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6.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tables/table9.xml" ContentType="application/vnd.openxmlformats-officedocument.spreadsheetml.table+xml"/>
  <Override PartName="/xl/pivotTables/pivotTable2.xml" ContentType="application/vnd.openxmlformats-officedocument.spreadsheetml.pivotTable+xml"/>
  <Override PartName="/xl/tables/table10.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3.xml" ContentType="application/vnd.openxmlformats-officedocument.spreadsheetml.pivotTable+xml"/>
  <Override PartName="/xl/drawings/drawing4.xml" ContentType="application/vnd.openxmlformats-officedocument.drawing+xml"/>
  <Override PartName="/xl/tables/table11.xml" ContentType="application/vnd.openxmlformats-officedocument.spreadsheetml.table+xml"/>
  <Override PartName="/xl/queryTables/queryTable1.xml" ContentType="application/vnd.openxmlformats-officedocument.spreadsheetml.query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166925"/>
  <mc:AlternateContent xmlns:mc="http://schemas.openxmlformats.org/markup-compatibility/2006">
    <mc:Choice Requires="x15">
      <x15ac:absPath xmlns:x15ac="http://schemas.microsoft.com/office/spreadsheetml/2010/11/ac" url="https://d.docs.live.net/C643E3385D77CB78/"/>
    </mc:Choice>
  </mc:AlternateContent>
  <xr:revisionPtr revIDLastSave="876" documentId="8_{A40D2571-25F7-9B41-9A5D-92C9A00773F1}" xr6:coauthVersionLast="47" xr6:coauthVersionMax="47" xr10:uidLastSave="{9749A864-5DD2-B541-B20E-61FEBE079B91}"/>
  <bookViews>
    <workbookView xWindow="0" yWindow="500" windowWidth="28800" windowHeight="15340" activeTab="3" xr2:uid="{F6731F79-0E89-44C3-8319-45BA0365988C}"/>
  </bookViews>
  <sheets>
    <sheet name="Config" sheetId="1" r:id="rId1"/>
    <sheet name="Crop Chart" sheetId="2" r:id="rId2"/>
    <sheet name="Bed Plan" sheetId="4" r:id="rId3"/>
    <sheet name="EOY Notes" sheetId="57" r:id="rId4"/>
    <sheet name="Crop Map" sheetId="3" r:id="rId5"/>
    <sheet name="Removed" sheetId="49" r:id="rId6"/>
    <sheet name="Products" sheetId="47" r:id="rId7"/>
    <sheet name="Product Analysis" sheetId="48" r:id="rId8"/>
    <sheet name="Varieties" sheetId="10" r:id="rId9"/>
    <sheet name="Seed List" sheetId="19" r:id="rId10"/>
    <sheet name="Seed Mixes" sheetId="20" r:id="rId11"/>
    <sheet name="Seed Starting" sheetId="37" r:id="rId12"/>
    <sheet name="Tasks Pivot" sheetId="36" r:id="rId13"/>
    <sheet name="Planting" sheetId="56" r:id="rId14"/>
    <sheet name="Bed Info" sheetId="40" r:id="rId15"/>
    <sheet name="Crop Quantity Pivot" sheetId="42" r:id="rId16"/>
    <sheet name="Seed Order Pivot" sheetId="45" r:id="rId17"/>
    <sheet name="2023 Seed Order" sheetId="44" r:id="rId18"/>
    <sheet name="Organic Print" sheetId="46" r:id="rId19"/>
    <sheet name="Production Schedule" sheetId="50" r:id="rId20"/>
    <sheet name="PAL" sheetId="51" r:id="rId21"/>
    <sheet name="Organic Search" sheetId="53" r:id="rId22"/>
    <sheet name="Organic Tasks" sheetId="54" r:id="rId23"/>
    <sheet name="Organic BedPlan" sheetId="55" r:id="rId24"/>
  </sheets>
  <functionGroups builtInGroupCount="19"/>
  <definedNames>
    <definedName name="_xlnm._FilterDatabase" localSheetId="6" hidden="1">Products!#REF!</definedName>
    <definedName name="_xleta.DATE" hidden="1" xlm="1">#NAME?</definedName>
    <definedName name="_xleta.ROW" hidden="1" xlm="1">#NAME?</definedName>
    <definedName name="_xleta.YIELD" hidden="1" xlm="1">#NAME?</definedName>
    <definedName name="AnnualCompostDepth">Config!$B$6</definedName>
    <definedName name="BedCost">Config!$B$34</definedName>
    <definedName name="BedLength">Config!$B$2</definedName>
    <definedName name="BedsPerAcre">Config!$B$33</definedName>
    <definedName name="BedWidth">Config!$B$5</definedName>
    <definedName name="CompostCost">Config!$B$31</definedName>
    <definedName name="CompostCostPerBed">Config!$B$35</definedName>
    <definedName name="CrateHaulTime">Config!$B$18</definedName>
    <definedName name="CratesPerMarketLoad">Config!$B$20</definedName>
    <definedName name="CropList">#REF!</definedName>
    <definedName name="CSAMembers">Config!$B$40</definedName>
    <definedName name="DaysBetweenStartIrrigation">Config!$B$14</definedName>
    <definedName name="ExternalData_1" localSheetId="23" hidden="1">'Organic BedPlan'!$A$1:$M$134</definedName>
    <definedName name="ExternalData_1" localSheetId="21" hidden="1">'Organic Search'!$A$1:$S$206</definedName>
    <definedName name="ExternalData_1" localSheetId="22" hidden="1">'Organic Tasks'!$A$1:$R$135</definedName>
    <definedName name="ExternalData_2" localSheetId="11" hidden="1">'Seed Starting'!$A$2:$V$97</definedName>
    <definedName name="FieldAcres">Config!$B$36</definedName>
    <definedName name="FILTERBLANKS">#REF!</definedName>
    <definedName name="GrowingDays">Config!$B$27</definedName>
    <definedName name="HomeStartFlatIrrigationPerHour">Config!$B$13</definedName>
    <definedName name="HoursPerWeedingPass">Config!$B$17</definedName>
    <definedName name="LaborRate">Config!$B$26</definedName>
    <definedName name="LargeTransplantTime">Config!$B$15</definedName>
    <definedName name="LastFrostDate">Config!$B$4</definedName>
    <definedName name="MarketHaulTime">Config!$B$19</definedName>
    <definedName name="MarketingTimeFactor">Config!$B$21</definedName>
    <definedName name="MINUTE">Config!$B$23</definedName>
    <definedName name="PlantingSafetyFactor">Config!$B$3</definedName>
    <definedName name="_xlnm.Print_Area" localSheetId="4">'Crop Map'!$C$4:$CP$53</definedName>
    <definedName name="ProductList">#REF!</definedName>
    <definedName name="SECONDS">Config!$B$24</definedName>
    <definedName name="SmallTransplantTime">Config!$B$16</definedName>
    <definedName name="StandardBedLength">Config!$B$42</definedName>
    <definedName name="StartsPerHourSeeding">Config!$B$10</definedName>
    <definedName name="StartsPerHourTransplanting">Config!$B$11</definedName>
    <definedName name="UpPottingPerHour">Config!$B$12</definedName>
  </definedNames>
  <calcPr calcId="191029"/>
  <pivotCaches>
    <pivotCache cacheId="0" r:id="rId25"/>
    <pivotCache cacheId="1" r:id="rId26"/>
    <pivotCache cacheId="2" r:id="rId27"/>
    <pivotCache cacheId="3" r:id="rId28"/>
    <pivotCache cacheId="4" r:id="rId29"/>
    <pivotCache cacheId="5"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2" i="19" l="1"/>
  <c r="B1" i="56"/>
  <c r="V98" i="37"/>
  <c r="BI10" i="4"/>
  <c r="AV10" i="4"/>
  <c r="AU10" i="4"/>
  <c r="AT10" i="4"/>
  <c r="AS10" i="4"/>
  <c r="AM10" i="4"/>
  <c r="AK10" i="4"/>
  <c r="O10" i="4"/>
  <c r="F10" i="4"/>
  <c r="ER298" i="2"/>
  <c r="EH298" i="2"/>
  <c r="DO298" i="2"/>
  <c r="CM298" i="2"/>
  <c r="CL298" i="2" a="1"/>
  <c r="CL298" i="2" s="1"/>
  <c r="CJ298" i="2"/>
  <c r="CB298" i="2"/>
  <c r="BV298" i="2"/>
  <c r="BS298" i="2"/>
  <c r="BN298" i="2"/>
  <c r="BG298" i="2"/>
  <c r="EK298" i="2" s="1"/>
  <c r="BE298" i="2"/>
  <c r="CE298" i="2" s="1"/>
  <c r="BC298" i="2"/>
  <c r="AT298" i="2"/>
  <c r="AQ298" i="2"/>
  <c r="AL298" i="2"/>
  <c r="AH298" i="2"/>
  <c r="AG298" i="2"/>
  <c r="AD298" i="2"/>
  <c r="V298" i="2"/>
  <c r="N298" i="2"/>
  <c r="F22" i="4"/>
  <c r="BI22" i="4"/>
  <c r="O22" i="4"/>
  <c r="AK22" i="4"/>
  <c r="AM22" i="4"/>
  <c r="AS22" i="4"/>
  <c r="AT22" i="4"/>
  <c r="AU22" i="4"/>
  <c r="AV22" i="4"/>
  <c r="N35" i="4"/>
  <c r="BI35" i="4" s="1"/>
  <c r="V309" i="2"/>
  <c r="AD309" i="2"/>
  <c r="AG309" i="2"/>
  <c r="AH309" i="2"/>
  <c r="AL309" i="2"/>
  <c r="AQ309" i="2"/>
  <c r="AT309" i="2"/>
  <c r="AZ309" i="2"/>
  <c r="BC309" i="2"/>
  <c r="BE309" i="2"/>
  <c r="CE309" i="2" s="1"/>
  <c r="BL309" i="2"/>
  <c r="BQ309" i="2" s="1"/>
  <c r="BN309" i="2"/>
  <c r="BS309" i="2"/>
  <c r="BV309" i="2"/>
  <c r="CB309" i="2"/>
  <c r="CJ309" i="2"/>
  <c r="CL309" i="2" a="1"/>
  <c r="CL309" i="2" s="1"/>
  <c r="CM309" i="2"/>
  <c r="DC309" i="2"/>
  <c r="DO309" i="2"/>
  <c r="EH309" i="2"/>
  <c r="EK309" i="2"/>
  <c r="ER309" i="2"/>
  <c r="F56" i="4"/>
  <c r="BI56" i="4"/>
  <c r="AK56" i="4"/>
  <c r="AM56" i="4"/>
  <c r="AS56" i="4"/>
  <c r="AT56" i="4"/>
  <c r="AU56" i="4"/>
  <c r="AV56" i="4"/>
  <c r="N13" i="4"/>
  <c r="BI13" i="4" s="1"/>
  <c r="N12" i="4"/>
  <c r="O12" i="4" s="1"/>
  <c r="F113" i="4"/>
  <c r="BI113" i="4"/>
  <c r="AK113" i="4"/>
  <c r="AM113" i="4"/>
  <c r="AS113" i="4"/>
  <c r="AT113" i="4"/>
  <c r="AU113" i="4"/>
  <c r="AV113" i="4"/>
  <c r="AV114" i="4"/>
  <c r="AU114" i="4"/>
  <c r="AT114" i="4"/>
  <c r="AS114" i="4"/>
  <c r="AM114" i="4"/>
  <c r="AK114" i="4"/>
  <c r="O114" i="4"/>
  <c r="F114" i="4"/>
  <c r="AV12" i="4"/>
  <c r="AU12" i="4"/>
  <c r="AT12" i="4"/>
  <c r="AS12" i="4"/>
  <c r="AM12" i="4"/>
  <c r="AK12" i="4"/>
  <c r="F12" i="4"/>
  <c r="AV24" i="4"/>
  <c r="AU24" i="4"/>
  <c r="AT24" i="4"/>
  <c r="AS24" i="4"/>
  <c r="AM24" i="4"/>
  <c r="AK24" i="4"/>
  <c r="BI24" i="4"/>
  <c r="F24" i="4"/>
  <c r="BI108" i="4"/>
  <c r="AV108" i="4"/>
  <c r="AU108" i="4"/>
  <c r="AT108" i="4"/>
  <c r="AS108" i="4"/>
  <c r="AM108" i="4"/>
  <c r="AK108" i="4"/>
  <c r="O108" i="4"/>
  <c r="F108" i="4"/>
  <c r="BI140" i="4"/>
  <c r="AV140" i="4"/>
  <c r="AU140" i="4"/>
  <c r="AT140" i="4"/>
  <c r="AS140" i="4"/>
  <c r="AM140" i="4"/>
  <c r="AK140" i="4"/>
  <c r="O140" i="4"/>
  <c r="K140" i="4" a="1"/>
  <c r="K140" i="4" s="1"/>
  <c r="F140" i="4"/>
  <c r="F21" i="4"/>
  <c r="N21" i="4"/>
  <c r="O21" i="4" s="1"/>
  <c r="AK21" i="4"/>
  <c r="AM21" i="4"/>
  <c r="AS21" i="4"/>
  <c r="AT21" i="4"/>
  <c r="AU21" i="4"/>
  <c r="AV21" i="4"/>
  <c r="F35" i="4"/>
  <c r="AK35" i="4"/>
  <c r="AM35" i="4"/>
  <c r="AS35" i="4"/>
  <c r="AT35" i="4"/>
  <c r="AU35" i="4"/>
  <c r="AV35" i="4"/>
  <c r="BI142" i="4"/>
  <c r="AV142" i="4"/>
  <c r="AU142" i="4"/>
  <c r="AT142" i="4"/>
  <c r="AS142" i="4"/>
  <c r="AM142" i="4"/>
  <c r="AK142" i="4"/>
  <c r="O142" i="4"/>
  <c r="K142" i="4" a="1"/>
  <c r="K142" i="4" s="1"/>
  <c r="F142" i="4"/>
  <c r="BI109" i="4"/>
  <c r="AV109" i="4"/>
  <c r="AU109" i="4"/>
  <c r="AT109" i="4"/>
  <c r="AS109" i="4"/>
  <c r="AM109" i="4"/>
  <c r="AK109" i="4"/>
  <c r="O109" i="4"/>
  <c r="F109" i="4"/>
  <c r="AV42" i="4"/>
  <c r="AU42" i="4"/>
  <c r="AT42" i="4"/>
  <c r="AS42" i="4"/>
  <c r="AM42" i="4"/>
  <c r="AK42" i="4"/>
  <c r="N42" i="4"/>
  <c r="O42" i="4" s="1"/>
  <c r="K42" i="4" a="1"/>
  <c r="K42" i="4" s="1"/>
  <c r="F42" i="4"/>
  <c r="N283" i="2"/>
  <c r="V283" i="2"/>
  <c r="AD283" i="2"/>
  <c r="AG283" i="2"/>
  <c r="AH283" i="2"/>
  <c r="AL283" i="2"/>
  <c r="AQ283" i="2"/>
  <c r="AT283" i="2"/>
  <c r="BC283" i="2"/>
  <c r="BE283" i="2"/>
  <c r="CE283" i="2" s="1"/>
  <c r="BN283" i="2"/>
  <c r="BS283" i="2"/>
  <c r="BV283" i="2"/>
  <c r="CB283" i="2"/>
  <c r="CJ283" i="2"/>
  <c r="CL283" i="2" a="1"/>
  <c r="CL283" i="2" s="1"/>
  <c r="CM283" i="2"/>
  <c r="DO283" i="2"/>
  <c r="EH283" i="2"/>
  <c r="ER283" i="2"/>
  <c r="F115" i="4"/>
  <c r="O115" i="4"/>
  <c r="AK115" i="4"/>
  <c r="AM115" i="4"/>
  <c r="AS115" i="4"/>
  <c r="AT115" i="4"/>
  <c r="AU115" i="4"/>
  <c r="AV115" i="4"/>
  <c r="AA4" i="50" a="1"/>
  <c r="AA4" i="50" s="1"/>
  <c r="AA5" i="50" a="1"/>
  <c r="AA5" i="50" s="1"/>
  <c r="AA6" i="50" a="1"/>
  <c r="AA6" i="50" s="1"/>
  <c r="AA7" i="50" a="1"/>
  <c r="AA7" i="50" s="1"/>
  <c r="AA8" i="50" a="1"/>
  <c r="AA8" i="50" s="1"/>
  <c r="AA9" i="50" a="1"/>
  <c r="AA9" i="50" s="1"/>
  <c r="AA10" i="50" a="1"/>
  <c r="AA10" i="50" s="1"/>
  <c r="AA11" i="50" a="1"/>
  <c r="AA11" i="50" s="1"/>
  <c r="AA12" i="50" a="1"/>
  <c r="AA12" i="50" s="1"/>
  <c r="AA13" i="50" a="1"/>
  <c r="AA13" i="50" s="1"/>
  <c r="AA14" i="50" a="1"/>
  <c r="AA14" i="50" s="1"/>
  <c r="AA15" i="50" a="1"/>
  <c r="AA15" i="50" s="1"/>
  <c r="AA16" i="50" a="1"/>
  <c r="AA16" i="50" s="1"/>
  <c r="AA17" i="50" a="1"/>
  <c r="AA17" i="50" s="1"/>
  <c r="AA18" i="50" a="1"/>
  <c r="AA18" i="50" s="1"/>
  <c r="AA19" i="50" a="1"/>
  <c r="AA19" i="50" s="1"/>
  <c r="AA20" i="50" a="1"/>
  <c r="AA20" i="50" s="1"/>
  <c r="AA21" i="50" a="1"/>
  <c r="AA21" i="50" s="1"/>
  <c r="AA22" i="50" a="1"/>
  <c r="AA22" i="50" s="1"/>
  <c r="AA23" i="50" a="1"/>
  <c r="AA23" i="50" s="1"/>
  <c r="AA24" i="50" a="1"/>
  <c r="AA24" i="50" s="1"/>
  <c r="AA25" i="50" a="1"/>
  <c r="AA25" i="50" s="1"/>
  <c r="AA26" i="50" a="1"/>
  <c r="AA26" i="50" s="1"/>
  <c r="AA27" i="50" a="1"/>
  <c r="AA27" i="50" s="1"/>
  <c r="AA28" i="50" a="1"/>
  <c r="AA28" i="50" s="1"/>
  <c r="AA29" i="50" a="1"/>
  <c r="AA29" i="50"/>
  <c r="AA30" i="50" a="1"/>
  <c r="AA30" i="50" s="1"/>
  <c r="AA31" i="50" a="1"/>
  <c r="AA31" i="50" s="1"/>
  <c r="AA32" i="50" a="1"/>
  <c r="AA32" i="50" s="1"/>
  <c r="AA33" i="50" a="1"/>
  <c r="AA33" i="50" s="1"/>
  <c r="AA34" i="50" a="1"/>
  <c r="AA34" i="50" s="1"/>
  <c r="AA35" i="50" a="1"/>
  <c r="AA35" i="50" s="1"/>
  <c r="AA36" i="50" a="1"/>
  <c r="AA36" i="50" s="1"/>
  <c r="AA37" i="50" a="1"/>
  <c r="AA37" i="50" s="1"/>
  <c r="AA38" i="50" a="1"/>
  <c r="AA38" i="50" s="1"/>
  <c r="AA39" i="50" a="1"/>
  <c r="AA39" i="50" s="1"/>
  <c r="AA40" i="50" a="1"/>
  <c r="AA40" i="50" s="1"/>
  <c r="AA41" i="50" a="1"/>
  <c r="AA41" i="50" s="1"/>
  <c r="AA42" i="50" a="1"/>
  <c r="AA42" i="50"/>
  <c r="AA43" i="50" a="1"/>
  <c r="AA43" i="50" s="1"/>
  <c r="AA44" i="50" a="1"/>
  <c r="AA44" i="50" s="1"/>
  <c r="AA45" i="50" a="1"/>
  <c r="AA45" i="50" s="1"/>
  <c r="AA46" i="50" a="1"/>
  <c r="AA46" i="50" s="1"/>
  <c r="AA47" i="50" a="1"/>
  <c r="AA47" i="50" s="1"/>
  <c r="AA48" i="50" a="1"/>
  <c r="AA48" i="50" s="1"/>
  <c r="AA49" i="50" a="1"/>
  <c r="AA49" i="50" s="1"/>
  <c r="AA50" i="50" a="1"/>
  <c r="AA50" i="50" s="1"/>
  <c r="AA51" i="50" a="1"/>
  <c r="AA51" i="50" s="1"/>
  <c r="AA52" i="50" a="1"/>
  <c r="AA52" i="50" s="1"/>
  <c r="AA53" i="50" a="1"/>
  <c r="AA53" i="50" s="1"/>
  <c r="AA54" i="50" a="1"/>
  <c r="AA54" i="50" s="1"/>
  <c r="AA55" i="50" a="1"/>
  <c r="AA55" i="50" s="1"/>
  <c r="AA56" i="50" a="1"/>
  <c r="AA56" i="50" s="1"/>
  <c r="AA57" i="50" a="1"/>
  <c r="AA57" i="50" s="1"/>
  <c r="AA58" i="50" a="1"/>
  <c r="AA58" i="50" s="1"/>
  <c r="AA59" i="50" a="1"/>
  <c r="AA59" i="50" s="1"/>
  <c r="AA60" i="50" a="1"/>
  <c r="AA60" i="50" s="1"/>
  <c r="AA3" i="50" a="1"/>
  <c r="AA3" i="50" s="1"/>
  <c r="N23" i="4"/>
  <c r="BI23" i="4" s="1"/>
  <c r="BD6" i="54" a="1"/>
  <c r="BD6" i="54" s="1"/>
  <c r="BC6" i="54" a="1"/>
  <c r="BC6" i="54" s="1"/>
  <c r="BA6" i="54" a="1"/>
  <c r="BA6" i="54" s="1"/>
  <c r="BB6" i="54" a="1"/>
  <c r="BB6" i="54" s="1"/>
  <c r="AC20" i="54"/>
  <c r="AC21" i="54"/>
  <c r="AC22" i="54"/>
  <c r="AC23" i="54"/>
  <c r="AC24" i="54"/>
  <c r="AC25" i="54"/>
  <c r="AC26" i="54"/>
  <c r="AC27" i="54"/>
  <c r="AC28" i="54"/>
  <c r="AC29" i="54"/>
  <c r="AC30" i="54"/>
  <c r="AC31" i="54"/>
  <c r="AC32" i="54"/>
  <c r="AC33" i="54"/>
  <c r="AC34" i="54"/>
  <c r="AC35" i="54"/>
  <c r="AC36" i="54"/>
  <c r="AC37" i="54"/>
  <c r="AC38" i="54"/>
  <c r="AC39" i="54"/>
  <c r="AC40" i="54"/>
  <c r="AC41" i="54"/>
  <c r="AC42" i="54"/>
  <c r="AC43" i="54"/>
  <c r="AC44" i="54"/>
  <c r="AC45" i="54"/>
  <c r="AC46" i="54"/>
  <c r="AC47" i="54"/>
  <c r="AC48" i="54"/>
  <c r="AC49" i="54"/>
  <c r="U25" i="54"/>
  <c r="U26" i="54"/>
  <c r="U27" i="54"/>
  <c r="U28" i="54"/>
  <c r="U29" i="54"/>
  <c r="U30" i="54"/>
  <c r="U31" i="54"/>
  <c r="U32" i="54"/>
  <c r="U33" i="54"/>
  <c r="U34" i="54"/>
  <c r="U35" i="54"/>
  <c r="U36" i="54"/>
  <c r="U37" i="54"/>
  <c r="U38" i="54"/>
  <c r="U39" i="54"/>
  <c r="U40" i="54"/>
  <c r="U41" i="54"/>
  <c r="U42" i="54"/>
  <c r="U43" i="54"/>
  <c r="U44" i="54"/>
  <c r="U45" i="54"/>
  <c r="U46" i="54"/>
  <c r="U47" i="54"/>
  <c r="U48" i="54"/>
  <c r="U49" i="54"/>
  <c r="U50" i="54"/>
  <c r="U51" i="54"/>
  <c r="U52" i="54"/>
  <c r="U53" i="54"/>
  <c r="U54" i="54"/>
  <c r="U55" i="54"/>
  <c r="U56" i="54"/>
  <c r="U57" i="54"/>
  <c r="U58" i="54"/>
  <c r="U59" i="54"/>
  <c r="U60" i="54"/>
  <c r="U61" i="54"/>
  <c r="U62" i="54"/>
  <c r="U63" i="54"/>
  <c r="U64" i="54"/>
  <c r="U65" i="54"/>
  <c r="U66" i="54"/>
  <c r="U67" i="54"/>
  <c r="U68" i="54"/>
  <c r="U69" i="54"/>
  <c r="U70" i="54"/>
  <c r="U71" i="54"/>
  <c r="U72" i="54"/>
  <c r="U73" i="54"/>
  <c r="U74" i="54"/>
  <c r="U75" i="54"/>
  <c r="U76" i="54"/>
  <c r="U77" i="54"/>
  <c r="U78" i="54"/>
  <c r="U79" i="54"/>
  <c r="U80" i="54"/>
  <c r="U81" i="54"/>
  <c r="U82" i="54"/>
  <c r="U83" i="54"/>
  <c r="U84" i="54"/>
  <c r="U85" i="54"/>
  <c r="Y34" i="54"/>
  <c r="Y35" i="54"/>
  <c r="Y36" i="54"/>
  <c r="Y37" i="54"/>
  <c r="Y38" i="54"/>
  <c r="Y39" i="54"/>
  <c r="Y40" i="54"/>
  <c r="Y41" i="54"/>
  <c r="Y42" i="54"/>
  <c r="Y43" i="54"/>
  <c r="Y44" i="54"/>
  <c r="Y45" i="54"/>
  <c r="Y46" i="54"/>
  <c r="Y47" i="54"/>
  <c r="Y48" i="54"/>
  <c r="Y49" i="54"/>
  <c r="Y50" i="54"/>
  <c r="Y51" i="54"/>
  <c r="Y52" i="54"/>
  <c r="Y53" i="54"/>
  <c r="Y54" i="54"/>
  <c r="Y55" i="54"/>
  <c r="Y56" i="54"/>
  <c r="Y57" i="54"/>
  <c r="Y58" i="54"/>
  <c r="Y59" i="54"/>
  <c r="Y60" i="54"/>
  <c r="Y61" i="54"/>
  <c r="Y62" i="54"/>
  <c r="Y63" i="54"/>
  <c r="Y64" i="54"/>
  <c r="Y65" i="54"/>
  <c r="Y66" i="54"/>
  <c r="Y67" i="54"/>
  <c r="Y68" i="54"/>
  <c r="Y69" i="54"/>
  <c r="Y70" i="54"/>
  <c r="Y71" i="54"/>
  <c r="Y72" i="54"/>
  <c r="Y73" i="54"/>
  <c r="Y74" i="54"/>
  <c r="Y75" i="54"/>
  <c r="Y76" i="54"/>
  <c r="Y77" i="54"/>
  <c r="Y78" i="54"/>
  <c r="Y79" i="54"/>
  <c r="Y80" i="54"/>
  <c r="Y81" i="54"/>
  <c r="Y82" i="54"/>
  <c r="Y83" i="54"/>
  <c r="Y84" i="54"/>
  <c r="Y85" i="54"/>
  <c r="Y86" i="54"/>
  <c r="Y87" i="54"/>
  <c r="Y88" i="54"/>
  <c r="Y89" i="54"/>
  <c r="Y90" i="54"/>
  <c r="Y91" i="54"/>
  <c r="Y92" i="54"/>
  <c r="Y93" i="54"/>
  <c r="Y94" i="54"/>
  <c r="Y95" i="54"/>
  <c r="Y96" i="54"/>
  <c r="Y97" i="54"/>
  <c r="Y98" i="54"/>
  <c r="Y99" i="54"/>
  <c r="Y100" i="54"/>
  <c r="Y101" i="54"/>
  <c r="Y102" i="54"/>
  <c r="Y103" i="54"/>
  <c r="Y104" i="54"/>
  <c r="Y105" i="54"/>
  <c r="Y106" i="54"/>
  <c r="Y107" i="54"/>
  <c r="Y108" i="54"/>
  <c r="Y109" i="54"/>
  <c r="Y110" i="54"/>
  <c r="Y111" i="54"/>
  <c r="Y112" i="54"/>
  <c r="Y113" i="54"/>
  <c r="Y114" i="54"/>
  <c r="Y115" i="54"/>
  <c r="AP5" i="54" a="1"/>
  <c r="AP5" i="54" s="1"/>
  <c r="AO5" i="54" a="1"/>
  <c r="AO5" i="54" s="1"/>
  <c r="AN5" i="54" a="1"/>
  <c r="AN5" i="54" s="1"/>
  <c r="AL5" i="54" a="1"/>
  <c r="AL5" i="54" s="1"/>
  <c r="AK5" i="54" a="1"/>
  <c r="AK5" i="54" s="1"/>
  <c r="AJ5" i="54" a="1"/>
  <c r="AJ5" i="54" s="1"/>
  <c r="AH5" i="54" a="1"/>
  <c r="AH5" i="54" s="1"/>
  <c r="AG5" i="54" a="1"/>
  <c r="AG5" i="54" s="1"/>
  <c r="AF5" i="54" a="1"/>
  <c r="AF5" i="54" s="1"/>
  <c r="AC50" i="54"/>
  <c r="AC51" i="54"/>
  <c r="AC52" i="54"/>
  <c r="AC53" i="54"/>
  <c r="AC54" i="54"/>
  <c r="AC55" i="54"/>
  <c r="AC56" i="54"/>
  <c r="AC57" i="54"/>
  <c r="AC58" i="54"/>
  <c r="AC59" i="54"/>
  <c r="AC60" i="54"/>
  <c r="AC61" i="54"/>
  <c r="AC62" i="54"/>
  <c r="AC63" i="54"/>
  <c r="AD5" i="54" a="1"/>
  <c r="AD5" i="54" s="1"/>
  <c r="AB5" i="54" a="1"/>
  <c r="AC16" i="54" s="1"/>
  <c r="Z5" i="54" a="1"/>
  <c r="Z5" i="54" s="1"/>
  <c r="Y116" i="54"/>
  <c r="Y117" i="54"/>
  <c r="Y118" i="54"/>
  <c r="Y119" i="54"/>
  <c r="X5" i="54" a="1"/>
  <c r="Y20" i="54" s="1"/>
  <c r="V5" i="54" a="1"/>
  <c r="V5" i="54" s="1"/>
  <c r="T5" i="54" a="1"/>
  <c r="T5" i="54" s="1"/>
  <c r="U5" i="54" s="1"/>
  <c r="AS8" i="4"/>
  <c r="AS6" i="4"/>
  <c r="AS7" i="4"/>
  <c r="AS9" i="4"/>
  <c r="AS13" i="4"/>
  <c r="AS14" i="4"/>
  <c r="AS15" i="4"/>
  <c r="AS16" i="4"/>
  <c r="AS17" i="4"/>
  <c r="AS18" i="4"/>
  <c r="AS19" i="4"/>
  <c r="AS20" i="4"/>
  <c r="AS11" i="4"/>
  <c r="AS23" i="4"/>
  <c r="AS25" i="4"/>
  <c r="AS26" i="4"/>
  <c r="AS28" i="4"/>
  <c r="AS29" i="4"/>
  <c r="AS27" i="4"/>
  <c r="AS30" i="4"/>
  <c r="AS31" i="4"/>
  <c r="AS36" i="4"/>
  <c r="AS32" i="4"/>
  <c r="AS33" i="4"/>
  <c r="AS34" i="4"/>
  <c r="AS37" i="4"/>
  <c r="AS38" i="4"/>
  <c r="AS39" i="4"/>
  <c r="AS40" i="4"/>
  <c r="AS41" i="4"/>
  <c r="AS43" i="4"/>
  <c r="AS44" i="4"/>
  <c r="AS45" i="4"/>
  <c r="AS46" i="4"/>
  <c r="AS47" i="4"/>
  <c r="AS48" i="4"/>
  <c r="AS49" i="4"/>
  <c r="AS50" i="4"/>
  <c r="AS51" i="4"/>
  <c r="AS52" i="4"/>
  <c r="AS54" i="4"/>
  <c r="AS53" i="4"/>
  <c r="AS55" i="4"/>
  <c r="AS58" i="4"/>
  <c r="AS59" i="4"/>
  <c r="AS57" i="4"/>
  <c r="AS60" i="4"/>
  <c r="AS61" i="4"/>
  <c r="AS62" i="4"/>
  <c r="AS63" i="4"/>
  <c r="AS65" i="4"/>
  <c r="AS66" i="4"/>
  <c r="AS64" i="4"/>
  <c r="AS67" i="4"/>
  <c r="AS68" i="4"/>
  <c r="AS69" i="4"/>
  <c r="AS70" i="4"/>
  <c r="AS72" i="4"/>
  <c r="AS80" i="4"/>
  <c r="AS85" i="4"/>
  <c r="AS73" i="4"/>
  <c r="AS74" i="4"/>
  <c r="AS75" i="4"/>
  <c r="AS77" i="4"/>
  <c r="AS81" i="4"/>
  <c r="AS82" i="4"/>
  <c r="AS83" i="4"/>
  <c r="AS84" i="4"/>
  <c r="AS78" i="4"/>
  <c r="AS79" i="4"/>
  <c r="AS76" i="4"/>
  <c r="AS86" i="4"/>
  <c r="AS87" i="4"/>
  <c r="AS88" i="4"/>
  <c r="AS89" i="4"/>
  <c r="AS90" i="4"/>
  <c r="AS91" i="4"/>
  <c r="AS92" i="4"/>
  <c r="AS93" i="4"/>
  <c r="AS94" i="4"/>
  <c r="AS95" i="4"/>
  <c r="AS96" i="4"/>
  <c r="AS98" i="4"/>
  <c r="AS97" i="4"/>
  <c r="AS99" i="4"/>
  <c r="AS100" i="4"/>
  <c r="AS101" i="4"/>
  <c r="AS102" i="4"/>
  <c r="AS111" i="4"/>
  <c r="AS112" i="4"/>
  <c r="AS103" i="4"/>
  <c r="AS105" i="4"/>
  <c r="AS106" i="4"/>
  <c r="AS107" i="4"/>
  <c r="AS110" i="4"/>
  <c r="AS104" i="4"/>
  <c r="AS116" i="4"/>
  <c r="AS117" i="4"/>
  <c r="AS118" i="4"/>
  <c r="AS119" i="4"/>
  <c r="AS120" i="4"/>
  <c r="AS121" i="4"/>
  <c r="AS122" i="4"/>
  <c r="AS123" i="4"/>
  <c r="AS124" i="4"/>
  <c r="AS125" i="4"/>
  <c r="AS128" i="4"/>
  <c r="AS129" i="4"/>
  <c r="AS132" i="4"/>
  <c r="AS135" i="4"/>
  <c r="AS126" i="4"/>
  <c r="AS130" i="4"/>
  <c r="AS133" i="4"/>
  <c r="AS127" i="4"/>
  <c r="AS131" i="4"/>
  <c r="AS134" i="4"/>
  <c r="AS136" i="4"/>
  <c r="AS138" i="4"/>
  <c r="AS137" i="4"/>
  <c r="AS139" i="4"/>
  <c r="AS141" i="4"/>
  <c r="AS143" i="4"/>
  <c r="AD1" i="3"/>
  <c r="F31" i="42"/>
  <c r="F33" i="42"/>
  <c r="AD33" i="2"/>
  <c r="BG33" i="2" s="1"/>
  <c r="AV8" i="4"/>
  <c r="AV6" i="4"/>
  <c r="AV7" i="4"/>
  <c r="AV9" i="4"/>
  <c r="AV13" i="4"/>
  <c r="AV14" i="4"/>
  <c r="AV15" i="4"/>
  <c r="AV16" i="4"/>
  <c r="AV17" i="4"/>
  <c r="AV18" i="4"/>
  <c r="AV19" i="4"/>
  <c r="AV20" i="4"/>
  <c r="AV11" i="4"/>
  <c r="AV23" i="4"/>
  <c r="AV25" i="4"/>
  <c r="AV26" i="4"/>
  <c r="AV28" i="4"/>
  <c r="AV29" i="4"/>
  <c r="AV27" i="4"/>
  <c r="AV30" i="4"/>
  <c r="AV31" i="4"/>
  <c r="AV36" i="4"/>
  <c r="AV32" i="4"/>
  <c r="AV33" i="4"/>
  <c r="AV34" i="4"/>
  <c r="AV37" i="4"/>
  <c r="AV38" i="4"/>
  <c r="AV39" i="4"/>
  <c r="AV40" i="4"/>
  <c r="AV41" i="4"/>
  <c r="AV43" i="4"/>
  <c r="AV44" i="4"/>
  <c r="AV45" i="4"/>
  <c r="AV46" i="4"/>
  <c r="AV47" i="4"/>
  <c r="AV48" i="4"/>
  <c r="AV49" i="4"/>
  <c r="AV50" i="4"/>
  <c r="AV51" i="4"/>
  <c r="AV52" i="4"/>
  <c r="AV54" i="4"/>
  <c r="AV53" i="4"/>
  <c r="AV55" i="4"/>
  <c r="AV58" i="4"/>
  <c r="AV59" i="4"/>
  <c r="AV57" i="4"/>
  <c r="AV60" i="4"/>
  <c r="AV61" i="4"/>
  <c r="AV62" i="4"/>
  <c r="AV63" i="4"/>
  <c r="AV65" i="4"/>
  <c r="AV66" i="4"/>
  <c r="AV64" i="4"/>
  <c r="AV67" i="4"/>
  <c r="AV68" i="4"/>
  <c r="AV69" i="4"/>
  <c r="AV70" i="4"/>
  <c r="AV71" i="4"/>
  <c r="AV72" i="4"/>
  <c r="AV80" i="4"/>
  <c r="AV85" i="4"/>
  <c r="AV73" i="4"/>
  <c r="AV74" i="4"/>
  <c r="AV75" i="4"/>
  <c r="AV77" i="4"/>
  <c r="AV81" i="4"/>
  <c r="AV82" i="4"/>
  <c r="AV83" i="4"/>
  <c r="AV84" i="4"/>
  <c r="AV78" i="4"/>
  <c r="AV79" i="4"/>
  <c r="AV76" i="4"/>
  <c r="AV86" i="4"/>
  <c r="AV87" i="4"/>
  <c r="AV88" i="4"/>
  <c r="AV89" i="4"/>
  <c r="AV90" i="4"/>
  <c r="AV91" i="4"/>
  <c r="AV92" i="4"/>
  <c r="AV93" i="4"/>
  <c r="AV94" i="4"/>
  <c r="AV95" i="4"/>
  <c r="AV96" i="4"/>
  <c r="AV98" i="4"/>
  <c r="AV97" i="4"/>
  <c r="AV99" i="4"/>
  <c r="AV100" i="4"/>
  <c r="AV101" i="4"/>
  <c r="AV102" i="4"/>
  <c r="AV111" i="4"/>
  <c r="AV112" i="4"/>
  <c r="AV103" i="4"/>
  <c r="AV105" i="4"/>
  <c r="AV106" i="4"/>
  <c r="AV107" i="4"/>
  <c r="AV110" i="4"/>
  <c r="AV104" i="4"/>
  <c r="AV116" i="4"/>
  <c r="AV117" i="4"/>
  <c r="AV118" i="4"/>
  <c r="AV119" i="4"/>
  <c r="AV120" i="4"/>
  <c r="AV121" i="4"/>
  <c r="AV122" i="4"/>
  <c r="AV123" i="4"/>
  <c r="AV124" i="4"/>
  <c r="AV125" i="4"/>
  <c r="AV128" i="4"/>
  <c r="AV129" i="4"/>
  <c r="AV132" i="4"/>
  <c r="AV135" i="4"/>
  <c r="AV126" i="4"/>
  <c r="AV130" i="4"/>
  <c r="AV133" i="4"/>
  <c r="AV127" i="4"/>
  <c r="AV131" i="4"/>
  <c r="AV134" i="4"/>
  <c r="AV136" i="4"/>
  <c r="AV138" i="4"/>
  <c r="AV137" i="4"/>
  <c r="AV139" i="4"/>
  <c r="AV141" i="4"/>
  <c r="AV143" i="4"/>
  <c r="AU8" i="4"/>
  <c r="AU6" i="4"/>
  <c r="AU7" i="4"/>
  <c r="AU9" i="4"/>
  <c r="AU13" i="4"/>
  <c r="AU14" i="4"/>
  <c r="AU15" i="4"/>
  <c r="AU16" i="4"/>
  <c r="AU17" i="4"/>
  <c r="AU18" i="4"/>
  <c r="AU19" i="4"/>
  <c r="AU20" i="4"/>
  <c r="AU11" i="4"/>
  <c r="AU23" i="4"/>
  <c r="AU25" i="4"/>
  <c r="AU26" i="4"/>
  <c r="AU28" i="4"/>
  <c r="AU29" i="4"/>
  <c r="AU27" i="4"/>
  <c r="AU30" i="4"/>
  <c r="AU31" i="4"/>
  <c r="AU36" i="4"/>
  <c r="AU32" i="4"/>
  <c r="AU33" i="4"/>
  <c r="AU34" i="4"/>
  <c r="AU37" i="4"/>
  <c r="AU38" i="4"/>
  <c r="AU39" i="4"/>
  <c r="AU40" i="4"/>
  <c r="AU41" i="4"/>
  <c r="AU43" i="4"/>
  <c r="AU44" i="4"/>
  <c r="AU45" i="4"/>
  <c r="AU46" i="4"/>
  <c r="AU47" i="4"/>
  <c r="AU48" i="4"/>
  <c r="AU49" i="4"/>
  <c r="AU50" i="4"/>
  <c r="AU51" i="4"/>
  <c r="AU52" i="4"/>
  <c r="AU54" i="4"/>
  <c r="AU53" i="4"/>
  <c r="AU55" i="4"/>
  <c r="AU58" i="4"/>
  <c r="AU59" i="4"/>
  <c r="AU57" i="4"/>
  <c r="AU60" i="4"/>
  <c r="AU61" i="4"/>
  <c r="AU62" i="4"/>
  <c r="AU63" i="4"/>
  <c r="AU65" i="4"/>
  <c r="AU66" i="4"/>
  <c r="AU64" i="4"/>
  <c r="AU67" i="4"/>
  <c r="AU68" i="4"/>
  <c r="AU69" i="4"/>
  <c r="AU70" i="4"/>
  <c r="AU71" i="4"/>
  <c r="AU72" i="4"/>
  <c r="AU80" i="4"/>
  <c r="AU85" i="4"/>
  <c r="AU73" i="4"/>
  <c r="AU74" i="4"/>
  <c r="AU75" i="4"/>
  <c r="AU77" i="4"/>
  <c r="AU81" i="4"/>
  <c r="AU82" i="4"/>
  <c r="AU83" i="4"/>
  <c r="AU84" i="4"/>
  <c r="AU78" i="4"/>
  <c r="AU79" i="4"/>
  <c r="AU76" i="4"/>
  <c r="AU86" i="4"/>
  <c r="AU87" i="4"/>
  <c r="AU88" i="4"/>
  <c r="AU89" i="4"/>
  <c r="AU90" i="4"/>
  <c r="AU91" i="4"/>
  <c r="AU92" i="4"/>
  <c r="AU93" i="4"/>
  <c r="AU94" i="4"/>
  <c r="AU95" i="4"/>
  <c r="AU96" i="4"/>
  <c r="AU98" i="4"/>
  <c r="AU97" i="4"/>
  <c r="AU99" i="4"/>
  <c r="AU100" i="4"/>
  <c r="AU101" i="4"/>
  <c r="AU102" i="4"/>
  <c r="AU111" i="4"/>
  <c r="AU112" i="4"/>
  <c r="AU103" i="4"/>
  <c r="AU105" i="4"/>
  <c r="AU106" i="4"/>
  <c r="AU107" i="4"/>
  <c r="AU110" i="4"/>
  <c r="AU104" i="4"/>
  <c r="AU116" i="4"/>
  <c r="AU117" i="4"/>
  <c r="AU118" i="4"/>
  <c r="AU119" i="4"/>
  <c r="AU120" i="4"/>
  <c r="AU121" i="4"/>
  <c r="AU122" i="4"/>
  <c r="AU123" i="4"/>
  <c r="AU124" i="4"/>
  <c r="AU125" i="4"/>
  <c r="AU128" i="4"/>
  <c r="AU129" i="4"/>
  <c r="AU132" i="4"/>
  <c r="AU135" i="4"/>
  <c r="AU126" i="4"/>
  <c r="AU130" i="4"/>
  <c r="AU133" i="4"/>
  <c r="AU127" i="4"/>
  <c r="AU131" i="4"/>
  <c r="AU134" i="4"/>
  <c r="AU136" i="4"/>
  <c r="AU138" i="4"/>
  <c r="AU137" i="4"/>
  <c r="AU139" i="4"/>
  <c r="AU141" i="4"/>
  <c r="AU143" i="4"/>
  <c r="AT8" i="4"/>
  <c r="AT6" i="4"/>
  <c r="AT7" i="4"/>
  <c r="AT9" i="4"/>
  <c r="AT13" i="4"/>
  <c r="AT14" i="4"/>
  <c r="AT15" i="4"/>
  <c r="AT16" i="4"/>
  <c r="AT17" i="4"/>
  <c r="AT18" i="4"/>
  <c r="AT19" i="4"/>
  <c r="AT20" i="4"/>
  <c r="AT11" i="4"/>
  <c r="AT23" i="4"/>
  <c r="AT25" i="4"/>
  <c r="AT26" i="4"/>
  <c r="AT28" i="4"/>
  <c r="AT29" i="4"/>
  <c r="AT27" i="4"/>
  <c r="AT30" i="4"/>
  <c r="AT31" i="4"/>
  <c r="AT36" i="4"/>
  <c r="AT32" i="4"/>
  <c r="AT33" i="4"/>
  <c r="AT34" i="4"/>
  <c r="AT37" i="4"/>
  <c r="AT38" i="4"/>
  <c r="AT39" i="4"/>
  <c r="AT40" i="4"/>
  <c r="AT41" i="4"/>
  <c r="AT43" i="4"/>
  <c r="AT44" i="4"/>
  <c r="AT45" i="4"/>
  <c r="AT46" i="4"/>
  <c r="AT47" i="4"/>
  <c r="AT48" i="4"/>
  <c r="AT49" i="4"/>
  <c r="AT50" i="4"/>
  <c r="AT51" i="4"/>
  <c r="AT52" i="4"/>
  <c r="AT54" i="4"/>
  <c r="AT53" i="4"/>
  <c r="AT55" i="4"/>
  <c r="AT58" i="4"/>
  <c r="AT59" i="4"/>
  <c r="AT57" i="4"/>
  <c r="AT60" i="4"/>
  <c r="AT61" i="4"/>
  <c r="AT62" i="4"/>
  <c r="AT63" i="4"/>
  <c r="AT65" i="4"/>
  <c r="AT66" i="4"/>
  <c r="AT64" i="4"/>
  <c r="AT67" i="4"/>
  <c r="AT68" i="4"/>
  <c r="AT69" i="4"/>
  <c r="AT70" i="4"/>
  <c r="AT72" i="4"/>
  <c r="AT80" i="4"/>
  <c r="AT85" i="4"/>
  <c r="AT73" i="4"/>
  <c r="AT74" i="4"/>
  <c r="AT75" i="4"/>
  <c r="AT77" i="4"/>
  <c r="AT81" i="4"/>
  <c r="AT82" i="4"/>
  <c r="AT83" i="4"/>
  <c r="AT84" i="4"/>
  <c r="AT78" i="4"/>
  <c r="AT79" i="4"/>
  <c r="AT76" i="4"/>
  <c r="AT86" i="4"/>
  <c r="AT87" i="4"/>
  <c r="AT88" i="4"/>
  <c r="AT89" i="4"/>
  <c r="AT90" i="4"/>
  <c r="AT91" i="4"/>
  <c r="AT92" i="4"/>
  <c r="AT93" i="4"/>
  <c r="AT94" i="4"/>
  <c r="AT95" i="4"/>
  <c r="AT96" i="4"/>
  <c r="AT98" i="4"/>
  <c r="AT97" i="4"/>
  <c r="AT99" i="4"/>
  <c r="AT100" i="4"/>
  <c r="AT101" i="4"/>
  <c r="AT102" i="4"/>
  <c r="AT111" i="4"/>
  <c r="AT112" i="4"/>
  <c r="AT103" i="4"/>
  <c r="AT105" i="4"/>
  <c r="AT106" i="4"/>
  <c r="AT107" i="4"/>
  <c r="AT110" i="4"/>
  <c r="AT104" i="4"/>
  <c r="AT116" i="4"/>
  <c r="AT117" i="4"/>
  <c r="AT118" i="4"/>
  <c r="AT119" i="4"/>
  <c r="AT120" i="4"/>
  <c r="AT121" i="4"/>
  <c r="AT122" i="4"/>
  <c r="AT123" i="4"/>
  <c r="AT124" i="4"/>
  <c r="AT125" i="4"/>
  <c r="AT128" i="4"/>
  <c r="AT129" i="4"/>
  <c r="AT132" i="4"/>
  <c r="AT135" i="4"/>
  <c r="AT126" i="4"/>
  <c r="AT130" i="4"/>
  <c r="AT133" i="4"/>
  <c r="AT127" i="4"/>
  <c r="AT131" i="4"/>
  <c r="AT134" i="4"/>
  <c r="AT136" i="4"/>
  <c r="AT138" i="4"/>
  <c r="AT137" i="4"/>
  <c r="AT139" i="4"/>
  <c r="AT141" i="4"/>
  <c r="AT143" i="4"/>
  <c r="B399" i="20"/>
  <c r="B400" i="20"/>
  <c r="B401" i="20"/>
  <c r="B402" i="20"/>
  <c r="G399" i="20"/>
  <c r="G400" i="20"/>
  <c r="G401" i="20"/>
  <c r="G402" i="20"/>
  <c r="H399" i="20"/>
  <c r="H400" i="20"/>
  <c r="H401" i="20"/>
  <c r="H402" i="20"/>
  <c r="N131" i="4"/>
  <c r="BI131" i="4" s="1"/>
  <c r="N134" i="4"/>
  <c r="BI134" i="4" s="1"/>
  <c r="AM134" i="4"/>
  <c r="AK134" i="4"/>
  <c r="F134" i="4"/>
  <c r="AM131" i="4"/>
  <c r="AK131" i="4"/>
  <c r="F131" i="4"/>
  <c r="N7" i="4"/>
  <c r="BI7" i="4" s="1"/>
  <c r="BI9" i="4"/>
  <c r="AM9" i="4"/>
  <c r="AK9" i="4"/>
  <c r="O9" i="4"/>
  <c r="F9" i="4"/>
  <c r="AM7" i="4"/>
  <c r="AK7" i="4"/>
  <c r="Z7" i="4"/>
  <c r="F7" i="4"/>
  <c r="BI127" i="4"/>
  <c r="AM127" i="4"/>
  <c r="AK127" i="4"/>
  <c r="Z127" i="4"/>
  <c r="F127" i="4"/>
  <c r="N104" i="4"/>
  <c r="O104" i="4" s="1"/>
  <c r="F103" i="4"/>
  <c r="O103" i="4"/>
  <c r="Z103" i="4"/>
  <c r="AK103" i="4"/>
  <c r="AM103" i="4"/>
  <c r="BI103" i="4"/>
  <c r="N37" i="4"/>
  <c r="BI37" i="4" s="1"/>
  <c r="N122" i="4"/>
  <c r="BI122" i="4" s="1"/>
  <c r="N18" i="4"/>
  <c r="BI18" i="4" s="1"/>
  <c r="AM18" i="4"/>
  <c r="AK18" i="4"/>
  <c r="F18" i="4"/>
  <c r="N124" i="4"/>
  <c r="BI124" i="4" s="1"/>
  <c r="N76" i="4"/>
  <c r="O76" i="4" s="1"/>
  <c r="AM76" i="4"/>
  <c r="AK76" i="4"/>
  <c r="F76" i="4"/>
  <c r="D4" i="50"/>
  <c r="D5"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3" i="50"/>
  <c r="BG235" i="2"/>
  <c r="EK235" i="2" s="1"/>
  <c r="ER82" i="2"/>
  <c r="EH82" i="2"/>
  <c r="DO82" i="2"/>
  <c r="CM82" i="2"/>
  <c r="CL82" i="2" a="1"/>
  <c r="CL82" i="2" s="1"/>
  <c r="CJ82" i="2"/>
  <c r="CB82" i="2"/>
  <c r="BV82" i="2"/>
  <c r="BS82" i="2"/>
  <c r="BE82" i="2"/>
  <c r="CE82" i="2" s="1"/>
  <c r="BC82" i="2"/>
  <c r="AT82" i="2"/>
  <c r="AQ82" i="2"/>
  <c r="AL82" i="2"/>
  <c r="AH82" i="2"/>
  <c r="AG82" i="2"/>
  <c r="AD82" i="2"/>
  <c r="V82" i="2"/>
  <c r="N82" i="2"/>
  <c r="F1" i="50"/>
  <c r="G1" i="50"/>
  <c r="H1" i="50"/>
  <c r="I1" i="50"/>
  <c r="J1" i="50"/>
  <c r="K1" i="50"/>
  <c r="L1" i="50"/>
  <c r="M1" i="50"/>
  <c r="N1" i="50"/>
  <c r="O1" i="50"/>
  <c r="P1" i="50"/>
  <c r="E1" i="50"/>
  <c r="ER22" i="2"/>
  <c r="EH22" i="2"/>
  <c r="DO22" i="2"/>
  <c r="CM22" i="2"/>
  <c r="CL22" i="2" a="1"/>
  <c r="CL22" i="2" s="1"/>
  <c r="CJ22" i="2"/>
  <c r="CB22" i="2"/>
  <c r="BV22" i="2"/>
  <c r="BS22" i="2"/>
  <c r="BN22" i="2"/>
  <c r="BE22" i="2"/>
  <c r="BC22" i="2"/>
  <c r="AT22" i="2"/>
  <c r="AQ22" i="2"/>
  <c r="AL22" i="2"/>
  <c r="AH22" i="2"/>
  <c r="AG22" i="2"/>
  <c r="AD22" i="2"/>
  <c r="V22" i="2"/>
  <c r="EM3" i="4"/>
  <c r="EN3" i="4"/>
  <c r="EO3" i="4"/>
  <c r="EP3" i="4"/>
  <c r="EQ3" i="4"/>
  <c r="ER3" i="4"/>
  <c r="ES3" i="4"/>
  <c r="ET3" i="4"/>
  <c r="EU3" i="4"/>
  <c r="EV3" i="4"/>
  <c r="EW3" i="4"/>
  <c r="EL3" i="4"/>
  <c r="EI4" i="4"/>
  <c r="EJ4" i="4"/>
  <c r="EH4" i="4"/>
  <c r="CJ4" i="4"/>
  <c r="B125" i="20"/>
  <c r="B126" i="20"/>
  <c r="B333" i="20"/>
  <c r="B210" i="20"/>
  <c r="G210" i="20"/>
  <c r="H210" i="20"/>
  <c r="ER12" i="2"/>
  <c r="EH12" i="2"/>
  <c r="DO12" i="2"/>
  <c r="CM12" i="2"/>
  <c r="CL12" i="2" a="1"/>
  <c r="CL12" i="2" s="1"/>
  <c r="CJ12" i="2"/>
  <c r="CB12" i="2"/>
  <c r="BV12" i="2"/>
  <c r="BS12" i="2"/>
  <c r="BE12" i="2"/>
  <c r="CE12" i="2" s="1"/>
  <c r="BC12" i="2"/>
  <c r="AT12" i="2"/>
  <c r="AQ12" i="2"/>
  <c r="AL12" i="2"/>
  <c r="AH12" i="2"/>
  <c r="AG12" i="2"/>
  <c r="AD12" i="2"/>
  <c r="V12" i="2"/>
  <c r="N12" i="2"/>
  <c r="F13" i="4"/>
  <c r="AK13" i="4"/>
  <c r="AM13" i="4"/>
  <c r="BG13" i="2"/>
  <c r="ER13" i="2"/>
  <c r="EH13" i="2"/>
  <c r="DO13" i="2"/>
  <c r="CM13" i="2"/>
  <c r="CL13" i="2" a="1"/>
  <c r="CL13" i="2" s="1"/>
  <c r="CJ13" i="2"/>
  <c r="CB13" i="2"/>
  <c r="BV13" i="2"/>
  <c r="BS13" i="2"/>
  <c r="BE13" i="2"/>
  <c r="AM13" i="2" s="1"/>
  <c r="CD13" i="2" s="1"/>
  <c r="BC13" i="2"/>
  <c r="AT13" i="2"/>
  <c r="AQ13" i="2"/>
  <c r="AL13" i="2"/>
  <c r="AH13" i="2"/>
  <c r="AG13" i="2"/>
  <c r="AD13" i="2"/>
  <c r="V13" i="2"/>
  <c r="N13" i="2"/>
  <c r="BI6" i="4"/>
  <c r="AM6" i="4"/>
  <c r="AK6" i="4"/>
  <c r="O6" i="4"/>
  <c r="F6" i="4"/>
  <c r="AM104" i="4"/>
  <c r="AK104" i="4"/>
  <c r="F104" i="4"/>
  <c r="B400" i="10"/>
  <c r="B73" i="10"/>
  <c r="B659" i="10"/>
  <c r="B722" i="10"/>
  <c r="B702" i="10"/>
  <c r="B381" i="10"/>
  <c r="B377" i="10"/>
  <c r="B375" i="10"/>
  <c r="B252" i="10"/>
  <c r="B258" i="10"/>
  <c r="B597" i="10"/>
  <c r="B206" i="10"/>
  <c r="B71" i="10"/>
  <c r="B203" i="10"/>
  <c r="B39" i="10"/>
  <c r="B165" i="10"/>
  <c r="B573" i="10"/>
  <c r="B607" i="10"/>
  <c r="B449" i="10"/>
  <c r="B519" i="10"/>
  <c r="B3" i="10"/>
  <c r="B204" i="10"/>
  <c r="B215" i="10"/>
  <c r="B355" i="10"/>
  <c r="B260" i="10"/>
  <c r="B527" i="10"/>
  <c r="B53" i="10"/>
  <c r="B129" i="10"/>
  <c r="B316" i="10"/>
  <c r="B347" i="10"/>
  <c r="B52" i="10"/>
  <c r="B477" i="10"/>
  <c r="B391" i="20"/>
  <c r="B392" i="20"/>
  <c r="G392" i="20"/>
  <c r="H391" i="20"/>
  <c r="H392" i="20"/>
  <c r="B150" i="44"/>
  <c r="B149" i="44"/>
  <c r="B148" i="44"/>
  <c r="B147" i="44"/>
  <c r="B146" i="44"/>
  <c r="B145" i="44"/>
  <c r="B144" i="44"/>
  <c r="B143" i="44"/>
  <c r="B142" i="44"/>
  <c r="B141" i="44"/>
  <c r="B140" i="44"/>
  <c r="B139" i="44"/>
  <c r="B138" i="44"/>
  <c r="B137" i="44"/>
  <c r="B136" i="44"/>
  <c r="B135" i="44"/>
  <c r="B134" i="44"/>
  <c r="B133" i="44"/>
  <c r="B132" i="44"/>
  <c r="B131" i="44"/>
  <c r="B130" i="44"/>
  <c r="B129" i="44"/>
  <c r="B128" i="44"/>
  <c r="B127" i="44"/>
  <c r="B126" i="44"/>
  <c r="B125" i="44"/>
  <c r="B124" i="44"/>
  <c r="B123" i="44"/>
  <c r="B122" i="44"/>
  <c r="B121" i="44"/>
  <c r="B120" i="44"/>
  <c r="B119" i="44"/>
  <c r="B118" i="44"/>
  <c r="B117" i="44"/>
  <c r="B116" i="44"/>
  <c r="B115" i="44"/>
  <c r="B114" i="44"/>
  <c r="B113" i="44"/>
  <c r="B112" i="44"/>
  <c r="B111" i="44"/>
  <c r="B110" i="44"/>
  <c r="B109" i="44"/>
  <c r="B108" i="44"/>
  <c r="B107" i="44"/>
  <c r="B106" i="44"/>
  <c r="B105" i="44"/>
  <c r="B104" i="44"/>
  <c r="B103" i="44"/>
  <c r="B102" i="44"/>
  <c r="B101" i="44"/>
  <c r="B100" i="44"/>
  <c r="B99" i="44"/>
  <c r="B98" i="44"/>
  <c r="B97" i="44"/>
  <c r="B96" i="44"/>
  <c r="B95" i="44"/>
  <c r="B94" i="44"/>
  <c r="B93" i="44"/>
  <c r="B92" i="44"/>
  <c r="B91" i="44"/>
  <c r="B90" i="44"/>
  <c r="B89" i="44"/>
  <c r="B88" i="44"/>
  <c r="B87" i="44"/>
  <c r="B86" i="44"/>
  <c r="B85" i="44"/>
  <c r="B84" i="44"/>
  <c r="B83" i="44"/>
  <c r="B82" i="44"/>
  <c r="B81" i="44"/>
  <c r="B80" i="44"/>
  <c r="B79" i="44"/>
  <c r="B78" i="44"/>
  <c r="B77" i="44"/>
  <c r="B76" i="44"/>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4" i="44"/>
  <c r="B3" i="44"/>
  <c r="H72" i="45"/>
  <c r="K72" i="45" s="1"/>
  <c r="C72" i="45"/>
  <c r="J71" i="45"/>
  <c r="I71" i="45"/>
  <c r="H71" i="45"/>
  <c r="G71" i="45"/>
  <c r="C71" i="45"/>
  <c r="D71" i="45" s="1"/>
  <c r="J70" i="45"/>
  <c r="I70" i="45"/>
  <c r="H70" i="45"/>
  <c r="G70" i="45"/>
  <c r="C70" i="45"/>
  <c r="D70" i="45" s="1"/>
  <c r="J69" i="45"/>
  <c r="I69" i="45"/>
  <c r="H69" i="45"/>
  <c r="G69" i="45"/>
  <c r="C69" i="45"/>
  <c r="D69" i="45" s="1"/>
  <c r="J68" i="45"/>
  <c r="I68" i="45"/>
  <c r="H68" i="45"/>
  <c r="G68" i="45"/>
  <c r="C68" i="45"/>
  <c r="D68" i="45" s="1"/>
  <c r="J67" i="45"/>
  <c r="I67" i="45"/>
  <c r="H67" i="45"/>
  <c r="G67" i="45"/>
  <c r="C67" i="45"/>
  <c r="D67" i="45" s="1"/>
  <c r="J66" i="45"/>
  <c r="I66" i="45"/>
  <c r="H66" i="45"/>
  <c r="G66" i="45"/>
  <c r="C66" i="45"/>
  <c r="D66" i="45" s="1"/>
  <c r="I65" i="45"/>
  <c r="H65" i="45"/>
  <c r="G65" i="45"/>
  <c r="C65" i="45"/>
  <c r="D65" i="45" s="1"/>
  <c r="I64" i="45"/>
  <c r="H64" i="45"/>
  <c r="G64" i="45"/>
  <c r="C64" i="45"/>
  <c r="D64" i="45"/>
  <c r="J63" i="45"/>
  <c r="I63" i="45"/>
  <c r="H63" i="45"/>
  <c r="G63" i="45"/>
  <c r="C63" i="45"/>
  <c r="D63" i="45" s="1"/>
  <c r="I62" i="45"/>
  <c r="H62" i="45"/>
  <c r="G62" i="45"/>
  <c r="C62" i="45"/>
  <c r="D62" i="45" s="1"/>
  <c r="I61" i="45"/>
  <c r="H61" i="45"/>
  <c r="G61" i="45"/>
  <c r="C61" i="45"/>
  <c r="D61" i="45" s="1"/>
  <c r="I60" i="45"/>
  <c r="H60" i="45"/>
  <c r="G60" i="45"/>
  <c r="C60" i="45"/>
  <c r="D60" i="45" s="1"/>
  <c r="I59" i="45"/>
  <c r="H59" i="45"/>
  <c r="G59" i="45"/>
  <c r="C59" i="45"/>
  <c r="D59" i="45" s="1"/>
  <c r="J58" i="45"/>
  <c r="I58" i="45"/>
  <c r="H58" i="45"/>
  <c r="G58" i="45"/>
  <c r="C58" i="45"/>
  <c r="D58" i="45" s="1"/>
  <c r="I57" i="45"/>
  <c r="H57" i="45"/>
  <c r="G57" i="45"/>
  <c r="C57" i="45"/>
  <c r="D57" i="45" s="1"/>
  <c r="I56" i="45"/>
  <c r="H56" i="45"/>
  <c r="G56" i="45"/>
  <c r="C56" i="45"/>
  <c r="D56" i="45" s="1"/>
  <c r="I55" i="45"/>
  <c r="H55" i="45"/>
  <c r="G55" i="45"/>
  <c r="C55" i="45"/>
  <c r="D55" i="45" s="1"/>
  <c r="I54" i="45"/>
  <c r="H54" i="45"/>
  <c r="K54" i="45" s="1"/>
  <c r="G54" i="45"/>
  <c r="C54" i="45"/>
  <c r="D54" i="45" s="1"/>
  <c r="J53" i="45"/>
  <c r="I53" i="45"/>
  <c r="H53" i="45"/>
  <c r="G53" i="45"/>
  <c r="C53" i="45"/>
  <c r="D53" i="45" s="1"/>
  <c r="J52" i="45"/>
  <c r="I52" i="45"/>
  <c r="H52" i="45"/>
  <c r="G52" i="45"/>
  <c r="C52" i="45"/>
  <c r="D52" i="45" s="1"/>
  <c r="I51" i="45"/>
  <c r="H51" i="45"/>
  <c r="G51" i="45"/>
  <c r="C51" i="45"/>
  <c r="D51" i="45" s="1"/>
  <c r="J50" i="45"/>
  <c r="I50" i="45"/>
  <c r="H50" i="45"/>
  <c r="G50" i="45"/>
  <c r="C50" i="45"/>
  <c r="D50" i="45" s="1"/>
  <c r="J49" i="45"/>
  <c r="I49" i="45"/>
  <c r="H49" i="45"/>
  <c r="G49" i="45"/>
  <c r="C49" i="45"/>
  <c r="D49" i="45" s="1"/>
  <c r="J48" i="45"/>
  <c r="I48" i="45"/>
  <c r="H48" i="45"/>
  <c r="G48" i="45"/>
  <c r="C48" i="45"/>
  <c r="D48" i="45" s="1"/>
  <c r="J47" i="45"/>
  <c r="I47" i="45"/>
  <c r="H47" i="45"/>
  <c r="G47" i="45"/>
  <c r="C47" i="45"/>
  <c r="D47" i="45" s="1"/>
  <c r="J46" i="45"/>
  <c r="I46" i="45"/>
  <c r="H46" i="45"/>
  <c r="G46" i="45"/>
  <c r="C46" i="45"/>
  <c r="D46" i="45" s="1"/>
  <c r="I45" i="45"/>
  <c r="H45" i="45"/>
  <c r="G45" i="45"/>
  <c r="C45" i="45"/>
  <c r="D45" i="45" s="1"/>
  <c r="I44" i="45"/>
  <c r="H44" i="45"/>
  <c r="G44" i="45"/>
  <c r="C44" i="45"/>
  <c r="D44" i="45" s="1"/>
  <c r="I43" i="45"/>
  <c r="H43" i="45"/>
  <c r="G43" i="45"/>
  <c r="C43" i="45"/>
  <c r="D43" i="45" s="1"/>
  <c r="I42" i="45"/>
  <c r="H42" i="45"/>
  <c r="G42" i="45"/>
  <c r="C42" i="45"/>
  <c r="D42" i="45" s="1"/>
  <c r="J38" i="45"/>
  <c r="I41" i="45"/>
  <c r="H41" i="45"/>
  <c r="G41" i="45"/>
  <c r="C41" i="45"/>
  <c r="D41" i="45" s="1"/>
  <c r="J42" i="45"/>
  <c r="I40" i="45"/>
  <c r="H40" i="45"/>
  <c r="G40" i="45"/>
  <c r="C40" i="45"/>
  <c r="D40" i="45" s="1"/>
  <c r="J56" i="45"/>
  <c r="I39" i="45"/>
  <c r="H39" i="45"/>
  <c r="G39" i="45"/>
  <c r="C39" i="45"/>
  <c r="D39" i="45" s="1"/>
  <c r="I38" i="45"/>
  <c r="H38" i="45"/>
  <c r="G38" i="45"/>
  <c r="C38" i="45"/>
  <c r="D38" i="45" s="1"/>
  <c r="J62" i="45"/>
  <c r="J37" i="45"/>
  <c r="I37" i="45"/>
  <c r="H37" i="45"/>
  <c r="G37" i="45"/>
  <c r="C37" i="45"/>
  <c r="D37" i="45" s="1"/>
  <c r="J65" i="45"/>
  <c r="J36" i="45"/>
  <c r="I36" i="45"/>
  <c r="H36" i="45"/>
  <c r="G36" i="45"/>
  <c r="C36" i="45"/>
  <c r="D36" i="45"/>
  <c r="J59" i="45"/>
  <c r="I35" i="45"/>
  <c r="H35" i="45"/>
  <c r="G35" i="45"/>
  <c r="C35" i="45"/>
  <c r="D35" i="45" s="1"/>
  <c r="J55" i="45"/>
  <c r="I34" i="45"/>
  <c r="H34" i="45"/>
  <c r="G34" i="45"/>
  <c r="C34" i="45"/>
  <c r="D34" i="45" s="1"/>
  <c r="J61" i="45"/>
  <c r="J33" i="45"/>
  <c r="I33" i="45"/>
  <c r="H33" i="45"/>
  <c r="G33" i="45"/>
  <c r="C33" i="45"/>
  <c r="D33" i="45" s="1"/>
  <c r="J32" i="45"/>
  <c r="I32" i="45"/>
  <c r="H32" i="45"/>
  <c r="G32" i="45"/>
  <c r="C32" i="45"/>
  <c r="D32" i="45" s="1"/>
  <c r="J4" i="45"/>
  <c r="J31" i="45"/>
  <c r="I31" i="45"/>
  <c r="H31" i="45"/>
  <c r="G31" i="45"/>
  <c r="C31" i="45"/>
  <c r="D31" i="45" s="1"/>
  <c r="J45" i="45"/>
  <c r="J30" i="45"/>
  <c r="I30" i="45"/>
  <c r="H30" i="45"/>
  <c r="G30" i="45"/>
  <c r="C30" i="45"/>
  <c r="D30" i="45" s="1"/>
  <c r="J29" i="45"/>
  <c r="I29" i="45"/>
  <c r="H29" i="45"/>
  <c r="G29" i="45"/>
  <c r="C29" i="45"/>
  <c r="D29" i="45" s="1"/>
  <c r="J41" i="45"/>
  <c r="J28" i="45"/>
  <c r="I28" i="45"/>
  <c r="H28" i="45"/>
  <c r="G28" i="45"/>
  <c r="C28" i="45"/>
  <c r="D28" i="45" s="1"/>
  <c r="I27" i="45"/>
  <c r="H27" i="45"/>
  <c r="G27" i="45"/>
  <c r="C27" i="45"/>
  <c r="D27" i="45" s="1"/>
  <c r="J24" i="45"/>
  <c r="I26" i="45"/>
  <c r="H26" i="45"/>
  <c r="G26" i="45"/>
  <c r="C26" i="45"/>
  <c r="D26" i="45" s="1"/>
  <c r="J60" i="45"/>
  <c r="I25" i="45"/>
  <c r="H25" i="45"/>
  <c r="G25" i="45"/>
  <c r="C25" i="45"/>
  <c r="D25" i="45" s="1"/>
  <c r="I24" i="45"/>
  <c r="H24" i="45"/>
  <c r="G24" i="45"/>
  <c r="C24" i="45"/>
  <c r="D24" i="45" s="1"/>
  <c r="J57" i="45"/>
  <c r="I23" i="45"/>
  <c r="H23" i="45"/>
  <c r="G23" i="45"/>
  <c r="C23" i="45"/>
  <c r="D23" i="45" s="1"/>
  <c r="J22" i="45"/>
  <c r="I22" i="45"/>
  <c r="H22" i="45"/>
  <c r="G22" i="45"/>
  <c r="C22" i="45"/>
  <c r="D22" i="45" s="1"/>
  <c r="J21" i="45"/>
  <c r="I21" i="45"/>
  <c r="H21" i="45"/>
  <c r="G21" i="45"/>
  <c r="C21" i="45"/>
  <c r="D21" i="45" s="1"/>
  <c r="J20" i="45"/>
  <c r="I20" i="45"/>
  <c r="H20" i="45"/>
  <c r="G20" i="45"/>
  <c r="C20" i="45"/>
  <c r="D20" i="45"/>
  <c r="I19" i="45"/>
  <c r="H19" i="45"/>
  <c r="G19" i="45"/>
  <c r="C19" i="45"/>
  <c r="D19" i="45" s="1"/>
  <c r="J18" i="45"/>
  <c r="I18" i="45"/>
  <c r="H18" i="45"/>
  <c r="G18" i="45"/>
  <c r="C18" i="45"/>
  <c r="D18" i="45" s="1"/>
  <c r="J54" i="45"/>
  <c r="J17" i="45"/>
  <c r="I17" i="45"/>
  <c r="H17" i="45"/>
  <c r="G17" i="45"/>
  <c r="C17" i="45"/>
  <c r="D17" i="45"/>
  <c r="I16" i="45"/>
  <c r="H16" i="45"/>
  <c r="G16" i="45"/>
  <c r="C16" i="45"/>
  <c r="D16" i="45" s="1"/>
  <c r="J40" i="45"/>
  <c r="J15" i="45"/>
  <c r="I15" i="45"/>
  <c r="H15" i="45"/>
  <c r="G15" i="45"/>
  <c r="C15" i="45"/>
  <c r="D15" i="45" s="1"/>
  <c r="J14" i="45"/>
  <c r="I14" i="45"/>
  <c r="H14" i="45"/>
  <c r="G14" i="45"/>
  <c r="C14" i="45"/>
  <c r="D14" i="45" s="1"/>
  <c r="J7" i="45"/>
  <c r="J13" i="45"/>
  <c r="I13" i="45"/>
  <c r="H13" i="45"/>
  <c r="G13" i="45"/>
  <c r="C13" i="45"/>
  <c r="D13" i="45" s="1"/>
  <c r="J27" i="45"/>
  <c r="J12" i="45"/>
  <c r="I12" i="45"/>
  <c r="H12" i="45"/>
  <c r="G12" i="45"/>
  <c r="C12" i="45"/>
  <c r="D12" i="45" s="1"/>
  <c r="J11" i="45"/>
  <c r="I11" i="45"/>
  <c r="H11" i="45"/>
  <c r="G11" i="45"/>
  <c r="C11" i="45"/>
  <c r="D11" i="45"/>
  <c r="J16" i="45"/>
  <c r="J10" i="45"/>
  <c r="I10" i="45"/>
  <c r="H10" i="45"/>
  <c r="G10" i="45"/>
  <c r="C10" i="45"/>
  <c r="D10" i="45" s="1"/>
  <c r="J64" i="45" s="1"/>
  <c r="J9" i="45"/>
  <c r="I9" i="45"/>
  <c r="H9" i="45"/>
  <c r="G9" i="45"/>
  <c r="C9" i="45"/>
  <c r="D9" i="45" s="1"/>
  <c r="J34" i="45" s="1"/>
  <c r="J43" i="45"/>
  <c r="J8" i="45"/>
  <c r="I8" i="45"/>
  <c r="H8" i="45"/>
  <c r="G8" i="45"/>
  <c r="C8" i="45"/>
  <c r="D8" i="45" s="1"/>
  <c r="J44" i="45"/>
  <c r="I7" i="45"/>
  <c r="H7" i="45"/>
  <c r="G7" i="45"/>
  <c r="C7" i="45"/>
  <c r="D7" i="45" s="1"/>
  <c r="J6" i="45"/>
  <c r="I6" i="45"/>
  <c r="H6" i="45"/>
  <c r="G6" i="45"/>
  <c r="C6" i="45"/>
  <c r="D6" i="45" s="1"/>
  <c r="J5" i="45"/>
  <c r="I5" i="45"/>
  <c r="H5" i="45"/>
  <c r="G5" i="45"/>
  <c r="C5" i="45"/>
  <c r="D5" i="45"/>
  <c r="J51" i="45"/>
  <c r="I4" i="45"/>
  <c r="H4" i="45"/>
  <c r="G4" i="45"/>
  <c r="C4" i="45"/>
  <c r="D4" i="45" s="1"/>
  <c r="J25" i="45" s="1"/>
  <c r="A5" i="40"/>
  <c r="B1" i="36"/>
  <c r="AC59" i="37"/>
  <c r="Z59" i="37" a="1"/>
  <c r="Z59" i="37" s="1"/>
  <c r="M1" i="37"/>
  <c r="J1" i="37"/>
  <c r="A1" i="37"/>
  <c r="H398" i="20"/>
  <c r="G398" i="20"/>
  <c r="B398" i="20"/>
  <c r="H397" i="20"/>
  <c r="G397" i="20"/>
  <c r="B397" i="20"/>
  <c r="H396" i="20"/>
  <c r="G396" i="20"/>
  <c r="B396" i="20"/>
  <c r="H395" i="20"/>
  <c r="G395" i="20"/>
  <c r="B395" i="20"/>
  <c r="H394" i="20"/>
  <c r="G394" i="20"/>
  <c r="B394" i="20"/>
  <c r="H393" i="20"/>
  <c r="G393" i="20"/>
  <c r="B393" i="20"/>
  <c r="H390" i="20"/>
  <c r="G390" i="20"/>
  <c r="B390" i="20"/>
  <c r="H389" i="20"/>
  <c r="G389" i="20"/>
  <c r="B389" i="20"/>
  <c r="H388" i="20"/>
  <c r="G388" i="20"/>
  <c r="B388" i="20"/>
  <c r="H387" i="20"/>
  <c r="G387" i="20"/>
  <c r="B387" i="20"/>
  <c r="H336" i="20"/>
  <c r="G336" i="20"/>
  <c r="H335" i="20"/>
  <c r="G335" i="20"/>
  <c r="H334" i="20"/>
  <c r="G334" i="20"/>
  <c r="H386" i="20"/>
  <c r="G386" i="20"/>
  <c r="H385" i="20"/>
  <c r="G385" i="20"/>
  <c r="H384" i="20"/>
  <c r="G384" i="20"/>
  <c r="H383" i="20"/>
  <c r="G383" i="20"/>
  <c r="H382" i="20"/>
  <c r="G382" i="20"/>
  <c r="H381" i="20"/>
  <c r="G381" i="20"/>
  <c r="H380" i="20"/>
  <c r="G380" i="20"/>
  <c r="H379" i="20"/>
  <c r="G379" i="20"/>
  <c r="H378" i="20"/>
  <c r="G378" i="20"/>
  <c r="H377" i="20"/>
  <c r="G377" i="20"/>
  <c r="J372" i="20"/>
  <c r="H376" i="20"/>
  <c r="G376" i="20"/>
  <c r="H375" i="20"/>
  <c r="G375" i="20"/>
  <c r="H374" i="20"/>
  <c r="G374" i="20"/>
  <c r="H373" i="20"/>
  <c r="G373" i="20"/>
  <c r="H358" i="20"/>
  <c r="G358" i="20"/>
  <c r="B358" i="20"/>
  <c r="H357" i="20"/>
  <c r="G357" i="20"/>
  <c r="B357" i="20"/>
  <c r="H356" i="20"/>
  <c r="G356" i="20"/>
  <c r="B356" i="20"/>
  <c r="H355" i="20"/>
  <c r="G355" i="20"/>
  <c r="B355" i="20"/>
  <c r="H354" i="20"/>
  <c r="G354" i="20"/>
  <c r="B354" i="20"/>
  <c r="H345" i="20"/>
  <c r="G345" i="20"/>
  <c r="B345" i="20"/>
  <c r="H344" i="20"/>
  <c r="G344" i="20"/>
  <c r="B344" i="20"/>
  <c r="H343" i="20"/>
  <c r="G343" i="20"/>
  <c r="B343" i="20"/>
  <c r="H342" i="20"/>
  <c r="G342" i="20"/>
  <c r="B342" i="20"/>
  <c r="H341" i="20"/>
  <c r="G341" i="20"/>
  <c r="B341" i="20"/>
  <c r="H353" i="20"/>
  <c r="G353" i="20"/>
  <c r="B353" i="20"/>
  <c r="H352" i="20"/>
  <c r="G352" i="20"/>
  <c r="B352" i="20"/>
  <c r="H351" i="20"/>
  <c r="G351" i="20"/>
  <c r="B351" i="20"/>
  <c r="H350" i="20"/>
  <c r="G350" i="20"/>
  <c r="B350" i="20"/>
  <c r="H349" i="20"/>
  <c r="G349" i="20"/>
  <c r="B349" i="20"/>
  <c r="H348" i="20"/>
  <c r="G348" i="20"/>
  <c r="B348" i="20"/>
  <c r="H347" i="20"/>
  <c r="G347" i="20"/>
  <c r="B347" i="20"/>
  <c r="H346" i="20"/>
  <c r="G346" i="20"/>
  <c r="B346" i="20"/>
  <c r="H372" i="20"/>
  <c r="G372" i="20"/>
  <c r="B372" i="20"/>
  <c r="H371" i="20"/>
  <c r="G371" i="20"/>
  <c r="B371" i="20"/>
  <c r="H370" i="20"/>
  <c r="G370" i="20"/>
  <c r="B370" i="20"/>
  <c r="H369" i="20"/>
  <c r="G369" i="20"/>
  <c r="B369" i="20"/>
  <c r="H368" i="20"/>
  <c r="G368" i="20"/>
  <c r="B368" i="20"/>
  <c r="H367" i="20"/>
  <c r="G367" i="20"/>
  <c r="B367" i="20"/>
  <c r="H366" i="20"/>
  <c r="G366" i="20"/>
  <c r="B366" i="20"/>
  <c r="H365" i="20"/>
  <c r="G365" i="20"/>
  <c r="B365" i="20"/>
  <c r="H364" i="20"/>
  <c r="G364" i="20"/>
  <c r="B364" i="20"/>
  <c r="H363" i="20"/>
  <c r="G363" i="20"/>
  <c r="B363" i="20"/>
  <c r="H362" i="20"/>
  <c r="G362" i="20"/>
  <c r="B362" i="20"/>
  <c r="H361" i="20"/>
  <c r="G361" i="20"/>
  <c r="B361" i="20"/>
  <c r="H360" i="20"/>
  <c r="G360" i="20"/>
  <c r="B360" i="20"/>
  <c r="H359" i="20"/>
  <c r="G359" i="20"/>
  <c r="B359" i="20"/>
  <c r="H340" i="20"/>
  <c r="G340" i="20"/>
  <c r="B340" i="20"/>
  <c r="H339" i="20"/>
  <c r="G339" i="20"/>
  <c r="B339" i="20"/>
  <c r="H338" i="20"/>
  <c r="G338" i="20"/>
  <c r="B338" i="20"/>
  <c r="H337" i="20"/>
  <c r="G337" i="20"/>
  <c r="B337" i="20"/>
  <c r="H333" i="20"/>
  <c r="G333" i="20"/>
  <c r="H332" i="20"/>
  <c r="G332" i="20"/>
  <c r="B332" i="20"/>
  <c r="H331" i="20"/>
  <c r="G331" i="20"/>
  <c r="B331" i="20"/>
  <c r="H330" i="20"/>
  <c r="G330" i="20"/>
  <c r="B330" i="20"/>
  <c r="H329" i="20"/>
  <c r="G329" i="20"/>
  <c r="B329" i="20"/>
  <c r="H328" i="20"/>
  <c r="G328" i="20"/>
  <c r="B328" i="20"/>
  <c r="H327" i="20"/>
  <c r="G327" i="20"/>
  <c r="B327" i="20"/>
  <c r="H326" i="20"/>
  <c r="G326" i="20"/>
  <c r="B326" i="20"/>
  <c r="H325" i="20"/>
  <c r="G325" i="20"/>
  <c r="B325" i="20"/>
  <c r="H324" i="20"/>
  <c r="G324" i="20"/>
  <c r="B324" i="20"/>
  <c r="H323" i="20"/>
  <c r="G323" i="20"/>
  <c r="B323" i="20"/>
  <c r="H322" i="20"/>
  <c r="G322" i="20"/>
  <c r="B322" i="20"/>
  <c r="H321" i="20"/>
  <c r="G321" i="20"/>
  <c r="B321" i="20"/>
  <c r="H320" i="20"/>
  <c r="G320" i="20"/>
  <c r="B320" i="20"/>
  <c r="H319" i="20"/>
  <c r="G319" i="20"/>
  <c r="B319" i="20"/>
  <c r="H318" i="20"/>
  <c r="G318" i="20"/>
  <c r="B318" i="20"/>
  <c r="H317" i="20"/>
  <c r="G317" i="20"/>
  <c r="B317" i="20"/>
  <c r="H316" i="20"/>
  <c r="G316" i="20"/>
  <c r="B316" i="20"/>
  <c r="H315" i="20"/>
  <c r="G315" i="20"/>
  <c r="B315" i="20"/>
  <c r="H314" i="20"/>
  <c r="G314" i="20"/>
  <c r="B314" i="20"/>
  <c r="H313" i="20"/>
  <c r="G313" i="20"/>
  <c r="B313" i="20"/>
  <c r="H312" i="20"/>
  <c r="G312" i="20"/>
  <c r="B312" i="20"/>
  <c r="H311" i="20"/>
  <c r="G311" i="20"/>
  <c r="B311" i="20"/>
  <c r="H310" i="20"/>
  <c r="G310" i="20"/>
  <c r="B310" i="20"/>
  <c r="H309" i="20"/>
  <c r="G309" i="20"/>
  <c r="B309" i="20"/>
  <c r="H308" i="20"/>
  <c r="G308" i="20"/>
  <c r="B308" i="20"/>
  <c r="H307" i="20"/>
  <c r="G307" i="20"/>
  <c r="B307" i="20"/>
  <c r="H306" i="20"/>
  <c r="G306" i="20"/>
  <c r="B306" i="20"/>
  <c r="H305" i="20"/>
  <c r="G305" i="20"/>
  <c r="B305" i="20"/>
  <c r="H304" i="20"/>
  <c r="G304" i="20"/>
  <c r="B304" i="20"/>
  <c r="H303" i="20"/>
  <c r="G303" i="20"/>
  <c r="B303" i="20"/>
  <c r="H302" i="20"/>
  <c r="G302" i="20"/>
  <c r="B302" i="20"/>
  <c r="H301" i="20"/>
  <c r="G301" i="20"/>
  <c r="B301" i="20"/>
  <c r="H300" i="20"/>
  <c r="G300" i="20"/>
  <c r="B300" i="20"/>
  <c r="H299" i="20"/>
  <c r="G299" i="20"/>
  <c r="B299" i="20"/>
  <c r="H298" i="20"/>
  <c r="G298" i="20"/>
  <c r="B298" i="20"/>
  <c r="H297" i="20"/>
  <c r="G297" i="20"/>
  <c r="B297" i="20"/>
  <c r="H296" i="20"/>
  <c r="G296" i="20"/>
  <c r="B296" i="20"/>
  <c r="H295" i="20"/>
  <c r="G295" i="20"/>
  <c r="B295" i="20"/>
  <c r="H294" i="20"/>
  <c r="G294" i="20"/>
  <c r="B294" i="20"/>
  <c r="H293" i="20"/>
  <c r="G293" i="20"/>
  <c r="B293" i="20"/>
  <c r="H292" i="20"/>
  <c r="G292" i="20"/>
  <c r="B292" i="20"/>
  <c r="H291" i="20"/>
  <c r="G291" i="20"/>
  <c r="B291" i="20"/>
  <c r="H290" i="20"/>
  <c r="G290" i="20"/>
  <c r="B290" i="20"/>
  <c r="H289" i="20"/>
  <c r="G289" i="20"/>
  <c r="B289" i="20"/>
  <c r="H288" i="20"/>
  <c r="G288" i="20"/>
  <c r="B288" i="20"/>
  <c r="H287" i="20"/>
  <c r="G287" i="20"/>
  <c r="B287" i="20"/>
  <c r="H286" i="20"/>
  <c r="G286" i="20"/>
  <c r="B286" i="20"/>
  <c r="H285" i="20"/>
  <c r="G285" i="20"/>
  <c r="B285" i="20"/>
  <c r="H284" i="20"/>
  <c r="G284" i="20"/>
  <c r="B284" i="20"/>
  <c r="H283" i="20"/>
  <c r="G283" i="20"/>
  <c r="B283" i="20"/>
  <c r="H282" i="20"/>
  <c r="G282" i="20"/>
  <c r="B282" i="20"/>
  <c r="H281" i="20"/>
  <c r="G281" i="20"/>
  <c r="B281" i="20"/>
  <c r="H280" i="20"/>
  <c r="G280" i="20"/>
  <c r="B280" i="20"/>
  <c r="H279" i="20"/>
  <c r="G279" i="20"/>
  <c r="B279" i="20"/>
  <c r="H278" i="20"/>
  <c r="G278" i="20"/>
  <c r="B278" i="20"/>
  <c r="H277" i="20"/>
  <c r="G277" i="20"/>
  <c r="B277" i="20"/>
  <c r="H276" i="20"/>
  <c r="G276" i="20"/>
  <c r="B276" i="20"/>
  <c r="H275" i="20"/>
  <c r="G275" i="20"/>
  <c r="B275" i="20"/>
  <c r="H274" i="20"/>
  <c r="G274" i="20"/>
  <c r="B274" i="20"/>
  <c r="H273" i="20"/>
  <c r="G273" i="20"/>
  <c r="B273" i="20"/>
  <c r="H272" i="20"/>
  <c r="G272" i="20"/>
  <c r="B272" i="20"/>
  <c r="H271" i="20"/>
  <c r="G271" i="20"/>
  <c r="B271" i="20"/>
  <c r="H270" i="20"/>
  <c r="G270" i="20"/>
  <c r="B270" i="20"/>
  <c r="H269" i="20"/>
  <c r="G269" i="20"/>
  <c r="B269" i="20"/>
  <c r="H268" i="20"/>
  <c r="G268" i="20"/>
  <c r="B268" i="20"/>
  <c r="H267" i="20"/>
  <c r="G267" i="20"/>
  <c r="B267" i="20"/>
  <c r="H266" i="20"/>
  <c r="G266" i="20"/>
  <c r="B266" i="20"/>
  <c r="H265" i="20"/>
  <c r="G265" i="20"/>
  <c r="B265" i="20"/>
  <c r="H264" i="20"/>
  <c r="G264" i="20"/>
  <c r="B264" i="20"/>
  <c r="H263" i="20"/>
  <c r="G263" i="20"/>
  <c r="B263" i="20"/>
  <c r="H262" i="20"/>
  <c r="G262" i="20"/>
  <c r="B262" i="20"/>
  <c r="H261" i="20"/>
  <c r="G261" i="20"/>
  <c r="B261" i="20"/>
  <c r="H260" i="20"/>
  <c r="G260" i="20"/>
  <c r="B260" i="20"/>
  <c r="H259" i="20"/>
  <c r="G259" i="20"/>
  <c r="B259" i="20"/>
  <c r="H258" i="20"/>
  <c r="G258" i="20"/>
  <c r="B258" i="20"/>
  <c r="H257" i="20"/>
  <c r="G257" i="20"/>
  <c r="B257" i="20"/>
  <c r="H256" i="20"/>
  <c r="G256" i="20"/>
  <c r="B256" i="20"/>
  <c r="H255" i="20"/>
  <c r="G255" i="20"/>
  <c r="B255" i="20"/>
  <c r="H254" i="20"/>
  <c r="G254" i="20"/>
  <c r="B254" i="20"/>
  <c r="H253" i="20"/>
  <c r="G253" i="20"/>
  <c r="B253" i="20"/>
  <c r="H252" i="20"/>
  <c r="G252" i="20"/>
  <c r="B252" i="20"/>
  <c r="H251" i="20"/>
  <c r="G251" i="20"/>
  <c r="B251" i="20"/>
  <c r="H250" i="20"/>
  <c r="G250" i="20"/>
  <c r="B250" i="20"/>
  <c r="H249" i="20"/>
  <c r="G249" i="20"/>
  <c r="B249" i="20"/>
  <c r="H248" i="20"/>
  <c r="G248" i="20"/>
  <c r="B248" i="20"/>
  <c r="H247" i="20"/>
  <c r="G247" i="20"/>
  <c r="B247" i="20"/>
  <c r="H246" i="20"/>
  <c r="G246" i="20"/>
  <c r="B246" i="20"/>
  <c r="H245" i="20"/>
  <c r="G245" i="20"/>
  <c r="B245" i="20"/>
  <c r="H242" i="20"/>
  <c r="G242" i="20"/>
  <c r="B242" i="20"/>
  <c r="H241" i="20"/>
  <c r="G241" i="20"/>
  <c r="B241" i="20"/>
  <c r="H244" i="20"/>
  <c r="G244" i="20"/>
  <c r="B244" i="20"/>
  <c r="H243" i="20"/>
  <c r="G243" i="20"/>
  <c r="B243" i="20"/>
  <c r="H240" i="20"/>
  <c r="G240" i="20"/>
  <c r="H239" i="20"/>
  <c r="G239" i="20"/>
  <c r="H238" i="20"/>
  <c r="G238" i="20"/>
  <c r="H237" i="20"/>
  <c r="G237" i="20"/>
  <c r="H234" i="20"/>
  <c r="G234" i="20"/>
  <c r="B234" i="20"/>
  <c r="H233" i="20"/>
  <c r="G233" i="20"/>
  <c r="B233" i="20"/>
  <c r="H232" i="20"/>
  <c r="G232" i="20"/>
  <c r="B232" i="20"/>
  <c r="H236" i="20"/>
  <c r="G236" i="20"/>
  <c r="B236" i="20"/>
  <c r="H235" i="20"/>
  <c r="G235" i="20"/>
  <c r="B235" i="20"/>
  <c r="H231" i="20"/>
  <c r="G231" i="20"/>
  <c r="B231" i="20"/>
  <c r="H230" i="20"/>
  <c r="G230" i="20"/>
  <c r="B230" i="20"/>
  <c r="H229" i="20"/>
  <c r="G229" i="20"/>
  <c r="H228" i="20"/>
  <c r="G228" i="20"/>
  <c r="H227" i="20"/>
  <c r="G227" i="20"/>
  <c r="H226" i="20"/>
  <c r="G226" i="20"/>
  <c r="H225" i="20"/>
  <c r="G225" i="20"/>
  <c r="H224" i="20"/>
  <c r="G224" i="20"/>
  <c r="B224" i="20"/>
  <c r="H223" i="20"/>
  <c r="G223" i="20"/>
  <c r="B223" i="20"/>
  <c r="H222" i="20"/>
  <c r="G222" i="20"/>
  <c r="B222" i="20"/>
  <c r="H221" i="20"/>
  <c r="G221" i="20"/>
  <c r="B221" i="20"/>
  <c r="H220" i="20"/>
  <c r="G220" i="20"/>
  <c r="B220" i="20"/>
  <c r="H219" i="20"/>
  <c r="G219" i="20"/>
  <c r="B219" i="20"/>
  <c r="H218" i="20"/>
  <c r="G218" i="20"/>
  <c r="B218" i="20"/>
  <c r="H217" i="20"/>
  <c r="G217" i="20"/>
  <c r="B217" i="20"/>
  <c r="H216" i="20"/>
  <c r="G216" i="20"/>
  <c r="B216" i="20"/>
  <c r="H215" i="20"/>
  <c r="G215" i="20"/>
  <c r="B215" i="20"/>
  <c r="H214" i="20"/>
  <c r="G214" i="20"/>
  <c r="B214" i="20"/>
  <c r="H213" i="20"/>
  <c r="G213" i="20"/>
  <c r="B213" i="20"/>
  <c r="H212" i="20"/>
  <c r="G212" i="20"/>
  <c r="B212" i="20"/>
  <c r="H211" i="20"/>
  <c r="G211" i="20"/>
  <c r="B211" i="20"/>
  <c r="H202" i="20"/>
  <c r="G202" i="20"/>
  <c r="B202" i="20"/>
  <c r="H201" i="20"/>
  <c r="G201" i="20"/>
  <c r="B201" i="20"/>
  <c r="H200" i="20"/>
  <c r="G200" i="20"/>
  <c r="B200" i="20"/>
  <c r="H209" i="20"/>
  <c r="G209" i="20"/>
  <c r="B209" i="20"/>
  <c r="H208" i="20"/>
  <c r="G208" i="20"/>
  <c r="B208" i="20"/>
  <c r="H207" i="20"/>
  <c r="G207" i="20"/>
  <c r="B207" i="20"/>
  <c r="H206" i="20"/>
  <c r="G206" i="20"/>
  <c r="B206" i="20"/>
  <c r="H205" i="20"/>
  <c r="G205" i="20"/>
  <c r="B205" i="20"/>
  <c r="H204" i="20"/>
  <c r="G204" i="20"/>
  <c r="B204" i="20"/>
  <c r="H203" i="20"/>
  <c r="G203" i="20"/>
  <c r="B203" i="20"/>
  <c r="H199" i="20"/>
  <c r="G199" i="20"/>
  <c r="B199" i="20"/>
  <c r="H198" i="20"/>
  <c r="G198" i="20"/>
  <c r="B198" i="20"/>
  <c r="H197" i="20"/>
  <c r="G197" i="20"/>
  <c r="B197" i="20"/>
  <c r="H196" i="20"/>
  <c r="G196" i="20"/>
  <c r="B196" i="20"/>
  <c r="H195" i="20"/>
  <c r="G195" i="20"/>
  <c r="B195" i="20"/>
  <c r="H194" i="20"/>
  <c r="G194" i="20"/>
  <c r="B194" i="20"/>
  <c r="H193" i="20"/>
  <c r="G193" i="20"/>
  <c r="B193" i="20"/>
  <c r="H192" i="20"/>
  <c r="G192" i="20"/>
  <c r="B192" i="20"/>
  <c r="H191" i="20"/>
  <c r="G191" i="20"/>
  <c r="B191" i="20"/>
  <c r="H190" i="20"/>
  <c r="G190" i="20"/>
  <c r="B190" i="20"/>
  <c r="H189" i="20"/>
  <c r="G189" i="20"/>
  <c r="B189" i="20"/>
  <c r="H188" i="20"/>
  <c r="G188" i="20"/>
  <c r="B188" i="20"/>
  <c r="H187" i="20"/>
  <c r="G187" i="20"/>
  <c r="B187" i="20"/>
  <c r="H186" i="20"/>
  <c r="G186" i="20"/>
  <c r="B186" i="20"/>
  <c r="H185" i="20"/>
  <c r="G185" i="20"/>
  <c r="B185" i="20"/>
  <c r="H184" i="20"/>
  <c r="G184" i="20"/>
  <c r="B184" i="20"/>
  <c r="H183" i="20"/>
  <c r="G183" i="20"/>
  <c r="B183" i="20"/>
  <c r="H182" i="20"/>
  <c r="G182" i="20"/>
  <c r="B182" i="20"/>
  <c r="H181" i="20"/>
  <c r="G181" i="20"/>
  <c r="B181" i="20"/>
  <c r="H180" i="20"/>
  <c r="G180" i="20"/>
  <c r="B180" i="20"/>
  <c r="H179" i="20"/>
  <c r="G179" i="20"/>
  <c r="B179" i="20"/>
  <c r="H178" i="20"/>
  <c r="G178" i="20"/>
  <c r="B178" i="20"/>
  <c r="H177" i="20"/>
  <c r="G177" i="20"/>
  <c r="B177" i="20"/>
  <c r="H176" i="20"/>
  <c r="G176" i="20"/>
  <c r="B176" i="20"/>
  <c r="H175" i="20"/>
  <c r="G175" i="20"/>
  <c r="B175" i="20"/>
  <c r="H174" i="20"/>
  <c r="G174" i="20"/>
  <c r="B174" i="20"/>
  <c r="H173" i="20"/>
  <c r="G173" i="20"/>
  <c r="B173" i="20"/>
  <c r="H172" i="20"/>
  <c r="G172" i="20"/>
  <c r="B172" i="20"/>
  <c r="H171" i="20"/>
  <c r="G171" i="20"/>
  <c r="B171" i="20"/>
  <c r="H170" i="20"/>
  <c r="G170" i="20"/>
  <c r="B170" i="20"/>
  <c r="H169" i="20"/>
  <c r="G169" i="20"/>
  <c r="B169" i="20"/>
  <c r="H168" i="20"/>
  <c r="G168" i="20"/>
  <c r="B168" i="20"/>
  <c r="H167" i="20"/>
  <c r="G167" i="20"/>
  <c r="B167" i="20"/>
  <c r="H166" i="20"/>
  <c r="G166" i="20"/>
  <c r="B166" i="20"/>
  <c r="H165" i="20"/>
  <c r="G165" i="20"/>
  <c r="B165" i="20"/>
  <c r="H164" i="20"/>
  <c r="G164" i="20"/>
  <c r="B164" i="20"/>
  <c r="H163" i="20"/>
  <c r="G163" i="20"/>
  <c r="B163" i="20"/>
  <c r="H162" i="20"/>
  <c r="G162" i="20"/>
  <c r="B162" i="20"/>
  <c r="H161" i="20"/>
  <c r="G161" i="20"/>
  <c r="B161" i="20"/>
  <c r="H160" i="20"/>
  <c r="G160" i="20"/>
  <c r="B160" i="20"/>
  <c r="H159" i="20"/>
  <c r="G159" i="20"/>
  <c r="H158" i="20"/>
  <c r="G158" i="20"/>
  <c r="H145" i="20"/>
  <c r="G145" i="20"/>
  <c r="B145" i="20"/>
  <c r="H144" i="20"/>
  <c r="G144" i="20"/>
  <c r="B144" i="20"/>
  <c r="H143" i="20"/>
  <c r="G143" i="20"/>
  <c r="B143" i="20"/>
  <c r="H142" i="20"/>
  <c r="G142" i="20"/>
  <c r="B142" i="20"/>
  <c r="H141" i="20"/>
  <c r="G141" i="20"/>
  <c r="B141" i="20"/>
  <c r="H157" i="20"/>
  <c r="G157" i="20"/>
  <c r="B157" i="20"/>
  <c r="H156" i="20"/>
  <c r="G156" i="20"/>
  <c r="B156" i="20"/>
  <c r="H155" i="20"/>
  <c r="G155" i="20"/>
  <c r="B155" i="20"/>
  <c r="H154" i="20"/>
  <c r="G154" i="20"/>
  <c r="B154" i="20"/>
  <c r="H153" i="20"/>
  <c r="G153" i="20"/>
  <c r="B153" i="20"/>
  <c r="H152" i="20"/>
  <c r="G152" i="20"/>
  <c r="B152" i="20"/>
  <c r="H151" i="20"/>
  <c r="G151" i="20"/>
  <c r="B151" i="20"/>
  <c r="H150" i="20"/>
  <c r="G150" i="20"/>
  <c r="B150" i="20"/>
  <c r="H149" i="20"/>
  <c r="G149" i="20"/>
  <c r="B149" i="20"/>
  <c r="H148" i="20"/>
  <c r="G148" i="20"/>
  <c r="B148" i="20"/>
  <c r="H147" i="20"/>
  <c r="G147" i="20"/>
  <c r="B147" i="20"/>
  <c r="H146" i="20"/>
  <c r="G146" i="20"/>
  <c r="B146" i="20"/>
  <c r="H140" i="20"/>
  <c r="G140" i="20"/>
  <c r="B140" i="20"/>
  <c r="H139" i="20"/>
  <c r="G139" i="20"/>
  <c r="B139" i="20"/>
  <c r="H138" i="20"/>
  <c r="G138" i="20"/>
  <c r="B138" i="20"/>
  <c r="H137" i="20"/>
  <c r="G137" i="20"/>
  <c r="B137" i="20"/>
  <c r="H136" i="20"/>
  <c r="G136" i="20"/>
  <c r="B136" i="20"/>
  <c r="H135" i="20"/>
  <c r="G135" i="20"/>
  <c r="B135" i="20"/>
  <c r="H134" i="20"/>
  <c r="G134" i="20"/>
  <c r="B134" i="20"/>
  <c r="H133" i="20"/>
  <c r="G133" i="20"/>
  <c r="B133" i="20"/>
  <c r="H132" i="20"/>
  <c r="G132" i="20"/>
  <c r="B132" i="20"/>
  <c r="H131" i="20"/>
  <c r="G131" i="20"/>
  <c r="B131" i="20"/>
  <c r="H130" i="20"/>
  <c r="G130" i="20"/>
  <c r="B130" i="20"/>
  <c r="H129" i="20"/>
  <c r="G129" i="20"/>
  <c r="B129" i="20"/>
  <c r="H128" i="20"/>
  <c r="G128" i="20"/>
  <c r="B128" i="20"/>
  <c r="H127" i="20"/>
  <c r="G127" i="20"/>
  <c r="K71" i="4" s="1" a="1"/>
  <c r="K71" i="4" s="1"/>
  <c r="B127" i="20"/>
  <c r="H126" i="20"/>
  <c r="G126" i="20"/>
  <c r="K11" i="4" s="1" a="1"/>
  <c r="K11" i="4" s="1"/>
  <c r="H125" i="20"/>
  <c r="G125" i="20"/>
  <c r="H124" i="20"/>
  <c r="G124" i="20"/>
  <c r="B124" i="20"/>
  <c r="H123" i="20"/>
  <c r="G123" i="20"/>
  <c r="B123" i="20"/>
  <c r="H122" i="20"/>
  <c r="G122" i="20"/>
  <c r="B122" i="20"/>
  <c r="H121" i="20"/>
  <c r="G121" i="20"/>
  <c r="B121" i="20"/>
  <c r="H120" i="20"/>
  <c r="G120" i="20"/>
  <c r="B120" i="20"/>
  <c r="H119" i="20"/>
  <c r="G119" i="20"/>
  <c r="B119" i="20"/>
  <c r="H118" i="20"/>
  <c r="G118" i="20"/>
  <c r="B118" i="20"/>
  <c r="H117" i="20"/>
  <c r="G117" i="20"/>
  <c r="B117" i="20"/>
  <c r="H116" i="20"/>
  <c r="G116" i="20"/>
  <c r="B116" i="20"/>
  <c r="H115" i="20"/>
  <c r="G115" i="20"/>
  <c r="B115" i="20"/>
  <c r="H114" i="20"/>
  <c r="G114" i="20"/>
  <c r="B114" i="20"/>
  <c r="H113" i="20"/>
  <c r="G113" i="20"/>
  <c r="B113" i="20"/>
  <c r="H112" i="20"/>
  <c r="G112" i="20"/>
  <c r="B112" i="20"/>
  <c r="H111" i="20"/>
  <c r="G111" i="20"/>
  <c r="B111" i="20"/>
  <c r="H110" i="20"/>
  <c r="G110" i="20"/>
  <c r="B110" i="20"/>
  <c r="H109" i="20"/>
  <c r="G109" i="20"/>
  <c r="H108" i="20"/>
  <c r="G108" i="20"/>
  <c r="H107" i="20"/>
  <c r="G107" i="20"/>
  <c r="B107" i="20"/>
  <c r="H106" i="20"/>
  <c r="G106" i="20"/>
  <c r="B106" i="20"/>
  <c r="H105" i="20"/>
  <c r="G105" i="20"/>
  <c r="H104" i="20"/>
  <c r="G104" i="20"/>
  <c r="H103" i="20"/>
  <c r="G103" i="20"/>
  <c r="H102" i="20"/>
  <c r="G102" i="20"/>
  <c r="B102" i="20"/>
  <c r="H101" i="20"/>
  <c r="G101" i="20"/>
  <c r="B101" i="20"/>
  <c r="H100" i="20"/>
  <c r="G100" i="20"/>
  <c r="B100" i="20"/>
  <c r="H99" i="20"/>
  <c r="G99" i="20"/>
  <c r="B99" i="20"/>
  <c r="H98" i="20"/>
  <c r="G98" i="20"/>
  <c r="B98" i="20"/>
  <c r="H97" i="20"/>
  <c r="G97" i="20"/>
  <c r="B97" i="20"/>
  <c r="H96" i="20"/>
  <c r="G96" i="20"/>
  <c r="B96" i="20"/>
  <c r="H95" i="20"/>
  <c r="G95" i="20"/>
  <c r="B95" i="20"/>
  <c r="H94" i="20"/>
  <c r="G94" i="20"/>
  <c r="B94" i="20"/>
  <c r="H93" i="20"/>
  <c r="G93" i="20"/>
  <c r="B93" i="20"/>
  <c r="H92" i="20"/>
  <c r="G92" i="20"/>
  <c r="B92" i="20"/>
  <c r="H89" i="20"/>
  <c r="G89" i="20"/>
  <c r="B89" i="20"/>
  <c r="H88" i="20"/>
  <c r="G88" i="20"/>
  <c r="B88" i="20"/>
  <c r="H87" i="20"/>
  <c r="G87" i="20"/>
  <c r="H86" i="20"/>
  <c r="G86" i="20"/>
  <c r="H91" i="20"/>
  <c r="G91" i="20"/>
  <c r="H90" i="20"/>
  <c r="G90" i="20"/>
  <c r="K55" i="4" s="1" a="1"/>
  <c r="K55" i="4" s="1"/>
  <c r="H85" i="20"/>
  <c r="G85" i="20"/>
  <c r="H84" i="20"/>
  <c r="G84" i="20"/>
  <c r="H83" i="20"/>
  <c r="G83" i="20"/>
  <c r="B83" i="20"/>
  <c r="H82" i="20"/>
  <c r="G82" i="20"/>
  <c r="B82" i="20"/>
  <c r="H81" i="20"/>
  <c r="G81" i="20"/>
  <c r="B81" i="20"/>
  <c r="H80" i="20"/>
  <c r="G80" i="20"/>
  <c r="B80" i="20"/>
  <c r="H79" i="20"/>
  <c r="G79" i="20"/>
  <c r="H78" i="20"/>
  <c r="G78" i="20"/>
  <c r="H77" i="20"/>
  <c r="G77" i="20"/>
  <c r="H76" i="20"/>
  <c r="G76" i="20"/>
  <c r="B76" i="20"/>
  <c r="H75" i="20"/>
  <c r="G75" i="20"/>
  <c r="B75" i="20"/>
  <c r="H74" i="20"/>
  <c r="G74" i="20"/>
  <c r="H73" i="20"/>
  <c r="G73" i="20"/>
  <c r="H72" i="20"/>
  <c r="G72" i="20"/>
  <c r="H71" i="20"/>
  <c r="G71" i="20"/>
  <c r="B71" i="20"/>
  <c r="H70" i="20"/>
  <c r="G70" i="20"/>
  <c r="B70" i="20"/>
  <c r="H69" i="20"/>
  <c r="G69" i="20"/>
  <c r="B69" i="20"/>
  <c r="H68" i="20"/>
  <c r="G68" i="20"/>
  <c r="B68" i="20"/>
  <c r="H67" i="20"/>
  <c r="G67" i="20"/>
  <c r="B67" i="20"/>
  <c r="H66" i="20"/>
  <c r="G66" i="20"/>
  <c r="B66" i="20"/>
  <c r="H65" i="20"/>
  <c r="G65" i="20"/>
  <c r="B65" i="20"/>
  <c r="H64" i="20"/>
  <c r="G64" i="20"/>
  <c r="B64" i="20"/>
  <c r="H63" i="20"/>
  <c r="G63" i="20"/>
  <c r="B63" i="20"/>
  <c r="H62" i="20"/>
  <c r="G62" i="20"/>
  <c r="B62" i="20"/>
  <c r="H61" i="20"/>
  <c r="G61" i="20"/>
  <c r="B61" i="20"/>
  <c r="H60" i="20"/>
  <c r="G60" i="20"/>
  <c r="B60" i="20"/>
  <c r="H59" i="20"/>
  <c r="G59" i="20"/>
  <c r="B59" i="20"/>
  <c r="H58" i="20"/>
  <c r="G58" i="20"/>
  <c r="K31" i="4" s="1" a="1"/>
  <c r="K31" i="4" s="1"/>
  <c r="B58" i="20"/>
  <c r="H57" i="20"/>
  <c r="G57" i="20"/>
  <c r="B57" i="20"/>
  <c r="H56" i="20"/>
  <c r="G56" i="20"/>
  <c r="B56" i="20"/>
  <c r="H55" i="20"/>
  <c r="G55" i="20"/>
  <c r="B55" i="20"/>
  <c r="H54" i="20"/>
  <c r="G54" i="20"/>
  <c r="B54" i="20"/>
  <c r="H53" i="20"/>
  <c r="G53" i="20"/>
  <c r="B53" i="20"/>
  <c r="H52" i="20"/>
  <c r="G52" i="20"/>
  <c r="B52" i="20"/>
  <c r="H51" i="20"/>
  <c r="G51" i="20"/>
  <c r="B51" i="20"/>
  <c r="H50" i="20"/>
  <c r="G50" i="20"/>
  <c r="B50" i="20"/>
  <c r="H49" i="20"/>
  <c r="G49" i="20"/>
  <c r="B49" i="20"/>
  <c r="H48" i="20"/>
  <c r="G48" i="20"/>
  <c r="B48" i="20"/>
  <c r="H47" i="20"/>
  <c r="G47" i="20"/>
  <c r="B47" i="20"/>
  <c r="H46" i="20"/>
  <c r="G46" i="20"/>
  <c r="B46" i="20"/>
  <c r="H45" i="20"/>
  <c r="G45" i="20"/>
  <c r="B45" i="20"/>
  <c r="H44" i="20"/>
  <c r="G44" i="20"/>
  <c r="H43" i="20"/>
  <c r="G43" i="20"/>
  <c r="H42" i="20"/>
  <c r="G42" i="20"/>
  <c r="H41" i="20"/>
  <c r="G41" i="20"/>
  <c r="H40" i="20"/>
  <c r="G40" i="20"/>
  <c r="K25" i="4" s="1" a="1"/>
  <c r="K25" i="4" s="1"/>
  <c r="B40" i="20"/>
  <c r="H39" i="20"/>
  <c r="G39" i="20"/>
  <c r="B39" i="20"/>
  <c r="H38" i="20"/>
  <c r="G38" i="20"/>
  <c r="B38" i="20"/>
  <c r="H37" i="20"/>
  <c r="G37" i="20"/>
  <c r="B37" i="20"/>
  <c r="H36" i="20"/>
  <c r="G36" i="20"/>
  <c r="B36" i="20"/>
  <c r="H35" i="20"/>
  <c r="G35" i="20"/>
  <c r="B35" i="20"/>
  <c r="H34" i="20"/>
  <c r="G34" i="20"/>
  <c r="B34" i="20"/>
  <c r="H33" i="20"/>
  <c r="G33" i="20"/>
  <c r="B33" i="20"/>
  <c r="H32" i="20"/>
  <c r="G32" i="20"/>
  <c r="B32" i="20"/>
  <c r="H31" i="20"/>
  <c r="G31" i="20"/>
  <c r="B31" i="20"/>
  <c r="H30" i="20"/>
  <c r="G30" i="20"/>
  <c r="B30" i="20"/>
  <c r="H29" i="20"/>
  <c r="G29" i="20"/>
  <c r="B29" i="20"/>
  <c r="H28" i="20"/>
  <c r="G28" i="20"/>
  <c r="B28" i="20"/>
  <c r="H27" i="20"/>
  <c r="G27" i="20"/>
  <c r="B27" i="20"/>
  <c r="H26" i="20"/>
  <c r="G26" i="20"/>
  <c r="B26" i="20"/>
  <c r="H25" i="20"/>
  <c r="G25" i="20"/>
  <c r="B25" i="20"/>
  <c r="H24" i="20"/>
  <c r="G24" i="20"/>
  <c r="B24" i="20"/>
  <c r="H23" i="20"/>
  <c r="G23" i="20"/>
  <c r="B23" i="20"/>
  <c r="H22" i="20"/>
  <c r="G22" i="20"/>
  <c r="B22" i="20"/>
  <c r="H21" i="20"/>
  <c r="G21" i="20"/>
  <c r="H20" i="20"/>
  <c r="G20" i="20"/>
  <c r="H19" i="20"/>
  <c r="G19" i="20"/>
  <c r="H18" i="20"/>
  <c r="G18" i="20"/>
  <c r="H17" i="20"/>
  <c r="G17" i="20"/>
  <c r="H16" i="20"/>
  <c r="G16" i="20"/>
  <c r="B16" i="20"/>
  <c r="H15" i="20"/>
  <c r="G15" i="20"/>
  <c r="B15" i="20"/>
  <c r="H14" i="20"/>
  <c r="G14" i="20"/>
  <c r="B14" i="20"/>
  <c r="H13" i="20"/>
  <c r="G13" i="20"/>
  <c r="B13" i="20"/>
  <c r="H12" i="20"/>
  <c r="G12" i="20"/>
  <c r="B12" i="20"/>
  <c r="H11" i="20"/>
  <c r="G11" i="20"/>
  <c r="B11" i="20"/>
  <c r="H10" i="20"/>
  <c r="G10" i="20"/>
  <c r="B10" i="20"/>
  <c r="H9" i="20"/>
  <c r="G9" i="20"/>
  <c r="B9" i="20"/>
  <c r="H8" i="20"/>
  <c r="G8" i="20"/>
  <c r="B8" i="20"/>
  <c r="H7" i="20"/>
  <c r="G7" i="20"/>
  <c r="K10" i="4" s="1" a="1"/>
  <c r="K10" i="4" s="1"/>
  <c r="B7" i="20"/>
  <c r="H6" i="20"/>
  <c r="G6" i="20"/>
  <c r="B6" i="20"/>
  <c r="H5" i="20"/>
  <c r="G5" i="20"/>
  <c r="B5" i="20"/>
  <c r="H4" i="20"/>
  <c r="G4" i="20"/>
  <c r="B4" i="20"/>
  <c r="H3" i="20"/>
  <c r="G3" i="20"/>
  <c r="B3" i="20"/>
  <c r="H2" i="20"/>
  <c r="G2" i="20"/>
  <c r="B2" i="20"/>
  <c r="A265" i="19"/>
  <c r="A264" i="19"/>
  <c r="A263" i="19"/>
  <c r="A262" i="19"/>
  <c r="A261" i="19"/>
  <c r="A260" i="19"/>
  <c r="A259" i="19"/>
  <c r="A258" i="19"/>
  <c r="A257" i="19"/>
  <c r="I256" i="19"/>
  <c r="A256" i="19"/>
  <c r="I255" i="19"/>
  <c r="A255" i="19"/>
  <c r="I254" i="19"/>
  <c r="A254" i="19"/>
  <c r="I253" i="19"/>
  <c r="A253" i="19"/>
  <c r="I252" i="19"/>
  <c r="A252" i="19"/>
  <c r="I251" i="19"/>
  <c r="A251" i="19"/>
  <c r="I250" i="19"/>
  <c r="A250" i="19"/>
  <c r="I249" i="19"/>
  <c r="A249" i="19"/>
  <c r="I248" i="19"/>
  <c r="A248" i="19"/>
  <c r="I247" i="19"/>
  <c r="A247" i="19"/>
  <c r="I246" i="19"/>
  <c r="A246" i="19"/>
  <c r="I245" i="19"/>
  <c r="A245" i="19"/>
  <c r="I244" i="19"/>
  <c r="A244" i="19"/>
  <c r="I243" i="19"/>
  <c r="A243" i="19"/>
  <c r="I242" i="19"/>
  <c r="A242" i="19"/>
  <c r="I241" i="19"/>
  <c r="A241" i="19"/>
  <c r="I240" i="19"/>
  <c r="A240" i="19"/>
  <c r="I239" i="19"/>
  <c r="A239" i="19"/>
  <c r="I238" i="19"/>
  <c r="A238" i="19"/>
  <c r="I237" i="19"/>
  <c r="A237" i="19"/>
  <c r="I236" i="19"/>
  <c r="A236" i="19"/>
  <c r="I235" i="19"/>
  <c r="A235" i="19"/>
  <c r="I234" i="19"/>
  <c r="A234" i="19"/>
  <c r="I233" i="19"/>
  <c r="A233" i="19"/>
  <c r="I232" i="19"/>
  <c r="A232" i="19"/>
  <c r="I231" i="19"/>
  <c r="A231" i="19"/>
  <c r="I230" i="19"/>
  <c r="A230" i="19"/>
  <c r="I229" i="19"/>
  <c r="A229" i="19"/>
  <c r="I228" i="19"/>
  <c r="A228" i="19"/>
  <c r="I227" i="19"/>
  <c r="A227" i="19"/>
  <c r="I226" i="19"/>
  <c r="A226" i="19"/>
  <c r="I225" i="19"/>
  <c r="A225" i="19"/>
  <c r="I224" i="19"/>
  <c r="A224" i="19"/>
  <c r="I223" i="19"/>
  <c r="A223" i="19"/>
  <c r="I222" i="19"/>
  <c r="A222" i="19"/>
  <c r="I221" i="19"/>
  <c r="A221" i="19"/>
  <c r="I220" i="19"/>
  <c r="A220" i="19"/>
  <c r="I219" i="19"/>
  <c r="A219" i="19"/>
  <c r="I218" i="19"/>
  <c r="A218" i="19"/>
  <c r="I217" i="19"/>
  <c r="A217" i="19"/>
  <c r="I216" i="19"/>
  <c r="A216" i="19"/>
  <c r="I215" i="19"/>
  <c r="A215" i="19"/>
  <c r="I214" i="19"/>
  <c r="A214" i="19"/>
  <c r="I213" i="19"/>
  <c r="A213" i="19"/>
  <c r="I212" i="19"/>
  <c r="A212" i="19"/>
  <c r="I211" i="19"/>
  <c r="A211" i="19"/>
  <c r="I210" i="19"/>
  <c r="A210" i="19"/>
  <c r="I209" i="19"/>
  <c r="A209" i="19"/>
  <c r="I208" i="19"/>
  <c r="A208" i="19"/>
  <c r="I207" i="19"/>
  <c r="A207" i="19"/>
  <c r="I206" i="19"/>
  <c r="A206" i="19"/>
  <c r="I205" i="19"/>
  <c r="A205" i="19"/>
  <c r="I204" i="19"/>
  <c r="A204" i="19"/>
  <c r="I203" i="19"/>
  <c r="A203" i="19"/>
  <c r="I202" i="19"/>
  <c r="A202" i="19"/>
  <c r="I201" i="19"/>
  <c r="A201" i="19"/>
  <c r="I200" i="19"/>
  <c r="A200" i="19"/>
  <c r="I199" i="19"/>
  <c r="A199" i="19"/>
  <c r="I198" i="19"/>
  <c r="A198" i="19"/>
  <c r="I197" i="19"/>
  <c r="A197" i="19"/>
  <c r="I196" i="19"/>
  <c r="A196" i="19"/>
  <c r="I195" i="19"/>
  <c r="A195" i="19"/>
  <c r="I194" i="19"/>
  <c r="A194" i="19"/>
  <c r="I193" i="19"/>
  <c r="A193" i="19"/>
  <c r="I192" i="19"/>
  <c r="A192" i="19"/>
  <c r="I191" i="19"/>
  <c r="A191" i="19"/>
  <c r="I190" i="19"/>
  <c r="A190" i="19"/>
  <c r="I189" i="19"/>
  <c r="A189" i="19"/>
  <c r="I188" i="19"/>
  <c r="A188" i="19"/>
  <c r="I187" i="19"/>
  <c r="A187" i="19"/>
  <c r="I186" i="19"/>
  <c r="A186" i="19"/>
  <c r="I185" i="19"/>
  <c r="A185" i="19"/>
  <c r="I184" i="19"/>
  <c r="A184" i="19"/>
  <c r="I183" i="19"/>
  <c r="A183" i="19"/>
  <c r="I182" i="19"/>
  <c r="A182" i="19"/>
  <c r="I181" i="19"/>
  <c r="A181" i="19"/>
  <c r="I180" i="19"/>
  <c r="A180" i="19"/>
  <c r="I179" i="19"/>
  <c r="A179" i="19"/>
  <c r="I178" i="19"/>
  <c r="A178" i="19"/>
  <c r="I177" i="19"/>
  <c r="A177" i="19"/>
  <c r="I176" i="19"/>
  <c r="A176" i="19"/>
  <c r="I175" i="19"/>
  <c r="A175" i="19"/>
  <c r="I174" i="19"/>
  <c r="A174" i="19"/>
  <c r="I173" i="19"/>
  <c r="A173" i="19"/>
  <c r="I172" i="19"/>
  <c r="A172" i="19"/>
  <c r="I171" i="19"/>
  <c r="A171" i="19"/>
  <c r="I170" i="19"/>
  <c r="A170" i="19"/>
  <c r="I169"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D34" i="19"/>
  <c r="Y34" i="19"/>
  <c r="J34" i="19"/>
  <c r="A65" i="19"/>
  <c r="AD40" i="19"/>
  <c r="Y40" i="19"/>
  <c r="J40" i="19"/>
  <c r="A64" i="19"/>
  <c r="AD52" i="19"/>
  <c r="Y52" i="19"/>
  <c r="J52" i="19"/>
  <c r="A63" i="19"/>
  <c r="AD38" i="19"/>
  <c r="Y38" i="19"/>
  <c r="J38" i="19"/>
  <c r="A62" i="19"/>
  <c r="AD47" i="19"/>
  <c r="Y47" i="19"/>
  <c r="AC47" i="19" s="1" a="1"/>
  <c r="AC47" i="19" s="1"/>
  <c r="J47" i="19"/>
  <c r="A61" i="19"/>
  <c r="AD46" i="19"/>
  <c r="Y46" i="19"/>
  <c r="J46" i="19"/>
  <c r="A60" i="19"/>
  <c r="AD36" i="19"/>
  <c r="Y36" i="19"/>
  <c r="J36" i="19"/>
  <c r="A59" i="19"/>
  <c r="AD39" i="19"/>
  <c r="Y39" i="19"/>
  <c r="J39" i="19"/>
  <c r="A58" i="19"/>
  <c r="AD31" i="19"/>
  <c r="Y31" i="19"/>
  <c r="J31" i="19"/>
  <c r="A57" i="19"/>
  <c r="AD54" i="19"/>
  <c r="Y54" i="19"/>
  <c r="J54" i="19"/>
  <c r="A56" i="19"/>
  <c r="AD51" i="19"/>
  <c r="Y51" i="19"/>
  <c r="AC51" i="19" s="1" a="1"/>
  <c r="AC51" i="19" s="1"/>
  <c r="J51" i="19"/>
  <c r="A55" i="19"/>
  <c r="AD19" i="19"/>
  <c r="Y19" i="19"/>
  <c r="J19" i="19"/>
  <c r="A54" i="19"/>
  <c r="AD35" i="19"/>
  <c r="Y35" i="19"/>
  <c r="J35" i="19"/>
  <c r="A53" i="19"/>
  <c r="AD41" i="19"/>
  <c r="Y41" i="19"/>
  <c r="J41" i="19"/>
  <c r="A52" i="19"/>
  <c r="AD33" i="19"/>
  <c r="Y33" i="19"/>
  <c r="J33" i="19"/>
  <c r="A51" i="19"/>
  <c r="AD32" i="19"/>
  <c r="Y32" i="19"/>
  <c r="J32" i="19"/>
  <c r="A50" i="19"/>
  <c r="AD49" i="19"/>
  <c r="Y49" i="19"/>
  <c r="AC49" i="19" s="1" a="1"/>
  <c r="AC49" i="19" s="1"/>
  <c r="J49" i="19"/>
  <c r="A49" i="19"/>
  <c r="AD20" i="19"/>
  <c r="Y20" i="19"/>
  <c r="J20" i="19"/>
  <c r="A48" i="19"/>
  <c r="AD50" i="19"/>
  <c r="Y50" i="19"/>
  <c r="AC50" i="19" s="1" a="1"/>
  <c r="AC50" i="19" s="1"/>
  <c r="J50" i="19"/>
  <c r="A47" i="19"/>
  <c r="AD43" i="19"/>
  <c r="Y43" i="19"/>
  <c r="J43" i="19"/>
  <c r="A46" i="19"/>
  <c r="AD55" i="19"/>
  <c r="Y55" i="19"/>
  <c r="J55" i="19"/>
  <c r="A45" i="19"/>
  <c r="AD57" i="19"/>
  <c r="Y57" i="19"/>
  <c r="J57" i="19"/>
  <c r="A44" i="19"/>
  <c r="AD37" i="19"/>
  <c r="Y37" i="19"/>
  <c r="J37" i="19"/>
  <c r="A43" i="19"/>
  <c r="AD53" i="19"/>
  <c r="Y53" i="19"/>
  <c r="J53" i="19"/>
  <c r="A42" i="19"/>
  <c r="AD58" i="19"/>
  <c r="Y58" i="19"/>
  <c r="J58" i="19"/>
  <c r="A41" i="19"/>
  <c r="AD56" i="19"/>
  <c r="Y56" i="19"/>
  <c r="J56" i="19"/>
  <c r="AG57" i="19" s="1"/>
  <c r="A40" i="19"/>
  <c r="AD59" i="19"/>
  <c r="Y59" i="19"/>
  <c r="J59" i="19"/>
  <c r="A39" i="19"/>
  <c r="AD60" i="19"/>
  <c r="Y60" i="19"/>
  <c r="J60" i="19"/>
  <c r="AG60" i="19" s="1"/>
  <c r="A38" i="19"/>
  <c r="AD62" i="19"/>
  <c r="Y62" i="19"/>
  <c r="A37" i="19"/>
  <c r="A36" i="19"/>
  <c r="AD45" i="19"/>
  <c r="Y45" i="19"/>
  <c r="J45" i="19"/>
  <c r="A35" i="19"/>
  <c r="A34" i="19"/>
  <c r="AD48" i="19"/>
  <c r="Y48" i="19"/>
  <c r="J48" i="19"/>
  <c r="A33" i="19"/>
  <c r="AD42" i="19"/>
  <c r="Y42" i="19"/>
  <c r="J42" i="19"/>
  <c r="A32" i="19"/>
  <c r="A31" i="19"/>
  <c r="AD29" i="19"/>
  <c r="Y29" i="19"/>
  <c r="AC29" i="19" s="1" a="1"/>
  <c r="AC29" i="19" s="1"/>
  <c r="J29" i="19"/>
  <c r="AG29" i="19" s="1"/>
  <c r="A30" i="19"/>
  <c r="AD30" i="19"/>
  <c r="Y30" i="19"/>
  <c r="J30" i="19"/>
  <c r="A29" i="19"/>
  <c r="AD27" i="19"/>
  <c r="Y27" i="19"/>
  <c r="AC27" i="19" s="1" a="1"/>
  <c r="AC27" i="19" s="1"/>
  <c r="J27" i="19"/>
  <c r="A28" i="19"/>
  <c r="AD28" i="19"/>
  <c r="Y28" i="19"/>
  <c r="AC28" i="19" s="1" a="1"/>
  <c r="AC28" i="19" s="1"/>
  <c r="J28" i="19"/>
  <c r="A27" i="19"/>
  <c r="AD26" i="19"/>
  <c r="Y26" i="19"/>
  <c r="AC26" i="19" s="1" a="1"/>
  <c r="AC26" i="19" s="1"/>
  <c r="J26" i="19"/>
  <c r="A26" i="19"/>
  <c r="AD25" i="19"/>
  <c r="Y25" i="19"/>
  <c r="J25" i="19"/>
  <c r="A25" i="19"/>
  <c r="AD24" i="19"/>
  <c r="Y24" i="19"/>
  <c r="J24" i="19"/>
  <c r="A24" i="19"/>
  <c r="AD22" i="19"/>
  <c r="Y22" i="19"/>
  <c r="J22" i="19"/>
  <c r="A23" i="19"/>
  <c r="AD23" i="19"/>
  <c r="Y23" i="19"/>
  <c r="J23" i="19"/>
  <c r="AG23" i="19" s="1"/>
  <c r="A22" i="19"/>
  <c r="AD21" i="19"/>
  <c r="Y21" i="19"/>
  <c r="J21" i="19"/>
  <c r="A21" i="19"/>
  <c r="AD44" i="19"/>
  <c r="Y44" i="19"/>
  <c r="J44" i="19"/>
  <c r="A20" i="19"/>
  <c r="AD61" i="19"/>
  <c r="Y61" i="19"/>
  <c r="J61" i="19"/>
  <c r="A19" i="19"/>
  <c r="AD18" i="19"/>
  <c r="Y18" i="19"/>
  <c r="J18" i="19"/>
  <c r="A18" i="19"/>
  <c r="AD17" i="19"/>
  <c r="Y17" i="19"/>
  <c r="J17" i="19"/>
  <c r="A17" i="19"/>
  <c r="AD16" i="19"/>
  <c r="Y16" i="19"/>
  <c r="J16" i="19"/>
  <c r="A16" i="19"/>
  <c r="AD15" i="19"/>
  <c r="Y15" i="19"/>
  <c r="J15" i="19"/>
  <c r="A15" i="19"/>
  <c r="AD14" i="19"/>
  <c r="Y14" i="19"/>
  <c r="AC14" i="19" s="1" a="1"/>
  <c r="AC14" i="19" s="1"/>
  <c r="J14" i="19"/>
  <c r="A14" i="19"/>
  <c r="AD13" i="19"/>
  <c r="Y13" i="19"/>
  <c r="AC13" i="19" s="1" a="1"/>
  <c r="AC13" i="19" s="1"/>
  <c r="J13" i="19"/>
  <c r="A13" i="19"/>
  <c r="AD12" i="19"/>
  <c r="Y12" i="19"/>
  <c r="AC12" i="19" s="1" a="1"/>
  <c r="AC12" i="19" s="1"/>
  <c r="J12" i="19"/>
  <c r="A12" i="19"/>
  <c r="AD11" i="19"/>
  <c r="Y11" i="19"/>
  <c r="J11" i="19"/>
  <c r="A11" i="19"/>
  <c r="AD9" i="19"/>
  <c r="Y9" i="19"/>
  <c r="J9" i="19"/>
  <c r="A10" i="19"/>
  <c r="AD10" i="19"/>
  <c r="Y10" i="19"/>
  <c r="J10" i="19"/>
  <c r="A9" i="19"/>
  <c r="AD8" i="19"/>
  <c r="Y8" i="19"/>
  <c r="J8" i="19"/>
  <c r="A8" i="19"/>
  <c r="AD7" i="19"/>
  <c r="Y7" i="19"/>
  <c r="AC7" i="19" s="1" a="1"/>
  <c r="AC7" i="19" s="1"/>
  <c r="J7" i="19"/>
  <c r="A7" i="19"/>
  <c r="AD6" i="19"/>
  <c r="Y6" i="19"/>
  <c r="J6" i="19"/>
  <c r="A6" i="19"/>
  <c r="B289" i="10"/>
  <c r="B538" i="10"/>
  <c r="B557" i="10"/>
  <c r="B626" i="10"/>
  <c r="B281" i="10"/>
  <c r="B457" i="10"/>
  <c r="B401" i="10"/>
  <c r="B58" i="10"/>
  <c r="B135" i="10"/>
  <c r="B67" i="10"/>
  <c r="B562" i="10"/>
  <c r="B253" i="10"/>
  <c r="B658" i="10"/>
  <c r="B505" i="10"/>
  <c r="B179" i="10"/>
  <c r="B665" i="10"/>
  <c r="B729" i="10"/>
  <c r="B161" i="10"/>
  <c r="B622" i="10"/>
  <c r="B731" i="10"/>
  <c r="B430" i="10"/>
  <c r="B372" i="10"/>
  <c r="B627" i="10"/>
  <c r="B463" i="10"/>
  <c r="B461" i="10"/>
  <c r="B526" i="10"/>
  <c r="B501" i="10"/>
  <c r="B251" i="10"/>
  <c r="B211" i="10"/>
  <c r="B302" i="10"/>
  <c r="B118" i="10"/>
  <c r="B608" i="10"/>
  <c r="B628" i="10"/>
  <c r="B415" i="10"/>
  <c r="B234" i="10"/>
  <c r="B531" i="10"/>
  <c r="B574" i="10"/>
  <c r="B189" i="10"/>
  <c r="B679" i="10"/>
  <c r="B619" i="10"/>
  <c r="B132" i="10"/>
  <c r="B346" i="10"/>
  <c r="B469" i="10"/>
  <c r="B655" i="10"/>
  <c r="B90" i="10"/>
  <c r="B327" i="10"/>
  <c r="B152" i="10"/>
  <c r="B582" i="10"/>
  <c r="B110" i="10"/>
  <c r="B587" i="10"/>
  <c r="B652" i="10"/>
  <c r="B599" i="10"/>
  <c r="B407" i="10"/>
  <c r="B730" i="10"/>
  <c r="B426" i="10"/>
  <c r="B191" i="10"/>
  <c r="B157" i="10"/>
  <c r="B83" i="10"/>
  <c r="B326" i="10"/>
  <c r="B472" i="10"/>
  <c r="B698" i="10"/>
  <c r="B403" i="10"/>
  <c r="B389" i="10"/>
  <c r="B410" i="10"/>
  <c r="B102" i="10"/>
  <c r="B85" i="10"/>
  <c r="B235" i="10"/>
  <c r="B382" i="10"/>
  <c r="B510" i="10"/>
  <c r="B197" i="10"/>
  <c r="B494" i="10"/>
  <c r="B222" i="10"/>
  <c r="B322" i="10"/>
  <c r="B19" i="10"/>
  <c r="B307" i="10"/>
  <c r="B455" i="10"/>
  <c r="B108" i="10"/>
  <c r="B156" i="10"/>
  <c r="B732" i="10"/>
  <c r="B714" i="10"/>
  <c r="B708" i="10"/>
  <c r="B707" i="10"/>
  <c r="B688" i="10"/>
  <c r="B686" i="10"/>
  <c r="B672" i="10"/>
  <c r="B656" i="10"/>
  <c r="B640" i="10"/>
  <c r="B618" i="10"/>
  <c r="B615" i="10"/>
  <c r="B610" i="10"/>
  <c r="B590" i="10"/>
  <c r="B589" i="10"/>
  <c r="B577" i="10"/>
  <c r="B514" i="10"/>
  <c r="B497" i="10"/>
  <c r="B486" i="10"/>
  <c r="B473" i="10"/>
  <c r="B466" i="10"/>
  <c r="B465" i="10"/>
  <c r="B456" i="10"/>
  <c r="B451" i="10"/>
  <c r="B436" i="10"/>
  <c r="B427" i="10"/>
  <c r="B350" i="10"/>
  <c r="B321" i="10"/>
  <c r="B286" i="10"/>
  <c r="B273" i="10"/>
  <c r="B259" i="10"/>
  <c r="B248" i="10"/>
  <c r="B200" i="10"/>
  <c r="B193" i="10"/>
  <c r="B172" i="10"/>
  <c r="B143" i="10"/>
  <c r="B96" i="10"/>
  <c r="B61" i="10"/>
  <c r="B35" i="10"/>
  <c r="B23" i="10"/>
  <c r="B16" i="10"/>
  <c r="B169" i="10"/>
  <c r="B31" i="10"/>
  <c r="B602" i="10"/>
  <c r="B6" i="10"/>
  <c r="B566" i="10"/>
  <c r="B507" i="10"/>
  <c r="B339" i="10"/>
  <c r="B256" i="10"/>
  <c r="B214" i="10"/>
  <c r="B719" i="10"/>
  <c r="B692" i="10"/>
  <c r="B681" i="10"/>
  <c r="B680" i="10"/>
  <c r="B669" i="10"/>
  <c r="B636" i="10"/>
  <c r="B613" i="10"/>
  <c r="B591" i="10"/>
  <c r="B561" i="10"/>
  <c r="B553" i="10"/>
  <c r="B537" i="10"/>
  <c r="B536" i="10"/>
  <c r="B534" i="10"/>
  <c r="B504" i="10"/>
  <c r="B503" i="10"/>
  <c r="B502" i="10"/>
  <c r="B487" i="10"/>
  <c r="B480" i="10"/>
  <c r="B478" i="10"/>
  <c r="B475" i="10"/>
  <c r="B454" i="10"/>
  <c r="B453" i="10"/>
  <c r="B446" i="10"/>
  <c r="B434" i="10"/>
  <c r="B404" i="10"/>
  <c r="B394" i="10"/>
  <c r="B388" i="10"/>
  <c r="B385" i="10"/>
  <c r="B362" i="10"/>
  <c r="B359" i="10"/>
  <c r="B354" i="10"/>
  <c r="B353" i="10"/>
  <c r="B323" i="10"/>
  <c r="B314" i="10"/>
  <c r="B313" i="10"/>
  <c r="B306" i="10"/>
  <c r="B297" i="10"/>
  <c r="B291" i="10"/>
  <c r="B263" i="10"/>
  <c r="B247" i="10"/>
  <c r="B245" i="10"/>
  <c r="B230" i="10"/>
  <c r="B229" i="10"/>
  <c r="B221" i="10"/>
  <c r="B218" i="10"/>
  <c r="B213" i="10"/>
  <c r="B212" i="10"/>
  <c r="B185" i="10"/>
  <c r="B160" i="10"/>
  <c r="B134" i="10"/>
  <c r="B122" i="10"/>
  <c r="B121" i="10"/>
  <c r="B109" i="10"/>
  <c r="B65" i="10"/>
  <c r="B64" i="10"/>
  <c r="B51" i="10"/>
  <c r="B50" i="10"/>
  <c r="B44" i="10"/>
  <c r="B43" i="10"/>
  <c r="B42" i="10"/>
  <c r="B34" i="10"/>
  <c r="B32" i="10"/>
  <c r="B26" i="10"/>
  <c r="B15" i="10"/>
  <c r="B9" i="10"/>
  <c r="B38" i="10"/>
  <c r="B384" i="10"/>
  <c r="B683" i="10"/>
  <c r="B728" i="10"/>
  <c r="B414" i="10"/>
  <c r="B300" i="10"/>
  <c r="B269" i="10"/>
  <c r="B635" i="10"/>
  <c r="B544" i="10"/>
  <c r="B452" i="10"/>
  <c r="B413" i="10"/>
  <c r="B399" i="10"/>
  <c r="B352" i="10"/>
  <c r="B285" i="10"/>
  <c r="B284" i="10"/>
  <c r="B22" i="10"/>
  <c r="B199" i="10"/>
  <c r="B25" i="10"/>
  <c r="B525" i="10"/>
  <c r="B512" i="10"/>
  <c r="B460" i="10"/>
  <c r="B727" i="10"/>
  <c r="B704" i="10"/>
  <c r="B412" i="10"/>
  <c r="B397" i="10"/>
  <c r="B568" i="10"/>
  <c r="B509" i="10"/>
  <c r="B508" i="10"/>
  <c r="B496" i="10"/>
  <c r="B369" i="10"/>
  <c r="B320" i="10"/>
  <c r="B103" i="10"/>
  <c r="B93" i="10"/>
  <c r="B21" i="10"/>
  <c r="B540" i="10"/>
  <c r="B296" i="10"/>
  <c r="B124" i="10"/>
  <c r="B371" i="10"/>
  <c r="B37" i="10"/>
  <c r="B682" i="10"/>
  <c r="B706" i="10"/>
  <c r="B402" i="10"/>
  <c r="B726" i="10"/>
  <c r="B60" i="10"/>
  <c r="B694" i="10"/>
  <c r="B693" i="10"/>
  <c r="B677" i="10"/>
  <c r="B671" i="10"/>
  <c r="B621" i="10"/>
  <c r="B596" i="10"/>
  <c r="B584" i="10"/>
  <c r="B564" i="10"/>
  <c r="B539" i="10"/>
  <c r="B498" i="10"/>
  <c r="B490" i="10"/>
  <c r="B485" i="10"/>
  <c r="B425" i="10"/>
  <c r="B422" i="10"/>
  <c r="B242" i="10"/>
  <c r="B225" i="10"/>
  <c r="B186" i="10"/>
  <c r="B163" i="10"/>
  <c r="B126" i="10"/>
  <c r="B84" i="10"/>
  <c r="B48" i="10"/>
  <c r="B33" i="10"/>
  <c r="B617" i="10"/>
  <c r="B548" i="10"/>
  <c r="B441" i="10"/>
  <c r="B405" i="10"/>
  <c r="B344" i="10"/>
  <c r="B338" i="10"/>
  <c r="B319" i="10"/>
  <c r="B276" i="10"/>
  <c r="B62" i="10"/>
  <c r="B733" i="10"/>
  <c r="B723" i="10"/>
  <c r="B712" i="10"/>
  <c r="B697" i="10"/>
  <c r="B695" i="10"/>
  <c r="B687" i="10"/>
  <c r="B684" i="10"/>
  <c r="B676" i="10"/>
  <c r="B674" i="10"/>
  <c r="B670" i="10"/>
  <c r="B662" i="10"/>
  <c r="B654" i="10"/>
  <c r="B651" i="10"/>
  <c r="B650" i="10"/>
  <c r="B649" i="10"/>
  <c r="B645" i="10"/>
  <c r="B639" i="10"/>
  <c r="B634" i="10"/>
  <c r="B625" i="10"/>
  <c r="B623" i="10"/>
  <c r="B616" i="10"/>
  <c r="B612" i="10"/>
  <c r="B604" i="10"/>
  <c r="B600" i="10"/>
  <c r="B592" i="10"/>
  <c r="B586" i="10"/>
  <c r="B585" i="10"/>
  <c r="B570" i="10"/>
  <c r="B569" i="10"/>
  <c r="B567" i="10"/>
  <c r="B565" i="10"/>
  <c r="B563" i="10"/>
  <c r="B556" i="10"/>
  <c r="B543" i="10"/>
  <c r="B532" i="10"/>
  <c r="B530" i="10"/>
  <c r="B522" i="10"/>
  <c r="B521" i="10"/>
  <c r="B518" i="10"/>
  <c r="B517" i="10"/>
  <c r="B513" i="10"/>
  <c r="B499" i="10"/>
  <c r="B492" i="10"/>
  <c r="B489" i="10"/>
  <c r="B484" i="10"/>
  <c r="B476" i="10"/>
  <c r="B467" i="10"/>
  <c r="B444" i="10"/>
  <c r="B437" i="10"/>
  <c r="B431" i="10"/>
  <c r="B429" i="10"/>
  <c r="B419" i="10"/>
  <c r="B418" i="10"/>
  <c r="B406" i="10"/>
  <c r="B370" i="10"/>
  <c r="B367" i="10"/>
  <c r="B356" i="10"/>
  <c r="B351" i="10"/>
  <c r="B342" i="10"/>
  <c r="B340" i="10"/>
  <c r="B335" i="10"/>
  <c r="B333" i="10"/>
  <c r="B330" i="10"/>
  <c r="B329" i="10"/>
  <c r="B328" i="10"/>
  <c r="B312" i="10"/>
  <c r="B311" i="10"/>
  <c r="B301" i="10"/>
  <c r="B299" i="10"/>
  <c r="B280" i="10"/>
  <c r="B275" i="10"/>
  <c r="B272" i="10"/>
  <c r="B270" i="10"/>
  <c r="B268" i="10"/>
  <c r="B257" i="10"/>
  <c r="B255" i="10"/>
  <c r="B254" i="10"/>
  <c r="B246" i="10"/>
  <c r="B244" i="10"/>
  <c r="B243" i="10"/>
  <c r="B231" i="10"/>
  <c r="B219" i="10"/>
  <c r="B216" i="10"/>
  <c r="B208" i="10"/>
  <c r="B207" i="10"/>
  <c r="B202" i="10"/>
  <c r="B192" i="10"/>
  <c r="B188" i="10"/>
  <c r="B187" i="10"/>
  <c r="B184" i="10"/>
  <c r="B178" i="10"/>
  <c r="B166" i="10"/>
  <c r="B159" i="10"/>
  <c r="B151" i="10"/>
  <c r="B150" i="10"/>
  <c r="B149" i="10"/>
  <c r="B148" i="10"/>
  <c r="B146" i="10"/>
  <c r="B145" i="10"/>
  <c r="B142" i="10"/>
  <c r="B141" i="10"/>
  <c r="B140" i="10"/>
  <c r="B115" i="10"/>
  <c r="B113" i="10"/>
  <c r="B105" i="10"/>
  <c r="B100" i="10"/>
  <c r="B94" i="10"/>
  <c r="B88" i="10"/>
  <c r="B82" i="10"/>
  <c r="B78" i="10"/>
  <c r="B70" i="10"/>
  <c r="B66" i="10"/>
  <c r="B57" i="10"/>
  <c r="B56" i="10"/>
  <c r="B47" i="10"/>
  <c r="B46" i="10"/>
  <c r="B45" i="10"/>
  <c r="B20" i="10"/>
  <c r="B440" i="10"/>
  <c r="B10" i="10"/>
  <c r="B716" i="10"/>
  <c r="B710" i="10"/>
  <c r="B701" i="10"/>
  <c r="B699" i="10"/>
  <c r="B696" i="10"/>
  <c r="B689" i="10"/>
  <c r="B668" i="10"/>
  <c r="B664" i="10"/>
  <c r="B647" i="10"/>
  <c r="B646" i="10"/>
  <c r="B644" i="10"/>
  <c r="B642" i="10"/>
  <c r="B633" i="10"/>
  <c r="B614" i="10"/>
  <c r="B609" i="10"/>
  <c r="B603" i="10"/>
  <c r="B598" i="10"/>
  <c r="B595" i="10"/>
  <c r="B583" i="10"/>
  <c r="B581" i="10"/>
  <c r="B578" i="10"/>
  <c r="B572" i="10"/>
  <c r="B571" i="10"/>
  <c r="B558" i="10"/>
  <c r="B552" i="10"/>
  <c r="B551" i="10"/>
  <c r="B541" i="10"/>
  <c r="B535" i="10"/>
  <c r="B533" i="10"/>
  <c r="B529" i="10"/>
  <c r="B524" i="10"/>
  <c r="B523" i="10"/>
  <c r="B520" i="10"/>
  <c r="B516" i="10"/>
  <c r="B511" i="10"/>
  <c r="B495" i="10"/>
  <c r="B493" i="10"/>
  <c r="B488" i="10"/>
  <c r="B483" i="10"/>
  <c r="B459" i="10"/>
  <c r="B458" i="10"/>
  <c r="B439" i="10"/>
  <c r="B428" i="10"/>
  <c r="B424" i="10"/>
  <c r="B420" i="10"/>
  <c r="B392" i="10"/>
  <c r="B391" i="10"/>
  <c r="B379" i="10"/>
  <c r="B376" i="10"/>
  <c r="B374" i="10"/>
  <c r="B365" i="10"/>
  <c r="B357" i="10"/>
  <c r="B345" i="10"/>
  <c r="B337" i="10"/>
  <c r="B336" i="10"/>
  <c r="B334" i="10"/>
  <c r="B332" i="10"/>
  <c r="B310" i="10"/>
  <c r="B309" i="10"/>
  <c r="B304" i="10"/>
  <c r="B295" i="10"/>
  <c r="B294" i="10"/>
  <c r="B292" i="10"/>
  <c r="B288" i="10"/>
  <c r="B274" i="10"/>
  <c r="B267" i="10"/>
  <c r="B266" i="10"/>
  <c r="B265" i="10"/>
  <c r="B250" i="10"/>
  <c r="B238" i="10"/>
  <c r="B233" i="10"/>
  <c r="B227" i="10"/>
  <c r="B226" i="10"/>
  <c r="B224" i="10"/>
  <c r="B220" i="10"/>
  <c r="B217" i="10"/>
  <c r="B201" i="10"/>
  <c r="B196" i="10"/>
  <c r="B183" i="10"/>
  <c r="B181" i="10"/>
  <c r="B180" i="10"/>
  <c r="B177" i="10"/>
  <c r="B174" i="10"/>
  <c r="B171" i="10"/>
  <c r="B168" i="10"/>
  <c r="B164" i="10"/>
  <c r="B162" i="10"/>
  <c r="B154" i="10"/>
  <c r="B147" i="10"/>
  <c r="B128" i="10"/>
  <c r="B112" i="10"/>
  <c r="B106" i="10"/>
  <c r="B104" i="10"/>
  <c r="B101" i="10"/>
  <c r="B95" i="10"/>
  <c r="B92" i="10"/>
  <c r="B87" i="10"/>
  <c r="B75" i="10"/>
  <c r="B72" i="10"/>
  <c r="B69" i="10"/>
  <c r="B63" i="10"/>
  <c r="B59" i="10"/>
  <c r="B36" i="10"/>
  <c r="B29" i="10"/>
  <c r="B27" i="10"/>
  <c r="B18" i="10"/>
  <c r="B12" i="10"/>
  <c r="B11" i="10"/>
  <c r="B7" i="10"/>
  <c r="B383" i="10"/>
  <c r="B468" i="10"/>
  <c r="B396" i="10"/>
  <c r="B91" i="10"/>
  <c r="B30" i="10"/>
  <c r="B390" i="10"/>
  <c r="B395" i="10"/>
  <c r="B724" i="10"/>
  <c r="B713" i="10"/>
  <c r="B549" i="10"/>
  <c r="B278" i="10"/>
  <c r="B167" i="10"/>
  <c r="B725" i="10"/>
  <c r="B717" i="10"/>
  <c r="B709" i="10"/>
  <c r="B705" i="10"/>
  <c r="B661" i="10"/>
  <c r="B660" i="10"/>
  <c r="B638" i="10"/>
  <c r="B632" i="10"/>
  <c r="B631" i="10"/>
  <c r="B630" i="10"/>
  <c r="B629" i="10"/>
  <c r="B606" i="10"/>
  <c r="B580" i="10"/>
  <c r="B579" i="10"/>
  <c r="B547" i="10"/>
  <c r="B528" i="10"/>
  <c r="B450" i="10"/>
  <c r="B349" i="10"/>
  <c r="B343" i="10"/>
  <c r="B325" i="10"/>
  <c r="B136" i="10"/>
  <c r="B131" i="10"/>
  <c r="B130" i="10"/>
  <c r="B120" i="10"/>
  <c r="B99" i="10"/>
  <c r="B76" i="10"/>
  <c r="B68" i="10"/>
  <c r="B443" i="10"/>
  <c r="B720" i="10"/>
  <c r="B718" i="10"/>
  <c r="B711" i="10"/>
  <c r="B691" i="10"/>
  <c r="B690" i="10"/>
  <c r="B663" i="10"/>
  <c r="B643" i="10"/>
  <c r="B624" i="10"/>
  <c r="B588" i="10"/>
  <c r="B575" i="10"/>
  <c r="B559" i="10"/>
  <c r="B546" i="10"/>
  <c r="B545" i="10"/>
  <c r="B506" i="10"/>
  <c r="B482" i="10"/>
  <c r="B479" i="10"/>
  <c r="B474" i="10"/>
  <c r="B470" i="10"/>
  <c r="B462" i="10"/>
  <c r="B448" i="10"/>
  <c r="B447" i="10"/>
  <c r="B442" i="10"/>
  <c r="B432" i="10"/>
  <c r="B409" i="10"/>
  <c r="B393" i="10"/>
  <c r="B368" i="10"/>
  <c r="B363" i="10"/>
  <c r="B361" i="10"/>
  <c r="B358" i="10"/>
  <c r="B341" i="10"/>
  <c r="B318" i="10"/>
  <c r="B317" i="10"/>
  <c r="B305" i="10"/>
  <c r="B290" i="10"/>
  <c r="B261" i="10"/>
  <c r="Q249" i="10"/>
  <c r="B249" i="10"/>
  <c r="B241" i="10"/>
  <c r="B240" i="10"/>
  <c r="B236" i="10"/>
  <c r="B228" i="10"/>
  <c r="B209" i="10"/>
  <c r="B194" i="10"/>
  <c r="B175" i="10"/>
  <c r="B170" i="10"/>
  <c r="B138" i="10"/>
  <c r="B137" i="10"/>
  <c r="B133" i="10"/>
  <c r="B125" i="10"/>
  <c r="B77" i="10"/>
  <c r="B74" i="10"/>
  <c r="B40" i="10"/>
  <c r="B24" i="10"/>
  <c r="B13" i="10"/>
  <c r="B4" i="10"/>
  <c r="B262" i="10"/>
  <c r="B721" i="10"/>
  <c r="B715" i="10"/>
  <c r="B703" i="10"/>
  <c r="B700" i="10"/>
  <c r="B685" i="10"/>
  <c r="B678" i="10"/>
  <c r="B675" i="10"/>
  <c r="B673" i="10"/>
  <c r="B667" i="10"/>
  <c r="B666" i="10"/>
  <c r="B657" i="10"/>
  <c r="B653" i="10"/>
  <c r="B648" i="10"/>
  <c r="B641" i="10"/>
  <c r="B637" i="10"/>
  <c r="B620" i="10"/>
  <c r="B611" i="10"/>
  <c r="B605" i="10"/>
  <c r="B601" i="10"/>
  <c r="B594" i="10"/>
  <c r="B593" i="10"/>
  <c r="B576" i="10"/>
  <c r="B560" i="10"/>
  <c r="B555" i="10"/>
  <c r="B554" i="10"/>
  <c r="B550" i="10"/>
  <c r="B542" i="10"/>
  <c r="B515" i="10"/>
  <c r="B500" i="10"/>
  <c r="B491" i="10"/>
  <c r="B481" i="10"/>
  <c r="B471" i="10"/>
  <c r="B464" i="10"/>
  <c r="B445" i="10"/>
  <c r="B438" i="10"/>
  <c r="B435" i="10"/>
  <c r="B433" i="10"/>
  <c r="B423" i="10"/>
  <c r="B421" i="10"/>
  <c r="B417" i="10"/>
  <c r="B416" i="10"/>
  <c r="B411" i="10"/>
  <c r="B408" i="10"/>
  <c r="B398" i="10"/>
  <c r="B387" i="10"/>
  <c r="B386" i="10"/>
  <c r="B380" i="10"/>
  <c r="B378" i="10"/>
  <c r="B373" i="10"/>
  <c r="B366" i="10"/>
  <c r="B364" i="10"/>
  <c r="B360" i="10"/>
  <c r="B348" i="10"/>
  <c r="B331" i="10"/>
  <c r="B324" i="10"/>
  <c r="B315" i="10"/>
  <c r="B308" i="10"/>
  <c r="B303" i="10"/>
  <c r="B298" i="10"/>
  <c r="B293" i="10"/>
  <c r="B287" i="10"/>
  <c r="B283" i="10"/>
  <c r="B282" i="10"/>
  <c r="B279" i="10"/>
  <c r="B277" i="10"/>
  <c r="B271" i="10"/>
  <c r="B264" i="10"/>
  <c r="B239" i="10"/>
  <c r="B237" i="10"/>
  <c r="B232" i="10"/>
  <c r="B223" i="10"/>
  <c r="B210" i="10"/>
  <c r="B205" i="10"/>
  <c r="B198" i="10"/>
  <c r="B195" i="10"/>
  <c r="B190" i="10"/>
  <c r="B182" i="10"/>
  <c r="B176" i="10"/>
  <c r="B173" i="10"/>
  <c r="B158" i="10"/>
  <c r="B155" i="10"/>
  <c r="B153" i="10"/>
  <c r="B144" i="10"/>
  <c r="B139" i="10"/>
  <c r="B127" i="10"/>
  <c r="B123" i="10"/>
  <c r="B119" i="10"/>
  <c r="B117" i="10"/>
  <c r="B116" i="10"/>
  <c r="B114" i="10"/>
  <c r="B111" i="10"/>
  <c r="B107" i="10"/>
  <c r="B98" i="10"/>
  <c r="B97" i="10"/>
  <c r="B89" i="10"/>
  <c r="B86" i="10"/>
  <c r="B81" i="10"/>
  <c r="B80" i="10"/>
  <c r="B79" i="10"/>
  <c r="B55" i="10"/>
  <c r="B54" i="10"/>
  <c r="B49" i="10"/>
  <c r="B41" i="10"/>
  <c r="B28" i="10"/>
  <c r="B17" i="10"/>
  <c r="B14" i="10"/>
  <c r="B8" i="10"/>
  <c r="B5" i="10"/>
  <c r="AY170" i="47"/>
  <c r="BA170" i="47" s="1"/>
  <c r="W170" i="47"/>
  <c r="Q170" i="47"/>
  <c r="P170" i="47"/>
  <c r="O170" i="47"/>
  <c r="N170" i="47"/>
  <c r="K170" i="47"/>
  <c r="A170" i="47"/>
  <c r="AY169" i="47"/>
  <c r="BA169" i="47" s="1"/>
  <c r="W169" i="47"/>
  <c r="Q169" i="47"/>
  <c r="P169" i="47"/>
  <c r="N169" i="47"/>
  <c r="K169" i="47"/>
  <c r="A169" i="47"/>
  <c r="AY168" i="47"/>
  <c r="BA168" i="47" s="1"/>
  <c r="W168" i="47"/>
  <c r="Q168" i="47"/>
  <c r="P168" i="47"/>
  <c r="N168" i="47"/>
  <c r="K168" i="47"/>
  <c r="A168" i="47"/>
  <c r="AY167" i="47"/>
  <c r="BA167" i="47" s="1"/>
  <c r="W167" i="47"/>
  <c r="Q167" i="47"/>
  <c r="P167" i="47"/>
  <c r="N167" i="47"/>
  <c r="K167" i="47"/>
  <c r="A167" i="47"/>
  <c r="AY166" i="47"/>
  <c r="BA166" i="47" s="1"/>
  <c r="W166" i="47"/>
  <c r="Q166" i="47"/>
  <c r="P166" i="47"/>
  <c r="O166" i="47"/>
  <c r="N166" i="47"/>
  <c r="K166" i="47"/>
  <c r="A166" i="47"/>
  <c r="AY165" i="47"/>
  <c r="BA165" i="47" s="1"/>
  <c r="W165" i="47"/>
  <c r="Q165" i="47"/>
  <c r="P165" i="47"/>
  <c r="O165" i="47"/>
  <c r="N165" i="47"/>
  <c r="A165" i="47"/>
  <c r="AY164" i="47"/>
  <c r="BA164" i="47" s="1"/>
  <c r="W164" i="47"/>
  <c r="Q164" i="47"/>
  <c r="P164" i="47"/>
  <c r="O164" i="47"/>
  <c r="N164" i="47"/>
  <c r="A164" i="47"/>
  <c r="AY163" i="47"/>
  <c r="BA163" i="47" s="1"/>
  <c r="W163" i="47"/>
  <c r="Q163" i="47"/>
  <c r="P163" i="47"/>
  <c r="O163" i="47"/>
  <c r="N163" i="47"/>
  <c r="A163" i="47"/>
  <c r="AY162" i="47"/>
  <c r="BA162" i="47" s="1"/>
  <c r="W162" i="47"/>
  <c r="Q162" i="47"/>
  <c r="P162" i="47"/>
  <c r="O162" i="47"/>
  <c r="N162" i="47"/>
  <c r="A162" i="47"/>
  <c r="AY161" i="47"/>
  <c r="BA161" i="47" s="1"/>
  <c r="W161" i="47"/>
  <c r="Q161" i="47"/>
  <c r="P161" i="47"/>
  <c r="N161" i="47"/>
  <c r="K161" i="47"/>
  <c r="A161" i="47"/>
  <c r="AY160" i="47"/>
  <c r="BA160" i="47" s="1"/>
  <c r="W160" i="47"/>
  <c r="Q160" i="47"/>
  <c r="P160" i="47"/>
  <c r="O160" i="47"/>
  <c r="N160" i="47"/>
  <c r="K160" i="47"/>
  <c r="A160" i="47"/>
  <c r="AY159" i="47"/>
  <c r="BA159" i="47" s="1"/>
  <c r="W159" i="47"/>
  <c r="Q159" i="47"/>
  <c r="P159" i="47"/>
  <c r="N159" i="47"/>
  <c r="K159" i="47"/>
  <c r="A159" i="47"/>
  <c r="AY158" i="47"/>
  <c r="BA158" i="47" s="1"/>
  <c r="W158" i="47"/>
  <c r="Q158" i="47"/>
  <c r="P158" i="47"/>
  <c r="N158" i="47"/>
  <c r="K158" i="47"/>
  <c r="A158" i="47"/>
  <c r="AY157" i="47"/>
  <c r="BA157" i="47" s="1"/>
  <c r="W157" i="47"/>
  <c r="Q157" i="47"/>
  <c r="P157" i="47"/>
  <c r="N157" i="47"/>
  <c r="K157" i="47"/>
  <c r="A157" i="47"/>
  <c r="AY156" i="47"/>
  <c r="BA156" i="47" s="1"/>
  <c r="W156" i="47"/>
  <c r="Q156" i="47"/>
  <c r="P156" i="47"/>
  <c r="N156" i="47"/>
  <c r="K156" i="47"/>
  <c r="A156" i="47"/>
  <c r="AY155" i="47"/>
  <c r="BA155" i="47" s="1"/>
  <c r="W155" i="47"/>
  <c r="Q155" i="47"/>
  <c r="P155" i="47"/>
  <c r="N155" i="47"/>
  <c r="K155" i="47"/>
  <c r="A155" i="47"/>
  <c r="AY154" i="47"/>
  <c r="BA154" i="47" s="1"/>
  <c r="W154" i="47"/>
  <c r="S154" i="47"/>
  <c r="Q154" i="47"/>
  <c r="P154" i="47"/>
  <c r="O154" i="47"/>
  <c r="N154" i="47"/>
  <c r="K154" i="47"/>
  <c r="A154" i="47"/>
  <c r="AY153" i="47"/>
  <c r="BA153" i="47" s="1"/>
  <c r="W153" i="47"/>
  <c r="Q153" i="47"/>
  <c r="P153" i="47"/>
  <c r="N153" i="47"/>
  <c r="K153" i="47"/>
  <c r="A153" i="47"/>
  <c r="AY152" i="47"/>
  <c r="BA152" i="47" s="1"/>
  <c r="W152" i="47"/>
  <c r="P152" i="47"/>
  <c r="O152" i="47"/>
  <c r="N152" i="47"/>
  <c r="I152" i="47"/>
  <c r="A152" i="47"/>
  <c r="AY151" i="47"/>
  <c r="BA151" i="47" s="1"/>
  <c r="W151" i="47"/>
  <c r="Q151" i="47"/>
  <c r="P151" i="47"/>
  <c r="O151" i="47"/>
  <c r="N151" i="47"/>
  <c r="K151" i="47"/>
  <c r="A151" i="47"/>
  <c r="AY150" i="47"/>
  <c r="BA150" i="47" s="1"/>
  <c r="W150" i="47"/>
  <c r="Q150" i="47"/>
  <c r="P150" i="47"/>
  <c r="N150" i="47"/>
  <c r="K150" i="47"/>
  <c r="A150" i="47"/>
  <c r="AY149" i="47"/>
  <c r="BA149" i="47" s="1"/>
  <c r="W149" i="47"/>
  <c r="Q149" i="47"/>
  <c r="P149" i="47"/>
  <c r="N149" i="47"/>
  <c r="K149" i="47"/>
  <c r="A149" i="47"/>
  <c r="AY148" i="47"/>
  <c r="BA148" i="47" s="1"/>
  <c r="W148" i="47"/>
  <c r="Q148" i="47"/>
  <c r="P148" i="47"/>
  <c r="N148" i="47"/>
  <c r="K148" i="47"/>
  <c r="A148" i="47"/>
  <c r="AY147" i="47"/>
  <c r="BA147" i="47"/>
  <c r="W147" i="47"/>
  <c r="Q147" i="47"/>
  <c r="P147" i="47"/>
  <c r="O147" i="47"/>
  <c r="N147" i="47"/>
  <c r="K147" i="47"/>
  <c r="A147" i="47"/>
  <c r="AY146" i="47"/>
  <c r="BA146" i="47" s="1"/>
  <c r="W146" i="47"/>
  <c r="Q146" i="47"/>
  <c r="P146" i="47"/>
  <c r="N146" i="47"/>
  <c r="K146" i="47"/>
  <c r="A146" i="47"/>
  <c r="AY145" i="47"/>
  <c r="BA145" i="47" s="1"/>
  <c r="W145" i="47"/>
  <c r="Q145" i="47"/>
  <c r="P145" i="47"/>
  <c r="N145" i="47"/>
  <c r="K145" i="47"/>
  <c r="A145" i="47"/>
  <c r="AY144" i="47"/>
  <c r="BA144" i="47" s="1"/>
  <c r="W144" i="47"/>
  <c r="Q144" i="47"/>
  <c r="P144" i="47"/>
  <c r="O144" i="47"/>
  <c r="N144" i="47"/>
  <c r="K144" i="47"/>
  <c r="A144" i="47"/>
  <c r="AY143" i="47"/>
  <c r="BA143" i="47" s="1"/>
  <c r="W143" i="47"/>
  <c r="Q143" i="47"/>
  <c r="P143" i="47"/>
  <c r="N143" i="47"/>
  <c r="K143" i="47"/>
  <c r="A143" i="47"/>
  <c r="AY142" i="47"/>
  <c r="BA142" i="47"/>
  <c r="W142" i="47"/>
  <c r="Q142" i="47"/>
  <c r="P142" i="47"/>
  <c r="N142" i="47"/>
  <c r="K142" i="47"/>
  <c r="A142" i="47"/>
  <c r="AY141" i="47"/>
  <c r="BA141" i="47" s="1"/>
  <c r="W141" i="47"/>
  <c r="Q141" i="47"/>
  <c r="P141" i="47"/>
  <c r="N141" i="47"/>
  <c r="K141" i="47"/>
  <c r="A141" i="47"/>
  <c r="AY140" i="47"/>
  <c r="BA140" i="47" s="1"/>
  <c r="W140" i="47"/>
  <c r="Q140" i="47"/>
  <c r="P140" i="47"/>
  <c r="N140" i="47"/>
  <c r="K140" i="47"/>
  <c r="A140" i="47"/>
  <c r="AY139" i="47"/>
  <c r="BA139" i="47" s="1"/>
  <c r="W139" i="47"/>
  <c r="Q139" i="47"/>
  <c r="P139" i="47"/>
  <c r="N139" i="47"/>
  <c r="K139" i="47"/>
  <c r="A139" i="47"/>
  <c r="AY138" i="47"/>
  <c r="BA138" i="47" s="1"/>
  <c r="W138" i="47"/>
  <c r="Q138" i="47"/>
  <c r="P138" i="47"/>
  <c r="N138" i="47"/>
  <c r="K138" i="47"/>
  <c r="A138" i="47"/>
  <c r="AY137" i="47"/>
  <c r="BA137" i="47" s="1"/>
  <c r="W137" i="47"/>
  <c r="Q137" i="47"/>
  <c r="P137" i="47"/>
  <c r="O137" i="47"/>
  <c r="N137" i="47"/>
  <c r="K137" i="47"/>
  <c r="A137" i="47"/>
  <c r="AY136" i="47"/>
  <c r="BA136" i="47" s="1"/>
  <c r="W136" i="47"/>
  <c r="Q136" i="47"/>
  <c r="P136" i="47"/>
  <c r="O136" i="47"/>
  <c r="N136" i="47"/>
  <c r="K136" i="47"/>
  <c r="A136" i="47"/>
  <c r="AY135" i="47"/>
  <c r="BA135" i="47" s="1"/>
  <c r="W135" i="47"/>
  <c r="Q135" i="47"/>
  <c r="P135" i="47"/>
  <c r="O135" i="47"/>
  <c r="N135" i="47"/>
  <c r="A135" i="47"/>
  <c r="AY134" i="47"/>
  <c r="BA134" i="47" s="1"/>
  <c r="W134" i="47"/>
  <c r="Q134" i="47"/>
  <c r="P134" i="47"/>
  <c r="O134" i="47"/>
  <c r="N134" i="47"/>
  <c r="A134" i="47"/>
  <c r="AY133" i="47"/>
  <c r="BA133" i="47" s="1"/>
  <c r="W133" i="47"/>
  <c r="Q133" i="47"/>
  <c r="P133" i="47"/>
  <c r="O133" i="47"/>
  <c r="N133" i="47"/>
  <c r="K133" i="47"/>
  <c r="A133" i="47"/>
  <c r="AY132" i="47"/>
  <c r="BA132" i="47" s="1"/>
  <c r="W132" i="47"/>
  <c r="Q132" i="47"/>
  <c r="P132" i="47"/>
  <c r="O132" i="47"/>
  <c r="N132" i="47"/>
  <c r="K132" i="47"/>
  <c r="A132" i="47"/>
  <c r="AY131" i="47"/>
  <c r="BA131" i="47" s="1"/>
  <c r="W131" i="47"/>
  <c r="Q131" i="47"/>
  <c r="P131" i="47"/>
  <c r="O131" i="47"/>
  <c r="N131" i="47"/>
  <c r="K131" i="47"/>
  <c r="A131" i="47"/>
  <c r="AY130" i="47"/>
  <c r="BA130" i="47" s="1"/>
  <c r="W130" i="47"/>
  <c r="Q130" i="47"/>
  <c r="P130" i="47"/>
  <c r="O130" i="47"/>
  <c r="N130" i="47"/>
  <c r="K130" i="47"/>
  <c r="A130" i="47"/>
  <c r="AY129" i="47"/>
  <c r="BA129" i="47" s="1"/>
  <c r="W129" i="47"/>
  <c r="Q129" i="47"/>
  <c r="P129" i="47"/>
  <c r="O129" i="47"/>
  <c r="N129" i="47"/>
  <c r="K129" i="47"/>
  <c r="A129" i="47"/>
  <c r="AY128" i="47"/>
  <c r="BA128" i="47" s="1"/>
  <c r="W128" i="47"/>
  <c r="Q128" i="47"/>
  <c r="P128" i="47"/>
  <c r="N128" i="47"/>
  <c r="K128" i="47"/>
  <c r="A128" i="47"/>
  <c r="AY127" i="47"/>
  <c r="BA127" i="47" s="1"/>
  <c r="W127" i="47"/>
  <c r="Q127" i="47"/>
  <c r="P127" i="47"/>
  <c r="N127" i="47"/>
  <c r="K127" i="47"/>
  <c r="A127" i="47"/>
  <c r="AY126" i="47"/>
  <c r="BA126" i="47" s="1"/>
  <c r="W126" i="47"/>
  <c r="Q126" i="47"/>
  <c r="P126" i="47"/>
  <c r="N126" i="47"/>
  <c r="K126" i="47"/>
  <c r="A126" i="47"/>
  <c r="AY125" i="47"/>
  <c r="BA125" i="47" s="1"/>
  <c r="W125" i="47"/>
  <c r="Q125" i="47"/>
  <c r="P125" i="47"/>
  <c r="N125" i="47"/>
  <c r="K125" i="47"/>
  <c r="A125" i="47"/>
  <c r="AY124" i="47"/>
  <c r="BA124" i="47" s="1"/>
  <c r="W124" i="47"/>
  <c r="Q124" i="47"/>
  <c r="P124" i="47"/>
  <c r="O124" i="47"/>
  <c r="N124" i="47"/>
  <c r="K124" i="47"/>
  <c r="A124" i="47"/>
  <c r="AY123" i="47"/>
  <c r="BA123" i="47" s="1"/>
  <c r="W123" i="47"/>
  <c r="Q123" i="47"/>
  <c r="P123" i="47"/>
  <c r="O123" i="47"/>
  <c r="N123" i="47"/>
  <c r="K123" i="47"/>
  <c r="A123" i="47"/>
  <c r="AY122" i="47"/>
  <c r="BA122" i="47" s="1"/>
  <c r="W122" i="47"/>
  <c r="Q122" i="47"/>
  <c r="P122" i="47"/>
  <c r="N122" i="47"/>
  <c r="K122" i="47"/>
  <c r="A122" i="47"/>
  <c r="AY121" i="47"/>
  <c r="BA121" i="47" s="1"/>
  <c r="W121" i="47"/>
  <c r="Q121" i="47"/>
  <c r="P121" i="47"/>
  <c r="O121" i="47"/>
  <c r="N121" i="47"/>
  <c r="K121" i="47"/>
  <c r="A121" i="47"/>
  <c r="AY120" i="47"/>
  <c r="BA120" i="47" s="1"/>
  <c r="W120" i="47"/>
  <c r="Q120" i="47"/>
  <c r="P120" i="47"/>
  <c r="N120" i="47"/>
  <c r="K120" i="47"/>
  <c r="A120" i="47"/>
  <c r="AY119" i="47"/>
  <c r="BA119" i="47" s="1"/>
  <c r="W119" i="47"/>
  <c r="Q119" i="47"/>
  <c r="P119" i="47"/>
  <c r="N119" i="47"/>
  <c r="K119" i="47"/>
  <c r="A119" i="47"/>
  <c r="AY118" i="47"/>
  <c r="BA118" i="47" s="1"/>
  <c r="W118" i="47"/>
  <c r="Q118" i="47"/>
  <c r="P118" i="47"/>
  <c r="O118" i="47"/>
  <c r="N118" i="47"/>
  <c r="K118" i="47"/>
  <c r="A118" i="47"/>
  <c r="AY117" i="47"/>
  <c r="BA117" i="47" s="1"/>
  <c r="W117" i="47"/>
  <c r="Q117" i="47"/>
  <c r="P117" i="47"/>
  <c r="N117" i="47"/>
  <c r="K117" i="47"/>
  <c r="A117" i="47"/>
  <c r="AY116" i="47"/>
  <c r="BA116" i="47" s="1"/>
  <c r="W116" i="47"/>
  <c r="Q116" i="47"/>
  <c r="P116" i="47"/>
  <c r="N116" i="47"/>
  <c r="K116" i="47"/>
  <c r="A116" i="47"/>
  <c r="AY115" i="47"/>
  <c r="BA115" i="47" s="1"/>
  <c r="W115" i="47"/>
  <c r="Q115" i="47"/>
  <c r="P115" i="47"/>
  <c r="N115" i="47"/>
  <c r="K115" i="47"/>
  <c r="A115" i="47"/>
  <c r="AY114" i="47"/>
  <c r="BA114" i="47" s="1"/>
  <c r="W114" i="47"/>
  <c r="Q114" i="47"/>
  <c r="P114" i="47"/>
  <c r="N114" i="47"/>
  <c r="K114" i="47"/>
  <c r="A114" i="47"/>
  <c r="AY113" i="47"/>
  <c r="BA113" i="47" s="1"/>
  <c r="W113" i="47"/>
  <c r="Q113" i="47"/>
  <c r="P113" i="47"/>
  <c r="O113" i="47"/>
  <c r="N113" i="47"/>
  <c r="K113" i="47"/>
  <c r="A113" i="47"/>
  <c r="AY112" i="47"/>
  <c r="BA112" i="47" s="1"/>
  <c r="W112" i="47"/>
  <c r="Q112" i="47"/>
  <c r="P112" i="47"/>
  <c r="N112" i="47"/>
  <c r="K112" i="47"/>
  <c r="A112" i="47"/>
  <c r="AY111" i="47"/>
  <c r="BA111" i="47" s="1"/>
  <c r="W111" i="47"/>
  <c r="Q111" i="47"/>
  <c r="P111" i="47"/>
  <c r="N111" i="47"/>
  <c r="K111" i="47"/>
  <c r="A111" i="47"/>
  <c r="AY110" i="47"/>
  <c r="BA110" i="47" s="1"/>
  <c r="W110" i="47"/>
  <c r="Q110" i="47"/>
  <c r="P110" i="47"/>
  <c r="O110" i="47"/>
  <c r="N110" i="47"/>
  <c r="K110" i="47"/>
  <c r="A110" i="47"/>
  <c r="AY109" i="47"/>
  <c r="BA109" i="47" s="1"/>
  <c r="W109" i="47"/>
  <c r="Q109" i="47"/>
  <c r="P109" i="47"/>
  <c r="N109" i="47"/>
  <c r="K109" i="47"/>
  <c r="A109" i="47"/>
  <c r="AY108" i="47"/>
  <c r="BA108" i="47" s="1"/>
  <c r="W108" i="47"/>
  <c r="Q108" i="47"/>
  <c r="P108" i="47"/>
  <c r="N108" i="47"/>
  <c r="K108" i="47"/>
  <c r="A108" i="47"/>
  <c r="AY107" i="47"/>
  <c r="BA107" i="47" s="1"/>
  <c r="Q107" i="47"/>
  <c r="N107" i="47"/>
  <c r="K107" i="47"/>
  <c r="H107" i="47"/>
  <c r="W107" i="47" s="1"/>
  <c r="A107" i="47"/>
  <c r="AY106" i="47"/>
  <c r="BA106" i="47" s="1"/>
  <c r="W106" i="47"/>
  <c r="Q106" i="47"/>
  <c r="P106" i="47"/>
  <c r="N106" i="47"/>
  <c r="K106" i="47"/>
  <c r="A106" i="47"/>
  <c r="AY105" i="47"/>
  <c r="BA105" i="47" s="1"/>
  <c r="W105" i="47"/>
  <c r="Q105" i="47"/>
  <c r="P105" i="47"/>
  <c r="N105" i="47"/>
  <c r="K105" i="47"/>
  <c r="A105" i="47"/>
  <c r="AY104" i="47"/>
  <c r="BA104" i="47" s="1"/>
  <c r="W104" i="47"/>
  <c r="Q104" i="47"/>
  <c r="P104" i="47"/>
  <c r="N104" i="47"/>
  <c r="K104" i="47"/>
  <c r="A104" i="47"/>
  <c r="AY103" i="47"/>
  <c r="BA103" i="47" s="1"/>
  <c r="W103" i="47"/>
  <c r="Q103" i="47"/>
  <c r="P103" i="47"/>
  <c r="N103" i="47"/>
  <c r="K103" i="47"/>
  <c r="A103" i="47"/>
  <c r="AY102" i="47"/>
  <c r="BA102" i="47" s="1"/>
  <c r="W102" i="47"/>
  <c r="Q102" i="47"/>
  <c r="P102" i="47"/>
  <c r="O102" i="47"/>
  <c r="N102" i="47"/>
  <c r="K102" i="47"/>
  <c r="A102" i="47"/>
  <c r="AY101" i="47"/>
  <c r="BA101" i="47" s="1"/>
  <c r="W101" i="47"/>
  <c r="Q101" i="47"/>
  <c r="P101" i="47"/>
  <c r="N101" i="47"/>
  <c r="K101" i="47"/>
  <c r="A101" i="47"/>
  <c r="AY100" i="47"/>
  <c r="BA100" i="47" s="1"/>
  <c r="W100" i="47"/>
  <c r="Q100" i="47"/>
  <c r="P100" i="47"/>
  <c r="N100" i="47"/>
  <c r="K100" i="47"/>
  <c r="A100" i="47"/>
  <c r="AY99" i="47"/>
  <c r="BA99" i="47" s="1"/>
  <c r="W99" i="47"/>
  <c r="P99" i="47"/>
  <c r="N99" i="47"/>
  <c r="K99" i="47"/>
  <c r="A99" i="47"/>
  <c r="AY98" i="47"/>
  <c r="BA98" i="47" s="1"/>
  <c r="W98" i="47"/>
  <c r="Q98" i="47"/>
  <c r="P98" i="47"/>
  <c r="N98" i="47"/>
  <c r="K98" i="47"/>
  <c r="A98" i="47"/>
  <c r="AY97" i="47"/>
  <c r="BA97" i="47" s="1"/>
  <c r="W97" i="47"/>
  <c r="Q97" i="47"/>
  <c r="P97" i="47"/>
  <c r="N97" i="47"/>
  <c r="K97" i="47"/>
  <c r="A97" i="47"/>
  <c r="AY96" i="47"/>
  <c r="BA96" i="47" s="1"/>
  <c r="W96" i="47"/>
  <c r="Q96" i="47"/>
  <c r="P96" i="47"/>
  <c r="N96" i="47"/>
  <c r="K96" i="47"/>
  <c r="A96" i="47"/>
  <c r="AY95" i="47"/>
  <c r="BA95" i="47" s="1"/>
  <c r="W95" i="47"/>
  <c r="Q95" i="47"/>
  <c r="P95" i="47"/>
  <c r="N95" i="47"/>
  <c r="K95" i="47"/>
  <c r="A95" i="47"/>
  <c r="AY94" i="47"/>
  <c r="BA94" i="47" s="1"/>
  <c r="W94" i="47"/>
  <c r="Q94" i="47"/>
  <c r="P94" i="47"/>
  <c r="N94" i="47"/>
  <c r="K94" i="47"/>
  <c r="A94" i="47"/>
  <c r="AY93" i="47"/>
  <c r="BA93" i="47" s="1"/>
  <c r="W93" i="47"/>
  <c r="Q93" i="47"/>
  <c r="P93" i="47"/>
  <c r="O93" i="47"/>
  <c r="N93" i="47"/>
  <c r="K93" i="47"/>
  <c r="A93" i="47"/>
  <c r="AY92" i="47"/>
  <c r="BA92" i="47" s="1"/>
  <c r="W92" i="47"/>
  <c r="Q92" i="47"/>
  <c r="P92" i="47"/>
  <c r="N92" i="47"/>
  <c r="K92" i="47"/>
  <c r="A92" i="47"/>
  <c r="AY91" i="47"/>
  <c r="BA91" i="47" s="1"/>
  <c r="W91" i="47"/>
  <c r="Q91" i="47"/>
  <c r="P91" i="47"/>
  <c r="N91" i="47"/>
  <c r="K91" i="47"/>
  <c r="A91" i="47"/>
  <c r="AY90" i="47"/>
  <c r="BA90" i="47" s="1"/>
  <c r="W90" i="47"/>
  <c r="Q90" i="47"/>
  <c r="P90" i="47"/>
  <c r="N90" i="47"/>
  <c r="K90" i="47"/>
  <c r="A90" i="47"/>
  <c r="AY89" i="47"/>
  <c r="BA89" i="47" s="1"/>
  <c r="W89" i="47"/>
  <c r="Q89" i="47"/>
  <c r="P89" i="47"/>
  <c r="N89" i="47"/>
  <c r="K89" i="47"/>
  <c r="A89" i="47"/>
  <c r="AY88" i="47"/>
  <c r="BA88" i="47" s="1"/>
  <c r="W88" i="47"/>
  <c r="P88" i="47"/>
  <c r="N88" i="47"/>
  <c r="K88" i="47"/>
  <c r="A88" i="47"/>
  <c r="AY87" i="47"/>
  <c r="BA87" i="47" s="1"/>
  <c r="W87" i="47"/>
  <c r="Q87" i="47"/>
  <c r="P87" i="47"/>
  <c r="O87" i="47"/>
  <c r="N87" i="47"/>
  <c r="K87" i="47"/>
  <c r="A87" i="47"/>
  <c r="AY86" i="47"/>
  <c r="BA86" i="47" s="1"/>
  <c r="W86" i="47"/>
  <c r="Q86" i="47"/>
  <c r="P86" i="47"/>
  <c r="N86" i="47"/>
  <c r="K86" i="47"/>
  <c r="A86" i="47"/>
  <c r="AY85" i="47"/>
  <c r="BA85" i="47" s="1"/>
  <c r="W85" i="47"/>
  <c r="Q85" i="47"/>
  <c r="P85" i="47"/>
  <c r="N85" i="47"/>
  <c r="K85" i="47"/>
  <c r="A85" i="47"/>
  <c r="AY84" i="47"/>
  <c r="BA84" i="47" s="1"/>
  <c r="W84" i="47"/>
  <c r="Q84" i="47"/>
  <c r="P84" i="47"/>
  <c r="N84" i="47"/>
  <c r="K84" i="47"/>
  <c r="A84" i="47"/>
  <c r="AY83" i="47"/>
  <c r="BA83" i="47" s="1"/>
  <c r="Q83" i="47"/>
  <c r="O83" i="47"/>
  <c r="N83" i="47"/>
  <c r="H83" i="47"/>
  <c r="W83" i="47" s="1"/>
  <c r="A83" i="47"/>
  <c r="AY82" i="47"/>
  <c r="BA82" i="47" s="1"/>
  <c r="W82" i="47"/>
  <c r="Q82" i="47"/>
  <c r="P82" i="47"/>
  <c r="N82" i="47"/>
  <c r="K82" i="47"/>
  <c r="A82" i="47"/>
  <c r="AY81" i="47"/>
  <c r="BA81" i="47" s="1"/>
  <c r="W81" i="47"/>
  <c r="Q81" i="47"/>
  <c r="P81" i="47"/>
  <c r="N81" i="47"/>
  <c r="K81" i="47"/>
  <c r="A81" i="47"/>
  <c r="AY80" i="47"/>
  <c r="BA80" i="47" s="1"/>
  <c r="W80" i="47"/>
  <c r="Q80" i="47"/>
  <c r="P80" i="47"/>
  <c r="N80" i="47"/>
  <c r="K80" i="47"/>
  <c r="A80" i="47"/>
  <c r="AY79" i="47"/>
  <c r="BA79" i="47" s="1"/>
  <c r="W79" i="47"/>
  <c r="Q79" i="47"/>
  <c r="P79" i="47"/>
  <c r="N79" i="47"/>
  <c r="K79" i="47"/>
  <c r="A79" i="47"/>
  <c r="AY78" i="47"/>
  <c r="BA78" i="47" s="1"/>
  <c r="W78" i="47"/>
  <c r="Q78" i="47"/>
  <c r="P78" i="47"/>
  <c r="N78" i="47"/>
  <c r="K78" i="47"/>
  <c r="A78" i="47"/>
  <c r="AY77" i="47"/>
  <c r="BA77" i="47" s="1"/>
  <c r="W77" i="47"/>
  <c r="Q77" i="47"/>
  <c r="P77" i="47"/>
  <c r="N77" i="47"/>
  <c r="K77" i="47"/>
  <c r="A77" i="47"/>
  <c r="AY76" i="47"/>
  <c r="BA76" i="47" s="1"/>
  <c r="W76" i="47"/>
  <c r="Q76" i="47"/>
  <c r="P76" i="47"/>
  <c r="N76" i="47"/>
  <c r="K76" i="47"/>
  <c r="A76" i="47"/>
  <c r="AY75" i="47"/>
  <c r="BA75" i="47" s="1"/>
  <c r="W75" i="47"/>
  <c r="Q75" i="47"/>
  <c r="P75" i="47"/>
  <c r="O75" i="47"/>
  <c r="N75" i="47"/>
  <c r="A75" i="47"/>
  <c r="AY74" i="47"/>
  <c r="BA74" i="47" s="1"/>
  <c r="W74" i="47"/>
  <c r="Q74" i="47"/>
  <c r="P74" i="47"/>
  <c r="N74" i="47"/>
  <c r="K74" i="47"/>
  <c r="A74" i="47"/>
  <c r="AY73" i="47"/>
  <c r="BA73" i="47" s="1"/>
  <c r="W73" i="47"/>
  <c r="Q73" i="47"/>
  <c r="P73" i="47"/>
  <c r="O73" i="47"/>
  <c r="N73" i="47"/>
  <c r="K73" i="47"/>
  <c r="A73" i="47"/>
  <c r="AY72" i="47"/>
  <c r="BA72" i="47" s="1"/>
  <c r="W72" i="47"/>
  <c r="Q72" i="47"/>
  <c r="P72" i="47"/>
  <c r="N72" i="47"/>
  <c r="K72" i="47"/>
  <c r="A72" i="47"/>
  <c r="AY71" i="47"/>
  <c r="W71" i="47"/>
  <c r="S71" i="47"/>
  <c r="Q71" i="47"/>
  <c r="P71" i="47"/>
  <c r="O71" i="47"/>
  <c r="N71" i="47"/>
  <c r="K71" i="47"/>
  <c r="A71" i="47"/>
  <c r="AY70" i="47"/>
  <c r="W70" i="47"/>
  <c r="Q70" i="47"/>
  <c r="P70" i="47"/>
  <c r="O70" i="47"/>
  <c r="N70" i="47"/>
  <c r="K70" i="47"/>
  <c r="A70" i="47"/>
  <c r="AY69" i="47"/>
  <c r="W69" i="47"/>
  <c r="Q69" i="47"/>
  <c r="P69" i="47"/>
  <c r="N69" i="47"/>
  <c r="K69" i="47"/>
  <c r="A69" i="47"/>
  <c r="AY68" i="47"/>
  <c r="BA68" i="47" s="1"/>
  <c r="W68" i="47"/>
  <c r="Q68" i="47"/>
  <c r="P68" i="47"/>
  <c r="N68" i="47"/>
  <c r="K68" i="47"/>
  <c r="A68" i="47"/>
  <c r="AY67" i="47"/>
  <c r="BA67" i="47" s="1"/>
  <c r="W67" i="47"/>
  <c r="Q67" i="47"/>
  <c r="P67" i="47"/>
  <c r="N67" i="47"/>
  <c r="K67" i="47"/>
  <c r="A67" i="47"/>
  <c r="AY66" i="47"/>
  <c r="BA66" i="47" s="1"/>
  <c r="W66" i="47"/>
  <c r="Q66" i="47"/>
  <c r="P66" i="47"/>
  <c r="N66" i="47"/>
  <c r="K66" i="47"/>
  <c r="A66" i="47"/>
  <c r="AY65" i="47"/>
  <c r="BA65" i="47" s="1"/>
  <c r="W65" i="47"/>
  <c r="Q65" i="47"/>
  <c r="P65" i="47"/>
  <c r="N65" i="47"/>
  <c r="K65" i="47"/>
  <c r="A65" i="47"/>
  <c r="AY64" i="47"/>
  <c r="BA64" i="47" s="1"/>
  <c r="W64" i="47"/>
  <c r="Q64" i="47"/>
  <c r="P64" i="47"/>
  <c r="N64" i="47"/>
  <c r="K64" i="47"/>
  <c r="A64" i="47"/>
  <c r="AY63" i="47"/>
  <c r="BA63" i="47" s="1"/>
  <c r="W63" i="47"/>
  <c r="Q63" i="47"/>
  <c r="P63" i="47"/>
  <c r="N63" i="47"/>
  <c r="K63" i="47"/>
  <c r="A63" i="47"/>
  <c r="AY62" i="47"/>
  <c r="BA62" i="47" s="1"/>
  <c r="W62" i="47"/>
  <c r="Q62" i="47"/>
  <c r="P62" i="47"/>
  <c r="N62" i="47"/>
  <c r="K62" i="47"/>
  <c r="A62" i="47"/>
  <c r="AY61" i="47"/>
  <c r="BA61" i="47" s="1"/>
  <c r="W61" i="47"/>
  <c r="Q61" i="47"/>
  <c r="P61" i="47"/>
  <c r="N61" i="47"/>
  <c r="K61" i="47"/>
  <c r="A61" i="47"/>
  <c r="AY60" i="47"/>
  <c r="BA60" i="47" s="1"/>
  <c r="W60" i="47"/>
  <c r="Q60" i="47"/>
  <c r="P60" i="47"/>
  <c r="N60" i="47"/>
  <c r="K60" i="47"/>
  <c r="A60" i="47"/>
  <c r="AY59" i="47"/>
  <c r="BA59" i="47" s="1"/>
  <c r="W59" i="47"/>
  <c r="Q59" i="47"/>
  <c r="P59" i="47"/>
  <c r="N59" i="47"/>
  <c r="K59" i="47"/>
  <c r="A59" i="47"/>
  <c r="AY58" i="47"/>
  <c r="BA58" i="47" s="1"/>
  <c r="W58" i="47"/>
  <c r="Q58" i="47"/>
  <c r="P58" i="47"/>
  <c r="N58" i="47"/>
  <c r="K58" i="47"/>
  <c r="A58" i="47"/>
  <c r="AY57" i="47"/>
  <c r="BA57" i="47" s="1"/>
  <c r="W57" i="47"/>
  <c r="Q57" i="47"/>
  <c r="P57" i="47"/>
  <c r="N57" i="47"/>
  <c r="K57" i="47"/>
  <c r="A57" i="47"/>
  <c r="AY56" i="47"/>
  <c r="BA56" i="47" s="1"/>
  <c r="W56" i="47"/>
  <c r="Q56" i="47"/>
  <c r="P56" i="47"/>
  <c r="N56" i="47"/>
  <c r="K56" i="47"/>
  <c r="A56" i="47"/>
  <c r="AY55" i="47"/>
  <c r="BA55" i="47" s="1"/>
  <c r="W55" i="47"/>
  <c r="Q55" i="47"/>
  <c r="P55" i="47"/>
  <c r="N55" i="47"/>
  <c r="K55" i="47"/>
  <c r="A55" i="47"/>
  <c r="AY54" i="47"/>
  <c r="W54" i="47"/>
  <c r="Q54" i="47"/>
  <c r="P54" i="47"/>
  <c r="N54" i="47"/>
  <c r="K54" i="47"/>
  <c r="A54" i="47"/>
  <c r="AY53" i="47"/>
  <c r="BA53" i="47" s="1"/>
  <c r="W53" i="47"/>
  <c r="Q53" i="47"/>
  <c r="P53" i="47"/>
  <c r="O53" i="47"/>
  <c r="N53" i="47"/>
  <c r="K53" i="47"/>
  <c r="A53" i="47"/>
  <c r="AY52" i="47"/>
  <c r="BA52" i="47" s="1"/>
  <c r="W52" i="47"/>
  <c r="Q52" i="47"/>
  <c r="P52" i="47"/>
  <c r="N52" i="47"/>
  <c r="K52" i="47"/>
  <c r="A52" i="47"/>
  <c r="AY51" i="47"/>
  <c r="BA51" i="47" s="1"/>
  <c r="W51" i="47"/>
  <c r="Q51" i="47"/>
  <c r="P51" i="47"/>
  <c r="N51" i="47"/>
  <c r="K51" i="47"/>
  <c r="A51" i="47"/>
  <c r="AY50" i="47"/>
  <c r="BA50" i="47" s="1"/>
  <c r="W50" i="47"/>
  <c r="Q50" i="47"/>
  <c r="P50" i="47"/>
  <c r="N50" i="47"/>
  <c r="K50" i="47"/>
  <c r="A50" i="47"/>
  <c r="AY49" i="47"/>
  <c r="BA49" i="47" s="1"/>
  <c r="W49" i="47"/>
  <c r="Q49" i="47"/>
  <c r="P49" i="47"/>
  <c r="N49" i="47"/>
  <c r="K49" i="47"/>
  <c r="A49" i="47"/>
  <c r="AY48" i="47"/>
  <c r="BA48" i="47" s="1"/>
  <c r="W48" i="47"/>
  <c r="Q48" i="47"/>
  <c r="P48" i="47"/>
  <c r="N48" i="47"/>
  <c r="K48" i="47"/>
  <c r="A48" i="47"/>
  <c r="AY47" i="47"/>
  <c r="BA47" i="47" s="1"/>
  <c r="W47" i="47"/>
  <c r="Q47" i="47"/>
  <c r="P47" i="47"/>
  <c r="N47" i="47"/>
  <c r="K47" i="47"/>
  <c r="A47" i="47"/>
  <c r="AY46" i="47"/>
  <c r="BA46" i="47" s="1"/>
  <c r="W46" i="47"/>
  <c r="Q46" i="47"/>
  <c r="P46" i="47"/>
  <c r="O46" i="47"/>
  <c r="N46" i="47"/>
  <c r="K46" i="47"/>
  <c r="A46" i="47"/>
  <c r="AY45" i="47"/>
  <c r="BA45" i="47" s="1"/>
  <c r="W45" i="47"/>
  <c r="Q45" i="47"/>
  <c r="P45" i="47"/>
  <c r="N45" i="47"/>
  <c r="K45" i="47"/>
  <c r="A45" i="47"/>
  <c r="AY44" i="47"/>
  <c r="BA44" i="47" s="1"/>
  <c r="W44" i="47"/>
  <c r="Q44" i="47"/>
  <c r="P44" i="47"/>
  <c r="N44" i="47"/>
  <c r="K44" i="47"/>
  <c r="A44" i="47"/>
  <c r="AY43" i="47"/>
  <c r="BA43" i="47" s="1"/>
  <c r="W43" i="47"/>
  <c r="Q43" i="47"/>
  <c r="P43" i="47"/>
  <c r="N43" i="47"/>
  <c r="K43" i="47"/>
  <c r="A43" i="47"/>
  <c r="AY42" i="47"/>
  <c r="BA42" i="47" s="1"/>
  <c r="W42" i="47"/>
  <c r="Q42" i="47"/>
  <c r="P42" i="47"/>
  <c r="N42" i="47"/>
  <c r="K42" i="47"/>
  <c r="A42" i="47"/>
  <c r="AY41" i="47"/>
  <c r="BA41" i="47" s="1"/>
  <c r="W41" i="47"/>
  <c r="Q41" i="47"/>
  <c r="P41" i="47"/>
  <c r="N41" i="47"/>
  <c r="K41" i="47"/>
  <c r="A41" i="47"/>
  <c r="AY40" i="47"/>
  <c r="BA40" i="47" s="1"/>
  <c r="W40" i="47"/>
  <c r="Q40" i="47"/>
  <c r="P40" i="47"/>
  <c r="N40" i="47"/>
  <c r="K40" i="47"/>
  <c r="A40" i="47"/>
  <c r="AY39" i="47"/>
  <c r="BA39" i="47" s="1"/>
  <c r="W39" i="47"/>
  <c r="Q39" i="47"/>
  <c r="P39" i="47"/>
  <c r="N39" i="47"/>
  <c r="K39" i="47"/>
  <c r="A39" i="47"/>
  <c r="AY38" i="47"/>
  <c r="BA38" i="47" s="1"/>
  <c r="W38" i="47"/>
  <c r="Q38" i="47"/>
  <c r="P38" i="47"/>
  <c r="N38" i="47"/>
  <c r="K38" i="47"/>
  <c r="A38" i="47"/>
  <c r="AY37" i="47"/>
  <c r="BA37" i="47" s="1"/>
  <c r="W37" i="47"/>
  <c r="Q37" i="47"/>
  <c r="P37" i="47"/>
  <c r="N37" i="47"/>
  <c r="K37" i="47"/>
  <c r="A37" i="47"/>
  <c r="AY36" i="47"/>
  <c r="BA36" i="47" s="1"/>
  <c r="W36" i="47"/>
  <c r="Q36" i="47"/>
  <c r="P36" i="47"/>
  <c r="N36" i="47"/>
  <c r="K36" i="47"/>
  <c r="A36" i="47"/>
  <c r="AY35" i="47"/>
  <c r="BA35" i="47"/>
  <c r="W35" i="47"/>
  <c r="Q35" i="47"/>
  <c r="P35" i="47"/>
  <c r="N35" i="47"/>
  <c r="K35" i="47"/>
  <c r="A35" i="47"/>
  <c r="AY34" i="47"/>
  <c r="BA34" i="47" s="1"/>
  <c r="W34" i="47"/>
  <c r="Q34" i="47"/>
  <c r="P34" i="47"/>
  <c r="N34" i="47"/>
  <c r="K34" i="47"/>
  <c r="A34" i="47"/>
  <c r="AY33" i="47"/>
  <c r="BA33" i="47" s="1"/>
  <c r="W33" i="47"/>
  <c r="Q33" i="47"/>
  <c r="P33" i="47"/>
  <c r="N33" i="47"/>
  <c r="K33" i="47"/>
  <c r="A33" i="47"/>
  <c r="AY32" i="47"/>
  <c r="BA32" i="47" s="1"/>
  <c r="W32" i="47"/>
  <c r="Q32" i="47"/>
  <c r="P32" i="47"/>
  <c r="N32" i="47"/>
  <c r="K32" i="47"/>
  <c r="A32" i="47"/>
  <c r="AY31" i="47"/>
  <c r="BA31" i="47" s="1"/>
  <c r="W31" i="47"/>
  <c r="Q31" i="47"/>
  <c r="P31" i="47"/>
  <c r="N31" i="47"/>
  <c r="K31" i="47"/>
  <c r="A31" i="47"/>
  <c r="AY30" i="47"/>
  <c r="BA30" i="47" s="1"/>
  <c r="W30" i="47"/>
  <c r="Q30" i="47"/>
  <c r="P30" i="47"/>
  <c r="N30" i="47"/>
  <c r="K30" i="47"/>
  <c r="A30" i="47"/>
  <c r="AZ29" i="47"/>
  <c r="AY29" i="47"/>
  <c r="W29" i="47"/>
  <c r="Q29" i="47"/>
  <c r="P29" i="47"/>
  <c r="N29" i="47"/>
  <c r="K29" i="47"/>
  <c r="A29" i="47"/>
  <c r="AZ28" i="47"/>
  <c r="AY28" i="47"/>
  <c r="BA28" i="47" s="1"/>
  <c r="W28" i="47"/>
  <c r="Q28" i="47"/>
  <c r="P28" i="47"/>
  <c r="N28" i="47"/>
  <c r="K28" i="47"/>
  <c r="A28" i="47"/>
  <c r="AY27" i="47"/>
  <c r="BA27" i="47"/>
  <c r="W27" i="47"/>
  <c r="Q27" i="47"/>
  <c r="P27" i="47"/>
  <c r="N27" i="47"/>
  <c r="K27" i="47"/>
  <c r="A27" i="47"/>
  <c r="AY26" i="47"/>
  <c r="W26" i="47"/>
  <c r="Q26" i="47"/>
  <c r="P26" i="47"/>
  <c r="N26" i="47"/>
  <c r="K26" i="47"/>
  <c r="A26" i="47"/>
  <c r="AY25" i="47"/>
  <c r="BA25" i="47" s="1"/>
  <c r="W25" i="47"/>
  <c r="Q25" i="47"/>
  <c r="P25" i="47"/>
  <c r="N25" i="47"/>
  <c r="K25" i="47"/>
  <c r="A25" i="47"/>
  <c r="AY24" i="47"/>
  <c r="BA24" i="47" s="1"/>
  <c r="W24" i="47"/>
  <c r="Q24" i="47"/>
  <c r="P24" i="47"/>
  <c r="N24" i="47"/>
  <c r="K24" i="47"/>
  <c r="A24" i="47"/>
  <c r="AY23" i="47"/>
  <c r="BA23" i="47" s="1"/>
  <c r="W23" i="47"/>
  <c r="Q23" i="47"/>
  <c r="P23" i="47"/>
  <c r="N23" i="47"/>
  <c r="K23" i="47"/>
  <c r="A23" i="47"/>
  <c r="AY22" i="47"/>
  <c r="BA22" i="47" s="1"/>
  <c r="W22" i="47"/>
  <c r="Q22" i="47"/>
  <c r="P22" i="47"/>
  <c r="N22" i="47"/>
  <c r="K22" i="47"/>
  <c r="A22" i="47"/>
  <c r="AY21" i="47"/>
  <c r="BA21" i="47" s="1"/>
  <c r="W21" i="47"/>
  <c r="Q21" i="47"/>
  <c r="P21" i="47"/>
  <c r="N21" i="47"/>
  <c r="K21" i="47"/>
  <c r="A21" i="47"/>
  <c r="AY20" i="47"/>
  <c r="BA20" i="47" s="1"/>
  <c r="W20" i="47"/>
  <c r="Q20" i="47"/>
  <c r="P20" i="47"/>
  <c r="N20" i="47"/>
  <c r="K20" i="47"/>
  <c r="A20" i="47"/>
  <c r="AY19" i="47"/>
  <c r="BA19" i="47" s="1"/>
  <c r="Q19" i="47"/>
  <c r="N19" i="47"/>
  <c r="K19" i="47"/>
  <c r="H19" i="47"/>
  <c r="A19" i="47"/>
  <c r="AY18" i="47"/>
  <c r="BA18" i="47" s="1"/>
  <c r="W18" i="47"/>
  <c r="Q18" i="47"/>
  <c r="P18" i="47"/>
  <c r="N18" i="47"/>
  <c r="K18" i="47"/>
  <c r="A18" i="47"/>
  <c r="AY17" i="47"/>
  <c r="BA17" i="47" s="1"/>
  <c r="W17" i="47"/>
  <c r="Q17" i="47"/>
  <c r="P17" i="47"/>
  <c r="O17" i="47"/>
  <c r="N17" i="47"/>
  <c r="K17" i="47"/>
  <c r="A17" i="47"/>
  <c r="AY16" i="47"/>
  <c r="BA16" i="47" s="1"/>
  <c r="W16" i="47"/>
  <c r="Q16" i="47"/>
  <c r="P16" i="47"/>
  <c r="O16" i="47"/>
  <c r="N16" i="47"/>
  <c r="K16" i="47"/>
  <c r="A16" i="47"/>
  <c r="AY15" i="47"/>
  <c r="BA15" i="47" s="1"/>
  <c r="W15" i="47"/>
  <c r="Q15" i="47"/>
  <c r="P15" i="47"/>
  <c r="O15" i="47"/>
  <c r="N15" i="47"/>
  <c r="K15" i="47"/>
  <c r="A15" i="47"/>
  <c r="AY14" i="47"/>
  <c r="BA14" i="47" s="1"/>
  <c r="W14" i="47"/>
  <c r="Q14" i="47"/>
  <c r="P14" i="47"/>
  <c r="N14" i="47"/>
  <c r="K14" i="47"/>
  <c r="A14" i="47"/>
  <c r="AY13" i="47"/>
  <c r="BA13" i="47" s="1"/>
  <c r="W13" i="47"/>
  <c r="Q13" i="47"/>
  <c r="P13" i="47"/>
  <c r="N13" i="47"/>
  <c r="K13" i="47"/>
  <c r="A13" i="47"/>
  <c r="AY12" i="47"/>
  <c r="BA12" i="47" s="1"/>
  <c r="W12" i="47"/>
  <c r="Q12" i="47"/>
  <c r="P12" i="47"/>
  <c r="N12" i="47"/>
  <c r="K12" i="47"/>
  <c r="A12" i="47"/>
  <c r="AY11" i="47"/>
  <c r="BA11" i="47" s="1"/>
  <c r="W11" i="47"/>
  <c r="Q11" i="47"/>
  <c r="P11" i="47"/>
  <c r="N11" i="47"/>
  <c r="K11" i="47"/>
  <c r="A11" i="47"/>
  <c r="AY10" i="47"/>
  <c r="BA10" i="47" s="1"/>
  <c r="W10" i="47"/>
  <c r="Q10" i="47"/>
  <c r="P10" i="47"/>
  <c r="N10" i="47"/>
  <c r="K10" i="47"/>
  <c r="A10" i="47"/>
  <c r="AY9" i="47"/>
  <c r="BA9" i="47" s="1"/>
  <c r="W9" i="47"/>
  <c r="Q9" i="47"/>
  <c r="P9" i="47"/>
  <c r="N9" i="47"/>
  <c r="K9" i="47"/>
  <c r="A9" i="47"/>
  <c r="AY8" i="47"/>
  <c r="BA8" i="47" s="1"/>
  <c r="W8" i="47"/>
  <c r="Q8" i="47"/>
  <c r="P8" i="47"/>
  <c r="N8" i="47"/>
  <c r="K8" i="47"/>
  <c r="A8" i="47"/>
  <c r="AY7" i="47"/>
  <c r="BA7" i="47" s="1"/>
  <c r="W7" i="47"/>
  <c r="Q7" i="47"/>
  <c r="P7" i="47"/>
  <c r="N7" i="47"/>
  <c r="K7" i="47"/>
  <c r="A7" i="47"/>
  <c r="AY6" i="47"/>
  <c r="BA6" i="47" s="1"/>
  <c r="W6" i="47"/>
  <c r="Q6" i="47"/>
  <c r="P6" i="47"/>
  <c r="N6" i="47"/>
  <c r="K6" i="47"/>
  <c r="A6" i="47"/>
  <c r="ET102" i="2" s="1"/>
  <c r="AY5" i="47"/>
  <c r="BA5" i="47" s="1"/>
  <c r="W5" i="47"/>
  <c r="Q5" i="47"/>
  <c r="P5" i="47"/>
  <c r="N5" i="47"/>
  <c r="K5" i="47"/>
  <c r="A5" i="47"/>
  <c r="AY4" i="47"/>
  <c r="BA4" i="47" s="1"/>
  <c r="W4" i="47"/>
  <c r="Q4" i="47"/>
  <c r="P4" i="47"/>
  <c r="N4" i="47"/>
  <c r="K4" i="47"/>
  <c r="A4" i="47"/>
  <c r="AY3" i="47"/>
  <c r="BA3" i="47"/>
  <c r="W3" i="47"/>
  <c r="T3" i="47"/>
  <c r="Q3" i="47"/>
  <c r="P3" i="47"/>
  <c r="N3" i="47"/>
  <c r="K3" i="47"/>
  <c r="A3" i="47"/>
  <c r="C77" i="3"/>
  <c r="C75" i="3"/>
  <c r="C73" i="3"/>
  <c r="C71" i="3"/>
  <c r="C69" i="3"/>
  <c r="C67" i="3"/>
  <c r="C65" i="3"/>
  <c r="C63" i="3"/>
  <c r="C61" i="3"/>
  <c r="C59" i="3"/>
  <c r="C57" i="3"/>
  <c r="C55" i="3"/>
  <c r="C53" i="3"/>
  <c r="C51" i="3"/>
  <c r="C49" i="3"/>
  <c r="C47" i="3"/>
  <c r="C45" i="3"/>
  <c r="C43" i="3"/>
  <c r="C41" i="3"/>
  <c r="C39" i="3"/>
  <c r="C37" i="3"/>
  <c r="C35" i="3"/>
  <c r="C33" i="3"/>
  <c r="B32" i="3"/>
  <c r="C31" i="3"/>
  <c r="C29" i="3"/>
  <c r="C27" i="3"/>
  <c r="C25" i="3"/>
  <c r="C23" i="3"/>
  <c r="C21" i="3"/>
  <c r="C19" i="3"/>
  <c r="C17" i="3"/>
  <c r="C15" i="3"/>
  <c r="C13" i="3"/>
  <c r="C11" i="3"/>
  <c r="C9" i="3"/>
  <c r="C7" i="3"/>
  <c r="C5" i="3"/>
  <c r="B3" i="3"/>
  <c r="AM121" i="4"/>
  <c r="AK121" i="4"/>
  <c r="F121" i="4"/>
  <c r="BI133" i="4"/>
  <c r="AM133" i="4"/>
  <c r="AK133" i="4"/>
  <c r="F133" i="4"/>
  <c r="BI130" i="4"/>
  <c r="AM130" i="4"/>
  <c r="AK130" i="4"/>
  <c r="F130" i="4"/>
  <c r="BI126" i="4"/>
  <c r="AM126" i="4"/>
  <c r="AK126" i="4"/>
  <c r="F126" i="4"/>
  <c r="BI143" i="4"/>
  <c r="AM143" i="4"/>
  <c r="AK143" i="4"/>
  <c r="O143" i="4"/>
  <c r="K143" i="4" a="1"/>
  <c r="K143" i="4" s="1"/>
  <c r="F143" i="4"/>
  <c r="BI141" i="4"/>
  <c r="AM141" i="4"/>
  <c r="AK141" i="4"/>
  <c r="O141" i="4"/>
  <c r="K141" i="4" a="1"/>
  <c r="K141" i="4" s="1"/>
  <c r="F141" i="4"/>
  <c r="BI139" i="4"/>
  <c r="AM139" i="4"/>
  <c r="AK139" i="4"/>
  <c r="O139" i="4"/>
  <c r="K139" i="4" a="1"/>
  <c r="K139" i="4" s="1"/>
  <c r="F139" i="4"/>
  <c r="BI137" i="4"/>
  <c r="AM137" i="4"/>
  <c r="AK137" i="4"/>
  <c r="O137" i="4"/>
  <c r="K137" i="4" a="1"/>
  <c r="K137" i="4"/>
  <c r="F137" i="4"/>
  <c r="BI138" i="4"/>
  <c r="AM138" i="4"/>
  <c r="AK138" i="4"/>
  <c r="O138" i="4"/>
  <c r="K138" i="4" a="1"/>
  <c r="K138" i="4" s="1"/>
  <c r="F138" i="4"/>
  <c r="BI136" i="4"/>
  <c r="AM136" i="4"/>
  <c r="AK136" i="4"/>
  <c r="O136" i="4"/>
  <c r="K136" i="4" a="1"/>
  <c r="K136" i="4" s="1"/>
  <c r="F136" i="4"/>
  <c r="BI135" i="4"/>
  <c r="AM135" i="4"/>
  <c r="AK135" i="4"/>
  <c r="O135" i="4"/>
  <c r="F135" i="4"/>
  <c r="BI132" i="4"/>
  <c r="AM132" i="4"/>
  <c r="AK132" i="4"/>
  <c r="O132" i="4"/>
  <c r="F132" i="4"/>
  <c r="BI129" i="4"/>
  <c r="AM129" i="4"/>
  <c r="AK129" i="4"/>
  <c r="O129" i="4"/>
  <c r="F129" i="4"/>
  <c r="BI128" i="4"/>
  <c r="AM128" i="4"/>
  <c r="AK128" i="4"/>
  <c r="O128" i="4"/>
  <c r="F128" i="4"/>
  <c r="AM125" i="4"/>
  <c r="AK125" i="4"/>
  <c r="N125" i="4"/>
  <c r="O125" i="4" s="1"/>
  <c r="F125" i="4"/>
  <c r="AM124" i="4"/>
  <c r="AK124" i="4"/>
  <c r="F124" i="4"/>
  <c r="BI123" i="4"/>
  <c r="AM123" i="4"/>
  <c r="AK123" i="4"/>
  <c r="O123" i="4"/>
  <c r="F123" i="4"/>
  <c r="AM122" i="4"/>
  <c r="AK122" i="4"/>
  <c r="K122" i="4" a="1"/>
  <c r="K122" i="4" s="1"/>
  <c r="F122" i="4"/>
  <c r="AM120" i="4"/>
  <c r="AK120" i="4"/>
  <c r="N120" i="4"/>
  <c r="O120" i="4" s="1"/>
  <c r="F120" i="4"/>
  <c r="CJ119" i="4"/>
  <c r="BT119" i="4"/>
  <c r="BS119" i="4"/>
  <c r="BI119" i="4"/>
  <c r="AJ119" i="4"/>
  <c r="AH119" i="4"/>
  <c r="O119" i="4"/>
  <c r="BI116" i="4"/>
  <c r="AM116" i="4"/>
  <c r="AK116" i="4"/>
  <c r="O116" i="4"/>
  <c r="F116" i="4"/>
  <c r="BI118" i="4"/>
  <c r="AM118" i="4"/>
  <c r="AK118" i="4"/>
  <c r="O118" i="4"/>
  <c r="F118" i="4"/>
  <c r="BI117" i="4"/>
  <c r="AM117" i="4"/>
  <c r="AK117" i="4"/>
  <c r="F117" i="4"/>
  <c r="BI110" i="4"/>
  <c r="AM110" i="4"/>
  <c r="AK110" i="4"/>
  <c r="O110" i="4"/>
  <c r="F110" i="4"/>
  <c r="BI107" i="4"/>
  <c r="AM107" i="4"/>
  <c r="AK107" i="4"/>
  <c r="O107" i="4"/>
  <c r="F107" i="4"/>
  <c r="BI106" i="4"/>
  <c r="AM106" i="4"/>
  <c r="AK106" i="4"/>
  <c r="O106" i="4"/>
  <c r="F106" i="4"/>
  <c r="BI105" i="4"/>
  <c r="AM105" i="4"/>
  <c r="AK105" i="4"/>
  <c r="O105" i="4"/>
  <c r="F105" i="4"/>
  <c r="AM112" i="4"/>
  <c r="AK112" i="4"/>
  <c r="N112" i="4"/>
  <c r="BI112" i="4"/>
  <c r="K112" i="4" a="1"/>
  <c r="K112" i="4" s="1"/>
  <c r="F112" i="4"/>
  <c r="AM111" i="4"/>
  <c r="AK111" i="4"/>
  <c r="N111" i="4"/>
  <c r="F111" i="4"/>
  <c r="BI102" i="4"/>
  <c r="AM102" i="4"/>
  <c r="AK102" i="4"/>
  <c r="O102" i="4"/>
  <c r="F102" i="4"/>
  <c r="BI101" i="4"/>
  <c r="AM101" i="4"/>
  <c r="AK101" i="4"/>
  <c r="F101" i="4"/>
  <c r="BI100" i="4"/>
  <c r="AM100" i="4"/>
  <c r="AK100" i="4"/>
  <c r="O100" i="4"/>
  <c r="F100" i="4"/>
  <c r="BI99" i="4"/>
  <c r="AM99" i="4"/>
  <c r="AK99" i="4"/>
  <c r="O99" i="4"/>
  <c r="F99" i="4"/>
  <c r="BI98" i="4"/>
  <c r="AM98" i="4"/>
  <c r="AK98" i="4"/>
  <c r="O98" i="4"/>
  <c r="F98" i="4"/>
  <c r="BI97" i="4"/>
  <c r="AM97" i="4"/>
  <c r="AK97" i="4"/>
  <c r="F97" i="4"/>
  <c r="BI96" i="4"/>
  <c r="AM96" i="4"/>
  <c r="AK96" i="4"/>
  <c r="O96" i="4"/>
  <c r="K96" i="4" a="1"/>
  <c r="K96" i="4" s="1"/>
  <c r="F96" i="4"/>
  <c r="BI95" i="4"/>
  <c r="AM95" i="4"/>
  <c r="AK95" i="4"/>
  <c r="O95" i="4"/>
  <c r="F95" i="4"/>
  <c r="BI94" i="4"/>
  <c r="AM94" i="4"/>
  <c r="AK94" i="4"/>
  <c r="O94" i="4"/>
  <c r="K94" i="4" a="1"/>
  <c r="K94" i="4" s="1"/>
  <c r="F94" i="4"/>
  <c r="BI93" i="4"/>
  <c r="AM93" i="4"/>
  <c r="AK93" i="4"/>
  <c r="O93" i="4"/>
  <c r="F93" i="4"/>
  <c r="AM92" i="4"/>
  <c r="AK92" i="4"/>
  <c r="N92" i="4"/>
  <c r="BI92" i="4" s="1"/>
  <c r="F92" i="4"/>
  <c r="AM91" i="4"/>
  <c r="AK91" i="4"/>
  <c r="N91" i="4"/>
  <c r="BI91" i="4" s="1"/>
  <c r="F91" i="4"/>
  <c r="AM90" i="4"/>
  <c r="AK90" i="4"/>
  <c r="N90" i="4"/>
  <c r="O90" i="4" s="1"/>
  <c r="F90" i="4"/>
  <c r="AM89" i="4"/>
  <c r="AK89" i="4"/>
  <c r="N89" i="4"/>
  <c r="BI89" i="4" s="1"/>
  <c r="F89" i="4"/>
  <c r="BI88" i="4"/>
  <c r="AM88" i="4"/>
  <c r="AK88" i="4"/>
  <c r="O88" i="4"/>
  <c r="F88" i="4"/>
  <c r="BI87" i="4"/>
  <c r="AM87" i="4"/>
  <c r="AK87" i="4"/>
  <c r="O87" i="4"/>
  <c r="K87" i="4" a="1"/>
  <c r="K87" i="4" s="1"/>
  <c r="F87" i="4"/>
  <c r="CJ86" i="4"/>
  <c r="BT86" i="4"/>
  <c r="BS86" i="4"/>
  <c r="BI86" i="4"/>
  <c r="AJ86" i="4"/>
  <c r="AH86" i="4"/>
  <c r="O86" i="4"/>
  <c r="BI79" i="4"/>
  <c r="AM79" i="4"/>
  <c r="AK79" i="4"/>
  <c r="K79" i="4" a="1"/>
  <c r="K79" i="4" s="1"/>
  <c r="F79" i="4"/>
  <c r="BI78" i="4"/>
  <c r="AM78" i="4"/>
  <c r="AK78" i="4"/>
  <c r="K78" i="4" a="1"/>
  <c r="K78" i="4" s="1"/>
  <c r="F78" i="4"/>
  <c r="BI77" i="4"/>
  <c r="AM77" i="4"/>
  <c r="AK77" i="4"/>
  <c r="K77" i="4" a="1"/>
  <c r="K77" i="4" s="1"/>
  <c r="F77" i="4"/>
  <c r="BI75" i="4"/>
  <c r="AM75" i="4"/>
  <c r="AK75" i="4"/>
  <c r="K75" i="4" a="1"/>
  <c r="K75" i="4" s="1"/>
  <c r="F75" i="4"/>
  <c r="BI74" i="4"/>
  <c r="AM74" i="4"/>
  <c r="AK74" i="4"/>
  <c r="K74" i="4" a="1"/>
  <c r="K74" i="4" s="1"/>
  <c r="F74" i="4"/>
  <c r="BI73" i="4"/>
  <c r="AM73" i="4"/>
  <c r="AK73" i="4"/>
  <c r="K73" i="4" a="1"/>
  <c r="K73" i="4" s="1"/>
  <c r="F73" i="4"/>
  <c r="AM84" i="4"/>
  <c r="AK84" i="4"/>
  <c r="N84" i="4"/>
  <c r="BI84" i="4" s="1"/>
  <c r="F84" i="4"/>
  <c r="AM83" i="4"/>
  <c r="AK83" i="4"/>
  <c r="N83" i="4"/>
  <c r="BI83" i="4" s="1"/>
  <c r="F83" i="4"/>
  <c r="AM82" i="4"/>
  <c r="AK82" i="4"/>
  <c r="N82" i="4"/>
  <c r="O82" i="4" s="1"/>
  <c r="F82" i="4"/>
  <c r="AM81" i="4"/>
  <c r="AK81" i="4"/>
  <c r="N81" i="4"/>
  <c r="BI81" i="4"/>
  <c r="F81" i="4"/>
  <c r="AM85" i="4"/>
  <c r="AK85" i="4"/>
  <c r="N85" i="4"/>
  <c r="BI85" i="4" s="1"/>
  <c r="F85" i="4"/>
  <c r="BI80" i="4"/>
  <c r="AM80" i="4"/>
  <c r="AK80" i="4"/>
  <c r="O80" i="4"/>
  <c r="F80" i="4"/>
  <c r="BI72" i="4"/>
  <c r="AM72" i="4"/>
  <c r="AK72" i="4"/>
  <c r="O72" i="4"/>
  <c r="K72" i="4" a="1"/>
  <c r="K72" i="4" s="1"/>
  <c r="F72" i="4"/>
  <c r="BI71" i="4"/>
  <c r="AM71" i="4"/>
  <c r="AK71" i="4"/>
  <c r="O71" i="4"/>
  <c r="F71" i="4"/>
  <c r="AM70" i="4"/>
  <c r="AK70" i="4"/>
  <c r="N70" i="4"/>
  <c r="BI70" i="4" s="1"/>
  <c r="F70" i="4"/>
  <c r="AM69" i="4"/>
  <c r="AK69" i="4"/>
  <c r="N69" i="4"/>
  <c r="BI69" i="4" s="1"/>
  <c r="F69" i="4"/>
  <c r="BI68" i="4"/>
  <c r="AM68" i="4"/>
  <c r="AK68" i="4"/>
  <c r="O68" i="4"/>
  <c r="F68" i="4"/>
  <c r="BI67" i="4"/>
  <c r="AM67" i="4"/>
  <c r="AK67" i="4"/>
  <c r="O67" i="4"/>
  <c r="K67" i="4" a="1"/>
  <c r="K67" i="4" s="1"/>
  <c r="F67" i="4"/>
  <c r="BT64" i="4"/>
  <c r="BS64" i="4"/>
  <c r="AM64" i="4"/>
  <c r="AK64" i="4"/>
  <c r="AJ64" i="4"/>
  <c r="AD64" i="4"/>
  <c r="Z64" i="4"/>
  <c r="N64" i="4"/>
  <c r="K64" i="4" a="1"/>
  <c r="K64" i="4" s="1"/>
  <c r="F64" i="4"/>
  <c r="CJ66" i="4"/>
  <c r="BT66" i="4"/>
  <c r="BS66" i="4"/>
  <c r="BI66" i="4"/>
  <c r="AJ66" i="4"/>
  <c r="AD66" i="4"/>
  <c r="DG66" i="4" s="1"/>
  <c r="Z66" i="4"/>
  <c r="O66" i="4"/>
  <c r="CJ65" i="4"/>
  <c r="BT65" i="4"/>
  <c r="BS65" i="4"/>
  <c r="BI65" i="4"/>
  <c r="AJ65" i="4"/>
  <c r="AD65" i="4"/>
  <c r="Z65" i="4"/>
  <c r="O65" i="4"/>
  <c r="AM63" i="4"/>
  <c r="AK63" i="4"/>
  <c r="N63" i="4"/>
  <c r="O63" i="4"/>
  <c r="F63" i="4"/>
  <c r="AM62" i="4"/>
  <c r="AK62" i="4"/>
  <c r="N62" i="4"/>
  <c r="BI62" i="4" s="1"/>
  <c r="K62" i="4" a="1"/>
  <c r="K62" i="4" s="1"/>
  <c r="F62" i="4"/>
  <c r="BI61" i="4"/>
  <c r="AM61" i="4"/>
  <c r="AK61" i="4"/>
  <c r="O61" i="4"/>
  <c r="F61" i="4"/>
  <c r="BI60" i="4"/>
  <c r="AM60" i="4"/>
  <c r="AK60" i="4"/>
  <c r="O60" i="4"/>
  <c r="F60" i="4"/>
  <c r="BI57" i="4"/>
  <c r="AM57" i="4"/>
  <c r="AK57" i="4"/>
  <c r="O57" i="4"/>
  <c r="F57" i="4"/>
  <c r="BI59" i="4"/>
  <c r="AM59" i="4"/>
  <c r="AK59" i="4"/>
  <c r="O59" i="4"/>
  <c r="F59" i="4"/>
  <c r="BI58" i="4"/>
  <c r="AM58" i="4"/>
  <c r="AK58" i="4"/>
  <c r="O58" i="4"/>
  <c r="F58" i="4"/>
  <c r="AM55" i="4"/>
  <c r="AK55" i="4"/>
  <c r="N55" i="4"/>
  <c r="O55" i="4" s="1"/>
  <c r="F55" i="4"/>
  <c r="AM53" i="4"/>
  <c r="AK53" i="4"/>
  <c r="N53" i="4"/>
  <c r="O53" i="4" s="1"/>
  <c r="F53" i="4"/>
  <c r="BI54" i="4"/>
  <c r="AM54" i="4"/>
  <c r="AK54" i="4"/>
  <c r="O54" i="4"/>
  <c r="F54" i="4"/>
  <c r="BI52" i="4"/>
  <c r="AM52" i="4"/>
  <c r="AK52" i="4"/>
  <c r="F52" i="4"/>
  <c r="BI51" i="4"/>
  <c r="AM51" i="4"/>
  <c r="AK51" i="4"/>
  <c r="O51" i="4"/>
  <c r="F51" i="4"/>
  <c r="BI50" i="4"/>
  <c r="AM50" i="4"/>
  <c r="AK50" i="4"/>
  <c r="O50" i="4"/>
  <c r="F50" i="4"/>
  <c r="BI49" i="4"/>
  <c r="AM49" i="4"/>
  <c r="AK49" i="4"/>
  <c r="O49" i="4"/>
  <c r="F49" i="4"/>
  <c r="BI48" i="4"/>
  <c r="AM48" i="4"/>
  <c r="AK48" i="4"/>
  <c r="O48" i="4"/>
  <c r="F48" i="4"/>
  <c r="BI47" i="4"/>
  <c r="AM47" i="4"/>
  <c r="AK47" i="4"/>
  <c r="O47" i="4"/>
  <c r="F47" i="4"/>
  <c r="BI46" i="4"/>
  <c r="AM46" i="4"/>
  <c r="AK46" i="4"/>
  <c r="O46" i="4"/>
  <c r="F46" i="4"/>
  <c r="BI45" i="4"/>
  <c r="AM45" i="4"/>
  <c r="AK45" i="4"/>
  <c r="O45" i="4"/>
  <c r="F45" i="4"/>
  <c r="BI44" i="4"/>
  <c r="AM44" i="4"/>
  <c r="AK44" i="4"/>
  <c r="O44" i="4"/>
  <c r="F44" i="4"/>
  <c r="BI43" i="4"/>
  <c r="AM43" i="4"/>
  <c r="AK43" i="4"/>
  <c r="O43" i="4"/>
  <c r="K43" i="4" a="1"/>
  <c r="K43" i="4" s="1"/>
  <c r="F43" i="4"/>
  <c r="AM41" i="4"/>
  <c r="AK41" i="4"/>
  <c r="N41" i="4"/>
  <c r="BI41" i="4" s="1"/>
  <c r="K41" i="4" a="1"/>
  <c r="K41" i="4" s="1"/>
  <c r="F41" i="4"/>
  <c r="AM40" i="4"/>
  <c r="AK40" i="4"/>
  <c r="N40" i="4"/>
  <c r="O40" i="4"/>
  <c r="F40" i="4"/>
  <c r="AM39" i="4"/>
  <c r="AK39" i="4"/>
  <c r="N39" i="4"/>
  <c r="K39" i="4" a="1"/>
  <c r="K39" i="4" s="1"/>
  <c r="F39" i="4"/>
  <c r="AM38" i="4"/>
  <c r="AK38" i="4"/>
  <c r="N38" i="4"/>
  <c r="BI38" i="4" s="1"/>
  <c r="F38" i="4"/>
  <c r="BI34" i="4"/>
  <c r="AM34" i="4"/>
  <c r="AK34" i="4"/>
  <c r="O34" i="4"/>
  <c r="F34" i="4"/>
  <c r="BI33" i="4"/>
  <c r="AM33" i="4"/>
  <c r="AK33" i="4"/>
  <c r="O33" i="4"/>
  <c r="F33" i="4"/>
  <c r="BI32" i="4"/>
  <c r="AM32" i="4"/>
  <c r="AK32" i="4"/>
  <c r="O32" i="4"/>
  <c r="F32" i="4"/>
  <c r="AM37" i="4"/>
  <c r="AK37" i="4"/>
  <c r="F37" i="4"/>
  <c r="AM36" i="4"/>
  <c r="AK36" i="4"/>
  <c r="N36" i="4"/>
  <c r="BI36" i="4" s="1"/>
  <c r="F36" i="4"/>
  <c r="BI31" i="4"/>
  <c r="AM31" i="4"/>
  <c r="AK31" i="4"/>
  <c r="O31" i="4"/>
  <c r="F31" i="4"/>
  <c r="AM30" i="4"/>
  <c r="AK30" i="4"/>
  <c r="N30" i="4"/>
  <c r="O30" i="4" s="1"/>
  <c r="F30" i="4"/>
  <c r="AM29" i="4"/>
  <c r="AK29" i="4"/>
  <c r="N29" i="4"/>
  <c r="K29" i="4" a="1"/>
  <c r="K29" i="4" s="1"/>
  <c r="F29" i="4"/>
  <c r="BI28" i="4"/>
  <c r="AM28" i="4"/>
  <c r="AK28" i="4"/>
  <c r="O28" i="4"/>
  <c r="F28" i="4"/>
  <c r="AM27" i="4"/>
  <c r="AK27" i="4"/>
  <c r="N27" i="4"/>
  <c r="BI27" i="4" s="1"/>
  <c r="F27" i="4"/>
  <c r="AM26" i="4"/>
  <c r="AK26" i="4"/>
  <c r="N26" i="4"/>
  <c r="O26" i="4" s="1"/>
  <c r="F26" i="4"/>
  <c r="AM25" i="4"/>
  <c r="AK25" i="4"/>
  <c r="O25" i="4"/>
  <c r="N25" i="4"/>
  <c r="BI25" i="4" s="1"/>
  <c r="F25" i="4"/>
  <c r="AM23" i="4"/>
  <c r="AK23" i="4"/>
  <c r="F23" i="4"/>
  <c r="BI11" i="4"/>
  <c r="AM11" i="4"/>
  <c r="AK11" i="4"/>
  <c r="F11" i="4"/>
  <c r="BI20" i="4"/>
  <c r="AM20" i="4"/>
  <c r="AK20" i="4"/>
  <c r="O20" i="4"/>
  <c r="F20" i="4"/>
  <c r="BI19" i="4"/>
  <c r="AM19" i="4"/>
  <c r="AK19" i="4"/>
  <c r="O19" i="4"/>
  <c r="F19" i="4"/>
  <c r="BI17" i="4"/>
  <c r="AM17" i="4"/>
  <c r="AK17" i="4"/>
  <c r="O17" i="4"/>
  <c r="F17" i="4"/>
  <c r="BI16" i="4"/>
  <c r="AM16" i="4"/>
  <c r="AK16" i="4"/>
  <c r="K16" i="4" a="1"/>
  <c r="K16" i="4" s="1"/>
  <c r="F16" i="4"/>
  <c r="AM15" i="4"/>
  <c r="AK15" i="4"/>
  <c r="N15" i="4"/>
  <c r="BI15" i="4" s="1"/>
  <c r="F15" i="4"/>
  <c r="AM14" i="4"/>
  <c r="AK14" i="4"/>
  <c r="N14" i="4"/>
  <c r="BI14" i="4"/>
  <c r="F14" i="4"/>
  <c r="BI8" i="4"/>
  <c r="AM8" i="4"/>
  <c r="AK8" i="4"/>
  <c r="O8" i="4"/>
  <c r="F8" i="4"/>
  <c r="EF4" i="4"/>
  <c r="EF3" i="4" s="1"/>
  <c r="EE4" i="4"/>
  <c r="EE3" i="4" s="1"/>
  <c r="ED4" i="4"/>
  <c r="ED3" i="4" s="1"/>
  <c r="EC4" i="4"/>
  <c r="EC3" i="4" s="1"/>
  <c r="EB4" i="4"/>
  <c r="EB3" i="4" s="1"/>
  <c r="EA4" i="4"/>
  <c r="EA3" i="4" s="1"/>
  <c r="DZ4" i="4"/>
  <c r="DZ3" i="4" s="1"/>
  <c r="DY4" i="4"/>
  <c r="DY3" i="4" s="1"/>
  <c r="DX4" i="4"/>
  <c r="DX3" i="4" s="1"/>
  <c r="DW4" i="4"/>
  <c r="DW3" i="4" s="1"/>
  <c r="DV4" i="4"/>
  <c r="DV3" i="4" s="1"/>
  <c r="DU4" i="4"/>
  <c r="DU3" i="4" s="1"/>
  <c r="DT4" i="4"/>
  <c r="DT3" i="4" s="1"/>
  <c r="DS4" i="4"/>
  <c r="DS3" i="4" s="1"/>
  <c r="DR4" i="4"/>
  <c r="DR3" i="4"/>
  <c r="DQ4" i="4"/>
  <c r="DQ3" i="4" s="1"/>
  <c r="DP4" i="4"/>
  <c r="DP3" i="4" s="1"/>
  <c r="DO4" i="4"/>
  <c r="DO3" i="4" s="1"/>
  <c r="DN4" i="4"/>
  <c r="DN3" i="4" s="1"/>
  <c r="DM4" i="4"/>
  <c r="DM3" i="4" s="1"/>
  <c r="DL4" i="4"/>
  <c r="DL3" i="4" s="1"/>
  <c r="DK4" i="4"/>
  <c r="DK3" i="4" s="1"/>
  <c r="DJ4" i="4"/>
  <c r="DJ3" i="4" s="1"/>
  <c r="DI4" i="4"/>
  <c r="DI3" i="4" s="1"/>
  <c r="DH4" i="4"/>
  <c r="DH119" i="4" s="1"/>
  <c r="DG4" i="4"/>
  <c r="DG3" i="4" s="1"/>
  <c r="DF4" i="4"/>
  <c r="DE4" i="4"/>
  <c r="DE86" i="4" s="1"/>
  <c r="DD4" i="4"/>
  <c r="DD3" i="4" s="1"/>
  <c r="DC4" i="4"/>
  <c r="DC86" i="4" s="1"/>
  <c r="DB4" i="4"/>
  <c r="DB119" i="4" s="1"/>
  <c r="DA4" i="4"/>
  <c r="DA119" i="4" s="1"/>
  <c r="CZ4" i="4"/>
  <c r="CZ86" i="4" s="1"/>
  <c r="CY4" i="4"/>
  <c r="CX4" i="4"/>
  <c r="CW4" i="4"/>
  <c r="CV4" i="4"/>
  <c r="CV3" i="4" s="1"/>
  <c r="CU4" i="4"/>
  <c r="CU86" i="4" s="1"/>
  <c r="CT4" i="4"/>
  <c r="CT3" i="4" s="1"/>
  <c r="CS4" i="4"/>
  <c r="CS86" i="4" s="1"/>
  <c r="CR4" i="4"/>
  <c r="CQ4" i="4"/>
  <c r="CQ86" i="4"/>
  <c r="CP4" i="4"/>
  <c r="CO4" i="4"/>
  <c r="CO119" i="4" s="1"/>
  <c r="CN4" i="4"/>
  <c r="CN3" i="4" s="1"/>
  <c r="CM4" i="4"/>
  <c r="CM86" i="4" s="1"/>
  <c r="CL4" i="4"/>
  <c r="CL3" i="4" s="1"/>
  <c r="CK4" i="4"/>
  <c r="CK86" i="4" s="1"/>
  <c r="CI4" i="4"/>
  <c r="CH4" i="4"/>
  <c r="CG4" i="4"/>
  <c r="CF4" i="4"/>
  <c r="CE4" i="4"/>
  <c r="CD4" i="4"/>
  <c r="CC4" i="4"/>
  <c r="CB4" i="4"/>
  <c r="CA4" i="4"/>
  <c r="BZ4" i="4"/>
  <c r="BY4" i="4"/>
  <c r="BX4" i="4"/>
  <c r="BW4" i="4"/>
  <c r="BV4" i="4"/>
  <c r="BU4" i="4"/>
  <c r="BT4" i="4"/>
  <c r="BS4" i="4"/>
  <c r="BR4" i="4"/>
  <c r="BQ4" i="4"/>
  <c r="BP4" i="4"/>
  <c r="BO4" i="4"/>
  <c r="BN4" i="4"/>
  <c r="BM4" i="4"/>
  <c r="BL4" i="4"/>
  <c r="BK4" i="4"/>
  <c r="BJ4" i="4"/>
  <c r="BI4" i="4"/>
  <c r="BH4" i="4"/>
  <c r="BG4" i="4"/>
  <c r="BF4" i="4"/>
  <c r="BE4" i="4"/>
  <c r="BD4" i="4"/>
  <c r="BC4" i="4"/>
  <c r="AN4" i="4"/>
  <c r="AM4" i="4"/>
  <c r="AL4" i="4"/>
  <c r="AK4" i="4"/>
  <c r="AG4" i="4"/>
  <c r="AE4" i="4"/>
  <c r="AB4" i="4"/>
  <c r="AA4" i="4"/>
  <c r="W4" i="4"/>
  <c r="U4" i="4"/>
  <c r="T4" i="4"/>
  <c r="O4" i="4"/>
  <c r="N4" i="4"/>
  <c r="M4" i="4"/>
  <c r="L4" i="4"/>
  <c r="J4" i="4"/>
  <c r="I4" i="4"/>
  <c r="H4" i="4"/>
  <c r="G4" i="4"/>
  <c r="E4" i="4"/>
  <c r="D4" i="4"/>
  <c r="B4" i="4"/>
  <c r="B2" i="4"/>
  <c r="ER342" i="2"/>
  <c r="EH342" i="2"/>
  <c r="DO342" i="2"/>
  <c r="CM342" i="2"/>
  <c r="CL342" i="2" a="1"/>
  <c r="CL342" i="2"/>
  <c r="CJ342" i="2"/>
  <c r="CB342" i="2"/>
  <c r="BV342" i="2"/>
  <c r="BS342" i="2"/>
  <c r="BM342" i="2"/>
  <c r="BN342" i="2" s="1"/>
  <c r="BE342" i="2"/>
  <c r="AM342" i="2" s="1"/>
  <c r="CK342" i="2" s="1"/>
  <c r="BC342" i="2"/>
  <c r="AZ342" i="2"/>
  <c r="AT342" i="2"/>
  <c r="AQ342" i="2"/>
  <c r="AL342" i="2"/>
  <c r="AH342" i="2"/>
  <c r="AG342" i="2"/>
  <c r="AD342" i="2"/>
  <c r="BG342" i="2" s="1"/>
  <c r="V342" i="2"/>
  <c r="N342" i="2"/>
  <c r="ER341" i="2"/>
  <c r="EH341" i="2"/>
  <c r="DO341" i="2"/>
  <c r="CM341" i="2"/>
  <c r="CL341" i="2" a="1"/>
  <c r="CL341" i="2" s="1"/>
  <c r="CJ341" i="2"/>
  <c r="CB341" i="2"/>
  <c r="BV341" i="2"/>
  <c r="BS341" i="2"/>
  <c r="BN341" i="2"/>
  <c r="BE341" i="2"/>
  <c r="CE341" i="2" s="1"/>
  <c r="BC341" i="2"/>
  <c r="AY341" i="2"/>
  <c r="AT341" i="2"/>
  <c r="AQ341" i="2"/>
  <c r="AL341" i="2"/>
  <c r="AH341" i="2"/>
  <c r="AG341" i="2"/>
  <c r="AD341" i="2"/>
  <c r="V341" i="2"/>
  <c r="N341" i="2"/>
  <c r="ER340" i="2"/>
  <c r="EK340" i="2"/>
  <c r="EH340" i="2"/>
  <c r="DO340" i="2"/>
  <c r="CM340" i="2"/>
  <c r="CL340" i="2" a="1"/>
  <c r="CL340" i="2" s="1"/>
  <c r="CJ340" i="2"/>
  <c r="CB340" i="2"/>
  <c r="BV340" i="2"/>
  <c r="BS340" i="2"/>
  <c r="BN340" i="2"/>
  <c r="BL340" i="2"/>
  <c r="DM340" i="2" s="1"/>
  <c r="DC340" i="2" s="1"/>
  <c r="BE340" i="2"/>
  <c r="BC340" i="2"/>
  <c r="AZ340" i="2"/>
  <c r="AT340" i="2"/>
  <c r="AQ340" i="2"/>
  <c r="AL340" i="2"/>
  <c r="AH340" i="2"/>
  <c r="AG340" i="2"/>
  <c r="AD340" i="2"/>
  <c r="V340" i="2"/>
  <c r="N340" i="2"/>
  <c r="ER339" i="2"/>
  <c r="EH339" i="2"/>
  <c r="DO339" i="2"/>
  <c r="CM339" i="2"/>
  <c r="CL339" i="2" a="1"/>
  <c r="CL339" i="2"/>
  <c r="CJ339" i="2"/>
  <c r="CB339" i="2"/>
  <c r="BV339" i="2"/>
  <c r="BS339" i="2"/>
  <c r="BE339" i="2"/>
  <c r="BC339" i="2"/>
  <c r="AZ339" i="2"/>
  <c r="AQ339" i="2"/>
  <c r="AL339" i="2"/>
  <c r="AH339" i="2"/>
  <c r="AG339" i="2"/>
  <c r="AD339" i="2"/>
  <c r="V339" i="2"/>
  <c r="N339" i="2"/>
  <c r="ER338" i="2"/>
  <c r="EH338" i="2"/>
  <c r="DO338" i="2"/>
  <c r="CM338" i="2"/>
  <c r="CL338" i="2" a="1"/>
  <c r="CL338" i="2" s="1"/>
  <c r="CJ338" i="2"/>
  <c r="CB338" i="2"/>
  <c r="BV338" i="2"/>
  <c r="BS338" i="2"/>
  <c r="BE338" i="2"/>
  <c r="BC338" i="2"/>
  <c r="AZ338" i="2"/>
  <c r="AQ338" i="2"/>
  <c r="AL338" i="2"/>
  <c r="AH338" i="2"/>
  <c r="AG338" i="2"/>
  <c r="AD338" i="2"/>
  <c r="BG338" i="2" s="1"/>
  <c r="V338" i="2"/>
  <c r="N338" i="2"/>
  <c r="ER337" i="2"/>
  <c r="EH337" i="2"/>
  <c r="DO337" i="2"/>
  <c r="CM337" i="2"/>
  <c r="CL337" i="2" a="1"/>
  <c r="CL337" i="2" s="1"/>
  <c r="CJ337" i="2"/>
  <c r="CB337" i="2"/>
  <c r="BV337" i="2"/>
  <c r="BS337" i="2"/>
  <c r="BE337" i="2"/>
  <c r="BC337" i="2"/>
  <c r="AZ337" i="2"/>
  <c r="AQ337" i="2"/>
  <c r="AL337" i="2"/>
  <c r="AH337" i="2"/>
  <c r="AG337" i="2"/>
  <c r="AD337" i="2"/>
  <c r="V337" i="2"/>
  <c r="N337" i="2"/>
  <c r="ER336" i="2"/>
  <c r="EH336" i="2"/>
  <c r="DO336" i="2"/>
  <c r="CM336" i="2"/>
  <c r="CL336" i="2" a="1"/>
  <c r="CL336" i="2"/>
  <c r="CJ336" i="2"/>
  <c r="CB336" i="2"/>
  <c r="BV336" i="2"/>
  <c r="BS336" i="2"/>
  <c r="BE336" i="2"/>
  <c r="AM336" i="2" s="1"/>
  <c r="BC336" i="2"/>
  <c r="AZ336" i="2"/>
  <c r="AT336" i="2"/>
  <c r="AQ336" i="2"/>
  <c r="AL336" i="2"/>
  <c r="AH336" i="2"/>
  <c r="AG336" i="2"/>
  <c r="BF336" i="2" s="1"/>
  <c r="AD336" i="2"/>
  <c r="BG336" i="2"/>
  <c r="V336" i="2"/>
  <c r="N336" i="2"/>
  <c r="ER335" i="2"/>
  <c r="EH335" i="2"/>
  <c r="DO335" i="2"/>
  <c r="CM335" i="2"/>
  <c r="CL335" i="2" a="1"/>
  <c r="CL335" i="2" s="1"/>
  <c r="CJ335" i="2"/>
  <c r="CB335" i="2"/>
  <c r="BV335" i="2"/>
  <c r="BS335" i="2"/>
  <c r="BE335" i="2"/>
  <c r="BC335" i="2"/>
  <c r="AT335" i="2"/>
  <c r="AQ335" i="2"/>
  <c r="AL335" i="2"/>
  <c r="AH335" i="2"/>
  <c r="AG335" i="2"/>
  <c r="AD335" i="2"/>
  <c r="V335" i="2"/>
  <c r="N335" i="2"/>
  <c r="ER328" i="2"/>
  <c r="EH328" i="2"/>
  <c r="DO328" i="2"/>
  <c r="CM328" i="2"/>
  <c r="CL328" i="2" a="1"/>
  <c r="CL328" i="2" s="1"/>
  <c r="CJ328" i="2"/>
  <c r="CB328" i="2"/>
  <c r="BV328" i="2"/>
  <c r="BS328" i="2"/>
  <c r="BG328" i="2"/>
  <c r="EK328" i="2" s="1"/>
  <c r="AT328" i="2"/>
  <c r="AQ328" i="2"/>
  <c r="AM328" i="2"/>
  <c r="CK328" i="2" s="1"/>
  <c r="AL328" i="2"/>
  <c r="AH328" i="2"/>
  <c r="AG328" i="2"/>
  <c r="AD328" i="2"/>
  <c r="V328" i="2"/>
  <c r="N328" i="2"/>
  <c r="ER334" i="2"/>
  <c r="EH334" i="2"/>
  <c r="DO334" i="2"/>
  <c r="CM334" i="2"/>
  <c r="CL334" i="2" a="1"/>
  <c r="CL334" i="2" s="1"/>
  <c r="CJ334" i="2"/>
  <c r="CB334" i="2"/>
  <c r="BV334" i="2"/>
  <c r="BS334" i="2"/>
  <c r="BN334" i="2"/>
  <c r="BG334" i="2"/>
  <c r="AT334" i="2"/>
  <c r="AQ334" i="2"/>
  <c r="AM334" i="2"/>
  <c r="AL334" i="2"/>
  <c r="AH334" i="2"/>
  <c r="AG334" i="2"/>
  <c r="AD334" i="2"/>
  <c r="V334" i="2"/>
  <c r="N334" i="2"/>
  <c r="ER333" i="2"/>
  <c r="EH333" i="2"/>
  <c r="DO333" i="2"/>
  <c r="CM333" i="2"/>
  <c r="CL333" i="2" a="1"/>
  <c r="CL333" i="2" s="1"/>
  <c r="CJ333" i="2"/>
  <c r="CB333" i="2"/>
  <c r="BV333" i="2"/>
  <c r="BW333" i="2" s="1"/>
  <c r="BS333" i="2"/>
  <c r="BN333" i="2"/>
  <c r="BG333" i="2"/>
  <c r="BL333" i="2" s="1"/>
  <c r="AT333" i="2"/>
  <c r="AQ333" i="2"/>
  <c r="AM333" i="2"/>
  <c r="P333" i="2" s="1"/>
  <c r="AL333" i="2"/>
  <c r="AH333" i="2"/>
  <c r="AG333" i="2"/>
  <c r="AD333" i="2"/>
  <c r="BF333" i="2" s="1"/>
  <c r="V333" i="2"/>
  <c r="N333" i="2"/>
  <c r="ER332" i="2"/>
  <c r="EH332" i="2"/>
  <c r="DO332" i="2"/>
  <c r="CM332" i="2"/>
  <c r="CL332" i="2" a="1"/>
  <c r="CL332" i="2" s="1"/>
  <c r="CJ332" i="2"/>
  <c r="CB332" i="2"/>
  <c r="BV332" i="2"/>
  <c r="BS332" i="2"/>
  <c r="BN332" i="2"/>
  <c r="BG332" i="2"/>
  <c r="EK332" i="2" s="1"/>
  <c r="AT332" i="2"/>
  <c r="AQ332" i="2"/>
  <c r="AM332" i="2"/>
  <c r="AL332" i="2"/>
  <c r="AH332" i="2"/>
  <c r="AG332" i="2"/>
  <c r="AD332" i="2"/>
  <c r="V332" i="2"/>
  <c r="N332" i="2"/>
  <c r="ER331" i="2"/>
  <c r="EH331" i="2"/>
  <c r="DO331" i="2"/>
  <c r="CM331" i="2"/>
  <c r="CL331" i="2" a="1"/>
  <c r="CL331" i="2" s="1"/>
  <c r="CJ331" i="2"/>
  <c r="CB331" i="2"/>
  <c r="BV331" i="2"/>
  <c r="BS331" i="2"/>
  <c r="BN331" i="2"/>
  <c r="BG331" i="2"/>
  <c r="AT331" i="2"/>
  <c r="AQ331" i="2"/>
  <c r="AM331" i="2"/>
  <c r="P331" i="2" s="1"/>
  <c r="AL331" i="2"/>
  <c r="AH331" i="2"/>
  <c r="AG331" i="2"/>
  <c r="AD331" i="2"/>
  <c r="V331" i="2"/>
  <c r="N331" i="2"/>
  <c r="ER330" i="2"/>
  <c r="EH330" i="2"/>
  <c r="DO330" i="2"/>
  <c r="CM330" i="2"/>
  <c r="CL330" i="2" a="1"/>
  <c r="CL330" i="2" s="1"/>
  <c r="CJ330" i="2"/>
  <c r="CB330" i="2"/>
  <c r="BV330" i="2"/>
  <c r="BS330" i="2"/>
  <c r="BN330" i="2"/>
  <c r="BG330" i="2"/>
  <c r="BL330" i="2" s="1"/>
  <c r="DM330" i="2" s="1"/>
  <c r="DC330" i="2" s="1"/>
  <c r="AT330" i="2"/>
  <c r="AQ330" i="2"/>
  <c r="AM330" i="2"/>
  <c r="AL330" i="2"/>
  <c r="AH330" i="2"/>
  <c r="AG330" i="2"/>
  <c r="AD330" i="2"/>
  <c r="AZ330" i="2" s="1"/>
  <c r="V330" i="2"/>
  <c r="N330" i="2"/>
  <c r="ER329" i="2"/>
  <c r="EH329" i="2"/>
  <c r="DO329" i="2"/>
  <c r="CM329" i="2"/>
  <c r="CL329" i="2" a="1"/>
  <c r="CL329" i="2"/>
  <c r="CJ329" i="2"/>
  <c r="CB329" i="2"/>
  <c r="BV329" i="2"/>
  <c r="BW329" i="2" s="1"/>
  <c r="BS329" i="2"/>
  <c r="BN329" i="2"/>
  <c r="BG329" i="2"/>
  <c r="AT329" i="2"/>
  <c r="AQ329" i="2"/>
  <c r="AM329" i="2"/>
  <c r="CK329" i="2" s="1"/>
  <c r="AL329" i="2"/>
  <c r="AH329" i="2"/>
  <c r="AG329" i="2"/>
  <c r="BF329" i="2" s="1"/>
  <c r="AD329" i="2"/>
  <c r="CE329" i="2" s="1"/>
  <c r="V329" i="2"/>
  <c r="N329" i="2"/>
  <c r="ER327" i="2"/>
  <c r="EH327" i="2"/>
  <c r="DO327" i="2"/>
  <c r="CM327" i="2"/>
  <c r="CL327" i="2" a="1"/>
  <c r="CL327" i="2" s="1"/>
  <c r="CJ327" i="2"/>
  <c r="CB327" i="2"/>
  <c r="BV327" i="2"/>
  <c r="BS327" i="2"/>
  <c r="BG327" i="2"/>
  <c r="AT327" i="2"/>
  <c r="AQ327" i="2"/>
  <c r="AM327" i="2"/>
  <c r="AL327" i="2"/>
  <c r="AH327" i="2"/>
  <c r="AG327" i="2"/>
  <c r="AD327" i="2"/>
  <c r="V327" i="2"/>
  <c r="N327" i="2"/>
  <c r="ER326" i="2"/>
  <c r="EH326" i="2"/>
  <c r="DO326" i="2"/>
  <c r="CM326" i="2"/>
  <c r="CL326" i="2" a="1"/>
  <c r="CL326" i="2" s="1"/>
  <c r="CJ326" i="2"/>
  <c r="CB326" i="2"/>
  <c r="BV326" i="2"/>
  <c r="BS326" i="2"/>
  <c r="BG326" i="2"/>
  <c r="AT326" i="2"/>
  <c r="AQ326" i="2"/>
  <c r="AM326" i="2"/>
  <c r="P326" i="2" s="1"/>
  <c r="AL326" i="2"/>
  <c r="AH326" i="2"/>
  <c r="AG326" i="2"/>
  <c r="AD326" i="2"/>
  <c r="V326" i="2"/>
  <c r="N326" i="2"/>
  <c r="ER325" i="2"/>
  <c r="EH325" i="2"/>
  <c r="DO325" i="2"/>
  <c r="CM325" i="2"/>
  <c r="CL325" i="2" a="1"/>
  <c r="CL325" i="2" s="1"/>
  <c r="CJ325" i="2"/>
  <c r="CB325" i="2"/>
  <c r="BV325" i="2"/>
  <c r="BS325" i="2"/>
  <c r="BG325" i="2"/>
  <c r="BL325" i="2" s="1"/>
  <c r="EJ325" i="2" s="1"/>
  <c r="AT325" i="2"/>
  <c r="AQ325" i="2"/>
  <c r="AM325" i="2"/>
  <c r="CK325" i="2" s="1"/>
  <c r="AL325" i="2"/>
  <c r="AH325" i="2"/>
  <c r="AG325" i="2"/>
  <c r="AD325" i="2"/>
  <c r="BF325" i="2" s="1"/>
  <c r="V325" i="2"/>
  <c r="N325" i="2"/>
  <c r="ER324" i="2"/>
  <c r="EH324" i="2"/>
  <c r="DO324" i="2"/>
  <c r="CM324" i="2"/>
  <c r="CL324" i="2" a="1"/>
  <c r="CL324" i="2" s="1"/>
  <c r="CJ324" i="2"/>
  <c r="CB324" i="2"/>
  <c r="BV324" i="2"/>
  <c r="BS324" i="2"/>
  <c r="AT324" i="2"/>
  <c r="AQ324" i="2"/>
  <c r="AM324" i="2"/>
  <c r="CK324" i="2" s="1"/>
  <c r="AL324" i="2"/>
  <c r="AH324" i="2"/>
  <c r="AG324" i="2"/>
  <c r="AD324" i="2"/>
  <c r="V324" i="2"/>
  <c r="N324" i="2"/>
  <c r="ER323" i="2"/>
  <c r="EK323" i="2"/>
  <c r="EH323" i="2"/>
  <c r="DO323" i="2"/>
  <c r="CM323" i="2"/>
  <c r="CL323" i="2" a="1"/>
  <c r="CL323" i="2" s="1"/>
  <c r="CJ323" i="2"/>
  <c r="CB323" i="2"/>
  <c r="BV323" i="2"/>
  <c r="BS323" i="2"/>
  <c r="BN323" i="2"/>
  <c r="BL323" i="2"/>
  <c r="BE323" i="2"/>
  <c r="BC323" i="2"/>
  <c r="AY323" i="2"/>
  <c r="AT323" i="2"/>
  <c r="AQ323" i="2"/>
  <c r="AL323" i="2"/>
  <c r="AH323" i="2"/>
  <c r="AG323" i="2"/>
  <c r="AD323" i="2"/>
  <c r="V323" i="2"/>
  <c r="N323" i="2"/>
  <c r="ER322" i="2"/>
  <c r="EK322" i="2"/>
  <c r="EH322" i="2"/>
  <c r="DO322" i="2"/>
  <c r="CM322" i="2"/>
  <c r="CL322" i="2" a="1"/>
  <c r="CL322" i="2"/>
  <c r="CJ322" i="2"/>
  <c r="CB322" i="2"/>
  <c r="BV322" i="2"/>
  <c r="BS322" i="2"/>
  <c r="BN322" i="2"/>
  <c r="BL322" i="2"/>
  <c r="BE322" i="2"/>
  <c r="BC322" i="2"/>
  <c r="AZ322" i="2"/>
  <c r="AT322" i="2"/>
  <c r="AQ322" i="2"/>
  <c r="AL322" i="2"/>
  <c r="AH322" i="2"/>
  <c r="AG322" i="2"/>
  <c r="AD322" i="2"/>
  <c r="V322" i="2"/>
  <c r="N322" i="2"/>
  <c r="ER321" i="2"/>
  <c r="EH321" i="2"/>
  <c r="DO321" i="2"/>
  <c r="CM321" i="2"/>
  <c r="CL321" i="2" a="1"/>
  <c r="CL321" i="2" s="1"/>
  <c r="CJ321" i="2"/>
  <c r="CB321" i="2"/>
  <c r="BV321" i="2"/>
  <c r="BS321" i="2"/>
  <c r="BN321" i="2"/>
  <c r="BE321" i="2"/>
  <c r="BC321" i="2"/>
  <c r="AT321" i="2"/>
  <c r="AQ321" i="2"/>
  <c r="AL321" i="2"/>
  <c r="AH321" i="2"/>
  <c r="AG321" i="2"/>
  <c r="AD321" i="2"/>
  <c r="V321" i="2"/>
  <c r="N321" i="2"/>
  <c r="EH320" i="2"/>
  <c r="DO320" i="2"/>
  <c r="CM320" i="2"/>
  <c r="CL320" i="2" a="1"/>
  <c r="CL320" i="2" s="1"/>
  <c r="CJ320" i="2"/>
  <c r="CB320" i="2"/>
  <c r="BV320" i="2"/>
  <c r="BH320" i="2"/>
  <c r="ER320" i="2" s="1"/>
  <c r="BE320" i="2"/>
  <c r="BC320" i="2"/>
  <c r="AQ320" i="2"/>
  <c r="AP320" i="2"/>
  <c r="AO320" i="2"/>
  <c r="AL320" i="2"/>
  <c r="AH320" i="2"/>
  <c r="AD320" i="2"/>
  <c r="V320" i="2"/>
  <c r="N320" i="2"/>
  <c r="ER319" i="2"/>
  <c r="EH319" i="2"/>
  <c r="DO319" i="2"/>
  <c r="CM319" i="2"/>
  <c r="CL319" i="2" a="1"/>
  <c r="CL319" i="2" s="1"/>
  <c r="CJ319" i="2"/>
  <c r="CB319" i="2"/>
  <c r="BV319" i="2"/>
  <c r="BS319" i="2"/>
  <c r="BE319" i="2"/>
  <c r="BC319" i="2"/>
  <c r="AT319" i="2"/>
  <c r="AP319" i="2"/>
  <c r="AO319" i="2"/>
  <c r="AL319" i="2"/>
  <c r="AH319" i="2"/>
  <c r="AG319" i="2"/>
  <c r="AD319" i="2"/>
  <c r="V319" i="2"/>
  <c r="N319" i="2"/>
  <c r="ER318" i="2"/>
  <c r="EH318" i="2"/>
  <c r="DO318" i="2"/>
  <c r="CM318" i="2"/>
  <c r="CL318" i="2" a="1"/>
  <c r="CL318" i="2" s="1"/>
  <c r="CJ318" i="2"/>
  <c r="CB318" i="2"/>
  <c r="BV318" i="2"/>
  <c r="BS318" i="2"/>
  <c r="BN318" i="2"/>
  <c r="BE318" i="2"/>
  <c r="BC318" i="2"/>
  <c r="AZ318" i="2"/>
  <c r="AT318" i="2"/>
  <c r="AQ318" i="2"/>
  <c r="AL318" i="2"/>
  <c r="AH318" i="2"/>
  <c r="AG318" i="2"/>
  <c r="AD318" i="2"/>
  <c r="BG318" i="2" s="1"/>
  <c r="V318" i="2"/>
  <c r="N318" i="2"/>
  <c r="ER317" i="2"/>
  <c r="EH317" i="2"/>
  <c r="DO317" i="2"/>
  <c r="CM317" i="2"/>
  <c r="CL317" i="2" a="1"/>
  <c r="CL317" i="2" s="1"/>
  <c r="CJ317" i="2"/>
  <c r="CB317" i="2"/>
  <c r="BV317" i="2"/>
  <c r="BS317" i="2"/>
  <c r="BN317" i="2"/>
  <c r="BE317" i="2"/>
  <c r="BC317" i="2"/>
  <c r="AZ317" i="2"/>
  <c r="AT317" i="2"/>
  <c r="AQ317" i="2"/>
  <c r="AL317" i="2"/>
  <c r="AH317" i="2"/>
  <c r="AG317" i="2"/>
  <c r="AD317" i="2"/>
  <c r="BG317" i="2" s="1"/>
  <c r="V317" i="2"/>
  <c r="N317" i="2"/>
  <c r="ER316" i="2"/>
  <c r="EH316" i="2"/>
  <c r="DO316" i="2"/>
  <c r="CM316" i="2"/>
  <c r="CL316" i="2" a="1"/>
  <c r="CL316" i="2" s="1"/>
  <c r="CJ316" i="2"/>
  <c r="CB316" i="2"/>
  <c r="BV316" i="2"/>
  <c r="BS316" i="2"/>
  <c r="BN316" i="2"/>
  <c r="BE316" i="2"/>
  <c r="BC316" i="2"/>
  <c r="AZ316" i="2"/>
  <c r="AT316" i="2"/>
  <c r="AQ316" i="2"/>
  <c r="AL316" i="2"/>
  <c r="AH316" i="2"/>
  <c r="AG316" i="2"/>
  <c r="BF316" i="2" s="1"/>
  <c r="CG316" i="2" s="1"/>
  <c r="AD316" i="2"/>
  <c r="BG316" i="2" s="1"/>
  <c r="BL316" i="2" s="1"/>
  <c r="V316" i="2"/>
  <c r="N316" i="2"/>
  <c r="ER315" i="2"/>
  <c r="EK315" i="2"/>
  <c r="EH315" i="2"/>
  <c r="DO315" i="2"/>
  <c r="CM315" i="2"/>
  <c r="CL315" i="2" a="1"/>
  <c r="CL315" i="2" s="1"/>
  <c r="CJ315" i="2"/>
  <c r="CB315" i="2"/>
  <c r="BV315" i="2"/>
  <c r="BS315" i="2"/>
  <c r="BN315" i="2"/>
  <c r="BL315" i="2"/>
  <c r="BQ315" i="2" s="1"/>
  <c r="BE315" i="2"/>
  <c r="CE315" i="2" s="1"/>
  <c r="BC315" i="2"/>
  <c r="AZ315" i="2"/>
  <c r="AT315" i="2"/>
  <c r="AQ315" i="2"/>
  <c r="AL315" i="2"/>
  <c r="AH315" i="2"/>
  <c r="AG315" i="2"/>
  <c r="AD315" i="2"/>
  <c r="AI315" i="2" s="1"/>
  <c r="V315" i="2"/>
  <c r="N315" i="2"/>
  <c r="ER314" i="2"/>
  <c r="EH314" i="2"/>
  <c r="DO314" i="2"/>
  <c r="CM314" i="2"/>
  <c r="CL314" i="2" a="1"/>
  <c r="CL314" i="2" s="1"/>
  <c r="CJ314" i="2"/>
  <c r="CB314" i="2"/>
  <c r="BV314" i="2"/>
  <c r="BS314" i="2"/>
  <c r="BN314" i="2"/>
  <c r="BG314" i="2"/>
  <c r="BL314" i="2" s="1"/>
  <c r="BE314" i="2"/>
  <c r="BC314" i="2"/>
  <c r="AZ314" i="2"/>
  <c r="AT314" i="2"/>
  <c r="AQ314" i="2"/>
  <c r="AL314" i="2"/>
  <c r="AH314" i="2"/>
  <c r="AG314" i="2"/>
  <c r="AD314" i="2"/>
  <c r="V314" i="2"/>
  <c r="N314" i="2"/>
  <c r="EH313" i="2"/>
  <c r="DO313" i="2"/>
  <c r="CM313" i="2"/>
  <c r="CL313" i="2" a="1"/>
  <c r="CL313" i="2" s="1"/>
  <c r="CJ313" i="2"/>
  <c r="CB313" i="2"/>
  <c r="BV313" i="2"/>
  <c r="BH313" i="2"/>
  <c r="BE313" i="2"/>
  <c r="BC313" i="2"/>
  <c r="AQ313" i="2"/>
  <c r="AL313" i="2"/>
  <c r="AH313" i="2"/>
  <c r="AG313" i="2"/>
  <c r="AD313" i="2"/>
  <c r="BG313" i="2" s="1"/>
  <c r="V313" i="2"/>
  <c r="N313" i="2"/>
  <c r="EH312" i="2"/>
  <c r="DO312" i="2"/>
  <c r="CO312" i="2"/>
  <c r="CM312" i="2"/>
  <c r="CL312" i="2" a="1"/>
  <c r="CL312" i="2" s="1"/>
  <c r="CJ312" i="2"/>
  <c r="CB312" i="2"/>
  <c r="BV312" i="2"/>
  <c r="BH312" i="2"/>
  <c r="BG312" i="2"/>
  <c r="BE312" i="2"/>
  <c r="BC312" i="2"/>
  <c r="AQ312" i="2"/>
  <c r="AL312" i="2"/>
  <c r="AH312" i="2"/>
  <c r="AG312" i="2"/>
  <c r="AD312" i="2"/>
  <c r="V312" i="2"/>
  <c r="N312" i="2"/>
  <c r="ER311" i="2"/>
  <c r="EH311" i="2"/>
  <c r="DO311" i="2"/>
  <c r="CO311" i="2"/>
  <c r="CM311" i="2"/>
  <c r="CL311" i="2" a="1"/>
  <c r="CL311" i="2" s="1"/>
  <c r="CJ311" i="2"/>
  <c r="CB311" i="2"/>
  <c r="BV311" i="2"/>
  <c r="BS311" i="2"/>
  <c r="BE311" i="2"/>
  <c r="BC311" i="2"/>
  <c r="AT311" i="2"/>
  <c r="AQ311" i="2"/>
  <c r="AL311" i="2"/>
  <c r="AH311" i="2"/>
  <c r="AG311" i="2"/>
  <c r="AD311" i="2"/>
  <c r="BF311" i="2" s="1"/>
  <c r="V311" i="2"/>
  <c r="N311" i="2"/>
  <c r="ER310" i="2"/>
  <c r="EH310" i="2"/>
  <c r="DO310" i="2"/>
  <c r="CO310" i="2"/>
  <c r="CM310" i="2"/>
  <c r="CL310" i="2" a="1"/>
  <c r="CL310" i="2" s="1"/>
  <c r="CJ310" i="2"/>
  <c r="CB310" i="2"/>
  <c r="BV310" i="2"/>
  <c r="BS310" i="2"/>
  <c r="BE310" i="2"/>
  <c r="BC310" i="2"/>
  <c r="AT310" i="2"/>
  <c r="AQ310" i="2"/>
  <c r="AL310" i="2"/>
  <c r="AH310" i="2"/>
  <c r="AG310" i="2"/>
  <c r="AD310" i="2"/>
  <c r="V310" i="2"/>
  <c r="N310" i="2"/>
  <c r="ER308" i="2"/>
  <c r="EH308" i="2"/>
  <c r="DO308" i="2"/>
  <c r="CM308" i="2"/>
  <c r="CL308" i="2" a="1"/>
  <c r="CL308" i="2" s="1"/>
  <c r="CJ308" i="2"/>
  <c r="CB308" i="2"/>
  <c r="BV308" i="2"/>
  <c r="BS308" i="2"/>
  <c r="BN308" i="2"/>
  <c r="BE308" i="2"/>
  <c r="BC308" i="2"/>
  <c r="AT308" i="2"/>
  <c r="AQ308" i="2"/>
  <c r="AL308" i="2"/>
  <c r="AH308" i="2"/>
  <c r="AG308" i="2"/>
  <c r="AD308" i="2"/>
  <c r="V308" i="2"/>
  <c r="N308" i="2"/>
  <c r="G308" i="2"/>
  <c r="F308" i="2"/>
  <c r="ER307" i="2"/>
  <c r="EK307" i="2"/>
  <c r="EH307" i="2"/>
  <c r="DO307" i="2"/>
  <c r="CM307" i="2"/>
  <c r="CL307" i="2" a="1"/>
  <c r="CL307" i="2" s="1"/>
  <c r="CJ307" i="2"/>
  <c r="CB307" i="2"/>
  <c r="BV307" i="2"/>
  <c r="BS307" i="2"/>
  <c r="BN307" i="2"/>
  <c r="BL307" i="2"/>
  <c r="EJ307" i="2" s="1"/>
  <c r="BE307" i="2"/>
  <c r="BC307" i="2"/>
  <c r="AZ307" i="2"/>
  <c r="AT307" i="2"/>
  <c r="AQ307" i="2"/>
  <c r="AL307" i="2"/>
  <c r="AH307" i="2"/>
  <c r="AG307" i="2"/>
  <c r="AD307" i="2"/>
  <c r="V307" i="2"/>
  <c r="N307" i="2"/>
  <c r="ER306" i="2"/>
  <c r="EH306" i="2"/>
  <c r="DO306" i="2"/>
  <c r="CO306" i="2"/>
  <c r="CM306" i="2"/>
  <c r="CL306" i="2" a="1"/>
  <c r="CL306" i="2" s="1"/>
  <c r="CJ306" i="2"/>
  <c r="CB306" i="2"/>
  <c r="BV306" i="2"/>
  <c r="BS306" i="2"/>
  <c r="BM306" i="2"/>
  <c r="BN306" i="2" s="1"/>
  <c r="BE306" i="2"/>
  <c r="AM306" i="2" s="1"/>
  <c r="CK306" i="2" s="1"/>
  <c r="BC306" i="2"/>
  <c r="AZ306" i="2"/>
  <c r="AT306" i="2"/>
  <c r="AP306" i="2"/>
  <c r="AO306" i="2"/>
  <c r="AL306" i="2"/>
  <c r="AH306" i="2"/>
  <c r="AG306" i="2"/>
  <c r="AD306" i="2"/>
  <c r="BF306" i="2" s="1"/>
  <c r="V306" i="2"/>
  <c r="N306" i="2"/>
  <c r="ER305" i="2"/>
  <c r="EH305" i="2"/>
  <c r="DO305" i="2"/>
  <c r="CO305" i="2"/>
  <c r="CM305" i="2"/>
  <c r="CL305" i="2" a="1"/>
  <c r="CL305" i="2" s="1"/>
  <c r="CJ305" i="2"/>
  <c r="CB305" i="2"/>
  <c r="BV305" i="2"/>
  <c r="BS305" i="2"/>
  <c r="BM305" i="2"/>
  <c r="BN305" i="2" s="1"/>
  <c r="BE305" i="2"/>
  <c r="CE305" i="2" s="1"/>
  <c r="BC305" i="2"/>
  <c r="AZ305" i="2"/>
  <c r="AT305" i="2"/>
  <c r="AQ305" i="2"/>
  <c r="AL305" i="2"/>
  <c r="AH305" i="2"/>
  <c r="AG305" i="2"/>
  <c r="AD305" i="2"/>
  <c r="V305" i="2"/>
  <c r="N305" i="2"/>
  <c r="ER304" i="2"/>
  <c r="EH304" i="2"/>
  <c r="DO304" i="2"/>
  <c r="CM304" i="2"/>
  <c r="CL304" i="2" a="1"/>
  <c r="CL304" i="2" s="1"/>
  <c r="CJ304" i="2"/>
  <c r="CB304" i="2"/>
  <c r="BV304" i="2"/>
  <c r="BS304" i="2"/>
  <c r="BN304" i="2"/>
  <c r="BE304" i="2"/>
  <c r="BC304" i="2"/>
  <c r="AT304" i="2"/>
  <c r="AQ304" i="2"/>
  <c r="AL304" i="2"/>
  <c r="AH304" i="2"/>
  <c r="AG304" i="2"/>
  <c r="AD304" i="2"/>
  <c r="V304" i="2"/>
  <c r="N304" i="2"/>
  <c r="ER303" i="2"/>
  <c r="EH303" i="2"/>
  <c r="DO303" i="2"/>
  <c r="CM303" i="2"/>
  <c r="CL303" i="2" a="1"/>
  <c r="CL303" i="2" s="1"/>
  <c r="CJ303" i="2"/>
  <c r="CB303" i="2"/>
  <c r="BV303" i="2"/>
  <c r="BS303" i="2"/>
  <c r="BN303" i="2"/>
  <c r="BE303" i="2"/>
  <c r="AM303" i="2" s="1"/>
  <c r="BC303" i="2"/>
  <c r="AT303" i="2"/>
  <c r="AQ303" i="2"/>
  <c r="AN303" i="2"/>
  <c r="AL303" i="2"/>
  <c r="AH303" i="2"/>
  <c r="AG303" i="2"/>
  <c r="AD303" i="2"/>
  <c r="V303" i="2"/>
  <c r="N303" i="2"/>
  <c r="ER302" i="2"/>
  <c r="EH302" i="2"/>
  <c r="DO302" i="2"/>
  <c r="CM302" i="2"/>
  <c r="CL302" i="2" a="1"/>
  <c r="CL302" i="2" s="1"/>
  <c r="CJ302" i="2"/>
  <c r="CB302" i="2"/>
  <c r="BV302" i="2"/>
  <c r="BS302" i="2"/>
  <c r="BN302" i="2"/>
  <c r="BG302" i="2"/>
  <c r="BE302" i="2"/>
  <c r="AM302" i="2" s="1"/>
  <c r="BC302" i="2"/>
  <c r="AT302" i="2"/>
  <c r="AQ302" i="2"/>
  <c r="AN302" i="2"/>
  <c r="AL302" i="2"/>
  <c r="AH302" i="2"/>
  <c r="AG302" i="2"/>
  <c r="AD302" i="2"/>
  <c r="V302" i="2"/>
  <c r="N302" i="2"/>
  <c r="ER301" i="2"/>
  <c r="EH301" i="2"/>
  <c r="DO301" i="2"/>
  <c r="CM301" i="2"/>
  <c r="CL301" i="2" a="1"/>
  <c r="CL301" i="2" s="1"/>
  <c r="CJ301" i="2"/>
  <c r="CB301" i="2"/>
  <c r="BV301" i="2"/>
  <c r="BS301" i="2"/>
  <c r="BN301" i="2"/>
  <c r="BE301" i="2"/>
  <c r="CE301" i="2" s="1"/>
  <c r="BC301" i="2"/>
  <c r="AT301" i="2"/>
  <c r="AQ301" i="2"/>
  <c r="AN301" i="2"/>
  <c r="AL301" i="2"/>
  <c r="AH301" i="2"/>
  <c r="AG301" i="2"/>
  <c r="AD301" i="2"/>
  <c r="AI301" i="2" s="1"/>
  <c r="V301" i="2"/>
  <c r="N301" i="2"/>
  <c r="ER300" i="2"/>
  <c r="EH300" i="2"/>
  <c r="DO300" i="2"/>
  <c r="CM300" i="2"/>
  <c r="CL300" i="2" a="1"/>
  <c r="CL300" i="2"/>
  <c r="CJ300" i="2"/>
  <c r="CB300" i="2"/>
  <c r="BV300" i="2"/>
  <c r="BS300" i="2"/>
  <c r="BN300" i="2"/>
  <c r="BG300" i="2"/>
  <c r="EK300" i="2" s="1"/>
  <c r="BE300" i="2"/>
  <c r="CE300" i="2" s="1"/>
  <c r="BC300" i="2"/>
  <c r="AT300" i="2"/>
  <c r="AQ300" i="2"/>
  <c r="AL300" i="2"/>
  <c r="AH300" i="2"/>
  <c r="AG300" i="2"/>
  <c r="AZ300" i="2" s="1"/>
  <c r="AD300" i="2"/>
  <c r="V300" i="2"/>
  <c r="N300" i="2"/>
  <c r="ER299" i="2"/>
  <c r="EH299" i="2"/>
  <c r="DO299" i="2"/>
  <c r="CM299" i="2"/>
  <c r="CL299" i="2" a="1"/>
  <c r="CL299" i="2" s="1"/>
  <c r="CJ299" i="2"/>
  <c r="CB299" i="2"/>
  <c r="BV299" i="2"/>
  <c r="BS299" i="2"/>
  <c r="BN299" i="2"/>
  <c r="BG299" i="2"/>
  <c r="BE299" i="2"/>
  <c r="CE299" i="2" s="1"/>
  <c r="BC299" i="2"/>
  <c r="AT299" i="2"/>
  <c r="AQ299" i="2"/>
  <c r="AL299" i="2"/>
  <c r="AH299" i="2"/>
  <c r="AG299" i="2"/>
  <c r="AD299" i="2"/>
  <c r="V299" i="2"/>
  <c r="N299" i="2"/>
  <c r="ER297" i="2"/>
  <c r="EH297" i="2"/>
  <c r="DO297" i="2"/>
  <c r="CM297" i="2"/>
  <c r="CL297" i="2" a="1"/>
  <c r="CL297" i="2" s="1"/>
  <c r="CJ297" i="2"/>
  <c r="CB297" i="2"/>
  <c r="BV297" i="2"/>
  <c r="BS297" i="2"/>
  <c r="BN297" i="2"/>
  <c r="BG297" i="2"/>
  <c r="BE297" i="2"/>
  <c r="AM297" i="2" s="1"/>
  <c r="BC297" i="2"/>
  <c r="AT297" i="2"/>
  <c r="AQ297" i="2"/>
  <c r="AL297" i="2"/>
  <c r="AH297" i="2"/>
  <c r="AD297" i="2"/>
  <c r="AI297" i="2" s="1"/>
  <c r="V297" i="2"/>
  <c r="N297" i="2"/>
  <c r="ER296" i="2"/>
  <c r="EH296" i="2"/>
  <c r="DO296" i="2"/>
  <c r="CM296" i="2"/>
  <c r="CL296" i="2" a="1"/>
  <c r="CL296" i="2" s="1"/>
  <c r="CJ296" i="2"/>
  <c r="CB296" i="2"/>
  <c r="BV296" i="2"/>
  <c r="BS296" i="2"/>
  <c r="BN296" i="2"/>
  <c r="BG296" i="2"/>
  <c r="EK296" i="2" s="1"/>
  <c r="BE296" i="2"/>
  <c r="AM296" i="2" s="1"/>
  <c r="CD296" i="2" s="1"/>
  <c r="BC296" i="2"/>
  <c r="AZ296" i="2"/>
  <c r="AT296" i="2"/>
  <c r="AQ296" i="2"/>
  <c r="AL296" i="2"/>
  <c r="AH296" i="2"/>
  <c r="AG296" i="2"/>
  <c r="AD296" i="2"/>
  <c r="V296" i="2"/>
  <c r="N296" i="2"/>
  <c r="ER295" i="2"/>
  <c r="EH295" i="2"/>
  <c r="DO295" i="2"/>
  <c r="CM295" i="2"/>
  <c r="CL295" i="2" a="1"/>
  <c r="CL295" i="2" s="1"/>
  <c r="CJ295" i="2"/>
  <c r="CB295" i="2"/>
  <c r="BV295" i="2"/>
  <c r="BS295" i="2"/>
  <c r="BN295" i="2"/>
  <c r="BE295" i="2"/>
  <c r="BC295" i="2"/>
  <c r="AT295" i="2"/>
  <c r="AQ295" i="2"/>
  <c r="AL295" i="2"/>
  <c r="AH295" i="2"/>
  <c r="AG295" i="2"/>
  <c r="AD295" i="2"/>
  <c r="V295" i="2"/>
  <c r="N295" i="2"/>
  <c r="ER294" i="2"/>
  <c r="EH294" i="2"/>
  <c r="DO294" i="2"/>
  <c r="CM294" i="2"/>
  <c r="CL294" i="2" a="1"/>
  <c r="CL294" i="2" s="1"/>
  <c r="CJ294" i="2"/>
  <c r="CB294" i="2"/>
  <c r="BV294" i="2"/>
  <c r="BS294" i="2"/>
  <c r="BN294" i="2"/>
  <c r="BE294" i="2"/>
  <c r="BC294" i="2"/>
  <c r="AZ294" i="2"/>
  <c r="AT294" i="2"/>
  <c r="AQ294" i="2"/>
  <c r="AL294" i="2"/>
  <c r="AH294" i="2"/>
  <c r="AG294" i="2"/>
  <c r="AD294" i="2"/>
  <c r="V294" i="2"/>
  <c r="N294" i="2"/>
  <c r="ER293" i="2"/>
  <c r="EH293" i="2"/>
  <c r="DO293" i="2"/>
  <c r="CM293" i="2"/>
  <c r="CL293" i="2" a="1"/>
  <c r="CL293" i="2" s="1"/>
  <c r="CJ293" i="2"/>
  <c r="CB293" i="2"/>
  <c r="BV293" i="2"/>
  <c r="BS293" i="2"/>
  <c r="BN293" i="2"/>
  <c r="BE293" i="2"/>
  <c r="BC293" i="2"/>
  <c r="AT293" i="2"/>
  <c r="AQ293" i="2"/>
  <c r="AL293" i="2"/>
  <c r="AH293" i="2"/>
  <c r="AG293" i="2"/>
  <c r="AD293" i="2"/>
  <c r="BG293" i="2" s="1"/>
  <c r="BL293" i="2" s="1"/>
  <c r="V293" i="2"/>
  <c r="N293" i="2"/>
  <c r="ER292" i="2"/>
  <c r="EH292" i="2"/>
  <c r="DO292" i="2"/>
  <c r="CM292" i="2"/>
  <c r="CL292" i="2" a="1"/>
  <c r="CL292" i="2" s="1"/>
  <c r="CJ292" i="2"/>
  <c r="CB292" i="2"/>
  <c r="BV292" i="2"/>
  <c r="BS292" i="2"/>
  <c r="BN292" i="2"/>
  <c r="BE292" i="2"/>
  <c r="CE292" i="2" s="1"/>
  <c r="BC292" i="2"/>
  <c r="AZ292" i="2"/>
  <c r="AT292" i="2"/>
  <c r="AQ292" i="2"/>
  <c r="AL292" i="2"/>
  <c r="AH292" i="2"/>
  <c r="AG292" i="2"/>
  <c r="AD292" i="2"/>
  <c r="V292" i="2"/>
  <c r="N292" i="2"/>
  <c r="ER291" i="2"/>
  <c r="EH291" i="2"/>
  <c r="DO291" i="2"/>
  <c r="CM291" i="2"/>
  <c r="CL291" i="2" a="1"/>
  <c r="CL291" i="2" s="1"/>
  <c r="CJ291" i="2"/>
  <c r="CB291" i="2"/>
  <c r="BV291" i="2"/>
  <c r="BS291" i="2"/>
  <c r="BN291" i="2"/>
  <c r="BE291" i="2"/>
  <c r="CE291" i="2" s="1"/>
  <c r="BC291" i="2"/>
  <c r="AY291" i="2"/>
  <c r="AM291" i="2" s="1"/>
  <c r="CH291" i="2" s="1"/>
  <c r="CC291" i="2" s="1"/>
  <c r="AT291" i="2"/>
  <c r="AP291" i="2"/>
  <c r="AQ291" i="2" s="1"/>
  <c r="AL291" i="2"/>
  <c r="AH291" i="2"/>
  <c r="AG291" i="2"/>
  <c r="AD291" i="2"/>
  <c r="BG291" i="2" s="1"/>
  <c r="V291" i="2"/>
  <c r="N291" i="2"/>
  <c r="ER290" i="2"/>
  <c r="EH290" i="2"/>
  <c r="DO290" i="2"/>
  <c r="CM290" i="2"/>
  <c r="CL290" i="2" a="1"/>
  <c r="CL290" i="2" s="1"/>
  <c r="CJ290" i="2"/>
  <c r="CB290" i="2"/>
  <c r="BV290" i="2"/>
  <c r="BS290" i="2"/>
  <c r="BN290" i="2"/>
  <c r="BE290" i="2"/>
  <c r="BC290" i="2"/>
  <c r="AT290" i="2"/>
  <c r="AQ290" i="2"/>
  <c r="AL290" i="2"/>
  <c r="AH290" i="2"/>
  <c r="AG290" i="2"/>
  <c r="AD290" i="2"/>
  <c r="BG290" i="2" s="1"/>
  <c r="BL290" i="2" s="1"/>
  <c r="V290" i="2"/>
  <c r="N290" i="2"/>
  <c r="ER289" i="2"/>
  <c r="EH289" i="2"/>
  <c r="DO289" i="2"/>
  <c r="CM289" i="2"/>
  <c r="CL289" i="2" a="1"/>
  <c r="CL289" i="2" s="1"/>
  <c r="CJ289" i="2"/>
  <c r="CB289" i="2"/>
  <c r="BV289" i="2"/>
  <c r="BS289" i="2"/>
  <c r="BN289" i="2"/>
  <c r="BE289" i="2"/>
  <c r="BC289" i="2"/>
  <c r="AZ289" i="2"/>
  <c r="AT289" i="2"/>
  <c r="AQ289" i="2"/>
  <c r="AL289" i="2"/>
  <c r="AH289" i="2"/>
  <c r="AG289" i="2"/>
  <c r="AD289" i="2"/>
  <c r="V289" i="2"/>
  <c r="N289" i="2"/>
  <c r="ER288" i="2"/>
  <c r="EH288" i="2"/>
  <c r="DO288" i="2"/>
  <c r="CM288" i="2"/>
  <c r="CL288" i="2" a="1"/>
  <c r="CL288" i="2" s="1"/>
  <c r="CJ288" i="2"/>
  <c r="CB288" i="2"/>
  <c r="BV288" i="2"/>
  <c r="BS288" i="2"/>
  <c r="BN288" i="2"/>
  <c r="BG288" i="2"/>
  <c r="BE288" i="2"/>
  <c r="CE288" i="2" s="1"/>
  <c r="BC288" i="2"/>
  <c r="AZ288" i="2"/>
  <c r="AT288" i="2"/>
  <c r="AQ288" i="2"/>
  <c r="AL288" i="2"/>
  <c r="AH288" i="2"/>
  <c r="AG288" i="2"/>
  <c r="AD288" i="2"/>
  <c r="V288" i="2"/>
  <c r="N288" i="2"/>
  <c r="ER287" i="2"/>
  <c r="EH287" i="2"/>
  <c r="DO287" i="2"/>
  <c r="CM287" i="2"/>
  <c r="CL287" i="2" a="1"/>
  <c r="CL287" i="2" s="1"/>
  <c r="CJ287" i="2"/>
  <c r="CB287" i="2"/>
  <c r="BV287" i="2"/>
  <c r="BS287" i="2"/>
  <c r="BN287" i="2"/>
  <c r="BE287" i="2"/>
  <c r="BC287" i="2"/>
  <c r="AT287" i="2"/>
  <c r="AP287" i="2"/>
  <c r="AQ287" i="2" s="1"/>
  <c r="AN287" i="2"/>
  <c r="AL287" i="2"/>
  <c r="AH287" i="2"/>
  <c r="AD287" i="2"/>
  <c r="V287" i="2"/>
  <c r="N287" i="2"/>
  <c r="ER286" i="2"/>
  <c r="EH286" i="2"/>
  <c r="DO286" i="2"/>
  <c r="CM286" i="2"/>
  <c r="CL286" i="2" a="1"/>
  <c r="CL286" i="2" s="1"/>
  <c r="CJ286" i="2"/>
  <c r="CB286" i="2"/>
  <c r="BV286" i="2"/>
  <c r="BS286" i="2"/>
  <c r="BN286" i="2"/>
  <c r="BE286" i="2"/>
  <c r="BF286" i="2" s="1"/>
  <c r="CG286" i="2" s="1"/>
  <c r="BC286" i="2"/>
  <c r="AT286" i="2"/>
  <c r="AQ286" i="2"/>
  <c r="AL286" i="2"/>
  <c r="AH286" i="2"/>
  <c r="AD286" i="2"/>
  <c r="AZ286" i="2" s="1"/>
  <c r="V286" i="2"/>
  <c r="N286" i="2"/>
  <c r="ER285" i="2"/>
  <c r="EH285" i="2"/>
  <c r="DO285" i="2"/>
  <c r="CM285" i="2"/>
  <c r="CL285" i="2" a="1"/>
  <c r="CL285" i="2" s="1"/>
  <c r="CJ285" i="2"/>
  <c r="CB285" i="2"/>
  <c r="BV285" i="2"/>
  <c r="BS285" i="2"/>
  <c r="BN285" i="2"/>
  <c r="BE285" i="2"/>
  <c r="CE285" i="2" s="1"/>
  <c r="BC285" i="2"/>
  <c r="AT285" i="2"/>
  <c r="AQ285" i="2"/>
  <c r="AL285" i="2"/>
  <c r="AH285" i="2"/>
  <c r="AG285" i="2"/>
  <c r="AD285" i="2"/>
  <c r="BG285" i="2" s="1"/>
  <c r="V285" i="2"/>
  <c r="N285" i="2"/>
  <c r="ER284" i="2"/>
  <c r="EH284" i="2"/>
  <c r="DO284" i="2"/>
  <c r="CM284" i="2"/>
  <c r="CL284" i="2" a="1"/>
  <c r="CL284" i="2" s="1"/>
  <c r="CJ284" i="2"/>
  <c r="CB284" i="2"/>
  <c r="BV284" i="2"/>
  <c r="BS284" i="2"/>
  <c r="BN284" i="2"/>
  <c r="BE284" i="2"/>
  <c r="BC284" i="2"/>
  <c r="AT284" i="2"/>
  <c r="AQ284" i="2"/>
  <c r="AL284" i="2"/>
  <c r="AH284" i="2"/>
  <c r="AG284" i="2"/>
  <c r="AZ284" i="2" s="1"/>
  <c r="AD284" i="2"/>
  <c r="V284" i="2"/>
  <c r="N284" i="2"/>
  <c r="ER282" i="2"/>
  <c r="EH282" i="2"/>
  <c r="DO282" i="2"/>
  <c r="CM282" i="2"/>
  <c r="CL282" i="2" a="1"/>
  <c r="CL282" i="2" s="1"/>
  <c r="CJ282" i="2"/>
  <c r="CB282" i="2"/>
  <c r="BV282" i="2"/>
  <c r="BS282" i="2"/>
  <c r="BN282" i="2"/>
  <c r="BE282" i="2"/>
  <c r="AM282" i="2" s="1"/>
  <c r="BC282" i="2"/>
  <c r="AT282" i="2"/>
  <c r="AQ282" i="2"/>
  <c r="AL282" i="2"/>
  <c r="AH282" i="2"/>
  <c r="AG282" i="2"/>
  <c r="AD282" i="2"/>
  <c r="V282" i="2"/>
  <c r="N282" i="2"/>
  <c r="ER281" i="2"/>
  <c r="EH281" i="2"/>
  <c r="DO281" i="2"/>
  <c r="CM281" i="2"/>
  <c r="CL281" i="2" a="1"/>
  <c r="CL281" i="2" s="1"/>
  <c r="CJ281" i="2"/>
  <c r="CB281" i="2"/>
  <c r="BV281" i="2"/>
  <c r="BS281" i="2"/>
  <c r="BN281" i="2"/>
  <c r="BE281" i="2"/>
  <c r="AM281" i="2" s="1"/>
  <c r="BC281" i="2"/>
  <c r="AZ281" i="2"/>
  <c r="AT281" i="2"/>
  <c r="AQ281" i="2"/>
  <c r="AL281" i="2"/>
  <c r="AH281" i="2"/>
  <c r="AG281" i="2"/>
  <c r="BF281" i="2" s="1"/>
  <c r="AD281" i="2"/>
  <c r="BG281" i="2" s="1"/>
  <c r="BL281" i="2" s="1"/>
  <c r="DM281" i="2" s="1"/>
  <c r="DC281" i="2" s="1"/>
  <c r="V281" i="2"/>
  <c r="N281" i="2"/>
  <c r="ER280" i="2"/>
  <c r="EH280" i="2"/>
  <c r="DO280" i="2"/>
  <c r="CM280" i="2"/>
  <c r="CL280" i="2" a="1"/>
  <c r="CL280" i="2" s="1"/>
  <c r="CJ280" i="2"/>
  <c r="CB280" i="2"/>
  <c r="BV280" i="2"/>
  <c r="BS280" i="2"/>
  <c r="BN280" i="2"/>
  <c r="BE280" i="2"/>
  <c r="CE280" i="2" s="1"/>
  <c r="BC280" i="2"/>
  <c r="AT280" i="2"/>
  <c r="AQ280" i="2"/>
  <c r="AL280" i="2"/>
  <c r="AH280" i="2"/>
  <c r="AG280" i="2"/>
  <c r="BF280" i="2" s="1"/>
  <c r="CG280" i="2" s="1"/>
  <c r="AD280" i="2"/>
  <c r="V280" i="2"/>
  <c r="N280" i="2"/>
  <c r="ER279" i="2"/>
  <c r="EH279" i="2"/>
  <c r="DO279" i="2"/>
  <c r="CM279" i="2"/>
  <c r="CL279" i="2" a="1"/>
  <c r="CL279" i="2" s="1"/>
  <c r="CJ279" i="2"/>
  <c r="CB279" i="2"/>
  <c r="BV279" i="2"/>
  <c r="BS279" i="2"/>
  <c r="BN279" i="2"/>
  <c r="BE279" i="2"/>
  <c r="AM279" i="2" s="1"/>
  <c r="BC279" i="2"/>
  <c r="AZ279" i="2"/>
  <c r="AT279" i="2"/>
  <c r="AQ279" i="2"/>
  <c r="AL279" i="2"/>
  <c r="AH279" i="2"/>
  <c r="AG279" i="2"/>
  <c r="AD279" i="2"/>
  <c r="V279" i="2"/>
  <c r="N279" i="2"/>
  <c r="ER278" i="2"/>
  <c r="EH278" i="2"/>
  <c r="DO278" i="2"/>
  <c r="CM278" i="2"/>
  <c r="CL278" i="2" a="1"/>
  <c r="CL278" i="2" s="1"/>
  <c r="CJ278" i="2"/>
  <c r="CB278" i="2"/>
  <c r="BV278" i="2"/>
  <c r="BS278" i="2"/>
  <c r="BN278" i="2"/>
  <c r="BE278" i="2"/>
  <c r="CE278" i="2" s="1"/>
  <c r="BC278" i="2"/>
  <c r="AZ278" i="2"/>
  <c r="AT278" i="2"/>
  <c r="AQ278" i="2"/>
  <c r="AL278" i="2"/>
  <c r="AH278" i="2"/>
  <c r="AG278" i="2"/>
  <c r="AD278" i="2"/>
  <c r="BG278" i="2" s="1"/>
  <c r="EK278" i="2" s="1"/>
  <c r="V278" i="2"/>
  <c r="N278" i="2"/>
  <c r="ER277" i="2"/>
  <c r="EH277" i="2"/>
  <c r="DO277" i="2"/>
  <c r="CM277" i="2"/>
  <c r="CL277" i="2" a="1"/>
  <c r="CL277" i="2" s="1"/>
  <c r="CJ277" i="2"/>
  <c r="CB277" i="2"/>
  <c r="BV277" i="2"/>
  <c r="BS277" i="2"/>
  <c r="BN277" i="2"/>
  <c r="BE277" i="2"/>
  <c r="BC277" i="2"/>
  <c r="AT277" i="2"/>
  <c r="AQ277" i="2"/>
  <c r="AL277" i="2"/>
  <c r="AH277" i="2"/>
  <c r="AG277" i="2"/>
  <c r="AD277" i="2"/>
  <c r="V277" i="2"/>
  <c r="N277" i="2"/>
  <c r="ER276" i="2"/>
  <c r="EH276" i="2"/>
  <c r="DO276" i="2"/>
  <c r="CM276" i="2"/>
  <c r="CL276" i="2" a="1"/>
  <c r="CL276" i="2" s="1"/>
  <c r="CJ276" i="2"/>
  <c r="CB276" i="2"/>
  <c r="BV276" i="2"/>
  <c r="BS276" i="2"/>
  <c r="BN276" i="2"/>
  <c r="BE276" i="2"/>
  <c r="AM276" i="2" s="1"/>
  <c r="BC276" i="2"/>
  <c r="AZ276" i="2"/>
  <c r="AT276" i="2"/>
  <c r="AQ276" i="2"/>
  <c r="AL276" i="2"/>
  <c r="AH276" i="2"/>
  <c r="AG276" i="2"/>
  <c r="AD276" i="2"/>
  <c r="V276" i="2"/>
  <c r="N276" i="2"/>
  <c r="ER275" i="2"/>
  <c r="EH275" i="2"/>
  <c r="DO275" i="2"/>
  <c r="CM275" i="2"/>
  <c r="CL275" i="2" a="1"/>
  <c r="CL275" i="2" s="1"/>
  <c r="CJ275" i="2"/>
  <c r="CB275" i="2"/>
  <c r="BV275" i="2"/>
  <c r="BS275" i="2"/>
  <c r="BN275" i="2"/>
  <c r="BE275" i="2"/>
  <c r="BC275" i="2"/>
  <c r="AZ275" i="2"/>
  <c r="AT275" i="2"/>
  <c r="AQ275" i="2"/>
  <c r="AL275" i="2"/>
  <c r="AH275" i="2"/>
  <c r="AG275" i="2"/>
  <c r="AD275" i="2"/>
  <c r="V275" i="2"/>
  <c r="N275" i="2"/>
  <c r="ER274" i="2"/>
  <c r="EK274" i="2"/>
  <c r="EH274" i="2"/>
  <c r="DO274" i="2"/>
  <c r="CM274" i="2"/>
  <c r="CL274" i="2" a="1"/>
  <c r="CL274" i="2" s="1"/>
  <c r="CJ274" i="2"/>
  <c r="CB274" i="2"/>
  <c r="BV274" i="2"/>
  <c r="BS274" i="2"/>
  <c r="BN274" i="2"/>
  <c r="BL274" i="2"/>
  <c r="BQ274" i="2" s="1"/>
  <c r="BE274" i="2"/>
  <c r="BC274" i="2"/>
  <c r="AT274" i="2"/>
  <c r="AQ274" i="2"/>
  <c r="AL274" i="2"/>
  <c r="AH274" i="2"/>
  <c r="AD274" i="2"/>
  <c r="V274" i="2"/>
  <c r="N274" i="2"/>
  <c r="ER273" i="2"/>
  <c r="EH273" i="2"/>
  <c r="DO273" i="2"/>
  <c r="CM273" i="2"/>
  <c r="CL273" i="2" a="1"/>
  <c r="CL273" i="2" s="1"/>
  <c r="CJ273" i="2"/>
  <c r="CB273" i="2"/>
  <c r="BV273" i="2"/>
  <c r="BS273" i="2"/>
  <c r="BN273" i="2"/>
  <c r="BE273" i="2"/>
  <c r="BC273" i="2"/>
  <c r="AT273" i="2"/>
  <c r="AQ273" i="2"/>
  <c r="AL273" i="2"/>
  <c r="AH273" i="2"/>
  <c r="AG273" i="2"/>
  <c r="AD273" i="2"/>
  <c r="BG273" i="2" s="1"/>
  <c r="V273" i="2"/>
  <c r="N273" i="2"/>
  <c r="ER272" i="2"/>
  <c r="EH272" i="2"/>
  <c r="DO272" i="2"/>
  <c r="CM272" i="2"/>
  <c r="CL272" i="2" a="1"/>
  <c r="CL272" i="2" s="1"/>
  <c r="CJ272" i="2"/>
  <c r="CB272" i="2"/>
  <c r="BV272" i="2"/>
  <c r="BS272" i="2"/>
  <c r="BN272" i="2"/>
  <c r="BE272" i="2"/>
  <c r="CE272" i="2"/>
  <c r="BC272" i="2"/>
  <c r="AT272" i="2"/>
  <c r="AQ272" i="2"/>
  <c r="AL272" i="2"/>
  <c r="AH272" i="2"/>
  <c r="AG272" i="2"/>
  <c r="AD272" i="2"/>
  <c r="V272" i="2"/>
  <c r="N272" i="2"/>
  <c r="ER271" i="2"/>
  <c r="EH271" i="2"/>
  <c r="DO271" i="2"/>
  <c r="CM271" i="2"/>
  <c r="CL271" i="2" a="1"/>
  <c r="CL271" i="2" s="1"/>
  <c r="CJ271" i="2"/>
  <c r="CB271" i="2"/>
  <c r="BV271" i="2"/>
  <c r="BS271" i="2"/>
  <c r="BN271" i="2"/>
  <c r="BE271" i="2"/>
  <c r="CE271" i="2" s="1"/>
  <c r="BC271" i="2"/>
  <c r="AZ271" i="2"/>
  <c r="AT271" i="2"/>
  <c r="AQ271" i="2"/>
  <c r="AL271" i="2"/>
  <c r="AD271" i="2"/>
  <c r="AI271" i="2" s="1"/>
  <c r="V271" i="2"/>
  <c r="A271" i="2" s="1"/>
  <c r="N271" i="2"/>
  <c r="ER270" i="2"/>
  <c r="EH270" i="2"/>
  <c r="DO270" i="2"/>
  <c r="CM270" i="2"/>
  <c r="CL270" i="2" a="1"/>
  <c r="CL270" i="2" s="1"/>
  <c r="CJ270" i="2"/>
  <c r="CB270" i="2"/>
  <c r="BV270" i="2"/>
  <c r="BS270" i="2"/>
  <c r="BN270" i="2"/>
  <c r="BE270" i="2"/>
  <c r="BC270" i="2"/>
  <c r="AT270" i="2"/>
  <c r="AQ270" i="2"/>
  <c r="AL270" i="2"/>
  <c r="AH270" i="2"/>
  <c r="AG270" i="2"/>
  <c r="AD270" i="2"/>
  <c r="V270" i="2"/>
  <c r="N270" i="2"/>
  <c r="ER269" i="2"/>
  <c r="EK269" i="2"/>
  <c r="EH269" i="2"/>
  <c r="DO269" i="2"/>
  <c r="CM269" i="2"/>
  <c r="CL269" i="2" a="1"/>
  <c r="CL269" i="2" s="1"/>
  <c r="CJ269" i="2"/>
  <c r="CB269" i="2"/>
  <c r="BV269" i="2"/>
  <c r="BS269" i="2"/>
  <c r="BN269" i="2"/>
  <c r="BL269" i="2"/>
  <c r="BE269" i="2"/>
  <c r="CE269" i="2" s="1"/>
  <c r="BC269" i="2"/>
  <c r="AY269" i="2"/>
  <c r="AT269" i="2"/>
  <c r="AQ269" i="2"/>
  <c r="AM269" i="2"/>
  <c r="AL269" i="2"/>
  <c r="AH269" i="2"/>
  <c r="AG269" i="2"/>
  <c r="AD269" i="2"/>
  <c r="V269" i="2"/>
  <c r="N269" i="2"/>
  <c r="ER268" i="2"/>
  <c r="EH268" i="2"/>
  <c r="DO268" i="2"/>
  <c r="CM268" i="2"/>
  <c r="CL268" i="2" a="1"/>
  <c r="CL268" i="2" s="1"/>
  <c r="CJ268" i="2"/>
  <c r="CB268" i="2"/>
  <c r="BV268" i="2"/>
  <c r="BS268" i="2"/>
  <c r="BN268" i="2"/>
  <c r="BG268" i="2"/>
  <c r="BE268" i="2"/>
  <c r="CE268" i="2" s="1"/>
  <c r="BC268" i="2"/>
  <c r="AT268" i="2"/>
  <c r="AQ268" i="2"/>
  <c r="AL268" i="2"/>
  <c r="AH268" i="2"/>
  <c r="AG268" i="2"/>
  <c r="AD268" i="2"/>
  <c r="BF268" i="2" s="1"/>
  <c r="V268" i="2"/>
  <c r="N268" i="2"/>
  <c r="ER267" i="2"/>
  <c r="EK267" i="2"/>
  <c r="EH267" i="2"/>
  <c r="DO267" i="2"/>
  <c r="CM267" i="2"/>
  <c r="CL267" i="2" a="1"/>
  <c r="CL267" i="2" s="1"/>
  <c r="CJ267" i="2"/>
  <c r="CB267" i="2"/>
  <c r="BV267" i="2"/>
  <c r="BS267" i="2"/>
  <c r="BN267" i="2"/>
  <c r="BL267" i="2"/>
  <c r="BE267" i="2"/>
  <c r="BC267" i="2"/>
  <c r="AZ267" i="2"/>
  <c r="AT267" i="2"/>
  <c r="AQ267" i="2"/>
  <c r="AL267" i="2"/>
  <c r="AH267" i="2"/>
  <c r="AG267" i="2"/>
  <c r="AD267" i="2"/>
  <c r="V267" i="2"/>
  <c r="N267" i="2"/>
  <c r="EH266" i="2"/>
  <c r="DO266" i="2"/>
  <c r="CM266" i="2"/>
  <c r="CL266" i="2" a="1"/>
  <c r="CL266" i="2" s="1"/>
  <c r="CJ266" i="2"/>
  <c r="CB266" i="2"/>
  <c r="BV266" i="2"/>
  <c r="BN266" i="2"/>
  <c r="BH266" i="2"/>
  <c r="BE266" i="2"/>
  <c r="BC266" i="2"/>
  <c r="AQ266" i="2"/>
  <c r="AL266" i="2"/>
  <c r="AH266" i="2"/>
  <c r="AG266" i="2"/>
  <c r="AZ266" i="2" s="1"/>
  <c r="AD266" i="2"/>
  <c r="BG266" i="2" s="1"/>
  <c r="EK266" i="2" s="1"/>
  <c r="V266" i="2"/>
  <c r="N266" i="2"/>
  <c r="EH265" i="2"/>
  <c r="DO265" i="2"/>
  <c r="CO265" i="2"/>
  <c r="CM265" i="2"/>
  <c r="CL265" i="2" a="1"/>
  <c r="CL265" i="2" s="1"/>
  <c r="CB265" i="2"/>
  <c r="BV265" i="2"/>
  <c r="BN265" i="2"/>
  <c r="BH265" i="2"/>
  <c r="BE265" i="2"/>
  <c r="AM265" i="2" s="1"/>
  <c r="BC265" i="2"/>
  <c r="AZ265" i="2"/>
  <c r="AP265" i="2"/>
  <c r="AQ265" i="2" s="1"/>
  <c r="AL265" i="2"/>
  <c r="AH265" i="2"/>
  <c r="AG265" i="2"/>
  <c r="AD265" i="2"/>
  <c r="V265" i="2"/>
  <c r="N265" i="2"/>
  <c r="EH264" i="2"/>
  <c r="DO264" i="2"/>
  <c r="CO264" i="2"/>
  <c r="CM264" i="2"/>
  <c r="CL264" i="2" a="1"/>
  <c r="CL264" i="2" s="1"/>
  <c r="CB264" i="2"/>
  <c r="BV264" i="2"/>
  <c r="BN264" i="2"/>
  <c r="BH264" i="2"/>
  <c r="BE264" i="2"/>
  <c r="CE264" i="2" s="1"/>
  <c r="BC264" i="2"/>
  <c r="AZ264" i="2"/>
  <c r="AP264" i="2"/>
  <c r="AQ264" i="2" s="1"/>
  <c r="AL264" i="2"/>
  <c r="AH264" i="2"/>
  <c r="AG264" i="2"/>
  <c r="AD264" i="2"/>
  <c r="V264" i="2"/>
  <c r="N264" i="2"/>
  <c r="ER263" i="2"/>
  <c r="EH263" i="2"/>
  <c r="DO263" i="2"/>
  <c r="CO263" i="2"/>
  <c r="CM263" i="2"/>
  <c r="CL263" i="2" a="1"/>
  <c r="CL263" i="2" s="1"/>
  <c r="CB263" i="2"/>
  <c r="BV263" i="2"/>
  <c r="BS263" i="2"/>
  <c r="BN263" i="2"/>
  <c r="BG263" i="2"/>
  <c r="BL263" i="2" s="1"/>
  <c r="BE263" i="2"/>
  <c r="BC263" i="2"/>
  <c r="AZ263" i="2"/>
  <c r="AT263" i="2"/>
  <c r="AP263" i="2"/>
  <c r="AQ263" i="2" s="1"/>
  <c r="AL263" i="2"/>
  <c r="AH263" i="2"/>
  <c r="AG263" i="2"/>
  <c r="AD263" i="2"/>
  <c r="AI263" i="2" s="1"/>
  <c r="V263" i="2"/>
  <c r="N263" i="2"/>
  <c r="ER262" i="2"/>
  <c r="EK262" i="2"/>
  <c r="EH262" i="2"/>
  <c r="DO262" i="2"/>
  <c r="CM262" i="2"/>
  <c r="CL262" i="2" a="1"/>
  <c r="CL262" i="2" s="1"/>
  <c r="CJ262" i="2"/>
  <c r="CB262" i="2"/>
  <c r="BV262" i="2"/>
  <c r="BS262" i="2"/>
  <c r="BN262" i="2"/>
  <c r="BL262" i="2"/>
  <c r="DM262" i="2" s="1"/>
  <c r="DC262" i="2" s="1"/>
  <c r="BE262" i="2"/>
  <c r="BC262" i="2"/>
  <c r="AZ262" i="2"/>
  <c r="AT262" i="2"/>
  <c r="AQ262" i="2"/>
  <c r="AL262" i="2"/>
  <c r="AH262" i="2"/>
  <c r="AG262" i="2"/>
  <c r="AD262" i="2"/>
  <c r="V262" i="2"/>
  <c r="N262" i="2"/>
  <c r="ER261" i="2"/>
  <c r="EH261" i="2"/>
  <c r="DO261" i="2"/>
  <c r="CM261" i="2"/>
  <c r="CL261" i="2" a="1"/>
  <c r="CL261" i="2" s="1"/>
  <c r="CJ261" i="2"/>
  <c r="CB261" i="2"/>
  <c r="BV261" i="2"/>
  <c r="BS261" i="2"/>
  <c r="BN261" i="2"/>
  <c r="BE261" i="2"/>
  <c r="BC261" i="2"/>
  <c r="AZ261" i="2"/>
  <c r="AT261" i="2"/>
  <c r="AQ261" i="2"/>
  <c r="AL261" i="2"/>
  <c r="AH261" i="2"/>
  <c r="AG261" i="2"/>
  <c r="AD261" i="2"/>
  <c r="V261" i="2"/>
  <c r="N261" i="2"/>
  <c r="ER260" i="2"/>
  <c r="EH260" i="2"/>
  <c r="DO260" i="2"/>
  <c r="CM260" i="2"/>
  <c r="CL260" i="2" a="1"/>
  <c r="CL260" i="2" s="1"/>
  <c r="CJ260" i="2"/>
  <c r="CB260" i="2"/>
  <c r="BV260" i="2"/>
  <c r="BS260" i="2"/>
  <c r="BN260" i="2"/>
  <c r="BE260" i="2"/>
  <c r="CE260" i="2" s="1"/>
  <c r="BC260" i="2"/>
  <c r="AT260" i="2"/>
  <c r="AQ260" i="2"/>
  <c r="AN260" i="2"/>
  <c r="AL260" i="2"/>
  <c r="AH260" i="2"/>
  <c r="AG260" i="2"/>
  <c r="AI260" i="2" s="1"/>
  <c r="AD260" i="2"/>
  <c r="V260" i="2"/>
  <c r="ER259" i="2"/>
  <c r="EH259" i="2"/>
  <c r="DO259" i="2"/>
  <c r="CM259" i="2"/>
  <c r="CL259" i="2" a="1"/>
  <c r="CL259" i="2" s="1"/>
  <c r="CJ259" i="2"/>
  <c r="CB259" i="2"/>
  <c r="BV259" i="2"/>
  <c r="BS259" i="2"/>
  <c r="BN259" i="2"/>
  <c r="BE259" i="2"/>
  <c r="BC259" i="2"/>
  <c r="AZ259" i="2"/>
  <c r="AT259" i="2"/>
  <c r="AN259" i="2"/>
  <c r="AL259" i="2"/>
  <c r="AH259" i="2"/>
  <c r="AG259" i="2"/>
  <c r="AD259" i="2"/>
  <c r="V259" i="2"/>
  <c r="ER258" i="2"/>
  <c r="EH258" i="2"/>
  <c r="DO258" i="2"/>
  <c r="CM258" i="2"/>
  <c r="CL258" i="2" a="1"/>
  <c r="CL258" i="2" s="1"/>
  <c r="CJ258" i="2"/>
  <c r="CB258" i="2"/>
  <c r="BV258" i="2"/>
  <c r="BS258" i="2"/>
  <c r="BE258" i="2"/>
  <c r="BC258" i="2"/>
  <c r="AT258" i="2"/>
  <c r="AQ258" i="2"/>
  <c r="AN258" i="2"/>
  <c r="AL258" i="2"/>
  <c r="AH258" i="2"/>
  <c r="AG258" i="2"/>
  <c r="AD258" i="2"/>
  <c r="V258" i="2"/>
  <c r="ER257" i="2"/>
  <c r="EH257" i="2"/>
  <c r="DO257" i="2"/>
  <c r="CM257" i="2"/>
  <c r="CL257" i="2" a="1"/>
  <c r="CL257" i="2" s="1"/>
  <c r="CJ257" i="2"/>
  <c r="CB257" i="2"/>
  <c r="BV257" i="2"/>
  <c r="BS257" i="2"/>
  <c r="BG257" i="2"/>
  <c r="BE257" i="2"/>
  <c r="AM257" i="2" s="1"/>
  <c r="CD257" i="2" s="1"/>
  <c r="BC257" i="2"/>
  <c r="AZ257" i="2"/>
  <c r="AT257" i="2"/>
  <c r="AQ257" i="2"/>
  <c r="AL257" i="2"/>
  <c r="AH257" i="2"/>
  <c r="AG257" i="2"/>
  <c r="AD257" i="2"/>
  <c r="V257" i="2"/>
  <c r="N257" i="2"/>
  <c r="ER256" i="2"/>
  <c r="EH256" i="2"/>
  <c r="DO256" i="2"/>
  <c r="CM256" i="2"/>
  <c r="CL256" i="2" a="1"/>
  <c r="CL256" i="2" s="1"/>
  <c r="CJ256" i="2"/>
  <c r="CB256" i="2"/>
  <c r="BV256" i="2"/>
  <c r="BS256" i="2"/>
  <c r="BG256" i="2"/>
  <c r="EK256" i="2" s="1"/>
  <c r="BE256" i="2"/>
  <c r="BC256" i="2"/>
  <c r="AZ256" i="2"/>
  <c r="AT256" i="2"/>
  <c r="AQ256" i="2"/>
  <c r="AL256" i="2"/>
  <c r="AH256" i="2"/>
  <c r="AG256" i="2"/>
  <c r="AD256" i="2"/>
  <c r="V256" i="2"/>
  <c r="N256" i="2"/>
  <c r="ER255" i="2"/>
  <c r="EH255" i="2"/>
  <c r="DO255" i="2"/>
  <c r="CM255" i="2"/>
  <c r="CL255" i="2" a="1"/>
  <c r="CL255" i="2" s="1"/>
  <c r="CJ255" i="2"/>
  <c r="CB255" i="2"/>
  <c r="BV255" i="2"/>
  <c r="BS255" i="2"/>
  <c r="BG255" i="2"/>
  <c r="BE255" i="2"/>
  <c r="BC255" i="2"/>
  <c r="AZ255" i="2"/>
  <c r="AT255" i="2"/>
  <c r="AQ255" i="2"/>
  <c r="AL255" i="2"/>
  <c r="AH255" i="2"/>
  <c r="AG255" i="2"/>
  <c r="AD255" i="2"/>
  <c r="V255" i="2"/>
  <c r="N255" i="2"/>
  <c r="ER254" i="2"/>
  <c r="EH254" i="2"/>
  <c r="DO254" i="2"/>
  <c r="CM254" i="2"/>
  <c r="CL254" i="2" a="1"/>
  <c r="CL254" i="2" s="1"/>
  <c r="CJ254" i="2"/>
  <c r="CB254" i="2"/>
  <c r="BV254" i="2"/>
  <c r="BS254" i="2"/>
  <c r="BE254" i="2"/>
  <c r="CE254" i="2" s="1"/>
  <c r="BC254" i="2"/>
  <c r="AT254" i="2"/>
  <c r="AQ254" i="2"/>
  <c r="AN254" i="2"/>
  <c r="AL254" i="2"/>
  <c r="AH254" i="2"/>
  <c r="AG254" i="2"/>
  <c r="AD254" i="2"/>
  <c r="V254" i="2"/>
  <c r="N254" i="2"/>
  <c r="ER253" i="2"/>
  <c r="EH253" i="2"/>
  <c r="DO253" i="2"/>
  <c r="CM253" i="2"/>
  <c r="CL253" i="2" a="1"/>
  <c r="CL253" i="2" s="1"/>
  <c r="CJ253" i="2"/>
  <c r="CB253" i="2"/>
  <c r="BV253" i="2"/>
  <c r="BS253" i="2"/>
  <c r="BN253" i="2"/>
  <c r="BE253" i="2"/>
  <c r="CE253" i="2" s="1"/>
  <c r="BC253" i="2"/>
  <c r="AT253" i="2"/>
  <c r="AQ253" i="2"/>
  <c r="AL253" i="2"/>
  <c r="AH253" i="2"/>
  <c r="AG253" i="2"/>
  <c r="AD253" i="2"/>
  <c r="V253" i="2"/>
  <c r="N253" i="2"/>
  <c r="ER252" i="2"/>
  <c r="EH252" i="2"/>
  <c r="DO252" i="2"/>
  <c r="CM252" i="2"/>
  <c r="CL252" i="2" a="1"/>
  <c r="CL252" i="2" s="1"/>
  <c r="CJ252" i="2"/>
  <c r="CB252" i="2"/>
  <c r="BV252" i="2"/>
  <c r="BS252" i="2"/>
  <c r="BN252" i="2"/>
  <c r="BE252" i="2"/>
  <c r="BC252" i="2"/>
  <c r="AT252" i="2"/>
  <c r="AQ252" i="2"/>
  <c r="AL252" i="2"/>
  <c r="AH252" i="2"/>
  <c r="AG252" i="2"/>
  <c r="AD252" i="2"/>
  <c r="BG252" i="2" s="1"/>
  <c r="BL252" i="2" s="1"/>
  <c r="V252" i="2"/>
  <c r="N252" i="2"/>
  <c r="ER251" i="2"/>
  <c r="EH251" i="2"/>
  <c r="DO251" i="2"/>
  <c r="CM251" i="2"/>
  <c r="CL251" i="2" a="1"/>
  <c r="CL251" i="2" s="1"/>
  <c r="CJ251" i="2"/>
  <c r="CB251" i="2"/>
  <c r="BV251" i="2"/>
  <c r="BS251" i="2"/>
  <c r="BN251" i="2"/>
  <c r="BE251" i="2"/>
  <c r="BC251" i="2"/>
  <c r="AZ251" i="2"/>
  <c r="AT251" i="2"/>
  <c r="AQ251" i="2"/>
  <c r="AL251" i="2"/>
  <c r="AH251" i="2"/>
  <c r="AG251" i="2"/>
  <c r="AD251" i="2"/>
  <c r="V251" i="2"/>
  <c r="N251" i="2"/>
  <c r="ER250" i="2"/>
  <c r="EH250" i="2"/>
  <c r="DO250" i="2"/>
  <c r="CM250" i="2"/>
  <c r="CL250" i="2" a="1"/>
  <c r="CL250" i="2" s="1"/>
  <c r="CJ250" i="2"/>
  <c r="CB250" i="2"/>
  <c r="BV250" i="2"/>
  <c r="BS250" i="2"/>
  <c r="BE250" i="2"/>
  <c r="BC250" i="2"/>
  <c r="AZ250" i="2"/>
  <c r="AT250" i="2"/>
  <c r="AP250" i="2"/>
  <c r="AQ250" i="2" s="1"/>
  <c r="AL250" i="2"/>
  <c r="AH250" i="2"/>
  <c r="AG250" i="2"/>
  <c r="AD250" i="2"/>
  <c r="BG250" i="2" s="1"/>
  <c r="V250" i="2"/>
  <c r="N250" i="2"/>
  <c r="ER249" i="2"/>
  <c r="EH249" i="2"/>
  <c r="DO249" i="2"/>
  <c r="CM249" i="2"/>
  <c r="CL249" i="2" a="1"/>
  <c r="CL249" i="2" s="1"/>
  <c r="CJ249" i="2"/>
  <c r="CB249" i="2"/>
  <c r="BV249" i="2"/>
  <c r="BS249" i="2"/>
  <c r="BE249" i="2"/>
  <c r="AM249" i="2" s="1"/>
  <c r="BC249" i="2"/>
  <c r="AZ249" i="2"/>
  <c r="AT249" i="2"/>
  <c r="AP249" i="2"/>
  <c r="AQ249" i="2" s="1"/>
  <c r="AR249" i="2" s="1" a="1"/>
  <c r="AR249" i="2" s="1"/>
  <c r="BX249" i="2" s="1"/>
  <c r="BY249" i="2" s="1"/>
  <c r="AL249" i="2"/>
  <c r="AH249" i="2"/>
  <c r="AG249" i="2"/>
  <c r="AD249" i="2"/>
  <c r="V249" i="2"/>
  <c r="N249" i="2"/>
  <c r="ER248" i="2"/>
  <c r="EH248" i="2"/>
  <c r="DO248" i="2"/>
  <c r="CM248" i="2"/>
  <c r="CL248" i="2" a="1"/>
  <c r="CL248" i="2" s="1"/>
  <c r="CJ248" i="2"/>
  <c r="CB248" i="2"/>
  <c r="BV248" i="2"/>
  <c r="BS248" i="2"/>
  <c r="BE248" i="2"/>
  <c r="BC248" i="2"/>
  <c r="AZ248" i="2"/>
  <c r="AT248" i="2"/>
  <c r="AP248" i="2"/>
  <c r="AQ248" i="2" s="1"/>
  <c r="AL248" i="2"/>
  <c r="AH248" i="2"/>
  <c r="AI248" i="2" s="1"/>
  <c r="AG248" i="2"/>
  <c r="AD248" i="2"/>
  <c r="V248" i="2"/>
  <c r="N248" i="2"/>
  <c r="ER247" i="2"/>
  <c r="EH247" i="2"/>
  <c r="DO247" i="2"/>
  <c r="CM247" i="2"/>
  <c r="CL247" i="2" a="1"/>
  <c r="CL247" i="2" s="1"/>
  <c r="CJ247" i="2"/>
  <c r="CB247" i="2"/>
  <c r="BV247" i="2"/>
  <c r="BS247" i="2"/>
  <c r="BN247" i="2"/>
  <c r="BE247" i="2"/>
  <c r="BC247" i="2"/>
  <c r="AT247" i="2"/>
  <c r="AQ247" i="2"/>
  <c r="AL247" i="2"/>
  <c r="AH247" i="2"/>
  <c r="AG247" i="2"/>
  <c r="AD247" i="2"/>
  <c r="V247" i="2"/>
  <c r="N247" i="2"/>
  <c r="ER246" i="2"/>
  <c r="EH246" i="2"/>
  <c r="DO246" i="2"/>
  <c r="CM246" i="2"/>
  <c r="CL246" i="2" a="1"/>
  <c r="CL246" i="2" s="1"/>
  <c r="CJ246" i="2"/>
  <c r="CB246" i="2"/>
  <c r="BV246" i="2"/>
  <c r="BS246" i="2"/>
  <c r="BE246" i="2"/>
  <c r="AM246" i="2" s="1"/>
  <c r="P246" i="2" s="1"/>
  <c r="AT246" i="2"/>
  <c r="AQ246" i="2"/>
  <c r="AL246" i="2"/>
  <c r="AH246" i="2"/>
  <c r="AG246" i="2"/>
  <c r="BF246" i="2" s="1"/>
  <c r="AD246" i="2"/>
  <c r="V246" i="2"/>
  <c r="N246" i="2"/>
  <c r="ER245" i="2"/>
  <c r="EH245" i="2"/>
  <c r="DO245" i="2"/>
  <c r="CO245" i="2"/>
  <c r="CM245" i="2"/>
  <c r="CL245" i="2" a="1"/>
  <c r="CL245" i="2" s="1"/>
  <c r="CJ245" i="2"/>
  <c r="CB245" i="2"/>
  <c r="BV245" i="2"/>
  <c r="BS245" i="2"/>
  <c r="BF245" i="2"/>
  <c r="AT245" i="2"/>
  <c r="AQ245" i="2"/>
  <c r="AM245" i="2"/>
  <c r="AL245" i="2"/>
  <c r="AH245" i="2"/>
  <c r="AG245" i="2"/>
  <c r="AD245" i="2"/>
  <c r="V245" i="2"/>
  <c r="ER244" i="2"/>
  <c r="EH244" i="2"/>
  <c r="DO244" i="2"/>
  <c r="CM244" i="2"/>
  <c r="CL244" i="2" a="1"/>
  <c r="CL244" i="2" s="1"/>
  <c r="CJ244" i="2"/>
  <c r="CB244" i="2"/>
  <c r="BV244" i="2"/>
  <c r="BS244" i="2"/>
  <c r="BE244" i="2"/>
  <c r="AT244" i="2"/>
  <c r="AQ244" i="2"/>
  <c r="AL244" i="2"/>
  <c r="AH244" i="2"/>
  <c r="AG244" i="2"/>
  <c r="AD244" i="2"/>
  <c r="V244" i="2"/>
  <c r="N244" i="2"/>
  <c r="ER243" i="2"/>
  <c r="EH243" i="2"/>
  <c r="DO243" i="2"/>
  <c r="CM243" i="2"/>
  <c r="CL243" i="2" a="1"/>
  <c r="CL243" i="2" s="1"/>
  <c r="CJ243" i="2"/>
  <c r="CB243" i="2"/>
  <c r="BV243" i="2"/>
  <c r="BW243" i="2" s="1"/>
  <c r="BS243" i="2"/>
  <c r="BF243" i="2"/>
  <c r="AT243" i="2"/>
  <c r="AQ243" i="2"/>
  <c r="AM243" i="2"/>
  <c r="AL243" i="2"/>
  <c r="AH243" i="2"/>
  <c r="AG243" i="2"/>
  <c r="BC243" i="2" s="1"/>
  <c r="AD243" i="2"/>
  <c r="V243" i="2"/>
  <c r="ER242" i="2"/>
  <c r="EH242" i="2"/>
  <c r="DO242" i="2"/>
  <c r="CM242" i="2"/>
  <c r="CL242" i="2" a="1"/>
  <c r="CL242" i="2" s="1"/>
  <c r="CJ242" i="2"/>
  <c r="CB242" i="2"/>
  <c r="BV242" i="2"/>
  <c r="BS242" i="2"/>
  <c r="BN242" i="2"/>
  <c r="BE242" i="2"/>
  <c r="AM242" i="2" s="1"/>
  <c r="CH242" i="2" s="1"/>
  <c r="CC242" i="2" s="1"/>
  <c r="BC242" i="2"/>
  <c r="AZ242" i="2"/>
  <c r="AT242" i="2"/>
  <c r="AQ242" i="2"/>
  <c r="AL242" i="2"/>
  <c r="AG242" i="2"/>
  <c r="AD242" i="2"/>
  <c r="BG242" i="2" s="1"/>
  <c r="V242" i="2"/>
  <c r="N242" i="2"/>
  <c r="EH241" i="2"/>
  <c r="DO241" i="2"/>
  <c r="CM241" i="2"/>
  <c r="CL241" i="2" a="1"/>
  <c r="CL241" i="2" s="1"/>
  <c r="CJ241" i="2"/>
  <c r="CB241" i="2"/>
  <c r="BV241" i="2"/>
  <c r="BH241" i="2"/>
  <c r="BE241" i="2"/>
  <c r="BC241" i="2"/>
  <c r="AZ241" i="2"/>
  <c r="AQ241" i="2"/>
  <c r="AL241" i="2"/>
  <c r="AH241" i="2"/>
  <c r="AG241" i="2"/>
  <c r="AD241" i="2"/>
  <c r="V241" i="2"/>
  <c r="N241" i="2"/>
  <c r="EH240" i="2"/>
  <c r="DO240" i="2"/>
  <c r="CM240" i="2"/>
  <c r="CL240" i="2" a="1"/>
  <c r="CL240" i="2" s="1"/>
  <c r="CJ240" i="2"/>
  <c r="CB240" i="2"/>
  <c r="BV240" i="2"/>
  <c r="BH240" i="2"/>
  <c r="AT240" i="2" s="1"/>
  <c r="BE240" i="2"/>
  <c r="BC240" i="2"/>
  <c r="AQ240" i="2"/>
  <c r="AL240" i="2"/>
  <c r="AH240" i="2"/>
  <c r="AG240" i="2"/>
  <c r="AD240" i="2"/>
  <c r="V240" i="2"/>
  <c r="N240" i="2"/>
  <c r="EH239" i="2"/>
  <c r="DO239" i="2"/>
  <c r="CM239" i="2"/>
  <c r="CL239" i="2" a="1"/>
  <c r="CL239" i="2" s="1"/>
  <c r="CJ239" i="2"/>
  <c r="CB239" i="2"/>
  <c r="BV239" i="2"/>
  <c r="BH239" i="2"/>
  <c r="BE239" i="2"/>
  <c r="BC239" i="2"/>
  <c r="AZ239" i="2"/>
  <c r="AQ239" i="2"/>
  <c r="AL239" i="2"/>
  <c r="AG239" i="2"/>
  <c r="AD239" i="2"/>
  <c r="V239" i="2"/>
  <c r="N239" i="2"/>
  <c r="EH238" i="2"/>
  <c r="DO238" i="2"/>
  <c r="CM238" i="2"/>
  <c r="CL238" i="2" a="1"/>
  <c r="CL238" i="2" s="1"/>
  <c r="CJ238" i="2"/>
  <c r="CB238" i="2"/>
  <c r="BV238" i="2"/>
  <c r="BN238" i="2"/>
  <c r="BH238" i="2"/>
  <c r="BE238" i="2"/>
  <c r="BC238" i="2"/>
  <c r="AQ238" i="2"/>
  <c r="AL238" i="2"/>
  <c r="AH238" i="2"/>
  <c r="AD238" i="2"/>
  <c r="V238" i="2"/>
  <c r="N238" i="2"/>
  <c r="EH237" i="2"/>
  <c r="DO237" i="2"/>
  <c r="CM237" i="2"/>
  <c r="CL237" i="2" a="1"/>
  <c r="CL237" i="2" s="1"/>
  <c r="CJ237" i="2"/>
  <c r="CB237" i="2"/>
  <c r="BV237" i="2"/>
  <c r="BN237" i="2"/>
  <c r="BH237" i="2"/>
  <c r="AT237" i="2" s="1"/>
  <c r="BE237" i="2"/>
  <c r="BC237" i="2"/>
  <c r="AQ237" i="2"/>
  <c r="AL237" i="2"/>
  <c r="AH237" i="2"/>
  <c r="AG237" i="2"/>
  <c r="AD237" i="2"/>
  <c r="V237" i="2"/>
  <c r="N237" i="2"/>
  <c r="EH236" i="2"/>
  <c r="DO236" i="2"/>
  <c r="CM236" i="2"/>
  <c r="CL236" i="2" a="1"/>
  <c r="CL236" i="2" s="1"/>
  <c r="CJ236" i="2"/>
  <c r="CB236" i="2"/>
  <c r="BV236" i="2"/>
  <c r="BN236" i="2"/>
  <c r="BH236" i="2"/>
  <c r="ER236" i="2" s="1"/>
  <c r="BE236" i="2"/>
  <c r="BC236" i="2"/>
  <c r="AZ236" i="2"/>
  <c r="AQ236" i="2"/>
  <c r="AL236" i="2"/>
  <c r="AG236" i="2"/>
  <c r="AD236" i="2"/>
  <c r="V236" i="2"/>
  <c r="N236" i="2"/>
  <c r="ER235" i="2"/>
  <c r="EH235" i="2"/>
  <c r="DO235" i="2"/>
  <c r="CM235" i="2"/>
  <c r="CL235" i="2" a="1"/>
  <c r="CL235" i="2" s="1"/>
  <c r="CJ235" i="2"/>
  <c r="CB235" i="2"/>
  <c r="BV235" i="2"/>
  <c r="BS235" i="2"/>
  <c r="BN235" i="2"/>
  <c r="BE235" i="2"/>
  <c r="CE235" i="2" s="1"/>
  <c r="BC235" i="2"/>
  <c r="AZ235" i="2"/>
  <c r="AT235" i="2"/>
  <c r="AQ235" i="2"/>
  <c r="AL235" i="2"/>
  <c r="AH235" i="2"/>
  <c r="AG235" i="2"/>
  <c r="AD235" i="2"/>
  <c r="V235" i="2"/>
  <c r="N235" i="2"/>
  <c r="ER234" i="2"/>
  <c r="EH234" i="2"/>
  <c r="DO234" i="2"/>
  <c r="CM234" i="2"/>
  <c r="CL234" i="2" a="1"/>
  <c r="CL234" i="2" s="1"/>
  <c r="CJ234" i="2"/>
  <c r="CB234" i="2"/>
  <c r="BV234" i="2"/>
  <c r="BS234" i="2"/>
  <c r="BN234" i="2"/>
  <c r="BE234" i="2"/>
  <c r="AM234" i="2" s="1"/>
  <c r="CK234" i="2" s="1"/>
  <c r="BC234" i="2"/>
  <c r="AZ234" i="2"/>
  <c r="AT234" i="2"/>
  <c r="AQ234" i="2"/>
  <c r="AL234" i="2"/>
  <c r="AH234" i="2"/>
  <c r="AG234" i="2"/>
  <c r="AD234" i="2"/>
  <c r="V234" i="2"/>
  <c r="N234" i="2"/>
  <c r="ER233" i="2"/>
  <c r="EH233" i="2"/>
  <c r="DO233" i="2"/>
  <c r="CM233" i="2"/>
  <c r="CL233" i="2" a="1"/>
  <c r="CL233" i="2" s="1"/>
  <c r="CJ233" i="2"/>
  <c r="CB233" i="2"/>
  <c r="BV233" i="2"/>
  <c r="BS233" i="2"/>
  <c r="BN233" i="2"/>
  <c r="BE233" i="2"/>
  <c r="AM233" i="2" s="1"/>
  <c r="AT233" i="2"/>
  <c r="AP233" i="2"/>
  <c r="AQ233" i="2" s="1"/>
  <c r="AL233" i="2"/>
  <c r="AH233" i="2"/>
  <c r="AG233" i="2"/>
  <c r="AD233" i="2"/>
  <c r="BG233" i="2" s="1"/>
  <c r="V233" i="2"/>
  <c r="N233" i="2"/>
  <c r="ER232" i="2"/>
  <c r="EH232" i="2"/>
  <c r="DO232" i="2"/>
  <c r="CM232" i="2"/>
  <c r="CL232" i="2" a="1"/>
  <c r="CL232" i="2" s="1"/>
  <c r="CJ232" i="2"/>
  <c r="CB232" i="2"/>
  <c r="BV232" i="2"/>
  <c r="BS232" i="2"/>
  <c r="BE232" i="2"/>
  <c r="AT232" i="2"/>
  <c r="AQ232" i="2"/>
  <c r="AL232" i="2"/>
  <c r="AH232" i="2"/>
  <c r="AG232" i="2"/>
  <c r="AD232" i="2"/>
  <c r="BG232" i="2" s="1"/>
  <c r="EK232" i="2" s="1"/>
  <c r="V232" i="2"/>
  <c r="N232" i="2"/>
  <c r="ER231" i="2"/>
  <c r="EH231" i="2"/>
  <c r="DO231" i="2"/>
  <c r="CM231" i="2"/>
  <c r="CL231" i="2" a="1"/>
  <c r="CL231" i="2" s="1"/>
  <c r="CJ231" i="2"/>
  <c r="CB231" i="2"/>
  <c r="BV231" i="2"/>
  <c r="BS231" i="2"/>
  <c r="BN231" i="2"/>
  <c r="BE231" i="2"/>
  <c r="BC231" i="2"/>
  <c r="AZ231" i="2"/>
  <c r="AT231" i="2"/>
  <c r="AQ231" i="2"/>
  <c r="AL231" i="2"/>
  <c r="AD231" i="2"/>
  <c r="V231" i="2"/>
  <c r="N231" i="2"/>
  <c r="EH230" i="2"/>
  <c r="DO230" i="2"/>
  <c r="CM230" i="2"/>
  <c r="CL230" i="2" a="1"/>
  <c r="CL230" i="2" s="1"/>
  <c r="CJ230" i="2"/>
  <c r="CB230" i="2"/>
  <c r="BV230" i="2"/>
  <c r="BN230" i="2"/>
  <c r="BH230" i="2"/>
  <c r="BE230" i="2"/>
  <c r="BC230" i="2"/>
  <c r="AQ230" i="2"/>
  <c r="AL230" i="2"/>
  <c r="AH230" i="2"/>
  <c r="AG230" i="2"/>
  <c r="AD230" i="2"/>
  <c r="V230" i="2"/>
  <c r="N230" i="2"/>
  <c r="ER229" i="2"/>
  <c r="EH229" i="2"/>
  <c r="DO229" i="2"/>
  <c r="CM229" i="2"/>
  <c r="CL229" i="2" a="1"/>
  <c r="CL229" i="2" s="1"/>
  <c r="CJ229" i="2"/>
  <c r="CB229" i="2"/>
  <c r="BV229" i="2"/>
  <c r="BS229" i="2"/>
  <c r="BN229" i="2"/>
  <c r="BE229" i="2"/>
  <c r="CE229" i="2" s="1"/>
  <c r="BC229" i="2"/>
  <c r="AT229" i="2"/>
  <c r="AQ229" i="2"/>
  <c r="AL229" i="2"/>
  <c r="AH229" i="2"/>
  <c r="AG229" i="2"/>
  <c r="AD229" i="2"/>
  <c r="V229" i="2"/>
  <c r="N229" i="2"/>
  <c r="ER228" i="2"/>
  <c r="EH228" i="2"/>
  <c r="DO228" i="2"/>
  <c r="CM228" i="2"/>
  <c r="CL228" i="2" a="1"/>
  <c r="CL228" i="2" s="1"/>
  <c r="CJ228" i="2"/>
  <c r="CB228" i="2"/>
  <c r="BV228" i="2"/>
  <c r="BS228" i="2"/>
  <c r="BN228" i="2"/>
  <c r="BE228" i="2"/>
  <c r="BC228" i="2"/>
  <c r="AY228" i="2"/>
  <c r="AT228" i="2"/>
  <c r="AQ228" i="2"/>
  <c r="AL228" i="2"/>
  <c r="AH228" i="2"/>
  <c r="AG228" i="2"/>
  <c r="AD228" i="2"/>
  <c r="V228" i="2"/>
  <c r="N228" i="2"/>
  <c r="ER227" i="2"/>
  <c r="EH227" i="2"/>
  <c r="DO227" i="2"/>
  <c r="CM227" i="2"/>
  <c r="CL227" i="2" a="1"/>
  <c r="CL227" i="2" s="1"/>
  <c r="CJ227" i="2"/>
  <c r="CB227" i="2"/>
  <c r="BV227" i="2"/>
  <c r="BS227" i="2"/>
  <c r="BE227" i="2"/>
  <c r="CE227" i="2" s="1"/>
  <c r="BC227" i="2"/>
  <c r="AT227" i="2"/>
  <c r="AQ227" i="2"/>
  <c r="AL227" i="2"/>
  <c r="AH227" i="2"/>
  <c r="AD227" i="2"/>
  <c r="BG227" i="2" s="1"/>
  <c r="V227" i="2"/>
  <c r="N227" i="2"/>
  <c r="ER226" i="2"/>
  <c r="EH226" i="2"/>
  <c r="DO226" i="2"/>
  <c r="CM226" i="2"/>
  <c r="CL226" i="2" a="1"/>
  <c r="CL226" i="2" s="1"/>
  <c r="CJ226" i="2"/>
  <c r="CB226" i="2"/>
  <c r="BV226" i="2"/>
  <c r="BS226" i="2"/>
  <c r="BE226" i="2"/>
  <c r="BC226" i="2"/>
  <c r="AT226" i="2"/>
  <c r="AQ226" i="2"/>
  <c r="AL226" i="2"/>
  <c r="AH226" i="2"/>
  <c r="AD226" i="2"/>
  <c r="BG226" i="2" s="1"/>
  <c r="V226" i="2"/>
  <c r="N226" i="2"/>
  <c r="ER225" i="2"/>
  <c r="EH225" i="2"/>
  <c r="DO225" i="2"/>
  <c r="CM225" i="2"/>
  <c r="CL225" i="2" a="1"/>
  <c r="CL225" i="2" s="1"/>
  <c r="CJ225" i="2"/>
  <c r="CB225" i="2"/>
  <c r="BV225" i="2"/>
  <c r="BS225" i="2"/>
  <c r="BE225" i="2"/>
  <c r="BC225" i="2"/>
  <c r="AT225" i="2"/>
  <c r="AP225" i="2"/>
  <c r="AQ225" i="2" s="1"/>
  <c r="AN225" i="2"/>
  <c r="AL225" i="2"/>
  <c r="AH225" i="2"/>
  <c r="AD225" i="2"/>
  <c r="BG225" i="2" s="1"/>
  <c r="V225" i="2"/>
  <c r="N225" i="2"/>
  <c r="ER224" i="2"/>
  <c r="EH224" i="2"/>
  <c r="DO224" i="2"/>
  <c r="CM224" i="2"/>
  <c r="CL224" i="2" a="1"/>
  <c r="CL224" i="2" s="1"/>
  <c r="CJ224" i="2"/>
  <c r="CB224" i="2"/>
  <c r="BV224" i="2"/>
  <c r="BS224" i="2"/>
  <c r="BE224" i="2"/>
  <c r="AM224" i="2" s="1"/>
  <c r="BC224" i="2"/>
  <c r="AT224" i="2"/>
  <c r="AQ224" i="2"/>
  <c r="AN224" i="2"/>
  <c r="AL224" i="2"/>
  <c r="AH224" i="2"/>
  <c r="AD224" i="2"/>
  <c r="V224" i="2"/>
  <c r="N224" i="2"/>
  <c r="ER223" i="2"/>
  <c r="EH223" i="2"/>
  <c r="DO223" i="2"/>
  <c r="CM223" i="2"/>
  <c r="CL223" i="2" a="1"/>
  <c r="CL223" i="2" s="1"/>
  <c r="CJ223" i="2"/>
  <c r="CB223" i="2"/>
  <c r="BV223" i="2"/>
  <c r="BS223" i="2"/>
  <c r="BE223" i="2"/>
  <c r="BC223" i="2"/>
  <c r="AZ223" i="2"/>
  <c r="AT223" i="2"/>
  <c r="AQ223" i="2"/>
  <c r="AN223" i="2"/>
  <c r="AL223" i="2"/>
  <c r="AH223" i="2"/>
  <c r="AD223" i="2"/>
  <c r="BG223" i="2" s="1"/>
  <c r="V223" i="2"/>
  <c r="N223" i="2"/>
  <c r="ER222" i="2"/>
  <c r="EH222" i="2"/>
  <c r="DO222" i="2"/>
  <c r="CM222" i="2"/>
  <c r="CL222" i="2" a="1"/>
  <c r="CL222" i="2" s="1"/>
  <c r="CJ222" i="2"/>
  <c r="CB222" i="2"/>
  <c r="BV222" i="2"/>
  <c r="BS222" i="2"/>
  <c r="BN222" i="2"/>
  <c r="BE222" i="2"/>
  <c r="BC222" i="2"/>
  <c r="AY222" i="2"/>
  <c r="AT222" i="2"/>
  <c r="AQ222" i="2"/>
  <c r="AL222" i="2"/>
  <c r="AH222" i="2"/>
  <c r="AG222" i="2"/>
  <c r="AD222" i="2"/>
  <c r="BG222" i="2" s="1"/>
  <c r="V222" i="2"/>
  <c r="N222" i="2"/>
  <c r="ER221" i="2"/>
  <c r="EH221" i="2"/>
  <c r="DO221" i="2"/>
  <c r="CM221" i="2"/>
  <c r="CL221" i="2" a="1"/>
  <c r="CL221" i="2"/>
  <c r="CJ221" i="2"/>
  <c r="CB221" i="2"/>
  <c r="BV221" i="2"/>
  <c r="BS221" i="2"/>
  <c r="BN221" i="2"/>
  <c r="BE221" i="2"/>
  <c r="CE221" i="2" s="1"/>
  <c r="BC221" i="2"/>
  <c r="AZ221" i="2"/>
  <c r="AT221" i="2"/>
  <c r="AQ221" i="2"/>
  <c r="AL221" i="2"/>
  <c r="AH221" i="2"/>
  <c r="AG221" i="2"/>
  <c r="AD221" i="2"/>
  <c r="V221" i="2"/>
  <c r="N221" i="2"/>
  <c r="ER220" i="2"/>
  <c r="EK220" i="2"/>
  <c r="EH220" i="2"/>
  <c r="DO220" i="2"/>
  <c r="CM220" i="2"/>
  <c r="CL220" i="2" a="1"/>
  <c r="CL220" i="2"/>
  <c r="CJ220" i="2"/>
  <c r="CB220" i="2"/>
  <c r="BV220" i="2"/>
  <c r="BS220" i="2"/>
  <c r="BN220" i="2"/>
  <c r="BL220" i="2"/>
  <c r="BE220" i="2"/>
  <c r="CE220" i="2" s="1"/>
  <c r="BC220" i="2"/>
  <c r="AZ220" i="2"/>
  <c r="AT220" i="2"/>
  <c r="AQ220" i="2"/>
  <c r="AL220" i="2"/>
  <c r="AH220" i="2"/>
  <c r="AG220" i="2"/>
  <c r="AD220" i="2"/>
  <c r="V220" i="2"/>
  <c r="N220" i="2"/>
  <c r="ER219" i="2"/>
  <c r="EH219" i="2"/>
  <c r="DO219" i="2"/>
  <c r="CM219" i="2"/>
  <c r="CL219" i="2" a="1"/>
  <c r="CL219" i="2" s="1"/>
  <c r="CJ219" i="2"/>
  <c r="CB219" i="2"/>
  <c r="BV219" i="2"/>
  <c r="BS219" i="2"/>
  <c r="BN219" i="2"/>
  <c r="BE219" i="2"/>
  <c r="BC219" i="2"/>
  <c r="AT219" i="2"/>
  <c r="AQ219" i="2"/>
  <c r="AL219" i="2"/>
  <c r="AH219" i="2"/>
  <c r="AG219" i="2"/>
  <c r="AD219" i="2"/>
  <c r="V219" i="2"/>
  <c r="N219" i="2"/>
  <c r="ER218" i="2"/>
  <c r="EK218" i="2"/>
  <c r="EH218" i="2"/>
  <c r="DO218" i="2"/>
  <c r="CM218" i="2"/>
  <c r="CL218" i="2" a="1"/>
  <c r="CL218" i="2"/>
  <c r="CJ218" i="2"/>
  <c r="CB218" i="2"/>
  <c r="BV218" i="2"/>
  <c r="BS218" i="2"/>
  <c r="BN218" i="2"/>
  <c r="BL218" i="2"/>
  <c r="BE218" i="2"/>
  <c r="AM218" i="2" s="1"/>
  <c r="AR218" i="2" s="1" a="1"/>
  <c r="AR218" i="2" s="1"/>
  <c r="BX218" i="2" s="1"/>
  <c r="BY218" i="2" s="1"/>
  <c r="BC218" i="2"/>
  <c r="AZ218" i="2"/>
  <c r="AT218" i="2"/>
  <c r="AQ218" i="2"/>
  <c r="AL218" i="2"/>
  <c r="AH218" i="2"/>
  <c r="AG218" i="2"/>
  <c r="AD218" i="2"/>
  <c r="V218" i="2"/>
  <c r="N218" i="2"/>
  <c r="ER217" i="2"/>
  <c r="EK217" i="2"/>
  <c r="EH217" i="2"/>
  <c r="DO217" i="2"/>
  <c r="CM217" i="2"/>
  <c r="CL217" i="2" a="1"/>
  <c r="CL217" i="2" s="1"/>
  <c r="CJ217" i="2"/>
  <c r="CB217" i="2"/>
  <c r="BV217" i="2"/>
  <c r="BS217" i="2"/>
  <c r="BN217" i="2"/>
  <c r="DW217" i="2"/>
  <c r="BL217" i="2"/>
  <c r="DM217" i="2"/>
  <c r="DC217" i="2"/>
  <c r="BE217" i="2"/>
  <c r="AM217" i="2" s="1"/>
  <c r="BC217" i="2"/>
  <c r="AZ217" i="2"/>
  <c r="AT217" i="2"/>
  <c r="AQ217" i="2"/>
  <c r="AL217" i="2"/>
  <c r="AH217" i="2"/>
  <c r="AG217" i="2"/>
  <c r="AD217" i="2"/>
  <c r="V217" i="2"/>
  <c r="N217" i="2"/>
  <c r="ER216" i="2"/>
  <c r="EK216" i="2"/>
  <c r="EH216" i="2"/>
  <c r="DO216" i="2"/>
  <c r="CM216" i="2"/>
  <c r="CL216" i="2" a="1"/>
  <c r="CL216" i="2" s="1"/>
  <c r="CJ216" i="2"/>
  <c r="CB216" i="2"/>
  <c r="BV216" i="2"/>
  <c r="BS216" i="2"/>
  <c r="BN216" i="2"/>
  <c r="BL216" i="2"/>
  <c r="DM216" i="2" s="1"/>
  <c r="DC216" i="2" s="1"/>
  <c r="BE216" i="2"/>
  <c r="CE216" i="2" s="1"/>
  <c r="BC216" i="2"/>
  <c r="AT216" i="2"/>
  <c r="AQ216" i="2"/>
  <c r="AL216" i="2"/>
  <c r="AH216" i="2"/>
  <c r="AG216" i="2"/>
  <c r="AD216" i="2"/>
  <c r="V216" i="2"/>
  <c r="N216" i="2"/>
  <c r="ER215" i="2"/>
  <c r="EH215" i="2"/>
  <c r="DO215" i="2"/>
  <c r="CM215" i="2"/>
  <c r="CL215" i="2" a="1"/>
  <c r="CL215" i="2" s="1"/>
  <c r="CJ215" i="2"/>
  <c r="CB215" i="2"/>
  <c r="BV215" i="2"/>
  <c r="BS215" i="2"/>
  <c r="BN215" i="2"/>
  <c r="BE215" i="2"/>
  <c r="AT215" i="2"/>
  <c r="AQ215" i="2"/>
  <c r="AL215" i="2"/>
  <c r="AH215" i="2"/>
  <c r="AI215" i="2" s="1"/>
  <c r="AG215" i="2"/>
  <c r="AD215" i="2"/>
  <c r="V215" i="2"/>
  <c r="N215" i="2"/>
  <c r="ER214" i="2"/>
  <c r="EK214" i="2"/>
  <c r="EH214" i="2"/>
  <c r="DO214" i="2"/>
  <c r="CM214" i="2"/>
  <c r="CL214" i="2" a="1"/>
  <c r="CL214" i="2" s="1"/>
  <c r="CJ214" i="2"/>
  <c r="CB214" i="2"/>
  <c r="BV214" i="2"/>
  <c r="BS214" i="2"/>
  <c r="BN214" i="2"/>
  <c r="BL214" i="2"/>
  <c r="EJ214" i="2" s="1"/>
  <c r="BE214" i="2"/>
  <c r="BC214" i="2"/>
  <c r="AZ214" i="2"/>
  <c r="AT214" i="2"/>
  <c r="AQ214" i="2"/>
  <c r="AL214" i="2"/>
  <c r="AH214" i="2"/>
  <c r="AG214" i="2"/>
  <c r="AD214" i="2"/>
  <c r="V214" i="2"/>
  <c r="N214" i="2"/>
  <c r="ER213" i="2"/>
  <c r="EH213" i="2"/>
  <c r="DO213" i="2"/>
  <c r="CM213" i="2"/>
  <c r="CL213" i="2" a="1"/>
  <c r="CL213" i="2" s="1"/>
  <c r="CJ213" i="2"/>
  <c r="CB213" i="2"/>
  <c r="BV213" i="2"/>
  <c r="BS213" i="2"/>
  <c r="BN213" i="2"/>
  <c r="BE213" i="2"/>
  <c r="BC213" i="2"/>
  <c r="AT213" i="2"/>
  <c r="AQ213" i="2"/>
  <c r="AL213" i="2"/>
  <c r="AH213" i="2"/>
  <c r="AG213" i="2"/>
  <c r="AD213" i="2"/>
  <c r="V213" i="2"/>
  <c r="N213" i="2"/>
  <c r="ER212" i="2"/>
  <c r="EH212" i="2"/>
  <c r="DO212" i="2"/>
  <c r="CM212" i="2"/>
  <c r="CL212" i="2" a="1"/>
  <c r="CL212" i="2" s="1"/>
  <c r="CJ212" i="2"/>
  <c r="CB212" i="2"/>
  <c r="BV212" i="2"/>
  <c r="BS212" i="2"/>
  <c r="BN212" i="2"/>
  <c r="BE212" i="2"/>
  <c r="BC212" i="2"/>
  <c r="AT212" i="2"/>
  <c r="AQ212" i="2"/>
  <c r="AL212" i="2"/>
  <c r="AH212" i="2"/>
  <c r="AG212" i="2"/>
  <c r="AZ212" i="2" s="1"/>
  <c r="AD212" i="2"/>
  <c r="V212" i="2"/>
  <c r="N212" i="2"/>
  <c r="ER211" i="2"/>
  <c r="EH211" i="2"/>
  <c r="DO211" i="2"/>
  <c r="CM211" i="2"/>
  <c r="CL211" i="2" a="1"/>
  <c r="CL211" i="2" s="1"/>
  <c r="CJ211" i="2"/>
  <c r="CB211" i="2"/>
  <c r="BV211" i="2"/>
  <c r="BS211" i="2"/>
  <c r="BN211" i="2"/>
  <c r="BE211" i="2"/>
  <c r="BC211" i="2"/>
  <c r="AT211" i="2"/>
  <c r="AQ211" i="2"/>
  <c r="AL211" i="2"/>
  <c r="AH211" i="2"/>
  <c r="AG211" i="2"/>
  <c r="AD211" i="2"/>
  <c r="BF211" i="2" s="1"/>
  <c r="V211" i="2"/>
  <c r="N211" i="2"/>
  <c r="ER210" i="2"/>
  <c r="EH210" i="2"/>
  <c r="DO210" i="2"/>
  <c r="CM210" i="2"/>
  <c r="CL210" i="2" a="1"/>
  <c r="CL210" i="2" s="1"/>
  <c r="CJ210" i="2"/>
  <c r="CB210" i="2"/>
  <c r="BV210" i="2"/>
  <c r="BS210" i="2"/>
  <c r="BN210" i="2"/>
  <c r="BE210" i="2"/>
  <c r="CE210" i="2" s="1"/>
  <c r="BC210" i="2"/>
  <c r="AT210" i="2"/>
  <c r="AQ210" i="2"/>
  <c r="AL210" i="2"/>
  <c r="AH210" i="2"/>
  <c r="AG210" i="2"/>
  <c r="AD210" i="2"/>
  <c r="V210" i="2"/>
  <c r="N210" i="2"/>
  <c r="ER209" i="2"/>
  <c r="EH209" i="2"/>
  <c r="DO209" i="2"/>
  <c r="CM209" i="2"/>
  <c r="CL209" i="2" a="1"/>
  <c r="CL209" i="2" s="1"/>
  <c r="CJ209" i="2"/>
  <c r="CB209" i="2"/>
  <c r="BV209" i="2"/>
  <c r="BS209" i="2"/>
  <c r="BN209" i="2"/>
  <c r="BE209" i="2"/>
  <c r="AM209" i="2" s="1"/>
  <c r="BC209" i="2"/>
  <c r="AZ209" i="2"/>
  <c r="AT209" i="2"/>
  <c r="AQ209" i="2"/>
  <c r="AL209" i="2"/>
  <c r="AH209" i="2"/>
  <c r="AG209" i="2"/>
  <c r="BF209" i="2" s="1"/>
  <c r="AD209" i="2"/>
  <c r="V209" i="2"/>
  <c r="N209" i="2"/>
  <c r="ER208" i="2"/>
  <c r="EH208" i="2"/>
  <c r="DO208" i="2"/>
  <c r="CM208" i="2"/>
  <c r="CL208" i="2" a="1"/>
  <c r="CL208" i="2" s="1"/>
  <c r="CJ208" i="2"/>
  <c r="CB208" i="2"/>
  <c r="BV208" i="2"/>
  <c r="BS208" i="2"/>
  <c r="BN208" i="2"/>
  <c r="BE208" i="2"/>
  <c r="BC208" i="2"/>
  <c r="AT208" i="2"/>
  <c r="AQ208" i="2"/>
  <c r="AL208" i="2"/>
  <c r="AH208" i="2"/>
  <c r="AG208" i="2"/>
  <c r="AD208" i="2"/>
  <c r="V208" i="2"/>
  <c r="N208" i="2"/>
  <c r="ER207" i="2"/>
  <c r="EH207" i="2"/>
  <c r="DO207" i="2"/>
  <c r="CM207" i="2"/>
  <c r="CL207" i="2" a="1"/>
  <c r="CL207" i="2" s="1"/>
  <c r="CJ207" i="2"/>
  <c r="CB207" i="2"/>
  <c r="BV207" i="2"/>
  <c r="BS207" i="2"/>
  <c r="BN207" i="2"/>
  <c r="BE207" i="2"/>
  <c r="BC207" i="2"/>
  <c r="AZ207" i="2"/>
  <c r="AT207" i="2"/>
  <c r="AQ207" i="2"/>
  <c r="AL207" i="2"/>
  <c r="AH207" i="2"/>
  <c r="AG207" i="2"/>
  <c r="AD207" i="2"/>
  <c r="BG207" i="2" s="1"/>
  <c r="V207" i="2"/>
  <c r="N207" i="2"/>
  <c r="ER206" i="2"/>
  <c r="EH206" i="2"/>
  <c r="DO206" i="2"/>
  <c r="CM206" i="2"/>
  <c r="CL206" i="2" a="1"/>
  <c r="CL206" i="2" s="1"/>
  <c r="CJ206" i="2"/>
  <c r="CB206" i="2"/>
  <c r="BV206" i="2"/>
  <c r="BS206" i="2"/>
  <c r="BN206" i="2"/>
  <c r="BE206" i="2"/>
  <c r="CE206" i="2" s="1"/>
  <c r="BC206" i="2"/>
  <c r="AT206" i="2"/>
  <c r="AQ206" i="2"/>
  <c r="AL206" i="2"/>
  <c r="AH206" i="2"/>
  <c r="AG206" i="2"/>
  <c r="AZ206" i="2" s="1"/>
  <c r="AD206" i="2"/>
  <c r="BG206" i="2"/>
  <c r="V206" i="2"/>
  <c r="N206" i="2"/>
  <c r="ER205" i="2"/>
  <c r="EH205" i="2"/>
  <c r="DO205" i="2"/>
  <c r="CM205" i="2"/>
  <c r="CL205" i="2" a="1"/>
  <c r="CL205" i="2" s="1"/>
  <c r="CJ205" i="2"/>
  <c r="CB205" i="2"/>
  <c r="BV205" i="2"/>
  <c r="BS205" i="2"/>
  <c r="BN205" i="2"/>
  <c r="BE205" i="2"/>
  <c r="CE205" i="2" s="1"/>
  <c r="BC205" i="2"/>
  <c r="AZ205" i="2"/>
  <c r="AT205" i="2"/>
  <c r="AQ205" i="2"/>
  <c r="AL205" i="2"/>
  <c r="AH205" i="2"/>
  <c r="AG205" i="2"/>
  <c r="AD205" i="2"/>
  <c r="V205" i="2"/>
  <c r="N205" i="2"/>
  <c r="ER204" i="2"/>
  <c r="EH204" i="2"/>
  <c r="DO204" i="2"/>
  <c r="CO204" i="2"/>
  <c r="CM204" i="2"/>
  <c r="CL204" i="2" a="1"/>
  <c r="CL204" i="2" s="1"/>
  <c r="CJ204" i="2"/>
  <c r="CB204" i="2"/>
  <c r="BV204" i="2"/>
  <c r="BS204" i="2"/>
  <c r="BN204" i="2"/>
  <c r="BE204" i="2"/>
  <c r="BC204" i="2"/>
  <c r="AT204" i="2"/>
  <c r="AQ204" i="2"/>
  <c r="AL204" i="2"/>
  <c r="AH204" i="2"/>
  <c r="AG204" i="2"/>
  <c r="AD204" i="2"/>
  <c r="V204" i="2"/>
  <c r="ER203" i="2"/>
  <c r="EH203" i="2"/>
  <c r="DO203" i="2"/>
  <c r="CO203" i="2"/>
  <c r="CM203" i="2"/>
  <c r="CL203" i="2" a="1"/>
  <c r="CL203" i="2" s="1"/>
  <c r="CJ203" i="2"/>
  <c r="CB203" i="2"/>
  <c r="BV203" i="2"/>
  <c r="BS203" i="2"/>
  <c r="BN203" i="2"/>
  <c r="BE203" i="2"/>
  <c r="BC203" i="2"/>
  <c r="AT203" i="2"/>
  <c r="AQ203" i="2"/>
  <c r="AL203" i="2"/>
  <c r="AH203" i="2"/>
  <c r="AG203" i="2"/>
  <c r="AD203" i="2"/>
  <c r="BG203" i="2" s="1"/>
  <c r="EK203" i="2" s="1"/>
  <c r="V203" i="2"/>
  <c r="N203" i="2"/>
  <c r="ER202" i="2"/>
  <c r="EH202" i="2"/>
  <c r="DO202" i="2"/>
  <c r="CO202" i="2"/>
  <c r="CM202" i="2"/>
  <c r="CL202" i="2" a="1"/>
  <c r="CL202" i="2" s="1"/>
  <c r="CJ202" i="2"/>
  <c r="CB202" i="2"/>
  <c r="BV202" i="2"/>
  <c r="BS202" i="2"/>
  <c r="BN202" i="2"/>
  <c r="BE202" i="2"/>
  <c r="AM202" i="2" s="1"/>
  <c r="BC202" i="2"/>
  <c r="AZ202" i="2"/>
  <c r="AT202" i="2"/>
  <c r="AQ202" i="2"/>
  <c r="AL202" i="2"/>
  <c r="AH202" i="2"/>
  <c r="AG202" i="2"/>
  <c r="AD202" i="2"/>
  <c r="V202" i="2"/>
  <c r="N202" i="2"/>
  <c r="ER201" i="2"/>
  <c r="EH201" i="2"/>
  <c r="DO201" i="2"/>
  <c r="CM201" i="2"/>
  <c r="CL201" i="2" a="1"/>
  <c r="CL201" i="2" s="1"/>
  <c r="CJ201" i="2"/>
  <c r="CB201" i="2"/>
  <c r="BV201" i="2"/>
  <c r="BS201" i="2"/>
  <c r="BN201" i="2"/>
  <c r="BE201" i="2"/>
  <c r="AM201" i="2" s="1"/>
  <c r="BC201" i="2"/>
  <c r="AT201" i="2"/>
  <c r="AQ201" i="2"/>
  <c r="AL201" i="2"/>
  <c r="AH201" i="2"/>
  <c r="AG201" i="2"/>
  <c r="AD201" i="2"/>
  <c r="BG201" i="2" s="1"/>
  <c r="V201" i="2"/>
  <c r="N201" i="2"/>
  <c r="ER200" i="2"/>
  <c r="EH200" i="2"/>
  <c r="DO200" i="2"/>
  <c r="CM200" i="2"/>
  <c r="CL200" i="2" a="1"/>
  <c r="CL200" i="2" s="1"/>
  <c r="CJ200" i="2"/>
  <c r="CB200" i="2"/>
  <c r="BV200" i="2"/>
  <c r="BS200" i="2"/>
  <c r="BN200" i="2"/>
  <c r="BE200" i="2"/>
  <c r="BC200" i="2"/>
  <c r="AT200" i="2"/>
  <c r="AQ200" i="2"/>
  <c r="AL200" i="2"/>
  <c r="AH200" i="2"/>
  <c r="AG200" i="2"/>
  <c r="AD200" i="2"/>
  <c r="V200" i="2"/>
  <c r="N200" i="2"/>
  <c r="ER199" i="2"/>
  <c r="EH199" i="2"/>
  <c r="DO199" i="2"/>
  <c r="CM199" i="2"/>
  <c r="CL199" i="2" a="1"/>
  <c r="CL199" i="2" s="1"/>
  <c r="CJ199" i="2"/>
  <c r="CB199" i="2"/>
  <c r="BV199" i="2"/>
  <c r="BS199" i="2"/>
  <c r="BN199" i="2"/>
  <c r="BE199" i="2"/>
  <c r="CE199" i="2" s="1"/>
  <c r="BC199" i="2"/>
  <c r="AZ199" i="2"/>
  <c r="AT199" i="2"/>
  <c r="AQ199" i="2"/>
  <c r="AL199" i="2"/>
  <c r="AH199" i="2"/>
  <c r="AG199" i="2"/>
  <c r="AD199" i="2"/>
  <c r="V199" i="2"/>
  <c r="N199" i="2"/>
  <c r="ER198" i="2"/>
  <c r="EH198" i="2"/>
  <c r="DO198" i="2"/>
  <c r="CM198" i="2"/>
  <c r="CL198" i="2" a="1"/>
  <c r="CL198" i="2" s="1"/>
  <c r="CJ198" i="2"/>
  <c r="CB198" i="2"/>
  <c r="BV198" i="2"/>
  <c r="BS198" i="2"/>
  <c r="BN198" i="2"/>
  <c r="BE198" i="2"/>
  <c r="BC198" i="2"/>
  <c r="AZ198" i="2"/>
  <c r="AT198" i="2"/>
  <c r="AQ198" i="2"/>
  <c r="AL198" i="2"/>
  <c r="AD198" i="2"/>
  <c r="N198" i="2"/>
  <c r="ER197" i="2"/>
  <c r="EH197" i="2"/>
  <c r="DO197" i="2"/>
  <c r="CM197" i="2"/>
  <c r="CL197" i="2" a="1"/>
  <c r="CL197" i="2" s="1"/>
  <c r="CJ197" i="2"/>
  <c r="CB197" i="2"/>
  <c r="BV197" i="2"/>
  <c r="BS197" i="2"/>
  <c r="BN197" i="2"/>
  <c r="BE197" i="2"/>
  <c r="AM197" i="2"/>
  <c r="AT197" i="2"/>
  <c r="AQ197" i="2"/>
  <c r="AL197" i="2"/>
  <c r="AH197" i="2"/>
  <c r="AG197" i="2"/>
  <c r="AD197" i="2"/>
  <c r="V197" i="2"/>
  <c r="N197" i="2"/>
  <c r="ER196" i="2"/>
  <c r="EK196" i="2"/>
  <c r="EH196" i="2"/>
  <c r="DO196" i="2"/>
  <c r="CM196" i="2"/>
  <c r="CL196" i="2" a="1"/>
  <c r="CL196" i="2" s="1"/>
  <c r="CJ196" i="2"/>
  <c r="CB196" i="2"/>
  <c r="BV196" i="2"/>
  <c r="BS196" i="2"/>
  <c r="BN196" i="2"/>
  <c r="BL196" i="2"/>
  <c r="BQ196" i="2" s="1"/>
  <c r="BE196" i="2"/>
  <c r="BC196" i="2"/>
  <c r="AZ196" i="2"/>
  <c r="AT196" i="2"/>
  <c r="AQ196" i="2"/>
  <c r="AL196" i="2"/>
  <c r="AH196" i="2"/>
  <c r="AI196" i="2" s="1"/>
  <c r="AG196" i="2"/>
  <c r="AD196" i="2"/>
  <c r="V196" i="2"/>
  <c r="N196" i="2"/>
  <c r="ER195" i="2"/>
  <c r="EH195" i="2"/>
  <c r="DO195" i="2"/>
  <c r="CM195" i="2"/>
  <c r="CL195" i="2" a="1"/>
  <c r="CL195" i="2" s="1"/>
  <c r="CJ195" i="2"/>
  <c r="CB195" i="2"/>
  <c r="BV195" i="2"/>
  <c r="BS195" i="2"/>
  <c r="BE195" i="2"/>
  <c r="BC195" i="2"/>
  <c r="AT195" i="2"/>
  <c r="AQ195" i="2"/>
  <c r="AL195" i="2"/>
  <c r="AG195" i="2"/>
  <c r="AD195" i="2"/>
  <c r="BG195" i="2" s="1"/>
  <c r="EK195" i="2" s="1"/>
  <c r="V195" i="2"/>
  <c r="N195" i="2"/>
  <c r="ER194" i="2"/>
  <c r="EH194" i="2"/>
  <c r="DO194" i="2"/>
  <c r="CM194" i="2"/>
  <c r="CL194" i="2" a="1"/>
  <c r="CL194" i="2" s="1"/>
  <c r="CJ194" i="2"/>
  <c r="CB194" i="2"/>
  <c r="BV194" i="2"/>
  <c r="BS194" i="2"/>
  <c r="BE194" i="2"/>
  <c r="BC194" i="2"/>
  <c r="AT194" i="2"/>
  <c r="AQ194" i="2"/>
  <c r="AL194" i="2"/>
  <c r="AG194" i="2"/>
  <c r="AZ194" i="2" s="1"/>
  <c r="AD194" i="2"/>
  <c r="BG194" i="2"/>
  <c r="V194" i="2"/>
  <c r="N194" i="2"/>
  <c r="ER193" i="2"/>
  <c r="EH193" i="2"/>
  <c r="DO193" i="2"/>
  <c r="CM193" i="2"/>
  <c r="CL193" i="2" a="1"/>
  <c r="CL193" i="2"/>
  <c r="CJ193" i="2"/>
  <c r="CB193" i="2"/>
  <c r="BV193" i="2"/>
  <c r="BS193" i="2"/>
  <c r="BE193" i="2"/>
  <c r="BC193" i="2"/>
  <c r="AT193" i="2"/>
  <c r="AQ193" i="2"/>
  <c r="AL193" i="2"/>
  <c r="AG193" i="2"/>
  <c r="AD193" i="2"/>
  <c r="V193" i="2"/>
  <c r="N193" i="2"/>
  <c r="ER192" i="2"/>
  <c r="EH192" i="2"/>
  <c r="DO192" i="2"/>
  <c r="CM192" i="2"/>
  <c r="CL192" i="2" a="1"/>
  <c r="CL192" i="2" s="1"/>
  <c r="CJ192" i="2"/>
  <c r="CB192" i="2"/>
  <c r="BV192" i="2"/>
  <c r="BS192" i="2"/>
  <c r="BE192" i="2"/>
  <c r="CE192" i="2" s="1"/>
  <c r="BC192" i="2"/>
  <c r="AT192" i="2"/>
  <c r="AQ192" i="2"/>
  <c r="AL192" i="2"/>
  <c r="AG192" i="2"/>
  <c r="AD192" i="2"/>
  <c r="BG192" i="2" s="1"/>
  <c r="EK192" i="2" s="1"/>
  <c r="V192" i="2"/>
  <c r="N192" i="2"/>
  <c r="ER191" i="2"/>
  <c r="EH191" i="2"/>
  <c r="DO191" i="2"/>
  <c r="CM191" i="2"/>
  <c r="CL191" i="2" a="1"/>
  <c r="CL191" i="2" s="1"/>
  <c r="CJ191" i="2"/>
  <c r="CB191" i="2"/>
  <c r="BV191" i="2"/>
  <c r="BS191" i="2"/>
  <c r="BE191" i="2"/>
  <c r="CE191" i="2" s="1"/>
  <c r="BC191" i="2"/>
  <c r="AT191" i="2"/>
  <c r="AP191" i="2"/>
  <c r="AQ191" i="2" s="1"/>
  <c r="AL191" i="2"/>
  <c r="AG191" i="2"/>
  <c r="AZ191" i="2" s="1"/>
  <c r="AD191" i="2"/>
  <c r="BG191" i="2" s="1"/>
  <c r="EK191" i="2" s="1"/>
  <c r="V191" i="2"/>
  <c r="N191" i="2"/>
  <c r="ER190" i="2"/>
  <c r="EH190" i="2"/>
  <c r="DO190" i="2"/>
  <c r="CM190" i="2"/>
  <c r="CL190" i="2" a="1"/>
  <c r="CL190" i="2" s="1"/>
  <c r="CJ190" i="2"/>
  <c r="CB190" i="2"/>
  <c r="BV190" i="2"/>
  <c r="BS190" i="2"/>
  <c r="BE190" i="2"/>
  <c r="BC190" i="2"/>
  <c r="AT190" i="2"/>
  <c r="AQ190" i="2"/>
  <c r="AL190" i="2"/>
  <c r="AG190" i="2"/>
  <c r="AD190" i="2"/>
  <c r="V190" i="2"/>
  <c r="N190" i="2"/>
  <c r="ER189" i="2"/>
  <c r="EH189" i="2"/>
  <c r="DO189" i="2"/>
  <c r="CM189" i="2"/>
  <c r="CL189" i="2" a="1"/>
  <c r="CL189" i="2" s="1"/>
  <c r="CJ189" i="2"/>
  <c r="CB189" i="2"/>
  <c r="BV189" i="2"/>
  <c r="BS189" i="2"/>
  <c r="BE189" i="2"/>
  <c r="BC189" i="2"/>
  <c r="AT189" i="2"/>
  <c r="AQ189" i="2"/>
  <c r="AL189" i="2"/>
  <c r="AG189" i="2"/>
  <c r="AD189" i="2"/>
  <c r="V189" i="2"/>
  <c r="N189" i="2"/>
  <c r="ER188" i="2"/>
  <c r="EH188" i="2"/>
  <c r="DO188" i="2"/>
  <c r="CM188" i="2"/>
  <c r="CL188" i="2" a="1"/>
  <c r="CL188" i="2" s="1"/>
  <c r="CJ188" i="2"/>
  <c r="CB188" i="2"/>
  <c r="BV188" i="2"/>
  <c r="BS188" i="2"/>
  <c r="BE188" i="2"/>
  <c r="CE188" i="2" s="1"/>
  <c r="BC188" i="2"/>
  <c r="AT188" i="2"/>
  <c r="AP188" i="2"/>
  <c r="AQ188" i="2" s="1"/>
  <c r="AL188" i="2"/>
  <c r="AG188" i="2"/>
  <c r="AD188" i="2"/>
  <c r="V188" i="2"/>
  <c r="N188" i="2"/>
  <c r="ER187" i="2"/>
  <c r="EH187" i="2"/>
  <c r="DO187" i="2"/>
  <c r="CM187" i="2"/>
  <c r="CL187" i="2" a="1"/>
  <c r="CL187" i="2" s="1"/>
  <c r="CJ187" i="2"/>
  <c r="CB187" i="2"/>
  <c r="BV187" i="2"/>
  <c r="BS187" i="2"/>
  <c r="BE187" i="2"/>
  <c r="BC187" i="2"/>
  <c r="AZ187" i="2"/>
  <c r="AT187" i="2"/>
  <c r="AQ187" i="2"/>
  <c r="AL187" i="2"/>
  <c r="AG187" i="2"/>
  <c r="AD187" i="2"/>
  <c r="BG187" i="2" s="1"/>
  <c r="V187" i="2"/>
  <c r="N187" i="2"/>
  <c r="ER186" i="2"/>
  <c r="EH186" i="2"/>
  <c r="DO186" i="2"/>
  <c r="CM186" i="2"/>
  <c r="CL186" i="2" a="1"/>
  <c r="CL186" i="2" s="1"/>
  <c r="CJ186" i="2"/>
  <c r="CB186" i="2"/>
  <c r="BV186" i="2"/>
  <c r="BS186" i="2"/>
  <c r="BE186" i="2"/>
  <c r="CE186" i="2" s="1"/>
  <c r="BC186" i="2"/>
  <c r="AZ186" i="2"/>
  <c r="AT186" i="2"/>
  <c r="AP186" i="2"/>
  <c r="AQ186" i="2" s="1"/>
  <c r="AL186" i="2"/>
  <c r="AG186" i="2"/>
  <c r="AD186" i="2"/>
  <c r="BG186" i="2" s="1"/>
  <c r="V186" i="2"/>
  <c r="N186" i="2"/>
  <c r="ER185" i="2"/>
  <c r="EH185" i="2"/>
  <c r="DO185" i="2"/>
  <c r="CM185" i="2"/>
  <c r="CL185" i="2" a="1"/>
  <c r="CL185" i="2" s="1"/>
  <c r="CJ185" i="2"/>
  <c r="CB185" i="2"/>
  <c r="BV185" i="2"/>
  <c r="BS185" i="2"/>
  <c r="BN185" i="2"/>
  <c r="BE185" i="2"/>
  <c r="CE185" i="2" s="1"/>
  <c r="BC185" i="2"/>
  <c r="AT185" i="2"/>
  <c r="AQ185" i="2"/>
  <c r="AL185" i="2"/>
  <c r="AG185" i="2"/>
  <c r="AD185" i="2"/>
  <c r="BG185" i="2" s="1"/>
  <c r="V185" i="2"/>
  <c r="N185" i="2"/>
  <c r="ER184" i="2"/>
  <c r="EH184" i="2"/>
  <c r="DO184" i="2"/>
  <c r="CM184" i="2"/>
  <c r="CL184" i="2" a="1"/>
  <c r="CL184" i="2" s="1"/>
  <c r="CJ184" i="2"/>
  <c r="CB184" i="2"/>
  <c r="BV184" i="2"/>
  <c r="BS184" i="2"/>
  <c r="BN184" i="2"/>
  <c r="BE184" i="2"/>
  <c r="BC184" i="2"/>
  <c r="AT184" i="2"/>
  <c r="AQ184" i="2"/>
  <c r="AL184" i="2"/>
  <c r="AG184" i="2"/>
  <c r="AD184" i="2"/>
  <c r="V184" i="2"/>
  <c r="N184" i="2"/>
  <c r="ER183" i="2"/>
  <c r="EH183" i="2"/>
  <c r="DO183" i="2"/>
  <c r="CM183" i="2"/>
  <c r="CL183" i="2" a="1"/>
  <c r="CL183" i="2" s="1"/>
  <c r="CJ183" i="2"/>
  <c r="CB183" i="2"/>
  <c r="BV183" i="2"/>
  <c r="BS183" i="2"/>
  <c r="BN183" i="2"/>
  <c r="BE183" i="2"/>
  <c r="BC183" i="2"/>
  <c r="AT183" i="2"/>
  <c r="AP183" i="2"/>
  <c r="AQ183" i="2" s="1"/>
  <c r="AL183" i="2"/>
  <c r="AG183" i="2"/>
  <c r="AD183" i="2"/>
  <c r="V183" i="2"/>
  <c r="N183" i="2"/>
  <c r="ER182" i="2"/>
  <c r="EH182" i="2"/>
  <c r="DO182" i="2"/>
  <c r="CM182" i="2"/>
  <c r="CL182" i="2" a="1"/>
  <c r="CL182" i="2" s="1"/>
  <c r="CJ182" i="2"/>
  <c r="CB182" i="2"/>
  <c r="BV182" i="2"/>
  <c r="BS182" i="2"/>
  <c r="BN182" i="2"/>
  <c r="BE182" i="2"/>
  <c r="AM182" i="2" s="1"/>
  <c r="BC182" i="2"/>
  <c r="AT182" i="2"/>
  <c r="AQ182" i="2"/>
  <c r="AL182" i="2"/>
  <c r="AG182" i="2"/>
  <c r="AD182" i="2"/>
  <c r="V182" i="2"/>
  <c r="N182" i="2"/>
  <c r="ER181" i="2"/>
  <c r="EH181" i="2"/>
  <c r="DO181" i="2"/>
  <c r="CM181" i="2"/>
  <c r="CL181" i="2" a="1"/>
  <c r="CL181" i="2" s="1"/>
  <c r="CJ181" i="2"/>
  <c r="CB181" i="2"/>
  <c r="BV181" i="2"/>
  <c r="BS181" i="2"/>
  <c r="BN181" i="2"/>
  <c r="BE181" i="2"/>
  <c r="BF181" i="2" s="1"/>
  <c r="BC181" i="2"/>
  <c r="AT181" i="2"/>
  <c r="AP181" i="2"/>
  <c r="AQ181" i="2" s="1"/>
  <c r="AL181" i="2"/>
  <c r="AG181" i="2"/>
  <c r="AD181" i="2"/>
  <c r="V181" i="2"/>
  <c r="N181" i="2"/>
  <c r="ER180" i="2"/>
  <c r="EH180" i="2"/>
  <c r="DO180" i="2"/>
  <c r="CM180" i="2"/>
  <c r="CL180" i="2" a="1"/>
  <c r="CL180" i="2" s="1"/>
  <c r="CJ180" i="2"/>
  <c r="CB180" i="2"/>
  <c r="BV180" i="2"/>
  <c r="BS180" i="2"/>
  <c r="BN180" i="2"/>
  <c r="BE180" i="2"/>
  <c r="BC180" i="2"/>
  <c r="AZ180" i="2"/>
  <c r="AT180" i="2"/>
  <c r="AQ180" i="2"/>
  <c r="AL180" i="2"/>
  <c r="AG180" i="2"/>
  <c r="AD180" i="2"/>
  <c r="V180" i="2"/>
  <c r="N180" i="2"/>
  <c r="ER179" i="2"/>
  <c r="EH179" i="2"/>
  <c r="DO179" i="2"/>
  <c r="CM179" i="2"/>
  <c r="CL179" i="2" a="1"/>
  <c r="CL179" i="2" s="1"/>
  <c r="CJ179" i="2"/>
  <c r="CB179" i="2"/>
  <c r="BV179" i="2"/>
  <c r="BS179" i="2"/>
  <c r="BN179" i="2"/>
  <c r="BE179" i="2"/>
  <c r="BC179" i="2"/>
  <c r="AZ179" i="2"/>
  <c r="AT179" i="2"/>
  <c r="AQ179" i="2"/>
  <c r="AL179" i="2"/>
  <c r="AG179" i="2"/>
  <c r="AD179" i="2"/>
  <c r="V179" i="2"/>
  <c r="N179" i="2"/>
  <c r="ER178" i="2"/>
  <c r="EH178" i="2"/>
  <c r="DO178" i="2"/>
  <c r="CM178" i="2"/>
  <c r="CL178" i="2" a="1"/>
  <c r="CL178" i="2" s="1"/>
  <c r="CJ178" i="2"/>
  <c r="CB178" i="2"/>
  <c r="BV178" i="2"/>
  <c r="BS178" i="2"/>
  <c r="BE178" i="2"/>
  <c r="AM178" i="2" s="1"/>
  <c r="BC178" i="2"/>
  <c r="AT178" i="2"/>
  <c r="AQ178" i="2"/>
  <c r="AL178" i="2"/>
  <c r="AG178" i="2"/>
  <c r="AD178" i="2"/>
  <c r="V178" i="2"/>
  <c r="N178" i="2"/>
  <c r="ER177" i="2"/>
  <c r="EH177" i="2"/>
  <c r="DO177" i="2"/>
  <c r="CM177" i="2"/>
  <c r="CL177" i="2" a="1"/>
  <c r="CL177" i="2" s="1"/>
  <c r="CJ177" i="2"/>
  <c r="CB177" i="2"/>
  <c r="BV177" i="2"/>
  <c r="BS177" i="2"/>
  <c r="BE177" i="2"/>
  <c r="AM177" i="2" s="1"/>
  <c r="BC177" i="2"/>
  <c r="AT177" i="2"/>
  <c r="AQ177" i="2"/>
  <c r="AL177" i="2"/>
  <c r="AG177" i="2"/>
  <c r="AD177" i="2"/>
  <c r="V177" i="2"/>
  <c r="N177" i="2"/>
  <c r="ER176" i="2"/>
  <c r="EH176" i="2"/>
  <c r="DO176" i="2"/>
  <c r="CM176" i="2"/>
  <c r="CL176" i="2" a="1"/>
  <c r="CL176" i="2" s="1"/>
  <c r="CJ176" i="2"/>
  <c r="CB176" i="2"/>
  <c r="BV176" i="2"/>
  <c r="BS176" i="2"/>
  <c r="BE176" i="2"/>
  <c r="BC176" i="2"/>
  <c r="AT176" i="2"/>
  <c r="AQ176" i="2"/>
  <c r="AL176" i="2"/>
  <c r="AG176" i="2"/>
  <c r="AD176" i="2"/>
  <c r="V176" i="2"/>
  <c r="N176" i="2"/>
  <c r="ER175" i="2"/>
  <c r="EH175" i="2"/>
  <c r="DO175" i="2"/>
  <c r="CM175" i="2"/>
  <c r="CL175" i="2" a="1"/>
  <c r="CL175" i="2" s="1"/>
  <c r="CJ175" i="2"/>
  <c r="CB175" i="2"/>
  <c r="BV175" i="2"/>
  <c r="BS175" i="2"/>
  <c r="BN175" i="2"/>
  <c r="BE175" i="2"/>
  <c r="AM175" i="2" s="1"/>
  <c r="BC175" i="2"/>
  <c r="AZ175" i="2"/>
  <c r="AT175" i="2"/>
  <c r="AQ175" i="2"/>
  <c r="AL175" i="2"/>
  <c r="AG175" i="2"/>
  <c r="AD175" i="2"/>
  <c r="V175" i="2"/>
  <c r="N175" i="2"/>
  <c r="ER174" i="2"/>
  <c r="EK174" i="2"/>
  <c r="EH174" i="2"/>
  <c r="DO174" i="2"/>
  <c r="CM174" i="2"/>
  <c r="CL174" i="2" a="1"/>
  <c r="CL174" i="2" s="1"/>
  <c r="CJ174" i="2"/>
  <c r="CB174" i="2"/>
  <c r="BV174" i="2"/>
  <c r="BS174" i="2"/>
  <c r="BN174" i="2"/>
  <c r="BL174" i="2"/>
  <c r="BE174" i="2"/>
  <c r="BC174" i="2"/>
  <c r="AZ174" i="2"/>
  <c r="AT174" i="2"/>
  <c r="AQ174" i="2"/>
  <c r="AL174" i="2"/>
  <c r="AH174" i="2"/>
  <c r="AG174" i="2"/>
  <c r="AD174" i="2"/>
  <c r="V174" i="2"/>
  <c r="N174" i="2"/>
  <c r="ER173" i="2"/>
  <c r="EH173" i="2"/>
  <c r="DO173" i="2"/>
  <c r="CM173" i="2"/>
  <c r="CL173" i="2" a="1"/>
  <c r="CL173" i="2" s="1"/>
  <c r="CJ173" i="2"/>
  <c r="CB173" i="2"/>
  <c r="BV173" i="2"/>
  <c r="BS173" i="2"/>
  <c r="BN173" i="2"/>
  <c r="BE173" i="2"/>
  <c r="CE173" i="2" s="1"/>
  <c r="BC173" i="2"/>
  <c r="AT173" i="2"/>
  <c r="AQ173" i="2"/>
  <c r="AL173" i="2"/>
  <c r="AH173" i="2"/>
  <c r="AG173" i="2"/>
  <c r="AD173" i="2"/>
  <c r="V173" i="2"/>
  <c r="N173" i="2"/>
  <c r="ER172" i="2"/>
  <c r="EH172" i="2"/>
  <c r="DO172" i="2"/>
  <c r="CM172" i="2"/>
  <c r="CL172" i="2" a="1"/>
  <c r="CL172" i="2" s="1"/>
  <c r="CJ172" i="2"/>
  <c r="CB172" i="2"/>
  <c r="BV172" i="2"/>
  <c r="BS172" i="2"/>
  <c r="BN172" i="2"/>
  <c r="BE172" i="2"/>
  <c r="BC172" i="2"/>
  <c r="AY172" i="2"/>
  <c r="AM172" i="2" s="1"/>
  <c r="AT172" i="2"/>
  <c r="AQ172" i="2"/>
  <c r="AL172" i="2"/>
  <c r="AH172" i="2"/>
  <c r="AG172" i="2"/>
  <c r="AD172" i="2"/>
  <c r="V172" i="2"/>
  <c r="N172" i="2"/>
  <c r="ER170" i="2"/>
  <c r="EH170" i="2"/>
  <c r="DO170" i="2"/>
  <c r="CM170" i="2"/>
  <c r="CL170" i="2" a="1"/>
  <c r="CL170" i="2" s="1"/>
  <c r="CJ170" i="2"/>
  <c r="CB170" i="2"/>
  <c r="BV170" i="2"/>
  <c r="BS170" i="2"/>
  <c r="BE170" i="2"/>
  <c r="BC170" i="2"/>
  <c r="AT170" i="2"/>
  <c r="AP170" i="2"/>
  <c r="AO170" i="2"/>
  <c r="AL170" i="2"/>
  <c r="AH170" i="2"/>
  <c r="AG170" i="2"/>
  <c r="AD170" i="2"/>
  <c r="BG170" i="2" s="1"/>
  <c r="BL170" i="2" s="1"/>
  <c r="DM170" i="2" s="1"/>
  <c r="DC170" i="2" s="1"/>
  <c r="V170" i="2"/>
  <c r="N170" i="2"/>
  <c r="ER171" i="2"/>
  <c r="EH171" i="2"/>
  <c r="DO171" i="2"/>
  <c r="CM171" i="2"/>
  <c r="CL171" i="2" a="1"/>
  <c r="CL171" i="2" s="1"/>
  <c r="CJ171" i="2"/>
  <c r="CB171" i="2"/>
  <c r="BV171" i="2"/>
  <c r="BS171" i="2"/>
  <c r="BN171" i="2"/>
  <c r="BE171" i="2"/>
  <c r="CE171" i="2" s="1"/>
  <c r="BC171" i="2"/>
  <c r="AT171" i="2"/>
  <c r="AO171" i="2"/>
  <c r="AQ171" i="2" s="1"/>
  <c r="AL171" i="2"/>
  <c r="AH171" i="2"/>
  <c r="AG171" i="2"/>
  <c r="AD171" i="2"/>
  <c r="V171" i="2"/>
  <c r="N171" i="2"/>
  <c r="ER169" i="2"/>
  <c r="EH169" i="2"/>
  <c r="DO169" i="2"/>
  <c r="CM169" i="2"/>
  <c r="CL169" i="2" a="1"/>
  <c r="CL169" i="2" s="1"/>
  <c r="CJ169" i="2"/>
  <c r="CB169" i="2"/>
  <c r="BV169" i="2"/>
  <c r="BW169" i="2" s="1"/>
  <c r="BS169" i="2"/>
  <c r="BN169" i="2"/>
  <c r="BE169" i="2"/>
  <c r="AM169" i="2" s="1"/>
  <c r="BC169" i="2"/>
  <c r="AZ169" i="2"/>
  <c r="AT169" i="2"/>
  <c r="AO169" i="2"/>
  <c r="AQ169" i="2" s="1"/>
  <c r="AL169" i="2"/>
  <c r="AH169" i="2"/>
  <c r="AG169" i="2"/>
  <c r="AD169" i="2"/>
  <c r="BG169" i="2" s="1"/>
  <c r="V169" i="2"/>
  <c r="N169" i="2"/>
  <c r="ER168" i="2"/>
  <c r="EH168" i="2"/>
  <c r="DO168" i="2"/>
  <c r="CM168" i="2"/>
  <c r="CL168" i="2" a="1"/>
  <c r="CL168" i="2" s="1"/>
  <c r="CJ168" i="2"/>
  <c r="CB168" i="2"/>
  <c r="BV168" i="2"/>
  <c r="BS168" i="2"/>
  <c r="BN168" i="2"/>
  <c r="BE168" i="2"/>
  <c r="BC168" i="2"/>
  <c r="AZ168" i="2"/>
  <c r="AT168" i="2"/>
  <c r="AQ168" i="2"/>
  <c r="AL168" i="2"/>
  <c r="AH168" i="2"/>
  <c r="AG168" i="2"/>
  <c r="AI168" i="2" s="1"/>
  <c r="AD168" i="2"/>
  <c r="BG168" i="2" s="1"/>
  <c r="V168" i="2"/>
  <c r="N168" i="2"/>
  <c r="ER167" i="2"/>
  <c r="EH167" i="2"/>
  <c r="DO167" i="2"/>
  <c r="CM167" i="2"/>
  <c r="CL167" i="2" a="1"/>
  <c r="CL167" i="2" s="1"/>
  <c r="CJ167" i="2"/>
  <c r="CB167" i="2"/>
  <c r="BV167" i="2"/>
  <c r="BS167" i="2"/>
  <c r="BN167" i="2"/>
  <c r="BE167" i="2"/>
  <c r="AM167" i="2" s="1"/>
  <c r="BC167" i="2"/>
  <c r="AZ167" i="2"/>
  <c r="AT167" i="2"/>
  <c r="AQ167" i="2"/>
  <c r="AL167" i="2"/>
  <c r="AH167" i="2"/>
  <c r="AG167" i="2"/>
  <c r="AD167" i="2"/>
  <c r="V167" i="2"/>
  <c r="N167" i="2"/>
  <c r="ER166" i="2"/>
  <c r="EH166" i="2"/>
  <c r="DO166" i="2"/>
  <c r="CM166" i="2"/>
  <c r="CL166" i="2" a="1"/>
  <c r="CL166" i="2"/>
  <c r="CJ166" i="2"/>
  <c r="CB166" i="2"/>
  <c r="BV166" i="2"/>
  <c r="BS166" i="2"/>
  <c r="BN166" i="2"/>
  <c r="BE166" i="2"/>
  <c r="CE166" i="2" s="1"/>
  <c r="BC166" i="2"/>
  <c r="AZ166" i="2"/>
  <c r="AT166" i="2"/>
  <c r="AQ166" i="2"/>
  <c r="AL166" i="2"/>
  <c r="AH166" i="2"/>
  <c r="AG166" i="2"/>
  <c r="AD166" i="2"/>
  <c r="V166" i="2"/>
  <c r="N166" i="2"/>
  <c r="ER165" i="2"/>
  <c r="EH165" i="2"/>
  <c r="DO165" i="2"/>
  <c r="CM165" i="2"/>
  <c r="CL165" i="2" a="1"/>
  <c r="CL165" i="2" s="1"/>
  <c r="CJ165" i="2"/>
  <c r="CB165" i="2"/>
  <c r="BV165" i="2"/>
  <c r="BS165" i="2"/>
  <c r="BN165" i="2"/>
  <c r="BE165" i="2"/>
  <c r="AM165" i="2" s="1"/>
  <c r="BC165" i="2"/>
  <c r="AZ165" i="2"/>
  <c r="AT165" i="2"/>
  <c r="AQ165" i="2"/>
  <c r="AL165" i="2"/>
  <c r="AH165" i="2"/>
  <c r="AD165" i="2"/>
  <c r="BG165" i="2" s="1"/>
  <c r="V165" i="2"/>
  <c r="N165" i="2"/>
  <c r="ER164" i="2"/>
  <c r="EH164" i="2"/>
  <c r="DO164" i="2"/>
  <c r="CM164" i="2"/>
  <c r="CL164" i="2" a="1"/>
  <c r="CL164" i="2" s="1"/>
  <c r="CJ164" i="2"/>
  <c r="CB164" i="2"/>
  <c r="BV164" i="2"/>
  <c r="BS164" i="2"/>
  <c r="BN164" i="2"/>
  <c r="BE164" i="2"/>
  <c r="BC164" i="2"/>
  <c r="AT164" i="2"/>
  <c r="AQ164" i="2"/>
  <c r="AL164" i="2"/>
  <c r="AH164" i="2"/>
  <c r="AD164" i="2"/>
  <c r="V164" i="2"/>
  <c r="N164" i="2"/>
  <c r="ER163" i="2"/>
  <c r="EH163" i="2"/>
  <c r="DO163" i="2"/>
  <c r="CM163" i="2"/>
  <c r="CL163" i="2" a="1"/>
  <c r="CL163" i="2" s="1"/>
  <c r="CJ163" i="2"/>
  <c r="CB163" i="2"/>
  <c r="BV163" i="2"/>
  <c r="BS163" i="2"/>
  <c r="BN163" i="2"/>
  <c r="BE163" i="2"/>
  <c r="BC163" i="2"/>
  <c r="AT163" i="2"/>
  <c r="AQ163" i="2"/>
  <c r="AL163" i="2"/>
  <c r="AH163" i="2"/>
  <c r="AD163" i="2"/>
  <c r="AZ163" i="2" s="1"/>
  <c r="V163" i="2"/>
  <c r="N163" i="2"/>
  <c r="ER162" i="2"/>
  <c r="EH162" i="2"/>
  <c r="DO162" i="2"/>
  <c r="CM162" i="2"/>
  <c r="CL162" i="2" a="1"/>
  <c r="CL162" i="2" s="1"/>
  <c r="CJ162" i="2"/>
  <c r="CB162" i="2"/>
  <c r="BV162" i="2"/>
  <c r="BS162" i="2"/>
  <c r="BN162" i="2"/>
  <c r="BE162" i="2"/>
  <c r="CE162" i="2" s="1"/>
  <c r="BC162" i="2"/>
  <c r="AT162" i="2"/>
  <c r="AQ162" i="2"/>
  <c r="AL162" i="2"/>
  <c r="AH162" i="2"/>
  <c r="AD162" i="2"/>
  <c r="BG162" i="2" s="1"/>
  <c r="V162" i="2"/>
  <c r="N162" i="2"/>
  <c r="ER161" i="2"/>
  <c r="EH161" i="2"/>
  <c r="DO161" i="2"/>
  <c r="CM161" i="2"/>
  <c r="CL161" i="2" a="1"/>
  <c r="CL161" i="2" s="1"/>
  <c r="CJ161" i="2"/>
  <c r="CB161" i="2"/>
  <c r="BV161" i="2"/>
  <c r="BS161" i="2"/>
  <c r="BN161" i="2"/>
  <c r="BE161" i="2"/>
  <c r="AM161" i="2" s="1"/>
  <c r="P161" i="2" s="1"/>
  <c r="BC161" i="2"/>
  <c r="AT161" i="2"/>
  <c r="AQ161" i="2"/>
  <c r="AL161" i="2"/>
  <c r="AH161" i="2"/>
  <c r="AD161" i="2"/>
  <c r="V161" i="2"/>
  <c r="N161" i="2"/>
  <c r="ER160" i="2"/>
  <c r="EH160" i="2"/>
  <c r="DO160" i="2"/>
  <c r="CM160" i="2"/>
  <c r="CL160" i="2" a="1"/>
  <c r="CL160" i="2" s="1"/>
  <c r="CJ160" i="2"/>
  <c r="CB160" i="2"/>
  <c r="BV160" i="2"/>
  <c r="BS160" i="2"/>
  <c r="BN160" i="2"/>
  <c r="BE160" i="2"/>
  <c r="CE160" i="2" s="1"/>
  <c r="BC160" i="2"/>
  <c r="AT160" i="2"/>
  <c r="AQ160" i="2"/>
  <c r="AL160" i="2"/>
  <c r="AH160" i="2"/>
  <c r="AG160" i="2"/>
  <c r="AD160" i="2"/>
  <c r="BG160" i="2" s="1"/>
  <c r="V160" i="2"/>
  <c r="N160" i="2"/>
  <c r="ER159" i="2"/>
  <c r="EH159" i="2"/>
  <c r="DO159" i="2"/>
  <c r="CM159" i="2"/>
  <c r="CL159" i="2" a="1"/>
  <c r="CL159" i="2" s="1"/>
  <c r="CJ159" i="2"/>
  <c r="CB159" i="2"/>
  <c r="BV159" i="2"/>
  <c r="BS159" i="2"/>
  <c r="BN159" i="2"/>
  <c r="BE159" i="2"/>
  <c r="BC159" i="2"/>
  <c r="AT159" i="2"/>
  <c r="AQ159" i="2"/>
  <c r="AL159" i="2"/>
  <c r="AH159" i="2"/>
  <c r="AG159" i="2"/>
  <c r="AD159" i="2"/>
  <c r="BG159" i="2" s="1"/>
  <c r="EK159" i="2" s="1"/>
  <c r="V159" i="2"/>
  <c r="N159" i="2"/>
  <c r="ER158" i="2"/>
  <c r="EH158" i="2"/>
  <c r="DO158" i="2"/>
  <c r="CM158" i="2"/>
  <c r="CL158" i="2" a="1"/>
  <c r="CL158" i="2" s="1"/>
  <c r="CJ158" i="2"/>
  <c r="CB158" i="2"/>
  <c r="BV158" i="2"/>
  <c r="BS158" i="2"/>
  <c r="BN158" i="2"/>
  <c r="BE158" i="2"/>
  <c r="BC158" i="2"/>
  <c r="AT158" i="2"/>
  <c r="AQ158" i="2"/>
  <c r="AL158" i="2"/>
  <c r="AR158" i="2" s="1" a="1"/>
  <c r="AR158" i="2" s="1"/>
  <c r="AH158" i="2"/>
  <c r="AG158" i="2"/>
  <c r="AD158" i="2"/>
  <c r="V158" i="2"/>
  <c r="N158" i="2"/>
  <c r="ER157" i="2"/>
  <c r="EH157" i="2"/>
  <c r="DO157" i="2"/>
  <c r="CM157" i="2"/>
  <c r="CL157" i="2" a="1"/>
  <c r="CL157" i="2" s="1"/>
  <c r="CJ157" i="2"/>
  <c r="CB157" i="2"/>
  <c r="BV157" i="2"/>
  <c r="BS157" i="2"/>
  <c r="BN157" i="2"/>
  <c r="BE157" i="2"/>
  <c r="BC157" i="2"/>
  <c r="AT157" i="2"/>
  <c r="AQ157" i="2"/>
  <c r="AL157" i="2"/>
  <c r="AH157" i="2"/>
  <c r="AD157" i="2"/>
  <c r="BG157" i="2" s="1"/>
  <c r="V157" i="2"/>
  <c r="N157" i="2"/>
  <c r="ER156" i="2"/>
  <c r="EH156" i="2"/>
  <c r="DO156" i="2"/>
  <c r="CM156" i="2"/>
  <c r="CL156" i="2" a="1"/>
  <c r="CL156" i="2" s="1"/>
  <c r="CJ156" i="2"/>
  <c r="CB156" i="2"/>
  <c r="BV156" i="2"/>
  <c r="BS156" i="2"/>
  <c r="BN156" i="2"/>
  <c r="BE156" i="2"/>
  <c r="BC156" i="2"/>
  <c r="AT156" i="2"/>
  <c r="AQ156" i="2"/>
  <c r="AL156" i="2"/>
  <c r="AH156" i="2"/>
  <c r="AD156" i="2"/>
  <c r="V156" i="2"/>
  <c r="N156" i="2"/>
  <c r="ER155" i="2"/>
  <c r="EH155" i="2"/>
  <c r="DO155" i="2"/>
  <c r="CM155" i="2"/>
  <c r="CL155" i="2" a="1"/>
  <c r="CL155" i="2" s="1"/>
  <c r="CJ155" i="2"/>
  <c r="CB155" i="2"/>
  <c r="BV155" i="2"/>
  <c r="BS155" i="2"/>
  <c r="BN155" i="2"/>
  <c r="BE155" i="2"/>
  <c r="BC155" i="2"/>
  <c r="AT155" i="2"/>
  <c r="AQ155" i="2"/>
  <c r="AL155" i="2"/>
  <c r="AH155" i="2"/>
  <c r="AD155" i="2"/>
  <c r="V155" i="2"/>
  <c r="N155" i="2"/>
  <c r="ER154" i="2"/>
  <c r="EK154" i="2"/>
  <c r="EH154" i="2"/>
  <c r="DO154" i="2"/>
  <c r="CM154" i="2"/>
  <c r="CL154" i="2" a="1"/>
  <c r="CL154" i="2" s="1"/>
  <c r="CJ154" i="2"/>
  <c r="CB154" i="2"/>
  <c r="BV154" i="2"/>
  <c r="BS154" i="2"/>
  <c r="BN154" i="2"/>
  <c r="BL154" i="2"/>
  <c r="BE154" i="2"/>
  <c r="AM154" i="2" s="1"/>
  <c r="BC154" i="2"/>
  <c r="AZ154" i="2"/>
  <c r="AT154" i="2"/>
  <c r="AQ154" i="2"/>
  <c r="AL154" i="2"/>
  <c r="AH154" i="2"/>
  <c r="AI154" i="2" s="1"/>
  <c r="AG154" i="2"/>
  <c r="BF154" i="2" s="1"/>
  <c r="CG154" i="2" s="1"/>
  <c r="AD154" i="2"/>
  <c r="V154" i="2"/>
  <c r="N154" i="2"/>
  <c r="ER153" i="2"/>
  <c r="EH153" i="2"/>
  <c r="DO153" i="2"/>
  <c r="CM153" i="2"/>
  <c r="CL153" i="2" a="1"/>
  <c r="CL153" i="2" s="1"/>
  <c r="CJ153" i="2"/>
  <c r="CB153" i="2"/>
  <c r="BV153" i="2"/>
  <c r="BS153" i="2"/>
  <c r="BN153" i="2"/>
  <c r="BE153" i="2"/>
  <c r="AM153" i="2" s="1"/>
  <c r="AT153" i="2"/>
  <c r="AQ153" i="2"/>
  <c r="AN153" i="2"/>
  <c r="AL153" i="2"/>
  <c r="AH153" i="2"/>
  <c r="AG153" i="2"/>
  <c r="AD153" i="2"/>
  <c r="AZ153" i="2" s="1"/>
  <c r="V153" i="2"/>
  <c r="ER152" i="2"/>
  <c r="EK152" i="2"/>
  <c r="EH152" i="2"/>
  <c r="DO152" i="2"/>
  <c r="CM152" i="2"/>
  <c r="CL152" i="2" a="1"/>
  <c r="CL152" i="2" s="1"/>
  <c r="CJ152" i="2"/>
  <c r="CB152" i="2"/>
  <c r="BV152" i="2"/>
  <c r="BS152" i="2"/>
  <c r="BN152" i="2"/>
  <c r="BL152" i="2"/>
  <c r="DW152" i="2" s="1"/>
  <c r="BE152" i="2"/>
  <c r="CE152" i="2" s="1"/>
  <c r="BC152" i="2"/>
  <c r="AZ152" i="2"/>
  <c r="AT152" i="2"/>
  <c r="AQ152" i="2"/>
  <c r="AL152" i="2"/>
  <c r="AH152" i="2"/>
  <c r="AG152" i="2"/>
  <c r="AD152" i="2"/>
  <c r="V152" i="2"/>
  <c r="N152" i="2"/>
  <c r="ER151" i="2"/>
  <c r="EK151" i="2"/>
  <c r="EH151" i="2"/>
  <c r="DO151" i="2"/>
  <c r="CM151" i="2"/>
  <c r="CL151" i="2" a="1"/>
  <c r="CL151" i="2" s="1"/>
  <c r="CJ151" i="2"/>
  <c r="CB151" i="2"/>
  <c r="BV151" i="2"/>
  <c r="BS151" i="2"/>
  <c r="BN151" i="2"/>
  <c r="BL151" i="2"/>
  <c r="BE151" i="2"/>
  <c r="AM151" i="2" s="1"/>
  <c r="BC151" i="2"/>
  <c r="AZ151" i="2"/>
  <c r="AT151" i="2"/>
  <c r="AQ151" i="2"/>
  <c r="AR151" i="2" s="1" a="1"/>
  <c r="AR151" i="2" s="1"/>
  <c r="AU151" i="2" s="1"/>
  <c r="AL151" i="2"/>
  <c r="AH151" i="2"/>
  <c r="AG151" i="2"/>
  <c r="AD151" i="2"/>
  <c r="V151" i="2"/>
  <c r="N151" i="2"/>
  <c r="ER150" i="2"/>
  <c r="EK150" i="2"/>
  <c r="EH150" i="2"/>
  <c r="DO150" i="2"/>
  <c r="CM150" i="2"/>
  <c r="CL150" i="2" a="1"/>
  <c r="CL150" i="2" s="1"/>
  <c r="CJ150" i="2"/>
  <c r="CB150" i="2"/>
  <c r="BV150" i="2"/>
  <c r="BS150" i="2"/>
  <c r="BN150" i="2"/>
  <c r="BL150" i="2"/>
  <c r="DM150" i="2" s="1"/>
  <c r="DC150" i="2" s="1"/>
  <c r="BE150" i="2"/>
  <c r="BC150" i="2"/>
  <c r="AZ150" i="2"/>
  <c r="AT150" i="2"/>
  <c r="AQ150" i="2"/>
  <c r="AL150" i="2"/>
  <c r="AH150" i="2"/>
  <c r="AG150" i="2"/>
  <c r="AD150" i="2"/>
  <c r="V150" i="2"/>
  <c r="N150" i="2"/>
  <c r="ER149" i="2"/>
  <c r="EK149" i="2"/>
  <c r="EH149" i="2"/>
  <c r="DO149" i="2"/>
  <c r="CM149" i="2"/>
  <c r="CL149" i="2" a="1"/>
  <c r="CL149" i="2" s="1"/>
  <c r="CJ149" i="2"/>
  <c r="CB149" i="2"/>
  <c r="BV149" i="2"/>
  <c r="BS149" i="2"/>
  <c r="BN149" i="2"/>
  <c r="BL149" i="2"/>
  <c r="BE149" i="2"/>
  <c r="BC149" i="2"/>
  <c r="AZ149" i="2"/>
  <c r="AT149" i="2"/>
  <c r="AQ149" i="2"/>
  <c r="AL149" i="2"/>
  <c r="AH149" i="2"/>
  <c r="AG149" i="2"/>
  <c r="BF149" i="2" s="1"/>
  <c r="AD149" i="2"/>
  <c r="V149" i="2"/>
  <c r="N149" i="2"/>
  <c r="ER148" i="2"/>
  <c r="EK148" i="2"/>
  <c r="EH148" i="2"/>
  <c r="DO148" i="2"/>
  <c r="CM148" i="2"/>
  <c r="CL148" i="2" a="1"/>
  <c r="CL148" i="2" s="1"/>
  <c r="CJ148" i="2"/>
  <c r="CB148" i="2"/>
  <c r="BV148" i="2"/>
  <c r="BS148" i="2"/>
  <c r="BN148" i="2"/>
  <c r="BL148" i="2"/>
  <c r="BE148" i="2"/>
  <c r="AM148" i="2" s="1"/>
  <c r="BC148" i="2"/>
  <c r="AZ148" i="2"/>
  <c r="AT148" i="2"/>
  <c r="AQ148" i="2"/>
  <c r="AL148" i="2"/>
  <c r="AR148" i="2" s="1" a="1"/>
  <c r="AR148" i="2" s="1"/>
  <c r="BX148" i="2" s="1"/>
  <c r="BY148" i="2" s="1"/>
  <c r="AH148" i="2"/>
  <c r="AG148" i="2"/>
  <c r="AD148" i="2"/>
  <c r="V148" i="2"/>
  <c r="N148" i="2"/>
  <c r="ER147" i="2"/>
  <c r="EK147" i="2"/>
  <c r="EH147" i="2"/>
  <c r="DO147" i="2"/>
  <c r="CM147" i="2"/>
  <c r="CL147" i="2" a="1"/>
  <c r="CL147" i="2" s="1"/>
  <c r="CJ147" i="2"/>
  <c r="CB147" i="2"/>
  <c r="BV147" i="2"/>
  <c r="BS147" i="2"/>
  <c r="BN147" i="2"/>
  <c r="DW147" i="2" s="1"/>
  <c r="BL147" i="2"/>
  <c r="DM147" i="2" s="1"/>
  <c r="DC147" i="2" s="1"/>
  <c r="BE147" i="2"/>
  <c r="CE147" i="2" s="1"/>
  <c r="BC147" i="2"/>
  <c r="AZ147" i="2"/>
  <c r="AT147" i="2"/>
  <c r="AQ147" i="2"/>
  <c r="AL147" i="2"/>
  <c r="AH147" i="2"/>
  <c r="AG147" i="2"/>
  <c r="AD147" i="2"/>
  <c r="AI147" i="2" s="1"/>
  <c r="V147" i="2"/>
  <c r="N147" i="2"/>
  <c r="ER146" i="2"/>
  <c r="EK146" i="2"/>
  <c r="EH146" i="2"/>
  <c r="DO146" i="2"/>
  <c r="CM146" i="2"/>
  <c r="CL146" i="2" a="1"/>
  <c r="CL146" i="2" s="1"/>
  <c r="CJ146" i="2"/>
  <c r="CB146" i="2"/>
  <c r="BV146" i="2"/>
  <c r="BS146" i="2"/>
  <c r="BN146" i="2"/>
  <c r="BL146" i="2"/>
  <c r="BE146" i="2"/>
  <c r="BC146" i="2"/>
  <c r="AZ146" i="2"/>
  <c r="AT146" i="2"/>
  <c r="AQ146" i="2"/>
  <c r="AL146" i="2"/>
  <c r="AH146" i="2"/>
  <c r="AG146" i="2"/>
  <c r="AD146" i="2"/>
  <c r="V146" i="2"/>
  <c r="N146" i="2"/>
  <c r="ER145" i="2"/>
  <c r="EH145" i="2"/>
  <c r="DO145" i="2"/>
  <c r="CM145" i="2"/>
  <c r="CL145" i="2" a="1"/>
  <c r="CL145" i="2" s="1"/>
  <c r="CJ145" i="2"/>
  <c r="CB145" i="2"/>
  <c r="BV145" i="2"/>
  <c r="BS145" i="2"/>
  <c r="BN145" i="2"/>
  <c r="BE145" i="2"/>
  <c r="BC145" i="2"/>
  <c r="AT145" i="2"/>
  <c r="AQ145" i="2"/>
  <c r="AL145" i="2"/>
  <c r="AH145" i="2"/>
  <c r="AG145" i="2"/>
  <c r="AD145" i="2"/>
  <c r="BG145" i="2"/>
  <c r="V145" i="2"/>
  <c r="N145" i="2"/>
  <c r="ER144" i="2"/>
  <c r="EH144" i="2"/>
  <c r="DO144" i="2"/>
  <c r="CM144" i="2"/>
  <c r="CL144" i="2" a="1"/>
  <c r="CL144" i="2" s="1"/>
  <c r="CJ144" i="2"/>
  <c r="CB144" i="2"/>
  <c r="BV144" i="2"/>
  <c r="BW144" i="2" s="1"/>
  <c r="BS144" i="2"/>
  <c r="BN144" i="2"/>
  <c r="AT144" i="2"/>
  <c r="AQ144" i="2"/>
  <c r="AM144" i="2"/>
  <c r="P144" i="2" s="1"/>
  <c r="AL144" i="2"/>
  <c r="AH144" i="2"/>
  <c r="AG144" i="2"/>
  <c r="AI144" i="2" s="1"/>
  <c r="AD144" i="2"/>
  <c r="V144" i="2"/>
  <c r="N144" i="2"/>
  <c r="ER143" i="2"/>
  <c r="EH143" i="2"/>
  <c r="DO143" i="2"/>
  <c r="CM143" i="2"/>
  <c r="CL143" i="2" a="1"/>
  <c r="CL143" i="2" s="1"/>
  <c r="CJ143" i="2"/>
  <c r="CB143" i="2"/>
  <c r="BV143" i="2"/>
  <c r="BS143" i="2"/>
  <c r="BN143" i="2"/>
  <c r="BE143" i="2"/>
  <c r="CE143" i="2" s="1"/>
  <c r="BC143" i="2"/>
  <c r="AY143" i="2"/>
  <c r="AM143" i="2" s="1"/>
  <c r="AT143" i="2"/>
  <c r="AQ143" i="2"/>
  <c r="AL143" i="2"/>
  <c r="AH143" i="2"/>
  <c r="AG143" i="2"/>
  <c r="AD143" i="2"/>
  <c r="AI143" i="2" s="1"/>
  <c r="V143" i="2"/>
  <c r="N143" i="2"/>
  <c r="ER142" i="2"/>
  <c r="EH142" i="2"/>
  <c r="DO142" i="2"/>
  <c r="CM142" i="2"/>
  <c r="CL142" i="2" a="1"/>
  <c r="CL142" i="2" s="1"/>
  <c r="CJ142" i="2"/>
  <c r="CB142" i="2"/>
  <c r="BV142" i="2"/>
  <c r="BS142" i="2"/>
  <c r="BN142" i="2"/>
  <c r="AM142" i="2"/>
  <c r="AT142" i="2"/>
  <c r="AQ142" i="2"/>
  <c r="AL142" i="2"/>
  <c r="AH142" i="2"/>
  <c r="AG142" i="2"/>
  <c r="AD142" i="2"/>
  <c r="V142" i="2"/>
  <c r="N142" i="2"/>
  <c r="ER141" i="2"/>
  <c r="EK141" i="2"/>
  <c r="EH141" i="2"/>
  <c r="DO141" i="2"/>
  <c r="CM141" i="2"/>
  <c r="CL141" i="2" a="1"/>
  <c r="CL141" i="2" s="1"/>
  <c r="CJ141" i="2"/>
  <c r="CB141" i="2"/>
  <c r="BV141" i="2"/>
  <c r="BS141" i="2"/>
  <c r="BN141" i="2"/>
  <c r="BL141" i="2"/>
  <c r="BE141" i="2"/>
  <c r="BC141" i="2"/>
  <c r="AZ141" i="2"/>
  <c r="AT141" i="2"/>
  <c r="AQ141" i="2"/>
  <c r="AL141" i="2"/>
  <c r="AH141" i="2"/>
  <c r="AG141" i="2"/>
  <c r="AD141" i="2"/>
  <c r="V141" i="2"/>
  <c r="N141" i="2"/>
  <c r="ER140" i="2"/>
  <c r="EK140" i="2"/>
  <c r="EH140" i="2"/>
  <c r="DO140" i="2"/>
  <c r="CM140" i="2"/>
  <c r="CL140" i="2" a="1"/>
  <c r="CL140" i="2" s="1"/>
  <c r="CJ140" i="2"/>
  <c r="CB140" i="2"/>
  <c r="BV140" i="2"/>
  <c r="BS140" i="2"/>
  <c r="BN140" i="2"/>
  <c r="BL140" i="2"/>
  <c r="BE140" i="2"/>
  <c r="BC140" i="2"/>
  <c r="AZ140" i="2"/>
  <c r="AT140" i="2"/>
  <c r="AQ140" i="2"/>
  <c r="AL140" i="2"/>
  <c r="AH140" i="2"/>
  <c r="AG140" i="2"/>
  <c r="AD140" i="2"/>
  <c r="V140" i="2"/>
  <c r="N140" i="2"/>
  <c r="ER139" i="2"/>
  <c r="EH139" i="2"/>
  <c r="DO139" i="2"/>
  <c r="CM139" i="2"/>
  <c r="CL139" i="2" a="1"/>
  <c r="CL139" i="2" s="1"/>
  <c r="CJ139" i="2"/>
  <c r="CB139" i="2"/>
  <c r="BV139" i="2"/>
  <c r="BS139" i="2"/>
  <c r="BN139" i="2"/>
  <c r="BE139" i="2"/>
  <c r="BC139" i="2"/>
  <c r="AZ139" i="2"/>
  <c r="AT139" i="2"/>
  <c r="AP139" i="2"/>
  <c r="AQ139" i="2" s="1"/>
  <c r="AL139" i="2"/>
  <c r="AH139" i="2"/>
  <c r="AG139" i="2"/>
  <c r="AD139" i="2"/>
  <c r="V139" i="2"/>
  <c r="N139" i="2"/>
  <c r="ER138" i="2"/>
  <c r="EH138" i="2"/>
  <c r="DO138" i="2"/>
  <c r="CM138" i="2"/>
  <c r="CL138" i="2" a="1"/>
  <c r="CL138" i="2" s="1"/>
  <c r="CJ138" i="2"/>
  <c r="CB138" i="2"/>
  <c r="BV138" i="2"/>
  <c r="BS138" i="2"/>
  <c r="BN138" i="2"/>
  <c r="BE138" i="2"/>
  <c r="CE138" i="2" s="1"/>
  <c r="BC138" i="2"/>
  <c r="AZ138" i="2"/>
  <c r="AT138" i="2"/>
  <c r="AQ138" i="2"/>
  <c r="AL138" i="2"/>
  <c r="AH138" i="2"/>
  <c r="AG138" i="2"/>
  <c r="AI138" i="2" s="1"/>
  <c r="AD138" i="2"/>
  <c r="V138" i="2"/>
  <c r="N138" i="2"/>
  <c r="ER137" i="2"/>
  <c r="EH137" i="2"/>
  <c r="DO137" i="2"/>
  <c r="CM137" i="2"/>
  <c r="CL137" i="2" a="1"/>
  <c r="CL137" i="2" s="1"/>
  <c r="CJ137" i="2"/>
  <c r="CB137" i="2"/>
  <c r="BV137" i="2"/>
  <c r="BS137" i="2"/>
  <c r="BN137" i="2"/>
  <c r="BE137" i="2"/>
  <c r="AM137" i="2" s="1"/>
  <c r="BC137" i="2"/>
  <c r="AZ137" i="2"/>
  <c r="AT137" i="2"/>
  <c r="AP137" i="2"/>
  <c r="AQ137" i="2" s="1"/>
  <c r="AL137" i="2"/>
  <c r="AH137" i="2"/>
  <c r="AG137" i="2"/>
  <c r="AD137" i="2"/>
  <c r="V137" i="2"/>
  <c r="N137" i="2"/>
  <c r="EH136" i="2"/>
  <c r="DO136" i="2"/>
  <c r="CM136" i="2"/>
  <c r="CL136" i="2" a="1"/>
  <c r="CL136" i="2" s="1"/>
  <c r="CJ136" i="2"/>
  <c r="CB136" i="2"/>
  <c r="BV136" i="2"/>
  <c r="BN136" i="2"/>
  <c r="BH136" i="2"/>
  <c r="BE136" i="2"/>
  <c r="CE136" i="2" s="1"/>
  <c r="BC136" i="2"/>
  <c r="AZ136" i="2"/>
  <c r="AQ136" i="2"/>
  <c r="AL136" i="2"/>
  <c r="AH136" i="2"/>
  <c r="AG136" i="2"/>
  <c r="AD136" i="2"/>
  <c r="V136" i="2"/>
  <c r="N136" i="2"/>
  <c r="ER135" i="2"/>
  <c r="EH135" i="2"/>
  <c r="DO135" i="2"/>
  <c r="CM135" i="2"/>
  <c r="CL135" i="2" a="1"/>
  <c r="CL135" i="2" s="1"/>
  <c r="CJ135" i="2"/>
  <c r="CB135" i="2"/>
  <c r="BV135" i="2"/>
  <c r="BS135" i="2"/>
  <c r="BN135" i="2"/>
  <c r="BG135" i="2"/>
  <c r="BE135" i="2"/>
  <c r="BC135" i="2"/>
  <c r="AZ135" i="2"/>
  <c r="AT135" i="2"/>
  <c r="AQ135" i="2"/>
  <c r="AL135" i="2"/>
  <c r="AH135" i="2"/>
  <c r="AG135" i="2"/>
  <c r="AD135" i="2"/>
  <c r="AI135" i="2" s="1"/>
  <c r="V135" i="2"/>
  <c r="N135" i="2"/>
  <c r="ER134" i="2"/>
  <c r="EH134" i="2"/>
  <c r="EM134" i="2" s="1"/>
  <c r="EN134" i="2" s="1"/>
  <c r="DO134" i="2"/>
  <c r="CM134" i="2"/>
  <c r="CL134" i="2" a="1"/>
  <c r="CL134" i="2" s="1"/>
  <c r="CJ134" i="2"/>
  <c r="CB134" i="2"/>
  <c r="BV134" i="2"/>
  <c r="BS134" i="2"/>
  <c r="BN134" i="2"/>
  <c r="BE134" i="2"/>
  <c r="BC134" i="2"/>
  <c r="AZ134" i="2"/>
  <c r="AT134" i="2"/>
  <c r="AQ134" i="2"/>
  <c r="AL134" i="2"/>
  <c r="AH134" i="2"/>
  <c r="AG134" i="2"/>
  <c r="AD134" i="2"/>
  <c r="BG134" i="2" s="1"/>
  <c r="V134" i="2"/>
  <c r="N134" i="2"/>
  <c r="ER133" i="2"/>
  <c r="EH133" i="2"/>
  <c r="DO133" i="2"/>
  <c r="CM133" i="2"/>
  <c r="CL133" i="2" a="1"/>
  <c r="CL133" i="2" s="1"/>
  <c r="CJ133" i="2"/>
  <c r="CB133" i="2"/>
  <c r="BV133" i="2"/>
  <c r="BS133" i="2"/>
  <c r="BM133" i="2"/>
  <c r="BN133" i="2" s="1"/>
  <c r="BE133" i="2"/>
  <c r="BC133" i="2"/>
  <c r="AP133" i="2"/>
  <c r="AQ133" i="2" s="1"/>
  <c r="AL133" i="2"/>
  <c r="AH133" i="2"/>
  <c r="AG133" i="2"/>
  <c r="AD133" i="2"/>
  <c r="BG133" i="2" s="1"/>
  <c r="V133" i="2"/>
  <c r="N133" i="2"/>
  <c r="ER132" i="2"/>
  <c r="EH132" i="2"/>
  <c r="DO132" i="2"/>
  <c r="CM132" i="2"/>
  <c r="CL132" i="2" a="1"/>
  <c r="CL132" i="2" s="1"/>
  <c r="CJ132" i="2"/>
  <c r="CB132" i="2"/>
  <c r="BV132" i="2"/>
  <c r="BS132" i="2"/>
  <c r="BM132" i="2"/>
  <c r="BN132" i="2" s="1"/>
  <c r="BE132" i="2"/>
  <c r="CE132" i="2" s="1"/>
  <c r="BC132" i="2"/>
  <c r="AP132" i="2"/>
  <c r="AQ132" i="2" s="1"/>
  <c r="AL132" i="2"/>
  <c r="AH132" i="2"/>
  <c r="AG132" i="2"/>
  <c r="AD132" i="2"/>
  <c r="V132" i="2"/>
  <c r="N132" i="2"/>
  <c r="ER130" i="2"/>
  <c r="EH130" i="2"/>
  <c r="DO130" i="2"/>
  <c r="CM130" i="2"/>
  <c r="CL130" i="2" a="1"/>
  <c r="CL130" i="2" s="1"/>
  <c r="CJ130" i="2"/>
  <c r="CB130" i="2"/>
  <c r="BV130" i="2"/>
  <c r="BS130" i="2"/>
  <c r="BM130" i="2"/>
  <c r="BN130" i="2" s="1"/>
  <c r="BE130" i="2"/>
  <c r="CE130" i="2" s="1"/>
  <c r="AM130" i="2"/>
  <c r="CH130" i="2" s="1"/>
  <c r="CC130" i="2" s="1"/>
  <c r="BC130" i="2"/>
  <c r="AZ130" i="2"/>
  <c r="AP130" i="2"/>
  <c r="AQ130" i="2" s="1"/>
  <c r="AL130" i="2"/>
  <c r="AH130" i="2"/>
  <c r="AG130" i="2"/>
  <c r="AD130" i="2"/>
  <c r="V130" i="2"/>
  <c r="N130" i="2"/>
  <c r="ER131" i="2"/>
  <c r="EH131" i="2"/>
  <c r="DO131" i="2"/>
  <c r="CM131" i="2"/>
  <c r="CL131" i="2" a="1"/>
  <c r="CL131" i="2" s="1"/>
  <c r="CJ131" i="2"/>
  <c r="CB131" i="2"/>
  <c r="BV131" i="2"/>
  <c r="BS131" i="2"/>
  <c r="BM131" i="2"/>
  <c r="BN131" i="2" s="1"/>
  <c r="BE131" i="2"/>
  <c r="AM131" i="2" s="1"/>
  <c r="CK131" i="2" s="1"/>
  <c r="BC131" i="2"/>
  <c r="AP131" i="2"/>
  <c r="AQ131" i="2" s="1"/>
  <c r="AL131" i="2"/>
  <c r="AH131" i="2"/>
  <c r="AG131" i="2"/>
  <c r="AD131" i="2"/>
  <c r="BG131" i="2" s="1"/>
  <c r="V131" i="2"/>
  <c r="N131" i="2"/>
  <c r="ER129" i="2"/>
  <c r="EH129" i="2"/>
  <c r="DO129" i="2"/>
  <c r="CM129" i="2"/>
  <c r="CL129" i="2" a="1"/>
  <c r="CL129" i="2" s="1"/>
  <c r="CJ129" i="2"/>
  <c r="CB129" i="2"/>
  <c r="BV129" i="2"/>
  <c r="BS129" i="2"/>
  <c r="BN129" i="2"/>
  <c r="BG129" i="2"/>
  <c r="BL129" i="2" s="1"/>
  <c r="BE129" i="2"/>
  <c r="BC129" i="2"/>
  <c r="AZ129" i="2"/>
  <c r="AT129" i="2"/>
  <c r="AL129" i="2"/>
  <c r="AH129" i="2"/>
  <c r="AD129" i="2"/>
  <c r="V129" i="2"/>
  <c r="N129" i="2"/>
  <c r="ER128" i="2"/>
  <c r="EH128" i="2"/>
  <c r="BJ128" i="2" s="1"/>
  <c r="DO128" i="2"/>
  <c r="CM128" i="2"/>
  <c r="CL128" i="2" a="1"/>
  <c r="CL128" i="2" s="1"/>
  <c r="CJ128" i="2"/>
  <c r="CB128" i="2"/>
  <c r="BV128" i="2"/>
  <c r="BS128" i="2"/>
  <c r="BN128" i="2"/>
  <c r="BG128" i="2"/>
  <c r="BE128" i="2"/>
  <c r="AM128" i="2"/>
  <c r="BC128" i="2"/>
  <c r="AZ128" i="2"/>
  <c r="AT128" i="2"/>
  <c r="AQ128" i="2"/>
  <c r="AL128" i="2"/>
  <c r="AD128" i="2"/>
  <c r="AI128" i="2" s="1"/>
  <c r="V128" i="2"/>
  <c r="N128" i="2"/>
  <c r="ER127" i="2"/>
  <c r="EH127" i="2"/>
  <c r="DO127" i="2"/>
  <c r="CM127" i="2"/>
  <c r="CL127" i="2" a="1"/>
  <c r="CL127" i="2" s="1"/>
  <c r="CJ127" i="2"/>
  <c r="CB127" i="2"/>
  <c r="BV127" i="2"/>
  <c r="BS127" i="2"/>
  <c r="BN127" i="2"/>
  <c r="BE127" i="2"/>
  <c r="BC127" i="2"/>
  <c r="AT127" i="2"/>
  <c r="AQ127" i="2"/>
  <c r="AL127" i="2"/>
  <c r="AH127" i="2"/>
  <c r="AG127" i="2"/>
  <c r="AD127" i="2"/>
  <c r="V127" i="2"/>
  <c r="N127" i="2"/>
  <c r="ER126" i="2"/>
  <c r="EH126" i="2"/>
  <c r="DO126" i="2"/>
  <c r="CM126" i="2"/>
  <c r="CL126" i="2" a="1"/>
  <c r="CL126" i="2"/>
  <c r="CJ126" i="2"/>
  <c r="CB126" i="2"/>
  <c r="BV126" i="2"/>
  <c r="BS126" i="2"/>
  <c r="BN126" i="2"/>
  <c r="BE126" i="2"/>
  <c r="BC126" i="2"/>
  <c r="AT126" i="2"/>
  <c r="AQ126" i="2"/>
  <c r="AL126" i="2"/>
  <c r="AH126" i="2"/>
  <c r="AG126" i="2"/>
  <c r="AD126" i="2"/>
  <c r="BG126" i="2" s="1"/>
  <c r="V126" i="2"/>
  <c r="N126" i="2"/>
  <c r="ER125" i="2"/>
  <c r="EH125" i="2"/>
  <c r="EM125" i="2" s="1"/>
  <c r="EN125" i="2" s="1"/>
  <c r="DO125" i="2"/>
  <c r="CM125" i="2"/>
  <c r="CL125" i="2" a="1"/>
  <c r="CL125" i="2" s="1"/>
  <c r="CJ125" i="2"/>
  <c r="CB125" i="2"/>
  <c r="BV125" i="2"/>
  <c r="BS125" i="2"/>
  <c r="BN125" i="2"/>
  <c r="BG125" i="2"/>
  <c r="AT125" i="2"/>
  <c r="AQ125" i="2"/>
  <c r="AM125" i="2"/>
  <c r="AL125" i="2"/>
  <c r="AH125" i="2"/>
  <c r="AG125" i="2"/>
  <c r="AD125" i="2"/>
  <c r="BC125" i="2" s="1"/>
  <c r="V125" i="2"/>
  <c r="N125" i="2"/>
  <c r="ER124" i="2"/>
  <c r="EH124" i="2"/>
  <c r="DO124" i="2"/>
  <c r="CM124" i="2"/>
  <c r="CL124" i="2" a="1"/>
  <c r="CL124" i="2" s="1"/>
  <c r="CJ124" i="2"/>
  <c r="CB124" i="2"/>
  <c r="BV124" i="2"/>
  <c r="BS124" i="2"/>
  <c r="BN124" i="2"/>
  <c r="BE124" i="2"/>
  <c r="BC124" i="2"/>
  <c r="AZ124" i="2"/>
  <c r="AT124" i="2"/>
  <c r="AQ124" i="2"/>
  <c r="AL124" i="2"/>
  <c r="AD124" i="2"/>
  <c r="BG124" i="2" s="1"/>
  <c r="EK124" i="2" s="1"/>
  <c r="V124" i="2"/>
  <c r="N124" i="2"/>
  <c r="ER123" i="2"/>
  <c r="EH123" i="2"/>
  <c r="DO123" i="2"/>
  <c r="CM123" i="2"/>
  <c r="CL123" i="2" a="1"/>
  <c r="CL123" i="2" s="1"/>
  <c r="CJ123" i="2"/>
  <c r="CB123" i="2"/>
  <c r="BV123" i="2"/>
  <c r="BS123" i="2"/>
  <c r="BN123" i="2"/>
  <c r="BE123" i="2"/>
  <c r="BC123" i="2"/>
  <c r="AT123" i="2"/>
  <c r="AQ123" i="2"/>
  <c r="AL123" i="2"/>
  <c r="AH123" i="2"/>
  <c r="AG123" i="2"/>
  <c r="AD123" i="2"/>
  <c r="V123" i="2"/>
  <c r="N123" i="2"/>
  <c r="ER122" i="2"/>
  <c r="EH122" i="2"/>
  <c r="BJ122" i="2" s="1"/>
  <c r="DO122" i="2"/>
  <c r="CM122" i="2"/>
  <c r="CL122" i="2" a="1"/>
  <c r="CL122" i="2" s="1"/>
  <c r="CJ122" i="2"/>
  <c r="CB122" i="2"/>
  <c r="BV122" i="2"/>
  <c r="BS122" i="2"/>
  <c r="BN122" i="2"/>
  <c r="BE122" i="2"/>
  <c r="BC122" i="2"/>
  <c r="AT122" i="2"/>
  <c r="AQ122" i="2"/>
  <c r="AL122" i="2"/>
  <c r="AH122" i="2"/>
  <c r="AG122" i="2"/>
  <c r="AI122" i="2" s="1"/>
  <c r="AD122" i="2"/>
  <c r="BG122" i="2" s="1"/>
  <c r="V122" i="2"/>
  <c r="N122" i="2"/>
  <c r="ER121" i="2"/>
  <c r="EH121" i="2"/>
  <c r="DO121" i="2"/>
  <c r="CM121" i="2"/>
  <c r="CL121" i="2" a="1"/>
  <c r="CL121" i="2" s="1"/>
  <c r="CJ121" i="2"/>
  <c r="CB121" i="2"/>
  <c r="BV121" i="2"/>
  <c r="BS121" i="2"/>
  <c r="BN121" i="2"/>
  <c r="BE121" i="2"/>
  <c r="CE121" i="2" s="1"/>
  <c r="BC121" i="2"/>
  <c r="AZ121" i="2"/>
  <c r="AT121" i="2"/>
  <c r="AQ121" i="2"/>
  <c r="AL121" i="2"/>
  <c r="AH121" i="2"/>
  <c r="AG121" i="2"/>
  <c r="AD121" i="2"/>
  <c r="V121" i="2"/>
  <c r="N121" i="2"/>
  <c r="ER120" i="2"/>
  <c r="EH120" i="2"/>
  <c r="DO120" i="2"/>
  <c r="CM120" i="2"/>
  <c r="CL120" i="2" a="1"/>
  <c r="CL120" i="2" s="1"/>
  <c r="CJ120" i="2"/>
  <c r="CB120" i="2"/>
  <c r="BV120" i="2"/>
  <c r="BS120" i="2"/>
  <c r="BN120" i="2"/>
  <c r="BE120" i="2"/>
  <c r="CE120" i="2" s="1"/>
  <c r="BC120" i="2"/>
  <c r="AT120" i="2"/>
  <c r="AQ120" i="2"/>
  <c r="AN120" i="2"/>
  <c r="AL120" i="2"/>
  <c r="AH120" i="2"/>
  <c r="AD120" i="2"/>
  <c r="V120" i="2"/>
  <c r="N120" i="2"/>
  <c r="ER119" i="2"/>
  <c r="EH119" i="2"/>
  <c r="DO119" i="2"/>
  <c r="CM119" i="2"/>
  <c r="CL119" i="2" a="1"/>
  <c r="CL119" i="2" s="1"/>
  <c r="CJ119" i="2"/>
  <c r="CB119" i="2"/>
  <c r="BV119" i="2"/>
  <c r="BS119" i="2"/>
  <c r="BN119" i="2"/>
  <c r="BE119" i="2"/>
  <c r="BC119" i="2"/>
  <c r="AT119" i="2"/>
  <c r="AQ119" i="2"/>
  <c r="AN119" i="2"/>
  <c r="AL119" i="2"/>
  <c r="AH119" i="2"/>
  <c r="AD119" i="2"/>
  <c r="AI119" i="2" s="1"/>
  <c r="V119" i="2"/>
  <c r="N119" i="2"/>
  <c r="ER118" i="2"/>
  <c r="EH118" i="2"/>
  <c r="DO118" i="2"/>
  <c r="CM118" i="2"/>
  <c r="CL118" i="2" a="1"/>
  <c r="CL118" i="2" s="1"/>
  <c r="CJ118" i="2"/>
  <c r="CB118" i="2"/>
  <c r="BV118" i="2"/>
  <c r="BS118" i="2"/>
  <c r="BN118" i="2"/>
  <c r="BE118" i="2"/>
  <c r="CE118" i="2" s="1"/>
  <c r="BC118" i="2"/>
  <c r="AT118" i="2"/>
  <c r="AQ118" i="2"/>
  <c r="AN118" i="2"/>
  <c r="AL118" i="2"/>
  <c r="AH118" i="2"/>
  <c r="AD118" i="2"/>
  <c r="V118" i="2"/>
  <c r="N118" i="2"/>
  <c r="ER117" i="2"/>
  <c r="EH117" i="2"/>
  <c r="DO117" i="2"/>
  <c r="CM117" i="2"/>
  <c r="CL117" i="2" a="1"/>
  <c r="CL117" i="2" s="1"/>
  <c r="CJ117" i="2"/>
  <c r="CB117" i="2"/>
  <c r="BV117" i="2"/>
  <c r="BS117" i="2"/>
  <c r="BN117" i="2"/>
  <c r="BE117" i="2"/>
  <c r="BC117" i="2"/>
  <c r="AT117" i="2"/>
  <c r="AQ117" i="2"/>
  <c r="AL117" i="2"/>
  <c r="AH117" i="2"/>
  <c r="AG117" i="2"/>
  <c r="AD117" i="2"/>
  <c r="V117" i="2"/>
  <c r="N117" i="2"/>
  <c r="ER116" i="2"/>
  <c r="EH116" i="2"/>
  <c r="DO116" i="2"/>
  <c r="CM116" i="2"/>
  <c r="CL116" i="2" a="1"/>
  <c r="CL116" i="2" s="1"/>
  <c r="CJ116" i="2"/>
  <c r="CB116" i="2"/>
  <c r="BV116" i="2"/>
  <c r="BS116" i="2"/>
  <c r="BN116" i="2"/>
  <c r="BE116" i="2"/>
  <c r="BC116" i="2"/>
  <c r="AZ116" i="2"/>
  <c r="AT116" i="2"/>
  <c r="AQ116" i="2"/>
  <c r="AL116" i="2"/>
  <c r="AH116" i="2"/>
  <c r="AI116" i="2" s="1"/>
  <c r="AG116" i="2"/>
  <c r="AD116" i="2"/>
  <c r="BG116" i="2" s="1"/>
  <c r="BL116" i="2" s="1"/>
  <c r="V116" i="2"/>
  <c r="N116" i="2"/>
  <c r="ER115" i="2"/>
  <c r="EH115" i="2"/>
  <c r="DO115" i="2"/>
  <c r="CM115" i="2"/>
  <c r="CL115" i="2" a="1"/>
  <c r="CL115" i="2" s="1"/>
  <c r="CJ115" i="2"/>
  <c r="CB115" i="2"/>
  <c r="BV115" i="2"/>
  <c r="BS115" i="2"/>
  <c r="BN115" i="2"/>
  <c r="BE115" i="2"/>
  <c r="CE115" i="2" s="1"/>
  <c r="BC115" i="2"/>
  <c r="AZ115" i="2"/>
  <c r="AT115" i="2"/>
  <c r="AQ115" i="2"/>
  <c r="AL115" i="2"/>
  <c r="AH115" i="2"/>
  <c r="AG115" i="2"/>
  <c r="AD115" i="2"/>
  <c r="V115" i="2"/>
  <c r="N115" i="2"/>
  <c r="ER114" i="2"/>
  <c r="EK114" i="2"/>
  <c r="EH114" i="2"/>
  <c r="DO114" i="2"/>
  <c r="CM114" i="2"/>
  <c r="CL114" i="2" a="1"/>
  <c r="CL114" i="2" s="1"/>
  <c r="CJ114" i="2"/>
  <c r="CB114" i="2"/>
  <c r="BV114" i="2"/>
  <c r="BS114" i="2"/>
  <c r="BN114" i="2"/>
  <c r="BL114" i="2"/>
  <c r="BE114" i="2"/>
  <c r="AM114" i="2" s="1"/>
  <c r="BC114" i="2"/>
  <c r="AZ114" i="2"/>
  <c r="AT114" i="2"/>
  <c r="AQ114" i="2"/>
  <c r="AL114" i="2"/>
  <c r="AH114" i="2"/>
  <c r="AG114" i="2"/>
  <c r="AD114" i="2"/>
  <c r="V114" i="2"/>
  <c r="N114" i="2"/>
  <c r="ER113" i="2"/>
  <c r="EH113" i="2"/>
  <c r="DO113" i="2"/>
  <c r="CM113" i="2"/>
  <c r="CL113" i="2" a="1"/>
  <c r="CL113" i="2" s="1"/>
  <c r="CJ113" i="2"/>
  <c r="CB113" i="2"/>
  <c r="BV113" i="2"/>
  <c r="BS113" i="2"/>
  <c r="BN113" i="2"/>
  <c r="BG113" i="2"/>
  <c r="EK113" i="2" s="1"/>
  <c r="BE113" i="2"/>
  <c r="AM113" i="2" s="1"/>
  <c r="BC113" i="2"/>
  <c r="AT113" i="2"/>
  <c r="AQ113" i="2"/>
  <c r="AL113" i="2"/>
  <c r="AH113" i="2"/>
  <c r="AG113" i="2"/>
  <c r="AD113" i="2"/>
  <c r="V113" i="2"/>
  <c r="N113" i="2"/>
  <c r="ER112" i="2"/>
  <c r="EH112" i="2"/>
  <c r="DO112" i="2"/>
  <c r="CM112" i="2"/>
  <c r="CL112" i="2" a="1"/>
  <c r="CL112" i="2" s="1"/>
  <c r="CJ112" i="2"/>
  <c r="CB112" i="2"/>
  <c r="BV112" i="2"/>
  <c r="BS112" i="2"/>
  <c r="BE112" i="2"/>
  <c r="BC112" i="2"/>
  <c r="AT112" i="2"/>
  <c r="AQ112" i="2"/>
  <c r="AL112" i="2"/>
  <c r="AH112" i="2"/>
  <c r="AG112" i="2"/>
  <c r="AD112" i="2"/>
  <c r="V112" i="2"/>
  <c r="N112" i="2"/>
  <c r="ER111" i="2"/>
  <c r="EH111" i="2"/>
  <c r="DO111" i="2"/>
  <c r="CM111" i="2"/>
  <c r="CL111" i="2" a="1"/>
  <c r="CL111" i="2" s="1"/>
  <c r="CJ111" i="2"/>
  <c r="CB111" i="2"/>
  <c r="BV111" i="2"/>
  <c r="BS111" i="2"/>
  <c r="BE111" i="2"/>
  <c r="AM111" i="2" s="1"/>
  <c r="P111" i="2" s="1"/>
  <c r="BC111" i="2"/>
  <c r="AT111" i="2"/>
  <c r="AQ111" i="2"/>
  <c r="AL111" i="2"/>
  <c r="AH111" i="2"/>
  <c r="AI111" i="2" s="1"/>
  <c r="AG111" i="2"/>
  <c r="AD111" i="2"/>
  <c r="V111" i="2"/>
  <c r="N111" i="2"/>
  <c r="ER110" i="2"/>
  <c r="EH110" i="2"/>
  <c r="DO110" i="2"/>
  <c r="CM110" i="2"/>
  <c r="CL110" i="2" a="1"/>
  <c r="CL110" i="2" s="1"/>
  <c r="CJ110" i="2"/>
  <c r="CB110" i="2"/>
  <c r="BV110" i="2"/>
  <c r="BS110" i="2"/>
  <c r="BN110" i="2"/>
  <c r="BG110" i="2"/>
  <c r="BE110" i="2"/>
  <c r="BF110" i="2" s="1"/>
  <c r="BC110" i="2"/>
  <c r="AT110" i="2"/>
  <c r="AQ110" i="2"/>
  <c r="AL110" i="2"/>
  <c r="AH110" i="2"/>
  <c r="AI110" i="2" s="1"/>
  <c r="AG110" i="2"/>
  <c r="AD110" i="2"/>
  <c r="V110" i="2"/>
  <c r="N110" i="2"/>
  <c r="ER109" i="2"/>
  <c r="EH109" i="2"/>
  <c r="DO109" i="2"/>
  <c r="CM109" i="2"/>
  <c r="CL109" i="2" a="1"/>
  <c r="CL109" i="2" s="1"/>
  <c r="CJ109" i="2"/>
  <c r="CB109" i="2"/>
  <c r="BV109" i="2"/>
  <c r="BS109" i="2"/>
  <c r="BN109" i="2"/>
  <c r="BG109" i="2"/>
  <c r="BE109" i="2"/>
  <c r="BC109" i="2"/>
  <c r="AT109" i="2"/>
  <c r="AQ109" i="2"/>
  <c r="AL109" i="2"/>
  <c r="AH109" i="2"/>
  <c r="AG109" i="2"/>
  <c r="AD109" i="2"/>
  <c r="V109" i="2"/>
  <c r="N109" i="2"/>
  <c r="ER108" i="2"/>
  <c r="EH108" i="2"/>
  <c r="EI108" i="2" s="1"/>
  <c r="DO108" i="2"/>
  <c r="CM108" i="2"/>
  <c r="CL108" i="2" a="1"/>
  <c r="CL108" i="2" s="1"/>
  <c r="CJ108" i="2"/>
  <c r="CB108" i="2"/>
  <c r="BV108" i="2"/>
  <c r="BS108" i="2"/>
  <c r="BE108" i="2"/>
  <c r="AM108" i="2" s="1"/>
  <c r="P108" i="2" s="1"/>
  <c r="BC108" i="2"/>
  <c r="AT108" i="2"/>
  <c r="AQ108" i="2"/>
  <c r="AL108" i="2"/>
  <c r="AH108" i="2"/>
  <c r="AG108" i="2"/>
  <c r="AD108" i="2"/>
  <c r="V108" i="2"/>
  <c r="N108" i="2"/>
  <c r="ER107" i="2"/>
  <c r="EH107" i="2"/>
  <c r="DO107" i="2"/>
  <c r="CM107" i="2"/>
  <c r="CL107" i="2" a="1"/>
  <c r="CL107" i="2" s="1"/>
  <c r="CJ107" i="2"/>
  <c r="CB107" i="2"/>
  <c r="BV107" i="2"/>
  <c r="BS107" i="2"/>
  <c r="BN107" i="2"/>
  <c r="BE107" i="2"/>
  <c r="BC107" i="2"/>
  <c r="AT107" i="2"/>
  <c r="AQ107" i="2"/>
  <c r="AL107" i="2"/>
  <c r="AH107" i="2"/>
  <c r="AG107" i="2"/>
  <c r="AD107" i="2"/>
  <c r="V107" i="2"/>
  <c r="N107" i="2"/>
  <c r="ER106" i="2"/>
  <c r="EH106" i="2"/>
  <c r="DO106" i="2"/>
  <c r="CM106" i="2"/>
  <c r="CL106" i="2" a="1"/>
  <c r="CL106" i="2" s="1"/>
  <c r="CJ106" i="2"/>
  <c r="CB106" i="2"/>
  <c r="BV106" i="2"/>
  <c r="BS106" i="2"/>
  <c r="BN106" i="2"/>
  <c r="BE106" i="2"/>
  <c r="BC106" i="2"/>
  <c r="AZ106" i="2"/>
  <c r="AT106" i="2"/>
  <c r="AQ106" i="2"/>
  <c r="AL106" i="2"/>
  <c r="AH106" i="2"/>
  <c r="AG106" i="2"/>
  <c r="AD106" i="2"/>
  <c r="BG106" i="2" s="1"/>
  <c r="V106" i="2"/>
  <c r="N106" i="2"/>
  <c r="ER105" i="2"/>
  <c r="EK105" i="2"/>
  <c r="EH105" i="2"/>
  <c r="DO105" i="2"/>
  <c r="CM105" i="2"/>
  <c r="CL105" i="2" a="1"/>
  <c r="CL105" i="2" s="1"/>
  <c r="CJ105" i="2"/>
  <c r="CB105" i="2"/>
  <c r="BV105" i="2"/>
  <c r="BS105" i="2"/>
  <c r="BN105" i="2"/>
  <c r="BL105" i="2"/>
  <c r="BE105" i="2"/>
  <c r="BC105" i="2"/>
  <c r="AZ105" i="2"/>
  <c r="AT105" i="2"/>
  <c r="AQ105" i="2"/>
  <c r="AL105" i="2"/>
  <c r="AH105" i="2"/>
  <c r="AG105" i="2"/>
  <c r="AD105" i="2"/>
  <c r="V105" i="2"/>
  <c r="N105" i="2"/>
  <c r="ER104" i="2"/>
  <c r="EH104" i="2"/>
  <c r="DO104" i="2"/>
  <c r="CM104" i="2"/>
  <c r="CL104" i="2" a="1"/>
  <c r="CL104" i="2" s="1"/>
  <c r="CJ104" i="2"/>
  <c r="CB104" i="2"/>
  <c r="BV104" i="2"/>
  <c r="BS104" i="2"/>
  <c r="BN104" i="2"/>
  <c r="BE104" i="2"/>
  <c r="BC104" i="2"/>
  <c r="AZ104" i="2"/>
  <c r="AT104" i="2"/>
  <c r="AQ104" i="2"/>
  <c r="AL104" i="2"/>
  <c r="AH104" i="2"/>
  <c r="AG104" i="2"/>
  <c r="AD104" i="2"/>
  <c r="V104" i="2"/>
  <c r="N104" i="2"/>
  <c r="ER103" i="2"/>
  <c r="EH103" i="2"/>
  <c r="ET103" i="2" s="1"/>
  <c r="DO103" i="2"/>
  <c r="CM103" i="2"/>
  <c r="CL103" i="2" a="1"/>
  <c r="CL103" i="2" s="1"/>
  <c r="CJ103" i="2"/>
  <c r="CB103" i="2"/>
  <c r="BV103" i="2"/>
  <c r="BS103" i="2"/>
  <c r="BN103" i="2"/>
  <c r="BE103" i="2"/>
  <c r="CE103" i="2" s="1"/>
  <c r="BC103" i="2"/>
  <c r="AZ103" i="2"/>
  <c r="AT103" i="2"/>
  <c r="AQ103" i="2"/>
  <c r="AL103" i="2"/>
  <c r="AD103" i="2"/>
  <c r="V103" i="2"/>
  <c r="N103" i="2"/>
  <c r="ER102" i="2"/>
  <c r="EH102" i="2"/>
  <c r="DO102" i="2"/>
  <c r="CM102" i="2"/>
  <c r="CL102" i="2" a="1"/>
  <c r="CL102" i="2" s="1"/>
  <c r="CJ102" i="2"/>
  <c r="CB102" i="2"/>
  <c r="BV102" i="2"/>
  <c r="BS102" i="2"/>
  <c r="BN102" i="2"/>
  <c r="BE102" i="2"/>
  <c r="CE102" i="2" s="1"/>
  <c r="BC102" i="2"/>
  <c r="AT102" i="2"/>
  <c r="AQ102" i="2"/>
  <c r="AL102" i="2"/>
  <c r="AH102" i="2"/>
  <c r="AD102" i="2"/>
  <c r="V102" i="2"/>
  <c r="N102" i="2"/>
  <c r="ER101" i="2"/>
  <c r="EH101" i="2"/>
  <c r="DO101" i="2"/>
  <c r="CM101" i="2"/>
  <c r="CL101" i="2" a="1"/>
  <c r="CL101" i="2" s="1"/>
  <c r="CJ101" i="2"/>
  <c r="CB101" i="2"/>
  <c r="BV101" i="2"/>
  <c r="BS101" i="2"/>
  <c r="BN101" i="2"/>
  <c r="BG101" i="2"/>
  <c r="BE101" i="2"/>
  <c r="CE101" i="2" s="1"/>
  <c r="BC101" i="2"/>
  <c r="AT101" i="2"/>
  <c r="AQ101" i="2"/>
  <c r="AL101" i="2"/>
  <c r="AH101" i="2"/>
  <c r="AD101" i="2"/>
  <c r="AZ101" i="2" s="1"/>
  <c r="V101" i="2"/>
  <c r="N101" i="2"/>
  <c r="ER100" i="2"/>
  <c r="EH100" i="2"/>
  <c r="DO100" i="2"/>
  <c r="CM100" i="2"/>
  <c r="CL100" i="2" a="1"/>
  <c r="CL100" i="2" s="1"/>
  <c r="CJ100" i="2"/>
  <c r="CB100" i="2"/>
  <c r="BV100" i="2"/>
  <c r="BS100" i="2"/>
  <c r="BN100" i="2"/>
  <c r="BE100" i="2"/>
  <c r="AM100" i="2" s="1"/>
  <c r="BC100" i="2"/>
  <c r="AT100" i="2"/>
  <c r="AQ100" i="2"/>
  <c r="AL100" i="2"/>
  <c r="AH100" i="2"/>
  <c r="AD100" i="2"/>
  <c r="V100" i="2"/>
  <c r="N100" i="2"/>
  <c r="ER99" i="2"/>
  <c r="EH99" i="2"/>
  <c r="BJ99" i="2" s="1"/>
  <c r="DO99" i="2"/>
  <c r="CM99" i="2"/>
  <c r="CL99" i="2" a="1"/>
  <c r="CL99" i="2" s="1"/>
  <c r="CJ99" i="2"/>
  <c r="CB99" i="2"/>
  <c r="BV99" i="2"/>
  <c r="BS99" i="2"/>
  <c r="BN99" i="2"/>
  <c r="BG99" i="2"/>
  <c r="EK99" i="2" s="1"/>
  <c r="BE99" i="2"/>
  <c r="BC99" i="2"/>
  <c r="AT99" i="2"/>
  <c r="AQ99" i="2"/>
  <c r="AL99" i="2"/>
  <c r="AH99" i="2"/>
  <c r="AD99" i="2"/>
  <c r="AI99" i="2" s="1"/>
  <c r="V99" i="2"/>
  <c r="N99" i="2"/>
  <c r="ER98" i="2"/>
  <c r="EH98" i="2"/>
  <c r="EI98" i="2" s="1"/>
  <c r="DO98" i="2"/>
  <c r="CM98" i="2"/>
  <c r="CL98" i="2" a="1"/>
  <c r="CL98" i="2" s="1"/>
  <c r="CJ98" i="2"/>
  <c r="CB98" i="2"/>
  <c r="BV98" i="2"/>
  <c r="BS98" i="2"/>
  <c r="BN98" i="2"/>
  <c r="BE98" i="2"/>
  <c r="BC98" i="2"/>
  <c r="AZ98" i="2"/>
  <c r="AT98" i="2"/>
  <c r="AQ98" i="2"/>
  <c r="AL98" i="2"/>
  <c r="AH98" i="2"/>
  <c r="AD98" i="2"/>
  <c r="V98" i="2"/>
  <c r="N98" i="2"/>
  <c r="ER97" i="2"/>
  <c r="EH97" i="2"/>
  <c r="DO97" i="2"/>
  <c r="CM97" i="2"/>
  <c r="CL97" i="2" a="1"/>
  <c r="CL97" i="2" s="1"/>
  <c r="CJ97" i="2"/>
  <c r="CB97" i="2"/>
  <c r="BV97" i="2"/>
  <c r="BS97" i="2"/>
  <c r="BN97" i="2"/>
  <c r="BE97" i="2"/>
  <c r="AM97" i="2" s="1"/>
  <c r="BC97" i="2"/>
  <c r="AZ97" i="2"/>
  <c r="AT97" i="2"/>
  <c r="AQ97" i="2"/>
  <c r="AL97" i="2"/>
  <c r="AH97" i="2"/>
  <c r="AD97" i="2"/>
  <c r="V97" i="2"/>
  <c r="N97" i="2"/>
  <c r="ER96" i="2"/>
  <c r="EH96" i="2"/>
  <c r="DO96" i="2"/>
  <c r="CM96" i="2"/>
  <c r="CL96" i="2" a="1"/>
  <c r="CL96" i="2" s="1"/>
  <c r="CJ96" i="2"/>
  <c r="CB96" i="2"/>
  <c r="BV96" i="2"/>
  <c r="BS96" i="2"/>
  <c r="BE96" i="2"/>
  <c r="AM96" i="2" s="1"/>
  <c r="BC96" i="2"/>
  <c r="AZ96" i="2"/>
  <c r="AT96" i="2"/>
  <c r="AQ96" i="2"/>
  <c r="AL96" i="2"/>
  <c r="AH96" i="2"/>
  <c r="AG96" i="2"/>
  <c r="AD96" i="2"/>
  <c r="AI96" i="2" s="1"/>
  <c r="V96" i="2"/>
  <c r="N96" i="2"/>
  <c r="ER95" i="2"/>
  <c r="EH95" i="2"/>
  <c r="DO95" i="2"/>
  <c r="CM95" i="2"/>
  <c r="CL95" i="2" a="1"/>
  <c r="CL95" i="2" s="1"/>
  <c r="CJ95" i="2"/>
  <c r="CB95" i="2"/>
  <c r="BV95" i="2"/>
  <c r="BS95" i="2"/>
  <c r="BE95" i="2"/>
  <c r="BC95" i="2"/>
  <c r="AT95" i="2"/>
  <c r="AQ95" i="2"/>
  <c r="AL95" i="2"/>
  <c r="AH95" i="2"/>
  <c r="AG95" i="2"/>
  <c r="AD95" i="2"/>
  <c r="BG95" i="2" s="1"/>
  <c r="V95" i="2"/>
  <c r="N95" i="2"/>
  <c r="ER94" i="2"/>
  <c r="EH94" i="2"/>
  <c r="DO94" i="2"/>
  <c r="CM94" i="2"/>
  <c r="CL94" i="2" a="1"/>
  <c r="CL94" i="2" s="1"/>
  <c r="CJ94" i="2"/>
  <c r="CB94" i="2"/>
  <c r="BV94" i="2"/>
  <c r="BS94" i="2"/>
  <c r="BE94" i="2"/>
  <c r="BC94" i="2"/>
  <c r="AT94" i="2"/>
  <c r="AQ94" i="2"/>
  <c r="AL94" i="2"/>
  <c r="AH94" i="2"/>
  <c r="AG94" i="2"/>
  <c r="AD94" i="2"/>
  <c r="V94" i="2"/>
  <c r="N94" i="2"/>
  <c r="ER93" i="2"/>
  <c r="EK93" i="2"/>
  <c r="EH93" i="2"/>
  <c r="DO93" i="2"/>
  <c r="CM93" i="2"/>
  <c r="CL93" i="2" a="1"/>
  <c r="CL93" i="2" s="1"/>
  <c r="CJ93" i="2"/>
  <c r="CB93" i="2"/>
  <c r="BV93" i="2"/>
  <c r="BS93" i="2"/>
  <c r="BN93" i="2"/>
  <c r="BL93" i="2"/>
  <c r="DM93" i="2" s="1"/>
  <c r="DC93" i="2" s="1"/>
  <c r="BE93" i="2"/>
  <c r="BC93" i="2"/>
  <c r="AZ93" i="2"/>
  <c r="AT93" i="2"/>
  <c r="AQ93" i="2"/>
  <c r="AL93" i="2"/>
  <c r="AH93" i="2"/>
  <c r="AG93" i="2"/>
  <c r="AD93" i="2"/>
  <c r="V93" i="2"/>
  <c r="N93" i="2"/>
  <c r="ER92" i="2"/>
  <c r="EK92" i="2"/>
  <c r="EH92" i="2"/>
  <c r="DO92" i="2"/>
  <c r="CM92" i="2"/>
  <c r="CL92" i="2" a="1"/>
  <c r="CL92" i="2" s="1"/>
  <c r="CJ92" i="2"/>
  <c r="CB92" i="2"/>
  <c r="BV92" i="2"/>
  <c r="BS92" i="2"/>
  <c r="BN92" i="2"/>
  <c r="BL92" i="2"/>
  <c r="BQ92" i="2" s="1"/>
  <c r="BE92" i="2"/>
  <c r="AM92" i="2" s="1"/>
  <c r="BC92" i="2"/>
  <c r="AZ92" i="2"/>
  <c r="AT92" i="2"/>
  <c r="AQ92" i="2"/>
  <c r="AL92" i="2"/>
  <c r="AH92" i="2"/>
  <c r="AG92" i="2"/>
  <c r="AD92" i="2"/>
  <c r="V92" i="2"/>
  <c r="N92" i="2"/>
  <c r="ER91" i="2"/>
  <c r="EK91" i="2"/>
  <c r="EH91" i="2"/>
  <c r="DO91" i="2"/>
  <c r="CM91" i="2"/>
  <c r="CL91" i="2" a="1"/>
  <c r="CL91" i="2" s="1"/>
  <c r="CJ91" i="2"/>
  <c r="CB91" i="2"/>
  <c r="BV91" i="2"/>
  <c r="BS91" i="2"/>
  <c r="BN91" i="2"/>
  <c r="BL91" i="2"/>
  <c r="BQ91" i="2" s="1"/>
  <c r="BE91" i="2"/>
  <c r="AM91" i="2" s="1"/>
  <c r="CD91" i="2" s="1"/>
  <c r="BC91" i="2"/>
  <c r="AZ91" i="2"/>
  <c r="AT91" i="2"/>
  <c r="AQ91" i="2"/>
  <c r="AL91" i="2"/>
  <c r="AH91" i="2"/>
  <c r="AG91" i="2"/>
  <c r="AD91" i="2"/>
  <c r="V91" i="2"/>
  <c r="N91" i="2"/>
  <c r="ER90" i="2"/>
  <c r="EH90" i="2"/>
  <c r="DO90" i="2"/>
  <c r="CM90" i="2"/>
  <c r="CL90" i="2" a="1"/>
  <c r="CL90" i="2" s="1"/>
  <c r="CJ90" i="2"/>
  <c r="CB90" i="2"/>
  <c r="BV90" i="2"/>
  <c r="BS90" i="2"/>
  <c r="BE90" i="2"/>
  <c r="BF90" i="2" s="1"/>
  <c r="BC90" i="2"/>
  <c r="AT90" i="2"/>
  <c r="AQ90" i="2"/>
  <c r="AL90" i="2"/>
  <c r="AH90" i="2"/>
  <c r="AD90" i="2"/>
  <c r="V90" i="2"/>
  <c r="N90" i="2"/>
  <c r="ER89" i="2"/>
  <c r="EH89" i="2"/>
  <c r="DO89" i="2"/>
  <c r="CM89" i="2"/>
  <c r="CL89" i="2" a="1"/>
  <c r="CL89" i="2" s="1"/>
  <c r="CJ89" i="2"/>
  <c r="CB89" i="2"/>
  <c r="BV89" i="2"/>
  <c r="BS89" i="2"/>
  <c r="BE89" i="2"/>
  <c r="BC89" i="2"/>
  <c r="AT89" i="2"/>
  <c r="AQ89" i="2"/>
  <c r="AL89" i="2"/>
  <c r="AH89" i="2"/>
  <c r="AD89" i="2"/>
  <c r="V89" i="2"/>
  <c r="N89" i="2"/>
  <c r="ER88" i="2"/>
  <c r="EH88" i="2"/>
  <c r="DO88" i="2"/>
  <c r="CM88" i="2"/>
  <c r="CL88" i="2" a="1"/>
  <c r="CL88" i="2" s="1"/>
  <c r="CJ88" i="2"/>
  <c r="CB88" i="2"/>
  <c r="BV88" i="2"/>
  <c r="BS88" i="2"/>
  <c r="BE88" i="2"/>
  <c r="CE88" i="2" s="1"/>
  <c r="BC88" i="2"/>
  <c r="AT88" i="2"/>
  <c r="AQ88" i="2"/>
  <c r="AL88" i="2"/>
  <c r="AH88" i="2"/>
  <c r="AD88" i="2"/>
  <c r="V88" i="2"/>
  <c r="N88" i="2"/>
  <c r="ER87" i="2"/>
  <c r="EH87" i="2"/>
  <c r="DO87" i="2"/>
  <c r="CM87" i="2"/>
  <c r="CL87" i="2" a="1"/>
  <c r="CL87" i="2" s="1"/>
  <c r="CJ87" i="2"/>
  <c r="CB87" i="2"/>
  <c r="BV87" i="2"/>
  <c r="BS87" i="2"/>
  <c r="BE87" i="2"/>
  <c r="BC87" i="2"/>
  <c r="AZ87" i="2"/>
  <c r="CG87" i="2" s="1"/>
  <c r="AT87" i="2"/>
  <c r="AQ87" i="2"/>
  <c r="AL87" i="2"/>
  <c r="AH87" i="2"/>
  <c r="AD87" i="2"/>
  <c r="BG87" i="2" s="1"/>
  <c r="EK87" i="2" s="1"/>
  <c r="V87" i="2"/>
  <c r="N87" i="2"/>
  <c r="ER86" i="2"/>
  <c r="EH86" i="2"/>
  <c r="DO86" i="2"/>
  <c r="CM86" i="2"/>
  <c r="CL86" i="2" a="1"/>
  <c r="CL86" i="2" s="1"/>
  <c r="CJ86" i="2"/>
  <c r="CB86" i="2"/>
  <c r="BV86" i="2"/>
  <c r="BS86" i="2"/>
  <c r="BE86" i="2"/>
  <c r="BC86" i="2"/>
  <c r="AT86" i="2"/>
  <c r="AQ86" i="2"/>
  <c r="AL86" i="2"/>
  <c r="AH86" i="2"/>
  <c r="AD86" i="2"/>
  <c r="BG86" i="2" s="1"/>
  <c r="V86" i="2"/>
  <c r="N86" i="2"/>
  <c r="ER85" i="2"/>
  <c r="EH85" i="2"/>
  <c r="DO85" i="2"/>
  <c r="CM85" i="2"/>
  <c r="CL85" i="2" a="1"/>
  <c r="CL85" i="2" s="1"/>
  <c r="CJ85" i="2"/>
  <c r="CB85" i="2"/>
  <c r="BV85" i="2"/>
  <c r="BS85" i="2"/>
  <c r="BN85" i="2"/>
  <c r="BE85" i="2"/>
  <c r="BC85" i="2"/>
  <c r="AZ85" i="2"/>
  <c r="AT85" i="2"/>
  <c r="AQ85" i="2"/>
  <c r="AL85" i="2"/>
  <c r="AH85" i="2"/>
  <c r="AG85" i="2"/>
  <c r="AD85" i="2"/>
  <c r="V85" i="2"/>
  <c r="N85" i="2"/>
  <c r="ER84" i="2"/>
  <c r="EH84" i="2"/>
  <c r="BJ84" i="2" s="1"/>
  <c r="DO84" i="2"/>
  <c r="CM84" i="2"/>
  <c r="CL84" i="2" a="1"/>
  <c r="CL84" i="2" s="1"/>
  <c r="CJ84" i="2"/>
  <c r="CB84" i="2"/>
  <c r="BV84" i="2"/>
  <c r="BS84" i="2"/>
  <c r="BN84" i="2"/>
  <c r="BE84" i="2"/>
  <c r="AM84" i="2" s="1"/>
  <c r="CK84" i="2" s="1"/>
  <c r="BC84" i="2"/>
  <c r="AZ84" i="2"/>
  <c r="AT84" i="2"/>
  <c r="AQ84" i="2"/>
  <c r="AL84" i="2"/>
  <c r="AH84" i="2"/>
  <c r="AG84" i="2"/>
  <c r="AD84" i="2"/>
  <c r="BG84" i="2" s="1"/>
  <c r="EM84" i="2" s="1"/>
  <c r="EN84" i="2" s="1"/>
  <c r="V84" i="2"/>
  <c r="N84" i="2"/>
  <c r="ER83" i="2"/>
  <c r="EH83" i="2"/>
  <c r="DO83" i="2"/>
  <c r="CM83" i="2"/>
  <c r="CL83" i="2" a="1"/>
  <c r="CL83" i="2" s="1"/>
  <c r="CJ83" i="2"/>
  <c r="CB83" i="2"/>
  <c r="BV83" i="2"/>
  <c r="BS83" i="2"/>
  <c r="BN83" i="2"/>
  <c r="BE83" i="2"/>
  <c r="BC83" i="2"/>
  <c r="AZ83" i="2"/>
  <c r="AT83" i="2"/>
  <c r="AQ83" i="2"/>
  <c r="AL83" i="2"/>
  <c r="AH83" i="2"/>
  <c r="AG83" i="2"/>
  <c r="AD83" i="2"/>
  <c r="V83" i="2"/>
  <c r="N83" i="2"/>
  <c r="ER81" i="2"/>
  <c r="EH81" i="2"/>
  <c r="ET81" i="2" s="1"/>
  <c r="DO81" i="2"/>
  <c r="CM81" i="2"/>
  <c r="CL81" i="2" a="1"/>
  <c r="CL81" i="2" s="1"/>
  <c r="CJ81" i="2"/>
  <c r="CB81" i="2"/>
  <c r="BV81" i="2"/>
  <c r="BS81" i="2"/>
  <c r="BE81" i="2"/>
  <c r="BC81" i="2"/>
  <c r="AT81" i="2"/>
  <c r="AQ81" i="2"/>
  <c r="AL81" i="2"/>
  <c r="AH81" i="2"/>
  <c r="AG81" i="2"/>
  <c r="AD81" i="2"/>
  <c r="V81" i="2"/>
  <c r="N81" i="2"/>
  <c r="ER80" i="2"/>
  <c r="EK80" i="2"/>
  <c r="EH80" i="2"/>
  <c r="DO80" i="2"/>
  <c r="CM80" i="2"/>
  <c r="CL80" i="2" a="1"/>
  <c r="CL80" i="2" s="1"/>
  <c r="CJ80" i="2"/>
  <c r="CB80" i="2"/>
  <c r="BV80" i="2"/>
  <c r="BS80" i="2"/>
  <c r="BN80" i="2"/>
  <c r="DW80" i="2" s="1"/>
  <c r="BL80" i="2"/>
  <c r="BE80" i="2"/>
  <c r="CE80" i="2" s="1"/>
  <c r="BC80" i="2"/>
  <c r="AT80" i="2"/>
  <c r="AQ80" i="2"/>
  <c r="AL80" i="2"/>
  <c r="AH80" i="2"/>
  <c r="AG80" i="2"/>
  <c r="AZ80" i="2" s="1"/>
  <c r="AD80" i="2"/>
  <c r="V80" i="2"/>
  <c r="N80" i="2"/>
  <c r="ER79" i="2"/>
  <c r="EH79" i="2"/>
  <c r="DO79" i="2"/>
  <c r="CM79" i="2"/>
  <c r="CL79" i="2" a="1"/>
  <c r="CL79" i="2" s="1"/>
  <c r="CJ79" i="2"/>
  <c r="CB79" i="2"/>
  <c r="BV79" i="2"/>
  <c r="BW79" i="2" s="1"/>
  <c r="BS79" i="2"/>
  <c r="BN79" i="2"/>
  <c r="BE79" i="2"/>
  <c r="CE79" i="2"/>
  <c r="BC79" i="2"/>
  <c r="AZ79" i="2"/>
  <c r="AT79" i="2"/>
  <c r="AQ79" i="2"/>
  <c r="AR79" i="2" s="1" a="1"/>
  <c r="AR79" i="2" s="1"/>
  <c r="AU79" i="2" s="1"/>
  <c r="CN79" i="2" s="1"/>
  <c r="AL79" i="2"/>
  <c r="AH79" i="2"/>
  <c r="AG79" i="2"/>
  <c r="AD79" i="2"/>
  <c r="BG79" i="2" s="1"/>
  <c r="V79" i="2"/>
  <c r="N79" i="2"/>
  <c r="ER78" i="2"/>
  <c r="EH78" i="2"/>
  <c r="DO78" i="2"/>
  <c r="CM78" i="2"/>
  <c r="CL78" i="2" a="1"/>
  <c r="CL78" i="2"/>
  <c r="CJ78" i="2"/>
  <c r="CB78" i="2"/>
  <c r="BV78" i="2"/>
  <c r="BS78" i="2"/>
  <c r="BN78" i="2"/>
  <c r="BE78" i="2"/>
  <c r="BC78" i="2"/>
  <c r="AZ78" i="2"/>
  <c r="AT78" i="2"/>
  <c r="AQ78" i="2"/>
  <c r="AL78" i="2"/>
  <c r="AH78" i="2"/>
  <c r="AG78" i="2"/>
  <c r="AD78" i="2"/>
  <c r="BG78" i="2" s="1"/>
  <c r="BL78" i="2" s="1"/>
  <c r="V78" i="2"/>
  <c r="N78" i="2"/>
  <c r="ER77" i="2"/>
  <c r="EH77" i="2"/>
  <c r="DO77" i="2"/>
  <c r="CM77" i="2"/>
  <c r="CL77" i="2" a="1"/>
  <c r="CL77" i="2" s="1"/>
  <c r="CJ77" i="2"/>
  <c r="CB77" i="2"/>
  <c r="BV77" i="2"/>
  <c r="BS77" i="2"/>
  <c r="BN77" i="2"/>
  <c r="BE77" i="2"/>
  <c r="BC77" i="2"/>
  <c r="AY77" i="2"/>
  <c r="AT77" i="2"/>
  <c r="AQ77" i="2"/>
  <c r="AL77" i="2"/>
  <c r="AH77" i="2"/>
  <c r="AG77" i="2"/>
  <c r="AD77" i="2"/>
  <c r="V77" i="2"/>
  <c r="N77" i="2"/>
  <c r="ER76" i="2"/>
  <c r="EH76" i="2"/>
  <c r="DO76" i="2"/>
  <c r="CM76" i="2"/>
  <c r="CL76" i="2" a="1"/>
  <c r="CL76" i="2" s="1"/>
  <c r="CJ76" i="2"/>
  <c r="CB76" i="2"/>
  <c r="BV76" i="2"/>
  <c r="BS76" i="2"/>
  <c r="BM76" i="2"/>
  <c r="BN76" i="2" s="1"/>
  <c r="BE76" i="2"/>
  <c r="BC76" i="2"/>
  <c r="AT76" i="2"/>
  <c r="AL76" i="2"/>
  <c r="AH76" i="2"/>
  <c r="AG76" i="2"/>
  <c r="AD76" i="2"/>
  <c r="V76" i="2"/>
  <c r="N76" i="2"/>
  <c r="ER75" i="2"/>
  <c r="EH75" i="2"/>
  <c r="DO75" i="2"/>
  <c r="CM75" i="2"/>
  <c r="CL75" i="2" a="1"/>
  <c r="CL75" i="2" s="1"/>
  <c r="CJ75" i="2"/>
  <c r="CB75" i="2"/>
  <c r="BV75" i="2"/>
  <c r="BS75" i="2"/>
  <c r="BM75" i="2"/>
  <c r="BN75" i="2" s="1"/>
  <c r="BE75" i="2"/>
  <c r="AM75" i="2" s="1"/>
  <c r="BC75" i="2"/>
  <c r="AZ75" i="2"/>
  <c r="AT75" i="2"/>
  <c r="AL75" i="2"/>
  <c r="AH75" i="2"/>
  <c r="AG75" i="2"/>
  <c r="AI75" i="2" s="1"/>
  <c r="AD75" i="2"/>
  <c r="V75" i="2"/>
  <c r="N75" i="2"/>
  <c r="ER74" i="2"/>
  <c r="EH74" i="2"/>
  <c r="DO74" i="2"/>
  <c r="CM74" i="2"/>
  <c r="CL74" i="2" a="1"/>
  <c r="CL74" i="2" s="1"/>
  <c r="CJ74" i="2"/>
  <c r="CB74" i="2"/>
  <c r="BV74" i="2"/>
  <c r="BS74" i="2"/>
  <c r="BN74" i="2"/>
  <c r="BE74" i="2"/>
  <c r="BC74" i="2"/>
  <c r="AZ74" i="2"/>
  <c r="AT74" i="2"/>
  <c r="AQ74" i="2"/>
  <c r="AL74" i="2"/>
  <c r="AH74" i="2"/>
  <c r="AG74" i="2"/>
  <c r="AD74" i="2"/>
  <c r="V74" i="2"/>
  <c r="N74" i="2"/>
  <c r="ER73" i="2"/>
  <c r="EH73" i="2"/>
  <c r="DO73" i="2"/>
  <c r="CM73" i="2"/>
  <c r="CL73" i="2" a="1"/>
  <c r="CL73" i="2" s="1"/>
  <c r="CJ73" i="2"/>
  <c r="CB73" i="2"/>
  <c r="BV73" i="2"/>
  <c r="BS73" i="2"/>
  <c r="BN73" i="2"/>
  <c r="BE73" i="2"/>
  <c r="AM73" i="2" s="1"/>
  <c r="CK73" i="2" s="1"/>
  <c r="BC73" i="2"/>
  <c r="AZ73" i="2"/>
  <c r="AT73" i="2"/>
  <c r="AQ73" i="2"/>
  <c r="AL73" i="2"/>
  <c r="AR73" i="2" s="1" a="1"/>
  <c r="AH73" i="2"/>
  <c r="AG73" i="2"/>
  <c r="AD73" i="2"/>
  <c r="V73" i="2"/>
  <c r="N73" i="2"/>
  <c r="ER72" i="2"/>
  <c r="EH72" i="2"/>
  <c r="DO72" i="2"/>
  <c r="CM72" i="2"/>
  <c r="CL72" i="2" a="1"/>
  <c r="CL72" i="2" s="1"/>
  <c r="CJ72" i="2"/>
  <c r="CB72" i="2"/>
  <c r="BV72" i="2"/>
  <c r="BS72" i="2"/>
  <c r="BN72" i="2"/>
  <c r="BE72" i="2"/>
  <c r="AM72" i="2" s="1"/>
  <c r="P72" i="2" s="1"/>
  <c r="A72" i="2" s="1"/>
  <c r="AT72" i="2"/>
  <c r="AQ72" i="2"/>
  <c r="AL72" i="2"/>
  <c r="AH72" i="2"/>
  <c r="AG72" i="2"/>
  <c r="BC72" i="2" s="1"/>
  <c r="AD72" i="2"/>
  <c r="BG72" i="2" s="1"/>
  <c r="V72" i="2"/>
  <c r="N72" i="2"/>
  <c r="ER71" i="2"/>
  <c r="EH71" i="2"/>
  <c r="DO71" i="2"/>
  <c r="CM71" i="2"/>
  <c r="CL71" i="2" a="1"/>
  <c r="CL71" i="2" s="1"/>
  <c r="CJ71" i="2"/>
  <c r="CB71" i="2"/>
  <c r="BV71" i="2"/>
  <c r="BS71" i="2"/>
  <c r="BN71" i="2"/>
  <c r="BM71" i="2"/>
  <c r="BE71" i="2"/>
  <c r="AT71" i="2"/>
  <c r="AQ71" i="2"/>
  <c r="AL71" i="2"/>
  <c r="AD71" i="2"/>
  <c r="AI71" i="2" s="1"/>
  <c r="V71" i="2"/>
  <c r="N71" i="2"/>
  <c r="ER70" i="2"/>
  <c r="EH70" i="2"/>
  <c r="DO70" i="2"/>
  <c r="CM70" i="2"/>
  <c r="CL70" i="2" a="1"/>
  <c r="CL70" i="2" s="1"/>
  <c r="CJ70" i="2"/>
  <c r="CB70" i="2"/>
  <c r="BV70" i="2"/>
  <c r="BS70" i="2"/>
  <c r="BN70" i="2"/>
  <c r="BM70" i="2"/>
  <c r="BE70" i="2"/>
  <c r="AM70" i="2" s="1"/>
  <c r="AT70" i="2"/>
  <c r="AQ70" i="2"/>
  <c r="AL70" i="2"/>
  <c r="AD70" i="2"/>
  <c r="BG70" i="2" s="1"/>
  <c r="V70" i="2"/>
  <c r="N70" i="2"/>
  <c r="ER69" i="2"/>
  <c r="EH69" i="2"/>
  <c r="DO69" i="2"/>
  <c r="CM69" i="2"/>
  <c r="CL69" i="2" a="1"/>
  <c r="CL69" i="2" s="1"/>
  <c r="CJ69" i="2"/>
  <c r="CB69" i="2"/>
  <c r="BV69" i="2"/>
  <c r="BS69" i="2"/>
  <c r="BN69" i="2"/>
  <c r="BM69" i="2"/>
  <c r="BE69" i="2"/>
  <c r="AM69" i="2" s="1"/>
  <c r="AT69" i="2"/>
  <c r="AP69" i="2"/>
  <c r="AQ69" i="2" s="1"/>
  <c r="AL69" i="2"/>
  <c r="AD69" i="2"/>
  <c r="V69" i="2"/>
  <c r="N69" i="2"/>
  <c r="ER68" i="2"/>
  <c r="EH68" i="2"/>
  <c r="DO68" i="2"/>
  <c r="CM68" i="2"/>
  <c r="CL68" i="2" a="1"/>
  <c r="CL68" i="2" s="1"/>
  <c r="CJ68" i="2"/>
  <c r="CB68" i="2"/>
  <c r="BV68" i="2"/>
  <c r="BS68" i="2"/>
  <c r="BN68" i="2"/>
  <c r="BM68" i="2"/>
  <c r="BE68" i="2"/>
  <c r="CE68" i="2" s="1"/>
  <c r="AT68" i="2"/>
  <c r="AP68" i="2"/>
  <c r="AQ68" i="2" s="1"/>
  <c r="AL68" i="2"/>
  <c r="AD68" i="2"/>
  <c r="V68" i="2"/>
  <c r="N68" i="2"/>
  <c r="ER67" i="2"/>
  <c r="EH67" i="2"/>
  <c r="DO67" i="2"/>
  <c r="CM67" i="2"/>
  <c r="CL67" i="2" a="1"/>
  <c r="CL67" i="2" s="1"/>
  <c r="CJ67" i="2"/>
  <c r="CB67" i="2"/>
  <c r="BV67" i="2"/>
  <c r="BS67" i="2"/>
  <c r="BN67" i="2"/>
  <c r="BE67" i="2"/>
  <c r="BC67" i="2"/>
  <c r="AY67" i="2"/>
  <c r="AT67" i="2"/>
  <c r="AQ67" i="2"/>
  <c r="AL67" i="2"/>
  <c r="AH67" i="2"/>
  <c r="AG67" i="2"/>
  <c r="AD67" i="2"/>
  <c r="V67" i="2"/>
  <c r="N67" i="2"/>
  <c r="ER66" i="2"/>
  <c r="EH66" i="2"/>
  <c r="DO66" i="2"/>
  <c r="CM66" i="2"/>
  <c r="CL66" i="2" a="1"/>
  <c r="CL66" i="2" s="1"/>
  <c r="CJ66" i="2"/>
  <c r="CB66" i="2"/>
  <c r="BV66" i="2"/>
  <c r="BS66" i="2"/>
  <c r="BE66" i="2"/>
  <c r="BC66" i="2"/>
  <c r="AZ66" i="2"/>
  <c r="AT66" i="2"/>
  <c r="AQ66" i="2"/>
  <c r="AL66" i="2"/>
  <c r="AH66" i="2"/>
  <c r="AG66" i="2"/>
  <c r="AD66" i="2"/>
  <c r="V66" i="2"/>
  <c r="N66" i="2"/>
  <c r="ER65" i="2"/>
  <c r="EH65" i="2"/>
  <c r="DO65" i="2"/>
  <c r="CM65" i="2"/>
  <c r="CL65" i="2" a="1"/>
  <c r="CL65" i="2" s="1"/>
  <c r="CJ65" i="2"/>
  <c r="CB65" i="2"/>
  <c r="BV65" i="2"/>
  <c r="BS65" i="2"/>
  <c r="BE65" i="2"/>
  <c r="CE65" i="2" s="1"/>
  <c r="BC65" i="2"/>
  <c r="AZ65" i="2"/>
  <c r="AT65" i="2"/>
  <c r="AP65" i="2"/>
  <c r="AQ65" i="2" s="1"/>
  <c r="AL65" i="2"/>
  <c r="AH65" i="2"/>
  <c r="AG65" i="2"/>
  <c r="AD65" i="2"/>
  <c r="BG65" i="2" s="1"/>
  <c r="V65" i="2"/>
  <c r="N65" i="2"/>
  <c r="ER64" i="2"/>
  <c r="EH64" i="2"/>
  <c r="DO64" i="2"/>
  <c r="CM64" i="2"/>
  <c r="CL64" i="2" a="1"/>
  <c r="CL64" i="2" s="1"/>
  <c r="CJ64" i="2"/>
  <c r="CB64" i="2"/>
  <c r="BV64" i="2"/>
  <c r="BS64" i="2"/>
  <c r="BE64" i="2"/>
  <c r="CE64" i="2" s="1"/>
  <c r="BC64" i="2"/>
  <c r="AZ64" i="2"/>
  <c r="AT64" i="2"/>
  <c r="AQ64" i="2"/>
  <c r="AL64" i="2"/>
  <c r="AH64" i="2"/>
  <c r="AG64" i="2"/>
  <c r="AD64" i="2"/>
  <c r="V64" i="2"/>
  <c r="N64" i="2"/>
  <c r="ER63" i="2"/>
  <c r="EH63" i="2"/>
  <c r="DO63" i="2"/>
  <c r="CM63" i="2"/>
  <c r="CL63" i="2" a="1"/>
  <c r="CL63" i="2" s="1"/>
  <c r="CJ63" i="2"/>
  <c r="CB63" i="2"/>
  <c r="BV63" i="2"/>
  <c r="BS63" i="2"/>
  <c r="BE63" i="2"/>
  <c r="AM63" i="2" s="1"/>
  <c r="CH63" i="2" s="1"/>
  <c r="CC63" i="2" s="1"/>
  <c r="BC63" i="2"/>
  <c r="AZ63" i="2"/>
  <c r="AT63" i="2"/>
  <c r="AQ63" i="2"/>
  <c r="AL63" i="2"/>
  <c r="AR63" i="2" s="1" a="1"/>
  <c r="AR63" i="2" s="1"/>
  <c r="AU63" i="2" s="1"/>
  <c r="AH63" i="2"/>
  <c r="AG63" i="2"/>
  <c r="AD63" i="2"/>
  <c r="BF63" i="2" s="1"/>
  <c r="CG63" i="2" s="1"/>
  <c r="V63" i="2"/>
  <c r="N63" i="2"/>
  <c r="ER62" i="2"/>
  <c r="EH62" i="2"/>
  <c r="DO62" i="2"/>
  <c r="CO62" i="2"/>
  <c r="CM62" i="2"/>
  <c r="CL62" i="2" a="1"/>
  <c r="CL62" i="2" s="1"/>
  <c r="CJ62" i="2"/>
  <c r="CB62" i="2"/>
  <c r="BV62" i="2"/>
  <c r="BS62" i="2"/>
  <c r="BM62" i="2"/>
  <c r="BN62" i="2" s="1"/>
  <c r="BE62" i="2"/>
  <c r="AM62" i="2" s="1"/>
  <c r="AT62" i="2"/>
  <c r="AQ62" i="2"/>
  <c r="AL62" i="2"/>
  <c r="AD62" i="2"/>
  <c r="V62" i="2"/>
  <c r="N62" i="2"/>
  <c r="ER61" i="2"/>
  <c r="EH61" i="2"/>
  <c r="DO61" i="2"/>
  <c r="CO61" i="2"/>
  <c r="CM61" i="2"/>
  <c r="CL61" i="2" a="1"/>
  <c r="CL61" i="2" s="1"/>
  <c r="CJ61" i="2"/>
  <c r="CB61" i="2"/>
  <c r="BV61" i="2"/>
  <c r="BS61" i="2"/>
  <c r="BM61" i="2"/>
  <c r="BN61" i="2" s="1"/>
  <c r="BE61" i="2"/>
  <c r="CE61" i="2" s="1"/>
  <c r="AT61" i="2"/>
  <c r="AQ61" i="2"/>
  <c r="AL61" i="2"/>
  <c r="AD61" i="2"/>
  <c r="BC61" i="2" s="1"/>
  <c r="V61" i="2"/>
  <c r="N61" i="2"/>
  <c r="ER60" i="2"/>
  <c r="EH60" i="2"/>
  <c r="ET60" i="2" s="1"/>
  <c r="DO60" i="2"/>
  <c r="CO60" i="2"/>
  <c r="CM60" i="2"/>
  <c r="CL60" i="2" a="1"/>
  <c r="CL60" i="2" s="1"/>
  <c r="CJ60" i="2"/>
  <c r="CB60" i="2"/>
  <c r="BV60" i="2"/>
  <c r="BS60" i="2"/>
  <c r="BM60" i="2"/>
  <c r="BN60" i="2" s="1"/>
  <c r="BE60" i="2"/>
  <c r="AT60" i="2"/>
  <c r="AQ60" i="2"/>
  <c r="AL60" i="2"/>
  <c r="AD60" i="2"/>
  <c r="V60" i="2"/>
  <c r="N60" i="2"/>
  <c r="ER59" i="2"/>
  <c r="EH59" i="2"/>
  <c r="DO59" i="2"/>
  <c r="CO59" i="2"/>
  <c r="CM59" i="2"/>
  <c r="CL59" i="2" a="1"/>
  <c r="CL59" i="2" s="1"/>
  <c r="CJ59" i="2"/>
  <c r="CB59" i="2"/>
  <c r="BV59" i="2"/>
  <c r="BS59" i="2"/>
  <c r="BM59" i="2"/>
  <c r="BN59" i="2" s="1"/>
  <c r="BE59" i="2"/>
  <c r="AM59" i="2" s="1"/>
  <c r="AT59" i="2"/>
  <c r="AQ59" i="2"/>
  <c r="AR59" i="2" s="1" a="1"/>
  <c r="AR59" i="2" s="1"/>
  <c r="AL59" i="2"/>
  <c r="AD59" i="2"/>
  <c r="V59" i="2"/>
  <c r="N59" i="2"/>
  <c r="ER58" i="2"/>
  <c r="EH58" i="2"/>
  <c r="DO58" i="2"/>
  <c r="CO58" i="2"/>
  <c r="CM58" i="2"/>
  <c r="CL58" i="2" a="1"/>
  <c r="CL58" i="2" s="1"/>
  <c r="CJ58" i="2"/>
  <c r="CB58" i="2"/>
  <c r="BV58" i="2"/>
  <c r="BS58" i="2"/>
  <c r="BM58" i="2"/>
  <c r="BN58" i="2" s="1"/>
  <c r="BE58" i="2"/>
  <c r="AT58" i="2"/>
  <c r="AP58" i="2"/>
  <c r="AO58" i="2"/>
  <c r="AL58" i="2"/>
  <c r="AD58" i="2"/>
  <c r="V58" i="2"/>
  <c r="N58" i="2"/>
  <c r="ER57" i="2"/>
  <c r="EH57" i="2"/>
  <c r="DO57" i="2"/>
  <c r="CO57" i="2"/>
  <c r="CM57" i="2"/>
  <c r="CL57" i="2" a="1"/>
  <c r="CL57" i="2" s="1"/>
  <c r="CJ57" i="2"/>
  <c r="CB57" i="2"/>
  <c r="BV57" i="2"/>
  <c r="BS57" i="2"/>
  <c r="BN57" i="2"/>
  <c r="BE57" i="2"/>
  <c r="AT57" i="2"/>
  <c r="AQ57" i="2"/>
  <c r="AL57" i="2"/>
  <c r="AD57" i="2"/>
  <c r="V57" i="2"/>
  <c r="N57" i="2"/>
  <c r="ER56" i="2"/>
  <c r="EH56" i="2"/>
  <c r="DO56" i="2"/>
  <c r="CO56" i="2"/>
  <c r="CM56" i="2"/>
  <c r="CL56" i="2" a="1"/>
  <c r="CL56" i="2" s="1"/>
  <c r="CJ56" i="2"/>
  <c r="CB56" i="2"/>
  <c r="BV56" i="2"/>
  <c r="BS56" i="2"/>
  <c r="BM56" i="2"/>
  <c r="BN56" i="2" s="1"/>
  <c r="BE56" i="2"/>
  <c r="AM56" i="2" s="1"/>
  <c r="AT56" i="2"/>
  <c r="AP56" i="2"/>
  <c r="AO56" i="2"/>
  <c r="AL56" i="2"/>
  <c r="AD56" i="2"/>
  <c r="AI56" i="2" s="1"/>
  <c r="V56" i="2"/>
  <c r="N56" i="2"/>
  <c r="ER55" i="2"/>
  <c r="EH55" i="2"/>
  <c r="ES55" i="2" s="1"/>
  <c r="DO55" i="2"/>
  <c r="CO55" i="2"/>
  <c r="CM55" i="2"/>
  <c r="CL55" i="2" a="1"/>
  <c r="CL55" i="2" s="1"/>
  <c r="CJ55" i="2"/>
  <c r="CB55" i="2"/>
  <c r="BV55" i="2"/>
  <c r="BS55" i="2"/>
  <c r="BN55" i="2"/>
  <c r="BM55" i="2"/>
  <c r="BE55" i="2"/>
  <c r="AM55" i="2" s="1"/>
  <c r="CH55" i="2" s="1"/>
  <c r="CC55" i="2" s="1"/>
  <c r="AT55" i="2"/>
  <c r="AQ55" i="2"/>
  <c r="AL55" i="2"/>
  <c r="AD55" i="2"/>
  <c r="BC55" i="2" s="1"/>
  <c r="AI55" i="2"/>
  <c r="V55" i="2"/>
  <c r="N55" i="2"/>
  <c r="ER54" i="2"/>
  <c r="EH54" i="2"/>
  <c r="BJ54" i="2" s="1"/>
  <c r="DO54" i="2"/>
  <c r="CO54" i="2"/>
  <c r="CM54" i="2"/>
  <c r="CL54" i="2" a="1"/>
  <c r="CL54" i="2" s="1"/>
  <c r="CJ54" i="2"/>
  <c r="CB54" i="2"/>
  <c r="BV54" i="2"/>
  <c r="BS54" i="2"/>
  <c r="BN54" i="2"/>
  <c r="BM54" i="2"/>
  <c r="BE54" i="2"/>
  <c r="AT54" i="2"/>
  <c r="AQ54" i="2"/>
  <c r="AL54" i="2"/>
  <c r="AD54" i="2"/>
  <c r="AI54" i="2" s="1"/>
  <c r="V54" i="2"/>
  <c r="N54" i="2"/>
  <c r="ER53" i="2"/>
  <c r="EH53" i="2"/>
  <c r="DO53" i="2"/>
  <c r="CM53" i="2"/>
  <c r="CL53" i="2" a="1"/>
  <c r="CL53" i="2" s="1"/>
  <c r="CJ53" i="2"/>
  <c r="CB53" i="2"/>
  <c r="BV53" i="2"/>
  <c r="BS53" i="2"/>
  <c r="BM53" i="2"/>
  <c r="BN53" i="2" s="1"/>
  <c r="BE53" i="2"/>
  <c r="AM53" i="2" s="1"/>
  <c r="P53" i="2" s="1"/>
  <c r="AT53" i="2"/>
  <c r="AQ53" i="2"/>
  <c r="AL53" i="2"/>
  <c r="AD53" i="2"/>
  <c r="AZ53" i="2" s="1"/>
  <c r="V53" i="2"/>
  <c r="N53" i="2"/>
  <c r="ER52" i="2"/>
  <c r="EH52" i="2"/>
  <c r="DO52" i="2"/>
  <c r="CO52" i="2"/>
  <c r="CM52" i="2"/>
  <c r="CL52" i="2" a="1"/>
  <c r="CL52" i="2" s="1"/>
  <c r="CJ52" i="2"/>
  <c r="CB52" i="2"/>
  <c r="BV52" i="2"/>
  <c r="BS52" i="2"/>
  <c r="BN52" i="2"/>
  <c r="BM52" i="2"/>
  <c r="BE52" i="2"/>
  <c r="AM52" i="2" s="1"/>
  <c r="AT52" i="2"/>
  <c r="AQ52" i="2"/>
  <c r="AL52" i="2"/>
  <c r="AD52" i="2"/>
  <c r="V52" i="2"/>
  <c r="N52" i="2"/>
  <c r="ER51" i="2"/>
  <c r="EH51" i="2"/>
  <c r="ET51" i="2" s="1"/>
  <c r="DO51" i="2"/>
  <c r="CM51" i="2"/>
  <c r="CL51" i="2" a="1"/>
  <c r="CL51" i="2"/>
  <c r="CJ51" i="2"/>
  <c r="CB51" i="2"/>
  <c r="BV51" i="2"/>
  <c r="BS51" i="2"/>
  <c r="BE51" i="2"/>
  <c r="AM51" i="2" s="1"/>
  <c r="BW51" i="2" s="1"/>
  <c r="AT51" i="2"/>
  <c r="AQ51" i="2"/>
  <c r="AL51" i="2"/>
  <c r="AD51" i="2"/>
  <c r="BC51" i="2" s="1"/>
  <c r="V51" i="2"/>
  <c r="N51" i="2"/>
  <c r="ER50" i="2"/>
  <c r="EH50" i="2"/>
  <c r="DO50" i="2"/>
  <c r="CM50" i="2"/>
  <c r="CL50" i="2" a="1"/>
  <c r="CL50" i="2" s="1"/>
  <c r="CJ50" i="2"/>
  <c r="CB50" i="2"/>
  <c r="BV50" i="2"/>
  <c r="BS50" i="2"/>
  <c r="BN50" i="2"/>
  <c r="BM50" i="2"/>
  <c r="BE50" i="2"/>
  <c r="AM50" i="2" s="1"/>
  <c r="AT50" i="2"/>
  <c r="AQ50" i="2"/>
  <c r="AR50" i="2" s="1" a="1"/>
  <c r="AR50" i="2" s="1"/>
  <c r="AU50" i="2" s="1"/>
  <c r="AL50" i="2"/>
  <c r="AD50" i="2"/>
  <c r="V50" i="2"/>
  <c r="N50" i="2"/>
  <c r="ER49" i="2"/>
  <c r="EH49" i="2"/>
  <c r="DO49" i="2"/>
  <c r="CM49" i="2"/>
  <c r="CL49" i="2" a="1"/>
  <c r="CL49" i="2" s="1"/>
  <c r="CJ49" i="2"/>
  <c r="CB49" i="2"/>
  <c r="BV49" i="2"/>
  <c r="BS49" i="2"/>
  <c r="BM49" i="2"/>
  <c r="BE49" i="2"/>
  <c r="AT49" i="2"/>
  <c r="AP49" i="2"/>
  <c r="AO49" i="2"/>
  <c r="AL49" i="2"/>
  <c r="AD49" i="2"/>
  <c r="BC49" i="2" s="1"/>
  <c r="V49" i="2"/>
  <c r="N49" i="2"/>
  <c r="ER48" i="2"/>
  <c r="EH48" i="2"/>
  <c r="DO48" i="2"/>
  <c r="CM48" i="2"/>
  <c r="CL48" i="2" a="1"/>
  <c r="CL48" i="2" s="1"/>
  <c r="CJ48" i="2"/>
  <c r="CB48" i="2"/>
  <c r="BV48" i="2"/>
  <c r="BS48" i="2"/>
  <c r="BN48" i="2"/>
  <c r="BE48" i="2"/>
  <c r="BC48" i="2"/>
  <c r="AT48" i="2"/>
  <c r="AQ48" i="2"/>
  <c r="AL48" i="2"/>
  <c r="AH48" i="2"/>
  <c r="AG48" i="2"/>
  <c r="AD48" i="2"/>
  <c r="V48" i="2"/>
  <c r="N48" i="2"/>
  <c r="ER47" i="2"/>
  <c r="EH47" i="2"/>
  <c r="DO47" i="2"/>
  <c r="CM47" i="2"/>
  <c r="CL47" i="2" a="1"/>
  <c r="CL47" i="2" s="1"/>
  <c r="CJ47" i="2"/>
  <c r="CB47" i="2"/>
  <c r="BV47" i="2"/>
  <c r="BS47" i="2"/>
  <c r="BN47" i="2"/>
  <c r="BE47" i="2"/>
  <c r="AM47" i="2" s="1"/>
  <c r="BC47" i="2"/>
  <c r="AZ47" i="2"/>
  <c r="AT47" i="2"/>
  <c r="AQ47" i="2"/>
  <c r="AL47" i="2"/>
  <c r="AH47" i="2"/>
  <c r="AG47" i="2"/>
  <c r="AD47" i="2"/>
  <c r="BG47" i="2"/>
  <c r="V47" i="2"/>
  <c r="N47" i="2"/>
  <c r="ER46" i="2"/>
  <c r="EH46" i="2"/>
  <c r="DO46" i="2"/>
  <c r="CM46" i="2"/>
  <c r="CL46" i="2" a="1"/>
  <c r="CL46" i="2"/>
  <c r="CJ46" i="2"/>
  <c r="CB46" i="2"/>
  <c r="BV46" i="2"/>
  <c r="BS46" i="2"/>
  <c r="BN46" i="2"/>
  <c r="BE46" i="2"/>
  <c r="BC46" i="2"/>
  <c r="AZ46" i="2"/>
  <c r="AT46" i="2"/>
  <c r="AQ46" i="2"/>
  <c r="AL46" i="2"/>
  <c r="AH46" i="2"/>
  <c r="AG46" i="2"/>
  <c r="AD46" i="2"/>
  <c r="V46" i="2"/>
  <c r="N46" i="2"/>
  <c r="EH45" i="2"/>
  <c r="DO45" i="2"/>
  <c r="CM45" i="2"/>
  <c r="CL45" i="2" a="1"/>
  <c r="CL45" i="2"/>
  <c r="CJ45" i="2"/>
  <c r="CB45" i="2"/>
  <c r="BV45" i="2"/>
  <c r="BN45" i="2"/>
  <c r="BH45" i="2"/>
  <c r="AQ45" i="2"/>
  <c r="AM45" i="2"/>
  <c r="BW45" i="2" s="1"/>
  <c r="CK45" i="2"/>
  <c r="AL45" i="2"/>
  <c r="AH45" i="2"/>
  <c r="AG45" i="2"/>
  <c r="AD45" i="2"/>
  <c r="V45" i="2"/>
  <c r="N45" i="2"/>
  <c r="EH44" i="2"/>
  <c r="DO44" i="2"/>
  <c r="CM44" i="2"/>
  <c r="CL44" i="2" a="1"/>
  <c r="CL44" i="2" s="1"/>
  <c r="CJ44" i="2"/>
  <c r="CB44" i="2"/>
  <c r="BV44" i="2"/>
  <c r="BN44" i="2"/>
  <c r="BH44" i="2"/>
  <c r="AQ44" i="2"/>
  <c r="AR44" i="2" s="1" a="1"/>
  <c r="AR44" i="2" s="1"/>
  <c r="AM44" i="2"/>
  <c r="AL44" i="2"/>
  <c r="AH44" i="2"/>
  <c r="AG44" i="2"/>
  <c r="AD44" i="2"/>
  <c r="V44" i="2"/>
  <c r="N44" i="2"/>
  <c r="ER43" i="2"/>
  <c r="EH43" i="2"/>
  <c r="DO43" i="2"/>
  <c r="CM43" i="2"/>
  <c r="CL43" i="2" a="1"/>
  <c r="CL43" i="2" s="1"/>
  <c r="CJ43" i="2"/>
  <c r="CB43" i="2"/>
  <c r="BV43" i="2"/>
  <c r="BS43" i="2"/>
  <c r="BN43" i="2"/>
  <c r="BE43" i="2"/>
  <c r="AM43" i="2" s="1"/>
  <c r="CK43" i="2" s="1"/>
  <c r="BC43" i="2"/>
  <c r="AT43" i="2"/>
  <c r="AQ43" i="2"/>
  <c r="AN43" i="2"/>
  <c r="AL43" i="2"/>
  <c r="AG43" i="2"/>
  <c r="AD43" i="2"/>
  <c r="V43" i="2"/>
  <c r="ER42" i="2"/>
  <c r="EH42" i="2"/>
  <c r="DO42" i="2"/>
  <c r="CM42" i="2"/>
  <c r="CL42" i="2" a="1"/>
  <c r="CL42" i="2" s="1"/>
  <c r="CJ42" i="2"/>
  <c r="CB42" i="2"/>
  <c r="BV42" i="2"/>
  <c r="BS42" i="2"/>
  <c r="BN42" i="2"/>
  <c r="BE42" i="2"/>
  <c r="CE42" i="2" s="1"/>
  <c r="BC42" i="2"/>
  <c r="AZ42" i="2"/>
  <c r="AT42" i="2"/>
  <c r="AQ42" i="2"/>
  <c r="AL42" i="2"/>
  <c r="AH42" i="2"/>
  <c r="AG42" i="2"/>
  <c r="AD42" i="2"/>
  <c r="V42" i="2"/>
  <c r="N42" i="2"/>
  <c r="ER41" i="2"/>
  <c r="EH41" i="2"/>
  <c r="DO41" i="2"/>
  <c r="CM41" i="2"/>
  <c r="CL41" i="2" a="1"/>
  <c r="CL41" i="2" s="1"/>
  <c r="CJ41" i="2"/>
  <c r="CB41" i="2"/>
  <c r="BV41" i="2"/>
  <c r="BS41" i="2"/>
  <c r="BN41" i="2"/>
  <c r="BE41" i="2"/>
  <c r="AM41" i="2" s="1"/>
  <c r="BC41" i="2"/>
  <c r="AZ41" i="2"/>
  <c r="AT41" i="2"/>
  <c r="AQ41" i="2"/>
  <c r="AL41" i="2"/>
  <c r="AH41" i="2"/>
  <c r="AI41" i="2" s="1"/>
  <c r="AG41" i="2"/>
  <c r="AD41" i="2"/>
  <c r="BG41" i="2" s="1"/>
  <c r="BL41" i="2" s="1"/>
  <c r="V41" i="2"/>
  <c r="N41" i="2"/>
  <c r="ER40" i="2"/>
  <c r="EH40" i="2"/>
  <c r="DO40" i="2"/>
  <c r="CM40" i="2"/>
  <c r="CL40" i="2" a="1"/>
  <c r="CL40" i="2" s="1"/>
  <c r="CJ40" i="2"/>
  <c r="CB40" i="2"/>
  <c r="BV40" i="2"/>
  <c r="BS40" i="2"/>
  <c r="BN40" i="2"/>
  <c r="BE40" i="2"/>
  <c r="CE40" i="2" s="1"/>
  <c r="BC40" i="2"/>
  <c r="AZ40" i="2"/>
  <c r="AT40" i="2"/>
  <c r="AQ40" i="2"/>
  <c r="AL40" i="2"/>
  <c r="AH40" i="2"/>
  <c r="AG40" i="2"/>
  <c r="AD40" i="2"/>
  <c r="V40" i="2"/>
  <c r="N40" i="2"/>
  <c r="ER39" i="2"/>
  <c r="EH39" i="2"/>
  <c r="DO39" i="2"/>
  <c r="CM39" i="2"/>
  <c r="CL39" i="2" a="1"/>
  <c r="CL39" i="2" s="1"/>
  <c r="CJ39" i="2"/>
  <c r="CB39" i="2"/>
  <c r="BV39" i="2"/>
  <c r="BS39" i="2"/>
  <c r="BN39" i="2"/>
  <c r="BE39" i="2"/>
  <c r="AM39" i="2" s="1"/>
  <c r="P39" i="2" s="1"/>
  <c r="BC39" i="2"/>
  <c r="AZ39" i="2"/>
  <c r="AT39" i="2"/>
  <c r="AQ39" i="2"/>
  <c r="AR39" i="2" s="1" a="1"/>
  <c r="AR39" i="2" s="1"/>
  <c r="BX39" i="2" s="1"/>
  <c r="AL39" i="2"/>
  <c r="AH39" i="2"/>
  <c r="AG39" i="2"/>
  <c r="AD39" i="2"/>
  <c r="BG39" i="2" s="1"/>
  <c r="BL39" i="2" s="1"/>
  <c r="V39" i="2"/>
  <c r="N39" i="2"/>
  <c r="ER38" i="2"/>
  <c r="EH38" i="2"/>
  <c r="DO38" i="2"/>
  <c r="CM38" i="2"/>
  <c r="CL38" i="2" a="1"/>
  <c r="CL38" i="2" s="1"/>
  <c r="CJ38" i="2"/>
  <c r="CB38" i="2"/>
  <c r="BV38" i="2"/>
  <c r="BS38" i="2"/>
  <c r="BN38" i="2"/>
  <c r="BE38" i="2"/>
  <c r="AM38" i="2" s="1"/>
  <c r="BC38" i="2"/>
  <c r="AZ38" i="2"/>
  <c r="AT38" i="2"/>
  <c r="AQ38" i="2"/>
  <c r="AR38" i="2" s="1" a="1"/>
  <c r="AR38" i="2" s="1"/>
  <c r="BX38" i="2" s="1"/>
  <c r="BY38" i="2" s="1"/>
  <c r="AL38" i="2"/>
  <c r="AH38" i="2"/>
  <c r="AG38" i="2"/>
  <c r="AD38" i="2"/>
  <c r="V38" i="2"/>
  <c r="N38" i="2"/>
  <c r="ER37" i="2"/>
  <c r="EH37" i="2"/>
  <c r="BJ37" i="2" s="1"/>
  <c r="DO37" i="2"/>
  <c r="CM37" i="2"/>
  <c r="CL37" i="2" a="1"/>
  <c r="CL37" i="2" s="1"/>
  <c r="CJ37" i="2"/>
  <c r="CB37" i="2"/>
  <c r="BV37" i="2"/>
  <c r="BS37" i="2"/>
  <c r="BE37" i="2"/>
  <c r="CE37" i="2" s="1"/>
  <c r="BC37" i="2"/>
  <c r="AT37" i="2"/>
  <c r="AQ37" i="2"/>
  <c r="AL37" i="2"/>
  <c r="AH37" i="2"/>
  <c r="AG37" i="2"/>
  <c r="AD37" i="2"/>
  <c r="BG37" i="2" s="1"/>
  <c r="V37" i="2"/>
  <c r="N37" i="2"/>
  <c r="ER36" i="2"/>
  <c r="EH36" i="2"/>
  <c r="ES36" i="2" s="1"/>
  <c r="DO36" i="2"/>
  <c r="CM36" i="2"/>
  <c r="CL36" i="2" a="1"/>
  <c r="CL36" i="2" s="1"/>
  <c r="CJ36" i="2"/>
  <c r="CB36" i="2"/>
  <c r="BV36" i="2"/>
  <c r="BS36" i="2"/>
  <c r="BE36" i="2"/>
  <c r="BC36" i="2"/>
  <c r="AT36" i="2"/>
  <c r="AQ36" i="2"/>
  <c r="AL36" i="2"/>
  <c r="AH36" i="2"/>
  <c r="AI36" i="2" s="1"/>
  <c r="AD36" i="2"/>
  <c r="V36" i="2"/>
  <c r="N36" i="2"/>
  <c r="ER35" i="2"/>
  <c r="EH35" i="2"/>
  <c r="DO35" i="2"/>
  <c r="CM35" i="2"/>
  <c r="CL35" i="2" a="1"/>
  <c r="CL35" i="2" s="1"/>
  <c r="CJ35" i="2"/>
  <c r="CB35" i="2"/>
  <c r="BV35" i="2"/>
  <c r="BS35" i="2"/>
  <c r="BE35" i="2"/>
  <c r="CE35" i="2" s="1"/>
  <c r="BC35" i="2"/>
  <c r="AT35" i="2"/>
  <c r="AQ35" i="2"/>
  <c r="AL35" i="2"/>
  <c r="AH35" i="2"/>
  <c r="AD35" i="2"/>
  <c r="V35" i="2"/>
  <c r="N35" i="2"/>
  <c r="ER34" i="2"/>
  <c r="EH34" i="2"/>
  <c r="DO34" i="2"/>
  <c r="CM34" i="2"/>
  <c r="CL34" i="2" a="1"/>
  <c r="CL34" i="2" s="1"/>
  <c r="CJ34" i="2"/>
  <c r="CB34" i="2"/>
  <c r="BV34" i="2"/>
  <c r="BS34" i="2"/>
  <c r="BE34" i="2"/>
  <c r="AM34" i="2" s="1"/>
  <c r="CH34" i="2" s="1"/>
  <c r="CC34" i="2" s="1"/>
  <c r="BC34" i="2"/>
  <c r="AT34" i="2"/>
  <c r="AO34" i="2"/>
  <c r="AQ34" i="2" s="1"/>
  <c r="AL34" i="2"/>
  <c r="AH34" i="2"/>
  <c r="AD34" i="2"/>
  <c r="V34" i="2"/>
  <c r="N34" i="2"/>
  <c r="ER33" i="2"/>
  <c r="EH33" i="2"/>
  <c r="DO33" i="2"/>
  <c r="CM33" i="2"/>
  <c r="CL33" i="2" a="1"/>
  <c r="CL33" i="2" s="1"/>
  <c r="CJ33" i="2"/>
  <c r="CB33" i="2"/>
  <c r="BV33" i="2"/>
  <c r="BS33" i="2"/>
  <c r="BE33" i="2"/>
  <c r="AM33" i="2" s="1"/>
  <c r="BC33" i="2"/>
  <c r="AT33" i="2"/>
  <c r="AQ33" i="2"/>
  <c r="AL33" i="2"/>
  <c r="AH33" i="2"/>
  <c r="AG33" i="2"/>
  <c r="V33" i="2"/>
  <c r="N33" i="2"/>
  <c r="ER32" i="2"/>
  <c r="EH32" i="2"/>
  <c r="DO32" i="2"/>
  <c r="CM32" i="2"/>
  <c r="CL32" i="2" a="1"/>
  <c r="CL32" i="2"/>
  <c r="CJ32" i="2"/>
  <c r="CB32" i="2"/>
  <c r="BV32" i="2"/>
  <c r="BS32" i="2"/>
  <c r="BE32" i="2"/>
  <c r="BC32" i="2"/>
  <c r="AT32" i="2"/>
  <c r="AQ32" i="2"/>
  <c r="AL32" i="2"/>
  <c r="AH32" i="2"/>
  <c r="AG32" i="2"/>
  <c r="AD32" i="2"/>
  <c r="BG32" i="2" s="1"/>
  <c r="EM32" i="2" s="1"/>
  <c r="EN32" i="2" s="1"/>
  <c r="V32" i="2"/>
  <c r="N32" i="2"/>
  <c r="ER31" i="2"/>
  <c r="EH31" i="2"/>
  <c r="DO31" i="2"/>
  <c r="CM31" i="2"/>
  <c r="CL31" i="2" a="1"/>
  <c r="CL31" i="2" s="1"/>
  <c r="CJ31" i="2"/>
  <c r="CB31" i="2"/>
  <c r="BV31" i="2"/>
  <c r="BS31" i="2"/>
  <c r="BE31" i="2"/>
  <c r="BC31" i="2"/>
  <c r="AZ31" i="2"/>
  <c r="AT31" i="2"/>
  <c r="AQ31" i="2"/>
  <c r="AL31" i="2"/>
  <c r="AH31" i="2"/>
  <c r="AD31" i="2"/>
  <c r="V31" i="2"/>
  <c r="N31" i="2"/>
  <c r="ER30" i="2"/>
  <c r="EH30" i="2"/>
  <c r="DO30" i="2"/>
  <c r="CM30" i="2"/>
  <c r="CL30" i="2" a="1"/>
  <c r="CL30" i="2" s="1"/>
  <c r="CJ30" i="2"/>
  <c r="CB30" i="2"/>
  <c r="BV30" i="2"/>
  <c r="BS30" i="2"/>
  <c r="BN30" i="2"/>
  <c r="BE30" i="2"/>
  <c r="BC30" i="2"/>
  <c r="AT30" i="2"/>
  <c r="AQ30" i="2"/>
  <c r="AL30" i="2"/>
  <c r="AH30" i="2"/>
  <c r="AG30" i="2"/>
  <c r="AD30" i="2"/>
  <c r="BG30" i="2" s="1"/>
  <c r="BL30" i="2" s="1"/>
  <c r="V30" i="2"/>
  <c r="N30" i="2"/>
  <c r="ER29" i="2"/>
  <c r="EH29" i="2"/>
  <c r="DO29" i="2"/>
  <c r="CM29" i="2"/>
  <c r="CL29" i="2" a="1"/>
  <c r="CL29" i="2" s="1"/>
  <c r="CJ29" i="2"/>
  <c r="CB29" i="2"/>
  <c r="BV29" i="2"/>
  <c r="BS29" i="2"/>
  <c r="BN29" i="2"/>
  <c r="BE29" i="2"/>
  <c r="CE29" i="2" s="1"/>
  <c r="BC29" i="2"/>
  <c r="AT29" i="2"/>
  <c r="AQ29" i="2"/>
  <c r="AL29" i="2"/>
  <c r="AH29" i="2"/>
  <c r="AG29" i="2"/>
  <c r="AD29" i="2"/>
  <c r="V29" i="2"/>
  <c r="ER28" i="2"/>
  <c r="EH28" i="2"/>
  <c r="DO28" i="2"/>
  <c r="CM28" i="2"/>
  <c r="CL28" i="2" a="1"/>
  <c r="CL28" i="2" s="1"/>
  <c r="CJ28" i="2"/>
  <c r="CB28" i="2"/>
  <c r="BV28" i="2"/>
  <c r="BS28" i="2"/>
  <c r="BN28" i="2"/>
  <c r="BE28" i="2"/>
  <c r="BC28" i="2"/>
  <c r="AZ28" i="2"/>
  <c r="AT28" i="2"/>
  <c r="AQ28" i="2"/>
  <c r="AL28" i="2"/>
  <c r="AH28" i="2"/>
  <c r="AI28" i="2" s="1"/>
  <c r="AD28" i="2"/>
  <c r="V28" i="2"/>
  <c r="ER27" i="2"/>
  <c r="EH27" i="2"/>
  <c r="DO27" i="2"/>
  <c r="CM27" i="2"/>
  <c r="CL27" i="2" a="1"/>
  <c r="CL27" i="2"/>
  <c r="CJ27" i="2"/>
  <c r="CB27" i="2"/>
  <c r="BV27" i="2"/>
  <c r="BS27" i="2"/>
  <c r="BN27" i="2"/>
  <c r="BE27" i="2"/>
  <c r="BC27" i="2"/>
  <c r="AY27" i="2"/>
  <c r="AT27" i="2"/>
  <c r="AQ27" i="2"/>
  <c r="AL27" i="2"/>
  <c r="AH27" i="2"/>
  <c r="AG27" i="2"/>
  <c r="AD27" i="2"/>
  <c r="BG27" i="2" s="1"/>
  <c r="V27" i="2"/>
  <c r="ER26" i="2"/>
  <c r="EH26" i="2"/>
  <c r="DO26" i="2"/>
  <c r="CM26" i="2"/>
  <c r="CL26" i="2" a="1"/>
  <c r="CL26" i="2" s="1"/>
  <c r="CJ26" i="2"/>
  <c r="CB26" i="2"/>
  <c r="BV26" i="2"/>
  <c r="BS26" i="2"/>
  <c r="BN26" i="2"/>
  <c r="BE26" i="2"/>
  <c r="BC26" i="2"/>
  <c r="AT26" i="2"/>
  <c r="AQ26" i="2"/>
  <c r="AL26" i="2"/>
  <c r="AH26" i="2"/>
  <c r="AG26" i="2"/>
  <c r="AZ26" i="2" s="1"/>
  <c r="AD26" i="2"/>
  <c r="V26" i="2"/>
  <c r="ER25" i="2"/>
  <c r="EH25" i="2"/>
  <c r="DO25" i="2"/>
  <c r="CM25" i="2"/>
  <c r="CL25" i="2" a="1"/>
  <c r="CL25" i="2" s="1"/>
  <c r="CJ25" i="2"/>
  <c r="CB25" i="2"/>
  <c r="BV25" i="2"/>
  <c r="BS25" i="2"/>
  <c r="BG25" i="2"/>
  <c r="BE25" i="2"/>
  <c r="AM25" i="2" s="1"/>
  <c r="BC25" i="2"/>
  <c r="AT25" i="2"/>
  <c r="AQ25" i="2"/>
  <c r="AR25" i="2" s="1" a="1"/>
  <c r="AR25" i="2" s="1"/>
  <c r="BX25" i="2" s="1"/>
  <c r="AL25" i="2"/>
  <c r="AH25" i="2"/>
  <c r="AD25" i="2"/>
  <c r="AZ25" i="2" s="1"/>
  <c r="V25" i="2"/>
  <c r="N25" i="2"/>
  <c r="ER24" i="2"/>
  <c r="EH24" i="2"/>
  <c r="DO24" i="2"/>
  <c r="CM24" i="2"/>
  <c r="CL24" i="2" a="1"/>
  <c r="CL24" i="2" s="1"/>
  <c r="CJ24" i="2"/>
  <c r="CE24" i="2"/>
  <c r="CB24" i="2"/>
  <c r="BV24" i="2"/>
  <c r="BS24" i="2"/>
  <c r="BG24" i="2"/>
  <c r="BF24" i="2"/>
  <c r="BC24" i="2"/>
  <c r="AT24" i="2"/>
  <c r="AQ24" i="2"/>
  <c r="AM24" i="2"/>
  <c r="CK24" i="2" s="1"/>
  <c r="AL24" i="2"/>
  <c r="AH24" i="2"/>
  <c r="AG24" i="2"/>
  <c r="AD24" i="2"/>
  <c r="V24" i="2"/>
  <c r="ER23" i="2"/>
  <c r="EH23" i="2"/>
  <c r="DO23" i="2"/>
  <c r="CM23" i="2"/>
  <c r="CL23" i="2" a="1"/>
  <c r="CL23" i="2" s="1"/>
  <c r="CJ23" i="2"/>
  <c r="CB23" i="2"/>
  <c r="BV23" i="2"/>
  <c r="BS23" i="2"/>
  <c r="BN23" i="2"/>
  <c r="BE23" i="2"/>
  <c r="CE23" i="2" s="1"/>
  <c r="BC23" i="2"/>
  <c r="AT23" i="2"/>
  <c r="AQ23" i="2"/>
  <c r="AL23" i="2"/>
  <c r="AH23" i="2"/>
  <c r="AI23" i="2" s="1"/>
  <c r="AG23" i="2"/>
  <c r="AD23" i="2"/>
  <c r="BG23" i="2" s="1"/>
  <c r="V23" i="2"/>
  <c r="ER21" i="2"/>
  <c r="EH21" i="2"/>
  <c r="DO21" i="2"/>
  <c r="CM21" i="2"/>
  <c r="CL21" i="2" a="1"/>
  <c r="CL21" i="2" s="1"/>
  <c r="CJ21" i="2"/>
  <c r="CB21" i="2"/>
  <c r="BV21" i="2"/>
  <c r="BS21" i="2"/>
  <c r="BN21" i="2"/>
  <c r="BE21" i="2"/>
  <c r="AM21" i="2" s="1"/>
  <c r="BC21" i="2"/>
  <c r="AZ21" i="2"/>
  <c r="AT21" i="2"/>
  <c r="AQ21" i="2"/>
  <c r="AL21" i="2"/>
  <c r="AD21" i="2"/>
  <c r="V21" i="2"/>
  <c r="N21" i="2"/>
  <c r="ER20" i="2"/>
  <c r="EH20" i="2"/>
  <c r="DO20" i="2"/>
  <c r="CM20" i="2"/>
  <c r="CL20" i="2" a="1"/>
  <c r="CL20" i="2" s="1"/>
  <c r="CJ20" i="2"/>
  <c r="CB20" i="2"/>
  <c r="BV20" i="2"/>
  <c r="BS20" i="2"/>
  <c r="BN20" i="2"/>
  <c r="BE20" i="2"/>
  <c r="BC20" i="2"/>
  <c r="AT20" i="2"/>
  <c r="AQ20" i="2"/>
  <c r="AL20" i="2"/>
  <c r="AH20" i="2"/>
  <c r="AI20" i="2" s="1"/>
  <c r="AG20" i="2"/>
  <c r="AZ20" i="2" s="1"/>
  <c r="CF20" i="2" s="1"/>
  <c r="AD20" i="2"/>
  <c r="V20" i="2"/>
  <c r="ER19" i="2"/>
  <c r="EH19" i="2"/>
  <c r="ET19" i="2" s="1"/>
  <c r="DO19" i="2"/>
  <c r="CM19" i="2"/>
  <c r="CL19" i="2" a="1"/>
  <c r="CL19" i="2" s="1"/>
  <c r="CJ19" i="2"/>
  <c r="CB19" i="2"/>
  <c r="BV19" i="2"/>
  <c r="BS19" i="2"/>
  <c r="BN19" i="2"/>
  <c r="BE19" i="2"/>
  <c r="AM19" i="2" s="1"/>
  <c r="P19" i="2" s="1"/>
  <c r="A19" i="2" s="1"/>
  <c r="BC19" i="2"/>
  <c r="AT19" i="2"/>
  <c r="AQ19" i="2"/>
  <c r="AL19" i="2"/>
  <c r="AH19" i="2"/>
  <c r="AG19" i="2"/>
  <c r="AD19" i="2"/>
  <c r="BG19" i="2" s="1"/>
  <c r="EM19" i="2" s="1"/>
  <c r="EN19" i="2" s="1"/>
  <c r="V19" i="2"/>
  <c r="ER18" i="2"/>
  <c r="EH18" i="2"/>
  <c r="DO18" i="2"/>
  <c r="CM18" i="2"/>
  <c r="CL18" i="2" a="1"/>
  <c r="CL18" i="2" s="1"/>
  <c r="CJ18" i="2"/>
  <c r="CB18" i="2"/>
  <c r="BV18" i="2"/>
  <c r="BS18" i="2"/>
  <c r="BN18" i="2"/>
  <c r="BE18" i="2"/>
  <c r="CE18" i="2" s="1"/>
  <c r="BC18" i="2"/>
  <c r="AT18" i="2"/>
  <c r="AQ18" i="2"/>
  <c r="AL18" i="2"/>
  <c r="AH18" i="2"/>
  <c r="AG18" i="2"/>
  <c r="AD18" i="2"/>
  <c r="V18" i="2"/>
  <c r="ER17" i="2"/>
  <c r="EH17" i="2"/>
  <c r="DO17" i="2"/>
  <c r="CM17" i="2"/>
  <c r="CL17" i="2" a="1"/>
  <c r="CL17" i="2" s="1"/>
  <c r="CJ17" i="2"/>
  <c r="CB17" i="2"/>
  <c r="BV17" i="2"/>
  <c r="BS17" i="2"/>
  <c r="BN17" i="2"/>
  <c r="BE17" i="2"/>
  <c r="BC17" i="2"/>
  <c r="AZ17" i="2"/>
  <c r="AT17" i="2"/>
  <c r="AQ17" i="2"/>
  <c r="AL17" i="2"/>
  <c r="AH17" i="2"/>
  <c r="AG17" i="2"/>
  <c r="AD17" i="2"/>
  <c r="V17" i="2"/>
  <c r="N17" i="2"/>
  <c r="ER16" i="2"/>
  <c r="EH16" i="2"/>
  <c r="DO16" i="2"/>
  <c r="CM16" i="2"/>
  <c r="CL16" i="2" a="1"/>
  <c r="CL16" i="2" s="1"/>
  <c r="CJ16" i="2"/>
  <c r="CB16" i="2"/>
  <c r="BV16" i="2"/>
  <c r="BS16" i="2"/>
  <c r="BN16" i="2"/>
  <c r="BE16" i="2"/>
  <c r="BC16" i="2"/>
  <c r="AT16" i="2"/>
  <c r="AQ16" i="2"/>
  <c r="AL16" i="2"/>
  <c r="AH16" i="2"/>
  <c r="AG16" i="2"/>
  <c r="AD16" i="2"/>
  <c r="BG16" i="2" s="1"/>
  <c r="EK16" i="2" s="1"/>
  <c r="V16" i="2"/>
  <c r="N16" i="2"/>
  <c r="ER15" i="2"/>
  <c r="EH15" i="2"/>
  <c r="DO15" i="2"/>
  <c r="CM15" i="2"/>
  <c r="CL15" i="2" a="1"/>
  <c r="CL15" i="2" s="1"/>
  <c r="CJ15" i="2"/>
  <c r="CB15" i="2"/>
  <c r="BV15" i="2"/>
  <c r="BS15" i="2"/>
  <c r="BN15" i="2"/>
  <c r="BE15" i="2"/>
  <c r="BC15" i="2"/>
  <c r="AZ15" i="2"/>
  <c r="AT15" i="2"/>
  <c r="AQ15" i="2"/>
  <c r="AL15" i="2"/>
  <c r="AH15" i="2"/>
  <c r="AG15" i="2"/>
  <c r="BF15" i="2" s="1"/>
  <c r="AD15" i="2"/>
  <c r="BG15" i="2" s="1"/>
  <c r="EK15" i="2" s="1"/>
  <c r="V15" i="2"/>
  <c r="N15" i="2"/>
  <c r="ER14" i="2"/>
  <c r="EH14" i="2"/>
  <c r="DO14" i="2"/>
  <c r="CM14" i="2"/>
  <c r="CL14" i="2" a="1"/>
  <c r="CL14" i="2" s="1"/>
  <c r="CJ14" i="2"/>
  <c r="CB14" i="2"/>
  <c r="BV14" i="2"/>
  <c r="BS14" i="2"/>
  <c r="BN14" i="2"/>
  <c r="BE14" i="2"/>
  <c r="BC14" i="2"/>
  <c r="AT14" i="2"/>
  <c r="AQ14" i="2"/>
  <c r="AL14" i="2"/>
  <c r="AH14" i="2"/>
  <c r="AD14" i="2"/>
  <c r="V14" i="2"/>
  <c r="N14" i="2"/>
  <c r="ER11" i="2"/>
  <c r="EH11" i="2"/>
  <c r="BJ11" i="2" s="1"/>
  <c r="DO11" i="2"/>
  <c r="CM11" i="2"/>
  <c r="CL11" i="2" a="1"/>
  <c r="CL11" i="2" s="1"/>
  <c r="CJ11" i="2"/>
  <c r="CB11" i="2"/>
  <c r="BV11" i="2"/>
  <c r="BS11" i="2"/>
  <c r="BN11" i="2"/>
  <c r="BG11" i="2"/>
  <c r="BE11" i="2"/>
  <c r="BC11" i="2"/>
  <c r="AT11" i="2"/>
  <c r="AQ11" i="2"/>
  <c r="AL11" i="2"/>
  <c r="AH11" i="2"/>
  <c r="AG11" i="2"/>
  <c r="AD11" i="2"/>
  <c r="V11" i="2"/>
  <c r="N11" i="2"/>
  <c r="ER10" i="2"/>
  <c r="EH10" i="2"/>
  <c r="DO10" i="2"/>
  <c r="CM10" i="2"/>
  <c r="CL10" i="2" a="1"/>
  <c r="CL10" i="2" s="1"/>
  <c r="CJ10" i="2"/>
  <c r="CB10" i="2"/>
  <c r="BV10" i="2"/>
  <c r="BS10" i="2"/>
  <c r="BN10" i="2"/>
  <c r="BG10" i="2"/>
  <c r="EK10" i="2" s="1"/>
  <c r="BE10" i="2"/>
  <c r="BC10" i="2"/>
  <c r="AZ10" i="2"/>
  <c r="AT10" i="2"/>
  <c r="AQ10" i="2"/>
  <c r="AL10" i="2"/>
  <c r="AH10" i="2"/>
  <c r="AG10" i="2"/>
  <c r="AD10" i="2"/>
  <c r="AI10" i="2" s="1"/>
  <c r="V10" i="2"/>
  <c r="N10" i="2"/>
  <c r="ER9" i="2"/>
  <c r="EH9" i="2"/>
  <c r="ET9" i="2" s="1"/>
  <c r="BJ9" i="2"/>
  <c r="DO9" i="2"/>
  <c r="CM9" i="2"/>
  <c r="CL9" i="2" a="1"/>
  <c r="CL9" i="2" s="1"/>
  <c r="CJ9" i="2"/>
  <c r="CB9" i="2"/>
  <c r="BV9" i="2"/>
  <c r="BS9" i="2"/>
  <c r="BN9" i="2"/>
  <c r="BG9" i="2"/>
  <c r="EK9" i="2" s="1"/>
  <c r="BE9" i="2"/>
  <c r="BC9" i="2"/>
  <c r="AZ9" i="2"/>
  <c r="AT9" i="2"/>
  <c r="AQ9" i="2"/>
  <c r="AL9" i="2"/>
  <c r="AH9" i="2"/>
  <c r="AI9" i="2" s="1"/>
  <c r="AG9" i="2"/>
  <c r="AD9" i="2"/>
  <c r="V9" i="2"/>
  <c r="N9" i="2"/>
  <c r="EH8" i="2"/>
  <c r="DO8" i="2"/>
  <c r="CM8" i="2"/>
  <c r="CL8" i="2" a="1"/>
  <c r="CL8" i="2" s="1"/>
  <c r="CJ8" i="2"/>
  <c r="CB8" i="2"/>
  <c r="BV8" i="2"/>
  <c r="BN8" i="2"/>
  <c r="BH8" i="2"/>
  <c r="BE8" i="2"/>
  <c r="BF8" i="2" s="1"/>
  <c r="BC8" i="2"/>
  <c r="AZ8" i="2"/>
  <c r="AQ8" i="2"/>
  <c r="AL8" i="2"/>
  <c r="AH8" i="2"/>
  <c r="AG8" i="2"/>
  <c r="AD8" i="2"/>
  <c r="V8" i="2"/>
  <c r="N8" i="2"/>
  <c r="ER7" i="2"/>
  <c r="EH7" i="2"/>
  <c r="DO7" i="2"/>
  <c r="CM7" i="2"/>
  <c r="CL7" i="2" a="1"/>
  <c r="CL7" i="2" s="1"/>
  <c r="CJ7" i="2"/>
  <c r="CB7" i="2"/>
  <c r="BV7" i="2"/>
  <c r="BS7" i="2"/>
  <c r="BN7" i="2"/>
  <c r="BE7" i="2"/>
  <c r="CE7" i="2" s="1"/>
  <c r="BC7" i="2"/>
  <c r="AZ7" i="2"/>
  <c r="AT7" i="2"/>
  <c r="AQ7" i="2"/>
  <c r="AL7" i="2"/>
  <c r="AH7" i="2"/>
  <c r="AI7" i="2" s="1"/>
  <c r="AG7" i="2"/>
  <c r="AD7" i="2"/>
  <c r="BG7" i="2" s="1"/>
  <c r="V7" i="2"/>
  <c r="N7" i="2"/>
  <c r="ER6" i="2"/>
  <c r="EH6" i="2"/>
  <c r="DO6" i="2"/>
  <c r="CM6" i="2"/>
  <c r="CL6" i="2" a="1"/>
  <c r="CL6" i="2" s="1"/>
  <c r="CJ6" i="2"/>
  <c r="CB6" i="2"/>
  <c r="BV6" i="2"/>
  <c r="BS6" i="2"/>
  <c r="BN6" i="2"/>
  <c r="BE6" i="2"/>
  <c r="AM6" i="2" s="1"/>
  <c r="P6" i="2" s="1"/>
  <c r="BC6" i="2"/>
  <c r="AT6" i="2"/>
  <c r="AQ6" i="2"/>
  <c r="AL6" i="2"/>
  <c r="AH6" i="2"/>
  <c r="AG6" i="2"/>
  <c r="AD6" i="2"/>
  <c r="V6" i="2"/>
  <c r="N6" i="2"/>
  <c r="ER5" i="2"/>
  <c r="EH5" i="2"/>
  <c r="DO5" i="2"/>
  <c r="CM5" i="2"/>
  <c r="CL5" i="2" a="1"/>
  <c r="CL5" i="2" s="1"/>
  <c r="CJ5" i="2"/>
  <c r="CB5" i="2"/>
  <c r="BV5" i="2"/>
  <c r="BS5" i="2"/>
  <c r="BN5" i="2"/>
  <c r="BE5" i="2"/>
  <c r="CE5" i="2" s="1"/>
  <c r="BC5" i="2"/>
  <c r="AT5" i="2"/>
  <c r="AQ5" i="2"/>
  <c r="AL5" i="2"/>
  <c r="AH5" i="2"/>
  <c r="AG5" i="2"/>
  <c r="AD5" i="2"/>
  <c r="BG5" i="2" s="1"/>
  <c r="V5" i="2"/>
  <c r="N5" i="2"/>
  <c r="ER4" i="2"/>
  <c r="EH4" i="2"/>
  <c r="DO4" i="2"/>
  <c r="CM4" i="2"/>
  <c r="CL4" i="2" a="1"/>
  <c r="CL4" i="2" s="1"/>
  <c r="CJ4" i="2"/>
  <c r="CB4" i="2"/>
  <c r="BV4" i="2"/>
  <c r="BS4" i="2"/>
  <c r="BN4" i="2"/>
  <c r="BE4" i="2"/>
  <c r="BC4" i="2"/>
  <c r="AZ4" i="2"/>
  <c r="AT4" i="2"/>
  <c r="AQ4" i="2"/>
  <c r="AL4" i="2"/>
  <c r="AD4" i="2"/>
  <c r="AI4" i="2" s="1"/>
  <c r="V4" i="2"/>
  <c r="N4" i="2"/>
  <c r="ER3" i="2"/>
  <c r="EK3" i="2"/>
  <c r="EH3" i="2"/>
  <c r="DO3" i="2"/>
  <c r="CM3" i="2"/>
  <c r="CL3" i="2" a="1"/>
  <c r="CL3" i="2" s="1"/>
  <c r="CJ3" i="2"/>
  <c r="CB3" i="2"/>
  <c r="BV3" i="2"/>
  <c r="BS3" i="2"/>
  <c r="BN3" i="2"/>
  <c r="BL3" i="2"/>
  <c r="BE3" i="2"/>
  <c r="BC3" i="2"/>
  <c r="AZ3" i="2"/>
  <c r="AT3" i="2"/>
  <c r="AQ3" i="2"/>
  <c r="AL3" i="2"/>
  <c r="AH3" i="2"/>
  <c r="AG3" i="2"/>
  <c r="AD3" i="2"/>
  <c r="V3" i="2"/>
  <c r="N3" i="2"/>
  <c r="EZ1" i="2"/>
  <c r="EP1" i="2"/>
  <c r="EE1" i="2"/>
  <c r="G38" i="1"/>
  <c r="G36" i="1"/>
  <c r="G39" i="1" s="1"/>
  <c r="B33" i="1"/>
  <c r="B32" i="1"/>
  <c r="B24" i="1"/>
  <c r="B23" i="1"/>
  <c r="B17" i="1"/>
  <c r="B16" i="1"/>
  <c r="B15" i="1"/>
  <c r="B10" i="1"/>
  <c r="B6" i="1"/>
  <c r="B35" i="1" s="1"/>
  <c r="F4" i="1"/>
  <c r="M3" i="1"/>
  <c r="M2" i="1"/>
  <c r="CJ265" i="2" s="1"/>
  <c r="K31" i="45"/>
  <c r="BI121" i="4"/>
  <c r="S63" i="4"/>
  <c r="S58" i="4"/>
  <c r="S44" i="4"/>
  <c r="S135" i="4"/>
  <c r="S96" i="4"/>
  <c r="S93" i="4"/>
  <c r="S45" i="4"/>
  <c r="S29" i="4"/>
  <c r="S129" i="4"/>
  <c r="S73" i="4"/>
  <c r="S98" i="4"/>
  <c r="S70" i="4"/>
  <c r="S14" i="4"/>
  <c r="S68" i="4"/>
  <c r="S46" i="4"/>
  <c r="S40" i="4"/>
  <c r="S80" i="4"/>
  <c r="S95" i="4"/>
  <c r="S132" i="4"/>
  <c r="S28" i="4"/>
  <c r="S59" i="4"/>
  <c r="S91" i="4"/>
  <c r="S19" i="4"/>
  <c r="S90" i="4"/>
  <c r="S97" i="4"/>
  <c r="S85" i="4"/>
  <c r="S94" i="4"/>
  <c r="S125" i="4"/>
  <c r="S72" i="4"/>
  <c r="S92" i="4"/>
  <c r="S128" i="4"/>
  <c r="S41" i="4"/>
  <c r="S89" i="4"/>
  <c r="AJ80" i="4"/>
  <c r="AJ85" i="4"/>
  <c r="K125" i="4" a="1"/>
  <c r="K125" i="4" s="1"/>
  <c r="K95" i="4" a="1"/>
  <c r="K95" i="4" s="1"/>
  <c r="K100" i="4" a="1"/>
  <c r="K100" i="4" s="1"/>
  <c r="K111" i="4" a="1"/>
  <c r="K111" i="4" s="1"/>
  <c r="K59" i="45"/>
  <c r="K67" i="45"/>
  <c r="K101" i="4" a="1"/>
  <c r="K101" i="4" s="1"/>
  <c r="K107" i="4" a="1"/>
  <c r="K107" i="4" s="1"/>
  <c r="K124" i="4" a="1"/>
  <c r="K124" i="4" s="1"/>
  <c r="K90" i="4" a="1"/>
  <c r="K90" i="4" s="1"/>
  <c r="K120" i="4" a="1"/>
  <c r="K120" i="4" s="1"/>
  <c r="K104" i="4" a="1"/>
  <c r="K104" i="4" s="1"/>
  <c r="K110" i="4" a="1"/>
  <c r="K110" i="4" s="1"/>
  <c r="K89" i="4" a="1"/>
  <c r="K89" i="4" s="1"/>
  <c r="K105" i="4" a="1"/>
  <c r="K105" i="4" s="1"/>
  <c r="K102" i="4" a="1"/>
  <c r="K102" i="4" s="1"/>
  <c r="K106" i="4" a="1"/>
  <c r="K106" i="4" s="1"/>
  <c r="K14" i="45"/>
  <c r="K52" i="45"/>
  <c r="K43" i="45"/>
  <c r="K38" i="45"/>
  <c r="K15" i="45"/>
  <c r="K48" i="45"/>
  <c r="K71" i="45"/>
  <c r="K22" i="45"/>
  <c r="K23" i="45"/>
  <c r="K44" i="45"/>
  <c r="K8" i="45"/>
  <c r="K37" i="45"/>
  <c r="K66" i="45"/>
  <c r="K61" i="45"/>
  <c r="K64" i="45"/>
  <c r="K27" i="45"/>
  <c r="K41" i="45"/>
  <c r="J23" i="45"/>
  <c r="K20" i="45"/>
  <c r="K34" i="45"/>
  <c r="K103" i="4" a="1"/>
  <c r="K103" i="4"/>
  <c r="K28" i="45"/>
  <c r="K42" i="45"/>
  <c r="K56" i="45"/>
  <c r="K50" i="45"/>
  <c r="K57" i="45"/>
  <c r="J26" i="45"/>
  <c r="K29" i="45"/>
  <c r="J35" i="45"/>
  <c r="K131" i="4" a="1"/>
  <c r="K131" i="4" s="1"/>
  <c r="J19" i="45"/>
  <c r="K47" i="45"/>
  <c r="J39" i="45"/>
  <c r="K25" i="45"/>
  <c r="K39" i="45"/>
  <c r="K68" i="45"/>
  <c r="K40" i="45"/>
  <c r="K17" i="45"/>
  <c r="K23" i="4" a="1"/>
  <c r="K23" i="4" s="1"/>
  <c r="K130" i="4" a="1"/>
  <c r="K130" i="4" s="1"/>
  <c r="K126" i="4" a="1"/>
  <c r="K126" i="4" s="1"/>
  <c r="K33" i="45"/>
  <c r="AG7" i="19"/>
  <c r="AG34" i="19"/>
  <c r="K117" i="4" a="1"/>
  <c r="K117" i="4" s="1"/>
  <c r="K53" i="45"/>
  <c r="K60" i="45"/>
  <c r="K91" i="4" a="1"/>
  <c r="K91" i="4" s="1"/>
  <c r="AG53" i="19"/>
  <c r="AG59" i="19"/>
  <c r="P31" i="19"/>
  <c r="Q31" i="19"/>
  <c r="K21" i="45"/>
  <c r="K30" i="45"/>
  <c r="K49" i="45"/>
  <c r="K62" i="45"/>
  <c r="K13" i="45"/>
  <c r="K16" i="45"/>
  <c r="K32" i="45"/>
  <c r="K18" i="45"/>
  <c r="Z58" i="4"/>
  <c r="Z91" i="4"/>
  <c r="Z72" i="4"/>
  <c r="Z28" i="4"/>
  <c r="Z63" i="4"/>
  <c r="Z132" i="4"/>
  <c r="Z46" i="4"/>
  <c r="Z29" i="4"/>
  <c r="Z90" i="4"/>
  <c r="Z73" i="4"/>
  <c r="Z96" i="4"/>
  <c r="Z41" i="4"/>
  <c r="Z92" i="4"/>
  <c r="Z59" i="4"/>
  <c r="Z125" i="4"/>
  <c r="Z128" i="4"/>
  <c r="Z95" i="4"/>
  <c r="Z45" i="4"/>
  <c r="Z70" i="4"/>
  <c r="Z129" i="4"/>
  <c r="Z135" i="4"/>
  <c r="Z85" i="4"/>
  <c r="Z68" i="4"/>
  <c r="Z44" i="4"/>
  <c r="Z94" i="4"/>
  <c r="Z40" i="4"/>
  <c r="Z89" i="4"/>
  <c r="Z98" i="4"/>
  <c r="Z80" i="4"/>
  <c r="Z93" i="4"/>
  <c r="Z136" i="4"/>
  <c r="Z100" i="4"/>
  <c r="Z87" i="4"/>
  <c r="Z62" i="4"/>
  <c r="Z31" i="4"/>
  <c r="Z43" i="4"/>
  <c r="Z102" i="4"/>
  <c r="Z6" i="4"/>
  <c r="S117" i="4"/>
  <c r="Z30" i="4"/>
  <c r="Z104" i="4"/>
  <c r="Z137" i="4"/>
  <c r="Z99" i="4"/>
  <c r="Z8" i="4"/>
  <c r="Z13" i="4"/>
  <c r="S15" i="4"/>
  <c r="S61" i="4"/>
  <c r="S76" i="4"/>
  <c r="S77" i="4"/>
  <c r="S49" i="4"/>
  <c r="Z126" i="4"/>
  <c r="Z124" i="4"/>
  <c r="Z120" i="4"/>
  <c r="Z121" i="4"/>
  <c r="Z82" i="4"/>
  <c r="Z17" i="4"/>
  <c r="Z123" i="4"/>
  <c r="Z11" i="4"/>
  <c r="Z74" i="4"/>
  <c r="Z16" i="4"/>
  <c r="Z81" i="4"/>
  <c r="Z122" i="4"/>
  <c r="Z18" i="4"/>
  <c r="Z55" i="4"/>
  <c r="Z53" i="4"/>
  <c r="Z75" i="4"/>
  <c r="Z67" i="4"/>
  <c r="Z60" i="4"/>
  <c r="Z118" i="4"/>
  <c r="Z48" i="4"/>
  <c r="Z131" i="4"/>
  <c r="Z134" i="4"/>
  <c r="S48" i="4"/>
  <c r="S116" i="4"/>
  <c r="S88" i="4"/>
  <c r="S82" i="4"/>
  <c r="S60" i="4"/>
  <c r="S54" i="4"/>
  <c r="S55" i="4"/>
  <c r="S71" i="4"/>
  <c r="S57" i="4"/>
  <c r="S120" i="4"/>
  <c r="S53" i="4"/>
  <c r="S130" i="4"/>
  <c r="S118" i="4"/>
  <c r="S124" i="4"/>
  <c r="S121" i="4"/>
  <c r="S52" i="4"/>
  <c r="S17" i="4"/>
  <c r="S75" i="4"/>
  <c r="S81" i="4"/>
  <c r="S74" i="4"/>
  <c r="S11" i="4"/>
  <c r="S133" i="4"/>
  <c r="S134" i="4"/>
  <c r="Z47" i="4"/>
  <c r="Z133" i="4"/>
  <c r="Z130" i="4"/>
  <c r="Z52" i="4"/>
  <c r="Z57" i="4"/>
  <c r="Z54" i="4"/>
  <c r="Z88" i="4"/>
  <c r="Z32" i="4"/>
  <c r="S16" i="4"/>
  <c r="S122" i="4"/>
  <c r="S47" i="4"/>
  <c r="S126" i="4"/>
  <c r="S123" i="4"/>
  <c r="S127" i="4"/>
  <c r="Z51" i="4"/>
  <c r="S131" i="4"/>
  <c r="S18" i="4"/>
  <c r="AZ12" i="2"/>
  <c r="CF12" i="2" s="1"/>
  <c r="AM278" i="2"/>
  <c r="P278" i="2" s="1"/>
  <c r="CE151" i="2"/>
  <c r="AI13" i="2"/>
  <c r="DW309" i="2"/>
  <c r="BL250" i="2"/>
  <c r="EJ250" i="2" s="1"/>
  <c r="BF309" i="2"/>
  <c r="CE302" i="2"/>
  <c r="CE13" i="2"/>
  <c r="BF13" i="2"/>
  <c r="CG13" i="2" s="1"/>
  <c r="AM280" i="2"/>
  <c r="EJ309" i="2"/>
  <c r="AM12" i="2"/>
  <c r="CH12" i="2" s="1"/>
  <c r="CC12" i="2" s="1"/>
  <c r="EJ218" i="2"/>
  <c r="BF12" i="2"/>
  <c r="AM309" i="2"/>
  <c r="O113" i="4"/>
  <c r="BI114" i="4"/>
  <c r="AZ283" i="2"/>
  <c r="BI115" i="4"/>
  <c r="AI283" i="2"/>
  <c r="BF283" i="2"/>
  <c r="BG283" i="2"/>
  <c r="AM186" i="2"/>
  <c r="BW186" i="2" s="1"/>
  <c r="EJ322" i="2"/>
  <c r="BF169" i="2"/>
  <c r="P325" i="2"/>
  <c r="A325" i="2" s="1"/>
  <c r="G325" i="2" s="1"/>
  <c r="AM283" i="2"/>
  <c r="CE225" i="2"/>
  <c r="CE327" i="2"/>
  <c r="BG182" i="2"/>
  <c r="EK182" i="2" s="1"/>
  <c r="BQ307" i="2"/>
  <c r="BL235" i="2"/>
  <c r="BG153" i="2"/>
  <c r="AM140" i="2"/>
  <c r="CE202" i="2"/>
  <c r="CE296" i="2"/>
  <c r="BG212" i="2"/>
  <c r="CK326" i="2"/>
  <c r="AI277" i="2"/>
  <c r="AZ274" i="2"/>
  <c r="BG209" i="2"/>
  <c r="BL209" i="2" s="1"/>
  <c r="DW209" i="2" s="1"/>
  <c r="BG12" i="2"/>
  <c r="EK12" i="2" s="1"/>
  <c r="AI12" i="2"/>
  <c r="AT264" i="2"/>
  <c r="ER264" i="2"/>
  <c r="EJ330" i="2"/>
  <c r="BQ330" i="2"/>
  <c r="BG22" i="2"/>
  <c r="AZ22" i="2"/>
  <c r="AM82" i="2"/>
  <c r="CK82" i="2" s="1"/>
  <c r="BF82" i="2"/>
  <c r="BW142" i="2"/>
  <c r="AZ320" i="2"/>
  <c r="AM79" i="2"/>
  <c r="ER238" i="2"/>
  <c r="CE333" i="2"/>
  <c r="BG238" i="2"/>
  <c r="CE209" i="2"/>
  <c r="CE321" i="2"/>
  <c r="AZ227" i="2"/>
  <c r="BG144" i="2"/>
  <c r="Y11" i="54"/>
  <c r="AC11" i="54"/>
  <c r="U6" i="54"/>
  <c r="AM264" i="2"/>
  <c r="BQ152" i="2"/>
  <c r="AT239" i="2"/>
  <c r="AM248" i="2"/>
  <c r="DM196" i="2"/>
  <c r="DC196" i="2" s="1"/>
  <c r="AM121" i="2"/>
  <c r="P121" i="2" s="1"/>
  <c r="A121" i="2" s="1"/>
  <c r="CE164" i="2"/>
  <c r="AM164" i="2"/>
  <c r="CK13" i="2"/>
  <c r="BQ214" i="2"/>
  <c r="AM305" i="2"/>
  <c r="P305" i="2" s="1"/>
  <c r="U14" i="54"/>
  <c r="U23" i="54"/>
  <c r="AZ308" i="2"/>
  <c r="AC9" i="54"/>
  <c r="U13" i="54"/>
  <c r="U11" i="54"/>
  <c r="U21" i="54"/>
  <c r="AZ293" i="2"/>
  <c r="K51" i="4" a="1"/>
  <c r="K51" i="4" s="1"/>
  <c r="U22" i="54"/>
  <c r="CK291" i="2"/>
  <c r="BA54" i="47"/>
  <c r="P328" i="2"/>
  <c r="A328" i="2" s="1"/>
  <c r="BW328" i="2"/>
  <c r="AI191" i="2"/>
  <c r="AM301" i="2"/>
  <c r="DM92" i="2"/>
  <c r="DC92" i="2" s="1"/>
  <c r="EJ92" i="2"/>
  <c r="CE25" i="2"/>
  <c r="BL328" i="2"/>
  <c r="EJ328" i="2" s="1"/>
  <c r="CE270" i="2"/>
  <c r="AM270" i="2"/>
  <c r="P270" i="2" s="1"/>
  <c r="A270" i="2" s="1"/>
  <c r="BL332" i="2"/>
  <c r="BF290" i="2"/>
  <c r="BG248" i="2"/>
  <c r="EK248" i="2" s="1"/>
  <c r="CE339" i="2"/>
  <c r="AM339" i="2"/>
  <c r="CD342" i="2"/>
  <c r="CE293" i="2"/>
  <c r="AM293" i="2"/>
  <c r="CK293" i="2" s="1"/>
  <c r="AM198" i="2"/>
  <c r="CE266" i="2"/>
  <c r="AM266" i="2"/>
  <c r="CK266" i="2" s="1"/>
  <c r="CE284" i="2"/>
  <c r="DM322" i="2"/>
  <c r="DC322" i="2" s="1"/>
  <c r="AM299" i="2"/>
  <c r="CK299" i="2" s="1"/>
  <c r="CE330" i="2"/>
  <c r="AM29" i="2"/>
  <c r="P29" i="2" s="1"/>
  <c r="A29" i="2" s="1"/>
  <c r="BG127" i="2"/>
  <c r="AZ127" i="2"/>
  <c r="CH209" i="2"/>
  <c r="CC209" i="2" s="1"/>
  <c r="AM253" i="2"/>
  <c r="BL256" i="2"/>
  <c r="EJ256" i="2" s="1"/>
  <c r="X5" i="54"/>
  <c r="Y5" i="54" s="1"/>
  <c r="DW274" i="2"/>
  <c r="Z9" i="4"/>
  <c r="Z138" i="4"/>
  <c r="Z139" i="4"/>
  <c r="Z141" i="4"/>
  <c r="BL159" i="2"/>
  <c r="BL296" i="2"/>
  <c r="CE159" i="2"/>
  <c r="AM159" i="2"/>
  <c r="AM147" i="2"/>
  <c r="AM14" i="2"/>
  <c r="CK14" i="2" s="1"/>
  <c r="CE14" i="2"/>
  <c r="CE273" i="2"/>
  <c r="BL278" i="2"/>
  <c r="BG66" i="2"/>
  <c r="BL66" i="2" s="1"/>
  <c r="BF339" i="2"/>
  <c r="CG339" i="2" s="1"/>
  <c r="AZ162" i="2"/>
  <c r="AI162" i="2"/>
  <c r="BG319" i="2"/>
  <c r="EK319" i="2" s="1"/>
  <c r="BF163" i="2"/>
  <c r="BG289" i="2"/>
  <c r="EK289" i="2" s="1"/>
  <c r="AM206" i="2"/>
  <c r="BW206" i="2" s="1"/>
  <c r="Y28" i="54"/>
  <c r="U24" i="54"/>
  <c r="AC13" i="54"/>
  <c r="AC14" i="54"/>
  <c r="U8" i="54"/>
  <c r="AC6" i="54"/>
  <c r="AC19" i="54"/>
  <c r="AB5" i="54"/>
  <c r="AC5" i="54" s="1"/>
  <c r="Y12" i="54"/>
  <c r="AC17" i="54"/>
  <c r="Y13" i="54"/>
  <c r="AC18" i="54"/>
  <c r="Y15" i="54"/>
  <c r="U9" i="54"/>
  <c r="AC7" i="54"/>
  <c r="U10" i="54"/>
  <c r="Y9" i="54"/>
  <c r="U15" i="54"/>
  <c r="AC12" i="54"/>
  <c r="U16" i="54"/>
  <c r="Y14" i="54"/>
  <c r="U17" i="54"/>
  <c r="Y17" i="54"/>
  <c r="U18" i="54"/>
  <c r="AC8" i="54"/>
  <c r="U19" i="54"/>
  <c r="Y10" i="54"/>
  <c r="U20" i="54"/>
  <c r="Y16" i="54"/>
  <c r="Y7" i="54"/>
  <c r="Y22" i="54"/>
  <c r="Y18" i="54"/>
  <c r="Y23" i="54"/>
  <c r="Y24" i="54"/>
  <c r="Y25" i="54"/>
  <c r="Y27" i="54"/>
  <c r="Y31" i="54"/>
  <c r="A278" i="2"/>
  <c r="BW234" i="2"/>
  <c r="CD75" i="2"/>
  <c r="CK111" i="2"/>
  <c r="DM325" i="2"/>
  <c r="DC325" i="2" s="1"/>
  <c r="CD169" i="2"/>
  <c r="CK169" i="2"/>
  <c r="CF169" i="2"/>
  <c r="P175" i="2"/>
  <c r="A175" i="2" s="1"/>
  <c r="CK175" i="2"/>
  <c r="BL232" i="2"/>
  <c r="DM232" i="2" s="1"/>
  <c r="DC232" i="2" s="1"/>
  <c r="DW232" i="2"/>
  <c r="EK316" i="2"/>
  <c r="P165" i="2"/>
  <c r="A165" i="2" s="1"/>
  <c r="CK296" i="2"/>
  <c r="P100" i="2"/>
  <c r="EK170" i="2"/>
  <c r="DW325" i="2"/>
  <c r="Z105" i="4"/>
  <c r="Z36" i="4"/>
  <c r="Z34" i="4"/>
  <c r="Z106" i="4"/>
  <c r="Z107" i="4"/>
  <c r="Z33" i="4"/>
  <c r="S39" i="4"/>
  <c r="S26" i="4"/>
  <c r="S78" i="4"/>
  <c r="S111" i="4"/>
  <c r="S23" i="4"/>
  <c r="S27" i="4"/>
  <c r="S83" i="4"/>
  <c r="S101" i="4"/>
  <c r="S25" i="4"/>
  <c r="S69" i="4"/>
  <c r="S38" i="4"/>
  <c r="S20" i="4"/>
  <c r="Z71" i="4"/>
  <c r="K44" i="4" a="1"/>
  <c r="K44" i="4" s="1"/>
  <c r="CE242" i="2"/>
  <c r="BS266" i="2"/>
  <c r="ER266" i="2"/>
  <c r="AT266" i="2"/>
  <c r="AM119" i="2"/>
  <c r="AR119" i="2" s="1" a="1"/>
  <c r="AR119" i="2" s="1"/>
  <c r="CE119" i="2"/>
  <c r="EK39" i="2"/>
  <c r="AM230" i="2"/>
  <c r="CE230" i="2"/>
  <c r="AM138" i="2"/>
  <c r="BC244" i="2"/>
  <c r="BW91" i="2"/>
  <c r="BW50" i="2"/>
  <c r="AM288" i="2"/>
  <c r="AM15" i="2"/>
  <c r="AR15" i="2" s="1" a="1"/>
  <c r="AR15" i="2" s="1"/>
  <c r="CE15" i="2"/>
  <c r="BQ80" i="2"/>
  <c r="BC58" i="2"/>
  <c r="CK243" i="2"/>
  <c r="ET5" i="2"/>
  <c r="BL12" i="2"/>
  <c r="EK209" i="2"/>
  <c r="BG271" i="2"/>
  <c r="BL271" i="2" s="1"/>
  <c r="BI111" i="4"/>
  <c r="O111" i="4"/>
  <c r="AM132" i="2"/>
  <c r="BW132" i="2" s="1"/>
  <c r="AI163" i="2"/>
  <c r="BG163" i="2"/>
  <c r="AT320" i="2"/>
  <c r="BF137" i="2"/>
  <c r="BG31" i="2"/>
  <c r="AI31" i="2"/>
  <c r="BG337" i="2"/>
  <c r="CD279" i="2"/>
  <c r="AI296" i="2"/>
  <c r="AZ226" i="2"/>
  <c r="BG253" i="2"/>
  <c r="BL253" i="2" s="1"/>
  <c r="DW253" i="2" s="1"/>
  <c r="BQ262" i="2"/>
  <c r="DW262" i="2"/>
  <c r="R31" i="19"/>
  <c r="DM152" i="2"/>
  <c r="DC152" i="2" s="1"/>
  <c r="AM160" i="2"/>
  <c r="AR160" i="2" s="1" a="1"/>
  <c r="AR160" i="2" s="1"/>
  <c r="AM273" i="2"/>
  <c r="BW273" i="2" s="1"/>
  <c r="CE313" i="2"/>
  <c r="AM313" i="2"/>
  <c r="BW313" i="2" s="1"/>
  <c r="AZ157" i="2"/>
  <c r="AG61" i="19"/>
  <c r="CE91" i="2"/>
  <c r="CE279" i="2"/>
  <c r="CK305" i="2"/>
  <c r="BL266" i="2"/>
  <c r="EK37" i="2"/>
  <c r="CK333" i="2"/>
  <c r="BL87" i="2"/>
  <c r="BG166" i="2"/>
  <c r="AI166" i="2"/>
  <c r="AI340" i="2"/>
  <c r="EK333" i="2"/>
  <c r="DW148" i="2"/>
  <c r="AM157" i="2"/>
  <c r="CE306" i="2"/>
  <c r="BG62" i="2"/>
  <c r="EK62" i="2" s="1"/>
  <c r="AI62" i="2"/>
  <c r="AM9" i="2"/>
  <c r="CE9" i="2"/>
  <c r="BF65" i="2"/>
  <c r="EJ140" i="2"/>
  <c r="AM271" i="2"/>
  <c r="BW271" i="2" s="1"/>
  <c r="BF271" i="2"/>
  <c r="AM311" i="2"/>
  <c r="CE311" i="2"/>
  <c r="K135" i="4" a="1"/>
  <c r="K135" i="4" s="1"/>
  <c r="BG272" i="2"/>
  <c r="AZ272" i="2"/>
  <c r="K52" i="4" a="1"/>
  <c r="K52" i="4" s="1"/>
  <c r="K5" i="45"/>
  <c r="K11" i="45"/>
  <c r="CE332" i="2"/>
  <c r="K46" i="45"/>
  <c r="AT238" i="2"/>
  <c r="BS238" i="2"/>
  <c r="K53" i="4" a="1"/>
  <c r="K53" i="4" s="1"/>
  <c r="CH281" i="2"/>
  <c r="CC281" i="2" s="1"/>
  <c r="CD281" i="2"/>
  <c r="K127" i="4" a="1"/>
  <c r="K127" i="4" s="1"/>
  <c r="K35" i="45"/>
  <c r="K38" i="4" a="1"/>
  <c r="K38" i="4" s="1"/>
  <c r="K84" i="4" a="1"/>
  <c r="K84" i="4" s="1"/>
  <c r="AG33" i="19"/>
  <c r="K19" i="4" a="1"/>
  <c r="K19" i="4" s="1"/>
  <c r="Y6" i="54"/>
  <c r="BF331" i="2"/>
  <c r="Y32" i="54"/>
  <c r="BL15" i="2"/>
  <c r="P299" i="2"/>
  <c r="A299" i="2" s="1"/>
  <c r="F299" i="2" s="1"/>
  <c r="BW299" i="2"/>
  <c r="EJ232" i="2"/>
  <c r="BQ296" i="2"/>
  <c r="ES52" i="2"/>
  <c r="BG68" i="2"/>
  <c r="EK68" i="2" s="1"/>
  <c r="BC68" i="2"/>
  <c r="AI68" i="2"/>
  <c r="CE116" i="2"/>
  <c r="CE149" i="2"/>
  <c r="AM149" i="2"/>
  <c r="AM156" i="2"/>
  <c r="BG76" i="2"/>
  <c r="EK76" i="2" s="1"/>
  <c r="CE84" i="2"/>
  <c r="CE336" i="2"/>
  <c r="BQ325" i="2"/>
  <c r="CE58" i="2"/>
  <c r="AI69" i="2"/>
  <c r="CD96" i="2"/>
  <c r="AI295" i="2"/>
  <c r="AM322" i="2"/>
  <c r="CD322" i="2" s="1"/>
  <c r="CE322" i="2"/>
  <c r="CF148" i="2"/>
  <c r="P148" i="2"/>
  <c r="A148" i="2" s="1"/>
  <c r="AM285" i="2"/>
  <c r="CE236" i="2"/>
  <c r="BS240" i="2"/>
  <c r="BG258" i="2"/>
  <c r="BL258" i="2" s="1"/>
  <c r="CE265" i="2"/>
  <c r="AM183" i="2"/>
  <c r="CE183" i="2"/>
  <c r="AM158" i="2"/>
  <c r="CE158" i="2"/>
  <c r="CE167" i="2"/>
  <c r="AM193" i="2"/>
  <c r="CE193" i="2"/>
  <c r="AI226" i="2"/>
  <c r="AZ333" i="2"/>
  <c r="BS320" i="2"/>
  <c r="CE184" i="2"/>
  <c r="AM184" i="2"/>
  <c r="BG215" i="2"/>
  <c r="BC215" i="2"/>
  <c r="EI14" i="2"/>
  <c r="CE34" i="2"/>
  <c r="ET57" i="2"/>
  <c r="BF215" i="2"/>
  <c r="AZ253" i="2"/>
  <c r="AI321" i="2"/>
  <c r="BL327" i="2"/>
  <c r="EK327" i="2"/>
  <c r="CK331" i="2"/>
  <c r="AG56" i="19"/>
  <c r="BG241" i="2"/>
  <c r="EK241" i="2" s="1"/>
  <c r="CE113" i="2"/>
  <c r="AI216" i="2"/>
  <c r="AM295" i="2"/>
  <c r="CH295" i="2" s="1"/>
  <c r="CC295" i="2" s="1"/>
  <c r="K20" i="4" a="1"/>
  <c r="K20" i="4" s="1"/>
  <c r="CE137" i="2"/>
  <c r="AI177" i="2"/>
  <c r="AM260" i="2"/>
  <c r="AZ319" i="2"/>
  <c r="K24" i="4" a="1"/>
  <c r="K24" i="4" s="1"/>
  <c r="CE215" i="2"/>
  <c r="AM215" i="2"/>
  <c r="BW215" i="2" s="1"/>
  <c r="DW323" i="2"/>
  <c r="Y8" i="54"/>
  <c r="AZ298" i="2"/>
  <c r="K6" i="45"/>
  <c r="A246" i="2"/>
  <c r="BF291" i="2"/>
  <c r="BW326" i="2"/>
  <c r="K109" i="4" a="1"/>
  <c r="K109" i="4" s="1"/>
  <c r="K123" i="4" a="1"/>
  <c r="K123" i="4" s="1"/>
  <c r="DE3" i="4"/>
  <c r="BI42" i="4"/>
  <c r="DM316" i="2"/>
  <c r="DC316" i="2" s="1"/>
  <c r="EK293" i="2"/>
  <c r="P291" i="2"/>
  <c r="EJ316" i="2"/>
  <c r="EJ293" i="2"/>
  <c r="CE237" i="2"/>
  <c r="BF262" i="2"/>
  <c r="EK263" i="2"/>
  <c r="EM91" i="2"/>
  <c r="EN91" i="2" s="1"/>
  <c r="AM101" i="2"/>
  <c r="AR101" i="2" s="1" a="1"/>
  <c r="AR101" i="2" s="1"/>
  <c r="AM341" i="2"/>
  <c r="AR341" i="2" s="1" a="1"/>
  <c r="AR341" i="2" s="1"/>
  <c r="AM60" i="2"/>
  <c r="CE33" i="2"/>
  <c r="CD249" i="2"/>
  <c r="BW25" i="2"/>
  <c r="BW325" i="2"/>
  <c r="BF235" i="2"/>
  <c r="CG235" i="2" s="1"/>
  <c r="CE41" i="2"/>
  <c r="BF70" i="2"/>
  <c r="CE323" i="2"/>
  <c r="AM323" i="2"/>
  <c r="EJ152" i="2"/>
  <c r="BG243" i="2"/>
  <c r="CE243" i="2"/>
  <c r="K93" i="4" a="1"/>
  <c r="K93" i="4" s="1"/>
  <c r="P362" i="10"/>
  <c r="CU80" i="2"/>
  <c r="CE133" i="2"/>
  <c r="AM133" i="2"/>
  <c r="EK13" i="2"/>
  <c r="BL13" i="2"/>
  <c r="DA218" i="2"/>
  <c r="ER241" i="2"/>
  <c r="P83" i="47"/>
  <c r="EJ262" i="2"/>
  <c r="CE92" i="2"/>
  <c r="CE100" i="2"/>
  <c r="AM162" i="2"/>
  <c r="AR162" i="2" s="1" a="1"/>
  <c r="AR162" i="2" s="1"/>
  <c r="EJ340" i="2"/>
  <c r="BQ340" i="2"/>
  <c r="CE316" i="2"/>
  <c r="AM316" i="2"/>
  <c r="AR316" i="2" s="1" a="1"/>
  <c r="AR316" i="2" s="1"/>
  <c r="BX316" i="2" s="1"/>
  <c r="BJ25" i="2"/>
  <c r="BL192" i="2"/>
  <c r="DW192" i="2" s="1"/>
  <c r="CE295" i="2"/>
  <c r="CE233" i="2"/>
  <c r="BF100" i="2"/>
  <c r="CE217" i="2"/>
  <c r="BL113" i="2"/>
  <c r="AI187" i="2"/>
  <c r="BF213" i="2"/>
  <c r="BG107" i="2"/>
  <c r="AZ107" i="2"/>
  <c r="BF199" i="2"/>
  <c r="BF223" i="2"/>
  <c r="CG223" i="2" s="1"/>
  <c r="ET140" i="2"/>
  <c r="BF41" i="2"/>
  <c r="CE156" i="2"/>
  <c r="AZ177" i="2"/>
  <c r="BG249" i="2"/>
  <c r="BL249" i="2" s="1"/>
  <c r="EJ249" i="2" s="1"/>
  <c r="AM66" i="2"/>
  <c r="CD66" i="2" s="1"/>
  <c r="CE66" i="2"/>
  <c r="BF158" i="2"/>
  <c r="AZ68" i="2"/>
  <c r="K128" i="4" a="1"/>
  <c r="K128" i="4" s="1"/>
  <c r="K24" i="45"/>
  <c r="AI318" i="2"/>
  <c r="K132" i="4" a="1"/>
  <c r="K132" i="4" s="1"/>
  <c r="K12" i="45"/>
  <c r="K36" i="45"/>
  <c r="K116" i="4" a="1"/>
  <c r="K116" i="4" s="1"/>
  <c r="BF275" i="2"/>
  <c r="CG275" i="2" s="1"/>
  <c r="BF274" i="2"/>
  <c r="CG274" i="2" s="1"/>
  <c r="AG6" i="19"/>
  <c r="BF289" i="2"/>
  <c r="CG289" i="2" s="1"/>
  <c r="K28" i="4" a="1"/>
  <c r="K28" i="4" s="1"/>
  <c r="AZ268" i="2"/>
  <c r="K65" i="45"/>
  <c r="AI84" i="2"/>
  <c r="AZ181" i="2"/>
  <c r="K98" i="4" a="1"/>
  <c r="K98" i="4" s="1"/>
  <c r="K51" i="45"/>
  <c r="K45" i="45"/>
  <c r="U12" i="54"/>
  <c r="U7" i="54"/>
  <c r="CK75" i="2"/>
  <c r="CH75" i="2"/>
  <c r="CC75" i="2" s="1"/>
  <c r="BL289" i="2"/>
  <c r="BQ289" i="2" s="1"/>
  <c r="P132" i="2"/>
  <c r="A132" i="2" s="1"/>
  <c r="G132" i="2" s="1"/>
  <c r="EJ278" i="2"/>
  <c r="CE60" i="2"/>
  <c r="DG218" i="2"/>
  <c r="BQ217" i="2"/>
  <c r="CE172" i="2"/>
  <c r="EJ217" i="2"/>
  <c r="P18" i="19"/>
  <c r="P507" i="10"/>
  <c r="K83" i="4" a="1"/>
  <c r="K83" i="4" s="1"/>
  <c r="K80" i="4" a="1"/>
  <c r="K80" i="4" s="1"/>
  <c r="K134" i="4" a="1"/>
  <c r="K134" i="4" s="1"/>
  <c r="K133" i="4" a="1"/>
  <c r="K133" i="4" s="1"/>
  <c r="P95" i="10"/>
  <c r="EI58" i="2"/>
  <c r="AZ215" i="2"/>
  <c r="CE75" i="2"/>
  <c r="AM205" i="2"/>
  <c r="BF205" i="2"/>
  <c r="G29" i="19"/>
  <c r="DM140" i="2"/>
  <c r="DC140" i="2" s="1"/>
  <c r="AZ55" i="2"/>
  <c r="BG55" i="2"/>
  <c r="BG244" i="2"/>
  <c r="AZ244" i="2"/>
  <c r="BG280" i="2"/>
  <c r="AM290" i="2"/>
  <c r="CE290" i="2"/>
  <c r="CR154" i="2"/>
  <c r="CT140" i="2"/>
  <c r="BJ10" i="2"/>
  <c r="ES25" i="2"/>
  <c r="BJ89" i="2"/>
  <c r="P107" i="47"/>
  <c r="AM220" i="2"/>
  <c r="BW220" i="2" s="1"/>
  <c r="BL255" i="2"/>
  <c r="EK255" i="2"/>
  <c r="G24" i="19"/>
  <c r="AZ232" i="2"/>
  <c r="AM210" i="2"/>
  <c r="AI254" i="2"/>
  <c r="CE155" i="2"/>
  <c r="AI193" i="2"/>
  <c r="BG193" i="2"/>
  <c r="BL193" i="2" s="1"/>
  <c r="CT193" i="2" s="1"/>
  <c r="BG246" i="2"/>
  <c r="CE246" i="2"/>
  <c r="K30" i="4" a="1"/>
  <c r="K30" i="4" s="1"/>
  <c r="K32" i="4" a="1"/>
  <c r="K32" i="4" s="1"/>
  <c r="AI80" i="2"/>
  <c r="AM227" i="2"/>
  <c r="BF227" i="2"/>
  <c r="AM232" i="2"/>
  <c r="CE232" i="2"/>
  <c r="BF232" i="2"/>
  <c r="AG25" i="19"/>
  <c r="AG37" i="19"/>
  <c r="P37" i="19"/>
  <c r="EI23" i="2"/>
  <c r="BL25" i="2"/>
  <c r="CT25" i="2" s="1"/>
  <c r="EK25" i="2"/>
  <c r="CE249" i="2"/>
  <c r="BF249" i="2"/>
  <c r="CE263" i="2"/>
  <c r="BL302" i="2"/>
  <c r="EK302" i="2"/>
  <c r="BG52" i="2"/>
  <c r="AI52" i="2"/>
  <c r="BC52" i="2"/>
  <c r="EI53" i="2"/>
  <c r="ET53" i="2"/>
  <c r="BJ53" i="2"/>
  <c r="AZ122" i="2"/>
  <c r="CE148" i="2"/>
  <c r="AI195" i="2"/>
  <c r="G25" i="19"/>
  <c r="BS45" i="2"/>
  <c r="ER45" i="2"/>
  <c r="CE95" i="2"/>
  <c r="AI224" i="2"/>
  <c r="AZ5" i="2"/>
  <c r="BF59" i="2"/>
  <c r="CD336" i="2"/>
  <c r="G30" i="19"/>
  <c r="AI157" i="2"/>
  <c r="AZ142" i="2"/>
  <c r="AH24" i="19"/>
  <c r="P36" i="10"/>
  <c r="P655" i="10"/>
  <c r="P421" i="10"/>
  <c r="P123" i="10"/>
  <c r="P491" i="10"/>
  <c r="CE218" i="2"/>
  <c r="BL334" i="2"/>
  <c r="EJ334" i="2" s="1"/>
  <c r="AZ216" i="2"/>
  <c r="CK144" i="2"/>
  <c r="DM151" i="2"/>
  <c r="DC151" i="2" s="1"/>
  <c r="BQ151" i="2"/>
  <c r="BF188" i="2"/>
  <c r="CH333" i="2"/>
  <c r="CC333" i="2" s="1"/>
  <c r="CH269" i="2"/>
  <c r="CC269" i="2" s="1"/>
  <c r="AZ52" i="2"/>
  <c r="BJ115" i="2"/>
  <c r="CH144" i="2"/>
  <c r="CC144" i="2" s="1"/>
  <c r="CX80" i="2"/>
  <c r="ET118" i="2"/>
  <c r="G19" i="19"/>
  <c r="R56" i="19"/>
  <c r="EJ150" i="2"/>
  <c r="P258" i="10"/>
  <c r="P625" i="10"/>
  <c r="P440" i="10"/>
  <c r="CE195" i="2"/>
  <c r="AZ51" i="2"/>
  <c r="BF9" i="2"/>
  <c r="BG28" i="2"/>
  <c r="EM28" i="2" s="1"/>
  <c r="EN28" i="2" s="1"/>
  <c r="CE73" i="2"/>
  <c r="R58" i="19"/>
  <c r="ET10" i="2"/>
  <c r="BS230" i="2"/>
  <c r="ER230" i="2"/>
  <c r="AZ237" i="2"/>
  <c r="AI312" i="2"/>
  <c r="BF62" i="2"/>
  <c r="AM98" i="2"/>
  <c r="CE98" i="2"/>
  <c r="BF142" i="2"/>
  <c r="P142" i="2"/>
  <c r="A142" i="2" s="1"/>
  <c r="F142" i="2" s="1"/>
  <c r="BQ148" i="2"/>
  <c r="BG167" i="2"/>
  <c r="ES130" i="2"/>
  <c r="AI171" i="2"/>
  <c r="CR80" i="2"/>
  <c r="EL80" i="2"/>
  <c r="ES123" i="2"/>
  <c r="AI325" i="2"/>
  <c r="P334" i="2"/>
  <c r="A334" i="2" s="1"/>
  <c r="F334" i="2" s="1"/>
  <c r="CK334" i="2"/>
  <c r="AZ61" i="2"/>
  <c r="BW111" i="2"/>
  <c r="BF7" i="2"/>
  <c r="CG7" i="2" s="1"/>
  <c r="BJ45" i="2"/>
  <c r="AZ56" i="2"/>
  <c r="CD56" i="2" s="1"/>
  <c r="AM171" i="2"/>
  <c r="AM221" i="2"/>
  <c r="CE197" i="2"/>
  <c r="AQ56" i="2"/>
  <c r="EJ91" i="2"/>
  <c r="DM91" i="2"/>
  <c r="DC91" i="2" s="1"/>
  <c r="CH156" i="2"/>
  <c r="CC156" i="2" s="1"/>
  <c r="BG46" i="2"/>
  <c r="AI46" i="2"/>
  <c r="AI76" i="2"/>
  <c r="BC153" i="2"/>
  <c r="AM190" i="2"/>
  <c r="AR190" i="2" s="1" a="1"/>
  <c r="AR190" i="2" s="1"/>
  <c r="BX190" i="2" s="1"/>
  <c r="BY190" i="2" s="1"/>
  <c r="CE190" i="2"/>
  <c r="BG208" i="2"/>
  <c r="AZ208" i="2"/>
  <c r="ET8" i="2"/>
  <c r="BJ8" i="2"/>
  <c r="CE135" i="2"/>
  <c r="AI146" i="2"/>
  <c r="AI153" i="2"/>
  <c r="EJ281" i="2"/>
  <c r="DW281" i="2"/>
  <c r="BW327" i="2"/>
  <c r="BF10" i="2"/>
  <c r="CG10" i="2" s="1"/>
  <c r="CE20" i="2"/>
  <c r="AM20" i="2"/>
  <c r="AI58" i="2"/>
  <c r="BG58" i="2"/>
  <c r="AZ58" i="2"/>
  <c r="BF256" i="2"/>
  <c r="CG256" i="2" s="1"/>
  <c r="ER240" i="2"/>
  <c r="BG240" i="2"/>
  <c r="EK240" i="2" s="1"/>
  <c r="CH306" i="2"/>
  <c r="CC306" i="2" s="1"/>
  <c r="R23" i="19"/>
  <c r="BF312" i="2"/>
  <c r="CG312" i="2"/>
  <c r="BF164" i="2"/>
  <c r="BF212" i="2"/>
  <c r="R48" i="19"/>
  <c r="AZ238" i="2"/>
  <c r="AI238" i="2"/>
  <c r="CE281" i="2"/>
  <c r="AI285" i="2"/>
  <c r="AI250" i="2"/>
  <c r="AZ240" i="2"/>
  <c r="EI49" i="2"/>
  <c r="BW177" i="2"/>
  <c r="BG103" i="2"/>
  <c r="BL103" i="2" s="1"/>
  <c r="AI103" i="2"/>
  <c r="CE81" i="2"/>
  <c r="AM81" i="2"/>
  <c r="P81" i="2" s="1"/>
  <c r="A81" i="2" s="1"/>
  <c r="G81" i="2" s="1"/>
  <c r="DW149" i="2"/>
  <c r="AQ170" i="2"/>
  <c r="AI201" i="2"/>
  <c r="CE250" i="2"/>
  <c r="AM250" i="2"/>
  <c r="AR250" i="2" s="1" a="1"/>
  <c r="AR250" i="2" s="1"/>
  <c r="BX250" i="2" s="1"/>
  <c r="BY250" i="2" s="1"/>
  <c r="CF281" i="2"/>
  <c r="BF272" i="2"/>
  <c r="CG272" i="2" s="1"/>
  <c r="K76" i="4" a="1"/>
  <c r="K76" i="4" s="1"/>
  <c r="BF143" i="2"/>
  <c r="AI161" i="2"/>
  <c r="BW269" i="2"/>
  <c r="AI65" i="2"/>
  <c r="AZ192" i="2"/>
  <c r="CF192" i="2" s="1"/>
  <c r="AI286" i="2"/>
  <c r="BG286" i="2" s="1"/>
  <c r="EK286" i="2" s="1"/>
  <c r="CF342" i="2"/>
  <c r="AI309" i="2"/>
  <c r="BF185" i="2"/>
  <c r="K49" i="4" a="1"/>
  <c r="K49" i="4" s="1"/>
  <c r="BF55" i="2"/>
  <c r="AI243" i="2"/>
  <c r="BF251" i="2"/>
  <c r="CG251" i="2" s="1"/>
  <c r="K15" i="4" a="1"/>
  <c r="K15" i="4" s="1"/>
  <c r="BI21" i="4"/>
  <c r="BL298" i="2"/>
  <c r="BW13" i="2"/>
  <c r="Y26" i="54"/>
  <c r="Y29" i="54"/>
  <c r="AQ306" i="2"/>
  <c r="AR306" i="2" s="1" a="1"/>
  <c r="AR306" i="2" s="1"/>
  <c r="BX306" i="2" s="1"/>
  <c r="BY306" i="2" s="1"/>
  <c r="K33" i="4" a="1"/>
  <c r="K33" i="4" s="1"/>
  <c r="O91" i="4"/>
  <c r="O69" i="4"/>
  <c r="O23" i="4"/>
  <c r="O14" i="4"/>
  <c r="CW64" i="4"/>
  <c r="BI125" i="4"/>
  <c r="O124" i="4"/>
  <c r="O41" i="4"/>
  <c r="BI76" i="4"/>
  <c r="O112" i="4"/>
  <c r="BI53" i="4"/>
  <c r="CL86" i="4"/>
  <c r="CM3" i="4"/>
  <c r="CM119" i="4"/>
  <c r="O38" i="4"/>
  <c r="BI55" i="4"/>
  <c r="DH66" i="4"/>
  <c r="DH3" i="4"/>
  <c r="O27" i="4"/>
  <c r="CN86" i="4"/>
  <c r="O81" i="4"/>
  <c r="CP119" i="4"/>
  <c r="CN119" i="4"/>
  <c r="BI82" i="4"/>
  <c r="O84" i="4"/>
  <c r="CL119" i="4"/>
  <c r="O70" i="4"/>
  <c r="O13" i="4"/>
  <c r="CN66" i="4"/>
  <c r="BI104" i="4"/>
  <c r="BI30" i="4"/>
  <c r="CS3" i="4"/>
  <c r="BI12" i="4"/>
  <c r="DE119" i="4"/>
  <c r="AR302" i="2" a="1"/>
  <c r="AR302" i="2" s="1"/>
  <c r="BX302" i="2" s="1"/>
  <c r="DF3" i="4"/>
  <c r="O35" i="4"/>
  <c r="BI63" i="4"/>
  <c r="CV66" i="4"/>
  <c r="BI120" i="4"/>
  <c r="O85" i="4"/>
  <c r="O15" i="4"/>
  <c r="BI26" i="4"/>
  <c r="CT119" i="4"/>
  <c r="CW66" i="4"/>
  <c r="CK2" i="4"/>
  <c r="DF64" i="4"/>
  <c r="CK119" i="4"/>
  <c r="DG64" i="4"/>
  <c r="DA65" i="4"/>
  <c r="O7" i="4"/>
  <c r="CW3" i="4"/>
  <c r="CU3" i="4"/>
  <c r="DB3" i="4"/>
  <c r="BI40" i="4"/>
  <c r="O122" i="4"/>
  <c r="DA86" i="4"/>
  <c r="O37" i="4"/>
  <c r="CT86" i="4"/>
  <c r="DA3" i="4"/>
  <c r="CU65" i="4"/>
  <c r="CU66" i="4"/>
  <c r="O83" i="4"/>
  <c r="CQ65" i="4"/>
  <c r="CS119" i="4"/>
  <c r="O18" i="4"/>
  <c r="CO64" i="4"/>
  <c r="DE66" i="4"/>
  <c r="O36" i="4"/>
  <c r="AH66" i="4"/>
  <c r="CQ3" i="4"/>
  <c r="DD119" i="4"/>
  <c r="DC119" i="4"/>
  <c r="O89" i="4"/>
  <c r="DD86" i="4"/>
  <c r="DC3" i="4"/>
  <c r="DB86" i="4"/>
  <c r="CV119" i="4"/>
  <c r="CQ119" i="4"/>
  <c r="CV86" i="4"/>
  <c r="CO3" i="4"/>
  <c r="CO86" i="4"/>
  <c r="DD66" i="4"/>
  <c r="O62" i="4"/>
  <c r="CU119" i="4"/>
  <c r="CX3" i="4"/>
  <c r="AR330" i="2" a="1"/>
  <c r="AR330" i="2" s="1"/>
  <c r="AR326" i="2" a="1"/>
  <c r="AR326" i="2" s="1"/>
  <c r="AU326" i="2" s="1"/>
  <c r="CO326" i="2" s="1"/>
  <c r="BF298" i="2"/>
  <c r="AR142" i="2" a="1"/>
  <c r="AR142" i="2" s="1"/>
  <c r="AR92" i="2" a="1"/>
  <c r="AR92" i="2" s="1"/>
  <c r="AM298" i="2"/>
  <c r="BW298" i="2" s="1"/>
  <c r="AI298" i="2"/>
  <c r="AR322" i="2" a="1"/>
  <c r="AR322" i="2" s="1"/>
  <c r="AR269" i="2" a="1"/>
  <c r="AR269" i="2" s="1"/>
  <c r="AR305" i="2" a="1"/>
  <c r="AR305" i="2" s="1"/>
  <c r="AU305" i="2" s="1"/>
  <c r="BQ333" i="2"/>
  <c r="EJ333" i="2"/>
  <c r="DM333" i="2"/>
  <c r="DC333" i="2" s="1"/>
  <c r="BG279" i="2"/>
  <c r="EK279" i="2" s="1"/>
  <c r="AI329" i="2"/>
  <c r="BC329" i="2"/>
  <c r="CH332" i="2"/>
  <c r="CC332" i="2" s="1"/>
  <c r="P332" i="2"/>
  <c r="A332" i="2" s="1"/>
  <c r="CK332" i="2"/>
  <c r="BF196" i="2"/>
  <c r="AZ301" i="2"/>
  <c r="BG304" i="2"/>
  <c r="AZ304" i="2"/>
  <c r="AT312" i="2"/>
  <c r="BS312" i="2"/>
  <c r="ER312" i="2"/>
  <c r="AM194" i="2"/>
  <c r="AM226" i="2"/>
  <c r="AR226" i="2" s="1" a="1"/>
  <c r="AR226" i="2" s="1"/>
  <c r="AU226" i="2" s="1"/>
  <c r="BF226" i="2"/>
  <c r="CE226" i="2"/>
  <c r="CE231" i="2"/>
  <c r="BF231" i="2"/>
  <c r="CG231" i="2" s="1"/>
  <c r="AM231" i="2"/>
  <c r="AI245" i="2"/>
  <c r="BC245" i="2"/>
  <c r="BF87" i="2"/>
  <c r="AM87" i="2"/>
  <c r="BW87" i="2" s="1"/>
  <c r="CE87" i="2"/>
  <c r="BG20" i="2"/>
  <c r="AM18" i="2"/>
  <c r="ET48" i="2"/>
  <c r="ET16" i="2"/>
  <c r="BJ16" i="2"/>
  <c r="EI16" i="2"/>
  <c r="ES37" i="2"/>
  <c r="ET37" i="2"/>
  <c r="AZ233" i="2"/>
  <c r="CK242" i="2"/>
  <c r="DW293" i="2"/>
  <c r="BQ293" i="2"/>
  <c r="BQ316" i="2"/>
  <c r="DM293" i="2"/>
  <c r="DC293" i="2" s="1"/>
  <c r="BQ232" i="2"/>
  <c r="DW278" i="2"/>
  <c r="CH265" i="2"/>
  <c r="CC265" i="2" s="1"/>
  <c r="CD265" i="2"/>
  <c r="BJ121" i="2"/>
  <c r="ES121" i="2"/>
  <c r="AM208" i="2"/>
  <c r="AR208" i="2" s="1" a="1"/>
  <c r="AR208" i="2" s="1"/>
  <c r="BX208" i="2" s="1"/>
  <c r="BY208" i="2" s="1"/>
  <c r="CE208" i="2"/>
  <c r="BG276" i="2"/>
  <c r="BF276" i="2"/>
  <c r="CG276" i="2" s="1"/>
  <c r="AM42" i="2"/>
  <c r="AZ44" i="2"/>
  <c r="BW84" i="2"/>
  <c r="BG111" i="2"/>
  <c r="EK111" i="2" s="1"/>
  <c r="BF202" i="2"/>
  <c r="P329" i="2"/>
  <c r="CE189" i="2"/>
  <c r="AM189" i="2"/>
  <c r="CH189" i="2" s="1"/>
  <c r="BS265" i="2"/>
  <c r="AT265" i="2"/>
  <c r="EK273" i="2"/>
  <c r="BL273" i="2"/>
  <c r="BQ273" i="2" s="1"/>
  <c r="AM308" i="2"/>
  <c r="CK308" i="2" s="1"/>
  <c r="BF308" i="2"/>
  <c r="CG308" i="2" s="1"/>
  <c r="AZ341" i="2"/>
  <c r="BF341" i="2"/>
  <c r="AI276" i="2"/>
  <c r="BF186" i="2"/>
  <c r="AI186" i="2"/>
  <c r="EJ220" i="2"/>
  <c r="EK250" i="2"/>
  <c r="EI82" i="2"/>
  <c r="BG17" i="2"/>
  <c r="BL23" i="2"/>
  <c r="CV23" i="2" s="1"/>
  <c r="EK23" i="2"/>
  <c r="BG38" i="2"/>
  <c r="BG83" i="2"/>
  <c r="AI83" i="2"/>
  <c r="BG181" i="2"/>
  <c r="BL181" i="2" s="1"/>
  <c r="AI181" i="2"/>
  <c r="AI311" i="2"/>
  <c r="EK314" i="2"/>
  <c r="BG173" i="2"/>
  <c r="EK173" i="2" s="1"/>
  <c r="AZ285" i="2"/>
  <c r="CE317" i="2"/>
  <c r="AM317" i="2"/>
  <c r="CH331" i="2"/>
  <c r="CC331" i="2" s="1"/>
  <c r="BC331" i="2"/>
  <c r="AI331" i="2"/>
  <c r="AZ331" i="2"/>
  <c r="CE331" i="2"/>
  <c r="BL338" i="2"/>
  <c r="EK338" i="2"/>
  <c r="CE117" i="2"/>
  <c r="AM117" i="2"/>
  <c r="BW117" i="2" s="1"/>
  <c r="CE297" i="2"/>
  <c r="BF297" i="2"/>
  <c r="CG297" i="2" s="1"/>
  <c r="BG102" i="2"/>
  <c r="EK102" i="2" s="1"/>
  <c r="AI102" i="2"/>
  <c r="AM191" i="2"/>
  <c r="P191" i="2" s="1"/>
  <c r="A191" i="2" s="1"/>
  <c r="BF191" i="2"/>
  <c r="BF189" i="2"/>
  <c r="EJ267" i="2"/>
  <c r="BQ267" i="2"/>
  <c r="ES64" i="2"/>
  <c r="EI64" i="2"/>
  <c r="ET64" i="2"/>
  <c r="P273" i="2"/>
  <c r="A273" i="2" s="1"/>
  <c r="AI306" i="2"/>
  <c r="BG236" i="2"/>
  <c r="BG341" i="2"/>
  <c r="EK341" i="2" s="1"/>
  <c r="BF91" i="2"/>
  <c r="CG91" i="2" s="1"/>
  <c r="BF105" i="2"/>
  <c r="AM176" i="2"/>
  <c r="AR176" i="2" s="1" a="1"/>
  <c r="AR176" i="2" s="1"/>
  <c r="CE176" i="2"/>
  <c r="CE181" i="2"/>
  <c r="BF300" i="2"/>
  <c r="BF214" i="2"/>
  <c r="CG214" i="2" s="1"/>
  <c r="ET18" i="2"/>
  <c r="BS236" i="2"/>
  <c r="BF178" i="2"/>
  <c r="BQ105" i="2"/>
  <c r="DM105" i="2"/>
  <c r="DC105" i="2" s="1"/>
  <c r="EJ105" i="2"/>
  <c r="BJ106" i="2"/>
  <c r="AM106" i="2"/>
  <c r="CE178" i="2"/>
  <c r="AI341" i="2"/>
  <c r="CE154" i="2"/>
  <c r="AM261" i="2"/>
  <c r="CE261" i="2"/>
  <c r="AM7" i="2"/>
  <c r="AI29" i="2"/>
  <c r="BW53" i="2"/>
  <c r="ES69" i="2"/>
  <c r="EI69" i="2"/>
  <c r="BF264" i="2"/>
  <c r="CG264" i="2" s="1"/>
  <c r="AI266" i="2"/>
  <c r="BF266" i="2"/>
  <c r="CG266" i="2" s="1"/>
  <c r="BC60" i="2"/>
  <c r="BG60" i="2"/>
  <c r="EK60" i="2" s="1"/>
  <c r="AM235" i="2"/>
  <c r="BG260" i="2"/>
  <c r="BJ61" i="2"/>
  <c r="ES61" i="2"/>
  <c r="BF222" i="2"/>
  <c r="CE222" i="2"/>
  <c r="BF208" i="2"/>
  <c r="CG208" i="2" s="1"/>
  <c r="AT236" i="2"/>
  <c r="BG172" i="2"/>
  <c r="EK172" i="2" s="1"/>
  <c r="CE255" i="2"/>
  <c r="AM255" i="2"/>
  <c r="BF288" i="2"/>
  <c r="CG288" i="2" s="1"/>
  <c r="AI284" i="2"/>
  <c r="BG284" i="2"/>
  <c r="EK284" i="2" s="1"/>
  <c r="CG309" i="2"/>
  <c r="BG143" i="2"/>
  <c r="EK143" i="2" s="1"/>
  <c r="BF66" i="2"/>
  <c r="CG66" i="2" s="1"/>
  <c r="BC62" i="2"/>
  <c r="CE62" i="2"/>
  <c r="AZ62" i="2"/>
  <c r="CF209" i="2"/>
  <c r="AM252" i="2"/>
  <c r="P252" i="2" s="1"/>
  <c r="A252" i="2" s="1"/>
  <c r="CE252" i="2"/>
  <c r="BF108" i="2"/>
  <c r="BJ51" i="2"/>
  <c r="AZ112" i="2"/>
  <c r="BG112" i="2"/>
  <c r="BF254" i="2"/>
  <c r="BG254" i="2"/>
  <c r="EK254" i="2" s="1"/>
  <c r="BG82" i="2"/>
  <c r="BL82" i="2" s="1"/>
  <c r="AZ82" i="2"/>
  <c r="AI82" i="2"/>
  <c r="DW150" i="2"/>
  <c r="P209" i="2"/>
  <c r="A209" i="2" s="1"/>
  <c r="G209" i="2" s="1"/>
  <c r="AR209" i="2" a="1"/>
  <c r="AR209" i="2" s="1"/>
  <c r="AU209" i="2" s="1"/>
  <c r="CN209" i="2" s="1"/>
  <c r="AM321" i="2"/>
  <c r="AR321" i="2" s="1" a="1"/>
  <c r="AR321" i="2" s="1"/>
  <c r="AU321" i="2" s="1"/>
  <c r="BF321" i="2"/>
  <c r="BW324" i="2"/>
  <c r="P45" i="2"/>
  <c r="A45" i="2" s="1"/>
  <c r="CE48" i="2"/>
  <c r="AM48" i="2"/>
  <c r="AR48" i="2" s="1" a="1"/>
  <c r="AR48" i="2" s="1"/>
  <c r="BF50" i="2"/>
  <c r="BC50" i="2"/>
  <c r="CE50" i="2"/>
  <c r="BF72" i="2"/>
  <c r="CE72" i="2"/>
  <c r="AZ72" i="2"/>
  <c r="BF241" i="2"/>
  <c r="CG241" i="2" s="1"/>
  <c r="AI241" i="2"/>
  <c r="AI268" i="2"/>
  <c r="DW269" i="2"/>
  <c r="EJ269" i="2"/>
  <c r="DM269" i="2"/>
  <c r="DC269" i="2" s="1"/>
  <c r="BQ269" i="2"/>
  <c r="AM292" i="2"/>
  <c r="CH292" i="2" s="1"/>
  <c r="CC292" i="2" s="1"/>
  <c r="AM40" i="2"/>
  <c r="BF146" i="2"/>
  <c r="CG146" i="2" s="1"/>
  <c r="BG251" i="2"/>
  <c r="EK251" i="2" s="1"/>
  <c r="AI251" i="2"/>
  <c r="BF342" i="2"/>
  <c r="CG342" i="2" s="1"/>
  <c r="DM146" i="2"/>
  <c r="DC146" i="2" s="1"/>
  <c r="CE224" i="2"/>
  <c r="BF224" i="2"/>
  <c r="CK246" i="2"/>
  <c r="CH246" i="2"/>
  <c r="CC246" i="2" s="1"/>
  <c r="BW246" i="2"/>
  <c r="AR13" i="2" a="1"/>
  <c r="AR13" i="2" s="1"/>
  <c r="AU13" i="2" s="1"/>
  <c r="CN13" i="2" s="1"/>
  <c r="BG306" i="2"/>
  <c r="EK306" i="2" s="1"/>
  <c r="AM181" i="2"/>
  <c r="CE140" i="2"/>
  <c r="CE234" i="2"/>
  <c r="BF234" i="2"/>
  <c r="CG234" i="2" s="1"/>
  <c r="BS239" i="2"/>
  <c r="BG239" i="2"/>
  <c r="ER239" i="2"/>
  <c r="AM118" i="2"/>
  <c r="AM192" i="2"/>
  <c r="AR192" i="2" s="1" a="1"/>
  <c r="AR192" i="2" s="1"/>
  <c r="BF192" i="2"/>
  <c r="AM229" i="2"/>
  <c r="BW229" i="2" s="1"/>
  <c r="BF229" i="2"/>
  <c r="BF323" i="2"/>
  <c r="ES88" i="2"/>
  <c r="AT45" i="2"/>
  <c r="EK334" i="2"/>
  <c r="AI291" i="2"/>
  <c r="BS8" i="2"/>
  <c r="ER8" i="2"/>
  <c r="EK11" i="2"/>
  <c r="BL11" i="2"/>
  <c r="BG34" i="2"/>
  <c r="BL34" i="2" s="1"/>
  <c r="CV34" i="2" s="1"/>
  <c r="BF34" i="2"/>
  <c r="BG205" i="2"/>
  <c r="BL205" i="2" s="1"/>
  <c r="AI205" i="2"/>
  <c r="CE22" i="2"/>
  <c r="AM22" i="2"/>
  <c r="BF22" i="2"/>
  <c r="CG22" i="2"/>
  <c r="P280" i="2"/>
  <c r="A280" i="2" s="1"/>
  <c r="AZ145" i="2"/>
  <c r="AI145" i="2"/>
  <c r="BG189" i="2"/>
  <c r="DM267" i="2"/>
  <c r="DC267" i="2" s="1"/>
  <c r="CE32" i="2"/>
  <c r="AM32" i="2"/>
  <c r="CK32" i="2" s="1"/>
  <c r="AZ184" i="2"/>
  <c r="BG282" i="2"/>
  <c r="BL282" i="2" s="1"/>
  <c r="AZ282" i="2"/>
  <c r="BQ281" i="2"/>
  <c r="ES42" i="2"/>
  <c r="CE38" i="2"/>
  <c r="AM272" i="2"/>
  <c r="BW151" i="2"/>
  <c r="BW282" i="2"/>
  <c r="AM139" i="2"/>
  <c r="AR139" i="2" s="1" a="1"/>
  <c r="AR139" i="2" s="1"/>
  <c r="AR186" i="2" a="1"/>
  <c r="AR186" i="2" s="1"/>
  <c r="AZ246" i="2"/>
  <c r="BF279" i="2"/>
  <c r="AR342" i="2" a="1"/>
  <c r="AR342" i="2" s="1"/>
  <c r="BX342" i="2" s="1"/>
  <c r="P13" i="2"/>
  <c r="A13" i="2" s="1"/>
  <c r="F13" i="2" s="1"/>
  <c r="BW101" i="2"/>
  <c r="AI272" i="2"/>
  <c r="CH13" i="2"/>
  <c r="CC13" i="2" s="1"/>
  <c r="AZ94" i="2"/>
  <c r="AI86" i="2"/>
  <c r="CK245" i="2"/>
  <c r="BQ147" i="2"/>
  <c r="EI15" i="2"/>
  <c r="AZ193" i="2"/>
  <c r="BF144" i="2"/>
  <c r="BW96" i="2"/>
  <c r="ES50" i="2"/>
  <c r="ET76" i="2"/>
  <c r="EJ147" i="2"/>
  <c r="AI338" i="2"/>
  <c r="BF269" i="2"/>
  <c r="CE111" i="2"/>
  <c r="AZ178" i="2"/>
  <c r="CE52" i="2"/>
  <c r="AZ113" i="2"/>
  <c r="CD113" i="2" s="1"/>
  <c r="CE70" i="2"/>
  <c r="AR75" i="2" a="1"/>
  <c r="AR75" i="2" s="1"/>
  <c r="AI200" i="2"/>
  <c r="AR280" i="2" a="1"/>
  <c r="AR280" i="2" s="1"/>
  <c r="BX280" i="2" s="1"/>
  <c r="BY280" i="2" s="1"/>
  <c r="CE128" i="2"/>
  <c r="DW93" i="2"/>
  <c r="BF3" i="2"/>
  <c r="DM149" i="2"/>
  <c r="DC149" i="2" s="1"/>
  <c r="DW3" i="2"/>
  <c r="CT80" i="2"/>
  <c r="CF186" i="2"/>
  <c r="CF13" i="2"/>
  <c r="BF193" i="2"/>
  <c r="AZ182" i="2"/>
  <c r="CD182" i="2" s="1"/>
  <c r="BQ93" i="2"/>
  <c r="BF98" i="2"/>
  <c r="CG98" i="2" s="1"/>
  <c r="AR182" i="2" a="1"/>
  <c r="AR182" i="2" s="1"/>
  <c r="BX182" i="2" s="1"/>
  <c r="BY182" i="2" s="1"/>
  <c r="CF96" i="2"/>
  <c r="BF20" i="2"/>
  <c r="CG20" i="2" s="1"/>
  <c r="BQ3" i="2"/>
  <c r="CK142" i="2"/>
  <c r="EM99" i="2"/>
  <c r="EN99" i="2" s="1"/>
  <c r="AI179" i="2"/>
  <c r="BW131" i="2"/>
  <c r="BF292" i="2"/>
  <c r="AT136" i="2"/>
  <c r="CE96" i="2"/>
  <c r="BL99" i="2"/>
  <c r="EJ99" i="2" s="1"/>
  <c r="CF38" i="2"/>
  <c r="AI51" i="2"/>
  <c r="BQ192" i="2"/>
  <c r="BL300" i="2"/>
  <c r="CE182" i="2"/>
  <c r="CK96" i="2"/>
  <c r="BG51" i="2"/>
  <c r="AI194" i="2"/>
  <c r="BF238" i="2"/>
  <c r="EM23" i="2"/>
  <c r="EN23" i="2" s="1"/>
  <c r="AR24" i="2" a="1"/>
  <c r="AR24" i="2" s="1"/>
  <c r="AU24" i="2" s="1"/>
  <c r="CN24" i="2" s="1"/>
  <c r="AR167" i="2" a="1"/>
  <c r="AR167" i="2" s="1"/>
  <c r="AR97" i="2" a="1"/>
  <c r="AR97" i="2" s="1"/>
  <c r="AU97" i="2" s="1"/>
  <c r="AR156" i="2" a="1"/>
  <c r="AR156" i="2" s="1"/>
  <c r="AR283" i="2" a="1"/>
  <c r="AR283" i="2" s="1"/>
  <c r="AU283" i="2" s="1"/>
  <c r="CN283" i="2" s="1"/>
  <c r="AR149" i="2" a="1"/>
  <c r="AR149" i="2" s="1"/>
  <c r="AR285" i="2" a="1"/>
  <c r="AR285" i="2" s="1"/>
  <c r="AR332" i="2" a="1"/>
  <c r="AR332" i="2" s="1"/>
  <c r="AU332" i="2" s="1"/>
  <c r="AR164" i="2" a="1"/>
  <c r="AR164" i="2" s="1"/>
  <c r="AU164" i="2" s="1"/>
  <c r="AR52" i="2" a="1"/>
  <c r="AR52" i="2" s="1"/>
  <c r="AU52" i="2" s="1"/>
  <c r="AR133" i="2" a="1"/>
  <c r="AR133" i="2" s="1"/>
  <c r="BX133" i="2" s="1"/>
  <c r="BY133" i="2" s="1"/>
  <c r="AR296" i="2" a="1"/>
  <c r="AR296" i="2" s="1"/>
  <c r="AU296" i="2" s="1"/>
  <c r="BT296" i="2" s="1"/>
  <c r="BU296" i="2" s="1"/>
  <c r="AR291" i="2" a="1"/>
  <c r="AR291" i="2" s="1"/>
  <c r="BX291" i="2" s="1"/>
  <c r="AR264" i="2" a="1"/>
  <c r="AR264" i="2" s="1"/>
  <c r="BX264" i="2" s="1"/>
  <c r="CD39" i="2"/>
  <c r="CK39" i="2"/>
  <c r="BW39" i="2"/>
  <c r="CH39" i="2"/>
  <c r="CC39" i="2" s="1"/>
  <c r="CK55" i="2"/>
  <c r="CF39" i="2"/>
  <c r="CH205" i="2"/>
  <c r="CC205" i="2" s="1"/>
  <c r="CK205" i="2"/>
  <c r="CD21" i="2"/>
  <c r="AG8" i="19"/>
  <c r="BG320" i="2"/>
  <c r="EK320" i="2" s="1"/>
  <c r="BF320" i="2"/>
  <c r="BW130" i="2"/>
  <c r="DM214" i="2"/>
  <c r="CE99" i="2"/>
  <c r="AM99" i="2"/>
  <c r="AR99" i="2" s="1" a="1"/>
  <c r="AR99" i="2" s="1"/>
  <c r="AU99" i="2" s="1"/>
  <c r="CE304" i="2"/>
  <c r="AM304" i="2"/>
  <c r="CD304" i="2" s="1"/>
  <c r="P342" i="2"/>
  <c r="A342" i="2"/>
  <c r="F342" i="2" s="1"/>
  <c r="CH342" i="2"/>
  <c r="CC342" i="2" s="1"/>
  <c r="K12" i="4" a="1"/>
  <c r="K12" i="4" s="1"/>
  <c r="EM16" i="2"/>
  <c r="EN16" i="2" s="1"/>
  <c r="AR278" i="2" a="1"/>
  <c r="AR278" i="2" s="1"/>
  <c r="CE325" i="2"/>
  <c r="AZ325" i="2"/>
  <c r="AH49" i="19"/>
  <c r="AH39" i="19"/>
  <c r="P40" i="19"/>
  <c r="AH40" i="19"/>
  <c r="AM188" i="2"/>
  <c r="EI130" i="2"/>
  <c r="K81" i="4" a="1"/>
  <c r="K81" i="4" s="1"/>
  <c r="K85" i="4" a="1"/>
  <c r="K85" i="4" s="1"/>
  <c r="K82" i="4" a="1"/>
  <c r="K82" i="4" s="1"/>
  <c r="AZ200" i="2"/>
  <c r="BL10" i="2"/>
  <c r="AI72" i="2"/>
  <c r="BF48" i="2"/>
  <c r="AR53" i="2" a="1"/>
  <c r="AR53" i="2" s="1"/>
  <c r="AH31" i="19"/>
  <c r="K34" i="4" a="1"/>
  <c r="K34" i="4" s="1"/>
  <c r="P45" i="19"/>
  <c r="Q15" i="19"/>
  <c r="R7" i="19"/>
  <c r="AH14" i="19"/>
  <c r="AM61" i="2"/>
  <c r="AR61" i="2" s="1" a="1"/>
  <c r="AR61" i="2" s="1"/>
  <c r="BF61" i="2"/>
  <c r="BJ21" i="2"/>
  <c r="BJ7" i="2"/>
  <c r="ET45" i="2"/>
  <c r="CS218" i="2"/>
  <c r="CV80" i="2"/>
  <c r="K99" i="4" a="1"/>
  <c r="K99" i="4" s="1"/>
  <c r="CK53" i="2"/>
  <c r="K97" i="4" a="1"/>
  <c r="K97" i="4" s="1"/>
  <c r="EI59" i="2"/>
  <c r="ES59" i="2"/>
  <c r="AR177" i="2" a="1"/>
  <c r="AR177" i="2" s="1"/>
  <c r="EI91" i="2"/>
  <c r="BF80" i="2"/>
  <c r="ET85" i="2"/>
  <c r="BJ85" i="2"/>
  <c r="BF182" i="2"/>
  <c r="BG321" i="2"/>
  <c r="AZ321" i="2"/>
  <c r="BW24" i="2"/>
  <c r="AI124" i="2"/>
  <c r="CH24" i="2"/>
  <c r="CC24" i="2" s="1"/>
  <c r="EI122" i="2"/>
  <c r="EJ327" i="2"/>
  <c r="BQ327" i="2"/>
  <c r="EI119" i="2"/>
  <c r="ES91" i="2"/>
  <c r="EU91" i="2" s="1"/>
  <c r="BL9" i="2"/>
  <c r="AR91" i="2" a="1"/>
  <c r="AR91" i="2" s="1"/>
  <c r="BX91" i="2" s="1"/>
  <c r="BY91" i="2" s="1"/>
  <c r="K60" i="4" a="1"/>
  <c r="K60" i="4" s="1"/>
  <c r="BF19" i="2"/>
  <c r="ER265" i="2"/>
  <c r="AI101" i="2"/>
  <c r="CE17" i="2"/>
  <c r="AM17" i="2"/>
  <c r="DH86" i="4"/>
  <c r="CH19" i="2"/>
  <c r="CC19" i="2" s="1"/>
  <c r="CT154" i="2"/>
  <c r="BF304" i="2"/>
  <c r="CG304" i="2" s="1"/>
  <c r="BW342" i="2"/>
  <c r="CE131" i="2"/>
  <c r="ES11" i="2"/>
  <c r="EU11" i="2" s="1"/>
  <c r="AZ159" i="2"/>
  <c r="R17" i="19"/>
  <c r="K58" i="4" a="1"/>
  <c r="K58" i="4" s="1"/>
  <c r="BL128" i="2"/>
  <c r="CZ128" i="2" s="1"/>
  <c r="P24" i="2"/>
  <c r="A24" i="2" s="1"/>
  <c r="F24" i="2" s="1"/>
  <c r="AZ132" i="2"/>
  <c r="BG265" i="2"/>
  <c r="CE342" i="2"/>
  <c r="Q20" i="19"/>
  <c r="R16" i="19"/>
  <c r="BG54" i="2"/>
  <c r="EK54" i="2" s="1"/>
  <c r="ES98" i="2"/>
  <c r="EI124" i="2"/>
  <c r="AR282" i="2" a="1"/>
  <c r="AR282" i="2" s="1"/>
  <c r="R22" i="19"/>
  <c r="Q18" i="19"/>
  <c r="Q14" i="19"/>
  <c r="P39" i="19"/>
  <c r="AM23" i="2"/>
  <c r="K55" i="45"/>
  <c r="K63" i="4" a="1"/>
  <c r="K63" i="4" s="1"/>
  <c r="K26" i="45"/>
  <c r="AR82" i="2" a="1"/>
  <c r="AR82" i="2" s="1"/>
  <c r="BC44" i="2"/>
  <c r="BJ72" i="2"/>
  <c r="BF247" i="2"/>
  <c r="AR33" i="2" a="1"/>
  <c r="AR33" i="2" s="1"/>
  <c r="BX33" i="2" s="1"/>
  <c r="ES53" i="2"/>
  <c r="AZ77" i="2"/>
  <c r="AR108" i="2" a="1"/>
  <c r="AR108" i="2" s="1"/>
  <c r="BX108" i="2" s="1"/>
  <c r="BY108" i="2" s="1"/>
  <c r="AR111" i="2" a="1"/>
  <c r="AR111" i="2" s="1"/>
  <c r="AR260" i="2" a="1"/>
  <c r="AR260" i="2" s="1"/>
  <c r="BX260" i="2" s="1"/>
  <c r="BY260" i="2" s="1"/>
  <c r="BW296" i="2"/>
  <c r="AI313" i="2"/>
  <c r="AI316" i="2"/>
  <c r="AR329" i="2" a="1"/>
  <c r="AR329" i="2" s="1"/>
  <c r="BJ100" i="2"/>
  <c r="AR197" i="2" a="1"/>
  <c r="AR197" i="2" s="1"/>
  <c r="AU197" i="2" s="1"/>
  <c r="AR299" i="2" a="1"/>
  <c r="AR299" i="2" s="1"/>
  <c r="ES81" i="2"/>
  <c r="AR73" i="2"/>
  <c r="BX73" i="2" s="1"/>
  <c r="BY73" i="2" s="1"/>
  <c r="BJ127" i="2"/>
  <c r="BF37" i="2"/>
  <c r="AR137" i="2" a="1"/>
  <c r="AR137" i="2" s="1"/>
  <c r="BX137" i="2" s="1"/>
  <c r="BY137" i="2" s="1"/>
  <c r="AR175" i="2" a="1"/>
  <c r="AR175" i="2" s="1"/>
  <c r="AI278" i="2"/>
  <c r="AI281" i="2"/>
  <c r="AR154" i="2" a="1"/>
  <c r="AR154" i="2" s="1"/>
  <c r="EI21" i="2"/>
  <c r="AR233" i="2" a="1"/>
  <c r="AR233" i="2" s="1"/>
  <c r="AR331" i="2" a="1"/>
  <c r="AR331" i="2" s="1"/>
  <c r="BX331" i="2" s="1"/>
  <c r="K129" i="4" a="1"/>
  <c r="K129" i="4" s="1"/>
  <c r="EI38" i="2"/>
  <c r="AR246" i="2" a="1"/>
  <c r="AR246" i="2" s="1"/>
  <c r="BX246" i="2" s="1"/>
  <c r="BY246" i="2" s="1"/>
  <c r="AR265" i="2" a="1"/>
  <c r="AR265" i="2" s="1"/>
  <c r="BX265" i="2" s="1"/>
  <c r="BY265" i="2" s="1"/>
  <c r="BJ57" i="2"/>
  <c r="AR324" i="2" a="1"/>
  <c r="AR324" i="2" s="1"/>
  <c r="AU324" i="2"/>
  <c r="CV64" i="4"/>
  <c r="AC10" i="54"/>
  <c r="EI84" i="2"/>
  <c r="AR243" i="2" a="1"/>
  <c r="AR243" i="2" s="1"/>
  <c r="K118" i="4" a="1"/>
  <c r="K118" i="4" s="1"/>
  <c r="K121" i="4" a="1"/>
  <c r="K121" i="4" s="1"/>
  <c r="AR72" i="2" a="1"/>
  <c r="AR72" i="2" s="1"/>
  <c r="CE308" i="2"/>
  <c r="BJ20" i="2"/>
  <c r="EI37" i="2"/>
  <c r="AI131" i="2"/>
  <c r="EI134" i="2"/>
  <c r="BF162" i="2"/>
  <c r="AI326" i="2"/>
  <c r="K7" i="45"/>
  <c r="BJ107" i="2"/>
  <c r="AR245" i="2" a="1"/>
  <c r="AR245" i="2" s="1"/>
  <c r="G202" i="19"/>
  <c r="AH17" i="19"/>
  <c r="I1" i="37"/>
  <c r="CW65" i="4"/>
  <c r="CS65" i="4"/>
  <c r="DF65" i="4"/>
  <c r="AH65" i="4"/>
  <c r="CY65" i="4"/>
  <c r="CM65" i="4"/>
  <c r="DB65" i="4"/>
  <c r="DH65" i="4"/>
  <c r="CL65" i="4"/>
  <c r="CK65" i="4"/>
  <c r="DG65" i="4"/>
  <c r="DC65" i="4"/>
  <c r="CP65" i="4"/>
  <c r="CV65" i="4"/>
  <c r="CN65" i="4"/>
  <c r="CZ65" i="4"/>
  <c r="CT65" i="4"/>
  <c r="CO65" i="4"/>
  <c r="DE65" i="4"/>
  <c r="CX65" i="4"/>
  <c r="DD65" i="4"/>
  <c r="CZ66" i="4"/>
  <c r="CS64" i="4"/>
  <c r="AR234" i="2" a="1"/>
  <c r="AR234" i="2" s="1"/>
  <c r="CT66" i="4"/>
  <c r="AR266" i="2" a="1"/>
  <c r="AR266" i="2" s="1"/>
  <c r="BX266" i="2" s="1"/>
  <c r="AR309" i="2" a="1"/>
  <c r="AR309" i="2" s="1"/>
  <c r="AU309" i="2" s="1"/>
  <c r="CY66" i="4"/>
  <c r="CQ66" i="4"/>
  <c r="DA66" i="4"/>
  <c r="CK66" i="4"/>
  <c r="CL66" i="4"/>
  <c r="CM66" i="4"/>
  <c r="CO66" i="4"/>
  <c r="CX66" i="4"/>
  <c r="DC66" i="4"/>
  <c r="CT64" i="4"/>
  <c r="AR140" i="2" a="1"/>
  <c r="AR140" i="2"/>
  <c r="AR114" i="2" a="1"/>
  <c r="AR114" i="2" s="1"/>
  <c r="AU114" i="2" s="1"/>
  <c r="AR12" i="2" a="1"/>
  <c r="AR12" i="2" s="1"/>
  <c r="BX12" i="2" s="1"/>
  <c r="BY12" i="2" s="1"/>
  <c r="DF66" i="4"/>
  <c r="CS66" i="4"/>
  <c r="CX64" i="4"/>
  <c r="DB66" i="4"/>
  <c r="CP66" i="4"/>
  <c r="AH64" i="4"/>
  <c r="DD64" i="4"/>
  <c r="CU64" i="4"/>
  <c r="CM64" i="4"/>
  <c r="DA64" i="4"/>
  <c r="CQ64" i="4"/>
  <c r="DB64" i="4"/>
  <c r="CY64" i="4"/>
  <c r="CN64" i="4"/>
  <c r="CP64" i="4"/>
  <c r="DE64" i="4"/>
  <c r="CL64" i="4"/>
  <c r="DC64" i="4"/>
  <c r="CK64" i="4"/>
  <c r="AR279" i="2" a="1"/>
  <c r="AR279" i="2" s="1"/>
  <c r="AR144" i="2" a="1"/>
  <c r="AR144" i="2" s="1"/>
  <c r="AR281" i="2" a="1"/>
  <c r="AR281" i="2" s="1"/>
  <c r="BX281" i="2" s="1"/>
  <c r="BY281" i="2" s="1"/>
  <c r="AR100" i="2" a="1"/>
  <c r="AR100" i="2" s="1"/>
  <c r="AU100" i="2" s="1"/>
  <c r="CN100" i="2" s="1"/>
  <c r="AR336" i="2" a="1"/>
  <c r="AR336" i="2" s="1"/>
  <c r="AR165" i="2" a="1"/>
  <c r="AR165" i="2" s="1"/>
  <c r="BX165" i="2" s="1"/>
  <c r="BY165" i="2" s="1"/>
  <c r="AR43" i="2" a="1"/>
  <c r="AR43" i="2" s="1"/>
  <c r="AU43" i="2" s="1"/>
  <c r="AR178" i="2" a="1"/>
  <c r="AR178" i="2" s="1"/>
  <c r="AU178" i="2" s="1"/>
  <c r="CN178" i="2" s="1"/>
  <c r="EM76" i="2"/>
  <c r="EN76" i="2" s="1"/>
  <c r="BL76" i="2"/>
  <c r="EL76" i="2" s="1"/>
  <c r="CD293" i="2"/>
  <c r="P293" i="2"/>
  <c r="A293" i="2" s="1"/>
  <c r="CH293" i="2"/>
  <c r="CC293" i="2" s="1"/>
  <c r="AR293" i="2" a="1"/>
  <c r="AR293" i="2" s="1"/>
  <c r="BW293" i="2"/>
  <c r="CF293" i="2"/>
  <c r="BF302" i="2"/>
  <c r="AI302" i="2"/>
  <c r="CH302" i="2"/>
  <c r="CC302" i="2" s="1"/>
  <c r="AZ302" i="2"/>
  <c r="BG310" i="2"/>
  <c r="BF310" i="2"/>
  <c r="CG310" i="2" s="1"/>
  <c r="AI310" i="2"/>
  <c r="ET66" i="2"/>
  <c r="BJ66" i="2"/>
  <c r="ES66" i="2"/>
  <c r="EU66" i="2" s="1"/>
  <c r="EM66" i="2"/>
  <c r="EN66" i="2" s="1"/>
  <c r="CH253" i="2"/>
  <c r="CC253" i="2" s="1"/>
  <c r="CF253" i="2"/>
  <c r="AR253" i="2" a="1"/>
  <c r="AR253" i="2" s="1"/>
  <c r="BX253" i="2" s="1"/>
  <c r="BY253" i="2" s="1"/>
  <c r="CH14" i="2"/>
  <c r="CC14" i="2" s="1"/>
  <c r="EI66" i="2"/>
  <c r="F328" i="2"/>
  <c r="G328" i="2"/>
  <c r="EK222" i="2"/>
  <c r="BL222" i="2"/>
  <c r="AI239" i="2"/>
  <c r="BF239" i="2"/>
  <c r="CG239" i="2" s="1"/>
  <c r="CK215" i="2"/>
  <c r="AR62" i="2" a="1"/>
  <c r="AR62" i="2" s="1"/>
  <c r="AU62" i="2" s="1"/>
  <c r="CK62" i="2"/>
  <c r="P178" i="2"/>
  <c r="A178" i="2" s="1"/>
  <c r="AR19" i="2" a="1"/>
  <c r="AR19" i="2" s="1"/>
  <c r="BA26" i="47"/>
  <c r="ES32" i="2"/>
  <c r="ES35" i="2"/>
  <c r="ES31" i="2"/>
  <c r="AI228" i="2"/>
  <c r="BG228" i="2"/>
  <c r="ER237" i="2"/>
  <c r="BG237" i="2"/>
  <c r="BS237" i="2"/>
  <c r="CY3" i="4"/>
  <c r="CY119" i="4"/>
  <c r="CY86" i="4"/>
  <c r="ET47" i="2"/>
  <c r="BJ47" i="2"/>
  <c r="ES47" i="2"/>
  <c r="ES33" i="2"/>
  <c r="EM33" i="2"/>
  <c r="EN33" i="2" s="1"/>
  <c r="EI33" i="2"/>
  <c r="BJ33" i="2"/>
  <c r="BG56" i="2"/>
  <c r="BC56" i="2"/>
  <c r="CE56" i="2"/>
  <c r="BG45" i="2"/>
  <c r="AZ45" i="2"/>
  <c r="CD45" i="2" s="1"/>
  <c r="CH45" i="2"/>
  <c r="CC45" i="2" s="1"/>
  <c r="AI45" i="2"/>
  <c r="CE45" i="2"/>
  <c r="BG64" i="2"/>
  <c r="EM64" i="2" s="1"/>
  <c r="EN64" i="2" s="1"/>
  <c r="AI64" i="2"/>
  <c r="BF64" i="2"/>
  <c r="EK19" i="2"/>
  <c r="BL19" i="2"/>
  <c r="BF23" i="2"/>
  <c r="CG23" i="2" s="1"/>
  <c r="AZ23" i="2"/>
  <c r="BF53" i="2"/>
  <c r="AI53" i="2"/>
  <c r="BG53" i="2"/>
  <c r="BL53" i="2" s="1"/>
  <c r="CH53" i="2"/>
  <c r="CC53" i="2" s="1"/>
  <c r="EI30" i="2"/>
  <c r="ES30" i="2"/>
  <c r="EU30" i="2" s="1"/>
  <c r="BJ30" i="2"/>
  <c r="CE259" i="2"/>
  <c r="AM259" i="2"/>
  <c r="BF259" i="2"/>
  <c r="CG259" i="2" s="1"/>
  <c r="CE175" i="2"/>
  <c r="BF175" i="2"/>
  <c r="CG175" i="2" s="1"/>
  <c r="BL16" i="2"/>
  <c r="CU16" i="2" s="1"/>
  <c r="AM134" i="2"/>
  <c r="CE134" i="2"/>
  <c r="BF134" i="2"/>
  <c r="CG134" i="2"/>
  <c r="EM103" i="2"/>
  <c r="EN103" i="2" s="1"/>
  <c r="BF45" i="2"/>
  <c r="ES27" i="2"/>
  <c r="ET27" i="2"/>
  <c r="BJ27" i="2"/>
  <c r="EM27" i="2"/>
  <c r="EN27" i="2" s="1"/>
  <c r="EI27" i="2"/>
  <c r="ES49" i="2"/>
  <c r="BJ49" i="2"/>
  <c r="ET49" i="2"/>
  <c r="BC45" i="2"/>
  <c r="CN264" i="2"/>
  <c r="CN265" i="2"/>
  <c r="BL125" i="2"/>
  <c r="EK125" i="2"/>
  <c r="CE165" i="2"/>
  <c r="BF165" i="2"/>
  <c r="CG165" i="2" s="1"/>
  <c r="AZ133" i="2"/>
  <c r="BF133" i="2"/>
  <c r="CG133" i="2" s="1"/>
  <c r="AI133" i="2"/>
  <c r="AM122" i="2"/>
  <c r="CE122" i="2"/>
  <c r="BF122" i="2"/>
  <c r="AM103" i="2"/>
  <c r="BF103" i="2"/>
  <c r="CG103" i="2" s="1"/>
  <c r="BF118" i="2"/>
  <c r="CG118" i="2" s="1"/>
  <c r="AI118" i="2"/>
  <c r="BG118" i="2"/>
  <c r="EK118" i="2" s="1"/>
  <c r="BC53" i="2"/>
  <c r="CE97" i="2"/>
  <c r="AR131" i="2" a="1"/>
  <c r="AR131" i="2" s="1"/>
  <c r="BG96" i="2"/>
  <c r="AI93" i="2"/>
  <c r="ET128" i="2"/>
  <c r="CH131" i="2"/>
  <c r="CC131" i="2" s="1"/>
  <c r="P131" i="2"/>
  <c r="A131" i="2" s="1"/>
  <c r="F131" i="2" s="1"/>
  <c r="BL84" i="2"/>
  <c r="DA84" i="2" s="1"/>
  <c r="EK84" i="2"/>
  <c r="CE53" i="2"/>
  <c r="BJ75" i="2"/>
  <c r="ET75" i="2"/>
  <c r="ES75" i="2"/>
  <c r="EI75" i="2"/>
  <c r="A53" i="2"/>
  <c r="G53" i="2" s="1"/>
  <c r="CE90" i="2"/>
  <c r="AM90" i="2"/>
  <c r="BG73" i="2"/>
  <c r="BL73" i="2" s="1"/>
  <c r="AI73" i="2"/>
  <c r="BF73" i="2"/>
  <c r="CG73" i="2" s="1"/>
  <c r="AM65" i="2"/>
  <c r="AI70" i="2"/>
  <c r="AI218" i="2"/>
  <c r="BF218" i="2"/>
  <c r="AZ252" i="2"/>
  <c r="BF252" i="2"/>
  <c r="F271" i="2"/>
  <c r="G271" i="2"/>
  <c r="DG86" i="4"/>
  <c r="DG119" i="4"/>
  <c r="AI164" i="2"/>
  <c r="AZ164" i="2"/>
  <c r="CG164" i="2" s="1"/>
  <c r="BG164" i="2"/>
  <c r="BL164" i="2" s="1"/>
  <c r="DA92" i="2"/>
  <c r="ES86" i="2"/>
  <c r="ES92" i="2"/>
  <c r="CR218" i="2"/>
  <c r="ET58" i="2"/>
  <c r="EI123" i="2"/>
  <c r="EI72" i="2"/>
  <c r="ET112" i="2"/>
  <c r="BJ40" i="2"/>
  <c r="ES34" i="2"/>
  <c r="BJ31" i="2"/>
  <c r="CX218" i="2"/>
  <c r="EI102" i="2"/>
  <c r="BJ76" i="2"/>
  <c r="BJ28" i="2"/>
  <c r="BJ17" i="2"/>
  <c r="ET11" i="2"/>
  <c r="ES45" i="2"/>
  <c r="EM86" i="2"/>
  <c r="EN86" i="2" s="1"/>
  <c r="ET95" i="2"/>
  <c r="EI95" i="2"/>
  <c r="EI131" i="2"/>
  <c r="ET70" i="2"/>
  <c r="ET14" i="2"/>
  <c r="BJ86" i="2"/>
  <c r="ES120" i="2"/>
  <c r="EI7" i="2"/>
  <c r="EI10" i="2"/>
  <c r="ES20" i="2"/>
  <c r="ES21" i="2"/>
  <c r="EM25" i="2"/>
  <c r="EN25" i="2" s="1"/>
  <c r="BJ116" i="2"/>
  <c r="ET127" i="2"/>
  <c r="ES104" i="2"/>
  <c r="ES73" i="2"/>
  <c r="CU218" i="2"/>
  <c r="ES97" i="2"/>
  <c r="EM92" i="2"/>
  <c r="EN92" i="2" s="1"/>
  <c r="EI26" i="2"/>
  <c r="BJ23" i="2"/>
  <c r="ES46" i="2"/>
  <c r="ET20" i="2"/>
  <c r="ET56" i="2"/>
  <c r="EI56" i="2"/>
  <c r="ES19" i="2"/>
  <c r="BJ19" i="2"/>
  <c r="BJ79" i="2"/>
  <c r="BF85" i="2"/>
  <c r="CG85" i="2" s="1"/>
  <c r="AI203" i="2"/>
  <c r="AZ203" i="2"/>
  <c r="K17" i="4" a="1"/>
  <c r="K17" i="4" s="1"/>
  <c r="K18" i="4" a="1"/>
  <c r="K18" i="4" s="1"/>
  <c r="BJ83" i="2"/>
  <c r="BL110" i="2"/>
  <c r="BQ110" i="2" s="1"/>
  <c r="EK110" i="2"/>
  <c r="BF35" i="2"/>
  <c r="EI55" i="2"/>
  <c r="BJ55" i="2"/>
  <c r="ET55" i="2"/>
  <c r="CH157" i="2"/>
  <c r="CC157" i="2" s="1"/>
  <c r="CJ263" i="2"/>
  <c r="K57" i="4" a="1"/>
  <c r="K57" i="4" s="1"/>
  <c r="K7" i="4" a="1"/>
  <c r="K7" i="4" s="1"/>
  <c r="K8" i="4" a="1"/>
  <c r="K8" i="4" s="1"/>
  <c r="K6" i="4" a="1"/>
  <c r="K6" i="4" s="1"/>
  <c r="K9" i="4" a="1"/>
  <c r="K9" i="4" s="1"/>
  <c r="BJ104" i="2"/>
  <c r="AH45" i="19"/>
  <c r="AH33" i="19"/>
  <c r="AH34" i="19"/>
  <c r="ES48" i="2"/>
  <c r="Q23" i="19"/>
  <c r="Q29" i="19"/>
  <c r="AG20" i="19"/>
  <c r="R20" i="19"/>
  <c r="P22" i="19"/>
  <c r="R49" i="19"/>
  <c r="CG65" i="2"/>
  <c r="AZ229" i="2"/>
  <c r="ES7" i="2"/>
  <c r="K164" i="47"/>
  <c r="AZ48" i="2"/>
  <c r="ES62" i="2"/>
  <c r="K88" i="4" a="1"/>
  <c r="K88" i="4" s="1"/>
  <c r="K61" i="4" a="1"/>
  <c r="K61" i="4" s="1"/>
  <c r="AZ110" i="2"/>
  <c r="Y19" i="54"/>
  <c r="K108" i="4" a="1"/>
  <c r="K108" i="4" s="1"/>
  <c r="AC15" i="54"/>
  <c r="Y33" i="54"/>
  <c r="Y21" i="54"/>
  <c r="Y30" i="54"/>
  <c r="BW160" i="2"/>
  <c r="CS78" i="2"/>
  <c r="BW47" i="2"/>
  <c r="CX78" i="2"/>
  <c r="CH273" i="2"/>
  <c r="CC273" i="2" s="1"/>
  <c r="CK273" i="2"/>
  <c r="CK160" i="2"/>
  <c r="P160" i="2"/>
  <c r="A160" i="2" s="1"/>
  <c r="G160" i="2" s="1"/>
  <c r="CH160" i="2"/>
  <c r="CC160" i="2" s="1"/>
  <c r="P242" i="2"/>
  <c r="A242" i="2" s="1"/>
  <c r="CW78" i="2"/>
  <c r="CF47" i="2"/>
  <c r="P15" i="2"/>
  <c r="CK15" i="2"/>
  <c r="CD15" i="2"/>
  <c r="CH15" i="2"/>
  <c r="CC15" i="2" s="1"/>
  <c r="CF15" i="2"/>
  <c r="BQ263" i="2"/>
  <c r="BT263" i="2" s="1"/>
  <c r="BU263" i="2" s="1"/>
  <c r="CV78" i="2"/>
  <c r="BL166" i="2"/>
  <c r="EK166" i="2"/>
  <c r="CZ78" i="2"/>
  <c r="CD306" i="2"/>
  <c r="BW306" i="2"/>
  <c r="P306" i="2"/>
  <c r="CT87" i="2"/>
  <c r="BQ87" i="2"/>
  <c r="CQ87" i="2" s="1"/>
  <c r="CZ87" i="2"/>
  <c r="CV87" i="2"/>
  <c r="CY87" i="2"/>
  <c r="CD20" i="2"/>
  <c r="DM266" i="2"/>
  <c r="DC266" i="2" s="1"/>
  <c r="EJ266" i="2"/>
  <c r="DW266" i="2"/>
  <c r="EK253" i="2"/>
  <c r="EK271" i="2"/>
  <c r="AR84" i="2" a="1"/>
  <c r="AR84" i="2" s="1"/>
  <c r="BW242" i="2"/>
  <c r="DM78" i="2"/>
  <c r="DC78" i="2" s="1"/>
  <c r="AR271" i="2" a="1"/>
  <c r="AR271" i="2" s="1"/>
  <c r="BQ41" i="2"/>
  <c r="DW263" i="2"/>
  <c r="EK193" i="2"/>
  <c r="CD242" i="2"/>
  <c r="BQ78" i="2"/>
  <c r="CQ78" i="2" s="1"/>
  <c r="BL226" i="2"/>
  <c r="EK226" i="2"/>
  <c r="AR242" i="2" a="1"/>
  <c r="AR242" i="2" s="1"/>
  <c r="CD84" i="2"/>
  <c r="BQ266" i="2"/>
  <c r="CK157" i="2"/>
  <c r="P157" i="2"/>
  <c r="A157" i="2" s="1"/>
  <c r="DM209" i="2"/>
  <c r="DC209" i="2" s="1"/>
  <c r="CF242" i="2"/>
  <c r="EL41" i="2"/>
  <c r="EJ39" i="2"/>
  <c r="DW39" i="2"/>
  <c r="DA39" i="2"/>
  <c r="CV39" i="2"/>
  <c r="CR39" i="2"/>
  <c r="CZ39" i="2"/>
  <c r="CZ41" i="2"/>
  <c r="CH311" i="2"/>
  <c r="CC311" i="2" s="1"/>
  <c r="CK311" i="2"/>
  <c r="P311" i="2"/>
  <c r="A311" i="2" s="1"/>
  <c r="F311" i="2" s="1"/>
  <c r="F121" i="2"/>
  <c r="G121" i="2"/>
  <c r="CG298" i="2"/>
  <c r="CD47" i="2"/>
  <c r="P47" i="2"/>
  <c r="A47" i="2" s="1"/>
  <c r="CK47" i="2"/>
  <c r="CH47" i="2"/>
  <c r="CC47" i="2" s="1"/>
  <c r="CK119" i="2"/>
  <c r="CH119" i="2"/>
  <c r="CC119" i="2" s="1"/>
  <c r="P119" i="2"/>
  <c r="A119" i="2" s="1"/>
  <c r="G119" i="2" s="1"/>
  <c r="BW119" i="2"/>
  <c r="BW288" i="2"/>
  <c r="CK288" i="2"/>
  <c r="CH288" i="2"/>
  <c r="CC288" i="2" s="1"/>
  <c r="CS41" i="2"/>
  <c r="CW41" i="2"/>
  <c r="DM41" i="2"/>
  <c r="DC41" i="2" s="1"/>
  <c r="DW41" i="2"/>
  <c r="CV41" i="2"/>
  <c r="CU41" i="2"/>
  <c r="DG41" i="2"/>
  <c r="DA41" i="2"/>
  <c r="CT41" i="2"/>
  <c r="CX41" i="2"/>
  <c r="CD184" i="2"/>
  <c r="BW106" i="2"/>
  <c r="EK252" i="2"/>
  <c r="CD9" i="2"/>
  <c r="CK9" i="2"/>
  <c r="P9" i="2"/>
  <c r="A9" i="2" s="1"/>
  <c r="BQ13" i="2"/>
  <c r="BL163" i="2"/>
  <c r="BQ163" i="2" s="1"/>
  <c r="EK163" i="2"/>
  <c r="AR6" i="2" a="1"/>
  <c r="AR6" i="2" s="1"/>
  <c r="BW265" i="2"/>
  <c r="EL39" i="2"/>
  <c r="CU87" i="2"/>
  <c r="CX39" i="2"/>
  <c r="P138" i="2"/>
  <c r="A138" i="2" s="1"/>
  <c r="CH138" i="2"/>
  <c r="CC138" i="2" s="1"/>
  <c r="CK138" i="2"/>
  <c r="CF138" i="2"/>
  <c r="AR230" i="2" a="1"/>
  <c r="AR230" i="2" s="1"/>
  <c r="EJ78" i="2"/>
  <c r="EJ209" i="2"/>
  <c r="BQ12" i="2"/>
  <c r="DW12" i="2"/>
  <c r="CH322" i="2"/>
  <c r="CC322" i="2" s="1"/>
  <c r="CD271" i="2"/>
  <c r="CH271" i="2"/>
  <c r="CC271" i="2" s="1"/>
  <c r="CK271" i="2"/>
  <c r="CF271" i="2"/>
  <c r="CK230" i="2"/>
  <c r="CU78" i="2"/>
  <c r="BQ209" i="2"/>
  <c r="CS39" i="2"/>
  <c r="CK313" i="2"/>
  <c r="CH313" i="2"/>
  <c r="CC313" i="2" s="1"/>
  <c r="BL68" i="2"/>
  <c r="P230" i="2"/>
  <c r="CH230" i="2"/>
  <c r="CC230" i="2" s="1"/>
  <c r="EK31" i="2"/>
  <c r="DW78" i="2"/>
  <c r="DM39" i="2"/>
  <c r="DC39" i="2" s="1"/>
  <c r="CK114" i="2"/>
  <c r="CH114" i="2"/>
  <c r="CC114" i="2" s="1"/>
  <c r="CF114" i="2"/>
  <c r="CD114" i="2"/>
  <c r="BW114" i="2"/>
  <c r="P114" i="2"/>
  <c r="A114" i="2" s="1"/>
  <c r="G114" i="2" s="1"/>
  <c r="BL337" i="2"/>
  <c r="BQ337" i="2" s="1"/>
  <c r="EK337" i="2"/>
  <c r="CF288" i="2"/>
  <c r="CH6" i="2"/>
  <c r="CC6" i="2" s="1"/>
  <c r="BL31" i="2"/>
  <c r="DG31" i="2" s="1"/>
  <c r="DY31" i="2" s="1"/>
  <c r="CU39" i="2"/>
  <c r="CK295" i="2"/>
  <c r="P295" i="2"/>
  <c r="A295" i="2" s="1"/>
  <c r="G295" i="2" s="1"/>
  <c r="DM327" i="2"/>
  <c r="DC327" i="2" s="1"/>
  <c r="DW327" i="2"/>
  <c r="P193" i="2"/>
  <c r="A193" i="2" s="1"/>
  <c r="CK193" i="2"/>
  <c r="CH285" i="2"/>
  <c r="CC285" i="2" s="1"/>
  <c r="CK285" i="2"/>
  <c r="P285" i="2"/>
  <c r="A285" i="2"/>
  <c r="BW285" i="2"/>
  <c r="BL241" i="2"/>
  <c r="DW241" i="2" s="1"/>
  <c r="CK167" i="2"/>
  <c r="CF167" i="2"/>
  <c r="P167" i="2"/>
  <c r="A167" i="2" s="1"/>
  <c r="CH167" i="2"/>
  <c r="CC167" i="2" s="1"/>
  <c r="BW167" i="2"/>
  <c r="CD167" i="2"/>
  <c r="CK322" i="2"/>
  <c r="P322" i="2"/>
  <c r="A322" i="2" s="1"/>
  <c r="BW322" i="2"/>
  <c r="BW156" i="2"/>
  <c r="P156" i="2"/>
  <c r="A156" i="2" s="1"/>
  <c r="CK156" i="2"/>
  <c r="CU15" i="2"/>
  <c r="EJ15" i="2"/>
  <c r="DA15" i="2"/>
  <c r="DW15" i="2"/>
  <c r="CY15" i="2"/>
  <c r="CR15" i="2"/>
  <c r="EL15" i="2"/>
  <c r="CX15" i="2"/>
  <c r="CZ15" i="2"/>
  <c r="BQ15" i="2"/>
  <c r="CQ15" i="2" s="1"/>
  <c r="CW15" i="2"/>
  <c r="DM15" i="2"/>
  <c r="DC15" i="2"/>
  <c r="CV15" i="2"/>
  <c r="CD73" i="2"/>
  <c r="BL195" i="2"/>
  <c r="EJ195" i="2" s="1"/>
  <c r="CF333" i="2"/>
  <c r="CD333" i="2"/>
  <c r="G246" i="2"/>
  <c r="F246" i="2"/>
  <c r="EK258" i="2"/>
  <c r="CF336" i="2"/>
  <c r="P336" i="2"/>
  <c r="A336" i="2" s="1"/>
  <c r="CK336" i="2"/>
  <c r="CH336" i="2"/>
  <c r="CC336" i="2" s="1"/>
  <c r="BW336" i="2"/>
  <c r="CD253" i="2"/>
  <c r="BW73" i="2"/>
  <c r="CH73" i="2"/>
  <c r="CC73" i="2" s="1"/>
  <c r="CD301" i="2"/>
  <c r="P260" i="2"/>
  <c r="A260" i="2" s="1"/>
  <c r="G260" i="2" s="1"/>
  <c r="CK260" i="2"/>
  <c r="P183" i="2"/>
  <c r="A183" i="2" s="1"/>
  <c r="BW183" i="2"/>
  <c r="CF149" i="2"/>
  <c r="CH149" i="2"/>
  <c r="CC149" i="2" s="1"/>
  <c r="BW149" i="2"/>
  <c r="P149" i="2"/>
  <c r="CK149" i="2"/>
  <c r="CD149" i="2"/>
  <c r="BL17" i="2"/>
  <c r="CF73" i="2"/>
  <c r="P73" i="2"/>
  <c r="A73" i="2" s="1"/>
  <c r="F73" i="2" s="1"/>
  <c r="EK34" i="2"/>
  <c r="BW171" i="2"/>
  <c r="CF322" i="2"/>
  <c r="CH113" i="2"/>
  <c r="CC113" i="2" s="1"/>
  <c r="P113" i="2"/>
  <c r="A113" i="2" s="1"/>
  <c r="BW113" i="2"/>
  <c r="CK113" i="2"/>
  <c r="P34" i="2"/>
  <c r="A34" i="2" s="1"/>
  <c r="G34" i="2" s="1"/>
  <c r="EK215" i="2"/>
  <c r="BL215" i="2"/>
  <c r="EJ215" i="2" s="1"/>
  <c r="CK158" i="2"/>
  <c r="CH158" i="2"/>
  <c r="CC158" i="2" s="1"/>
  <c r="P158" i="2"/>
  <c r="A158" i="2" s="1"/>
  <c r="BL32" i="2"/>
  <c r="EK32" i="2"/>
  <c r="BW137" i="2"/>
  <c r="CK137" i="2"/>
  <c r="CH137" i="2"/>
  <c r="CC137" i="2" s="1"/>
  <c r="CF137" i="2"/>
  <c r="P84" i="2"/>
  <c r="A84" i="2" s="1"/>
  <c r="CH84" i="2"/>
  <c r="CC84" i="2" s="1"/>
  <c r="P184" i="2"/>
  <c r="A184" i="2" s="1"/>
  <c r="G184" i="2" s="1"/>
  <c r="BW184" i="2"/>
  <c r="CH184" i="2"/>
  <c r="CC184" i="2" s="1"/>
  <c r="CK184" i="2"/>
  <c r="AR40" i="2" a="1"/>
  <c r="AR40" i="2" s="1"/>
  <c r="P40" i="2"/>
  <c r="A40" i="2" s="1"/>
  <c r="G40" i="2" s="1"/>
  <c r="BW233" i="2"/>
  <c r="CH233" i="2"/>
  <c r="CC233" i="2" s="1"/>
  <c r="CK233" i="2"/>
  <c r="P233" i="2"/>
  <c r="A233" i="2" s="1"/>
  <c r="P92" i="2"/>
  <c r="A92" i="2" s="1"/>
  <c r="BW92" i="2"/>
  <c r="CK92" i="2"/>
  <c r="CD92" i="2"/>
  <c r="CH92" i="2"/>
  <c r="CC92" i="2" s="1"/>
  <c r="CF92" i="2"/>
  <c r="BW341" i="2"/>
  <c r="CK341" i="2"/>
  <c r="CH341" i="2"/>
  <c r="CC341" i="2" s="1"/>
  <c r="P341" i="2"/>
  <c r="DG129" i="2"/>
  <c r="DY129" i="2" s="1"/>
  <c r="DW116" i="2"/>
  <c r="DM116" i="2"/>
  <c r="DC116" i="2" s="1"/>
  <c r="BQ116" i="2"/>
  <c r="CQ116" i="2" s="1"/>
  <c r="DA116" i="2"/>
  <c r="EL116" i="2"/>
  <c r="CX116" i="2"/>
  <c r="CW116" i="2"/>
  <c r="DG116" i="2"/>
  <c r="DY116" i="2" s="1"/>
  <c r="EJ116" i="2"/>
  <c r="CZ129" i="2"/>
  <c r="CD40" i="2"/>
  <c r="EK249" i="2"/>
  <c r="BL107" i="2"/>
  <c r="EK107" i="2"/>
  <c r="CF40" i="2"/>
  <c r="EK187" i="2"/>
  <c r="BL187" i="2"/>
  <c r="DA129" i="2"/>
  <c r="CS129" i="2"/>
  <c r="CF177" i="2"/>
  <c r="CD177" i="2"/>
  <c r="CY116" i="2"/>
  <c r="EJ129" i="2"/>
  <c r="BQ290" i="2"/>
  <c r="EJ290" i="2"/>
  <c r="DW290" i="2"/>
  <c r="DM290" i="2"/>
  <c r="DC290" i="2"/>
  <c r="BQ129" i="2"/>
  <c r="CQ129" i="2" s="1"/>
  <c r="DM129" i="2"/>
  <c r="DC129" i="2" s="1"/>
  <c r="CH217" i="2"/>
  <c r="CC217" i="2" s="1"/>
  <c r="CD217" i="2"/>
  <c r="BW217" i="2"/>
  <c r="P217" i="2"/>
  <c r="A217" i="2" s="1"/>
  <c r="G217" i="2" s="1"/>
  <c r="CK217" i="2"/>
  <c r="CK162" i="2"/>
  <c r="CD162" i="2"/>
  <c r="CF162" i="2"/>
  <c r="CH162" i="2"/>
  <c r="CC162" i="2" s="1"/>
  <c r="P162" i="2"/>
  <c r="A162" i="2" s="1"/>
  <c r="BW162" i="2"/>
  <c r="EK243" i="2"/>
  <c r="BL243" i="2"/>
  <c r="EJ113" i="2"/>
  <c r="DW113" i="2"/>
  <c r="BQ113" i="2"/>
  <c r="DM113" i="2"/>
  <c r="DC113" i="2"/>
  <c r="CU129" i="2"/>
  <c r="CT129" i="2"/>
  <c r="CR129" i="2"/>
  <c r="CG192" i="2"/>
  <c r="DW13" i="2"/>
  <c r="DM13" i="2"/>
  <c r="DC13" i="2"/>
  <c r="EJ13" i="2"/>
  <c r="CK19" i="2"/>
  <c r="CR116" i="2"/>
  <c r="CH33" i="2"/>
  <c r="CC33" i="2" s="1"/>
  <c r="CK33" i="2"/>
  <c r="P33" i="2"/>
  <c r="A33" i="2" s="1"/>
  <c r="BW33" i="2"/>
  <c r="EM30" i="2"/>
  <c r="EN30" i="2" s="1"/>
  <c r="EK30" i="2"/>
  <c r="BW60" i="2"/>
  <c r="CH60" i="2"/>
  <c r="CC60" i="2" s="1"/>
  <c r="CK60" i="2"/>
  <c r="P60" i="2"/>
  <c r="A60" i="2"/>
  <c r="EJ192" i="2"/>
  <c r="DM192" i="2"/>
  <c r="DC192" i="2" s="1"/>
  <c r="CK101" i="2"/>
  <c r="CH101" i="2"/>
  <c r="CC101" i="2" s="1"/>
  <c r="P101" i="2"/>
  <c r="A101" i="2" s="1"/>
  <c r="F101" i="2" s="1"/>
  <c r="CT116" i="2"/>
  <c r="CH40" i="2"/>
  <c r="CC40" i="2" s="1"/>
  <c r="CK40" i="2"/>
  <c r="DM273" i="2"/>
  <c r="CH316" i="2"/>
  <c r="CC316" i="2" s="1"/>
  <c r="P316" i="2"/>
  <c r="A316" i="2"/>
  <c r="F316" i="2" s="1"/>
  <c r="CF316" i="2"/>
  <c r="CK316" i="2"/>
  <c r="CD316" i="2"/>
  <c r="BW316" i="2"/>
  <c r="CF41" i="2"/>
  <c r="CK41" i="2"/>
  <c r="BW41" i="2"/>
  <c r="CD41" i="2"/>
  <c r="CH41" i="2"/>
  <c r="CC41" i="2" s="1"/>
  <c r="P41" i="2"/>
  <c r="A41" i="2" s="1"/>
  <c r="F41" i="2" s="1"/>
  <c r="P133" i="2"/>
  <c r="A133" i="2" s="1"/>
  <c r="BW133" i="2"/>
  <c r="CH133" i="2"/>
  <c r="CC133" i="2" s="1"/>
  <c r="CK133" i="2"/>
  <c r="CF25" i="2"/>
  <c r="CD25" i="2"/>
  <c r="P66" i="2"/>
  <c r="A66" i="2" s="1"/>
  <c r="CF66" i="2"/>
  <c r="BW66" i="2"/>
  <c r="EJ273" i="2"/>
  <c r="DW273" i="2"/>
  <c r="CK323" i="2"/>
  <c r="BW323" i="2"/>
  <c r="P323" i="2"/>
  <c r="A323" i="2" s="1"/>
  <c r="CH323" i="2"/>
  <c r="CC323" i="2" s="1"/>
  <c r="EJ263" i="2"/>
  <c r="DM263" i="2"/>
  <c r="DC263" i="2"/>
  <c r="EV19" i="2"/>
  <c r="BL240" i="2"/>
  <c r="CK153" i="2"/>
  <c r="BL244" i="2"/>
  <c r="EK244" i="2"/>
  <c r="BL167" i="2"/>
  <c r="CT167" i="2" s="1"/>
  <c r="EK167" i="2"/>
  <c r="P201" i="2"/>
  <c r="A201" i="2" s="1"/>
  <c r="G201" i="2" s="1"/>
  <c r="CK201" i="2"/>
  <c r="CF201" i="2"/>
  <c r="CH201" i="2"/>
  <c r="CC201" i="2" s="1"/>
  <c r="BW201" i="2"/>
  <c r="CD201" i="2"/>
  <c r="CH210" i="2"/>
  <c r="CC210" i="2" s="1"/>
  <c r="P210" i="2"/>
  <c r="A210" i="2" s="1"/>
  <c r="CK210" i="2"/>
  <c r="CF250" i="2"/>
  <c r="P250" i="2"/>
  <c r="A250" i="2" s="1"/>
  <c r="G250" i="2" s="1"/>
  <c r="CK250" i="2"/>
  <c r="CD250" i="2"/>
  <c r="CH250" i="2"/>
  <c r="CC250" i="2" s="1"/>
  <c r="BW250" i="2"/>
  <c r="BL55" i="2"/>
  <c r="CY55" i="2" s="1"/>
  <c r="EK55" i="2"/>
  <c r="EM55" i="2"/>
  <c r="EN55" i="2" s="1"/>
  <c r="CF52" i="2"/>
  <c r="CD52" i="2"/>
  <c r="P21" i="2"/>
  <c r="A21" i="2" s="1"/>
  <c r="CF21" i="2"/>
  <c r="BW21" i="2"/>
  <c r="CH21" i="2"/>
  <c r="CC21" i="2" s="1"/>
  <c r="CK21" i="2"/>
  <c r="CG238" i="2"/>
  <c r="CD51" i="2"/>
  <c r="P227" i="2"/>
  <c r="A227" i="2" s="1"/>
  <c r="CH227" i="2"/>
  <c r="CC227" i="2" s="1"/>
  <c r="CF227" i="2"/>
  <c r="BQ302" i="2"/>
  <c r="DM334" i="2"/>
  <c r="DC334" i="2" s="1"/>
  <c r="BQ334" i="2"/>
  <c r="DM255" i="2"/>
  <c r="DC255" i="2" s="1"/>
  <c r="EJ255" i="2"/>
  <c r="BQ255" i="2"/>
  <c r="DW255" i="2"/>
  <c r="DM298" i="2"/>
  <c r="DC298" i="2" s="1"/>
  <c r="CH172" i="2"/>
  <c r="CC172" i="2" s="1"/>
  <c r="BW227" i="2"/>
  <c r="CF232" i="2"/>
  <c r="CG232" i="2"/>
  <c r="BL286" i="2"/>
  <c r="DW286" i="2" s="1"/>
  <c r="BL52" i="2"/>
  <c r="BQ52" i="2" s="1"/>
  <c r="EK52" i="2"/>
  <c r="EM52" i="2"/>
  <c r="EN52" i="2" s="1"/>
  <c r="F132" i="2"/>
  <c r="CK81" i="2"/>
  <c r="BW81" i="2"/>
  <c r="BW210" i="2"/>
  <c r="CH171" i="2"/>
  <c r="CC171" i="2" s="1"/>
  <c r="CK171" i="2"/>
  <c r="P171" i="2"/>
  <c r="A171" i="2" s="1"/>
  <c r="G142" i="2"/>
  <c r="DG25" i="2"/>
  <c r="DM25" i="2"/>
  <c r="DC25" i="2" s="1"/>
  <c r="EJ25" i="2"/>
  <c r="CS25" i="2"/>
  <c r="CU25" i="2"/>
  <c r="EL25" i="2"/>
  <c r="DW25" i="2"/>
  <c r="CX25" i="2"/>
  <c r="AR21" i="2" a="1"/>
  <c r="AR21" i="2" s="1"/>
  <c r="EL129" i="2"/>
  <c r="DW129" i="2"/>
  <c r="CW129" i="2"/>
  <c r="CV129" i="2"/>
  <c r="DM289" i="2"/>
  <c r="DC289" i="2" s="1"/>
  <c r="CD218" i="2"/>
  <c r="BL246" i="2"/>
  <c r="BQ246" i="2" s="1"/>
  <c r="EK246" i="2"/>
  <c r="CD220" i="2"/>
  <c r="CK220" i="2"/>
  <c r="CH220" i="2"/>
  <c r="CC220" i="2" s="1"/>
  <c r="EV25" i="2"/>
  <c r="CH276" i="2"/>
  <c r="CC276" i="2" s="1"/>
  <c r="P276" i="2"/>
  <c r="A276" i="2"/>
  <c r="CK276" i="2"/>
  <c r="CD276" i="2"/>
  <c r="EK242" i="2"/>
  <c r="BL242" i="2"/>
  <c r="DM242" i="2" s="1"/>
  <c r="DC242" i="2" s="1"/>
  <c r="G334" i="2"/>
  <c r="DY218" i="2"/>
  <c r="P290" i="2"/>
  <c r="A290" i="2" s="1"/>
  <c r="F290" i="2" s="1"/>
  <c r="BW290" i="2"/>
  <c r="CK290" i="2"/>
  <c r="CK143" i="2"/>
  <c r="P143" i="2"/>
  <c r="A143" i="2" s="1"/>
  <c r="CH143" i="2"/>
  <c r="CC143" i="2"/>
  <c r="BW143" i="2"/>
  <c r="EK280" i="2"/>
  <c r="BL280" i="2"/>
  <c r="CD215" i="2"/>
  <c r="CF215" i="2"/>
  <c r="EK58" i="2"/>
  <c r="EM58" i="2"/>
  <c r="EN58" i="2" s="1"/>
  <c r="BL58" i="2"/>
  <c r="BL208" i="2"/>
  <c r="EK208" i="2"/>
  <c r="CF98" i="2"/>
  <c r="CH98" i="2"/>
  <c r="CC98" i="2" s="1"/>
  <c r="CD98" i="2"/>
  <c r="CK98" i="2"/>
  <c r="BW98" i="2"/>
  <c r="P98" i="2"/>
  <c r="A98" i="2" s="1"/>
  <c r="CG182" i="2"/>
  <c r="BW20" i="2"/>
  <c r="CH20" i="2"/>
  <c r="CC20" i="2" s="1"/>
  <c r="P20" i="2"/>
  <c r="A20" i="2" s="1"/>
  <c r="CK20" i="2"/>
  <c r="BW190" i="2"/>
  <c r="P190" i="2"/>
  <c r="A190" i="2" s="1"/>
  <c r="BW62" i="2"/>
  <c r="EK28" i="2"/>
  <c r="BL28" i="2"/>
  <c r="AU38" i="2"/>
  <c r="BX63" i="2"/>
  <c r="BY63" i="2" s="1"/>
  <c r="AU280" i="2"/>
  <c r="CN280" i="2" s="1"/>
  <c r="BX24" i="2"/>
  <c r="BY24" i="2" s="1"/>
  <c r="AU250" i="2"/>
  <c r="CD298" i="2"/>
  <c r="P298" i="2"/>
  <c r="A298" i="2" s="1"/>
  <c r="G298" i="2" s="1"/>
  <c r="CK298" i="2"/>
  <c r="CH298" i="2"/>
  <c r="CC298" i="2" s="1"/>
  <c r="AR298" i="2" a="1"/>
  <c r="AR298" i="2" s="1"/>
  <c r="CF298" i="2"/>
  <c r="CK118" i="2"/>
  <c r="CF118" i="2"/>
  <c r="CH118" i="2"/>
  <c r="CC118" i="2" s="1"/>
  <c r="BW118" i="2"/>
  <c r="CK181" i="2"/>
  <c r="P22" i="2"/>
  <c r="A22" i="2" s="1"/>
  <c r="F22" i="2" s="1"/>
  <c r="CH22" i="2"/>
  <c r="CC22" i="2" s="1"/>
  <c r="CK22" i="2"/>
  <c r="CD22" i="2"/>
  <c r="BW22" i="2"/>
  <c r="CF22" i="2"/>
  <c r="CT9" i="2"/>
  <c r="CH139" i="2"/>
  <c r="CC139" i="2" s="1"/>
  <c r="CD139" i="2"/>
  <c r="BW139" i="2"/>
  <c r="P139" i="2"/>
  <c r="A139" i="2" s="1"/>
  <c r="G139" i="2" s="1"/>
  <c r="CF139" i="2"/>
  <c r="CK139" i="2"/>
  <c r="CD285" i="2"/>
  <c r="CC189" i="2"/>
  <c r="AR189" i="2" a="1"/>
  <c r="AR189" i="2" s="1"/>
  <c r="CK189" i="2"/>
  <c r="BW189" i="2"/>
  <c r="P189" i="2"/>
  <c r="A189" i="2" s="1"/>
  <c r="AR181" i="2" a="1"/>
  <c r="AR181" i="2" s="1"/>
  <c r="BL306" i="2"/>
  <c r="DM306" i="2" s="1"/>
  <c r="DC306" i="2" s="1"/>
  <c r="CK106" i="2"/>
  <c r="CH252" i="2"/>
  <c r="CC252" i="2" s="1"/>
  <c r="BW252" i="2"/>
  <c r="BW191" i="2"/>
  <c r="CK191" i="2"/>
  <c r="CH191" i="2"/>
  <c r="CC191" i="2" s="1"/>
  <c r="BW321" i="2"/>
  <c r="CH321" i="2"/>
  <c r="CC321" i="2" s="1"/>
  <c r="CK321" i="2"/>
  <c r="P321" i="2"/>
  <c r="A321" i="2" s="1"/>
  <c r="CF106" i="2"/>
  <c r="BL173" i="2"/>
  <c r="CF182" i="2"/>
  <c r="CF193" i="2"/>
  <c r="P272" i="2"/>
  <c r="A272" i="2" s="1"/>
  <c r="BW272" i="2"/>
  <c r="CF272" i="2"/>
  <c r="CK272" i="2"/>
  <c r="CH272" i="2"/>
  <c r="CC272" i="2" s="1"/>
  <c r="CD272" i="2"/>
  <c r="CD231" i="2"/>
  <c r="P231" i="2"/>
  <c r="A231" i="2" s="1"/>
  <c r="BW231" i="2"/>
  <c r="P18" i="2"/>
  <c r="A18" i="2" s="1"/>
  <c r="CK18" i="2"/>
  <c r="BW18" i="2"/>
  <c r="BW292" i="2"/>
  <c r="CK292" i="2"/>
  <c r="P292" i="2"/>
  <c r="P32" i="2"/>
  <c r="A32" i="2" s="1"/>
  <c r="F32" i="2" s="1"/>
  <c r="CH32" i="2"/>
  <c r="CC32" i="2" s="1"/>
  <c r="BW32" i="2"/>
  <c r="CH229" i="2"/>
  <c r="CC229" i="2" s="1"/>
  <c r="P229" i="2"/>
  <c r="A229" i="2" s="1"/>
  <c r="BL143" i="2"/>
  <c r="EM143" i="2"/>
  <c r="EN143" i="2" s="1"/>
  <c r="BL341" i="2"/>
  <c r="DW341" i="2" s="1"/>
  <c r="BQ314" i="2"/>
  <c r="DM314" i="2"/>
  <c r="DC314" i="2" s="1"/>
  <c r="DW314" i="2"/>
  <c r="EJ314" i="2"/>
  <c r="P226" i="2"/>
  <c r="CD226" i="2"/>
  <c r="BW226" i="2"/>
  <c r="CH226" i="2"/>
  <c r="CC226" i="2" s="1"/>
  <c r="CF226" i="2"/>
  <c r="EK236" i="2"/>
  <c r="BL236" i="2"/>
  <c r="BQ236" i="2" s="1"/>
  <c r="AR272" i="2" a="1"/>
  <c r="AR272" i="2" s="1"/>
  <c r="BL124" i="2"/>
  <c r="DG124" i="2" s="1"/>
  <c r="DY124" i="2" s="1"/>
  <c r="EM124" i="2"/>
  <c r="EN124" i="2" s="1"/>
  <c r="BW192" i="2"/>
  <c r="P192" i="2"/>
  <c r="A192" i="2" s="1"/>
  <c r="CH192" i="2"/>
  <c r="CC192" i="2" s="1"/>
  <c r="CK192" i="2"/>
  <c r="CD192" i="2"/>
  <c r="CK224" i="2"/>
  <c r="CH224" i="2"/>
  <c r="CC224" i="2" s="1"/>
  <c r="BW224" i="2"/>
  <c r="CK117" i="2"/>
  <c r="P117" i="2"/>
  <c r="A117" i="2"/>
  <c r="F117" i="2" s="1"/>
  <c r="AR117" i="2" a="1"/>
  <c r="AR117" i="2" s="1"/>
  <c r="P202" i="2"/>
  <c r="A202" i="2" s="1"/>
  <c r="CH202" i="2"/>
  <c r="CC202" i="2" s="1"/>
  <c r="CK202" i="2"/>
  <c r="CF202" i="2"/>
  <c r="P194" i="2"/>
  <c r="A194" i="2" s="1"/>
  <c r="G194" i="2" s="1"/>
  <c r="EK20" i="2"/>
  <c r="BL20" i="2"/>
  <c r="CS20" i="2" s="1"/>
  <c r="EM20" i="2"/>
  <c r="EN20" i="2" s="1"/>
  <c r="BL111" i="2"/>
  <c r="CR111" i="2" s="1"/>
  <c r="CH7" i="2"/>
  <c r="CC7" i="2" s="1"/>
  <c r="P7" i="2"/>
  <c r="A7" i="2" s="1"/>
  <c r="CD7" i="2"/>
  <c r="CK7" i="2"/>
  <c r="CF7" i="2"/>
  <c r="BQ338" i="2"/>
  <c r="EJ338" i="2"/>
  <c r="DM338" i="2"/>
  <c r="DC338" i="2" s="1"/>
  <c r="DW338" i="2"/>
  <c r="EK181" i="2"/>
  <c r="CH235" i="2"/>
  <c r="CC235" i="2" s="1"/>
  <c r="BL186" i="2"/>
  <c r="EK186" i="2"/>
  <c r="G13" i="2"/>
  <c r="CG82" i="2"/>
  <c r="CF82" i="2"/>
  <c r="CD82" i="2"/>
  <c r="F273" i="2"/>
  <c r="G273" i="2"/>
  <c r="G332" i="2"/>
  <c r="F332" i="2"/>
  <c r="AR22" i="2" a="1"/>
  <c r="AR22" i="2" s="1"/>
  <c r="EK82" i="2"/>
  <c r="EM82" i="2"/>
  <c r="EN82" i="2" s="1"/>
  <c r="BL102" i="2"/>
  <c r="CU102" i="2" s="1"/>
  <c r="EM102" i="2"/>
  <c r="EN102" i="2" s="1"/>
  <c r="CS34" i="2"/>
  <c r="BQ34" i="2"/>
  <c r="CQ34" i="2" s="1"/>
  <c r="DA34" i="2"/>
  <c r="BL239" i="2"/>
  <c r="EK239" i="2"/>
  <c r="P176" i="2"/>
  <c r="A176" i="2" s="1"/>
  <c r="G176" i="2" s="1"/>
  <c r="CK176" i="2"/>
  <c r="CH176" i="2"/>
  <c r="CC176" i="2" s="1"/>
  <c r="BW176" i="2"/>
  <c r="CD72" i="2"/>
  <c r="CH261" i="2"/>
  <c r="CC261" i="2" s="1"/>
  <c r="P261" i="2"/>
  <c r="A261" i="2" s="1"/>
  <c r="CK261" i="2"/>
  <c r="CD261" i="2"/>
  <c r="AR261" i="2" a="1"/>
  <c r="AR261" i="2"/>
  <c r="BX261" i="2" s="1"/>
  <c r="BY261" i="2" s="1"/>
  <c r="F209" i="2"/>
  <c r="BL284" i="2"/>
  <c r="EJ284" i="2" s="1"/>
  <c r="EJ11" i="2"/>
  <c r="DW11" i="2"/>
  <c r="DM11" i="2"/>
  <c r="EL11" i="2"/>
  <c r="CW11" i="2"/>
  <c r="CS11" i="2"/>
  <c r="CR11" i="2"/>
  <c r="CY11" i="2"/>
  <c r="CT11" i="2"/>
  <c r="CV11" i="2"/>
  <c r="CZ11" i="2"/>
  <c r="DG11" i="2"/>
  <c r="BQ11" i="2"/>
  <c r="CQ11" i="2" s="1"/>
  <c r="CU11" i="2"/>
  <c r="DA11" i="2"/>
  <c r="BL251" i="2"/>
  <c r="P255" i="2"/>
  <c r="A255" i="2" s="1"/>
  <c r="BW255" i="2"/>
  <c r="CD255" i="2"/>
  <c r="CK255" i="2"/>
  <c r="EM83" i="2"/>
  <c r="EN83" i="2" s="1"/>
  <c r="CH42" i="2"/>
  <c r="CC42" i="2" s="1"/>
  <c r="CD42" i="2"/>
  <c r="CF42" i="2"/>
  <c r="P42" i="2"/>
  <c r="A42" i="2" s="1"/>
  <c r="G42" i="2" s="1"/>
  <c r="BW42" i="2"/>
  <c r="BW317" i="2"/>
  <c r="CH317" i="2"/>
  <c r="CC317" i="2" s="1"/>
  <c r="CK317" i="2"/>
  <c r="CD317" i="2"/>
  <c r="P317" i="2"/>
  <c r="CF184" i="2"/>
  <c r="AR252" i="2" a="1"/>
  <c r="AR252" i="2" s="1"/>
  <c r="BX252" i="2" s="1"/>
  <c r="BY252" i="2" s="1"/>
  <c r="BL112" i="2"/>
  <c r="CW112" i="2" s="1"/>
  <c r="EK112" i="2"/>
  <c r="EM112" i="2"/>
  <c r="EN112" i="2" s="1"/>
  <c r="EJ252" i="2"/>
  <c r="BQ252" i="2"/>
  <c r="DW252" i="2"/>
  <c r="DM252" i="2"/>
  <c r="DC252" i="2" s="1"/>
  <c r="BL38" i="2"/>
  <c r="DM38" i="2" s="1"/>
  <c r="DC38" i="2" s="1"/>
  <c r="EM38" i="2"/>
  <c r="EN38" i="2" s="1"/>
  <c r="EK38" i="2"/>
  <c r="CF233" i="2"/>
  <c r="CD233" i="2"/>
  <c r="CD308" i="2"/>
  <c r="P308" i="2"/>
  <c r="DM300" i="2"/>
  <c r="DC300" i="2" s="1"/>
  <c r="CD118" i="2"/>
  <c r="AU342" i="2"/>
  <c r="CN342" i="2" s="1"/>
  <c r="EM60" i="2"/>
  <c r="EN60" i="2" s="1"/>
  <c r="BL60" i="2"/>
  <c r="CZ60" i="2" s="1"/>
  <c r="DG23" i="2"/>
  <c r="CX23" i="2"/>
  <c r="BQ23" i="2"/>
  <c r="CS23" i="2"/>
  <c r="CZ23" i="2"/>
  <c r="DM23" i="2"/>
  <c r="DC23" i="2" s="1"/>
  <c r="EJ23" i="2"/>
  <c r="DW23" i="2"/>
  <c r="DA23" i="2"/>
  <c r="CW23" i="2"/>
  <c r="CY23" i="2"/>
  <c r="CU23" i="2"/>
  <c r="EL23" i="2"/>
  <c r="CT23" i="2"/>
  <c r="BL276" i="2"/>
  <c r="EK276" i="2"/>
  <c r="DG99" i="2"/>
  <c r="DY99" i="2" s="1"/>
  <c r="CS99" i="2"/>
  <c r="CW99" i="2"/>
  <c r="CX99" i="2"/>
  <c r="P118" i="2"/>
  <c r="A118" i="2" s="1"/>
  <c r="F118" i="2" s="1"/>
  <c r="AR229" i="2" a="1"/>
  <c r="AR229" i="2" s="1"/>
  <c r="BX229" i="2" s="1"/>
  <c r="BY229" i="2" s="1"/>
  <c r="EK205" i="2"/>
  <c r="BX209" i="2"/>
  <c r="BY209" i="2" s="1"/>
  <c r="BW48" i="2"/>
  <c r="CK48" i="2"/>
  <c r="CH48" i="2"/>
  <c r="CC48" i="2" s="1"/>
  <c r="P48" i="2"/>
  <c r="A48" i="2" s="1"/>
  <c r="F48" i="2" s="1"/>
  <c r="CG300" i="2"/>
  <c r="EK51" i="2"/>
  <c r="BL51" i="2"/>
  <c r="EM51" i="2"/>
  <c r="EN51" i="2" s="1"/>
  <c r="AR118" i="2" a="1"/>
  <c r="AR118" i="2" s="1"/>
  <c r="BX118" i="2" s="1"/>
  <c r="BY118" i="2" s="1"/>
  <c r="CH208" i="2"/>
  <c r="CC208" i="2" s="1"/>
  <c r="CF208" i="2"/>
  <c r="CN50" i="2"/>
  <c r="BX283" i="2"/>
  <c r="BY283" i="2" s="1"/>
  <c r="BX50" i="2"/>
  <c r="BY50" i="2" s="1"/>
  <c r="CN296" i="2"/>
  <c r="BX52" i="2"/>
  <c r="BY52" i="2" s="1"/>
  <c r="AU208" i="2"/>
  <c r="CN208" i="2" s="1"/>
  <c r="AU148" i="2"/>
  <c r="CN148" i="2" s="1"/>
  <c r="CD132" i="2"/>
  <c r="EJ9" i="2"/>
  <c r="DG9" i="2"/>
  <c r="DY9" i="2" s="1"/>
  <c r="CY9" i="2"/>
  <c r="DW9" i="2"/>
  <c r="CX9" i="2"/>
  <c r="DM9" i="2"/>
  <c r="DC9" i="2" s="1"/>
  <c r="CZ9" i="2"/>
  <c r="BQ9" i="2"/>
  <c r="CQ9" i="2" s="1"/>
  <c r="DA9" i="2"/>
  <c r="CR9" i="2"/>
  <c r="CW9" i="2"/>
  <c r="EL9" i="2"/>
  <c r="EV91" i="2"/>
  <c r="CF325" i="2"/>
  <c r="CD325" i="2"/>
  <c r="CK61" i="2"/>
  <c r="BW61" i="2"/>
  <c r="P61" i="2"/>
  <c r="A61" i="2" s="1"/>
  <c r="CH61" i="2"/>
  <c r="CC61" i="2"/>
  <c r="AU278" i="2"/>
  <c r="CN278" i="2" s="1"/>
  <c r="BX278" i="2"/>
  <c r="BY278" i="2" s="1"/>
  <c r="CU10" i="2"/>
  <c r="EJ10" i="2"/>
  <c r="CZ10" i="2"/>
  <c r="CW128" i="2"/>
  <c r="DA128" i="2"/>
  <c r="CV128" i="2"/>
  <c r="DM128" i="2"/>
  <c r="DC128" i="2" s="1"/>
  <c r="EJ128" i="2"/>
  <c r="BQ128" i="2"/>
  <c r="CQ128" i="2" s="1"/>
  <c r="EL128" i="2"/>
  <c r="CU128" i="2"/>
  <c r="CS128" i="2"/>
  <c r="CY128" i="2"/>
  <c r="DW128" i="2"/>
  <c r="CT128" i="2"/>
  <c r="CR128" i="2"/>
  <c r="BL320" i="2"/>
  <c r="BQ320" i="2" s="1"/>
  <c r="CH304" i="2"/>
  <c r="CC304" i="2" s="1"/>
  <c r="CF304" i="2"/>
  <c r="BX226" i="2"/>
  <c r="BY226" i="2" s="1"/>
  <c r="P99" i="2"/>
  <c r="A99" i="2" s="1"/>
  <c r="BW99" i="2"/>
  <c r="CH99" i="2"/>
  <c r="CC99" i="2" s="1"/>
  <c r="CK99" i="2"/>
  <c r="AU119" i="2"/>
  <c r="BX119" i="2"/>
  <c r="BY119" i="2" s="1"/>
  <c r="DC214" i="2"/>
  <c r="CK17" i="2"/>
  <c r="P17" i="2"/>
  <c r="A17" i="2" s="1"/>
  <c r="CF17" i="2"/>
  <c r="CH17" i="2"/>
  <c r="CC17" i="2" s="1"/>
  <c r="CD17" i="2"/>
  <c r="BW17" i="2"/>
  <c r="G342" i="2"/>
  <c r="CF159" i="2"/>
  <c r="CD159" i="2"/>
  <c r="CD321" i="2"/>
  <c r="CF321" i="2"/>
  <c r="EK321" i="2"/>
  <c r="BL321" i="2"/>
  <c r="G24" i="2"/>
  <c r="CN321" i="2"/>
  <c r="P188" i="2"/>
  <c r="A188" i="2" s="1"/>
  <c r="BW188" i="2"/>
  <c r="DG128" i="2"/>
  <c r="DY128" i="2" s="1"/>
  <c r="BX321" i="2"/>
  <c r="BY321" i="2" s="1"/>
  <c r="CK23" i="2"/>
  <c r="CH23" i="2"/>
  <c r="CC23" i="2" s="1"/>
  <c r="BW23" i="2"/>
  <c r="CV9" i="2"/>
  <c r="EK265" i="2"/>
  <c r="BL265" i="2"/>
  <c r="DW265" i="2" s="1"/>
  <c r="CS9" i="2"/>
  <c r="AU341" i="2"/>
  <c r="CN341" i="2" s="1"/>
  <c r="BX341" i="2"/>
  <c r="BY341" i="2" s="1"/>
  <c r="CN99" i="2"/>
  <c r="CN197" i="2"/>
  <c r="BX100" i="2"/>
  <c r="BY100" i="2" s="1"/>
  <c r="BY39" i="2"/>
  <c r="AU39" i="2"/>
  <c r="CN52" i="2"/>
  <c r="CN226" i="2"/>
  <c r="EM53" i="2"/>
  <c r="EN53" i="2" s="1"/>
  <c r="EK53" i="2"/>
  <c r="DC273" i="2"/>
  <c r="AU293" i="2"/>
  <c r="BT293" i="2" s="1"/>
  <c r="BU293" i="2" s="1"/>
  <c r="BX293" i="2"/>
  <c r="BY293" i="2" s="1"/>
  <c r="P122" i="2"/>
  <c r="A122" i="2" s="1"/>
  <c r="BW122" i="2"/>
  <c r="CD23" i="2"/>
  <c r="CK134" i="2"/>
  <c r="CU19" i="2"/>
  <c r="CW19" i="2"/>
  <c r="BQ19" i="2"/>
  <c r="CQ19" i="2" s="1"/>
  <c r="CZ19" i="2"/>
  <c r="CV19" i="2"/>
  <c r="CS19" i="2"/>
  <c r="CT19" i="2"/>
  <c r="CR16" i="2"/>
  <c r="CZ16" i="2"/>
  <c r="DW16" i="2"/>
  <c r="CT16" i="2"/>
  <c r="EK237" i="2"/>
  <c r="BL237" i="2"/>
  <c r="BL228" i="2"/>
  <c r="EK228" i="2"/>
  <c r="BX62" i="2"/>
  <c r="BY62" i="2" s="1"/>
  <c r="CF252" i="2"/>
  <c r="CD252" i="2"/>
  <c r="DM110" i="2"/>
  <c r="DC110" i="2" s="1"/>
  <c r="CT103" i="2"/>
  <c r="CZ103" i="2"/>
  <c r="DW103" i="2"/>
  <c r="CS103" i="2"/>
  <c r="CU103" i="2"/>
  <c r="DM103" i="2"/>
  <c r="DC103" i="2" s="1"/>
  <c r="CW103" i="2"/>
  <c r="EJ103" i="2"/>
  <c r="EL103" i="2"/>
  <c r="CV103" i="2"/>
  <c r="DA103" i="2"/>
  <c r="BQ103" i="2"/>
  <c r="CQ103" i="2" s="1"/>
  <c r="DG103" i="2"/>
  <c r="DY103" i="2" s="1"/>
  <c r="CX103" i="2"/>
  <c r="CR103" i="2"/>
  <c r="CR84" i="2"/>
  <c r="CW84" i="2"/>
  <c r="CV84" i="2"/>
  <c r="DW84" i="2"/>
  <c r="CU84" i="2"/>
  <c r="CY84" i="2"/>
  <c r="DG84" i="2"/>
  <c r="DY84" i="2" s="1"/>
  <c r="EJ84" i="2"/>
  <c r="BQ84" i="2"/>
  <c r="CQ84" i="2" s="1"/>
  <c r="DM84" i="2"/>
  <c r="DC84" i="2" s="1"/>
  <c r="CZ84" i="2"/>
  <c r="CS84" i="2"/>
  <c r="EL84" i="2"/>
  <c r="EM118" i="2"/>
  <c r="EN118" i="2" s="1"/>
  <c r="BL118" i="2"/>
  <c r="EJ118" i="2" s="1"/>
  <c r="CT84" i="2"/>
  <c r="CF133" i="2"/>
  <c r="CD133" i="2"/>
  <c r="CF45" i="2"/>
  <c r="BL45" i="2"/>
  <c r="BQ45" i="2" s="1"/>
  <c r="CQ45" i="2" s="1"/>
  <c r="EK45" i="2"/>
  <c r="CK90" i="2"/>
  <c r="P90" i="2"/>
  <c r="A90" i="2" s="1"/>
  <c r="CH90" i="2"/>
  <c r="CC90" i="2" s="1"/>
  <c r="BW90" i="2"/>
  <c r="AR90" i="2" a="1"/>
  <c r="AR90" i="2" s="1"/>
  <c r="BX90" i="2" s="1"/>
  <c r="BY90" i="2" s="1"/>
  <c r="EJ76" i="2"/>
  <c r="CU76" i="2"/>
  <c r="DM76" i="2"/>
  <c r="DC76" i="2" s="1"/>
  <c r="CV76" i="2"/>
  <c r="DA76" i="2"/>
  <c r="CT76" i="2"/>
  <c r="CX76" i="2"/>
  <c r="DW205" i="2"/>
  <c r="EJ205" i="2"/>
  <c r="BQ205" i="2"/>
  <c r="DM205" i="2"/>
  <c r="BL56" i="2"/>
  <c r="DA56" i="2" s="1"/>
  <c r="EM56" i="2"/>
  <c r="EN56" i="2"/>
  <c r="EK56" i="2"/>
  <c r="CH103" i="2"/>
  <c r="CC103" i="2" s="1"/>
  <c r="CF103" i="2"/>
  <c r="CK103" i="2"/>
  <c r="EK310" i="2"/>
  <c r="BL310" i="2"/>
  <c r="DM310" i="2" s="1"/>
  <c r="DC310" i="2" s="1"/>
  <c r="CD65" i="2"/>
  <c r="P65" i="2"/>
  <c r="A65" i="2" s="1"/>
  <c r="F65" i="2" s="1"/>
  <c r="CF65" i="2"/>
  <c r="CK65" i="2"/>
  <c r="CH65" i="2"/>
  <c r="CC65" i="2" s="1"/>
  <c r="G293" i="2"/>
  <c r="F293" i="2"/>
  <c r="DM17" i="2"/>
  <c r="DC17" i="2" s="1"/>
  <c r="CZ17" i="2"/>
  <c r="CR17" i="2"/>
  <c r="CV125" i="2"/>
  <c r="BQ125" i="2"/>
  <c r="CQ125" i="2" s="1"/>
  <c r="DM125" i="2"/>
  <c r="EL125" i="2"/>
  <c r="CZ125" i="2"/>
  <c r="DA125" i="2"/>
  <c r="F178" i="2"/>
  <c r="G178" i="2"/>
  <c r="CX84" i="2"/>
  <c r="EK73" i="2"/>
  <c r="EM73" i="2"/>
  <c r="EN73" i="2" s="1"/>
  <c r="CF48" i="2"/>
  <c r="CG48" i="2"/>
  <c r="EK164" i="2"/>
  <c r="DM163" i="2"/>
  <c r="DC163" i="2" s="1"/>
  <c r="EJ163" i="2"/>
  <c r="DW163" i="2"/>
  <c r="G311" i="2"/>
  <c r="BQ195" i="2"/>
  <c r="DY41" i="2"/>
  <c r="DM271" i="2"/>
  <c r="DC271" i="2" s="1"/>
  <c r="BQ271" i="2"/>
  <c r="DM195" i="2"/>
  <c r="DC195" i="2"/>
  <c r="DW195" i="2"/>
  <c r="BQ193" i="2"/>
  <c r="F156" i="2"/>
  <c r="G156" i="2"/>
  <c r="G167" i="2"/>
  <c r="F167" i="2"/>
  <c r="DM215" i="2"/>
  <c r="DC215" i="2" s="1"/>
  <c r="F322" i="2"/>
  <c r="G322" i="2"/>
  <c r="CW32" i="2"/>
  <c r="CZ32" i="2"/>
  <c r="BQ32" i="2"/>
  <c r="CQ32" i="2" s="1"/>
  <c r="EJ258" i="2"/>
  <c r="BQ258" i="2"/>
  <c r="DM258" i="2"/>
  <c r="DC258" i="2" s="1"/>
  <c r="DW258" i="2"/>
  <c r="F295" i="2"/>
  <c r="G101" i="2"/>
  <c r="EJ243" i="2"/>
  <c r="F162" i="2"/>
  <c r="G162" i="2"/>
  <c r="CR107" i="2"/>
  <c r="CU107" i="2"/>
  <c r="CY107" i="2"/>
  <c r="G41" i="2"/>
  <c r="F60" i="2"/>
  <c r="G60" i="2"/>
  <c r="DM249" i="2"/>
  <c r="DC249" i="2" s="1"/>
  <c r="DW249" i="2"/>
  <c r="DM58" i="2"/>
  <c r="DC58" i="2" s="1"/>
  <c r="CZ58" i="2"/>
  <c r="DW246" i="2"/>
  <c r="EJ246" i="2"/>
  <c r="F21" i="2"/>
  <c r="G21" i="2"/>
  <c r="EL52" i="2"/>
  <c r="CW52" i="2"/>
  <c r="CZ52" i="2"/>
  <c r="DG52" i="2"/>
  <c r="CU52" i="2"/>
  <c r="F98" i="2"/>
  <c r="G98" i="2"/>
  <c r="EJ286" i="2"/>
  <c r="BQ286" i="2"/>
  <c r="DM286" i="2"/>
  <c r="DC286" i="2" s="1"/>
  <c r="EJ167" i="2"/>
  <c r="DM244" i="2"/>
  <c r="DC244" i="2" s="1"/>
  <c r="DW244" i="2"/>
  <c r="G22" i="2"/>
  <c r="BQ341" i="2"/>
  <c r="DM341" i="2"/>
  <c r="DC341" i="2" s="1"/>
  <c r="G117" i="2"/>
  <c r="CV38" i="2"/>
  <c r="CX38" i="2"/>
  <c r="CR38" i="2"/>
  <c r="CU38" i="2"/>
  <c r="CW143" i="2"/>
  <c r="EJ181" i="2"/>
  <c r="CW111" i="2"/>
  <c r="CY111" i="2"/>
  <c r="DM111" i="2"/>
  <c r="DC111" i="2" s="1"/>
  <c r="EL60" i="2"/>
  <c r="DA60" i="2"/>
  <c r="BQ124" i="2"/>
  <c r="CQ124" i="2" s="1"/>
  <c r="CW124" i="2"/>
  <c r="CZ124" i="2"/>
  <c r="CT82" i="2"/>
  <c r="CS82" i="2"/>
  <c r="CV82" i="2"/>
  <c r="DW82" i="2"/>
  <c r="EJ82" i="2"/>
  <c r="DM82" i="2"/>
  <c r="DC82" i="2" s="1"/>
  <c r="CU82" i="2"/>
  <c r="CZ82" i="2"/>
  <c r="CR82" i="2"/>
  <c r="CX82" i="2"/>
  <c r="BQ82" i="2"/>
  <c r="CQ82" i="2" s="1"/>
  <c r="CW82" i="2"/>
  <c r="EL82" i="2"/>
  <c r="DA82" i="2"/>
  <c r="CY82" i="2"/>
  <c r="CW20" i="2"/>
  <c r="CU20" i="2"/>
  <c r="EL20" i="2"/>
  <c r="DG20" i="2"/>
  <c r="CY20" i="2"/>
  <c r="DA20" i="2"/>
  <c r="CR20" i="2"/>
  <c r="DM20" i="2"/>
  <c r="DC20" i="2" s="1"/>
  <c r="CX20" i="2"/>
  <c r="CT20" i="2"/>
  <c r="DW20" i="2"/>
  <c r="BQ20" i="2"/>
  <c r="EJ173" i="2"/>
  <c r="DM173" i="2"/>
  <c r="DC173" i="2" s="1"/>
  <c r="DW173" i="2"/>
  <c r="DM112" i="2"/>
  <c r="DC112" i="2" s="1"/>
  <c r="CY112" i="2"/>
  <c r="CS112" i="2"/>
  <c r="CZ112" i="2"/>
  <c r="CU112" i="2"/>
  <c r="EL112" i="2"/>
  <c r="BQ112" i="2"/>
  <c r="CQ112" i="2" s="1"/>
  <c r="CR112" i="2"/>
  <c r="EJ112" i="2"/>
  <c r="CV112" i="2"/>
  <c r="BQ306" i="2"/>
  <c r="BT306" i="2" s="1"/>
  <c r="BU306" i="2" s="1"/>
  <c r="EJ306" i="2"/>
  <c r="DW306" i="2"/>
  <c r="EL102" i="2"/>
  <c r="EJ276" i="2"/>
  <c r="BQ276" i="2"/>
  <c r="DY11" i="2"/>
  <c r="G255" i="2"/>
  <c r="F255" i="2"/>
  <c r="CZ51" i="2"/>
  <c r="DW321" i="2"/>
  <c r="DM321" i="2"/>
  <c r="DC321" i="2" s="1"/>
  <c r="EJ321" i="2"/>
  <c r="BQ321" i="2"/>
  <c r="BT321" i="2" s="1"/>
  <c r="BU321" i="2" s="1"/>
  <c r="DM320" i="2"/>
  <c r="DC320" i="2" s="1"/>
  <c r="CN114" i="2"/>
  <c r="DC205" i="2"/>
  <c r="CV73" i="2"/>
  <c r="CX73" i="2"/>
  <c r="DW73" i="2"/>
  <c r="CU73" i="2"/>
  <c r="EJ73" i="2"/>
  <c r="DM73" i="2"/>
  <c r="DC73" i="2"/>
  <c r="CS73" i="2"/>
  <c r="DA73" i="2"/>
  <c r="CT73" i="2"/>
  <c r="EV73" i="2"/>
  <c r="DC125" i="2"/>
  <c r="EJ237" i="2"/>
  <c r="DM237" i="2"/>
  <c r="DC237" i="2" s="1"/>
  <c r="BQ237" i="2"/>
  <c r="DW237" i="2"/>
  <c r="CV53" i="2"/>
  <c r="DM53" i="2"/>
  <c r="CW53" i="2"/>
  <c r="BQ310" i="2"/>
  <c r="CN62" i="2"/>
  <c r="EJ228" i="2"/>
  <c r="CT56" i="2"/>
  <c r="CV56" i="2"/>
  <c r="CR56" i="2"/>
  <c r="CW56" i="2"/>
  <c r="CN293" i="2"/>
  <c r="EG103" i="2"/>
  <c r="AU90" i="2"/>
  <c r="CN90" i="2" s="1"/>
  <c r="W21" i="4"/>
  <c r="W113" i="4"/>
  <c r="Y113" i="4" s="1"/>
  <c r="W66" i="4"/>
  <c r="Y66" i="4" s="1"/>
  <c r="W42" i="4"/>
  <c r="W141" i="4"/>
  <c r="Y141" i="4"/>
  <c r="W138" i="4"/>
  <c r="Y138" i="4" s="1"/>
  <c r="W102" i="4"/>
  <c r="Y102" i="4" s="1"/>
  <c r="W10" i="4"/>
  <c r="Z10" i="4" s="1"/>
  <c r="W13" i="4"/>
  <c r="Y13" i="4" s="1"/>
  <c r="W104" i="4"/>
  <c r="Y104" i="4" s="1"/>
  <c r="W65" i="4"/>
  <c r="Y65" i="4" s="1"/>
  <c r="W9" i="4"/>
  <c r="Y9" i="4" s="1"/>
  <c r="W7" i="4"/>
  <c r="Y7" i="4" s="1"/>
  <c r="W22" i="4"/>
  <c r="Z22" i="4" s="1"/>
  <c r="W24" i="4"/>
  <c r="Z24" i="4" s="1"/>
  <c r="W12" i="4"/>
  <c r="Y12" i="4" s="1"/>
  <c r="W51" i="4"/>
  <c r="Y51" i="4" s="1"/>
  <c r="W6" i="4"/>
  <c r="Y6" i="4" s="1"/>
  <c r="W139" i="4"/>
  <c r="Y139" i="4" s="1"/>
  <c r="W37" i="4"/>
  <c r="Y37" i="4" s="1"/>
  <c r="W109" i="4"/>
  <c r="W79" i="4"/>
  <c r="Y79" i="4" s="1"/>
  <c r="W115" i="4"/>
  <c r="Z115" i="4" s="1"/>
  <c r="W142" i="4"/>
  <c r="W108" i="4"/>
  <c r="W35" i="4"/>
  <c r="Z35" i="4" s="1"/>
  <c r="W143" i="4"/>
  <c r="W140" i="4"/>
  <c r="Y140" i="4" s="1"/>
  <c r="BX282" i="2"/>
  <c r="BY282" i="2" s="1"/>
  <c r="AU282" i="2"/>
  <c r="BX269" i="2"/>
  <c r="BY269" i="2" s="1"/>
  <c r="AU269" i="2"/>
  <c r="CN269" i="2" s="1"/>
  <c r="AR7" i="2" a="1"/>
  <c r="AR7" i="2" s="1"/>
  <c r="BX7" i="2" s="1"/>
  <c r="BY7" i="2" s="1"/>
  <c r="AR9" i="2" a="1"/>
  <c r="AR9" i="2" s="1"/>
  <c r="BX197" i="2"/>
  <c r="BY197" i="2" s="1"/>
  <c r="AU249" i="2"/>
  <c r="CN249" i="2" s="1"/>
  <c r="AR288" i="2" a="1"/>
  <c r="AR288" i="2" s="1"/>
  <c r="AU253" i="2"/>
  <c r="AU281" i="2"/>
  <c r="BT281" i="2" s="1"/>
  <c r="BU281" i="2" s="1"/>
  <c r="BX164" i="2"/>
  <c r="BY164" i="2" s="1"/>
  <c r="AR169" i="2" a="1"/>
  <c r="AR169" i="2" s="1"/>
  <c r="CO324" i="2"/>
  <c r="CN326" i="2"/>
  <c r="AU165" i="2"/>
  <c r="CN165" i="2"/>
  <c r="BX324" i="2"/>
  <c r="BY324" i="2" s="1"/>
  <c r="BX13" i="2"/>
  <c r="BY13" i="2" s="1"/>
  <c r="AU190" i="2"/>
  <c r="CN190" i="2" s="1"/>
  <c r="AU12" i="2"/>
  <c r="AU266" i="2"/>
  <c r="BX48" i="2"/>
  <c r="BY48" i="2" s="1"/>
  <c r="BX305" i="2"/>
  <c r="BY305" i="2" s="1"/>
  <c r="AU73" i="2"/>
  <c r="CN73" i="2"/>
  <c r="AR290" i="2" a="1"/>
  <c r="AR290" i="2" s="1"/>
  <c r="AR308" i="2" a="1"/>
  <c r="AR308" i="2"/>
  <c r="BX308" i="2" s="1"/>
  <c r="BY308" i="2" s="1"/>
  <c r="AR311" i="2" a="1"/>
  <c r="AR311" i="2" s="1"/>
  <c r="AR313" i="2" a="1"/>
  <c r="AR313" i="2" s="1"/>
  <c r="AR327" i="2" a="1"/>
  <c r="AR327" i="2"/>
  <c r="AU327" i="2" s="1"/>
  <c r="AR333" i="2" a="1"/>
  <c r="AR333" i="2" s="1"/>
  <c r="BQ242" i="2"/>
  <c r="EU55" i="2"/>
  <c r="CT55" i="2"/>
  <c r="CV55" i="2"/>
  <c r="CZ55" i="2"/>
  <c r="DG55" i="2"/>
  <c r="DY55" i="2" s="1"/>
  <c r="EL55" i="2"/>
  <c r="BQ55" i="2"/>
  <c r="CS55" i="2"/>
  <c r="CR55" i="2"/>
  <c r="CZ30" i="2"/>
  <c r="CV30" i="2"/>
  <c r="DM30" i="2"/>
  <c r="DC30" i="2" s="1"/>
  <c r="DA30" i="2"/>
  <c r="CW30" i="2"/>
  <c r="CX30" i="2"/>
  <c r="DG30" i="2"/>
  <c r="CS30" i="2"/>
  <c r="CR30" i="2"/>
  <c r="EJ30" i="2"/>
  <c r="DW30" i="2"/>
  <c r="EL30" i="2"/>
  <c r="BG81" i="2"/>
  <c r="BF81" i="2"/>
  <c r="AI81" i="2"/>
  <c r="AZ81" i="2"/>
  <c r="CD81" i="2" s="1"/>
  <c r="CH81" i="2"/>
  <c r="CC81" i="2" s="1"/>
  <c r="EJ226" i="2"/>
  <c r="DM226" i="2"/>
  <c r="DC226" i="2" s="1"/>
  <c r="DW164" i="2"/>
  <c r="Y35" i="4"/>
  <c r="EJ164" i="2"/>
  <c r="CU30" i="2"/>
  <c r="BX162" i="2"/>
  <c r="BY162" i="2" s="1"/>
  <c r="AU162" i="2"/>
  <c r="CN162" i="2" s="1"/>
  <c r="DM55" i="2"/>
  <c r="DC55" i="2"/>
  <c r="EJ280" i="2"/>
  <c r="BQ280" i="2"/>
  <c r="DM280" i="2"/>
  <c r="DC280" i="2" s="1"/>
  <c r="DW280" i="2"/>
  <c r="EV31" i="2"/>
  <c r="CS31" i="2"/>
  <c r="CW31" i="2"/>
  <c r="DM337" i="2"/>
  <c r="DC337" i="2" s="1"/>
  <c r="EJ337" i="2"/>
  <c r="EJ166" i="2"/>
  <c r="BQ166" i="2"/>
  <c r="DM166" i="2"/>
  <c r="DC166" i="2"/>
  <c r="DW166" i="2"/>
  <c r="CN119" i="2"/>
  <c r="CT30" i="2"/>
  <c r="DA55" i="2"/>
  <c r="CY30" i="2"/>
  <c r="CS68" i="2"/>
  <c r="EL68" i="2"/>
  <c r="DW68" i="2"/>
  <c r="CU68" i="2"/>
  <c r="BQ68" i="2"/>
  <c r="CQ68" i="2" s="1"/>
  <c r="CR68" i="2"/>
  <c r="DW242" i="2"/>
  <c r="EJ187" i="2"/>
  <c r="BQ30" i="2"/>
  <c r="CQ30" i="2" s="1"/>
  <c r="DW186" i="2"/>
  <c r="EJ242" i="2"/>
  <c r="DM187" i="2"/>
  <c r="DG56" i="2"/>
  <c r="DY56" i="2" s="1"/>
  <c r="EJ56" i="2"/>
  <c r="DM181" i="2"/>
  <c r="DC181" i="2" s="1"/>
  <c r="BQ181" i="2"/>
  <c r="DW181" i="2"/>
  <c r="BX272" i="2"/>
  <c r="BY272" i="2" s="1"/>
  <c r="AU272" i="2"/>
  <c r="CN272" i="2" s="1"/>
  <c r="EJ341" i="2"/>
  <c r="Z113" i="4"/>
  <c r="EJ186" i="2"/>
  <c r="BT341" i="2"/>
  <c r="BU341" i="2" s="1"/>
  <c r="DG68" i="2"/>
  <c r="BX131" i="2"/>
  <c r="BY131" i="2" s="1"/>
  <c r="AU131" i="2"/>
  <c r="EJ244" i="2"/>
  <c r="BQ244" i="2"/>
  <c r="DW125" i="2"/>
  <c r="CT125" i="2"/>
  <c r="CU125" i="2"/>
  <c r="DG125" i="2"/>
  <c r="CR125" i="2"/>
  <c r="EJ125" i="2"/>
  <c r="CS125" i="2"/>
  <c r="BL272" i="2"/>
  <c r="EK272" i="2"/>
  <c r="BQ253" i="2"/>
  <c r="DM253" i="2"/>
  <c r="DC253" i="2" s="1"/>
  <c r="BL96" i="2"/>
  <c r="DW110" i="2"/>
  <c r="EJ110" i="2"/>
  <c r="BX309" i="2"/>
  <c r="BY309" i="2" s="1"/>
  <c r="DG82" i="2"/>
  <c r="EJ52" i="2"/>
  <c r="CX52" i="2"/>
  <c r="DW52" i="2"/>
  <c r="EU52" i="2"/>
  <c r="DW215" i="2"/>
  <c r="BQ215" i="2"/>
  <c r="AU243" i="2"/>
  <c r="CN243" i="2" s="1"/>
  <c r="BX243" i="2"/>
  <c r="BY243" i="2"/>
  <c r="CT34" i="2"/>
  <c r="CD178" i="2"/>
  <c r="CF178" i="2"/>
  <c r="AU149" i="2"/>
  <c r="CN149" i="2" s="1"/>
  <c r="BX149" i="2"/>
  <c r="BY149" i="2" s="1"/>
  <c r="DW34" i="2"/>
  <c r="CW34" i="2"/>
  <c r="DG34" i="2"/>
  <c r="CZ34" i="2"/>
  <c r="CG55" i="2"/>
  <c r="CG181" i="2"/>
  <c r="EM54" i="2"/>
  <c r="EN54" i="2" s="1"/>
  <c r="CF132" i="2"/>
  <c r="CU34" i="2"/>
  <c r="BX296" i="2"/>
  <c r="BY296" i="2" s="1"/>
  <c r="AU25" i="2"/>
  <c r="BL54" i="2"/>
  <c r="BL172" i="2"/>
  <c r="BL254" i="2"/>
  <c r="EJ254" i="2" s="1"/>
  <c r="CY34" i="2"/>
  <c r="CF181" i="2"/>
  <c r="AU182" i="2"/>
  <c r="AU158" i="2"/>
  <c r="CN158" i="2" s="1"/>
  <c r="CR25" i="2"/>
  <c r="EU25" i="2"/>
  <c r="CV25" i="2"/>
  <c r="CY25" i="2"/>
  <c r="CW25" i="2"/>
  <c r="CX34" i="2"/>
  <c r="EJ302" i="2"/>
  <c r="DM302" i="2"/>
  <c r="DC302" i="2" s="1"/>
  <c r="DW302" i="2"/>
  <c r="CG122" i="2"/>
  <c r="CG41" i="2"/>
  <c r="BG59" i="2"/>
  <c r="CF79" i="2"/>
  <c r="BL95" i="2"/>
  <c r="EK95" i="2"/>
  <c r="EM95" i="2"/>
  <c r="EN95" i="2" s="1"/>
  <c r="BL79" i="2"/>
  <c r="EM79" i="2"/>
  <c r="EN79" i="2" s="1"/>
  <c r="EK79" i="2"/>
  <c r="BF97" i="2"/>
  <c r="CG97" i="2" s="1"/>
  <c r="BG97" i="2"/>
  <c r="EM97" i="2" s="1"/>
  <c r="EN97" i="2" s="1"/>
  <c r="EK101" i="2"/>
  <c r="BL101" i="2"/>
  <c r="BL319" i="2"/>
  <c r="CF56" i="2"/>
  <c r="BL62" i="2"/>
  <c r="EM62" i="2"/>
  <c r="EN62" i="2" s="1"/>
  <c r="EK22" i="2"/>
  <c r="BL22" i="2"/>
  <c r="EK212" i="2"/>
  <c r="BL212" i="2"/>
  <c r="EK153" i="2"/>
  <c r="BL153" i="2"/>
  <c r="CW153" i="2" s="1"/>
  <c r="BL285" i="2"/>
  <c r="CX285" i="2" s="1"/>
  <c r="EK285" i="2"/>
  <c r="BC59" i="2"/>
  <c r="AI59" i="2"/>
  <c r="AZ59" i="2"/>
  <c r="CE59" i="2"/>
  <c r="AZ71" i="2"/>
  <c r="CE71" i="2"/>
  <c r="EJ41" i="2"/>
  <c r="CY41" i="2"/>
  <c r="CR41" i="2"/>
  <c r="EM41" i="2"/>
  <c r="EN41" i="2"/>
  <c r="EK41" i="2"/>
  <c r="AI170" i="2"/>
  <c r="AZ170" i="2"/>
  <c r="BF173" i="2"/>
  <c r="AI173" i="2"/>
  <c r="BG176" i="2"/>
  <c r="BF176" i="2"/>
  <c r="AZ176" i="2"/>
  <c r="BG179" i="2"/>
  <c r="EM179" i="2" s="1"/>
  <c r="EN179" i="2" s="1"/>
  <c r="BF179" i="2"/>
  <c r="CG179" i="2" s="1"/>
  <c r="AI185" i="2"/>
  <c r="AZ185" i="2"/>
  <c r="BG90" i="2"/>
  <c r="AZ90" i="2"/>
  <c r="CF90" i="2" s="1"/>
  <c r="AI158" i="2"/>
  <c r="BG158" i="2"/>
  <c r="AZ158" i="2"/>
  <c r="CF158" i="2" s="1"/>
  <c r="BF167" i="2"/>
  <c r="CG167" i="2" s="1"/>
  <c r="AI167" i="2"/>
  <c r="CG162" i="2"/>
  <c r="AZ173" i="2"/>
  <c r="BL24" i="2"/>
  <c r="EK24" i="2"/>
  <c r="AZ30" i="2"/>
  <c r="AI30" i="2"/>
  <c r="AI90" i="2"/>
  <c r="AZ125" i="2"/>
  <c r="CF125" i="2" s="1"/>
  <c r="CD125" i="2"/>
  <c r="CE125" i="2"/>
  <c r="AZ131" i="2"/>
  <c r="BF131" i="2"/>
  <c r="BG137" i="2"/>
  <c r="AI137" i="2"/>
  <c r="CF147" i="2"/>
  <c r="BF152" i="2"/>
  <c r="CG152" i="2" s="1"/>
  <c r="AI152" i="2"/>
  <c r="DG78" i="2"/>
  <c r="CR78" i="2"/>
  <c r="CT78" i="2"/>
  <c r="EL78" i="2"/>
  <c r="BF16" i="2"/>
  <c r="AI16" i="2"/>
  <c r="BG115" i="2"/>
  <c r="AI115" i="2"/>
  <c r="BF115" i="2"/>
  <c r="CG115" i="2" s="1"/>
  <c r="BG123" i="2"/>
  <c r="BF123" i="2"/>
  <c r="BL134" i="2"/>
  <c r="EK134" i="2"/>
  <c r="CG212" i="2"/>
  <c r="DG66" i="2"/>
  <c r="DW66" i="2"/>
  <c r="AI74" i="2"/>
  <c r="CG3" i="2"/>
  <c r="CG8" i="2"/>
  <c r="AZ32" i="2"/>
  <c r="CG320" i="2"/>
  <c r="CG186" i="2"/>
  <c r="AR56" i="2" a="1"/>
  <c r="AR56" i="2" s="1"/>
  <c r="AR34" i="2" a="1"/>
  <c r="AR34" i="2" s="1"/>
  <c r="BF5" i="2"/>
  <c r="CG5" i="2" s="1"/>
  <c r="BF184" i="2"/>
  <c r="CG184" i="2" s="1"/>
  <c r="DW300" i="2"/>
  <c r="BY316" i="2"/>
  <c r="DW334" i="2"/>
  <c r="CG341" i="2"/>
  <c r="CF217" i="2"/>
  <c r="CG218" i="2"/>
  <c r="CE219" i="2"/>
  <c r="AM219" i="2"/>
  <c r="BF219" i="2"/>
  <c r="BW221" i="2"/>
  <c r="CK303" i="2"/>
  <c r="P303" i="2"/>
  <c r="A303" i="2" s="1"/>
  <c r="CH303" i="2"/>
  <c r="CC303" i="2" s="1"/>
  <c r="BW303" i="2"/>
  <c r="AR303" i="2" a="1"/>
  <c r="AR303" i="2" s="1"/>
  <c r="CF305" i="2"/>
  <c r="BL326" i="2"/>
  <c r="CV326" i="2" s="1"/>
  <c r="EK326" i="2"/>
  <c r="EM326" i="2"/>
  <c r="EN326" i="2" s="1"/>
  <c r="BX332" i="2"/>
  <c r="BY332" i="2" s="1"/>
  <c r="BW332" i="2"/>
  <c r="CE334" i="2"/>
  <c r="BF334" i="2"/>
  <c r="AI334" i="2"/>
  <c r="AZ334" i="2"/>
  <c r="BC334" i="2"/>
  <c r="CH334" i="2"/>
  <c r="CC334" i="2" s="1"/>
  <c r="AI337" i="2"/>
  <c r="BF337" i="2"/>
  <c r="CG337" i="2" s="1"/>
  <c r="CR119" i="4"/>
  <c r="CR65" i="4"/>
  <c r="CR3" i="4"/>
  <c r="CR86" i="4"/>
  <c r="CR66" i="4"/>
  <c r="CR64" i="4"/>
  <c r="BA69" i="47"/>
  <c r="ES136" i="2"/>
  <c r="AY1" i="47"/>
  <c r="BA70" i="47"/>
  <c r="ES129" i="2"/>
  <c r="ES128" i="2"/>
  <c r="CZ266" i="2"/>
  <c r="EM169" i="2"/>
  <c r="EN169" i="2" s="1"/>
  <c r="ET22" i="2"/>
  <c r="ES217" i="2"/>
  <c r="EU217" i="2" s="1"/>
  <c r="ES281" i="2"/>
  <c r="EU281" i="2" s="1"/>
  <c r="CS148" i="2"/>
  <c r="ES164" i="2"/>
  <c r="CS327" i="2"/>
  <c r="EI339" i="2"/>
  <c r="CV196" i="2"/>
  <c r="ES297" i="2"/>
  <c r="CU256" i="2"/>
  <c r="EI266" i="2"/>
  <c r="ES183" i="2"/>
  <c r="EI337" i="2"/>
  <c r="CX214" i="2"/>
  <c r="CS217" i="2"/>
  <c r="CS151" i="2"/>
  <c r="ES339" i="2"/>
  <c r="BJ279" i="2"/>
  <c r="CR262" i="2"/>
  <c r="CX340" i="2"/>
  <c r="CW105" i="2"/>
  <c r="ET200" i="2"/>
  <c r="EI325" i="2"/>
  <c r="CW256" i="2"/>
  <c r="CR147" i="2"/>
  <c r="EL323" i="2"/>
  <c r="BJ259" i="2"/>
  <c r="EI179" i="2"/>
  <c r="EI330" i="2"/>
  <c r="ES212" i="2"/>
  <c r="ET161" i="2"/>
  <c r="ET178" i="2"/>
  <c r="ES331" i="2"/>
  <c r="EI226" i="2"/>
  <c r="CZ147" i="2"/>
  <c r="BJ285" i="2"/>
  <c r="ES190" i="2"/>
  <c r="BJ236" i="2"/>
  <c r="CR332" i="2"/>
  <c r="CW296" i="2"/>
  <c r="EL296" i="2"/>
  <c r="CT325" i="2"/>
  <c r="ET197" i="2"/>
  <c r="ET187" i="2"/>
  <c r="ET313" i="2"/>
  <c r="ES200" i="2"/>
  <c r="EV217" i="2"/>
  <c r="BJ281" i="2"/>
  <c r="ET249" i="2"/>
  <c r="EI305" i="2"/>
  <c r="EI287" i="2"/>
  <c r="CT296" i="2"/>
  <c r="EI304" i="2"/>
  <c r="CT93" i="2"/>
  <c r="EL149" i="2"/>
  <c r="CY274" i="2"/>
  <c r="BJ3" i="2"/>
  <c r="CS147" i="2"/>
  <c r="ES236" i="2"/>
  <c r="EU236" i="2" s="1"/>
  <c r="CT316" i="2"/>
  <c r="CY256" i="2"/>
  <c r="EL256" i="2"/>
  <c r="ET328" i="2"/>
  <c r="EM153" i="2"/>
  <c r="EN153" i="2" s="1"/>
  <c r="CU332" i="2"/>
  <c r="ET248" i="2"/>
  <c r="ES338" i="2"/>
  <c r="EU338" i="2" s="1"/>
  <c r="CV209" i="2"/>
  <c r="CT278" i="2"/>
  <c r="DG307" i="2"/>
  <c r="CW340" i="2"/>
  <c r="EM207" i="2"/>
  <c r="EN207" i="2" s="1"/>
  <c r="CY12" i="2"/>
  <c r="CR328" i="2"/>
  <c r="EL325" i="2"/>
  <c r="CV266" i="2"/>
  <c r="CQ296" i="2"/>
  <c r="EI169" i="2"/>
  <c r="ES270" i="2"/>
  <c r="ET217" i="2"/>
  <c r="CS330" i="2"/>
  <c r="CT3" i="2"/>
  <c r="ES114" i="2"/>
  <c r="EU114" i="2" s="1"/>
  <c r="BJ22" i="2"/>
  <c r="EI254" i="2"/>
  <c r="EM148" i="2"/>
  <c r="EN148" i="2"/>
  <c r="CV235" i="2"/>
  <c r="CY293" i="2"/>
  <c r="EM227" i="2"/>
  <c r="EN227" i="2" s="1"/>
  <c r="EI275" i="2"/>
  <c r="CU196" i="2"/>
  <c r="ET336" i="2"/>
  <c r="ET166" i="2"/>
  <c r="CV307" i="2"/>
  <c r="EI225" i="2"/>
  <c r="EM291" i="2"/>
  <c r="EN291" i="2" s="1"/>
  <c r="DA266" i="2"/>
  <c r="EM278" i="2"/>
  <c r="EN278" i="2" s="1"/>
  <c r="ET212" i="2"/>
  <c r="EM209" i="2"/>
  <c r="EN209" i="2" s="1"/>
  <c r="ES256" i="2"/>
  <c r="EU256" i="2" s="1"/>
  <c r="EL328" i="2"/>
  <c r="ET332" i="2"/>
  <c r="EI260" i="2"/>
  <c r="CW316" i="2"/>
  <c r="BJ197" i="2"/>
  <c r="ES186" i="2"/>
  <c r="DA209" i="2"/>
  <c r="CX209" i="2"/>
  <c r="CS235" i="2"/>
  <c r="CT147" i="2"/>
  <c r="DG296" i="2"/>
  <c r="CY316" i="2"/>
  <c r="CS262" i="2"/>
  <c r="BJ153" i="2"/>
  <c r="EM217" i="2"/>
  <c r="EN217" i="2" s="1"/>
  <c r="CT153" i="2"/>
  <c r="EI156" i="2"/>
  <c r="EI326" i="2"/>
  <c r="ET177" i="2"/>
  <c r="ES247" i="2"/>
  <c r="BJ304" i="2"/>
  <c r="CR330" i="2"/>
  <c r="CU262" i="2"/>
  <c r="CZ332" i="2"/>
  <c r="CU250" i="2"/>
  <c r="DA278" i="2"/>
  <c r="EM281" i="2"/>
  <c r="EN281" i="2" s="1"/>
  <c r="ET274" i="2"/>
  <c r="EI178" i="2"/>
  <c r="EM269" i="2"/>
  <c r="EN269" i="2" s="1"/>
  <c r="ET296" i="2"/>
  <c r="CW281" i="2"/>
  <c r="ES269" i="2"/>
  <c r="EU269" i="2" s="1"/>
  <c r="CS159" i="2"/>
  <c r="CV220" i="2"/>
  <c r="ES242" i="2"/>
  <c r="EU242" i="2" s="1"/>
  <c r="BJ339" i="2"/>
  <c r="BJ258" i="2"/>
  <c r="CY214" i="2"/>
  <c r="EI22" i="2"/>
  <c r="CV105" i="2"/>
  <c r="EI201" i="2"/>
  <c r="CZ274" i="2"/>
  <c r="ET324" i="2"/>
  <c r="ET157" i="2"/>
  <c r="ES225" i="2"/>
  <c r="ET230" i="2"/>
  <c r="ES284" i="2"/>
  <c r="EU284" i="2" s="1"/>
  <c r="CY322" i="2"/>
  <c r="CW330" i="2"/>
  <c r="EM338" i="2"/>
  <c r="EN338" i="2" s="1"/>
  <c r="BJ331" i="2"/>
  <c r="ES293" i="2"/>
  <c r="EU293" i="2" s="1"/>
  <c r="CW148" i="2"/>
  <c r="ET288" i="2"/>
  <c r="CW93" i="2"/>
  <c r="ES179" i="2"/>
  <c r="EM272" i="2"/>
  <c r="EN272" i="2"/>
  <c r="ET262" i="2"/>
  <c r="EI246" i="2"/>
  <c r="EM105" i="2"/>
  <c r="EN105" i="2" s="1"/>
  <c r="BJ293" i="2"/>
  <c r="ES157" i="2"/>
  <c r="EI258" i="2"/>
  <c r="CX151" i="2"/>
  <c r="BJ325" i="2"/>
  <c r="CR217" i="2"/>
  <c r="EI331" i="2"/>
  <c r="CU174" i="2"/>
  <c r="BJ168" i="2"/>
  <c r="EI342" i="2"/>
  <c r="CV281" i="2"/>
  <c r="CS278" i="2"/>
  <c r="BJ249" i="2"/>
  <c r="CS266" i="2"/>
  <c r="EL340" i="2"/>
  <c r="EM288" i="2"/>
  <c r="EN288" i="2" s="1"/>
  <c r="CZ262" i="2"/>
  <c r="EI272" i="2"/>
  <c r="BJ205" i="2"/>
  <c r="CQ315" i="2"/>
  <c r="EI244" i="2"/>
  <c r="EI93" i="2"/>
  <c r="CU328" i="2"/>
  <c r="EM302" i="2"/>
  <c r="EN302" i="2" s="1"/>
  <c r="CY278" i="2"/>
  <c r="DG281" i="2"/>
  <c r="CY340" i="2"/>
  <c r="EI316" i="2"/>
  <c r="BJ290" i="2"/>
  <c r="ET221" i="2"/>
  <c r="EI240" i="2"/>
  <c r="CZ196" i="2"/>
  <c r="ET278" i="2"/>
  <c r="EI306" i="2"/>
  <c r="ES187" i="2"/>
  <c r="EU187" i="2" s="1"/>
  <c r="ES341" i="2"/>
  <c r="EU341" i="2" s="1"/>
  <c r="EI167" i="2"/>
  <c r="CT332" i="2"/>
  <c r="EI147" i="2"/>
  <c r="EI200" i="2"/>
  <c r="ES12" i="2"/>
  <c r="EU12" i="2"/>
  <c r="CW325" i="2"/>
  <c r="BJ149" i="2"/>
  <c r="EL307" i="2"/>
  <c r="ES145" i="2"/>
  <c r="CV93" i="2"/>
  <c r="CW262" i="2"/>
  <c r="EI77" i="2"/>
  <c r="EM152" i="2"/>
  <c r="EN152" i="2" s="1"/>
  <c r="EI263" i="2"/>
  <c r="ET174" i="2"/>
  <c r="BJ338" i="2"/>
  <c r="EI210" i="2"/>
  <c r="ES302" i="2"/>
  <c r="EU302" i="2" s="1"/>
  <c r="CR296" i="2"/>
  <c r="EI189" i="2"/>
  <c r="CV216" i="2"/>
  <c r="BJ328" i="2"/>
  <c r="ES223" i="2"/>
  <c r="ES169" i="2"/>
  <c r="DG3" i="2"/>
  <c r="BJ289" i="2"/>
  <c r="EI222" i="2"/>
  <c r="CX146" i="2"/>
  <c r="BJ13" i="2"/>
  <c r="EM332" i="2"/>
  <c r="EN332" i="2" s="1"/>
  <c r="EI145" i="2"/>
  <c r="CW147" i="2"/>
  <c r="EI290" i="2"/>
  <c r="DA281" i="2"/>
  <c r="ET185" i="2"/>
  <c r="BJ326" i="2"/>
  <c r="BJ255" i="2"/>
  <c r="EI319" i="2"/>
  <c r="CU232" i="2"/>
  <c r="EM225" i="2"/>
  <c r="EN225" i="2" s="1"/>
  <c r="EM337" i="2"/>
  <c r="EN337" i="2" s="1"/>
  <c r="EI165" i="2"/>
  <c r="BJ201" i="2"/>
  <c r="DG322" i="2"/>
  <c r="ES228" i="2"/>
  <c r="EU228" i="2" s="1"/>
  <c r="EM109" i="2"/>
  <c r="EN109" i="2" s="1"/>
  <c r="ES205" i="2"/>
  <c r="EU205" i="2" s="1"/>
  <c r="BJ161" i="2"/>
  <c r="CZ309" i="2"/>
  <c r="CX196" i="2"/>
  <c r="ET228" i="2"/>
  <c r="ES314" i="2"/>
  <c r="EI341" i="2"/>
  <c r="EI297" i="2"/>
  <c r="ET173" i="2"/>
  <c r="CZ214" i="2"/>
  <c r="DA220" i="2"/>
  <c r="ET270" i="2"/>
  <c r="EI279" i="2"/>
  <c r="ET304" i="2"/>
  <c r="EI296" i="2"/>
  <c r="CQ340" i="2"/>
  <c r="EI158" i="2"/>
  <c r="CT281" i="2"/>
  <c r="CZ148" i="2"/>
  <c r="BJ288" i="2"/>
  <c r="BJ267" i="2"/>
  <c r="DG152" i="2"/>
  <c r="ET342" i="2"/>
  <c r="CR307" i="2"/>
  <c r="EI149" i="2"/>
  <c r="EI155" i="2"/>
  <c r="CW274" i="2"/>
  <c r="CS146" i="2"/>
  <c r="CZ235" i="2"/>
  <c r="CR281" i="2"/>
  <c r="CR269" i="2"/>
  <c r="EM182" i="2"/>
  <c r="EN182" i="2" s="1"/>
  <c r="CT232" i="2"/>
  <c r="BJ265" i="2"/>
  <c r="EM185" i="2"/>
  <c r="EN185" i="2" s="1"/>
  <c r="ES3" i="2"/>
  <c r="EU3" i="2" s="1"/>
  <c r="ET224" i="2"/>
  <c r="CT148" i="2"/>
  <c r="EI114" i="2"/>
  <c r="EI312" i="2"/>
  <c r="EL148" i="2"/>
  <c r="EI3" i="2"/>
  <c r="CU323" i="2"/>
  <c r="BJ126" i="2"/>
  <c r="ES272" i="2"/>
  <c r="EU272" i="2" s="1"/>
  <c r="EI253" i="2"/>
  <c r="EI150" i="2"/>
  <c r="ES312" i="2"/>
  <c r="ES278" i="2"/>
  <c r="EU278" i="2" s="1"/>
  <c r="ES261" i="2"/>
  <c r="EM146" i="2"/>
  <c r="EN146" i="2" s="1"/>
  <c r="ES93" i="2"/>
  <c r="EI180" i="2"/>
  <c r="ES198" i="2"/>
  <c r="DG250" i="2"/>
  <c r="DY250" i="2"/>
  <c r="ES237" i="2"/>
  <c r="EU237" i="2" s="1"/>
  <c r="ET192" i="2"/>
  <c r="BJ226" i="2"/>
  <c r="CZ146" i="2"/>
  <c r="BJ208" i="2"/>
  <c r="ES233" i="2"/>
  <c r="DG147" i="2"/>
  <c r="BJ166" i="2"/>
  <c r="EI212" i="2"/>
  <c r="ET175" i="2"/>
  <c r="BJ334" i="2"/>
  <c r="CY147" i="2"/>
  <c r="EI237" i="2"/>
  <c r="CV316" i="2"/>
  <c r="ES149" i="2"/>
  <c r="EU149" i="2" s="1"/>
  <c r="EM157" i="2"/>
  <c r="EN157" i="2" s="1"/>
  <c r="ET186" i="2"/>
  <c r="ES259" i="2"/>
  <c r="BJ234" i="2"/>
  <c r="DA235" i="2"/>
  <c r="DG196" i="2"/>
  <c r="CR220" i="2"/>
  <c r="ES265" i="2"/>
  <c r="EI317" i="2"/>
  <c r="BJ194" i="2"/>
  <c r="ES110" i="2"/>
  <c r="EU110" i="2" s="1"/>
  <c r="BJ266" i="2"/>
  <c r="CU151" i="2"/>
  <c r="BJ337" i="2"/>
  <c r="CX262" i="2"/>
  <c r="EL216" i="2"/>
  <c r="ET193" i="2"/>
  <c r="EM223" i="2"/>
  <c r="EN223" i="2" s="1"/>
  <c r="EM93" i="2"/>
  <c r="EN93" i="2"/>
  <c r="EL278" i="2"/>
  <c r="DA293" i="2"/>
  <c r="EI113" i="2"/>
  <c r="ET322" i="2"/>
  <c r="ES176" i="2"/>
  <c r="ET259" i="2"/>
  <c r="ES189" i="2"/>
  <c r="CV332" i="2"/>
  <c r="ES161" i="2"/>
  <c r="EI187" i="2"/>
  <c r="BJ319" i="2"/>
  <c r="ES267" i="2"/>
  <c r="EV267" i="2" s="1"/>
  <c r="CZ151" i="2"/>
  <c r="CU146" i="2"/>
  <c r="DA340" i="2"/>
  <c r="CX220" i="2"/>
  <c r="CZ323" i="2"/>
  <c r="CU267" i="2"/>
  <c r="CV315" i="2"/>
  <c r="CY281" i="2"/>
  <c r="CZ296" i="2"/>
  <c r="CS316" i="2"/>
  <c r="ES13" i="2"/>
  <c r="EV13" i="2" s="1"/>
  <c r="EW13" i="2" s="1"/>
  <c r="EX13" i="2" s="1"/>
  <c r="BJ185" i="2"/>
  <c r="EI13" i="2"/>
  <c r="EM192" i="2"/>
  <c r="EN192" i="2" s="1"/>
  <c r="CZ325" i="2"/>
  <c r="BJ269" i="2"/>
  <c r="ET172" i="2"/>
  <c r="ES303" i="2"/>
  <c r="EI243" i="2"/>
  <c r="DA325" i="2"/>
  <c r="CV217" i="2"/>
  <c r="EI301" i="2"/>
  <c r="CU340" i="2"/>
  <c r="EI236" i="2"/>
  <c r="ET110" i="2"/>
  <c r="CU307" i="2"/>
  <c r="EL262" i="2"/>
  <c r="BJ275" i="2"/>
  <c r="EI173" i="2"/>
  <c r="CU217" i="2"/>
  <c r="DA332" i="2"/>
  <c r="ES163" i="2"/>
  <c r="EU163" i="2" s="1"/>
  <c r="EM263" i="2"/>
  <c r="EN263" i="2"/>
  <c r="CS152" i="2"/>
  <c r="CY174" i="2"/>
  <c r="BJ175" i="2"/>
  <c r="CW323" i="2"/>
  <c r="CY235" i="2"/>
  <c r="CR105" i="2"/>
  <c r="ES250" i="2"/>
  <c r="EU250" i="2" s="1"/>
  <c r="EM159" i="2"/>
  <c r="EN159" i="2" s="1"/>
  <c r="ES206" i="2"/>
  <c r="EI185" i="2"/>
  <c r="CY148" i="2"/>
  <c r="ET264" i="2"/>
  <c r="CS114" i="2"/>
  <c r="ET149" i="2"/>
  <c r="CR216" i="2"/>
  <c r="BJ180" i="2"/>
  <c r="CU330" i="2"/>
  <c r="CX250" i="2"/>
  <c r="DA274" i="2"/>
  <c r="ET319" i="2"/>
  <c r="CY267" i="2"/>
  <c r="CY3" i="2"/>
  <c r="ET271" i="2"/>
  <c r="BJ327" i="2"/>
  <c r="ET245" i="2"/>
  <c r="ET205" i="2"/>
  <c r="EL322" i="2"/>
  <c r="BJ109" i="2"/>
  <c r="CZ149" i="2"/>
  <c r="ET12" i="2"/>
  <c r="CY216" i="2"/>
  <c r="ET325" i="2"/>
  <c r="ET147" i="2"/>
  <c r="CW232" i="2"/>
  <c r="ET277" i="2"/>
  <c r="ET293" i="2"/>
  <c r="EM336" i="2"/>
  <c r="EN336" i="2" s="1"/>
  <c r="BJ151" i="2"/>
  <c r="ES255" i="2"/>
  <c r="EU255" i="2" s="1"/>
  <c r="EM342" i="2"/>
  <c r="EN342" i="2" s="1"/>
  <c r="ET159" i="2"/>
  <c r="BJ211" i="2"/>
  <c r="ET266" i="2"/>
  <c r="BJ332" i="2"/>
  <c r="ET287" i="2"/>
  <c r="CX150" i="2"/>
  <c r="EI142" i="2"/>
  <c r="ES197" i="2"/>
  <c r="BJ239" i="2"/>
  <c r="CR267" i="2"/>
  <c r="CT196" i="2"/>
  <c r="ET263" i="2"/>
  <c r="ET237" i="2"/>
  <c r="BJ43" i="2"/>
  <c r="EI174" i="2"/>
  <c r="ES282" i="2"/>
  <c r="ES199" i="2"/>
  <c r="EM327" i="2"/>
  <c r="EN327" i="2" s="1"/>
  <c r="ES181" i="2"/>
  <c r="EU181" i="2" s="1"/>
  <c r="EI322" i="2"/>
  <c r="BJ247" i="2"/>
  <c r="ET316" i="2"/>
  <c r="EM149" i="2"/>
  <c r="EN149" i="2" s="1"/>
  <c r="BJ186" i="2"/>
  <c r="ES306" i="2"/>
  <c r="EU306" i="2" s="1"/>
  <c r="BJ155" i="2"/>
  <c r="ET265" i="2"/>
  <c r="BJ182" i="2"/>
  <c r="DA232" i="2"/>
  <c r="EL159" i="2"/>
  <c r="CY151" i="2"/>
  <c r="CR315" i="2"/>
  <c r="CS325" i="2"/>
  <c r="CT274" i="2"/>
  <c r="ET232" i="2"/>
  <c r="CY250" i="2"/>
  <c r="EI188" i="2"/>
  <c r="EI257" i="2"/>
  <c r="BJ297" i="2"/>
  <c r="ET251" i="2"/>
  <c r="ET176" i="2"/>
  <c r="CY315" i="2"/>
  <c r="ES159" i="2"/>
  <c r="EU159" i="2" s="1"/>
  <c r="CU235" i="2"/>
  <c r="CX3" i="2"/>
  <c r="ET169" i="2"/>
  <c r="EI230" i="2"/>
  <c r="CR232" i="2"/>
  <c r="DG315" i="2"/>
  <c r="BJ230" i="2"/>
  <c r="ET215" i="2"/>
  <c r="DA149" i="2"/>
  <c r="CS307" i="2"/>
  <c r="EM216" i="2"/>
  <c r="EN216" i="2" s="1"/>
  <c r="ES105" i="2"/>
  <c r="EV105" i="2" s="1"/>
  <c r="EU105" i="2"/>
  <c r="BJ242" i="2"/>
  <c r="BJ322" i="2"/>
  <c r="EI264" i="2"/>
  <c r="ES182" i="2"/>
  <c r="DG216" i="2"/>
  <c r="EI302" i="2"/>
  <c r="CX274" i="2"/>
  <c r="EI252" i="2"/>
  <c r="BJ315" i="2"/>
  <c r="EI249" i="2"/>
  <c r="ES323" i="2"/>
  <c r="EU323" i="2" s="1"/>
  <c r="ET156" i="2"/>
  <c r="ES142" i="2"/>
  <c r="CZ174" i="2"/>
  <c r="ES332" i="2"/>
  <c r="EU332" i="2" s="1"/>
  <c r="CV114" i="2"/>
  <c r="ES77" i="2"/>
  <c r="ES208" i="2"/>
  <c r="EU208" i="2" s="1"/>
  <c r="EM233" i="2"/>
  <c r="EN233" i="2" s="1"/>
  <c r="CW150" i="2"/>
  <c r="ET222" i="2"/>
  <c r="EI223" i="2"/>
  <c r="ES294" i="2"/>
  <c r="ES22" i="2"/>
  <c r="EU22" i="2" s="1"/>
  <c r="CX323" i="2"/>
  <c r="BJ307" i="2"/>
  <c r="BJ223" i="2"/>
  <c r="DA159" i="2"/>
  <c r="EI217" i="2"/>
  <c r="EM315" i="2"/>
  <c r="EN315" i="2" s="1"/>
  <c r="ES191" i="2"/>
  <c r="ES311" i="2"/>
  <c r="ES153" i="2"/>
  <c r="EV153" i="2" s="1"/>
  <c r="EI323" i="2"/>
  <c r="BJ272" i="2"/>
  <c r="BJ301" i="2"/>
  <c r="CX327" i="2"/>
  <c r="ES316" i="2"/>
  <c r="EU316" i="2" s="1"/>
  <c r="ES6" i="2"/>
  <c r="ET286" i="2"/>
  <c r="ET273" i="2"/>
  <c r="CU325" i="2"/>
  <c r="ET307" i="2"/>
  <c r="BJ142" i="2"/>
  <c r="EI270" i="2"/>
  <c r="ET184" i="2"/>
  <c r="BJ167" i="2"/>
  <c r="ES262" i="2"/>
  <c r="EU262" i="2" s="1"/>
  <c r="ET191" i="2"/>
  <c r="BJ291" i="2"/>
  <c r="EI182" i="2"/>
  <c r="ET260" i="2"/>
  <c r="CS315" i="2"/>
  <c r="EI172" i="2"/>
  <c r="EM293" i="2"/>
  <c r="EN293" i="2" s="1"/>
  <c r="CX216" i="2"/>
  <c r="EI157" i="2"/>
  <c r="EM114" i="2"/>
  <c r="EN114" i="2" s="1"/>
  <c r="EI205" i="2"/>
  <c r="EI12" i="2"/>
  <c r="ES319" i="2"/>
  <c r="EU319" i="2" s="1"/>
  <c r="DG148" i="2"/>
  <c r="CZ330" i="2"/>
  <c r="CX322" i="2"/>
  <c r="ES201" i="2"/>
  <c r="CT262" i="2"/>
  <c r="CU93" i="2"/>
  <c r="EI238" i="2"/>
  <c r="ET183" i="2"/>
  <c r="ET239" i="2"/>
  <c r="ES292" i="2"/>
  <c r="EL150" i="2"/>
  <c r="EI276" i="2"/>
  <c r="ES296" i="2"/>
  <c r="EU296" i="2" s="1"/>
  <c r="BJ257" i="2"/>
  <c r="EM316" i="2"/>
  <c r="EN316" i="2" s="1"/>
  <c r="ES162" i="2"/>
  <c r="DG151" i="2"/>
  <c r="EM262" i="2"/>
  <c r="EN262" i="2" s="1"/>
  <c r="BJ246" i="2"/>
  <c r="ES224" i="2"/>
  <c r="CZ159" i="2"/>
  <c r="CQ325" i="2"/>
  <c r="CX114" i="2"/>
  <c r="EM248" i="2"/>
  <c r="EN248" i="2" s="1"/>
  <c r="CR149" i="2"/>
  <c r="EI211" i="2"/>
  <c r="DA256" i="2"/>
  <c r="ET207" i="2"/>
  <c r="EI245" i="2"/>
  <c r="EI161" i="2"/>
  <c r="CR274" i="2"/>
  <c r="ES193" i="2"/>
  <c r="EU193" i="2" s="1"/>
  <c r="EI265" i="2"/>
  <c r="EM238" i="2"/>
  <c r="EN238" i="2" s="1"/>
  <c r="EM13" i="2"/>
  <c r="EN13" i="2"/>
  <c r="CT149" i="2"/>
  <c r="ES126" i="2"/>
  <c r="EM145" i="2"/>
  <c r="EN145" i="2" s="1"/>
  <c r="BJ160" i="2"/>
  <c r="ES334" i="2"/>
  <c r="EU334" i="2" s="1"/>
  <c r="CU281" i="2"/>
  <c r="BJ320" i="2"/>
  <c r="ET282" i="2"/>
  <c r="DA93" i="2"/>
  <c r="EI105" i="2"/>
  <c r="CW196" i="2"/>
  <c r="ET199" i="2"/>
  <c r="ES308" i="2"/>
  <c r="CQ214" i="2"/>
  <c r="EM330" i="2"/>
  <c r="EN330" i="2" s="1"/>
  <c r="ES337" i="2"/>
  <c r="EU337" i="2" s="1"/>
  <c r="ET256" i="2"/>
  <c r="ES275" i="2"/>
  <c r="ES266" i="2"/>
  <c r="EV266" i="2" s="1"/>
  <c r="EU266" i="2"/>
  <c r="BJ172" i="2"/>
  <c r="EI271" i="2"/>
  <c r="BJ164" i="2"/>
  <c r="BJ324" i="2"/>
  <c r="ET148" i="2"/>
  <c r="EM333" i="2"/>
  <c r="EN333" i="2"/>
  <c r="BJ114" i="2"/>
  <c r="CW174" i="2"/>
  <c r="CX149" i="2"/>
  <c r="EI153" i="2"/>
  <c r="BJ253" i="2"/>
  <c r="ES315" i="2"/>
  <c r="EU315" i="2" s="1"/>
  <c r="ES170" i="2"/>
  <c r="EU170" i="2" s="1"/>
  <c r="EI204" i="2"/>
  <c r="CS322" i="2"/>
  <c r="ET337" i="2"/>
  <c r="DG278" i="2"/>
  <c r="ES151" i="2"/>
  <c r="EU151" i="2" s="1"/>
  <c r="ET267" i="2"/>
  <c r="ET198" i="2"/>
  <c r="BJ199" i="2"/>
  <c r="ET309" i="2"/>
  <c r="EI313" i="2"/>
  <c r="ES185" i="2"/>
  <c r="EI329" i="2"/>
  <c r="EM325" i="2"/>
  <c r="EN325" i="2"/>
  <c r="BJ200" i="2"/>
  <c r="BJ241" i="2"/>
  <c r="CV151" i="2"/>
  <c r="ET170" i="2"/>
  <c r="EM110" i="2"/>
  <c r="EN110" i="2"/>
  <c r="ES230" i="2"/>
  <c r="DG105" i="2"/>
  <c r="DA148" i="2"/>
  <c r="EM329" i="2"/>
  <c r="EN329" i="2" s="1"/>
  <c r="CV147" i="2"/>
  <c r="ES148" i="2"/>
  <c r="EU148" i="2" s="1"/>
  <c r="CT152" i="2"/>
  <c r="BJ233" i="2"/>
  <c r="ET303" i="2"/>
  <c r="ES202" i="2"/>
  <c r="CZ152" i="2"/>
  <c r="ES232" i="2"/>
  <c r="EU232" i="2" s="1"/>
  <c r="EM290" i="2"/>
  <c r="EN290" i="2"/>
  <c r="CX296" i="2"/>
  <c r="CY323" i="2"/>
  <c r="CR196" i="2"/>
  <c r="DG159" i="2"/>
  <c r="EI308" i="2"/>
  <c r="CW322" i="2"/>
  <c r="ES241" i="2"/>
  <c r="EU241" i="2" s="1"/>
  <c r="ET308" i="2"/>
  <c r="CZ281" i="2"/>
  <c r="DG269" i="2"/>
  <c r="DY269" i="2" s="1"/>
  <c r="ET151" i="2"/>
  <c r="ES260" i="2"/>
  <c r="BJ273" i="2"/>
  <c r="CY296" i="2"/>
  <c r="ES173" i="2"/>
  <c r="ES180" i="2"/>
  <c r="DA327" i="2"/>
  <c r="BJ342" i="2"/>
  <c r="CV330" i="2"/>
  <c r="ES178" i="2"/>
  <c r="BJ187" i="2"/>
  <c r="CZ216" i="2"/>
  <c r="CZ232" i="2"/>
  <c r="EM158" i="2"/>
  <c r="EN158" i="2" s="1"/>
  <c r="EI164" i="2"/>
  <c r="ES213" i="2"/>
  <c r="CQ152" i="2"/>
  <c r="ES336" i="2"/>
  <c r="CX281" i="2"/>
  <c r="CW307" i="2"/>
  <c r="ET114" i="2"/>
  <c r="BJ147" i="2"/>
  <c r="EL3" i="2"/>
  <c r="CR327" i="2"/>
  <c r="ES291" i="2"/>
  <c r="BJ174" i="2"/>
  <c r="ES304" i="2"/>
  <c r="EI224" i="2"/>
  <c r="CW309" i="2"/>
  <c r="EI195" i="2"/>
  <c r="BJ204" i="2"/>
  <c r="DA307" i="2"/>
  <c r="CU216" i="2"/>
  <c r="CW267" i="2"/>
  <c r="CR3" i="2"/>
  <c r="ES329" i="2"/>
  <c r="ES322" i="2"/>
  <c r="EU322" i="2" s="1"/>
  <c r="EI110" i="2"/>
  <c r="EM267" i="2"/>
  <c r="EN267" i="2" s="1"/>
  <c r="EI307" i="2"/>
  <c r="EM22" i="2"/>
  <c r="EN22" i="2" s="1"/>
  <c r="EI247" i="2"/>
  <c r="EI221" i="2"/>
  <c r="CT315" i="2"/>
  <c r="DA151" i="2"/>
  <c r="EI334" i="2"/>
  <c r="EI314" i="2"/>
  <c r="ES320" i="2"/>
  <c r="EU320" i="2" s="1"/>
  <c r="ET145" i="2"/>
  <c r="CV262" i="2"/>
  <c r="CW114" i="2"/>
  <c r="ES301" i="2"/>
  <c r="ET341" i="2"/>
  <c r="ET331" i="2"/>
  <c r="CS216" i="2"/>
  <c r="BJ292" i="2"/>
  <c r="ES196" i="2"/>
  <c r="EU196" i="2" s="1"/>
  <c r="ET301" i="2"/>
  <c r="CW214" i="2"/>
  <c r="ES204" i="2"/>
  <c r="EI233" i="2"/>
  <c r="ET146" i="2"/>
  <c r="ES194" i="2"/>
  <c r="BJ303" i="2"/>
  <c r="ET284" i="2"/>
  <c r="ES216" i="2"/>
  <c r="EU216" i="2"/>
  <c r="EI184" i="2"/>
  <c r="EI229" i="2"/>
  <c r="CV340" i="2"/>
  <c r="BJ177" i="2"/>
  <c r="EI239" i="2"/>
  <c r="CY146" i="2"/>
  <c r="BJ110" i="2"/>
  <c r="ET258" i="2"/>
  <c r="EI208" i="2"/>
  <c r="ET227" i="2"/>
  <c r="ET302" i="2"/>
  <c r="BJ237" i="2"/>
  <c r="CU274" i="2"/>
  <c r="ET188" i="2"/>
  <c r="ET247" i="2"/>
  <c r="ET299" i="2"/>
  <c r="EI294" i="2"/>
  <c r="CT159" i="2"/>
  <c r="BJ270" i="2"/>
  <c r="CU322" i="2"/>
  <c r="ES43" i="2"/>
  <c r="BJ306" i="2"/>
  <c r="EI215" i="2"/>
  <c r="ET201" i="2"/>
  <c r="BJ262" i="2"/>
  <c r="ES249" i="2"/>
  <c r="EU249" i="2"/>
  <c r="EM328" i="2"/>
  <c r="EN328" i="2" s="1"/>
  <c r="BJ254" i="2"/>
  <c r="EI43" i="2"/>
  <c r="EI175" i="2"/>
  <c r="ES175" i="2"/>
  <c r="CZ217" i="2"/>
  <c r="CS267" i="2"/>
  <c r="DG217" i="2"/>
  <c r="CZ3" i="2"/>
  <c r="BJ329" i="2"/>
  <c r="BJ222" i="2"/>
  <c r="ET280" i="2"/>
  <c r="ET167" i="2"/>
  <c r="ET310" i="2"/>
  <c r="CV3" i="2"/>
  <c r="EI193" i="2"/>
  <c r="ET153" i="2"/>
  <c r="EM150" i="2"/>
  <c r="EN150" i="2" s="1"/>
  <c r="EI198" i="2"/>
  <c r="ET194" i="2"/>
  <c r="ET315" i="2"/>
  <c r="ES147" i="2"/>
  <c r="EU147" i="2" s="1"/>
  <c r="EL147" i="2"/>
  <c r="EI160" i="2"/>
  <c r="CR340" i="2"/>
  <c r="ET196" i="2"/>
  <c r="ET208" i="2"/>
  <c r="BJ286" i="2"/>
  <c r="ET181" i="2"/>
  <c r="BJ271" i="2"/>
  <c r="CT216" i="2"/>
  <c r="ET289" i="2"/>
  <c r="EM257" i="2"/>
  <c r="EN257" i="2" s="1"/>
  <c r="ET180" i="2"/>
  <c r="ES245" i="2"/>
  <c r="CT217" i="2"/>
  <c r="EI288" i="2"/>
  <c r="EI274" i="2"/>
  <c r="CU147" i="2"/>
  <c r="ET77" i="2"/>
  <c r="DA146" i="2"/>
  <c r="BJ248" i="2"/>
  <c r="BJ256" i="2"/>
  <c r="EI311" i="2"/>
  <c r="DA147" i="2"/>
  <c r="BJ213" i="2"/>
  <c r="ES238" i="2"/>
  <c r="DA323" i="2"/>
  <c r="CR174" i="2"/>
  <c r="EM307" i="2"/>
  <c r="EN307" i="2" s="1"/>
  <c r="ET93" i="2"/>
  <c r="EI303" i="2"/>
  <c r="EI293" i="2"/>
  <c r="DG150" i="2"/>
  <c r="BJ284" i="2"/>
  <c r="CU150" i="2"/>
  <c r="CT150" i="2"/>
  <c r="BJ173" i="2"/>
  <c r="DG272" i="2"/>
  <c r="ET250" i="2"/>
  <c r="BJ287" i="2"/>
  <c r="ET272" i="2"/>
  <c r="EI196" i="2"/>
  <c r="BJ170" i="2"/>
  <c r="ET142" i="2"/>
  <c r="BJ225" i="2"/>
  <c r="ET254" i="2"/>
  <c r="CW149" i="2"/>
  <c r="CT330" i="2"/>
  <c r="EI282" i="2"/>
  <c r="CV333" i="2"/>
  <c r="ES321" i="2"/>
  <c r="EV321" i="2" s="1"/>
  <c r="EW321" i="2" s="1"/>
  <c r="EX321" i="2" s="1"/>
  <c r="EI209" i="2"/>
  <c r="EI310" i="2"/>
  <c r="EL170" i="2"/>
  <c r="CY170" i="2"/>
  <c r="CZ293" i="2"/>
  <c r="CZ12" i="2"/>
  <c r="ES333" i="2"/>
  <c r="EL12" i="2"/>
  <c r="EI280" i="2"/>
  <c r="BJ263" i="2"/>
  <c r="EM314" i="2"/>
  <c r="EN314" i="2" s="1"/>
  <c r="EI299" i="2"/>
  <c r="EM274" i="2"/>
  <c r="EN274" i="2" s="1"/>
  <c r="ES165" i="2"/>
  <c r="CT146" i="2"/>
  <c r="ET244" i="2"/>
  <c r="CT269" i="2"/>
  <c r="CU269" i="2"/>
  <c r="EL114" i="2"/>
  <c r="DG114" i="2"/>
  <c r="ET257" i="2"/>
  <c r="ES325" i="2"/>
  <c r="EU325" i="2" s="1"/>
  <c r="ES211" i="2"/>
  <c r="CY196" i="2"/>
  <c r="DA3" i="2"/>
  <c r="EM256" i="2"/>
  <c r="EN256" i="2" s="1"/>
  <c r="EI146" i="2"/>
  <c r="EI292" i="2"/>
  <c r="CZ307" i="2"/>
  <c r="ES155" i="2"/>
  <c r="CV322" i="2"/>
  <c r="EM147" i="2"/>
  <c r="EN147" i="2" s="1"/>
  <c r="EI213" i="2"/>
  <c r="ES277" i="2"/>
  <c r="CX307" i="2"/>
  <c r="ES330" i="2"/>
  <c r="EV330" i="2" s="1"/>
  <c r="EI318" i="2"/>
  <c r="BJ198" i="2"/>
  <c r="ET338" i="2"/>
  <c r="ET150" i="2"/>
  <c r="ES210" i="2"/>
  <c r="ET327" i="2"/>
  <c r="EI332" i="2"/>
  <c r="ET162" i="2"/>
  <c r="ET246" i="2"/>
  <c r="CU220" i="2"/>
  <c r="CU327" i="2"/>
  <c r="EM313" i="2"/>
  <c r="EN313" i="2" s="1"/>
  <c r="EM168" i="2"/>
  <c r="EN168" i="2"/>
  <c r="CZ278" i="2"/>
  <c r="CS214" i="2"/>
  <c r="CY332" i="2"/>
  <c r="CS340" i="2"/>
  <c r="ES258" i="2"/>
  <c r="EU258" i="2" s="1"/>
  <c r="CY149" i="2"/>
  <c r="EL327" i="2"/>
  <c r="ET285" i="2"/>
  <c r="ET326" i="2"/>
  <c r="ET216" i="2"/>
  <c r="DA12" i="2"/>
  <c r="CT114" i="2"/>
  <c r="EI286" i="2"/>
  <c r="CQ196" i="2"/>
  <c r="CZ93" i="2"/>
  <c r="EI327" i="2"/>
  <c r="CW327" i="2"/>
  <c r="BJ238" i="2"/>
  <c r="ET330" i="2"/>
  <c r="ET164" i="2"/>
  <c r="ES287" i="2"/>
  <c r="ET297" i="2"/>
  <c r="EI126" i="2"/>
  <c r="EI285" i="2"/>
  <c r="ET240" i="2"/>
  <c r="CS149" i="2"/>
  <c r="EM317" i="2"/>
  <c r="EN317" i="2" s="1"/>
  <c r="EM232" i="2"/>
  <c r="EN232" i="2" s="1"/>
  <c r="ES240" i="2"/>
  <c r="CZ340" i="2"/>
  <c r="EI335" i="2"/>
  <c r="BJ278" i="2"/>
  <c r="BJ330" i="2"/>
  <c r="CR114" i="2"/>
  <c r="BJ314" i="2"/>
  <c r="CZ315" i="2"/>
  <c r="BJ277" i="2"/>
  <c r="CW216" i="2"/>
  <c r="BJ229" i="2"/>
  <c r="BJ158" i="2"/>
  <c r="ES279" i="2"/>
  <c r="CY217" i="2"/>
  <c r="EI324" i="2"/>
  <c r="ET189" i="2"/>
  <c r="ET43" i="2"/>
  <c r="EM174" i="2"/>
  <c r="EN174" i="2" s="1"/>
  <c r="BJ228" i="2"/>
  <c r="EM309" i="2"/>
  <c r="EN309" i="2" s="1"/>
  <c r="EI281" i="2"/>
  <c r="EI278" i="2"/>
  <c r="CU153" i="2"/>
  <c r="BJ323" i="2"/>
  <c r="BJ169" i="2"/>
  <c r="BJ163" i="2"/>
  <c r="BJ231" i="2"/>
  <c r="ES285" i="2"/>
  <c r="ET314" i="2"/>
  <c r="ET320" i="2"/>
  <c r="ET279" i="2"/>
  <c r="CT340" i="2"/>
  <c r="CV274" i="2"/>
  <c r="ET211" i="2"/>
  <c r="CZ267" i="2"/>
  <c r="BJ296" i="2"/>
  <c r="ET109" i="2"/>
  <c r="BJ261" i="2"/>
  <c r="ES264" i="2"/>
  <c r="ES271" i="2"/>
  <c r="EV271" i="2" s="1"/>
  <c r="ET269" i="2"/>
  <c r="EM162" i="2"/>
  <c r="EN162" i="2" s="1"/>
  <c r="CU114" i="2"/>
  <c r="ET252" i="2"/>
  <c r="ET195" i="2"/>
  <c r="BJ318" i="2"/>
  <c r="BJ215" i="2"/>
  <c r="ES253" i="2"/>
  <c r="EV253" i="2" s="1"/>
  <c r="EW253" i="2" s="1"/>
  <c r="EX253" i="2" s="1"/>
  <c r="ES221" i="2"/>
  <c r="CR148" i="2"/>
  <c r="ES215" i="2"/>
  <c r="EU215" i="2" s="1"/>
  <c r="CS3" i="2"/>
  <c r="CY93" i="2"/>
  <c r="ET294" i="2"/>
  <c r="EI199" i="2"/>
  <c r="ES248" i="2"/>
  <c r="CT151" i="2"/>
  <c r="DA315" i="2"/>
  <c r="DA196" i="2"/>
  <c r="ET329" i="2"/>
  <c r="ES342" i="2"/>
  <c r="ES109" i="2"/>
  <c r="BJ308" i="2"/>
  <c r="BJ243" i="2"/>
  <c r="BJ159" i="2"/>
  <c r="EI194" i="2"/>
  <c r="BJ202" i="2"/>
  <c r="EI177" i="2"/>
  <c r="CU293" i="2"/>
  <c r="ES192" i="2"/>
  <c r="EU192" i="2" s="1"/>
  <c r="BJ282" i="2"/>
  <c r="ES195" i="2"/>
  <c r="EV195" i="2" s="1"/>
  <c r="BJ93" i="2"/>
  <c r="ET253" i="2"/>
  <c r="CS274" i="2"/>
  <c r="CX330" i="2"/>
  <c r="CY152" i="2"/>
  <c r="EM289" i="2"/>
  <c r="EN289" i="2" s="1"/>
  <c r="CR152" i="2"/>
  <c r="ET126" i="2"/>
  <c r="CY220" i="2"/>
  <c r="BJ294" i="2"/>
  <c r="ES167" i="2"/>
  <c r="EU167" i="2" s="1"/>
  <c r="BJ240" i="2"/>
  <c r="CV149" i="2"/>
  <c r="BJ216" i="2"/>
  <c r="ET323" i="2"/>
  <c r="ES274" i="2"/>
  <c r="EV274" i="2" s="1"/>
  <c r="EM297" i="2"/>
  <c r="EN297" i="2" s="1"/>
  <c r="BJ264" i="2"/>
  <c r="CW146" i="2"/>
  <c r="BJ251" i="2"/>
  <c r="ET236" i="2"/>
  <c r="EI267" i="2"/>
  <c r="CT323" i="2"/>
  <c r="CT322" i="2"/>
  <c r="ES328" i="2"/>
  <c r="CV174" i="2"/>
  <c r="ET334" i="2"/>
  <c r="CZ114" i="2"/>
  <c r="DA152" i="2"/>
  <c r="ET179" i="2"/>
  <c r="ES227" i="2"/>
  <c r="BJ217" i="2"/>
  <c r="ET339" i="2"/>
  <c r="CR323" i="2"/>
  <c r="BJ227" i="2"/>
  <c r="EI328" i="2"/>
  <c r="BJ152" i="2"/>
  <c r="ET291" i="2"/>
  <c r="ET163" i="2"/>
  <c r="BJ184" i="2"/>
  <c r="CR325" i="2"/>
  <c r="BJ176" i="2"/>
  <c r="ES168" i="2"/>
  <c r="ES207" i="2"/>
  <c r="ET105" i="2"/>
  <c r="CT174" i="2"/>
  <c r="BJ193" i="2"/>
  <c r="ES307" i="2"/>
  <c r="EU307" i="2" s="1"/>
  <c r="EL174" i="2"/>
  <c r="BJ195" i="2"/>
  <c r="DA174" i="2"/>
  <c r="DG316" i="2"/>
  <c r="BJ245" i="2"/>
  <c r="EI190" i="2"/>
  <c r="ET292" i="2"/>
  <c r="BJ77" i="2"/>
  <c r="EI186" i="2"/>
  <c r="BJ157" i="2"/>
  <c r="CX316" i="2"/>
  <c r="DA262" i="2"/>
  <c r="EI166" i="2"/>
  <c r="EI336" i="2"/>
  <c r="ES188" i="2"/>
  <c r="EI176" i="2"/>
  <c r="CY262" i="2"/>
  <c r="CY307" i="2"/>
  <c r="CR93" i="2"/>
  <c r="EI192" i="2"/>
  <c r="ET255" i="2"/>
  <c r="EM323" i="2"/>
  <c r="EN323" i="2" s="1"/>
  <c r="BJ311" i="2"/>
  <c r="ES299" i="2"/>
  <c r="EI291" i="2"/>
  <c r="CR322" i="2"/>
  <c r="ET234" i="2"/>
  <c r="CQ148" i="2"/>
  <c r="BJ196" i="2"/>
  <c r="DA105" i="2"/>
  <c r="CT307" i="2"/>
  <c r="ES203" i="2"/>
  <c r="ET231" i="2"/>
  <c r="ET243" i="2"/>
  <c r="BJ298" i="2"/>
  <c r="CY333" i="2"/>
  <c r="CU333" i="2"/>
  <c r="EI321" i="2"/>
  <c r="BJ333" i="2"/>
  <c r="EI283" i="2"/>
  <c r="CU12" i="2"/>
  <c r="CV250" i="2"/>
  <c r="CS170" i="2"/>
  <c r="CQ232" i="2"/>
  <c r="CX256" i="2"/>
  <c r="EM273" i="2"/>
  <c r="EN273" i="2" s="1"/>
  <c r="EL315" i="2"/>
  <c r="ET268" i="2"/>
  <c r="ES289" i="2"/>
  <c r="EU289" i="2" s="1"/>
  <c r="CT267" i="2"/>
  <c r="EI152" i="2"/>
  <c r="BJ165" i="2"/>
  <c r="EL269" i="2"/>
  <c r="CR309" i="2"/>
  <c r="CT273" i="2"/>
  <c r="ET226" i="2"/>
  <c r="BJ316" i="2"/>
  <c r="CU149" i="2"/>
  <c r="CS323" i="2"/>
  <c r="BJ190" i="2"/>
  <c r="DA322" i="2"/>
  <c r="ES251" i="2"/>
  <c r="EU251" i="2" s="1"/>
  <c r="ET276" i="2"/>
  <c r="DG262" i="2"/>
  <c r="BJ188" i="2"/>
  <c r="BJ189" i="2"/>
  <c r="ET13" i="2"/>
  <c r="CU148" i="2"/>
  <c r="ET238" i="2"/>
  <c r="EM296" i="2"/>
  <c r="EN296" i="2" s="1"/>
  <c r="CT327" i="2"/>
  <c r="DA214" i="2"/>
  <c r="ES146" i="2"/>
  <c r="EU146" i="2" s="1"/>
  <c r="EI251" i="2"/>
  <c r="BJ206" i="2"/>
  <c r="BJ250" i="2"/>
  <c r="BJ105" i="2"/>
  <c r="CW152" i="2"/>
  <c r="EI262" i="2"/>
  <c r="ES231" i="2"/>
  <c r="EM298" i="2"/>
  <c r="EN298" i="2" s="1"/>
  <c r="CT333" i="2"/>
  <c r="EI333" i="2"/>
  <c r="EM283" i="2"/>
  <c r="EN283" i="2" s="1"/>
  <c r="CT170" i="2"/>
  <c r="CX170" i="2"/>
  <c r="CY326" i="2"/>
  <c r="EL250" i="2"/>
  <c r="CS293" i="2"/>
  <c r="CZ220" i="2"/>
  <c r="BJ274" i="2"/>
  <c r="EM268" i="2"/>
  <c r="EN268" i="2" s="1"/>
  <c r="ET152" i="2"/>
  <c r="ET165" i="2"/>
  <c r="CS269" i="2"/>
  <c r="ES313" i="2"/>
  <c r="BJ113" i="2"/>
  <c r="ES244" i="2"/>
  <c r="DA267" i="2"/>
  <c r="EL274" i="2"/>
  <c r="EM253" i="2"/>
  <c r="EN253" i="2" s="1"/>
  <c r="BJ309" i="2"/>
  <c r="ET290" i="2"/>
  <c r="CZ273" i="2"/>
  <c r="ET283" i="2"/>
  <c r="CT266" i="2"/>
  <c r="EV316" i="2"/>
  <c r="CY266" i="2"/>
  <c r="CZ327" i="2"/>
  <c r="DA113" i="2"/>
  <c r="DA298" i="2"/>
  <c r="CY263" i="2"/>
  <c r="CY113" i="2"/>
  <c r="CX290" i="2"/>
  <c r="EL290" i="2"/>
  <c r="CZ13" i="2"/>
  <c r="CV192" i="2"/>
  <c r="CY302" i="2"/>
  <c r="CR334" i="2"/>
  <c r="CV255" i="2"/>
  <c r="CR255" i="2"/>
  <c r="EM286" i="2"/>
  <c r="EN286" i="2" s="1"/>
  <c r="DG289" i="2"/>
  <c r="CS289" i="2"/>
  <c r="EV146" i="2"/>
  <c r="CX300" i="2"/>
  <c r="EM341" i="2"/>
  <c r="EN341" i="2" s="1"/>
  <c r="CS314" i="2"/>
  <c r="CR338" i="2"/>
  <c r="CS338" i="2"/>
  <c r="EM239" i="2"/>
  <c r="EN239" i="2"/>
  <c r="EM284" i="2"/>
  <c r="EN284" i="2"/>
  <c r="CT252" i="2"/>
  <c r="DA300" i="2"/>
  <c r="CV269" i="2"/>
  <c r="EI231" i="2"/>
  <c r="ES326" i="2"/>
  <c r="ES158" i="2"/>
  <c r="ES273" i="2"/>
  <c r="EU273" i="2" s="1"/>
  <c r="CU152" i="2"/>
  <c r="CV327" i="2"/>
  <c r="EI320" i="2"/>
  <c r="EI268" i="2"/>
  <c r="CX148" i="2"/>
  <c r="CU214" i="2"/>
  <c r="EI256" i="2"/>
  <c r="EL196" i="2"/>
  <c r="ES184" i="2"/>
  <c r="EL309" i="2"/>
  <c r="EI151" i="2"/>
  <c r="EM334" i="2"/>
  <c r="EN334" i="2" s="1"/>
  <c r="EL151" i="2"/>
  <c r="EI250" i="2"/>
  <c r="EI109" i="2"/>
  <c r="BJ212" i="2"/>
  <c r="CR192" i="2"/>
  <c r="CW217" i="2"/>
  <c r="CX267" i="2"/>
  <c r="ES298" i="2"/>
  <c r="CS333" i="2"/>
  <c r="BJ310" i="2"/>
  <c r="EV332" i="2"/>
  <c r="EW332" i="2" s="1"/>
  <c r="EX332" i="2" s="1"/>
  <c r="ET333" i="2"/>
  <c r="CR256" i="2"/>
  <c r="CZ326" i="2"/>
  <c r="CR326" i="2"/>
  <c r="EI163" i="2"/>
  <c r="DA217" i="2"/>
  <c r="BJ268" i="2"/>
  <c r="ET202" i="2"/>
  <c r="EL152" i="2"/>
  <c r="EM206" i="2"/>
  <c r="EN206" i="2" s="1"/>
  <c r="CZ150" i="2"/>
  <c r="BJ235" i="2"/>
  <c r="ET113" i="2"/>
  <c r="BJ244" i="2"/>
  <c r="ES268" i="2"/>
  <c r="CZ269" i="2"/>
  <c r="EM160" i="2"/>
  <c r="EN160" i="2" s="1"/>
  <c r="EM319" i="2"/>
  <c r="EN319" i="2" s="1"/>
  <c r="EM165" i="2"/>
  <c r="EN165" i="2" s="1"/>
  <c r="ES288" i="2"/>
  <c r="EI183" i="2"/>
  <c r="CU315" i="2"/>
  <c r="ES318" i="2"/>
  <c r="ET281" i="2"/>
  <c r="ET275" i="2"/>
  <c r="DA330" i="2"/>
  <c r="EI255" i="2"/>
  <c r="BJ178" i="2"/>
  <c r="ET204" i="2"/>
  <c r="EI261" i="2"/>
  <c r="ES324" i="2"/>
  <c r="EI232" i="2"/>
  <c r="DG149" i="2"/>
  <c r="EM322" i="2"/>
  <c r="EN322" i="2" s="1"/>
  <c r="BJ312" i="2"/>
  <c r="CS196" i="2"/>
  <c r="ES263" i="2"/>
  <c r="EU263" i="2" s="1"/>
  <c r="EM285" i="2"/>
  <c r="EN285" i="2" s="1"/>
  <c r="CU170" i="2"/>
  <c r="ES209" i="2"/>
  <c r="EU209" i="2" s="1"/>
  <c r="ES310" i="2"/>
  <c r="CV170" i="2"/>
  <c r="CZ170" i="2"/>
  <c r="CZ256" i="2"/>
  <c r="CZ328" i="2"/>
  <c r="DA250" i="2"/>
  <c r="CX217" i="2"/>
  <c r="EM250" i="2"/>
  <c r="EN250" i="2" s="1"/>
  <c r="BJ305" i="2"/>
  <c r="BJ221" i="2"/>
  <c r="CY105" i="2"/>
  <c r="EI202" i="2"/>
  <c r="CS150" i="2"/>
  <c r="DA269" i="2"/>
  <c r="EI235" i="2"/>
  <c r="CV146" i="2"/>
  <c r="BJ313" i="2"/>
  <c r="EM113" i="2"/>
  <c r="EN113" i="2" s="1"/>
  <c r="DG267" i="2"/>
  <c r="CW3" i="2"/>
  <c r="CQ327" i="2"/>
  <c r="CQ105" i="2"/>
  <c r="DA273" i="2"/>
  <c r="BJ340" i="2"/>
  <c r="BJ214" i="2"/>
  <c r="EM235" i="2"/>
  <c r="EN235" i="2" s="1"/>
  <c r="BJ171" i="2"/>
  <c r="EI6" i="2"/>
  <c r="EM203" i="2"/>
  <c r="EN203" i="2" s="1"/>
  <c r="CS309" i="2"/>
  <c r="CY309" i="2"/>
  <c r="DG22" i="2"/>
  <c r="CU273" i="2"/>
  <c r="EL209" i="2"/>
  <c r="CS13" i="2"/>
  <c r="CY212" i="2"/>
  <c r="CT12" i="2"/>
  <c r="CW272" i="2"/>
  <c r="CZ290" i="2"/>
  <c r="CS113" i="2"/>
  <c r="CZ263" i="2"/>
  <c r="CU13" i="2"/>
  <c r="CX13" i="2"/>
  <c r="CT263" i="2"/>
  <c r="CT113" i="2"/>
  <c r="EV296" i="2"/>
  <c r="EW296" i="2" s="1"/>
  <c r="EX296" i="2" s="1"/>
  <c r="CT192" i="2"/>
  <c r="CW263" i="2"/>
  <c r="EL334" i="2"/>
  <c r="CZ255" i="2"/>
  <c r="CU255" i="2"/>
  <c r="CV272" i="2"/>
  <c r="CQ289" i="2"/>
  <c r="EM246" i="2"/>
  <c r="EN246" i="2" s="1"/>
  <c r="EM279" i="2"/>
  <c r="EN279" i="2" s="1"/>
  <c r="DA314" i="2"/>
  <c r="EL314" i="2"/>
  <c r="CW338" i="2"/>
  <c r="CU338" i="2"/>
  <c r="EM276" i="2"/>
  <c r="EN276" i="2" s="1"/>
  <c r="CT300" i="2"/>
  <c r="EL217" i="2"/>
  <c r="ET168" i="2"/>
  <c r="DA216" i="2"/>
  <c r="ES254" i="2"/>
  <c r="ET3" i="2"/>
  <c r="DG323" i="2"/>
  <c r="EL281" i="2"/>
  <c r="EI162" i="2"/>
  <c r="CZ322" i="2"/>
  <c r="ES286" i="2"/>
  <c r="EU286" i="2" s="1"/>
  <c r="ET261" i="2"/>
  <c r="EM151" i="2"/>
  <c r="EN151" i="2" s="1"/>
  <c r="BJ232" i="2"/>
  <c r="ES229" i="2"/>
  <c r="ET155" i="2"/>
  <c r="ES150" i="2"/>
  <c r="CZ333" i="2"/>
  <c r="EL333" i="2"/>
  <c r="ET209" i="2"/>
  <c r="EV170" i="2"/>
  <c r="CX328" i="2"/>
  <c r="EI234" i="2"/>
  <c r="ET305" i="2"/>
  <c r="CR150" i="2"/>
  <c r="CX105" i="2"/>
  <c r="ES177" i="2"/>
  <c r="EI148" i="2"/>
  <c r="DA150" i="2"/>
  <c r="CX269" i="2"/>
  <c r="EI242" i="2"/>
  <c r="ES113" i="2"/>
  <c r="EV113" i="2" s="1"/>
  <c r="ES335" i="2"/>
  <c r="CS302" i="2"/>
  <c r="EM212" i="2"/>
  <c r="EN212" i="2" s="1"/>
  <c r="EL235" i="2"/>
  <c r="EM126" i="2"/>
  <c r="EN126" i="2" s="1"/>
  <c r="CR300" i="2"/>
  <c r="CV309" i="2"/>
  <c r="EM194" i="2"/>
  <c r="EN194" i="2" s="1"/>
  <c r="CY273" i="2"/>
  <c r="EI340" i="2"/>
  <c r="DG214" i="2"/>
  <c r="ES171" i="2"/>
  <c r="EI203" i="2"/>
  <c r="EI309" i="2"/>
  <c r="DG266" i="2"/>
  <c r="EL273" i="2"/>
  <c r="BJ183" i="2"/>
  <c r="EL330" i="2"/>
  <c r="EI269" i="2"/>
  <c r="CX315" i="2"/>
  <c r="ET311" i="2"/>
  <c r="ET312" i="2"/>
  <c r="BJ336" i="2"/>
  <c r="EI227" i="2"/>
  <c r="ET223" i="2"/>
  <c r="ES239" i="2"/>
  <c r="EU239" i="2" s="1"/>
  <c r="EI284" i="2"/>
  <c r="BJ317" i="2"/>
  <c r="EM12" i="2"/>
  <c r="EN12" i="2" s="1"/>
  <c r="EI170" i="2"/>
  <c r="EI277" i="2"/>
  <c r="BJ192" i="2"/>
  <c r="EM241" i="2"/>
  <c r="EN241" i="2" s="1"/>
  <c r="EM226" i="2"/>
  <c r="EN226" i="2" s="1"/>
  <c r="ET298" i="2"/>
  <c r="CX333" i="2"/>
  <c r="DA333" i="2"/>
  <c r="CR170" i="2"/>
  <c r="CW170" i="2"/>
  <c r="BJ209" i="2"/>
  <c r="CX326" i="2"/>
  <c r="CW326" i="2"/>
  <c r="CV328" i="2"/>
  <c r="CW332" i="2"/>
  <c r="CW293" i="2"/>
  <c r="ES280" i="2"/>
  <c r="EU280" i="2" s="1"/>
  <c r="EI207" i="2"/>
  <c r="ES257" i="2"/>
  <c r="ES305" i="2"/>
  <c r="EL267" i="2"/>
  <c r="BJ148" i="2"/>
  <c r="ET242" i="2"/>
  <c r="ET335" i="2"/>
  <c r="CT302" i="2"/>
  <c r="CX93" i="2"/>
  <c r="CQ330" i="2"/>
  <c r="ES174" i="2"/>
  <c r="EV174" i="2" s="1"/>
  <c r="CY269" i="2"/>
  <c r="ET158" i="2"/>
  <c r="ET317" i="2"/>
  <c r="ET233" i="2"/>
  <c r="CY150" i="2"/>
  <c r="EM222" i="2"/>
  <c r="EN222" i="2" s="1"/>
  <c r="EM196" i="2"/>
  <c r="EN196" i="2" s="1"/>
  <c r="CR214" i="2"/>
  <c r="EI181" i="2"/>
  <c r="BJ321" i="2"/>
  <c r="DG293" i="2"/>
  <c r="ES160" i="2"/>
  <c r="CU3" i="2"/>
  <c r="CT105" i="2"/>
  <c r="CS220" i="2"/>
  <c r="CV323" i="2"/>
  <c r="EM271" i="2"/>
  <c r="EN271" i="2" s="1"/>
  <c r="CV293" i="2"/>
  <c r="CV278" i="2"/>
  <c r="ET160" i="2"/>
  <c r="EL93" i="2"/>
  <c r="ET318" i="2"/>
  <c r="CV148" i="2"/>
  <c r="ES222" i="2"/>
  <c r="EU222" i="2" s="1"/>
  <c r="CR146" i="2"/>
  <c r="BJ302" i="2"/>
  <c r="BJ150" i="2"/>
  <c r="CT214" i="2"/>
  <c r="EI298" i="2"/>
  <c r="CR333" i="2"/>
  <c r="CX12" i="2"/>
  <c r="DA326" i="2"/>
  <c r="EI191" i="2"/>
  <c r="ET340" i="2"/>
  <c r="CV263" i="2"/>
  <c r="EV192" i="2"/>
  <c r="CR298" i="2"/>
  <c r="CR290" i="2"/>
  <c r="CV113" i="2"/>
  <c r="CW13" i="2"/>
  <c r="EM167" i="2"/>
  <c r="EN167" i="2" s="1"/>
  <c r="EL302" i="2"/>
  <c r="EV302" i="2"/>
  <c r="CQ334" i="2"/>
  <c r="CT255" i="2"/>
  <c r="CT289" i="2"/>
  <c r="EM280" i="2"/>
  <c r="EN280" i="2" s="1"/>
  <c r="CW300" i="2"/>
  <c r="CV314" i="2"/>
  <c r="EL338" i="2"/>
  <c r="EM251" i="2"/>
  <c r="EN251" i="2" s="1"/>
  <c r="EL252" i="2"/>
  <c r="DA252" i="2"/>
  <c r="CZ319" i="2"/>
  <c r="CX319" i="2"/>
  <c r="CQ273" i="2"/>
  <c r="CW110" i="2"/>
  <c r="CY110" i="2"/>
  <c r="CW222" i="2"/>
  <c r="CZ222" i="2"/>
  <c r="CX205" i="2"/>
  <c r="CS205" i="2"/>
  <c r="CZ240" i="2"/>
  <c r="CU163" i="2"/>
  <c r="CT226" i="2"/>
  <c r="CW195" i="2"/>
  <c r="CR337" i="2"/>
  <c r="CX271" i="2"/>
  <c r="CY271" i="2"/>
  <c r="CV271" i="2"/>
  <c r="CS253" i="2"/>
  <c r="CZ253" i="2"/>
  <c r="CY166" i="2"/>
  <c r="BJ181" i="2"/>
  <c r="CQ307" i="2"/>
  <c r="BJ179" i="2"/>
  <c r="ES219" i="2"/>
  <c r="EM3" i="2"/>
  <c r="EN3" i="2" s="1"/>
  <c r="CW333" i="2"/>
  <c r="BJ299" i="2"/>
  <c r="EM205" i="2"/>
  <c r="EN205" i="2" s="1"/>
  <c r="DG340" i="2"/>
  <c r="CU309" i="2"/>
  <c r="EM163" i="2"/>
  <c r="EN163" i="2" s="1"/>
  <c r="CZ22" i="2"/>
  <c r="CZ298" i="2"/>
  <c r="EV187" i="2"/>
  <c r="CT290" i="2"/>
  <c r="CZ113" i="2"/>
  <c r="CZ192" i="2"/>
  <c r="DG13" i="2"/>
  <c r="CY298" i="2"/>
  <c r="CX302" i="2"/>
  <c r="CU334" i="2"/>
  <c r="CZ289" i="2"/>
  <c r="CV289" i="2"/>
  <c r="CU314" i="2"/>
  <c r="CX338" i="2"/>
  <c r="EV338" i="2"/>
  <c r="EM186" i="2"/>
  <c r="EN186" i="2" s="1"/>
  <c r="CU252" i="2"/>
  <c r="CZ252" i="2"/>
  <c r="CR151" i="2"/>
  <c r="ET213" i="2"/>
  <c r="EM166" i="2"/>
  <c r="EN166" i="2" s="1"/>
  <c r="CU326" i="2"/>
  <c r="BJ280" i="2"/>
  <c r="CZ105" i="2"/>
  <c r="CV150" i="2"/>
  <c r="BJ335" i="2"/>
  <c r="DG274" i="2"/>
  <c r="CT309" i="2"/>
  <c r="ES340" i="2"/>
  <c r="EU340" i="2" s="1"/>
  <c r="ET171" i="2"/>
  <c r="CQ309" i="2"/>
  <c r="ES309" i="2"/>
  <c r="EU309" i="2" s="1"/>
  <c r="CR22" i="2"/>
  <c r="CX22" i="2"/>
  <c r="CV12" i="2"/>
  <c r="CU209" i="2"/>
  <c r="CS298" i="2"/>
  <c r="CV302" i="2"/>
  <c r="CV290" i="2"/>
  <c r="DG113" i="2"/>
  <c r="CT13" i="2"/>
  <c r="CX192" i="2"/>
  <c r="EL263" i="2"/>
  <c r="CW302" i="2"/>
  <c r="DA302" i="2"/>
  <c r="DA334" i="2"/>
  <c r="CY255" i="2"/>
  <c r="EM255" i="2"/>
  <c r="EN255" i="2"/>
  <c r="CV214" i="2"/>
  <c r="CQ262" i="2"/>
  <c r="ET321" i="2"/>
  <c r="CX273" i="2"/>
  <c r="ET203" i="2"/>
  <c r="CS22" i="2"/>
  <c r="EM252" i="2"/>
  <c r="EN252" i="2" s="1"/>
  <c r="EM249" i="2"/>
  <c r="EN249" i="2" s="1"/>
  <c r="DA290" i="2"/>
  <c r="EL113" i="2"/>
  <c r="DG298" i="2"/>
  <c r="CS263" i="2"/>
  <c r="CT334" i="2"/>
  <c r="DA255" i="2"/>
  <c r="DA289" i="2"/>
  <c r="EV215" i="2"/>
  <c r="EM282" i="2"/>
  <c r="EN282" i="2" s="1"/>
  <c r="CZ314" i="2"/>
  <c r="CZ338" i="2"/>
  <c r="CU300" i="2"/>
  <c r="DG319" i="2"/>
  <c r="CS319" i="2"/>
  <c r="ES276" i="2"/>
  <c r="EU276" i="2" s="1"/>
  <c r="DG146" i="2"/>
  <c r="ES290" i="2"/>
  <c r="ES152" i="2"/>
  <c r="EU152" i="2" s="1"/>
  <c r="DG273" i="2"/>
  <c r="EI171" i="2"/>
  <c r="DA22" i="2"/>
  <c r="CU298" i="2"/>
  <c r="CV334" i="2"/>
  <c r="DA212" i="2"/>
  <c r="CX113" i="2"/>
  <c r="CR13" i="2"/>
  <c r="CR263" i="2"/>
  <c r="EM240" i="2"/>
  <c r="EN240" i="2" s="1"/>
  <c r="EV148" i="2"/>
  <c r="EW148" i="2" s="1"/>
  <c r="EX148" i="2" s="1"/>
  <c r="DA272" i="2"/>
  <c r="CU289" i="2"/>
  <c r="DG314" i="2"/>
  <c r="CY300" i="2"/>
  <c r="DG338" i="2"/>
  <c r="DG252" i="2"/>
  <c r="CZ300" i="2"/>
  <c r="DA319" i="2"/>
  <c r="EV319" i="2"/>
  <c r="DA110" i="2"/>
  <c r="CV110" i="2"/>
  <c r="CT222" i="2"/>
  <c r="CS222" i="2"/>
  <c r="EL205" i="2"/>
  <c r="EM310" i="2"/>
  <c r="EN310" i="2" s="1"/>
  <c r="CW240" i="2"/>
  <c r="CR240" i="2"/>
  <c r="CV163" i="2"/>
  <c r="DG226" i="2"/>
  <c r="CR195" i="2"/>
  <c r="CW337" i="2"/>
  <c r="CT337" i="2"/>
  <c r="CU195" i="2"/>
  <c r="CZ271" i="2"/>
  <c r="DG253" i="2"/>
  <c r="CV166" i="2"/>
  <c r="CR241" i="2"/>
  <c r="CW241" i="2"/>
  <c r="EL258" i="2"/>
  <c r="CU243" i="2"/>
  <c r="CY243" i="2"/>
  <c r="CY187" i="2"/>
  <c r="DG187" i="2"/>
  <c r="CR249" i="2"/>
  <c r="CX249" i="2"/>
  <c r="CT208" i="2"/>
  <c r="CR208" i="2"/>
  <c r="DG208" i="2"/>
  <c r="CR246" i="2"/>
  <c r="CY246" i="2"/>
  <c r="CT280" i="2"/>
  <c r="EL280" i="2"/>
  <c r="CQ286" i="2"/>
  <c r="DA286" i="2"/>
  <c r="CR244" i="2"/>
  <c r="CZ244" i="2"/>
  <c r="CW242" i="2"/>
  <c r="CV341" i="2"/>
  <c r="CT341" i="2"/>
  <c r="CR236" i="2"/>
  <c r="CS236" i="2"/>
  <c r="CV284" i="2"/>
  <c r="CT186" i="2"/>
  <c r="EV181" i="2"/>
  <c r="CW251" i="2"/>
  <c r="CY251" i="2"/>
  <c r="CT173" i="2"/>
  <c r="CV173" i="2"/>
  <c r="CW306" i="2"/>
  <c r="CR306" i="2"/>
  <c r="CU306" i="2"/>
  <c r="CX254" i="2"/>
  <c r="CT276" i="2"/>
  <c r="CZ282" i="2"/>
  <c r="CU282" i="2"/>
  <c r="CU239" i="2"/>
  <c r="CV265" i="2"/>
  <c r="CX265" i="2"/>
  <c r="CR321" i="2"/>
  <c r="CY321" i="2"/>
  <c r="CV320" i="2"/>
  <c r="CU237" i="2"/>
  <c r="DG237" i="2"/>
  <c r="CX310" i="2"/>
  <c r="DA228" i="2"/>
  <c r="CT228" i="2"/>
  <c r="CZ164" i="2"/>
  <c r="DA164" i="2"/>
  <c r="CW151" i="2"/>
  <c r="ES317" i="2"/>
  <c r="EI315" i="2"/>
  <c r="CS273" i="2"/>
  <c r="ET235" i="2"/>
  <c r="ES226" i="2"/>
  <c r="EU226" i="2" s="1"/>
  <c r="CX266" i="2"/>
  <c r="CW209" i="2"/>
  <c r="CX212" i="2"/>
  <c r="CS334" i="2"/>
  <c r="CV13" i="2"/>
  <c r="CQ290" i="2"/>
  <c r="EL13" i="2"/>
  <c r="EV281" i="2"/>
  <c r="EW281" i="2" s="1"/>
  <c r="EX281" i="2" s="1"/>
  <c r="CW334" i="2"/>
  <c r="CZ272" i="2"/>
  <c r="EV272" i="2"/>
  <c r="EW272" i="2" s="1"/>
  <c r="EX272" i="2" s="1"/>
  <c r="CX289" i="2"/>
  <c r="CV300" i="2"/>
  <c r="CY338" i="2"/>
  <c r="DA338" i="2"/>
  <c r="CX252" i="2"/>
  <c r="CR252" i="2"/>
  <c r="CR110" i="2"/>
  <c r="EL222" i="2"/>
  <c r="CR222" i="2"/>
  <c r="CV205" i="2"/>
  <c r="CW205" i="2"/>
  <c r="CS240" i="2"/>
  <c r="EM164" i="2"/>
  <c r="EN164" i="2" s="1"/>
  <c r="CW163" i="2"/>
  <c r="CR163" i="2"/>
  <c r="CT195" i="2"/>
  <c r="CS226" i="2"/>
  <c r="CW226" i="2"/>
  <c r="CS337" i="2"/>
  <c r="DA337" i="2"/>
  <c r="DG195" i="2"/>
  <c r="CU271" i="2"/>
  <c r="CX253" i="2"/>
  <c r="CX166" i="2"/>
  <c r="EV240" i="2"/>
  <c r="EL215" i="2"/>
  <c r="CQ215" i="2"/>
  <c r="DG241" i="2"/>
  <c r="CY241" i="2"/>
  <c r="CS258" i="2"/>
  <c r="CY258" i="2"/>
  <c r="DA243" i="2"/>
  <c r="EL187" i="2"/>
  <c r="DA187" i="2"/>
  <c r="CV249" i="2"/>
  <c r="DA208" i="2"/>
  <c r="CT246" i="2"/>
  <c r="CS286" i="2"/>
  <c r="CY167" i="2"/>
  <c r="EL167" i="2"/>
  <c r="EV167" i="2"/>
  <c r="DA244" i="2"/>
  <c r="DG174" i="2"/>
  <c r="EI197" i="2"/>
  <c r="EI289" i="2"/>
  <c r="CQ274" i="2"/>
  <c r="ES235" i="2"/>
  <c r="EU235" i="2" s="1"/>
  <c r="BJ6" i="2"/>
  <c r="CX298" i="2"/>
  <c r="DG209" i="2"/>
  <c r="CY22" i="2"/>
  <c r="CR266" i="2"/>
  <c r="CR212" i="2"/>
  <c r="CS272" i="2"/>
  <c r="EV12" i="2"/>
  <c r="CU302" i="2"/>
  <c r="CX334" i="2"/>
  <c r="DG255" i="2"/>
  <c r="EL272" i="2"/>
  <c r="CY289" i="2"/>
  <c r="CS255" i="2"/>
  <c r="EV280" i="2"/>
  <c r="EW280" i="2" s="1"/>
  <c r="EX280" i="2" s="1"/>
  <c r="EM208" i="2"/>
  <c r="EN208" i="2" s="1"/>
  <c r="CR314" i="2"/>
  <c r="CV252" i="2"/>
  <c r="EM304" i="2"/>
  <c r="EN304" i="2" s="1"/>
  <c r="EL319" i="2"/>
  <c r="EM237" i="2"/>
  <c r="EN237" i="2" s="1"/>
  <c r="CS110" i="2"/>
  <c r="CZ110" i="2"/>
  <c r="CY205" i="2"/>
  <c r="DG240" i="2"/>
  <c r="CX240" i="2"/>
  <c r="DA163" i="2"/>
  <c r="CZ226" i="2"/>
  <c r="CU337" i="2"/>
  <c r="EL337" i="2"/>
  <c r="CQ195" i="2"/>
  <c r="CR271" i="2"/>
  <c r="CY253" i="2"/>
  <c r="CV195" i="2"/>
  <c r="DG166" i="2"/>
  <c r="DA215" i="2"/>
  <c r="DG215" i="2"/>
  <c r="CV241" i="2"/>
  <c r="CU241" i="2"/>
  <c r="CW258" i="2"/>
  <c r="CV243" i="2"/>
  <c r="CW187" i="2"/>
  <c r="DG249" i="2"/>
  <c r="CY208" i="2"/>
  <c r="CU246" i="2"/>
  <c r="DA246" i="2"/>
  <c r="CX280" i="2"/>
  <c r="CR280" i="2"/>
  <c r="CR286" i="2"/>
  <c r="CR167" i="2"/>
  <c r="CQ244" i="2"/>
  <c r="EV242" i="2"/>
  <c r="CR242" i="2"/>
  <c r="CX242" i="2"/>
  <c r="CX341" i="2"/>
  <c r="CY284" i="2"/>
  <c r="CR186" i="2"/>
  <c r="CV186" i="2"/>
  <c r="CX181" i="2"/>
  <c r="CU181" i="2"/>
  <c r="DA251" i="2"/>
  <c r="CT251" i="2"/>
  <c r="CX251" i="2"/>
  <c r="CX173" i="2"/>
  <c r="CT306" i="2"/>
  <c r="CZ172" i="2"/>
  <c r="CU254" i="2"/>
  <c r="DG276" i="2"/>
  <c r="CS282" i="2"/>
  <c r="EL239" i="2"/>
  <c r="CS239" i="2"/>
  <c r="CY265" i="2"/>
  <c r="CW321" i="2"/>
  <c r="CS237" i="2"/>
  <c r="DA237" i="2"/>
  <c r="CY310" i="2"/>
  <c r="CW228" i="2"/>
  <c r="CV164" i="2"/>
  <c r="ES172" i="2"/>
  <c r="EU172" i="2" s="1"/>
  <c r="CW269" i="2"/>
  <c r="DA114" i="2"/>
  <c r="ET210" i="2"/>
  <c r="ES283" i="2"/>
  <c r="CT293" i="2"/>
  <c r="EI214" i="2"/>
  <c r="CY334" i="2"/>
  <c r="CX152" i="2"/>
  <c r="DG256" i="2"/>
  <c r="DY256" i="2" s="1"/>
  <c r="CT220" i="2"/>
  <c r="DG93" i="2"/>
  <c r="CQ147" i="2"/>
  <c r="DG309" i="2"/>
  <c r="DG212" i="2"/>
  <c r="CX263" i="2"/>
  <c r="CZ334" i="2"/>
  <c r="EM172" i="2"/>
  <c r="EN172" i="2" s="1"/>
  <c r="EM265" i="2"/>
  <c r="EN265" i="2" s="1"/>
  <c r="CT319" i="2"/>
  <c r="DA222" i="2"/>
  <c r="CT205" i="2"/>
  <c r="CV240" i="2"/>
  <c r="EL193" i="2"/>
  <c r="CV253" i="2"/>
  <c r="CR166" i="2"/>
  <c r="DA166" i="2"/>
  <c r="CR215" i="2"/>
  <c r="CT215" i="2"/>
  <c r="DA241" i="2"/>
  <c r="CT241" i="2"/>
  <c r="CV258" i="2"/>
  <c r="CW208" i="2"/>
  <c r="CU280" i="2"/>
  <c r="CS280" i="2"/>
  <c r="CZ286" i="2"/>
  <c r="CU167" i="2"/>
  <c r="CX167" i="2"/>
  <c r="CV244" i="2"/>
  <c r="CX244" i="2"/>
  <c r="CZ242" i="2"/>
  <c r="EV341" i="2"/>
  <c r="EW341" i="2" s="1"/>
  <c r="EX341" i="2" s="1"/>
  <c r="CT236" i="2"/>
  <c r="CW284" i="2"/>
  <c r="CU186" i="2"/>
  <c r="CW181" i="2"/>
  <c r="CR181" i="2"/>
  <c r="DG251" i="2"/>
  <c r="CR173" i="2"/>
  <c r="CY306" i="2"/>
  <c r="DA306" i="2"/>
  <c r="CS254" i="2"/>
  <c r="EL276" i="2"/>
  <c r="CR276" i="2"/>
  <c r="CY282" i="2"/>
  <c r="CZ265" i="2"/>
  <c r="CV321" i="2"/>
  <c r="CS321" i="2"/>
  <c r="CW320" i="2"/>
  <c r="CY320" i="2"/>
  <c r="CT237" i="2"/>
  <c r="CS310" i="2"/>
  <c r="DA310" i="2"/>
  <c r="CZ228" i="2"/>
  <c r="CX228" i="2"/>
  <c r="EV164" i="2"/>
  <c r="EW164" i="2" s="1"/>
  <c r="EX164" i="2" s="1"/>
  <c r="CQ242" i="2"/>
  <c r="CR293" i="2"/>
  <c r="CR209" i="2"/>
  <c r="EL298" i="2"/>
  <c r="EM243" i="2"/>
  <c r="EN243" i="2" s="1"/>
  <c r="CW113" i="2"/>
  <c r="EV147" i="2"/>
  <c r="DA263" i="2"/>
  <c r="EV334" i="2"/>
  <c r="EV255" i="2"/>
  <c r="EV151" i="2"/>
  <c r="EW151" i="2" s="1"/>
  <c r="EX151" i="2" s="1"/>
  <c r="CW314" i="2"/>
  <c r="DG222" i="2"/>
  <c r="DA240" i="2"/>
  <c r="EL163" i="2"/>
  <c r="CU226" i="2"/>
  <c r="DG337" i="2"/>
  <c r="DG271" i="2"/>
  <c r="CR253" i="2"/>
  <c r="CT166" i="2"/>
  <c r="CQ193" i="2"/>
  <c r="CX215" i="2"/>
  <c r="DG258" i="2"/>
  <c r="DA258" i="2"/>
  <c r="CZ187" i="2"/>
  <c r="CX208" i="2"/>
  <c r="CV208" i="2"/>
  <c r="CW280" i="2"/>
  <c r="CW286" i="2"/>
  <c r="CW167" i="2"/>
  <c r="CS244" i="2"/>
  <c r="CS242" i="2"/>
  <c r="CS341" i="2"/>
  <c r="DA341" i="2"/>
  <c r="EL236" i="2"/>
  <c r="DA284" i="2"/>
  <c r="CS186" i="2"/>
  <c r="EV186" i="2"/>
  <c r="CY181" i="2"/>
  <c r="CR251" i="2"/>
  <c r="EV173" i="2"/>
  <c r="CZ254" i="2"/>
  <c r="CY276" i="2"/>
  <c r="CU276" i="2"/>
  <c r="CW265" i="2"/>
  <c r="DA265" i="2"/>
  <c r="CU321" i="2"/>
  <c r="DA320" i="2"/>
  <c r="EL237" i="2"/>
  <c r="CZ310" i="2"/>
  <c r="CR228" i="2"/>
  <c r="CQ306" i="2"/>
  <c r="EM170" i="2"/>
  <c r="EN170" i="2" s="1"/>
  <c r="CV273" i="2"/>
  <c r="ES214" i="2"/>
  <c r="EV214" i="2" s="1"/>
  <c r="CY272" i="2"/>
  <c r="EM187" i="2"/>
  <c r="EN187" i="2" s="1"/>
  <c r="CR273" i="2"/>
  <c r="EM244" i="2"/>
  <c r="EN244" i="2" s="1"/>
  <c r="EM306" i="2"/>
  <c r="EN306" i="2" s="1"/>
  <c r="DA193" i="2"/>
  <c r="EV314" i="2"/>
  <c r="CW273" i="2"/>
  <c r="CR319" i="2"/>
  <c r="CX110" i="2"/>
  <c r="DG110" i="2"/>
  <c r="EV222" i="2"/>
  <c r="CT163" i="2"/>
  <c r="CX226" i="2"/>
  <c r="CQ263" i="2"/>
  <c r="EL195" i="2"/>
  <c r="DA271" i="2"/>
  <c r="EL253" i="2"/>
  <c r="DG193" i="2"/>
  <c r="CW166" i="2"/>
  <c r="CY215" i="2"/>
  <c r="CZ215" i="2"/>
  <c r="CZ241" i="2"/>
  <c r="CX258" i="2"/>
  <c r="CX243" i="2"/>
  <c r="CS187" i="2"/>
  <c r="CV187" i="2"/>
  <c r="CZ208" i="2"/>
  <c r="CV280" i="2"/>
  <c r="CY280" i="2"/>
  <c r="EL286" i="2"/>
  <c r="CV167" i="2"/>
  <c r="CT244" i="2"/>
  <c r="CW244" i="2"/>
  <c r="DA242" i="2"/>
  <c r="CW341" i="2"/>
  <c r="CX236" i="2"/>
  <c r="CZ284" i="2"/>
  <c r="DA186" i="2"/>
  <c r="CZ181" i="2"/>
  <c r="CT181" i="2"/>
  <c r="CS251" i="2"/>
  <c r="CS173" i="2"/>
  <c r="DG173" i="2"/>
  <c r="CR254" i="2"/>
  <c r="CT254" i="2"/>
  <c r="CZ276" i="2"/>
  <c r="CX276" i="2"/>
  <c r="CR282" i="2"/>
  <c r="EL282" i="2"/>
  <c r="EV239" i="2"/>
  <c r="CZ239" i="2"/>
  <c r="CR320" i="2"/>
  <c r="DG310" i="2"/>
  <c r="EV228" i="2"/>
  <c r="CU164" i="2"/>
  <c r="CQ166" i="2"/>
  <c r="CQ271" i="2"/>
  <c r="CQ258" i="2"/>
  <c r="CW220" i="2"/>
  <c r="BJ191" i="2"/>
  <c r="ES234" i="2"/>
  <c r="ET214" i="2"/>
  <c r="ET6" i="2"/>
  <c r="CU266" i="2"/>
  <c r="CT22" i="2"/>
  <c r="CT209" i="2"/>
  <c r="DA13" i="2"/>
  <c r="EV258" i="2"/>
  <c r="EV149" i="2"/>
  <c r="EW149" i="2" s="1"/>
  <c r="EX149" i="2" s="1"/>
  <c r="DG302" i="2"/>
  <c r="EV232" i="2"/>
  <c r="CW289" i="2"/>
  <c r="CW255" i="2"/>
  <c r="CX314" i="2"/>
  <c r="CV338" i="2"/>
  <c r="CT272" i="2"/>
  <c r="CR272" i="2"/>
  <c r="CU290" i="2"/>
  <c r="DG290" i="2"/>
  <c r="CX255" i="2"/>
  <c r="EM181" i="2"/>
  <c r="EN181" i="2" s="1"/>
  <c r="CS252" i="2"/>
  <c r="EM320" i="2"/>
  <c r="EN320" i="2" s="1"/>
  <c r="CU319" i="2"/>
  <c r="EV110" i="2"/>
  <c r="CY222" i="2"/>
  <c r="CU205" i="2"/>
  <c r="CU240" i="2"/>
  <c r="CR226" i="2"/>
  <c r="CX337" i="2"/>
  <c r="CY195" i="2"/>
  <c r="CS271" i="2"/>
  <c r="CR193" i="2"/>
  <c r="CU215" i="2"/>
  <c r="CX241" i="2"/>
  <c r="CR258" i="2"/>
  <c r="CT243" i="2"/>
  <c r="EM195" i="2"/>
  <c r="EN195" i="2" s="1"/>
  <c r="CR302" i="2"/>
  <c r="CY290" i="2"/>
  <c r="CW192" i="2"/>
  <c r="EV114" i="2"/>
  <c r="EW114" i="2" s="1"/>
  <c r="EX114" i="2" s="1"/>
  <c r="CX272" i="2"/>
  <c r="CW252" i="2"/>
  <c r="BJ207" i="2"/>
  <c r="CS290" i="2"/>
  <c r="CY240" i="2"/>
  <c r="CU272" i="2"/>
  <c r="CY314" i="2"/>
  <c r="EM228" i="2"/>
  <c r="EN228" i="2" s="1"/>
  <c r="CT110" i="2"/>
  <c r="CU222" i="2"/>
  <c r="DG205" i="2"/>
  <c r="CY226" i="2"/>
  <c r="CV337" i="2"/>
  <c r="CW193" i="2"/>
  <c r="CU253" i="2"/>
  <c r="EV337" i="2"/>
  <c r="CW215" i="2"/>
  <c r="EL243" i="2"/>
  <c r="EL246" i="2"/>
  <c r="DG167" i="2"/>
  <c r="CU244" i="2"/>
  <c r="CY242" i="2"/>
  <c r="DG242" i="2"/>
  <c r="CU236" i="2"/>
  <c r="CY236" i="2"/>
  <c r="CU284" i="2"/>
  <c r="CX186" i="2"/>
  <c r="CZ251" i="2"/>
  <c r="DA254" i="2"/>
  <c r="CV239" i="2"/>
  <c r="EV265" i="2"/>
  <c r="EW265" i="2" s="1"/>
  <c r="EX265" i="2" s="1"/>
  <c r="EL265" i="2"/>
  <c r="CT321" i="2"/>
  <c r="CX320" i="2"/>
  <c r="CX237" i="2"/>
  <c r="CU228" i="2"/>
  <c r="DG164" i="2"/>
  <c r="CR164" i="2"/>
  <c r="EM201" i="2"/>
  <c r="EN201" i="2" s="1"/>
  <c r="BJ283" i="2"/>
  <c r="CV22" i="2"/>
  <c r="EM173" i="2"/>
  <c r="EN173" i="2" s="1"/>
  <c r="CS300" i="2"/>
  <c r="CY319" i="2"/>
  <c r="CU110" i="2"/>
  <c r="CV222" i="2"/>
  <c r="DG163" i="2"/>
  <c r="CZ195" i="2"/>
  <c r="CX195" i="2"/>
  <c r="CT271" i="2"/>
  <c r="CY193" i="2"/>
  <c r="CU258" i="2"/>
  <c r="CR243" i="2"/>
  <c r="CZ246" i="2"/>
  <c r="DG280" i="2"/>
  <c r="DY280" i="2" s="1"/>
  <c r="CZ167" i="2"/>
  <c r="EL105" i="2"/>
  <c r="DA309" i="2"/>
  <c r="EL192" i="2"/>
  <c r="EL255" i="2"/>
  <c r="EM236" i="2"/>
  <c r="EN236" i="2" s="1"/>
  <c r="CW319" i="2"/>
  <c r="CX222" i="2"/>
  <c r="CT240" i="2"/>
  <c r="DG334" i="2"/>
  <c r="CY163" i="2"/>
  <c r="CS195" i="2"/>
  <c r="CY337" i="2"/>
  <c r="CW253" i="2"/>
  <c r="EL166" i="2"/>
  <c r="CZ258" i="2"/>
  <c r="CW243" i="2"/>
  <c r="DA249" i="2"/>
  <c r="CX286" i="2"/>
  <c r="CY244" i="2"/>
  <c r="CT242" i="2"/>
  <c r="CU242" i="2"/>
  <c r="CU341" i="2"/>
  <c r="CV236" i="2"/>
  <c r="DA236" i="2"/>
  <c r="CT284" i="2"/>
  <c r="CY173" i="2"/>
  <c r="DG254" i="2"/>
  <c r="CV282" i="2"/>
  <c r="CX239" i="2"/>
  <c r="CX321" i="2"/>
  <c r="CR237" i="2"/>
  <c r="CV310" i="2"/>
  <c r="CS164" i="2"/>
  <c r="CT298" i="2"/>
  <c r="CZ302" i="2"/>
  <c r="CX163" i="2"/>
  <c r="CT253" i="2"/>
  <c r="CV215" i="2"/>
  <c r="CT258" i="2"/>
  <c r="CZ243" i="2"/>
  <c r="CX246" i="2"/>
  <c r="CZ341" i="2"/>
  <c r="CU251" i="2"/>
  <c r="EL173" i="2"/>
  <c r="CV306" i="2"/>
  <c r="DG282" i="2"/>
  <c r="CT265" i="2"/>
  <c r="CT310" i="2"/>
  <c r="CQ276" i="2"/>
  <c r="CQ236" i="2"/>
  <c r="CW290" i="2"/>
  <c r="CQ314" i="2"/>
  <c r="CS163" i="2"/>
  <c r="EL271" i="2"/>
  <c r="CS241" i="2"/>
  <c r="CS249" i="2"/>
  <c r="DA280" i="2"/>
  <c r="DA167" i="2"/>
  <c r="DG236" i="2"/>
  <c r="CZ186" i="2"/>
  <c r="EL251" i="2"/>
  <c r="CZ173" i="2"/>
  <c r="EV306" i="2"/>
  <c r="EW306" i="2" s="1"/>
  <c r="EX306" i="2" s="1"/>
  <c r="DG239" i="2"/>
  <c r="CZ321" i="2"/>
  <c r="CT320" i="2"/>
  <c r="CT164" i="2"/>
  <c r="CW246" i="2"/>
  <c r="CX284" i="2"/>
  <c r="EL181" i="2"/>
  <c r="CY254" i="2"/>
  <c r="CT239" i="2"/>
  <c r="CQ302" i="2"/>
  <c r="CT314" i="2"/>
  <c r="CZ163" i="2"/>
  <c r="DA226" i="2"/>
  <c r="DA253" i="2"/>
  <c r="CV193" i="2"/>
  <c r="CT187" i="2"/>
  <c r="CU249" i="2"/>
  <c r="CS208" i="2"/>
  <c r="CV246" i="2"/>
  <c r="CW186" i="2"/>
  <c r="CW173" i="2"/>
  <c r="CV276" i="2"/>
  <c r="CR239" i="2"/>
  <c r="DA321" i="2"/>
  <c r="CS320" i="2"/>
  <c r="CR310" i="2"/>
  <c r="EL228" i="2"/>
  <c r="CQ110" i="2"/>
  <c r="CQ163" i="2"/>
  <c r="CQ181" i="2"/>
  <c r="CQ237" i="2"/>
  <c r="CX187" i="2"/>
  <c r="CY249" i="2"/>
  <c r="DG286" i="2"/>
  <c r="EL244" i="2"/>
  <c r="CV181" i="2"/>
  <c r="CS306" i="2"/>
  <c r="CT282" i="2"/>
  <c r="CU265" i="2"/>
  <c r="CV228" i="2"/>
  <c r="CX278" i="2"/>
  <c r="EM254" i="2"/>
  <c r="EN254" i="2" s="1"/>
  <c r="CY252" i="2"/>
  <c r="EL110" i="2"/>
  <c r="CZ205" i="2"/>
  <c r="DA195" i="2"/>
  <c r="EL241" i="2"/>
  <c r="CU187" i="2"/>
  <c r="CW249" i="2"/>
  <c r="DG246" i="2"/>
  <c r="CU286" i="2"/>
  <c r="CY341" i="2"/>
  <c r="CS284" i="2"/>
  <c r="DG186" i="2"/>
  <c r="CX306" i="2"/>
  <c r="EV172" i="2"/>
  <c r="CW254" i="2"/>
  <c r="CW276" i="2"/>
  <c r="CW282" i="2"/>
  <c r="CS265" i="2"/>
  <c r="DG321" i="2"/>
  <c r="CZ320" i="2"/>
  <c r="CY237" i="2"/>
  <c r="EV310" i="2"/>
  <c r="CS228" i="2"/>
  <c r="CX164" i="2"/>
  <c r="CQ321" i="2"/>
  <c r="CQ310" i="2"/>
  <c r="CX309" i="2"/>
  <c r="CR289" i="2"/>
  <c r="CV226" i="2"/>
  <c r="CW271" i="2"/>
  <c r="CZ166" i="2"/>
  <c r="CR187" i="2"/>
  <c r="CU208" i="2"/>
  <c r="CZ280" i="2"/>
  <c r="EL242" i="2"/>
  <c r="EL341" i="2"/>
  <c r="CV251" i="2"/>
  <c r="DA276" i="2"/>
  <c r="DG320" i="2"/>
  <c r="CU310" i="2"/>
  <c r="CY164" i="2"/>
  <c r="DA205" i="2"/>
  <c r="CS243" i="2"/>
  <c r="CQ341" i="2"/>
  <c r="EL284" i="2"/>
  <c r="EL306" i="2"/>
  <c r="CW239" i="2"/>
  <c r="DG333" i="2"/>
  <c r="CX193" i="2"/>
  <c r="CZ193" i="2"/>
  <c r="DG243" i="2"/>
  <c r="DG181" i="2"/>
  <c r="EG181" i="2" s="1"/>
  <c r="CS276" i="2"/>
  <c r="DA239" i="2"/>
  <c r="CU320" i="2"/>
  <c r="CW237" i="2"/>
  <c r="EL310" i="2"/>
  <c r="CT338" i="2"/>
  <c r="DG332" i="2"/>
  <c r="CV286" i="2"/>
  <c r="DG244" i="2"/>
  <c r="CW236" i="2"/>
  <c r="CZ306" i="2"/>
  <c r="EL321" i="2"/>
  <c r="CQ205" i="2"/>
  <c r="CV237" i="2"/>
  <c r="CW310" i="2"/>
  <c r="CT286" i="2"/>
  <c r="DA181" i="2"/>
  <c r="CZ237" i="2"/>
  <c r="CR341" i="2"/>
  <c r="CW164" i="2"/>
  <c r="CW298" i="2"/>
  <c r="EV323" i="2"/>
  <c r="CV319" i="2"/>
  <c r="CY286" i="2"/>
  <c r="CZ236" i="2"/>
  <c r="DA173" i="2"/>
  <c r="EL164" i="2"/>
  <c r="EI248" i="2"/>
  <c r="CY327" i="2"/>
  <c r="CV298" i="2"/>
  <c r="EM321" i="2"/>
  <c r="EN321" i="2" s="1"/>
  <c r="CS193" i="2"/>
  <c r="CU166" i="2"/>
  <c r="CS215" i="2"/>
  <c r="CY186" i="2"/>
  <c r="CU173" i="2"/>
  <c r="CX282" i="2"/>
  <c r="DG228" i="2"/>
  <c r="CR284" i="2"/>
  <c r="CR113" i="2"/>
  <c r="CS166" i="2"/>
  <c r="AZ230" i="2"/>
  <c r="AI230" i="2"/>
  <c r="BF230" i="2"/>
  <c r="AU290" i="2"/>
  <c r="BX290" i="2"/>
  <c r="BY290" i="2" s="1"/>
  <c r="BF299" i="2"/>
  <c r="AZ299" i="2"/>
  <c r="AI299" i="2"/>
  <c r="BL299" i="2"/>
  <c r="CW299" i="2" s="1"/>
  <c r="CS299" i="2"/>
  <c r="EK299" i="2"/>
  <c r="EM299" i="2"/>
  <c r="EN299" i="2"/>
  <c r="BW301" i="2"/>
  <c r="BW304" i="2"/>
  <c r="AM307" i="2"/>
  <c r="BF307" i="2"/>
  <c r="CG307" i="2" s="1"/>
  <c r="CE307" i="2"/>
  <c r="AU311" i="2"/>
  <c r="BX311" i="2"/>
  <c r="BY311" i="2"/>
  <c r="BL312" i="2"/>
  <c r="CZ312" i="2" s="1"/>
  <c r="EK312" i="2"/>
  <c r="EM312" i="2"/>
  <c r="EN312" i="2" s="1"/>
  <c r="EK318" i="2"/>
  <c r="BL318" i="2"/>
  <c r="DG318" i="2" s="1"/>
  <c r="EM318" i="2"/>
  <c r="EN318" i="2" s="1"/>
  <c r="CQ337" i="2"/>
  <c r="DG172" i="2"/>
  <c r="CR265" i="2"/>
  <c r="CV254" i="2"/>
  <c r="CR205" i="2"/>
  <c r="DC53" i="2"/>
  <c r="DG284" i="2"/>
  <c r="CV242" i="2"/>
  <c r="Z142" i="4"/>
  <c r="Y142" i="4"/>
  <c r="EV254" i="2"/>
  <c r="DG341" i="2"/>
  <c r="Z79" i="4"/>
  <c r="CY239" i="2"/>
  <c r="CS181" i="2"/>
  <c r="CZ249" i="2"/>
  <c r="Z42" i="4"/>
  <c r="Y42" i="4"/>
  <c r="EM220" i="2"/>
  <c r="EN220" i="2" s="1"/>
  <c r="ET220" i="2"/>
  <c r="EI220" i="2"/>
  <c r="DG220" i="2"/>
  <c r="BJ220" i="2"/>
  <c r="ES220" i="2"/>
  <c r="EL220" i="2"/>
  <c r="AZ222" i="2"/>
  <c r="AM222" i="2"/>
  <c r="BW230" i="2"/>
  <c r="BX230" i="2"/>
  <c r="ET300" i="2"/>
  <c r="EI300" i="2"/>
  <c r="ES300" i="2"/>
  <c r="EV300" i="2" s="1"/>
  <c r="BJ300" i="2"/>
  <c r="EM300" i="2"/>
  <c r="EN300" i="2" s="1"/>
  <c r="EL300" i="2"/>
  <c r="DG300" i="2"/>
  <c r="AI303" i="2"/>
  <c r="BG303" i="2"/>
  <c r="AZ303" i="2"/>
  <c r="Y108" i="4"/>
  <c r="Z108" i="4"/>
  <c r="CQ320" i="2"/>
  <c r="CY228" i="2"/>
  <c r="DA282" i="2"/>
  <c r="CT249" i="2"/>
  <c r="CZ337" i="2"/>
  <c r="AU118" i="2"/>
  <c r="EG20" i="2"/>
  <c r="DY20" i="2"/>
  <c r="DY52" i="2"/>
  <c r="EG52" i="2"/>
  <c r="CN282" i="2"/>
  <c r="F202" i="2"/>
  <c r="G202" i="2"/>
  <c r="F158" i="2"/>
  <c r="G158" i="2"/>
  <c r="BX19" i="2"/>
  <c r="BY19" i="2" s="1"/>
  <c r="AU19" i="2"/>
  <c r="BT19" i="2" s="1"/>
  <c r="BU19" i="2" s="1"/>
  <c r="Z109" i="4"/>
  <c r="Y109" i="4"/>
  <c r="AU271" i="2"/>
  <c r="BX271" i="2"/>
  <c r="BY271" i="2" s="1"/>
  <c r="EU92" i="2"/>
  <c r="EV92" i="2"/>
  <c r="BT12" i="2"/>
  <c r="BU12" i="2" s="1"/>
  <c r="EW12" i="2"/>
  <c r="EX12" i="2" s="1"/>
  <c r="G285" i="2"/>
  <c r="F285" i="2"/>
  <c r="CN12" i="2"/>
  <c r="DA143" i="2"/>
  <c r="CV143" i="2"/>
  <c r="EJ143" i="2"/>
  <c r="DG143" i="2"/>
  <c r="CR143" i="2"/>
  <c r="CU143" i="2"/>
  <c r="CY143" i="2"/>
  <c r="CT143" i="2"/>
  <c r="CZ143" i="2"/>
  <c r="DW143" i="2"/>
  <c r="CR28" i="2"/>
  <c r="CV28" i="2"/>
  <c r="DW28" i="2"/>
  <c r="CW28" i="2"/>
  <c r="EJ28" i="2"/>
  <c r="DM28" i="2"/>
  <c r="CX28" i="2"/>
  <c r="CZ28" i="2"/>
  <c r="CY28" i="2"/>
  <c r="CU28" i="2"/>
  <c r="DA28" i="2"/>
  <c r="CT28" i="2"/>
  <c r="CS28" i="2"/>
  <c r="DG28" i="2"/>
  <c r="CQ20" i="2"/>
  <c r="F217" i="2"/>
  <c r="G276" i="2"/>
  <c r="F276" i="2"/>
  <c r="BX234" i="2"/>
  <c r="BY234" i="2" s="1"/>
  <c r="AU234" i="2"/>
  <c r="CN253" i="2"/>
  <c r="AU40" i="2"/>
  <c r="BX40" i="2"/>
  <c r="BY40" i="2" s="1"/>
  <c r="AU279" i="2"/>
  <c r="CN279" i="2" s="1"/>
  <c r="BX279" i="2"/>
  <c r="BY279" i="2" s="1"/>
  <c r="DG10" i="2"/>
  <c r="CW10" i="2"/>
  <c r="CT10" i="2"/>
  <c r="CS10" i="2"/>
  <c r="BQ10" i="2"/>
  <c r="CV10" i="2"/>
  <c r="EL10" i="2"/>
  <c r="DA10" i="2"/>
  <c r="CY10" i="2"/>
  <c r="DM10" i="2"/>
  <c r="CX10" i="2"/>
  <c r="DW10" i="2"/>
  <c r="CR10" i="2"/>
  <c r="EV45" i="2"/>
  <c r="CR45" i="2"/>
  <c r="CW45" i="2"/>
  <c r="DG45" i="2"/>
  <c r="CU45" i="2"/>
  <c r="CX45" i="2"/>
  <c r="DM45" i="2"/>
  <c r="CV45" i="2"/>
  <c r="EL45" i="2"/>
  <c r="G188" i="2"/>
  <c r="F188" i="2"/>
  <c r="CD331" i="2"/>
  <c r="CF331" i="2"/>
  <c r="CG331" i="2"/>
  <c r="DC187" i="2"/>
  <c r="DW254" i="2"/>
  <c r="EU254" i="2"/>
  <c r="EL254" i="2"/>
  <c r="DM254" i="2"/>
  <c r="BQ254" i="2"/>
  <c r="DM102" i="2"/>
  <c r="CV102" i="2"/>
  <c r="DA102" i="2"/>
  <c r="CS102" i="2"/>
  <c r="CY102" i="2"/>
  <c r="CW102" i="2"/>
  <c r="BQ102" i="2"/>
  <c r="EJ102" i="2"/>
  <c r="BX117" i="2"/>
  <c r="BY117" i="2" s="1"/>
  <c r="AU117" i="2"/>
  <c r="DM124" i="2"/>
  <c r="DW124" i="2"/>
  <c r="CR124" i="2"/>
  <c r="CX124" i="2"/>
  <c r="CY124" i="2"/>
  <c r="CS124" i="2"/>
  <c r="EJ124" i="2"/>
  <c r="CT124" i="2"/>
  <c r="DA124" i="2"/>
  <c r="DW226" i="2"/>
  <c r="BQ226" i="2"/>
  <c r="BT226" i="2" s="1"/>
  <c r="BU226" i="2" s="1"/>
  <c r="EL226" i="2"/>
  <c r="CN305" i="2"/>
  <c r="DW102" i="2"/>
  <c r="CN131" i="2"/>
  <c r="EW266" i="2"/>
  <c r="EX266" i="2" s="1"/>
  <c r="CN266" i="2"/>
  <c r="BT266" i="2"/>
  <c r="BU266" i="2" s="1"/>
  <c r="EG128" i="2"/>
  <c r="AU61" i="2"/>
  <c r="BX61" i="2"/>
  <c r="BY61" i="2" s="1"/>
  <c r="CQ209" i="2"/>
  <c r="BT209" i="2"/>
  <c r="BU209" i="2" s="1"/>
  <c r="BY291" i="2"/>
  <c r="G66" i="2"/>
  <c r="F66" i="2"/>
  <c r="CY31" i="2"/>
  <c r="DA31" i="2"/>
  <c r="CU31" i="2"/>
  <c r="CT31" i="2"/>
  <c r="EJ31" i="2"/>
  <c r="EU31" i="2"/>
  <c r="CV31" i="2"/>
  <c r="DW31" i="2"/>
  <c r="DM31" i="2"/>
  <c r="CR31" i="2"/>
  <c r="CZ31" i="2"/>
  <c r="EL31" i="2"/>
  <c r="AU299" i="2"/>
  <c r="CN299" i="2" s="1"/>
  <c r="BX299" i="2"/>
  <c r="BY299" i="2" s="1"/>
  <c r="AU111" i="2"/>
  <c r="BX111" i="2"/>
  <c r="BY111" i="2" s="1"/>
  <c r="BX44" i="2"/>
  <c r="AU156" i="2"/>
  <c r="BX156" i="2"/>
  <c r="BY156" i="2" s="1"/>
  <c r="CX53" i="2"/>
  <c r="EU53" i="2"/>
  <c r="CU53" i="2"/>
  <c r="CY53" i="2"/>
  <c r="BQ53" i="2"/>
  <c r="EJ53" i="2"/>
  <c r="CS53" i="2"/>
  <c r="DG53" i="2"/>
  <c r="DW53" i="2"/>
  <c r="CT53" i="2"/>
  <c r="CR53" i="2"/>
  <c r="DM208" i="2"/>
  <c r="DW208" i="2"/>
  <c r="BQ208" i="2"/>
  <c r="EJ320" i="2"/>
  <c r="EL320" i="2"/>
  <c r="DW320" i="2"/>
  <c r="DC11" i="2"/>
  <c r="CT111" i="2"/>
  <c r="CZ111" i="2"/>
  <c r="DM246" i="2"/>
  <c r="EL240" i="2"/>
  <c r="EU240" i="2"/>
  <c r="AU242" i="2"/>
  <c r="BX242" i="2"/>
  <c r="BY242" i="2" s="1"/>
  <c r="CW73" i="2"/>
  <c r="CR73" i="2"/>
  <c r="CY73" i="2"/>
  <c r="CZ73" i="2"/>
  <c r="EL73" i="2"/>
  <c r="DW310" i="2"/>
  <c r="EU310" i="2"/>
  <c r="CQ23" i="2"/>
  <c r="CR52" i="2"/>
  <c r="CV52" i="2"/>
  <c r="CY52" i="2"/>
  <c r="EV52" i="2"/>
  <c r="EW52" i="2" s="1"/>
  <c r="EX52" i="2" s="1"/>
  <c r="CT52" i="2"/>
  <c r="DM52" i="2"/>
  <c r="CS52" i="2"/>
  <c r="DA52" i="2"/>
  <c r="EV249" i="2"/>
  <c r="EW249" i="2" s="1"/>
  <c r="EX249" i="2" s="1"/>
  <c r="BQ249" i="2"/>
  <c r="BT249" i="2" s="1"/>
  <c r="BU249" i="2" s="1"/>
  <c r="EL249" i="2"/>
  <c r="A341" i="2"/>
  <c r="AU15" i="2"/>
  <c r="BX15" i="2"/>
  <c r="BY15" i="2" s="1"/>
  <c r="BX329" i="2"/>
  <c r="BY329" i="2" s="1"/>
  <c r="AU329" i="2"/>
  <c r="AU75" i="2"/>
  <c r="CN75" i="2" s="1"/>
  <c r="BX75" i="2"/>
  <c r="BY75" i="2" s="1"/>
  <c r="BX186" i="2"/>
  <c r="BY186" i="2" s="1"/>
  <c r="AU186" i="2"/>
  <c r="AR87" i="2" a="1"/>
  <c r="AR87" i="2" s="1"/>
  <c r="CK87" i="2"/>
  <c r="P87" i="2"/>
  <c r="A87" i="2" s="1"/>
  <c r="CF87" i="2"/>
  <c r="CD87" i="2"/>
  <c r="CH87" i="2"/>
  <c r="CC87" i="2" s="1"/>
  <c r="CF231" i="2"/>
  <c r="CK231" i="2"/>
  <c r="AR231" i="2" a="1"/>
  <c r="AR231" i="2" s="1"/>
  <c r="BX231" i="2" s="1"/>
  <c r="BY231" i="2" s="1"/>
  <c r="CH231" i="2"/>
  <c r="CC231" i="2" s="1"/>
  <c r="CF51" i="2"/>
  <c r="EU173" i="2"/>
  <c r="EU271" i="2"/>
  <c r="DW271" i="2"/>
  <c r="EJ271" i="2"/>
  <c r="AU154" i="2"/>
  <c r="BX154" i="2"/>
  <c r="BY154" i="2" s="1"/>
  <c r="CT99" i="2"/>
  <c r="CU99" i="2"/>
  <c r="DM99" i="2"/>
  <c r="CR99" i="2"/>
  <c r="CY99" i="2"/>
  <c r="EL99" i="2"/>
  <c r="CV99" i="2"/>
  <c r="BQ99" i="2"/>
  <c r="DA99" i="2"/>
  <c r="CZ99" i="2"/>
  <c r="DW99" i="2"/>
  <c r="EG99" i="2" s="1"/>
  <c r="DM56" i="2"/>
  <c r="EL56" i="2"/>
  <c r="DW56" i="2"/>
  <c r="EG56" i="2" s="1"/>
  <c r="CZ56" i="2"/>
  <c r="CS56" i="2"/>
  <c r="CR118" i="2"/>
  <c r="DW118" i="2"/>
  <c r="CT118" i="2"/>
  <c r="CZ118" i="2"/>
  <c r="EU321" i="2"/>
  <c r="DY23" i="2"/>
  <c r="EG23" i="2"/>
  <c r="BQ186" i="2"/>
  <c r="EL186" i="2"/>
  <c r="DM243" i="2"/>
  <c r="DW243" i="2"/>
  <c r="BQ243" i="2"/>
  <c r="BT243" i="2" s="1"/>
  <c r="BU243" i="2" s="1"/>
  <c r="CF53" i="2"/>
  <c r="CD53" i="2"/>
  <c r="CD90" i="2"/>
  <c r="CQ13" i="2"/>
  <c r="CX16" i="2"/>
  <c r="BQ16" i="2"/>
  <c r="CY16" i="2"/>
  <c r="BY331" i="2"/>
  <c r="AR202" i="2" a="1"/>
  <c r="AR202" i="2" s="1"/>
  <c r="BW202" i="2"/>
  <c r="CD202" i="2"/>
  <c r="P221" i="2"/>
  <c r="A221" i="2" s="1"/>
  <c r="CK221" i="2"/>
  <c r="CH221" i="2"/>
  <c r="CC221" i="2" s="1"/>
  <c r="CD221" i="2"/>
  <c r="CF221" i="2"/>
  <c r="DM54" i="2"/>
  <c r="BQ173" i="2"/>
  <c r="EJ55" i="2"/>
  <c r="CW55" i="2"/>
  <c r="EJ253" i="2"/>
  <c r="CW16" i="2"/>
  <c r="DA16" i="2"/>
  <c r="CQ113" i="2"/>
  <c r="CX125" i="2"/>
  <c r="CY125" i="2"/>
  <c r="CD302" i="2"/>
  <c r="CF302" i="2"/>
  <c r="AU291" i="2"/>
  <c r="CQ269" i="2"/>
  <c r="BT269" i="2"/>
  <c r="BU269" i="2" s="1"/>
  <c r="CD191" i="2"/>
  <c r="CG191" i="2"/>
  <c r="CF191" i="2"/>
  <c r="CQ333" i="2"/>
  <c r="CD62" i="2"/>
  <c r="CH62" i="2"/>
  <c r="CC62" i="2" s="1"/>
  <c r="P62" i="2"/>
  <c r="A62" i="2" s="1"/>
  <c r="CQ217" i="2"/>
  <c r="EV55" i="2"/>
  <c r="CV16" i="2"/>
  <c r="AU331" i="2"/>
  <c r="CO331" i="2" s="1"/>
  <c r="A317" i="2"/>
  <c r="EU20" i="2"/>
  <c r="A226" i="2"/>
  <c r="A292" i="2"/>
  <c r="CY103" i="2"/>
  <c r="A306" i="2"/>
  <c r="EK189" i="2"/>
  <c r="EM189" i="2"/>
  <c r="EN189" i="2" s="1"/>
  <c r="BL189" i="2"/>
  <c r="G252" i="2"/>
  <c r="F252" i="2"/>
  <c r="EM260" i="2"/>
  <c r="EN260" i="2" s="1"/>
  <c r="EK260" i="2"/>
  <c r="BL260" i="2"/>
  <c r="AR153" i="2" a="1"/>
  <c r="AR153" i="2" s="1"/>
  <c r="BW153" i="2"/>
  <c r="CD153" i="2"/>
  <c r="CH153" i="2"/>
  <c r="CC153" i="2" s="1"/>
  <c r="CV54" i="2"/>
  <c r="DW55" i="2"/>
  <c r="CX55" i="2"/>
  <c r="BT13" i="2"/>
  <c r="BU13" i="2" s="1"/>
  <c r="DG16" i="2"/>
  <c r="BX43" i="2"/>
  <c r="BY43" i="2" s="1"/>
  <c r="CQ338" i="2"/>
  <c r="CQ255" i="2"/>
  <c r="CF246" i="2"/>
  <c r="CD246" i="2"/>
  <c r="CF113" i="2"/>
  <c r="CK194" i="2"/>
  <c r="AR194" i="2" a="1"/>
  <c r="AR194" i="2" s="1"/>
  <c r="CH194" i="2"/>
  <c r="CC194" i="2" s="1"/>
  <c r="BW194" i="2"/>
  <c r="EM46" i="2"/>
  <c r="EN46" i="2" s="1"/>
  <c r="EK46" i="2"/>
  <c r="BL46" i="2"/>
  <c r="CQ192" i="2"/>
  <c r="BQ298" i="2"/>
  <c r="EJ298" i="2"/>
  <c r="DW298" i="2"/>
  <c r="CH290" i="2"/>
  <c r="CC290" i="2" s="1"/>
  <c r="CT68" i="2"/>
  <c r="CZ68" i="2"/>
  <c r="DM68" i="2"/>
  <c r="A329" i="2"/>
  <c r="EL289" i="2"/>
  <c r="CY68" i="2"/>
  <c r="BY302" i="2"/>
  <c r="EU195" i="2"/>
  <c r="CQ12" i="2"/>
  <c r="EM17" i="2"/>
  <c r="EN17" i="2" s="1"/>
  <c r="EK17" i="2"/>
  <c r="EM242" i="2"/>
  <c r="EN242" i="2" s="1"/>
  <c r="CQ3" i="2"/>
  <c r="CG306" i="2"/>
  <c r="CQ316" i="2"/>
  <c r="AU302" i="2"/>
  <c r="CQ266" i="2"/>
  <c r="AU316" i="2"/>
  <c r="CQ252" i="2"/>
  <c r="CH117" i="2"/>
  <c r="CC117" i="2" s="1"/>
  <c r="CH190" i="2"/>
  <c r="CC190" i="2" s="1"/>
  <c r="CQ93" i="2"/>
  <c r="CD142" i="2"/>
  <c r="CF142" i="2"/>
  <c r="EV163" i="2"/>
  <c r="CQ281" i="2"/>
  <c r="EU314" i="2"/>
  <c r="CQ293" i="2"/>
  <c r="CG292" i="2"/>
  <c r="AI141" i="2"/>
  <c r="BF141" i="2"/>
  <c r="CG141" i="2" s="1"/>
  <c r="DM141" i="2"/>
  <c r="DC141" i="2" s="1"/>
  <c r="EJ141" i="2"/>
  <c r="CW141" i="2"/>
  <c r="BQ141" i="2"/>
  <c r="CX141" i="2"/>
  <c r="EL141" i="2"/>
  <c r="CV141" i="2"/>
  <c r="CY141" i="2"/>
  <c r="CT141" i="2"/>
  <c r="CR141" i="2"/>
  <c r="EJ146" i="2"/>
  <c r="BQ146" i="2"/>
  <c r="EL146" i="2"/>
  <c r="DW146" i="2"/>
  <c r="BW182" i="2"/>
  <c r="CH182" i="2"/>
  <c r="CC182" i="2" s="1"/>
  <c r="CK182" i="2"/>
  <c r="P182" i="2"/>
  <c r="A182" i="2" s="1"/>
  <c r="AM211" i="2"/>
  <c r="CE211" i="2"/>
  <c r="EL214" i="2"/>
  <c r="EM214" i="2"/>
  <c r="EN214" i="2" s="1"/>
  <c r="AZ219" i="2"/>
  <c r="CF219" i="2" s="1"/>
  <c r="AI219" i="2"/>
  <c r="BG219" i="2"/>
  <c r="BJ219" i="2"/>
  <c r="ET219" i="2"/>
  <c r="BJ295" i="2"/>
  <c r="ET295" i="2"/>
  <c r="EI295" i="2"/>
  <c r="P297" i="2"/>
  <c r="A297" i="2" s="1"/>
  <c r="CF297" i="2"/>
  <c r="BW297" i="2"/>
  <c r="CH297" i="2"/>
  <c r="CC297" i="2" s="1"/>
  <c r="CD297" i="2"/>
  <c r="CK297" i="2"/>
  <c r="CE303" i="2"/>
  <c r="BF303" i="2"/>
  <c r="AM320" i="2"/>
  <c r="CE320" i="2"/>
  <c r="P330" i="2"/>
  <c r="A330" i="2" s="1"/>
  <c r="F330" i="2" s="1"/>
  <c r="BW330" i="2"/>
  <c r="BL331" i="2"/>
  <c r="CS331" i="2"/>
  <c r="EK331" i="2"/>
  <c r="EM331" i="2"/>
  <c r="EN331" i="2" s="1"/>
  <c r="Q48" i="19"/>
  <c r="AH10" i="19"/>
  <c r="AH43" i="19"/>
  <c r="AH52" i="19"/>
  <c r="AH51" i="19"/>
  <c r="AH18" i="19"/>
  <c r="AH59" i="19"/>
  <c r="AH62" i="19"/>
  <c r="R26" i="19"/>
  <c r="AH26" i="19"/>
  <c r="Q16" i="19"/>
  <c r="AH8" i="19"/>
  <c r="Q8" i="19"/>
  <c r="R45" i="19"/>
  <c r="AH25" i="19"/>
  <c r="Q32" i="19"/>
  <c r="R53" i="19"/>
  <c r="Q40" i="19"/>
  <c r="R51" i="19"/>
  <c r="P32" i="19"/>
  <c r="AH42" i="19"/>
  <c r="P50" i="19"/>
  <c r="AH57" i="19"/>
  <c r="Q43" i="19"/>
  <c r="P21" i="19"/>
  <c r="AH9" i="19"/>
  <c r="Q10" i="19"/>
  <c r="Q45" i="19"/>
  <c r="P20" i="19"/>
  <c r="P35" i="19"/>
  <c r="R54" i="19"/>
  <c r="P26" i="19"/>
  <c r="P42" i="19"/>
  <c r="AH15" i="19"/>
  <c r="AH36" i="19"/>
  <c r="Q34" i="19"/>
  <c r="P25" i="19"/>
  <c r="R10" i="19"/>
  <c r="P49" i="19"/>
  <c r="R52" i="19"/>
  <c r="P57" i="19"/>
  <c r="P23" i="19"/>
  <c r="P58" i="19"/>
  <c r="AH37" i="19"/>
  <c r="Q22" i="19"/>
  <c r="P56" i="19"/>
  <c r="AH13" i="19"/>
  <c r="R39" i="19"/>
  <c r="P29" i="19"/>
  <c r="P12" i="19"/>
  <c r="R9" i="19"/>
  <c r="CU113" i="2"/>
  <c r="Q53" i="19"/>
  <c r="Q36" i="19"/>
  <c r="AH53" i="19"/>
  <c r="R36" i="19"/>
  <c r="Q24" i="19"/>
  <c r="Q37" i="19"/>
  <c r="DA141" i="2"/>
  <c r="CZ141" i="2"/>
  <c r="AH7" i="19"/>
  <c r="EI219" i="2"/>
  <c r="P8" i="19"/>
  <c r="CQ267" i="2"/>
  <c r="DW141" i="2"/>
  <c r="ES295" i="2"/>
  <c r="Q51" i="19"/>
  <c r="R37" i="19"/>
  <c r="R25" i="19"/>
  <c r="Q17" i="19"/>
  <c r="P59" i="19"/>
  <c r="R14" i="19"/>
  <c r="Q13" i="19"/>
  <c r="AH55" i="19"/>
  <c r="EM215" i="2"/>
  <c r="EN215" i="2" s="1"/>
  <c r="CQ151" i="2"/>
  <c r="EM193" i="2"/>
  <c r="EN193" i="2" s="1"/>
  <c r="AR220" i="2" a="1"/>
  <c r="AR220" i="2" s="1"/>
  <c r="CY13" i="2"/>
  <c r="DE13" i="2" s="1"/>
  <c r="CU263" i="2"/>
  <c r="CS87" i="2"/>
  <c r="CW87" i="2"/>
  <c r="P417" i="10"/>
  <c r="P312" i="10"/>
  <c r="P135" i="10"/>
  <c r="P270" i="10"/>
  <c r="P620" i="10"/>
  <c r="P517" i="10"/>
  <c r="P387" i="10"/>
  <c r="G44" i="19"/>
  <c r="G223" i="19"/>
  <c r="P644" i="10"/>
  <c r="P177" i="10"/>
  <c r="R38" i="19"/>
  <c r="P243" i="10"/>
  <c r="P448" i="10"/>
  <c r="P28" i="10"/>
  <c r="P181" i="10"/>
  <c r="P321" i="10"/>
  <c r="P288" i="10"/>
  <c r="P144" i="10"/>
  <c r="P328" i="10"/>
  <c r="G259" i="19"/>
  <c r="P263" i="10"/>
  <c r="G183" i="19"/>
  <c r="P540" i="10"/>
  <c r="P694" i="10"/>
  <c r="P370" i="10"/>
  <c r="P124" i="10"/>
  <c r="P236" i="10"/>
  <c r="P444" i="10"/>
  <c r="P475" i="10"/>
  <c r="P332" i="10"/>
  <c r="P122" i="10"/>
  <c r="P96" i="10"/>
  <c r="G214" i="19"/>
  <c r="P574" i="10"/>
  <c r="P251" i="10"/>
  <c r="P451" i="10"/>
  <c r="P107" i="10"/>
  <c r="G32" i="19"/>
  <c r="P310" i="10"/>
  <c r="P75" i="10"/>
  <c r="P21" i="10"/>
  <c r="G48" i="19"/>
  <c r="P624" i="10"/>
  <c r="G172" i="19"/>
  <c r="P130" i="10"/>
  <c r="P47" i="10"/>
  <c r="P278" i="10"/>
  <c r="P296" i="10"/>
  <c r="P603" i="10"/>
  <c r="P601" i="10"/>
  <c r="G247" i="19"/>
  <c r="P725" i="10"/>
  <c r="G53" i="19"/>
  <c r="P283" i="10"/>
  <c r="P409" i="10"/>
  <c r="P728" i="10"/>
  <c r="P226" i="10"/>
  <c r="P349" i="10"/>
  <c r="P33" i="10"/>
  <c r="P329" i="10"/>
  <c r="P86" i="10"/>
  <c r="P662" i="10"/>
  <c r="AG40" i="19"/>
  <c r="R40" i="19"/>
  <c r="EM258" i="2"/>
  <c r="EN258" i="2" s="1"/>
  <c r="EK283" i="2"/>
  <c r="BL283" i="2"/>
  <c r="CS283" i="2" s="1"/>
  <c r="BW309" i="2"/>
  <c r="CF309" i="2"/>
  <c r="CH309" i="2"/>
  <c r="CC309" i="2" s="1"/>
  <c r="P309" i="2"/>
  <c r="A309" i="2" s="1"/>
  <c r="CD309" i="2"/>
  <c r="ER136" i="2"/>
  <c r="BS136" i="2"/>
  <c r="BG138" i="2"/>
  <c r="EM138" i="2" s="1"/>
  <c r="EN138" i="2" s="1"/>
  <c r="BF138" i="2"/>
  <c r="CG138" i="2" s="1"/>
  <c r="BJ146" i="2"/>
  <c r="BF197" i="2"/>
  <c r="AI197" i="2"/>
  <c r="BG211" i="2"/>
  <c r="EK211" i="2" s="1"/>
  <c r="AZ211" i="2"/>
  <c r="CD211" i="2" s="1"/>
  <c r="DG192" i="2"/>
  <c r="G59" i="19"/>
  <c r="A291" i="2"/>
  <c r="F291" i="2" s="1"/>
  <c r="DG141" i="2"/>
  <c r="CD157" i="2"/>
  <c r="BJ203" i="2"/>
  <c r="CK309" i="2"/>
  <c r="P546" i="10"/>
  <c r="CW266" i="2"/>
  <c r="EL266" i="2"/>
  <c r="G51" i="19"/>
  <c r="P502" i="10"/>
  <c r="P64" i="10"/>
  <c r="CF330" i="2"/>
  <c r="CS12" i="2"/>
  <c r="CD158" i="2"/>
  <c r="BW158" i="2"/>
  <c r="EK297" i="2"/>
  <c r="BL297" i="2"/>
  <c r="EL297" i="2" s="1"/>
  <c r="EI273" i="2"/>
  <c r="CY153" i="2"/>
  <c r="EL293" i="2"/>
  <c r="BJ224" i="2"/>
  <c r="P173" i="10"/>
  <c r="P380" i="10"/>
  <c r="P481" i="10"/>
  <c r="R44" i="19"/>
  <c r="P318" i="10"/>
  <c r="P68" i="10"/>
  <c r="P629" i="10"/>
  <c r="AG10" i="19"/>
  <c r="AG50" i="19"/>
  <c r="Q49" i="19"/>
  <c r="BG6" i="2"/>
  <c r="EM6" i="2" s="1"/>
  <c r="AZ6" i="2"/>
  <c r="CD6" i="2" s="1"/>
  <c r="BF18" i="2"/>
  <c r="BG18" i="2"/>
  <c r="AI18" i="2"/>
  <c r="CK38" i="2"/>
  <c r="CH38" i="2"/>
  <c r="CC38" i="2" s="1"/>
  <c r="P38" i="2"/>
  <c r="A38" i="2" s="1"/>
  <c r="BG77" i="2"/>
  <c r="BL77" i="2" s="1"/>
  <c r="AI77" i="2"/>
  <c r="CE77" i="2"/>
  <c r="BF77" i="2"/>
  <c r="CG77" i="2" s="1"/>
  <c r="CE85" i="2"/>
  <c r="AM85" i="2"/>
  <c r="AR85" i="2" s="1" a="1"/>
  <c r="EK97" i="2"/>
  <c r="BL97" i="2"/>
  <c r="BW97" i="2"/>
  <c r="CH97" i="2"/>
  <c r="CC97" i="2" s="1"/>
  <c r="P97" i="2"/>
  <c r="A97" i="2" s="1"/>
  <c r="CK97" i="2"/>
  <c r="CD97" i="2"/>
  <c r="CF97" i="2"/>
  <c r="BF109" i="2"/>
  <c r="AM123" i="2"/>
  <c r="BW123" i="2" s="1"/>
  <c r="CE123" i="2"/>
  <c r="BG190" i="2"/>
  <c r="EM190" i="2" s="1"/>
  <c r="EN190" i="2" s="1"/>
  <c r="AI190" i="2"/>
  <c r="BF190" i="2"/>
  <c r="AM204" i="2"/>
  <c r="CE204" i="2"/>
  <c r="BF204" i="2"/>
  <c r="AZ287" i="2"/>
  <c r="BF287" i="2"/>
  <c r="AI287" i="2"/>
  <c r="BG287" i="2" s="1"/>
  <c r="BL287" i="2" s="1"/>
  <c r="P331" i="10"/>
  <c r="CX153" i="2"/>
  <c r="ET225" i="2"/>
  <c r="CU296" i="2"/>
  <c r="CX235" i="2"/>
  <c r="AM77" i="2"/>
  <c r="CF77" i="2" s="1"/>
  <c r="CT39" i="2"/>
  <c r="DG12" i="2"/>
  <c r="DY12" i="2" s="1"/>
  <c r="CZ209" i="2"/>
  <c r="A305" i="2"/>
  <c r="EI241" i="2"/>
  <c r="AZ109" i="2"/>
  <c r="BJ210" i="2"/>
  <c r="ES243" i="2"/>
  <c r="EU243" i="2" s="1"/>
  <c r="CW12" i="2"/>
  <c r="EI338" i="2"/>
  <c r="CD230" i="2"/>
  <c r="ET182" i="2"/>
  <c r="CK264" i="2"/>
  <c r="CH264" i="2"/>
  <c r="CC264" i="2" s="1"/>
  <c r="P264" i="2"/>
  <c r="A264" i="2" s="1"/>
  <c r="G264" i="2" s="1"/>
  <c r="CS174" i="2"/>
  <c r="ET229" i="2"/>
  <c r="CT250" i="2"/>
  <c r="CS328" i="2"/>
  <c r="ET241" i="2"/>
  <c r="CR250" i="2"/>
  <c r="CD38" i="2"/>
  <c r="BJ341" i="2"/>
  <c r="ES156" i="2"/>
  <c r="EK81" i="2"/>
  <c r="EL285" i="2"/>
  <c r="CU105" i="2"/>
  <c r="CV232" i="2"/>
  <c r="CY330" i="2"/>
  <c r="DA170" i="2"/>
  <c r="AI6" i="2"/>
  <c r="EM9" i="2"/>
  <c r="EN9" i="2" s="1"/>
  <c r="CX293" i="2"/>
  <c r="BJ252" i="2"/>
  <c r="BJ260" i="2"/>
  <c r="CS141" i="2"/>
  <c r="EI206" i="2"/>
  <c r="CV159" i="2"/>
  <c r="EI159" i="2"/>
  <c r="CX325" i="2"/>
  <c r="CW159" i="2"/>
  <c r="CS232" i="2"/>
  <c r="CW79" i="2"/>
  <c r="CY79" i="2"/>
  <c r="CW92" i="2"/>
  <c r="EI57" i="2"/>
  <c r="ET206" i="2"/>
  <c r="CX159" i="2"/>
  <c r="CY232" i="2"/>
  <c r="CV79" i="2"/>
  <c r="BJ12" i="2"/>
  <c r="ES83" i="2"/>
  <c r="EI85" i="2"/>
  <c r="CU79" i="2"/>
  <c r="CY101" i="2"/>
  <c r="CS250" i="2"/>
  <c r="CX174" i="2"/>
  <c r="EM340" i="2"/>
  <c r="EN340" i="2" s="1"/>
  <c r="ET190" i="2"/>
  <c r="DA79" i="2"/>
  <c r="EL332" i="2"/>
  <c r="CS281" i="2"/>
  <c r="DG153" i="2"/>
  <c r="DY153" i="2"/>
  <c r="CV152" i="2"/>
  <c r="CU212" i="2"/>
  <c r="CV285" i="2"/>
  <c r="CY285" i="2"/>
  <c r="EM191" i="2"/>
  <c r="EN191" i="2" s="1"/>
  <c r="CS296" i="2"/>
  <c r="EI216" i="2"/>
  <c r="ES143" i="2"/>
  <c r="DG235" i="2"/>
  <c r="DY235" i="2" s="1"/>
  <c r="EI107" i="2"/>
  <c r="CV212" i="2"/>
  <c r="CX147" i="2"/>
  <c r="BJ63" i="2"/>
  <c r="EI90" i="2"/>
  <c r="EI120" i="2"/>
  <c r="CS79" i="2"/>
  <c r="ES112" i="2"/>
  <c r="EU112" i="2" s="1"/>
  <c r="DG79" i="2"/>
  <c r="BJ162" i="2"/>
  <c r="CR66" i="2"/>
  <c r="ES327" i="2"/>
  <c r="EU327" i="2" s="1"/>
  <c r="EI168" i="2"/>
  <c r="CR12" i="2"/>
  <c r="CT328" i="2"/>
  <c r="EI259" i="2"/>
  <c r="DA328" i="2"/>
  <c r="ES78" i="2"/>
  <c r="CW328" i="2"/>
  <c r="CS105" i="2"/>
  <c r="CV325" i="2"/>
  <c r="CX232" i="2"/>
  <c r="CY328" i="2"/>
  <c r="CZ153" i="2"/>
  <c r="CU95" i="2"/>
  <c r="ES252" i="2"/>
  <c r="BL238" i="2"/>
  <c r="EK238" i="2"/>
  <c r="ES94" i="2"/>
  <c r="EL79" i="2"/>
  <c r="BJ145" i="2"/>
  <c r="ES246" i="2"/>
  <c r="BJ276" i="2"/>
  <c r="CV296" i="2"/>
  <c r="CX332" i="2"/>
  <c r="EM133" i="2"/>
  <c r="EN133" i="2" s="1"/>
  <c r="CZ79" i="2"/>
  <c r="DG232" i="2"/>
  <c r="CT235" i="2"/>
  <c r="BJ156" i="2"/>
  <c r="DA296" i="2"/>
  <c r="CV256" i="2"/>
  <c r="CS93" i="2"/>
  <c r="CY114" i="2"/>
  <c r="CH270" i="2"/>
  <c r="CC270" i="2" s="1"/>
  <c r="CK270" i="2"/>
  <c r="BW270" i="2"/>
  <c r="CH206" i="2"/>
  <c r="CC206" i="2" s="1"/>
  <c r="CF278" i="2"/>
  <c r="CD278" i="2"/>
  <c r="CE3" i="2"/>
  <c r="AM3" i="2"/>
  <c r="P3" i="2" s="1"/>
  <c r="A3" i="2" s="1"/>
  <c r="F3" i="2" s="1"/>
  <c r="BL201" i="2"/>
  <c r="EK201" i="2"/>
  <c r="BG204" i="2"/>
  <c r="EK204" i="2" s="1"/>
  <c r="AZ204" i="2"/>
  <c r="EL232" i="2"/>
  <c r="EM266" i="2"/>
  <c r="EN266" i="2" s="1"/>
  <c r="CK186" i="2"/>
  <c r="P186" i="2"/>
  <c r="A186" i="2" s="1"/>
  <c r="G186" i="2" s="1"/>
  <c r="CH51" i="2"/>
  <c r="CC51" i="2" s="1"/>
  <c r="CK51" i="2"/>
  <c r="P51" i="2"/>
  <c r="A51" i="2" s="1"/>
  <c r="CK52" i="2"/>
  <c r="P52" i="2"/>
  <c r="A52" i="2" s="1"/>
  <c r="CH52" i="2"/>
  <c r="CC52" i="2" s="1"/>
  <c r="CD63" i="2"/>
  <c r="P63" i="2"/>
  <c r="A63" i="2" s="1"/>
  <c r="F63" i="2" s="1"/>
  <c r="CK72" i="2"/>
  <c r="BW72" i="2"/>
  <c r="BQ79" i="2"/>
  <c r="EJ79" i="2"/>
  <c r="CD305" i="2"/>
  <c r="CH305" i="2"/>
  <c r="CC305" i="2" s="1"/>
  <c r="CF206" i="2"/>
  <c r="CR235" i="2"/>
  <c r="EJ235" i="2"/>
  <c r="CH257" i="2"/>
  <c r="CC257" i="2" s="1"/>
  <c r="CK257" i="2"/>
  <c r="P249" i="2"/>
  <c r="A249" i="2" s="1"/>
  <c r="CH249" i="2"/>
  <c r="CC249" i="2" s="1"/>
  <c r="CK249" i="2"/>
  <c r="CH326" i="2"/>
  <c r="CC326" i="2" s="1"/>
  <c r="CH125" i="2"/>
  <c r="CC125" i="2" s="1"/>
  <c r="AI15" i="2"/>
  <c r="EM80" i="2"/>
  <c r="EN80" i="2"/>
  <c r="ES80" i="2"/>
  <c r="EV80" i="2" s="1"/>
  <c r="BF84" i="2"/>
  <c r="CG84" i="2" s="1"/>
  <c r="CE89" i="2"/>
  <c r="BF89" i="2"/>
  <c r="AM89" i="2"/>
  <c r="CK89" i="2" s="1"/>
  <c r="BF92" i="2"/>
  <c r="CG92" i="2" s="1"/>
  <c r="CE105" i="2"/>
  <c r="AM105" i="2"/>
  <c r="CF105" i="2" s="1"/>
  <c r="CZ66" i="2"/>
  <c r="EL66" i="2"/>
  <c r="EM127" i="2"/>
  <c r="EN127" i="2" s="1"/>
  <c r="CF140" i="2"/>
  <c r="CK140" i="2"/>
  <c r="EI61" i="2"/>
  <c r="CG281" i="2"/>
  <c r="EI87" i="2"/>
  <c r="CW315" i="2"/>
  <c r="CV267" i="2"/>
  <c r="ET306" i="2"/>
  <c r="ET39" i="2"/>
  <c r="ET154" i="2"/>
  <c r="CY325" i="2"/>
  <c r="CS332" i="2"/>
  <c r="AT230" i="2"/>
  <c r="AU230" i="2" s="1"/>
  <c r="BG230" i="2"/>
  <c r="EK230" i="2" s="1"/>
  <c r="CK269" i="2"/>
  <c r="P269" i="2"/>
  <c r="A269" i="2" s="1"/>
  <c r="G269" i="2" s="1"/>
  <c r="AM319" i="2"/>
  <c r="P319" i="2" s="1"/>
  <c r="A319" i="2" s="1"/>
  <c r="CE319" i="2"/>
  <c r="A333" i="2"/>
  <c r="F333" i="2" s="1"/>
  <c r="DG170" i="2"/>
  <c r="DY170" i="2" s="1"/>
  <c r="CS256" i="2"/>
  <c r="BW154" i="2"/>
  <c r="CD154" i="2"/>
  <c r="AI160" i="2"/>
  <c r="AZ160" i="2"/>
  <c r="BL162" i="2"/>
  <c r="EK162" i="2"/>
  <c r="BW178" i="2"/>
  <c r="CK178" i="2"/>
  <c r="EI228" i="2"/>
  <c r="P245" i="2"/>
  <c r="A245" i="2" s="1"/>
  <c r="F245" i="2" s="1"/>
  <c r="CH245" i="2"/>
  <c r="CC245" i="2" s="1"/>
  <c r="CZ250" i="2"/>
  <c r="ES29" i="2"/>
  <c r="BJ34" i="2"/>
  <c r="EI106" i="2"/>
  <c r="BF127" i="2"/>
  <c r="CG127" i="2" s="1"/>
  <c r="BF257" i="2"/>
  <c r="CG257" i="2" s="1"/>
  <c r="CE257" i="2"/>
  <c r="BW59" i="2"/>
  <c r="BF74" i="2"/>
  <c r="CG74" i="2" s="1"/>
  <c r="EL95" i="2"/>
  <c r="ET124" i="2"/>
  <c r="DM218" i="2"/>
  <c r="DC218" i="2" s="1"/>
  <c r="BQ218" i="2"/>
  <c r="BL227" i="2"/>
  <c r="CW227" i="2" s="1"/>
  <c r="EK227" i="2"/>
  <c r="BF278" i="2"/>
  <c r="CG278" i="2" s="1"/>
  <c r="CK281" i="2"/>
  <c r="P281" i="2"/>
  <c r="A281" i="2" s="1"/>
  <c r="CR159" i="2"/>
  <c r="BG121" i="2"/>
  <c r="EM121" i="2" s="1"/>
  <c r="EN121" i="2" s="1"/>
  <c r="ET78" i="2"/>
  <c r="ES79" i="2"/>
  <c r="AI95" i="2"/>
  <c r="ES100" i="2"/>
  <c r="CF151" i="2"/>
  <c r="CK151" i="2"/>
  <c r="CH151" i="2"/>
  <c r="CC151" i="2" s="1"/>
  <c r="CE51" i="2"/>
  <c r="BW52" i="2"/>
  <c r="BG142" i="2"/>
  <c r="EM142" i="2" s="1"/>
  <c r="EN142" i="2" s="1"/>
  <c r="CE142" i="2"/>
  <c r="CE214" i="2"/>
  <c r="AM214" i="2"/>
  <c r="AM225" i="2"/>
  <c r="CK225" i="2" s="1"/>
  <c r="BF225" i="2"/>
  <c r="AI328" i="2"/>
  <c r="BC327" i="2"/>
  <c r="EI83" i="2"/>
  <c r="AZ171" i="2"/>
  <c r="BC197" i="2"/>
  <c r="AZ243" i="2"/>
  <c r="CF243" i="2" s="1"/>
  <c r="BF255" i="2"/>
  <c r="CG255" i="2" s="1"/>
  <c r="BW43" i="2"/>
  <c r="AI27" i="2"/>
  <c r="AI104" i="2"/>
  <c r="AZ108" i="2"/>
  <c r="AI112" i="2"/>
  <c r="ES166" i="2"/>
  <c r="AI217" i="2"/>
  <c r="AZ270" i="2"/>
  <c r="CF270" i="2" s="1"/>
  <c r="AG62" i="19"/>
  <c r="AI26" i="2"/>
  <c r="EI60" i="2"/>
  <c r="CF63" i="2"/>
  <c r="ET84" i="2"/>
  <c r="CF128" i="2"/>
  <c r="K37" i="4" a="1"/>
  <c r="K37" i="4" s="1"/>
  <c r="AI22" i="2"/>
  <c r="AI227" i="2"/>
  <c r="K19" i="45"/>
  <c r="K9" i="45"/>
  <c r="K58" i="45"/>
  <c r="K63" i="45"/>
  <c r="Y10" i="4"/>
  <c r="Y143" i="4"/>
  <c r="Z143" i="4"/>
  <c r="Z21" i="4"/>
  <c r="Y21" i="4"/>
  <c r="CQ253" i="2"/>
  <c r="BT253" i="2"/>
  <c r="BU253" i="2" s="1"/>
  <c r="F133" i="2"/>
  <c r="G133" i="2"/>
  <c r="BX22" i="2"/>
  <c r="BY22" i="2" s="1"/>
  <c r="AU22" i="2"/>
  <c r="F190" i="2"/>
  <c r="G190" i="2"/>
  <c r="BX6" i="2"/>
  <c r="BY6" i="2" s="1"/>
  <c r="AU6" i="2"/>
  <c r="CN6" i="2" s="1"/>
  <c r="DA192" i="2"/>
  <c r="CU192" i="2"/>
  <c r="CS192" i="2"/>
  <c r="CY192" i="2"/>
  <c r="CT134" i="2"/>
  <c r="DA316" i="2"/>
  <c r="EL316" i="2"/>
  <c r="CU316" i="2"/>
  <c r="CZ316" i="2"/>
  <c r="CR316" i="2"/>
  <c r="F325" i="2"/>
  <c r="CS209" i="2"/>
  <c r="CY209" i="2"/>
  <c r="CS212" i="2"/>
  <c r="CT212" i="2"/>
  <c r="CW285" i="2"/>
  <c r="CW278" i="2"/>
  <c r="CR278" i="2"/>
  <c r="CU278" i="2"/>
  <c r="CV331" i="2"/>
  <c r="CU66" i="2"/>
  <c r="CU159" i="2"/>
  <c r="DM256" i="2"/>
  <c r="EK144" i="2"/>
  <c r="CD140" i="2"/>
  <c r="DM235" i="2"/>
  <c r="BW140" i="2"/>
  <c r="DM250" i="2"/>
  <c r="CG163" i="2"/>
  <c r="CD12" i="2"/>
  <c r="DW256" i="2"/>
  <c r="EG256" i="2" s="1"/>
  <c r="DM153" i="2"/>
  <c r="P14" i="2"/>
  <c r="A14" i="2" s="1"/>
  <c r="F14" i="2" s="1"/>
  <c r="BQ250" i="2"/>
  <c r="CW250" i="2"/>
  <c r="BF21" i="2"/>
  <c r="CG21" i="2" s="1"/>
  <c r="CT256" i="2"/>
  <c r="CY159" i="2"/>
  <c r="BQ235" i="2"/>
  <c r="CK283" i="2"/>
  <c r="CV153" i="2"/>
  <c r="DW235" i="2"/>
  <c r="CW235" i="2"/>
  <c r="BF4" i="2"/>
  <c r="CG4" i="2" s="1"/>
  <c r="CS153" i="2"/>
  <c r="DW153" i="2"/>
  <c r="CR153" i="2"/>
  <c r="CH283" i="2"/>
  <c r="CC283" i="2" s="1"/>
  <c r="BG26" i="2"/>
  <c r="EK26" i="2" s="1"/>
  <c r="EM72" i="2"/>
  <c r="EN72" i="2" s="1"/>
  <c r="AI105" i="2"/>
  <c r="BW121" i="2"/>
  <c r="CF248" i="2"/>
  <c r="BC57" i="2"/>
  <c r="BF253" i="2"/>
  <c r="CG253" i="2" s="1"/>
  <c r="BW257" i="2"/>
  <c r="BG74" i="2"/>
  <c r="EM74" i="2" s="1"/>
  <c r="EN74" i="2" s="1"/>
  <c r="AZ123" i="2"/>
  <c r="AI123" i="2"/>
  <c r="BW197" i="2"/>
  <c r="CF257" i="2"/>
  <c r="EM122" i="2"/>
  <c r="EN122" i="2" s="1"/>
  <c r="BW211" i="2"/>
  <c r="AI149" i="2"/>
  <c r="BW159" i="2"/>
  <c r="AI212" i="2"/>
  <c r="AI289" i="2"/>
  <c r="BW331" i="2"/>
  <c r="BA29" i="47"/>
  <c r="AH48" i="19"/>
  <c r="AU169" i="2"/>
  <c r="CN169" i="2" s="1"/>
  <c r="BX169" i="2"/>
  <c r="BY169" i="2" s="1"/>
  <c r="BT186" i="2"/>
  <c r="BU186" i="2" s="1"/>
  <c r="AU288" i="2"/>
  <c r="CN288" i="2" s="1"/>
  <c r="BX288" i="2"/>
  <c r="BY288" i="2" s="1"/>
  <c r="AU308" i="2"/>
  <c r="EW73" i="2"/>
  <c r="EX73" i="2" s="1"/>
  <c r="CF131" i="2"/>
  <c r="CD131" i="2"/>
  <c r="CG131" i="2"/>
  <c r="CD176" i="2"/>
  <c r="CG176" i="2"/>
  <c r="CF176" i="2"/>
  <c r="BQ285" i="2"/>
  <c r="EJ285" i="2"/>
  <c r="DW285" i="2"/>
  <c r="BQ95" i="2"/>
  <c r="CQ95" i="2" s="1"/>
  <c r="CT95" i="2"/>
  <c r="CY95" i="2"/>
  <c r="CX95" i="2"/>
  <c r="CW95" i="2"/>
  <c r="EJ95" i="2"/>
  <c r="CS95" i="2"/>
  <c r="DM95" i="2"/>
  <c r="DC95" i="2" s="1"/>
  <c r="CR95" i="2"/>
  <c r="DW95" i="2"/>
  <c r="CV95" i="2"/>
  <c r="DA95" i="2"/>
  <c r="DG95" i="2"/>
  <c r="EG95" i="2" s="1"/>
  <c r="CW97" i="2"/>
  <c r="CG90" i="2"/>
  <c r="CX227" i="2"/>
  <c r="DA299" i="2"/>
  <c r="AU56" i="2"/>
  <c r="CN56" i="2" s="1"/>
  <c r="BX56" i="2"/>
  <c r="BY56" i="2" s="1"/>
  <c r="EK115" i="2"/>
  <c r="BL115" i="2"/>
  <c r="CS115" i="2" s="1"/>
  <c r="EM115" i="2"/>
  <c r="EN115" i="2" s="1"/>
  <c r="DM24" i="2"/>
  <c r="DC24" i="2" s="1"/>
  <c r="CS24" i="2"/>
  <c r="CU24" i="2"/>
  <c r="CT24" i="2"/>
  <c r="CX24" i="2"/>
  <c r="DG24" i="2"/>
  <c r="BQ24" i="2"/>
  <c r="EJ24" i="2"/>
  <c r="CV24" i="2"/>
  <c r="CW24" i="2"/>
  <c r="EL24" i="2"/>
  <c r="DA24" i="2"/>
  <c r="DW24" i="2"/>
  <c r="CR24" i="2"/>
  <c r="CZ24" i="2"/>
  <c r="CY24" i="2"/>
  <c r="EM90" i="2"/>
  <c r="EN90" i="2"/>
  <c r="BL90" i="2"/>
  <c r="BQ90" i="2" s="1"/>
  <c r="EK90" i="2"/>
  <c r="BQ153" i="2"/>
  <c r="CQ153" i="2" s="1"/>
  <c r="EJ153" i="2"/>
  <c r="DW101" i="2"/>
  <c r="DA101" i="2"/>
  <c r="CZ101" i="2"/>
  <c r="CT101" i="2"/>
  <c r="CV101" i="2"/>
  <c r="CR101" i="2"/>
  <c r="CX101" i="2"/>
  <c r="EJ101" i="2"/>
  <c r="CU101" i="2"/>
  <c r="DG101" i="2"/>
  <c r="EL101" i="2"/>
  <c r="BQ101" i="2"/>
  <c r="CW101" i="2"/>
  <c r="DM101" i="2"/>
  <c r="DC101" i="2" s="1"/>
  <c r="CS101" i="2"/>
  <c r="BT52" i="2"/>
  <c r="BU52" i="2"/>
  <c r="CQ52" i="2"/>
  <c r="EG66" i="2"/>
  <c r="DY66" i="2"/>
  <c r="EG78" i="2"/>
  <c r="DY78" i="2"/>
  <c r="EK176" i="2"/>
  <c r="BL176" i="2"/>
  <c r="CZ176" i="2" s="1"/>
  <c r="DM172" i="2"/>
  <c r="DC172" i="2" s="1"/>
  <c r="DW172" i="2"/>
  <c r="EJ172" i="2"/>
  <c r="BQ172" i="2"/>
  <c r="CN309" i="2"/>
  <c r="DD309" i="2" s="1"/>
  <c r="DF309" i="2" s="1"/>
  <c r="BT309" i="2"/>
  <c r="BU309" i="2" s="1"/>
  <c r="CW172" i="2"/>
  <c r="CT172" i="2"/>
  <c r="DG299" i="2"/>
  <c r="DY299" i="2" s="1"/>
  <c r="EU285" i="2"/>
  <c r="CR299" i="2"/>
  <c r="CZ134" i="2"/>
  <c r="CR134" i="2"/>
  <c r="CY134" i="2"/>
  <c r="EL134" i="2"/>
  <c r="CU134" i="2"/>
  <c r="DA134" i="2"/>
  <c r="CV134" i="2"/>
  <c r="DG134" i="2"/>
  <c r="DY134" i="2" s="1"/>
  <c r="CS134" i="2"/>
  <c r="CW134" i="2"/>
  <c r="CX134" i="2"/>
  <c r="DW134" i="2"/>
  <c r="DM134" i="2"/>
  <c r="DC134" i="2"/>
  <c r="EJ134" i="2"/>
  <c r="BQ134" i="2"/>
  <c r="DW212" i="2"/>
  <c r="EG212" i="2"/>
  <c r="EJ212" i="2"/>
  <c r="DM212" i="2"/>
  <c r="DC212" i="2" s="1"/>
  <c r="BQ212" i="2"/>
  <c r="CQ212" i="2" s="1"/>
  <c r="BL59" i="2"/>
  <c r="CX59" i="2" s="1"/>
  <c r="EK59" i="2"/>
  <c r="EM59" i="2"/>
  <c r="EN59" i="2" s="1"/>
  <c r="EG34" i="2"/>
  <c r="DY34" i="2"/>
  <c r="EG82" i="2"/>
  <c r="DY82" i="2"/>
  <c r="DY68" i="2"/>
  <c r="EG68" i="2"/>
  <c r="EG30" i="2"/>
  <c r="DY30" i="2"/>
  <c r="CY172" i="2"/>
  <c r="CR318" i="2"/>
  <c r="EK137" i="2"/>
  <c r="BL137" i="2"/>
  <c r="EM137" i="2"/>
  <c r="EN137" i="2" s="1"/>
  <c r="CG185" i="2"/>
  <c r="CF59" i="2"/>
  <c r="CG59" i="2"/>
  <c r="CD59" i="2"/>
  <c r="DG62" i="2"/>
  <c r="DY62" i="2" s="1"/>
  <c r="DM62" i="2"/>
  <c r="DC62" i="2" s="1"/>
  <c r="DA62" i="2"/>
  <c r="EJ62" i="2"/>
  <c r="BQ62" i="2"/>
  <c r="CV62" i="2"/>
  <c r="CY62" i="2"/>
  <c r="CU62" i="2"/>
  <c r="CZ62" i="2"/>
  <c r="CS62" i="2"/>
  <c r="CR62" i="2"/>
  <c r="CW62" i="2"/>
  <c r="DW62" i="2"/>
  <c r="CT62" i="2"/>
  <c r="EV62" i="2"/>
  <c r="EW62" i="2" s="1"/>
  <c r="EX62" i="2" s="1"/>
  <c r="CX62" i="2"/>
  <c r="EL62" i="2"/>
  <c r="EU62" i="2"/>
  <c r="CX54" i="2"/>
  <c r="CY54" i="2"/>
  <c r="DW54" i="2"/>
  <c r="DG54" i="2"/>
  <c r="CU54" i="2"/>
  <c r="EL54" i="2"/>
  <c r="CZ54" i="2"/>
  <c r="CT54" i="2"/>
  <c r="DA54" i="2"/>
  <c r="BQ54" i="2"/>
  <c r="CS54" i="2"/>
  <c r="CR54" i="2"/>
  <c r="EJ54" i="2"/>
  <c r="CW54" i="2"/>
  <c r="DM272" i="2"/>
  <c r="DC272" i="2" s="1"/>
  <c r="DW272" i="2"/>
  <c r="EG272" i="2" s="1"/>
  <c r="BQ272" i="2"/>
  <c r="BT272" i="2" s="1"/>
  <c r="BU272" i="2" s="1"/>
  <c r="EJ272" i="2"/>
  <c r="EG125" i="2"/>
  <c r="DY125" i="2"/>
  <c r="CG81" i="2"/>
  <c r="CF81" i="2"/>
  <c r="CZ95" i="2"/>
  <c r="CW201" i="2"/>
  <c r="CX283" i="2"/>
  <c r="CG173" i="2"/>
  <c r="CV312" i="2"/>
  <c r="CU172" i="2"/>
  <c r="CR172" i="2"/>
  <c r="DA172" i="2"/>
  <c r="CU312" i="2"/>
  <c r="CQ280" i="2"/>
  <c r="CY189" i="2"/>
  <c r="CX318" i="2"/>
  <c r="CZ285" i="2"/>
  <c r="CR227" i="2"/>
  <c r="CR285" i="2"/>
  <c r="CD32" i="2"/>
  <c r="CF32" i="2"/>
  <c r="DW22" i="2"/>
  <c r="EG22" i="2" s="1"/>
  <c r="BQ22" i="2"/>
  <c r="CQ22" i="2"/>
  <c r="EJ22" i="2"/>
  <c r="DM22" i="2"/>
  <c r="DC22" i="2" s="1"/>
  <c r="CQ55" i="2"/>
  <c r="CQ186" i="2"/>
  <c r="DM285" i="2"/>
  <c r="CS285" i="2"/>
  <c r="DG285" i="2"/>
  <c r="DY285" i="2" s="1"/>
  <c r="CU285" i="2"/>
  <c r="CV189" i="2"/>
  <c r="EL172" i="2"/>
  <c r="CS172" i="2"/>
  <c r="CQ173" i="2"/>
  <c r="DA285" i="2"/>
  <c r="EM123" i="2"/>
  <c r="EN123" i="2" s="1"/>
  <c r="EK123" i="2"/>
  <c r="BL123" i="2"/>
  <c r="CY123" i="2" s="1"/>
  <c r="BL158" i="2"/>
  <c r="DG158" i="2" s="1"/>
  <c r="EK158" i="2"/>
  <c r="DW319" i="2"/>
  <c r="EG319" i="2" s="1"/>
  <c r="BQ319" i="2"/>
  <c r="CQ319" i="2" s="1"/>
  <c r="EJ319" i="2"/>
  <c r="DM319" i="2"/>
  <c r="DC319" i="2" s="1"/>
  <c r="CN182" i="2"/>
  <c r="EW25" i="2"/>
  <c r="EX25" i="2" s="1"/>
  <c r="CN25" i="2"/>
  <c r="CS238" i="2"/>
  <c r="CV172" i="2"/>
  <c r="CX172" i="2"/>
  <c r="EV283" i="2"/>
  <c r="EW283" i="2" s="1"/>
  <c r="EX283" i="2" s="1"/>
  <c r="EM176" i="2"/>
  <c r="EN176" i="2" s="1"/>
  <c r="EV312" i="2"/>
  <c r="AU34" i="2"/>
  <c r="CN34" i="2" s="1"/>
  <c r="BX34" i="2"/>
  <c r="BY34" i="2" s="1"/>
  <c r="BL179" i="2"/>
  <c r="DG179" i="2" s="1"/>
  <c r="EK179" i="2"/>
  <c r="CX79" i="2"/>
  <c r="DW79" i="2"/>
  <c r="DM79" i="2"/>
  <c r="DC79" i="2" s="1"/>
  <c r="CR79" i="2"/>
  <c r="CT79" i="2"/>
  <c r="EJ96" i="2"/>
  <c r="BQ96" i="2"/>
  <c r="CQ96" i="2" s="1"/>
  <c r="DG96" i="2"/>
  <c r="DY96" i="2" s="1"/>
  <c r="CR96" i="2"/>
  <c r="CY96" i="2"/>
  <c r="DM96" i="2"/>
  <c r="DC96" i="2" s="1"/>
  <c r="CZ96" i="2"/>
  <c r="DW96" i="2"/>
  <c r="DA96" i="2"/>
  <c r="CW96" i="2"/>
  <c r="CV96" i="2"/>
  <c r="CX96" i="2"/>
  <c r="EL96" i="2"/>
  <c r="CT96" i="2"/>
  <c r="CU96" i="2"/>
  <c r="CS96" i="2"/>
  <c r="BL81" i="2"/>
  <c r="EL81" i="2" s="1"/>
  <c r="EM81" i="2"/>
  <c r="EN81" i="2" s="1"/>
  <c r="P225" i="2"/>
  <c r="A225" i="2" s="1"/>
  <c r="G225" i="2" s="1"/>
  <c r="CH225" i="2"/>
  <c r="CC225" i="2" s="1"/>
  <c r="BW85" i="2"/>
  <c r="CF85" i="2"/>
  <c r="AR85" i="2"/>
  <c r="BX85" i="2" s="1"/>
  <c r="BY85" i="2" s="1"/>
  <c r="G226" i="2"/>
  <c r="F226" i="2"/>
  <c r="DC208" i="2"/>
  <c r="DY281" i="2"/>
  <c r="EG281" i="2"/>
  <c r="CX331" i="2"/>
  <c r="BX303" i="2"/>
  <c r="BY303" i="2" s="1"/>
  <c r="AU303" i="2"/>
  <c r="CN303" i="2" s="1"/>
  <c r="BW214" i="2"/>
  <c r="CK214" i="2"/>
  <c r="CH214" i="2"/>
  <c r="CC214" i="2" s="1"/>
  <c r="CF214" i="2"/>
  <c r="AR214" i="2" a="1"/>
  <c r="AR214" i="2"/>
  <c r="G333" i="2"/>
  <c r="BL190" i="2"/>
  <c r="EU190" i="2" s="1"/>
  <c r="EK190" i="2"/>
  <c r="BQ297" i="2"/>
  <c r="G62" i="2"/>
  <c r="F62" i="2"/>
  <c r="G221" i="2"/>
  <c r="F221" i="2"/>
  <c r="CY260" i="2"/>
  <c r="BX220" i="2"/>
  <c r="BY220" i="2" s="1"/>
  <c r="AU220" i="2"/>
  <c r="CN220" i="2" s="1"/>
  <c r="EG269" i="2"/>
  <c r="CQ298" i="2"/>
  <c r="CQ226" i="2"/>
  <c r="EV193" i="2"/>
  <c r="EG314" i="2"/>
  <c r="DY314" i="2"/>
  <c r="EG217" i="2"/>
  <c r="DY217" i="2"/>
  <c r="DY159" i="2"/>
  <c r="DY278" i="2"/>
  <c r="EG278" i="2"/>
  <c r="DY151" i="2"/>
  <c r="DY148" i="2"/>
  <c r="EG148" i="2"/>
  <c r="DA283" i="2"/>
  <c r="EV331" i="2"/>
  <c r="EW331" i="2" s="1"/>
  <c r="EX331" i="2" s="1"/>
  <c r="F269" i="2"/>
  <c r="DM162" i="2"/>
  <c r="DC162" i="2" s="1"/>
  <c r="BQ162" i="2"/>
  <c r="CT283" i="2"/>
  <c r="EM219" i="2"/>
  <c r="EN219" i="2" s="1"/>
  <c r="EK219" i="2"/>
  <c r="BL219" i="2"/>
  <c r="EJ219" i="2" s="1"/>
  <c r="CQ141" i="2"/>
  <c r="EW302" i="2"/>
  <c r="EX302" i="2" s="1"/>
  <c r="CN302" i="2"/>
  <c r="BT302" i="2"/>
  <c r="BU302" i="2" s="1"/>
  <c r="F306" i="2"/>
  <c r="G306" i="2"/>
  <c r="G317" i="2"/>
  <c r="F317" i="2"/>
  <c r="CN291" i="2"/>
  <c r="DC243" i="2"/>
  <c r="CQ99" i="2"/>
  <c r="BT99" i="2"/>
  <c r="BU99" i="2" s="1"/>
  <c r="DC246" i="2"/>
  <c r="DY10" i="2"/>
  <c r="EG10" i="2"/>
  <c r="CK222" i="2"/>
  <c r="AR222" i="2" a="1"/>
  <c r="AR222" i="2" s="1"/>
  <c r="AU222" i="2" s="1"/>
  <c r="BW222" i="2"/>
  <c r="CD222" i="2"/>
  <c r="P222" i="2"/>
  <c r="A222" i="2" s="1"/>
  <c r="G222" i="2" s="1"/>
  <c r="CH222" i="2"/>
  <c r="CC222" i="2" s="1"/>
  <c r="EJ318" i="2"/>
  <c r="DW318" i="2"/>
  <c r="EG318" i="2" s="1"/>
  <c r="DM318" i="2"/>
  <c r="DC318" i="2" s="1"/>
  <c r="EL318" i="2"/>
  <c r="EU318" i="2"/>
  <c r="BQ318" i="2"/>
  <c r="BQ312" i="2"/>
  <c r="EJ312" i="2"/>
  <c r="DM312" i="2"/>
  <c r="DC312" i="2" s="1"/>
  <c r="DW312" i="2"/>
  <c r="EL312" i="2"/>
  <c r="EU312" i="2"/>
  <c r="EJ299" i="2"/>
  <c r="DM299" i="2"/>
  <c r="BQ299" i="2"/>
  <c r="EL299" i="2"/>
  <c r="DW299" i="2"/>
  <c r="EG299" i="2" s="1"/>
  <c r="EU299" i="2"/>
  <c r="CG230" i="2"/>
  <c r="CF230" i="2"/>
  <c r="EV201" i="2"/>
  <c r="DY181" i="2"/>
  <c r="CQ243" i="2"/>
  <c r="DY282" i="2"/>
  <c r="DY254" i="2"/>
  <c r="EG254" i="2"/>
  <c r="EG280" i="2"/>
  <c r="DY167" i="2"/>
  <c r="DY251" i="2"/>
  <c r="DY309" i="2"/>
  <c r="EF309" i="2" s="1"/>
  <c r="EG309" i="2"/>
  <c r="CR189" i="2"/>
  <c r="EV284" i="2"/>
  <c r="CY312" i="2"/>
  <c r="DA312" i="2"/>
  <c r="CS189" i="2"/>
  <c r="DY226" i="2"/>
  <c r="EG226" i="2"/>
  <c r="EG273" i="2"/>
  <c r="DY273" i="2"/>
  <c r="EV205" i="2"/>
  <c r="EV293" i="2"/>
  <c r="EW293" i="2" s="1"/>
  <c r="EX293" i="2" s="1"/>
  <c r="DY266" i="2"/>
  <c r="EG266" i="2"/>
  <c r="DY214" i="2"/>
  <c r="EV150" i="2"/>
  <c r="EU150" i="2"/>
  <c r="CT331" i="2"/>
  <c r="DY316" i="2"/>
  <c r="EV333" i="2"/>
  <c r="EU333" i="2"/>
  <c r="CY318" i="2"/>
  <c r="DY147" i="2"/>
  <c r="EG147" i="2"/>
  <c r="CZ201" i="2"/>
  <c r="DY296" i="2"/>
  <c r="CZ331" i="2"/>
  <c r="CZ283" i="2"/>
  <c r="EJ326" i="2"/>
  <c r="DM326" i="2"/>
  <c r="BQ326" i="2"/>
  <c r="CQ326" i="2" s="1"/>
  <c r="DW326" i="2"/>
  <c r="EL326" i="2"/>
  <c r="G291" i="2"/>
  <c r="EM211" i="2"/>
  <c r="EN211" i="2" s="1"/>
  <c r="BL211" i="2"/>
  <c r="DM211" i="2" s="1"/>
  <c r="DC211" i="2" s="1"/>
  <c r="CN61" i="2"/>
  <c r="DC10" i="2"/>
  <c r="DY276" i="2"/>
  <c r="DY237" i="2"/>
  <c r="EG237" i="2"/>
  <c r="DY150" i="2"/>
  <c r="EG150" i="2"/>
  <c r="CK319" i="2"/>
  <c r="DY79" i="2"/>
  <c r="CW318" i="2"/>
  <c r="DY192" i="2"/>
  <c r="EG192" i="2"/>
  <c r="P211" i="2"/>
  <c r="A211" i="2" s="1"/>
  <c r="G211" i="2" s="1"/>
  <c r="CK211" i="2"/>
  <c r="CH211" i="2"/>
  <c r="CC211" i="2" s="1"/>
  <c r="AR211" i="2" a="1"/>
  <c r="AR211" i="2" s="1"/>
  <c r="AU211" i="2" s="1"/>
  <c r="AU153" i="2"/>
  <c r="BX153" i="2"/>
  <c r="BY153" i="2"/>
  <c r="EU253" i="2"/>
  <c r="CN331" i="2"/>
  <c r="DC54" i="2"/>
  <c r="F87" i="2"/>
  <c r="G87" i="2"/>
  <c r="F341" i="2"/>
  <c r="G341" i="2"/>
  <c r="CN242" i="2"/>
  <c r="BT242" i="2"/>
  <c r="BU242" i="2" s="1"/>
  <c r="CO111" i="2"/>
  <c r="CN111" i="2"/>
  <c r="DC45" i="2"/>
  <c r="CN234" i="2"/>
  <c r="CN118" i="2"/>
  <c r="CF303" i="2"/>
  <c r="CG303" i="2"/>
  <c r="CG222" i="2"/>
  <c r="CF222" i="2"/>
  <c r="DA189" i="2"/>
  <c r="DY186" i="2"/>
  <c r="EG186" i="2"/>
  <c r="EG173" i="2"/>
  <c r="DY173" i="2"/>
  <c r="EG110" i="2"/>
  <c r="DY110" i="2"/>
  <c r="EG258" i="2"/>
  <c r="DY258" i="2"/>
  <c r="DY249" i="2"/>
  <c r="EG249" i="2"/>
  <c r="DY255" i="2"/>
  <c r="EG255" i="2"/>
  <c r="DY195" i="2"/>
  <c r="EG195" i="2"/>
  <c r="CS260" i="2"/>
  <c r="DY253" i="2"/>
  <c r="EG253" i="2"/>
  <c r="DY252" i="2"/>
  <c r="EG252" i="2"/>
  <c r="DY319" i="2"/>
  <c r="DY340" i="2"/>
  <c r="EV326" i="2"/>
  <c r="EW326" i="2" s="1"/>
  <c r="EX326" i="2"/>
  <c r="EV273" i="2"/>
  <c r="EV162" i="2"/>
  <c r="EW162" i="2" s="1"/>
  <c r="EX162" i="2" s="1"/>
  <c r="DY22" i="2"/>
  <c r="CW331" i="2"/>
  <c r="EV216" i="2"/>
  <c r="EV226" i="2"/>
  <c r="EW226" i="2" s="1"/>
  <c r="EX226" i="2" s="1"/>
  <c r="CU318" i="2"/>
  <c r="EV328" i="2"/>
  <c r="EU328" i="2"/>
  <c r="CR283" i="2"/>
  <c r="CV299" i="2"/>
  <c r="DY272" i="2"/>
  <c r="CY299" i="2"/>
  <c r="EV22" i="2"/>
  <c r="CQ146" i="2"/>
  <c r="CT299" i="2"/>
  <c r="CR162" i="2"/>
  <c r="CY331" i="2"/>
  <c r="DY307" i="2"/>
  <c r="CU238" i="2"/>
  <c r="F303" i="2"/>
  <c r="G303" i="2"/>
  <c r="EM287" i="2"/>
  <c r="EN287" i="2" s="1"/>
  <c r="EK287" i="2"/>
  <c r="EG321" i="2"/>
  <c r="DY321" i="2"/>
  <c r="DW283" i="2"/>
  <c r="BQ283" i="2"/>
  <c r="BT283" i="2" s="1"/>
  <c r="BU283" i="2" s="1"/>
  <c r="DM283" i="2"/>
  <c r="DC283" i="2" s="1"/>
  <c r="EL283" i="2"/>
  <c r="EU283" i="2"/>
  <c r="F297" i="2"/>
  <c r="G297" i="2"/>
  <c r="EW316" i="2"/>
  <c r="EX316" i="2"/>
  <c r="BT316" i="2"/>
  <c r="BU316" i="2" s="1"/>
  <c r="CN316" i="2"/>
  <c r="CQ53" i="2"/>
  <c r="CN311" i="2"/>
  <c r="CD299" i="2"/>
  <c r="CG299" i="2"/>
  <c r="CF299" i="2"/>
  <c r="CV260" i="2"/>
  <c r="EG310" i="2"/>
  <c r="DY310" i="2"/>
  <c r="DY240" i="2"/>
  <c r="DY187" i="2"/>
  <c r="DY113" i="2"/>
  <c r="EG113" i="2"/>
  <c r="DY315" i="2"/>
  <c r="DY196" i="2"/>
  <c r="DY322" i="2"/>
  <c r="CY297" i="2"/>
  <c r="EV212" i="2"/>
  <c r="EU212" i="2"/>
  <c r="EU128" i="2"/>
  <c r="EV128" i="2"/>
  <c r="CD334" i="2"/>
  <c r="CF334" i="2"/>
  <c r="CG334" i="2"/>
  <c r="EJ331" i="2"/>
  <c r="DM331" i="2"/>
  <c r="EL331" i="2"/>
  <c r="EU331" i="2"/>
  <c r="BQ331" i="2"/>
  <c r="CQ331" i="2" s="1"/>
  <c r="DW331" i="2"/>
  <c r="EL46" i="2"/>
  <c r="CT46" i="2"/>
  <c r="CU46" i="2"/>
  <c r="CV46" i="2"/>
  <c r="DW46" i="2"/>
  <c r="CR46" i="2"/>
  <c r="CW46" i="2"/>
  <c r="DG46" i="2"/>
  <c r="CS46" i="2"/>
  <c r="CZ46" i="2"/>
  <c r="EJ46" i="2"/>
  <c r="DM46" i="2"/>
  <c r="DC46" i="2"/>
  <c r="CY46" i="2"/>
  <c r="CX46" i="2"/>
  <c r="DA46" i="2"/>
  <c r="BQ46" i="2"/>
  <c r="EU46" i="2"/>
  <c r="EV46" i="2"/>
  <c r="EJ260" i="2"/>
  <c r="EU260" i="2"/>
  <c r="DM260" i="2"/>
  <c r="DW260" i="2"/>
  <c r="BQ260" i="2"/>
  <c r="EL260" i="2"/>
  <c r="CQ102" i="2"/>
  <c r="DY220" i="2"/>
  <c r="EG246" i="2"/>
  <c r="DY246" i="2"/>
  <c r="DY212" i="2"/>
  <c r="DY146" i="2"/>
  <c r="EG146" i="2"/>
  <c r="DY318" i="2"/>
  <c r="DY216" i="2"/>
  <c r="F329" i="2"/>
  <c r="G329" i="2"/>
  <c r="CQ16" i="2"/>
  <c r="EG53" i="2"/>
  <c r="DY53" i="2"/>
  <c r="DC31" i="2"/>
  <c r="EG124" i="2"/>
  <c r="CF307" i="2"/>
  <c r="CH307" i="2"/>
  <c r="CC307" i="2" s="1"/>
  <c r="BW307" i="2"/>
  <c r="DY332" i="2"/>
  <c r="DY174" i="2"/>
  <c r="CT260" i="2"/>
  <c r="DY274" i="2"/>
  <c r="EG274" i="2"/>
  <c r="CW260" i="2"/>
  <c r="DY166" i="2"/>
  <c r="EG166" i="2"/>
  <c r="DY208" i="2"/>
  <c r="EG208" i="2"/>
  <c r="EV227" i="2"/>
  <c r="DY267" i="2"/>
  <c r="DY289" i="2"/>
  <c r="EV315" i="2"/>
  <c r="EV262" i="2"/>
  <c r="CY201" i="2"/>
  <c r="DG227" i="2"/>
  <c r="CU331" i="2"/>
  <c r="EU129" i="2"/>
  <c r="EV129" i="2"/>
  <c r="EK142" i="2"/>
  <c r="CG204" i="2"/>
  <c r="EG232" i="2"/>
  <c r="DY232" i="2"/>
  <c r="CG109" i="2"/>
  <c r="BW320" i="2"/>
  <c r="CH320" i="2"/>
  <c r="CC320" i="2" s="1"/>
  <c r="P320" i="2"/>
  <c r="A320" i="2" s="1"/>
  <c r="G320" i="2" s="1"/>
  <c r="CF320" i="2"/>
  <c r="CK320" i="2"/>
  <c r="CD320" i="2"/>
  <c r="AR320" i="2" a="1"/>
  <c r="AR320" i="2"/>
  <c r="BX320" i="2" s="1"/>
  <c r="BY320" i="2" s="1"/>
  <c r="AU202" i="2"/>
  <c r="CN202" i="2" s="1"/>
  <c r="BX202" i="2"/>
  <c r="BY202" i="2" s="1"/>
  <c r="CN154" i="2"/>
  <c r="CN271" i="2"/>
  <c r="BT271" i="2"/>
  <c r="BU271" i="2" s="1"/>
  <c r="EW271" i="2"/>
  <c r="EX271" i="2" s="1"/>
  <c r="CN19" i="2"/>
  <c r="EW19" i="2"/>
  <c r="EX19" i="2"/>
  <c r="BL303" i="2"/>
  <c r="CU303" i="2" s="1"/>
  <c r="EK303" i="2"/>
  <c r="EM303" i="2"/>
  <c r="EN303" i="2" s="1"/>
  <c r="DY243" i="2"/>
  <c r="EG243" i="2"/>
  <c r="DY236" i="2"/>
  <c r="DY205" i="2"/>
  <c r="EG205" i="2"/>
  <c r="DY222" i="2"/>
  <c r="DY215" i="2"/>
  <c r="EG215" i="2"/>
  <c r="DY114" i="2"/>
  <c r="BQ227" i="2"/>
  <c r="DM227" i="2"/>
  <c r="BL204" i="2"/>
  <c r="DG204" i="2" s="1"/>
  <c r="DY204" i="2" s="1"/>
  <c r="EM204" i="2"/>
  <c r="EN204" i="2" s="1"/>
  <c r="EK77" i="2"/>
  <c r="EM77" i="2"/>
  <c r="EN77" i="2" s="1"/>
  <c r="EK6" i="2"/>
  <c r="BL6" i="2"/>
  <c r="BQ6" i="2" s="1"/>
  <c r="BT6" i="2" s="1"/>
  <c r="BU6" i="2" s="1"/>
  <c r="EN6" i="2"/>
  <c r="AU194" i="2"/>
  <c r="CN194" i="2" s="1"/>
  <c r="BX194" i="2"/>
  <c r="BY194" i="2" s="1"/>
  <c r="DY16" i="2"/>
  <c r="EG16" i="2"/>
  <c r="EG55" i="2"/>
  <c r="EL189" i="2"/>
  <c r="EJ189" i="2"/>
  <c r="EU189" i="2"/>
  <c r="DM189" i="2"/>
  <c r="BQ189" i="2"/>
  <c r="DW189" i="2"/>
  <c r="DC56" i="2"/>
  <c r="BX87" i="2"/>
  <c r="BY87" i="2"/>
  <c r="AU87" i="2"/>
  <c r="BT87" i="2" s="1"/>
  <c r="BU87" i="2" s="1"/>
  <c r="CN308" i="2"/>
  <c r="DY244" i="2"/>
  <c r="EG244" i="2"/>
  <c r="EV340" i="2"/>
  <c r="CD171" i="2"/>
  <c r="CF171" i="2"/>
  <c r="BL121" i="2"/>
  <c r="CY121" i="2" s="1"/>
  <c r="EK121" i="2"/>
  <c r="CQ218" i="2"/>
  <c r="BL230" i="2"/>
  <c r="CX230" i="2" s="1"/>
  <c r="DW238" i="2"/>
  <c r="DM238" i="2"/>
  <c r="DC238" i="2" s="1"/>
  <c r="EJ238" i="2"/>
  <c r="DA238" i="2"/>
  <c r="CH77" i="2"/>
  <c r="CC77" i="2" s="1"/>
  <c r="BW77" i="2"/>
  <c r="CK77" i="2"/>
  <c r="P77" i="2"/>
  <c r="A77" i="2" s="1"/>
  <c r="F77" i="2" s="1"/>
  <c r="AR77" i="2" a="1"/>
  <c r="AR77" i="2" s="1"/>
  <c r="BX77" i="2" s="1"/>
  <c r="BY77" i="2" s="1"/>
  <c r="CD77" i="2"/>
  <c r="CR238" i="2"/>
  <c r="BW204" i="2"/>
  <c r="CH204" i="2"/>
  <c r="CC204" i="2" s="1"/>
  <c r="AR204" i="2" a="1"/>
  <c r="AR204" i="2" s="1"/>
  <c r="CK204" i="2"/>
  <c r="P204" i="2"/>
  <c r="A204" i="2" s="1"/>
  <c r="G204" i="2" s="1"/>
  <c r="CV97" i="2"/>
  <c r="DW97" i="2"/>
  <c r="CT97" i="2"/>
  <c r="CR97" i="2"/>
  <c r="DG97" i="2"/>
  <c r="DA97" i="2"/>
  <c r="CZ97" i="2"/>
  <c r="DM97" i="2"/>
  <c r="DC97" i="2" s="1"/>
  <c r="BQ97" i="2"/>
  <c r="EV97" i="2"/>
  <c r="EW97" i="2" s="1"/>
  <c r="EX97" i="2" s="1"/>
  <c r="EU97" i="2"/>
  <c r="CW297" i="2"/>
  <c r="DC68" i="2"/>
  <c r="EV286" i="2"/>
  <c r="CN186" i="2"/>
  <c r="EW186" i="2"/>
  <c r="EX186" i="2" s="1"/>
  <c r="CQ208" i="2"/>
  <c r="BT208" i="2"/>
  <c r="BU208" i="2" s="1"/>
  <c r="DC102" i="2"/>
  <c r="EG31" i="2"/>
  <c r="DY45" i="2"/>
  <c r="CN40" i="2"/>
  <c r="EG28" i="2"/>
  <c r="DY28" i="2"/>
  <c r="DY143" i="2"/>
  <c r="EG143" i="2"/>
  <c r="DY300" i="2"/>
  <c r="EG300" i="2"/>
  <c r="EG341" i="2"/>
  <c r="DY341" i="2"/>
  <c r="DY284" i="2"/>
  <c r="DY228" i="2"/>
  <c r="EV241" i="2"/>
  <c r="DY239" i="2"/>
  <c r="DY334" i="2"/>
  <c r="EG334" i="2"/>
  <c r="EG164" i="2"/>
  <c r="DY164" i="2"/>
  <c r="EV282" i="2"/>
  <c r="EW282" i="2" s="1"/>
  <c r="EX282" i="2" s="1"/>
  <c r="DY193" i="2"/>
  <c r="CX260" i="2"/>
  <c r="DY337" i="2"/>
  <c r="EV237" i="2"/>
  <c r="EG209" i="2"/>
  <c r="DY209" i="2"/>
  <c r="DY241" i="2"/>
  <c r="EG241" i="2"/>
  <c r="EV309" i="2"/>
  <c r="EW309" i="2" s="1"/>
  <c r="EX309" i="2" s="1"/>
  <c r="CW312" i="2"/>
  <c r="DY13" i="2"/>
  <c r="EG13" i="2"/>
  <c r="EV159" i="2"/>
  <c r="EV285" i="2"/>
  <c r="EV263" i="2"/>
  <c r="EW263" i="2" s="1"/>
  <c r="EX263" i="2" s="1"/>
  <c r="EG262" i="2"/>
  <c r="DY262" i="2"/>
  <c r="CT162" i="2"/>
  <c r="DY105" i="2"/>
  <c r="CZ299" i="2"/>
  <c r="CY283" i="2"/>
  <c r="EV176" i="2"/>
  <c r="EU176" i="2"/>
  <c r="DY152" i="2"/>
  <c r="EG152" i="2"/>
  <c r="DY3" i="2"/>
  <c r="EG3" i="2"/>
  <c r="CX299" i="2"/>
  <c r="CW283" i="2"/>
  <c r="DA331" i="2"/>
  <c r="CV162" i="2"/>
  <c r="CO327" i="2"/>
  <c r="CN327" i="2"/>
  <c r="BT327" i="2"/>
  <c r="BU327" i="2" s="1"/>
  <c r="CG219" i="2"/>
  <c r="CF3" i="2"/>
  <c r="EK138" i="2"/>
  <c r="BL138" i="2"/>
  <c r="G182" i="2"/>
  <c r="F182" i="2"/>
  <c r="CO329" i="2"/>
  <c r="CN329" i="2"/>
  <c r="DC124" i="2"/>
  <c r="CQ254" i="2"/>
  <c r="DY290" i="2"/>
  <c r="EG290" i="2"/>
  <c r="EV251" i="2"/>
  <c r="EV307" i="2"/>
  <c r="CZ260" i="2"/>
  <c r="EV278" i="2"/>
  <c r="EW278" i="2" s="1"/>
  <c r="EX278" i="2" s="1"/>
  <c r="EG323" i="2"/>
  <c r="DY323" i="2"/>
  <c r="CH105" i="2"/>
  <c r="CC105" i="2" s="1"/>
  <c r="CD105" i="2"/>
  <c r="P105" i="2"/>
  <c r="A105" i="2" s="1"/>
  <c r="CK105" i="2"/>
  <c r="AR105" i="2" a="1"/>
  <c r="AR105" i="2" s="1"/>
  <c r="BX105" i="2" s="1"/>
  <c r="BY105" i="2" s="1"/>
  <c r="CQ79" i="2"/>
  <c r="BT79" i="2"/>
  <c r="BU79" i="2" s="1"/>
  <c r="DG283" i="2"/>
  <c r="DY283" i="2" s="1"/>
  <c r="CN156" i="2"/>
  <c r="CN117" i="2"/>
  <c r="CQ10" i="2"/>
  <c r="EG320" i="2"/>
  <c r="DY320" i="2"/>
  <c r="DY163" i="2"/>
  <c r="EG163" i="2"/>
  <c r="DY302" i="2"/>
  <c r="EG302" i="2"/>
  <c r="EV320" i="2"/>
  <c r="DY271" i="2"/>
  <c r="EG271" i="2"/>
  <c r="BA1" i="47"/>
  <c r="BB1" i="47" s="1"/>
  <c r="EJ283" i="2"/>
  <c r="CN230" i="2"/>
  <c r="G51" i="2"/>
  <c r="F51" i="2"/>
  <c r="EL201" i="2"/>
  <c r="BQ201" i="2"/>
  <c r="CQ201" i="2" s="1"/>
  <c r="DM201" i="2"/>
  <c r="EJ201" i="2"/>
  <c r="DW201" i="2"/>
  <c r="EU201" i="2"/>
  <c r="CU283" i="2"/>
  <c r="EU78" i="2"/>
  <c r="EV78" i="2"/>
  <c r="CT318" i="2"/>
  <c r="G292" i="2"/>
  <c r="F292" i="2"/>
  <c r="DC99" i="2"/>
  <c r="CN15" i="2"/>
  <c r="BT15" i="2"/>
  <c r="BU15" i="2"/>
  <c r="DC52" i="2"/>
  <c r="DC28" i="2"/>
  <c r="EG172" i="2"/>
  <c r="DY172" i="2"/>
  <c r="CN290" i="2"/>
  <c r="BT290" i="2"/>
  <c r="BU290" i="2"/>
  <c r="DY333" i="2"/>
  <c r="DY286" i="2"/>
  <c r="EG286" i="2"/>
  <c r="CW189" i="2"/>
  <c r="DA260" i="2"/>
  <c r="EG242" i="2"/>
  <c r="DY242" i="2"/>
  <c r="EV289" i="2"/>
  <c r="EV325" i="2"/>
  <c r="CU189" i="2"/>
  <c r="CT189" i="2"/>
  <c r="EV236" i="2"/>
  <c r="EG93" i="2"/>
  <c r="DY93" i="2"/>
  <c r="EV276" i="2"/>
  <c r="EW242" i="2"/>
  <c r="EX242" i="2" s="1"/>
  <c r="EV208" i="2"/>
  <c r="EW208" i="2" s="1"/>
  <c r="EX208" i="2" s="1"/>
  <c r="EV299" i="2"/>
  <c r="EW299" i="2" s="1"/>
  <c r="EX299" i="2" s="1"/>
  <c r="CQ249" i="2"/>
  <c r="EG338" i="2"/>
  <c r="DY338" i="2"/>
  <c r="DY298" i="2"/>
  <c r="EG298" i="2"/>
  <c r="EV235" i="2"/>
  <c r="CU260" i="2"/>
  <c r="EG293" i="2"/>
  <c r="DY293" i="2"/>
  <c r="CS318" i="2"/>
  <c r="CZ227" i="2"/>
  <c r="EV260" i="2"/>
  <c r="DY149" i="2"/>
  <c r="EG149" i="2"/>
  <c r="EV269" i="2"/>
  <c r="EW269" i="2" s="1"/>
  <c r="EX269" i="2" s="1"/>
  <c r="CU299" i="2"/>
  <c r="EV327" i="2"/>
  <c r="EW327" i="2" s="1"/>
  <c r="EX327" i="2" s="1"/>
  <c r="CX201" i="2"/>
  <c r="CX297" i="2"/>
  <c r="CS162" i="2"/>
  <c r="DA297" i="2"/>
  <c r="CU201" i="2"/>
  <c r="CV283" i="2"/>
  <c r="CR331" i="2"/>
  <c r="CD303" i="2"/>
  <c r="P219" i="2"/>
  <c r="A219" i="2" s="1"/>
  <c r="G219" i="2" s="1"/>
  <c r="BW219" i="2"/>
  <c r="CK219" i="2"/>
  <c r="CD219" i="2"/>
  <c r="AR219" i="2" a="1"/>
  <c r="AR219" i="2"/>
  <c r="BX219" i="2" s="1"/>
  <c r="BY219" i="2" s="1"/>
  <c r="CH219" i="2"/>
  <c r="CC219" i="2" s="1"/>
  <c r="EW22" i="2"/>
  <c r="EX22" i="2" s="1"/>
  <c r="CN22" i="2"/>
  <c r="G14" i="2"/>
  <c r="DC250" i="2"/>
  <c r="DC256" i="2"/>
  <c r="EG153" i="2"/>
  <c r="CQ235" i="2"/>
  <c r="CF123" i="2"/>
  <c r="CG123" i="2"/>
  <c r="BL26" i="2"/>
  <c r="DM26" i="2" s="1"/>
  <c r="DC26" i="2" s="1"/>
  <c r="DC153" i="2"/>
  <c r="DC235" i="2"/>
  <c r="CQ250" i="2"/>
  <c r="BT250" i="2"/>
  <c r="BU250" i="2" s="1"/>
  <c r="DC285" i="2"/>
  <c r="BT331" i="2"/>
  <c r="BU331" i="2" s="1"/>
  <c r="CX179" i="2"/>
  <c r="CZ179" i="2"/>
  <c r="CS179" i="2"/>
  <c r="CY179" i="2"/>
  <c r="CW179" i="2"/>
  <c r="DY54" i="2"/>
  <c r="EG54" i="2"/>
  <c r="BQ59" i="2"/>
  <c r="CQ59" i="2" s="1"/>
  <c r="EJ59" i="2"/>
  <c r="DA59" i="2"/>
  <c r="CS59" i="2"/>
  <c r="CR59" i="2"/>
  <c r="CU59" i="2"/>
  <c r="EV59" i="2"/>
  <c r="CQ134" i="2"/>
  <c r="DY101" i="2"/>
  <c r="EG101" i="2"/>
  <c r="EJ81" i="2"/>
  <c r="BQ81" i="2"/>
  <c r="CQ81" i="2" s="1"/>
  <c r="DG81" i="2"/>
  <c r="CV81" i="2"/>
  <c r="DM81" i="2"/>
  <c r="DC81" i="2" s="1"/>
  <c r="CT81" i="2"/>
  <c r="CU81" i="2"/>
  <c r="DW81" i="2"/>
  <c r="EV81" i="2"/>
  <c r="CR81" i="2"/>
  <c r="CY81" i="2"/>
  <c r="CX81" i="2"/>
  <c r="CZ81" i="2"/>
  <c r="CW81" i="2"/>
  <c r="DA81" i="2"/>
  <c r="EU81" i="2"/>
  <c r="CQ62" i="2"/>
  <c r="BT62" i="2"/>
  <c r="BU62" i="2" s="1"/>
  <c r="CQ285" i="2"/>
  <c r="CQ54" i="2"/>
  <c r="EU123" i="2"/>
  <c r="CS123" i="2"/>
  <c r="CR123" i="2"/>
  <c r="CZ123" i="2"/>
  <c r="EJ123" i="2"/>
  <c r="CW123" i="2"/>
  <c r="DM123" i="2"/>
  <c r="DC123" i="2" s="1"/>
  <c r="EV123" i="2"/>
  <c r="BQ123" i="2"/>
  <c r="CQ123" i="2"/>
  <c r="CX123" i="2"/>
  <c r="CT123" i="2"/>
  <c r="CQ272" i="2"/>
  <c r="DD272" i="2" s="1"/>
  <c r="BT34" i="2"/>
  <c r="BU34" i="2" s="1"/>
  <c r="EG62" i="2"/>
  <c r="CW137" i="2"/>
  <c r="CY137" i="2"/>
  <c r="CZ137" i="2"/>
  <c r="EJ137" i="2"/>
  <c r="CV137" i="2"/>
  <c r="EL137" i="2"/>
  <c r="CR137" i="2"/>
  <c r="BQ137" i="2"/>
  <c r="DA137" i="2"/>
  <c r="CT137" i="2"/>
  <c r="EJ176" i="2"/>
  <c r="DM176" i="2"/>
  <c r="DC176" i="2" s="1"/>
  <c r="DW176" i="2"/>
  <c r="CW176" i="2"/>
  <c r="CS176" i="2"/>
  <c r="CT176" i="2"/>
  <c r="BQ176" i="2"/>
  <c r="CQ176" i="2" s="1"/>
  <c r="EL176" i="2"/>
  <c r="CR176" i="2"/>
  <c r="DA176" i="2"/>
  <c r="CU176" i="2"/>
  <c r="DG176" i="2"/>
  <c r="DY176" i="2" s="1"/>
  <c r="CX176" i="2"/>
  <c r="CY176" i="2"/>
  <c r="DY24" i="2"/>
  <c r="BT24" i="2"/>
  <c r="BU24" i="2" s="1"/>
  <c r="CQ24" i="2"/>
  <c r="CT115" i="2"/>
  <c r="CZ115" i="2"/>
  <c r="DM115" i="2"/>
  <c r="DC115" i="2" s="1"/>
  <c r="DW115" i="2"/>
  <c r="EG115" i="2" s="1"/>
  <c r="CX115" i="2"/>
  <c r="DA115" i="2"/>
  <c r="DG115" i="2"/>
  <c r="BQ115" i="2"/>
  <c r="CW115" i="2"/>
  <c r="CR115" i="2"/>
  <c r="CQ101" i="2"/>
  <c r="CQ172" i="2"/>
  <c r="DW90" i="2"/>
  <c r="CW90" i="2"/>
  <c r="DC189" i="2"/>
  <c r="DC227" i="2"/>
  <c r="DY97" i="2"/>
  <c r="EG97" i="2"/>
  <c r="BT326" i="2"/>
  <c r="BU326" i="2" s="1"/>
  <c r="AU204" i="2"/>
  <c r="BX204" i="2"/>
  <c r="BY204" i="2" s="1"/>
  <c r="G77" i="2"/>
  <c r="CQ46" i="2"/>
  <c r="DY46" i="2"/>
  <c r="DC326" i="2"/>
  <c r="CT6" i="2"/>
  <c r="CU6" i="2"/>
  <c r="CQ227" i="2"/>
  <c r="DY227" i="2"/>
  <c r="CQ260" i="2"/>
  <c r="DG190" i="2"/>
  <c r="CT190" i="2"/>
  <c r="CZ190" i="2"/>
  <c r="CV190" i="2"/>
  <c r="CY190" i="2"/>
  <c r="CW121" i="2"/>
  <c r="CV121" i="2"/>
  <c r="F211" i="2"/>
  <c r="EJ230" i="2"/>
  <c r="F222" i="2"/>
  <c r="CQ162" i="2"/>
  <c r="BT162" i="2"/>
  <c r="BU162" i="2" s="1"/>
  <c r="F219" i="2"/>
  <c r="CW303" i="2"/>
  <c r="CQ97" i="2"/>
  <c r="BT97" i="2"/>
  <c r="BU97" i="2" s="1"/>
  <c r="AU320" i="2"/>
  <c r="BT153" i="2"/>
  <c r="BU153" i="2"/>
  <c r="EW153" i="2"/>
  <c r="EX153" i="2" s="1"/>
  <c r="CN153" i="2"/>
  <c r="CQ297" i="2"/>
  <c r="CQ283" i="2"/>
  <c r="BT299" i="2"/>
  <c r="BU299" i="2"/>
  <c r="CQ299" i="2"/>
  <c r="CQ312" i="2"/>
  <c r="F204" i="2"/>
  <c r="DC260" i="2"/>
  <c r="EV219" i="2"/>
  <c r="AU105" i="2"/>
  <c r="EW105" i="2" s="1"/>
  <c r="EX105" i="2" s="1"/>
  <c r="EL287" i="2"/>
  <c r="BQ287" i="2"/>
  <c r="CQ287" i="2" s="1"/>
  <c r="EJ287" i="2"/>
  <c r="DW287" i="2"/>
  <c r="EU287" i="2"/>
  <c r="DM287" i="2"/>
  <c r="DA287" i="2"/>
  <c r="CU287" i="2"/>
  <c r="CR287" i="2"/>
  <c r="EV287" i="2"/>
  <c r="CZ287" i="2"/>
  <c r="CV287" i="2"/>
  <c r="DG287" i="2"/>
  <c r="DY287" i="2" s="1"/>
  <c r="CS287" i="2"/>
  <c r="CY287" i="2"/>
  <c r="CT287" i="2"/>
  <c r="CW287" i="2"/>
  <c r="CX287" i="2"/>
  <c r="DC299" i="2"/>
  <c r="CQ318" i="2"/>
  <c r="CS26" i="2"/>
  <c r="BQ26" i="2"/>
  <c r="CQ26" i="2" s="1"/>
  <c r="CR26" i="2"/>
  <c r="CT26" i="2"/>
  <c r="CX26" i="2"/>
  <c r="DG26" i="2"/>
  <c r="DY26" i="2" s="1"/>
  <c r="DW26" i="2"/>
  <c r="DU309" i="2"/>
  <c r="DY115" i="2"/>
  <c r="CQ137" i="2"/>
  <c r="CQ115" i="2"/>
  <c r="CN222" i="2"/>
  <c r="EW222" i="2"/>
  <c r="EX222" i="2" s="1"/>
  <c r="DC287" i="2"/>
  <c r="CN204" i="2"/>
  <c r="CN211" i="2"/>
  <c r="S45" i="19"/>
  <c r="S55" i="19"/>
  <c r="S51" i="19"/>
  <c r="S36" i="19"/>
  <c r="S6" i="19"/>
  <c r="S58" i="19"/>
  <c r="S13" i="19"/>
  <c r="S41" i="19"/>
  <c r="S12" i="19"/>
  <c r="S23" i="19"/>
  <c r="S49" i="19"/>
  <c r="S9" i="19"/>
  <c r="S37" i="19"/>
  <c r="S33" i="19"/>
  <c r="S56" i="19"/>
  <c r="S30" i="19"/>
  <c r="S38" i="19"/>
  <c r="S39" i="19"/>
  <c r="E4" i="45"/>
  <c r="S35" i="19"/>
  <c r="S28" i="19"/>
  <c r="S29" i="19"/>
  <c r="S20" i="19"/>
  <c r="F2" i="19"/>
  <c r="S32" i="19"/>
  <c r="S24" i="19"/>
  <c r="S42" i="19"/>
  <c r="S14" i="19"/>
  <c r="S57" i="19"/>
  <c r="S48" i="19"/>
  <c r="S25" i="19"/>
  <c r="S18" i="19"/>
  <c r="S21" i="19"/>
  <c r="S15" i="19"/>
  <c r="S26" i="19"/>
  <c r="S62" i="19"/>
  <c r="S10" i="19"/>
  <c r="S60" i="19"/>
  <c r="S54" i="19"/>
  <c r="S50" i="19"/>
  <c r="S11" i="19"/>
  <c r="S34" i="19"/>
  <c r="S61" i="19"/>
  <c r="S16" i="19"/>
  <c r="S40" i="19"/>
  <c r="S31" i="19"/>
  <c r="S22" i="19"/>
  <c r="S53" i="19"/>
  <c r="S47" i="19"/>
  <c r="S43" i="19"/>
  <c r="F1" i="19"/>
  <c r="S8" i="19"/>
  <c r="S52" i="19"/>
  <c r="S59" i="19"/>
  <c r="S44" i="19"/>
  <c r="S19" i="19"/>
  <c r="S27" i="19"/>
  <c r="S46" i="19"/>
  <c r="S17" i="19"/>
  <c r="S7" i="19"/>
  <c r="F97" i="2" l="1"/>
  <c r="G97" i="2"/>
  <c r="ED13" i="2"/>
  <c r="DX13" i="2"/>
  <c r="DZ13" i="2" s="1"/>
  <c r="EA13" i="2" s="1"/>
  <c r="EB13" i="2" s="1"/>
  <c r="CQ90" i="2"/>
  <c r="BT90" i="2"/>
  <c r="BU90" i="2" s="1"/>
  <c r="CX6" i="2"/>
  <c r="CN87" i="2"/>
  <c r="CV303" i="2"/>
  <c r="CS219" i="2"/>
  <c r="CW219" i="2"/>
  <c r="CV6" i="2"/>
  <c r="CK85" i="2"/>
  <c r="CX189" i="2"/>
  <c r="EV189" i="2"/>
  <c r="F90" i="2"/>
  <c r="G90" i="2"/>
  <c r="CU219" i="2"/>
  <c r="CR219" i="2"/>
  <c r="EL219" i="2"/>
  <c r="CX204" i="2"/>
  <c r="CY303" i="2"/>
  <c r="EJ204" i="2"/>
  <c r="CT121" i="2"/>
  <c r="F225" i="2"/>
  <c r="EV190" i="2"/>
  <c r="EW190" i="2" s="1"/>
  <c r="EX190" i="2" s="1"/>
  <c r="DM190" i="2"/>
  <c r="DC190" i="2" s="1"/>
  <c r="CU90" i="2"/>
  <c r="CK123" i="2"/>
  <c r="CH89" i="2"/>
  <c r="CC89" i="2" s="1"/>
  <c r="CY26" i="2"/>
  <c r="EG287" i="2"/>
  <c r="CZ219" i="2"/>
  <c r="CR303" i="2"/>
  <c r="CS121" i="2"/>
  <c r="AU85" i="2"/>
  <c r="CN85" i="2" s="1"/>
  <c r="CS190" i="2"/>
  <c r="DW190" i="2"/>
  <c r="CR6" i="2"/>
  <c r="DG6" i="2"/>
  <c r="CX90" i="2"/>
  <c r="BT96" i="2"/>
  <c r="BU96" i="2" s="1"/>
  <c r="EG81" i="2"/>
  <c r="DA179" i="2"/>
  <c r="CD123" i="2"/>
  <c r="P123" i="2"/>
  <c r="A123" i="2" s="1"/>
  <c r="AR225" i="2" a="1"/>
  <c r="AR225" i="2" s="1"/>
  <c r="EG79" i="2"/>
  <c r="CD270" i="2"/>
  <c r="EU298" i="2"/>
  <c r="EV298" i="2"/>
  <c r="G189" i="2"/>
  <c r="F189" i="2"/>
  <c r="EG90" i="2"/>
  <c r="EK74" i="2"/>
  <c r="EG285" i="2"/>
  <c r="AR123" i="2" a="1"/>
  <c r="AR123" i="2" s="1"/>
  <c r="CF6" i="2"/>
  <c r="F20" i="2"/>
  <c r="G20" i="2"/>
  <c r="EG190" i="2"/>
  <c r="DG219" i="2"/>
  <c r="DY219" i="2" s="1"/>
  <c r="EU303" i="2"/>
  <c r="CX190" i="2"/>
  <c r="BQ190" i="2"/>
  <c r="CS6" i="2"/>
  <c r="EJ6" i="2"/>
  <c r="DA90" i="2"/>
  <c r="CS303" i="2"/>
  <c r="CT204" i="2"/>
  <c r="BQ121" i="2"/>
  <c r="CZ121" i="2"/>
  <c r="CW190" i="2"/>
  <c r="EL190" i="2"/>
  <c r="CY6" i="2"/>
  <c r="DW6" i="2"/>
  <c r="F320" i="2"/>
  <c r="CZ90" i="2"/>
  <c r="DM90" i="2"/>
  <c r="CY115" i="2"/>
  <c r="CU115" i="2"/>
  <c r="CV176" i="2"/>
  <c r="DG123" i="2"/>
  <c r="DY123" i="2" s="1"/>
  <c r="DY95" i="2"/>
  <c r="CW59" i="2"/>
  <c r="EU179" i="2"/>
  <c r="DM179" i="2"/>
  <c r="DC179" i="2" s="1"/>
  <c r="EM26" i="2"/>
  <c r="EN26" i="2" s="1"/>
  <c r="EU297" i="2"/>
  <c r="CV227" i="2"/>
  <c r="BL142" i="2"/>
  <c r="CG243" i="2"/>
  <c r="DD13" i="2"/>
  <c r="CT297" i="2"/>
  <c r="CD85" i="2"/>
  <c r="CX219" i="2"/>
  <c r="DM303" i="2"/>
  <c r="DC303" i="2" s="1"/>
  <c r="DM6" i="2"/>
  <c r="DC6" i="2" s="1"/>
  <c r="CY219" i="2"/>
  <c r="DG121" i="2"/>
  <c r="EV243" i="2"/>
  <c r="EW243" i="2" s="1"/>
  <c r="EX243" i="2" s="1"/>
  <c r="EG26" i="2"/>
  <c r="BT105" i="2"/>
  <c r="BU105" i="2" s="1"/>
  <c r="EG176" i="2"/>
  <c r="CU26" i="2"/>
  <c r="DA26" i="2"/>
  <c r="CQ189" i="2"/>
  <c r="CV219" i="2"/>
  <c r="BQ219" i="2"/>
  <c r="DA211" i="2"/>
  <c r="CN105" i="2"/>
  <c r="DE105" i="2" s="1"/>
  <c r="DX105" i="2" s="1"/>
  <c r="DZ105" i="2" s="1"/>
  <c r="EA105" i="2" s="1"/>
  <c r="CT219" i="2"/>
  <c r="BX211" i="2"/>
  <c r="BY211" i="2" s="1"/>
  <c r="EJ121" i="2"/>
  <c r="AU77" i="2"/>
  <c r="CN77" i="2" s="1"/>
  <c r="CR190" i="2"/>
  <c r="EJ190" i="2"/>
  <c r="CW6" i="2"/>
  <c r="EL6" i="2"/>
  <c r="CT90" i="2"/>
  <c r="DG90" i="2"/>
  <c r="DY90" i="2" s="1"/>
  <c r="CV115" i="2"/>
  <c r="EG96" i="2"/>
  <c r="EG235" i="2"/>
  <c r="CH123" i="2"/>
  <c r="CC123" i="2" s="1"/>
  <c r="EF13" i="2"/>
  <c r="CD243" i="2"/>
  <c r="P89" i="2"/>
  <c r="A89" i="2" s="1"/>
  <c r="P85" i="2"/>
  <c r="A85" i="2" s="1"/>
  <c r="EV6" i="2"/>
  <c r="EW6" i="2" s="1"/>
  <c r="EX6" i="2" s="1"/>
  <c r="CZ6" i="2"/>
  <c r="EV112" i="2"/>
  <c r="EG12" i="2"/>
  <c r="AR89" i="2" a="1"/>
  <c r="AR89" i="2" s="1"/>
  <c r="G63" i="2"/>
  <c r="CG32" i="2"/>
  <c r="CS58" i="2"/>
  <c r="CR58" i="2"/>
  <c r="CW58" i="2"/>
  <c r="EL58" i="2"/>
  <c r="DA58" i="2"/>
  <c r="F92" i="2"/>
  <c r="G92" i="2"/>
  <c r="DM222" i="2"/>
  <c r="DC222" i="2" s="1"/>
  <c r="EJ222" i="2"/>
  <c r="BQ222" i="2"/>
  <c r="EG24" i="2"/>
  <c r="CD204" i="2"/>
  <c r="EG141" i="2"/>
  <c r="CT58" i="2"/>
  <c r="AU189" i="2"/>
  <c r="CN189" i="2" s="1"/>
  <c r="BX189" i="2"/>
  <c r="BY189" i="2" s="1"/>
  <c r="EL107" i="2"/>
  <c r="CZ107" i="2"/>
  <c r="EJ107" i="2"/>
  <c r="G233" i="2"/>
  <c r="F233" i="2"/>
  <c r="CD134" i="2"/>
  <c r="P134" i="2"/>
  <c r="A134" i="2" s="1"/>
  <c r="DG19" i="2"/>
  <c r="DA19" i="2"/>
  <c r="DM19" i="2"/>
  <c r="DC19" i="2" s="1"/>
  <c r="CR19" i="2"/>
  <c r="CX19" i="2"/>
  <c r="CY19" i="2"/>
  <c r="BY44" i="2"/>
  <c r="CG158" i="2"/>
  <c r="CU58" i="2"/>
  <c r="DG107" i="2"/>
  <c r="DW222" i="2"/>
  <c r="EG222" i="2" s="1"/>
  <c r="EJ19" i="2"/>
  <c r="CT51" i="2"/>
  <c r="CW51" i="2"/>
  <c r="DW276" i="2"/>
  <c r="EG276" i="2" s="1"/>
  <c r="DM276" i="2"/>
  <c r="DC276" i="2" s="1"/>
  <c r="F143" i="2"/>
  <c r="G143" i="2"/>
  <c r="P106" i="2"/>
  <c r="A106" i="2" s="1"/>
  <c r="CD106" i="2"/>
  <c r="EV209" i="2"/>
  <c r="EW209" i="2" s="1"/>
  <c r="EX209" i="2" s="1"/>
  <c r="EV322" i="2"/>
  <c r="CS326" i="2"/>
  <c r="EU326" i="2"/>
  <c r="CT326" i="2"/>
  <c r="EV30" i="2"/>
  <c r="F194" i="2"/>
  <c r="G48" i="2"/>
  <c r="BQ58" i="2"/>
  <c r="CQ58" i="2" s="1"/>
  <c r="DM107" i="2"/>
  <c r="DC107" i="2" s="1"/>
  <c r="DW19" i="2"/>
  <c r="AU181" i="2"/>
  <c r="BX181" i="2"/>
  <c r="BY181" i="2" s="1"/>
  <c r="BQ187" i="2"/>
  <c r="CQ187" i="2" s="1"/>
  <c r="DW187" i="2"/>
  <c r="EG187" i="2" s="1"/>
  <c r="G157" i="2"/>
  <c r="F157" i="2"/>
  <c r="AU140" i="2"/>
  <c r="BX140" i="2"/>
  <c r="BY140" i="2" s="1"/>
  <c r="EU206" i="2"/>
  <c r="CR60" i="2"/>
  <c r="DW284" i="2"/>
  <c r="EG284" i="2" s="1"/>
  <c r="DA107" i="2"/>
  <c r="DW45" i="2"/>
  <c r="EG45" i="2" s="1"/>
  <c r="DA45" i="2"/>
  <c r="EL19" i="2"/>
  <c r="CV68" i="2"/>
  <c r="DA68" i="2"/>
  <c r="CX68" i="2"/>
  <c r="EJ68" i="2"/>
  <c r="CW68" i="2"/>
  <c r="F138" i="2"/>
  <c r="G138" i="2"/>
  <c r="EU165" i="2"/>
  <c r="EU126" i="2"/>
  <c r="DM228" i="2"/>
  <c r="DC228" i="2" s="1"/>
  <c r="DW228" i="2"/>
  <c r="EG228" i="2" s="1"/>
  <c r="CR32" i="2"/>
  <c r="CT32" i="2"/>
  <c r="EL32" i="2"/>
  <c r="DM32" i="2"/>
  <c r="DC32" i="2" s="1"/>
  <c r="EU329" i="2"/>
  <c r="G17" i="2"/>
  <c r="F17" i="2"/>
  <c r="F99" i="2"/>
  <c r="G99" i="2"/>
  <c r="G192" i="2"/>
  <c r="F192" i="2"/>
  <c r="EJ208" i="2"/>
  <c r="EL208" i="2"/>
  <c r="EJ240" i="2"/>
  <c r="DW240" i="2"/>
  <c r="EG240" i="2" s="1"/>
  <c r="F33" i="2"/>
  <c r="G33" i="2"/>
  <c r="G84" i="2"/>
  <c r="F84" i="2"/>
  <c r="CY17" i="2"/>
  <c r="CX17" i="2"/>
  <c r="EJ300" i="2"/>
  <c r="BQ300" i="2"/>
  <c r="CQ300" i="2" s="1"/>
  <c r="BX92" i="2"/>
  <c r="BY92" i="2" s="1"/>
  <c r="AU92" i="2"/>
  <c r="BW147" i="2"/>
  <c r="CK147" i="2"/>
  <c r="CH147" i="2"/>
  <c r="CC147" i="2" s="1"/>
  <c r="P147" i="2"/>
  <c r="G165" i="2"/>
  <c r="F165" i="2"/>
  <c r="AM30" i="2"/>
  <c r="BF30" i="2"/>
  <c r="CG30" i="2" s="1"/>
  <c r="CE30" i="2"/>
  <c r="AR31" i="2" a="1"/>
  <c r="AR31" i="2" s="1"/>
  <c r="BX31" i="2" s="1"/>
  <c r="BY31" i="2" s="1"/>
  <c r="BJ32" i="2"/>
  <c r="EI32" i="2"/>
  <c r="ET32" i="2"/>
  <c r="CE36" i="2"/>
  <c r="AM36" i="2"/>
  <c r="ET38" i="2"/>
  <c r="ES38" i="2"/>
  <c r="EV38" i="2" s="1"/>
  <c r="EW38" i="2" s="1"/>
  <c r="EX38" i="2" s="1"/>
  <c r="EU73" i="2"/>
  <c r="BF32" i="2"/>
  <c r="AR147" i="2" a="1"/>
  <c r="AR147" i="2" s="1"/>
  <c r="CK183" i="2"/>
  <c r="AR183" i="2" a="1"/>
  <c r="AR183" i="2" s="1"/>
  <c r="EG129" i="2"/>
  <c r="AU260" i="2"/>
  <c r="DG73" i="2"/>
  <c r="DG112" i="2"/>
  <c r="DW112" i="2"/>
  <c r="EJ20" i="2"/>
  <c r="CZ20" i="2"/>
  <c r="CW38" i="2"/>
  <c r="F184" i="2"/>
  <c r="DW337" i="2"/>
  <c r="EG337" i="2" s="1"/>
  <c r="F40" i="2"/>
  <c r="EV66" i="2"/>
  <c r="CK304" i="2"/>
  <c r="BX151" i="2"/>
  <c r="BY151" i="2" s="1"/>
  <c r="CK226" i="2"/>
  <c r="P220" i="2"/>
  <c r="A220" i="2" s="1"/>
  <c r="DA25" i="2"/>
  <c r="CK66" i="2"/>
  <c r="EM34" i="2"/>
  <c r="EN34" i="2" s="1"/>
  <c r="CN324" i="2"/>
  <c r="AR270" i="2" a="1"/>
  <c r="AR270" i="2" s="1"/>
  <c r="CE16" i="2"/>
  <c r="AM16" i="2"/>
  <c r="BW16" i="2" s="1"/>
  <c r="CG80" i="2"/>
  <c r="CV20" i="2"/>
  <c r="EJ38" i="2"/>
  <c r="EG11" i="2"/>
  <c r="CF220" i="2"/>
  <c r="BQ25" i="2"/>
  <c r="CH66" i="2"/>
  <c r="CC66" i="2" s="1"/>
  <c r="P313" i="2"/>
  <c r="A313" i="2" s="1"/>
  <c r="CG110" i="2"/>
  <c r="BJ36" i="2"/>
  <c r="CN7" i="2"/>
  <c r="CN263" i="2"/>
  <c r="AI14" i="2"/>
  <c r="BF14" i="2"/>
  <c r="AZ14" i="2"/>
  <c r="BG14" i="2"/>
  <c r="EM14" i="2" s="1"/>
  <c r="EN14" i="2" s="1"/>
  <c r="AU246" i="2"/>
  <c r="CN246" i="2" s="1"/>
  <c r="EG116" i="2"/>
  <c r="DW250" i="2"/>
  <c r="EG250" i="2" s="1"/>
  <c r="AR14" i="2" a="1"/>
  <c r="AR14" i="2" s="1"/>
  <c r="AR29" i="2" a="1"/>
  <c r="AR29" i="2" s="1"/>
  <c r="BY33" i="2"/>
  <c r="CH9" i="2"/>
  <c r="CC9" i="2" s="1"/>
  <c r="CF9" i="2"/>
  <c r="CG58" i="2"/>
  <c r="BW138" i="2"/>
  <c r="CD138" i="2"/>
  <c r="AR138" i="2" a="1"/>
  <c r="AR138" i="2" s="1"/>
  <c r="P301" i="2"/>
  <c r="A301" i="2" s="1"/>
  <c r="G301" i="2" s="1"/>
  <c r="CK301" i="2"/>
  <c r="BJ4" i="2"/>
  <c r="EI4" i="2"/>
  <c r="CF55" i="2"/>
  <c r="AI43" i="2"/>
  <c r="BL65" i="2"/>
  <c r="EK65" i="2"/>
  <c r="DG65" i="2"/>
  <c r="DY65" i="2" s="1"/>
  <c r="BG67" i="2"/>
  <c r="AI67" i="2"/>
  <c r="CE86" i="2"/>
  <c r="BF86" i="2"/>
  <c r="P96" i="2"/>
  <c r="A96" i="2" s="1"/>
  <c r="CH96" i="2"/>
  <c r="CC96" i="2" s="1"/>
  <c r="EI96" i="2"/>
  <c r="ET96" i="2"/>
  <c r="AI98" i="2"/>
  <c r="BG100" i="2"/>
  <c r="AZ100" i="2"/>
  <c r="AR113" i="2" a="1"/>
  <c r="AR113" i="2" s="1"/>
  <c r="AZ126" i="2"/>
  <c r="AI126" i="2"/>
  <c r="EM128" i="2"/>
  <c r="EN128" i="2" s="1"/>
  <c r="AR130" i="2" a="1"/>
  <c r="AR130" i="2" s="1"/>
  <c r="AU130" i="2" s="1"/>
  <c r="CN130" i="2" s="1"/>
  <c r="AI134" i="2"/>
  <c r="CH148" i="2"/>
  <c r="CC148" i="2" s="1"/>
  <c r="CD148" i="2"/>
  <c r="CK148" i="2"/>
  <c r="BW148" i="2"/>
  <c r="BG156" i="2"/>
  <c r="AI156" i="2"/>
  <c r="BG178" i="2"/>
  <c r="AI178" i="2"/>
  <c r="CE94" i="2"/>
  <c r="AM94" i="2"/>
  <c r="BF106" i="2"/>
  <c r="CG106" i="2" s="1"/>
  <c r="A108" i="2"/>
  <c r="AM112" i="2"/>
  <c r="BF112" i="2"/>
  <c r="BF132" i="2"/>
  <c r="CG132" i="2" s="1"/>
  <c r="AI132" i="2"/>
  <c r="DM148" i="2"/>
  <c r="DC148" i="2" s="1"/>
  <c r="EJ148" i="2"/>
  <c r="BS313" i="2"/>
  <c r="ER313" i="2"/>
  <c r="O29" i="4"/>
  <c r="BI29" i="4"/>
  <c r="BI39" i="4"/>
  <c r="O39" i="4"/>
  <c r="BY266" i="2"/>
  <c r="CE54" i="2"/>
  <c r="CE8" i="2"/>
  <c r="CG178" i="2"/>
  <c r="CE55" i="2"/>
  <c r="CG105" i="2"/>
  <c r="BF147" i="2"/>
  <c r="CG147" i="2" s="1"/>
  <c r="CE63" i="2"/>
  <c r="AM8" i="2"/>
  <c r="EI54" i="2"/>
  <c r="AM315" i="2"/>
  <c r="AM86" i="2"/>
  <c r="CK198" i="2"/>
  <c r="CF198" i="2"/>
  <c r="CE4" i="2"/>
  <c r="AM4" i="2"/>
  <c r="A6" i="2"/>
  <c r="CG15" i="2"/>
  <c r="ER44" i="2"/>
  <c r="AT44" i="2"/>
  <c r="AU44" i="2" s="1"/>
  <c r="CN44" i="2" s="1"/>
  <c r="BG50" i="2"/>
  <c r="AI50" i="2"/>
  <c r="AM318" i="2"/>
  <c r="CE318" i="2"/>
  <c r="BF322" i="2"/>
  <c r="CG322" i="2" s="1"/>
  <c r="AI322" i="2"/>
  <c r="BQ322" i="2"/>
  <c r="CQ322" i="2" s="1"/>
  <c r="DW322" i="2"/>
  <c r="EG322" i="2" s="1"/>
  <c r="AI323" i="2"/>
  <c r="AZ323" i="2"/>
  <c r="EK329" i="2"/>
  <c r="BL329" i="2"/>
  <c r="AM340" i="2"/>
  <c r="CE340" i="2"/>
  <c r="BF340" i="2"/>
  <c r="CG340" i="2" s="1"/>
  <c r="BW9" i="2"/>
  <c r="CE11" i="2"/>
  <c r="AM11" i="2"/>
  <c r="BC71" i="2"/>
  <c r="BG71" i="2"/>
  <c r="CE83" i="2"/>
  <c r="AM83" i="2"/>
  <c r="EI117" i="2"/>
  <c r="BJ117" i="2"/>
  <c r="AM129" i="2"/>
  <c r="CE129" i="2"/>
  <c r="BF129" i="2"/>
  <c r="CG129" i="2" s="1"/>
  <c r="AM141" i="2"/>
  <c r="CE141" i="2"/>
  <c r="AR143" i="2" a="1"/>
  <c r="AR143" i="2" s="1"/>
  <c r="AU143" i="2" s="1"/>
  <c r="CN143" i="2" s="1"/>
  <c r="BF194" i="2"/>
  <c r="CG194" i="2" s="1"/>
  <c r="CE194" i="2"/>
  <c r="AI198" i="2"/>
  <c r="BG198" i="2"/>
  <c r="AR206" i="2" a="1"/>
  <c r="AR206" i="2" s="1"/>
  <c r="CF212" i="2"/>
  <c r="CE223" i="2"/>
  <c r="AM223" i="2"/>
  <c r="AM244" i="2"/>
  <c r="BF244" i="2"/>
  <c r="CE247" i="2"/>
  <c r="AM247" i="2"/>
  <c r="CF265" i="2"/>
  <c r="P265" i="2"/>
  <c r="A265" i="2" s="1"/>
  <c r="G265" i="2" s="1"/>
  <c r="CK265" i="2"/>
  <c r="AM277" i="2"/>
  <c r="BF277" i="2"/>
  <c r="BW278" i="2"/>
  <c r="BG294" i="2"/>
  <c r="AI294" i="2"/>
  <c r="EU19" i="2"/>
  <c r="EV20" i="2"/>
  <c r="AR96" i="2" a="1"/>
  <c r="AR96" i="2" s="1"/>
  <c r="AU96" i="2" s="1"/>
  <c r="CN96" i="2" s="1"/>
  <c r="BF83" i="2"/>
  <c r="CG83" i="2" s="1"/>
  <c r="P55" i="2"/>
  <c r="A55" i="2" s="1"/>
  <c r="CN164" i="2"/>
  <c r="AZ143" i="2"/>
  <c r="CG143" i="2" s="1"/>
  <c r="EK128" i="2"/>
  <c r="CF84" i="2"/>
  <c r="AR121" i="2" a="1"/>
  <c r="AR121" i="2" s="1"/>
  <c r="AZ156" i="2"/>
  <c r="CF156" i="2" s="1"/>
  <c r="CD205" i="2"/>
  <c r="P205" i="2"/>
  <c r="A205" i="2" s="1"/>
  <c r="BC144" i="2"/>
  <c r="CJ264" i="2"/>
  <c r="AT313" i="2"/>
  <c r="AU313" i="2" s="1"/>
  <c r="CN313" i="2" s="1"/>
  <c r="BG98" i="2"/>
  <c r="BS44" i="2"/>
  <c r="AR159" i="2" a="1"/>
  <c r="AR159" i="2" s="1"/>
  <c r="P159" i="2"/>
  <c r="A159" i="2" s="1"/>
  <c r="CK159" i="2"/>
  <c r="CD280" i="2"/>
  <c r="CH280" i="2"/>
  <c r="CC280" i="2" s="1"/>
  <c r="CE44" i="2"/>
  <c r="AI44" i="2"/>
  <c r="BG48" i="2"/>
  <c r="AI48" i="2"/>
  <c r="BF207" i="2"/>
  <c r="BW212" i="2"/>
  <c r="AI231" i="2"/>
  <c r="BG231" i="2"/>
  <c r="AM236" i="2"/>
  <c r="BF236" i="2"/>
  <c r="AM241" i="2"/>
  <c r="CE241" i="2"/>
  <c r="AR55" i="2" a="1"/>
  <c r="AR55" i="2" s="1"/>
  <c r="CN97" i="2"/>
  <c r="BF52" i="2"/>
  <c r="CG52" i="2" s="1"/>
  <c r="DE52" i="2" s="1"/>
  <c r="ED52" i="2" s="1"/>
  <c r="BC54" i="2"/>
  <c r="AU48" i="2"/>
  <c r="CN48" i="2" s="1"/>
  <c r="CE106" i="2"/>
  <c r="BW295" i="2"/>
  <c r="BG132" i="2"/>
  <c r="ES60" i="2"/>
  <c r="AR60" i="2" a="1"/>
  <c r="AR60" i="2" s="1"/>
  <c r="CK108" i="2"/>
  <c r="AZ29" i="2"/>
  <c r="BF29" i="2"/>
  <c r="CE180" i="2"/>
  <c r="AM180" i="2"/>
  <c r="AR180" i="2" s="1" a="1"/>
  <c r="AR180" i="2" s="1"/>
  <c r="BF180" i="2"/>
  <c r="CG180" i="2" s="1"/>
  <c r="AZ54" i="2"/>
  <c r="CG145" i="2"/>
  <c r="DM12" i="2"/>
  <c r="DC12" i="2" s="1"/>
  <c r="EJ12" i="2"/>
  <c r="DM278" i="2"/>
  <c r="DC278" i="2" s="1"/>
  <c r="BQ278" i="2"/>
  <c r="CQ278" i="2" s="1"/>
  <c r="CK121" i="2"/>
  <c r="CH121" i="2"/>
  <c r="CC121" i="2" s="1"/>
  <c r="EJ3" i="2"/>
  <c r="DM3" i="2"/>
  <c r="DC3" i="2" s="1"/>
  <c r="AM10" i="2"/>
  <c r="CE10" i="2"/>
  <c r="EK160" i="2"/>
  <c r="BL160" i="2"/>
  <c r="AM163" i="2"/>
  <c r="CE163" i="2"/>
  <c r="EK165" i="2"/>
  <c r="BL165" i="2"/>
  <c r="BG180" i="2"/>
  <c r="AI180" i="2"/>
  <c r="P197" i="2"/>
  <c r="CK197" i="2"/>
  <c r="CG209" i="2"/>
  <c r="CD48" i="2"/>
  <c r="BF96" i="2"/>
  <c r="CG96" i="2" s="1"/>
  <c r="AR17" i="2" a="1"/>
  <c r="AR17" i="2" s="1"/>
  <c r="AM115" i="2"/>
  <c r="CE108" i="2"/>
  <c r="AU45" i="2"/>
  <c r="EW45" i="2" s="1"/>
  <c r="EX45" i="2" s="1"/>
  <c r="ES51" i="2"/>
  <c r="AR317" i="2" a="1"/>
  <c r="AR317" i="2" s="1"/>
  <c r="ES84" i="2"/>
  <c r="EU84" i="2" s="1"/>
  <c r="CE21" i="2"/>
  <c r="CE112" i="2"/>
  <c r="CE277" i="2"/>
  <c r="CK63" i="2"/>
  <c r="AM185" i="2"/>
  <c r="BW185" i="2" s="1"/>
  <c r="R8" i="19"/>
  <c r="P24" i="19"/>
  <c r="Q7" i="19"/>
  <c r="P15" i="19"/>
  <c r="Q42" i="19"/>
  <c r="BI64" i="4"/>
  <c r="O64" i="4"/>
  <c r="BJ141" i="2"/>
  <c r="EI100" i="2"/>
  <c r="ES106" i="2"/>
  <c r="EM10" i="2"/>
  <c r="EN10" i="2" s="1"/>
  <c r="EM5" i="2"/>
  <c r="EN5" i="2" s="1"/>
  <c r="AG43" i="19"/>
  <c r="AG42" i="19"/>
  <c r="P465" i="10"/>
  <c r="DA66" i="2"/>
  <c r="P164" i="2"/>
  <c r="BW164" i="2"/>
  <c r="B34" i="1"/>
  <c r="BF58" i="2"/>
  <c r="AM58" i="2"/>
  <c r="BG75" i="2"/>
  <c r="BF75" i="2"/>
  <c r="CG75" i="2" s="1"/>
  <c r="DM80" i="2"/>
  <c r="DC80" i="2" s="1"/>
  <c r="EJ80" i="2"/>
  <c r="CE144" i="2"/>
  <c r="AZ144" i="2"/>
  <c r="CE157" i="2"/>
  <c r="BF157" i="2"/>
  <c r="CG157" i="2" s="1"/>
  <c r="BX158" i="2"/>
  <c r="BY158" i="2" s="1"/>
  <c r="BF159" i="2"/>
  <c r="CG159" i="2" s="1"/>
  <c r="BS241" i="2"/>
  <c r="AT241" i="2"/>
  <c r="AR273" i="2" a="1"/>
  <c r="AR273" i="2" s="1"/>
  <c r="AI282" i="2"/>
  <c r="AR201" i="2" a="1"/>
  <c r="AR201" i="2" s="1"/>
  <c r="AR212" i="2" a="1"/>
  <c r="AR212" i="2" s="1"/>
  <c r="BG229" i="2"/>
  <c r="AI229" i="2"/>
  <c r="P243" i="2"/>
  <c r="A243" i="2" s="1"/>
  <c r="CH243" i="2"/>
  <c r="CC243" i="2" s="1"/>
  <c r="CE245" i="2"/>
  <c r="AZ245" i="2"/>
  <c r="AM31" i="2"/>
  <c r="CE31" i="2"/>
  <c r="A39" i="2"/>
  <c r="BF44" i="2"/>
  <c r="CG44" i="2" s="1"/>
  <c r="ET97" i="2"/>
  <c r="AM109" i="2"/>
  <c r="CE109" i="2"/>
  <c r="AI121" i="2"/>
  <c r="EI121" i="2"/>
  <c r="AR132" i="2" a="1"/>
  <c r="AR132" i="2" s="1"/>
  <c r="EK133" i="2"/>
  <c r="BL133" i="2"/>
  <c r="AM135" i="2"/>
  <c r="BF135" i="2"/>
  <c r="CG135" i="2" s="1"/>
  <c r="BF140" i="2"/>
  <c r="CG140" i="2" s="1"/>
  <c r="BL157" i="2"/>
  <c r="EK157" i="2"/>
  <c r="AI174" i="2"/>
  <c r="AI204" i="2"/>
  <c r="EK206" i="2"/>
  <c r="BL206" i="2"/>
  <c r="AM312" i="2"/>
  <c r="CE312" i="2"/>
  <c r="BF317" i="2"/>
  <c r="CG317" i="2" s="1"/>
  <c r="AR325" i="2" a="1"/>
  <c r="AR325" i="2" s="1"/>
  <c r="DH64" i="4"/>
  <c r="AI211" i="2"/>
  <c r="ET40" i="2"/>
  <c r="EI8" i="2"/>
  <c r="AI39" i="2"/>
  <c r="CG9" i="2"/>
  <c r="BF201" i="2"/>
  <c r="CG201" i="2" s="1"/>
  <c r="ET88" i="2"/>
  <c r="BG49" i="2"/>
  <c r="P266" i="2"/>
  <c r="A266" i="2" s="1"/>
  <c r="AI87" i="2"/>
  <c r="BF39" i="2"/>
  <c r="AM152" i="2"/>
  <c r="AR94" i="2" a="1"/>
  <c r="AR94" i="2" s="1"/>
  <c r="BX94" i="2" s="1"/>
  <c r="BY94" i="2" s="1"/>
  <c r="AI97" i="2"/>
  <c r="BQ140" i="2"/>
  <c r="DW140" i="2"/>
  <c r="BW157" i="2"/>
  <c r="P169" i="2"/>
  <c r="A169" i="2" s="1"/>
  <c r="F169" i="2" s="1"/>
  <c r="CH169" i="2"/>
  <c r="CC169" i="2" s="1"/>
  <c r="BF250" i="2"/>
  <c r="CG250" i="2" s="1"/>
  <c r="BW291" i="2"/>
  <c r="BF293" i="2"/>
  <c r="AI293" i="2"/>
  <c r="AM335" i="2"/>
  <c r="CE335" i="2"/>
  <c r="CK3" i="4"/>
  <c r="ET92" i="2"/>
  <c r="BJ59" i="2"/>
  <c r="CY80" i="2"/>
  <c r="CE201" i="2"/>
  <c r="ET59" i="2"/>
  <c r="CG262" i="2"/>
  <c r="BG245" i="2"/>
  <c r="CE39" i="2"/>
  <c r="G175" i="2"/>
  <c r="F175" i="2"/>
  <c r="AM199" i="2"/>
  <c r="EJ93" i="2"/>
  <c r="AZ67" i="2"/>
  <c r="CE78" i="2"/>
  <c r="BF78" i="2"/>
  <c r="CG78" i="2" s="1"/>
  <c r="DW92" i="2"/>
  <c r="DG92" i="2"/>
  <c r="AZ95" i="2"/>
  <c r="AI107" i="2"/>
  <c r="AM116" i="2"/>
  <c r="BF116" i="2"/>
  <c r="CG116" i="2" s="1"/>
  <c r="AR125" i="2" a="1"/>
  <c r="AR125" i="2" s="1"/>
  <c r="BX125" i="2" s="1"/>
  <c r="BY125" i="2" s="1"/>
  <c r="BJ137" i="2"/>
  <c r="A144" i="2"/>
  <c r="AI151" i="2"/>
  <c r="AI189" i="2"/>
  <c r="AM196" i="2"/>
  <c r="CE196" i="2"/>
  <c r="AM212" i="2"/>
  <c r="CE212" i="2"/>
  <c r="AZ254" i="2"/>
  <c r="CG254" i="2" s="1"/>
  <c r="BF319" i="2"/>
  <c r="CP3" i="4"/>
  <c r="CP86" i="4"/>
  <c r="AM26" i="2"/>
  <c r="CE26" i="2"/>
  <c r="BF28" i="2"/>
  <c r="BG43" i="2"/>
  <c r="BF43" i="2"/>
  <c r="CH44" i="2"/>
  <c r="CC44" i="2" s="1"/>
  <c r="AR45" i="2" a="1"/>
  <c r="AR45" i="2" s="1"/>
  <c r="BX45" i="2" s="1"/>
  <c r="BY45" i="2" s="1"/>
  <c r="AI47" i="2"/>
  <c r="AZ49" i="2"/>
  <c r="AI49" i="2"/>
  <c r="BF57" i="2"/>
  <c r="AM57" i="2"/>
  <c r="BF139" i="2"/>
  <c r="CG139" i="2" s="1"/>
  <c r="CE139" i="2"/>
  <c r="BW141" i="2"/>
  <c r="BF156" i="2"/>
  <c r="AR157" i="2" a="1"/>
  <c r="AR157" i="2" s="1"/>
  <c r="AI176" i="2"/>
  <c r="BG184" i="2"/>
  <c r="EM184" i="2" s="1"/>
  <c r="EN184" i="2" s="1"/>
  <c r="AI184" i="2"/>
  <c r="CE200" i="2"/>
  <c r="AM200" i="2"/>
  <c r="AI214" i="2"/>
  <c r="CF234" i="2"/>
  <c r="CF241" i="2"/>
  <c r="AI246" i="2"/>
  <c r="AI267" i="2"/>
  <c r="BG275" i="2"/>
  <c r="AI275" i="2"/>
  <c r="CE275" i="2"/>
  <c r="AM275" i="2"/>
  <c r="AI280" i="2"/>
  <c r="Q62" i="19"/>
  <c r="AI8" i="2"/>
  <c r="ET67" i="2"/>
  <c r="BL70" i="2"/>
  <c r="EK70" i="2"/>
  <c r="BJ124" i="2"/>
  <c r="BL126" i="2"/>
  <c r="EK126" i="2"/>
  <c r="AI139" i="2"/>
  <c r="BG277" i="2"/>
  <c r="AZ277" i="2"/>
  <c r="BF285" i="2"/>
  <c r="BF296" i="2"/>
  <c r="AI300" i="2"/>
  <c r="DW330" i="2"/>
  <c r="CX119" i="4"/>
  <c r="CX86" i="4"/>
  <c r="CF261" i="2"/>
  <c r="BI90" i="4"/>
  <c r="BG4" i="2"/>
  <c r="CH328" i="2"/>
  <c r="CC328" i="2" s="1"/>
  <c r="BW56" i="2"/>
  <c r="CH56" i="2"/>
  <c r="CC56" i="2" s="1"/>
  <c r="BW245" i="2"/>
  <c r="AI253" i="2"/>
  <c r="AI257" i="2"/>
  <c r="BF313" i="2"/>
  <c r="AR334" i="2" a="1"/>
  <c r="AR334" i="2" s="1"/>
  <c r="K69" i="45"/>
  <c r="K10" i="45"/>
  <c r="ES14" i="2"/>
  <c r="BW19" i="2"/>
  <c r="AR41" i="2" a="1"/>
  <c r="AR41" i="2" s="1"/>
  <c r="AU41" i="2" s="1"/>
  <c r="CN41" i="2" s="1"/>
  <c r="AR70" i="2" a="1"/>
  <c r="AR70" i="2" s="1"/>
  <c r="BF145" i="2"/>
  <c r="AZ195" i="2"/>
  <c r="CF264" i="2"/>
  <c r="AI269" i="2"/>
  <c r="AI274" i="2"/>
  <c r="AI279" i="2"/>
  <c r="AI288" i="2"/>
  <c r="DW307" i="2"/>
  <c r="EG307" i="2" s="1"/>
  <c r="BF315" i="2"/>
  <c r="A326" i="2"/>
  <c r="P133" i="10"/>
  <c r="F319" i="2"/>
  <c r="G319" i="2"/>
  <c r="CR211" i="2"/>
  <c r="EU211" i="2"/>
  <c r="DM121" i="2"/>
  <c r="DC121" i="2" s="1"/>
  <c r="CU121" i="2"/>
  <c r="EV121" i="2"/>
  <c r="CX121" i="2"/>
  <c r="BQ303" i="2"/>
  <c r="CZ303" i="2"/>
  <c r="CF319" i="2"/>
  <c r="EL123" i="2"/>
  <c r="CV123" i="2"/>
  <c r="DA123" i="2"/>
  <c r="DW123" i="2"/>
  <c r="EG123" i="2" s="1"/>
  <c r="CU123" i="2"/>
  <c r="G309" i="2"/>
  <c r="F309" i="2"/>
  <c r="CT211" i="2"/>
  <c r="BL74" i="2"/>
  <c r="DD316" i="2"/>
  <c r="DE316" i="2"/>
  <c r="DG137" i="2"/>
  <c r="CU137" i="2"/>
  <c r="DM137" i="2"/>
  <c r="DC137" i="2" s="1"/>
  <c r="DG59" i="2"/>
  <c r="CY59" i="2"/>
  <c r="EU59" i="2"/>
  <c r="DM59" i="2"/>
  <c r="DC59" i="2" s="1"/>
  <c r="DW59" i="2"/>
  <c r="EG283" i="2"/>
  <c r="DD96" i="2"/>
  <c r="EV179" i="2"/>
  <c r="CR179" i="2"/>
  <c r="CT179" i="2"/>
  <c r="EJ179" i="2"/>
  <c r="CV179" i="2"/>
  <c r="CD108" i="2"/>
  <c r="CG108" i="2"/>
  <c r="CF108" i="2"/>
  <c r="F249" i="2"/>
  <c r="G249" i="2"/>
  <c r="CF211" i="2"/>
  <c r="CG211" i="2"/>
  <c r="CH319" i="2"/>
  <c r="CC319" i="2" s="1"/>
  <c r="CD319" i="2"/>
  <c r="BW319" i="2"/>
  <c r="CQ121" i="2"/>
  <c r="EV79" i="2"/>
  <c r="EW79" i="2" s="1"/>
  <c r="EX79" i="2" s="1"/>
  <c r="EU79" i="2"/>
  <c r="CY227" i="2"/>
  <c r="EL227" i="2"/>
  <c r="CV211" i="2"/>
  <c r="CN320" i="2"/>
  <c r="EW320" i="2"/>
  <c r="EX320" i="2" s="1"/>
  <c r="CV26" i="2"/>
  <c r="EJ26" i="2"/>
  <c r="CZ26" i="2"/>
  <c r="DG230" i="2"/>
  <c r="EG230" i="2" s="1"/>
  <c r="DA230" i="2"/>
  <c r="EU80" i="2"/>
  <c r="F52" i="2"/>
  <c r="G52" i="2"/>
  <c r="F305" i="2"/>
  <c r="G305" i="2"/>
  <c r="BQ211" i="2"/>
  <c r="CU211" i="2"/>
  <c r="EJ211" i="2"/>
  <c r="CZ211" i="2"/>
  <c r="CX211" i="2"/>
  <c r="CS211" i="2"/>
  <c r="DY121" i="2"/>
  <c r="EC13" i="2"/>
  <c r="DX52" i="2"/>
  <c r="DZ52" i="2" s="1"/>
  <c r="EA52" i="2" s="1"/>
  <c r="EE52" i="2" s="1"/>
  <c r="DY190" i="2"/>
  <c r="EE13" i="2"/>
  <c r="DE272" i="2"/>
  <c r="CY211" i="2"/>
  <c r="DW211" i="2"/>
  <c r="DW230" i="2"/>
  <c r="DA121" i="2"/>
  <c r="DW121" i="2"/>
  <c r="EG121" i="2" s="1"/>
  <c r="DW137" i="2"/>
  <c r="CV59" i="2"/>
  <c r="CT59" i="2"/>
  <c r="EL179" i="2"/>
  <c r="DW179" i="2"/>
  <c r="EU219" i="2"/>
  <c r="DM219" i="2"/>
  <c r="DC219" i="2" s="1"/>
  <c r="DW219" i="2"/>
  <c r="DA219" i="2"/>
  <c r="DG211" i="2"/>
  <c r="EV211" i="2"/>
  <c r="EW211" i="2" s="1"/>
  <c r="EX211" i="2" s="1"/>
  <c r="CQ6" i="2"/>
  <c r="CW211" i="2"/>
  <c r="EL211" i="2"/>
  <c r="AU219" i="2"/>
  <c r="BT219" i="2" s="1"/>
  <c r="BU219" i="2" s="1"/>
  <c r="EL59" i="2"/>
  <c r="CZ59" i="2"/>
  <c r="CU179" i="2"/>
  <c r="BQ179" i="2"/>
  <c r="CQ179" i="2" s="1"/>
  <c r="EU204" i="2"/>
  <c r="CW204" i="2"/>
  <c r="CS204" i="2"/>
  <c r="CY90" i="2"/>
  <c r="CS90" i="2"/>
  <c r="EL90" i="2"/>
  <c r="EJ90" i="2"/>
  <c r="CR90" i="2"/>
  <c r="CX238" i="2"/>
  <c r="DG238" i="2"/>
  <c r="CY238" i="2"/>
  <c r="BQ238" i="2"/>
  <c r="CQ238" i="2" s="1"/>
  <c r="EV238" i="2"/>
  <c r="CV238" i="2"/>
  <c r="CW238" i="2"/>
  <c r="EL238" i="2"/>
  <c r="EU238" i="2"/>
  <c r="BW105" i="2"/>
  <c r="EM230" i="2"/>
  <c r="EN230" i="2" s="1"/>
  <c r="DW162" i="2"/>
  <c r="CW162" i="2"/>
  <c r="EU162" i="2"/>
  <c r="BW225" i="2"/>
  <c r="BX222" i="2"/>
  <c r="BY222" i="2" s="1"/>
  <c r="CF204" i="2"/>
  <c r="DD52" i="2"/>
  <c r="DU52" i="2" s="1"/>
  <c r="BT22" i="2"/>
  <c r="BU22" i="2" s="1"/>
  <c r="P214" i="2"/>
  <c r="A214" i="2" s="1"/>
  <c r="CD214" i="2"/>
  <c r="CQ246" i="2"/>
  <c r="DG118" i="2"/>
  <c r="BQ38" i="2"/>
  <c r="CZ38" i="2"/>
  <c r="DM241" i="2"/>
  <c r="DC241" i="2" s="1"/>
  <c r="EJ58" i="2"/>
  <c r="DG58" i="2"/>
  <c r="EG58" i="2" s="1"/>
  <c r="BX82" i="2"/>
  <c r="BY82" i="2" s="1"/>
  <c r="AU82" i="2"/>
  <c r="CN82" i="2" s="1"/>
  <c r="P129" i="2"/>
  <c r="A129" i="2" s="1"/>
  <c r="AR129" i="2" a="1"/>
  <c r="AR129" i="2" s="1"/>
  <c r="BX129" i="2" s="1"/>
  <c r="BY129" i="2" s="1"/>
  <c r="BL233" i="2"/>
  <c r="EK233" i="2"/>
  <c r="CH85" i="2"/>
  <c r="CC85" i="2" s="1"/>
  <c r="EV196" i="2"/>
  <c r="CU55" i="2"/>
  <c r="BQ56" i="2"/>
  <c r="BQ73" i="2"/>
  <c r="DA118" i="2"/>
  <c r="DW58" i="2"/>
  <c r="CV58" i="2"/>
  <c r="BW134" i="2"/>
  <c r="BX177" i="2"/>
  <c r="BY177" i="2" s="1"/>
  <c r="AU177" i="2"/>
  <c r="CN177" i="2" s="1"/>
  <c r="AR255" i="2" a="1"/>
  <c r="AR255" i="2" s="1"/>
  <c r="CH255" i="2"/>
  <c r="CC255" i="2" s="1"/>
  <c r="CF255" i="2"/>
  <c r="AU176" i="2"/>
  <c r="CN176" i="2" s="1"/>
  <c r="DD176" i="2" s="1"/>
  <c r="BX176" i="2"/>
  <c r="BY176" i="2" s="1"/>
  <c r="BL50" i="2"/>
  <c r="EM50" i="2"/>
  <c r="EN50" i="2" s="1"/>
  <c r="CZ189" i="2"/>
  <c r="EU38" i="2"/>
  <c r="DW38" i="2"/>
  <c r="BL83" i="2"/>
  <c r="EK83" i="2"/>
  <c r="CD341" i="2"/>
  <c r="CF341" i="2"/>
  <c r="CH116" i="2"/>
  <c r="CC116" i="2" s="1"/>
  <c r="EK304" i="2"/>
  <c r="BL304" i="2"/>
  <c r="AU101" i="2"/>
  <c r="BX101" i="2"/>
  <c r="BY101" i="2" s="1"/>
  <c r="EK48" i="2"/>
  <c r="BL48" i="2"/>
  <c r="EV48" i="2" s="1"/>
  <c r="EW48" i="2" s="1"/>
  <c r="EX48" i="2" s="1"/>
  <c r="DM118" i="2"/>
  <c r="DC118" i="2" s="1"/>
  <c r="EL38" i="2"/>
  <c r="BQ31" i="2"/>
  <c r="CQ31" i="2" s="1"/>
  <c r="AR134" i="2" a="1"/>
  <c r="AR134" i="2" s="1"/>
  <c r="CD164" i="2"/>
  <c r="AU137" i="2"/>
  <c r="CN137" i="2" s="1"/>
  <c r="G229" i="2"/>
  <c r="F229" i="2"/>
  <c r="F272" i="2"/>
  <c r="G272" i="2"/>
  <c r="CS107" i="2"/>
  <c r="CT107" i="2"/>
  <c r="G242" i="2"/>
  <c r="F242" i="2"/>
  <c r="BW65" i="2"/>
  <c r="AR65" i="2" a="1"/>
  <c r="AR65" i="2" s="1"/>
  <c r="P23" i="2"/>
  <c r="A23" i="2" s="1"/>
  <c r="G23" i="2" s="1"/>
  <c r="AR23" i="2" a="1"/>
  <c r="AR23" i="2" s="1"/>
  <c r="BX59" i="2"/>
  <c r="BY59" i="2" s="1"/>
  <c r="AU59" i="2"/>
  <c r="P224" i="2"/>
  <c r="A224" i="2" s="1"/>
  <c r="G224" i="2" s="1"/>
  <c r="AR224" i="2" a="1"/>
  <c r="AR224" i="2" s="1"/>
  <c r="G148" i="2"/>
  <c r="F148" i="2"/>
  <c r="CK10" i="2"/>
  <c r="CF10" i="2"/>
  <c r="CH10" i="2"/>
  <c r="CC10" i="2" s="1"/>
  <c r="P10" i="2"/>
  <c r="A10" i="2" s="1"/>
  <c r="CX118" i="2"/>
  <c r="F139" i="2"/>
  <c r="CY38" i="2"/>
  <c r="CS38" i="2"/>
  <c r="CS246" i="2"/>
  <c r="CY58" i="2"/>
  <c r="BQ76" i="2"/>
  <c r="CQ76" i="2" s="1"/>
  <c r="DG76" i="2"/>
  <c r="CH134" i="2"/>
  <c r="CC134" i="2" s="1"/>
  <c r="CF164" i="2"/>
  <c r="EU186" i="2"/>
  <c r="EU174" i="2"/>
  <c r="EU304" i="2"/>
  <c r="CU118" i="2"/>
  <c r="F176" i="2"/>
  <c r="DG38" i="2"/>
  <c r="DY38" i="2" s="1"/>
  <c r="CX58" i="2"/>
  <c r="EJ241" i="2"/>
  <c r="CY76" i="2"/>
  <c r="DW76" i="2"/>
  <c r="CF134" i="2"/>
  <c r="AU125" i="2"/>
  <c r="BW259" i="2"/>
  <c r="CK259" i="2"/>
  <c r="BX167" i="2"/>
  <c r="BY167" i="2" s="1"/>
  <c r="AU167" i="2"/>
  <c r="CG193" i="2"/>
  <c r="CD193" i="2"/>
  <c r="CH181" i="2"/>
  <c r="CC181" i="2" s="1"/>
  <c r="CD181" i="2"/>
  <c r="CD101" i="2"/>
  <c r="CF101" i="2"/>
  <c r="AR81" i="2" a="1"/>
  <c r="AR81" i="2" s="1"/>
  <c r="AR184" i="2" a="1"/>
  <c r="AR184" i="2" s="1"/>
  <c r="AZ18" i="2"/>
  <c r="AZ24" i="2"/>
  <c r="CF75" i="2"/>
  <c r="AI159" i="2"/>
  <c r="BG175" i="2"/>
  <c r="AI175" i="2"/>
  <c r="DW214" i="2"/>
  <c r="EG214" i="2" s="1"/>
  <c r="DM34" i="2"/>
  <c r="DC34" i="2" s="1"/>
  <c r="CK229" i="2"/>
  <c r="EG41" i="2"/>
  <c r="CG53" i="2"/>
  <c r="CG321" i="2"/>
  <c r="BW205" i="2"/>
  <c r="G299" i="2"/>
  <c r="CN63" i="2"/>
  <c r="CH327" i="2"/>
  <c r="CC327" i="2" s="1"/>
  <c r="BW198" i="2"/>
  <c r="BF101" i="2"/>
  <c r="CG101" i="2" s="1"/>
  <c r="CX66" i="2"/>
  <c r="CH186" i="2"/>
  <c r="CC186" i="2" s="1"/>
  <c r="CK164" i="2"/>
  <c r="AM5" i="2"/>
  <c r="P257" i="2"/>
  <c r="A257" i="2" s="1"/>
  <c r="AM64" i="2"/>
  <c r="AI38" i="2"/>
  <c r="AR47" i="2" a="1"/>
  <c r="AR47" i="2" s="1"/>
  <c r="AU47" i="2" s="1"/>
  <c r="AI85" i="2"/>
  <c r="BG85" i="2"/>
  <c r="AI150" i="2"/>
  <c r="AI233" i="2"/>
  <c r="AI235" i="2"/>
  <c r="CF23" i="2"/>
  <c r="CD147" i="2"/>
  <c r="BW29" i="2"/>
  <c r="CF157" i="2"/>
  <c r="CH301" i="2"/>
  <c r="CC301" i="2" s="1"/>
  <c r="P206" i="2"/>
  <c r="CD4" i="2"/>
  <c r="CH4" i="2"/>
  <c r="CC4" i="2" s="1"/>
  <c r="CD58" i="2"/>
  <c r="AI3" i="2"/>
  <c r="CK59" i="2"/>
  <c r="P59" i="2"/>
  <c r="AI91" i="2"/>
  <c r="AZ99" i="2"/>
  <c r="CD99" i="2" s="1"/>
  <c r="AI140" i="2"/>
  <c r="CG215" i="2"/>
  <c r="P25" i="2"/>
  <c r="A25" i="2" s="1"/>
  <c r="CK25" i="2"/>
  <c r="AR128" i="2" a="1"/>
  <c r="AR128" i="2" s="1"/>
  <c r="AI209" i="2"/>
  <c r="AI222" i="2"/>
  <c r="DW267" i="2"/>
  <c r="EG267" i="2" s="1"/>
  <c r="BG339" i="2"/>
  <c r="AI339" i="2"/>
  <c r="EG25" i="2"/>
  <c r="CF205" i="2"/>
  <c r="F301" i="2"/>
  <c r="AR257" i="2" a="1"/>
  <c r="AR257" i="2" s="1"/>
  <c r="CD61" i="2"/>
  <c r="AZ50" i="2"/>
  <c r="DW91" i="2"/>
  <c r="CD206" i="2"/>
  <c r="BF25" i="2"/>
  <c r="AM78" i="2"/>
  <c r="AM120" i="2"/>
  <c r="CD121" i="2"/>
  <c r="CK278" i="2"/>
  <c r="CH197" i="2"/>
  <c r="CC197" i="2" s="1"/>
  <c r="CH278" i="2"/>
  <c r="CC278" i="2" s="1"/>
  <c r="BF51" i="2"/>
  <c r="CG51" i="2" s="1"/>
  <c r="DW105" i="2"/>
  <c r="EG105" i="2" s="1"/>
  <c r="AR106" i="2" a="1"/>
  <c r="AR106" i="2" s="1"/>
  <c r="BW112" i="2"/>
  <c r="AI114" i="2"/>
  <c r="BF153" i="2"/>
  <c r="CG153" i="2" s="1"/>
  <c r="BL184" i="2"/>
  <c r="EK184" i="2"/>
  <c r="BF203" i="2"/>
  <c r="CG203" i="2" s="1"/>
  <c r="AZ247" i="2"/>
  <c r="BG247" i="2"/>
  <c r="AI256" i="2"/>
  <c r="CE262" i="2"/>
  <c r="AM262" i="2"/>
  <c r="BW287" i="2"/>
  <c r="CE289" i="2"/>
  <c r="AM289" i="2"/>
  <c r="P289" i="2" s="1"/>
  <c r="A289" i="2" s="1"/>
  <c r="CG45" i="2"/>
  <c r="BT278" i="2"/>
  <c r="BU278" i="2" s="1"/>
  <c r="CD5" i="2"/>
  <c r="CF121" i="2"/>
  <c r="AR64" i="2" a="1"/>
  <c r="AR64" i="2" s="1"/>
  <c r="CK100" i="2"/>
  <c r="CH100" i="2"/>
  <c r="CC100" i="2" s="1"/>
  <c r="AM104" i="2"/>
  <c r="CE104" i="2"/>
  <c r="BF160" i="2"/>
  <c r="CG160" i="2" s="1"/>
  <c r="CF175" i="2"/>
  <c r="BF198" i="2"/>
  <c r="DM220" i="2"/>
  <c r="DC220" i="2" s="1"/>
  <c r="BQ220" i="2"/>
  <c r="AI255" i="2"/>
  <c r="EJ32" i="2"/>
  <c r="EV32" i="2"/>
  <c r="CX128" i="2"/>
  <c r="CR23" i="2"/>
  <c r="BX326" i="2"/>
  <c r="BY326" i="2" s="1"/>
  <c r="BT25" i="2"/>
  <c r="BU25" i="2" s="1"/>
  <c r="AR215" i="2" a="1"/>
  <c r="AR215" i="2" s="1"/>
  <c r="BT151" i="2"/>
  <c r="BU151" i="2" s="1"/>
  <c r="CG72" i="2"/>
  <c r="CK206" i="2"/>
  <c r="CG226" i="2"/>
  <c r="CH142" i="2"/>
  <c r="CC142" i="2" s="1"/>
  <c r="CG62" i="2"/>
  <c r="CK29" i="2"/>
  <c r="AZ43" i="2"/>
  <c r="CG202" i="2"/>
  <c r="AI237" i="2"/>
  <c r="ES67" i="2"/>
  <c r="AM287" i="2"/>
  <c r="CE287" i="2"/>
  <c r="BW311" i="2"/>
  <c r="AR323" i="2" a="1"/>
  <c r="AR323" i="2" s="1"/>
  <c r="AU323" i="2" s="1"/>
  <c r="AI333" i="2"/>
  <c r="BC333" i="2"/>
  <c r="CG333" i="2" s="1"/>
  <c r="DW333" i="2"/>
  <c r="EG333" i="2" s="1"/>
  <c r="AI192" i="2"/>
  <c r="CG196" i="2"/>
  <c r="AI199" i="2"/>
  <c r="AR205" i="2" a="1"/>
  <c r="AR205" i="2" s="1"/>
  <c r="DW218" i="2"/>
  <c r="EG218" i="2" s="1"/>
  <c r="CG236" i="2"/>
  <c r="AI262" i="2"/>
  <c r="CG315" i="2"/>
  <c r="P19" i="47"/>
  <c r="CT38" i="2" s="1"/>
  <c r="W19" i="47"/>
  <c r="DA38" i="2" s="1"/>
  <c r="DW316" i="2"/>
  <c r="DW340" i="2"/>
  <c r="R12" i="19"/>
  <c r="AG45" i="19"/>
  <c r="Q19" i="19"/>
  <c r="Q54" i="19"/>
  <c r="P46" i="19"/>
  <c r="K14" i="4" a="1"/>
  <c r="K14" i="4" s="1"/>
  <c r="P38" i="19"/>
  <c r="Z38" i="19" s="1"/>
  <c r="AC38" i="19" s="1" a="1"/>
  <c r="AC38" i="19" s="1"/>
  <c r="K36" i="4" a="1"/>
  <c r="K36" i="4" s="1"/>
  <c r="BJ29" i="2"/>
  <c r="AR69" i="2" a="1"/>
  <c r="AR69" i="2" s="1"/>
  <c r="A111" i="2"/>
  <c r="AR112" i="2" a="1"/>
  <c r="AR112" i="2" s="1"/>
  <c r="AR171" i="2" a="1"/>
  <c r="AR171" i="2" s="1"/>
  <c r="AZ190" i="2"/>
  <c r="BF206" i="2"/>
  <c r="CG206" i="2" s="1"/>
  <c r="BW209" i="2"/>
  <c r="AI240" i="2"/>
  <c r="CD241" i="2"/>
  <c r="P241" i="2"/>
  <c r="BW305" i="2"/>
  <c r="K40" i="4" a="1"/>
  <c r="K40" i="4" s="1"/>
  <c r="AI264" i="2"/>
  <c r="Q59" i="19"/>
  <c r="K26" i="4" a="1"/>
  <c r="K26" i="4" s="1"/>
  <c r="CR87" i="2"/>
  <c r="AQ49" i="2"/>
  <c r="AI78" i="2"/>
  <c r="BC142" i="2"/>
  <c r="CG142" i="2" s="1"/>
  <c r="A161" i="2"/>
  <c r="AI165" i="2"/>
  <c r="BF200" i="2"/>
  <c r="CG200" i="2" s="1"/>
  <c r="AR217" i="2" a="1"/>
  <c r="AR217" i="2" s="1"/>
  <c r="AI232" i="2"/>
  <c r="BF233" i="2"/>
  <c r="CG233" i="2" s="1"/>
  <c r="AI236" i="2"/>
  <c r="BC246" i="2"/>
  <c r="CE258" i="2"/>
  <c r="AM258" i="2"/>
  <c r="AR258" i="2" s="1" a="1"/>
  <c r="AR258" i="2" s="1"/>
  <c r="BF267" i="2"/>
  <c r="CG267" i="2" s="1"/>
  <c r="AR297" i="2" a="1"/>
  <c r="AR297" i="2" s="1"/>
  <c r="AQ319" i="2"/>
  <c r="AR319" i="2" s="1" a="1"/>
  <c r="AR319" i="2" s="1"/>
  <c r="P320" i="10"/>
  <c r="AG13" i="19"/>
  <c r="Q21" i="19"/>
  <c r="AH28" i="19"/>
  <c r="R55" i="19"/>
  <c r="AI5" i="2"/>
  <c r="AI17" i="2"/>
  <c r="BW38" i="2"/>
  <c r="AQ58" i="2"/>
  <c r="AR58" i="2" s="1" a="1"/>
  <c r="AR58" i="2" s="1"/>
  <c r="AI66" i="2"/>
  <c r="AR86" i="2" a="1"/>
  <c r="AR86" i="2" s="1"/>
  <c r="AI100" i="2"/>
  <c r="BW100" i="2"/>
  <c r="ES124" i="2"/>
  <c r="BF128" i="2"/>
  <c r="CG128" i="2" s="1"/>
  <c r="BF177" i="2"/>
  <c r="CG177" i="2" s="1"/>
  <c r="CH178" i="2"/>
  <c r="CC178" i="2" s="1"/>
  <c r="AI182" i="2"/>
  <c r="AR198" i="2" a="1"/>
  <c r="AR198" i="2" s="1"/>
  <c r="AZ269" i="2"/>
  <c r="AI307" i="2"/>
  <c r="BW334" i="2"/>
  <c r="AG52" i="19"/>
  <c r="P47" i="19"/>
  <c r="I33" i="19"/>
  <c r="I10" i="19"/>
  <c r="I29" i="19"/>
  <c r="I37" i="19"/>
  <c r="I18" i="19"/>
  <c r="I49" i="19"/>
  <c r="I61" i="19"/>
  <c r="I6" i="19"/>
  <c r="I35" i="19"/>
  <c r="I17" i="19"/>
  <c r="I36" i="19"/>
  <c r="I52" i="19"/>
  <c r="I7" i="19"/>
  <c r="I30" i="19"/>
  <c r="I16" i="19"/>
  <c r="I53" i="19"/>
  <c r="I56" i="19"/>
  <c r="I42" i="19"/>
  <c r="I34" i="19"/>
  <c r="I22" i="19"/>
  <c r="I48" i="19"/>
  <c r="I57" i="19"/>
  <c r="I31" i="19"/>
  <c r="I46" i="19"/>
  <c r="I58" i="19"/>
  <c r="I20" i="19"/>
  <c r="I24" i="19"/>
  <c r="I26" i="19"/>
  <c r="I27" i="19"/>
  <c r="I40" i="19"/>
  <c r="P59" i="10"/>
  <c r="P488" i="10"/>
  <c r="G62" i="19"/>
  <c r="P155" i="10"/>
  <c r="P577" i="10"/>
  <c r="P478" i="10"/>
  <c r="G257" i="19"/>
  <c r="P60" i="19"/>
  <c r="AA60" i="19" s="1"/>
  <c r="P23" i="10"/>
  <c r="P523" i="10"/>
  <c r="P663" i="10"/>
  <c r="P205" i="10"/>
  <c r="P273" i="10"/>
  <c r="P315" i="10"/>
  <c r="P686" i="10"/>
  <c r="G232" i="19"/>
  <c r="G264" i="19"/>
  <c r="P73" i="10"/>
  <c r="G258" i="19"/>
  <c r="AH61" i="19"/>
  <c r="R30" i="19"/>
  <c r="I62" i="19"/>
  <c r="P347" i="10"/>
  <c r="G58" i="19"/>
  <c r="AG55" i="19"/>
  <c r="AH38" i="19"/>
  <c r="P382" i="10"/>
  <c r="P632" i="10"/>
  <c r="G27" i="19"/>
  <c r="P423" i="10"/>
  <c r="P301" i="10"/>
  <c r="P186" i="10"/>
  <c r="P698" i="10"/>
  <c r="P40" i="10"/>
  <c r="P508" i="10"/>
  <c r="P261" i="10"/>
  <c r="AH30" i="19"/>
  <c r="Q61" i="19"/>
  <c r="I11" i="19"/>
  <c r="P52" i="10"/>
  <c r="P589" i="10"/>
  <c r="P477" i="10"/>
  <c r="P627" i="10"/>
  <c r="P406" i="10"/>
  <c r="AG44" i="19"/>
  <c r="P452" i="10"/>
  <c r="I23" i="19"/>
  <c r="P187" i="10"/>
  <c r="P610" i="10"/>
  <c r="P586" i="10"/>
  <c r="P214" i="10"/>
  <c r="G222" i="19"/>
  <c r="P525" i="10"/>
  <c r="P308" i="10"/>
  <c r="P548" i="10"/>
  <c r="P355" i="10"/>
  <c r="P449" i="10"/>
  <c r="AH12" i="19"/>
  <c r="AH11" i="19"/>
  <c r="P27" i="19"/>
  <c r="R35" i="19"/>
  <c r="P600" i="10"/>
  <c r="P631" i="10"/>
  <c r="P691" i="10"/>
  <c r="P148" i="10"/>
  <c r="P129" i="10"/>
  <c r="P44" i="19"/>
  <c r="G249" i="19"/>
  <c r="P715" i="10"/>
  <c r="P162" i="10"/>
  <c r="P670" i="10"/>
  <c r="G205" i="19"/>
  <c r="AG31" i="19"/>
  <c r="AG14" i="19"/>
  <c r="P241" i="10"/>
  <c r="P118" i="10"/>
  <c r="P194" i="10"/>
  <c r="P413" i="10"/>
  <c r="P100" i="10"/>
  <c r="P564" i="10"/>
  <c r="P12" i="10"/>
  <c r="P302" i="10"/>
  <c r="P175" i="10"/>
  <c r="P596" i="10"/>
  <c r="P689" i="10"/>
  <c r="G245" i="19"/>
  <c r="P584" i="10"/>
  <c r="AH41" i="19"/>
  <c r="AG54" i="19"/>
  <c r="P9" i="10"/>
  <c r="P660" i="10"/>
  <c r="P708" i="10"/>
  <c r="P643" i="10"/>
  <c r="P346" i="10"/>
  <c r="AG35" i="19"/>
  <c r="AG22" i="19"/>
  <c r="G194" i="19"/>
  <c r="P476" i="10"/>
  <c r="P565" i="10"/>
  <c r="P426" i="10"/>
  <c r="P309" i="10"/>
  <c r="G17" i="19"/>
  <c r="P438" i="10"/>
  <c r="P143" i="10"/>
  <c r="P48" i="10"/>
  <c r="R27" i="19"/>
  <c r="Q11" i="19"/>
  <c r="P366" i="10"/>
  <c r="P483" i="10"/>
  <c r="P494" i="10"/>
  <c r="P559" i="10"/>
  <c r="I19" i="19"/>
  <c r="P499" i="10"/>
  <c r="P628" i="10"/>
  <c r="P340" i="10"/>
  <c r="P407" i="10"/>
  <c r="P85" i="10"/>
  <c r="P339" i="10"/>
  <c r="P437" i="10"/>
  <c r="G250" i="19"/>
  <c r="P62" i="19"/>
  <c r="Z62" i="19" s="1"/>
  <c r="I44" i="19"/>
  <c r="P30" i="19"/>
  <c r="P234" i="10"/>
  <c r="G38" i="19"/>
  <c r="G199" i="19"/>
  <c r="P119" i="10"/>
  <c r="AG27" i="19"/>
  <c r="AG41" i="19"/>
  <c r="P545" i="10"/>
  <c r="P145" i="10"/>
  <c r="P231" i="10"/>
  <c r="P372" i="10"/>
  <c r="P429" i="10"/>
  <c r="P55" i="10"/>
  <c r="P473" i="10"/>
  <c r="P336" i="10"/>
  <c r="R46" i="19"/>
  <c r="R11" i="19"/>
  <c r="P295" i="10"/>
  <c r="P213" i="10"/>
  <c r="R21" i="19"/>
  <c r="Q35" i="19"/>
  <c r="G216" i="19"/>
  <c r="P216" i="10"/>
  <c r="P497" i="10"/>
  <c r="G60" i="19"/>
  <c r="G41" i="19"/>
  <c r="G212" i="19"/>
  <c r="AG38" i="19"/>
  <c r="G180" i="19"/>
  <c r="P467" i="10"/>
  <c r="P368" i="10"/>
  <c r="P466" i="10"/>
  <c r="AG19" i="19"/>
  <c r="G195" i="19"/>
  <c r="AG47" i="19"/>
  <c r="P292" i="10"/>
  <c r="P720" i="10"/>
  <c r="P397" i="10"/>
  <c r="G181" i="19"/>
  <c r="P392" i="10"/>
  <c r="P335" i="10"/>
  <c r="G50" i="19"/>
  <c r="P76" i="10"/>
  <c r="P169" i="10"/>
  <c r="P179" i="10"/>
  <c r="P287" i="10"/>
  <c r="G46" i="19"/>
  <c r="P685" i="10"/>
  <c r="P291" i="10"/>
  <c r="P678" i="10"/>
  <c r="P317" i="10"/>
  <c r="P206" i="10"/>
  <c r="P460" i="10"/>
  <c r="P669" i="10"/>
  <c r="P439" i="10"/>
  <c r="P28" i="19"/>
  <c r="P19" i="19"/>
  <c r="AA19" i="19" s="1"/>
  <c r="AC19" i="19" s="1" a="1"/>
  <c r="AC19" i="19" s="1"/>
  <c r="I12" i="19"/>
  <c r="P541" i="10"/>
  <c r="AG12" i="19"/>
  <c r="P167" i="10"/>
  <c r="P128" i="10"/>
  <c r="P209" i="10"/>
  <c r="P702" i="10"/>
  <c r="P361" i="10"/>
  <c r="P657" i="10"/>
  <c r="P591" i="10"/>
  <c r="P142" i="10"/>
  <c r="G173" i="19"/>
  <c r="P303" i="10"/>
  <c r="P492" i="10"/>
  <c r="P221" i="10"/>
  <c r="P557" i="10"/>
  <c r="P24" i="10"/>
  <c r="P285" i="10"/>
  <c r="P112" i="10"/>
  <c r="P244" i="10"/>
  <c r="P199" i="10"/>
  <c r="I28" i="19"/>
  <c r="Q46" i="19"/>
  <c r="AH19" i="19"/>
  <c r="P619" i="10"/>
  <c r="AG36" i="19"/>
  <c r="P718" i="10"/>
  <c r="P732" i="10"/>
  <c r="P581" i="10"/>
  <c r="P583" i="10"/>
  <c r="P290" i="10"/>
  <c r="P416" i="10"/>
  <c r="G191" i="19"/>
  <c r="P43" i="10"/>
  <c r="G182" i="19"/>
  <c r="P74" i="10"/>
  <c r="P164" i="10"/>
  <c r="P30" i="10"/>
  <c r="P461" i="10"/>
  <c r="AH23" i="19"/>
  <c r="P505" i="10"/>
  <c r="P189" i="10"/>
  <c r="P572" i="10"/>
  <c r="AG30" i="19"/>
  <c r="P721" i="10"/>
  <c r="G189" i="19"/>
  <c r="P450" i="10"/>
  <c r="P393" i="10"/>
  <c r="P592" i="10"/>
  <c r="P267" i="10"/>
  <c r="P470" i="10"/>
  <c r="AG48" i="19"/>
  <c r="P245" i="10"/>
  <c r="P371" i="10"/>
  <c r="P353" i="10"/>
  <c r="P26" i="10"/>
  <c r="P271" i="10"/>
  <c r="P247" i="10"/>
  <c r="P217" i="10"/>
  <c r="P543" i="10"/>
  <c r="P697" i="10"/>
  <c r="P554" i="10"/>
  <c r="P435" i="10"/>
  <c r="P544" i="10"/>
  <c r="P276" i="10"/>
  <c r="P94" i="10"/>
  <c r="P204" i="10"/>
  <c r="P57" i="10"/>
  <c r="P381" i="10"/>
  <c r="G169" i="19"/>
  <c r="G10" i="19"/>
  <c r="P42" i="10"/>
  <c r="AG11" i="19"/>
  <c r="Q44" i="19"/>
  <c r="G244" i="19"/>
  <c r="P462" i="10"/>
  <c r="P716" i="10"/>
  <c r="G204" i="19"/>
  <c r="P672" i="10"/>
  <c r="G224" i="19"/>
  <c r="P654" i="10"/>
  <c r="G228" i="19"/>
  <c r="P637" i="10"/>
  <c r="P639" i="10"/>
  <c r="P377" i="10"/>
  <c r="G21" i="19"/>
  <c r="P647" i="10"/>
  <c r="P188" i="10"/>
  <c r="P378" i="10"/>
  <c r="P220" i="10"/>
  <c r="P253" i="10"/>
  <c r="Q60" i="19"/>
  <c r="R59" i="19"/>
  <c r="P190" i="10"/>
  <c r="P316" i="10"/>
  <c r="R29" i="19"/>
  <c r="P717" i="10"/>
  <c r="P529" i="10"/>
  <c r="G218" i="19"/>
  <c r="P280" i="10"/>
  <c r="AH44" i="19"/>
  <c r="G260" i="19"/>
  <c r="P386" i="10"/>
  <c r="P202" i="10"/>
  <c r="P549" i="10"/>
  <c r="G207" i="19"/>
  <c r="G40" i="19"/>
  <c r="G45" i="19"/>
  <c r="P531" i="10"/>
  <c r="G174" i="19"/>
  <c r="P272" i="10"/>
  <c r="P526" i="10"/>
  <c r="P163" i="10"/>
  <c r="G12" i="19"/>
  <c r="P530" i="10"/>
  <c r="P588" i="10"/>
  <c r="G184" i="19"/>
  <c r="P677" i="10"/>
  <c r="P503" i="10"/>
  <c r="P240" i="10"/>
  <c r="P469" i="10"/>
  <c r="G20" i="19"/>
  <c r="P151" i="10"/>
  <c r="P558" i="10"/>
  <c r="G213" i="19"/>
  <c r="P178" i="10"/>
  <c r="R61" i="19"/>
  <c r="AG46" i="19"/>
  <c r="P674" i="10"/>
  <c r="G9" i="19"/>
  <c r="P391" i="10"/>
  <c r="P102" i="10"/>
  <c r="P348" i="10"/>
  <c r="P219" i="10"/>
  <c r="P453" i="10"/>
  <c r="P56" i="10"/>
  <c r="P354" i="10"/>
  <c r="G201" i="19"/>
  <c r="P658" i="10"/>
  <c r="P626" i="10"/>
  <c r="P551" i="10"/>
  <c r="G190" i="19"/>
  <c r="G13" i="19"/>
  <c r="P722" i="10"/>
  <c r="P539" i="10"/>
  <c r="P676" i="10"/>
  <c r="P238" i="10"/>
  <c r="I38" i="19"/>
  <c r="P3" i="10"/>
  <c r="P432" i="10"/>
  <c r="P511" i="10"/>
  <c r="P111" i="10"/>
  <c r="P342" i="10"/>
  <c r="P579" i="10"/>
  <c r="P208" i="10"/>
  <c r="P218" i="10"/>
  <c r="P242" i="10"/>
  <c r="G31" i="19"/>
  <c r="G43" i="19"/>
  <c r="P506" i="10"/>
  <c r="P115" i="10"/>
  <c r="P684" i="10"/>
  <c r="P25" i="10"/>
  <c r="P10" i="10"/>
  <c r="P297" i="10"/>
  <c r="I14" i="19"/>
  <c r="G49" i="19"/>
  <c r="P664" i="10"/>
  <c r="G210" i="19"/>
  <c r="Q28" i="19"/>
  <c r="P504" i="10"/>
  <c r="P661" i="10"/>
  <c r="P613" i="10"/>
  <c r="P650" i="10"/>
  <c r="P330" i="10"/>
  <c r="P590" i="10"/>
  <c r="P394" i="10"/>
  <c r="P99" i="10"/>
  <c r="P403" i="10"/>
  <c r="P638" i="10"/>
  <c r="P479" i="10"/>
  <c r="P333" i="10"/>
  <c r="P44" i="10"/>
  <c r="P482" i="10"/>
  <c r="P268" i="10"/>
  <c r="P599" i="10"/>
  <c r="P93" i="10"/>
  <c r="P298" i="10"/>
  <c r="P91" i="10"/>
  <c r="G206" i="19"/>
  <c r="P29" i="10"/>
  <c r="P200" i="10"/>
  <c r="P358" i="10"/>
  <c r="G242" i="19"/>
  <c r="P612" i="10"/>
  <c r="AH60" i="19"/>
  <c r="I60" i="19"/>
  <c r="P223" i="10"/>
  <c r="P668" i="10"/>
  <c r="G219" i="19"/>
  <c r="P197" i="10"/>
  <c r="P117" i="10"/>
  <c r="P480" i="10"/>
  <c r="P79" i="10"/>
  <c r="P375" i="10"/>
  <c r="P20" i="10"/>
  <c r="P269" i="10"/>
  <c r="G252" i="19"/>
  <c r="P367" i="10"/>
  <c r="G188" i="19"/>
  <c r="P166" i="10"/>
  <c r="P16" i="10"/>
  <c r="P659" i="10"/>
  <c r="P88" i="10"/>
  <c r="P458" i="10"/>
  <c r="P471" i="10"/>
  <c r="P573" i="10"/>
  <c r="P733" i="10"/>
  <c r="P692" i="10"/>
  <c r="P146" i="10"/>
  <c r="P390" i="10"/>
  <c r="P198" i="10"/>
  <c r="P552" i="10"/>
  <c r="G193" i="19"/>
  <c r="P6" i="10"/>
  <c r="R60" i="19"/>
  <c r="R43" i="19"/>
  <c r="P51" i="19"/>
  <c r="G208" i="19"/>
  <c r="P562" i="10"/>
  <c r="P323" i="10"/>
  <c r="P555" i="10"/>
  <c r="G254" i="19"/>
  <c r="P512" i="10"/>
  <c r="G203" i="19"/>
  <c r="P706" i="10"/>
  <c r="G39" i="19"/>
  <c r="P688" i="10"/>
  <c r="P490" i="10"/>
  <c r="P532" i="10"/>
  <c r="P212" i="10"/>
  <c r="P265" i="10"/>
  <c r="AG39" i="19"/>
  <c r="P571" i="10"/>
  <c r="P165" i="10"/>
  <c r="P363" i="10"/>
  <c r="P454" i="10"/>
  <c r="P707" i="10"/>
  <c r="P147" i="10"/>
  <c r="P712" i="10"/>
  <c r="G255" i="19"/>
  <c r="P180" i="10"/>
  <c r="P352" i="10"/>
  <c r="Q38" i="19"/>
  <c r="P14" i="19"/>
  <c r="Z14" i="19" s="1"/>
  <c r="G8" i="19"/>
  <c r="P607" i="10"/>
  <c r="G34" i="19"/>
  <c r="P474" i="10"/>
  <c r="P704" i="10"/>
  <c r="P126" i="10"/>
  <c r="P294" i="10"/>
  <c r="P547" i="10"/>
  <c r="G221" i="19"/>
  <c r="P634" i="10"/>
  <c r="G233" i="19"/>
  <c r="P137" i="10"/>
  <c r="P11" i="10"/>
  <c r="P690" i="10"/>
  <c r="G14" i="19"/>
  <c r="P153" i="10"/>
  <c r="G261" i="19"/>
  <c r="P286" i="10"/>
  <c r="P351" i="10"/>
  <c r="P195" i="10"/>
  <c r="P646" i="10"/>
  <c r="P266" i="10"/>
  <c r="P513" i="10"/>
  <c r="P90" i="10"/>
  <c r="P379" i="10"/>
  <c r="AG58" i="19"/>
  <c r="DE176" i="2"/>
  <c r="DX176" i="2" s="1"/>
  <c r="DZ176" i="2" s="1"/>
  <c r="EA176" i="2" s="1"/>
  <c r="DY158" i="2"/>
  <c r="DA158" i="2"/>
  <c r="DE320" i="2"/>
  <c r="DD320" i="2"/>
  <c r="EJ138" i="2"/>
  <c r="CW138" i="2"/>
  <c r="BQ138" i="2"/>
  <c r="CQ138" i="2" s="1"/>
  <c r="CV138" i="2"/>
  <c r="CZ138" i="2"/>
  <c r="DW138" i="2"/>
  <c r="DM138" i="2"/>
  <c r="DC138" i="2" s="1"/>
  <c r="CT138" i="2"/>
  <c r="DG138" i="2"/>
  <c r="EL138" i="2"/>
  <c r="CR138" i="2"/>
  <c r="CS138" i="2"/>
  <c r="DY81" i="2"/>
  <c r="DD331" i="2"/>
  <c r="DF331" i="2" s="1"/>
  <c r="DE331" i="2"/>
  <c r="CD287" i="2"/>
  <c r="CF287" i="2"/>
  <c r="CG287" i="2"/>
  <c r="EK18" i="2"/>
  <c r="BL18" i="2"/>
  <c r="EM18" i="2"/>
  <c r="EN18" i="2" s="1"/>
  <c r="DE96" i="2"/>
  <c r="DD243" i="2"/>
  <c r="DE243" i="2"/>
  <c r="EV230" i="2"/>
  <c r="EW230" i="2" s="1"/>
  <c r="EX230" i="2" s="1"/>
  <c r="CR230" i="2"/>
  <c r="CT230" i="2"/>
  <c r="CU230" i="2"/>
  <c r="CS230" i="2"/>
  <c r="EU230" i="2"/>
  <c r="EL230" i="2"/>
  <c r="BQ230" i="2"/>
  <c r="DM230" i="2"/>
  <c r="CV230" i="2"/>
  <c r="DA77" i="2"/>
  <c r="CU77" i="2"/>
  <c r="CR77" i="2"/>
  <c r="CV77" i="2"/>
  <c r="CZ77" i="2"/>
  <c r="DM77" i="2"/>
  <c r="EJ77" i="2"/>
  <c r="EU77" i="2"/>
  <c r="EL77" i="2"/>
  <c r="CT77" i="2"/>
  <c r="CY230" i="2"/>
  <c r="CZ230" i="2"/>
  <c r="DC254" i="2"/>
  <c r="CW230" i="2"/>
  <c r="DF272" i="2"/>
  <c r="DU272" i="2"/>
  <c r="DN272" i="2"/>
  <c r="DP272" i="2" s="1"/>
  <c r="DQ272" i="2" s="1"/>
  <c r="DS272" i="2" s="1"/>
  <c r="CR158" i="2"/>
  <c r="EL158" i="2"/>
  <c r="CT158" i="2"/>
  <c r="CS158" i="2"/>
  <c r="CZ158" i="2"/>
  <c r="EV158" i="2"/>
  <c r="EW158" i="2" s="1"/>
  <c r="EX158" i="2" s="1"/>
  <c r="EU158" i="2"/>
  <c r="CU158" i="2"/>
  <c r="EJ158" i="2"/>
  <c r="DM158" i="2"/>
  <c r="DW158" i="2"/>
  <c r="EG158" i="2" s="1"/>
  <c r="BQ158" i="2"/>
  <c r="CV158" i="2"/>
  <c r="CW158" i="2"/>
  <c r="CY158" i="2"/>
  <c r="CX158" i="2"/>
  <c r="EF96" i="2"/>
  <c r="DV96" i="2"/>
  <c r="EG179" i="2"/>
  <c r="DY179" i="2"/>
  <c r="DV272" i="2"/>
  <c r="BT176" i="2"/>
  <c r="BU176" i="2" s="1"/>
  <c r="CQ219" i="2"/>
  <c r="CW77" i="2"/>
  <c r="DG77" i="2"/>
  <c r="CY77" i="2"/>
  <c r="CX77" i="2"/>
  <c r="ED105" i="2"/>
  <c r="CS77" i="2"/>
  <c r="DA138" i="2"/>
  <c r="DC201" i="2"/>
  <c r="EC52" i="2"/>
  <c r="EV77" i="2"/>
  <c r="EW77" i="2" s="1"/>
  <c r="EX77" i="2" s="1"/>
  <c r="DC90" i="2"/>
  <c r="EB52" i="2"/>
  <c r="BQ77" i="2"/>
  <c r="EF272" i="2"/>
  <c r="DW77" i="2"/>
  <c r="DA6" i="2"/>
  <c r="EU6" i="2"/>
  <c r="CR121" i="2"/>
  <c r="EL121" i="2"/>
  <c r="EU121" i="2"/>
  <c r="EG46" i="2"/>
  <c r="G105" i="2"/>
  <c r="F105" i="2"/>
  <c r="EV204" i="2"/>
  <c r="EW204" i="2" s="1"/>
  <c r="EX204" i="2" s="1"/>
  <c r="DW204" i="2"/>
  <c r="EL204" i="2"/>
  <c r="DA204" i="2"/>
  <c r="CU204" i="2"/>
  <c r="DV52" i="2"/>
  <c r="DD105" i="2"/>
  <c r="DC331" i="2"/>
  <c r="CR204" i="2"/>
  <c r="BT320" i="2"/>
  <c r="BU320" i="2" s="1"/>
  <c r="CV204" i="2"/>
  <c r="CY204" i="2"/>
  <c r="CZ204" i="2"/>
  <c r="BW3" i="2"/>
  <c r="CK3" i="2"/>
  <c r="CH3" i="2"/>
  <c r="CC3" i="2" s="1"/>
  <c r="AR3" i="2" a="1"/>
  <c r="AR3" i="2" s="1"/>
  <c r="CD3" i="2"/>
  <c r="DM204" i="2"/>
  <c r="BQ204" i="2"/>
  <c r="CF160" i="2"/>
  <c r="CD160" i="2"/>
  <c r="F38" i="2"/>
  <c r="G38" i="2"/>
  <c r="EU83" i="2"/>
  <c r="EV83" i="2"/>
  <c r="DE309" i="2"/>
  <c r="CT303" i="2"/>
  <c r="DG303" i="2"/>
  <c r="DA303" i="2"/>
  <c r="CX303" i="2"/>
  <c r="EV303" i="2"/>
  <c r="EW303" i="2" s="1"/>
  <c r="EX303" i="2" s="1"/>
  <c r="DN309" i="2"/>
  <c r="DP309" i="2" s="1"/>
  <c r="DQ309" i="2" s="1"/>
  <c r="DV309" i="2"/>
  <c r="CR297" i="2"/>
  <c r="CU297" i="2"/>
  <c r="CS297" i="2"/>
  <c r="DG297" i="2"/>
  <c r="EV297" i="2"/>
  <c r="CV297" i="2"/>
  <c r="CZ297" i="2"/>
  <c r="DM297" i="2"/>
  <c r="DW297" i="2"/>
  <c r="CK307" i="2"/>
  <c r="AR307" i="2" a="1"/>
  <c r="AR307" i="2" s="1"/>
  <c r="CD307" i="2"/>
  <c r="P307" i="2"/>
  <c r="A307" i="2" s="1"/>
  <c r="DW303" i="2"/>
  <c r="CX137" i="2"/>
  <c r="CS137" i="2"/>
  <c r="G245" i="2"/>
  <c r="BQ142" i="2"/>
  <c r="EL142" i="2"/>
  <c r="DM142" i="2"/>
  <c r="EU142" i="2"/>
  <c r="CU142" i="2"/>
  <c r="BX214" i="2"/>
  <c r="BY214" i="2" s="1"/>
  <c r="AU214" i="2"/>
  <c r="EJ303" i="2"/>
  <c r="CW26" i="2"/>
  <c r="EL26" i="2"/>
  <c r="EL303" i="2"/>
  <c r="EU166" i="2"/>
  <c r="EV166" i="2"/>
  <c r="EV143" i="2"/>
  <c r="EW143" i="2" s="1"/>
  <c r="EX143" i="2" s="1"/>
  <c r="EU143" i="2"/>
  <c r="EU220" i="2"/>
  <c r="EV220" i="2"/>
  <c r="EW220" i="2" s="1"/>
  <c r="EX220" i="2" s="1"/>
  <c r="EJ162" i="2"/>
  <c r="CY162" i="2"/>
  <c r="CX162" i="2"/>
  <c r="CV201" i="2"/>
  <c r="DA201" i="2"/>
  <c r="DG201" i="2"/>
  <c r="CR201" i="2"/>
  <c r="CS201" i="2"/>
  <c r="CS81" i="2"/>
  <c r="CS227" i="2"/>
  <c r="EU227" i="2"/>
  <c r="CU190" i="2"/>
  <c r="CV90" i="2"/>
  <c r="DD90" i="2" s="1"/>
  <c r="EJ115" i="2"/>
  <c r="CT201" i="2"/>
  <c r="DA227" i="2"/>
  <c r="DW227" i="2"/>
  <c r="BW89" i="2"/>
  <c r="EV252" i="2"/>
  <c r="EU252" i="2"/>
  <c r="CU227" i="2"/>
  <c r="DG260" i="2"/>
  <c r="CR260" i="2"/>
  <c r="DA190" i="2"/>
  <c r="EL115" i="2"/>
  <c r="EJ227" i="2"/>
  <c r="DG162" i="2"/>
  <c r="CT227" i="2"/>
  <c r="AU94" i="2"/>
  <c r="CN94" i="2" s="1"/>
  <c r="EU244" i="2"/>
  <c r="EV244" i="2"/>
  <c r="BX144" i="2"/>
  <c r="BY144" i="2" s="1"/>
  <c r="AU144" i="2"/>
  <c r="DM239" i="2"/>
  <c r="DW239" i="2"/>
  <c r="EJ239" i="2"/>
  <c r="BX245" i="2"/>
  <c r="BY245" i="2" s="1"/>
  <c r="AU245" i="2"/>
  <c r="DM282" i="2"/>
  <c r="DW282" i="2"/>
  <c r="EJ282" i="2"/>
  <c r="BQ282" i="2"/>
  <c r="BX330" i="2"/>
  <c r="BY330" i="2" s="1"/>
  <c r="AU330" i="2"/>
  <c r="EW330" i="2" s="1"/>
  <c r="EX330" i="2" s="1"/>
  <c r="AU231" i="2"/>
  <c r="AU58" i="2"/>
  <c r="BX58" i="2"/>
  <c r="BY58" i="2" s="1"/>
  <c r="G191" i="2"/>
  <c r="F191" i="2"/>
  <c r="EU34" i="2"/>
  <c r="EV34" i="2"/>
  <c r="EW34" i="2" s="1"/>
  <c r="EX34" i="2" s="1"/>
  <c r="EU113" i="2"/>
  <c r="AU233" i="2"/>
  <c r="BX233" i="2"/>
  <c r="BY233" i="2" s="1"/>
  <c r="F224" i="2"/>
  <c r="F7" i="2"/>
  <c r="G7" i="2"/>
  <c r="F183" i="2"/>
  <c r="G183" i="2"/>
  <c r="AU53" i="2"/>
  <c r="BX53" i="2"/>
  <c r="BY53" i="2" s="1"/>
  <c r="EV290" i="2"/>
  <c r="EW290" i="2" s="1"/>
  <c r="EX290" i="2" s="1"/>
  <c r="EU290" i="2"/>
  <c r="BT125" i="2"/>
  <c r="BU125" i="2" s="1"/>
  <c r="CN125" i="2"/>
  <c r="BQ111" i="2"/>
  <c r="EL111" i="2"/>
  <c r="DA111" i="2"/>
  <c r="DG111" i="2"/>
  <c r="DY111" i="2" s="1"/>
  <c r="EJ111" i="2"/>
  <c r="CV111" i="2"/>
  <c r="CU111" i="2"/>
  <c r="DW111" i="2"/>
  <c r="CS111" i="2"/>
  <c r="CX111" i="2"/>
  <c r="EG112" i="2"/>
  <c r="DY112" i="2"/>
  <c r="G231" i="2"/>
  <c r="F231" i="2"/>
  <c r="EU13" i="2"/>
  <c r="BX72" i="2"/>
  <c r="BY72" i="2" s="1"/>
  <c r="AU72" i="2"/>
  <c r="BQ164" i="2"/>
  <c r="DM164" i="2"/>
  <c r="CN43" i="2"/>
  <c r="G280" i="2"/>
  <c r="F280" i="2"/>
  <c r="DA53" i="2"/>
  <c r="EL53" i="2"/>
  <c r="EV53" i="2"/>
  <c r="CZ53" i="2"/>
  <c r="AU333" i="2"/>
  <c r="BX333" i="2"/>
  <c r="BY333" i="2" s="1"/>
  <c r="G210" i="2"/>
  <c r="F210" i="2"/>
  <c r="AU175" i="2"/>
  <c r="BX175" i="2"/>
  <c r="BY175" i="2" s="1"/>
  <c r="BX322" i="2"/>
  <c r="BY322" i="2" s="1"/>
  <c r="AU322" i="2"/>
  <c r="EW322" i="2" s="1"/>
  <c r="EX322" i="2" s="1"/>
  <c r="EU93" i="2"/>
  <c r="EV93" i="2"/>
  <c r="EG9" i="2"/>
  <c r="AU298" i="2"/>
  <c r="CN298" i="2" s="1"/>
  <c r="BX298" i="2"/>
  <c r="BY298" i="2" s="1"/>
  <c r="BX139" i="2"/>
  <c r="BY139" i="2" s="1"/>
  <c r="AU139" i="2"/>
  <c r="CN139" i="2" s="1"/>
  <c r="G171" i="2"/>
  <c r="F171" i="2"/>
  <c r="F113" i="2"/>
  <c r="G113" i="2"/>
  <c r="CQ41" i="2"/>
  <c r="DE41" i="2" s="1"/>
  <c r="AU31" i="2"/>
  <c r="EL212" i="2"/>
  <c r="CZ212" i="2"/>
  <c r="CW212" i="2"/>
  <c r="G61" i="2"/>
  <c r="F61" i="2"/>
  <c r="F220" i="2"/>
  <c r="G220" i="2"/>
  <c r="BX336" i="2"/>
  <c r="BY336" i="2" s="1"/>
  <c r="AU336" i="2"/>
  <c r="BX313" i="2"/>
  <c r="BY313" i="2" s="1"/>
  <c r="EL143" i="2"/>
  <c r="CS143" i="2"/>
  <c r="DM143" i="2"/>
  <c r="DC143" i="2" s="1"/>
  <c r="EV3" i="2"/>
  <c r="CW22" i="2"/>
  <c r="CU22" i="2"/>
  <c r="EL22" i="2"/>
  <c r="CT312" i="2"/>
  <c r="CR312" i="2"/>
  <c r="EU330" i="2"/>
  <c r="EU153" i="2"/>
  <c r="G227" i="2"/>
  <c r="F227" i="2"/>
  <c r="G47" i="2"/>
  <c r="F47" i="2"/>
  <c r="CN332" i="2"/>
  <c r="CO332" i="2"/>
  <c r="Y115" i="4"/>
  <c r="BQ239" i="2"/>
  <c r="CX31" i="2"/>
  <c r="EJ16" i="2"/>
  <c r="CF143" i="2"/>
  <c r="AR103" i="2" a="1"/>
  <c r="AR103" i="2" s="1"/>
  <c r="P103" i="2"/>
  <c r="A103" i="2" s="1"/>
  <c r="AR188" i="2" a="1"/>
  <c r="AR188" i="2" s="1"/>
  <c r="CK188" i="2"/>
  <c r="EJ236" i="2"/>
  <c r="CS32" i="2"/>
  <c r="CS16" i="2"/>
  <c r="CG64" i="2"/>
  <c r="BX160" i="2"/>
  <c r="BY160" i="2" s="1"/>
  <c r="AU160" i="2"/>
  <c r="BC326" i="2"/>
  <c r="CE326" i="2"/>
  <c r="BF326" i="2"/>
  <c r="AZ326" i="2"/>
  <c r="CK330" i="2"/>
  <c r="CD330" i="2"/>
  <c r="CH330" i="2"/>
  <c r="CC330" i="2" s="1"/>
  <c r="EM107" i="2"/>
  <c r="EN107" i="2" s="1"/>
  <c r="ET129" i="2"/>
  <c r="ET94" i="2"/>
  <c r="EI94" i="2"/>
  <c r="EI112" i="2"/>
  <c r="BJ139" i="2"/>
  <c r="ES139" i="2"/>
  <c r="BJ131" i="2"/>
  <c r="ES144" i="2"/>
  <c r="BJ112" i="2"/>
  <c r="EM100" i="2"/>
  <c r="EN100" i="2" s="1"/>
  <c r="ET119" i="2"/>
  <c r="ES127" i="2"/>
  <c r="ES96" i="2"/>
  <c r="CU32" i="2"/>
  <c r="EU32" i="2"/>
  <c r="DM16" i="2"/>
  <c r="DC16" i="2" s="1"/>
  <c r="BX130" i="2"/>
  <c r="BY130" i="2" s="1"/>
  <c r="CX87" i="2"/>
  <c r="BW248" i="2"/>
  <c r="CK248" i="2"/>
  <c r="CD248" i="2"/>
  <c r="CH248" i="2"/>
  <c r="CC248" i="2" s="1"/>
  <c r="AR248" i="2" a="1"/>
  <c r="AR248" i="2" s="1"/>
  <c r="P248" i="2"/>
  <c r="A248" i="2" s="1"/>
  <c r="CN38" i="2"/>
  <c r="EJ193" i="2"/>
  <c r="AR235" i="2" a="1"/>
  <c r="AR235" i="2" s="1"/>
  <c r="CK235" i="2"/>
  <c r="CF235" i="2"/>
  <c r="CN151" i="2"/>
  <c r="DW32" i="2"/>
  <c r="F53" i="2"/>
  <c r="EM111" i="2"/>
  <c r="EN111" i="2" s="1"/>
  <c r="DG87" i="2"/>
  <c r="AR8" i="2" a="1"/>
  <c r="AR8" i="2" s="1"/>
  <c r="CF8" i="2"/>
  <c r="BQ154" i="2"/>
  <c r="BT154" i="2" s="1"/>
  <c r="BU154" i="2" s="1"/>
  <c r="DM154" i="2"/>
  <c r="DC154" i="2" s="1"/>
  <c r="EL154" i="2"/>
  <c r="EJ154" i="2"/>
  <c r="CV154" i="2"/>
  <c r="DW154" i="2"/>
  <c r="EJ289" i="2"/>
  <c r="DW289" i="2"/>
  <c r="EG289" i="2" s="1"/>
  <c r="CU193" i="2"/>
  <c r="CD103" i="2"/>
  <c r="CD143" i="2"/>
  <c r="EL87" i="2"/>
  <c r="BG210" i="2"/>
  <c r="AZ210" i="2"/>
  <c r="AI210" i="2"/>
  <c r="BF210" i="2"/>
  <c r="AR223" i="2" a="1"/>
  <c r="AR223" i="2" s="1"/>
  <c r="BG261" i="2"/>
  <c r="AI261" i="2"/>
  <c r="BF261" i="2"/>
  <c r="CG261" i="2" s="1"/>
  <c r="BT280" i="2"/>
  <c r="BU280" i="2" s="1"/>
  <c r="DG102" i="2"/>
  <c r="CY32" i="2"/>
  <c r="EJ87" i="2"/>
  <c r="CH16" i="2"/>
  <c r="CC16" i="2" s="1"/>
  <c r="CK252" i="2"/>
  <c r="AR18" i="2" a="1"/>
  <c r="AR18" i="2" s="1"/>
  <c r="CH18" i="2"/>
  <c r="CC18" i="2" s="1"/>
  <c r="AM93" i="2"/>
  <c r="CE93" i="2"/>
  <c r="BF93" i="2"/>
  <c r="CG93" i="2" s="1"/>
  <c r="EI116" i="2"/>
  <c r="ES116" i="2"/>
  <c r="EU116" i="2" s="1"/>
  <c r="ET116" i="2"/>
  <c r="AI120" i="2"/>
  <c r="BG120" i="2"/>
  <c r="AZ120" i="2"/>
  <c r="BF120" i="2"/>
  <c r="EL153" i="2"/>
  <c r="CQ25" i="2"/>
  <c r="CZ102" i="2"/>
  <c r="CV32" i="2"/>
  <c r="BW103" i="2"/>
  <c r="AU91" i="2"/>
  <c r="P218" i="2"/>
  <c r="A218" i="2" s="1"/>
  <c r="CZ76" i="2"/>
  <c r="CW76" i="2"/>
  <c r="BF150" i="2"/>
  <c r="CG150" i="2" s="1"/>
  <c r="CE150" i="2"/>
  <c r="AM150" i="2"/>
  <c r="EV60" i="2"/>
  <c r="EV11" i="2"/>
  <c r="CF44" i="2"/>
  <c r="CD44" i="2"/>
  <c r="DY76" i="2"/>
  <c r="CU124" i="2"/>
  <c r="CW60" i="2"/>
  <c r="DM167" i="2"/>
  <c r="DC167" i="2" s="1"/>
  <c r="CX32" i="2"/>
  <c r="BX97" i="2"/>
  <c r="BY97" i="2" s="1"/>
  <c r="CF72" i="2"/>
  <c r="CG323" i="2"/>
  <c r="CH218" i="2"/>
  <c r="CC218" i="2" s="1"/>
  <c r="DM87" i="2"/>
  <c r="CG35" i="2"/>
  <c r="CF122" i="2"/>
  <c r="CD122" i="2"/>
  <c r="AR42" i="2" a="1"/>
  <c r="AR42" i="2" s="1"/>
  <c r="CK42" i="2"/>
  <c r="CH260" i="2"/>
  <c r="CC260" i="2" s="1"/>
  <c r="BW260" i="2"/>
  <c r="AR276" i="2" a="1"/>
  <c r="AR276" i="2" s="1"/>
  <c r="CF276" i="2"/>
  <c r="BW276" i="2"/>
  <c r="CE67" i="2"/>
  <c r="AM67" i="2"/>
  <c r="BF67" i="2"/>
  <c r="CG67" i="2" s="1"/>
  <c r="BG117" i="2"/>
  <c r="EM117" i="2" s="1"/>
  <c r="EN117" i="2" s="1"/>
  <c r="AZ117" i="2"/>
  <c r="CF117" i="2" s="1"/>
  <c r="BF117" i="2"/>
  <c r="AI117" i="2"/>
  <c r="AZ16" i="2"/>
  <c r="CU56" i="2"/>
  <c r="EL124" i="2"/>
  <c r="CU60" i="2"/>
  <c r="BQ167" i="2"/>
  <c r="BQ241" i="2"/>
  <c r="DW193" i="2"/>
  <c r="EG193" i="2" s="1"/>
  <c r="F160" i="2"/>
  <c r="EK282" i="2"/>
  <c r="BL279" i="2"/>
  <c r="EV279" i="2" s="1"/>
  <c r="EW279" i="2" s="1"/>
  <c r="EX279" i="2" s="1"/>
  <c r="BW218" i="2"/>
  <c r="DW87" i="2"/>
  <c r="AI11" i="2"/>
  <c r="BF11" i="2"/>
  <c r="CG11" i="2" s="1"/>
  <c r="AZ11" i="2"/>
  <c r="CF11" i="2" s="1"/>
  <c r="DA153" i="2"/>
  <c r="CV124" i="2"/>
  <c r="CV60" i="2"/>
  <c r="DW167" i="2"/>
  <c r="DM186" i="2"/>
  <c r="DC186" i="2" s="1"/>
  <c r="CN250" i="2"/>
  <c r="CK218" i="2"/>
  <c r="DY25" i="2"/>
  <c r="BX96" i="2"/>
  <c r="BY96" i="2" s="1"/>
  <c r="F45" i="2"/>
  <c r="G45" i="2"/>
  <c r="EJ170" i="2"/>
  <c r="BQ251" i="2"/>
  <c r="DM251" i="2"/>
  <c r="DC251" i="2" s="1"/>
  <c r="AR11" i="2" a="1"/>
  <c r="AR11" i="2" s="1"/>
  <c r="P11" i="2"/>
  <c r="A11" i="2" s="1"/>
  <c r="CK172" i="2"/>
  <c r="P172" i="2"/>
  <c r="A172" i="2" s="1"/>
  <c r="BW172" i="2"/>
  <c r="F72" i="2"/>
  <c r="G72" i="2"/>
  <c r="EG38" i="2"/>
  <c r="BQ284" i="2"/>
  <c r="CV118" i="2"/>
  <c r="CX60" i="2"/>
  <c r="F119" i="2"/>
  <c r="DM193" i="2"/>
  <c r="CH188" i="2"/>
  <c r="CC188" i="2" s="1"/>
  <c r="CD208" i="2"/>
  <c r="CD235" i="2"/>
  <c r="BL14" i="2"/>
  <c r="AR304" i="2" a="1"/>
  <c r="AR304" i="2" s="1"/>
  <c r="P304" i="2"/>
  <c r="A304" i="2" s="1"/>
  <c r="BX143" i="2"/>
  <c r="BY143" i="2" s="1"/>
  <c r="BF172" i="2"/>
  <c r="AI172" i="2"/>
  <c r="AZ172" i="2"/>
  <c r="CD172" i="2" s="1"/>
  <c r="CS45" i="2"/>
  <c r="EJ251" i="2"/>
  <c r="BQ60" i="2"/>
  <c r="CQ60" i="2" s="1"/>
  <c r="G118" i="2"/>
  <c r="EK14" i="2"/>
  <c r="P16" i="2"/>
  <c r="A16" i="2" s="1"/>
  <c r="F16" i="2" s="1"/>
  <c r="BL86" i="2"/>
  <c r="CX86" i="2" s="1"/>
  <c r="EK86" i="2"/>
  <c r="P69" i="2"/>
  <c r="A69" i="2" s="1"/>
  <c r="CH69" i="2"/>
  <c r="CC69" i="2" s="1"/>
  <c r="CK69" i="2"/>
  <c r="BW69" i="2"/>
  <c r="EK225" i="2"/>
  <c r="BL225" i="2"/>
  <c r="BG40" i="2"/>
  <c r="BF40" i="2"/>
  <c r="AI40" i="2"/>
  <c r="ES85" i="2"/>
  <c r="EM85" i="2"/>
  <c r="EN85" i="2" s="1"/>
  <c r="BG108" i="2"/>
  <c r="AI108" i="2"/>
  <c r="BT181" i="2"/>
  <c r="BU181" i="2" s="1"/>
  <c r="DW60" i="2"/>
  <c r="P235" i="2"/>
  <c r="A235" i="2" s="1"/>
  <c r="F336" i="2"/>
  <c r="G336" i="2"/>
  <c r="AU142" i="2"/>
  <c r="BX142" i="2"/>
  <c r="BY142" i="2" s="1"/>
  <c r="CF194" i="2"/>
  <c r="CD194" i="2"/>
  <c r="BX47" i="2"/>
  <c r="BY47" i="2" s="1"/>
  <c r="K165" i="47"/>
  <c r="K83" i="47"/>
  <c r="DG142" i="2" s="1"/>
  <c r="K162" i="47"/>
  <c r="K134" i="47"/>
  <c r="DG263" i="2" s="1"/>
  <c r="K135" i="47"/>
  <c r="DG265" i="2" s="1"/>
  <c r="K163" i="47"/>
  <c r="K75" i="47"/>
  <c r="BT58" i="2"/>
  <c r="BU58" i="2" s="1"/>
  <c r="CS60" i="2"/>
  <c r="BW208" i="2"/>
  <c r="BW235" i="2"/>
  <c r="F161" i="2"/>
  <c r="G161" i="2"/>
  <c r="CF218" i="2"/>
  <c r="EU45" i="2"/>
  <c r="CY118" i="2"/>
  <c r="F201" i="2"/>
  <c r="DM240" i="2"/>
  <c r="P259" i="2"/>
  <c r="A259" i="2" s="1"/>
  <c r="G259" i="2" s="1"/>
  <c r="AR16" i="2" a="1"/>
  <c r="AR16" i="2" s="1"/>
  <c r="DW170" i="2"/>
  <c r="EV250" i="2"/>
  <c r="EW250" i="2" s="1"/>
  <c r="EX250" i="2" s="1"/>
  <c r="DW236" i="2"/>
  <c r="CY45" i="2"/>
  <c r="CD259" i="2"/>
  <c r="P208" i="2"/>
  <c r="A208" i="2" s="1"/>
  <c r="AR109" i="2" a="1"/>
  <c r="AR109" i="2" s="1"/>
  <c r="K152" i="47"/>
  <c r="DG306" i="2" s="1"/>
  <c r="F29" i="2"/>
  <c r="G29" i="2"/>
  <c r="BX79" i="2"/>
  <c r="BY79" i="2" s="1"/>
  <c r="CZ45" i="2"/>
  <c r="CW118" i="2"/>
  <c r="CH259" i="2"/>
  <c r="CC259" i="2" s="1"/>
  <c r="CK208" i="2"/>
  <c r="CG246" i="2"/>
  <c r="BQ170" i="2"/>
  <c r="EK103" i="2"/>
  <c r="AU108" i="2"/>
  <c r="DM236" i="2"/>
  <c r="EJ45" i="2"/>
  <c r="BQ240" i="2"/>
  <c r="CF259" i="2"/>
  <c r="BL64" i="2"/>
  <c r="BX192" i="2"/>
  <c r="BY192" i="2" s="1"/>
  <c r="AU192" i="2"/>
  <c r="BW308" i="2"/>
  <c r="CH308" i="2"/>
  <c r="CC308" i="2" s="1"/>
  <c r="CF308" i="2"/>
  <c r="AR232" i="2" a="1"/>
  <c r="AR232" i="2" s="1"/>
  <c r="BW232" i="2"/>
  <c r="CH232" i="2"/>
  <c r="CC232" i="2" s="1"/>
  <c r="CK232" i="2"/>
  <c r="P232" i="2"/>
  <c r="A232" i="2" s="1"/>
  <c r="CD232" i="2"/>
  <c r="CH193" i="2"/>
  <c r="CC193" i="2" s="1"/>
  <c r="BW193" i="2"/>
  <c r="AR193" i="2" a="1"/>
  <c r="AR193" i="2" s="1"/>
  <c r="CX56" i="2"/>
  <c r="BQ228" i="2"/>
  <c r="CT45" i="2"/>
  <c r="DA112" i="2"/>
  <c r="DA83" i="2"/>
  <c r="AR259" i="2" a="1"/>
  <c r="AR259" i="2" s="1"/>
  <c r="G131" i="2"/>
  <c r="EK64" i="2"/>
  <c r="AU33" i="2"/>
  <c r="CN33" i="2" s="1"/>
  <c r="CG112" i="2"/>
  <c r="AU285" i="2"/>
  <c r="BX285" i="2"/>
  <c r="BY285" i="2" s="1"/>
  <c r="CF285" i="2"/>
  <c r="CG285" i="2"/>
  <c r="CG28" i="2"/>
  <c r="A59" i="2"/>
  <c r="CF112" i="2"/>
  <c r="CG156" i="2"/>
  <c r="EV84" i="2"/>
  <c r="CD227" i="2"/>
  <c r="AR227" i="2" a="1"/>
  <c r="AR227" i="2" s="1"/>
  <c r="CK227" i="2"/>
  <c r="G278" i="2"/>
  <c r="F278" i="2"/>
  <c r="BQ265" i="2"/>
  <c r="CT112" i="2"/>
  <c r="AU261" i="2"/>
  <c r="CN261" i="2" s="1"/>
  <c r="CV83" i="2"/>
  <c r="F81" i="2"/>
  <c r="DG32" i="2"/>
  <c r="AU218" i="2"/>
  <c r="CD156" i="2"/>
  <c r="CK34" i="2"/>
  <c r="CS167" i="2"/>
  <c r="CY56" i="2"/>
  <c r="DM284" i="2"/>
  <c r="F23" i="2"/>
  <c r="CX112" i="2"/>
  <c r="DG83" i="2"/>
  <c r="G316" i="2"/>
  <c r="DA32" i="2"/>
  <c r="F34" i="2"/>
  <c r="CF54" i="2"/>
  <c r="CG302" i="2"/>
  <c r="EU282" i="2"/>
  <c r="EJ310" i="2"/>
  <c r="EL16" i="2"/>
  <c r="CF99" i="2"/>
  <c r="BX99" i="2"/>
  <c r="BY99" i="2" s="1"/>
  <c r="BW34" i="2"/>
  <c r="A149" i="2"/>
  <c r="CH215" i="2"/>
  <c r="CC215" i="2" s="1"/>
  <c r="I59" i="19"/>
  <c r="AH22" i="19"/>
  <c r="BY264" i="2"/>
  <c r="BF282" i="2"/>
  <c r="CG282" i="2" s="1"/>
  <c r="BJ125" i="2"/>
  <c r="G61" i="19"/>
  <c r="P597" i="10"/>
  <c r="P116" i="10"/>
  <c r="P337" i="10"/>
  <c r="ET138" i="2"/>
  <c r="BJ14" i="2"/>
  <c r="DG133" i="2"/>
  <c r="CF339" i="2"/>
  <c r="P339" i="2"/>
  <c r="A339" i="2" s="1"/>
  <c r="CH339" i="2"/>
  <c r="CC339" i="2" s="1"/>
  <c r="CK339" i="2"/>
  <c r="AG49" i="19"/>
  <c r="R28" i="19"/>
  <c r="I45" i="19"/>
  <c r="R62" i="19"/>
  <c r="G226" i="19"/>
  <c r="P463" i="10"/>
  <c r="ES90" i="2"/>
  <c r="CY92" i="2"/>
  <c r="P61" i="19"/>
  <c r="P357" i="10"/>
  <c r="ET144" i="2"/>
  <c r="ET52" i="2"/>
  <c r="ES9" i="2"/>
  <c r="EV9" i="2" s="1"/>
  <c r="BL268" i="2"/>
  <c r="EK268" i="2"/>
  <c r="BF328" i="2"/>
  <c r="CE328" i="2"/>
  <c r="BC328" i="2"/>
  <c r="P606" i="10"/>
  <c r="P338" i="10"/>
  <c r="P682" i="10"/>
  <c r="P561" i="10"/>
  <c r="P132" i="10"/>
  <c r="K45" i="4" a="1"/>
  <c r="K45" i="4" s="1"/>
  <c r="K46" i="4" a="1"/>
  <c r="K46" i="4" s="1"/>
  <c r="K48" i="4" a="1"/>
  <c r="K48" i="4" s="1"/>
  <c r="K50" i="4" a="1"/>
  <c r="K50" i="4" s="1"/>
  <c r="K47" i="4" a="1"/>
  <c r="K47" i="4" s="1"/>
  <c r="P215" i="2"/>
  <c r="A215" i="2" s="1"/>
  <c r="ES125" i="2"/>
  <c r="Q47" i="19"/>
  <c r="CG279" i="2"/>
  <c r="ET61" i="2"/>
  <c r="ES89" i="2"/>
  <c r="P652" i="10"/>
  <c r="ES17" i="2"/>
  <c r="G209" i="19"/>
  <c r="EI41" i="2"/>
  <c r="ET24" i="2"/>
  <c r="BJ82" i="2"/>
  <c r="BQ174" i="2"/>
  <c r="CQ174" i="2" s="1"/>
  <c r="DM174" i="2"/>
  <c r="DC174" i="2" s="1"/>
  <c r="EJ174" i="2"/>
  <c r="DW174" i="2"/>
  <c r="EG174" i="2" s="1"/>
  <c r="CE179" i="2"/>
  <c r="AM179" i="2"/>
  <c r="BG213" i="2"/>
  <c r="AI213" i="2"/>
  <c r="AZ213" i="2"/>
  <c r="EK223" i="2"/>
  <c r="BL223" i="2"/>
  <c r="P563" i="10"/>
  <c r="CH132" i="2"/>
  <c r="CC132" i="2" s="1"/>
  <c r="CK132" i="2"/>
  <c r="EK168" i="2"/>
  <c r="BL168" i="2"/>
  <c r="CF154" i="2"/>
  <c r="P154" i="2"/>
  <c r="A154" i="2" s="1"/>
  <c r="CH154" i="2"/>
  <c r="CC154" i="2" s="1"/>
  <c r="CK154" i="2"/>
  <c r="CE170" i="2"/>
  <c r="AM170" i="2"/>
  <c r="AM168" i="2"/>
  <c r="BF168" i="2"/>
  <c r="CG168" i="2" s="1"/>
  <c r="AI314" i="2"/>
  <c r="P127" i="10"/>
  <c r="P593" i="10"/>
  <c r="P170" i="10"/>
  <c r="P441" i="10"/>
  <c r="P414" i="10"/>
  <c r="P436" i="10"/>
  <c r="P457" i="10"/>
  <c r="Q12" i="19"/>
  <c r="AB12" i="19" s="1"/>
  <c r="G176" i="19"/>
  <c r="P446" i="10"/>
  <c r="G241" i="19"/>
  <c r="G231" i="19"/>
  <c r="ES63" i="2"/>
  <c r="P34" i="19"/>
  <c r="AA34" i="19" s="1"/>
  <c r="CW91" i="2"/>
  <c r="P253" i="2"/>
  <c r="A253" i="2" s="1"/>
  <c r="CK253" i="2"/>
  <c r="BJ73" i="2"/>
  <c r="BF126" i="2"/>
  <c r="CG126" i="2" s="1"/>
  <c r="CE126" i="2"/>
  <c r="BJ218" i="2"/>
  <c r="EM218" i="2"/>
  <c r="EN218" i="2" s="1"/>
  <c r="ES218" i="2"/>
  <c r="ET218" i="2"/>
  <c r="EI218" i="2"/>
  <c r="BF273" i="2"/>
  <c r="AI273" i="2"/>
  <c r="AI332" i="2"/>
  <c r="CE337" i="2"/>
  <c r="AM337" i="2"/>
  <c r="EK342" i="2"/>
  <c r="BL342" i="2"/>
  <c r="CZ3" i="4"/>
  <c r="CZ119" i="4"/>
  <c r="CZ64" i="4"/>
  <c r="P356" i="10"/>
  <c r="CH282" i="2"/>
  <c r="CC282" i="2" s="1"/>
  <c r="P282" i="2"/>
  <c r="A282" i="2" s="1"/>
  <c r="BL317" i="2"/>
  <c r="EK317" i="2"/>
  <c r="AZ332" i="2"/>
  <c r="BC332" i="2"/>
  <c r="P92" i="10"/>
  <c r="CT66" i="2"/>
  <c r="DM66" i="2"/>
  <c r="BQ66" i="2"/>
  <c r="CK44" i="2"/>
  <c r="BW44" i="2"/>
  <c r="P44" i="2"/>
  <c r="A44" i="2" s="1"/>
  <c r="BG171" i="2"/>
  <c r="BF171" i="2"/>
  <c r="CG171" i="2" s="1"/>
  <c r="BL207" i="2"/>
  <c r="EK207" i="2"/>
  <c r="BF248" i="2"/>
  <c r="CG248" i="2" s="1"/>
  <c r="CE248" i="2"/>
  <c r="AI270" i="2"/>
  <c r="BF270" i="2"/>
  <c r="CG270" i="2" s="1"/>
  <c r="BG270" i="2"/>
  <c r="AZ311" i="2"/>
  <c r="BG311" i="2"/>
  <c r="CR91" i="2"/>
  <c r="ES18" i="2"/>
  <c r="ES16" i="2"/>
  <c r="EU16" i="2" s="1"/>
  <c r="ES82" i="2"/>
  <c r="EU82" i="2" s="1"/>
  <c r="BJ56" i="2"/>
  <c r="CS80" i="2"/>
  <c r="EI111" i="2"/>
  <c r="ET42" i="2"/>
  <c r="CR76" i="2"/>
  <c r="EI11" i="2"/>
  <c r="CQ92" i="2"/>
  <c r="CZ50" i="2"/>
  <c r="ET139" i="2"/>
  <c r="BJ18" i="2"/>
  <c r="ET87" i="2"/>
  <c r="ES56" i="2"/>
  <c r="ET28" i="2"/>
  <c r="CY154" i="2"/>
  <c r="ET44" i="2"/>
  <c r="EM45" i="2"/>
  <c r="EN45" i="2" s="1"/>
  <c r="ET101" i="2"/>
  <c r="BJ91" i="2"/>
  <c r="ET25" i="2"/>
  <c r="CZ92" i="2"/>
  <c r="ET111" i="2"/>
  <c r="EI34" i="2"/>
  <c r="ES41" i="2"/>
  <c r="BJ87" i="2"/>
  <c r="ES28" i="2"/>
  <c r="ES68" i="2"/>
  <c r="EM24" i="2"/>
  <c r="EN24" i="2" s="1"/>
  <c r="ES101" i="2"/>
  <c r="EL91" i="2"/>
  <c r="EI18" i="2"/>
  <c r="DA87" i="2"/>
  <c r="CY39" i="2"/>
  <c r="CR34" i="2"/>
  <c r="CX11" i="2"/>
  <c r="BJ134" i="2"/>
  <c r="EI9" i="2"/>
  <c r="ES140" i="2"/>
  <c r="EV140" i="2" s="1"/>
  <c r="EW140" i="2" s="1"/>
  <c r="EX140" i="2" s="1"/>
  <c r="EI46" i="2"/>
  <c r="BJ39" i="2"/>
  <c r="CY91" i="2"/>
  <c r="BJ68" i="2"/>
  <c r="DG91" i="2"/>
  <c r="ES76" i="2"/>
  <c r="BJ71" i="2"/>
  <c r="EI132" i="2"/>
  <c r="ET89" i="2"/>
  <c r="BJ88" i="2"/>
  <c r="ET71" i="2"/>
  <c r="EM101" i="2"/>
  <c r="EN101" i="2" s="1"/>
  <c r="BJ95" i="2"/>
  <c r="CY218" i="2"/>
  <c r="CW39" i="2"/>
  <c r="CY65" i="2"/>
  <c r="CZ116" i="2"/>
  <c r="CZ25" i="2"/>
  <c r="CU9" i="2"/>
  <c r="CS76" i="2"/>
  <c r="CW125" i="2"/>
  <c r="CW107" i="2"/>
  <c r="EI139" i="2"/>
  <c r="ES115" i="2"/>
  <c r="BJ58" i="2"/>
  <c r="ES44" i="2"/>
  <c r="EI68" i="2"/>
  <c r="EI127" i="2"/>
  <c r="ET132" i="2"/>
  <c r="EI86" i="2"/>
  <c r="ET69" i="2"/>
  <c r="BJ136" i="2"/>
  <c r="BJ143" i="2"/>
  <c r="CV133" i="2"/>
  <c r="BJ74" i="2"/>
  <c r="BJ41" i="2"/>
  <c r="ET35" i="2"/>
  <c r="ET80" i="2"/>
  <c r="ET29" i="2"/>
  <c r="CV92" i="2"/>
  <c r="DA133" i="2"/>
  <c r="DA91" i="2"/>
  <c r="ET7" i="2"/>
  <c r="BJ90" i="2"/>
  <c r="ET130" i="2"/>
  <c r="DG80" i="2"/>
  <c r="EI88" i="2"/>
  <c r="CY66" i="2"/>
  <c r="CY140" i="2"/>
  <c r="CT50" i="2"/>
  <c r="CQ154" i="2"/>
  <c r="ES40" i="2"/>
  <c r="ET23" i="2"/>
  <c r="EM15" i="2"/>
  <c r="EN15" i="2" s="1"/>
  <c r="BJ144" i="2"/>
  <c r="EM7" i="2"/>
  <c r="EN7" i="2" s="1"/>
  <c r="EI133" i="2"/>
  <c r="CV66" i="2"/>
  <c r="CT218" i="2"/>
  <c r="BJ52" i="2"/>
  <c r="EI5" i="2"/>
  <c r="EL133" i="2"/>
  <c r="BJ70" i="2"/>
  <c r="ES71" i="2"/>
  <c r="DG140" i="2"/>
  <c r="EM65" i="2"/>
  <c r="EN65" i="2" s="1"/>
  <c r="BJ60" i="2"/>
  <c r="BJ97" i="2"/>
  <c r="ES103" i="2"/>
  <c r="P605" i="10"/>
  <c r="P575" i="10"/>
  <c r="CG199" i="2"/>
  <c r="BF216" i="2"/>
  <c r="CG216" i="2" s="1"/>
  <c r="AM216" i="2"/>
  <c r="AZ228" i="2"/>
  <c r="AM228" i="2"/>
  <c r="CF279" i="2"/>
  <c r="BW279" i="2"/>
  <c r="CK279" i="2"/>
  <c r="CH279" i="2"/>
  <c r="CC279" i="2" s="1"/>
  <c r="P279" i="2"/>
  <c r="A279" i="2" s="1"/>
  <c r="BX323" i="2"/>
  <c r="BY323" i="2" s="1"/>
  <c r="BL336" i="2"/>
  <c r="EK336" i="2"/>
  <c r="P675" i="10"/>
  <c r="P550" i="10"/>
  <c r="P714" i="10"/>
  <c r="P615" i="10"/>
  <c r="P22" i="10"/>
  <c r="AG21" i="19"/>
  <c r="P8" i="10"/>
  <c r="G177" i="19"/>
  <c r="P256" i="10"/>
  <c r="P516" i="10"/>
  <c r="P388" i="10"/>
  <c r="P103" i="10"/>
  <c r="P65" i="10"/>
  <c r="P560" i="10"/>
  <c r="G175" i="19"/>
  <c r="G197" i="19"/>
  <c r="P730" i="10"/>
  <c r="P183" i="10"/>
  <c r="P442" i="10"/>
  <c r="P281" i="10"/>
  <c r="P60" i="10"/>
  <c r="P598" i="10"/>
  <c r="G238" i="19"/>
  <c r="P325" i="10"/>
  <c r="P719" i="10"/>
  <c r="P566" i="10"/>
  <c r="P434" i="10"/>
  <c r="G243" i="19"/>
  <c r="G33" i="19"/>
  <c r="P410" i="10"/>
  <c r="P279" i="10"/>
  <c r="P260" i="10"/>
  <c r="P239" i="10"/>
  <c r="P693" i="10"/>
  <c r="P69" i="10"/>
  <c r="P326" i="10"/>
  <c r="P62" i="10"/>
  <c r="P324" i="10"/>
  <c r="P7" i="10"/>
  <c r="P424" i="10"/>
  <c r="P445" i="10"/>
  <c r="P711" i="10"/>
  <c r="P389" i="10"/>
  <c r="G211" i="19"/>
  <c r="P113" i="10"/>
  <c r="P255" i="10"/>
  <c r="P72" i="10"/>
  <c r="P360" i="10"/>
  <c r="P277" i="10"/>
  <c r="P401" i="10"/>
  <c r="G22" i="19"/>
  <c r="G37" i="19"/>
  <c r="P350" i="10"/>
  <c r="P699" i="10"/>
  <c r="P174" i="10"/>
  <c r="P687" i="10"/>
  <c r="G230" i="19"/>
  <c r="G56" i="19"/>
  <c r="P422" i="10"/>
  <c r="P521" i="10"/>
  <c r="EI20" i="2"/>
  <c r="CG25" i="2"/>
  <c r="AZ33" i="2"/>
  <c r="BF33" i="2"/>
  <c r="ES99" i="2"/>
  <c r="EU99" i="2" s="1"/>
  <c r="EV99" i="2"/>
  <c r="EW99" i="2" s="1"/>
  <c r="EX99" i="2" s="1"/>
  <c r="AM213" i="2"/>
  <c r="AR213" i="2" s="1" a="1"/>
  <c r="AR213" i="2" s="1"/>
  <c r="CE213" i="2"/>
  <c r="BQ216" i="2"/>
  <c r="CQ216" i="2" s="1"/>
  <c r="EJ216" i="2"/>
  <c r="DW216" i="2"/>
  <c r="CE256" i="2"/>
  <c r="AM256" i="2"/>
  <c r="AR339" i="2" a="1"/>
  <c r="AR339" i="2" s="1"/>
  <c r="P705" i="10"/>
  <c r="P533" i="10"/>
  <c r="P418" i="10"/>
  <c r="AG51" i="19"/>
  <c r="Q50" i="19"/>
  <c r="EI144" i="2"/>
  <c r="CG149" i="2"/>
  <c r="BG183" i="2"/>
  <c r="CH183" i="2"/>
  <c r="CC183" i="2" s="1"/>
  <c r="BF228" i="2"/>
  <c r="CE228" i="2"/>
  <c r="CE238" i="2"/>
  <c r="AM238" i="2"/>
  <c r="R41" i="19"/>
  <c r="I47" i="19"/>
  <c r="EI103" i="2"/>
  <c r="BJ64" i="2"/>
  <c r="EM129" i="2"/>
  <c r="EN129" i="2" s="1"/>
  <c r="P568" i="10"/>
  <c r="P484" i="10"/>
  <c r="P225" i="10"/>
  <c r="G246" i="19"/>
  <c r="Q9" i="19"/>
  <c r="P542" i="10"/>
  <c r="P665" i="10"/>
  <c r="CD163" i="2"/>
  <c r="CH163" i="2"/>
  <c r="CC163" i="2" s="1"/>
  <c r="BF54" i="2"/>
  <c r="CG54" i="2" s="1"/>
  <c r="AM54" i="2"/>
  <c r="EK109" i="2"/>
  <c r="BL109" i="2"/>
  <c r="BF125" i="2"/>
  <c r="CG125" i="2" s="1"/>
  <c r="AI125" i="2"/>
  <c r="CK130" i="2"/>
  <c r="P130" i="2"/>
  <c r="A130" i="2" s="1"/>
  <c r="CD130" i="2"/>
  <c r="ET141" i="2"/>
  <c r="AM146" i="2"/>
  <c r="CE146" i="2"/>
  <c r="I25" i="19"/>
  <c r="I13" i="19"/>
  <c r="I51" i="19"/>
  <c r="I50" i="19"/>
  <c r="I9" i="19"/>
  <c r="I8" i="19"/>
  <c r="DG50" i="2"/>
  <c r="EI50" i="2"/>
  <c r="ET50" i="2"/>
  <c r="EI62" i="2"/>
  <c r="BJ62" i="2"/>
  <c r="ET62" i="2"/>
  <c r="AI89" i="2"/>
  <c r="AZ89" i="2"/>
  <c r="CD89" i="2" s="1"/>
  <c r="BG89" i="2"/>
  <c r="ET104" i="2"/>
  <c r="ET107" i="2"/>
  <c r="ES107" i="2"/>
  <c r="AI242" i="2"/>
  <c r="BF242" i="2"/>
  <c r="CG242" i="2" s="1"/>
  <c r="BF294" i="2"/>
  <c r="CG294" i="2" s="1"/>
  <c r="AM294" i="2"/>
  <c r="CE294" i="2"/>
  <c r="P211" i="10"/>
  <c r="BG21" i="2"/>
  <c r="AI21" i="2"/>
  <c r="AZ111" i="2"/>
  <c r="BF111" i="2"/>
  <c r="CH128" i="2"/>
  <c r="CC128" i="2" s="1"/>
  <c r="CD128" i="2"/>
  <c r="P128" i="2"/>
  <c r="A128" i="2" s="1"/>
  <c r="BG136" i="2"/>
  <c r="AI136" i="2"/>
  <c r="BF136" i="2"/>
  <c r="CG136" i="2" s="1"/>
  <c r="AI188" i="2"/>
  <c r="AZ188" i="2"/>
  <c r="BG188" i="2"/>
  <c r="DM323" i="2"/>
  <c r="EJ323" i="2"/>
  <c r="BQ323" i="2"/>
  <c r="CH325" i="2"/>
  <c r="CC325" i="2" s="1"/>
  <c r="BC325" i="2"/>
  <c r="CG325" i="2" s="1"/>
  <c r="Q58" i="19"/>
  <c r="R33" i="19"/>
  <c r="P10" i="19"/>
  <c r="AB10" i="19" s="1"/>
  <c r="Q30" i="19"/>
  <c r="P13" i="19"/>
  <c r="AH56" i="19"/>
  <c r="Q25" i="19"/>
  <c r="AA25" i="19" s="1"/>
  <c r="AC25" i="19" s="1" a="1"/>
  <c r="AC25" i="19" s="1"/>
  <c r="Q56" i="19"/>
  <c r="P43" i="19"/>
  <c r="AB43" i="19" s="1"/>
  <c r="P48" i="19"/>
  <c r="AA48" i="19" s="1"/>
  <c r="AH47" i="19"/>
  <c r="P17" i="19"/>
  <c r="AA17" i="19" s="1"/>
  <c r="AC17" i="19" s="1" a="1"/>
  <c r="AC17" i="19" s="1"/>
  <c r="AH20" i="19"/>
  <c r="AH54" i="19"/>
  <c r="R57" i="19"/>
  <c r="P36" i="19"/>
  <c r="AB36" i="19" s="1"/>
  <c r="R6" i="19"/>
  <c r="R24" i="19"/>
  <c r="R15" i="19"/>
  <c r="R42" i="19"/>
  <c r="P16" i="19"/>
  <c r="Z16" i="19" s="1"/>
  <c r="R18" i="19"/>
  <c r="Q57" i="19"/>
  <c r="Q39" i="19"/>
  <c r="Z39" i="19" s="1"/>
  <c r="AC39" i="19" s="1" a="1"/>
  <c r="AC39" i="19" s="1"/>
  <c r="R32" i="19"/>
  <c r="Q27" i="19"/>
  <c r="P11" i="19"/>
  <c r="AH35" i="19"/>
  <c r="P54" i="19"/>
  <c r="AA54" i="19" s="1"/>
  <c r="R13" i="19"/>
  <c r="R19" i="19"/>
  <c r="P9" i="19"/>
  <c r="P55" i="19"/>
  <c r="Z55" i="19" s="1"/>
  <c r="AH27" i="19"/>
  <c r="P41" i="19"/>
  <c r="AB41" i="19" s="1"/>
  <c r="P398" i="10"/>
  <c r="P653" i="10"/>
  <c r="P34" i="10"/>
  <c r="AZ35" i="2"/>
  <c r="BG35" i="2"/>
  <c r="AM49" i="2"/>
  <c r="AR49" i="2" s="1" a="1"/>
  <c r="AR49" i="2" s="1"/>
  <c r="BF49" i="2"/>
  <c r="CG49" i="2" s="1"/>
  <c r="CE49" i="2"/>
  <c r="EI78" i="2"/>
  <c r="BJ118" i="2"/>
  <c r="ES118" i="2"/>
  <c r="EI118" i="2"/>
  <c r="CK125" i="2"/>
  <c r="P125" i="2"/>
  <c r="A125" i="2" s="1"/>
  <c r="EK145" i="2"/>
  <c r="BL145" i="2"/>
  <c r="ES154" i="2"/>
  <c r="EI154" i="2"/>
  <c r="EM154" i="2"/>
  <c r="EN154" i="2" s="1"/>
  <c r="DG154" i="2"/>
  <c r="DY154" i="2" s="1"/>
  <c r="AM240" i="2"/>
  <c r="BF240" i="2"/>
  <c r="CG240" i="2" s="1"/>
  <c r="CE240" i="2"/>
  <c r="BW253" i="2"/>
  <c r="BL288" i="2"/>
  <c r="EV288" i="2" s="1"/>
  <c r="EW288" i="2" s="1"/>
  <c r="EX288" i="2" s="1"/>
  <c r="EK288" i="2"/>
  <c r="BL27" i="2"/>
  <c r="CV27" i="2" s="1"/>
  <c r="EK27" i="2"/>
  <c r="CE46" i="2"/>
  <c r="AM46" i="2"/>
  <c r="P17" i="10"/>
  <c r="P667" i="10"/>
  <c r="P305" i="10"/>
  <c r="P425" i="10"/>
  <c r="P83" i="10"/>
  <c r="Q33" i="19"/>
  <c r="Q52" i="19"/>
  <c r="P15" i="10"/>
  <c r="P611" i="10"/>
  <c r="P374" i="10"/>
  <c r="ES70" i="2"/>
  <c r="P193" i="10"/>
  <c r="P495" i="10"/>
  <c r="G235" i="19"/>
  <c r="P496" i="10"/>
  <c r="P369" i="10"/>
  <c r="CD137" i="2"/>
  <c r="P137" i="2"/>
  <c r="A137" i="2" s="1"/>
  <c r="P666" i="10"/>
  <c r="CF163" i="2"/>
  <c r="EI31" i="2"/>
  <c r="ET31" i="2"/>
  <c r="AM74" i="2"/>
  <c r="CE74" i="2"/>
  <c r="AZ260" i="2"/>
  <c r="BF260" i="2"/>
  <c r="BW261" i="2"/>
  <c r="BS264" i="2"/>
  <c r="BG264" i="2"/>
  <c r="P609" i="10"/>
  <c r="P641" i="10"/>
  <c r="P635" i="10"/>
  <c r="G251" i="19"/>
  <c r="G192" i="19"/>
  <c r="P701" i="10"/>
  <c r="P37" i="10"/>
  <c r="ES122" i="2"/>
  <c r="AT8" i="2"/>
  <c r="BG8" i="2"/>
  <c r="AR51" i="2" a="1"/>
  <c r="AR51" i="2" s="1"/>
  <c r="DM114" i="2"/>
  <c r="DC114" i="2" s="1"/>
  <c r="DW114" i="2"/>
  <c r="EG114" i="2" s="1"/>
  <c r="AZ119" i="2"/>
  <c r="BG119" i="2"/>
  <c r="BF119" i="2"/>
  <c r="BW128" i="2"/>
  <c r="R47" i="19"/>
  <c r="AH58" i="19"/>
  <c r="ES131" i="2"/>
  <c r="P553" i="10"/>
  <c r="P602" i="10"/>
  <c r="P192" i="10"/>
  <c r="AH21" i="19"/>
  <c r="G36" i="19"/>
  <c r="P300" i="10"/>
  <c r="CG244" i="2"/>
  <c r="P110" i="10"/>
  <c r="G6" i="19"/>
  <c r="G54" i="19"/>
  <c r="CK282" i="2"/>
  <c r="BJ67" i="2"/>
  <c r="EI67" i="2"/>
  <c r="AM71" i="2"/>
  <c r="BF71" i="2"/>
  <c r="CG71" i="2" s="1"/>
  <c r="BF79" i="2"/>
  <c r="CG79" i="2" s="1"/>
  <c r="AI79" i="2"/>
  <c r="BG155" i="2"/>
  <c r="AZ155" i="2"/>
  <c r="AI155" i="2"/>
  <c r="CK161" i="2"/>
  <c r="CD161" i="2"/>
  <c r="AR161" i="2" a="1"/>
  <c r="AR161" i="2" s="1"/>
  <c r="BW161" i="2"/>
  <c r="AR172" i="2" a="1"/>
  <c r="AR172" i="2" s="1"/>
  <c r="CG336" i="2"/>
  <c r="AR191" i="2" a="1"/>
  <c r="AR191" i="2" s="1"/>
  <c r="CE282" i="2"/>
  <c r="P38" i="10"/>
  <c r="P262" i="10"/>
  <c r="P311" i="10"/>
  <c r="P384" i="10"/>
  <c r="CE168" i="2"/>
  <c r="P679" i="10"/>
  <c r="G28" i="19"/>
  <c r="P293" i="10"/>
  <c r="CS140" i="2"/>
  <c r="P277" i="2"/>
  <c r="A277" i="2" s="1"/>
  <c r="CH277" i="2"/>
  <c r="CC277" i="2" s="1"/>
  <c r="AZ37" i="2"/>
  <c r="AI37" i="2"/>
  <c r="BJ98" i="2"/>
  <c r="I54" i="19"/>
  <c r="BJ96" i="2"/>
  <c r="P7" i="19"/>
  <c r="AA7" i="19" s="1"/>
  <c r="ET73" i="2"/>
  <c r="CD292" i="2"/>
  <c r="CF292" i="2"/>
  <c r="AR292" i="2" a="1"/>
  <c r="AR292" i="2" s="1"/>
  <c r="BJ69" i="2"/>
  <c r="CE276" i="2"/>
  <c r="P89" i="10"/>
  <c r="ES87" i="2"/>
  <c r="EV87" i="2" s="1"/>
  <c r="EW87" i="2" s="1"/>
  <c r="EX87" i="2" s="1"/>
  <c r="G220" i="19"/>
  <c r="P498" i="10"/>
  <c r="P248" i="10"/>
  <c r="EI143" i="2"/>
  <c r="P5" i="10"/>
  <c r="P313" i="10"/>
  <c r="P520" i="10"/>
  <c r="AI25" i="2"/>
  <c r="BF183" i="2"/>
  <c r="CD79" i="2"/>
  <c r="CH79" i="2"/>
  <c r="CC79" i="2" s="1"/>
  <c r="P79" i="2"/>
  <c r="A79" i="2" s="1"/>
  <c r="BF94" i="2"/>
  <c r="CG94" i="2" s="1"/>
  <c r="BG94" i="2"/>
  <c r="AI94" i="2"/>
  <c r="AZ102" i="2"/>
  <c r="BF102" i="2"/>
  <c r="AI113" i="2"/>
  <c r="BF113" i="2"/>
  <c r="CG113" i="2" s="1"/>
  <c r="EM116" i="2"/>
  <c r="EN116" i="2" s="1"/>
  <c r="EK116" i="2"/>
  <c r="Q55" i="19"/>
  <c r="P681" i="10"/>
  <c r="P468" i="10"/>
  <c r="P98" i="10"/>
  <c r="G198" i="19"/>
  <c r="P538" i="10"/>
  <c r="P630" i="10"/>
  <c r="P264" i="10"/>
  <c r="P595" i="10"/>
  <c r="EI104" i="2"/>
  <c r="CV218" i="2"/>
  <c r="CN306" i="2"/>
  <c r="EI19" i="2"/>
  <c r="CY78" i="2"/>
  <c r="BJ94" i="2"/>
  <c r="CG252" i="2"/>
  <c r="I55" i="19"/>
  <c r="BJ119" i="2"/>
  <c r="Q6" i="19"/>
  <c r="EI45" i="2"/>
  <c r="EK281" i="2"/>
  <c r="AH32" i="19"/>
  <c r="EI115" i="2"/>
  <c r="P671" i="10"/>
  <c r="P171" i="10"/>
  <c r="P673" i="10"/>
  <c r="P587" i="10"/>
  <c r="EM140" i="2"/>
  <c r="EN140" i="2" s="1"/>
  <c r="P623" i="10"/>
  <c r="P648" i="10"/>
  <c r="P576" i="10"/>
  <c r="BJ138" i="2"/>
  <c r="EI40" i="2"/>
  <c r="CD339" i="2"/>
  <c r="BF195" i="2"/>
  <c r="CG195" i="2" s="1"/>
  <c r="ET115" i="2"/>
  <c r="P344" i="10"/>
  <c r="P33" i="19"/>
  <c r="Z33" i="19" s="1"/>
  <c r="P235" i="10"/>
  <c r="P230" i="10"/>
  <c r="G186" i="19"/>
  <c r="BJ140" i="2"/>
  <c r="P35" i="10"/>
  <c r="EL140" i="2"/>
  <c r="P66" i="10"/>
  <c r="G227" i="19"/>
  <c r="EI99" i="2"/>
  <c r="ES57" i="2"/>
  <c r="AI35" i="2"/>
  <c r="F257" i="2"/>
  <c r="G257" i="2"/>
  <c r="P94" i="2"/>
  <c r="A94" i="2" s="1"/>
  <c r="BW94" i="2"/>
  <c r="CD180" i="2"/>
  <c r="CH180" i="2"/>
  <c r="CC180" i="2" s="1"/>
  <c r="CK180" i="2"/>
  <c r="BJ102" i="2"/>
  <c r="BJ130" i="2"/>
  <c r="ET63" i="2"/>
  <c r="EM96" i="2"/>
  <c r="EN96" i="2" s="1"/>
  <c r="EK96" i="2"/>
  <c r="BJ135" i="2"/>
  <c r="I43" i="19"/>
  <c r="EI74" i="2"/>
  <c r="AU129" i="2"/>
  <c r="ES134" i="2"/>
  <c r="EI73" i="2"/>
  <c r="CH329" i="2"/>
  <c r="CC329" i="2" s="1"/>
  <c r="AZ329" i="2"/>
  <c r="EM48" i="2"/>
  <c r="EN48" i="2" s="1"/>
  <c r="O92" i="4"/>
  <c r="CR140" i="2"/>
  <c r="EI65" i="2"/>
  <c r="AH50" i="19"/>
  <c r="P54" i="10"/>
  <c r="P257" i="10"/>
  <c r="P282" i="10"/>
  <c r="P306" i="10"/>
  <c r="P617" i="10"/>
  <c r="EI79" i="2"/>
  <c r="AI33" i="2"/>
  <c r="ET82" i="2"/>
  <c r="G270" i="2"/>
  <c r="F270" i="2"/>
  <c r="CS154" i="2"/>
  <c r="ES58" i="2"/>
  <c r="CE161" i="2"/>
  <c r="BF332" i="2"/>
  <c r="AR32" i="2" a="1"/>
  <c r="AR32" i="2" s="1"/>
  <c r="BJ123" i="2"/>
  <c r="ES135" i="2"/>
  <c r="I32" i="19"/>
  <c r="ET90" i="2"/>
  <c r="EI71" i="2"/>
  <c r="AH46" i="19"/>
  <c r="ET68" i="2"/>
  <c r="EV82" i="2"/>
  <c r="EW82" i="2" s="1"/>
  <c r="EX82" i="2" s="1"/>
  <c r="R50" i="19"/>
  <c r="CW154" i="2"/>
  <c r="BJ111" i="2"/>
  <c r="DA154" i="2"/>
  <c r="P67" i="10"/>
  <c r="G256" i="19"/>
  <c r="P594" i="10"/>
  <c r="G15" i="19"/>
  <c r="P411" i="10"/>
  <c r="P153" i="2"/>
  <c r="A153" i="2" s="1"/>
  <c r="CF153" i="2"/>
  <c r="ET137" i="2"/>
  <c r="CZ140" i="2"/>
  <c r="AZ328" i="2"/>
  <c r="CK79" i="2"/>
  <c r="CD288" i="2"/>
  <c r="P288" i="2"/>
  <c r="A288" i="2" s="1"/>
  <c r="CD64" i="2"/>
  <c r="CH64" i="2"/>
  <c r="CC64" i="2" s="1"/>
  <c r="BX114" i="2"/>
  <c r="BY114" i="2" s="1"/>
  <c r="CF282" i="2"/>
  <c r="CS116" i="2"/>
  <c r="CY129" i="2"/>
  <c r="CD229" i="2"/>
  <c r="CU92" i="2"/>
  <c r="BJ50" i="2"/>
  <c r="EI101" i="2"/>
  <c r="EI135" i="2"/>
  <c r="AZ183" i="2"/>
  <c r="I39" i="19"/>
  <c r="EI138" i="2"/>
  <c r="AH6" i="19"/>
  <c r="ET123" i="2"/>
  <c r="EJ34" i="2"/>
  <c r="EL34" i="2"/>
  <c r="P181" i="2"/>
  <c r="A181" i="2" s="1"/>
  <c r="BW181" i="2"/>
  <c r="EI48" i="2"/>
  <c r="R34" i="19"/>
  <c r="EI44" i="2"/>
  <c r="EI80" i="2"/>
  <c r="ET106" i="2"/>
  <c r="P156" i="10"/>
  <c r="P509" i="10"/>
  <c r="P134" i="10"/>
  <c r="P274" i="10"/>
  <c r="P695" i="10"/>
  <c r="EL218" i="2"/>
  <c r="Q41" i="19"/>
  <c r="AM126" i="2"/>
  <c r="CX140" i="2"/>
  <c r="P176" i="10"/>
  <c r="AM35" i="2"/>
  <c r="EJ329" i="2"/>
  <c r="DM329" i="2"/>
  <c r="DC329" i="2" s="1"/>
  <c r="CE267" i="2"/>
  <c r="EK66" i="2"/>
  <c r="BJ154" i="2"/>
  <c r="DG39" i="2"/>
  <c r="DY39" i="2" s="1"/>
  <c r="BQ39" i="2"/>
  <c r="CQ39" i="2" s="1"/>
  <c r="CD282" i="2"/>
  <c r="CU116" i="2"/>
  <c r="BW236" i="2"/>
  <c r="CS65" i="2"/>
  <c r="BJ120" i="2"/>
  <c r="BJ132" i="2"/>
  <c r="DA80" i="2"/>
  <c r="ET99" i="2"/>
  <c r="BJ101" i="2"/>
  <c r="EM135" i="2"/>
  <c r="EN135" i="2" s="1"/>
  <c r="AI183" i="2"/>
  <c r="I41" i="19"/>
  <c r="P6" i="19"/>
  <c r="P52" i="19"/>
  <c r="AB52" i="19" s="1"/>
  <c r="CG61" i="2"/>
  <c r="CZ80" i="2"/>
  <c r="EM11" i="2"/>
  <c r="EN11" i="2" s="1"/>
  <c r="EI51" i="2"/>
  <c r="CG268" i="2"/>
  <c r="BJ48" i="2"/>
  <c r="ES95" i="2"/>
  <c r="CG277" i="2"/>
  <c r="P322" i="10"/>
  <c r="P131" i="10"/>
  <c r="P640" i="10"/>
  <c r="P304" i="10"/>
  <c r="P385" i="10"/>
  <c r="ET36" i="2"/>
  <c r="EI47" i="2"/>
  <c r="CH161" i="2"/>
  <c r="CC161" i="2" s="1"/>
  <c r="AM267" i="2"/>
  <c r="CK128" i="2"/>
  <c r="CH258" i="2"/>
  <c r="CC258" i="2" s="1"/>
  <c r="CK258" i="2"/>
  <c r="AZ273" i="2"/>
  <c r="A230" i="2"/>
  <c r="F230" i="2" s="1"/>
  <c r="EM68" i="2"/>
  <c r="EN68" i="2" s="1"/>
  <c r="CR65" i="2"/>
  <c r="BJ78" i="2"/>
  <c r="ET98" i="2"/>
  <c r="ET135" i="2"/>
  <c r="EM87" i="2"/>
  <c r="EN87" i="2" s="1"/>
  <c r="Q26" i="19"/>
  <c r="Z26" i="19" s="1"/>
  <c r="AR163" i="2" a="1"/>
  <c r="AR163" i="2" s="1"/>
  <c r="P78" i="2"/>
  <c r="A78" i="2" s="1"/>
  <c r="ET79" i="2"/>
  <c r="BJ133" i="2"/>
  <c r="P524" i="10"/>
  <c r="P71" i="10"/>
  <c r="G178" i="19"/>
  <c r="BJ35" i="2"/>
  <c r="P233" i="10"/>
  <c r="ES15" i="2"/>
  <c r="CX91" i="2"/>
  <c r="CE19" i="2"/>
  <c r="P200" i="2"/>
  <c r="A200" i="2" s="1"/>
  <c r="CH200" i="2"/>
  <c r="CC200" i="2" s="1"/>
  <c r="CK200" i="2"/>
  <c r="AR200" i="2" a="1"/>
  <c r="AR200" i="2" s="1"/>
  <c r="P199" i="2"/>
  <c r="A199" i="2" s="1"/>
  <c r="CH199" i="2"/>
  <c r="CC199" i="2" s="1"/>
  <c r="CK199" i="2"/>
  <c r="CF199" i="2"/>
  <c r="ET4" i="2"/>
  <c r="ES4" i="2"/>
  <c r="AR67" i="2" a="1"/>
  <c r="AR67" i="2" s="1"/>
  <c r="CX129" i="2"/>
  <c r="BG130" i="2"/>
  <c r="BF130" i="2"/>
  <c r="CG130" i="2" s="1"/>
  <c r="AI130" i="2"/>
  <c r="CD165" i="2"/>
  <c r="CH165" i="2"/>
  <c r="CC165" i="2" s="1"/>
  <c r="CE187" i="2"/>
  <c r="AM187" i="2"/>
  <c r="CK302" i="2"/>
  <c r="P302" i="2"/>
  <c r="A302" i="2" s="1"/>
  <c r="AI308" i="2"/>
  <c r="BG308" i="2"/>
  <c r="CH324" i="2"/>
  <c r="CC324" i="2" s="1"/>
  <c r="P324" i="2"/>
  <c r="A324" i="2" s="1"/>
  <c r="P150" i="10"/>
  <c r="BL33" i="2"/>
  <c r="EK33" i="2"/>
  <c r="CD283" i="2"/>
  <c r="CF283" i="2"/>
  <c r="CG283" i="2"/>
  <c r="AM28" i="2"/>
  <c r="CE28" i="2"/>
  <c r="AM251" i="2"/>
  <c r="CF251" i="2" s="1"/>
  <c r="CE251" i="2"/>
  <c r="AM286" i="2"/>
  <c r="CE286" i="2"/>
  <c r="BG301" i="2"/>
  <c r="BF301" i="2"/>
  <c r="CG301" i="2" s="1"/>
  <c r="CW86" i="4"/>
  <c r="CW119" i="4"/>
  <c r="K59" i="4" a="1"/>
  <c r="K59" i="4" s="1"/>
  <c r="P140" i="2"/>
  <c r="A140" i="2" s="1"/>
  <c r="CH140" i="2"/>
  <c r="CC140" i="2" s="1"/>
  <c r="BL5" i="2"/>
  <c r="EK5" i="2"/>
  <c r="BJ26" i="2"/>
  <c r="ET26" i="2"/>
  <c r="CE69" i="2"/>
  <c r="BF69" i="2"/>
  <c r="BC69" i="2"/>
  <c r="AZ69" i="2"/>
  <c r="CG137" i="2"/>
  <c r="CG205" i="2"/>
  <c r="EK291" i="2"/>
  <c r="BL291" i="2"/>
  <c r="EJ315" i="2"/>
  <c r="DM315" i="2"/>
  <c r="DW315" i="2"/>
  <c r="EG315" i="2" s="1"/>
  <c r="K68" i="4" a="1"/>
  <c r="K68" i="4" s="1"/>
  <c r="CF249" i="2"/>
  <c r="BW249" i="2"/>
  <c r="BG63" i="2"/>
  <c r="AI63" i="2"/>
  <c r="BF95" i="2"/>
  <c r="CG95" i="2" s="1"/>
  <c r="AM95" i="2"/>
  <c r="BL122" i="2"/>
  <c r="CX122" i="2" s="1"/>
  <c r="EK122" i="2"/>
  <c r="BF161" i="2"/>
  <c r="AZ161" i="2"/>
  <c r="BG161" i="2"/>
  <c r="DW196" i="2"/>
  <c r="EJ196" i="2"/>
  <c r="AI258" i="2"/>
  <c r="BF258" i="2"/>
  <c r="AI336" i="2"/>
  <c r="P419" i="10"/>
  <c r="I15" i="19"/>
  <c r="I21" i="19"/>
  <c r="K69" i="4" a="1"/>
  <c r="K69" i="4" s="1"/>
  <c r="K70" i="4" a="1"/>
  <c r="K70" i="4" s="1"/>
  <c r="AR98" i="2" a="1"/>
  <c r="AR98" i="2" s="1"/>
  <c r="BG177" i="2"/>
  <c r="AR120" i="2" a="1"/>
  <c r="AR120" i="2" s="1"/>
  <c r="BF151" i="2"/>
  <c r="CG151" i="2" s="1"/>
  <c r="A100" i="2"/>
  <c r="CH152" i="2"/>
  <c r="CC152" i="2" s="1"/>
  <c r="CF152" i="2"/>
  <c r="CH25" i="2"/>
  <c r="CC25" i="2" s="1"/>
  <c r="CH212" i="2"/>
  <c r="CC212" i="2" s="1"/>
  <c r="CH159" i="2"/>
  <c r="CC159" i="2" s="1"/>
  <c r="CH299" i="2"/>
  <c r="CC299" i="2" s="1"/>
  <c r="CH72" i="2"/>
  <c r="CC72" i="2" s="1"/>
  <c r="AI32" i="2"/>
  <c r="BF76" i="2"/>
  <c r="AZ76" i="2"/>
  <c r="EK131" i="2"/>
  <c r="BL131" i="2"/>
  <c r="EM131" i="2"/>
  <c r="EN131" i="2" s="1"/>
  <c r="CG207" i="2"/>
  <c r="AM314" i="2"/>
  <c r="CE314" i="2"/>
  <c r="DF86" i="4"/>
  <c r="DF119" i="4"/>
  <c r="AH29" i="19"/>
  <c r="K54" i="4" a="1"/>
  <c r="K54" i="4" s="1"/>
  <c r="BL127" i="2"/>
  <c r="CU127" i="2" s="1"/>
  <c r="EK127" i="2"/>
  <c r="BW264" i="2"/>
  <c r="CD264" i="2"/>
  <c r="CE27" i="2"/>
  <c r="BF27" i="2"/>
  <c r="ET33" i="2"/>
  <c r="EI137" i="2"/>
  <c r="ES137" i="2"/>
  <c r="BL169" i="2"/>
  <c r="EU169" i="2" s="1"/>
  <c r="EK169" i="2"/>
  <c r="CE207" i="2"/>
  <c r="AM207" i="2"/>
  <c r="AR207" i="2" s="1" a="1"/>
  <c r="AR207" i="2" s="1"/>
  <c r="BW339" i="2"/>
  <c r="ES54" i="2"/>
  <c r="ET54" i="2"/>
  <c r="BW125" i="2"/>
  <c r="AI148" i="2"/>
  <c r="BF148" i="2"/>
  <c r="CG148" i="2" s="1"/>
  <c r="DD148" i="2" s="1"/>
  <c r="CG198" i="2"/>
  <c r="AM80" i="2"/>
  <c r="EJ332" i="2"/>
  <c r="BQ332" i="2"/>
  <c r="AM254" i="2"/>
  <c r="CF254" i="2" s="1"/>
  <c r="ES8" i="2"/>
  <c r="AI244" i="2"/>
  <c r="BL71" i="2"/>
  <c r="AI34" i="2"/>
  <c r="AZ34" i="2"/>
  <c r="CF34" i="2" s="1"/>
  <c r="ET46" i="2"/>
  <c r="AM76" i="2"/>
  <c r="CE76" i="2"/>
  <c r="CH108" i="2"/>
  <c r="CC108" i="2" s="1"/>
  <c r="BW108" i="2"/>
  <c r="AI249" i="2"/>
  <c r="CG296" i="2"/>
  <c r="CF296" i="2"/>
  <c r="BL313" i="2"/>
  <c r="DM313" i="2" s="1"/>
  <c r="EK313" i="2"/>
  <c r="P395" i="10"/>
  <c r="AG16" i="19"/>
  <c r="CF289" i="2"/>
  <c r="CH289" i="2"/>
  <c r="CC289" i="2" s="1"/>
  <c r="CD289" i="2"/>
  <c r="EI35" i="2"/>
  <c r="BG42" i="2"/>
  <c r="AI42" i="2"/>
  <c r="BF42" i="2"/>
  <c r="CG42" i="2" s="1"/>
  <c r="CF91" i="2"/>
  <c r="P91" i="2"/>
  <c r="A91" i="2" s="1"/>
  <c r="CH91" i="2"/>
  <c r="CC91" i="2" s="1"/>
  <c r="CK91" i="2"/>
  <c r="AM145" i="2"/>
  <c r="AR145" i="2" s="1" a="1"/>
  <c r="AR145" i="2" s="1"/>
  <c r="CE145" i="2"/>
  <c r="P49" i="10"/>
  <c r="P341" i="10"/>
  <c r="P727" i="10"/>
  <c r="EM31" i="2"/>
  <c r="EN31" i="2" s="1"/>
  <c r="A206" i="2"/>
  <c r="G206" i="2" s="1"/>
  <c r="DM328" i="2"/>
  <c r="DC328" i="2" s="1"/>
  <c r="BQ328" i="2"/>
  <c r="CQ328" i="2" s="1"/>
  <c r="DW328" i="2"/>
  <c r="AI60" i="2"/>
  <c r="BF60" i="2"/>
  <c r="ET74" i="2"/>
  <c r="ES74" i="2"/>
  <c r="BJ92" i="2"/>
  <c r="EI92" i="2"/>
  <c r="BG200" i="2"/>
  <c r="A331" i="2"/>
  <c r="AH16" i="19"/>
  <c r="CW50" i="2"/>
  <c r="EJ50" i="2"/>
  <c r="AM68" i="2"/>
  <c r="BF68" i="2"/>
  <c r="CG68" i="2" s="1"/>
  <c r="BG88" i="2"/>
  <c r="AI88" i="2"/>
  <c r="EI125" i="2"/>
  <c r="AM127" i="2"/>
  <c r="CE127" i="2"/>
  <c r="AZ224" i="2"/>
  <c r="CG224" i="2" s="1"/>
  <c r="BG224" i="2"/>
  <c r="AI335" i="2"/>
  <c r="BG335" i="2"/>
  <c r="P376" i="10"/>
  <c r="P109" i="10"/>
  <c r="AG24" i="19"/>
  <c r="P53" i="19"/>
  <c r="AA53" i="19" s="1"/>
  <c r="BX41" i="2"/>
  <c r="BY41" i="2" s="1"/>
  <c r="BL144" i="2"/>
  <c r="EM144" i="2"/>
  <c r="EN144" i="2" s="1"/>
  <c r="P283" i="2"/>
  <c r="A283" i="2" s="1"/>
  <c r="BW283" i="2"/>
  <c r="EM47" i="2"/>
  <c r="EN47" i="2" s="1"/>
  <c r="EK47" i="2"/>
  <c r="BG104" i="2"/>
  <c r="BF104" i="2"/>
  <c r="CG104" i="2" s="1"/>
  <c r="BF155" i="2"/>
  <c r="AM155" i="2"/>
  <c r="AR155" i="2" s="1" a="1"/>
  <c r="AR155" i="2" s="1"/>
  <c r="CH175" i="2"/>
  <c r="CC175" i="2" s="1"/>
  <c r="CD175" i="2"/>
  <c r="BG221" i="2"/>
  <c r="AI221" i="2"/>
  <c r="AI234" i="2"/>
  <c r="P121" i="10"/>
  <c r="P731" i="10"/>
  <c r="P50" i="10"/>
  <c r="P621" i="10"/>
  <c r="P334" i="10"/>
  <c r="P13" i="10"/>
  <c r="P136" i="10"/>
  <c r="G55" i="19"/>
  <c r="G26" i="19"/>
  <c r="P472" i="10"/>
  <c r="G262" i="19"/>
  <c r="P427" i="10"/>
  <c r="P87" i="10"/>
  <c r="P154" i="10"/>
  <c r="P515" i="10"/>
  <c r="P501" i="10"/>
  <c r="P443" i="10"/>
  <c r="P46" i="10"/>
  <c r="P80" i="10"/>
  <c r="G11" i="19"/>
  <c r="G185" i="19"/>
  <c r="P636" i="10"/>
  <c r="P53" i="10"/>
  <c r="P582" i="10"/>
  <c r="P396" i="10"/>
  <c r="P567" i="10"/>
  <c r="G240" i="19"/>
  <c r="P400" i="10"/>
  <c r="P224" i="10"/>
  <c r="P237" i="10"/>
  <c r="P399" i="10"/>
  <c r="P81" i="10"/>
  <c r="P227" i="10"/>
  <c r="P249" i="10"/>
  <c r="P78" i="10"/>
  <c r="P537" i="10"/>
  <c r="P700" i="10"/>
  <c r="P32" i="10"/>
  <c r="P289" i="10"/>
  <c r="P585" i="10"/>
  <c r="P649" i="10"/>
  <c r="G263" i="19"/>
  <c r="P97" i="10"/>
  <c r="P710" i="10"/>
  <c r="G236" i="19"/>
  <c r="P101" i="10"/>
  <c r="G196" i="19"/>
  <c r="P149" i="10"/>
  <c r="P222" i="10"/>
  <c r="P319" i="10"/>
  <c r="P246" i="10"/>
  <c r="P228" i="10"/>
  <c r="P215" i="10"/>
  <c r="P580" i="10"/>
  <c r="P229" i="10"/>
  <c r="G215" i="19"/>
  <c r="G47" i="19"/>
  <c r="P184" i="10"/>
  <c r="G234" i="19"/>
  <c r="P203" i="10"/>
  <c r="G23" i="19"/>
  <c r="P614" i="10"/>
  <c r="P158" i="10"/>
  <c r="G170" i="19"/>
  <c r="P105" i="10"/>
  <c r="P39" i="10"/>
  <c r="P210" i="10"/>
  <c r="G7" i="19"/>
  <c r="P307" i="10"/>
  <c r="P18" i="10"/>
  <c r="P514" i="10"/>
  <c r="G52" i="19"/>
  <c r="P4" i="10"/>
  <c r="G237" i="19"/>
  <c r="P120" i="10"/>
  <c r="P433" i="10"/>
  <c r="P284" i="10"/>
  <c r="P622" i="10"/>
  <c r="P570" i="10"/>
  <c r="P19" i="10"/>
  <c r="P459" i="10"/>
  <c r="P51" i="10"/>
  <c r="P528" i="10"/>
  <c r="P510" i="10"/>
  <c r="G16" i="19"/>
  <c r="P456" i="10"/>
  <c r="P535" i="10"/>
  <c r="P61" i="10"/>
  <c r="P327" i="10"/>
  <c r="P534" i="10"/>
  <c r="P108" i="10"/>
  <c r="P518" i="10"/>
  <c r="P365" i="10"/>
  <c r="P402" i="10"/>
  <c r="G217" i="19"/>
  <c r="G248" i="19"/>
  <c r="P408" i="10"/>
  <c r="P713" i="10"/>
  <c r="P556" i="10"/>
  <c r="P41" i="10"/>
  <c r="P489" i="10"/>
  <c r="P138" i="10"/>
  <c r="P723" i="10"/>
  <c r="P157" i="10"/>
  <c r="P645" i="10"/>
  <c r="G42" i="19"/>
  <c r="P14" i="10"/>
  <c r="G200" i="19"/>
  <c r="P373" i="10"/>
  <c r="G239" i="19"/>
  <c r="P431" i="10"/>
  <c r="G229" i="19"/>
  <c r="P70" i="10"/>
  <c r="G35" i="19"/>
  <c r="G171" i="19"/>
  <c r="P415" i="10"/>
  <c r="P125" i="10"/>
  <c r="G179" i="19"/>
  <c r="P182" i="10"/>
  <c r="P680" i="10"/>
  <c r="G187" i="19"/>
  <c r="P139" i="10"/>
  <c r="P140" i="10"/>
  <c r="AG32" i="19"/>
  <c r="P77" i="10"/>
  <c r="P185" i="10"/>
  <c r="P527" i="10"/>
  <c r="P519" i="10"/>
  <c r="P656" i="10"/>
  <c r="P114" i="10"/>
  <c r="G18" i="19"/>
  <c r="G57" i="19"/>
  <c r="P106" i="10"/>
  <c r="P430" i="10"/>
  <c r="G225" i="19"/>
  <c r="CG284" i="2"/>
  <c r="AZ36" i="2"/>
  <c r="BG36" i="2"/>
  <c r="BF36" i="2"/>
  <c r="ET100" i="2"/>
  <c r="BW244" i="2"/>
  <c r="CK244" i="2"/>
  <c r="AI305" i="2"/>
  <c r="BF305" i="2"/>
  <c r="CG305" i="2" s="1"/>
  <c r="CK327" i="2"/>
  <c r="P327" i="2"/>
  <c r="A327" i="2" s="1"/>
  <c r="P275" i="10"/>
  <c r="CF62" i="2"/>
  <c r="EK129" i="2"/>
  <c r="EI29" i="2"/>
  <c r="AI247" i="2"/>
  <c r="DW332" i="2"/>
  <c r="EK185" i="2"/>
  <c r="BL185" i="2"/>
  <c r="CG227" i="2"/>
  <c r="BF124" i="2"/>
  <c r="CG124" i="2" s="1"/>
  <c r="CE124" i="2"/>
  <c r="AM124" i="2"/>
  <c r="BQ157" i="2"/>
  <c r="EJ157" i="2"/>
  <c r="BF187" i="2"/>
  <c r="CG187" i="2" s="1"/>
  <c r="BG197" i="2"/>
  <c r="AZ197" i="2"/>
  <c r="CD209" i="2"/>
  <c r="CK209" i="2"/>
  <c r="AM237" i="2"/>
  <c r="BF237" i="2"/>
  <c r="CG237" i="2" s="1"/>
  <c r="BF295" i="2"/>
  <c r="BG295" i="2"/>
  <c r="AZ295" i="2"/>
  <c r="AM338" i="2"/>
  <c r="BF338" i="2"/>
  <c r="CG338" i="2" s="1"/>
  <c r="CE338" i="2"/>
  <c r="P383" i="10"/>
  <c r="P196" i="10"/>
  <c r="AZ335" i="2"/>
  <c r="EK290" i="2"/>
  <c r="P343" i="10"/>
  <c r="EM39" i="2"/>
  <c r="EN39" i="2" s="1"/>
  <c r="DM332" i="2"/>
  <c r="CH296" i="2"/>
  <c r="CC296" i="2" s="1"/>
  <c r="DW296" i="2"/>
  <c r="EG296" i="2" s="1"/>
  <c r="DM296" i="2"/>
  <c r="DC296" i="2" s="1"/>
  <c r="EJ296" i="2"/>
  <c r="CG39" i="2"/>
  <c r="P70" i="2"/>
  <c r="A70" i="2" s="1"/>
  <c r="CH70" i="2"/>
  <c r="CC70" i="2" s="1"/>
  <c r="CK70" i="2"/>
  <c r="BF170" i="2"/>
  <c r="CG170" i="2" s="1"/>
  <c r="BW175" i="2"/>
  <c r="CG249" i="2"/>
  <c r="AM263" i="2"/>
  <c r="BF263" i="2"/>
  <c r="CG263" i="2" s="1"/>
  <c r="AI292" i="2"/>
  <c r="BG292" i="2"/>
  <c r="P160" i="10"/>
  <c r="P487" i="10"/>
  <c r="P729" i="10"/>
  <c r="A15" i="2"/>
  <c r="G15" i="2" s="1"/>
  <c r="CD55" i="2"/>
  <c r="BG69" i="2"/>
  <c r="BW40" i="2"/>
  <c r="AZ60" i="2"/>
  <c r="AM27" i="2"/>
  <c r="P252" i="10"/>
  <c r="P709" i="10"/>
  <c r="P359" i="10"/>
  <c r="P161" i="10"/>
  <c r="BF335" i="2"/>
  <c r="BG29" i="2"/>
  <c r="P703" i="10"/>
  <c r="P683" i="10"/>
  <c r="G253" i="19"/>
  <c r="P604" i="10"/>
  <c r="P464" i="10"/>
  <c r="EL92" i="2"/>
  <c r="AI142" i="2"/>
  <c r="BW302" i="2"/>
  <c r="CE47" i="2"/>
  <c r="P296" i="2"/>
  <c r="A296" i="2" s="1"/>
  <c r="A241" i="2"/>
  <c r="BL203" i="2"/>
  <c r="CK50" i="2"/>
  <c r="CH50" i="2"/>
  <c r="CC50" i="2" s="1"/>
  <c r="P50" i="2"/>
  <c r="A50" i="2" s="1"/>
  <c r="EI97" i="2"/>
  <c r="BF99" i="2"/>
  <c r="CG99" i="2" s="1"/>
  <c r="AM110" i="2"/>
  <c r="CF110" i="2" s="1"/>
  <c r="CE110" i="2"/>
  <c r="EI136" i="2"/>
  <c r="BF284" i="2"/>
  <c r="AM284" i="2"/>
  <c r="AM310" i="2"/>
  <c r="CE310" i="2"/>
  <c r="P642" i="10"/>
  <c r="BQ159" i="2"/>
  <c r="DW159" i="2"/>
  <c r="EJ159" i="2"/>
  <c r="DM159" i="2"/>
  <c r="CG12" i="2"/>
  <c r="EK72" i="2"/>
  <c r="BL72" i="2"/>
  <c r="CX72" i="2" s="1"/>
  <c r="BF88" i="2"/>
  <c r="AM88" i="2"/>
  <c r="ET131" i="2"/>
  <c r="CK177" i="2"/>
  <c r="P177" i="2"/>
  <c r="A177" i="2" s="1"/>
  <c r="CH177" i="2"/>
  <c r="CC177" i="2" s="1"/>
  <c r="EK194" i="2"/>
  <c r="BL194" i="2"/>
  <c r="BC324" i="2"/>
  <c r="AZ324" i="2"/>
  <c r="CE324" i="2"/>
  <c r="AI324" i="2"/>
  <c r="BG324" i="2"/>
  <c r="BF324" i="2"/>
  <c r="P428" i="10"/>
  <c r="P152" i="10"/>
  <c r="BY25" i="2"/>
  <c r="BY342" i="2"/>
  <c r="CH106" i="2"/>
  <c r="CC106" i="2" s="1"/>
  <c r="CF301" i="2"/>
  <c r="AI290" i="2"/>
  <c r="ES26" i="2"/>
  <c r="EV26" i="2" s="1"/>
  <c r="P405" i="10"/>
  <c r="BW63" i="2"/>
  <c r="BG305" i="2"/>
  <c r="BL305" i="2" s="1"/>
  <c r="BJ24" i="2"/>
  <c r="ES24" i="2"/>
  <c r="EI24" i="2"/>
  <c r="EI76" i="2"/>
  <c r="BL135" i="2"/>
  <c r="EK135" i="2"/>
  <c r="CD151" i="2"/>
  <c r="P151" i="2"/>
  <c r="A151" i="2" s="1"/>
  <c r="EJ184" i="2"/>
  <c r="BQ184" i="2"/>
  <c r="DW184" i="2"/>
  <c r="AM239" i="2"/>
  <c r="CE239" i="2"/>
  <c r="BG259" i="2"/>
  <c r="AI259" i="2"/>
  <c r="AI265" i="2"/>
  <c r="BF265" i="2"/>
  <c r="CG265" i="2" s="1"/>
  <c r="BC330" i="2"/>
  <c r="BW335" i="2"/>
  <c r="CH335" i="2"/>
  <c r="CC335" i="2" s="1"/>
  <c r="P335" i="2"/>
  <c r="A335" i="2" s="1"/>
  <c r="P500" i="10"/>
  <c r="P447" i="10"/>
  <c r="AG15" i="19"/>
  <c r="AG18" i="19"/>
  <c r="AR295" i="2" a="1"/>
  <c r="AR295" i="2" s="1"/>
  <c r="AR199" i="2" a="1"/>
  <c r="AR199" i="2" s="1"/>
  <c r="ET125" i="2"/>
  <c r="AZ290" i="2"/>
  <c r="AM195" i="2"/>
  <c r="CD199" i="2"/>
  <c r="AZ258" i="2"/>
  <c r="AZ88" i="2"/>
  <c r="BW6" i="2"/>
  <c r="BL47" i="2"/>
  <c r="CX47" i="2" s="1"/>
  <c r="EK50" i="2"/>
  <c r="CH57" i="2"/>
  <c r="CC57" i="2" s="1"/>
  <c r="P57" i="2"/>
  <c r="A57" i="2" s="1"/>
  <c r="ES10" i="2"/>
  <c r="BF17" i="2"/>
  <c r="CG17" i="2" s="1"/>
  <c r="EJ151" i="2"/>
  <c r="DW151" i="2"/>
  <c r="EG151" i="2" s="1"/>
  <c r="CF165" i="2"/>
  <c r="CE274" i="2"/>
  <c r="AM274" i="2"/>
  <c r="AI330" i="2"/>
  <c r="BF330" i="2"/>
  <c r="P27" i="10"/>
  <c r="AR5" i="54" a="1"/>
  <c r="AR5" i="54" s="1"/>
  <c r="AV5" i="54" s="1" a="1"/>
  <c r="AV5" i="54" s="1"/>
  <c r="BW199" i="2"/>
  <c r="CE153" i="2"/>
  <c r="CE244" i="2"/>
  <c r="P364" i="10"/>
  <c r="P314" i="10"/>
  <c r="CH244" i="2"/>
  <c r="CC244" i="2" s="1"/>
  <c r="P232" i="10"/>
  <c r="BQ50" i="2"/>
  <c r="CE177" i="2"/>
  <c r="CE6" i="2"/>
  <c r="BF6" i="2"/>
  <c r="CG6" i="2" s="1"/>
  <c r="AI19" i="2"/>
  <c r="AZ19" i="2"/>
  <c r="BW70" i="2"/>
  <c r="AM107" i="2"/>
  <c r="CE107" i="2"/>
  <c r="BF174" i="2"/>
  <c r="CG174" i="2" s="1"/>
  <c r="A197" i="2"/>
  <c r="G197" i="2" s="1"/>
  <c r="AI220" i="2"/>
  <c r="BL257" i="2"/>
  <c r="EU257" i="2" s="1"/>
  <c r="EK257" i="2"/>
  <c r="CG271" i="2"/>
  <c r="BW280" i="2"/>
  <c r="CS66" i="2"/>
  <c r="ES117" i="2"/>
  <c r="CS92" i="2"/>
  <c r="ET83" i="2"/>
  <c r="EI36" i="2"/>
  <c r="ES102" i="2"/>
  <c r="CS91" i="2"/>
  <c r="BJ65" i="2"/>
  <c r="ES111" i="2"/>
  <c r="EI28" i="2"/>
  <c r="DA47" i="2"/>
  <c r="CW218" i="2"/>
  <c r="CR70" i="2"/>
  <c r="CZ133" i="2"/>
  <c r="CZ91" i="2"/>
  <c r="ES39" i="2"/>
  <c r="DA50" i="2"/>
  <c r="CR92" i="2"/>
  <c r="ES141" i="2"/>
  <c r="ET120" i="2"/>
  <c r="CX92" i="2"/>
  <c r="ET30" i="2"/>
  <c r="BJ42" i="2"/>
  <c r="CW140" i="2"/>
  <c r="BJ129" i="2"/>
  <c r="CV50" i="2"/>
  <c r="ET65" i="2"/>
  <c r="ET72" i="2"/>
  <c r="EI42" i="2"/>
  <c r="CX154" i="2"/>
  <c r="EI129" i="2"/>
  <c r="ET136" i="2"/>
  <c r="DA78" i="2"/>
  <c r="CV140" i="2"/>
  <c r="CQ140" i="2"/>
  <c r="ET117" i="2"/>
  <c r="ET17" i="2"/>
  <c r="CV116" i="2"/>
  <c r="EM141" i="2"/>
  <c r="EN141" i="2" s="1"/>
  <c r="DA140" i="2"/>
  <c r="CT133" i="2"/>
  <c r="CU133" i="2"/>
  <c r="ET122" i="2"/>
  <c r="ES23" i="2"/>
  <c r="ET143" i="2"/>
  <c r="EI25" i="2"/>
  <c r="CZ154" i="2"/>
  <c r="CU141" i="2"/>
  <c r="EI17" i="2"/>
  <c r="EI140" i="2"/>
  <c r="CU154" i="2"/>
  <c r="BJ5" i="2"/>
  <c r="CW70" i="2"/>
  <c r="CR133" i="2"/>
  <c r="EI70" i="2"/>
  <c r="ET108" i="2"/>
  <c r="ET41" i="2"/>
  <c r="CS50" i="2"/>
  <c r="ES119" i="2"/>
  <c r="BJ81" i="2"/>
  <c r="BJ80" i="2"/>
  <c r="ES133" i="2"/>
  <c r="BJ108" i="2"/>
  <c r="ET133" i="2"/>
  <c r="CU91" i="2"/>
  <c r="EI63" i="2"/>
  <c r="ET121" i="2"/>
  <c r="CU140" i="2"/>
  <c r="BJ103" i="2"/>
  <c r="EI141" i="2"/>
  <c r="ES65" i="2"/>
  <c r="BJ38" i="2"/>
  <c r="EI81" i="2"/>
  <c r="ES132" i="2"/>
  <c r="EI128" i="2"/>
  <c r="CQ80" i="2"/>
  <c r="CY70" i="2"/>
  <c r="CQ91" i="2"/>
  <c r="ET34" i="2"/>
  <c r="BJ44" i="2"/>
  <c r="CT91" i="2"/>
  <c r="EM70" i="2"/>
  <c r="EN70" i="2" s="1"/>
  <c r="CV70" i="2"/>
  <c r="CS133" i="2"/>
  <c r="EI52" i="2"/>
  <c r="CR50" i="2"/>
  <c r="ET134" i="2"/>
  <c r="ES108" i="2"/>
  <c r="ES72" i="2"/>
  <c r="ET86" i="2"/>
  <c r="ET15" i="2"/>
  <c r="CV91" i="2"/>
  <c r="CW66" i="2"/>
  <c r="CW80" i="2"/>
  <c r="CT92" i="2"/>
  <c r="ES138" i="2"/>
  <c r="EV138" i="2" s="1"/>
  <c r="BJ15" i="2"/>
  <c r="CZ218" i="2"/>
  <c r="ET91" i="2"/>
  <c r="EI89" i="2"/>
  <c r="P726" i="10"/>
  <c r="P536" i="10"/>
  <c r="P259" i="10"/>
  <c r="P455" i="10"/>
  <c r="P198" i="2"/>
  <c r="A198" i="2" s="1"/>
  <c r="F198" i="2" s="1"/>
  <c r="BF217" i="2"/>
  <c r="CG217" i="2" s="1"/>
  <c r="CH234" i="2"/>
  <c r="CC234" i="2" s="1"/>
  <c r="P56" i="2"/>
  <c r="A56" i="2" s="1"/>
  <c r="P234" i="2"/>
  <c r="A234" i="2" s="1"/>
  <c r="AI129" i="2"/>
  <c r="CD234" i="2"/>
  <c r="CG319" i="2"/>
  <c r="AI61" i="2"/>
  <c r="BF318" i="2"/>
  <c r="CG318" i="2" s="1"/>
  <c r="CF266" i="2"/>
  <c r="BW281" i="2"/>
  <c r="P724" i="10"/>
  <c r="CE198" i="2"/>
  <c r="AM37" i="2"/>
  <c r="CH37" i="2" s="1"/>
  <c r="CC37" i="2" s="1"/>
  <c r="BW68" i="2"/>
  <c r="BC70" i="2"/>
  <c r="AI304" i="2"/>
  <c r="P404" i="10"/>
  <c r="A164" i="2"/>
  <c r="EM106" i="2"/>
  <c r="EN106" i="2" s="1"/>
  <c r="AI109" i="2"/>
  <c r="P31" i="10"/>
  <c r="P191" i="10"/>
  <c r="AI317" i="2"/>
  <c r="BW14" i="2"/>
  <c r="AM136" i="2"/>
  <c r="BQ150" i="2"/>
  <c r="AI207" i="2"/>
  <c r="BG234" i="2"/>
  <c r="DM274" i="2"/>
  <c r="EK325" i="2"/>
  <c r="K4" i="45"/>
  <c r="BF327" i="2"/>
  <c r="P201" i="10"/>
  <c r="BJ46" i="2"/>
  <c r="CG169" i="2"/>
  <c r="P141" i="10"/>
  <c r="P299" i="10"/>
  <c r="K70" i="45"/>
  <c r="CV65" i="2"/>
  <c r="EK78" i="2"/>
  <c r="CH29" i="2"/>
  <c r="CC29" i="2" s="1"/>
  <c r="AR66" i="2" a="1"/>
  <c r="AR66" i="2" s="1"/>
  <c r="BW15" i="2"/>
  <c r="BF31" i="2"/>
  <c r="CG31" i="2" s="1"/>
  <c r="DM307" i="2"/>
  <c r="DC307" i="2" s="1"/>
  <c r="P608" i="10"/>
  <c r="CT15" i="2"/>
  <c r="BF220" i="2"/>
  <c r="CG220" i="2" s="1"/>
  <c r="BF38" i="2"/>
  <c r="CG38" i="2" s="1"/>
  <c r="CF130" i="2"/>
  <c r="AI206" i="2"/>
  <c r="DW220" i="2"/>
  <c r="AI320" i="2"/>
  <c r="P493" i="10"/>
  <c r="P254" i="10"/>
  <c r="H403" i="20"/>
  <c r="CH198" i="2"/>
  <c r="CC198" i="2" s="1"/>
  <c r="AI225" i="2"/>
  <c r="AZ70" i="2"/>
  <c r="BF56" i="2"/>
  <c r="CG56" i="2" s="1"/>
  <c r="BL106" i="2"/>
  <c r="CU106" i="2" s="1"/>
  <c r="AM268" i="2"/>
  <c r="BW55" i="2"/>
  <c r="AI106" i="2"/>
  <c r="EK106" i="2"/>
  <c r="AI24" i="2"/>
  <c r="CH111" i="2"/>
  <c r="CC111" i="2" s="1"/>
  <c r="AI127" i="2"/>
  <c r="AZ189" i="2"/>
  <c r="CG189" i="2" s="1"/>
  <c r="ES5" i="2"/>
  <c r="BG199" i="2"/>
  <c r="BF221" i="2"/>
  <c r="CG221" i="2" s="1"/>
  <c r="CG86" i="2"/>
  <c r="CH164" i="2"/>
  <c r="CC164" i="2" s="1"/>
  <c r="EI39" i="2"/>
  <c r="BG44" i="2"/>
  <c r="BF46" i="2"/>
  <c r="CG46" i="2" s="1"/>
  <c r="AM300" i="2"/>
  <c r="BG61" i="2"/>
  <c r="P43" i="2"/>
  <c r="A43" i="2" s="1"/>
  <c r="A147" i="2"/>
  <c r="AZ27" i="2"/>
  <c r="BQ256" i="2"/>
  <c r="EJ274" i="2"/>
  <c r="CD198" i="2"/>
  <c r="CH43" i="2"/>
  <c r="CC43" i="2" s="1"/>
  <c r="AI327" i="2"/>
  <c r="CE43" i="2"/>
  <c r="BF107" i="2"/>
  <c r="CG107" i="2" s="1"/>
  <c r="AZ313" i="2"/>
  <c r="EK330" i="2"/>
  <c r="AG28" i="19"/>
  <c r="AZ225" i="2"/>
  <c r="AZ327" i="2"/>
  <c r="AG9" i="19"/>
  <c r="AI252" i="2"/>
  <c r="EM78" i="2"/>
  <c r="EN78" i="2" s="1"/>
  <c r="ET21" i="2"/>
  <c r="AI92" i="2"/>
  <c r="AI208" i="2"/>
  <c r="AI319" i="2"/>
  <c r="AG17" i="19"/>
  <c r="BF26" i="2"/>
  <c r="CG26" i="2" s="1"/>
  <c r="AB24" i="19"/>
  <c r="AA24" i="19"/>
  <c r="Z24" i="19"/>
  <c r="AC24" i="19" s="1" a="1"/>
  <c r="AC24" i="19" s="1"/>
  <c r="AA14" i="19"/>
  <c r="AB14" i="19"/>
  <c r="Z35" i="19"/>
  <c r="AA35" i="19"/>
  <c r="AB35" i="19"/>
  <c r="AC35" i="19" a="1"/>
  <c r="AC35" i="19" s="1"/>
  <c r="Z57" i="19"/>
  <c r="AB57" i="19"/>
  <c r="AC57" i="19" a="1"/>
  <c r="AC57" i="19" s="1"/>
  <c r="AA57" i="19"/>
  <c r="AC15" i="19" a="1"/>
  <c r="AC15" i="19" s="1"/>
  <c r="AB15" i="19"/>
  <c r="Z15" i="19"/>
  <c r="AA15" i="19"/>
  <c r="AC41" i="19" a="1"/>
  <c r="AC41" i="19" s="1"/>
  <c r="AC59" i="19" a="1"/>
  <c r="AC59" i="19" s="1"/>
  <c r="Z59" i="19"/>
  <c r="AA59" i="19"/>
  <c r="AB59" i="19"/>
  <c r="AC34" i="19" a="1"/>
  <c r="AC34" i="19" s="1"/>
  <c r="AA45" i="19"/>
  <c r="Z45" i="19"/>
  <c r="AB45" i="19"/>
  <c r="AC45" i="19" a="1"/>
  <c r="AC45" i="19" s="1"/>
  <c r="AC31" i="19" a="1"/>
  <c r="AC31" i="19" s="1"/>
  <c r="AA31" i="19"/>
  <c r="AB31" i="19"/>
  <c r="Z31" i="19"/>
  <c r="AB40" i="19"/>
  <c r="AA40" i="19"/>
  <c r="Z40" i="19"/>
  <c r="AC40" i="19" s="1" a="1"/>
  <c r="AC40" i="19" s="1"/>
  <c r="Z49" i="19"/>
  <c r="AA49" i="19"/>
  <c r="AB49" i="19"/>
  <c r="AC60" i="19" a="1"/>
  <c r="AC60" i="19" s="1"/>
  <c r="AC22" i="19" a="1"/>
  <c r="AC22" i="19" s="1"/>
  <c r="Z22" i="19"/>
  <c r="AB22" i="19"/>
  <c r="AA22" i="19"/>
  <c r="Z20" i="19"/>
  <c r="AB20" i="19"/>
  <c r="AC20" i="19" a="1"/>
  <c r="AC20" i="19" s="1"/>
  <c r="AA20" i="19"/>
  <c r="AC36" i="19" a="1"/>
  <c r="AC36" i="19" s="1"/>
  <c r="AB47" i="19"/>
  <c r="AA47" i="19"/>
  <c r="Z47" i="19"/>
  <c r="AC62" i="19" a="1"/>
  <c r="AC62" i="19" s="1"/>
  <c r="Z30" i="19"/>
  <c r="AC30" i="19" s="1" a="1"/>
  <c r="AC30" i="19" s="1"/>
  <c r="Z13" i="19"/>
  <c r="AB13" i="19"/>
  <c r="AA13" i="19"/>
  <c r="AC18" i="19" a="1"/>
  <c r="AC18" i="19" s="1"/>
  <c r="AA18" i="19"/>
  <c r="AB18" i="19"/>
  <c r="Z18" i="19"/>
  <c r="Z8" i="19"/>
  <c r="AC8" i="19" a="1"/>
  <c r="AC8" i="19" s="1"/>
  <c r="AB8" i="19"/>
  <c r="AA8" i="19"/>
  <c r="AC48" i="19" a="1"/>
  <c r="AC48" i="19" s="1"/>
  <c r="AC43" i="19" a="1"/>
  <c r="AC43" i="19" s="1"/>
  <c r="AB23" i="19"/>
  <c r="Z23" i="19"/>
  <c r="AC23" i="19" a="1"/>
  <c r="AC23" i="19" s="1"/>
  <c r="AA23" i="19"/>
  <c r="AA12" i="19"/>
  <c r="Z12" i="19"/>
  <c r="Z51" i="19"/>
  <c r="AA51" i="19"/>
  <c r="AB51" i="19"/>
  <c r="AB61" i="19"/>
  <c r="AC61" i="19" a="1"/>
  <c r="AC61" i="19" s="1"/>
  <c r="AA61" i="19"/>
  <c r="Z61" i="19"/>
  <c r="AA56" i="19"/>
  <c r="AB56" i="19"/>
  <c r="AC56" i="19" a="1"/>
  <c r="AC56" i="19" s="1"/>
  <c r="Z56" i="19"/>
  <c r="AC33" i="19" a="1"/>
  <c r="AC33" i="19" s="1"/>
  <c r="AC16" i="19" a="1"/>
  <c r="AC16" i="19" s="1"/>
  <c r="AB50" i="19"/>
  <c r="Z50" i="19"/>
  <c r="AA50" i="19"/>
  <c r="AC37" i="19" a="1"/>
  <c r="AC37" i="19" s="1"/>
  <c r="AA37" i="19"/>
  <c r="AB37" i="19"/>
  <c r="Z37" i="19"/>
  <c r="Z32" i="19"/>
  <c r="AA32" i="19"/>
  <c r="AC32" i="19" a="1"/>
  <c r="AC32" i="19" s="1"/>
  <c r="AB32" i="19"/>
  <c r="AC9" i="19" a="1"/>
  <c r="AC9" i="19" s="1"/>
  <c r="AA55" i="19"/>
  <c r="AB55" i="19"/>
  <c r="AC55" i="19" a="1"/>
  <c r="AC55" i="19" s="1"/>
  <c r="AC46" i="19" a="1"/>
  <c r="AC46" i="19" s="1"/>
  <c r="Z46" i="19"/>
  <c r="AB46" i="19"/>
  <c r="AA46" i="19"/>
  <c r="Z42" i="19"/>
  <c r="AA42" i="19"/>
  <c r="AB42" i="19"/>
  <c r="AC42" i="19" a="1"/>
  <c r="AC42" i="19" s="1"/>
  <c r="Z29" i="19"/>
  <c r="AB29" i="19"/>
  <c r="AA29" i="19"/>
  <c r="AC44" i="19" a="1"/>
  <c r="AC44" i="19" s="1"/>
  <c r="AC11" i="19" a="1"/>
  <c r="AC11" i="19" s="1"/>
  <c r="AB11" i="19"/>
  <c r="AA11" i="19"/>
  <c r="Z21" i="19"/>
  <c r="AA21" i="19"/>
  <c r="AC21" i="19" s="1" a="1"/>
  <c r="AC21" i="19" s="1"/>
  <c r="AB21" i="19"/>
  <c r="AA58" i="19"/>
  <c r="AB58" i="19"/>
  <c r="Z58" i="19"/>
  <c r="AC58" i="19" a="1"/>
  <c r="AC58" i="19" s="1"/>
  <c r="AB39" i="19"/>
  <c r="AA10" i="19"/>
  <c r="Z10" i="19"/>
  <c r="AC10" i="19" a="1"/>
  <c r="AC10" i="19" s="1"/>
  <c r="AC52" i="19" a="1"/>
  <c r="AC52" i="19" s="1"/>
  <c r="AC54" i="19" a="1"/>
  <c r="AC54" i="19" s="1"/>
  <c r="Z54" i="19"/>
  <c r="DR272" i="2"/>
  <c r="DT272" i="2"/>
  <c r="ED176" i="2"/>
  <c r="CY138" i="2"/>
  <c r="CX138" i="2"/>
  <c r="CU138" i="2"/>
  <c r="G3" i="2"/>
  <c r="DF52" i="2"/>
  <c r="G281" i="2"/>
  <c r="F281" i="2"/>
  <c r="EF52" i="2"/>
  <c r="CU162" i="2"/>
  <c r="EL162" i="2"/>
  <c r="DA162" i="2"/>
  <c r="EG134" i="2"/>
  <c r="BY230" i="2"/>
  <c r="EV246" i="2"/>
  <c r="EW246" i="2" s="1"/>
  <c r="EX246" i="2" s="1"/>
  <c r="EU246" i="2"/>
  <c r="G330" i="2"/>
  <c r="EL97" i="2"/>
  <c r="CS97" i="2"/>
  <c r="CX97" i="2"/>
  <c r="CY97" i="2"/>
  <c r="EJ97" i="2"/>
  <c r="CU97" i="2"/>
  <c r="CZ162" i="2"/>
  <c r="F186" i="2"/>
  <c r="CZ238" i="2"/>
  <c r="CT238" i="2"/>
  <c r="DG189" i="2"/>
  <c r="F323" i="2"/>
  <c r="G323" i="2"/>
  <c r="CS312" i="2"/>
  <c r="EV152" i="2"/>
  <c r="DA318" i="2"/>
  <c r="F122" i="2"/>
  <c r="G122" i="2"/>
  <c r="EU300" i="2"/>
  <c r="EU214" i="2"/>
  <c r="DG312" i="2"/>
  <c r="CZ318" i="2"/>
  <c r="EU160" i="2"/>
  <c r="BX9" i="2"/>
  <c r="BY9" i="2" s="1"/>
  <c r="AU9" i="2"/>
  <c r="EJ297" i="2"/>
  <c r="DY141" i="2"/>
  <c r="CX312" i="2"/>
  <c r="CV318" i="2"/>
  <c r="EV318" i="2"/>
  <c r="CT285" i="2"/>
  <c r="Z12" i="4"/>
  <c r="Y24" i="4"/>
  <c r="CN39" i="2"/>
  <c r="CS51" i="2"/>
  <c r="CU51" i="2"/>
  <c r="G32" i="2"/>
  <c r="CG229" i="2"/>
  <c r="G9" i="2"/>
  <c r="F9" i="2"/>
  <c r="EU267" i="2"/>
  <c r="BX327" i="2"/>
  <c r="BY327" i="2" s="1"/>
  <c r="Z37" i="4"/>
  <c r="DY107" i="2"/>
  <c r="DG51" i="2"/>
  <c r="CF229" i="2"/>
  <c r="DG60" i="2"/>
  <c r="EU60" i="2"/>
  <c r="DM60" i="2"/>
  <c r="EJ60" i="2"/>
  <c r="G18" i="2"/>
  <c r="F18" i="2"/>
  <c r="CS17" i="2"/>
  <c r="BQ17" i="2"/>
  <c r="CT17" i="2"/>
  <c r="CV17" i="2"/>
  <c r="CU17" i="2"/>
  <c r="CW17" i="2"/>
  <c r="DG17" i="2"/>
  <c r="DA17" i="2"/>
  <c r="DW17" i="2"/>
  <c r="EJ17" i="2"/>
  <c r="EV51" i="2"/>
  <c r="CV51" i="2"/>
  <c r="CX51" i="2"/>
  <c r="BT148" i="2"/>
  <c r="BU148" i="2" s="1"/>
  <c r="EU51" i="2"/>
  <c r="CR51" i="2"/>
  <c r="F298" i="2"/>
  <c r="DY58" i="2"/>
  <c r="CT102" i="2"/>
  <c r="CR102" i="2"/>
  <c r="BX21" i="2"/>
  <c r="BY21" i="2" s="1"/>
  <c r="AU21" i="2"/>
  <c r="G19" i="2"/>
  <c r="F19" i="2"/>
  <c r="Y22" i="4"/>
  <c r="DM265" i="2"/>
  <c r="DA51" i="2"/>
  <c r="CY51" i="2"/>
  <c r="G290" i="2"/>
  <c r="F114" i="2"/>
  <c r="EU274" i="2"/>
  <c r="CN281" i="2"/>
  <c r="EJ265" i="2"/>
  <c r="Z140" i="4"/>
  <c r="EL118" i="2"/>
  <c r="BQ118" i="2"/>
  <c r="DW51" i="2"/>
  <c r="EJ51" i="2"/>
  <c r="CX102" i="2"/>
  <c r="DW251" i="2"/>
  <c r="CT60" i="2"/>
  <c r="F250" i="2"/>
  <c r="DM51" i="2"/>
  <c r="G261" i="2"/>
  <c r="F261" i="2"/>
  <c r="F321" i="2"/>
  <c r="G321" i="2"/>
  <c r="BQ28" i="2"/>
  <c r="EL28" i="2"/>
  <c r="EU265" i="2"/>
  <c r="EV256" i="2"/>
  <c r="EU164" i="2"/>
  <c r="AU252" i="2"/>
  <c r="G65" i="2"/>
  <c r="CS118" i="2"/>
  <c r="BT39" i="2"/>
  <c r="BU39" i="2" s="1"/>
  <c r="EL51" i="2"/>
  <c r="BQ51" i="2"/>
  <c r="F42" i="2"/>
  <c r="CY60" i="2"/>
  <c r="AU229" i="2"/>
  <c r="F260" i="2"/>
  <c r="EL17" i="2"/>
  <c r="BQ143" i="2"/>
  <c r="CX143" i="2"/>
  <c r="F193" i="2"/>
  <c r="G193" i="2"/>
  <c r="EG84" i="2"/>
  <c r="CX14" i="2"/>
  <c r="CV107" i="2"/>
  <c r="BQ107" i="2"/>
  <c r="AU138" i="2"/>
  <c r="BX138" i="2"/>
  <c r="BY138" i="2" s="1"/>
  <c r="CX107" i="2"/>
  <c r="DW107" i="2"/>
  <c r="EG107" i="2" s="1"/>
  <c r="G73" i="2"/>
  <c r="BX84" i="2"/>
  <c r="BY84" i="2" s="1"/>
  <c r="AU84" i="2"/>
  <c r="AR122" i="2" a="1"/>
  <c r="AR122" i="2" s="1"/>
  <c r="CH122" i="2"/>
  <c r="CC122" i="2" s="1"/>
  <c r="CK122" i="2"/>
  <c r="AU133" i="2"/>
  <c r="BX178" i="2"/>
  <c r="BY178" i="2" s="1"/>
  <c r="CK190" i="2"/>
  <c r="F206" i="2"/>
  <c r="CF61" i="2"/>
  <c r="G200" i="2"/>
  <c r="F200" i="2"/>
  <c r="BL7" i="2"/>
  <c r="EK7" i="2"/>
  <c r="CK94" i="2"/>
  <c r="CS15" i="2"/>
  <c r="CD266" i="2"/>
  <c r="BW266" i="2"/>
  <c r="CH266" i="2"/>
  <c r="CC266" i="2" s="1"/>
  <c r="CK6" i="2"/>
  <c r="CD186" i="2"/>
  <c r="CH223" i="2"/>
  <c r="CC223" i="2" s="1"/>
  <c r="EJ114" i="2"/>
  <c r="BW12" i="2"/>
  <c r="CK12" i="2"/>
  <c r="DW126" i="2"/>
  <c r="BQ126" i="2"/>
  <c r="BF166" i="2"/>
  <c r="CG166" i="2" s="1"/>
  <c r="AM166" i="2"/>
  <c r="DG15" i="2"/>
  <c r="BL182" i="2"/>
  <c r="CD269" i="2"/>
  <c r="BW258" i="2"/>
  <c r="BL248" i="2"/>
  <c r="BW82" i="2"/>
  <c r="BL198" i="2"/>
  <c r="BL117" i="2"/>
  <c r="BQ114" i="2"/>
  <c r="BQ169" i="2"/>
  <c r="DW169" i="2"/>
  <c r="BW165" i="2"/>
  <c r="CK165" i="2"/>
  <c r="CF4" i="2"/>
  <c r="P180" i="2"/>
  <c r="A180" i="2" s="1"/>
  <c r="EJ66" i="2"/>
  <c r="CY50" i="2"/>
  <c r="CK251" i="2"/>
  <c r="P258" i="2"/>
  <c r="A258" i="2" s="1"/>
  <c r="CH82" i="2"/>
  <c r="CC82" i="2" s="1"/>
  <c r="CG293" i="2"/>
  <c r="CK109" i="2"/>
  <c r="P109" i="2"/>
  <c r="A109" i="2" s="1"/>
  <c r="BG57" i="2"/>
  <c r="CE57" i="2"/>
  <c r="AI57" i="2"/>
  <c r="AZ57" i="2"/>
  <c r="CE174" i="2"/>
  <c r="AM174" i="2"/>
  <c r="P4" i="2"/>
  <c r="A4" i="2" s="1"/>
  <c r="CX50" i="2"/>
  <c r="BQ313" i="2"/>
  <c r="G169" i="2"/>
  <c r="P64" i="2"/>
  <c r="A64" i="2" s="1"/>
  <c r="P82" i="2"/>
  <c r="A82" i="2" s="1"/>
  <c r="P12" i="2"/>
  <c r="A12" i="2" s="1"/>
  <c r="EK43" i="2"/>
  <c r="AM173" i="2"/>
  <c r="CK280" i="2"/>
  <c r="CF280" i="2"/>
  <c r="AR20" i="2" a="1"/>
  <c r="AR20" i="2" s="1"/>
  <c r="EM37" i="2"/>
  <c r="EN37" i="2" s="1"/>
  <c r="BL37" i="2"/>
  <c r="CG40" i="2"/>
  <c r="EJ149" i="2"/>
  <c r="BQ149" i="2"/>
  <c r="CH94" i="2"/>
  <c r="CC94" i="2" s="1"/>
  <c r="BW180" i="2"/>
  <c r="CF180" i="2"/>
  <c r="CF146" i="2"/>
  <c r="CK146" i="2"/>
  <c r="AM203" i="2"/>
  <c r="CE203" i="2"/>
  <c r="BW104" i="2"/>
  <c r="BW200" i="2"/>
  <c r="BG202" i="2"/>
  <c r="AI202" i="2"/>
  <c r="P75" i="2"/>
  <c r="A75" i="2" s="1"/>
  <c r="BW75" i="2"/>
  <c r="AM102" i="2"/>
  <c r="BG139" i="2"/>
  <c r="AI169" i="2"/>
  <c r="CE169" i="2"/>
  <c r="BL191" i="2"/>
  <c r="BF47" i="2"/>
  <c r="CG47" i="2" s="1"/>
  <c r="CK56" i="2"/>
  <c r="CH59" i="2"/>
  <c r="CC59" i="2" s="1"/>
  <c r="BW7" i="2"/>
  <c r="CE114" i="2"/>
  <c r="BF114" i="2"/>
  <c r="CG114" i="2" s="1"/>
  <c r="AR210" i="2" a="1"/>
  <c r="AR210" i="2" s="1"/>
  <c r="BF121" i="2"/>
  <c r="CG121" i="2" s="1"/>
  <c r="CF317" i="2"/>
  <c r="AR221" i="2" a="1"/>
  <c r="AR221" i="2" s="1"/>
  <c r="CF306" i="2"/>
  <c r="AI223" i="2"/>
  <c r="AZ291" i="2"/>
  <c r="CD291" i="2" s="1"/>
  <c r="BF314" i="2"/>
  <c r="CG314" i="2" s="1"/>
  <c r="AR301" i="2" a="1"/>
  <c r="AR301" i="2" s="1"/>
  <c r="AR328" i="2" a="1"/>
  <c r="AR328" i="2" s="1"/>
  <c r="AI342" i="2"/>
  <c r="P578" i="10"/>
  <c r="P522" i="10"/>
  <c r="P63" i="10"/>
  <c r="P633" i="10"/>
  <c r="P696" i="10"/>
  <c r="P569" i="10"/>
  <c r="P616" i="10"/>
  <c r="P172" i="10"/>
  <c r="P104" i="10"/>
  <c r="P45" i="10"/>
  <c r="P651" i="10"/>
  <c r="P486" i="10"/>
  <c r="AG26" i="19"/>
  <c r="K92" i="4" a="1"/>
  <c r="K92" i="4" s="1"/>
  <c r="P168" i="10"/>
  <c r="P82" i="10"/>
  <c r="P618" i="10"/>
  <c r="K27" i="4" a="1"/>
  <c r="K27" i="4" s="1"/>
  <c r="P250" i="10"/>
  <c r="P159" i="10"/>
  <c r="P84" i="10"/>
  <c r="P345" i="10"/>
  <c r="P420" i="10"/>
  <c r="P207" i="10"/>
  <c r="P485" i="10"/>
  <c r="P412" i="10"/>
  <c r="P58" i="10"/>
  <c r="AD4" i="19"/>
  <c r="DE296" i="2" l="1"/>
  <c r="EG39" i="2"/>
  <c r="CG102" i="2"/>
  <c r="DD87" i="2"/>
  <c r="AA38" i="19"/>
  <c r="AU70" i="2"/>
  <c r="CN70" i="2" s="1"/>
  <c r="BX70" i="2"/>
  <c r="BY70" i="2" s="1"/>
  <c r="EK277" i="2"/>
  <c r="BL277" i="2"/>
  <c r="EM277" i="2"/>
  <c r="EN277" i="2" s="1"/>
  <c r="BW116" i="2"/>
  <c r="CD116" i="2"/>
  <c r="CK116" i="2"/>
  <c r="P116" i="2"/>
  <c r="A116" i="2" s="1"/>
  <c r="DW157" i="2"/>
  <c r="DM157" i="2"/>
  <c r="DC157" i="2" s="1"/>
  <c r="CT157" i="2"/>
  <c r="EL157" i="2"/>
  <c r="CY157" i="2"/>
  <c r="CW157" i="2"/>
  <c r="CV157" i="2"/>
  <c r="DG157" i="2"/>
  <c r="CS157" i="2"/>
  <c r="CR157" i="2"/>
  <c r="CU157" i="2"/>
  <c r="DA157" i="2"/>
  <c r="CX157" i="2"/>
  <c r="CZ157" i="2"/>
  <c r="EV157" i="2"/>
  <c r="CF245" i="2"/>
  <c r="CG245" i="2"/>
  <c r="CD245" i="2"/>
  <c r="CF144" i="2"/>
  <c r="CD144" i="2"/>
  <c r="CG144" i="2"/>
  <c r="AU60" i="2"/>
  <c r="BX60" i="2"/>
  <c r="BY60" i="2" s="1"/>
  <c r="F205" i="2"/>
  <c r="G205" i="2"/>
  <c r="F55" i="2"/>
  <c r="G55" i="2"/>
  <c r="P244" i="2"/>
  <c r="A244" i="2" s="1"/>
  <c r="AR244" i="2" a="1"/>
  <c r="AR244" i="2" s="1"/>
  <c r="CF244" i="2"/>
  <c r="CD244" i="2"/>
  <c r="P315" i="2"/>
  <c r="A315" i="2" s="1"/>
  <c r="AR315" i="2" a="1"/>
  <c r="AR315" i="2" s="1"/>
  <c r="CD315" i="2"/>
  <c r="CH315" i="2"/>
  <c r="CC315" i="2" s="1"/>
  <c r="CK315" i="2"/>
  <c r="CF315" i="2"/>
  <c r="BW315" i="2"/>
  <c r="AU113" i="2"/>
  <c r="BX113" i="2"/>
  <c r="BY113" i="2" s="1"/>
  <c r="DY73" i="2"/>
  <c r="EG73" i="2"/>
  <c r="AR116" i="2" a="1"/>
  <c r="AR116" i="2" s="1"/>
  <c r="DY19" i="2"/>
  <c r="EG19" i="2"/>
  <c r="CQ222" i="2"/>
  <c r="BT222" i="2"/>
  <c r="BU222" i="2" s="1"/>
  <c r="AU225" i="2"/>
  <c r="CN225" i="2" s="1"/>
  <c r="BX225" i="2"/>
  <c r="BY225" i="2" s="1"/>
  <c r="F197" i="2"/>
  <c r="BX157" i="2"/>
  <c r="BY157" i="2" s="1"/>
  <c r="AU157" i="2"/>
  <c r="CN157" i="2" s="1"/>
  <c r="P26" i="2"/>
  <c r="A26" i="2" s="1"/>
  <c r="AR26" i="2" a="1"/>
  <c r="AR26" i="2" s="1"/>
  <c r="CK26" i="2"/>
  <c r="CF26" i="2"/>
  <c r="BW26" i="2"/>
  <c r="CH26" i="2"/>
  <c r="CC26" i="2" s="1"/>
  <c r="CD196" i="2"/>
  <c r="CF196" i="2"/>
  <c r="P196" i="2"/>
  <c r="A196" i="2" s="1"/>
  <c r="BW196" i="2"/>
  <c r="CK196" i="2"/>
  <c r="CH196" i="2"/>
  <c r="CC196" i="2" s="1"/>
  <c r="BX273" i="2"/>
  <c r="BY273" i="2" s="1"/>
  <c r="AU273" i="2"/>
  <c r="AU55" i="2"/>
  <c r="BX55" i="2"/>
  <c r="BY55" i="2" s="1"/>
  <c r="G159" i="2"/>
  <c r="F159" i="2"/>
  <c r="BW277" i="2"/>
  <c r="CK277" i="2"/>
  <c r="AR277" i="2" a="1"/>
  <c r="AR277" i="2" s="1"/>
  <c r="CD277" i="2"/>
  <c r="BW223" i="2"/>
  <c r="P223" i="2"/>
  <c r="A223" i="2" s="1"/>
  <c r="CD223" i="2"/>
  <c r="CK223" i="2"/>
  <c r="CF223" i="2"/>
  <c r="AR83" i="2" a="1"/>
  <c r="AR83" i="2" s="1"/>
  <c r="CK83" i="2"/>
  <c r="BW83" i="2"/>
  <c r="P83" i="2"/>
  <c r="A83" i="2" s="1"/>
  <c r="CF83" i="2"/>
  <c r="CH83" i="2"/>
  <c r="CC83" i="2" s="1"/>
  <c r="CD83" i="2"/>
  <c r="CD94" i="2"/>
  <c r="CF94" i="2"/>
  <c r="CD100" i="2"/>
  <c r="CF100" i="2"/>
  <c r="CG100" i="2"/>
  <c r="CD26" i="2"/>
  <c r="CN260" i="2"/>
  <c r="BT260" i="2"/>
  <c r="BU260" i="2" s="1"/>
  <c r="F134" i="2"/>
  <c r="G134" i="2"/>
  <c r="DF13" i="2"/>
  <c r="DV13" i="2"/>
  <c r="DU13" i="2"/>
  <c r="DN13" i="2"/>
  <c r="DP13" i="2" s="1"/>
  <c r="DQ13" i="2" s="1"/>
  <c r="DG47" i="2"/>
  <c r="G230" i="2"/>
  <c r="AR289" i="2" a="1"/>
  <c r="AR289" i="2" s="1"/>
  <c r="EJ169" i="2"/>
  <c r="F15" i="2"/>
  <c r="DE151" i="2"/>
  <c r="EV18" i="2"/>
  <c r="DN52" i="2"/>
  <c r="DP52" i="2" s="1"/>
  <c r="DQ52" i="2" s="1"/>
  <c r="DY230" i="2"/>
  <c r="CF116" i="2"/>
  <c r="BT246" i="2"/>
  <c r="BU246" i="2" s="1"/>
  <c r="EW121" i="2"/>
  <c r="EX121" i="2" s="1"/>
  <c r="BW152" i="2"/>
  <c r="CK152" i="2"/>
  <c r="AR152" i="2" a="1"/>
  <c r="AR152" i="2" s="1"/>
  <c r="P152" i="2"/>
  <c r="A152" i="2" s="1"/>
  <c r="CD152" i="2"/>
  <c r="CF312" i="2"/>
  <c r="CH312" i="2"/>
  <c r="CC312" i="2" s="1"/>
  <c r="CK312" i="2"/>
  <c r="CD312" i="2"/>
  <c r="AR312" i="2" a="1"/>
  <c r="AR312" i="2" s="1"/>
  <c r="BW312" i="2"/>
  <c r="P312" i="2"/>
  <c r="A312" i="2" s="1"/>
  <c r="BW109" i="2"/>
  <c r="CD109" i="2"/>
  <c r="CH109" i="2"/>
  <c r="CC109" i="2" s="1"/>
  <c r="BX317" i="2"/>
  <c r="BY317" i="2" s="1"/>
  <c r="AU317" i="2"/>
  <c r="CN317" i="2" s="1"/>
  <c r="BW163" i="2"/>
  <c r="CK163" i="2"/>
  <c r="P163" i="2"/>
  <c r="A163" i="2" s="1"/>
  <c r="EK132" i="2"/>
  <c r="BL132" i="2"/>
  <c r="EM132" i="2"/>
  <c r="EN132" i="2" s="1"/>
  <c r="AU159" i="2"/>
  <c r="BX159" i="2"/>
  <c r="BY159" i="2" s="1"/>
  <c r="BW340" i="2"/>
  <c r="CH340" i="2"/>
  <c r="CC340" i="2" s="1"/>
  <c r="CF340" i="2"/>
  <c r="AR340" i="2" a="1"/>
  <c r="AR340" i="2" s="1"/>
  <c r="P340" i="2"/>
  <c r="A340" i="2" s="1"/>
  <c r="CK340" i="2"/>
  <c r="CD340" i="2"/>
  <c r="G6" i="2"/>
  <c r="F6" i="2"/>
  <c r="CK8" i="2"/>
  <c r="CD8" i="2"/>
  <c r="P8" i="2"/>
  <c r="A8" i="2" s="1"/>
  <c r="CH8" i="2"/>
  <c r="CC8" i="2" s="1"/>
  <c r="BW8" i="2"/>
  <c r="EK100" i="2"/>
  <c r="BL100" i="2"/>
  <c r="CN92" i="2"/>
  <c r="BT92" i="2"/>
  <c r="BU92" i="2" s="1"/>
  <c r="AB38" i="19"/>
  <c r="BT41" i="2"/>
  <c r="BU41" i="2" s="1"/>
  <c r="AR196" i="2" a="1"/>
  <c r="AR196" i="2" s="1"/>
  <c r="EG219" i="2"/>
  <c r="DM126" i="2"/>
  <c r="DC126" i="2" s="1"/>
  <c r="EJ126" i="2"/>
  <c r="CX126" i="2"/>
  <c r="CY126" i="2"/>
  <c r="EL126" i="2"/>
  <c r="CR126" i="2"/>
  <c r="CZ126" i="2"/>
  <c r="DA126" i="2"/>
  <c r="CV126" i="2"/>
  <c r="CS126" i="2"/>
  <c r="CT126" i="2"/>
  <c r="DG126" i="2"/>
  <c r="DY126" i="2" s="1"/>
  <c r="CU126" i="2"/>
  <c r="CW126" i="2"/>
  <c r="CH275" i="2"/>
  <c r="CC275" i="2" s="1"/>
  <c r="AR275" i="2" a="1"/>
  <c r="AR275" i="2" s="1"/>
  <c r="BW275" i="2"/>
  <c r="CD275" i="2"/>
  <c r="CF275" i="2"/>
  <c r="P275" i="2"/>
  <c r="A275" i="2" s="1"/>
  <c r="CK275" i="2"/>
  <c r="DY92" i="2"/>
  <c r="EG92" i="2"/>
  <c r="BQ206" i="2"/>
  <c r="DW206" i="2"/>
  <c r="DM206" i="2"/>
  <c r="DC206" i="2" s="1"/>
  <c r="EL206" i="2"/>
  <c r="CX206" i="2"/>
  <c r="CS206" i="2"/>
  <c r="CT206" i="2"/>
  <c r="DG206" i="2"/>
  <c r="CY206" i="2"/>
  <c r="EJ206" i="2"/>
  <c r="CR206" i="2"/>
  <c r="CU206" i="2"/>
  <c r="DA206" i="2"/>
  <c r="CW206" i="2"/>
  <c r="CV206" i="2"/>
  <c r="CZ206" i="2"/>
  <c r="EV206" i="2"/>
  <c r="EW206" i="2" s="1"/>
  <c r="EX206" i="2" s="1"/>
  <c r="AR135" i="2" a="1"/>
  <c r="AR135" i="2" s="1"/>
  <c r="BW135" i="2"/>
  <c r="CK135" i="2"/>
  <c r="CD135" i="2"/>
  <c r="CH135" i="2"/>
  <c r="CC135" i="2" s="1"/>
  <c r="P135" i="2"/>
  <c r="A135" i="2" s="1"/>
  <c r="CF135" i="2"/>
  <c r="G243" i="2"/>
  <c r="F243" i="2"/>
  <c r="DW160" i="2"/>
  <c r="BQ160" i="2"/>
  <c r="CQ160" i="2" s="1"/>
  <c r="EJ160" i="2"/>
  <c r="CR160" i="2"/>
  <c r="CS160" i="2"/>
  <c r="DM160" i="2"/>
  <c r="DC160" i="2" s="1"/>
  <c r="CV160" i="2"/>
  <c r="DG160" i="2"/>
  <c r="CU160" i="2"/>
  <c r="CT160" i="2"/>
  <c r="CW160" i="2"/>
  <c r="EL160" i="2"/>
  <c r="DA160" i="2"/>
  <c r="CY160" i="2"/>
  <c r="CZ160" i="2"/>
  <c r="CX160" i="2"/>
  <c r="BX180" i="2"/>
  <c r="BY180" i="2" s="1"/>
  <c r="AU180" i="2"/>
  <c r="CN180" i="2" s="1"/>
  <c r="CH241" i="2"/>
  <c r="CC241" i="2" s="1"/>
  <c r="CK241" i="2"/>
  <c r="BW241" i="2"/>
  <c r="AR241" i="2" a="1"/>
  <c r="AR241" i="2" s="1"/>
  <c r="BX121" i="2"/>
  <c r="BY121" i="2" s="1"/>
  <c r="AU121" i="2"/>
  <c r="CD141" i="2"/>
  <c r="P141" i="2"/>
  <c r="A141" i="2" s="1"/>
  <c r="CH141" i="2"/>
  <c r="CC141" i="2" s="1"/>
  <c r="CK141" i="2"/>
  <c r="AR141" i="2" a="1"/>
  <c r="AR141" i="2" s="1"/>
  <c r="CF141" i="2"/>
  <c r="EK71" i="2"/>
  <c r="EM71" i="2"/>
  <c r="EN71" i="2" s="1"/>
  <c r="CS329" i="2"/>
  <c r="CW329" i="2"/>
  <c r="CY329" i="2"/>
  <c r="CV329" i="2"/>
  <c r="CU329" i="2"/>
  <c r="CX329" i="2"/>
  <c r="BQ329" i="2"/>
  <c r="CR329" i="2"/>
  <c r="EL329" i="2"/>
  <c r="EV329" i="2"/>
  <c r="EW329" i="2" s="1"/>
  <c r="EX329" i="2" s="1"/>
  <c r="DA329" i="2"/>
  <c r="CZ329" i="2"/>
  <c r="CT329" i="2"/>
  <c r="DW329" i="2"/>
  <c r="BW4" i="2"/>
  <c r="AR4" i="2" a="1"/>
  <c r="AR4" i="2" s="1"/>
  <c r="CK4" i="2"/>
  <c r="BL67" i="2"/>
  <c r="EK67" i="2"/>
  <c r="EM67" i="2"/>
  <c r="EN67" i="2" s="1"/>
  <c r="CD14" i="2"/>
  <c r="CF14" i="2"/>
  <c r="CG14" i="2"/>
  <c r="BX183" i="2"/>
  <c r="BY183" i="2" s="1"/>
  <c r="AU183" i="2"/>
  <c r="CN183" i="2" s="1"/>
  <c r="AR36" i="2" a="1"/>
  <c r="AR36" i="2" s="1"/>
  <c r="P36" i="2"/>
  <c r="A36" i="2" s="1"/>
  <c r="BW36" i="2"/>
  <c r="CH36" i="2"/>
  <c r="CC36" i="2" s="1"/>
  <c r="CK36" i="2"/>
  <c r="CK30" i="2"/>
  <c r="CH30" i="2"/>
  <c r="CC30" i="2" s="1"/>
  <c r="P30" i="2"/>
  <c r="A30" i="2" s="1"/>
  <c r="AR30" i="2" a="1"/>
  <c r="AR30" i="2" s="1"/>
  <c r="BW30" i="2"/>
  <c r="CD30" i="2"/>
  <c r="CF30" i="2"/>
  <c r="EU157" i="2"/>
  <c r="G106" i="2"/>
  <c r="F106" i="2"/>
  <c r="EJ142" i="2"/>
  <c r="CZ142" i="2"/>
  <c r="DW142" i="2"/>
  <c r="EV142" i="2"/>
  <c r="CT142" i="2"/>
  <c r="CW142" i="2"/>
  <c r="CX142" i="2"/>
  <c r="CY142" i="2"/>
  <c r="CR142" i="2"/>
  <c r="DA142" i="2"/>
  <c r="CV142" i="2"/>
  <c r="CS142" i="2"/>
  <c r="EV126" i="2"/>
  <c r="DY6" i="2"/>
  <c r="EG6" i="2"/>
  <c r="CF200" i="2"/>
  <c r="CD200" i="2"/>
  <c r="G144" i="2"/>
  <c r="F144" i="2"/>
  <c r="DW133" i="2"/>
  <c r="BQ133" i="2"/>
  <c r="CQ133" i="2" s="1"/>
  <c r="EJ133" i="2"/>
  <c r="CX133" i="2"/>
  <c r="CY133" i="2"/>
  <c r="CW133" i="2"/>
  <c r="P185" i="2"/>
  <c r="A185" i="2" s="1"/>
  <c r="AR185" i="2" a="1"/>
  <c r="AR185" i="2" s="1"/>
  <c r="CH185" i="2"/>
  <c r="CC185" i="2" s="1"/>
  <c r="CK185" i="2"/>
  <c r="CF185" i="2"/>
  <c r="CD185" i="2"/>
  <c r="CN45" i="2"/>
  <c r="BT45" i="2"/>
  <c r="BU45" i="2" s="1"/>
  <c r="EM98" i="2"/>
  <c r="EN98" i="2" s="1"/>
  <c r="BL98" i="2"/>
  <c r="EK98" i="2"/>
  <c r="AU206" i="2"/>
  <c r="CN206" i="2" s="1"/>
  <c r="BX206" i="2"/>
  <c r="BY206" i="2" s="1"/>
  <c r="P318" i="2"/>
  <c r="A318" i="2" s="1"/>
  <c r="CF318" i="2"/>
  <c r="BW318" i="2"/>
  <c r="CH318" i="2"/>
  <c r="CC318" i="2" s="1"/>
  <c r="CD318" i="2"/>
  <c r="AR318" i="2" a="1"/>
  <c r="AR318" i="2" s="1"/>
  <c r="CK318" i="2"/>
  <c r="BL178" i="2"/>
  <c r="EK178" i="2"/>
  <c r="EM178" i="2"/>
  <c r="EN178" i="2" s="1"/>
  <c r="BX29" i="2"/>
  <c r="BY29" i="2" s="1"/>
  <c r="AU29" i="2"/>
  <c r="CN29" i="2" s="1"/>
  <c r="F313" i="2"/>
  <c r="G313" i="2"/>
  <c r="CN181" i="2"/>
  <c r="EW181" i="2"/>
  <c r="EX181" i="2" s="1"/>
  <c r="F85" i="2"/>
  <c r="G85" i="2"/>
  <c r="EW92" i="2"/>
  <c r="EX92" i="2" s="1"/>
  <c r="F123" i="2"/>
  <c r="G123" i="2"/>
  <c r="CV122" i="2"/>
  <c r="G198" i="2"/>
  <c r="F259" i="2"/>
  <c r="G16" i="2"/>
  <c r="AA16" i="19"/>
  <c r="CH251" i="2"/>
  <c r="CC251" i="2" s="1"/>
  <c r="AB16" i="19"/>
  <c r="CS47" i="2"/>
  <c r="CK16" i="2"/>
  <c r="BT82" i="2"/>
  <c r="BU82" i="2" s="1"/>
  <c r="CD11" i="2"/>
  <c r="BL245" i="2"/>
  <c r="EK245" i="2"/>
  <c r="EM245" i="2"/>
  <c r="EN245" i="2" s="1"/>
  <c r="F266" i="2"/>
  <c r="G266" i="2"/>
  <c r="F39" i="2"/>
  <c r="G39" i="2"/>
  <c r="EK229" i="2"/>
  <c r="BL229" i="2"/>
  <c r="EM229" i="2"/>
  <c r="EN229" i="2" s="1"/>
  <c r="EM75" i="2"/>
  <c r="EN75" i="2" s="1"/>
  <c r="EK75" i="2"/>
  <c r="BL75" i="2"/>
  <c r="CK236" i="2"/>
  <c r="AR236" i="2" a="1"/>
  <c r="AR236" i="2" s="1"/>
  <c r="CF236" i="2"/>
  <c r="P236" i="2"/>
  <c r="A236" i="2" s="1"/>
  <c r="CD236" i="2"/>
  <c r="CH236" i="2"/>
  <c r="CC236" i="2" s="1"/>
  <c r="P247" i="2"/>
  <c r="A247" i="2" s="1"/>
  <c r="BW247" i="2"/>
  <c r="CH247" i="2"/>
  <c r="CC247" i="2" s="1"/>
  <c r="AR247" i="2" a="1"/>
  <c r="AR247" i="2" s="1"/>
  <c r="CK247" i="2"/>
  <c r="EK198" i="2"/>
  <c r="EM198" i="2"/>
  <c r="EN198" i="2" s="1"/>
  <c r="BW11" i="2"/>
  <c r="CK11" i="2"/>
  <c r="CH11" i="2"/>
  <c r="CC11" i="2" s="1"/>
  <c r="CF323" i="2"/>
  <c r="CD323" i="2"/>
  <c r="AU14" i="2"/>
  <c r="CN14" i="2" s="1"/>
  <c r="BX14" i="2"/>
  <c r="BY14" i="2" s="1"/>
  <c r="BX147" i="2"/>
  <c r="BY147" i="2" s="1"/>
  <c r="AU147" i="2"/>
  <c r="AU89" i="2"/>
  <c r="CN89" i="2" s="1"/>
  <c r="BX89" i="2"/>
  <c r="BY89" i="2" s="1"/>
  <c r="CF109" i="2"/>
  <c r="CQ190" i="2"/>
  <c r="BT190" i="2"/>
  <c r="BU190" i="2" s="1"/>
  <c r="BX123" i="2"/>
  <c r="BY123" i="2" s="1"/>
  <c r="AU123" i="2"/>
  <c r="EW189" i="2"/>
  <c r="EX189" i="2" s="1"/>
  <c r="EW60" i="2"/>
  <c r="EX60" i="2" s="1"/>
  <c r="Z11" i="19"/>
  <c r="DM133" i="2"/>
  <c r="DC133" i="2" s="1"/>
  <c r="G326" i="2"/>
  <c r="F326" i="2"/>
  <c r="AU334" i="2"/>
  <c r="BX334" i="2"/>
  <c r="BY334" i="2" s="1"/>
  <c r="EM4" i="2"/>
  <c r="EN4" i="2" s="1"/>
  <c r="BL4" i="2"/>
  <c r="EK4" i="2"/>
  <c r="EJ70" i="2"/>
  <c r="EL70" i="2"/>
  <c r="CX70" i="2"/>
  <c r="DA70" i="2"/>
  <c r="DM70" i="2"/>
  <c r="DC70" i="2" s="1"/>
  <c r="BQ70" i="2"/>
  <c r="CT70" i="2"/>
  <c r="CZ70" i="2"/>
  <c r="DW70" i="2"/>
  <c r="CU70" i="2"/>
  <c r="CS70" i="2"/>
  <c r="DG70" i="2"/>
  <c r="EK275" i="2"/>
  <c r="EM275" i="2"/>
  <c r="EN275" i="2" s="1"/>
  <c r="BL275" i="2"/>
  <c r="CK57" i="2"/>
  <c r="BW57" i="2"/>
  <c r="AR57" i="2" a="1"/>
  <c r="AR57" i="2" s="1"/>
  <c r="BL43" i="2"/>
  <c r="EM43" i="2"/>
  <c r="EN43" i="2" s="1"/>
  <c r="CK335" i="2"/>
  <c r="AR335" i="2" a="1"/>
  <c r="AR335" i="2" s="1"/>
  <c r="EM49" i="2"/>
  <c r="EN49" i="2" s="1"/>
  <c r="BL49" i="2"/>
  <c r="EK49" i="2"/>
  <c r="BX132" i="2"/>
  <c r="BY132" i="2" s="1"/>
  <c r="AU132" i="2"/>
  <c r="CN132" i="2" s="1"/>
  <c r="BX212" i="2"/>
  <c r="BY212" i="2" s="1"/>
  <c r="AU212" i="2"/>
  <c r="P58" i="2"/>
  <c r="A58" i="2" s="1"/>
  <c r="CK58" i="2"/>
  <c r="CH58" i="2"/>
  <c r="CC58" i="2" s="1"/>
  <c r="BW58" i="2"/>
  <c r="CF58" i="2"/>
  <c r="CF115" i="2"/>
  <c r="P115" i="2"/>
  <c r="A115" i="2" s="1"/>
  <c r="BW115" i="2"/>
  <c r="CH115" i="2"/>
  <c r="CC115" i="2" s="1"/>
  <c r="AR115" i="2" a="1"/>
  <c r="AR115" i="2" s="1"/>
  <c r="CK115" i="2"/>
  <c r="CD115" i="2"/>
  <c r="EK180" i="2"/>
  <c r="BL180" i="2"/>
  <c r="EM180" i="2"/>
  <c r="EN180" i="2" s="1"/>
  <c r="CD10" i="2"/>
  <c r="BW10" i="2"/>
  <c r="CF29" i="2"/>
  <c r="CD29" i="2"/>
  <c r="CG29" i="2"/>
  <c r="EM231" i="2"/>
  <c r="EN231" i="2" s="1"/>
  <c r="BL231" i="2"/>
  <c r="EK231" i="2"/>
  <c r="EK294" i="2"/>
  <c r="BL294" i="2"/>
  <c r="EM294" i="2"/>
  <c r="EN294" i="2" s="1"/>
  <c r="CF129" i="2"/>
  <c r="CH129" i="2"/>
  <c r="CC129" i="2" s="1"/>
  <c r="BW129" i="2"/>
  <c r="CD129" i="2"/>
  <c r="CK129" i="2"/>
  <c r="CK112" i="2"/>
  <c r="P112" i="2"/>
  <c r="A112" i="2" s="1"/>
  <c r="CH112" i="2"/>
  <c r="CC112" i="2" s="1"/>
  <c r="BL156" i="2"/>
  <c r="EK156" i="2"/>
  <c r="EM156" i="2"/>
  <c r="EN156" i="2" s="1"/>
  <c r="CX65" i="2"/>
  <c r="CW65" i="2"/>
  <c r="CU65" i="2"/>
  <c r="DA65" i="2"/>
  <c r="CT65" i="2"/>
  <c r="DM65" i="2"/>
  <c r="DC65" i="2" s="1"/>
  <c r="CZ65" i="2"/>
  <c r="DW65" i="2"/>
  <c r="EG65" i="2" s="1"/>
  <c r="EL65" i="2"/>
  <c r="BQ65" i="2"/>
  <c r="CQ65" i="2" s="1"/>
  <c r="EJ65" i="2"/>
  <c r="AR10" i="2" a="1"/>
  <c r="AR10" i="2" s="1"/>
  <c r="AU270" i="2"/>
  <c r="CN270" i="2" s="1"/>
  <c r="BX270" i="2"/>
  <c r="BY270" i="2" s="1"/>
  <c r="BT140" i="2"/>
  <c r="BU140" i="2" s="1"/>
  <c r="CN140" i="2"/>
  <c r="F89" i="2"/>
  <c r="G89" i="2"/>
  <c r="AA28" i="19"/>
  <c r="CF277" i="2"/>
  <c r="P212" i="2"/>
  <c r="A212" i="2" s="1"/>
  <c r="CK212" i="2"/>
  <c r="CD212" i="2"/>
  <c r="BX325" i="2"/>
  <c r="BY325" i="2" s="1"/>
  <c r="AU325" i="2"/>
  <c r="CD31" i="2"/>
  <c r="CH31" i="2"/>
  <c r="CC31" i="2" s="1"/>
  <c r="CF31" i="2"/>
  <c r="CK31" i="2"/>
  <c r="P31" i="2"/>
  <c r="A31" i="2" s="1"/>
  <c r="BW31" i="2"/>
  <c r="BX201" i="2"/>
  <c r="BY201" i="2" s="1"/>
  <c r="AU201" i="2"/>
  <c r="BX17" i="2"/>
  <c r="BY17" i="2" s="1"/>
  <c r="AU17" i="2"/>
  <c r="CN17" i="2" s="1"/>
  <c r="DW165" i="2"/>
  <c r="CZ165" i="2"/>
  <c r="CU165" i="2"/>
  <c r="DA165" i="2"/>
  <c r="CS165" i="2"/>
  <c r="EJ165" i="2"/>
  <c r="CV165" i="2"/>
  <c r="DM165" i="2"/>
  <c r="DC165" i="2" s="1"/>
  <c r="CR165" i="2"/>
  <c r="EL165" i="2"/>
  <c r="CW165" i="2"/>
  <c r="DG165" i="2"/>
  <c r="BQ165" i="2"/>
  <c r="CT165" i="2"/>
  <c r="CY165" i="2"/>
  <c r="CX165" i="2"/>
  <c r="EV165" i="2"/>
  <c r="EW165" i="2" s="1"/>
  <c r="EX165" i="2" s="1"/>
  <c r="CD112" i="2"/>
  <c r="BW86" i="2"/>
  <c r="CD86" i="2"/>
  <c r="CK86" i="2"/>
  <c r="CF86" i="2"/>
  <c r="P86" i="2"/>
  <c r="A86" i="2" s="1"/>
  <c r="CH86" i="2"/>
  <c r="CC86" i="2" s="1"/>
  <c r="F108" i="2"/>
  <c r="G108" i="2"/>
  <c r="F96" i="2"/>
  <c r="G96" i="2"/>
  <c r="EV160" i="2"/>
  <c r="EW160" i="2" s="1"/>
  <c r="EX160" i="2" s="1"/>
  <c r="EW260" i="2"/>
  <c r="EX260" i="2" s="1"/>
  <c r="BT189" i="2"/>
  <c r="BU189" i="2" s="1"/>
  <c r="DE22" i="2"/>
  <c r="EU124" i="2"/>
  <c r="EV124" i="2"/>
  <c r="EW323" i="2"/>
  <c r="EX323" i="2" s="1"/>
  <c r="CN323" i="2"/>
  <c r="DD278" i="2"/>
  <c r="DE278" i="2"/>
  <c r="BX65" i="2"/>
  <c r="BY65" i="2" s="1"/>
  <c r="AU65" i="2"/>
  <c r="DM50" i="2"/>
  <c r="DC50" i="2" s="1"/>
  <c r="EU50" i="2"/>
  <c r="DW50" i="2"/>
  <c r="EV50" i="2"/>
  <c r="EW50" i="2" s="1"/>
  <c r="EX50" i="2" s="1"/>
  <c r="EL50" i="2"/>
  <c r="CU50" i="2"/>
  <c r="DN316" i="2"/>
  <c r="DP316" i="2" s="1"/>
  <c r="DQ316" i="2" s="1"/>
  <c r="DF316" i="2"/>
  <c r="DU316" i="2"/>
  <c r="DV316" i="2"/>
  <c r="BT303" i="2"/>
  <c r="BU303" i="2" s="1"/>
  <c r="CQ303" i="2"/>
  <c r="CG155" i="2"/>
  <c r="DD249" i="2"/>
  <c r="EV16" i="2"/>
  <c r="EW298" i="2"/>
  <c r="EX298" i="2" s="1"/>
  <c r="AU258" i="2"/>
  <c r="BX258" i="2"/>
  <c r="BY258" i="2" s="1"/>
  <c r="BX196" i="2"/>
  <c r="BY196" i="2" s="1"/>
  <c r="AU196" i="2"/>
  <c r="EG340" i="2"/>
  <c r="AU205" i="2"/>
  <c r="BX205" i="2"/>
  <c r="BY205" i="2" s="1"/>
  <c r="BX64" i="2"/>
  <c r="BY64" i="2" s="1"/>
  <c r="AU64" i="2"/>
  <c r="CN64" i="2" s="1"/>
  <c r="EL184" i="2"/>
  <c r="CR184" i="2"/>
  <c r="CY184" i="2"/>
  <c r="CS184" i="2"/>
  <c r="CU184" i="2"/>
  <c r="CZ184" i="2"/>
  <c r="CV184" i="2"/>
  <c r="DA184" i="2"/>
  <c r="DG184" i="2"/>
  <c r="DY184" i="2" s="1"/>
  <c r="CX184" i="2"/>
  <c r="EU184" i="2"/>
  <c r="CT184" i="2"/>
  <c r="CW184" i="2"/>
  <c r="EV184" i="2"/>
  <c r="DM184" i="2"/>
  <c r="DC184" i="2" s="1"/>
  <c r="F25" i="2"/>
  <c r="G25" i="2"/>
  <c r="BW64" i="2"/>
  <c r="CK64" i="2"/>
  <c r="CF64" i="2"/>
  <c r="AU134" i="2"/>
  <c r="BX134" i="2"/>
  <c r="BY134" i="2" s="1"/>
  <c r="DE341" i="2"/>
  <c r="DD341" i="2"/>
  <c r="CQ73" i="2"/>
  <c r="BT73" i="2"/>
  <c r="BU73" i="2" s="1"/>
  <c r="CS233" i="2"/>
  <c r="CV233" i="2"/>
  <c r="DG233" i="2"/>
  <c r="CZ233" i="2"/>
  <c r="EL233" i="2"/>
  <c r="CT233" i="2"/>
  <c r="CY233" i="2"/>
  <c r="DA233" i="2"/>
  <c r="CW233" i="2"/>
  <c r="CR233" i="2"/>
  <c r="CU233" i="2"/>
  <c r="BQ233" i="2"/>
  <c r="CQ233" i="2" s="1"/>
  <c r="EJ233" i="2"/>
  <c r="DW233" i="2"/>
  <c r="CX233" i="2"/>
  <c r="EV233" i="2"/>
  <c r="EW233" i="2" s="1"/>
  <c r="EX233" i="2" s="1"/>
  <c r="EU233" i="2"/>
  <c r="DM233" i="2"/>
  <c r="DC233" i="2" s="1"/>
  <c r="CV74" i="2"/>
  <c r="DG74" i="2"/>
  <c r="CU74" i="2"/>
  <c r="CR74" i="2"/>
  <c r="CX74" i="2"/>
  <c r="DA74" i="2"/>
  <c r="DW74" i="2"/>
  <c r="CZ74" i="2"/>
  <c r="DM74" i="2"/>
  <c r="DC74" i="2" s="1"/>
  <c r="BQ74" i="2"/>
  <c r="CQ74" i="2" s="1"/>
  <c r="CT74" i="2"/>
  <c r="CW74" i="2"/>
  <c r="EL74" i="2"/>
  <c r="CY74" i="2"/>
  <c r="CS74" i="2"/>
  <c r="EJ74" i="2"/>
  <c r="Z36" i="19"/>
  <c r="EK117" i="2"/>
  <c r="AA36" i="19"/>
  <c r="EU140" i="2"/>
  <c r="Z6" i="19"/>
  <c r="AA30" i="19"/>
  <c r="Z9" i="19"/>
  <c r="DE148" i="2"/>
  <c r="AB28" i="19"/>
  <c r="Z44" i="19"/>
  <c r="CF269" i="2"/>
  <c r="CG269" i="2"/>
  <c r="EF316" i="2"/>
  <c r="EG316" i="2"/>
  <c r="AR262" i="2" a="1"/>
  <c r="AR262" i="2" s="1"/>
  <c r="CH262" i="2"/>
  <c r="CC262" i="2" s="1"/>
  <c r="BW262" i="2"/>
  <c r="CK262" i="2"/>
  <c r="CF262" i="2"/>
  <c r="P262" i="2"/>
  <c r="A262" i="2" s="1"/>
  <c r="CD262" i="2"/>
  <c r="CD24" i="2"/>
  <c r="CF24" i="2"/>
  <c r="CG24" i="2"/>
  <c r="BX224" i="2"/>
  <c r="BY224" i="2" s="1"/>
  <c r="AU224" i="2"/>
  <c r="CN224" i="2" s="1"/>
  <c r="CN101" i="2"/>
  <c r="DD101" i="2" s="1"/>
  <c r="BT101" i="2"/>
  <c r="BU101" i="2" s="1"/>
  <c r="CQ56" i="2"/>
  <c r="BT56" i="2"/>
  <c r="BU56" i="2" s="1"/>
  <c r="BT38" i="2"/>
  <c r="BU38" i="2" s="1"/>
  <c r="CQ38" i="2"/>
  <c r="DE38" i="2" s="1"/>
  <c r="AA39" i="19"/>
  <c r="EV131" i="2"/>
  <c r="EW131" i="2" s="1"/>
  <c r="EX131" i="2" s="1"/>
  <c r="EU9" i="2"/>
  <c r="AA27" i="19"/>
  <c r="AU198" i="2"/>
  <c r="CN198" i="2" s="1"/>
  <c r="BX198" i="2"/>
  <c r="BY198" i="2" s="1"/>
  <c r="AU86" i="2"/>
  <c r="CN86" i="2" s="1"/>
  <c r="BX86" i="2"/>
  <c r="BY86" i="2" s="1"/>
  <c r="CF190" i="2"/>
  <c r="CD190" i="2"/>
  <c r="CK287" i="2"/>
  <c r="P287" i="2"/>
  <c r="A287" i="2" s="1"/>
  <c r="CH287" i="2"/>
  <c r="CC287" i="2" s="1"/>
  <c r="AR287" i="2" a="1"/>
  <c r="AR287" i="2" s="1"/>
  <c r="DE226" i="2"/>
  <c r="DD226" i="2"/>
  <c r="CF50" i="2"/>
  <c r="CD50" i="2"/>
  <c r="CG50" i="2"/>
  <c r="EK339" i="2"/>
  <c r="EM339" i="2"/>
  <c r="EN339" i="2" s="1"/>
  <c r="BL339" i="2"/>
  <c r="CH5" i="2"/>
  <c r="CC5" i="2" s="1"/>
  <c r="CK5" i="2"/>
  <c r="BW5" i="2"/>
  <c r="P5" i="2"/>
  <c r="A5" i="2" s="1"/>
  <c r="CF5" i="2"/>
  <c r="CD18" i="2"/>
  <c r="CF18" i="2"/>
  <c r="DE181" i="2"/>
  <c r="DD181" i="2"/>
  <c r="DA304" i="2"/>
  <c r="CX304" i="2"/>
  <c r="CV304" i="2"/>
  <c r="CU304" i="2"/>
  <c r="DW304" i="2"/>
  <c r="CZ304" i="2"/>
  <c r="EJ304" i="2"/>
  <c r="CW304" i="2"/>
  <c r="BQ304" i="2"/>
  <c r="CQ304" i="2" s="1"/>
  <c r="DG304" i="2"/>
  <c r="DM304" i="2"/>
  <c r="DC304" i="2" s="1"/>
  <c r="CR304" i="2"/>
  <c r="EL304" i="2"/>
  <c r="CS304" i="2"/>
  <c r="CY304" i="2"/>
  <c r="CT304" i="2"/>
  <c r="EV304" i="2"/>
  <c r="CW83" i="2"/>
  <c r="EJ83" i="2"/>
  <c r="CS83" i="2"/>
  <c r="CR83" i="2"/>
  <c r="EL83" i="2"/>
  <c r="CZ83" i="2"/>
  <c r="CX83" i="2"/>
  <c r="CT83" i="2"/>
  <c r="CY83" i="2"/>
  <c r="BQ83" i="2"/>
  <c r="CU83" i="2"/>
  <c r="DW83" i="2"/>
  <c r="DM83" i="2"/>
  <c r="DC83" i="2" s="1"/>
  <c r="F129" i="2"/>
  <c r="G129" i="2"/>
  <c r="G214" i="2"/>
  <c r="F214" i="2"/>
  <c r="BT211" i="2"/>
  <c r="BU211" i="2" s="1"/>
  <c r="CQ211" i="2"/>
  <c r="DD211" i="2" s="1"/>
  <c r="EG59" i="2"/>
  <c r="DY59" i="2"/>
  <c r="G318" i="2"/>
  <c r="F318" i="2"/>
  <c r="BX171" i="2"/>
  <c r="BY171" i="2" s="1"/>
  <c r="AU171" i="2"/>
  <c r="CN171" i="2" s="1"/>
  <c r="EU67" i="2"/>
  <c r="EV67" i="2"/>
  <c r="AU184" i="2"/>
  <c r="CN184" i="2" s="1"/>
  <c r="BX184" i="2"/>
  <c r="BY184" i="2" s="1"/>
  <c r="EG76" i="2"/>
  <c r="F10" i="2"/>
  <c r="G10" i="2"/>
  <c r="CN59" i="2"/>
  <c r="BT59" i="2"/>
  <c r="BU59" i="2" s="1"/>
  <c r="DY118" i="2"/>
  <c r="EG118" i="2"/>
  <c r="DY211" i="2"/>
  <c r="EG211" i="2"/>
  <c r="DN96" i="2"/>
  <c r="DP96" i="2" s="1"/>
  <c r="DQ96" i="2" s="1"/>
  <c r="DU96" i="2"/>
  <c r="DF96" i="2"/>
  <c r="EV116" i="2"/>
  <c r="AU112" i="2"/>
  <c r="BX112" i="2"/>
  <c r="BY112" i="2" s="1"/>
  <c r="BL247" i="2"/>
  <c r="EK247" i="2"/>
  <c r="EM247" i="2"/>
  <c r="EN247" i="2" s="1"/>
  <c r="AU106" i="2"/>
  <c r="CN106" i="2" s="1"/>
  <c r="BX106" i="2"/>
  <c r="BY106" i="2" s="1"/>
  <c r="CK120" i="2"/>
  <c r="BW120" i="2"/>
  <c r="P120" i="2"/>
  <c r="A120" i="2" s="1"/>
  <c r="CH120" i="2"/>
  <c r="CC120" i="2" s="1"/>
  <c r="AU257" i="2"/>
  <c r="CN257" i="2" s="1"/>
  <c r="BX257" i="2"/>
  <c r="BY257" i="2" s="1"/>
  <c r="BL85" i="2"/>
  <c r="EK85" i="2"/>
  <c r="AR5" i="2" a="1"/>
  <c r="AR5" i="2" s="1"/>
  <c r="AU255" i="2"/>
  <c r="BX255" i="2"/>
  <c r="BY255" i="2" s="1"/>
  <c r="CN219" i="2"/>
  <c r="DE219" i="2" s="1"/>
  <c r="EW219" i="2"/>
  <c r="EX219" i="2" s="1"/>
  <c r="DX272" i="2"/>
  <c r="DZ272" i="2" s="1"/>
  <c r="EA272" i="2" s="1"/>
  <c r="ED272" i="2"/>
  <c r="DE101" i="2"/>
  <c r="DE303" i="2"/>
  <c r="BX319" i="2"/>
  <c r="BY319" i="2" s="1"/>
  <c r="AU319" i="2"/>
  <c r="G111" i="2"/>
  <c r="F111" i="2"/>
  <c r="CH104" i="2"/>
  <c r="CC104" i="2" s="1"/>
  <c r="CD104" i="2"/>
  <c r="AR104" i="2" a="1"/>
  <c r="AR104" i="2" s="1"/>
  <c r="CK104" i="2"/>
  <c r="CF104" i="2"/>
  <c r="P104" i="2"/>
  <c r="A104" i="2" s="1"/>
  <c r="CF247" i="2"/>
  <c r="CD247" i="2"/>
  <c r="BW78" i="2"/>
  <c r="AR78" i="2" a="1"/>
  <c r="AR78" i="2" s="1"/>
  <c r="CH78" i="2"/>
  <c r="CC78" i="2" s="1"/>
  <c r="CK78" i="2"/>
  <c r="CF78" i="2"/>
  <c r="CD78" i="2"/>
  <c r="DE321" i="2"/>
  <c r="DD321" i="2"/>
  <c r="AU81" i="2"/>
  <c r="BX81" i="2"/>
  <c r="BY81" i="2" s="1"/>
  <c r="CN167" i="2"/>
  <c r="EW167" i="2"/>
  <c r="EX167" i="2" s="1"/>
  <c r="AU23" i="2"/>
  <c r="BX23" i="2"/>
  <c r="BY23" i="2" s="1"/>
  <c r="CG190" i="2"/>
  <c r="CG18" i="2"/>
  <c r="EW176" i="2"/>
  <c r="EX176" i="2" s="1"/>
  <c r="EW59" i="2"/>
  <c r="EX59" i="2" s="1"/>
  <c r="DY137" i="2"/>
  <c r="EG137" i="2"/>
  <c r="CW47" i="2"/>
  <c r="CU47" i="2"/>
  <c r="AU297" i="2"/>
  <c r="BX297" i="2"/>
  <c r="BY297" i="2" s="1"/>
  <c r="AU217" i="2"/>
  <c r="BX217" i="2"/>
  <c r="BY217" i="2" s="1"/>
  <c r="AU69" i="2"/>
  <c r="CN69" i="2" s="1"/>
  <c r="BX69" i="2"/>
  <c r="BY69" i="2" s="1"/>
  <c r="CD43" i="2"/>
  <c r="CF43" i="2"/>
  <c r="CG43" i="2"/>
  <c r="BX215" i="2"/>
  <c r="BY215" i="2" s="1"/>
  <c r="AU215" i="2"/>
  <c r="CQ220" i="2"/>
  <c r="BT220" i="2"/>
  <c r="BU220" i="2" s="1"/>
  <c r="CK289" i="2"/>
  <c r="BW289" i="2"/>
  <c r="BX128" i="2"/>
  <c r="BY128" i="2" s="1"/>
  <c r="AU128" i="2"/>
  <c r="CG247" i="2"/>
  <c r="BL175" i="2"/>
  <c r="EK175" i="2"/>
  <c r="EM175" i="2"/>
  <c r="EN175" i="2" s="1"/>
  <c r="DG48" i="2"/>
  <c r="DY48" i="2" s="1"/>
  <c r="EU48" i="2"/>
  <c r="EL48" i="2"/>
  <c r="EJ48" i="2"/>
  <c r="CX48" i="2"/>
  <c r="CU48" i="2"/>
  <c r="CR48" i="2"/>
  <c r="DM48" i="2"/>
  <c r="DC48" i="2" s="1"/>
  <c r="CY48" i="2"/>
  <c r="CT48" i="2"/>
  <c r="CV48" i="2"/>
  <c r="DA48" i="2"/>
  <c r="DW48" i="2"/>
  <c r="EG48" i="2" s="1"/>
  <c r="CW48" i="2"/>
  <c r="BQ48" i="2"/>
  <c r="CS48" i="2"/>
  <c r="CZ48" i="2"/>
  <c r="DY238" i="2"/>
  <c r="EG238" i="2"/>
  <c r="DE211" i="2"/>
  <c r="BT137" i="2"/>
  <c r="BU137" i="2" s="1"/>
  <c r="ED316" i="2"/>
  <c r="DX316" i="2"/>
  <c r="DZ316" i="2" s="1"/>
  <c r="EA316" i="2" s="1"/>
  <c r="AB7" i="19"/>
  <c r="AB30" i="19"/>
  <c r="Z7" i="19"/>
  <c r="AB62" i="19"/>
  <c r="AB9" i="19"/>
  <c r="AA9" i="19"/>
  <c r="AA62" i="19"/>
  <c r="AB27" i="19"/>
  <c r="AB34" i="19"/>
  <c r="Z27" i="19"/>
  <c r="AB26" i="19"/>
  <c r="AB54" i="19"/>
  <c r="AA26" i="19"/>
  <c r="AA43" i="19"/>
  <c r="Z28" i="19"/>
  <c r="Z19" i="19"/>
  <c r="Z43" i="19"/>
  <c r="Z52" i="19"/>
  <c r="AB44" i="19"/>
  <c r="AB48" i="19"/>
  <c r="Z25" i="19"/>
  <c r="AA52" i="19"/>
  <c r="AA44" i="19"/>
  <c r="Z41" i="19"/>
  <c r="AB19" i="19"/>
  <c r="AA41" i="19"/>
  <c r="AA33" i="19"/>
  <c r="Z60" i="19"/>
  <c r="Z34" i="19"/>
  <c r="Z48" i="19"/>
  <c r="AB17" i="19"/>
  <c r="AB33" i="19"/>
  <c r="AB60" i="19"/>
  <c r="AB6" i="19"/>
  <c r="AB25" i="19"/>
  <c r="Z17" i="19"/>
  <c r="AU145" i="2"/>
  <c r="BX145" i="2"/>
  <c r="BY145" i="2" s="1"/>
  <c r="DN249" i="2"/>
  <c r="DP249" i="2" s="1"/>
  <c r="DQ249" i="2" s="1"/>
  <c r="DF249" i="2"/>
  <c r="EF249" i="2"/>
  <c r="DV249" i="2"/>
  <c r="DU249" i="2"/>
  <c r="DU90" i="2"/>
  <c r="DF90" i="2"/>
  <c r="DN90" i="2"/>
  <c r="DP90" i="2" s="1"/>
  <c r="DQ90" i="2" s="1"/>
  <c r="EF90" i="2"/>
  <c r="DV90" i="2"/>
  <c r="ED22" i="2"/>
  <c r="DX22" i="2"/>
  <c r="DZ22" i="2" s="1"/>
  <c r="EA22" i="2" s="1"/>
  <c r="G56" i="2"/>
  <c r="F56" i="2"/>
  <c r="EV102" i="2"/>
  <c r="EU102" i="2"/>
  <c r="CG324" i="2"/>
  <c r="CF324" i="2"/>
  <c r="CD324" i="2"/>
  <c r="F296" i="2"/>
  <c r="G296" i="2"/>
  <c r="BL221" i="2"/>
  <c r="EK221" i="2"/>
  <c r="EM221" i="2"/>
  <c r="EN221" i="2" s="1"/>
  <c r="G331" i="2"/>
  <c r="F331" i="2"/>
  <c r="G78" i="2"/>
  <c r="F78" i="2"/>
  <c r="CF328" i="2"/>
  <c r="CG328" i="2"/>
  <c r="G94" i="2"/>
  <c r="F94" i="2"/>
  <c r="CU72" i="2"/>
  <c r="BL94" i="2"/>
  <c r="EK94" i="2"/>
  <c r="EM94" i="2"/>
  <c r="EN94" i="2" s="1"/>
  <c r="CH74" i="2"/>
  <c r="CC74" i="2" s="1"/>
  <c r="CK74" i="2"/>
  <c r="AR74" i="2" a="1"/>
  <c r="AR74" i="2" s="1"/>
  <c r="BW74" i="2"/>
  <c r="CF74" i="2"/>
  <c r="P74" i="2"/>
  <c r="A74" i="2" s="1"/>
  <c r="CD74" i="2"/>
  <c r="CG188" i="2"/>
  <c r="CF188" i="2"/>
  <c r="EU76" i="2"/>
  <c r="EV76" i="2"/>
  <c r="BW170" i="2"/>
  <c r="CH170" i="2"/>
  <c r="CC170" i="2" s="1"/>
  <c r="P170" i="2"/>
  <c r="A170" i="2" s="1"/>
  <c r="CK170" i="2"/>
  <c r="AR170" i="2" a="1"/>
  <c r="AR170" i="2" s="1"/>
  <c r="CD170" i="2"/>
  <c r="CF170" i="2"/>
  <c r="DE302" i="2"/>
  <c r="CF210" i="2"/>
  <c r="CG210" i="2"/>
  <c r="CD210" i="2"/>
  <c r="AU248" i="2"/>
  <c r="CN248" i="2" s="1"/>
  <c r="BX248" i="2"/>
  <c r="BY248" i="2" s="1"/>
  <c r="CO333" i="2"/>
  <c r="BT333" i="2"/>
  <c r="BU333" i="2" s="1"/>
  <c r="EW333" i="2"/>
  <c r="EX333" i="2" s="1"/>
  <c r="CN333" i="2"/>
  <c r="DD38" i="2"/>
  <c r="DY47" i="2"/>
  <c r="BL200" i="2"/>
  <c r="EK200" i="2"/>
  <c r="EM200" i="2"/>
  <c r="EN200" i="2" s="1"/>
  <c r="DW313" i="2"/>
  <c r="EJ313" i="2"/>
  <c r="CS313" i="2"/>
  <c r="EL313" i="2"/>
  <c r="CU313" i="2"/>
  <c r="EU313" i="2"/>
  <c r="CZ313" i="2"/>
  <c r="CX313" i="2"/>
  <c r="CR313" i="2"/>
  <c r="CW313" i="2"/>
  <c r="EV313" i="2"/>
  <c r="EW313" i="2" s="1"/>
  <c r="EX313" i="2" s="1"/>
  <c r="CY313" i="2"/>
  <c r="DA313" i="2"/>
  <c r="CT313" i="2"/>
  <c r="DG313" i="2"/>
  <c r="CV313" i="2"/>
  <c r="CK187" i="2"/>
  <c r="BW187" i="2"/>
  <c r="AR187" i="2" a="1"/>
  <c r="AR187" i="2" s="1"/>
  <c r="CF187" i="2"/>
  <c r="CH187" i="2"/>
  <c r="CC187" i="2" s="1"/>
  <c r="P187" i="2"/>
  <c r="A187" i="2" s="1"/>
  <c r="CD187" i="2"/>
  <c r="AU163" i="2"/>
  <c r="BX163" i="2"/>
  <c r="BY163" i="2" s="1"/>
  <c r="CZ72" i="2"/>
  <c r="AR238" i="2" a="1"/>
  <c r="AR238" i="2" s="1"/>
  <c r="BW238" i="2"/>
  <c r="CH238" i="2"/>
  <c r="CC238" i="2" s="1"/>
  <c r="CF238" i="2"/>
  <c r="CK238" i="2"/>
  <c r="P238" i="2"/>
  <c r="A238" i="2" s="1"/>
  <c r="CD238" i="2"/>
  <c r="EG91" i="2"/>
  <c r="DY91" i="2"/>
  <c r="EU125" i="2"/>
  <c r="EV125" i="2"/>
  <c r="EW125" i="2" s="1"/>
  <c r="EX125" i="2" s="1"/>
  <c r="BX227" i="2"/>
  <c r="BY227" i="2" s="1"/>
  <c r="AU227" i="2"/>
  <c r="CG120" i="2"/>
  <c r="CF120" i="2"/>
  <c r="CD120" i="2"/>
  <c r="EK210" i="2"/>
  <c r="BL210" i="2"/>
  <c r="EM210" i="2"/>
  <c r="EN210" i="2" s="1"/>
  <c r="AU307" i="2"/>
  <c r="BX307" i="2"/>
  <c r="BY307" i="2" s="1"/>
  <c r="DY138" i="2"/>
  <c r="EG138" i="2"/>
  <c r="EK259" i="2"/>
  <c r="BL259" i="2"/>
  <c r="EM259" i="2"/>
  <c r="EN259" i="2" s="1"/>
  <c r="EU194" i="2"/>
  <c r="DA194" i="2"/>
  <c r="DM194" i="2"/>
  <c r="DW194" i="2"/>
  <c r="EJ194" i="2"/>
  <c r="BQ194" i="2"/>
  <c r="EL194" i="2"/>
  <c r="CU194" i="2"/>
  <c r="CV194" i="2"/>
  <c r="CX194" i="2"/>
  <c r="CY194" i="2"/>
  <c r="DG194" i="2"/>
  <c r="CT194" i="2"/>
  <c r="CW194" i="2"/>
  <c r="CZ194" i="2"/>
  <c r="CR194" i="2"/>
  <c r="EV194" i="2"/>
  <c r="EW194" i="2" s="1"/>
  <c r="EX194" i="2" s="1"/>
  <c r="CS194" i="2"/>
  <c r="G79" i="2"/>
  <c r="F79" i="2"/>
  <c r="P240" i="2"/>
  <c r="A240" i="2" s="1"/>
  <c r="AR240" i="2" a="1"/>
  <c r="AR240" i="2" s="1"/>
  <c r="CF240" i="2"/>
  <c r="CD240" i="2"/>
  <c r="BW240" i="2"/>
  <c r="CK240" i="2"/>
  <c r="CH240" i="2"/>
  <c r="CC240" i="2" s="1"/>
  <c r="G215" i="2"/>
  <c r="F215" i="2"/>
  <c r="DY306" i="2"/>
  <c r="EG306" i="2"/>
  <c r="DC87" i="2"/>
  <c r="DF87" i="2"/>
  <c r="DV87" i="2"/>
  <c r="EM120" i="2"/>
  <c r="EN120" i="2" s="1"/>
  <c r="EK120" i="2"/>
  <c r="BL120" i="2"/>
  <c r="CR127" i="2"/>
  <c r="CF327" i="2"/>
  <c r="CD327" i="2"/>
  <c r="CG327" i="2"/>
  <c r="CK274" i="2"/>
  <c r="CH274" i="2"/>
  <c r="CC274" i="2" s="1"/>
  <c r="AR274" i="2" a="1"/>
  <c r="AR274" i="2" s="1"/>
  <c r="P274" i="2"/>
  <c r="A274" i="2" s="1"/>
  <c r="CD274" i="2"/>
  <c r="BW274" i="2"/>
  <c r="CF274" i="2"/>
  <c r="G70" i="2"/>
  <c r="F70" i="2"/>
  <c r="EJ185" i="2"/>
  <c r="DM185" i="2"/>
  <c r="DW185" i="2"/>
  <c r="CV185" i="2"/>
  <c r="CX185" i="2"/>
  <c r="CU185" i="2"/>
  <c r="CW185" i="2"/>
  <c r="EL185" i="2"/>
  <c r="DA185" i="2"/>
  <c r="CZ185" i="2"/>
  <c r="CT185" i="2"/>
  <c r="CY185" i="2"/>
  <c r="CS185" i="2"/>
  <c r="CR185" i="2"/>
  <c r="EV185" i="2"/>
  <c r="BQ185" i="2"/>
  <c r="DG185" i="2"/>
  <c r="CK155" i="2"/>
  <c r="CD155" i="2"/>
  <c r="BW155" i="2"/>
  <c r="CH155" i="2"/>
  <c r="CC155" i="2" s="1"/>
  <c r="P155" i="2"/>
  <c r="A155" i="2" s="1"/>
  <c r="DE79" i="2"/>
  <c r="DD79" i="2"/>
  <c r="CK228" i="2"/>
  <c r="CH228" i="2"/>
  <c r="CC228" i="2" s="1"/>
  <c r="BW228" i="2"/>
  <c r="P228" i="2"/>
  <c r="A228" i="2" s="1"/>
  <c r="CD228" i="2"/>
  <c r="DE154" i="2"/>
  <c r="F339" i="2"/>
  <c r="G339" i="2"/>
  <c r="BX232" i="2"/>
  <c r="BY232" i="2" s="1"/>
  <c r="AU232" i="2"/>
  <c r="AU109" i="2"/>
  <c r="BX109" i="2"/>
  <c r="BY109" i="2" s="1"/>
  <c r="CW279" i="2"/>
  <c r="DG279" i="2"/>
  <c r="CZ279" i="2"/>
  <c r="EL279" i="2"/>
  <c r="DW279" i="2"/>
  <c r="BQ279" i="2"/>
  <c r="DM279" i="2"/>
  <c r="EJ279" i="2"/>
  <c r="CX279" i="2"/>
  <c r="CY279" i="2"/>
  <c r="CU279" i="2"/>
  <c r="CR279" i="2"/>
  <c r="CS279" i="2"/>
  <c r="EU279" i="2"/>
  <c r="CV279" i="2"/>
  <c r="DA279" i="2"/>
  <c r="CT279" i="2"/>
  <c r="CN144" i="2"/>
  <c r="EG227" i="2"/>
  <c r="EG204" i="2"/>
  <c r="G153" i="2"/>
  <c r="F153" i="2"/>
  <c r="EK136" i="2"/>
  <c r="EM136" i="2"/>
  <c r="EN136" i="2" s="1"/>
  <c r="BL136" i="2"/>
  <c r="CG228" i="2"/>
  <c r="CF228" i="2"/>
  <c r="DM207" i="2"/>
  <c r="DW207" i="2"/>
  <c r="BQ207" i="2"/>
  <c r="CW207" i="2"/>
  <c r="CS207" i="2"/>
  <c r="CR207" i="2"/>
  <c r="CY207" i="2"/>
  <c r="EL207" i="2"/>
  <c r="EJ207" i="2"/>
  <c r="CZ207" i="2"/>
  <c r="CX207" i="2"/>
  <c r="CV207" i="2"/>
  <c r="DA207" i="2"/>
  <c r="DG207" i="2"/>
  <c r="CU207" i="2"/>
  <c r="EU207" i="2"/>
  <c r="CT207" i="2"/>
  <c r="EU218" i="2"/>
  <c r="EV218" i="2"/>
  <c r="EW218" i="2" s="1"/>
  <c r="EX218" i="2" s="1"/>
  <c r="G154" i="2"/>
  <c r="F154" i="2"/>
  <c r="CD34" i="2"/>
  <c r="G208" i="2"/>
  <c r="F208" i="2"/>
  <c r="B1" i="47"/>
  <c r="DG144" i="2"/>
  <c r="G69" i="2"/>
  <c r="F69" i="2"/>
  <c r="CF326" i="2"/>
  <c r="CG326" i="2"/>
  <c r="CD326" i="2"/>
  <c r="CN31" i="2"/>
  <c r="BT31" i="2"/>
  <c r="BU31" i="2" s="1"/>
  <c r="DE87" i="2"/>
  <c r="EU138" i="2"/>
  <c r="G128" i="2"/>
  <c r="F128" i="2"/>
  <c r="AU207" i="2"/>
  <c r="CN207" i="2" s="1"/>
  <c r="BX207" i="2"/>
  <c r="BY207" i="2" s="1"/>
  <c r="CD216" i="2"/>
  <c r="AR216" i="2" a="1"/>
  <c r="AR216" i="2" s="1"/>
  <c r="CF216" i="2"/>
  <c r="CH216" i="2"/>
  <c r="CC216" i="2" s="1"/>
  <c r="CK216" i="2"/>
  <c r="P216" i="2"/>
  <c r="A216" i="2" s="1"/>
  <c r="BW216" i="2"/>
  <c r="DG328" i="2"/>
  <c r="DG326" i="2"/>
  <c r="DG327" i="2"/>
  <c r="DG325" i="2"/>
  <c r="BT111" i="2"/>
  <c r="BU111" i="2" s="1"/>
  <c r="CQ111" i="2"/>
  <c r="EV132" i="2"/>
  <c r="EW132" i="2" s="1"/>
  <c r="EX132" i="2" s="1"/>
  <c r="EU132" i="2"/>
  <c r="EK104" i="2"/>
  <c r="BL104" i="2"/>
  <c r="EM104" i="2"/>
  <c r="EN104" i="2" s="1"/>
  <c r="DD140" i="2"/>
  <c r="DE140" i="2"/>
  <c r="G137" i="2"/>
  <c r="F137" i="2"/>
  <c r="EU154" i="2"/>
  <c r="EV154" i="2"/>
  <c r="EW154" i="2" s="1"/>
  <c r="EX154" i="2" s="1"/>
  <c r="EU115" i="2"/>
  <c r="EV115" i="2"/>
  <c r="BL171" i="2"/>
  <c r="EK171" i="2"/>
  <c r="EM171" i="2"/>
  <c r="EN171" i="2" s="1"/>
  <c r="EJ168" i="2"/>
  <c r="BQ168" i="2"/>
  <c r="CT168" i="2"/>
  <c r="DW168" i="2"/>
  <c r="DM168" i="2"/>
  <c r="DA168" i="2"/>
  <c r="CV168" i="2"/>
  <c r="CW168" i="2"/>
  <c r="CS168" i="2"/>
  <c r="CZ168" i="2"/>
  <c r="EL168" i="2"/>
  <c r="DG168" i="2"/>
  <c r="EV168" i="2"/>
  <c r="CR168" i="2"/>
  <c r="EU168" i="2"/>
  <c r="CY168" i="2"/>
  <c r="CX168" i="2"/>
  <c r="CU168" i="2"/>
  <c r="DY133" i="2"/>
  <c r="EG133" i="2"/>
  <c r="DY265" i="2"/>
  <c r="EG265" i="2"/>
  <c r="DW86" i="2"/>
  <c r="EL86" i="2"/>
  <c r="DM86" i="2"/>
  <c r="CS86" i="2"/>
  <c r="DA86" i="2"/>
  <c r="EJ86" i="2"/>
  <c r="CY86" i="2"/>
  <c r="CZ86" i="2"/>
  <c r="CV86" i="2"/>
  <c r="CW86" i="2"/>
  <c r="CT86" i="2"/>
  <c r="DG86" i="2"/>
  <c r="BQ86" i="2"/>
  <c r="CU86" i="2"/>
  <c r="EV86" i="2"/>
  <c r="EW86" i="2" s="1"/>
  <c r="EX86" i="2" s="1"/>
  <c r="DN87" i="2"/>
  <c r="DP87" i="2" s="1"/>
  <c r="DQ87" i="2" s="1"/>
  <c r="DU87" i="2"/>
  <c r="EJ127" i="2"/>
  <c r="DW127" i="2"/>
  <c r="DM127" i="2"/>
  <c r="EL127" i="2"/>
  <c r="BQ127" i="2"/>
  <c r="CX127" i="2"/>
  <c r="EU127" i="2"/>
  <c r="CS127" i="2"/>
  <c r="CW127" i="2"/>
  <c r="CV127" i="2"/>
  <c r="AA6" i="19"/>
  <c r="AC6" i="19" s="1" a="1"/>
  <c r="AC6" i="19" s="1"/>
  <c r="CG313" i="2"/>
  <c r="CF313" i="2"/>
  <c r="CF70" i="2"/>
  <c r="CG70" i="2"/>
  <c r="CD70" i="2"/>
  <c r="G140" i="2"/>
  <c r="F140" i="2"/>
  <c r="BL130" i="2"/>
  <c r="EM130" i="2"/>
  <c r="EN130" i="2" s="1"/>
  <c r="EK130" i="2"/>
  <c r="DE137" i="2"/>
  <c r="DD137" i="2"/>
  <c r="EJ145" i="2"/>
  <c r="DW145" i="2"/>
  <c r="BQ145" i="2"/>
  <c r="DM145" i="2"/>
  <c r="EL145" i="2"/>
  <c r="CZ145" i="2"/>
  <c r="CR145" i="2"/>
  <c r="CT145" i="2"/>
  <c r="CV145" i="2"/>
  <c r="DG145" i="2"/>
  <c r="DA145" i="2"/>
  <c r="EU145" i="2"/>
  <c r="CU145" i="2"/>
  <c r="CY145" i="2"/>
  <c r="EV145" i="2"/>
  <c r="CW145" i="2"/>
  <c r="CX145" i="2"/>
  <c r="CS145" i="2"/>
  <c r="CH146" i="2"/>
  <c r="CC146" i="2" s="1"/>
  <c r="AR146" i="2" a="1"/>
  <c r="AR146" i="2" s="1"/>
  <c r="P146" i="2"/>
  <c r="A146" i="2" s="1"/>
  <c r="CD146" i="2"/>
  <c r="BW146" i="2"/>
  <c r="EK183" i="2"/>
  <c r="BL183" i="2"/>
  <c r="EM183" i="2"/>
  <c r="EN183" i="2" s="1"/>
  <c r="BX213" i="2"/>
  <c r="BY213" i="2" s="1"/>
  <c r="AU213" i="2"/>
  <c r="DY83" i="2"/>
  <c r="EG83" i="2"/>
  <c r="F59" i="2"/>
  <c r="G59" i="2"/>
  <c r="CN192" i="2"/>
  <c r="BT192" i="2"/>
  <c r="BU192" i="2" s="1"/>
  <c r="EW192" i="2"/>
  <c r="EX192" i="2" s="1"/>
  <c r="DY263" i="2"/>
  <c r="EG263" i="2"/>
  <c r="F172" i="2"/>
  <c r="G172" i="2"/>
  <c r="DX41" i="2"/>
  <c r="DZ41" i="2" s="1"/>
  <c r="EA41" i="2" s="1"/>
  <c r="ED41" i="2"/>
  <c r="EV27" i="2"/>
  <c r="CQ150" i="2"/>
  <c r="CH88" i="2"/>
  <c r="CC88" i="2" s="1"/>
  <c r="BW88" i="2"/>
  <c r="P88" i="2"/>
  <c r="A88" i="2" s="1"/>
  <c r="CK88" i="2"/>
  <c r="AR88" i="2" a="1"/>
  <c r="AR88" i="2" s="1"/>
  <c r="CD88" i="2"/>
  <c r="G181" i="2"/>
  <c r="F181" i="2"/>
  <c r="DA27" i="2"/>
  <c r="EV56" i="2"/>
  <c r="EW56" i="2" s="1"/>
  <c r="EX56" i="2" s="1"/>
  <c r="EU56" i="2"/>
  <c r="CQ241" i="2"/>
  <c r="CN160" i="2"/>
  <c r="BT160" i="2"/>
  <c r="BU160" i="2" s="1"/>
  <c r="DD271" i="2"/>
  <c r="DE271" i="2"/>
  <c r="ED296" i="2"/>
  <c r="DX296" i="2"/>
  <c r="DZ296" i="2" s="1"/>
  <c r="EA296" i="2" s="1"/>
  <c r="CH76" i="2"/>
  <c r="CC76" i="2" s="1"/>
  <c r="P76" i="2"/>
  <c r="A76" i="2" s="1"/>
  <c r="BW76" i="2"/>
  <c r="CD76" i="2"/>
  <c r="AR76" i="2" a="1"/>
  <c r="AR76" i="2" s="1"/>
  <c r="CK76" i="2"/>
  <c r="CH136" i="2"/>
  <c r="CC136" i="2" s="1"/>
  <c r="CD136" i="2"/>
  <c r="P136" i="2"/>
  <c r="A136" i="2" s="1"/>
  <c r="BW136" i="2"/>
  <c r="CK136" i="2"/>
  <c r="AR136" i="2" a="1"/>
  <c r="AR136" i="2" s="1"/>
  <c r="CF136" i="2"/>
  <c r="EU65" i="2"/>
  <c r="EV65" i="2"/>
  <c r="EW65" i="2" s="1"/>
  <c r="EX65" i="2" s="1"/>
  <c r="EU10" i="2"/>
  <c r="EV10" i="2"/>
  <c r="DC332" i="2"/>
  <c r="EG196" i="2"/>
  <c r="AU67" i="2"/>
  <c r="BX67" i="2"/>
  <c r="BY67" i="2" s="1"/>
  <c r="BX191" i="2"/>
  <c r="BY191" i="2" s="1"/>
  <c r="AU191" i="2"/>
  <c r="CN191" i="2" s="1"/>
  <c r="F125" i="2"/>
  <c r="G125" i="2"/>
  <c r="CD111" i="2"/>
  <c r="CF111" i="2"/>
  <c r="CG111" i="2"/>
  <c r="G44" i="2"/>
  <c r="F44" i="2"/>
  <c r="EG142" i="2"/>
  <c r="DY142" i="2"/>
  <c r="CQ167" i="2"/>
  <c r="BT167" i="2"/>
  <c r="BU167" i="2" s="1"/>
  <c r="EV207" i="2"/>
  <c r="DC297" i="2"/>
  <c r="DD22" i="2"/>
  <c r="EJ257" i="2"/>
  <c r="BQ257" i="2"/>
  <c r="DM257" i="2"/>
  <c r="DW257" i="2"/>
  <c r="CU257" i="2"/>
  <c r="CT257" i="2"/>
  <c r="CX257" i="2"/>
  <c r="CR257" i="2"/>
  <c r="CZ257" i="2"/>
  <c r="EL257" i="2"/>
  <c r="CW257" i="2"/>
  <c r="CS257" i="2"/>
  <c r="CV257" i="2"/>
  <c r="CY257" i="2"/>
  <c r="DA257" i="2"/>
  <c r="DG257" i="2"/>
  <c r="EV257" i="2"/>
  <c r="EW257" i="2" s="1"/>
  <c r="EX257" i="2" s="1"/>
  <c r="DD62" i="2"/>
  <c r="DE62" i="2"/>
  <c r="F283" i="2"/>
  <c r="G283" i="2"/>
  <c r="EK161" i="2"/>
  <c r="BL161" i="2"/>
  <c r="EM161" i="2"/>
  <c r="EN161" i="2" s="1"/>
  <c r="EV4" i="2"/>
  <c r="EU4" i="2"/>
  <c r="CD273" i="2"/>
  <c r="CF273" i="2"/>
  <c r="CG273" i="2"/>
  <c r="BL119" i="2"/>
  <c r="EM119" i="2"/>
  <c r="EN119" i="2" s="1"/>
  <c r="EK119" i="2"/>
  <c r="G130" i="2"/>
  <c r="F130" i="2"/>
  <c r="CR106" i="2"/>
  <c r="DC284" i="2"/>
  <c r="DG329" i="2"/>
  <c r="DG330" i="2"/>
  <c r="DG331" i="2"/>
  <c r="F11" i="2"/>
  <c r="G11" i="2"/>
  <c r="CD93" i="2"/>
  <c r="CH93" i="2"/>
  <c r="CC93" i="2" s="1"/>
  <c r="AR93" i="2" a="1"/>
  <c r="AR93" i="2" s="1"/>
  <c r="P93" i="2"/>
  <c r="A93" i="2" s="1"/>
  <c r="CK93" i="2"/>
  <c r="BW93" i="2"/>
  <c r="CF93" i="2"/>
  <c r="DX243" i="2"/>
  <c r="DZ243" i="2" s="1"/>
  <c r="EA243" i="2" s="1"/>
  <c r="ED243" i="2"/>
  <c r="P268" i="2"/>
  <c r="A268" i="2" s="1"/>
  <c r="CH268" i="2"/>
  <c r="CC268" i="2" s="1"/>
  <c r="CK268" i="2"/>
  <c r="AR268" i="2" a="1"/>
  <c r="AR268" i="2" s="1"/>
  <c r="CD268" i="2"/>
  <c r="CF268" i="2"/>
  <c r="F57" i="2"/>
  <c r="G57" i="2"/>
  <c r="BQ72" i="2"/>
  <c r="DW72" i="2"/>
  <c r="EJ72" i="2"/>
  <c r="CS72" i="2"/>
  <c r="DG72" i="2"/>
  <c r="EL72" i="2"/>
  <c r="CT72" i="2"/>
  <c r="CR72" i="2"/>
  <c r="DM72" i="2"/>
  <c r="CY72" i="2"/>
  <c r="EU72" i="2"/>
  <c r="EK29" i="2"/>
  <c r="BL29" i="2"/>
  <c r="EM29" i="2"/>
  <c r="EN29" i="2" s="1"/>
  <c r="EL135" i="2"/>
  <c r="CT135" i="2"/>
  <c r="DM135" i="2"/>
  <c r="BQ135" i="2"/>
  <c r="DW135" i="2"/>
  <c r="CV135" i="2"/>
  <c r="DG135" i="2"/>
  <c r="DA135" i="2"/>
  <c r="CY135" i="2"/>
  <c r="CZ135" i="2"/>
  <c r="EJ135" i="2"/>
  <c r="CU135" i="2"/>
  <c r="CR135" i="2"/>
  <c r="CW135" i="2"/>
  <c r="EU135" i="2"/>
  <c r="CF161" i="2"/>
  <c r="CG161" i="2"/>
  <c r="CG329" i="2"/>
  <c r="CD329" i="2"/>
  <c r="CF329" i="2"/>
  <c r="BX172" i="2"/>
  <c r="BY172" i="2" s="1"/>
  <c r="AU172" i="2"/>
  <c r="CG119" i="2"/>
  <c r="CF119" i="2"/>
  <c r="CD119" i="2"/>
  <c r="EK21" i="2"/>
  <c r="EM21" i="2"/>
  <c r="EN21" i="2" s="1"/>
  <c r="BL21" i="2"/>
  <c r="EV103" i="2"/>
  <c r="EU103" i="2"/>
  <c r="DY80" i="2"/>
  <c r="EG80" i="2"/>
  <c r="DE253" i="2"/>
  <c r="DD253" i="2"/>
  <c r="BQ223" i="2"/>
  <c r="DG223" i="2"/>
  <c r="CW223" i="2"/>
  <c r="CY223" i="2"/>
  <c r="DM223" i="2"/>
  <c r="DC223" i="2" s="1"/>
  <c r="DW223" i="2"/>
  <c r="EJ223" i="2"/>
  <c r="CX223" i="2"/>
  <c r="CZ223" i="2"/>
  <c r="DA223" i="2"/>
  <c r="CU223" i="2"/>
  <c r="CV223" i="2"/>
  <c r="CT223" i="2"/>
  <c r="EL223" i="2"/>
  <c r="CR223" i="2"/>
  <c r="CS223" i="2"/>
  <c r="EV223" i="2"/>
  <c r="CV64" i="2"/>
  <c r="CR64" i="2"/>
  <c r="CZ64" i="2"/>
  <c r="EU64" i="2"/>
  <c r="CU64" i="2"/>
  <c r="BQ64" i="2"/>
  <c r="DA64" i="2"/>
  <c r="CT64" i="2"/>
  <c r="DW64" i="2"/>
  <c r="CY64" i="2"/>
  <c r="CS64" i="2"/>
  <c r="EL64" i="2"/>
  <c r="DG64" i="2"/>
  <c r="DM64" i="2"/>
  <c r="DC64" i="2" s="1"/>
  <c r="EJ64" i="2"/>
  <c r="CX64" i="2"/>
  <c r="CW64" i="2"/>
  <c r="EG236" i="2"/>
  <c r="CN47" i="2"/>
  <c r="BX11" i="2"/>
  <c r="BY11" i="2" s="1"/>
  <c r="AU11" i="2"/>
  <c r="EU87" i="2"/>
  <c r="EU26" i="2"/>
  <c r="EF243" i="2"/>
  <c r="DU243" i="2"/>
  <c r="DV243" i="2"/>
  <c r="DN243" i="2"/>
  <c r="DP243" i="2" s="1"/>
  <c r="DQ243" i="2" s="1"/>
  <c r="DF243" i="2"/>
  <c r="DV320" i="2"/>
  <c r="DN320" i="2"/>
  <c r="DP320" i="2" s="1"/>
  <c r="DQ320" i="2" s="1"/>
  <c r="EF320" i="2"/>
  <c r="DU320" i="2"/>
  <c r="DF320" i="2"/>
  <c r="EU141" i="2"/>
  <c r="EV141" i="2"/>
  <c r="G327" i="2"/>
  <c r="F327" i="2"/>
  <c r="EL144" i="2"/>
  <c r="BQ144" i="2"/>
  <c r="EU144" i="2"/>
  <c r="CX144" i="2"/>
  <c r="DM144" i="2"/>
  <c r="EJ144" i="2"/>
  <c r="CT144" i="2"/>
  <c r="CV144" i="2"/>
  <c r="CW144" i="2"/>
  <c r="CS144" i="2"/>
  <c r="DA144" i="2"/>
  <c r="CY144" i="2"/>
  <c r="CZ144" i="2"/>
  <c r="CR144" i="2"/>
  <c r="DW144" i="2"/>
  <c r="CU144" i="2"/>
  <c r="CR71" i="2"/>
  <c r="EJ71" i="2"/>
  <c r="DW71" i="2"/>
  <c r="CS71" i="2"/>
  <c r="BQ71" i="2"/>
  <c r="CU71" i="2"/>
  <c r="CZ71" i="2"/>
  <c r="CT71" i="2"/>
  <c r="EU71" i="2"/>
  <c r="EL71" i="2"/>
  <c r="CX71" i="2"/>
  <c r="DA71" i="2"/>
  <c r="CW71" i="2"/>
  <c r="DG71" i="2"/>
  <c r="DM71" i="2"/>
  <c r="P314" i="2"/>
  <c r="A314" i="2" s="1"/>
  <c r="CK314" i="2"/>
  <c r="CH314" i="2"/>
  <c r="CC314" i="2" s="1"/>
  <c r="CF314" i="2"/>
  <c r="CD314" i="2"/>
  <c r="BW314" i="2"/>
  <c r="AR314" i="2" a="1"/>
  <c r="AR314" i="2" s="1"/>
  <c r="EK301" i="2"/>
  <c r="EM301" i="2"/>
  <c r="EN301" i="2" s="1"/>
  <c r="BL301" i="2"/>
  <c r="EV118" i="2"/>
  <c r="EW118" i="2" s="1"/>
  <c r="EX118" i="2" s="1"/>
  <c r="EU118" i="2"/>
  <c r="CQ66" i="2"/>
  <c r="F253" i="2"/>
  <c r="G253" i="2"/>
  <c r="CN285" i="2"/>
  <c r="BT285" i="2"/>
  <c r="BU285" i="2" s="1"/>
  <c r="BX18" i="2"/>
  <c r="BY18" i="2" s="1"/>
  <c r="AU18" i="2"/>
  <c r="CN18" i="2" s="1"/>
  <c r="EG154" i="2"/>
  <c r="EU96" i="2"/>
  <c r="EV96" i="2"/>
  <c r="EW96" i="2" s="1"/>
  <c r="EX96" i="2" s="1"/>
  <c r="DC164" i="2"/>
  <c r="CN58" i="2"/>
  <c r="DE160" i="2"/>
  <c r="DD160" i="2"/>
  <c r="ED96" i="2"/>
  <c r="DX96" i="2"/>
  <c r="DZ96" i="2" s="1"/>
  <c r="EA96" i="2" s="1"/>
  <c r="ED320" i="2"/>
  <c r="DX320" i="2"/>
  <c r="DZ320" i="2" s="1"/>
  <c r="EA320" i="2" s="1"/>
  <c r="EV23" i="2"/>
  <c r="EW23" i="2" s="1"/>
  <c r="EX23" i="2" s="1"/>
  <c r="EU23" i="2"/>
  <c r="DM47" i="2"/>
  <c r="DC47" i="2" s="1"/>
  <c r="EL47" i="2"/>
  <c r="BQ47" i="2"/>
  <c r="DW47" i="2"/>
  <c r="EG47" i="2" s="1"/>
  <c r="EJ47" i="2"/>
  <c r="EV47" i="2"/>
  <c r="EW47" i="2" s="1"/>
  <c r="EX47" i="2" s="1"/>
  <c r="EU47" i="2"/>
  <c r="DC159" i="2"/>
  <c r="CG335" i="2"/>
  <c r="CF335" i="2"/>
  <c r="CD335" i="2"/>
  <c r="BX161" i="2"/>
  <c r="BY161" i="2" s="1"/>
  <c r="AU161" i="2"/>
  <c r="DE125" i="2"/>
  <c r="DD125" i="2"/>
  <c r="DC66" i="2"/>
  <c r="CG213" i="2"/>
  <c r="CF213" i="2"/>
  <c r="CQ240" i="2"/>
  <c r="CQ251" i="2"/>
  <c r="EV127" i="2"/>
  <c r="BT164" i="2"/>
  <c r="BU164" i="2" s="1"/>
  <c r="CQ164" i="2"/>
  <c r="DD164" i="2" s="1"/>
  <c r="DF164" i="2" s="1"/>
  <c r="DY297" i="2"/>
  <c r="EG297" i="2"/>
  <c r="CQ256" i="2"/>
  <c r="EG220" i="2"/>
  <c r="DA127" i="2"/>
  <c r="EL122" i="2"/>
  <c r="DM122" i="2"/>
  <c r="DC122" i="2" s="1"/>
  <c r="DW122" i="2"/>
  <c r="BQ122" i="2"/>
  <c r="CQ122" i="2" s="1"/>
  <c r="CT122" i="2"/>
  <c r="EJ122" i="2"/>
  <c r="CR122" i="2"/>
  <c r="DA122" i="2"/>
  <c r="CY122" i="2"/>
  <c r="CU122" i="2"/>
  <c r="CS122" i="2"/>
  <c r="CH286" i="2"/>
  <c r="CC286" i="2" s="1"/>
  <c r="CK286" i="2"/>
  <c r="P286" i="2"/>
  <c r="A286" i="2" s="1"/>
  <c r="CF286" i="2"/>
  <c r="AR286" i="2" a="1"/>
  <c r="AR286" i="2" s="1"/>
  <c r="CD286" i="2"/>
  <c r="CK267" i="2"/>
  <c r="P267" i="2"/>
  <c r="A267" i="2" s="1"/>
  <c r="CD267" i="2"/>
  <c r="AR267" i="2" a="1"/>
  <c r="AR267" i="2" s="1"/>
  <c r="CH267" i="2"/>
  <c r="CC267" i="2" s="1"/>
  <c r="CF267" i="2"/>
  <c r="BW267" i="2"/>
  <c r="CW122" i="2"/>
  <c r="EU134" i="2"/>
  <c r="EV134" i="2"/>
  <c r="EW134" i="2" s="1"/>
  <c r="EX134" i="2" s="1"/>
  <c r="BX51" i="2"/>
  <c r="BY51" i="2" s="1"/>
  <c r="AU51" i="2"/>
  <c r="CN51" i="2" s="1"/>
  <c r="EU70" i="2"/>
  <c r="EV70" i="2"/>
  <c r="EW70" i="2" s="1"/>
  <c r="EX70" i="2" s="1"/>
  <c r="P294" i="2"/>
  <c r="A294" i="2" s="1"/>
  <c r="CH294" i="2"/>
  <c r="CC294" i="2" s="1"/>
  <c r="CF294" i="2"/>
  <c r="BW294" i="2"/>
  <c r="CD294" i="2"/>
  <c r="CK294" i="2"/>
  <c r="CV109" i="2"/>
  <c r="DW109" i="2"/>
  <c r="DM109" i="2"/>
  <c r="DC109" i="2" s="1"/>
  <c r="BQ109" i="2"/>
  <c r="EJ109" i="2"/>
  <c r="DA109" i="2"/>
  <c r="CT109" i="2"/>
  <c r="CY109" i="2"/>
  <c r="CU109" i="2"/>
  <c r="CR109" i="2"/>
  <c r="EV109" i="2"/>
  <c r="EW109" i="2" s="1"/>
  <c r="EX109" i="2" s="1"/>
  <c r="CX109" i="2"/>
  <c r="CS109" i="2"/>
  <c r="EL109" i="2"/>
  <c r="CW109" i="2"/>
  <c r="DG109" i="2"/>
  <c r="EU109" i="2"/>
  <c r="CZ109" i="2"/>
  <c r="CY71" i="2"/>
  <c r="DD92" i="2"/>
  <c r="CD328" i="2"/>
  <c r="DX148" i="2"/>
  <c r="DZ148" i="2" s="1"/>
  <c r="EA148" i="2" s="1"/>
  <c r="ED148" i="2"/>
  <c r="DD45" i="2"/>
  <c r="DE45" i="2"/>
  <c r="CD16" i="2"/>
  <c r="CF16" i="2"/>
  <c r="CG16" i="2"/>
  <c r="EG170" i="2"/>
  <c r="CN231" i="2"/>
  <c r="CT18" i="2"/>
  <c r="CS18" i="2"/>
  <c r="CV18" i="2"/>
  <c r="EU18" i="2"/>
  <c r="CX18" i="2"/>
  <c r="DA18" i="2"/>
  <c r="CY18" i="2"/>
  <c r="DG18" i="2"/>
  <c r="CR18" i="2"/>
  <c r="DM18" i="2"/>
  <c r="CW18" i="2"/>
  <c r="CZ18" i="2"/>
  <c r="EJ18" i="2"/>
  <c r="EL18" i="2"/>
  <c r="DW18" i="2"/>
  <c r="CU18" i="2"/>
  <c r="BQ18" i="2"/>
  <c r="EV74" i="2"/>
  <c r="EU74" i="2"/>
  <c r="EK234" i="2"/>
  <c r="BL234" i="2"/>
  <c r="EM234" i="2"/>
  <c r="EN234" i="2" s="1"/>
  <c r="CF27" i="2"/>
  <c r="CG27" i="2"/>
  <c r="CF88" i="2"/>
  <c r="CG88" i="2"/>
  <c r="EV24" i="2"/>
  <c r="EW24" i="2" s="1"/>
  <c r="EX24" i="2" s="1"/>
  <c r="EU24" i="2"/>
  <c r="EG159" i="2"/>
  <c r="BW254" i="2"/>
  <c r="CK254" i="2"/>
  <c r="AR254" i="2" a="1"/>
  <c r="AR254" i="2" s="1"/>
  <c r="P254" i="2"/>
  <c r="A254" i="2" s="1"/>
  <c r="CH254" i="2"/>
  <c r="CC254" i="2" s="1"/>
  <c r="CD254" i="2"/>
  <c r="EJ131" i="2"/>
  <c r="DG131" i="2"/>
  <c r="DY131" i="2" s="1"/>
  <c r="CR131" i="2"/>
  <c r="DM131" i="2"/>
  <c r="EU131" i="2"/>
  <c r="CX131" i="2"/>
  <c r="CY131" i="2"/>
  <c r="BQ131" i="2"/>
  <c r="CT131" i="2"/>
  <c r="CZ131" i="2"/>
  <c r="DW131" i="2"/>
  <c r="CW131" i="2"/>
  <c r="CV131" i="2"/>
  <c r="EL131" i="2"/>
  <c r="CU131" i="2"/>
  <c r="DA131" i="2"/>
  <c r="CS131" i="2"/>
  <c r="P95" i="2"/>
  <c r="A95" i="2" s="1"/>
  <c r="CF95" i="2"/>
  <c r="CK95" i="2"/>
  <c r="CD95" i="2"/>
  <c r="BW95" i="2"/>
  <c r="CH95" i="2"/>
  <c r="CC95" i="2" s="1"/>
  <c r="G199" i="2"/>
  <c r="F199" i="2"/>
  <c r="CG34" i="2"/>
  <c r="CN129" i="2"/>
  <c r="BT129" i="2"/>
  <c r="BU129" i="2" s="1"/>
  <c r="EW129" i="2"/>
  <c r="EX129" i="2" s="1"/>
  <c r="EK8" i="2"/>
  <c r="BL8" i="2"/>
  <c r="EM8" i="2"/>
  <c r="EN8" i="2" s="1"/>
  <c r="BX339" i="2"/>
  <c r="BY339" i="2" s="1"/>
  <c r="AU339" i="2"/>
  <c r="CR47" i="2"/>
  <c r="EK213" i="2"/>
  <c r="BL213" i="2"/>
  <c r="EM213" i="2"/>
  <c r="EN213" i="2" s="1"/>
  <c r="AU16" i="2"/>
  <c r="BX16" i="2"/>
  <c r="BY16" i="2" s="1"/>
  <c r="CG172" i="2"/>
  <c r="CF172" i="2"/>
  <c r="EW31" i="2"/>
  <c r="EX31" i="2" s="1"/>
  <c r="CN72" i="2"/>
  <c r="BT214" i="2"/>
  <c r="BU214" i="2" s="1"/>
  <c r="CN214" i="2"/>
  <c r="EW214" i="2"/>
  <c r="EX214" i="2" s="1"/>
  <c r="EB105" i="2"/>
  <c r="EC105" i="2"/>
  <c r="EE105" i="2"/>
  <c r="G234" i="2"/>
  <c r="F234" i="2"/>
  <c r="EG184" i="2"/>
  <c r="DG127" i="2"/>
  <c r="DY127" i="2" s="1"/>
  <c r="F147" i="2"/>
  <c r="G147" i="2"/>
  <c r="G164" i="2"/>
  <c r="F164" i="2"/>
  <c r="EV39" i="2"/>
  <c r="EW39" i="2" s="1"/>
  <c r="EX39" i="2" s="1"/>
  <c r="EU39" i="2"/>
  <c r="CK107" i="2"/>
  <c r="AR107" i="2" a="1"/>
  <c r="AR107" i="2" s="1"/>
  <c r="CD107" i="2"/>
  <c r="CF107" i="2"/>
  <c r="P107" i="2"/>
  <c r="A107" i="2" s="1"/>
  <c r="CH107" i="2"/>
  <c r="CC107" i="2" s="1"/>
  <c r="BW107" i="2"/>
  <c r="CG258" i="2"/>
  <c r="CD258" i="2"/>
  <c r="CF258" i="2"/>
  <c r="BT159" i="2"/>
  <c r="BU159" i="2" s="1"/>
  <c r="CQ159" i="2"/>
  <c r="CK27" i="2"/>
  <c r="CH27" i="2"/>
  <c r="CC27" i="2" s="1"/>
  <c r="BW27" i="2"/>
  <c r="CD27" i="2"/>
  <c r="AR27" i="2" a="1"/>
  <c r="AR27" i="2" s="1"/>
  <c r="P27" i="2"/>
  <c r="A27" i="2" s="1"/>
  <c r="BT332" i="2"/>
  <c r="BU332" i="2" s="1"/>
  <c r="CQ332" i="2"/>
  <c r="P251" i="2"/>
  <c r="A251" i="2" s="1"/>
  <c r="AR251" i="2" a="1"/>
  <c r="AR251" i="2" s="1"/>
  <c r="CD251" i="2"/>
  <c r="AU200" i="2"/>
  <c r="BX200" i="2"/>
  <c r="BY200" i="2" s="1"/>
  <c r="CD183" i="2"/>
  <c r="CF183" i="2"/>
  <c r="CG183" i="2"/>
  <c r="DD242" i="2"/>
  <c r="DE242" i="2"/>
  <c r="BW54" i="2"/>
  <c r="P54" i="2"/>
  <c r="A54" i="2" s="1"/>
  <c r="CD54" i="2"/>
  <c r="CH54" i="2"/>
  <c r="CC54" i="2" s="1"/>
  <c r="CK54" i="2"/>
  <c r="CH256" i="2"/>
  <c r="CC256" i="2" s="1"/>
  <c r="CF256" i="2"/>
  <c r="P256" i="2"/>
  <c r="A256" i="2" s="1"/>
  <c r="CK256" i="2"/>
  <c r="AR256" i="2" a="1"/>
  <c r="AR256" i="2" s="1"/>
  <c r="CD256" i="2"/>
  <c r="CV71" i="2"/>
  <c r="CK179" i="2"/>
  <c r="BW179" i="2"/>
  <c r="CF179" i="2"/>
  <c r="P179" i="2"/>
  <c r="A179" i="2" s="1"/>
  <c r="CD179" i="2"/>
  <c r="AR179" i="2" a="1"/>
  <c r="AR179" i="2" s="1"/>
  <c r="CH179" i="2"/>
  <c r="CC179" i="2" s="1"/>
  <c r="CN142" i="2"/>
  <c r="CO142" i="2"/>
  <c r="CG117" i="2"/>
  <c r="EU86" i="2"/>
  <c r="BT298" i="2"/>
  <c r="BU298" i="2" s="1"/>
  <c r="BT330" i="2"/>
  <c r="BU330" i="2" s="1"/>
  <c r="CO330" i="2"/>
  <c r="CN330" i="2"/>
  <c r="EK305" i="2"/>
  <c r="EM305" i="2"/>
  <c r="EN305" i="2" s="1"/>
  <c r="CF60" i="2"/>
  <c r="CD60" i="2"/>
  <c r="CG60" i="2"/>
  <c r="CH145" i="2"/>
  <c r="CC145" i="2" s="1"/>
  <c r="CK145" i="2"/>
  <c r="BW145" i="2"/>
  <c r="P145" i="2"/>
  <c r="A145" i="2" s="1"/>
  <c r="CD145" i="2"/>
  <c r="CF145" i="2"/>
  <c r="CF76" i="2"/>
  <c r="CG76" i="2"/>
  <c r="CZ122" i="2"/>
  <c r="DA106" i="2"/>
  <c r="CF155" i="2"/>
  <c r="CK49" i="2"/>
  <c r="BW49" i="2"/>
  <c r="CH49" i="2"/>
  <c r="CC49" i="2" s="1"/>
  <c r="P49" i="2"/>
  <c r="A49" i="2" s="1"/>
  <c r="CD49" i="2"/>
  <c r="CF49" i="2"/>
  <c r="DY140" i="2"/>
  <c r="EF140" i="2" s="1"/>
  <c r="EG140" i="2"/>
  <c r="CF332" i="2"/>
  <c r="CG332" i="2"/>
  <c r="CD332" i="2"/>
  <c r="DG122" i="2"/>
  <c r="BX259" i="2"/>
  <c r="BY259" i="2" s="1"/>
  <c r="AU259" i="2"/>
  <c r="EV144" i="2"/>
  <c r="EW144" i="2" s="1"/>
  <c r="EX144" i="2" s="1"/>
  <c r="BX188" i="2"/>
  <c r="BY188" i="2" s="1"/>
  <c r="AU188" i="2"/>
  <c r="DV296" i="2"/>
  <c r="G43" i="2"/>
  <c r="F43" i="2"/>
  <c r="EK61" i="2"/>
  <c r="EM61" i="2"/>
  <c r="EN61" i="2" s="1"/>
  <c r="BL61" i="2"/>
  <c r="DD220" i="2"/>
  <c r="EF220" i="2" s="1"/>
  <c r="DE220" i="2"/>
  <c r="CG19" i="2"/>
  <c r="CF19" i="2"/>
  <c r="CD19" i="2"/>
  <c r="CH195" i="2"/>
  <c r="CC195" i="2" s="1"/>
  <c r="CD195" i="2"/>
  <c r="CK195" i="2"/>
  <c r="P195" i="2"/>
  <c r="A195" i="2" s="1"/>
  <c r="BW195" i="2"/>
  <c r="AR195" i="2" a="1"/>
  <c r="AR195" i="2" s="1"/>
  <c r="CF195" i="2"/>
  <c r="P338" i="2"/>
  <c r="A338" i="2" s="1"/>
  <c r="CD338" i="2"/>
  <c r="CH338" i="2"/>
  <c r="CC338" i="2" s="1"/>
  <c r="BW338" i="2"/>
  <c r="AR338" i="2" a="1"/>
  <c r="AR338" i="2" s="1"/>
  <c r="CK338" i="2"/>
  <c r="CF338" i="2"/>
  <c r="EK155" i="2"/>
  <c r="BL155" i="2"/>
  <c r="EM155" i="2"/>
  <c r="EN155" i="2" s="1"/>
  <c r="EU122" i="2"/>
  <c r="BQ268" i="2"/>
  <c r="DW268" i="2"/>
  <c r="EJ268" i="2"/>
  <c r="DM268" i="2"/>
  <c r="CU268" i="2"/>
  <c r="CS268" i="2"/>
  <c r="CX268" i="2"/>
  <c r="CW268" i="2"/>
  <c r="CZ268" i="2"/>
  <c r="CT268" i="2"/>
  <c r="DG268" i="2"/>
  <c r="CR268" i="2"/>
  <c r="EU268" i="2"/>
  <c r="EL268" i="2"/>
  <c r="EV268" i="2"/>
  <c r="DA268" i="2"/>
  <c r="CY268" i="2"/>
  <c r="CV268" i="2"/>
  <c r="DC236" i="2"/>
  <c r="G103" i="2"/>
  <c r="F103" i="2"/>
  <c r="DE298" i="2"/>
  <c r="DD298" i="2"/>
  <c r="BT282" i="2"/>
  <c r="BU282" i="2" s="1"/>
  <c r="CQ282" i="2"/>
  <c r="DD296" i="2"/>
  <c r="DF296" i="2" s="1"/>
  <c r="DC77" i="2"/>
  <c r="EG332" i="2"/>
  <c r="EM335" i="2"/>
  <c r="EN335" i="2" s="1"/>
  <c r="BL335" i="2"/>
  <c r="EK335" i="2"/>
  <c r="CH80" i="2"/>
  <c r="CC80" i="2" s="1"/>
  <c r="CK80" i="2"/>
  <c r="BW80" i="2"/>
  <c r="AR80" i="2" a="1"/>
  <c r="AR80" i="2" s="1"/>
  <c r="P80" i="2"/>
  <c r="A80" i="2" s="1"/>
  <c r="CD80" i="2"/>
  <c r="CF80" i="2"/>
  <c r="BL63" i="2"/>
  <c r="EV63" i="2" s="1"/>
  <c r="EW63" i="2" s="1"/>
  <c r="EX63" i="2" s="1"/>
  <c r="EM63" i="2"/>
  <c r="EN63" i="2" s="1"/>
  <c r="EK63" i="2"/>
  <c r="AR28" i="2" a="1"/>
  <c r="AR28" i="2" s="1"/>
  <c r="BW28" i="2"/>
  <c r="CF28" i="2"/>
  <c r="CH28" i="2"/>
  <c r="CC28" i="2" s="1"/>
  <c r="P28" i="2"/>
  <c r="A28" i="2" s="1"/>
  <c r="CD28" i="2"/>
  <c r="CK28" i="2"/>
  <c r="EM35" i="2"/>
  <c r="EN35" i="2" s="1"/>
  <c r="BL35" i="2"/>
  <c r="EK35" i="2"/>
  <c r="EU107" i="2"/>
  <c r="EV107" i="2"/>
  <c r="AU49" i="2"/>
  <c r="BX49" i="2"/>
  <c r="BY49" i="2" s="1"/>
  <c r="EG216" i="2"/>
  <c r="EV71" i="2"/>
  <c r="CS135" i="2"/>
  <c r="BW300" i="2"/>
  <c r="AR300" i="2" a="1"/>
  <c r="AR300" i="2" s="1"/>
  <c r="CH300" i="2"/>
  <c r="CC300" i="2" s="1"/>
  <c r="P300" i="2"/>
  <c r="A300" i="2" s="1"/>
  <c r="CK300" i="2"/>
  <c r="CD300" i="2"/>
  <c r="CF300" i="2"/>
  <c r="CF290" i="2"/>
  <c r="CG290" i="2"/>
  <c r="CD290" i="2"/>
  <c r="CK310" i="2"/>
  <c r="BW310" i="2"/>
  <c r="CF310" i="2"/>
  <c r="CD310" i="2"/>
  <c r="AR310" i="2" a="1"/>
  <c r="AR310" i="2" s="1"/>
  <c r="CH310" i="2"/>
  <c r="CC310" i="2" s="1"/>
  <c r="P310" i="2"/>
  <c r="A310" i="2" s="1"/>
  <c r="EM69" i="2"/>
  <c r="EN69" i="2" s="1"/>
  <c r="BL69" i="2"/>
  <c r="EK69" i="2"/>
  <c r="CG295" i="2"/>
  <c r="CF295" i="2"/>
  <c r="CD295" i="2"/>
  <c r="BX292" i="2"/>
  <c r="BY292" i="2" s="1"/>
  <c r="AU292" i="2"/>
  <c r="CN292" i="2" s="1"/>
  <c r="CF35" i="2"/>
  <c r="CZ47" i="2"/>
  <c r="DM317" i="2"/>
  <c r="DC317" i="2" s="1"/>
  <c r="EJ317" i="2"/>
  <c r="CW317" i="2"/>
  <c r="DA317" i="2"/>
  <c r="DG317" i="2"/>
  <c r="CT317" i="2"/>
  <c r="CZ317" i="2"/>
  <c r="CU317" i="2"/>
  <c r="EL317" i="2"/>
  <c r="CX317" i="2"/>
  <c r="DW317" i="2"/>
  <c r="EU317" i="2"/>
  <c r="CV317" i="2"/>
  <c r="CY317" i="2"/>
  <c r="CS317" i="2"/>
  <c r="CR317" i="2"/>
  <c r="BQ317" i="2"/>
  <c r="CN218" i="2"/>
  <c r="DD218" i="2" s="1"/>
  <c r="BT218" i="2"/>
  <c r="BU218" i="2" s="1"/>
  <c r="CN108" i="2"/>
  <c r="CO108" i="2"/>
  <c r="DC240" i="2"/>
  <c r="G235" i="2"/>
  <c r="F235" i="2"/>
  <c r="G304" i="2"/>
  <c r="F304" i="2"/>
  <c r="DD41" i="2"/>
  <c r="AU8" i="2"/>
  <c r="CN8" i="2" s="1"/>
  <c r="BX8" i="2"/>
  <c r="BY8" i="2" s="1"/>
  <c r="BX103" i="2"/>
  <c r="BY103" i="2" s="1"/>
  <c r="AU103" i="2"/>
  <c r="DY162" i="2"/>
  <c r="EG162" i="2"/>
  <c r="DC142" i="2"/>
  <c r="BT158" i="2"/>
  <c r="BU158" i="2" s="1"/>
  <c r="CQ158" i="2"/>
  <c r="CY127" i="2"/>
  <c r="CZ127" i="2"/>
  <c r="BW284" i="2"/>
  <c r="AR284" i="2" a="1"/>
  <c r="AR284" i="2" s="1"/>
  <c r="CH284" i="2"/>
  <c r="CC284" i="2" s="1"/>
  <c r="CK284" i="2"/>
  <c r="CF284" i="2"/>
  <c r="P284" i="2"/>
  <c r="A284" i="2" s="1"/>
  <c r="CD284" i="2"/>
  <c r="EK295" i="2"/>
  <c r="BL295" i="2"/>
  <c r="EM295" i="2"/>
  <c r="EN295" i="2" s="1"/>
  <c r="BL36" i="2"/>
  <c r="EM36" i="2"/>
  <c r="EN36" i="2" s="1"/>
  <c r="EK36" i="2"/>
  <c r="BL224" i="2"/>
  <c r="EK224" i="2"/>
  <c r="EM224" i="2"/>
  <c r="EN224" i="2" s="1"/>
  <c r="F91" i="2"/>
  <c r="G91" i="2"/>
  <c r="DV148" i="2"/>
  <c r="DU148" i="2"/>
  <c r="DF148" i="2"/>
  <c r="DN148" i="2"/>
  <c r="DP148" i="2" s="1"/>
  <c r="DQ148" i="2" s="1"/>
  <c r="EF148" i="2"/>
  <c r="DE249" i="2"/>
  <c r="CD313" i="2"/>
  <c r="CX135" i="2"/>
  <c r="BW286" i="2"/>
  <c r="G149" i="2"/>
  <c r="F149" i="2"/>
  <c r="EG32" i="2"/>
  <c r="DY32" i="2"/>
  <c r="AU304" i="2"/>
  <c r="BX304" i="2"/>
  <c r="BY304" i="2" s="1"/>
  <c r="CD67" i="2"/>
  <c r="P67" i="2"/>
  <c r="A67" i="2" s="1"/>
  <c r="CK67" i="2"/>
  <c r="CH67" i="2"/>
  <c r="CC67" i="2" s="1"/>
  <c r="BW67" i="2"/>
  <c r="CF67" i="2"/>
  <c r="CF150" i="2"/>
  <c r="CH150" i="2"/>
  <c r="CC150" i="2" s="1"/>
  <c r="AR150" i="2" a="1"/>
  <c r="AR150" i="2" s="1"/>
  <c r="P150" i="2"/>
  <c r="A150" i="2" s="1"/>
  <c r="BW150" i="2"/>
  <c r="CD150" i="2"/>
  <c r="CK150" i="2"/>
  <c r="DY102" i="2"/>
  <c r="EG102" i="2"/>
  <c r="DY87" i="2"/>
  <c r="EF87" i="2" s="1"/>
  <c r="EG87" i="2"/>
  <c r="CN53" i="2"/>
  <c r="EW53" i="2"/>
  <c r="EX53" i="2" s="1"/>
  <c r="BT53" i="2"/>
  <c r="BU53" i="2" s="1"/>
  <c r="EV317" i="2"/>
  <c r="EW317" i="2" s="1"/>
  <c r="EX317" i="2" s="1"/>
  <c r="DS309" i="2"/>
  <c r="DT309" i="2"/>
  <c r="DR309" i="2"/>
  <c r="DX331" i="2"/>
  <c r="ED331" i="2"/>
  <c r="DD303" i="2"/>
  <c r="EK44" i="2"/>
  <c r="BL44" i="2"/>
  <c r="EV44" i="2" s="1"/>
  <c r="EW44" i="2" s="1"/>
  <c r="EX44" i="2" s="1"/>
  <c r="EM44" i="2"/>
  <c r="EN44" i="2" s="1"/>
  <c r="CK37" i="2"/>
  <c r="P37" i="2"/>
  <c r="A37" i="2" s="1"/>
  <c r="BP40" i="4" s="1"/>
  <c r="BW37" i="2"/>
  <c r="AR37" i="2" a="1"/>
  <c r="AR37" i="2" s="1"/>
  <c r="CD37" i="2"/>
  <c r="EV72" i="2"/>
  <c r="EW72" i="2" s="1"/>
  <c r="EX72" i="2" s="1"/>
  <c r="BX199" i="2"/>
  <c r="BY199" i="2" s="1"/>
  <c r="AU199" i="2"/>
  <c r="CG36" i="2"/>
  <c r="CF36" i="2"/>
  <c r="CD36" i="2"/>
  <c r="CF224" i="2"/>
  <c r="CD224" i="2"/>
  <c r="DE299" i="2"/>
  <c r="DD299" i="2"/>
  <c r="DD283" i="2"/>
  <c r="DE283" i="2"/>
  <c r="EV135" i="2"/>
  <c r="AR95" i="2" a="1"/>
  <c r="AR95" i="2" s="1"/>
  <c r="G282" i="2"/>
  <c r="F282" i="2"/>
  <c r="CQ170" i="2"/>
  <c r="EU14" i="2"/>
  <c r="CT14" i="2"/>
  <c r="DW14" i="2"/>
  <c r="CU14" i="2"/>
  <c r="CV14" i="2"/>
  <c r="DM14" i="2"/>
  <c r="DC14" i="2" s="1"/>
  <c r="CY14" i="2"/>
  <c r="EL14" i="2"/>
  <c r="DA14" i="2"/>
  <c r="BQ14" i="2"/>
  <c r="CZ14" i="2"/>
  <c r="CW14" i="2"/>
  <c r="DG14" i="2"/>
  <c r="CS14" i="2"/>
  <c r="CR14" i="2"/>
  <c r="EV14" i="2"/>
  <c r="EW14" i="2" s="1"/>
  <c r="EX14" i="2" s="1"/>
  <c r="EJ14" i="2"/>
  <c r="DE250" i="2"/>
  <c r="DD250" i="2"/>
  <c r="CS106" i="2"/>
  <c r="DC282" i="2"/>
  <c r="CQ142" i="2"/>
  <c r="BT142" i="2"/>
  <c r="BU142" i="2" s="1"/>
  <c r="DC158" i="2"/>
  <c r="DN331" i="2"/>
  <c r="DP331" i="2" s="1"/>
  <c r="DQ331" i="2" s="1"/>
  <c r="DV331" i="2"/>
  <c r="DU331" i="2"/>
  <c r="F151" i="2"/>
  <c r="G151" i="2"/>
  <c r="DD31" i="2"/>
  <c r="DE31" i="2"/>
  <c r="EU133" i="2"/>
  <c r="EV133" i="2"/>
  <c r="BX295" i="2"/>
  <c r="BY295" i="2" s="1"/>
  <c r="AU295" i="2"/>
  <c r="AR35" i="2" a="1"/>
  <c r="AR35" i="2" s="1"/>
  <c r="CK35" i="2"/>
  <c r="P35" i="2"/>
  <c r="A35" i="2" s="1"/>
  <c r="BW35" i="2"/>
  <c r="CH35" i="2"/>
  <c r="CC35" i="2" s="1"/>
  <c r="CD35" i="2"/>
  <c r="CK71" i="2"/>
  <c r="BW71" i="2"/>
  <c r="P71" i="2"/>
  <c r="A71" i="2" s="1"/>
  <c r="CH71" i="2"/>
  <c r="CC71" i="2" s="1"/>
  <c r="AR71" i="2" a="1"/>
  <c r="AR71" i="2" s="1"/>
  <c r="CD71" i="2"/>
  <c r="BL89" i="2"/>
  <c r="EM89" i="2"/>
  <c r="EN89" i="2" s="1"/>
  <c r="EK89" i="2"/>
  <c r="CK213" i="2"/>
  <c r="CD213" i="2"/>
  <c r="P213" i="2"/>
  <c r="A213" i="2" s="1"/>
  <c r="CH213" i="2"/>
  <c r="CC213" i="2" s="1"/>
  <c r="BW213" i="2"/>
  <c r="DE282" i="2"/>
  <c r="DD282" i="2"/>
  <c r="DE246" i="2"/>
  <c r="DD246" i="2"/>
  <c r="CN322" i="2"/>
  <c r="BT322" i="2"/>
  <c r="BU322" i="2" s="1"/>
  <c r="CN245" i="2"/>
  <c r="DY201" i="2"/>
  <c r="EG201" i="2"/>
  <c r="CF225" i="2"/>
  <c r="CG225" i="2"/>
  <c r="CD225" i="2"/>
  <c r="DE164" i="2"/>
  <c r="CQ50" i="2"/>
  <c r="DE50" i="2" s="1"/>
  <c r="BT50" i="2"/>
  <c r="BU50" i="2" s="1"/>
  <c r="CH237" i="2"/>
  <c r="CC237" i="2" s="1"/>
  <c r="CD237" i="2"/>
  <c r="BW237" i="2"/>
  <c r="P237" i="2"/>
  <c r="A237" i="2" s="1"/>
  <c r="CF237" i="2"/>
  <c r="AR237" i="2" a="1"/>
  <c r="AR237" i="2" s="1"/>
  <c r="CK237" i="2"/>
  <c r="P127" i="2"/>
  <c r="A127" i="2" s="1"/>
  <c r="CK127" i="2"/>
  <c r="AR127" i="2" a="1"/>
  <c r="AR127" i="2" s="1"/>
  <c r="BW127" i="2"/>
  <c r="CD127" i="2"/>
  <c r="CH127" i="2"/>
  <c r="CC127" i="2" s="1"/>
  <c r="DC315" i="2"/>
  <c r="BX32" i="2"/>
  <c r="BY32" i="2" s="1"/>
  <c r="AU32" i="2"/>
  <c r="CG89" i="2"/>
  <c r="CF89" i="2"/>
  <c r="EU101" i="2"/>
  <c r="EV101" i="2"/>
  <c r="EW101" i="2" s="1"/>
  <c r="EX101" i="2" s="1"/>
  <c r="DD208" i="2"/>
  <c r="DE208" i="2"/>
  <c r="CD188" i="2"/>
  <c r="EV122" i="2"/>
  <c r="EW285" i="2"/>
  <c r="EX285" i="2" s="1"/>
  <c r="BQ106" i="2"/>
  <c r="EJ106" i="2"/>
  <c r="DW106" i="2"/>
  <c r="DM106" i="2"/>
  <c r="CZ106" i="2"/>
  <c r="CW106" i="2"/>
  <c r="EV106" i="2"/>
  <c r="EW106" i="2" s="1"/>
  <c r="EX106" i="2" s="1"/>
  <c r="EU106" i="2"/>
  <c r="CY106" i="2"/>
  <c r="EL106" i="2"/>
  <c r="CX106" i="2"/>
  <c r="CT106" i="2"/>
  <c r="BT184" i="2"/>
  <c r="BU184" i="2" s="1"/>
  <c r="CQ184" i="2"/>
  <c r="DE184" i="2" s="1"/>
  <c r="BX66" i="2"/>
  <c r="BY66" i="2" s="1"/>
  <c r="AU66" i="2"/>
  <c r="CT127" i="2"/>
  <c r="AR110" i="2" a="1"/>
  <c r="AR110" i="2" s="1"/>
  <c r="P110" i="2"/>
  <c r="A110" i="2" s="1"/>
  <c r="CK110" i="2"/>
  <c r="CH110" i="2"/>
  <c r="CC110" i="2" s="1"/>
  <c r="CD110" i="2"/>
  <c r="BW110" i="2"/>
  <c r="EM42" i="2"/>
  <c r="EN42" i="2" s="1"/>
  <c r="BL42" i="2"/>
  <c r="EK42" i="2"/>
  <c r="EV54" i="2"/>
  <c r="EU54" i="2"/>
  <c r="DD25" i="2"/>
  <c r="EF25" i="2" s="1"/>
  <c r="DE25" i="2"/>
  <c r="EU15" i="2"/>
  <c r="EV15" i="2"/>
  <c r="EW15" i="2" s="1"/>
  <c r="EX15" i="2" s="1"/>
  <c r="EV95" i="2"/>
  <c r="EU95" i="2"/>
  <c r="CT47" i="2"/>
  <c r="DA72" i="2"/>
  <c r="CD117" i="2"/>
  <c r="CQ228" i="2"/>
  <c r="EG167" i="2"/>
  <c r="CQ239" i="2"/>
  <c r="CQ204" i="2"/>
  <c r="BT204" i="2"/>
  <c r="BU204" i="2" s="1"/>
  <c r="DC274" i="2"/>
  <c r="EJ291" i="2"/>
  <c r="BQ291" i="2"/>
  <c r="DM291" i="2"/>
  <c r="DC291" i="2" s="1"/>
  <c r="EU291" i="2"/>
  <c r="DW291" i="2"/>
  <c r="CY291" i="2"/>
  <c r="EL291" i="2"/>
  <c r="CU291" i="2"/>
  <c r="CZ291" i="2"/>
  <c r="CS291" i="2"/>
  <c r="CW291" i="2"/>
  <c r="CT291" i="2"/>
  <c r="CV291" i="2"/>
  <c r="CX291" i="2"/>
  <c r="DA291" i="2"/>
  <c r="DG291" i="2"/>
  <c r="CR291" i="2"/>
  <c r="EV291" i="2"/>
  <c r="EW291" i="2" s="1"/>
  <c r="EX291" i="2" s="1"/>
  <c r="CU33" i="2"/>
  <c r="CR33" i="2"/>
  <c r="CV33" i="2"/>
  <c r="DW33" i="2"/>
  <c r="EL33" i="2"/>
  <c r="CX33" i="2"/>
  <c r="CY33" i="2"/>
  <c r="DA33" i="2"/>
  <c r="CZ33" i="2"/>
  <c r="EV33" i="2"/>
  <c r="EW33" i="2" s="1"/>
  <c r="EX33" i="2" s="1"/>
  <c r="EU33" i="2"/>
  <c r="CT33" i="2"/>
  <c r="DM33" i="2"/>
  <c r="DG33" i="2"/>
  <c r="BQ33" i="2"/>
  <c r="CS33" i="2"/>
  <c r="EJ33" i="2"/>
  <c r="AR126" i="2" a="1"/>
  <c r="AR126" i="2" s="1"/>
  <c r="BW126" i="2"/>
  <c r="P126" i="2"/>
  <c r="A126" i="2" s="1"/>
  <c r="CF126" i="2"/>
  <c r="CK126" i="2"/>
  <c r="CH126" i="2"/>
  <c r="CC126" i="2" s="1"/>
  <c r="CD126" i="2"/>
  <c r="P46" i="2"/>
  <c r="A46" i="2" s="1"/>
  <c r="CD46" i="2"/>
  <c r="CK46" i="2"/>
  <c r="CH46" i="2"/>
  <c r="CC46" i="2" s="1"/>
  <c r="AR46" i="2" a="1"/>
  <c r="AR46" i="2" s="1"/>
  <c r="CF46" i="2"/>
  <c r="BW46" i="2"/>
  <c r="EV68" i="2"/>
  <c r="EU68" i="2"/>
  <c r="BL108" i="2"/>
  <c r="EM108" i="2"/>
  <c r="EN108" i="2" s="1"/>
  <c r="EK108" i="2"/>
  <c r="DC193" i="2"/>
  <c r="BX276" i="2"/>
  <c r="BY276" i="2" s="1"/>
  <c r="AU276" i="2"/>
  <c r="G218" i="2"/>
  <c r="F218" i="2"/>
  <c r="CN175" i="2"/>
  <c r="DY303" i="2"/>
  <c r="EG303" i="2"/>
  <c r="DD154" i="2"/>
  <c r="BT77" i="2"/>
  <c r="BU77" i="2" s="1"/>
  <c r="CQ77" i="2"/>
  <c r="DC230" i="2"/>
  <c r="G177" i="2"/>
  <c r="F177" i="2"/>
  <c r="EK292" i="2"/>
  <c r="EM292" i="2"/>
  <c r="EN292" i="2" s="1"/>
  <c r="BL292" i="2"/>
  <c r="CF197" i="2"/>
  <c r="CD197" i="2"/>
  <c r="CG197" i="2"/>
  <c r="BL88" i="2"/>
  <c r="EK88" i="2"/>
  <c r="EM88" i="2"/>
  <c r="EN88" i="2" s="1"/>
  <c r="F289" i="2"/>
  <c r="G289" i="2"/>
  <c r="BW207" i="2"/>
  <c r="CK207" i="2"/>
  <c r="P207" i="2"/>
  <c r="A207" i="2" s="1"/>
  <c r="CH207" i="2"/>
  <c r="CC207" i="2" s="1"/>
  <c r="CD207" i="2"/>
  <c r="CF207" i="2"/>
  <c r="EV58" i="2"/>
  <c r="EW58" i="2" s="1"/>
  <c r="EX58" i="2" s="1"/>
  <c r="EU58" i="2"/>
  <c r="EK264" i="2"/>
  <c r="EM264" i="2"/>
  <c r="EN264" i="2" s="1"/>
  <c r="BL264" i="2"/>
  <c r="CV47" i="2"/>
  <c r="EV28" i="2"/>
  <c r="EU28" i="2"/>
  <c r="EV17" i="2"/>
  <c r="EW17" i="2" s="1"/>
  <c r="EX17" i="2" s="1"/>
  <c r="EU17" i="2"/>
  <c r="EU90" i="2"/>
  <c r="EV90" i="2"/>
  <c r="EW90" i="2" s="1"/>
  <c r="EX90" i="2" s="1"/>
  <c r="DE99" i="2"/>
  <c r="DD99" i="2"/>
  <c r="EU223" i="2"/>
  <c r="CN91" i="2"/>
  <c r="DE91" i="2" s="1"/>
  <c r="BT91" i="2"/>
  <c r="BU91" i="2" s="1"/>
  <c r="EW91" i="2"/>
  <c r="EX91" i="2" s="1"/>
  <c r="BL261" i="2"/>
  <c r="EK261" i="2"/>
  <c r="EM261" i="2"/>
  <c r="EN261" i="2" s="1"/>
  <c r="CN336" i="2"/>
  <c r="AR54" i="2" a="1"/>
  <c r="AR54" i="2" s="1"/>
  <c r="ED303" i="2"/>
  <c r="DX303" i="2"/>
  <c r="DD151" i="2"/>
  <c r="DE90" i="2"/>
  <c r="CQ230" i="2"/>
  <c r="BT230" i="2"/>
  <c r="BU230" i="2" s="1"/>
  <c r="DU176" i="2"/>
  <c r="DF176" i="2"/>
  <c r="EF176" i="2"/>
  <c r="DN176" i="2"/>
  <c r="DP176" i="2" s="1"/>
  <c r="DQ176" i="2" s="1"/>
  <c r="DV176" i="2"/>
  <c r="DE209" i="2"/>
  <c r="DD209" i="2"/>
  <c r="AB53" i="19"/>
  <c r="EV5" i="2"/>
  <c r="EV111" i="2"/>
  <c r="EW111" i="2" s="1"/>
  <c r="EX111" i="2" s="1"/>
  <c r="EU111" i="2"/>
  <c r="F335" i="2"/>
  <c r="G335" i="2"/>
  <c r="F50" i="2"/>
  <c r="G50" i="2"/>
  <c r="BL197" i="2"/>
  <c r="EK197" i="2"/>
  <c r="EM197" i="2"/>
  <c r="EN197" i="2" s="1"/>
  <c r="G100" i="2"/>
  <c r="F100" i="2"/>
  <c r="BW268" i="2"/>
  <c r="G324" i="2"/>
  <c r="F324" i="2"/>
  <c r="CW33" i="2"/>
  <c r="CV106" i="2"/>
  <c r="EM311" i="2"/>
  <c r="EN311" i="2" s="1"/>
  <c r="EK311" i="2"/>
  <c r="BL311" i="2"/>
  <c r="DG342" i="2"/>
  <c r="BQ342" i="2"/>
  <c r="EJ342" i="2"/>
  <c r="DW342" i="2"/>
  <c r="DM342" i="2"/>
  <c r="EU342" i="2"/>
  <c r="CV342" i="2"/>
  <c r="CU342" i="2"/>
  <c r="CX342" i="2"/>
  <c r="EL342" i="2"/>
  <c r="CT342" i="2"/>
  <c r="CZ342" i="2"/>
  <c r="CS342" i="2"/>
  <c r="CR342" i="2"/>
  <c r="DA342" i="2"/>
  <c r="CY342" i="2"/>
  <c r="EV342" i="2"/>
  <c r="EW342" i="2" s="1"/>
  <c r="EX342" i="2" s="1"/>
  <c r="CW342" i="2"/>
  <c r="BT265" i="2"/>
  <c r="BU265" i="2" s="1"/>
  <c r="CQ265" i="2"/>
  <c r="DE265" i="2" s="1"/>
  <c r="AU193" i="2"/>
  <c r="BX193" i="2"/>
  <c r="BY193" i="2" s="1"/>
  <c r="EU85" i="2"/>
  <c r="EV85" i="2"/>
  <c r="EW85" i="2" s="1"/>
  <c r="EX85" i="2" s="1"/>
  <c r="BW251" i="2"/>
  <c r="EU185" i="2"/>
  <c r="EV64" i="2"/>
  <c r="EW64" i="2" s="1"/>
  <c r="EX64" i="2" s="1"/>
  <c r="EG239" i="2"/>
  <c r="DY260" i="2"/>
  <c r="EG260" i="2"/>
  <c r="DD302" i="2"/>
  <c r="EG282" i="2"/>
  <c r="EF105" i="2"/>
  <c r="DN105" i="2"/>
  <c r="DP105" i="2" s="1"/>
  <c r="DQ105" i="2" s="1"/>
  <c r="DF105" i="2"/>
  <c r="DV105" i="2"/>
  <c r="DU105" i="2"/>
  <c r="DY77" i="2"/>
  <c r="EG77" i="2"/>
  <c r="CH239" i="2"/>
  <c r="CC239" i="2" s="1"/>
  <c r="P239" i="2"/>
  <c r="A239" i="2" s="1"/>
  <c r="CK239" i="2"/>
  <c r="BW239" i="2"/>
  <c r="CD239" i="2"/>
  <c r="AR239" i="2" a="1"/>
  <c r="AR239" i="2" s="1"/>
  <c r="CF239" i="2"/>
  <c r="Z53" i="19"/>
  <c r="AC53" i="19" s="1" a="1"/>
  <c r="AC53" i="19" s="1"/>
  <c r="CY47" i="2"/>
  <c r="P68" i="2"/>
  <c r="A68" i="2" s="1"/>
  <c r="CF68" i="2"/>
  <c r="CD68" i="2"/>
  <c r="AR68" i="2" a="1"/>
  <c r="AR68" i="2" s="1"/>
  <c r="CK68" i="2"/>
  <c r="CH68" i="2"/>
  <c r="CC68" i="2" s="1"/>
  <c r="CF37" i="2"/>
  <c r="CG37" i="2"/>
  <c r="CQ323" i="2"/>
  <c r="DD323" i="2" s="1"/>
  <c r="BT323" i="2"/>
  <c r="BU323" i="2" s="1"/>
  <c r="CG33" i="2"/>
  <c r="CF33" i="2"/>
  <c r="CD33" i="2"/>
  <c r="DM336" i="2"/>
  <c r="EJ336" i="2"/>
  <c r="DW336" i="2"/>
  <c r="BQ336" i="2"/>
  <c r="CR336" i="2"/>
  <c r="EU336" i="2"/>
  <c r="DG336" i="2"/>
  <c r="CV336" i="2"/>
  <c r="CX336" i="2"/>
  <c r="CS336" i="2"/>
  <c r="CY336" i="2"/>
  <c r="EL336" i="2"/>
  <c r="CW336" i="2"/>
  <c r="CU336" i="2"/>
  <c r="CZ336" i="2"/>
  <c r="CT336" i="2"/>
  <c r="DA336" i="2"/>
  <c r="EV336" i="2"/>
  <c r="EW336" i="2" s="1"/>
  <c r="EX336" i="2" s="1"/>
  <c r="CD311" i="2"/>
  <c r="CG311" i="2"/>
  <c r="CF311" i="2"/>
  <c r="AR228" i="2" a="1"/>
  <c r="AR228" i="2" s="1"/>
  <c r="BX235" i="2"/>
  <c r="BY235" i="2" s="1"/>
  <c r="AU235" i="2"/>
  <c r="CF127" i="2"/>
  <c r="DC239" i="2"/>
  <c r="DX309" i="2"/>
  <c r="DZ309" i="2" s="1"/>
  <c r="EA309" i="2" s="1"/>
  <c r="ED309" i="2"/>
  <c r="DD219" i="2"/>
  <c r="BL199" i="2"/>
  <c r="EK199" i="2"/>
  <c r="EM199" i="2"/>
  <c r="EN199" i="2" s="1"/>
  <c r="CF189" i="2"/>
  <c r="CD189" i="2"/>
  <c r="CU27" i="2"/>
  <c r="CR27" i="2"/>
  <c r="CZ27" i="2"/>
  <c r="CX27" i="2"/>
  <c r="DW27" i="2"/>
  <c r="DG27" i="2"/>
  <c r="EL27" i="2"/>
  <c r="DM27" i="2"/>
  <c r="CY27" i="2"/>
  <c r="BQ27" i="2"/>
  <c r="CS27" i="2"/>
  <c r="CT27" i="2"/>
  <c r="CW27" i="2"/>
  <c r="EJ27" i="2"/>
  <c r="EU27" i="2"/>
  <c r="DE153" i="2"/>
  <c r="DD153" i="2"/>
  <c r="EK324" i="2"/>
  <c r="BL324" i="2"/>
  <c r="EM324" i="2"/>
  <c r="EN324" i="2" s="1"/>
  <c r="CD263" i="2"/>
  <c r="CF263" i="2"/>
  <c r="P263" i="2"/>
  <c r="A263" i="2" s="1"/>
  <c r="G263" i="2" s="1"/>
  <c r="BW263" i="2"/>
  <c r="CK263" i="2"/>
  <c r="AR263" i="2" a="1"/>
  <c r="AR263" i="2" s="1"/>
  <c r="BX263" i="2" s="1"/>
  <c r="BY263" i="2" s="1"/>
  <c r="CH263" i="2"/>
  <c r="CC263" i="2" s="1"/>
  <c r="DM169" i="2"/>
  <c r="DC169" i="2" s="1"/>
  <c r="CT169" i="2"/>
  <c r="CV169" i="2"/>
  <c r="CS169" i="2"/>
  <c r="CU169" i="2"/>
  <c r="DG169" i="2"/>
  <c r="DY169" i="2" s="1"/>
  <c r="CR169" i="2"/>
  <c r="CY169" i="2"/>
  <c r="DA169" i="2"/>
  <c r="EV169" i="2"/>
  <c r="EW169" i="2" s="1"/>
  <c r="EX169" i="2" s="1"/>
  <c r="CZ169" i="2"/>
  <c r="CW169" i="2"/>
  <c r="CX169" i="2"/>
  <c r="EL169" i="2"/>
  <c r="BX120" i="2"/>
  <c r="BY120" i="2" s="1"/>
  <c r="AU120" i="2"/>
  <c r="BL308" i="2"/>
  <c r="EK308" i="2"/>
  <c r="EM308" i="2"/>
  <c r="EN308" i="2" s="1"/>
  <c r="F288" i="2"/>
  <c r="G288" i="2"/>
  <c r="CV72" i="2"/>
  <c r="EU41" i="2"/>
  <c r="EV41" i="2"/>
  <c r="EW41" i="2" s="1"/>
  <c r="EX41" i="2" s="1"/>
  <c r="AR294" i="2" a="1"/>
  <c r="AR294" i="2" s="1"/>
  <c r="AR337" i="2" a="1"/>
  <c r="AR337" i="2" s="1"/>
  <c r="CK337" i="2"/>
  <c r="CF337" i="2"/>
  <c r="P337" i="2"/>
  <c r="A337" i="2" s="1"/>
  <c r="CH337" i="2"/>
  <c r="CC337" i="2" s="1"/>
  <c r="CD337" i="2"/>
  <c r="BW337" i="2"/>
  <c r="CF71" i="2"/>
  <c r="BW256" i="2"/>
  <c r="BX223" i="2"/>
  <c r="BY223" i="2" s="1"/>
  <c r="AU223" i="2"/>
  <c r="CN223" i="2" s="1"/>
  <c r="CR86" i="2"/>
  <c r="CN233" i="2"/>
  <c r="BT233" i="2"/>
  <c r="BU233" i="2" s="1"/>
  <c r="DE92" i="2"/>
  <c r="EW142" i="2"/>
  <c r="EX142" i="2" s="1"/>
  <c r="DC204" i="2"/>
  <c r="DR52" i="2"/>
  <c r="DS52" i="2"/>
  <c r="DT52" i="2"/>
  <c r="DW5" i="2"/>
  <c r="DA5" i="2"/>
  <c r="EU5" i="2"/>
  <c r="EJ5" i="2"/>
  <c r="EL5" i="2"/>
  <c r="CW5" i="2"/>
  <c r="CR5" i="2"/>
  <c r="CS5" i="2"/>
  <c r="CU5" i="2"/>
  <c r="DM5" i="2"/>
  <c r="CZ5" i="2"/>
  <c r="CV5" i="2"/>
  <c r="BQ5" i="2"/>
  <c r="CT5" i="2"/>
  <c r="CX5" i="2"/>
  <c r="CY5" i="2"/>
  <c r="DG5" i="2"/>
  <c r="DD111" i="2"/>
  <c r="EF111" i="2" s="1"/>
  <c r="CG330" i="2"/>
  <c r="EJ203" i="2"/>
  <c r="DW203" i="2"/>
  <c r="DM203" i="2"/>
  <c r="DC203" i="2" s="1"/>
  <c r="CW203" i="2"/>
  <c r="DA203" i="2"/>
  <c r="CZ203" i="2"/>
  <c r="BQ203" i="2"/>
  <c r="CQ203" i="2" s="1"/>
  <c r="CR203" i="2"/>
  <c r="EU203" i="2"/>
  <c r="CY203" i="2"/>
  <c r="CV203" i="2"/>
  <c r="CT203" i="2"/>
  <c r="CU203" i="2"/>
  <c r="CS203" i="2"/>
  <c r="EL203" i="2"/>
  <c r="CX203" i="2"/>
  <c r="EV203" i="2"/>
  <c r="DG203" i="2"/>
  <c r="BT157" i="2"/>
  <c r="BU157" i="2" s="1"/>
  <c r="CQ157" i="2"/>
  <c r="EV137" i="2"/>
  <c r="EW137" i="2" s="1"/>
  <c r="EX137" i="2" s="1"/>
  <c r="EU137" i="2"/>
  <c r="EK177" i="2"/>
  <c r="BL177" i="2"/>
  <c r="EM177" i="2"/>
  <c r="EN177" i="2" s="1"/>
  <c r="CG69" i="2"/>
  <c r="CF69" i="2"/>
  <c r="CD69" i="2"/>
  <c r="F277" i="2"/>
  <c r="G277" i="2"/>
  <c r="CG260" i="2"/>
  <c r="DE260" i="2" s="1"/>
  <c r="CD260" i="2"/>
  <c r="CF260" i="2"/>
  <c r="EJ288" i="2"/>
  <c r="CV288" i="2"/>
  <c r="CY288" i="2"/>
  <c r="DA288" i="2"/>
  <c r="EL288" i="2"/>
  <c r="CT288" i="2"/>
  <c r="DG288" i="2"/>
  <c r="DW288" i="2"/>
  <c r="CR288" i="2"/>
  <c r="CX288" i="2"/>
  <c r="CS288" i="2"/>
  <c r="DM288" i="2"/>
  <c r="CW288" i="2"/>
  <c r="EU288" i="2"/>
  <c r="CZ288" i="2"/>
  <c r="CU288" i="2"/>
  <c r="BQ288" i="2"/>
  <c r="DC323" i="2"/>
  <c r="EG50" i="2"/>
  <c r="DY50" i="2"/>
  <c r="G279" i="2"/>
  <c r="F279" i="2"/>
  <c r="CW72" i="2"/>
  <c r="BL270" i="2"/>
  <c r="EK270" i="2"/>
  <c r="EM270" i="2"/>
  <c r="EN270" i="2" s="1"/>
  <c r="EM40" i="2"/>
  <c r="EN40" i="2" s="1"/>
  <c r="EK40" i="2"/>
  <c r="BL40" i="2"/>
  <c r="EV40" i="2" s="1"/>
  <c r="EW40" i="2" s="1"/>
  <c r="EX40" i="2" s="1"/>
  <c r="CQ284" i="2"/>
  <c r="AU42" i="2"/>
  <c r="BX42" i="2"/>
  <c r="BY42" i="2" s="1"/>
  <c r="EG111" i="2"/>
  <c r="DD265" i="2"/>
  <c r="G241" i="2"/>
  <c r="F241" i="2"/>
  <c r="CF124" i="2"/>
  <c r="P124" i="2"/>
  <c r="A124" i="2" s="1"/>
  <c r="BW124" i="2"/>
  <c r="CD124" i="2"/>
  <c r="CK124" i="2"/>
  <c r="CH124" i="2"/>
  <c r="CC124" i="2" s="1"/>
  <c r="AR124" i="2" a="1"/>
  <c r="AR124" i="2" s="1"/>
  <c r="AU98" i="2"/>
  <c r="BX98" i="2"/>
  <c r="BY98" i="2" s="1"/>
  <c r="G302" i="2"/>
  <c r="F302" i="2"/>
  <c r="DG106" i="2"/>
  <c r="EM188" i="2"/>
  <c r="EN188" i="2" s="1"/>
  <c r="EK188" i="2"/>
  <c r="BL188" i="2"/>
  <c r="CF168" i="2"/>
  <c r="AR168" i="2" a="1"/>
  <c r="AR168" i="2" s="1"/>
  <c r="CD168" i="2"/>
  <c r="CK168" i="2"/>
  <c r="P168" i="2"/>
  <c r="A168" i="2" s="1"/>
  <c r="BW168" i="2"/>
  <c r="CH168" i="2"/>
  <c r="CC168" i="2" s="1"/>
  <c r="G232" i="2"/>
  <c r="F232" i="2"/>
  <c r="EU225" i="2"/>
  <c r="BQ225" i="2"/>
  <c r="DW225" i="2"/>
  <c r="DM225" i="2"/>
  <c r="EJ225" i="2"/>
  <c r="CS225" i="2"/>
  <c r="CV225" i="2"/>
  <c r="CW225" i="2"/>
  <c r="DG225" i="2"/>
  <c r="CX225" i="2"/>
  <c r="CU225" i="2"/>
  <c r="CT225" i="2"/>
  <c r="CZ225" i="2"/>
  <c r="EL225" i="2"/>
  <c r="EV225" i="2"/>
  <c r="EW225" i="2" s="1"/>
  <c r="EX225" i="2" s="1"/>
  <c r="DA225" i="2"/>
  <c r="CR225" i="2"/>
  <c r="CY225" i="2"/>
  <c r="F248" i="2"/>
  <c r="G248" i="2"/>
  <c r="F307" i="2"/>
  <c r="G307" i="2"/>
  <c r="BX3" i="2"/>
  <c r="BY3" i="2" s="1"/>
  <c r="AU3" i="2"/>
  <c r="DY15" i="2"/>
  <c r="EG15" i="2"/>
  <c r="CQ17" i="2"/>
  <c r="BT17" i="2"/>
  <c r="BU17" i="2" s="1"/>
  <c r="DD39" i="2"/>
  <c r="DE39" i="2"/>
  <c r="T18" i="4"/>
  <c r="BP7" i="4"/>
  <c r="EC176" i="2"/>
  <c r="EE176" i="2"/>
  <c r="EB176" i="2"/>
  <c r="BP8" i="4"/>
  <c r="BP37" i="4"/>
  <c r="AU221" i="2"/>
  <c r="BX221" i="2"/>
  <c r="BY221" i="2" s="1"/>
  <c r="BX20" i="2"/>
  <c r="BY20" i="2" s="1"/>
  <c r="AU20" i="2"/>
  <c r="BQ198" i="2"/>
  <c r="EJ198" i="2"/>
  <c r="DM198" i="2"/>
  <c r="CW198" i="2"/>
  <c r="DW198" i="2"/>
  <c r="CU198" i="2"/>
  <c r="EU198" i="2"/>
  <c r="CV198" i="2"/>
  <c r="CT198" i="2"/>
  <c r="DA198" i="2"/>
  <c r="EL198" i="2"/>
  <c r="CS198" i="2"/>
  <c r="CR198" i="2"/>
  <c r="EV198" i="2"/>
  <c r="EW198" i="2" s="1"/>
  <c r="EX198" i="2" s="1"/>
  <c r="CX198" i="2"/>
  <c r="DG198" i="2"/>
  <c r="CY198" i="2"/>
  <c r="CZ198" i="2"/>
  <c r="EG51" i="2"/>
  <c r="DY51" i="2"/>
  <c r="AU301" i="2"/>
  <c r="BX301" i="2"/>
  <c r="BY301" i="2" s="1"/>
  <c r="CH203" i="2"/>
  <c r="CC203" i="2" s="1"/>
  <c r="CK203" i="2"/>
  <c r="BW203" i="2"/>
  <c r="P203" i="2"/>
  <c r="A203" i="2" s="1"/>
  <c r="AR203" i="2" a="1"/>
  <c r="AR203" i="2" s="1"/>
  <c r="CF203" i="2"/>
  <c r="CD203" i="2"/>
  <c r="BT149" i="2"/>
  <c r="BU149" i="2" s="1"/>
  <c r="CQ149" i="2"/>
  <c r="CQ313" i="2"/>
  <c r="BT313" i="2"/>
  <c r="BU313" i="2" s="1"/>
  <c r="EM57" i="2"/>
  <c r="EN57" i="2" s="1"/>
  <c r="EK57" i="2"/>
  <c r="BL57" i="2"/>
  <c r="EG126" i="2"/>
  <c r="CN84" i="2"/>
  <c r="EW84" i="2"/>
  <c r="EX84" i="2" s="1"/>
  <c r="BT84" i="2"/>
  <c r="BU84" i="2" s="1"/>
  <c r="CN138" i="2"/>
  <c r="EW138" i="2"/>
  <c r="EX138" i="2" s="1"/>
  <c r="BT138" i="2"/>
  <c r="BU138" i="2" s="1"/>
  <c r="CZ37" i="2"/>
  <c r="DW37" i="2"/>
  <c r="CV37" i="2"/>
  <c r="CY37" i="2"/>
  <c r="DM37" i="2"/>
  <c r="BQ37" i="2"/>
  <c r="EL37" i="2"/>
  <c r="DG37" i="2"/>
  <c r="CU37" i="2"/>
  <c r="CT37" i="2"/>
  <c r="CW37" i="2"/>
  <c r="CR37" i="2"/>
  <c r="EJ37" i="2"/>
  <c r="DA37" i="2"/>
  <c r="CX37" i="2"/>
  <c r="EU37" i="2"/>
  <c r="EV37" i="2"/>
  <c r="CS37" i="2"/>
  <c r="AU210" i="2"/>
  <c r="BX210" i="2"/>
  <c r="BY210" i="2" s="1"/>
  <c r="F75" i="2"/>
  <c r="G75" i="2"/>
  <c r="P173" i="2"/>
  <c r="A173" i="2" s="1"/>
  <c r="CK173" i="2"/>
  <c r="AR173" i="2" a="1"/>
  <c r="AR173" i="2" s="1"/>
  <c r="CF173" i="2"/>
  <c r="BW173" i="2"/>
  <c r="CH173" i="2"/>
  <c r="CC173" i="2" s="1"/>
  <c r="CD173" i="2"/>
  <c r="DD50" i="2"/>
  <c r="G109" i="2"/>
  <c r="F109" i="2"/>
  <c r="CQ169" i="2"/>
  <c r="DD169" i="2" s="1"/>
  <c r="EF169" i="2" s="1"/>
  <c r="BT169" i="2"/>
  <c r="BU169" i="2" s="1"/>
  <c r="DD12" i="2"/>
  <c r="DE12" i="2"/>
  <c r="BQ305" i="2"/>
  <c r="DW305" i="2"/>
  <c r="EJ305" i="2"/>
  <c r="DM305" i="2"/>
  <c r="DG305" i="2"/>
  <c r="CT305" i="2"/>
  <c r="DA305" i="2"/>
  <c r="EU305" i="2"/>
  <c r="CX305" i="2"/>
  <c r="CU305" i="2"/>
  <c r="CR305" i="2"/>
  <c r="CW305" i="2"/>
  <c r="CS305" i="2"/>
  <c r="CV305" i="2"/>
  <c r="EV305" i="2"/>
  <c r="EW305" i="2" s="1"/>
  <c r="EX305" i="2" s="1"/>
  <c r="CZ305" i="2"/>
  <c r="EL305" i="2"/>
  <c r="CY305" i="2"/>
  <c r="EG251" i="2"/>
  <c r="DE281" i="2"/>
  <c r="DD281" i="2"/>
  <c r="DC265" i="2"/>
  <c r="DV265" i="2"/>
  <c r="EG17" i="2"/>
  <c r="DY17" i="2"/>
  <c r="DD285" i="2"/>
  <c r="DE285" i="2"/>
  <c r="ED151" i="2"/>
  <c r="DX151" i="2"/>
  <c r="DZ151" i="2" s="1"/>
  <c r="EA151" i="2" s="1"/>
  <c r="DD97" i="2"/>
  <c r="DE97" i="2"/>
  <c r="DD162" i="2"/>
  <c r="DE162" i="2"/>
  <c r="EW9" i="2"/>
  <c r="EX9" i="2" s="1"/>
  <c r="BT9" i="2"/>
  <c r="BU9" i="2" s="1"/>
  <c r="CN9" i="2"/>
  <c r="BL139" i="2"/>
  <c r="EK139" i="2"/>
  <c r="EM139" i="2"/>
  <c r="EN139" i="2" s="1"/>
  <c r="DC313" i="2"/>
  <c r="DD59" i="2"/>
  <c r="DE59" i="2"/>
  <c r="CK102" i="2"/>
  <c r="BW102" i="2"/>
  <c r="P102" i="2"/>
  <c r="A102" i="2" s="1"/>
  <c r="CH102" i="2"/>
  <c r="CC102" i="2" s="1"/>
  <c r="CF102" i="2"/>
  <c r="CD102" i="2"/>
  <c r="AR102" i="2" a="1"/>
  <c r="AR102" i="2" s="1"/>
  <c r="AU122" i="2"/>
  <c r="BX122" i="2"/>
  <c r="BY122" i="2" s="1"/>
  <c r="CN229" i="2"/>
  <c r="CN252" i="2"/>
  <c r="BT252" i="2"/>
  <c r="BU252" i="2" s="1"/>
  <c r="EW252" i="2"/>
  <c r="EX252" i="2" s="1"/>
  <c r="CN21" i="2"/>
  <c r="DD56" i="2"/>
  <c r="DE56" i="2"/>
  <c r="EJ248" i="2"/>
  <c r="BQ248" i="2"/>
  <c r="CW248" i="2"/>
  <c r="CY248" i="2"/>
  <c r="DA248" i="2"/>
  <c r="CR248" i="2"/>
  <c r="CX248" i="2"/>
  <c r="EL248" i="2"/>
  <c r="CS248" i="2"/>
  <c r="DM248" i="2"/>
  <c r="CT248" i="2"/>
  <c r="CV248" i="2"/>
  <c r="CU248" i="2"/>
  <c r="DG248" i="2"/>
  <c r="CZ248" i="2"/>
  <c r="EV248" i="2"/>
  <c r="EW248" i="2" s="1"/>
  <c r="EX248" i="2" s="1"/>
  <c r="DW248" i="2"/>
  <c r="EU248" i="2"/>
  <c r="CF291" i="2"/>
  <c r="CG291" i="2"/>
  <c r="EJ191" i="2"/>
  <c r="DG191" i="2"/>
  <c r="EU191" i="2"/>
  <c r="EV191" i="2"/>
  <c r="EW191" i="2" s="1"/>
  <c r="EX191" i="2" s="1"/>
  <c r="CY191" i="2"/>
  <c r="DA191" i="2"/>
  <c r="CS191" i="2"/>
  <c r="EL191" i="2"/>
  <c r="CT191" i="2"/>
  <c r="CV191" i="2"/>
  <c r="CU191" i="2"/>
  <c r="CZ191" i="2"/>
  <c r="CR191" i="2"/>
  <c r="DM191" i="2"/>
  <c r="CX191" i="2"/>
  <c r="BQ191" i="2"/>
  <c r="DW191" i="2"/>
  <c r="CW191" i="2"/>
  <c r="F4" i="2"/>
  <c r="G4" i="2"/>
  <c r="T49" i="4"/>
  <c r="BP25" i="4"/>
  <c r="T47" i="4"/>
  <c r="T56" i="4"/>
  <c r="W56" i="4" s="1"/>
  <c r="T53" i="4"/>
  <c r="T68" i="4"/>
  <c r="T16" i="4"/>
  <c r="BP17" i="4"/>
  <c r="BP15" i="4"/>
  <c r="T23" i="4"/>
  <c r="T29" i="4"/>
  <c r="T34" i="4"/>
  <c r="W34" i="4" s="1"/>
  <c r="Y34" i="4" s="1"/>
  <c r="BP18" i="4"/>
  <c r="BP12" i="4"/>
  <c r="T14" i="4"/>
  <c r="BP10" i="4"/>
  <c r="T48" i="4"/>
  <c r="BP16" i="4"/>
  <c r="BP36" i="4"/>
  <c r="BP21" i="4"/>
  <c r="BP35" i="4"/>
  <c r="BP6" i="4"/>
  <c r="T55" i="4"/>
  <c r="BP9" i="4"/>
  <c r="BP53" i="4"/>
  <c r="BP13" i="4"/>
  <c r="BP11" i="4"/>
  <c r="BP59" i="4"/>
  <c r="T11" i="4"/>
  <c r="F180" i="2"/>
  <c r="G180" i="2"/>
  <c r="DD269" i="2"/>
  <c r="DE269" i="2"/>
  <c r="DE15" i="2"/>
  <c r="DD15" i="2"/>
  <c r="DE190" i="2"/>
  <c r="DD190" i="2"/>
  <c r="CQ51" i="2"/>
  <c r="BT51" i="2"/>
  <c r="BU51" i="2" s="1"/>
  <c r="BP33" i="4"/>
  <c r="T33" i="4"/>
  <c r="W33" i="4" s="1"/>
  <c r="Y33" i="4" s="1"/>
  <c r="BP20" i="4"/>
  <c r="BP49" i="4"/>
  <c r="T8" i="4"/>
  <c r="W8" i="4" s="1"/>
  <c r="Y8" i="4" s="1"/>
  <c r="AU328" i="2"/>
  <c r="BX328" i="2"/>
  <c r="BY328" i="2" s="1"/>
  <c r="DD280" i="2"/>
  <c r="DE280" i="2"/>
  <c r="CQ126" i="2"/>
  <c r="EG312" i="2"/>
  <c r="DY312" i="2"/>
  <c r="AU289" i="2"/>
  <c r="BX289" i="2"/>
  <c r="BY289" i="2" s="1"/>
  <c r="EK202" i="2"/>
  <c r="BL202" i="2"/>
  <c r="EM202" i="2"/>
  <c r="EN202" i="2" s="1"/>
  <c r="G12" i="2"/>
  <c r="F12" i="2"/>
  <c r="P174" i="2"/>
  <c r="A174" i="2" s="1"/>
  <c r="CF174" i="2"/>
  <c r="CH174" i="2"/>
  <c r="CC174" i="2" s="1"/>
  <c r="CD174" i="2"/>
  <c r="CK174" i="2"/>
  <c r="BW174" i="2"/>
  <c r="AR174" i="2" a="1"/>
  <c r="AR174" i="2" s="1"/>
  <c r="DD293" i="2"/>
  <c r="DE293" i="2"/>
  <c r="CQ114" i="2"/>
  <c r="DE114" i="2" s="1"/>
  <c r="BT114" i="2"/>
  <c r="BU114" i="2" s="1"/>
  <c r="BQ182" i="2"/>
  <c r="DW182" i="2"/>
  <c r="EJ182" i="2"/>
  <c r="DM182" i="2"/>
  <c r="CY182" i="2"/>
  <c r="DA182" i="2"/>
  <c r="CU182" i="2"/>
  <c r="CW182" i="2"/>
  <c r="CZ182" i="2"/>
  <c r="CT182" i="2"/>
  <c r="CX182" i="2"/>
  <c r="CS182" i="2"/>
  <c r="EL182" i="2"/>
  <c r="EU182" i="2"/>
  <c r="CV182" i="2"/>
  <c r="CR182" i="2"/>
  <c r="DG182" i="2"/>
  <c r="EV182" i="2"/>
  <c r="EW182" i="2" s="1"/>
  <c r="EX182" i="2" s="1"/>
  <c r="DD186" i="2"/>
  <c r="DE186" i="2"/>
  <c r="CQ107" i="2"/>
  <c r="CQ143" i="2"/>
  <c r="BT143" i="2"/>
  <c r="BU143" i="2" s="1"/>
  <c r="DC51" i="2"/>
  <c r="DC60" i="2"/>
  <c r="BP55" i="4"/>
  <c r="BP41" i="4"/>
  <c r="BP14" i="4"/>
  <c r="DD82" i="2"/>
  <c r="DE82" i="2"/>
  <c r="EL117" i="2"/>
  <c r="CR117" i="2"/>
  <c r="DW117" i="2"/>
  <c r="DM117" i="2"/>
  <c r="DG117" i="2"/>
  <c r="CV117" i="2"/>
  <c r="CT117" i="2"/>
  <c r="CW117" i="2"/>
  <c r="EJ117" i="2"/>
  <c r="CZ117" i="2"/>
  <c r="CS117" i="2"/>
  <c r="DA117" i="2"/>
  <c r="CY117" i="2"/>
  <c r="EU117" i="2"/>
  <c r="EV117" i="2"/>
  <c r="EW117" i="2" s="1"/>
  <c r="EX117" i="2" s="1"/>
  <c r="CX117" i="2"/>
  <c r="CU117" i="2"/>
  <c r="BQ117" i="2"/>
  <c r="DE6" i="2"/>
  <c r="DD6" i="2"/>
  <c r="G82" i="2"/>
  <c r="F82" i="2"/>
  <c r="CN133" i="2"/>
  <c r="BT133" i="2"/>
  <c r="BU133" i="2" s="1"/>
  <c r="EW133" i="2"/>
  <c r="EX133" i="2" s="1"/>
  <c r="T60" i="4"/>
  <c r="DE306" i="2"/>
  <c r="DD306" i="2"/>
  <c r="BX155" i="2"/>
  <c r="BY155" i="2" s="1"/>
  <c r="AU155" i="2"/>
  <c r="G64" i="2"/>
  <c r="F64" i="2"/>
  <c r="CF57" i="2"/>
  <c r="CD57" i="2"/>
  <c r="CG57" i="2"/>
  <c r="G258" i="2"/>
  <c r="F258" i="2"/>
  <c r="P166" i="2"/>
  <c r="A166" i="2" s="1"/>
  <c r="BP84" i="4" s="1"/>
  <c r="CD166" i="2"/>
  <c r="CK166" i="2"/>
  <c r="CF166" i="2"/>
  <c r="CH166" i="2"/>
  <c r="CC166" i="2" s="1"/>
  <c r="BW166" i="2"/>
  <c r="AR166" i="2" a="1"/>
  <c r="AR166" i="2" s="1"/>
  <c r="DE266" i="2"/>
  <c r="DD266" i="2"/>
  <c r="CW7" i="2"/>
  <c r="EU7" i="2"/>
  <c r="EV7" i="2"/>
  <c r="EW7" i="2" s="1"/>
  <c r="EX7" i="2" s="1"/>
  <c r="CV7" i="2"/>
  <c r="CY7" i="2"/>
  <c r="CT7" i="2"/>
  <c r="CX7" i="2"/>
  <c r="BQ7" i="2"/>
  <c r="EL7" i="2"/>
  <c r="CZ7" i="2"/>
  <c r="EJ7" i="2"/>
  <c r="CR7" i="2"/>
  <c r="DM7" i="2"/>
  <c r="CS7" i="2"/>
  <c r="CU7" i="2"/>
  <c r="DG7" i="2"/>
  <c r="DW7" i="2"/>
  <c r="DA7" i="2"/>
  <c r="CQ28" i="2"/>
  <c r="CQ118" i="2"/>
  <c r="BT118" i="2"/>
  <c r="BU118" i="2" s="1"/>
  <c r="DY60" i="2"/>
  <c r="EG60" i="2"/>
  <c r="EG189" i="2"/>
  <c r="DY189" i="2"/>
  <c r="BP24" i="4"/>
  <c r="T30" i="4"/>
  <c r="W30" i="4" s="1"/>
  <c r="Y30" i="4" s="1"/>
  <c r="BP79" i="4"/>
  <c r="T64" i="4"/>
  <c r="W64" i="4" s="1"/>
  <c r="Y64" i="4" s="1"/>
  <c r="T17" i="4"/>
  <c r="F86" i="2" l="1"/>
  <c r="G86" i="2"/>
  <c r="BX10" i="2"/>
  <c r="BY10" i="2" s="1"/>
  <c r="AU10" i="2"/>
  <c r="F112" i="2"/>
  <c r="G112" i="2"/>
  <c r="BQ294" i="2"/>
  <c r="CQ294" i="2" s="1"/>
  <c r="DM294" i="2"/>
  <c r="DC294" i="2" s="1"/>
  <c r="CZ294" i="2"/>
  <c r="DA294" i="2"/>
  <c r="DW294" i="2"/>
  <c r="DG294" i="2"/>
  <c r="CX294" i="2"/>
  <c r="CR294" i="2"/>
  <c r="CY294" i="2"/>
  <c r="EV294" i="2"/>
  <c r="EJ294" i="2"/>
  <c r="CW294" i="2"/>
  <c r="CU294" i="2"/>
  <c r="CS294" i="2"/>
  <c r="EL294" i="2"/>
  <c r="CV294" i="2"/>
  <c r="CT294" i="2"/>
  <c r="EU294" i="2"/>
  <c r="G58" i="2"/>
  <c r="F58" i="2"/>
  <c r="BX335" i="2"/>
  <c r="BY335" i="2" s="1"/>
  <c r="AU335" i="2"/>
  <c r="CN335" i="2" s="1"/>
  <c r="CQ70" i="2"/>
  <c r="DD70" i="2" s="1"/>
  <c r="BT70" i="2"/>
  <c r="BU70" i="2" s="1"/>
  <c r="CN147" i="2"/>
  <c r="EW147" i="2"/>
  <c r="EX147" i="2" s="1"/>
  <c r="BT147" i="2"/>
  <c r="BU147" i="2" s="1"/>
  <c r="EJ98" i="2"/>
  <c r="BQ98" i="2"/>
  <c r="CQ98" i="2" s="1"/>
  <c r="CU98" i="2"/>
  <c r="DM98" i="2"/>
  <c r="DC98" i="2" s="1"/>
  <c r="CX98" i="2"/>
  <c r="DA98" i="2"/>
  <c r="CW98" i="2"/>
  <c r="EV98" i="2"/>
  <c r="CS98" i="2"/>
  <c r="EL98" i="2"/>
  <c r="CZ98" i="2"/>
  <c r="CR98" i="2"/>
  <c r="DG98" i="2"/>
  <c r="EU98" i="2"/>
  <c r="CV98" i="2"/>
  <c r="CT98" i="2"/>
  <c r="DW98" i="2"/>
  <c r="CY98" i="2"/>
  <c r="BX185" i="2"/>
  <c r="BY185" i="2" s="1"/>
  <c r="AU185" i="2"/>
  <c r="CN185" i="2" s="1"/>
  <c r="G36" i="2"/>
  <c r="F36" i="2"/>
  <c r="F275" i="2"/>
  <c r="G275" i="2"/>
  <c r="G163" i="2"/>
  <c r="F163" i="2"/>
  <c r="G312" i="2"/>
  <c r="F312" i="2"/>
  <c r="G152" i="2"/>
  <c r="F152" i="2"/>
  <c r="G196" i="2"/>
  <c r="F196" i="2"/>
  <c r="F26" i="2"/>
  <c r="G26" i="2"/>
  <c r="CO113" i="2"/>
  <c r="EW113" i="2"/>
  <c r="EX113" i="2" s="1"/>
  <c r="BT113" i="2"/>
  <c r="BU113" i="2" s="1"/>
  <c r="CN113" i="2"/>
  <c r="EW157" i="2"/>
  <c r="EX157" i="2" s="1"/>
  <c r="T82" i="4"/>
  <c r="BP70" i="4"/>
  <c r="EW10" i="2"/>
  <c r="EX10" i="2" s="1"/>
  <c r="CN201" i="2"/>
  <c r="EW201" i="2"/>
  <c r="EX201" i="2" s="1"/>
  <c r="BT201" i="2"/>
  <c r="BU201" i="2" s="1"/>
  <c r="CN325" i="2"/>
  <c r="BT325" i="2"/>
  <c r="BU325" i="2" s="1"/>
  <c r="CO325" i="2"/>
  <c r="EW325" i="2"/>
  <c r="EX325" i="2" s="1"/>
  <c r="BT212" i="2"/>
  <c r="BU212" i="2" s="1"/>
  <c r="CN212" i="2"/>
  <c r="DD212" i="2" s="1"/>
  <c r="EW212" i="2"/>
  <c r="EX212" i="2" s="1"/>
  <c r="BT123" i="2"/>
  <c r="BU123" i="2" s="1"/>
  <c r="EW123" i="2"/>
  <c r="EX123" i="2" s="1"/>
  <c r="CN123" i="2"/>
  <c r="G185" i="2"/>
  <c r="F185" i="2"/>
  <c r="BX30" i="2"/>
  <c r="BY30" i="2" s="1"/>
  <c r="AU30" i="2"/>
  <c r="AU36" i="2"/>
  <c r="CN36" i="2" s="1"/>
  <c r="BX36" i="2"/>
  <c r="BY36" i="2" s="1"/>
  <c r="EJ67" i="2"/>
  <c r="DW67" i="2"/>
  <c r="CW67" i="2"/>
  <c r="CS67" i="2"/>
  <c r="BQ67" i="2"/>
  <c r="CQ67" i="2" s="1"/>
  <c r="CV67" i="2"/>
  <c r="CU67" i="2"/>
  <c r="DG67" i="2"/>
  <c r="DA67" i="2"/>
  <c r="CR67" i="2"/>
  <c r="EL67" i="2"/>
  <c r="DM67" i="2"/>
  <c r="DC67" i="2" s="1"/>
  <c r="CX67" i="2"/>
  <c r="CT67" i="2"/>
  <c r="CY67" i="2"/>
  <c r="CZ67" i="2"/>
  <c r="F141" i="2"/>
  <c r="G141" i="2"/>
  <c r="BX152" i="2"/>
  <c r="BY152" i="2" s="1"/>
  <c r="AU152" i="2"/>
  <c r="DT13" i="2"/>
  <c r="DR13" i="2"/>
  <c r="DS13" i="2"/>
  <c r="G223" i="2"/>
  <c r="F223" i="2"/>
  <c r="DE222" i="2"/>
  <c r="DD222" i="2"/>
  <c r="CN60" i="2"/>
  <c r="BT60" i="2"/>
  <c r="BU60" i="2" s="1"/>
  <c r="T128" i="4"/>
  <c r="EW116" i="2"/>
  <c r="EX116" i="2" s="1"/>
  <c r="CQ165" i="2"/>
  <c r="BT165" i="2"/>
  <c r="BU165" i="2" s="1"/>
  <c r="F115" i="2"/>
  <c r="G115" i="2"/>
  <c r="DY70" i="2"/>
  <c r="EG70" i="2"/>
  <c r="BT334" i="2"/>
  <c r="BU334" i="2" s="1"/>
  <c r="CO334" i="2"/>
  <c r="CN334" i="2"/>
  <c r="EW334" i="2"/>
  <c r="EX334" i="2" s="1"/>
  <c r="F236" i="2"/>
  <c r="G236" i="2"/>
  <c r="DM229" i="2"/>
  <c r="DC229" i="2" s="1"/>
  <c r="EL229" i="2"/>
  <c r="CY229" i="2"/>
  <c r="CW229" i="2"/>
  <c r="CU229" i="2"/>
  <c r="DG229" i="2"/>
  <c r="DY229" i="2" s="1"/>
  <c r="CT229" i="2"/>
  <c r="DA229" i="2"/>
  <c r="CZ229" i="2"/>
  <c r="CS229" i="2"/>
  <c r="CX229" i="2"/>
  <c r="EV229" i="2"/>
  <c r="EW229" i="2" s="1"/>
  <c r="EX229" i="2" s="1"/>
  <c r="CV229" i="2"/>
  <c r="BQ229" i="2"/>
  <c r="EU229" i="2"/>
  <c r="CR229" i="2"/>
  <c r="EJ229" i="2"/>
  <c r="DW229" i="2"/>
  <c r="DW245" i="2"/>
  <c r="BQ245" i="2"/>
  <c r="DM245" i="2"/>
  <c r="DC245" i="2" s="1"/>
  <c r="EJ245" i="2"/>
  <c r="CV245" i="2"/>
  <c r="CY245" i="2"/>
  <c r="EL245" i="2"/>
  <c r="CX245" i="2"/>
  <c r="DA245" i="2"/>
  <c r="CU245" i="2"/>
  <c r="CT245" i="2"/>
  <c r="CR245" i="2"/>
  <c r="DG245" i="2"/>
  <c r="CS245" i="2"/>
  <c r="CZ245" i="2"/>
  <c r="EV245" i="2"/>
  <c r="EW245" i="2" s="1"/>
  <c r="EX245" i="2" s="1"/>
  <c r="CW245" i="2"/>
  <c r="EU245" i="2"/>
  <c r="F30" i="2"/>
  <c r="G30" i="2"/>
  <c r="AU312" i="2"/>
  <c r="BX312" i="2"/>
  <c r="BY312" i="2" s="1"/>
  <c r="G83" i="2"/>
  <c r="F83" i="2"/>
  <c r="BT55" i="2"/>
  <c r="BU55" i="2" s="1"/>
  <c r="CN55" i="2"/>
  <c r="EW55" i="2"/>
  <c r="EX55" i="2" s="1"/>
  <c r="BX244" i="2"/>
  <c r="BY244" i="2" s="1"/>
  <c r="AU244" i="2"/>
  <c r="T81" i="4"/>
  <c r="EW4" i="2"/>
  <c r="EX4" i="2" s="1"/>
  <c r="DY165" i="2"/>
  <c r="EG165" i="2"/>
  <c r="BQ231" i="2"/>
  <c r="EJ231" i="2"/>
  <c r="CY231" i="2"/>
  <c r="CS231" i="2"/>
  <c r="EL231" i="2"/>
  <c r="CW231" i="2"/>
  <c r="CZ231" i="2"/>
  <c r="CX231" i="2"/>
  <c r="DW231" i="2"/>
  <c r="CT231" i="2"/>
  <c r="DG231" i="2"/>
  <c r="EV231" i="2"/>
  <c r="EW231" i="2" s="1"/>
  <c r="EX231" i="2" s="1"/>
  <c r="CV231" i="2"/>
  <c r="DA231" i="2"/>
  <c r="CR231" i="2"/>
  <c r="CU231" i="2"/>
  <c r="EU231" i="2"/>
  <c r="DM231" i="2"/>
  <c r="DC231" i="2" s="1"/>
  <c r="BQ180" i="2"/>
  <c r="DW180" i="2"/>
  <c r="CU180" i="2"/>
  <c r="CT180" i="2"/>
  <c r="CZ180" i="2"/>
  <c r="CR180" i="2"/>
  <c r="CY180" i="2"/>
  <c r="EL180" i="2"/>
  <c r="DA180" i="2"/>
  <c r="CW180" i="2"/>
  <c r="CV180" i="2"/>
  <c r="CS180" i="2"/>
  <c r="CX180" i="2"/>
  <c r="EV180" i="2"/>
  <c r="EW180" i="2" s="1"/>
  <c r="EX180" i="2" s="1"/>
  <c r="DG180" i="2"/>
  <c r="DM180" i="2"/>
  <c r="DC180" i="2" s="1"/>
  <c r="EJ180" i="2"/>
  <c r="EU180" i="2"/>
  <c r="BQ43" i="2"/>
  <c r="CT43" i="2"/>
  <c r="DA43" i="2"/>
  <c r="CW43" i="2"/>
  <c r="CV43" i="2"/>
  <c r="DG43" i="2"/>
  <c r="CY43" i="2"/>
  <c r="DW43" i="2"/>
  <c r="CR43" i="2"/>
  <c r="CZ43" i="2"/>
  <c r="CS43" i="2"/>
  <c r="CU43" i="2"/>
  <c r="EL43" i="2"/>
  <c r="CX43" i="2"/>
  <c r="EV43" i="2"/>
  <c r="EW43" i="2" s="1"/>
  <c r="EX43" i="2" s="1"/>
  <c r="EJ43" i="2"/>
  <c r="DM43" i="2"/>
  <c r="EU43" i="2"/>
  <c r="BX4" i="2"/>
  <c r="BY4" i="2" s="1"/>
  <c r="AU4" i="2"/>
  <c r="CN4" i="2" s="1"/>
  <c r="CN121" i="2"/>
  <c r="BT121" i="2"/>
  <c r="BU121" i="2" s="1"/>
  <c r="EG160" i="2"/>
  <c r="DY160" i="2"/>
  <c r="BX135" i="2"/>
  <c r="BY135" i="2" s="1"/>
  <c r="AU135" i="2"/>
  <c r="CN135" i="2" s="1"/>
  <c r="DW100" i="2"/>
  <c r="CS100" i="2"/>
  <c r="EL100" i="2"/>
  <c r="CW100" i="2"/>
  <c r="CX100" i="2"/>
  <c r="DG100" i="2"/>
  <c r="EV100" i="2"/>
  <c r="EW100" i="2" s="1"/>
  <c r="EX100" i="2" s="1"/>
  <c r="EJ100" i="2"/>
  <c r="DA100" i="2"/>
  <c r="DM100" i="2"/>
  <c r="DC100" i="2" s="1"/>
  <c r="CY100" i="2"/>
  <c r="CR100" i="2"/>
  <c r="BQ100" i="2"/>
  <c r="CT100" i="2"/>
  <c r="CV100" i="2"/>
  <c r="CZ100" i="2"/>
  <c r="EU100" i="2"/>
  <c r="CU100" i="2"/>
  <c r="CN273" i="2"/>
  <c r="BT273" i="2"/>
  <c r="BU273" i="2" s="1"/>
  <c r="EW273" i="2"/>
  <c r="EX273" i="2" s="1"/>
  <c r="F244" i="2"/>
  <c r="G244" i="2"/>
  <c r="F31" i="2"/>
  <c r="G31" i="2"/>
  <c r="BX57" i="2"/>
  <c r="BY57" i="2" s="1"/>
  <c r="AU57" i="2"/>
  <c r="CN57" i="2" s="1"/>
  <c r="BX247" i="2"/>
  <c r="BY247" i="2" s="1"/>
  <c r="AU247" i="2"/>
  <c r="CN247" i="2" s="1"/>
  <c r="AU236" i="2"/>
  <c r="BX236" i="2"/>
  <c r="BY236" i="2" s="1"/>
  <c r="CQ329" i="2"/>
  <c r="DE329" i="2" s="1"/>
  <c r="BT329" i="2"/>
  <c r="BU329" i="2" s="1"/>
  <c r="BT206" i="2"/>
  <c r="BU206" i="2" s="1"/>
  <c r="CQ206" i="2"/>
  <c r="AU275" i="2"/>
  <c r="BX275" i="2"/>
  <c r="BY275" i="2" s="1"/>
  <c r="CN159" i="2"/>
  <c r="DD159" i="2" s="1"/>
  <c r="EW159" i="2"/>
  <c r="EX159" i="2" s="1"/>
  <c r="AU277" i="2"/>
  <c r="CN277" i="2" s="1"/>
  <c r="BX277" i="2"/>
  <c r="BY277" i="2" s="1"/>
  <c r="BX116" i="2"/>
  <c r="BY116" i="2" s="1"/>
  <c r="AU116" i="2"/>
  <c r="DG277" i="2"/>
  <c r="CX277" i="2"/>
  <c r="CV277" i="2"/>
  <c r="CU277" i="2"/>
  <c r="CZ277" i="2"/>
  <c r="CW277" i="2"/>
  <c r="CY277" i="2"/>
  <c r="DA277" i="2"/>
  <c r="CR277" i="2"/>
  <c r="EL277" i="2"/>
  <c r="CS277" i="2"/>
  <c r="CT277" i="2"/>
  <c r="BQ277" i="2"/>
  <c r="EV277" i="2"/>
  <c r="EU277" i="2"/>
  <c r="DW277" i="2"/>
  <c r="DM277" i="2"/>
  <c r="DC277" i="2" s="1"/>
  <c r="EJ277" i="2"/>
  <c r="T41" i="4"/>
  <c r="G212" i="2"/>
  <c r="F212" i="2"/>
  <c r="CX178" i="2"/>
  <c r="CW178" i="2"/>
  <c r="CV178" i="2"/>
  <c r="CZ178" i="2"/>
  <c r="DG178" i="2"/>
  <c r="CU178" i="2"/>
  <c r="EV178" i="2"/>
  <c r="EW178" i="2" s="1"/>
  <c r="EX178" i="2" s="1"/>
  <c r="CS178" i="2"/>
  <c r="CR178" i="2"/>
  <c r="EL178" i="2"/>
  <c r="CY178" i="2"/>
  <c r="DA178" i="2"/>
  <c r="CT178" i="2"/>
  <c r="EU178" i="2"/>
  <c r="EJ178" i="2"/>
  <c r="DM178" i="2"/>
  <c r="DC178" i="2" s="1"/>
  <c r="BQ178" i="2"/>
  <c r="DW178" i="2"/>
  <c r="AU241" i="2"/>
  <c r="BX241" i="2"/>
  <c r="BY241" i="2" s="1"/>
  <c r="DY206" i="2"/>
  <c r="EG206" i="2"/>
  <c r="AU83" i="2"/>
  <c r="BX83" i="2"/>
  <c r="BY83" i="2" s="1"/>
  <c r="BP126" i="4"/>
  <c r="EF303" i="2"/>
  <c r="CT156" i="2"/>
  <c r="CW156" i="2"/>
  <c r="DA156" i="2"/>
  <c r="DM156" i="2"/>
  <c r="DC156" i="2" s="1"/>
  <c r="CR156" i="2"/>
  <c r="DW156" i="2"/>
  <c r="CU156" i="2"/>
  <c r="CV156" i="2"/>
  <c r="CZ156" i="2"/>
  <c r="EL156" i="2"/>
  <c r="DG156" i="2"/>
  <c r="CY156" i="2"/>
  <c r="CX156" i="2"/>
  <c r="EU156" i="2"/>
  <c r="CS156" i="2"/>
  <c r="BQ156" i="2"/>
  <c r="EV156" i="2"/>
  <c r="EW156" i="2" s="1"/>
  <c r="EX156" i="2" s="1"/>
  <c r="EJ156" i="2"/>
  <c r="CR49" i="2"/>
  <c r="DA49" i="2"/>
  <c r="EJ49" i="2"/>
  <c r="DG49" i="2"/>
  <c r="DY49" i="2" s="1"/>
  <c r="EU49" i="2"/>
  <c r="CX49" i="2"/>
  <c r="DM49" i="2"/>
  <c r="DC49" i="2" s="1"/>
  <c r="DW49" i="2"/>
  <c r="EG49" i="2" s="1"/>
  <c r="BQ49" i="2"/>
  <c r="CQ49" i="2" s="1"/>
  <c r="CY49" i="2"/>
  <c r="CV49" i="2"/>
  <c r="CU49" i="2"/>
  <c r="CT49" i="2"/>
  <c r="CW49" i="2"/>
  <c r="CZ49" i="2"/>
  <c r="CS49" i="2"/>
  <c r="EV49" i="2"/>
  <c r="EW49" i="2" s="1"/>
  <c r="EX49" i="2" s="1"/>
  <c r="EL49" i="2"/>
  <c r="CZ75" i="2"/>
  <c r="DM75" i="2"/>
  <c r="DC75" i="2" s="1"/>
  <c r="EL75" i="2"/>
  <c r="CX75" i="2"/>
  <c r="EU75" i="2"/>
  <c r="DW75" i="2"/>
  <c r="CR75" i="2"/>
  <c r="BQ75" i="2"/>
  <c r="EV75" i="2"/>
  <c r="EW75" i="2" s="1"/>
  <c r="EX75" i="2" s="1"/>
  <c r="CY75" i="2"/>
  <c r="CT75" i="2"/>
  <c r="CW75" i="2"/>
  <c r="DG75" i="2"/>
  <c r="DA75" i="2"/>
  <c r="CS75" i="2"/>
  <c r="CU75" i="2"/>
  <c r="EJ75" i="2"/>
  <c r="CV75" i="2"/>
  <c r="DE206" i="2"/>
  <c r="BX141" i="2"/>
  <c r="BY141" i="2" s="1"/>
  <c r="AU141" i="2"/>
  <c r="F135" i="2"/>
  <c r="G135" i="2"/>
  <c r="G340" i="2"/>
  <c r="F340" i="2"/>
  <c r="CT132" i="2"/>
  <c r="CU132" i="2"/>
  <c r="CY132" i="2"/>
  <c r="CR132" i="2"/>
  <c r="EL132" i="2"/>
  <c r="CW132" i="2"/>
  <c r="EJ132" i="2"/>
  <c r="DW132" i="2"/>
  <c r="DA132" i="2"/>
  <c r="CZ132" i="2"/>
  <c r="BQ132" i="2"/>
  <c r="CV132" i="2"/>
  <c r="DM132" i="2"/>
  <c r="DC132" i="2" s="1"/>
  <c r="CS132" i="2"/>
  <c r="DG132" i="2"/>
  <c r="CX132" i="2"/>
  <c r="AU315" i="2"/>
  <c r="BX315" i="2"/>
  <c r="BY315" i="2" s="1"/>
  <c r="DD206" i="2"/>
  <c r="BP123" i="4"/>
  <c r="BP47" i="4"/>
  <c r="BX115" i="2"/>
  <c r="BY115" i="2" s="1"/>
  <c r="AU115" i="2"/>
  <c r="CW275" i="2"/>
  <c r="DM275" i="2"/>
  <c r="BQ275" i="2"/>
  <c r="CR275" i="2"/>
  <c r="EJ275" i="2"/>
  <c r="CX275" i="2"/>
  <c r="EV275" i="2"/>
  <c r="CS275" i="2"/>
  <c r="CY275" i="2"/>
  <c r="DG275" i="2"/>
  <c r="CU275" i="2"/>
  <c r="DW275" i="2"/>
  <c r="EU275" i="2"/>
  <c r="CZ275" i="2"/>
  <c r="EL275" i="2"/>
  <c r="CV275" i="2"/>
  <c r="CT275" i="2"/>
  <c r="DA275" i="2"/>
  <c r="DG4" i="2"/>
  <c r="CS4" i="2"/>
  <c r="EJ4" i="2"/>
  <c r="CU4" i="2"/>
  <c r="CT4" i="2"/>
  <c r="DW4" i="2"/>
  <c r="BQ4" i="2"/>
  <c r="CY4" i="2"/>
  <c r="CW4" i="2"/>
  <c r="CV4" i="2"/>
  <c r="CX4" i="2"/>
  <c r="CZ4" i="2"/>
  <c r="DA4" i="2"/>
  <c r="EL4" i="2"/>
  <c r="DM4" i="2"/>
  <c r="DC4" i="2" s="1"/>
  <c r="CR4" i="2"/>
  <c r="F247" i="2"/>
  <c r="G247" i="2"/>
  <c r="BX318" i="2"/>
  <c r="BY318" i="2" s="1"/>
  <c r="AU318" i="2"/>
  <c r="F8" i="2"/>
  <c r="G8" i="2"/>
  <c r="BX340" i="2"/>
  <c r="BY340" i="2" s="1"/>
  <c r="AU340" i="2"/>
  <c r="BX26" i="2"/>
  <c r="BY26" i="2" s="1"/>
  <c r="AU26" i="2"/>
  <c r="G315" i="2"/>
  <c r="F315" i="2"/>
  <c r="DY157" i="2"/>
  <c r="EG157" i="2"/>
  <c r="G116" i="2"/>
  <c r="F116" i="2"/>
  <c r="ED38" i="2"/>
  <c r="DX38" i="2"/>
  <c r="DZ38" i="2" s="1"/>
  <c r="EA38" i="2" s="1"/>
  <c r="DX219" i="2"/>
  <c r="DZ219" i="2" s="1"/>
  <c r="EA219" i="2" s="1"/>
  <c r="ED219" i="2"/>
  <c r="DV211" i="2"/>
  <c r="DF211" i="2"/>
  <c r="DN211" i="2"/>
  <c r="DP211" i="2" s="1"/>
  <c r="DQ211" i="2" s="1"/>
  <c r="DU211" i="2"/>
  <c r="EF101" i="2"/>
  <c r="DV101" i="2"/>
  <c r="DU101" i="2"/>
  <c r="DN101" i="2"/>
  <c r="DP101" i="2" s="1"/>
  <c r="DQ101" i="2" s="1"/>
  <c r="DF101" i="2"/>
  <c r="DE169" i="2"/>
  <c r="DE159" i="2"/>
  <c r="ED211" i="2"/>
  <c r="DX211" i="2"/>
  <c r="DZ211" i="2" s="1"/>
  <c r="EA211" i="2" s="1"/>
  <c r="CU175" i="2"/>
  <c r="CZ175" i="2"/>
  <c r="CV175" i="2"/>
  <c r="DM175" i="2"/>
  <c r="DC175" i="2" s="1"/>
  <c r="CS175" i="2"/>
  <c r="DW175" i="2"/>
  <c r="CW175" i="2"/>
  <c r="EJ175" i="2"/>
  <c r="CX175" i="2"/>
  <c r="CY175" i="2"/>
  <c r="CT175" i="2"/>
  <c r="BQ175" i="2"/>
  <c r="DA175" i="2"/>
  <c r="EL175" i="2"/>
  <c r="CR175" i="2"/>
  <c r="EV175" i="2"/>
  <c r="EW175" i="2" s="1"/>
  <c r="EX175" i="2" s="1"/>
  <c r="DG175" i="2"/>
  <c r="EU175" i="2"/>
  <c r="BT215" i="2"/>
  <c r="BU215" i="2" s="1"/>
  <c r="EW215" i="2"/>
  <c r="EX215" i="2" s="1"/>
  <c r="CN215" i="2"/>
  <c r="F104" i="2"/>
  <c r="G104" i="2"/>
  <c r="CN319" i="2"/>
  <c r="EW319" i="2"/>
  <c r="EX319" i="2" s="1"/>
  <c r="BT319" i="2"/>
  <c r="BU319" i="2" s="1"/>
  <c r="DU181" i="2"/>
  <c r="DV181" i="2"/>
  <c r="DN181" i="2"/>
  <c r="DP181" i="2" s="1"/>
  <c r="DQ181" i="2" s="1"/>
  <c r="EF181" i="2"/>
  <c r="DF181" i="2"/>
  <c r="ED226" i="2"/>
  <c r="DX226" i="2"/>
  <c r="DZ226" i="2" s="1"/>
  <c r="EA226" i="2" s="1"/>
  <c r="CN205" i="2"/>
  <c r="EW205" i="2"/>
  <c r="EX205" i="2" s="1"/>
  <c r="BT205" i="2"/>
  <c r="BU205" i="2" s="1"/>
  <c r="CN65" i="2"/>
  <c r="BT65" i="2"/>
  <c r="BU65" i="2" s="1"/>
  <c r="T125" i="4"/>
  <c r="BP51" i="4"/>
  <c r="BP119" i="4"/>
  <c r="BP57" i="4"/>
  <c r="T31" i="4"/>
  <c r="W31" i="4" s="1"/>
  <c r="Y31" i="4" s="1"/>
  <c r="T36" i="4"/>
  <c r="W36" i="4" s="1"/>
  <c r="Y36" i="4" s="1"/>
  <c r="DE111" i="2"/>
  <c r="DX111" i="2" s="1"/>
  <c r="DZ111" i="2" s="1"/>
  <c r="EA111" i="2" s="1"/>
  <c r="CN23" i="2"/>
  <c r="BT23" i="2"/>
  <c r="BU23" i="2" s="1"/>
  <c r="CX247" i="2"/>
  <c r="BQ247" i="2"/>
  <c r="DM247" i="2"/>
  <c r="CU247" i="2"/>
  <c r="CT247" i="2"/>
  <c r="DG247" i="2"/>
  <c r="DA247" i="2"/>
  <c r="DW247" i="2"/>
  <c r="CW247" i="2"/>
  <c r="CY247" i="2"/>
  <c r="EJ247" i="2"/>
  <c r="CZ247" i="2"/>
  <c r="CS247" i="2"/>
  <c r="EL247" i="2"/>
  <c r="CV247" i="2"/>
  <c r="CR247" i="2"/>
  <c r="EU247" i="2"/>
  <c r="EV247" i="2"/>
  <c r="DX181" i="2"/>
  <c r="DZ181" i="2" s="1"/>
  <c r="EA181" i="2" s="1"/>
  <c r="ED181" i="2"/>
  <c r="BQ339" i="2"/>
  <c r="CQ339" i="2" s="1"/>
  <c r="CU339" i="2"/>
  <c r="EU339" i="2"/>
  <c r="CS339" i="2"/>
  <c r="EJ339" i="2"/>
  <c r="CX339" i="2"/>
  <c r="DW339" i="2"/>
  <c r="CZ339" i="2"/>
  <c r="EL339" i="2"/>
  <c r="EV339" i="2"/>
  <c r="DA339" i="2"/>
  <c r="DG339" i="2"/>
  <c r="CR339" i="2"/>
  <c r="CT339" i="2"/>
  <c r="CV339" i="2"/>
  <c r="CW339" i="2"/>
  <c r="DM339" i="2"/>
  <c r="DC339" i="2" s="1"/>
  <c r="CY339" i="2"/>
  <c r="AU287" i="2"/>
  <c r="BX287" i="2"/>
  <c r="BY287" i="2" s="1"/>
  <c r="DE73" i="2"/>
  <c r="DD73" i="2"/>
  <c r="DR316" i="2"/>
  <c r="DS316" i="2"/>
  <c r="DT316" i="2"/>
  <c r="DD332" i="2"/>
  <c r="EF332" i="2" s="1"/>
  <c r="BT128" i="2"/>
  <c r="BU128" i="2" s="1"/>
  <c r="CN128" i="2"/>
  <c r="EW128" i="2"/>
  <c r="EX128" i="2" s="1"/>
  <c r="CN217" i="2"/>
  <c r="BT217" i="2"/>
  <c r="BU217" i="2" s="1"/>
  <c r="EW217" i="2"/>
  <c r="EX217" i="2" s="1"/>
  <c r="G120" i="2"/>
  <c r="F120" i="2"/>
  <c r="DS96" i="2"/>
  <c r="DT96" i="2"/>
  <c r="DR96" i="2"/>
  <c r="AU262" i="2"/>
  <c r="BX262" i="2"/>
  <c r="BY262" i="2" s="1"/>
  <c r="DF341" i="2"/>
  <c r="DV341" i="2"/>
  <c r="EF341" i="2"/>
  <c r="DU341" i="2"/>
  <c r="DN341" i="2"/>
  <c r="DP341" i="2" s="1"/>
  <c r="DQ341" i="2" s="1"/>
  <c r="BP68" i="4"/>
  <c r="T84" i="4"/>
  <c r="W84" i="4" s="1"/>
  <c r="T129" i="4"/>
  <c r="T120" i="4"/>
  <c r="T69" i="4"/>
  <c r="EG169" i="2"/>
  <c r="BX104" i="2"/>
  <c r="BY104" i="2" s="1"/>
  <c r="AU104" i="2"/>
  <c r="CN104" i="2" s="1"/>
  <c r="EW255" i="2"/>
  <c r="EX255" i="2" s="1"/>
  <c r="CN255" i="2"/>
  <c r="BT255" i="2"/>
  <c r="BU255" i="2" s="1"/>
  <c r="CQ83" i="2"/>
  <c r="BT83" i="2"/>
  <c r="BU83" i="2" s="1"/>
  <c r="F287" i="2"/>
  <c r="G287" i="2"/>
  <c r="DD24" i="2"/>
  <c r="DE24" i="2"/>
  <c r="DY74" i="2"/>
  <c r="EG74" i="2"/>
  <c r="DX341" i="2"/>
  <c r="DZ341" i="2" s="1"/>
  <c r="EA341" i="2" s="1"/>
  <c r="ED341" i="2"/>
  <c r="CN196" i="2"/>
  <c r="BT196" i="2"/>
  <c r="BU196" i="2" s="1"/>
  <c r="EW196" i="2"/>
  <c r="EX196" i="2" s="1"/>
  <c r="DD184" i="2"/>
  <c r="EF184" i="2" s="1"/>
  <c r="CN297" i="2"/>
  <c r="BT297" i="2"/>
  <c r="BU297" i="2" s="1"/>
  <c r="AU78" i="2"/>
  <c r="BX78" i="2"/>
  <c r="BY78" i="2" s="1"/>
  <c r="AU5" i="2"/>
  <c r="CN5" i="2" s="1"/>
  <c r="BX5" i="2"/>
  <c r="BY5" i="2" s="1"/>
  <c r="EF211" i="2"/>
  <c r="DY304" i="2"/>
  <c r="EG304" i="2"/>
  <c r="DD114" i="2"/>
  <c r="T50" i="4"/>
  <c r="W50" i="4" s="1"/>
  <c r="BP50" i="4"/>
  <c r="BP62" i="4"/>
  <c r="BP61" i="4"/>
  <c r="DD260" i="2"/>
  <c r="DV260" i="2" s="1"/>
  <c r="DE330" i="2"/>
  <c r="ED330" i="2" s="1"/>
  <c r="BP102" i="4"/>
  <c r="EE316" i="2"/>
  <c r="EC316" i="2"/>
  <c r="EB316" i="2"/>
  <c r="CN81" i="2"/>
  <c r="EW81" i="2"/>
  <c r="EX81" i="2" s="1"/>
  <c r="BT81" i="2"/>
  <c r="BU81" i="2" s="1"/>
  <c r="DX101" i="2"/>
  <c r="DZ101" i="2" s="1"/>
  <c r="EA101" i="2" s="1"/>
  <c r="ED101" i="2"/>
  <c r="CN112" i="2"/>
  <c r="BT112" i="2"/>
  <c r="BU112" i="2" s="1"/>
  <c r="CO112" i="2"/>
  <c r="EW112" i="2"/>
  <c r="EX112" i="2" s="1"/>
  <c r="F5" i="2"/>
  <c r="G5" i="2"/>
  <c r="EW297" i="2"/>
  <c r="EX297" i="2" s="1"/>
  <c r="G262" i="2"/>
  <c r="F262" i="2"/>
  <c r="EG233" i="2"/>
  <c r="DY233" i="2"/>
  <c r="CN134" i="2"/>
  <c r="BT134" i="2"/>
  <c r="BU134" i="2" s="1"/>
  <c r="DN321" i="2"/>
  <c r="DP321" i="2" s="1"/>
  <c r="DQ321" i="2" s="1"/>
  <c r="EF321" i="2"/>
  <c r="DU321" i="2"/>
  <c r="DF321" i="2"/>
  <c r="DV321" i="2"/>
  <c r="DW85" i="2"/>
  <c r="EL85" i="2"/>
  <c r="DG85" i="2"/>
  <c r="CV85" i="2"/>
  <c r="DM85" i="2"/>
  <c r="DC85" i="2" s="1"/>
  <c r="CY85" i="2"/>
  <c r="BQ85" i="2"/>
  <c r="EJ85" i="2"/>
  <c r="CZ85" i="2"/>
  <c r="CU85" i="2"/>
  <c r="CR85" i="2"/>
  <c r="CW85" i="2"/>
  <c r="CS85" i="2"/>
  <c r="CX85" i="2"/>
  <c r="CT85" i="2"/>
  <c r="DA85" i="2"/>
  <c r="CN258" i="2"/>
  <c r="DD258" i="2" s="1"/>
  <c r="BT258" i="2"/>
  <c r="BU258" i="2" s="1"/>
  <c r="EW258" i="2"/>
  <c r="EX258" i="2" s="1"/>
  <c r="DX278" i="2"/>
  <c r="DZ278" i="2" s="1"/>
  <c r="EA278" i="2" s="1"/>
  <c r="ED278" i="2"/>
  <c r="BP60" i="4"/>
  <c r="T61" i="4"/>
  <c r="T44" i="4"/>
  <c r="BP52" i="4"/>
  <c r="BP45" i="4"/>
  <c r="BP31" i="4"/>
  <c r="BY31" i="4" s="1" a="1"/>
  <c r="BY31" i="4" s="1"/>
  <c r="CQ48" i="2"/>
  <c r="BT48" i="2"/>
  <c r="BU48" i="2" s="1"/>
  <c r="DX321" i="2"/>
  <c r="DZ321" i="2" s="1"/>
  <c r="EA321" i="2" s="1"/>
  <c r="ED321" i="2"/>
  <c r="EC272" i="2"/>
  <c r="EB272" i="2"/>
  <c r="EE272" i="2"/>
  <c r="DU226" i="2"/>
  <c r="EF226" i="2"/>
  <c r="DF226" i="2"/>
  <c r="DV226" i="2"/>
  <c r="DN226" i="2"/>
  <c r="DP226" i="2" s="1"/>
  <c r="DQ226" i="2" s="1"/>
  <c r="EW184" i="2"/>
  <c r="EX184" i="2" s="1"/>
  <c r="DU278" i="2"/>
  <c r="DN278" i="2"/>
  <c r="DP278" i="2" s="1"/>
  <c r="DQ278" i="2" s="1"/>
  <c r="DF278" i="2"/>
  <c r="EF278" i="2"/>
  <c r="DV278" i="2"/>
  <c r="BK31" i="4" a="1"/>
  <c r="BK31" i="4" s="1"/>
  <c r="CB31" i="4" a="1"/>
  <c r="CB31" i="4" s="1"/>
  <c r="BG31" i="4" a="1"/>
  <c r="BG31" i="4" s="1"/>
  <c r="H31" i="4" a="1"/>
  <c r="H31" i="4" s="1"/>
  <c r="EI31" i="4" a="1"/>
  <c r="EI31" i="4" s="1"/>
  <c r="EH31" i="4" a="1"/>
  <c r="EH31" i="4" s="1"/>
  <c r="BQ31" i="4" a="1"/>
  <c r="BQ31" i="4" s="1"/>
  <c r="BE31" i="4" a="1"/>
  <c r="BE31" i="4" s="1"/>
  <c r="BU31" i="4" a="1"/>
  <c r="BU31" i="4" s="1"/>
  <c r="DX91" i="2"/>
  <c r="DZ91" i="2" s="1"/>
  <c r="EA91" i="2" s="1"/>
  <c r="ED91" i="2"/>
  <c r="DN218" i="2"/>
  <c r="DP218" i="2" s="1"/>
  <c r="DQ218" i="2" s="1"/>
  <c r="DU218" i="2"/>
  <c r="DF218" i="2"/>
  <c r="DV218" i="2"/>
  <c r="EF218" i="2"/>
  <c r="ED260" i="2"/>
  <c r="DX260" i="2"/>
  <c r="DZ260" i="2" s="1"/>
  <c r="EA260" i="2" s="1"/>
  <c r="ED111" i="2"/>
  <c r="T70" i="4"/>
  <c r="DY225" i="2"/>
  <c r="EG225" i="2"/>
  <c r="DY203" i="2"/>
  <c r="EG203" i="2"/>
  <c r="G337" i="2"/>
  <c r="F337" i="2"/>
  <c r="ED31" i="2"/>
  <c r="DX31" i="2"/>
  <c r="DZ31" i="2" s="1"/>
  <c r="EA31" i="2" s="1"/>
  <c r="EW103" i="2"/>
  <c r="EX103" i="2" s="1"/>
  <c r="CN103" i="2"/>
  <c r="BT103" i="2"/>
  <c r="BU103" i="2" s="1"/>
  <c r="AU338" i="2"/>
  <c r="BX338" i="2"/>
  <c r="BY338" i="2" s="1"/>
  <c r="EL8" i="2"/>
  <c r="CT8" i="2"/>
  <c r="DA8" i="2"/>
  <c r="CS8" i="2"/>
  <c r="DM8" i="2"/>
  <c r="CX8" i="2"/>
  <c r="BQ8" i="2"/>
  <c r="CZ8" i="2"/>
  <c r="CR8" i="2"/>
  <c r="CW8" i="2"/>
  <c r="CU8" i="2"/>
  <c r="CY8" i="2"/>
  <c r="DG8" i="2"/>
  <c r="CV8" i="2"/>
  <c r="EU8" i="2"/>
  <c r="EJ8" i="2"/>
  <c r="DW8" i="2"/>
  <c r="BT72" i="2"/>
  <c r="BU72" i="2" s="1"/>
  <c r="CQ72" i="2"/>
  <c r="DD72" i="2" s="1"/>
  <c r="DW119" i="2"/>
  <c r="BQ119" i="2"/>
  <c r="EL119" i="2"/>
  <c r="EJ119" i="2"/>
  <c r="DM119" i="2"/>
  <c r="EU119" i="2"/>
  <c r="CU119" i="2"/>
  <c r="CT119" i="2"/>
  <c r="DG119" i="2"/>
  <c r="CY119" i="2"/>
  <c r="CV119" i="2"/>
  <c r="CX119" i="2"/>
  <c r="CW119" i="2"/>
  <c r="CZ119" i="2"/>
  <c r="DA119" i="2"/>
  <c r="CR119" i="2"/>
  <c r="CS119" i="2"/>
  <c r="DU22" i="2"/>
  <c r="DV22" i="2"/>
  <c r="DF22" i="2"/>
  <c r="EF22" i="2"/>
  <c r="DN22" i="2"/>
  <c r="DP22" i="2" s="1"/>
  <c r="DQ22" i="2" s="1"/>
  <c r="DE326" i="2"/>
  <c r="DD326" i="2"/>
  <c r="BQ210" i="2"/>
  <c r="CQ210" i="2" s="1"/>
  <c r="DW210" i="2"/>
  <c r="CU210" i="2"/>
  <c r="EU210" i="2"/>
  <c r="EL210" i="2"/>
  <c r="EJ210" i="2"/>
  <c r="DA210" i="2"/>
  <c r="EV210" i="2"/>
  <c r="DM210" i="2"/>
  <c r="DC210" i="2" s="1"/>
  <c r="CW210" i="2"/>
  <c r="CY210" i="2"/>
  <c r="CS210" i="2"/>
  <c r="CZ210" i="2"/>
  <c r="CR210" i="2"/>
  <c r="DG210" i="2"/>
  <c r="CX210" i="2"/>
  <c r="CV210" i="2"/>
  <c r="CT210" i="2"/>
  <c r="DE333" i="2"/>
  <c r="DD333" i="2"/>
  <c r="F124" i="2"/>
  <c r="G124" i="2"/>
  <c r="CW261" i="2"/>
  <c r="BQ261" i="2"/>
  <c r="DW261" i="2"/>
  <c r="EJ261" i="2"/>
  <c r="EL261" i="2"/>
  <c r="CV261" i="2"/>
  <c r="DG261" i="2"/>
  <c r="EV261" i="2"/>
  <c r="EW261" i="2" s="1"/>
  <c r="EX261" i="2" s="1"/>
  <c r="DA261" i="2"/>
  <c r="CU261" i="2"/>
  <c r="CR261" i="2"/>
  <c r="CT261" i="2"/>
  <c r="DM261" i="2"/>
  <c r="CY261" i="2"/>
  <c r="CX261" i="2"/>
  <c r="CZ261" i="2"/>
  <c r="CS261" i="2"/>
  <c r="EU261" i="2"/>
  <c r="DF246" i="2"/>
  <c r="DV246" i="2"/>
  <c r="DN246" i="2"/>
  <c r="DP246" i="2" s="1"/>
  <c r="DQ246" i="2" s="1"/>
  <c r="DU246" i="2"/>
  <c r="EF246" i="2"/>
  <c r="DV31" i="2"/>
  <c r="DN31" i="2"/>
  <c r="DP31" i="2" s="1"/>
  <c r="DQ31" i="2" s="1"/>
  <c r="DU31" i="2"/>
  <c r="DF31" i="2"/>
  <c r="EF31" i="2"/>
  <c r="DY317" i="2"/>
  <c r="EG317" i="2"/>
  <c r="F300" i="2"/>
  <c r="G300" i="2"/>
  <c r="AU286" i="2"/>
  <c r="BX286" i="2"/>
  <c r="BY286" i="2" s="1"/>
  <c r="BX136" i="2"/>
  <c r="BY136" i="2" s="1"/>
  <c r="AU136" i="2"/>
  <c r="DS87" i="2"/>
  <c r="DT87" i="2"/>
  <c r="DR87" i="2"/>
  <c r="EG185" i="2"/>
  <c r="DY185" i="2"/>
  <c r="EJ199" i="2"/>
  <c r="CX199" i="2"/>
  <c r="DM199" i="2"/>
  <c r="DW199" i="2"/>
  <c r="BQ199" i="2"/>
  <c r="CS199" i="2"/>
  <c r="CY199" i="2"/>
  <c r="EV199" i="2"/>
  <c r="EW199" i="2" s="1"/>
  <c r="EX199" i="2" s="1"/>
  <c r="CV199" i="2"/>
  <c r="CU199" i="2"/>
  <c r="CT199" i="2"/>
  <c r="CW199" i="2"/>
  <c r="CR199" i="2"/>
  <c r="CZ199" i="2"/>
  <c r="DG199" i="2"/>
  <c r="EL199" i="2"/>
  <c r="DA199" i="2"/>
  <c r="EU199" i="2"/>
  <c r="DW197" i="2"/>
  <c r="BQ197" i="2"/>
  <c r="EJ197" i="2"/>
  <c r="CZ197" i="2"/>
  <c r="DM197" i="2"/>
  <c r="DA197" i="2"/>
  <c r="EL197" i="2"/>
  <c r="CU197" i="2"/>
  <c r="CS197" i="2"/>
  <c r="CV197" i="2"/>
  <c r="CT197" i="2"/>
  <c r="CR197" i="2"/>
  <c r="EV197" i="2"/>
  <c r="EW197" i="2" s="1"/>
  <c r="EX197" i="2" s="1"/>
  <c r="CW197" i="2"/>
  <c r="CY197" i="2"/>
  <c r="DG197" i="2"/>
  <c r="CX197" i="2"/>
  <c r="EU197" i="2"/>
  <c r="ED246" i="2"/>
  <c r="DX246" i="2"/>
  <c r="DZ246" i="2" s="1"/>
  <c r="EA246" i="2" s="1"/>
  <c r="EJ301" i="2"/>
  <c r="DW301" i="2"/>
  <c r="BQ301" i="2"/>
  <c r="CQ301" i="2" s="1"/>
  <c r="CV301" i="2"/>
  <c r="EL301" i="2"/>
  <c r="DM301" i="2"/>
  <c r="DC301" i="2" s="1"/>
  <c r="DG301" i="2"/>
  <c r="CR301" i="2"/>
  <c r="EV301" i="2"/>
  <c r="CT301" i="2"/>
  <c r="CS301" i="2"/>
  <c r="DA301" i="2"/>
  <c r="CZ301" i="2"/>
  <c r="CY301" i="2"/>
  <c r="CW301" i="2"/>
  <c r="CU301" i="2"/>
  <c r="CX301" i="2"/>
  <c r="EU301" i="2"/>
  <c r="BT11" i="2"/>
  <c r="BU11" i="2" s="1"/>
  <c r="EW11" i="2"/>
  <c r="EX11" i="2" s="1"/>
  <c r="CN11" i="2"/>
  <c r="DC168" i="2"/>
  <c r="CQ185" i="2"/>
  <c r="BT185" i="2"/>
  <c r="BU185" i="2" s="1"/>
  <c r="AU337" i="2"/>
  <c r="BX337" i="2"/>
  <c r="BY337" i="2" s="1"/>
  <c r="CT292" i="2"/>
  <c r="CV292" i="2"/>
  <c r="CS292" i="2"/>
  <c r="CU292" i="2"/>
  <c r="EV292" i="2"/>
  <c r="EW292" i="2" s="1"/>
  <c r="EX292" i="2" s="1"/>
  <c r="DG292" i="2"/>
  <c r="DY292" i="2" s="1"/>
  <c r="CW292" i="2"/>
  <c r="CZ292" i="2"/>
  <c r="DM292" i="2"/>
  <c r="DC292" i="2" s="1"/>
  <c r="CY292" i="2"/>
  <c r="EU292" i="2"/>
  <c r="CX292" i="2"/>
  <c r="BQ292" i="2"/>
  <c r="EL292" i="2"/>
  <c r="EJ292" i="2"/>
  <c r="DA292" i="2"/>
  <c r="DW292" i="2"/>
  <c r="CR292" i="2"/>
  <c r="EG291" i="2"/>
  <c r="DY291" i="2"/>
  <c r="BX127" i="2"/>
  <c r="BY127" i="2" s="1"/>
  <c r="AU127" i="2"/>
  <c r="DN282" i="2"/>
  <c r="DP282" i="2" s="1"/>
  <c r="DQ282" i="2" s="1"/>
  <c r="DU282" i="2"/>
  <c r="DY14" i="2"/>
  <c r="EG14" i="2"/>
  <c r="AU300" i="2"/>
  <c r="BX300" i="2"/>
  <c r="BY300" i="2" s="1"/>
  <c r="CY335" i="2"/>
  <c r="DW335" i="2"/>
  <c r="BQ335" i="2"/>
  <c r="EJ335" i="2"/>
  <c r="DM335" i="2"/>
  <c r="CV335" i="2"/>
  <c r="CU335" i="2"/>
  <c r="CW335" i="2"/>
  <c r="CT335" i="2"/>
  <c r="EU335" i="2"/>
  <c r="EV335" i="2"/>
  <c r="EW335" i="2" s="1"/>
  <c r="EX335" i="2" s="1"/>
  <c r="CR335" i="2"/>
  <c r="CS335" i="2"/>
  <c r="CZ335" i="2"/>
  <c r="DG335" i="2"/>
  <c r="EL335" i="2"/>
  <c r="CX335" i="2"/>
  <c r="DA335" i="2"/>
  <c r="F254" i="2"/>
  <c r="G254" i="2"/>
  <c r="F286" i="2"/>
  <c r="G286" i="2"/>
  <c r="EB320" i="2"/>
  <c r="EE320" i="2"/>
  <c r="EC320" i="2"/>
  <c r="BX88" i="2"/>
  <c r="BY88" i="2" s="1"/>
  <c r="AU88" i="2"/>
  <c r="CN88" i="2" s="1"/>
  <c r="F146" i="2"/>
  <c r="G146" i="2"/>
  <c r="DE323" i="2"/>
  <c r="DC279" i="2"/>
  <c r="EG313" i="2"/>
  <c r="DY313" i="2"/>
  <c r="DC288" i="2"/>
  <c r="AU294" i="2"/>
  <c r="BX294" i="2"/>
  <c r="BY294" i="2" s="1"/>
  <c r="AU46" i="2"/>
  <c r="BX46" i="2"/>
  <c r="BY46" i="2" s="1"/>
  <c r="DX282" i="2"/>
  <c r="DZ282" i="2" s="1"/>
  <c r="EA282" i="2" s="1"/>
  <c r="ED282" i="2"/>
  <c r="CN199" i="2"/>
  <c r="G150" i="2"/>
  <c r="F150" i="2"/>
  <c r="DF41" i="2"/>
  <c r="DU41" i="2"/>
  <c r="DV41" i="2"/>
  <c r="EF41" i="2"/>
  <c r="DN41" i="2"/>
  <c r="DP41" i="2" s="1"/>
  <c r="DQ41" i="2" s="1"/>
  <c r="F338" i="2"/>
  <c r="G338" i="2"/>
  <c r="DE129" i="2"/>
  <c r="DD129" i="2"/>
  <c r="AU254" i="2"/>
  <c r="BX254" i="2"/>
  <c r="BY254" i="2" s="1"/>
  <c r="EW207" i="2"/>
  <c r="EX207" i="2" s="1"/>
  <c r="G136" i="2"/>
  <c r="F136" i="2"/>
  <c r="BX146" i="2"/>
  <c r="BY146" i="2" s="1"/>
  <c r="AU146" i="2"/>
  <c r="CQ86" i="2"/>
  <c r="BT86" i="2"/>
  <c r="BU86" i="2" s="1"/>
  <c r="DM136" i="2"/>
  <c r="EV136" i="2"/>
  <c r="CS136" i="2"/>
  <c r="CT136" i="2"/>
  <c r="CR136" i="2"/>
  <c r="CU136" i="2"/>
  <c r="CZ136" i="2"/>
  <c r="CX136" i="2"/>
  <c r="EL136" i="2"/>
  <c r="DA136" i="2"/>
  <c r="CW136" i="2"/>
  <c r="DG136" i="2"/>
  <c r="BQ136" i="2"/>
  <c r="DW136" i="2"/>
  <c r="CY136" i="2"/>
  <c r="EU136" i="2"/>
  <c r="CV136" i="2"/>
  <c r="EJ136" i="2"/>
  <c r="BT279" i="2"/>
  <c r="BU279" i="2" s="1"/>
  <c r="CQ279" i="2"/>
  <c r="DC225" i="2"/>
  <c r="ED265" i="2"/>
  <c r="DX265" i="2"/>
  <c r="DZ265" i="2" s="1"/>
  <c r="EA265" i="2" s="1"/>
  <c r="BX239" i="2"/>
  <c r="BY239" i="2" s="1"/>
  <c r="AU239" i="2"/>
  <c r="F127" i="2"/>
  <c r="G127" i="2"/>
  <c r="AU150" i="2"/>
  <c r="BX150" i="2"/>
  <c r="BY150" i="2" s="1"/>
  <c r="CU224" i="2"/>
  <c r="DA224" i="2"/>
  <c r="CR224" i="2"/>
  <c r="EJ224" i="2"/>
  <c r="BQ224" i="2"/>
  <c r="DW224" i="2"/>
  <c r="CZ224" i="2"/>
  <c r="EL224" i="2"/>
  <c r="DG224" i="2"/>
  <c r="CX224" i="2"/>
  <c r="CT224" i="2"/>
  <c r="CW224" i="2"/>
  <c r="CS224" i="2"/>
  <c r="DM224" i="2"/>
  <c r="CY224" i="2"/>
  <c r="CV224" i="2"/>
  <c r="EV224" i="2"/>
  <c r="EW224" i="2" s="1"/>
  <c r="EX224" i="2" s="1"/>
  <c r="EU224" i="2"/>
  <c r="CN200" i="2"/>
  <c r="EE96" i="2"/>
  <c r="EB96" i="2"/>
  <c r="EC96" i="2"/>
  <c r="BX314" i="2"/>
  <c r="BY314" i="2" s="1"/>
  <c r="AU314" i="2"/>
  <c r="BX268" i="2"/>
  <c r="BY268" i="2" s="1"/>
  <c r="AU268" i="2"/>
  <c r="DD273" i="2"/>
  <c r="DE273" i="2"/>
  <c r="G88" i="2"/>
  <c r="F88" i="2"/>
  <c r="DY86" i="2"/>
  <c r="EG86" i="2"/>
  <c r="CQ168" i="2"/>
  <c r="DY194" i="2"/>
  <c r="EG194" i="2"/>
  <c r="EV119" i="2"/>
  <c r="EW119" i="2" s="1"/>
  <c r="EX119" i="2" s="1"/>
  <c r="DU265" i="2"/>
  <c r="DN265" i="2"/>
  <c r="DP265" i="2" s="1"/>
  <c r="DQ265" i="2" s="1"/>
  <c r="DU219" i="2"/>
  <c r="DN219" i="2"/>
  <c r="DP219" i="2" s="1"/>
  <c r="DQ219" i="2" s="1"/>
  <c r="EF219" i="2"/>
  <c r="DV219" i="2"/>
  <c r="DF219" i="2"/>
  <c r="DV99" i="2"/>
  <c r="DF99" i="2"/>
  <c r="DN99" i="2"/>
  <c r="DP99" i="2" s="1"/>
  <c r="DQ99" i="2" s="1"/>
  <c r="DU99" i="2"/>
  <c r="EF99" i="2"/>
  <c r="CQ14" i="2"/>
  <c r="BT14" i="2"/>
  <c r="BU14" i="2" s="1"/>
  <c r="BX195" i="2"/>
  <c r="BY195" i="2" s="1"/>
  <c r="AU195" i="2"/>
  <c r="F49" i="2"/>
  <c r="G49" i="2"/>
  <c r="CQ109" i="2"/>
  <c r="BT109" i="2"/>
  <c r="BU109" i="2" s="1"/>
  <c r="DC144" i="2"/>
  <c r="DD167" i="2"/>
  <c r="DE167" i="2"/>
  <c r="DY144" i="2"/>
  <c r="EG144" i="2"/>
  <c r="ED99" i="2"/>
  <c r="DX99" i="2"/>
  <c r="DZ99" i="2" s="1"/>
  <c r="EA99" i="2" s="1"/>
  <c r="BX237" i="2"/>
  <c r="BY237" i="2" s="1"/>
  <c r="AU237" i="2"/>
  <c r="F213" i="2"/>
  <c r="G213" i="2"/>
  <c r="BX251" i="2"/>
  <c r="BY251" i="2" s="1"/>
  <c r="AU251" i="2"/>
  <c r="DY325" i="2"/>
  <c r="EG325" i="2"/>
  <c r="CS120" i="2"/>
  <c r="CU120" i="2"/>
  <c r="EL120" i="2"/>
  <c r="CT120" i="2"/>
  <c r="BQ120" i="2"/>
  <c r="DG120" i="2"/>
  <c r="DY120" i="2" s="1"/>
  <c r="CZ120" i="2"/>
  <c r="CV120" i="2"/>
  <c r="CW120" i="2"/>
  <c r="DA120" i="2"/>
  <c r="EV120" i="2"/>
  <c r="DM120" i="2"/>
  <c r="CR120" i="2"/>
  <c r="CX120" i="2"/>
  <c r="CY120" i="2"/>
  <c r="EU120" i="2"/>
  <c r="DW120" i="2"/>
  <c r="EJ120" i="2"/>
  <c r="DM324" i="2"/>
  <c r="BQ324" i="2"/>
  <c r="DW324" i="2"/>
  <c r="EJ324" i="2"/>
  <c r="CT324" i="2"/>
  <c r="EV324" i="2"/>
  <c r="EW324" i="2" s="1"/>
  <c r="EX324" i="2" s="1"/>
  <c r="CW324" i="2"/>
  <c r="CY324" i="2"/>
  <c r="EL324" i="2"/>
  <c r="CV324" i="2"/>
  <c r="CX324" i="2"/>
  <c r="CU324" i="2"/>
  <c r="CZ324" i="2"/>
  <c r="DA324" i="2"/>
  <c r="CR324" i="2"/>
  <c r="CS324" i="2"/>
  <c r="EU324" i="2"/>
  <c r="EC219" i="2"/>
  <c r="EE219" i="2"/>
  <c r="EB219" i="2"/>
  <c r="EE309" i="2"/>
  <c r="EC309" i="2"/>
  <c r="EB309" i="2"/>
  <c r="DY336" i="2"/>
  <c r="EG336" i="2"/>
  <c r="G46" i="2"/>
  <c r="F46" i="2"/>
  <c r="BX37" i="2"/>
  <c r="BY37" i="2" s="1"/>
  <c r="AU37" i="2"/>
  <c r="CN37" i="2" s="1"/>
  <c r="BQ36" i="2"/>
  <c r="EU36" i="2"/>
  <c r="EV36" i="2"/>
  <c r="EW36" i="2" s="1"/>
  <c r="EX36" i="2" s="1"/>
  <c r="EJ36" i="2"/>
  <c r="DA36" i="2"/>
  <c r="CX36" i="2"/>
  <c r="CV36" i="2"/>
  <c r="CY36" i="2"/>
  <c r="CS36" i="2"/>
  <c r="CW36" i="2"/>
  <c r="CU36" i="2"/>
  <c r="DG36" i="2"/>
  <c r="EL36" i="2"/>
  <c r="CR36" i="2"/>
  <c r="DW36" i="2"/>
  <c r="DM36" i="2"/>
  <c r="CT36" i="2"/>
  <c r="CZ36" i="2"/>
  <c r="G195" i="2"/>
  <c r="F195" i="2"/>
  <c r="G251" i="2"/>
  <c r="F251" i="2"/>
  <c r="G268" i="2"/>
  <c r="F268" i="2"/>
  <c r="EG327" i="2"/>
  <c r="DY327" i="2"/>
  <c r="DY279" i="2"/>
  <c r="EG279" i="2"/>
  <c r="BP39" i="4"/>
  <c r="DY288" i="2"/>
  <c r="EG288" i="2"/>
  <c r="DF153" i="2"/>
  <c r="DU153" i="2"/>
  <c r="EF153" i="2"/>
  <c r="DV153" i="2"/>
  <c r="DN153" i="2"/>
  <c r="DP153" i="2" s="1"/>
  <c r="DQ153" i="2" s="1"/>
  <c r="G239" i="2"/>
  <c r="F239" i="2"/>
  <c r="DC106" i="2"/>
  <c r="G237" i="2"/>
  <c r="F237" i="2"/>
  <c r="DE142" i="2"/>
  <c r="DD142" i="2"/>
  <c r="EF142" i="2" s="1"/>
  <c r="DV332" i="2"/>
  <c r="DN332" i="2"/>
  <c r="DP332" i="2" s="1"/>
  <c r="DQ332" i="2" s="1"/>
  <c r="DU332" i="2"/>
  <c r="BT144" i="2"/>
  <c r="BU144" i="2" s="1"/>
  <c r="CQ144" i="2"/>
  <c r="DD144" i="2" s="1"/>
  <c r="DY135" i="2"/>
  <c r="EG135" i="2"/>
  <c r="BQ161" i="2"/>
  <c r="EJ161" i="2"/>
  <c r="DM161" i="2"/>
  <c r="EL161" i="2"/>
  <c r="DG161" i="2"/>
  <c r="CS161" i="2"/>
  <c r="CT161" i="2"/>
  <c r="CW161" i="2"/>
  <c r="CV161" i="2"/>
  <c r="CU161" i="2"/>
  <c r="DA161" i="2"/>
  <c r="CR161" i="2"/>
  <c r="CY161" i="2"/>
  <c r="CZ161" i="2"/>
  <c r="CX161" i="2"/>
  <c r="DW161" i="2"/>
  <c r="EV161" i="2"/>
  <c r="EW161" i="2" s="1"/>
  <c r="EX161" i="2" s="1"/>
  <c r="EU161" i="2"/>
  <c r="BX76" i="2"/>
  <c r="BY76" i="2" s="1"/>
  <c r="AU76" i="2"/>
  <c r="DM171" i="2"/>
  <c r="EU171" i="2"/>
  <c r="BQ171" i="2"/>
  <c r="EJ171" i="2"/>
  <c r="DW171" i="2"/>
  <c r="CY171" i="2"/>
  <c r="CU171" i="2"/>
  <c r="CX171" i="2"/>
  <c r="CV171" i="2"/>
  <c r="CS171" i="2"/>
  <c r="DG171" i="2"/>
  <c r="CT171" i="2"/>
  <c r="DA171" i="2"/>
  <c r="EL171" i="2"/>
  <c r="CZ171" i="2"/>
  <c r="CW171" i="2"/>
  <c r="CR171" i="2"/>
  <c r="EV171" i="2"/>
  <c r="EW171" i="2" s="1"/>
  <c r="EX171" i="2" s="1"/>
  <c r="DY326" i="2"/>
  <c r="EF326" i="2" s="1"/>
  <c r="EG326" i="2"/>
  <c r="BT227" i="2"/>
  <c r="BU227" i="2" s="1"/>
  <c r="CN227" i="2"/>
  <c r="EW227" i="2"/>
  <c r="EX227" i="2" s="1"/>
  <c r="ED302" i="2"/>
  <c r="DX302" i="2"/>
  <c r="DZ302" i="2" s="1"/>
  <c r="EA302" i="2" s="1"/>
  <c r="T58" i="4"/>
  <c r="DX153" i="2"/>
  <c r="DZ153" i="2" s="1"/>
  <c r="EA153" i="2" s="1"/>
  <c r="ED153" i="2"/>
  <c r="F37" i="2"/>
  <c r="G37" i="2"/>
  <c r="DA295" i="2"/>
  <c r="EJ295" i="2"/>
  <c r="DW295" i="2"/>
  <c r="DM295" i="2"/>
  <c r="CX295" i="2"/>
  <c r="CR295" i="2"/>
  <c r="DG295" i="2"/>
  <c r="EU295" i="2"/>
  <c r="EL295" i="2"/>
  <c r="BQ295" i="2"/>
  <c r="CS295" i="2"/>
  <c r="CV295" i="2"/>
  <c r="CZ295" i="2"/>
  <c r="CW295" i="2"/>
  <c r="CT295" i="2"/>
  <c r="CU295" i="2"/>
  <c r="CY295" i="2"/>
  <c r="EV295" i="2"/>
  <c r="DU125" i="2"/>
  <c r="DN125" i="2"/>
  <c r="DP125" i="2" s="1"/>
  <c r="DQ125" i="2" s="1"/>
  <c r="DF125" i="2"/>
  <c r="DV125" i="2"/>
  <c r="EF125" i="2"/>
  <c r="EC243" i="2"/>
  <c r="EB243" i="2"/>
  <c r="EE243" i="2"/>
  <c r="DY328" i="2"/>
  <c r="EG328" i="2"/>
  <c r="DD34" i="2"/>
  <c r="DE34" i="2"/>
  <c r="DM221" i="2"/>
  <c r="DC221" i="2" s="1"/>
  <c r="BQ221" i="2"/>
  <c r="CQ221" i="2" s="1"/>
  <c r="DW221" i="2"/>
  <c r="EJ221" i="2"/>
  <c r="EL221" i="2"/>
  <c r="CX221" i="2"/>
  <c r="CR221" i="2"/>
  <c r="EU221" i="2"/>
  <c r="CV221" i="2"/>
  <c r="CW221" i="2"/>
  <c r="CU221" i="2"/>
  <c r="CT221" i="2"/>
  <c r="DG221" i="2"/>
  <c r="CZ221" i="2"/>
  <c r="CS221" i="2"/>
  <c r="DA221" i="2"/>
  <c r="CY221" i="2"/>
  <c r="EV221" i="2"/>
  <c r="BP42" i="4"/>
  <c r="T74" i="4"/>
  <c r="T19" i="4"/>
  <c r="BP34" i="4"/>
  <c r="BT336" i="2"/>
  <c r="BU336" i="2" s="1"/>
  <c r="CQ336" i="2"/>
  <c r="T28" i="4"/>
  <c r="CN49" i="2"/>
  <c r="DD49" i="2" s="1"/>
  <c r="BT49" i="2"/>
  <c r="BU49" i="2" s="1"/>
  <c r="BX179" i="2"/>
  <c r="BY179" i="2" s="1"/>
  <c r="AU179" i="2"/>
  <c r="G27" i="2"/>
  <c r="F27" i="2"/>
  <c r="ED125" i="2"/>
  <c r="DX125" i="2"/>
  <c r="DZ125" i="2" s="1"/>
  <c r="EA125" i="2" s="1"/>
  <c r="F314" i="2"/>
  <c r="G314" i="2"/>
  <c r="EG223" i="2"/>
  <c r="DY223" i="2"/>
  <c r="CQ194" i="2"/>
  <c r="BT194" i="2"/>
  <c r="BU194" i="2" s="1"/>
  <c r="DF209" i="2"/>
  <c r="DN209" i="2"/>
  <c r="DP209" i="2" s="1"/>
  <c r="DQ209" i="2" s="1"/>
  <c r="DV209" i="2"/>
  <c r="DU209" i="2"/>
  <c r="EF209" i="2"/>
  <c r="CQ106" i="2"/>
  <c r="BT106" i="2"/>
  <c r="BU106" i="2" s="1"/>
  <c r="EV89" i="2"/>
  <c r="EW89" i="2" s="1"/>
  <c r="EX89" i="2" s="1"/>
  <c r="CR89" i="2"/>
  <c r="CY89" i="2"/>
  <c r="CS89" i="2"/>
  <c r="DM89" i="2"/>
  <c r="BQ89" i="2"/>
  <c r="DG89" i="2"/>
  <c r="EL89" i="2"/>
  <c r="CZ89" i="2"/>
  <c r="DA89" i="2"/>
  <c r="CT89" i="2"/>
  <c r="CU89" i="2"/>
  <c r="CW89" i="2"/>
  <c r="EU89" i="2"/>
  <c r="CX89" i="2"/>
  <c r="DW89" i="2"/>
  <c r="EJ89" i="2"/>
  <c r="CV89" i="2"/>
  <c r="DR331" i="2"/>
  <c r="DS331" i="2"/>
  <c r="DT331" i="2"/>
  <c r="F67" i="2"/>
  <c r="G67" i="2"/>
  <c r="DD91" i="2"/>
  <c r="EF91" i="2" s="1"/>
  <c r="DD19" i="2"/>
  <c r="DE19" i="2"/>
  <c r="BX27" i="2"/>
  <c r="BY27" i="2" s="1"/>
  <c r="AU27" i="2"/>
  <c r="CN161" i="2"/>
  <c r="DU160" i="2"/>
  <c r="EF160" i="2"/>
  <c r="DF160" i="2"/>
  <c r="DN160" i="2"/>
  <c r="DP160" i="2" s="1"/>
  <c r="DQ160" i="2" s="1"/>
  <c r="DV160" i="2"/>
  <c r="DC71" i="2"/>
  <c r="BT223" i="2"/>
  <c r="BU223" i="2" s="1"/>
  <c r="CQ223" i="2"/>
  <c r="CQ135" i="2"/>
  <c r="BT135" i="2"/>
  <c r="BU135" i="2" s="1"/>
  <c r="F76" i="2"/>
  <c r="G76" i="2"/>
  <c r="AU170" i="2"/>
  <c r="BX170" i="2"/>
  <c r="BY170" i="2" s="1"/>
  <c r="T94" i="4"/>
  <c r="BP26" i="4"/>
  <c r="F168" i="2"/>
  <c r="G168" i="2"/>
  <c r="DX209" i="2"/>
  <c r="DZ209" i="2" s="1"/>
  <c r="EA209" i="2" s="1"/>
  <c r="ED209" i="2"/>
  <c r="G126" i="2"/>
  <c r="F126" i="2"/>
  <c r="DX25" i="2"/>
  <c r="DZ25" i="2" s="1"/>
  <c r="EA25" i="2" s="1"/>
  <c r="ED25" i="2"/>
  <c r="CZ44" i="2"/>
  <c r="BQ44" i="2"/>
  <c r="CT44" i="2"/>
  <c r="DG44" i="2"/>
  <c r="EJ44" i="2"/>
  <c r="DM44" i="2"/>
  <c r="CY44" i="2"/>
  <c r="DW44" i="2"/>
  <c r="CR44" i="2"/>
  <c r="EU44" i="2"/>
  <c r="DA44" i="2"/>
  <c r="CS44" i="2"/>
  <c r="CW44" i="2"/>
  <c r="EL44" i="2"/>
  <c r="CU44" i="2"/>
  <c r="CX44" i="2"/>
  <c r="CV44" i="2"/>
  <c r="DN296" i="2"/>
  <c r="DP296" i="2" s="1"/>
  <c r="DQ296" i="2" s="1"/>
  <c r="DU296" i="2"/>
  <c r="EF296" i="2"/>
  <c r="DY268" i="2"/>
  <c r="EG268" i="2"/>
  <c r="G179" i="2"/>
  <c r="F179" i="2"/>
  <c r="DD214" i="2"/>
  <c r="DE214" i="2"/>
  <c r="DX160" i="2"/>
  <c r="DZ160" i="2" s="1"/>
  <c r="EA160" i="2" s="1"/>
  <c r="ED160" i="2"/>
  <c r="DY71" i="2"/>
  <c r="EG71" i="2"/>
  <c r="DU253" i="2"/>
  <c r="DN253" i="2"/>
  <c r="DP253" i="2" s="1"/>
  <c r="DQ253" i="2" s="1"/>
  <c r="EF253" i="2"/>
  <c r="DV253" i="2"/>
  <c r="DF253" i="2"/>
  <c r="DC135" i="2"/>
  <c r="ED62" i="2"/>
  <c r="DX62" i="2"/>
  <c r="DZ62" i="2" s="1"/>
  <c r="EA62" i="2" s="1"/>
  <c r="CQ127" i="2"/>
  <c r="BT127" i="2"/>
  <c r="BU127" i="2" s="1"/>
  <c r="CO109" i="2"/>
  <c r="CN109" i="2"/>
  <c r="CN42" i="2"/>
  <c r="BQ308" i="2"/>
  <c r="DM308" i="2"/>
  <c r="DW308" i="2"/>
  <c r="EJ308" i="2"/>
  <c r="DA308" i="2"/>
  <c r="CZ308" i="2"/>
  <c r="CY308" i="2"/>
  <c r="CV308" i="2"/>
  <c r="EL308" i="2"/>
  <c r="CU308" i="2"/>
  <c r="EU308" i="2"/>
  <c r="CW308" i="2"/>
  <c r="CS308" i="2"/>
  <c r="CR308" i="2"/>
  <c r="DG308" i="2"/>
  <c r="CX308" i="2"/>
  <c r="CT308" i="2"/>
  <c r="EV308" i="2"/>
  <c r="EW308" i="2" s="1"/>
  <c r="EX308" i="2" s="1"/>
  <c r="DC336" i="2"/>
  <c r="DC342" i="2"/>
  <c r="DE77" i="2"/>
  <c r="DD77" i="2"/>
  <c r="EF77" i="2" s="1"/>
  <c r="DU25" i="2"/>
  <c r="DF25" i="2"/>
  <c r="DN25" i="2"/>
  <c r="DP25" i="2" s="1"/>
  <c r="DQ25" i="2" s="1"/>
  <c r="DV25" i="2"/>
  <c r="AU71" i="2"/>
  <c r="BX71" i="2"/>
  <c r="BY71" i="2" s="1"/>
  <c r="DX253" i="2"/>
  <c r="DZ253" i="2" s="1"/>
  <c r="EA253" i="2" s="1"/>
  <c r="ED253" i="2"/>
  <c r="G93" i="2"/>
  <c r="F93" i="2"/>
  <c r="DU62" i="2"/>
  <c r="DF62" i="2"/>
  <c r="EF62" i="2"/>
  <c r="DN62" i="2"/>
  <c r="DP62" i="2" s="1"/>
  <c r="DQ62" i="2" s="1"/>
  <c r="DV62" i="2"/>
  <c r="EB296" i="2"/>
  <c r="EC296" i="2"/>
  <c r="EE296" i="2"/>
  <c r="DC86" i="2"/>
  <c r="CN232" i="2"/>
  <c r="BT232" i="2"/>
  <c r="BU232" i="2" s="1"/>
  <c r="EW232" i="2"/>
  <c r="EX232" i="2" s="1"/>
  <c r="DC194" i="2"/>
  <c r="F170" i="2"/>
  <c r="G170" i="2"/>
  <c r="DR176" i="2"/>
  <c r="DT176" i="2"/>
  <c r="DS176" i="2"/>
  <c r="DG264" i="2"/>
  <c r="CS264" i="2"/>
  <c r="CZ264" i="2"/>
  <c r="EL264" i="2"/>
  <c r="DA264" i="2"/>
  <c r="CX264" i="2"/>
  <c r="EV264" i="2"/>
  <c r="EW264" i="2" s="1"/>
  <c r="EX264" i="2" s="1"/>
  <c r="CR264" i="2"/>
  <c r="CT264" i="2"/>
  <c r="BQ264" i="2"/>
  <c r="CV264" i="2"/>
  <c r="DW264" i="2"/>
  <c r="CY264" i="2"/>
  <c r="EJ264" i="2"/>
  <c r="CW264" i="2"/>
  <c r="CU264" i="2"/>
  <c r="DM264" i="2"/>
  <c r="EU264" i="2"/>
  <c r="BX126" i="2"/>
  <c r="BY126" i="2" s="1"/>
  <c r="AU126" i="2"/>
  <c r="G284" i="2"/>
  <c r="F284" i="2"/>
  <c r="T32" i="4"/>
  <c r="W32" i="4" s="1"/>
  <c r="Y32" i="4" s="1"/>
  <c r="F294" i="2"/>
  <c r="G294" i="2"/>
  <c r="DE58" i="2"/>
  <c r="DD58" i="2"/>
  <c r="BP19" i="4"/>
  <c r="DY64" i="2"/>
  <c r="EG64" i="2"/>
  <c r="AU93" i="2"/>
  <c r="BX93" i="2"/>
  <c r="BY93" i="2" s="1"/>
  <c r="DY145" i="2"/>
  <c r="EG145" i="2"/>
  <c r="DC127" i="2"/>
  <c r="F216" i="2"/>
  <c r="G216" i="2"/>
  <c r="CN120" i="2"/>
  <c r="EW120" i="2"/>
  <c r="EX120" i="2" s="1"/>
  <c r="CN304" i="2"/>
  <c r="EW304" i="2"/>
  <c r="EX304" i="2" s="1"/>
  <c r="BT304" i="2"/>
  <c r="BU304" i="2" s="1"/>
  <c r="EJ35" i="2"/>
  <c r="DM35" i="2"/>
  <c r="DG35" i="2"/>
  <c r="EU35" i="2"/>
  <c r="EV35" i="2"/>
  <c r="CV35" i="2"/>
  <c r="CX35" i="2"/>
  <c r="CW35" i="2"/>
  <c r="CT35" i="2"/>
  <c r="CR35" i="2"/>
  <c r="BQ35" i="2"/>
  <c r="CS35" i="2"/>
  <c r="DA35" i="2"/>
  <c r="CZ35" i="2"/>
  <c r="CU35" i="2"/>
  <c r="DW35" i="2"/>
  <c r="EL35" i="2"/>
  <c r="CY35" i="2"/>
  <c r="DX220" i="2"/>
  <c r="DZ220" i="2" s="1"/>
  <c r="EA220" i="2" s="1"/>
  <c r="ED220" i="2"/>
  <c r="G95" i="2"/>
  <c r="F95" i="2"/>
  <c r="BP58" i="4"/>
  <c r="AU168" i="2"/>
  <c r="CN168" i="2" s="1"/>
  <c r="DD168" i="2" s="1"/>
  <c r="BX168" i="2"/>
  <c r="BY168" i="2" s="1"/>
  <c r="DS105" i="2"/>
  <c r="DT105" i="2"/>
  <c r="DR105" i="2"/>
  <c r="DV154" i="2"/>
  <c r="DU154" i="2"/>
  <c r="DN154" i="2"/>
  <c r="DP154" i="2" s="1"/>
  <c r="DQ154" i="2" s="1"/>
  <c r="EF154" i="2"/>
  <c r="DF154" i="2"/>
  <c r="F71" i="2"/>
  <c r="G71" i="2"/>
  <c r="DU303" i="2"/>
  <c r="DF303" i="2"/>
  <c r="DN303" i="2"/>
  <c r="DP303" i="2" s="1"/>
  <c r="DQ303" i="2" s="1"/>
  <c r="DV303" i="2"/>
  <c r="DN220" i="2"/>
  <c r="DP220" i="2" s="1"/>
  <c r="DQ220" i="2" s="1"/>
  <c r="DF220" i="2"/>
  <c r="DU220" i="2"/>
  <c r="DV220" i="2"/>
  <c r="DX45" i="2"/>
  <c r="DZ45" i="2" s="1"/>
  <c r="EA45" i="2" s="1"/>
  <c r="ED45" i="2"/>
  <c r="DY257" i="2"/>
  <c r="EG257" i="2"/>
  <c r="DX271" i="2"/>
  <c r="DZ271" i="2" s="1"/>
  <c r="EA271" i="2" s="1"/>
  <c r="ED271" i="2"/>
  <c r="EC41" i="2"/>
  <c r="EE41" i="2"/>
  <c r="EB41" i="2"/>
  <c r="EG127" i="2"/>
  <c r="DC185" i="2"/>
  <c r="BP107" i="4"/>
  <c r="H107" i="4" s="1" a="1"/>
  <c r="H107" i="4" s="1"/>
  <c r="BP46" i="4"/>
  <c r="BP72" i="4"/>
  <c r="BP71" i="4"/>
  <c r="T43" i="4"/>
  <c r="W43" i="4" s="1"/>
  <c r="Y43" i="4" s="1"/>
  <c r="DF265" i="2"/>
  <c r="CN3" i="2"/>
  <c r="BT3" i="2"/>
  <c r="BU3" i="2" s="1"/>
  <c r="EW3" i="2"/>
  <c r="EX3" i="2" s="1"/>
  <c r="DA40" i="2"/>
  <c r="EL40" i="2"/>
  <c r="EU40" i="2"/>
  <c r="DM40" i="2"/>
  <c r="DC40" i="2" s="1"/>
  <c r="CV40" i="2"/>
  <c r="CX40" i="2"/>
  <c r="DG40" i="2"/>
  <c r="CW40" i="2"/>
  <c r="CU40" i="2"/>
  <c r="CS40" i="2"/>
  <c r="CT40" i="2"/>
  <c r="EJ40" i="2"/>
  <c r="DW40" i="2"/>
  <c r="CZ40" i="2"/>
  <c r="CR40" i="2"/>
  <c r="BQ40" i="2"/>
  <c r="CY40" i="2"/>
  <c r="CQ27" i="2"/>
  <c r="CQ342" i="2"/>
  <c r="BT342" i="2"/>
  <c r="BU342" i="2" s="1"/>
  <c r="CQ291" i="2"/>
  <c r="DE291" i="2" s="1"/>
  <c r="BT291" i="2"/>
  <c r="BU291" i="2" s="1"/>
  <c r="DN164" i="2"/>
  <c r="DP164" i="2" s="1"/>
  <c r="DQ164" i="2" s="1"/>
  <c r="DU164" i="2"/>
  <c r="EF164" i="2"/>
  <c r="CV61" i="2"/>
  <c r="EL61" i="2"/>
  <c r="BQ61" i="2"/>
  <c r="DA61" i="2"/>
  <c r="DW61" i="2"/>
  <c r="CX61" i="2"/>
  <c r="CZ61" i="2"/>
  <c r="CU61" i="2"/>
  <c r="CW61" i="2"/>
  <c r="CS61" i="2"/>
  <c r="EJ61" i="2"/>
  <c r="DG61" i="2"/>
  <c r="CR61" i="2"/>
  <c r="CT61" i="2"/>
  <c r="EU61" i="2"/>
  <c r="DM61" i="2"/>
  <c r="DC61" i="2" s="1"/>
  <c r="CY61" i="2"/>
  <c r="EV61" i="2"/>
  <c r="EW61" i="2" s="1"/>
  <c r="EX61" i="2" s="1"/>
  <c r="G145" i="2"/>
  <c r="F145" i="2"/>
  <c r="DM234" i="2"/>
  <c r="EJ234" i="2"/>
  <c r="DW234" i="2"/>
  <c r="BQ234" i="2"/>
  <c r="CT234" i="2"/>
  <c r="CX234" i="2"/>
  <c r="CY234" i="2"/>
  <c r="DA234" i="2"/>
  <c r="CS234" i="2"/>
  <c r="CR234" i="2"/>
  <c r="EL234" i="2"/>
  <c r="CZ234" i="2"/>
  <c r="DG234" i="2"/>
  <c r="CV234" i="2"/>
  <c r="CW234" i="2"/>
  <c r="EV234" i="2"/>
  <c r="EW234" i="2" s="1"/>
  <c r="EX234" i="2" s="1"/>
  <c r="EU234" i="2"/>
  <c r="CU234" i="2"/>
  <c r="DV45" i="2"/>
  <c r="DF45" i="2"/>
  <c r="DU45" i="2"/>
  <c r="DN45" i="2"/>
  <c r="DP45" i="2" s="1"/>
  <c r="DQ45" i="2" s="1"/>
  <c r="EF45" i="2"/>
  <c r="EV8" i="2"/>
  <c r="EW8" i="2" s="1"/>
  <c r="EX8" i="2" s="1"/>
  <c r="DV164" i="2"/>
  <c r="DV271" i="2"/>
  <c r="DU271" i="2"/>
  <c r="DF271" i="2"/>
  <c r="DN271" i="2"/>
  <c r="DP271" i="2" s="1"/>
  <c r="DQ271" i="2" s="1"/>
  <c r="EF271" i="2"/>
  <c r="DT90" i="2"/>
  <c r="DS90" i="2"/>
  <c r="DR90" i="2"/>
  <c r="CN235" i="2"/>
  <c r="BT235" i="2"/>
  <c r="BU235" i="2" s="1"/>
  <c r="EW235" i="2"/>
  <c r="EX235" i="2" s="1"/>
  <c r="EG342" i="2"/>
  <c r="DY342" i="2"/>
  <c r="BT33" i="2"/>
  <c r="BU33" i="2" s="1"/>
  <c r="CQ33" i="2"/>
  <c r="DD33" i="2" s="1"/>
  <c r="EJ42" i="2"/>
  <c r="BQ42" i="2"/>
  <c r="DW42" i="2"/>
  <c r="EG42" i="2" s="1"/>
  <c r="EU42" i="2"/>
  <c r="DA42" i="2"/>
  <c r="CX42" i="2"/>
  <c r="DM42" i="2"/>
  <c r="DC42" i="2" s="1"/>
  <c r="CS42" i="2"/>
  <c r="CV42" i="2"/>
  <c r="CY42" i="2"/>
  <c r="EL42" i="2"/>
  <c r="CU42" i="2"/>
  <c r="CR42" i="2"/>
  <c r="CT42" i="2"/>
  <c r="CW42" i="2"/>
  <c r="EV42" i="2"/>
  <c r="EW42" i="2" s="1"/>
  <c r="EX42" i="2" s="1"/>
  <c r="CZ42" i="2"/>
  <c r="DG42" i="2"/>
  <c r="DY42" i="2" s="1"/>
  <c r="DX164" i="2"/>
  <c r="DZ164" i="2" s="1"/>
  <c r="EA164" i="2" s="1"/>
  <c r="ED164" i="2"/>
  <c r="DG69" i="2"/>
  <c r="CT69" i="2"/>
  <c r="CW69" i="2"/>
  <c r="CU69" i="2"/>
  <c r="DM69" i="2"/>
  <c r="DA69" i="2"/>
  <c r="CR69" i="2"/>
  <c r="CS69" i="2"/>
  <c r="EL69" i="2"/>
  <c r="CY69" i="2"/>
  <c r="CX69" i="2"/>
  <c r="CV69" i="2"/>
  <c r="BQ69" i="2"/>
  <c r="CZ69" i="2"/>
  <c r="DW69" i="2"/>
  <c r="EV69" i="2"/>
  <c r="EW69" i="2" s="1"/>
  <c r="EX69" i="2" s="1"/>
  <c r="EU69" i="2"/>
  <c r="EJ69" i="2"/>
  <c r="EF265" i="2"/>
  <c r="DX140" i="2"/>
  <c r="DZ140" i="2" s="1"/>
  <c r="EA140" i="2" s="1"/>
  <c r="ED140" i="2"/>
  <c r="DY207" i="2"/>
  <c r="EG207" i="2"/>
  <c r="DX154" i="2"/>
  <c r="DZ154" i="2" s="1"/>
  <c r="EA154" i="2" s="1"/>
  <c r="ED154" i="2"/>
  <c r="DM259" i="2"/>
  <c r="CZ259" i="2"/>
  <c r="EJ259" i="2"/>
  <c r="CV259" i="2"/>
  <c r="CS259" i="2"/>
  <c r="BQ259" i="2"/>
  <c r="DW259" i="2"/>
  <c r="CT259" i="2"/>
  <c r="CR259" i="2"/>
  <c r="DA259" i="2"/>
  <c r="CU259" i="2"/>
  <c r="EL259" i="2"/>
  <c r="CY259" i="2"/>
  <c r="EV259" i="2"/>
  <c r="EW259" i="2" s="1"/>
  <c r="EX259" i="2" s="1"/>
  <c r="CW259" i="2"/>
  <c r="DG259" i="2"/>
  <c r="CX259" i="2"/>
  <c r="EU259" i="2"/>
  <c r="G238" i="2"/>
  <c r="F238" i="2"/>
  <c r="DF111" i="2"/>
  <c r="DU111" i="2"/>
  <c r="DV111" i="2"/>
  <c r="DN111" i="2"/>
  <c r="DP111" i="2" s="1"/>
  <c r="DQ111" i="2" s="1"/>
  <c r="AU256" i="2"/>
  <c r="BX256" i="2"/>
  <c r="BY256" i="2" s="1"/>
  <c r="DT320" i="2"/>
  <c r="DS320" i="2"/>
  <c r="DR320" i="2"/>
  <c r="CT21" i="2"/>
  <c r="DM21" i="2"/>
  <c r="DC21" i="2" s="1"/>
  <c r="CZ21" i="2"/>
  <c r="DW21" i="2"/>
  <c r="DA21" i="2"/>
  <c r="BQ21" i="2"/>
  <c r="EV21" i="2"/>
  <c r="EW21" i="2" s="1"/>
  <c r="EX21" i="2" s="1"/>
  <c r="CS21" i="2"/>
  <c r="CX21" i="2"/>
  <c r="CV21" i="2"/>
  <c r="EJ21" i="2"/>
  <c r="EU21" i="2"/>
  <c r="CR21" i="2"/>
  <c r="CW21" i="2"/>
  <c r="CY21" i="2"/>
  <c r="DG21" i="2"/>
  <c r="CU21" i="2"/>
  <c r="EL21" i="2"/>
  <c r="DN140" i="2"/>
  <c r="DP140" i="2" s="1"/>
  <c r="DQ140" i="2" s="1"/>
  <c r="DU140" i="2"/>
  <c r="DV140" i="2"/>
  <c r="DF140" i="2"/>
  <c r="BX216" i="2"/>
  <c r="BY216" i="2" s="1"/>
  <c r="AU216" i="2"/>
  <c r="DE144" i="2"/>
  <c r="DX92" i="2"/>
  <c r="DZ92" i="2" s="1"/>
  <c r="EA92" i="2" s="1"/>
  <c r="ED92" i="2"/>
  <c r="DC27" i="2"/>
  <c r="EG33" i="2"/>
  <c r="DY33" i="2"/>
  <c r="ED208" i="2"/>
  <c r="DX208" i="2"/>
  <c r="DZ208" i="2" s="1"/>
  <c r="EA208" i="2" s="1"/>
  <c r="BX284" i="2"/>
  <c r="BY284" i="2" s="1"/>
  <c r="AU284" i="2"/>
  <c r="F28" i="2"/>
  <c r="G28" i="2"/>
  <c r="DX330" i="2"/>
  <c r="T46" i="4"/>
  <c r="BP38" i="4"/>
  <c r="BX38" i="4" s="1" a="1"/>
  <c r="BX38" i="4" s="1"/>
  <c r="BP22" i="4"/>
  <c r="E22" i="4" s="1" a="1"/>
  <c r="E22" i="4" s="1"/>
  <c r="BP85" i="4"/>
  <c r="CG85" i="4" s="1" a="1"/>
  <c r="CG85" i="4" s="1"/>
  <c r="BQ188" i="2"/>
  <c r="DM188" i="2"/>
  <c r="DW188" i="2"/>
  <c r="EJ188" i="2"/>
  <c r="CS188" i="2"/>
  <c r="EL188" i="2"/>
  <c r="CT188" i="2"/>
  <c r="CV188" i="2"/>
  <c r="CU188" i="2"/>
  <c r="DA188" i="2"/>
  <c r="DG188" i="2"/>
  <c r="CW188" i="2"/>
  <c r="CZ188" i="2"/>
  <c r="CY188" i="2"/>
  <c r="CR188" i="2"/>
  <c r="CX188" i="2"/>
  <c r="EV188" i="2"/>
  <c r="EW188" i="2" s="1"/>
  <c r="EX188" i="2" s="1"/>
  <c r="EU188" i="2"/>
  <c r="BX228" i="2"/>
  <c r="BY228" i="2" s="1"/>
  <c r="AU228" i="2"/>
  <c r="DE230" i="2"/>
  <c r="DD230" i="2"/>
  <c r="DC33" i="2"/>
  <c r="DU208" i="2"/>
  <c r="EF208" i="2"/>
  <c r="DN208" i="2"/>
  <c r="DP208" i="2" s="1"/>
  <c r="DQ208" i="2" s="1"/>
  <c r="DV208" i="2"/>
  <c r="DF208" i="2"/>
  <c r="AU95" i="2"/>
  <c r="BX95" i="2"/>
  <c r="BY95" i="2" s="1"/>
  <c r="G310" i="2"/>
  <c r="F310" i="2"/>
  <c r="DC268" i="2"/>
  <c r="EE148" i="2"/>
  <c r="EC148" i="2"/>
  <c r="EB148" i="2"/>
  <c r="BQ29" i="2"/>
  <c r="CR29" i="2"/>
  <c r="CU29" i="2"/>
  <c r="CX29" i="2"/>
  <c r="CW29" i="2"/>
  <c r="CZ29" i="2"/>
  <c r="EL29" i="2"/>
  <c r="DW29" i="2"/>
  <c r="CY29" i="2"/>
  <c r="EU29" i="2"/>
  <c r="DA29" i="2"/>
  <c r="CT29" i="2"/>
  <c r="CV29" i="2"/>
  <c r="DM29" i="2"/>
  <c r="CS29" i="2"/>
  <c r="DG29" i="2"/>
  <c r="EV29" i="2"/>
  <c r="EW29" i="2" s="1"/>
  <c r="EX29" i="2" s="1"/>
  <c r="EJ29" i="2"/>
  <c r="F228" i="2"/>
  <c r="G228" i="2"/>
  <c r="EJ200" i="2"/>
  <c r="BQ200" i="2"/>
  <c r="CQ200" i="2" s="1"/>
  <c r="DW200" i="2"/>
  <c r="DM200" i="2"/>
  <c r="CZ200" i="2"/>
  <c r="CR200" i="2"/>
  <c r="DA200" i="2"/>
  <c r="CV200" i="2"/>
  <c r="CW200" i="2"/>
  <c r="EU200" i="2"/>
  <c r="EV200" i="2"/>
  <c r="EW200" i="2" s="1"/>
  <c r="EX200" i="2" s="1"/>
  <c r="CY200" i="2"/>
  <c r="CS200" i="2"/>
  <c r="CX200" i="2"/>
  <c r="CT200" i="2"/>
  <c r="DG200" i="2"/>
  <c r="CU200" i="2"/>
  <c r="EL200" i="2"/>
  <c r="BP30" i="4"/>
  <c r="DN323" i="2"/>
  <c r="DP323" i="2" s="1"/>
  <c r="DQ323" i="2" s="1"/>
  <c r="DU323" i="2"/>
  <c r="EF323" i="2"/>
  <c r="DN302" i="2"/>
  <c r="DP302" i="2" s="1"/>
  <c r="DQ302" i="2" s="1"/>
  <c r="EF302" i="2"/>
  <c r="DF302" i="2"/>
  <c r="DU302" i="2"/>
  <c r="DV302" i="2"/>
  <c r="BQ311" i="2"/>
  <c r="CR311" i="2"/>
  <c r="DW311" i="2"/>
  <c r="EJ311" i="2"/>
  <c r="DM311" i="2"/>
  <c r="DA311" i="2"/>
  <c r="CX311" i="2"/>
  <c r="DG311" i="2"/>
  <c r="CY311" i="2"/>
  <c r="CZ311" i="2"/>
  <c r="CT311" i="2"/>
  <c r="CV311" i="2"/>
  <c r="CU311" i="2"/>
  <c r="CS311" i="2"/>
  <c r="EV311" i="2"/>
  <c r="EW311" i="2" s="1"/>
  <c r="EX311" i="2" s="1"/>
  <c r="CW311" i="2"/>
  <c r="EL311" i="2"/>
  <c r="EU311" i="2"/>
  <c r="T103" i="4"/>
  <c r="W103" i="4" s="1"/>
  <c r="Y103" i="4" s="1"/>
  <c r="BP32" i="4"/>
  <c r="D32" i="4" s="1" a="1"/>
  <c r="D32" i="4" s="1"/>
  <c r="BP65" i="4"/>
  <c r="BY65" i="4" s="1" a="1"/>
  <c r="BY65" i="4" s="1"/>
  <c r="DY5" i="2"/>
  <c r="EG5" i="2"/>
  <c r="DD233" i="2"/>
  <c r="DE233" i="2"/>
  <c r="DY27" i="2"/>
  <c r="EG27" i="2"/>
  <c r="EF260" i="2"/>
  <c r="DX90" i="2"/>
  <c r="DZ90" i="2" s="1"/>
  <c r="EA90" i="2" s="1"/>
  <c r="ED90" i="2"/>
  <c r="EW18" i="2"/>
  <c r="EX18" i="2" s="1"/>
  <c r="CQ317" i="2"/>
  <c r="BT317" i="2"/>
  <c r="BU317" i="2" s="1"/>
  <c r="F256" i="2"/>
  <c r="G256" i="2"/>
  <c r="CQ18" i="2"/>
  <c r="DE18" i="2" s="1"/>
  <c r="BT18" i="2"/>
  <c r="BU18" i="2" s="1"/>
  <c r="DY331" i="2"/>
  <c r="EF331" i="2" s="1"/>
  <c r="EG331" i="2"/>
  <c r="DC145" i="2"/>
  <c r="DW270" i="2"/>
  <c r="DM270" i="2"/>
  <c r="DA270" i="2"/>
  <c r="CV270" i="2"/>
  <c r="CX270" i="2"/>
  <c r="CR270" i="2"/>
  <c r="CU270" i="2"/>
  <c r="BQ270" i="2"/>
  <c r="EJ270" i="2"/>
  <c r="EL270" i="2"/>
  <c r="CZ270" i="2"/>
  <c r="EV270" i="2"/>
  <c r="EW270" i="2" s="1"/>
  <c r="EX270" i="2" s="1"/>
  <c r="CY270" i="2"/>
  <c r="DG270" i="2"/>
  <c r="CW270" i="2"/>
  <c r="CT270" i="2"/>
  <c r="CS270" i="2"/>
  <c r="EU270" i="2"/>
  <c r="EF151" i="2"/>
  <c r="DV151" i="2"/>
  <c r="DN151" i="2"/>
  <c r="DP151" i="2" s="1"/>
  <c r="DQ151" i="2" s="1"/>
  <c r="DU151" i="2"/>
  <c r="DF151" i="2"/>
  <c r="G35" i="2"/>
  <c r="F35" i="2"/>
  <c r="ED283" i="2"/>
  <c r="DX283" i="2"/>
  <c r="DZ283" i="2" s="1"/>
  <c r="EA283" i="2" s="1"/>
  <c r="AU310" i="2"/>
  <c r="BX310" i="2"/>
  <c r="BY310" i="2" s="1"/>
  <c r="EG131" i="2"/>
  <c r="DF92" i="2"/>
  <c r="DU92" i="2"/>
  <c r="DV92" i="2"/>
  <c r="DN92" i="2"/>
  <c r="DP92" i="2" s="1"/>
  <c r="DQ92" i="2" s="1"/>
  <c r="EF92" i="2"/>
  <c r="CQ71" i="2"/>
  <c r="BT71" i="2"/>
  <c r="BU71" i="2" s="1"/>
  <c r="DS243" i="2"/>
  <c r="DT243" i="2"/>
  <c r="DR243" i="2"/>
  <c r="BT64" i="2"/>
  <c r="BU64" i="2" s="1"/>
  <c r="CQ64" i="2"/>
  <c r="EG330" i="2"/>
  <c r="DY330" i="2"/>
  <c r="EF330" i="2" s="1"/>
  <c r="CQ145" i="2"/>
  <c r="BT145" i="2"/>
  <c r="BU145" i="2" s="1"/>
  <c r="G74" i="2"/>
  <c r="F74" i="2"/>
  <c r="BP28" i="4"/>
  <c r="CI28" i="4" s="1" a="1"/>
  <c r="CI28" i="4" s="1"/>
  <c r="BP66" i="4"/>
  <c r="CB66" i="4" s="1" a="1"/>
  <c r="CB66" i="4" s="1"/>
  <c r="EG106" i="2"/>
  <c r="DY106" i="2"/>
  <c r="DZ303" i="2"/>
  <c r="EA303" i="2" s="1"/>
  <c r="DF283" i="2"/>
  <c r="DU283" i="2"/>
  <c r="DN283" i="2"/>
  <c r="DP283" i="2" s="1"/>
  <c r="DQ283" i="2" s="1"/>
  <c r="EF283" i="2"/>
  <c r="DV283" i="2"/>
  <c r="DE158" i="2"/>
  <c r="DD158" i="2"/>
  <c r="BX28" i="2"/>
  <c r="BY28" i="2" s="1"/>
  <c r="AU28" i="2"/>
  <c r="CQ268" i="2"/>
  <c r="BT268" i="2"/>
  <c r="BU268" i="2" s="1"/>
  <c r="CN188" i="2"/>
  <c r="BT16" i="2"/>
  <c r="BU16" i="2" s="1"/>
  <c r="CN16" i="2"/>
  <c r="EW16" i="2"/>
  <c r="EX16" i="2" s="1"/>
  <c r="DY329" i="2"/>
  <c r="EG329" i="2"/>
  <c r="EW67" i="2"/>
  <c r="EX67" i="2" s="1"/>
  <c r="CN67" i="2"/>
  <c r="DE67" i="2" s="1"/>
  <c r="BT67" i="2"/>
  <c r="BU67" i="2" s="1"/>
  <c r="DE192" i="2"/>
  <c r="DD192" i="2"/>
  <c r="BQ104" i="2"/>
  <c r="EU104" i="2"/>
  <c r="CV104" i="2"/>
  <c r="DW104" i="2"/>
  <c r="CX104" i="2"/>
  <c r="EJ104" i="2"/>
  <c r="CY104" i="2"/>
  <c r="CR104" i="2"/>
  <c r="DM104" i="2"/>
  <c r="CS104" i="2"/>
  <c r="DG104" i="2"/>
  <c r="DA104" i="2"/>
  <c r="CT104" i="2"/>
  <c r="CU104" i="2"/>
  <c r="EL104" i="2"/>
  <c r="CW104" i="2"/>
  <c r="EV104" i="2"/>
  <c r="EW104" i="2" s="1"/>
  <c r="EX104" i="2" s="1"/>
  <c r="CZ104" i="2"/>
  <c r="DE218" i="2"/>
  <c r="G274" i="2"/>
  <c r="F274" i="2"/>
  <c r="BX238" i="2"/>
  <c r="BY238" i="2" s="1"/>
  <c r="AU238" i="2"/>
  <c r="BP56" i="4"/>
  <c r="BV56" i="4" s="1" a="1"/>
  <c r="BV56" i="4" s="1"/>
  <c r="BP54" i="4"/>
  <c r="E54" i="4" s="1" a="1"/>
  <c r="E54" i="4" s="1"/>
  <c r="T67" i="4"/>
  <c r="W67" i="4" s="1"/>
  <c r="Y67" i="4" s="1"/>
  <c r="BP27" i="4"/>
  <c r="CA27" i="4" s="1" a="1"/>
  <c r="CA27" i="4" s="1"/>
  <c r="G207" i="2"/>
  <c r="F207" i="2"/>
  <c r="DE204" i="2"/>
  <c r="DD204" i="2"/>
  <c r="F110" i="2"/>
  <c r="G110" i="2"/>
  <c r="AU35" i="2"/>
  <c r="BX35" i="2"/>
  <c r="BY35" i="2" s="1"/>
  <c r="DF299" i="2"/>
  <c r="DU299" i="2"/>
  <c r="DN299" i="2"/>
  <c r="DP299" i="2" s="1"/>
  <c r="DQ299" i="2" s="1"/>
  <c r="DV299" i="2"/>
  <c r="EF299" i="2"/>
  <c r="EF282" i="2"/>
  <c r="G107" i="2"/>
  <c r="F107" i="2"/>
  <c r="DC72" i="2"/>
  <c r="DN79" i="2"/>
  <c r="DP79" i="2" s="1"/>
  <c r="DQ79" i="2" s="1"/>
  <c r="DF79" i="2"/>
  <c r="DV79" i="2"/>
  <c r="EF79" i="2"/>
  <c r="DU79" i="2"/>
  <c r="BX274" i="2"/>
  <c r="BY274" i="2" s="1"/>
  <c r="AU274" i="2"/>
  <c r="DR249" i="2"/>
  <c r="DS249" i="2"/>
  <c r="DT249" i="2"/>
  <c r="T98" i="4"/>
  <c r="BP109" i="4"/>
  <c r="BR109" i="4" s="1" a="1"/>
  <c r="BR109" i="4" s="1"/>
  <c r="T124" i="4"/>
  <c r="T20" i="4"/>
  <c r="CQ5" i="2"/>
  <c r="BT5" i="2"/>
  <c r="BU5" i="2" s="1"/>
  <c r="BX54" i="2"/>
  <c r="BY54" i="2" s="1"/>
  <c r="AU54" i="2"/>
  <c r="CN276" i="2"/>
  <c r="EW276" i="2"/>
  <c r="EX276" i="2" s="1"/>
  <c r="BT276" i="2"/>
  <c r="BU276" i="2" s="1"/>
  <c r="AU110" i="2"/>
  <c r="BX110" i="2"/>
  <c r="BY110" i="2" s="1"/>
  <c r="DF282" i="2"/>
  <c r="DX299" i="2"/>
  <c r="DZ299" i="2" s="1"/>
  <c r="EA299" i="2" s="1"/>
  <c r="ED299" i="2"/>
  <c r="DX249" i="2"/>
  <c r="DZ249" i="2" s="1"/>
  <c r="EA249" i="2" s="1"/>
  <c r="ED249" i="2"/>
  <c r="DF298" i="2"/>
  <c r="DU298" i="2"/>
  <c r="DV298" i="2"/>
  <c r="DN298" i="2"/>
  <c r="DP298" i="2" s="1"/>
  <c r="DQ298" i="2" s="1"/>
  <c r="EF298" i="2"/>
  <c r="DA213" i="2"/>
  <c r="DG213" i="2"/>
  <c r="EJ213" i="2"/>
  <c r="CS213" i="2"/>
  <c r="DM213" i="2"/>
  <c r="CT213" i="2"/>
  <c r="CV213" i="2"/>
  <c r="CW213" i="2"/>
  <c r="DW213" i="2"/>
  <c r="BQ213" i="2"/>
  <c r="EU213" i="2"/>
  <c r="CX213" i="2"/>
  <c r="CZ213" i="2"/>
  <c r="CY213" i="2"/>
  <c r="EV213" i="2"/>
  <c r="EW213" i="2" s="1"/>
  <c r="EX213" i="2" s="1"/>
  <c r="CR213" i="2"/>
  <c r="CU213" i="2"/>
  <c r="EL213" i="2"/>
  <c r="CQ131" i="2"/>
  <c r="BT131" i="2"/>
  <c r="BU131" i="2" s="1"/>
  <c r="BT47" i="2"/>
  <c r="BU47" i="2" s="1"/>
  <c r="CQ47" i="2"/>
  <c r="DE47" i="2" s="1"/>
  <c r="CN172" i="2"/>
  <c r="DD172" i="2" s="1"/>
  <c r="EW172" i="2"/>
  <c r="EX172" i="2" s="1"/>
  <c r="BT172" i="2"/>
  <c r="BU172" i="2" s="1"/>
  <c r="DN137" i="2"/>
  <c r="DP137" i="2" s="1"/>
  <c r="DQ137" i="2" s="1"/>
  <c r="DV137" i="2"/>
  <c r="EF137" i="2"/>
  <c r="DF137" i="2"/>
  <c r="DU137" i="2"/>
  <c r="ED79" i="2"/>
  <c r="DX79" i="2"/>
  <c r="DZ79" i="2" s="1"/>
  <c r="EA79" i="2" s="1"/>
  <c r="AU240" i="2"/>
  <c r="BX240" i="2"/>
  <c r="BY240" i="2" s="1"/>
  <c r="AU74" i="2"/>
  <c r="BX74" i="2"/>
  <c r="BY74" i="2" s="1"/>
  <c r="T63" i="4"/>
  <c r="BP67" i="4"/>
  <c r="BP44" i="4"/>
  <c r="DM177" i="2"/>
  <c r="CZ177" i="2"/>
  <c r="BQ177" i="2"/>
  <c r="CY177" i="2"/>
  <c r="EJ177" i="2"/>
  <c r="EV177" i="2"/>
  <c r="EW177" i="2" s="1"/>
  <c r="EX177" i="2" s="1"/>
  <c r="DW177" i="2"/>
  <c r="EU177" i="2"/>
  <c r="CR177" i="2"/>
  <c r="CV177" i="2"/>
  <c r="CW177" i="2"/>
  <c r="CX177" i="2"/>
  <c r="CT177" i="2"/>
  <c r="CS177" i="2"/>
  <c r="CU177" i="2"/>
  <c r="DA177" i="2"/>
  <c r="EL177" i="2"/>
  <c r="DG177" i="2"/>
  <c r="ED159" i="2"/>
  <c r="DX159" i="2"/>
  <c r="DZ159" i="2" s="1"/>
  <c r="EA159" i="2" s="1"/>
  <c r="DV282" i="2"/>
  <c r="DE72" i="2"/>
  <c r="EJ63" i="2"/>
  <c r="DW63" i="2"/>
  <c r="EL63" i="2"/>
  <c r="E31" i="4" s="1" a="1"/>
  <c r="E31" i="4" s="1"/>
  <c r="EU63" i="2"/>
  <c r="CZ63" i="2"/>
  <c r="CY63" i="2"/>
  <c r="CS63" i="2"/>
  <c r="CT63" i="2"/>
  <c r="DG63" i="2"/>
  <c r="DM63" i="2"/>
  <c r="DC63" i="2" s="1"/>
  <c r="DA63" i="2"/>
  <c r="CU63" i="2"/>
  <c r="CW63" i="2"/>
  <c r="BQ63" i="2"/>
  <c r="BC31" i="4" s="1" a="1"/>
  <c r="BC31" i="4" s="1"/>
  <c r="CX63" i="2"/>
  <c r="CV63" i="2"/>
  <c r="CR63" i="2"/>
  <c r="DX298" i="2"/>
  <c r="DZ298" i="2" s="1"/>
  <c r="EA298" i="2" s="1"/>
  <c r="ED298" i="2"/>
  <c r="CW155" i="2"/>
  <c r="EL155" i="2"/>
  <c r="CV155" i="2"/>
  <c r="CS155" i="2"/>
  <c r="CR155" i="2"/>
  <c r="EJ155" i="2"/>
  <c r="DM155" i="2"/>
  <c r="DC155" i="2" s="1"/>
  <c r="BQ155" i="2"/>
  <c r="CQ155" i="2" s="1"/>
  <c r="CX155" i="2"/>
  <c r="CZ155" i="2"/>
  <c r="CT155" i="2"/>
  <c r="CU155" i="2"/>
  <c r="EU155" i="2"/>
  <c r="DW155" i="2"/>
  <c r="CY155" i="2"/>
  <c r="DA155" i="2"/>
  <c r="DG155" i="2"/>
  <c r="EV155" i="2"/>
  <c r="DY109" i="2"/>
  <c r="EG109" i="2"/>
  <c r="BX267" i="2"/>
  <c r="BY267" i="2" s="1"/>
  <c r="AU267" i="2"/>
  <c r="DF332" i="2"/>
  <c r="DG324" i="2"/>
  <c r="ED137" i="2"/>
  <c r="DX137" i="2"/>
  <c r="DZ137" i="2" s="1"/>
  <c r="EA137" i="2" s="1"/>
  <c r="EW168" i="2"/>
  <c r="EX168" i="2" s="1"/>
  <c r="ED87" i="2"/>
  <c r="DX87" i="2"/>
  <c r="DZ87" i="2" s="1"/>
  <c r="EA87" i="2" s="1"/>
  <c r="G240" i="2"/>
  <c r="F240" i="2"/>
  <c r="CN163" i="2"/>
  <c r="EW163" i="2"/>
  <c r="EX163" i="2" s="1"/>
  <c r="BT163" i="2"/>
  <c r="BU163" i="2" s="1"/>
  <c r="EE22" i="2"/>
  <c r="EC22" i="2"/>
  <c r="EB22" i="2"/>
  <c r="CO145" i="2"/>
  <c r="CN145" i="2"/>
  <c r="EW145" i="2"/>
  <c r="EX145" i="2" s="1"/>
  <c r="CQ225" i="2"/>
  <c r="DD225" i="2" s="1"/>
  <c r="BT225" i="2"/>
  <c r="BU225" i="2" s="1"/>
  <c r="CN66" i="2"/>
  <c r="EW66" i="2"/>
  <c r="EX66" i="2" s="1"/>
  <c r="CN295" i="2"/>
  <c r="EW295" i="2"/>
  <c r="EX295" i="2" s="1"/>
  <c r="DE53" i="2"/>
  <c r="DD53" i="2"/>
  <c r="DD290" i="2"/>
  <c r="DE290" i="2"/>
  <c r="G54" i="2"/>
  <c r="F54" i="2"/>
  <c r="BX107" i="2"/>
  <c r="BY107" i="2" s="1"/>
  <c r="AU107" i="2"/>
  <c r="DX184" i="2"/>
  <c r="DZ184" i="2" s="1"/>
  <c r="EA184" i="2" s="1"/>
  <c r="ED184" i="2"/>
  <c r="DU184" i="2"/>
  <c r="DN184" i="2"/>
  <c r="DP184" i="2" s="1"/>
  <c r="DQ184" i="2" s="1"/>
  <c r="DF184" i="2"/>
  <c r="DV184" i="2"/>
  <c r="EG168" i="2"/>
  <c r="DY168" i="2"/>
  <c r="BT307" i="2"/>
  <c r="BU307" i="2" s="1"/>
  <c r="CN307" i="2"/>
  <c r="EW307" i="2"/>
  <c r="EX307" i="2" s="1"/>
  <c r="EW98" i="2"/>
  <c r="EX98" i="2" s="1"/>
  <c r="CN98" i="2"/>
  <c r="BT98" i="2"/>
  <c r="BU98" i="2" s="1"/>
  <c r="BP43" i="4"/>
  <c r="BO43" i="4" s="1" a="1"/>
  <c r="BO43" i="4" s="1"/>
  <c r="BP23" i="4"/>
  <c r="BM23" i="4" s="1" a="1"/>
  <c r="BM23" i="4" s="1"/>
  <c r="BX124" i="2"/>
  <c r="BY124" i="2" s="1"/>
  <c r="AU124" i="2"/>
  <c r="DF323" i="2"/>
  <c r="DC5" i="2"/>
  <c r="BX68" i="2"/>
  <c r="BY68" i="2" s="1"/>
  <c r="AU68" i="2"/>
  <c r="EW68" i="2" s="1"/>
  <c r="EX68" i="2" s="1"/>
  <c r="EW32" i="2"/>
  <c r="EX32" i="2" s="1"/>
  <c r="BT32" i="2"/>
  <c r="BU32" i="2" s="1"/>
  <c r="CN32" i="2"/>
  <c r="CN259" i="2"/>
  <c r="DC18" i="2"/>
  <c r="F267" i="2"/>
  <c r="G267" i="2"/>
  <c r="BT66" i="2"/>
  <c r="BU66" i="2" s="1"/>
  <c r="EW223" i="2"/>
  <c r="EX223" i="2" s="1"/>
  <c r="DY72" i="2"/>
  <c r="EG72" i="2"/>
  <c r="CN213" i="2"/>
  <c r="G155" i="2"/>
  <c r="F155" i="2"/>
  <c r="DD327" i="2"/>
  <c r="DE327" i="2"/>
  <c r="G187" i="2"/>
  <c r="F187" i="2"/>
  <c r="T54" i="4"/>
  <c r="T59" i="4"/>
  <c r="T52" i="4"/>
  <c r="DV323" i="2"/>
  <c r="DD189" i="2"/>
  <c r="DE189" i="2"/>
  <c r="DV250" i="2"/>
  <c r="DN250" i="2"/>
  <c r="DP250" i="2" s="1"/>
  <c r="DQ250" i="2" s="1"/>
  <c r="EF250" i="2"/>
  <c r="DU250" i="2"/>
  <c r="DF250" i="2"/>
  <c r="DT148" i="2"/>
  <c r="DR148" i="2"/>
  <c r="DS148" i="2"/>
  <c r="F80" i="2"/>
  <c r="G80" i="2"/>
  <c r="DX242" i="2"/>
  <c r="DZ242" i="2" s="1"/>
  <c r="EA242" i="2" s="1"/>
  <c r="ED242" i="2"/>
  <c r="CN339" i="2"/>
  <c r="EW339" i="2"/>
  <c r="EX339" i="2" s="1"/>
  <c r="BT339" i="2"/>
  <c r="BU339" i="2" s="1"/>
  <c r="DC131" i="2"/>
  <c r="DD329" i="2"/>
  <c r="DC257" i="2"/>
  <c r="CQ207" i="2"/>
  <c r="DE207" i="2" s="1"/>
  <c r="BT207" i="2"/>
  <c r="BU207" i="2" s="1"/>
  <c r="T40" i="4"/>
  <c r="DE157" i="2"/>
  <c r="DD157" i="2"/>
  <c r="CN193" i="2"/>
  <c r="EW193" i="2"/>
  <c r="EX193" i="2" s="1"/>
  <c r="BT193" i="2"/>
  <c r="BU193" i="2" s="1"/>
  <c r="DE322" i="2"/>
  <c r="DD322" i="2"/>
  <c r="ED250" i="2"/>
  <c r="DX250" i="2"/>
  <c r="DZ250" i="2" s="1"/>
  <c r="EA250" i="2" s="1"/>
  <c r="AU80" i="2"/>
  <c r="BX80" i="2"/>
  <c r="BY80" i="2" s="1"/>
  <c r="EG122" i="2"/>
  <c r="DY122" i="2"/>
  <c r="DF242" i="2"/>
  <c r="DV242" i="2"/>
  <c r="EF242" i="2"/>
  <c r="DU242" i="2"/>
  <c r="DN242" i="2"/>
  <c r="DP242" i="2" s="1"/>
  <c r="DQ242" i="2" s="1"/>
  <c r="EG18" i="2"/>
  <c r="DY18" i="2"/>
  <c r="BP29" i="4"/>
  <c r="BT257" i="2"/>
  <c r="BU257" i="2" s="1"/>
  <c r="CQ257" i="2"/>
  <c r="DE70" i="2"/>
  <c r="DD330" i="2"/>
  <c r="EJ94" i="2"/>
  <c r="EL94" i="2"/>
  <c r="CY94" i="2"/>
  <c r="CW94" i="2"/>
  <c r="CS94" i="2"/>
  <c r="DG94" i="2"/>
  <c r="DY94" i="2" s="1"/>
  <c r="CU94" i="2"/>
  <c r="DW94" i="2"/>
  <c r="EU94" i="2"/>
  <c r="DM94" i="2"/>
  <c r="DC94" i="2" s="1"/>
  <c r="CZ94" i="2"/>
  <c r="CV94" i="2"/>
  <c r="CX94" i="2"/>
  <c r="CT94" i="2"/>
  <c r="CR94" i="2"/>
  <c r="DA94" i="2"/>
  <c r="BQ94" i="2"/>
  <c r="EV94" i="2"/>
  <c r="EW94" i="2" s="1"/>
  <c r="EX94" i="2" s="1"/>
  <c r="BP132" i="4"/>
  <c r="EJ132" i="4" s="1" a="1"/>
  <c r="EJ132" i="4" s="1"/>
  <c r="T117" i="4"/>
  <c r="BP48" i="4"/>
  <c r="BQ48" i="4" s="1" a="1"/>
  <c r="BQ48" i="4" s="1"/>
  <c r="BP69" i="4"/>
  <c r="BM69" i="4" s="1" a="1"/>
  <c r="BM69" i="4" s="1"/>
  <c r="CQ288" i="2"/>
  <c r="BT288" i="2"/>
  <c r="BU288" i="2" s="1"/>
  <c r="DD263" i="2"/>
  <c r="EF263" i="2" s="1"/>
  <c r="DE263" i="2"/>
  <c r="EW51" i="2"/>
  <c r="EX51" i="2" s="1"/>
  <c r="G68" i="2"/>
  <c r="F68" i="2"/>
  <c r="CS88" i="2"/>
  <c r="DW88" i="2"/>
  <c r="BQ88" i="2"/>
  <c r="CY88" i="2"/>
  <c r="DM88" i="2"/>
  <c r="CV88" i="2"/>
  <c r="EV88" i="2"/>
  <c r="EW88" i="2" s="1"/>
  <c r="EX88" i="2" s="1"/>
  <c r="CW88" i="2"/>
  <c r="CR88" i="2"/>
  <c r="EJ88" i="2"/>
  <c r="CX88" i="2"/>
  <c r="EU88" i="2"/>
  <c r="CZ88" i="2"/>
  <c r="CU88" i="2"/>
  <c r="DA88" i="2"/>
  <c r="EL88" i="2"/>
  <c r="CT88" i="2"/>
  <c r="DG88" i="2"/>
  <c r="EU108" i="2"/>
  <c r="DM108" i="2"/>
  <c r="EJ108" i="2"/>
  <c r="BQ108" i="2"/>
  <c r="BC52" i="4" s="1" a="1"/>
  <c r="BC52" i="4" s="1"/>
  <c r="CW108" i="2"/>
  <c r="CR108" i="2"/>
  <c r="DG108" i="2"/>
  <c r="DB108" i="2"/>
  <c r="DA108" i="2"/>
  <c r="CS108" i="2"/>
  <c r="EL108" i="2"/>
  <c r="E52" i="4" s="1" a="1"/>
  <c r="E52" i="4" s="1"/>
  <c r="DW108" i="2"/>
  <c r="CY108" i="2"/>
  <c r="CT108" i="2"/>
  <c r="CV108" i="2"/>
  <c r="CX108" i="2"/>
  <c r="CU108" i="2"/>
  <c r="CZ108" i="2"/>
  <c r="EV108" i="2"/>
  <c r="EW108" i="2" s="1"/>
  <c r="EX108" i="2" s="1"/>
  <c r="DE332" i="2"/>
  <c r="BQ183" i="2"/>
  <c r="DW183" i="2"/>
  <c r="DM183" i="2"/>
  <c r="CU183" i="2"/>
  <c r="CY183" i="2"/>
  <c r="DA183" i="2"/>
  <c r="EJ183" i="2"/>
  <c r="CS183" i="2"/>
  <c r="CZ183" i="2"/>
  <c r="CR183" i="2"/>
  <c r="CX183" i="2"/>
  <c r="EL183" i="2"/>
  <c r="DG183" i="2"/>
  <c r="CW183" i="2"/>
  <c r="CT183" i="2"/>
  <c r="EV183" i="2"/>
  <c r="EW183" i="2" s="1"/>
  <c r="EX183" i="2" s="1"/>
  <c r="CV183" i="2"/>
  <c r="EU183" i="2"/>
  <c r="CU130" i="2"/>
  <c r="CX130" i="2"/>
  <c r="CW130" i="2"/>
  <c r="DG130" i="2"/>
  <c r="CT130" i="2"/>
  <c r="DW130" i="2"/>
  <c r="DA130" i="2"/>
  <c r="CR130" i="2"/>
  <c r="DM130" i="2"/>
  <c r="DC130" i="2" s="1"/>
  <c r="BQ130" i="2"/>
  <c r="EJ130" i="2"/>
  <c r="EV130" i="2"/>
  <c r="EW130" i="2" s="1"/>
  <c r="EX130" i="2" s="1"/>
  <c r="CY130" i="2"/>
  <c r="EU130" i="2"/>
  <c r="CV130" i="2"/>
  <c r="CS130" i="2"/>
  <c r="CZ130" i="2"/>
  <c r="EL130" i="2"/>
  <c r="DC207" i="2"/>
  <c r="AU187" i="2"/>
  <c r="BX187" i="2"/>
  <c r="BY187" i="2" s="1"/>
  <c r="DV38" i="2"/>
  <c r="DN38" i="2"/>
  <c r="DP38" i="2" s="1"/>
  <c r="DQ38" i="2" s="1"/>
  <c r="DU38" i="2"/>
  <c r="DF38" i="2"/>
  <c r="EF38" i="2"/>
  <c r="EI85" i="4" a="1"/>
  <c r="EI85" i="4" s="1"/>
  <c r="BU85" i="4" a="1"/>
  <c r="BU85" i="4" s="1"/>
  <c r="EJ85" i="4" a="1"/>
  <c r="EJ85" i="4" s="1"/>
  <c r="CD85" i="4" a="1"/>
  <c r="CD85" i="4" s="1"/>
  <c r="CE85" i="4" a="1"/>
  <c r="CE85" i="4" s="1"/>
  <c r="BJ85" i="4" a="1"/>
  <c r="BJ85" i="4" s="1"/>
  <c r="BM85" i="4" a="1"/>
  <c r="BM85" i="4" s="1"/>
  <c r="CH85" i="4" a="1"/>
  <c r="CH85" i="4" s="1"/>
  <c r="BX85" i="4" a="1"/>
  <c r="BX85" i="4" s="1"/>
  <c r="CB85" i="4" a="1"/>
  <c r="CB85" i="4" s="1"/>
  <c r="CF85" i="4" a="1"/>
  <c r="CF85" i="4" s="1"/>
  <c r="BK85" i="4" a="1"/>
  <c r="BK85" i="4" s="1"/>
  <c r="BR85" i="4" a="1"/>
  <c r="BR85" i="4" s="1"/>
  <c r="BZ85" i="4" a="1"/>
  <c r="BZ85" i="4" s="1"/>
  <c r="E85" i="4" a="1"/>
  <c r="E85" i="4" s="1"/>
  <c r="H85" i="4" a="1"/>
  <c r="H85" i="4" s="1"/>
  <c r="D85" i="4" a="1"/>
  <c r="D85" i="4" s="1"/>
  <c r="L85" i="4" a="1"/>
  <c r="L85" i="4" s="1"/>
  <c r="EH85" i="4" a="1"/>
  <c r="EH85" i="4" s="1"/>
  <c r="BG85" i="4" a="1"/>
  <c r="BG85" i="4" s="1"/>
  <c r="BO85" i="4" a="1"/>
  <c r="BO85" i="4" s="1"/>
  <c r="BC85" i="4" a="1"/>
  <c r="BC85" i="4" s="1"/>
  <c r="BO109" i="4" a="1"/>
  <c r="BO109" i="4" s="1"/>
  <c r="BD109" i="4" a="1"/>
  <c r="BD109" i="4" s="1"/>
  <c r="EJ109" i="4" a="1"/>
  <c r="EJ109" i="4" s="1"/>
  <c r="ED114" i="2"/>
  <c r="DX114" i="2"/>
  <c r="DZ114" i="2" s="1"/>
  <c r="EA114" i="2" s="1"/>
  <c r="DE118" i="2"/>
  <c r="DD118" i="2"/>
  <c r="BG107" i="4" a="1"/>
  <c r="BG107" i="4" s="1"/>
  <c r="CG107" i="4" a="1"/>
  <c r="CG107" i="4" s="1"/>
  <c r="BZ107" i="4" a="1"/>
  <c r="BZ107" i="4" s="1"/>
  <c r="BJ107" i="4" a="1"/>
  <c r="BJ107" i="4" s="1"/>
  <c r="Q107" i="4" s="1"/>
  <c r="BX107" i="4" a="1"/>
  <c r="BX107" i="4" s="1"/>
  <c r="BO107" i="4" a="1"/>
  <c r="BO107" i="4" s="1"/>
  <c r="BK107" i="4" a="1"/>
  <c r="BK107" i="4" s="1"/>
  <c r="CH107" i="4" a="1"/>
  <c r="CH107" i="4" s="1"/>
  <c r="CB107" i="4" a="1"/>
  <c r="CB107" i="4" s="1"/>
  <c r="CF107" i="4" a="1"/>
  <c r="CF107" i="4" s="1"/>
  <c r="BY107" i="4" a="1"/>
  <c r="BY107" i="4" s="1"/>
  <c r="BE107" i="4" a="1"/>
  <c r="BE107" i="4" s="1"/>
  <c r="CD107" i="4" a="1"/>
  <c r="CD107" i="4" s="1"/>
  <c r="BV107" i="4" a="1"/>
  <c r="BV107" i="4" s="1"/>
  <c r="BQ107" i="4" a="1"/>
  <c r="BQ107" i="4" s="1"/>
  <c r="BM107" i="4" a="1"/>
  <c r="BM107" i="4" s="1"/>
  <c r="D107" i="4" a="1"/>
  <c r="D107" i="4" s="1"/>
  <c r="CA107" i="4" a="1"/>
  <c r="CA107" i="4" s="1"/>
  <c r="BW107" i="4" a="1"/>
  <c r="BW107" i="4" s="1"/>
  <c r="L107" i="4" a="1"/>
  <c r="L107" i="4" s="1"/>
  <c r="EH107" i="4" a="1"/>
  <c r="EH107" i="4" s="1"/>
  <c r="E107" i="4" a="1"/>
  <c r="E107" i="4" s="1"/>
  <c r="EJ107" i="4" a="1"/>
  <c r="EJ107" i="4" s="1"/>
  <c r="CI107" i="4" a="1"/>
  <c r="CI107" i="4" s="1"/>
  <c r="BR107" i="4" a="1"/>
  <c r="BR107" i="4" s="1"/>
  <c r="BN107" i="4" a="1"/>
  <c r="BN107" i="4" s="1"/>
  <c r="CE107" i="4" a="1"/>
  <c r="CE107" i="4" s="1"/>
  <c r="EI107" i="4" a="1"/>
  <c r="EI107" i="4" s="1"/>
  <c r="BU107" i="4" a="1"/>
  <c r="BU107" i="4" s="1"/>
  <c r="BU119" i="4" a="1"/>
  <c r="BU119" i="4" s="1"/>
  <c r="BJ119" i="4" a="1"/>
  <c r="BJ119" i="4" s="1"/>
  <c r="BC119" i="4" a="1"/>
  <c r="BC119" i="4" s="1"/>
  <c r="CD119" i="4" a="1"/>
  <c r="CD119" i="4" s="1"/>
  <c r="CC119" i="4" a="1"/>
  <c r="CC119" i="4" s="1"/>
  <c r="CA119" i="4" a="1"/>
  <c r="CA119" i="4" s="1"/>
  <c r="BG119" i="4" a="1"/>
  <c r="BG119" i="4" s="1"/>
  <c r="BO119" i="4" a="1"/>
  <c r="BO119" i="4" s="1"/>
  <c r="EH119" i="4" a="1"/>
  <c r="EH119" i="4" s="1"/>
  <c r="BL119" i="4" a="1"/>
  <c r="BL119" i="4" s="1"/>
  <c r="D119" i="4" a="1"/>
  <c r="D119" i="4" s="1"/>
  <c r="CI119" i="4" a="1"/>
  <c r="CI119" i="4" s="1"/>
  <c r="BV119" i="4" a="1"/>
  <c r="BV119" i="4" s="1"/>
  <c r="BW119" i="4" a="1"/>
  <c r="BW119" i="4" s="1"/>
  <c r="BX119" i="4" a="1"/>
  <c r="BX119" i="4" s="1"/>
  <c r="BD119" i="4" a="1"/>
  <c r="BD119" i="4" s="1"/>
  <c r="CF119" i="4" a="1"/>
  <c r="CF119" i="4" s="1"/>
  <c r="EI119" i="4" a="1"/>
  <c r="EI119" i="4" s="1"/>
  <c r="BE119" i="4" a="1"/>
  <c r="BE119" i="4" s="1"/>
  <c r="E119" i="4" a="1"/>
  <c r="E119" i="4" s="1"/>
  <c r="BN119" i="4" a="1"/>
  <c r="BN119" i="4" s="1"/>
  <c r="CH119" i="4" a="1"/>
  <c r="CH119" i="4" s="1"/>
  <c r="BM119" i="4" a="1"/>
  <c r="BM119" i="4" s="1"/>
  <c r="EJ119" i="4" a="1"/>
  <c r="EJ119" i="4" s="1"/>
  <c r="BZ119" i="4" a="1"/>
  <c r="BZ119" i="4" s="1"/>
  <c r="BY119" i="4" a="1"/>
  <c r="BY119" i="4" s="1"/>
  <c r="BR119" i="4" a="1"/>
  <c r="BR119" i="4" s="1"/>
  <c r="CE119" i="4" a="1"/>
  <c r="CE119" i="4" s="1"/>
  <c r="BK119" i="4" a="1"/>
  <c r="BK119" i="4" s="1"/>
  <c r="CG119" i="4" a="1"/>
  <c r="CG119" i="4" s="1"/>
  <c r="BQ119" i="4" a="1"/>
  <c r="BQ119" i="4" s="1"/>
  <c r="CB119" i="4" a="1"/>
  <c r="CB119" i="4" s="1"/>
  <c r="CI17" i="4" a="1"/>
  <c r="CI17" i="4" s="1"/>
  <c r="BC17" i="4" a="1"/>
  <c r="BC17" i="4" s="1"/>
  <c r="CE17" i="4" a="1"/>
  <c r="CE17" i="4" s="1"/>
  <c r="CH17" i="4" a="1"/>
  <c r="CH17" i="4" s="1"/>
  <c r="BU17" i="4" a="1"/>
  <c r="BU17" i="4" s="1"/>
  <c r="CA17" i="4" a="1"/>
  <c r="CA17" i="4" s="1"/>
  <c r="BJ17" i="4" a="1"/>
  <c r="BJ17" i="4" s="1"/>
  <c r="BM17" i="4" a="1"/>
  <c r="BM17" i="4" s="1"/>
  <c r="BG17" i="4" a="1"/>
  <c r="BG17" i="4" s="1"/>
  <c r="BV17" i="4" a="1"/>
  <c r="BV17" i="4" s="1"/>
  <c r="BZ17" i="4" a="1"/>
  <c r="BZ17" i="4" s="1"/>
  <c r="BQ17" i="4" a="1"/>
  <c r="BQ17" i="4" s="1"/>
  <c r="CG17" i="4" a="1"/>
  <c r="CG17" i="4" s="1"/>
  <c r="BD17" i="4" a="1"/>
  <c r="BD17" i="4" s="1"/>
  <c r="BK17" i="4" a="1"/>
  <c r="BK17" i="4" s="1"/>
  <c r="CB17" i="4" a="1"/>
  <c r="CB17" i="4" s="1"/>
  <c r="H17" i="4" a="1"/>
  <c r="H17" i="4" s="1"/>
  <c r="BW17" i="4" a="1"/>
  <c r="BW17" i="4" s="1"/>
  <c r="D17" i="4" a="1"/>
  <c r="D17" i="4" s="1"/>
  <c r="BX17" i="4" a="1"/>
  <c r="BX17" i="4" s="1"/>
  <c r="BR17" i="4" a="1"/>
  <c r="BR17" i="4" s="1"/>
  <c r="CD17" i="4" a="1"/>
  <c r="CD17" i="4" s="1"/>
  <c r="E17" i="4" a="1"/>
  <c r="E17" i="4" s="1"/>
  <c r="BO17" i="4" a="1"/>
  <c r="BO17" i="4" s="1"/>
  <c r="L17" i="4" a="1"/>
  <c r="L17" i="4" s="1"/>
  <c r="EH17" i="4" a="1"/>
  <c r="EH17" i="4" s="1"/>
  <c r="BY17" i="4" a="1"/>
  <c r="BY17" i="4" s="1"/>
  <c r="BL17" i="4" a="1"/>
  <c r="BL17" i="4" s="1"/>
  <c r="BE17" i="4" a="1"/>
  <c r="BE17" i="4" s="1"/>
  <c r="AB17" i="4" s="1"/>
  <c r="EI17" i="4" a="1"/>
  <c r="EI17" i="4" s="1"/>
  <c r="EJ17" i="4" a="1"/>
  <c r="EJ17" i="4" s="1"/>
  <c r="BN17" i="4" a="1"/>
  <c r="BN17" i="4" s="1"/>
  <c r="CF17" i="4" a="1"/>
  <c r="CF17" i="4" s="1"/>
  <c r="CC17" i="4" a="1"/>
  <c r="CC17" i="4" s="1"/>
  <c r="BP142" i="4"/>
  <c r="BP98" i="4"/>
  <c r="T75" i="4"/>
  <c r="BP77" i="4"/>
  <c r="T135" i="4"/>
  <c r="DN56" i="2"/>
  <c r="DP56" i="2" s="1"/>
  <c r="DQ56" i="2" s="1"/>
  <c r="DU56" i="2"/>
  <c r="DV56" i="2"/>
  <c r="DF56" i="2"/>
  <c r="EF56" i="2"/>
  <c r="BE28" i="4" a="1"/>
  <c r="BE28" i="4" s="1"/>
  <c r="AB28" i="4" s="1"/>
  <c r="EJ28" i="4" a="1"/>
  <c r="EJ28" i="4" s="1"/>
  <c r="CG28" i="4" a="1"/>
  <c r="CG28" i="4" s="1"/>
  <c r="BN28" i="4" a="1"/>
  <c r="BN28" i="4" s="1"/>
  <c r="T83" i="4"/>
  <c r="ED97" i="2"/>
  <c r="DX97" i="2"/>
  <c r="DZ97" i="2" s="1"/>
  <c r="EA97" i="2" s="1"/>
  <c r="EF281" i="2"/>
  <c r="DN281" i="2"/>
  <c r="DP281" i="2" s="1"/>
  <c r="DQ281" i="2" s="1"/>
  <c r="DV281" i="2"/>
  <c r="DF281" i="2"/>
  <c r="DU281" i="2"/>
  <c r="CQ305" i="2"/>
  <c r="BT305" i="2"/>
  <c r="BU305" i="2" s="1"/>
  <c r="ED50" i="2"/>
  <c r="DX50" i="2"/>
  <c r="DZ50" i="2" s="1"/>
  <c r="EA50" i="2" s="1"/>
  <c r="T110" i="4"/>
  <c r="W110" i="4" s="1"/>
  <c r="CX57" i="2"/>
  <c r="BQ57" i="2"/>
  <c r="DM57" i="2"/>
  <c r="CW57" i="2"/>
  <c r="CR57" i="2"/>
  <c r="EV57" i="2"/>
  <c r="EW57" i="2" s="1"/>
  <c r="EX57" i="2" s="1"/>
  <c r="EL57" i="2"/>
  <c r="CS57" i="2"/>
  <c r="DG57" i="2"/>
  <c r="CZ57" i="2"/>
  <c r="CV57" i="2"/>
  <c r="CY57" i="2"/>
  <c r="DW57" i="2"/>
  <c r="EJ57" i="2"/>
  <c r="CT57" i="2"/>
  <c r="EU57" i="2"/>
  <c r="DA57" i="2"/>
  <c r="CU57" i="2"/>
  <c r="EJ43" i="4" a="1"/>
  <c r="EJ43" i="4" s="1"/>
  <c r="EI43" i="4" a="1"/>
  <c r="EI43" i="4" s="1"/>
  <c r="H43" i="4" a="1"/>
  <c r="H43" i="4" s="1"/>
  <c r="BU43" i="4" a="1"/>
  <c r="BU43" i="4" s="1"/>
  <c r="BX43" i="4" a="1"/>
  <c r="BX43" i="4" s="1"/>
  <c r="CH43" i="4" a="1"/>
  <c r="CH43" i="4" s="1"/>
  <c r="BV43" i="4" a="1"/>
  <c r="BV43" i="4" s="1"/>
  <c r="CI43" i="4" a="1"/>
  <c r="CI43" i="4" s="1"/>
  <c r="BZ43" i="4" a="1"/>
  <c r="BZ43" i="4" s="1"/>
  <c r="E43" i="4" a="1"/>
  <c r="E43" i="4" s="1"/>
  <c r="CG43" i="4" a="1"/>
  <c r="CG43" i="4" s="1"/>
  <c r="BK43" i="4" a="1"/>
  <c r="BK43" i="4" s="1"/>
  <c r="BN43" i="4" a="1"/>
  <c r="BN43" i="4" s="1"/>
  <c r="BD43" i="4" a="1"/>
  <c r="BD43" i="4" s="1"/>
  <c r="BJ43" i="4" a="1"/>
  <c r="BJ43" i="4" s="1"/>
  <c r="Q43" i="4" s="1"/>
  <c r="D43" i="4" a="1"/>
  <c r="D43" i="4" s="1"/>
  <c r="BL43" i="4" a="1"/>
  <c r="BL43" i="4" s="1"/>
  <c r="CC43" i="4" a="1"/>
  <c r="CC43" i="4" s="1"/>
  <c r="T118" i="4"/>
  <c r="CE66" i="4" a="1"/>
  <c r="CE66" i="4" s="1"/>
  <c r="EH66" i="4" a="1"/>
  <c r="EH66" i="4" s="1"/>
  <c r="BK66" i="4" a="1"/>
  <c r="BK66" i="4" s="1"/>
  <c r="CF66" i="4" a="1"/>
  <c r="CF66" i="4" s="1"/>
  <c r="BU66" i="4" a="1"/>
  <c r="BU66" i="4" s="1"/>
  <c r="BW66" i="4" a="1"/>
  <c r="BW66" i="4" s="1"/>
  <c r="BV66" i="4" a="1"/>
  <c r="BV66" i="4" s="1"/>
  <c r="BZ66" i="4" a="1"/>
  <c r="BZ66" i="4" s="1"/>
  <c r="BY66" i="4" a="1"/>
  <c r="BY66" i="4" s="1"/>
  <c r="BJ66" i="4" a="1"/>
  <c r="BJ66" i="4" s="1"/>
  <c r="Q66" i="4" s="1"/>
  <c r="BH66" i="4" s="1"/>
  <c r="CC66" i="4" a="1"/>
  <c r="CC66" i="4" s="1"/>
  <c r="BN66" i="4" a="1"/>
  <c r="BN66" i="4" s="1"/>
  <c r="BQ66" i="4" a="1"/>
  <c r="BQ66" i="4" s="1"/>
  <c r="CA66" i="4" a="1"/>
  <c r="CA66" i="4" s="1"/>
  <c r="BG66" i="4" a="1"/>
  <c r="BG66" i="4" s="1"/>
  <c r="EI66" i="4" a="1"/>
  <c r="EI66" i="4" s="1"/>
  <c r="ED12" i="2"/>
  <c r="DX12" i="2"/>
  <c r="DZ12" i="2" s="1"/>
  <c r="EA12" i="2" s="1"/>
  <c r="BX69" i="4" a="1"/>
  <c r="BX69" i="4" s="1"/>
  <c r="E69" i="4" a="1"/>
  <c r="E69" i="4" s="1"/>
  <c r="BN69" i="4" a="1"/>
  <c r="BN69" i="4" s="1"/>
  <c r="BZ69" i="4" a="1"/>
  <c r="BZ69" i="4" s="1"/>
  <c r="EJ69" i="4" a="1"/>
  <c r="EJ69" i="4" s="1"/>
  <c r="CE69" i="4" a="1"/>
  <c r="CE69" i="4" s="1"/>
  <c r="BE69" i="4" a="1"/>
  <c r="BE69" i="4" s="1"/>
  <c r="AB69" i="4" s="1"/>
  <c r="BV69" i="4" a="1"/>
  <c r="BV69" i="4" s="1"/>
  <c r="BU69" i="4" a="1"/>
  <c r="BU69" i="4" s="1"/>
  <c r="BG69" i="4" a="1"/>
  <c r="BG69" i="4" s="1"/>
  <c r="CB69" i="4" a="1"/>
  <c r="CB69" i="4" s="1"/>
  <c r="CA69" i="4" a="1"/>
  <c r="CA69" i="4" s="1"/>
  <c r="BC69" i="4" a="1"/>
  <c r="BC69" i="4" s="1"/>
  <c r="BO69" i="4" a="1"/>
  <c r="BO69" i="4" s="1"/>
  <c r="BL69" i="4" a="1"/>
  <c r="BL69" i="4" s="1"/>
  <c r="CI69" i="4" a="1"/>
  <c r="CI69" i="4" s="1"/>
  <c r="EH69" i="4" a="1"/>
  <c r="EH69" i="4" s="1"/>
  <c r="BW69" i="4" a="1"/>
  <c r="BW69" i="4" s="1"/>
  <c r="BJ69" i="4" a="1"/>
  <c r="BJ69" i="4" s="1"/>
  <c r="BY69" i="4" a="1"/>
  <c r="BY69" i="4" s="1"/>
  <c r="EI69" i="4" a="1"/>
  <c r="EI69" i="4" s="1"/>
  <c r="H69" i="4" a="1"/>
  <c r="H69" i="4" s="1"/>
  <c r="CD69" i="4" a="1"/>
  <c r="CD69" i="4" s="1"/>
  <c r="BX203" i="2"/>
  <c r="BY203" i="2" s="1"/>
  <c r="AU203" i="2"/>
  <c r="BT198" i="2"/>
  <c r="BU198" i="2" s="1"/>
  <c r="CQ198" i="2"/>
  <c r="BG47" i="4" a="1"/>
  <c r="BG47" i="4" s="1"/>
  <c r="CH47" i="4" a="1"/>
  <c r="CH47" i="4" s="1"/>
  <c r="BN47" i="4" a="1"/>
  <c r="BN47" i="4" s="1"/>
  <c r="BC47" i="4" a="1"/>
  <c r="BC47" i="4" s="1"/>
  <c r="L47" i="4" a="1"/>
  <c r="L47" i="4" s="1"/>
  <c r="CG47" i="4" a="1"/>
  <c r="CG47" i="4" s="1"/>
  <c r="BW47" i="4" a="1"/>
  <c r="BW47" i="4" s="1"/>
  <c r="BR47" i="4" a="1"/>
  <c r="BR47" i="4" s="1"/>
  <c r="D47" i="4" a="1"/>
  <c r="D47" i="4" s="1"/>
  <c r="CB47" i="4" a="1"/>
  <c r="CB47" i="4" s="1"/>
  <c r="BQ47" i="4" a="1"/>
  <c r="BQ47" i="4" s="1"/>
  <c r="CA47" i="4" a="1"/>
  <c r="CA47" i="4" s="1"/>
  <c r="EJ47" i="4" a="1"/>
  <c r="EJ47" i="4" s="1"/>
  <c r="CI47" i="4" a="1"/>
  <c r="CI47" i="4" s="1"/>
  <c r="H47" i="4" a="1"/>
  <c r="H47" i="4" s="1"/>
  <c r="BY47" i="4" a="1"/>
  <c r="BY47" i="4" s="1"/>
  <c r="BE47" i="4" a="1"/>
  <c r="BE47" i="4" s="1"/>
  <c r="AB47" i="4" s="1"/>
  <c r="BZ47" i="4" a="1"/>
  <c r="BZ47" i="4" s="1"/>
  <c r="BM47" i="4" a="1"/>
  <c r="BM47" i="4" s="1"/>
  <c r="BK47" i="4" a="1"/>
  <c r="BK47" i="4" s="1"/>
  <c r="BU47" i="4" a="1"/>
  <c r="BU47" i="4" s="1"/>
  <c r="EI47" i="4" a="1"/>
  <c r="EI47" i="4" s="1"/>
  <c r="BX47" i="4" a="1"/>
  <c r="BX47" i="4" s="1"/>
  <c r="BO47" i="4" a="1"/>
  <c r="BO47" i="4" s="1"/>
  <c r="CC47" i="4" a="1"/>
  <c r="CC47" i="4" s="1"/>
  <c r="E47" i="4" a="1"/>
  <c r="E47" i="4" s="1"/>
  <c r="BV47" i="4" a="1"/>
  <c r="BV47" i="4" s="1"/>
  <c r="CD47" i="4" a="1"/>
  <c r="CD47" i="4" s="1"/>
  <c r="BL47" i="4" a="1"/>
  <c r="BL47" i="4" s="1"/>
  <c r="EH47" i="4" a="1"/>
  <c r="EH47" i="4" s="1"/>
  <c r="CF47" i="4" a="1"/>
  <c r="CF47" i="4" s="1"/>
  <c r="BJ47" i="4" a="1"/>
  <c r="BJ47" i="4" s="1"/>
  <c r="CE47" i="4" a="1"/>
  <c r="CE47" i="4" s="1"/>
  <c r="BD47" i="4" a="1"/>
  <c r="BD47" i="4" s="1"/>
  <c r="BR27" i="4" a="1"/>
  <c r="BR27" i="4" s="1"/>
  <c r="CI27" i="4" a="1"/>
  <c r="CI27" i="4" s="1"/>
  <c r="BC27" i="4" a="1"/>
  <c r="BC27" i="4" s="1"/>
  <c r="BL27" i="4" a="1"/>
  <c r="BL27" i="4" s="1"/>
  <c r="BE27" i="4" a="1"/>
  <c r="BE27" i="4" s="1"/>
  <c r="AB27" i="4" s="1"/>
  <c r="BM27" i="4" a="1"/>
  <c r="BM27" i="4" s="1"/>
  <c r="BQ27" i="4" a="1"/>
  <c r="BQ27" i="4" s="1"/>
  <c r="BX27" i="4" a="1"/>
  <c r="BX27" i="4" s="1"/>
  <c r="BY27" i="4" a="1"/>
  <c r="BY27" i="4" s="1"/>
  <c r="BN27" i="4" a="1"/>
  <c r="BN27" i="4" s="1"/>
  <c r="EJ27" i="4" a="1"/>
  <c r="EJ27" i="4" s="1"/>
  <c r="BU27" i="4" a="1"/>
  <c r="BU27" i="4" s="1"/>
  <c r="BZ27" i="4" a="1"/>
  <c r="BZ27" i="4" s="1"/>
  <c r="L27" i="4" a="1"/>
  <c r="L27" i="4" s="1"/>
  <c r="BD27" i="4" a="1"/>
  <c r="BD27" i="4" s="1"/>
  <c r="H27" i="4" a="1"/>
  <c r="H27" i="4" s="1"/>
  <c r="D27" i="4" a="1"/>
  <c r="D27" i="4" s="1"/>
  <c r="BV27" i="4" a="1"/>
  <c r="BV27" i="4" s="1"/>
  <c r="BW27" i="4" a="1"/>
  <c r="BW27" i="4" s="1"/>
  <c r="CE27" i="4" a="1"/>
  <c r="CE27" i="4" s="1"/>
  <c r="CC27" i="4" a="1"/>
  <c r="CC27" i="4" s="1"/>
  <c r="CH27" i="4" a="1"/>
  <c r="CH27" i="4" s="1"/>
  <c r="ED190" i="2"/>
  <c r="DX190" i="2"/>
  <c r="DZ190" i="2" s="1"/>
  <c r="EA190" i="2" s="1"/>
  <c r="EH72" i="4" a="1"/>
  <c r="EH72" i="4" s="1"/>
  <c r="CD72" i="4" a="1"/>
  <c r="CD72" i="4" s="1"/>
  <c r="BL72" i="4" a="1"/>
  <c r="BL72" i="4" s="1"/>
  <c r="BW72" i="4" a="1"/>
  <c r="BW72" i="4" s="1"/>
  <c r="BU72" i="4" a="1"/>
  <c r="BU72" i="4" s="1"/>
  <c r="BC72" i="4" a="1"/>
  <c r="BC72" i="4" s="1"/>
  <c r="CE72" i="4" a="1"/>
  <c r="CE72" i="4" s="1"/>
  <c r="BE72" i="4" a="1"/>
  <c r="BE72" i="4" s="1"/>
  <c r="AB72" i="4" s="1"/>
  <c r="BK72" i="4" a="1"/>
  <c r="BK72" i="4" s="1"/>
  <c r="BV72" i="4" a="1"/>
  <c r="BV72" i="4" s="1"/>
  <c r="BO72" i="4" a="1"/>
  <c r="BO72" i="4" s="1"/>
  <c r="EI72" i="4" a="1"/>
  <c r="EI72" i="4" s="1"/>
  <c r="CB72" i="4" a="1"/>
  <c r="CB72" i="4" s="1"/>
  <c r="BJ72" i="4" a="1"/>
  <c r="BJ72" i="4" s="1"/>
  <c r="D72" i="4" a="1"/>
  <c r="D72" i="4" s="1"/>
  <c r="CI72" i="4" a="1"/>
  <c r="CI72" i="4" s="1"/>
  <c r="BY72" i="4" a="1"/>
  <c r="BY72" i="4" s="1"/>
  <c r="BZ72" i="4" a="1"/>
  <c r="BZ72" i="4" s="1"/>
  <c r="CA72" i="4" a="1"/>
  <c r="CA72" i="4" s="1"/>
  <c r="CH72" i="4" a="1"/>
  <c r="CH72" i="4" s="1"/>
  <c r="CF72" i="4" a="1"/>
  <c r="CF72" i="4" s="1"/>
  <c r="E72" i="4" a="1"/>
  <c r="E72" i="4" s="1"/>
  <c r="L72" i="4" a="1"/>
  <c r="L72" i="4" s="1"/>
  <c r="H72" i="4" a="1"/>
  <c r="H72" i="4" s="1"/>
  <c r="BN72" i="4" a="1"/>
  <c r="BN72" i="4" s="1"/>
  <c r="EJ72" i="4" a="1"/>
  <c r="EJ72" i="4" s="1"/>
  <c r="BR72" i="4" a="1"/>
  <c r="BR72" i="4" s="1"/>
  <c r="BG72" i="4" a="1"/>
  <c r="BG72" i="4" s="1"/>
  <c r="CG72" i="4" a="1"/>
  <c r="CG72" i="4" s="1"/>
  <c r="CC72" i="4" a="1"/>
  <c r="CC72" i="4" s="1"/>
  <c r="BX72" i="4" a="1"/>
  <c r="BX72" i="4" s="1"/>
  <c r="BM72" i="4" a="1"/>
  <c r="BM72" i="4" s="1"/>
  <c r="BQ72" i="4" a="1"/>
  <c r="BQ72" i="4" s="1"/>
  <c r="D56" i="4" a="1"/>
  <c r="D56" i="4" s="1"/>
  <c r="CD56" i="4" a="1"/>
  <c r="CD56" i="4" s="1"/>
  <c r="BX56" i="4" a="1"/>
  <c r="BX56" i="4" s="1"/>
  <c r="EH56" i="4" a="1"/>
  <c r="EH56" i="4" s="1"/>
  <c r="CA56" i="4" a="1"/>
  <c r="CA56" i="4" s="1"/>
  <c r="H56" i="4" a="1"/>
  <c r="H56" i="4" s="1"/>
  <c r="BY56" i="4" a="1"/>
  <c r="BY56" i="4" s="1"/>
  <c r="DV114" i="2"/>
  <c r="DF114" i="2"/>
  <c r="DU114" i="2"/>
  <c r="DN114" i="2"/>
  <c r="DP114" i="2" s="1"/>
  <c r="DQ114" i="2" s="1"/>
  <c r="EF114" i="2"/>
  <c r="DU49" i="2"/>
  <c r="DF49" i="2"/>
  <c r="EF49" i="2"/>
  <c r="DN49" i="2"/>
  <c r="DP49" i="2" s="1"/>
  <c r="DQ49" i="2" s="1"/>
  <c r="DV49" i="2"/>
  <c r="EH102" i="4" a="1"/>
  <c r="EH102" i="4" s="1"/>
  <c r="CA102" i="4" a="1"/>
  <c r="CA102" i="4" s="1"/>
  <c r="CB102" i="4" a="1"/>
  <c r="CB102" i="4" s="1"/>
  <c r="CI102" i="4" a="1"/>
  <c r="CI102" i="4" s="1"/>
  <c r="D102" i="4" a="1"/>
  <c r="D102" i="4" s="1"/>
  <c r="BM102" i="4" a="1"/>
  <c r="BM102" i="4" s="1"/>
  <c r="BY102" i="4" a="1"/>
  <c r="BY102" i="4" s="1"/>
  <c r="CC102" i="4" a="1"/>
  <c r="CC102" i="4" s="1"/>
  <c r="BK102" i="4" a="1"/>
  <c r="BK102" i="4" s="1"/>
  <c r="E102" i="4" a="1"/>
  <c r="E102" i="4" s="1"/>
  <c r="BQ102" i="4" a="1"/>
  <c r="BQ102" i="4" s="1"/>
  <c r="CD102" i="4" a="1"/>
  <c r="CD102" i="4" s="1"/>
  <c r="BW102" i="4" a="1"/>
  <c r="BW102" i="4" s="1"/>
  <c r="BN102" i="4" a="1"/>
  <c r="BN102" i="4" s="1"/>
  <c r="BO102" i="4" a="1"/>
  <c r="BO102" i="4" s="1"/>
  <c r="BV102" i="4" a="1"/>
  <c r="BV102" i="4" s="1"/>
  <c r="EJ102" i="4" a="1"/>
  <c r="EJ102" i="4" s="1"/>
  <c r="BR102" i="4" a="1"/>
  <c r="BR102" i="4" s="1"/>
  <c r="BZ102" i="4" a="1"/>
  <c r="BZ102" i="4" s="1"/>
  <c r="BX102" i="4" a="1"/>
  <c r="BX102" i="4" s="1"/>
  <c r="CG102" i="4" a="1"/>
  <c r="CG102" i="4" s="1"/>
  <c r="BU102" i="4" a="1"/>
  <c r="BU102" i="4" s="1"/>
  <c r="EI102" i="4" a="1"/>
  <c r="EI102" i="4" s="1"/>
  <c r="BC102" i="4" a="1"/>
  <c r="BC102" i="4" s="1"/>
  <c r="L102" i="4" a="1"/>
  <c r="L102" i="4" s="1"/>
  <c r="BG102" i="4" a="1"/>
  <c r="BG102" i="4" s="1"/>
  <c r="CF102" i="4" a="1"/>
  <c r="CF102" i="4" s="1"/>
  <c r="CH102" i="4" a="1"/>
  <c r="CH102" i="4" s="1"/>
  <c r="CE102" i="4" a="1"/>
  <c r="CE102" i="4" s="1"/>
  <c r="BJ102" i="4" a="1"/>
  <c r="BJ102" i="4" s="1"/>
  <c r="Q102" i="4" s="1"/>
  <c r="BL102" i="4" a="1"/>
  <c r="BL102" i="4" s="1"/>
  <c r="H102" i="4" a="1"/>
  <c r="H102" i="4" s="1"/>
  <c r="BE102" i="4" a="1"/>
  <c r="BE102" i="4" s="1"/>
  <c r="BX16" i="4" a="1"/>
  <c r="BX16" i="4" s="1"/>
  <c r="BC16" i="4" a="1"/>
  <c r="BC16" i="4" s="1"/>
  <c r="EH16" i="4" a="1"/>
  <c r="EH16" i="4" s="1"/>
  <c r="D16" i="4" a="1"/>
  <c r="D16" i="4" s="1"/>
  <c r="BW16" i="4" a="1"/>
  <c r="BW16" i="4" s="1"/>
  <c r="EI16" i="4" a="1"/>
  <c r="EI16" i="4" s="1"/>
  <c r="BN16" i="4" a="1"/>
  <c r="BN16" i="4" s="1"/>
  <c r="H16" i="4" a="1"/>
  <c r="H16" i="4" s="1"/>
  <c r="BU16" i="4" a="1"/>
  <c r="BU16" i="4" s="1"/>
  <c r="E16" i="4" a="1"/>
  <c r="E16" i="4" s="1"/>
  <c r="BV16" i="4" a="1"/>
  <c r="BV16" i="4" s="1"/>
  <c r="BE16" i="4" a="1"/>
  <c r="BE16" i="4" s="1"/>
  <c r="AB16" i="4" s="1"/>
  <c r="BL16" i="4" a="1"/>
  <c r="BL16" i="4" s="1"/>
  <c r="CF16" i="4" a="1"/>
  <c r="CF16" i="4" s="1"/>
  <c r="CD16" i="4" a="1"/>
  <c r="CD16" i="4" s="1"/>
  <c r="BK16" i="4" a="1"/>
  <c r="BK16" i="4" s="1"/>
  <c r="CI16" i="4" a="1"/>
  <c r="CI16" i="4" s="1"/>
  <c r="EJ16" i="4" a="1"/>
  <c r="EJ16" i="4" s="1"/>
  <c r="BR16" i="4" a="1"/>
  <c r="BR16" i="4" s="1"/>
  <c r="CB16" i="4" a="1"/>
  <c r="CB16" i="4" s="1"/>
  <c r="L16" i="4" a="1"/>
  <c r="L16" i="4" s="1"/>
  <c r="CE16" i="4" a="1"/>
  <c r="CE16" i="4" s="1"/>
  <c r="BJ16" i="4" a="1"/>
  <c r="BJ16" i="4" s="1"/>
  <c r="CG16" i="4" a="1"/>
  <c r="CG16" i="4" s="1"/>
  <c r="BY16" i="4" a="1"/>
  <c r="BY16" i="4" s="1"/>
  <c r="CA16" i="4" a="1"/>
  <c r="CA16" i="4" s="1"/>
  <c r="BM16" i="4" a="1"/>
  <c r="BM16" i="4" s="1"/>
  <c r="BO16" i="4" a="1"/>
  <c r="BO16" i="4" s="1"/>
  <c r="BG16" i="4" a="1"/>
  <c r="BG16" i="4" s="1"/>
  <c r="BD16" i="4" a="1"/>
  <c r="BD16" i="4" s="1"/>
  <c r="CC16" i="4" a="1"/>
  <c r="CC16" i="4" s="1"/>
  <c r="BQ16" i="4" a="1"/>
  <c r="BQ16" i="4" s="1"/>
  <c r="BZ16" i="4" a="1"/>
  <c r="BZ16" i="4" s="1"/>
  <c r="CH16" i="4" a="1"/>
  <c r="CH16" i="4" s="1"/>
  <c r="BD12" i="4" a="1"/>
  <c r="BD12" i="4" s="1"/>
  <c r="BX12" i="4" a="1"/>
  <c r="BX12" i="4" s="1"/>
  <c r="BK12" i="4" a="1"/>
  <c r="BK12" i="4" s="1"/>
  <c r="CF12" i="4" a="1"/>
  <c r="CF12" i="4" s="1"/>
  <c r="CC12" i="4" a="1"/>
  <c r="CC12" i="4" s="1"/>
  <c r="BL12" i="4" a="1"/>
  <c r="BL12" i="4" s="1"/>
  <c r="BV12" i="4" a="1"/>
  <c r="BV12" i="4" s="1"/>
  <c r="BM12" i="4" a="1"/>
  <c r="BM12" i="4" s="1"/>
  <c r="H12" i="4" a="1"/>
  <c r="H12" i="4" s="1"/>
  <c r="CE12" i="4" a="1"/>
  <c r="CE12" i="4" s="1"/>
  <c r="BC12" i="4" a="1"/>
  <c r="BC12" i="4" s="1"/>
  <c r="BJ12" i="4" a="1"/>
  <c r="BJ12" i="4" s="1"/>
  <c r="Q12" i="4" s="1"/>
  <c r="BG12" i="4" a="1"/>
  <c r="BG12" i="4" s="1"/>
  <c r="CH12" i="4" a="1"/>
  <c r="CH12" i="4" s="1"/>
  <c r="CG12" i="4" a="1"/>
  <c r="CG12" i="4" s="1"/>
  <c r="BU12" i="4" a="1"/>
  <c r="BU12" i="4" s="1"/>
  <c r="CA12" i="4" a="1"/>
  <c r="CA12" i="4" s="1"/>
  <c r="CD12" i="4" a="1"/>
  <c r="CD12" i="4" s="1"/>
  <c r="BW12" i="4" a="1"/>
  <c r="BW12" i="4" s="1"/>
  <c r="BQ12" i="4" a="1"/>
  <c r="BQ12" i="4" s="1"/>
  <c r="EH12" i="4" a="1"/>
  <c r="EH12" i="4" s="1"/>
  <c r="BO12" i="4" a="1"/>
  <c r="BO12" i="4" s="1"/>
  <c r="BN12" i="4" a="1"/>
  <c r="BN12" i="4" s="1"/>
  <c r="D12" i="4" a="1"/>
  <c r="D12" i="4" s="1"/>
  <c r="E12" i="4" a="1"/>
  <c r="E12" i="4" s="1"/>
  <c r="BR12" i="4" a="1"/>
  <c r="BR12" i="4" s="1"/>
  <c r="BY12" i="4" a="1"/>
  <c r="BY12" i="4" s="1"/>
  <c r="CB12" i="4" a="1"/>
  <c r="CB12" i="4" s="1"/>
  <c r="CI12" i="4" a="1"/>
  <c r="CI12" i="4" s="1"/>
  <c r="BZ12" i="4" a="1"/>
  <c r="BZ12" i="4" s="1"/>
  <c r="EJ12" i="4" a="1"/>
  <c r="EJ12" i="4" s="1"/>
  <c r="EI12" i="4" a="1"/>
  <c r="EI12" i="4" s="1"/>
  <c r="BE12" i="4" a="1"/>
  <c r="BE12" i="4" s="1"/>
  <c r="L12" i="4" a="1"/>
  <c r="L12" i="4" s="1"/>
  <c r="EJ52" i="4" a="1"/>
  <c r="EJ52" i="4" s="1"/>
  <c r="BL52" i="4" a="1"/>
  <c r="BL52" i="4" s="1"/>
  <c r="BX52" i="4" a="1"/>
  <c r="BX52" i="4" s="1"/>
  <c r="H52" i="4" a="1"/>
  <c r="H52" i="4" s="1"/>
  <c r="BM52" i="4" a="1"/>
  <c r="BM52" i="4" s="1"/>
  <c r="CC52" i="4" a="1"/>
  <c r="CC52" i="4" s="1"/>
  <c r="BW52" i="4" a="1"/>
  <c r="BW52" i="4" s="1"/>
  <c r="CH52" i="4" a="1"/>
  <c r="CH52" i="4" s="1"/>
  <c r="BO52" i="4" a="1"/>
  <c r="BO52" i="4" s="1"/>
  <c r="BZ52" i="4" a="1"/>
  <c r="BZ52" i="4" s="1"/>
  <c r="BQ52" i="4" a="1"/>
  <c r="BQ52" i="4" s="1"/>
  <c r="CE52" i="4" a="1"/>
  <c r="CE52" i="4" s="1"/>
  <c r="EH52" i="4" a="1"/>
  <c r="EH52" i="4" s="1"/>
  <c r="EI52" i="4" a="1"/>
  <c r="EI52" i="4" s="1"/>
  <c r="CB52" i="4" a="1"/>
  <c r="CB52" i="4" s="1"/>
  <c r="CF52" i="4" a="1"/>
  <c r="CF52" i="4" s="1"/>
  <c r="L52" i="4" a="1"/>
  <c r="L52" i="4" s="1"/>
  <c r="BE52" i="4" a="1"/>
  <c r="BE52" i="4" s="1"/>
  <c r="AB52" i="4" s="1"/>
  <c r="BV52" i="4" a="1"/>
  <c r="BV52" i="4" s="1"/>
  <c r="CG52" i="4" a="1"/>
  <c r="CG52" i="4" s="1"/>
  <c r="BR52" i="4" a="1"/>
  <c r="BR52" i="4" s="1"/>
  <c r="CD52" i="4" a="1"/>
  <c r="CD52" i="4" s="1"/>
  <c r="CI52" i="4" a="1"/>
  <c r="CI52" i="4" s="1"/>
  <c r="BY52" i="4" a="1"/>
  <c r="BY52" i="4" s="1"/>
  <c r="BN52" i="4" a="1"/>
  <c r="BN52" i="4" s="1"/>
  <c r="BK52" i="4" a="1"/>
  <c r="BK52" i="4" s="1"/>
  <c r="BU52" i="4" a="1"/>
  <c r="BU52" i="4" s="1"/>
  <c r="CA52" i="4" a="1"/>
  <c r="CA52" i="4" s="1"/>
  <c r="BJ52" i="4" a="1"/>
  <c r="BJ52" i="4" s="1"/>
  <c r="BG52" i="4" a="1"/>
  <c r="BG52" i="4" s="1"/>
  <c r="D52" i="4" a="1"/>
  <c r="D52" i="4" s="1"/>
  <c r="T88" i="4"/>
  <c r="BC26" i="4" a="1"/>
  <c r="BC26" i="4" s="1"/>
  <c r="EH26" i="4" a="1"/>
  <c r="EH26" i="4" s="1"/>
  <c r="BX26" i="4" a="1"/>
  <c r="BX26" i="4" s="1"/>
  <c r="E26" i="4" a="1"/>
  <c r="E26" i="4" s="1"/>
  <c r="CF26" i="4" a="1"/>
  <c r="CF26" i="4" s="1"/>
  <c r="L26" i="4" a="1"/>
  <c r="L26" i="4" s="1"/>
  <c r="CA26" i="4" a="1"/>
  <c r="CA26" i="4" s="1"/>
  <c r="BE26" i="4" a="1"/>
  <c r="BE26" i="4" s="1"/>
  <c r="AB26" i="4" s="1"/>
  <c r="BD26" i="4" a="1"/>
  <c r="BD26" i="4" s="1"/>
  <c r="BM26" i="4" a="1"/>
  <c r="BM26" i="4" s="1"/>
  <c r="EJ26" i="4" a="1"/>
  <c r="EJ26" i="4" s="1"/>
  <c r="BZ26" i="4" a="1"/>
  <c r="BZ26" i="4" s="1"/>
  <c r="BJ26" i="4" a="1"/>
  <c r="BJ26" i="4" s="1"/>
  <c r="CB26" i="4" a="1"/>
  <c r="CB26" i="4" s="1"/>
  <c r="BW26" i="4" a="1"/>
  <c r="BW26" i="4" s="1"/>
  <c r="BU26" i="4" a="1"/>
  <c r="BU26" i="4" s="1"/>
  <c r="BY26" i="4" a="1"/>
  <c r="BY26" i="4" s="1"/>
  <c r="BK26" i="4" a="1"/>
  <c r="BK26" i="4" s="1"/>
  <c r="BL26" i="4" a="1"/>
  <c r="BL26" i="4" s="1"/>
  <c r="CE26" i="4" a="1"/>
  <c r="CE26" i="4" s="1"/>
  <c r="EI26" i="4" a="1"/>
  <c r="EI26" i="4" s="1"/>
  <c r="BG26" i="4" a="1"/>
  <c r="BG26" i="4" s="1"/>
  <c r="CH26" i="4" a="1"/>
  <c r="CH26" i="4" s="1"/>
  <c r="BV26" i="4" a="1"/>
  <c r="BV26" i="4" s="1"/>
  <c r="H26" i="4" a="1"/>
  <c r="H26" i="4" s="1"/>
  <c r="BN26" i="4" a="1"/>
  <c r="BN26" i="4" s="1"/>
  <c r="BR26" i="4" a="1"/>
  <c r="BR26" i="4" s="1"/>
  <c r="CD26" i="4" a="1"/>
  <c r="CD26" i="4" s="1"/>
  <c r="BO26" i="4" a="1"/>
  <c r="BO26" i="4" s="1"/>
  <c r="CI26" i="4" a="1"/>
  <c r="CI26" i="4" s="1"/>
  <c r="BQ26" i="4" a="1"/>
  <c r="BQ26" i="4" s="1"/>
  <c r="CG26" i="4" a="1"/>
  <c r="CG26" i="4" s="1"/>
  <c r="CC26" i="4" a="1"/>
  <c r="CC26" i="4" s="1"/>
  <c r="D26" i="4" a="1"/>
  <c r="D26" i="4" s="1"/>
  <c r="BO22" i="4" a="1"/>
  <c r="BO22" i="4" s="1"/>
  <c r="CC22" i="4" a="1"/>
  <c r="CC22" i="4" s="1"/>
  <c r="L22" i="4" a="1"/>
  <c r="L22" i="4" s="1"/>
  <c r="EJ22" i="4" a="1"/>
  <c r="EJ22" i="4" s="1"/>
  <c r="BZ22" i="4" a="1"/>
  <c r="BZ22" i="4" s="1"/>
  <c r="BR22" i="4" a="1"/>
  <c r="BR22" i="4" s="1"/>
  <c r="BE22" i="4" a="1"/>
  <c r="BE22" i="4" s="1"/>
  <c r="BM22" i="4" a="1"/>
  <c r="BM22" i="4" s="1"/>
  <c r="CF22" i="4" a="1"/>
  <c r="CF22" i="4" s="1"/>
  <c r="BQ22" i="4" a="1"/>
  <c r="BQ22" i="4" s="1"/>
  <c r="CE22" i="4" a="1"/>
  <c r="CE22" i="4" s="1"/>
  <c r="BW22" i="4" a="1"/>
  <c r="BW22" i="4" s="1"/>
  <c r="CB22" i="4" a="1"/>
  <c r="CB22" i="4" s="1"/>
  <c r="BN22" i="4" a="1"/>
  <c r="BN22" i="4" s="1"/>
  <c r="CA22" i="4" a="1"/>
  <c r="CA22" i="4" s="1"/>
  <c r="BX22" i="4" a="1"/>
  <c r="BX22" i="4" s="1"/>
  <c r="BY22" i="4" a="1"/>
  <c r="BY22" i="4" s="1"/>
  <c r="BG22" i="4" a="1"/>
  <c r="BG22" i="4" s="1"/>
  <c r="EH22" i="4" a="1"/>
  <c r="EH22" i="4" s="1"/>
  <c r="D22" i="4" a="1"/>
  <c r="D22" i="4" s="1"/>
  <c r="CH22" i="4" a="1"/>
  <c r="CH22" i="4" s="1"/>
  <c r="BL22" i="4" a="1"/>
  <c r="BL22" i="4" s="1"/>
  <c r="BJ22" i="4" a="1"/>
  <c r="BJ22" i="4" s="1"/>
  <c r="Q22" i="4" s="1"/>
  <c r="BC22" i="4" a="1"/>
  <c r="BC22" i="4" s="1"/>
  <c r="CQ191" i="2"/>
  <c r="BT191" i="2"/>
  <c r="BU191" i="2" s="1"/>
  <c r="BP127" i="4"/>
  <c r="ED162" i="2"/>
  <c r="DX162" i="2"/>
  <c r="DZ162" i="2" s="1"/>
  <c r="EA162" i="2" s="1"/>
  <c r="DU97" i="2"/>
  <c r="DN97" i="2"/>
  <c r="DP97" i="2" s="1"/>
  <c r="DQ97" i="2" s="1"/>
  <c r="DF97" i="2"/>
  <c r="DV97" i="2"/>
  <c r="EF97" i="2"/>
  <c r="ED281" i="2"/>
  <c r="DX281" i="2"/>
  <c r="DZ281" i="2" s="1"/>
  <c r="EA281" i="2" s="1"/>
  <c r="DX82" i="2"/>
  <c r="DZ82" i="2" s="1"/>
  <c r="EA82" i="2" s="1"/>
  <c r="ED82" i="2"/>
  <c r="BY50" i="4" a="1"/>
  <c r="BY50" i="4" s="1"/>
  <c r="L50" i="4" a="1"/>
  <c r="L50" i="4" s="1"/>
  <c r="EJ50" i="4" a="1"/>
  <c r="EJ50" i="4" s="1"/>
  <c r="BV50" i="4" a="1"/>
  <c r="BV50" i="4" s="1"/>
  <c r="BK50" i="4" a="1"/>
  <c r="BK50" i="4" s="1"/>
  <c r="E50" i="4" a="1"/>
  <c r="E50" i="4" s="1"/>
  <c r="BO50" i="4" a="1"/>
  <c r="BO50" i="4" s="1"/>
  <c r="BX50" i="4" a="1"/>
  <c r="BX50" i="4" s="1"/>
  <c r="CE50" i="4" a="1"/>
  <c r="CE50" i="4" s="1"/>
  <c r="CH50" i="4" a="1"/>
  <c r="CH50" i="4" s="1"/>
  <c r="CF50" i="4" a="1"/>
  <c r="CF50" i="4" s="1"/>
  <c r="CI50" i="4" a="1"/>
  <c r="CI50" i="4" s="1"/>
  <c r="CG50" i="4" a="1"/>
  <c r="CG50" i="4" s="1"/>
  <c r="BG50" i="4" a="1"/>
  <c r="BG50" i="4" s="1"/>
  <c r="CB50" i="4" a="1"/>
  <c r="CB50" i="4" s="1"/>
  <c r="H50" i="4" a="1"/>
  <c r="H50" i="4" s="1"/>
  <c r="BC50" i="4" a="1"/>
  <c r="BC50" i="4" s="1"/>
  <c r="BE50" i="4" a="1"/>
  <c r="BE50" i="4" s="1"/>
  <c r="BM50" i="4" a="1"/>
  <c r="BM50" i="4" s="1"/>
  <c r="EH50" i="4" a="1"/>
  <c r="EH50" i="4" s="1"/>
  <c r="D50" i="4" a="1"/>
  <c r="D50" i="4" s="1"/>
  <c r="CC50" i="4" a="1"/>
  <c r="CC50" i="4" s="1"/>
  <c r="BJ50" i="4" a="1"/>
  <c r="BJ50" i="4" s="1"/>
  <c r="Q50" i="4" s="1"/>
  <c r="BU50" i="4" a="1"/>
  <c r="BU50" i="4" s="1"/>
  <c r="BZ50" i="4" a="1"/>
  <c r="BZ50" i="4" s="1"/>
  <c r="BR50" i="4" a="1"/>
  <c r="BR50" i="4" s="1"/>
  <c r="BW50" i="4" a="1"/>
  <c r="BW50" i="4" s="1"/>
  <c r="BQ50" i="4" a="1"/>
  <c r="BQ50" i="4" s="1"/>
  <c r="EI50" i="4" a="1"/>
  <c r="EI50" i="4" s="1"/>
  <c r="BN50" i="4" a="1"/>
  <c r="BN50" i="4" s="1"/>
  <c r="BL50" i="4" a="1"/>
  <c r="BL50" i="4" s="1"/>
  <c r="CD50" i="4" a="1"/>
  <c r="CD50" i="4" s="1"/>
  <c r="CA50" i="4" a="1"/>
  <c r="CA50" i="4" s="1"/>
  <c r="BD50" i="4" a="1"/>
  <c r="BD50" i="4" s="1"/>
  <c r="T101" i="4"/>
  <c r="BP113" i="4"/>
  <c r="BP116" i="4"/>
  <c r="BP129" i="4"/>
  <c r="BP138" i="4"/>
  <c r="BP121" i="4"/>
  <c r="BP141" i="4"/>
  <c r="BN38" i="4" a="1"/>
  <c r="BN38" i="4" s="1"/>
  <c r="BU38" i="4" a="1"/>
  <c r="BU38" i="4" s="1"/>
  <c r="EH38" i="4" a="1"/>
  <c r="EH38" i="4" s="1"/>
  <c r="CE38" i="4" a="1"/>
  <c r="CE38" i="4" s="1"/>
  <c r="CA38" i="4" a="1"/>
  <c r="CA38" i="4" s="1"/>
  <c r="BY38" i="4" a="1"/>
  <c r="BY38" i="4" s="1"/>
  <c r="BE38" i="4" a="1"/>
  <c r="BE38" i="4" s="1"/>
  <c r="AB38" i="4" s="1"/>
  <c r="BQ38" i="4" a="1"/>
  <c r="BQ38" i="4" s="1"/>
  <c r="H38" i="4" a="1"/>
  <c r="H38" i="4" s="1"/>
  <c r="BC38" i="4" a="1"/>
  <c r="BC38" i="4" s="1"/>
  <c r="BL38" i="4" a="1"/>
  <c r="BL38" i="4" s="1"/>
  <c r="BG38" i="4" a="1"/>
  <c r="BG38" i="4" s="1"/>
  <c r="BO38" i="4" a="1"/>
  <c r="BO38" i="4" s="1"/>
  <c r="CH38" i="4" a="1"/>
  <c r="CH38" i="4" s="1"/>
  <c r="BW38" i="4" a="1"/>
  <c r="BW38" i="4" s="1"/>
  <c r="D38" i="4" a="1"/>
  <c r="D38" i="4" s="1"/>
  <c r="CC38" i="4" a="1"/>
  <c r="CC38" i="4" s="1"/>
  <c r="CG38" i="4" a="1"/>
  <c r="CG38" i="4" s="1"/>
  <c r="E38" i="4" a="1"/>
  <c r="E38" i="4" s="1"/>
  <c r="L38" i="4" a="1"/>
  <c r="L38" i="4" s="1"/>
  <c r="BZ38" i="4" a="1"/>
  <c r="BZ38" i="4" s="1"/>
  <c r="BK38" i="4" a="1"/>
  <c r="BK38" i="4" s="1"/>
  <c r="EJ38" i="4" a="1"/>
  <c r="EJ38" i="4" s="1"/>
  <c r="CB38" i="4" a="1"/>
  <c r="CB38" i="4" s="1"/>
  <c r="EI38" i="4" a="1"/>
  <c r="EI38" i="4" s="1"/>
  <c r="BV38" i="4" a="1"/>
  <c r="BV38" i="4" s="1"/>
  <c r="CD38" i="4" a="1"/>
  <c r="CD38" i="4" s="1"/>
  <c r="BR38" i="4" a="1"/>
  <c r="BR38" i="4" s="1"/>
  <c r="CI38" i="4" a="1"/>
  <c r="CI38" i="4" s="1"/>
  <c r="BQ54" i="4" a="1"/>
  <c r="BQ54" i="4" s="1"/>
  <c r="BG54" i="4" a="1"/>
  <c r="BG54" i="4" s="1"/>
  <c r="BJ54" i="4" a="1"/>
  <c r="BJ54" i="4" s="1"/>
  <c r="BD54" i="4" a="1"/>
  <c r="BD54" i="4" s="1"/>
  <c r="CF54" i="4" a="1"/>
  <c r="CF54" i="4" s="1"/>
  <c r="BX54" i="4" a="1"/>
  <c r="BX54" i="4" s="1"/>
  <c r="CD54" i="4" a="1"/>
  <c r="CD54" i="4" s="1"/>
  <c r="CG54" i="4" a="1"/>
  <c r="CG54" i="4" s="1"/>
  <c r="BU54" i="4" a="1"/>
  <c r="BU54" i="4" s="1"/>
  <c r="BR54" i="4" a="1"/>
  <c r="BR54" i="4" s="1"/>
  <c r="BO54" i="4" a="1"/>
  <c r="BO54" i="4" s="1"/>
  <c r="BN54" i="4" a="1"/>
  <c r="BN54" i="4" s="1"/>
  <c r="L54" i="4" a="1"/>
  <c r="L54" i="4" s="1"/>
  <c r="EI54" i="4" a="1"/>
  <c r="EI54" i="4" s="1"/>
  <c r="CH54" i="4" a="1"/>
  <c r="CH54" i="4" s="1"/>
  <c r="CE54" i="4" a="1"/>
  <c r="CE54" i="4" s="1"/>
  <c r="BE54" i="4" a="1"/>
  <c r="BE54" i="4" s="1"/>
  <c r="AB54" i="4" s="1"/>
  <c r="BW54" i="4" a="1"/>
  <c r="BW54" i="4" s="1"/>
  <c r="BK54" i="4" a="1"/>
  <c r="BK54" i="4" s="1"/>
  <c r="BZ54" i="4" a="1"/>
  <c r="BZ54" i="4" s="1"/>
  <c r="H48" i="4" a="1"/>
  <c r="H48" i="4" s="1"/>
  <c r="EH48" i="4" a="1"/>
  <c r="EH48" i="4" s="1"/>
  <c r="BV48" i="4" a="1"/>
  <c r="BV48" i="4" s="1"/>
  <c r="BZ48" i="4" a="1"/>
  <c r="BZ48" i="4" s="1"/>
  <c r="CD48" i="4" a="1"/>
  <c r="CD48" i="4" s="1"/>
  <c r="BL48" i="4" a="1"/>
  <c r="BL48" i="4" s="1"/>
  <c r="BW48" i="4" a="1"/>
  <c r="BW48" i="4" s="1"/>
  <c r="CF48" i="4" a="1"/>
  <c r="CF48" i="4" s="1"/>
  <c r="BJ48" i="4" a="1"/>
  <c r="BJ48" i="4" s="1"/>
  <c r="EJ48" i="4" a="1"/>
  <c r="EJ48" i="4" s="1"/>
  <c r="BC48" i="4" a="1"/>
  <c r="BC48" i="4" s="1"/>
  <c r="BO48" i="4" a="1"/>
  <c r="BO48" i="4" s="1"/>
  <c r="BM48" i="4" a="1"/>
  <c r="BM48" i="4" s="1"/>
  <c r="BE48" i="4" a="1"/>
  <c r="BE48" i="4" s="1"/>
  <c r="AB48" i="4" s="1"/>
  <c r="E48" i="4" a="1"/>
  <c r="E48" i="4" s="1"/>
  <c r="BK48" i="4" a="1"/>
  <c r="BK48" i="4" s="1"/>
  <c r="D48" i="4" a="1"/>
  <c r="D48" i="4" s="1"/>
  <c r="CC48" i="4" a="1"/>
  <c r="CC48" i="4" s="1"/>
  <c r="BY48" i="4" a="1"/>
  <c r="BY48" i="4" s="1"/>
  <c r="CB48" i="4" a="1"/>
  <c r="CB48" i="4" s="1"/>
  <c r="CG48" i="4" a="1"/>
  <c r="CG48" i="4" s="1"/>
  <c r="CH48" i="4" a="1"/>
  <c r="CH48" i="4" s="1"/>
  <c r="BG48" i="4" a="1"/>
  <c r="BG48" i="4" s="1"/>
  <c r="L48" i="4" a="1"/>
  <c r="L48" i="4" s="1"/>
  <c r="BR48" i="4" a="1"/>
  <c r="BR48" i="4" s="1"/>
  <c r="BX48" i="4" a="1"/>
  <c r="BX48" i="4" s="1"/>
  <c r="CI48" i="4" a="1"/>
  <c r="CI48" i="4" s="1"/>
  <c r="EI48" i="4" a="1"/>
  <c r="EI48" i="4" s="1"/>
  <c r="BU48" i="4" a="1"/>
  <c r="BU48" i="4" s="1"/>
  <c r="BD48" i="4" a="1"/>
  <c r="BD48" i="4" s="1"/>
  <c r="T116" i="4"/>
  <c r="BJ57" i="4" a="1"/>
  <c r="BJ57" i="4" s="1"/>
  <c r="EJ57" i="4" a="1"/>
  <c r="EJ57" i="4" s="1"/>
  <c r="CD57" i="4" a="1"/>
  <c r="CD57" i="4" s="1"/>
  <c r="CE57" i="4" a="1"/>
  <c r="CE57" i="4" s="1"/>
  <c r="BV57" i="4" a="1"/>
  <c r="BV57" i="4" s="1"/>
  <c r="BG57" i="4" a="1"/>
  <c r="BG57" i="4" s="1"/>
  <c r="CH57" i="4" a="1"/>
  <c r="CH57" i="4" s="1"/>
  <c r="BM57" i="4" a="1"/>
  <c r="BM57" i="4" s="1"/>
  <c r="BN57" i="4" a="1"/>
  <c r="BN57" i="4" s="1"/>
  <c r="CB57" i="4" a="1"/>
  <c r="CB57" i="4" s="1"/>
  <c r="CA57" i="4" a="1"/>
  <c r="CA57" i="4" s="1"/>
  <c r="BW57" i="4" a="1"/>
  <c r="BW57" i="4" s="1"/>
  <c r="BX57" i="4" a="1"/>
  <c r="BX57" i="4" s="1"/>
  <c r="BE57" i="4" a="1"/>
  <c r="BE57" i="4" s="1"/>
  <c r="AB57" i="4" s="1"/>
  <c r="BL57" i="4" a="1"/>
  <c r="BL57" i="4" s="1"/>
  <c r="CF57" i="4" a="1"/>
  <c r="CF57" i="4" s="1"/>
  <c r="BO57" i="4" a="1"/>
  <c r="BO57" i="4" s="1"/>
  <c r="BZ57" i="4" a="1"/>
  <c r="BZ57" i="4" s="1"/>
  <c r="EH57" i="4" a="1"/>
  <c r="EH57" i="4" s="1"/>
  <c r="BQ57" i="4" a="1"/>
  <c r="BQ57" i="4" s="1"/>
  <c r="BR57" i="4" a="1"/>
  <c r="BR57" i="4" s="1"/>
  <c r="L57" i="4" a="1"/>
  <c r="L57" i="4" s="1"/>
  <c r="BK57" i="4" a="1"/>
  <c r="BK57" i="4" s="1"/>
  <c r="EI57" i="4" a="1"/>
  <c r="EI57" i="4" s="1"/>
  <c r="BU57" i="4" a="1"/>
  <c r="BU57" i="4" s="1"/>
  <c r="E57" i="4" a="1"/>
  <c r="E57" i="4" s="1"/>
  <c r="CI57" i="4" a="1"/>
  <c r="CI57" i="4" s="1"/>
  <c r="BY57" i="4" a="1"/>
  <c r="BY57" i="4" s="1"/>
  <c r="CG57" i="4" a="1"/>
  <c r="CG57" i="4" s="1"/>
  <c r="D57" i="4" a="1"/>
  <c r="D57" i="4" s="1"/>
  <c r="H57" i="4" a="1"/>
  <c r="H57" i="4" s="1"/>
  <c r="CC57" i="4" a="1"/>
  <c r="CC57" i="4" s="1"/>
  <c r="BC57" i="4" a="1"/>
  <c r="BC57" i="4" s="1"/>
  <c r="BP82" i="4"/>
  <c r="T93" i="4"/>
  <c r="BP73" i="4"/>
  <c r="BT122" i="2"/>
  <c r="BU122" i="2" s="1"/>
  <c r="CN122" i="2"/>
  <c r="EW122" i="2"/>
  <c r="EX122" i="2" s="1"/>
  <c r="DX59" i="2"/>
  <c r="DZ59" i="2" s="1"/>
  <c r="EA59" i="2" s="1"/>
  <c r="ED59" i="2"/>
  <c r="EF162" i="2"/>
  <c r="DU162" i="2"/>
  <c r="DN162" i="2"/>
  <c r="DP162" i="2" s="1"/>
  <c r="DQ162" i="2" s="1"/>
  <c r="DV162" i="2"/>
  <c r="DF162" i="2"/>
  <c r="EC151" i="2"/>
  <c r="EB151" i="2"/>
  <c r="EE151" i="2"/>
  <c r="DU12" i="2"/>
  <c r="DN12" i="2"/>
  <c r="DP12" i="2" s="1"/>
  <c r="DQ12" i="2" s="1"/>
  <c r="DF12" i="2"/>
  <c r="DV12" i="2"/>
  <c r="EF12" i="2"/>
  <c r="BP134" i="4"/>
  <c r="DD138" i="2"/>
  <c r="DE138" i="2"/>
  <c r="G203" i="2"/>
  <c r="F203" i="2"/>
  <c r="EG198" i="2"/>
  <c r="DY198" i="2"/>
  <c r="BN70" i="4" a="1"/>
  <c r="BN70" i="4" s="1"/>
  <c r="L70" i="4" a="1"/>
  <c r="L70" i="4" s="1"/>
  <c r="BG70" i="4" a="1"/>
  <c r="BG70" i="4" s="1"/>
  <c r="BC70" i="4" a="1"/>
  <c r="BC70" i="4" s="1"/>
  <c r="CB70" i="4" a="1"/>
  <c r="CB70" i="4" s="1"/>
  <c r="D70" i="4" a="1"/>
  <c r="D70" i="4" s="1"/>
  <c r="BK70" i="4" a="1"/>
  <c r="BK70" i="4" s="1"/>
  <c r="CF70" i="4" a="1"/>
  <c r="CF70" i="4" s="1"/>
  <c r="EJ70" i="4" a="1"/>
  <c r="EJ70" i="4" s="1"/>
  <c r="E70" i="4" a="1"/>
  <c r="E70" i="4" s="1"/>
  <c r="EI70" i="4" a="1"/>
  <c r="EI70" i="4" s="1"/>
  <c r="BV70" i="4" a="1"/>
  <c r="BV70" i="4" s="1"/>
  <c r="BR70" i="4" a="1"/>
  <c r="BR70" i="4" s="1"/>
  <c r="CC70" i="4" a="1"/>
  <c r="CC70" i="4" s="1"/>
  <c r="CE70" i="4" a="1"/>
  <c r="CE70" i="4" s="1"/>
  <c r="CH70" i="4" a="1"/>
  <c r="CH70" i="4" s="1"/>
  <c r="BU70" i="4" a="1"/>
  <c r="BU70" i="4" s="1"/>
  <c r="H70" i="4" a="1"/>
  <c r="H70" i="4" s="1"/>
  <c r="BO70" i="4" a="1"/>
  <c r="BO70" i="4" s="1"/>
  <c r="BX70" i="4" a="1"/>
  <c r="BX70" i="4" s="1"/>
  <c r="CD70" i="4" a="1"/>
  <c r="CD70" i="4" s="1"/>
  <c r="BW70" i="4" a="1"/>
  <c r="BW70" i="4" s="1"/>
  <c r="BE70" i="4" a="1"/>
  <c r="BE70" i="4" s="1"/>
  <c r="AB70" i="4" s="1"/>
  <c r="BY70" i="4" a="1"/>
  <c r="BY70" i="4" s="1"/>
  <c r="EH70" i="4" a="1"/>
  <c r="EH70" i="4" s="1"/>
  <c r="BZ70" i="4" a="1"/>
  <c r="BZ70" i="4" s="1"/>
  <c r="BM70" i="4" a="1"/>
  <c r="BM70" i="4" s="1"/>
  <c r="CG70" i="4" a="1"/>
  <c r="CG70" i="4" s="1"/>
  <c r="CI70" i="4" a="1"/>
  <c r="CI70" i="4" s="1"/>
  <c r="BQ70" i="4" a="1"/>
  <c r="BQ70" i="4" s="1"/>
  <c r="BL70" i="4" a="1"/>
  <c r="BL70" i="4" s="1"/>
  <c r="CA70" i="4" a="1"/>
  <c r="CA70" i="4" s="1"/>
  <c r="BD70" i="4" a="1"/>
  <c r="BD70" i="4" s="1"/>
  <c r="BJ70" i="4" a="1"/>
  <c r="BJ70" i="4" s="1"/>
  <c r="BW8" i="4" a="1"/>
  <c r="BW8" i="4" s="1"/>
  <c r="BU8" i="4" a="1"/>
  <c r="BU8" i="4" s="1"/>
  <c r="CE8" i="4" a="1"/>
  <c r="CE8" i="4" s="1"/>
  <c r="BC8" i="4" a="1"/>
  <c r="BC8" i="4" s="1"/>
  <c r="D8" i="4" a="1"/>
  <c r="D8" i="4" s="1"/>
  <c r="L8" i="4" a="1"/>
  <c r="L8" i="4" s="1"/>
  <c r="CB8" i="4" a="1"/>
  <c r="CB8" i="4" s="1"/>
  <c r="EI8" i="4" a="1"/>
  <c r="EI8" i="4" s="1"/>
  <c r="BJ8" i="4" a="1"/>
  <c r="BJ8" i="4" s="1"/>
  <c r="Q8" i="4" s="1"/>
  <c r="BM8" i="4" a="1"/>
  <c r="BM8" i="4" s="1"/>
  <c r="CH8" i="4" a="1"/>
  <c r="CH8" i="4" s="1"/>
  <c r="CC8" i="4" a="1"/>
  <c r="CC8" i="4" s="1"/>
  <c r="BN8" i="4" a="1"/>
  <c r="BN8" i="4" s="1"/>
  <c r="BR8" i="4" a="1"/>
  <c r="BR8" i="4" s="1"/>
  <c r="BE8" i="4" a="1"/>
  <c r="BE8" i="4" s="1"/>
  <c r="EJ8" i="4" a="1"/>
  <c r="EJ8" i="4" s="1"/>
  <c r="BZ8" i="4" a="1"/>
  <c r="BZ8" i="4" s="1"/>
  <c r="BL8" i="4" a="1"/>
  <c r="BL8" i="4" s="1"/>
  <c r="BV8" i="4" a="1"/>
  <c r="BV8" i="4" s="1"/>
  <c r="BK8" i="4" a="1"/>
  <c r="BK8" i="4" s="1"/>
  <c r="BQ8" i="4" a="1"/>
  <c r="BQ8" i="4" s="1"/>
  <c r="BG8" i="4" a="1"/>
  <c r="BG8" i="4" s="1"/>
  <c r="CG8" i="4" a="1"/>
  <c r="CG8" i="4" s="1"/>
  <c r="CF8" i="4" a="1"/>
  <c r="CF8" i="4" s="1"/>
  <c r="CD8" i="4" a="1"/>
  <c r="CD8" i="4" s="1"/>
  <c r="E8" i="4" a="1"/>
  <c r="E8" i="4" s="1"/>
  <c r="BX8" i="4" a="1"/>
  <c r="BX8" i="4" s="1"/>
  <c r="CA8" i="4" a="1"/>
  <c r="CA8" i="4" s="1"/>
  <c r="BY8" i="4" a="1"/>
  <c r="BY8" i="4" s="1"/>
  <c r="EH8" i="4" a="1"/>
  <c r="EH8" i="4" s="1"/>
  <c r="H8" i="4" a="1"/>
  <c r="H8" i="4" s="1"/>
  <c r="BO8" i="4" a="1"/>
  <c r="BO8" i="4" s="1"/>
  <c r="CI8" i="4" a="1"/>
  <c r="CI8" i="4" s="1"/>
  <c r="T106" i="4"/>
  <c r="W106" i="4" s="1"/>
  <c r="Y106" i="4" s="1"/>
  <c r="EG248" i="2"/>
  <c r="DY248" i="2"/>
  <c r="DE9" i="2"/>
  <c r="DD9" i="2"/>
  <c r="EF6" i="2"/>
  <c r="DV6" i="2"/>
  <c r="DF6" i="2"/>
  <c r="DN6" i="2"/>
  <c r="DP6" i="2" s="1"/>
  <c r="DQ6" i="2" s="1"/>
  <c r="DU6" i="2"/>
  <c r="DE143" i="2"/>
  <c r="DD143" i="2"/>
  <c r="DX15" i="2"/>
  <c r="DZ15" i="2" s="1"/>
  <c r="EA15" i="2" s="1"/>
  <c r="ED15" i="2"/>
  <c r="BP130" i="4"/>
  <c r="BP80" i="4"/>
  <c r="Z50" i="4"/>
  <c r="Y50" i="4"/>
  <c r="DE133" i="2"/>
  <c r="DD133" i="2"/>
  <c r="ED6" i="2"/>
  <c r="DX6" i="2"/>
  <c r="DZ6" i="2" s="1"/>
  <c r="EA6" i="2" s="1"/>
  <c r="DF82" i="2"/>
  <c r="DN82" i="2"/>
  <c r="DP82" i="2" s="1"/>
  <c r="DQ82" i="2" s="1"/>
  <c r="DU82" i="2"/>
  <c r="DV82" i="2"/>
  <c r="EF82" i="2"/>
  <c r="CC14" i="4" a="1"/>
  <c r="CC14" i="4" s="1"/>
  <c r="E14" i="4" a="1"/>
  <c r="E14" i="4" s="1"/>
  <c r="CH14" i="4" a="1"/>
  <c r="CH14" i="4" s="1"/>
  <c r="H14" i="4" a="1"/>
  <c r="H14" i="4" s="1"/>
  <c r="BZ14" i="4" a="1"/>
  <c r="BZ14" i="4" s="1"/>
  <c r="EJ14" i="4" a="1"/>
  <c r="EJ14" i="4" s="1"/>
  <c r="CE14" i="4" a="1"/>
  <c r="CE14" i="4" s="1"/>
  <c r="BL14" i="4" a="1"/>
  <c r="BL14" i="4" s="1"/>
  <c r="BY14" i="4" a="1"/>
  <c r="BY14" i="4" s="1"/>
  <c r="CI14" i="4" a="1"/>
  <c r="CI14" i="4" s="1"/>
  <c r="CA14" i="4" a="1"/>
  <c r="CA14" i="4" s="1"/>
  <c r="L14" i="4" a="1"/>
  <c r="L14" i="4" s="1"/>
  <c r="CG14" i="4" a="1"/>
  <c r="CG14" i="4" s="1"/>
  <c r="BK14" i="4" a="1"/>
  <c r="BK14" i="4" s="1"/>
  <c r="BV14" i="4" a="1"/>
  <c r="BV14" i="4" s="1"/>
  <c r="CB14" i="4" a="1"/>
  <c r="CB14" i="4" s="1"/>
  <c r="BC14" i="4" a="1"/>
  <c r="BC14" i="4" s="1"/>
  <c r="BM14" i="4" a="1"/>
  <c r="BM14" i="4" s="1"/>
  <c r="BX14" i="4" a="1"/>
  <c r="BX14" i="4" s="1"/>
  <c r="BO14" i="4" a="1"/>
  <c r="BO14" i="4" s="1"/>
  <c r="EI14" i="4" a="1"/>
  <c r="EI14" i="4" s="1"/>
  <c r="CF14" i="4" a="1"/>
  <c r="CF14" i="4" s="1"/>
  <c r="BQ14" i="4" a="1"/>
  <c r="BQ14" i="4" s="1"/>
  <c r="BG14" i="4" a="1"/>
  <c r="BG14" i="4" s="1"/>
  <c r="BN14" i="4" a="1"/>
  <c r="BN14" i="4" s="1"/>
  <c r="D14" i="4" a="1"/>
  <c r="D14" i="4" s="1"/>
  <c r="CD14" i="4" a="1"/>
  <c r="CD14" i="4" s="1"/>
  <c r="EH14" i="4" a="1"/>
  <c r="EH14" i="4" s="1"/>
  <c r="BU14" i="4" a="1"/>
  <c r="BU14" i="4" s="1"/>
  <c r="BE14" i="4" a="1"/>
  <c r="BE14" i="4" s="1"/>
  <c r="AB14" i="4" s="1"/>
  <c r="BR14" i="4" a="1"/>
  <c r="BR14" i="4" s="1"/>
  <c r="BJ14" i="4" a="1"/>
  <c r="BJ14" i="4" s="1"/>
  <c r="BW14" i="4" a="1"/>
  <c r="BW14" i="4" s="1"/>
  <c r="BD14" i="4" a="1"/>
  <c r="BD14" i="4" s="1"/>
  <c r="BP114" i="4"/>
  <c r="CF60" i="4" a="1"/>
  <c r="CF60" i="4" s="1"/>
  <c r="BN60" i="4" a="1"/>
  <c r="BN60" i="4" s="1"/>
  <c r="BV60" i="4" a="1"/>
  <c r="BV60" i="4" s="1"/>
  <c r="BJ60" i="4" a="1"/>
  <c r="BJ60" i="4" s="1"/>
  <c r="BZ60" i="4" a="1"/>
  <c r="BZ60" i="4" s="1"/>
  <c r="E60" i="4" a="1"/>
  <c r="E60" i="4" s="1"/>
  <c r="BG60" i="4" a="1"/>
  <c r="BG60" i="4" s="1"/>
  <c r="H60" i="4" a="1"/>
  <c r="H60" i="4" s="1"/>
  <c r="CC60" i="4" a="1"/>
  <c r="CC60" i="4" s="1"/>
  <c r="CH60" i="4" a="1"/>
  <c r="CH60" i="4" s="1"/>
  <c r="CE60" i="4" a="1"/>
  <c r="CE60" i="4" s="1"/>
  <c r="BK60" i="4" a="1"/>
  <c r="BK60" i="4" s="1"/>
  <c r="CD60" i="4" a="1"/>
  <c r="CD60" i="4" s="1"/>
  <c r="EH60" i="4" a="1"/>
  <c r="EH60" i="4" s="1"/>
  <c r="BO60" i="4" a="1"/>
  <c r="BO60" i="4" s="1"/>
  <c r="CI60" i="4" a="1"/>
  <c r="CI60" i="4" s="1"/>
  <c r="EI60" i="4" a="1"/>
  <c r="EI60" i="4" s="1"/>
  <c r="CA60" i="4" a="1"/>
  <c r="CA60" i="4" s="1"/>
  <c r="BM60" i="4" a="1"/>
  <c r="BM60" i="4" s="1"/>
  <c r="L60" i="4" a="1"/>
  <c r="L60" i="4" s="1"/>
  <c r="BW60" i="4" a="1"/>
  <c r="BW60" i="4" s="1"/>
  <c r="BR60" i="4" a="1"/>
  <c r="BR60" i="4" s="1"/>
  <c r="BC60" i="4" a="1"/>
  <c r="BC60" i="4" s="1"/>
  <c r="BQ60" i="4" a="1"/>
  <c r="BQ60" i="4" s="1"/>
  <c r="BE60" i="4" a="1"/>
  <c r="BE60" i="4" s="1"/>
  <c r="AB60" i="4" s="1"/>
  <c r="EJ60" i="4" a="1"/>
  <c r="EJ60" i="4" s="1"/>
  <c r="BU60" i="4" a="1"/>
  <c r="BU60" i="4" s="1"/>
  <c r="D60" i="4" a="1"/>
  <c r="D60" i="4" s="1"/>
  <c r="CG60" i="4" a="1"/>
  <c r="CG60" i="4" s="1"/>
  <c r="BX60" i="4" a="1"/>
  <c r="BX60" i="4" s="1"/>
  <c r="CB60" i="4" a="1"/>
  <c r="CB60" i="4" s="1"/>
  <c r="BY60" i="4" a="1"/>
  <c r="BY60" i="4" s="1"/>
  <c r="BL60" i="4" a="1"/>
  <c r="BL60" i="4" s="1"/>
  <c r="BD68" i="4" a="1"/>
  <c r="BD68" i="4" s="1"/>
  <c r="CF68" i="4" a="1"/>
  <c r="CF68" i="4" s="1"/>
  <c r="H68" i="4" a="1"/>
  <c r="H68" i="4" s="1"/>
  <c r="BN68" i="4" a="1"/>
  <c r="BN68" i="4" s="1"/>
  <c r="BK68" i="4" a="1"/>
  <c r="BK68" i="4" s="1"/>
  <c r="CA68" i="4" a="1"/>
  <c r="CA68" i="4" s="1"/>
  <c r="BO68" i="4" a="1"/>
  <c r="BO68" i="4" s="1"/>
  <c r="BM68" i="4" a="1"/>
  <c r="BM68" i="4" s="1"/>
  <c r="CB68" i="4" a="1"/>
  <c r="CB68" i="4" s="1"/>
  <c r="EH68" i="4" a="1"/>
  <c r="EH68" i="4" s="1"/>
  <c r="CG68" i="4" a="1"/>
  <c r="CG68" i="4" s="1"/>
  <c r="BJ68" i="4" a="1"/>
  <c r="BJ68" i="4" s="1"/>
  <c r="CC68" i="4" a="1"/>
  <c r="CC68" i="4" s="1"/>
  <c r="BQ68" i="4" a="1"/>
  <c r="BQ68" i="4" s="1"/>
  <c r="BX68" i="4" a="1"/>
  <c r="BX68" i="4" s="1"/>
  <c r="BE68" i="4" a="1"/>
  <c r="BE68" i="4" s="1"/>
  <c r="AB68" i="4" s="1"/>
  <c r="BY68" i="4" a="1"/>
  <c r="BY68" i="4" s="1"/>
  <c r="L68" i="4" a="1"/>
  <c r="L68" i="4" s="1"/>
  <c r="D68" i="4" a="1"/>
  <c r="D68" i="4" s="1"/>
  <c r="BG68" i="4" a="1"/>
  <c r="BG68" i="4" s="1"/>
  <c r="BL68" i="4" a="1"/>
  <c r="BL68" i="4" s="1"/>
  <c r="CE68" i="4" a="1"/>
  <c r="CE68" i="4" s="1"/>
  <c r="CD68" i="4" a="1"/>
  <c r="CD68" i="4" s="1"/>
  <c r="E68" i="4" a="1"/>
  <c r="E68" i="4" s="1"/>
  <c r="EI68" i="4" a="1"/>
  <c r="EI68" i="4" s="1"/>
  <c r="BU68" i="4" a="1"/>
  <c r="BU68" i="4" s="1"/>
  <c r="EJ68" i="4" a="1"/>
  <c r="EJ68" i="4" s="1"/>
  <c r="BW68" i="4" a="1"/>
  <c r="BW68" i="4" s="1"/>
  <c r="BR68" i="4" a="1"/>
  <c r="BR68" i="4" s="1"/>
  <c r="CI68" i="4" a="1"/>
  <c r="CI68" i="4" s="1"/>
  <c r="CH68" i="4" a="1"/>
  <c r="CH68" i="4" s="1"/>
  <c r="BZ68" i="4" a="1"/>
  <c r="BZ68" i="4" s="1"/>
  <c r="BC68" i="4" a="1"/>
  <c r="BC68" i="4" s="1"/>
  <c r="BV68" i="4" a="1"/>
  <c r="BV68" i="4" s="1"/>
  <c r="BP74" i="4"/>
  <c r="BP75" i="4"/>
  <c r="BP131" i="4"/>
  <c r="BP125" i="4"/>
  <c r="BE53" i="4" a="1"/>
  <c r="BE53" i="4" s="1"/>
  <c r="AB53" i="4" s="1"/>
  <c r="CB53" i="4" a="1"/>
  <c r="CB53" i="4" s="1"/>
  <c r="CD53" i="4" a="1"/>
  <c r="CD53" i="4" s="1"/>
  <c r="CH53" i="4" a="1"/>
  <c r="CH53" i="4" s="1"/>
  <c r="BG53" i="4" a="1"/>
  <c r="BG53" i="4" s="1"/>
  <c r="BW53" i="4" a="1"/>
  <c r="BW53" i="4" s="1"/>
  <c r="BQ53" i="4" a="1"/>
  <c r="BQ53" i="4" s="1"/>
  <c r="BO53" i="4" a="1"/>
  <c r="BO53" i="4" s="1"/>
  <c r="BZ53" i="4" a="1"/>
  <c r="BZ53" i="4" s="1"/>
  <c r="H53" i="4" a="1"/>
  <c r="H53" i="4" s="1"/>
  <c r="L53" i="4" a="1"/>
  <c r="L53" i="4" s="1"/>
  <c r="BV53" i="4" a="1"/>
  <c r="BV53" i="4" s="1"/>
  <c r="BM53" i="4" a="1"/>
  <c r="BM53" i="4" s="1"/>
  <c r="CC53" i="4" a="1"/>
  <c r="CC53" i="4" s="1"/>
  <c r="BY53" i="4" a="1"/>
  <c r="BY53" i="4" s="1"/>
  <c r="CF53" i="4" a="1"/>
  <c r="CF53" i="4" s="1"/>
  <c r="D53" i="4" a="1"/>
  <c r="D53" i="4" s="1"/>
  <c r="CG53" i="4" a="1"/>
  <c r="CG53" i="4" s="1"/>
  <c r="EH53" i="4" a="1"/>
  <c r="EH53" i="4" s="1"/>
  <c r="BC53" i="4" a="1"/>
  <c r="BC53" i="4" s="1"/>
  <c r="E53" i="4" a="1"/>
  <c r="E53" i="4" s="1"/>
  <c r="BN53" i="4" a="1"/>
  <c r="BN53" i="4" s="1"/>
  <c r="EI53" i="4" a="1"/>
  <c r="EI53" i="4" s="1"/>
  <c r="EJ53" i="4" a="1"/>
  <c r="EJ53" i="4" s="1"/>
  <c r="BD53" i="4" a="1"/>
  <c r="BD53" i="4" s="1"/>
  <c r="CE53" i="4" a="1"/>
  <c r="CE53" i="4" s="1"/>
  <c r="BX53" i="4" a="1"/>
  <c r="BX53" i="4" s="1"/>
  <c r="BJ53" i="4" a="1"/>
  <c r="BJ53" i="4" s="1"/>
  <c r="BU53" i="4" a="1"/>
  <c r="BU53" i="4" s="1"/>
  <c r="CI53" i="4" a="1"/>
  <c r="CI53" i="4" s="1"/>
  <c r="BR53" i="4" a="1"/>
  <c r="BR53" i="4" s="1"/>
  <c r="BK53" i="4" a="1"/>
  <c r="BK53" i="4" s="1"/>
  <c r="BL53" i="4" a="1"/>
  <c r="BL53" i="4" s="1"/>
  <c r="CA53" i="4" a="1"/>
  <c r="CA53" i="4" s="1"/>
  <c r="BG35" i="4" a="1"/>
  <c r="BG35" i="4" s="1"/>
  <c r="BU35" i="4" a="1"/>
  <c r="BU35" i="4" s="1"/>
  <c r="CF35" i="4" a="1"/>
  <c r="CF35" i="4" s="1"/>
  <c r="EH35" i="4" a="1"/>
  <c r="EH35" i="4" s="1"/>
  <c r="BO35" i="4" a="1"/>
  <c r="BO35" i="4" s="1"/>
  <c r="BM35" i="4" a="1"/>
  <c r="BM35" i="4" s="1"/>
  <c r="BR35" i="4" a="1"/>
  <c r="BR35" i="4" s="1"/>
  <c r="BL35" i="4" a="1"/>
  <c r="BL35" i="4" s="1"/>
  <c r="EI35" i="4" a="1"/>
  <c r="EI35" i="4" s="1"/>
  <c r="CI35" i="4" a="1"/>
  <c r="CI35" i="4" s="1"/>
  <c r="CE35" i="4" a="1"/>
  <c r="CE35" i="4" s="1"/>
  <c r="BW35" i="4" a="1"/>
  <c r="BW35" i="4" s="1"/>
  <c r="BE35" i="4" a="1"/>
  <c r="BE35" i="4" s="1"/>
  <c r="BV35" i="4" a="1"/>
  <c r="BV35" i="4" s="1"/>
  <c r="BJ35" i="4" a="1"/>
  <c r="BJ35" i="4" s="1"/>
  <c r="Q35" i="4" s="1"/>
  <c r="CG35" i="4" a="1"/>
  <c r="CG35" i="4" s="1"/>
  <c r="CA35" i="4" a="1"/>
  <c r="CA35" i="4" s="1"/>
  <c r="BC35" i="4" a="1"/>
  <c r="BC35" i="4" s="1"/>
  <c r="BX35" i="4" a="1"/>
  <c r="BX35" i="4" s="1"/>
  <c r="BZ35" i="4" a="1"/>
  <c r="BZ35" i="4" s="1"/>
  <c r="CD35" i="4" a="1"/>
  <c r="CD35" i="4" s="1"/>
  <c r="EJ35" i="4" a="1"/>
  <c r="EJ35" i="4" s="1"/>
  <c r="BQ35" i="4" a="1"/>
  <c r="BQ35" i="4" s="1"/>
  <c r="D35" i="4" a="1"/>
  <c r="D35" i="4" s="1"/>
  <c r="H35" i="4" a="1"/>
  <c r="H35" i="4" s="1"/>
  <c r="CH35" i="4" a="1"/>
  <c r="CH35" i="4" s="1"/>
  <c r="BD35" i="4" a="1"/>
  <c r="BD35" i="4" s="1"/>
  <c r="BY35" i="4" a="1"/>
  <c r="BY35" i="4" s="1"/>
  <c r="CB35" i="4" a="1"/>
  <c r="CB35" i="4" s="1"/>
  <c r="BK35" i="4" a="1"/>
  <c r="BK35" i="4" s="1"/>
  <c r="E35" i="4" a="1"/>
  <c r="E35" i="4" s="1"/>
  <c r="L35" i="4" a="1"/>
  <c r="L35" i="4" s="1"/>
  <c r="BN35" i="4" a="1"/>
  <c r="BN35" i="4" s="1"/>
  <c r="CC35" i="4" a="1"/>
  <c r="CC35" i="4" s="1"/>
  <c r="T107" i="4"/>
  <c r="W107" i="4" s="1"/>
  <c r="Y107" i="4" s="1"/>
  <c r="BP140" i="4"/>
  <c r="L32" i="4" a="1"/>
  <c r="L32" i="4" s="1"/>
  <c r="CE32" i="4" a="1"/>
  <c r="CE32" i="4" s="1"/>
  <c r="CD32" i="4" a="1"/>
  <c r="CD32" i="4" s="1"/>
  <c r="BL32" i="4" a="1"/>
  <c r="BL32" i="4" s="1"/>
  <c r="BW32" i="4" a="1"/>
  <c r="BW32" i="4" s="1"/>
  <c r="CA32" i="4" a="1"/>
  <c r="CA32" i="4" s="1"/>
  <c r="BC32" i="4" a="1"/>
  <c r="BC32" i="4" s="1"/>
  <c r="BZ32" i="4" a="1"/>
  <c r="BZ32" i="4" s="1"/>
  <c r="BR32" i="4" a="1"/>
  <c r="BR32" i="4" s="1"/>
  <c r="BK32" i="4" a="1"/>
  <c r="BK32" i="4" s="1"/>
  <c r="H32" i="4" a="1"/>
  <c r="H32" i="4" s="1"/>
  <c r="CG32" i="4" a="1"/>
  <c r="CG32" i="4" s="1"/>
  <c r="CI32" i="4" a="1"/>
  <c r="CI32" i="4" s="1"/>
  <c r="CC32" i="4" a="1"/>
  <c r="CC32" i="4" s="1"/>
  <c r="BX32" i="4" a="1"/>
  <c r="BX32" i="4" s="1"/>
  <c r="BM32" i="4" a="1"/>
  <c r="BM32" i="4" s="1"/>
  <c r="BV32" i="4" a="1"/>
  <c r="BV32" i="4" s="1"/>
  <c r="E32" i="4" a="1"/>
  <c r="E32" i="4" s="1"/>
  <c r="BQ32" i="4" a="1"/>
  <c r="BQ32" i="4" s="1"/>
  <c r="BE32" i="4" a="1"/>
  <c r="BE32" i="4" s="1"/>
  <c r="BP86" i="4"/>
  <c r="T85" i="4"/>
  <c r="T114" i="4"/>
  <c r="W114" i="4" s="1"/>
  <c r="BP103" i="4"/>
  <c r="BP104" i="4"/>
  <c r="BW61" i="4" a="1"/>
  <c r="BW61" i="4" s="1"/>
  <c r="BU61" i="4" a="1"/>
  <c r="BU61" i="4" s="1"/>
  <c r="BJ61" i="4" a="1"/>
  <c r="BJ61" i="4" s="1"/>
  <c r="BG61" i="4" a="1"/>
  <c r="BG61" i="4" s="1"/>
  <c r="EH61" i="4" a="1"/>
  <c r="EH61" i="4" s="1"/>
  <c r="BO61" i="4" a="1"/>
  <c r="BO61" i="4" s="1"/>
  <c r="BN61" i="4" a="1"/>
  <c r="BN61" i="4" s="1"/>
  <c r="CI61" i="4" a="1"/>
  <c r="CI61" i="4" s="1"/>
  <c r="BX61" i="4" a="1"/>
  <c r="BX61" i="4" s="1"/>
  <c r="BR61" i="4" a="1"/>
  <c r="BR61" i="4" s="1"/>
  <c r="BC61" i="4" a="1"/>
  <c r="BC61" i="4" s="1"/>
  <c r="BL61" i="4" a="1"/>
  <c r="BL61" i="4" s="1"/>
  <c r="BZ61" i="4" a="1"/>
  <c r="BZ61" i="4" s="1"/>
  <c r="CD61" i="4" a="1"/>
  <c r="CD61" i="4" s="1"/>
  <c r="D61" i="4" a="1"/>
  <c r="D61" i="4" s="1"/>
  <c r="E61" i="4" a="1"/>
  <c r="E61" i="4" s="1"/>
  <c r="BV61" i="4" a="1"/>
  <c r="BV61" i="4" s="1"/>
  <c r="BM61" i="4" a="1"/>
  <c r="BM61" i="4" s="1"/>
  <c r="CB61" i="4" a="1"/>
  <c r="CB61" i="4" s="1"/>
  <c r="L61" i="4" a="1"/>
  <c r="L61" i="4" s="1"/>
  <c r="BQ61" i="4" a="1"/>
  <c r="BQ61" i="4" s="1"/>
  <c r="BE61" i="4" a="1"/>
  <c r="BE61" i="4" s="1"/>
  <c r="AB61" i="4" s="1"/>
  <c r="BY61" i="4" a="1"/>
  <c r="BY61" i="4" s="1"/>
  <c r="H61" i="4" a="1"/>
  <c r="H61" i="4" s="1"/>
  <c r="EJ61" i="4" a="1"/>
  <c r="EJ61" i="4" s="1"/>
  <c r="CH61" i="4" a="1"/>
  <c r="CH61" i="4" s="1"/>
  <c r="BK61" i="4" a="1"/>
  <c r="BK61" i="4" s="1"/>
  <c r="CC61" i="4" a="1"/>
  <c r="CC61" i="4" s="1"/>
  <c r="CA61" i="4" a="1"/>
  <c r="CA61" i="4" s="1"/>
  <c r="CF61" i="4" a="1"/>
  <c r="CF61" i="4" s="1"/>
  <c r="CE61" i="4" a="1"/>
  <c r="CE61" i="4" s="1"/>
  <c r="CG61" i="4" a="1"/>
  <c r="CG61" i="4" s="1"/>
  <c r="EI61" i="4" a="1"/>
  <c r="EI61" i="4" s="1"/>
  <c r="T90" i="4"/>
  <c r="BL65" i="4" a="1"/>
  <c r="BL65" i="4" s="1"/>
  <c r="BM65" i="4" a="1"/>
  <c r="BM65" i="4" s="1"/>
  <c r="CF65" i="4" a="1"/>
  <c r="CF65" i="4" s="1"/>
  <c r="BQ65" i="4" a="1"/>
  <c r="BQ65" i="4" s="1"/>
  <c r="CD65" i="4" a="1"/>
  <c r="CD65" i="4" s="1"/>
  <c r="EJ65" i="4" a="1"/>
  <c r="EJ65" i="4" s="1"/>
  <c r="D65" i="4" a="1"/>
  <c r="D65" i="4" s="1"/>
  <c r="BC65" i="4" a="1"/>
  <c r="BC65" i="4" s="1"/>
  <c r="BN65" i="4" a="1"/>
  <c r="BN65" i="4" s="1"/>
  <c r="BZ65" i="4" a="1"/>
  <c r="BZ65" i="4" s="1"/>
  <c r="BK65" i="4" a="1"/>
  <c r="BK65" i="4" s="1"/>
  <c r="BR65" i="4" a="1"/>
  <c r="BR65" i="4" s="1"/>
  <c r="CG65" i="4" a="1"/>
  <c r="CG65" i="4" s="1"/>
  <c r="E65" i="4" a="1"/>
  <c r="E65" i="4" s="1"/>
  <c r="BU65" i="4" a="1"/>
  <c r="BU65" i="4" s="1"/>
  <c r="CB65" i="4" a="1"/>
  <c r="CB65" i="4" s="1"/>
  <c r="CC65" i="4" a="1"/>
  <c r="CC65" i="4" s="1"/>
  <c r="BW65" i="4" a="1"/>
  <c r="BW65" i="4" s="1"/>
  <c r="EH65" i="4" a="1"/>
  <c r="EH65" i="4" s="1"/>
  <c r="BD65" i="4" a="1"/>
  <c r="BD65" i="4" s="1"/>
  <c r="DC191" i="2"/>
  <c r="AU102" i="2"/>
  <c r="BX102" i="2"/>
  <c r="BY102" i="2" s="1"/>
  <c r="EF59" i="2"/>
  <c r="DN59" i="2"/>
  <c r="DP59" i="2" s="1"/>
  <c r="DQ59" i="2" s="1"/>
  <c r="DF59" i="2"/>
  <c r="DV59" i="2"/>
  <c r="DU59" i="2"/>
  <c r="CT139" i="2"/>
  <c r="EV139" i="2"/>
  <c r="EW139" i="2" s="1"/>
  <c r="EX139" i="2" s="1"/>
  <c r="DW139" i="2"/>
  <c r="DM139" i="2"/>
  <c r="CU139" i="2"/>
  <c r="CV139" i="2"/>
  <c r="EU139" i="2"/>
  <c r="CR139" i="2"/>
  <c r="EL139" i="2"/>
  <c r="E66" i="4" s="1" a="1"/>
  <c r="E66" i="4" s="1"/>
  <c r="CZ139" i="2"/>
  <c r="CY139" i="2"/>
  <c r="EJ139" i="2"/>
  <c r="CW139" i="2"/>
  <c r="BQ139" i="2"/>
  <c r="DG139" i="2"/>
  <c r="CS139" i="2"/>
  <c r="CX139" i="2"/>
  <c r="DA139" i="2"/>
  <c r="DX47" i="2"/>
  <c r="DZ47" i="2" s="1"/>
  <c r="EA47" i="2" s="1"/>
  <c r="ED47" i="2"/>
  <c r="BP136" i="4"/>
  <c r="T57" i="4"/>
  <c r="DE17" i="2"/>
  <c r="DD17" i="2"/>
  <c r="EF15" i="2"/>
  <c r="CF49" i="4" a="1"/>
  <c r="CF49" i="4" s="1"/>
  <c r="CG49" i="4" a="1"/>
  <c r="CG49" i="4" s="1"/>
  <c r="BR49" i="4" a="1"/>
  <c r="BR49" i="4" s="1"/>
  <c r="BU49" i="4" a="1"/>
  <c r="BU49" i="4" s="1"/>
  <c r="BM49" i="4" a="1"/>
  <c r="BM49" i="4" s="1"/>
  <c r="CC49" i="4" a="1"/>
  <c r="CC49" i="4" s="1"/>
  <c r="CI49" i="4" a="1"/>
  <c r="CI49" i="4" s="1"/>
  <c r="BY49" i="4" a="1"/>
  <c r="BY49" i="4" s="1"/>
  <c r="BW49" i="4" a="1"/>
  <c r="BW49" i="4" s="1"/>
  <c r="L49" i="4" a="1"/>
  <c r="L49" i="4" s="1"/>
  <c r="H49" i="4" a="1"/>
  <c r="H49" i="4" s="1"/>
  <c r="CA49" i="4" a="1"/>
  <c r="CA49" i="4" s="1"/>
  <c r="CE49" i="4" a="1"/>
  <c r="CE49" i="4" s="1"/>
  <c r="BG49" i="4" a="1"/>
  <c r="BG49" i="4" s="1"/>
  <c r="CH49" i="4" a="1"/>
  <c r="CH49" i="4" s="1"/>
  <c r="D49" i="4" a="1"/>
  <c r="D49" i="4" s="1"/>
  <c r="CB49" i="4" a="1"/>
  <c r="CB49" i="4" s="1"/>
  <c r="BZ49" i="4" a="1"/>
  <c r="BZ49" i="4" s="1"/>
  <c r="BK49" i="4" a="1"/>
  <c r="BK49" i="4" s="1"/>
  <c r="BV49" i="4" a="1"/>
  <c r="BV49" i="4" s="1"/>
  <c r="BE49" i="4" a="1"/>
  <c r="BE49" i="4" s="1"/>
  <c r="AB49" i="4" s="1"/>
  <c r="BN49" i="4" a="1"/>
  <c r="BN49" i="4" s="1"/>
  <c r="BC49" i="4" a="1"/>
  <c r="BC49" i="4" s="1"/>
  <c r="BJ49" i="4" a="1"/>
  <c r="BJ49" i="4" s="1"/>
  <c r="EH49" i="4" a="1"/>
  <c r="EH49" i="4" s="1"/>
  <c r="BX49" i="4" a="1"/>
  <c r="BX49" i="4" s="1"/>
  <c r="BQ49" i="4" a="1"/>
  <c r="BQ49" i="4" s="1"/>
  <c r="BL49" i="4" a="1"/>
  <c r="BL49" i="4" s="1"/>
  <c r="E49" i="4" a="1"/>
  <c r="E49" i="4" s="1"/>
  <c r="EI49" i="4" a="1"/>
  <c r="EI49" i="4" s="1"/>
  <c r="EJ49" i="4" a="1"/>
  <c r="EJ49" i="4" s="1"/>
  <c r="BO49" i="4" a="1"/>
  <c r="BO49" i="4" s="1"/>
  <c r="BD49" i="4" a="1"/>
  <c r="BD49" i="4" s="1"/>
  <c r="CD49" i="4" a="1"/>
  <c r="CD49" i="4" s="1"/>
  <c r="L51" i="4" a="1"/>
  <c r="L51" i="4" s="1"/>
  <c r="BM51" i="4" a="1"/>
  <c r="BM51" i="4" s="1"/>
  <c r="BR51" i="4" a="1"/>
  <c r="BR51" i="4" s="1"/>
  <c r="CI51" i="4" a="1"/>
  <c r="CI51" i="4" s="1"/>
  <c r="EI51" i="4" a="1"/>
  <c r="EI51" i="4" s="1"/>
  <c r="H51" i="4" a="1"/>
  <c r="H51" i="4" s="1"/>
  <c r="BG51" i="4" a="1"/>
  <c r="BG51" i="4" s="1"/>
  <c r="BN51" i="4" a="1"/>
  <c r="BN51" i="4" s="1"/>
  <c r="BJ51" i="4" a="1"/>
  <c r="BJ51" i="4" s="1"/>
  <c r="Q51" i="4" s="1"/>
  <c r="EH51" i="4" a="1"/>
  <c r="EH51" i="4" s="1"/>
  <c r="CA51" i="4" a="1"/>
  <c r="CA51" i="4" s="1"/>
  <c r="BL51" i="4" a="1"/>
  <c r="BL51" i="4" s="1"/>
  <c r="BY51" i="4" a="1"/>
  <c r="BY51" i="4" s="1"/>
  <c r="BO51" i="4" a="1"/>
  <c r="BO51" i="4" s="1"/>
  <c r="CE51" i="4" a="1"/>
  <c r="CE51" i="4" s="1"/>
  <c r="BX51" i="4" a="1"/>
  <c r="BX51" i="4" s="1"/>
  <c r="BK51" i="4" a="1"/>
  <c r="BK51" i="4" s="1"/>
  <c r="BU51" i="4" a="1"/>
  <c r="BU51" i="4" s="1"/>
  <c r="BV51" i="4" a="1"/>
  <c r="BV51" i="4" s="1"/>
  <c r="CH51" i="4" a="1"/>
  <c r="CH51" i="4" s="1"/>
  <c r="BZ51" i="4" a="1"/>
  <c r="BZ51" i="4" s="1"/>
  <c r="BC51" i="4" a="1"/>
  <c r="BC51" i="4" s="1"/>
  <c r="CC51" i="4" a="1"/>
  <c r="CC51" i="4" s="1"/>
  <c r="EJ51" i="4" a="1"/>
  <c r="EJ51" i="4" s="1"/>
  <c r="BW51" i="4" a="1"/>
  <c r="BW51" i="4" s="1"/>
  <c r="E51" i="4" a="1"/>
  <c r="E51" i="4" s="1"/>
  <c r="BE51" i="4" a="1"/>
  <c r="BE51" i="4" s="1"/>
  <c r="BQ51" i="4" a="1"/>
  <c r="BQ51" i="4" s="1"/>
  <c r="CD51" i="4" a="1"/>
  <c r="CD51" i="4" s="1"/>
  <c r="CF51" i="4" a="1"/>
  <c r="CF51" i="4" s="1"/>
  <c r="BD51" i="4" a="1"/>
  <c r="BD51" i="4" s="1"/>
  <c r="CB51" i="4" a="1"/>
  <c r="CB51" i="4" s="1"/>
  <c r="D51" i="4" a="1"/>
  <c r="D51" i="4" s="1"/>
  <c r="CG51" i="4" a="1"/>
  <c r="CG51" i="4" s="1"/>
  <c r="BO33" i="4" a="1"/>
  <c r="BO33" i="4" s="1"/>
  <c r="H33" i="4" a="1"/>
  <c r="H33" i="4" s="1"/>
  <c r="D33" i="4" a="1"/>
  <c r="D33" i="4" s="1"/>
  <c r="BZ33" i="4" a="1"/>
  <c r="BZ33" i="4" s="1"/>
  <c r="CB33" i="4" a="1"/>
  <c r="CB33" i="4" s="1"/>
  <c r="CG33" i="4" a="1"/>
  <c r="CG33" i="4" s="1"/>
  <c r="L33" i="4" a="1"/>
  <c r="L33" i="4" s="1"/>
  <c r="BJ33" i="4" a="1"/>
  <c r="BJ33" i="4" s="1"/>
  <c r="Q33" i="4" s="1"/>
  <c r="BW33" i="4" a="1"/>
  <c r="BW33" i="4" s="1"/>
  <c r="CE33" i="4" a="1"/>
  <c r="CE33" i="4" s="1"/>
  <c r="CH33" i="4" a="1"/>
  <c r="CH33" i="4" s="1"/>
  <c r="BL33" i="4" a="1"/>
  <c r="BL33" i="4" s="1"/>
  <c r="BX33" i="4" a="1"/>
  <c r="BX33" i="4" s="1"/>
  <c r="BC33" i="4" a="1"/>
  <c r="BC33" i="4" s="1"/>
  <c r="CC33" i="4" a="1"/>
  <c r="CC33" i="4" s="1"/>
  <c r="EJ33" i="4" a="1"/>
  <c r="EJ33" i="4" s="1"/>
  <c r="BG33" i="4" a="1"/>
  <c r="BG33" i="4" s="1"/>
  <c r="BV33" i="4" a="1"/>
  <c r="BV33" i="4" s="1"/>
  <c r="CI33" i="4" a="1"/>
  <c r="CI33" i="4" s="1"/>
  <c r="CD33" i="4" a="1"/>
  <c r="CD33" i="4" s="1"/>
  <c r="EH33" i="4" a="1"/>
  <c r="EH33" i="4" s="1"/>
  <c r="E33" i="4" a="1"/>
  <c r="E33" i="4" s="1"/>
  <c r="BU33" i="4" a="1"/>
  <c r="BU33" i="4" s="1"/>
  <c r="EI33" i="4" a="1"/>
  <c r="EI33" i="4" s="1"/>
  <c r="BM33" i="4" a="1"/>
  <c r="BM33" i="4" s="1"/>
  <c r="BR33" i="4" a="1"/>
  <c r="BR33" i="4" s="1"/>
  <c r="BN33" i="4" a="1"/>
  <c r="BN33" i="4" s="1"/>
  <c r="CA33" i="4" a="1"/>
  <c r="CA33" i="4" s="1"/>
  <c r="BY33" i="4" a="1"/>
  <c r="BY33" i="4" s="1"/>
  <c r="BK33" i="4" a="1"/>
  <c r="BK33" i="4" s="1"/>
  <c r="CF33" i="4" a="1"/>
  <c r="CF33" i="4" s="1"/>
  <c r="BQ33" i="4" a="1"/>
  <c r="BQ33" i="4" s="1"/>
  <c r="BE33" i="4" a="1"/>
  <c r="BE33" i="4" s="1"/>
  <c r="DU15" i="2"/>
  <c r="DN15" i="2"/>
  <c r="DP15" i="2" s="1"/>
  <c r="DQ15" i="2" s="1"/>
  <c r="DF15" i="2"/>
  <c r="DV15" i="2"/>
  <c r="Z84" i="4"/>
  <c r="Y84" i="4"/>
  <c r="DY7" i="2"/>
  <c r="EG7" i="2"/>
  <c r="BT7" i="2"/>
  <c r="BU7" i="2" s="1"/>
  <c r="CQ7" i="2"/>
  <c r="EF266" i="2"/>
  <c r="DF266" i="2"/>
  <c r="DN266" i="2"/>
  <c r="DP266" i="2" s="1"/>
  <c r="DQ266" i="2" s="1"/>
  <c r="DV266" i="2"/>
  <c r="DU266" i="2"/>
  <c r="F166" i="2"/>
  <c r="G166" i="2"/>
  <c r="CI46" i="4" a="1"/>
  <c r="CI46" i="4" s="1"/>
  <c r="CA46" i="4" a="1"/>
  <c r="CA46" i="4" s="1"/>
  <c r="CB46" i="4" a="1"/>
  <c r="CB46" i="4" s="1"/>
  <c r="BU46" i="4" a="1"/>
  <c r="BU46" i="4" s="1"/>
  <c r="CC46" i="4" a="1"/>
  <c r="CC46" i="4" s="1"/>
  <c r="BG46" i="4" a="1"/>
  <c r="BG46" i="4" s="1"/>
  <c r="BL46" i="4" a="1"/>
  <c r="BL46" i="4" s="1"/>
  <c r="CD46" i="4" a="1"/>
  <c r="CD46" i="4" s="1"/>
  <c r="BX46" i="4" a="1"/>
  <c r="BX46" i="4" s="1"/>
  <c r="BR46" i="4" a="1"/>
  <c r="BR46" i="4" s="1"/>
  <c r="BC46" i="4" a="1"/>
  <c r="BC46" i="4" s="1"/>
  <c r="L46" i="4" a="1"/>
  <c r="L46" i="4" s="1"/>
  <c r="BY46" i="4" a="1"/>
  <c r="BY46" i="4" s="1"/>
  <c r="BZ46" i="4" a="1"/>
  <c r="BZ46" i="4" s="1"/>
  <c r="CE46" i="4" a="1"/>
  <c r="CE46" i="4" s="1"/>
  <c r="BQ46" i="4" a="1"/>
  <c r="BQ46" i="4" s="1"/>
  <c r="EI46" i="4" a="1"/>
  <c r="EI46" i="4" s="1"/>
  <c r="CF46" i="4" a="1"/>
  <c r="CF46" i="4" s="1"/>
  <c r="BO46" i="4" a="1"/>
  <c r="BO46" i="4" s="1"/>
  <c r="BK46" i="4" a="1"/>
  <c r="BK46" i="4" s="1"/>
  <c r="BJ46" i="4" a="1"/>
  <c r="BJ46" i="4" s="1"/>
  <c r="EJ46" i="4" a="1"/>
  <c r="EJ46" i="4" s="1"/>
  <c r="BW46" i="4" a="1"/>
  <c r="BW46" i="4" s="1"/>
  <c r="BV46" i="4" a="1"/>
  <c r="BV46" i="4" s="1"/>
  <c r="BN46" i="4" a="1"/>
  <c r="BN46" i="4" s="1"/>
  <c r="E46" i="4" a="1"/>
  <c r="E46" i="4" s="1"/>
  <c r="D46" i="4" a="1"/>
  <c r="D46" i="4" s="1"/>
  <c r="EH46" i="4" a="1"/>
  <c r="EH46" i="4" s="1"/>
  <c r="CH46" i="4" a="1"/>
  <c r="CH46" i="4" s="1"/>
  <c r="BE46" i="4" a="1"/>
  <c r="BE46" i="4" s="1"/>
  <c r="AB46" i="4" s="1"/>
  <c r="H46" i="4" a="1"/>
  <c r="H46" i="4" s="1"/>
  <c r="BM46" i="4" a="1"/>
  <c r="BM46" i="4" s="1"/>
  <c r="CG46" i="4" a="1"/>
  <c r="CG46" i="4" s="1"/>
  <c r="BD46" i="4" a="1"/>
  <c r="BD46" i="4" s="1"/>
  <c r="CC41" i="4" a="1"/>
  <c r="CC41" i="4" s="1"/>
  <c r="BU41" i="4" a="1"/>
  <c r="BU41" i="4" s="1"/>
  <c r="BW41" i="4" a="1"/>
  <c r="BW41" i="4" s="1"/>
  <c r="BE41" i="4" a="1"/>
  <c r="BE41" i="4" s="1"/>
  <c r="AB41" i="4" s="1"/>
  <c r="CD41" i="4" a="1"/>
  <c r="CD41" i="4" s="1"/>
  <c r="BQ41" i="4" a="1"/>
  <c r="BQ41" i="4" s="1"/>
  <c r="BG41" i="4" a="1"/>
  <c r="BG41" i="4" s="1"/>
  <c r="EH41" i="4" a="1"/>
  <c r="EH41" i="4" s="1"/>
  <c r="EI41" i="4" a="1"/>
  <c r="EI41" i="4" s="1"/>
  <c r="L41" i="4" a="1"/>
  <c r="L41" i="4" s="1"/>
  <c r="BR41" i="4" a="1"/>
  <c r="BR41" i="4" s="1"/>
  <c r="BL41" i="4" a="1"/>
  <c r="BL41" i="4" s="1"/>
  <c r="CA41" i="4" a="1"/>
  <c r="CA41" i="4" s="1"/>
  <c r="CH41" i="4" a="1"/>
  <c r="CH41" i="4" s="1"/>
  <c r="CB41" i="4" a="1"/>
  <c r="CB41" i="4" s="1"/>
  <c r="BC41" i="4" a="1"/>
  <c r="BC41" i="4" s="1"/>
  <c r="BK41" i="4" a="1"/>
  <c r="BK41" i="4" s="1"/>
  <c r="BN41" i="4" a="1"/>
  <c r="BN41" i="4" s="1"/>
  <c r="H41" i="4" a="1"/>
  <c r="H41" i="4" s="1"/>
  <c r="BM41" i="4" a="1"/>
  <c r="BM41" i="4" s="1"/>
  <c r="CG41" i="4" a="1"/>
  <c r="CG41" i="4" s="1"/>
  <c r="BV41" i="4" a="1"/>
  <c r="BV41" i="4" s="1"/>
  <c r="CF41" i="4" a="1"/>
  <c r="CF41" i="4" s="1"/>
  <c r="BJ41" i="4" a="1"/>
  <c r="BJ41" i="4" s="1"/>
  <c r="BZ41" i="4" a="1"/>
  <c r="BZ41" i="4" s="1"/>
  <c r="D41" i="4" a="1"/>
  <c r="D41" i="4" s="1"/>
  <c r="EJ41" i="4" a="1"/>
  <c r="EJ41" i="4" s="1"/>
  <c r="BO41" i="4" a="1"/>
  <c r="BO41" i="4" s="1"/>
  <c r="BX41" i="4" a="1"/>
  <c r="BX41" i="4" s="1"/>
  <c r="CE41" i="4" a="1"/>
  <c r="CE41" i="4" s="1"/>
  <c r="E41" i="4" a="1"/>
  <c r="E41" i="4" s="1"/>
  <c r="BY41" i="4" a="1"/>
  <c r="BY41" i="4" s="1"/>
  <c r="CI41" i="4" a="1"/>
  <c r="CI41" i="4" s="1"/>
  <c r="BD41" i="4" a="1"/>
  <c r="BD41" i="4" s="1"/>
  <c r="BP76" i="4"/>
  <c r="CN289" i="2"/>
  <c r="BT289" i="2"/>
  <c r="BU289" i="2" s="1"/>
  <c r="EW289" i="2"/>
  <c r="EX289" i="2" s="1"/>
  <c r="CO328" i="2"/>
  <c r="EW328" i="2"/>
  <c r="EX328" i="2" s="1"/>
  <c r="BT328" i="2"/>
  <c r="BU328" i="2" s="1"/>
  <c r="CN328" i="2"/>
  <c r="BV42" i="4" a="1"/>
  <c r="BV42" i="4" s="1"/>
  <c r="CI42" i="4" a="1"/>
  <c r="CI42" i="4" s="1"/>
  <c r="BR42" i="4" a="1"/>
  <c r="BR42" i="4" s="1"/>
  <c r="BY42" i="4" a="1"/>
  <c r="BY42" i="4" s="1"/>
  <c r="CF42" i="4" a="1"/>
  <c r="CF42" i="4" s="1"/>
  <c r="BO42" i="4" a="1"/>
  <c r="BO42" i="4" s="1"/>
  <c r="H42" i="4" a="1"/>
  <c r="H42" i="4" s="1"/>
  <c r="BU42" i="4" a="1"/>
  <c r="BU42" i="4" s="1"/>
  <c r="E42" i="4" a="1"/>
  <c r="E42" i="4" s="1"/>
  <c r="BQ42" i="4" a="1"/>
  <c r="BQ42" i="4" s="1"/>
  <c r="BC42" i="4" a="1"/>
  <c r="BC42" i="4" s="1"/>
  <c r="BE42" i="4" a="1"/>
  <c r="BE42" i="4" s="1"/>
  <c r="EJ42" i="4" a="1"/>
  <c r="EJ42" i="4" s="1"/>
  <c r="BZ42" i="4" a="1"/>
  <c r="BZ42" i="4" s="1"/>
  <c r="BK42" i="4" a="1"/>
  <c r="BK42" i="4" s="1"/>
  <c r="CG42" i="4" a="1"/>
  <c r="CG42" i="4" s="1"/>
  <c r="BW42" i="4" a="1"/>
  <c r="BW42" i="4" s="1"/>
  <c r="CE42" i="4" a="1"/>
  <c r="CE42" i="4" s="1"/>
  <c r="BM42" i="4" a="1"/>
  <c r="BM42" i="4" s="1"/>
  <c r="CH42" i="4" a="1"/>
  <c r="CH42" i="4" s="1"/>
  <c r="BN42" i="4" a="1"/>
  <c r="BN42" i="4" s="1"/>
  <c r="BG42" i="4" a="1"/>
  <c r="BG42" i="4" s="1"/>
  <c r="D42" i="4" a="1"/>
  <c r="D42" i="4" s="1"/>
  <c r="CD42" i="4" a="1"/>
  <c r="CD42" i="4" s="1"/>
  <c r="BJ42" i="4" a="1"/>
  <c r="BJ42" i="4" s="1"/>
  <c r="Q42" i="4" s="1"/>
  <c r="L42" i="4" a="1"/>
  <c r="L42" i="4" s="1"/>
  <c r="BL42" i="4" a="1"/>
  <c r="BL42" i="4" s="1"/>
  <c r="CC42" i="4" a="1"/>
  <c r="CC42" i="4" s="1"/>
  <c r="CA42" i="4" a="1"/>
  <c r="CA42" i="4" s="1"/>
  <c r="EH42" i="4" a="1"/>
  <c r="EH42" i="4" s="1"/>
  <c r="CB42" i="4" a="1"/>
  <c r="CB42" i="4" s="1"/>
  <c r="BX42" i="4" a="1"/>
  <c r="BX42" i="4" s="1"/>
  <c r="EI42" i="4" a="1"/>
  <c r="EI42" i="4" s="1"/>
  <c r="BD42" i="4" a="1"/>
  <c r="BD42" i="4" s="1"/>
  <c r="BV59" i="4" a="1"/>
  <c r="BV59" i="4" s="1"/>
  <c r="E59" i="4" a="1"/>
  <c r="E59" i="4" s="1"/>
  <c r="BJ59" i="4" a="1"/>
  <c r="BJ59" i="4" s="1"/>
  <c r="CA59" i="4" a="1"/>
  <c r="CA59" i="4" s="1"/>
  <c r="BR59" i="4" a="1"/>
  <c r="BR59" i="4" s="1"/>
  <c r="EJ59" i="4" a="1"/>
  <c r="EJ59" i="4" s="1"/>
  <c r="CB59" i="4" a="1"/>
  <c r="CB59" i="4" s="1"/>
  <c r="CD59" i="4" a="1"/>
  <c r="CD59" i="4" s="1"/>
  <c r="D59" i="4" a="1"/>
  <c r="D59" i="4" s="1"/>
  <c r="BZ59" i="4" a="1"/>
  <c r="BZ59" i="4" s="1"/>
  <c r="L59" i="4" a="1"/>
  <c r="L59" i="4" s="1"/>
  <c r="CF59" i="4" a="1"/>
  <c r="CF59" i="4" s="1"/>
  <c r="BC59" i="4" a="1"/>
  <c r="BC59" i="4" s="1"/>
  <c r="BW59" i="4" a="1"/>
  <c r="BW59" i="4" s="1"/>
  <c r="EI59" i="4" a="1"/>
  <c r="EI59" i="4" s="1"/>
  <c r="BM59" i="4" a="1"/>
  <c r="BM59" i="4" s="1"/>
  <c r="BX59" i="4" a="1"/>
  <c r="BX59" i="4" s="1"/>
  <c r="BN59" i="4" a="1"/>
  <c r="BN59" i="4" s="1"/>
  <c r="BE59" i="4" a="1"/>
  <c r="BE59" i="4" s="1"/>
  <c r="AB59" i="4" s="1"/>
  <c r="EH59" i="4" a="1"/>
  <c r="EH59" i="4" s="1"/>
  <c r="BU59" i="4" a="1"/>
  <c r="BU59" i="4" s="1"/>
  <c r="BY59" i="4" a="1"/>
  <c r="BY59" i="4" s="1"/>
  <c r="CG59" i="4" a="1"/>
  <c r="CG59" i="4" s="1"/>
  <c r="CH59" i="4" a="1"/>
  <c r="CH59" i="4" s="1"/>
  <c r="BG59" i="4" a="1"/>
  <c r="BG59" i="4" s="1"/>
  <c r="BK59" i="4" a="1"/>
  <c r="BK59" i="4" s="1"/>
  <c r="CI59" i="4" a="1"/>
  <c r="CI59" i="4" s="1"/>
  <c r="BO59" i="4" a="1"/>
  <c r="BO59" i="4" s="1"/>
  <c r="H59" i="4" a="1"/>
  <c r="H59" i="4" s="1"/>
  <c r="CC59" i="4" a="1"/>
  <c r="CC59" i="4" s="1"/>
  <c r="CE59" i="4" a="1"/>
  <c r="CE59" i="4" s="1"/>
  <c r="BL59" i="4" a="1"/>
  <c r="BL59" i="4" s="1"/>
  <c r="BQ59" i="4" a="1"/>
  <c r="BQ59" i="4" s="1"/>
  <c r="BP139" i="4"/>
  <c r="BP94" i="4"/>
  <c r="BP96" i="4"/>
  <c r="BP122" i="4"/>
  <c r="BP101" i="4"/>
  <c r="BG9" i="4" a="1"/>
  <c r="BG9" i="4" s="1"/>
  <c r="L9" i="4" a="1"/>
  <c r="L9" i="4" s="1"/>
  <c r="BW9" i="4" a="1"/>
  <c r="BW9" i="4" s="1"/>
  <c r="D9" i="4" a="1"/>
  <c r="D9" i="4" s="1"/>
  <c r="BC9" i="4" a="1"/>
  <c r="BC9" i="4" s="1"/>
  <c r="CA9" i="4" a="1"/>
  <c r="CA9" i="4" s="1"/>
  <c r="BQ9" i="4" a="1"/>
  <c r="BQ9" i="4" s="1"/>
  <c r="BO9" i="4" a="1"/>
  <c r="BO9" i="4" s="1"/>
  <c r="CE9" i="4" a="1"/>
  <c r="CE9" i="4" s="1"/>
  <c r="BZ9" i="4" a="1"/>
  <c r="BZ9" i="4" s="1"/>
  <c r="H9" i="4" a="1"/>
  <c r="H9" i="4" s="1"/>
  <c r="CF9" i="4" a="1"/>
  <c r="CF9" i="4" s="1"/>
  <c r="CI9" i="4" a="1"/>
  <c r="CI9" i="4" s="1"/>
  <c r="BY9" i="4" a="1"/>
  <c r="BY9" i="4" s="1"/>
  <c r="BJ9" i="4" a="1"/>
  <c r="BJ9" i="4" s="1"/>
  <c r="Q9" i="4" s="1"/>
  <c r="EI9" i="4" a="1"/>
  <c r="EI9" i="4" s="1"/>
  <c r="BR9" i="4" a="1"/>
  <c r="BR9" i="4" s="1"/>
  <c r="BK9" i="4" a="1"/>
  <c r="BK9" i="4" s="1"/>
  <c r="BV9" i="4" a="1"/>
  <c r="BV9" i="4" s="1"/>
  <c r="CC9" i="4" a="1"/>
  <c r="CC9" i="4" s="1"/>
  <c r="E9" i="4" a="1"/>
  <c r="E9" i="4" s="1"/>
  <c r="EJ9" i="4" a="1"/>
  <c r="EJ9" i="4" s="1"/>
  <c r="BM9" i="4" a="1"/>
  <c r="BM9" i="4" s="1"/>
  <c r="CH9" i="4" a="1"/>
  <c r="CH9" i="4" s="1"/>
  <c r="BL9" i="4" a="1"/>
  <c r="BL9" i="4" s="1"/>
  <c r="BN9" i="4" a="1"/>
  <c r="BN9" i="4" s="1"/>
  <c r="CD9" i="4" a="1"/>
  <c r="CD9" i="4" s="1"/>
  <c r="EH9" i="4" a="1"/>
  <c r="EH9" i="4" s="1"/>
  <c r="CG9" i="4" a="1"/>
  <c r="CG9" i="4" s="1"/>
  <c r="BU9" i="4" a="1"/>
  <c r="BU9" i="4" s="1"/>
  <c r="BE9" i="4" a="1"/>
  <c r="BE9" i="4" s="1"/>
  <c r="CB9" i="4" a="1"/>
  <c r="CB9" i="4" s="1"/>
  <c r="BX9" i="4" a="1"/>
  <c r="BX9" i="4" s="1"/>
  <c r="CE21" i="4" a="1"/>
  <c r="CE21" i="4" s="1"/>
  <c r="BM21" i="4" a="1"/>
  <c r="BM21" i="4" s="1"/>
  <c r="H21" i="4" a="1"/>
  <c r="H21" i="4" s="1"/>
  <c r="BO21" i="4" a="1"/>
  <c r="BO21" i="4" s="1"/>
  <c r="BJ21" i="4" a="1"/>
  <c r="BJ21" i="4" s="1"/>
  <c r="Q21" i="4" s="1"/>
  <c r="BL21" i="4" a="1"/>
  <c r="BL21" i="4" s="1"/>
  <c r="CI21" i="4" a="1"/>
  <c r="CI21" i="4" s="1"/>
  <c r="L21" i="4" a="1"/>
  <c r="L21" i="4" s="1"/>
  <c r="EI21" i="4" a="1"/>
  <c r="EI21" i="4" s="1"/>
  <c r="CG21" i="4" a="1"/>
  <c r="CG21" i="4" s="1"/>
  <c r="BK21" i="4" a="1"/>
  <c r="BK21" i="4" s="1"/>
  <c r="D21" i="4" a="1"/>
  <c r="D21" i="4" s="1"/>
  <c r="BG21" i="4" a="1"/>
  <c r="BG21" i="4" s="1"/>
  <c r="BY21" i="4" a="1"/>
  <c r="BY21" i="4" s="1"/>
  <c r="BQ21" i="4" a="1"/>
  <c r="BQ21" i="4" s="1"/>
  <c r="CA21" i="4" a="1"/>
  <c r="CA21" i="4" s="1"/>
  <c r="BX21" i="4" a="1"/>
  <c r="BX21" i="4" s="1"/>
  <c r="CF21" i="4" a="1"/>
  <c r="CF21" i="4" s="1"/>
  <c r="E21" i="4" a="1"/>
  <c r="E21" i="4" s="1"/>
  <c r="EJ21" i="4" a="1"/>
  <c r="EJ21" i="4" s="1"/>
  <c r="BZ21" i="4" a="1"/>
  <c r="BZ21" i="4" s="1"/>
  <c r="BR21" i="4" a="1"/>
  <c r="BR21" i="4" s="1"/>
  <c r="BW21" i="4" a="1"/>
  <c r="BW21" i="4" s="1"/>
  <c r="CD21" i="4" a="1"/>
  <c r="CD21" i="4" s="1"/>
  <c r="EH21" i="4" a="1"/>
  <c r="EH21" i="4" s="1"/>
  <c r="BU21" i="4" a="1"/>
  <c r="BU21" i="4" s="1"/>
  <c r="CB21" i="4" a="1"/>
  <c r="CB21" i="4" s="1"/>
  <c r="BN21" i="4" a="1"/>
  <c r="BN21" i="4" s="1"/>
  <c r="CH21" i="4" a="1"/>
  <c r="CH21" i="4" s="1"/>
  <c r="BC21" i="4" a="1"/>
  <c r="BC21" i="4" s="1"/>
  <c r="BV21" i="4" a="1"/>
  <c r="BV21" i="4" s="1"/>
  <c r="CC21" i="4" a="1"/>
  <c r="CC21" i="4" s="1"/>
  <c r="BE21" i="4" a="1"/>
  <c r="BE21" i="4" s="1"/>
  <c r="T97" i="4"/>
  <c r="CH10" i="4" a="1"/>
  <c r="CH10" i="4" s="1"/>
  <c r="EH10" i="4" a="1"/>
  <c r="EH10" i="4" s="1"/>
  <c r="BQ10" i="4" a="1"/>
  <c r="BQ10" i="4" s="1"/>
  <c r="BJ10" i="4" a="1"/>
  <c r="BJ10" i="4" s="1"/>
  <c r="Q10" i="4" s="1"/>
  <c r="BV10" i="4" a="1"/>
  <c r="BV10" i="4" s="1"/>
  <c r="L10" i="4" a="1"/>
  <c r="L10" i="4" s="1"/>
  <c r="BU10" i="4" a="1"/>
  <c r="BU10" i="4" s="1"/>
  <c r="EI10" i="4" a="1"/>
  <c r="EI10" i="4" s="1"/>
  <c r="BO10" i="4" a="1"/>
  <c r="BO10" i="4" s="1"/>
  <c r="E10" i="4" a="1"/>
  <c r="E10" i="4" s="1"/>
  <c r="D10" i="4" a="1"/>
  <c r="D10" i="4" s="1"/>
  <c r="BL10" i="4" a="1"/>
  <c r="BL10" i="4" s="1"/>
  <c r="CI10" i="4" a="1"/>
  <c r="CI10" i="4" s="1"/>
  <c r="BY10" i="4" a="1"/>
  <c r="BY10" i="4" s="1"/>
  <c r="CA10" i="4" a="1"/>
  <c r="CA10" i="4" s="1"/>
  <c r="BX10" i="4" a="1"/>
  <c r="BX10" i="4" s="1"/>
  <c r="BC10" i="4" a="1"/>
  <c r="BC10" i="4" s="1"/>
  <c r="CC10" i="4" a="1"/>
  <c r="CC10" i="4" s="1"/>
  <c r="CF10" i="4" a="1"/>
  <c r="CF10" i="4" s="1"/>
  <c r="CB10" i="4" a="1"/>
  <c r="CB10" i="4" s="1"/>
  <c r="BW10" i="4" a="1"/>
  <c r="BW10" i="4" s="1"/>
  <c r="H10" i="4" a="1"/>
  <c r="H10" i="4" s="1"/>
  <c r="EJ10" i="4" a="1"/>
  <c r="EJ10" i="4" s="1"/>
  <c r="BE10" i="4" a="1"/>
  <c r="BE10" i="4" s="1"/>
  <c r="CG10" i="4" a="1"/>
  <c r="CG10" i="4" s="1"/>
  <c r="BM10" i="4" a="1"/>
  <c r="BM10" i="4" s="1"/>
  <c r="BR10" i="4" a="1"/>
  <c r="BR10" i="4" s="1"/>
  <c r="CE10" i="4" a="1"/>
  <c r="CE10" i="4" s="1"/>
  <c r="BG10" i="4" a="1"/>
  <c r="BG10" i="4" s="1"/>
  <c r="BK10" i="4" a="1"/>
  <c r="BK10" i="4" s="1"/>
  <c r="CD10" i="4" a="1"/>
  <c r="CD10" i="4" s="1"/>
  <c r="BN10" i="4" a="1"/>
  <c r="BN10" i="4" s="1"/>
  <c r="BZ10" i="4" a="1"/>
  <c r="BZ10" i="4" s="1"/>
  <c r="T71" i="4"/>
  <c r="T111" i="4"/>
  <c r="BP143" i="4"/>
  <c r="T77" i="4"/>
  <c r="T123" i="4"/>
  <c r="EG305" i="2"/>
  <c r="DY305" i="2"/>
  <c r="EG37" i="2"/>
  <c r="DY37" i="2"/>
  <c r="BP78" i="4"/>
  <c r="DD313" i="2"/>
  <c r="DE313" i="2"/>
  <c r="CN20" i="2"/>
  <c r="EW20" i="2"/>
  <c r="EX20" i="2" s="1"/>
  <c r="BT20" i="2"/>
  <c r="BU20" i="2" s="1"/>
  <c r="BP83" i="4"/>
  <c r="BP99" i="4"/>
  <c r="BP81" i="4"/>
  <c r="DY182" i="2"/>
  <c r="EG182" i="2"/>
  <c r="DX306" i="2"/>
  <c r="DZ306" i="2" s="1"/>
  <c r="EA306" i="2" s="1"/>
  <c r="ED306" i="2"/>
  <c r="BM126" i="4" a="1"/>
  <c r="BM126" i="4" s="1"/>
  <c r="BZ126" i="4" a="1"/>
  <c r="BZ126" i="4" s="1"/>
  <c r="E126" i="4" a="1"/>
  <c r="E126" i="4" s="1"/>
  <c r="CE126" i="4" a="1"/>
  <c r="CE126" i="4" s="1"/>
  <c r="CA126" i="4" a="1"/>
  <c r="CA126" i="4" s="1"/>
  <c r="H126" i="4" a="1"/>
  <c r="H126" i="4" s="1"/>
  <c r="BU126" i="4" a="1"/>
  <c r="BU126" i="4" s="1"/>
  <c r="EI126" i="4" a="1"/>
  <c r="EI126" i="4" s="1"/>
  <c r="CH126" i="4" a="1"/>
  <c r="CH126" i="4" s="1"/>
  <c r="BR126" i="4" a="1"/>
  <c r="BR126" i="4" s="1"/>
  <c r="BL126" i="4" a="1"/>
  <c r="BL126" i="4" s="1"/>
  <c r="BV126" i="4" a="1"/>
  <c r="BV126" i="4" s="1"/>
  <c r="CI126" i="4" a="1"/>
  <c r="CI126" i="4" s="1"/>
  <c r="BY126" i="4" a="1"/>
  <c r="BY126" i="4" s="1"/>
  <c r="EJ126" i="4" a="1"/>
  <c r="EJ126" i="4" s="1"/>
  <c r="BE126" i="4" a="1"/>
  <c r="BE126" i="4" s="1"/>
  <c r="AB126" i="4" s="1"/>
  <c r="BX126" i="4" a="1"/>
  <c r="BX126" i="4" s="1"/>
  <c r="BG126" i="4" a="1"/>
  <c r="BG126" i="4" s="1"/>
  <c r="BC126" i="4" a="1"/>
  <c r="BC126" i="4" s="1"/>
  <c r="CF126" i="4" a="1"/>
  <c r="CF126" i="4" s="1"/>
  <c r="L126" i="4" a="1"/>
  <c r="L126" i="4" s="1"/>
  <c r="BN126" i="4" a="1"/>
  <c r="BN126" i="4" s="1"/>
  <c r="CC126" i="4" a="1"/>
  <c r="CC126" i="4" s="1"/>
  <c r="BW126" i="4" a="1"/>
  <c r="BW126" i="4" s="1"/>
  <c r="BQ126" i="4" a="1"/>
  <c r="BQ126" i="4" s="1"/>
  <c r="CG126" i="4" a="1"/>
  <c r="CG126" i="4" s="1"/>
  <c r="BK126" i="4" a="1"/>
  <c r="BK126" i="4" s="1"/>
  <c r="EH126" i="4" a="1"/>
  <c r="EH126" i="4" s="1"/>
  <c r="D126" i="4" a="1"/>
  <c r="D126" i="4" s="1"/>
  <c r="BD126" i="4" a="1"/>
  <c r="BD126" i="4" s="1"/>
  <c r="CB126" i="4" a="1"/>
  <c r="CB126" i="4" s="1"/>
  <c r="CD126" i="4" a="1"/>
  <c r="CD126" i="4" s="1"/>
  <c r="BJ126" i="4" a="1"/>
  <c r="BJ126" i="4" s="1"/>
  <c r="BO126" i="4" a="1"/>
  <c r="BO126" i="4" s="1"/>
  <c r="CD71" i="4" a="1"/>
  <c r="CD71" i="4" s="1"/>
  <c r="CE71" i="4" a="1"/>
  <c r="CE71" i="4" s="1"/>
  <c r="BQ71" i="4" a="1"/>
  <c r="BQ71" i="4" s="1"/>
  <c r="BU71" i="4" a="1"/>
  <c r="BU71" i="4" s="1"/>
  <c r="BV71" i="4" a="1"/>
  <c r="BV71" i="4" s="1"/>
  <c r="BJ71" i="4" a="1"/>
  <c r="BJ71" i="4" s="1"/>
  <c r="BZ71" i="4" a="1"/>
  <c r="BZ71" i="4" s="1"/>
  <c r="BC71" i="4" a="1"/>
  <c r="BC71" i="4" s="1"/>
  <c r="BN71" i="4" a="1"/>
  <c r="BN71" i="4" s="1"/>
  <c r="BO71" i="4" a="1"/>
  <c r="BO71" i="4" s="1"/>
  <c r="EH71" i="4" a="1"/>
  <c r="EH71" i="4" s="1"/>
  <c r="BW71" i="4" a="1"/>
  <c r="BW71" i="4" s="1"/>
  <c r="EJ71" i="4" a="1"/>
  <c r="EJ71" i="4" s="1"/>
  <c r="CF71" i="4" a="1"/>
  <c r="CF71" i="4" s="1"/>
  <c r="BL71" i="4" a="1"/>
  <c r="BL71" i="4" s="1"/>
  <c r="BK71" i="4" a="1"/>
  <c r="BK71" i="4" s="1"/>
  <c r="BE71" i="4" a="1"/>
  <c r="BE71" i="4" s="1"/>
  <c r="AB71" i="4" s="1"/>
  <c r="E71" i="4" a="1"/>
  <c r="E71" i="4" s="1"/>
  <c r="EI71" i="4" a="1"/>
  <c r="EI71" i="4" s="1"/>
  <c r="CA71" i="4" a="1"/>
  <c r="CA71" i="4" s="1"/>
  <c r="CB71" i="4" a="1"/>
  <c r="CB71" i="4" s="1"/>
  <c r="CC71" i="4" a="1"/>
  <c r="CC71" i="4" s="1"/>
  <c r="D71" i="4" a="1"/>
  <c r="D71" i="4" s="1"/>
  <c r="H71" i="4" a="1"/>
  <c r="H71" i="4" s="1"/>
  <c r="BM71" i="4" a="1"/>
  <c r="BM71" i="4" s="1"/>
  <c r="L71" i="4" a="1"/>
  <c r="L71" i="4" s="1"/>
  <c r="BR71" i="4" a="1"/>
  <c r="BR71" i="4" s="1"/>
  <c r="CG71" i="4" a="1"/>
  <c r="CG71" i="4" s="1"/>
  <c r="CH71" i="4" a="1"/>
  <c r="CH71" i="4" s="1"/>
  <c r="BG71" i="4" a="1"/>
  <c r="BG71" i="4" s="1"/>
  <c r="BX71" i="4" a="1"/>
  <c r="BX71" i="4" s="1"/>
  <c r="BY71" i="4" a="1"/>
  <c r="BY71" i="4" s="1"/>
  <c r="CI71" i="4" a="1"/>
  <c r="CI71" i="4" s="1"/>
  <c r="BP92" i="4"/>
  <c r="AU173" i="2"/>
  <c r="BX173" i="2"/>
  <c r="BY173" i="2" s="1"/>
  <c r="DE84" i="2"/>
  <c r="DD84" i="2"/>
  <c r="BP133" i="4"/>
  <c r="DV306" i="2"/>
  <c r="DU306" i="2"/>
  <c r="EF306" i="2"/>
  <c r="DF306" i="2"/>
  <c r="DN306" i="2"/>
  <c r="DP306" i="2" s="1"/>
  <c r="DQ306" i="2" s="1"/>
  <c r="AN31" i="4"/>
  <c r="CJ31" i="4"/>
  <c r="CQ117" i="2"/>
  <c r="BT117" i="2"/>
  <c r="BU117" i="2" s="1"/>
  <c r="CQ182" i="2"/>
  <c r="BT182" i="2"/>
  <c r="BU182" i="2" s="1"/>
  <c r="DX169" i="2"/>
  <c r="DZ169" i="2" s="1"/>
  <c r="EA169" i="2" s="1"/>
  <c r="ED169" i="2"/>
  <c r="DF280" i="2"/>
  <c r="DU280" i="2"/>
  <c r="DV280" i="2"/>
  <c r="EF280" i="2"/>
  <c r="DN280" i="2"/>
  <c r="DP280" i="2" s="1"/>
  <c r="DQ280" i="2" s="1"/>
  <c r="CG123" i="4" a="1"/>
  <c r="CG123" i="4" s="1"/>
  <c r="BM123" i="4" a="1"/>
  <c r="BM123" i="4" s="1"/>
  <c r="CH123" i="4" a="1"/>
  <c r="CH123" i="4" s="1"/>
  <c r="BV123" i="4" a="1"/>
  <c r="BV123" i="4" s="1"/>
  <c r="BG123" i="4" a="1"/>
  <c r="BG123" i="4" s="1"/>
  <c r="D123" i="4" a="1"/>
  <c r="D123" i="4" s="1"/>
  <c r="BD123" i="4" a="1"/>
  <c r="BD123" i="4" s="1"/>
  <c r="BL123" i="4" a="1"/>
  <c r="BL123" i="4" s="1"/>
  <c r="BQ123" i="4" a="1"/>
  <c r="BQ123" i="4" s="1"/>
  <c r="BZ123" i="4" a="1"/>
  <c r="BZ123" i="4" s="1"/>
  <c r="BN123" i="4" a="1"/>
  <c r="BN123" i="4" s="1"/>
  <c r="CA123" i="4" a="1"/>
  <c r="CA123" i="4" s="1"/>
  <c r="BY123" i="4" a="1"/>
  <c r="BY123" i="4" s="1"/>
  <c r="EJ123" i="4" a="1"/>
  <c r="EJ123" i="4" s="1"/>
  <c r="BU123" i="4" a="1"/>
  <c r="BU123" i="4" s="1"/>
  <c r="BR123" i="4" a="1"/>
  <c r="BR123" i="4" s="1"/>
  <c r="EH123" i="4" a="1"/>
  <c r="EH123" i="4" s="1"/>
  <c r="CB123" i="4" a="1"/>
  <c r="CB123" i="4" s="1"/>
  <c r="CF123" i="4" a="1"/>
  <c r="CF123" i="4" s="1"/>
  <c r="E123" i="4" a="1"/>
  <c r="E123" i="4" s="1"/>
  <c r="H123" i="4" a="1"/>
  <c r="H123" i="4" s="1"/>
  <c r="CD123" i="4" a="1"/>
  <c r="CD123" i="4" s="1"/>
  <c r="BE123" i="4" a="1"/>
  <c r="BE123" i="4" s="1"/>
  <c r="AB123" i="4" s="1"/>
  <c r="L123" i="4" a="1"/>
  <c r="L123" i="4" s="1"/>
  <c r="BC123" i="4" a="1"/>
  <c r="BC123" i="4" s="1"/>
  <c r="EI123" i="4" a="1"/>
  <c r="EI123" i="4" s="1"/>
  <c r="BW123" i="4" a="1"/>
  <c r="BW123" i="4" s="1"/>
  <c r="CE123" i="4" a="1"/>
  <c r="CE123" i="4" s="1"/>
  <c r="CC123" i="4" a="1"/>
  <c r="CC123" i="4" s="1"/>
  <c r="BX123" i="4" a="1"/>
  <c r="BX123" i="4" s="1"/>
  <c r="BK123" i="4" a="1"/>
  <c r="BK123" i="4" s="1"/>
  <c r="BO123" i="4" a="1"/>
  <c r="BO123" i="4" s="1"/>
  <c r="CI123" i="4" a="1"/>
  <c r="CI123" i="4" s="1"/>
  <c r="BJ123" i="4" a="1"/>
  <c r="BJ123" i="4" s="1"/>
  <c r="CF79" i="4" a="1"/>
  <c r="CF79" i="4" s="1"/>
  <c r="CD79" i="4" a="1"/>
  <c r="CD79" i="4" s="1"/>
  <c r="D79" i="4" a="1"/>
  <c r="D79" i="4" s="1"/>
  <c r="CH79" i="4" a="1"/>
  <c r="CH79" i="4" s="1"/>
  <c r="CC79" i="4" a="1"/>
  <c r="CC79" i="4" s="1"/>
  <c r="BR79" i="4" a="1"/>
  <c r="BR79" i="4" s="1"/>
  <c r="BJ79" i="4" a="1"/>
  <c r="BJ79" i="4" s="1"/>
  <c r="Q79" i="4" s="1"/>
  <c r="BG79" i="4" a="1"/>
  <c r="BG79" i="4" s="1"/>
  <c r="BZ79" i="4" a="1"/>
  <c r="BZ79" i="4" s="1"/>
  <c r="BX79" i="4" a="1"/>
  <c r="BX79" i="4" s="1"/>
  <c r="BK79" i="4" a="1"/>
  <c r="BK79" i="4" s="1"/>
  <c r="BE79" i="4" a="1"/>
  <c r="BE79" i="4" s="1"/>
  <c r="EH79" i="4" a="1"/>
  <c r="EH79" i="4" s="1"/>
  <c r="BM79" i="4" a="1"/>
  <c r="BM79" i="4" s="1"/>
  <c r="BL79" i="4" a="1"/>
  <c r="BL79" i="4" s="1"/>
  <c r="BN79" i="4" a="1"/>
  <c r="BN79" i="4" s="1"/>
  <c r="BC79" i="4" a="1"/>
  <c r="BC79" i="4" s="1"/>
  <c r="L79" i="4" a="1"/>
  <c r="L79" i="4" s="1"/>
  <c r="CA79" i="4" a="1"/>
  <c r="CA79" i="4" s="1"/>
  <c r="BV79" i="4" a="1"/>
  <c r="BV79" i="4" s="1"/>
  <c r="CB79" i="4" a="1"/>
  <c r="CB79" i="4" s="1"/>
  <c r="H79" i="4" a="1"/>
  <c r="H79" i="4" s="1"/>
  <c r="BW79" i="4" a="1"/>
  <c r="BW79" i="4" s="1"/>
  <c r="BQ79" i="4" a="1"/>
  <c r="BQ79" i="4" s="1"/>
  <c r="CI79" i="4" a="1"/>
  <c r="CI79" i="4" s="1"/>
  <c r="E79" i="4" a="1"/>
  <c r="E79" i="4" s="1"/>
  <c r="CG79" i="4" a="1"/>
  <c r="CG79" i="4" s="1"/>
  <c r="EJ79" i="4" a="1"/>
  <c r="EJ79" i="4" s="1"/>
  <c r="EI79" i="4" a="1"/>
  <c r="EI79" i="4" s="1"/>
  <c r="BO79" i="4" a="1"/>
  <c r="BO79" i="4" s="1"/>
  <c r="BY79" i="4" a="1"/>
  <c r="BY79" i="4" s="1"/>
  <c r="BU79" i="4" a="1"/>
  <c r="BU79" i="4" s="1"/>
  <c r="CE79" i="4" a="1"/>
  <c r="CE79" i="4" s="1"/>
  <c r="DX266" i="2"/>
  <c r="DZ266" i="2" s="1"/>
  <c r="EA266" i="2" s="1"/>
  <c r="ED266" i="2"/>
  <c r="DX186" i="2"/>
  <c r="DZ186" i="2" s="1"/>
  <c r="EA186" i="2" s="1"/>
  <c r="ED186" i="2"/>
  <c r="G174" i="2"/>
  <c r="F174" i="2"/>
  <c r="EJ202" i="2"/>
  <c r="CW202" i="2"/>
  <c r="DM202" i="2"/>
  <c r="DW202" i="2"/>
  <c r="EL202" i="2"/>
  <c r="CU202" i="2"/>
  <c r="BQ202" i="2"/>
  <c r="CY202" i="2"/>
  <c r="DG202" i="2"/>
  <c r="CX202" i="2"/>
  <c r="CZ202" i="2"/>
  <c r="DA202" i="2"/>
  <c r="CT202" i="2"/>
  <c r="EU202" i="2"/>
  <c r="CV202" i="2"/>
  <c r="CR202" i="2"/>
  <c r="EV202" i="2"/>
  <c r="EW202" i="2" s="1"/>
  <c r="EX202" i="2" s="1"/>
  <c r="CS202" i="2"/>
  <c r="T122" i="4"/>
  <c r="BR58" i="4" a="1"/>
  <c r="BR58" i="4" s="1"/>
  <c r="L58" i="4" a="1"/>
  <c r="L58" i="4" s="1"/>
  <c r="CD58" i="4" a="1"/>
  <c r="CD58" i="4" s="1"/>
  <c r="BG58" i="4" a="1"/>
  <c r="BG58" i="4" s="1"/>
  <c r="BO58" i="4" a="1"/>
  <c r="BO58" i="4" s="1"/>
  <c r="BM58" i="4" a="1"/>
  <c r="BM58" i="4" s="1"/>
  <c r="BK58" i="4" a="1"/>
  <c r="BK58" i="4" s="1"/>
  <c r="BN58" i="4" a="1"/>
  <c r="BN58" i="4" s="1"/>
  <c r="BZ58" i="4" a="1"/>
  <c r="BZ58" i="4" s="1"/>
  <c r="BL58" i="4" a="1"/>
  <c r="BL58" i="4" s="1"/>
  <c r="CA58" i="4" a="1"/>
  <c r="CA58" i="4" s="1"/>
  <c r="EJ58" i="4" a="1"/>
  <c r="EJ58" i="4" s="1"/>
  <c r="BX58" i="4" a="1"/>
  <c r="BX58" i="4" s="1"/>
  <c r="EI58" i="4" a="1"/>
  <c r="EI58" i="4" s="1"/>
  <c r="BJ58" i="4" a="1"/>
  <c r="BJ58" i="4" s="1"/>
  <c r="H58" i="4" a="1"/>
  <c r="H58" i="4" s="1"/>
  <c r="BW58" i="4" a="1"/>
  <c r="BW58" i="4" s="1"/>
  <c r="BE58" i="4" a="1"/>
  <c r="BE58" i="4" s="1"/>
  <c r="AB58" i="4" s="1"/>
  <c r="D58" i="4" a="1"/>
  <c r="D58" i="4" s="1"/>
  <c r="BC58" i="4" a="1"/>
  <c r="BC58" i="4" s="1"/>
  <c r="EH58" i="4" a="1"/>
  <c r="EH58" i="4" s="1"/>
  <c r="BV58" i="4" a="1"/>
  <c r="BV58" i="4" s="1"/>
  <c r="E58" i="4" a="1"/>
  <c r="E58" i="4" s="1"/>
  <c r="CF58" i="4" a="1"/>
  <c r="CF58" i="4" s="1"/>
  <c r="CH58" i="4" a="1"/>
  <c r="CH58" i="4" s="1"/>
  <c r="CI58" i="4" a="1"/>
  <c r="CI58" i="4" s="1"/>
  <c r="BY58" i="4" a="1"/>
  <c r="BY58" i="4" s="1"/>
  <c r="BQ58" i="4" a="1"/>
  <c r="BQ58" i="4" s="1"/>
  <c r="CE58" i="4" a="1"/>
  <c r="CE58" i="4" s="1"/>
  <c r="BU58" i="4" a="1"/>
  <c r="BU58" i="4" s="1"/>
  <c r="CB58" i="4" a="1"/>
  <c r="CB58" i="4" s="1"/>
  <c r="CC58" i="4" a="1"/>
  <c r="CC58" i="4" s="1"/>
  <c r="CG58" i="4" a="1"/>
  <c r="CG58" i="4" s="1"/>
  <c r="BP110" i="4"/>
  <c r="BP128" i="4"/>
  <c r="DC248" i="2"/>
  <c r="BT248" i="2"/>
  <c r="BU248" i="2" s="1"/>
  <c r="CQ248" i="2"/>
  <c r="DR265" i="2"/>
  <c r="DS265" i="2"/>
  <c r="DT265" i="2"/>
  <c r="DC305" i="2"/>
  <c r="CN210" i="2"/>
  <c r="BT210" i="2"/>
  <c r="BU210" i="2" s="1"/>
  <c r="EW210" i="2"/>
  <c r="EX210" i="2" s="1"/>
  <c r="T73" i="4"/>
  <c r="T112" i="4"/>
  <c r="W112" i="4" s="1"/>
  <c r="BP135" i="4"/>
  <c r="T136" i="4"/>
  <c r="W136" i="4" s="1"/>
  <c r="Y136" i="4" s="1"/>
  <c r="EH13" i="4" a="1"/>
  <c r="EH13" i="4" s="1"/>
  <c r="BW13" i="4" a="1"/>
  <c r="BW13" i="4" s="1"/>
  <c r="BN13" i="4" a="1"/>
  <c r="BN13" i="4" s="1"/>
  <c r="E13" i="4" a="1"/>
  <c r="E13" i="4" s="1"/>
  <c r="L13" i="4" a="1"/>
  <c r="L13" i="4" s="1"/>
  <c r="BC13" i="4" a="1"/>
  <c r="BC13" i="4" s="1"/>
  <c r="CB13" i="4" a="1"/>
  <c r="CB13" i="4" s="1"/>
  <c r="EI13" i="4" a="1"/>
  <c r="EI13" i="4" s="1"/>
  <c r="CI13" i="4" a="1"/>
  <c r="CI13" i="4" s="1"/>
  <c r="BK13" i="4" a="1"/>
  <c r="BK13" i="4" s="1"/>
  <c r="BM13" i="4" a="1"/>
  <c r="BM13" i="4" s="1"/>
  <c r="CC13" i="4" a="1"/>
  <c r="CC13" i="4" s="1"/>
  <c r="CA13" i="4" a="1"/>
  <c r="CA13" i="4" s="1"/>
  <c r="BJ13" i="4" a="1"/>
  <c r="BJ13" i="4" s="1"/>
  <c r="Q13" i="4" s="1"/>
  <c r="BZ13" i="4" a="1"/>
  <c r="BZ13" i="4" s="1"/>
  <c r="BD13" i="4" a="1"/>
  <c r="BD13" i="4" s="1"/>
  <c r="BV13" i="4" a="1"/>
  <c r="BV13" i="4" s="1"/>
  <c r="D13" i="4" a="1"/>
  <c r="D13" i="4" s="1"/>
  <c r="CD13" i="4" a="1"/>
  <c r="CD13" i="4" s="1"/>
  <c r="BR13" i="4" a="1"/>
  <c r="BR13" i="4" s="1"/>
  <c r="BQ13" i="4" a="1"/>
  <c r="BQ13" i="4" s="1"/>
  <c r="BE13" i="4" a="1"/>
  <c r="BE13" i="4" s="1"/>
  <c r="BO13" i="4" a="1"/>
  <c r="BO13" i="4" s="1"/>
  <c r="EJ13" i="4" a="1"/>
  <c r="EJ13" i="4" s="1"/>
  <c r="CH13" i="4" a="1"/>
  <c r="CH13" i="4" s="1"/>
  <c r="BL13" i="4" a="1"/>
  <c r="BL13" i="4" s="1"/>
  <c r="H13" i="4" a="1"/>
  <c r="H13" i="4" s="1"/>
  <c r="BX13" i="4" a="1"/>
  <c r="BX13" i="4" s="1"/>
  <c r="CG13" i="4" a="1"/>
  <c r="CG13" i="4" s="1"/>
  <c r="BG13" i="4" a="1"/>
  <c r="BG13" i="4" s="1"/>
  <c r="CE13" i="4" a="1"/>
  <c r="CE13" i="4" s="1"/>
  <c r="BY13" i="4" a="1"/>
  <c r="BY13" i="4" s="1"/>
  <c r="CF13" i="4" a="1"/>
  <c r="CF13" i="4" s="1"/>
  <c r="BU13" i="4" a="1"/>
  <c r="BU13" i="4" s="1"/>
  <c r="BO36" i="4" a="1"/>
  <c r="BO36" i="4" s="1"/>
  <c r="BZ36" i="4" a="1"/>
  <c r="BZ36" i="4" s="1"/>
  <c r="BV36" i="4" a="1"/>
  <c r="BV36" i="4" s="1"/>
  <c r="BU36" i="4" a="1"/>
  <c r="BU36" i="4" s="1"/>
  <c r="CI36" i="4" a="1"/>
  <c r="CI36" i="4" s="1"/>
  <c r="BR36" i="4" a="1"/>
  <c r="BR36" i="4" s="1"/>
  <c r="CD36" i="4" a="1"/>
  <c r="CD36" i="4" s="1"/>
  <c r="BC36" i="4" a="1"/>
  <c r="BC36" i="4" s="1"/>
  <c r="BJ36" i="4" a="1"/>
  <c r="BJ36" i="4" s="1"/>
  <c r="Q36" i="4" s="1"/>
  <c r="CC36" i="4" a="1"/>
  <c r="CC36" i="4" s="1"/>
  <c r="BK36" i="4" a="1"/>
  <c r="BK36" i="4" s="1"/>
  <c r="BX36" i="4" a="1"/>
  <c r="BX36" i="4" s="1"/>
  <c r="H36" i="4" a="1"/>
  <c r="H36" i="4" s="1"/>
  <c r="CH36" i="4" a="1"/>
  <c r="CH36" i="4" s="1"/>
  <c r="CF36" i="4" a="1"/>
  <c r="CF36" i="4" s="1"/>
  <c r="CA36" i="4" a="1"/>
  <c r="CA36" i="4" s="1"/>
  <c r="BY36" i="4" a="1"/>
  <c r="BY36" i="4" s="1"/>
  <c r="BW36" i="4" a="1"/>
  <c r="BW36" i="4" s="1"/>
  <c r="E36" i="4" a="1"/>
  <c r="E36" i="4" s="1"/>
  <c r="BM36" i="4" a="1"/>
  <c r="BM36" i="4" s="1"/>
  <c r="EI36" i="4" a="1"/>
  <c r="EI36" i="4" s="1"/>
  <c r="BL36" i="4" a="1"/>
  <c r="BL36" i="4" s="1"/>
  <c r="BE36" i="4" a="1"/>
  <c r="BE36" i="4" s="1"/>
  <c r="L36" i="4" a="1"/>
  <c r="L36" i="4" s="1"/>
  <c r="EH36" i="4" a="1"/>
  <c r="EH36" i="4" s="1"/>
  <c r="CB36" i="4" a="1"/>
  <c r="CB36" i="4" s="1"/>
  <c r="D36" i="4" a="1"/>
  <c r="D36" i="4" s="1"/>
  <c r="BQ36" i="4" a="1"/>
  <c r="BQ36" i="4" s="1"/>
  <c r="BG36" i="4" a="1"/>
  <c r="BG36" i="4" s="1"/>
  <c r="CE36" i="4" a="1"/>
  <c r="CE36" i="4" s="1"/>
  <c r="BN36" i="4" a="1"/>
  <c r="BN36" i="4" s="1"/>
  <c r="EJ36" i="4" a="1"/>
  <c r="EJ36" i="4" s="1"/>
  <c r="BD36" i="4" a="1"/>
  <c r="BD36" i="4" s="1"/>
  <c r="CG36" i="4" a="1"/>
  <c r="CG36" i="4" s="1"/>
  <c r="T92" i="4"/>
  <c r="BP95" i="4"/>
  <c r="BP117" i="4"/>
  <c r="EJ62" i="4" a="1"/>
  <c r="EJ62" i="4" s="1"/>
  <c r="CC62" i="4" a="1"/>
  <c r="CC62" i="4" s="1"/>
  <c r="CA62" i="4" a="1"/>
  <c r="CA62" i="4" s="1"/>
  <c r="BG62" i="4" a="1"/>
  <c r="BG62" i="4" s="1"/>
  <c r="BE62" i="4" a="1"/>
  <c r="BE62" i="4" s="1"/>
  <c r="CB62" i="4" a="1"/>
  <c r="CB62" i="4" s="1"/>
  <c r="BO62" i="4" a="1"/>
  <c r="BO62" i="4" s="1"/>
  <c r="BM62" i="4" a="1"/>
  <c r="BM62" i="4" s="1"/>
  <c r="BZ62" i="4" a="1"/>
  <c r="BZ62" i="4" s="1"/>
  <c r="EI62" i="4" a="1"/>
  <c r="EI62" i="4" s="1"/>
  <c r="CD62" i="4" a="1"/>
  <c r="CD62" i="4" s="1"/>
  <c r="BW62" i="4" a="1"/>
  <c r="BW62" i="4" s="1"/>
  <c r="BR62" i="4" a="1"/>
  <c r="BR62" i="4" s="1"/>
  <c r="BL62" i="4" a="1"/>
  <c r="BL62" i="4" s="1"/>
  <c r="BY62" i="4" a="1"/>
  <c r="BY62" i="4" s="1"/>
  <c r="BD62" i="4" a="1"/>
  <c r="BD62" i="4" s="1"/>
  <c r="BC62" i="4" a="1"/>
  <c r="BC62" i="4" s="1"/>
  <c r="BK62" i="4" a="1"/>
  <c r="BK62" i="4" s="1"/>
  <c r="E62" i="4" a="1"/>
  <c r="E62" i="4" s="1"/>
  <c r="BU62" i="4" a="1"/>
  <c r="BU62" i="4" s="1"/>
  <c r="CE62" i="4" a="1"/>
  <c r="CE62" i="4" s="1"/>
  <c r="BN62" i="4" a="1"/>
  <c r="BN62" i="4" s="1"/>
  <c r="D62" i="4" a="1"/>
  <c r="D62" i="4" s="1"/>
  <c r="EH62" i="4" a="1"/>
  <c r="EH62" i="4" s="1"/>
  <c r="CI62" i="4" a="1"/>
  <c r="CI62" i="4" s="1"/>
  <c r="BX62" i="4" a="1"/>
  <c r="BX62" i="4" s="1"/>
  <c r="CG62" i="4" a="1"/>
  <c r="CG62" i="4" s="1"/>
  <c r="L62" i="4" a="1"/>
  <c r="L62" i="4" s="1"/>
  <c r="H62" i="4" a="1"/>
  <c r="H62" i="4" s="1"/>
  <c r="CF62" i="4" a="1"/>
  <c r="CF62" i="4" s="1"/>
  <c r="BQ62" i="4" a="1"/>
  <c r="BQ62" i="4" s="1"/>
  <c r="BJ62" i="4" a="1"/>
  <c r="BJ62" i="4" s="1"/>
  <c r="Q62" i="4" s="1"/>
  <c r="BV62" i="4" a="1"/>
  <c r="BV62" i="4" s="1"/>
  <c r="CH62" i="4" a="1"/>
  <c r="CH62" i="4" s="1"/>
  <c r="BP97" i="4"/>
  <c r="BP100" i="4"/>
  <c r="BP108" i="4"/>
  <c r="T89" i="4"/>
  <c r="DD252" i="2"/>
  <c r="DE252" i="2"/>
  <c r="DX285" i="2"/>
  <c r="DZ285" i="2" s="1"/>
  <c r="EA285" i="2" s="1"/>
  <c r="ED285" i="2"/>
  <c r="CQ37" i="2"/>
  <c r="BT37" i="2"/>
  <c r="BU37" i="2" s="1"/>
  <c r="BP89" i="4"/>
  <c r="BW40" i="4" a="1"/>
  <c r="BW40" i="4" s="1"/>
  <c r="CG40" i="4" a="1"/>
  <c r="CG40" i="4" s="1"/>
  <c r="BR40" i="4" a="1"/>
  <c r="BR40" i="4" s="1"/>
  <c r="BY40" i="4" a="1"/>
  <c r="BY40" i="4" s="1"/>
  <c r="BM40" i="4" a="1"/>
  <c r="BM40" i="4" s="1"/>
  <c r="CC40" i="4" a="1"/>
  <c r="CC40" i="4" s="1"/>
  <c r="BG40" i="4" a="1"/>
  <c r="BG40" i="4" s="1"/>
  <c r="L40" i="4" a="1"/>
  <c r="L40" i="4" s="1"/>
  <c r="BX40" i="4" a="1"/>
  <c r="BX40" i="4" s="1"/>
  <c r="BU40" i="4" a="1"/>
  <c r="BU40" i="4" s="1"/>
  <c r="BO40" i="4" a="1"/>
  <c r="BO40" i="4" s="1"/>
  <c r="BQ40" i="4" a="1"/>
  <c r="BQ40" i="4" s="1"/>
  <c r="CB40" i="4" a="1"/>
  <c r="CB40" i="4" s="1"/>
  <c r="BK40" i="4" a="1"/>
  <c r="BK40" i="4" s="1"/>
  <c r="D40" i="4" a="1"/>
  <c r="D40" i="4" s="1"/>
  <c r="BC40" i="4" a="1"/>
  <c r="BC40" i="4" s="1"/>
  <c r="CD40" i="4" a="1"/>
  <c r="CD40" i="4" s="1"/>
  <c r="CH40" i="4" a="1"/>
  <c r="CH40" i="4" s="1"/>
  <c r="BJ40" i="4" a="1"/>
  <c r="BJ40" i="4" s="1"/>
  <c r="BN40" i="4" a="1"/>
  <c r="BN40" i="4" s="1"/>
  <c r="CA40" i="4" a="1"/>
  <c r="CA40" i="4" s="1"/>
  <c r="CF40" i="4" a="1"/>
  <c r="CF40" i="4" s="1"/>
  <c r="BZ40" i="4" a="1"/>
  <c r="BZ40" i="4" s="1"/>
  <c r="BV40" i="4" a="1"/>
  <c r="BV40" i="4" s="1"/>
  <c r="BL40" i="4" a="1"/>
  <c r="BL40" i="4" s="1"/>
  <c r="EJ40" i="4" a="1"/>
  <c r="EJ40" i="4" s="1"/>
  <c r="EI40" i="4" a="1"/>
  <c r="EI40" i="4" s="1"/>
  <c r="BD40" i="4" a="1"/>
  <c r="BD40" i="4" s="1"/>
  <c r="BE40" i="4" a="1"/>
  <c r="BE40" i="4" s="1"/>
  <c r="AB40" i="4" s="1"/>
  <c r="E40" i="4" a="1"/>
  <c r="E40" i="4" s="1"/>
  <c r="EH40" i="4" a="1"/>
  <c r="EH40" i="4" s="1"/>
  <c r="H40" i="4" a="1"/>
  <c r="H40" i="4" s="1"/>
  <c r="CI40" i="4" a="1"/>
  <c r="CI40" i="4" s="1"/>
  <c r="CE40" i="4" a="1"/>
  <c r="CE40" i="4" s="1"/>
  <c r="D23" i="4" a="1"/>
  <c r="D23" i="4" s="1"/>
  <c r="CD23" i="4" a="1"/>
  <c r="CD23" i="4" s="1"/>
  <c r="BG23" i="4" a="1"/>
  <c r="BG23" i="4" s="1"/>
  <c r="BC23" i="4" a="1"/>
  <c r="BC23" i="4" s="1"/>
  <c r="CA23" i="4" a="1"/>
  <c r="CA23" i="4" s="1"/>
  <c r="L23" i="4" a="1"/>
  <c r="L23" i="4" s="1"/>
  <c r="CE23" i="4" a="1"/>
  <c r="CE23" i="4" s="1"/>
  <c r="CC23" i="4" a="1"/>
  <c r="CC23" i="4" s="1"/>
  <c r="BU23" i="4" a="1"/>
  <c r="BU23" i="4" s="1"/>
  <c r="EI23" i="4" a="1"/>
  <c r="EI23" i="4" s="1"/>
  <c r="CB23" i="4" a="1"/>
  <c r="CB23" i="4" s="1"/>
  <c r="BE23" i="4" a="1"/>
  <c r="BE23" i="4" s="1"/>
  <c r="AB23" i="4" s="1"/>
  <c r="CH23" i="4" a="1"/>
  <c r="CH23" i="4" s="1"/>
  <c r="E23" i="4" a="1"/>
  <c r="E23" i="4" s="1"/>
  <c r="BZ23" i="4" a="1"/>
  <c r="BZ23" i="4" s="1"/>
  <c r="BY23" i="4" a="1"/>
  <c r="BY23" i="4" s="1"/>
  <c r="BX23" i="4" a="1"/>
  <c r="BX23" i="4" s="1"/>
  <c r="BW23" i="4" a="1"/>
  <c r="BW23" i="4" s="1"/>
  <c r="H23" i="4" a="1"/>
  <c r="H23" i="4" s="1"/>
  <c r="BO23" i="4" a="1"/>
  <c r="BO23" i="4" s="1"/>
  <c r="BR23" i="4" a="1"/>
  <c r="BR23" i="4" s="1"/>
  <c r="CF23" i="4" a="1"/>
  <c r="CF23" i="4" s="1"/>
  <c r="ED39" i="2"/>
  <c r="DX39" i="2"/>
  <c r="DZ39" i="2" s="1"/>
  <c r="EA39" i="2" s="1"/>
  <c r="DY117" i="2"/>
  <c r="EG117" i="2"/>
  <c r="BU84" i="4" a="1"/>
  <c r="BU84" i="4" s="1"/>
  <c r="BE84" i="4" a="1"/>
  <c r="BE84" i="4" s="1"/>
  <c r="CC84" i="4" a="1"/>
  <c r="CC84" i="4" s="1"/>
  <c r="BR84" i="4" a="1"/>
  <c r="BR84" i="4" s="1"/>
  <c r="D84" i="4" a="1"/>
  <c r="D84" i="4" s="1"/>
  <c r="EH84" i="4" a="1"/>
  <c r="EH84" i="4" s="1"/>
  <c r="CF84" i="4" a="1"/>
  <c r="CF84" i="4" s="1"/>
  <c r="BW84" i="4" a="1"/>
  <c r="BW84" i="4" s="1"/>
  <c r="BL84" i="4" a="1"/>
  <c r="BL84" i="4" s="1"/>
  <c r="BC84" i="4" a="1"/>
  <c r="BC84" i="4" s="1"/>
  <c r="CH84" i="4" a="1"/>
  <c r="CH84" i="4" s="1"/>
  <c r="CA84" i="4" a="1"/>
  <c r="CA84" i="4" s="1"/>
  <c r="BO84" i="4" a="1"/>
  <c r="BO84" i="4" s="1"/>
  <c r="L84" i="4" a="1"/>
  <c r="L84" i="4" s="1"/>
  <c r="BK84" i="4" a="1"/>
  <c r="BK84" i="4" s="1"/>
  <c r="BJ84" i="4" a="1"/>
  <c r="BJ84" i="4" s="1"/>
  <c r="Q84" i="4" s="1"/>
  <c r="CG84" i="4" a="1"/>
  <c r="CG84" i="4" s="1"/>
  <c r="CE84" i="4" a="1"/>
  <c r="CE84" i="4" s="1"/>
  <c r="BV84" i="4" a="1"/>
  <c r="BV84" i="4" s="1"/>
  <c r="E84" i="4" a="1"/>
  <c r="E84" i="4" s="1"/>
  <c r="BN84" i="4" a="1"/>
  <c r="BN84" i="4" s="1"/>
  <c r="CI84" i="4" a="1"/>
  <c r="CI84" i="4" s="1"/>
  <c r="BY84" i="4" a="1"/>
  <c r="BY84" i="4" s="1"/>
  <c r="CD84" i="4" a="1"/>
  <c r="CD84" i="4" s="1"/>
  <c r="EJ84" i="4" a="1"/>
  <c r="EJ84" i="4" s="1"/>
  <c r="BX84" i="4" a="1"/>
  <c r="BX84" i="4" s="1"/>
  <c r="BM84" i="4" a="1"/>
  <c r="BM84" i="4" s="1"/>
  <c r="BZ84" i="4" a="1"/>
  <c r="BZ84" i="4" s="1"/>
  <c r="H84" i="4" a="1"/>
  <c r="H84" i="4" s="1"/>
  <c r="BG84" i="4" a="1"/>
  <c r="BG84" i="4" s="1"/>
  <c r="CB84" i="4" a="1"/>
  <c r="CB84" i="4" s="1"/>
  <c r="EI84" i="4" a="1"/>
  <c r="EI84" i="4" s="1"/>
  <c r="BQ84" i="4" a="1"/>
  <c r="BQ84" i="4" s="1"/>
  <c r="BD84" i="4" a="1"/>
  <c r="BD84" i="4" s="1"/>
  <c r="DC182" i="2"/>
  <c r="ED293" i="2"/>
  <c r="DX293" i="2"/>
  <c r="DZ293" i="2" s="1"/>
  <c r="EA293" i="2" s="1"/>
  <c r="BP87" i="4"/>
  <c r="DX269" i="2"/>
  <c r="DZ269" i="2" s="1"/>
  <c r="EA269" i="2" s="1"/>
  <c r="ED269" i="2"/>
  <c r="BP137" i="4"/>
  <c r="T91" i="4"/>
  <c r="BP124" i="4"/>
  <c r="BP115" i="4"/>
  <c r="T95" i="4"/>
  <c r="BP106" i="4"/>
  <c r="T87" i="4"/>
  <c r="W87" i="4" s="1"/>
  <c r="Y87" i="4" s="1"/>
  <c r="T132" i="4"/>
  <c r="BP111" i="4"/>
  <c r="BL44" i="4" a="1"/>
  <c r="BL44" i="4" s="1"/>
  <c r="BC44" i="4" a="1"/>
  <c r="BC44" i="4" s="1"/>
  <c r="CA44" i="4" a="1"/>
  <c r="CA44" i="4" s="1"/>
  <c r="L44" i="4" a="1"/>
  <c r="L44" i="4" s="1"/>
  <c r="BY44" i="4" a="1"/>
  <c r="BY44" i="4" s="1"/>
  <c r="BK44" i="4" a="1"/>
  <c r="BK44" i="4" s="1"/>
  <c r="BU44" i="4" a="1"/>
  <c r="BU44" i="4" s="1"/>
  <c r="BV44" i="4" a="1"/>
  <c r="BV44" i="4" s="1"/>
  <c r="BJ44" i="4" a="1"/>
  <c r="BJ44" i="4" s="1"/>
  <c r="BX44" i="4" a="1"/>
  <c r="BX44" i="4" s="1"/>
  <c r="CH44" i="4" a="1"/>
  <c r="CH44" i="4" s="1"/>
  <c r="CI44" i="4" a="1"/>
  <c r="CI44" i="4" s="1"/>
  <c r="BN44" i="4" a="1"/>
  <c r="BN44" i="4" s="1"/>
  <c r="BG44" i="4" a="1"/>
  <c r="BG44" i="4" s="1"/>
  <c r="D44" i="4" a="1"/>
  <c r="D44" i="4" s="1"/>
  <c r="CB44" i="4" a="1"/>
  <c r="CB44" i="4" s="1"/>
  <c r="E44" i="4" a="1"/>
  <c r="E44" i="4" s="1"/>
  <c r="BR44" i="4" a="1"/>
  <c r="BR44" i="4" s="1"/>
  <c r="EH44" i="4" a="1"/>
  <c r="EH44" i="4" s="1"/>
  <c r="BO44" i="4" a="1"/>
  <c r="BO44" i="4" s="1"/>
  <c r="BQ44" i="4" a="1"/>
  <c r="BQ44" i="4" s="1"/>
  <c r="H44" i="4" a="1"/>
  <c r="H44" i="4" s="1"/>
  <c r="CE44" i="4" a="1"/>
  <c r="CE44" i="4" s="1"/>
  <c r="CD44" i="4" a="1"/>
  <c r="CD44" i="4" s="1"/>
  <c r="CC44" i="4" a="1"/>
  <c r="CC44" i="4" s="1"/>
  <c r="BM44" i="4" a="1"/>
  <c r="BM44" i="4" s="1"/>
  <c r="CF44" i="4" a="1"/>
  <c r="CF44" i="4" s="1"/>
  <c r="EJ44" i="4" a="1"/>
  <c r="EJ44" i="4" s="1"/>
  <c r="EI44" i="4" a="1"/>
  <c r="EI44" i="4" s="1"/>
  <c r="BZ44" i="4" a="1"/>
  <c r="BZ44" i="4" s="1"/>
  <c r="BW44" i="4" a="1"/>
  <c r="BW44" i="4" s="1"/>
  <c r="BE44" i="4" a="1"/>
  <c r="BE44" i="4" s="1"/>
  <c r="AB44" i="4" s="1"/>
  <c r="CG44" i="4" a="1"/>
  <c r="CG44" i="4" s="1"/>
  <c r="BD44" i="4" a="1"/>
  <c r="BD44" i="4" s="1"/>
  <c r="BP93" i="4"/>
  <c r="DE149" i="2"/>
  <c r="DD149" i="2"/>
  <c r="EF189" i="2"/>
  <c r="AU166" i="2"/>
  <c r="BX166" i="2"/>
  <c r="BY166" i="2" s="1"/>
  <c r="CN155" i="2"/>
  <c r="EW155" i="2"/>
  <c r="EX155" i="2" s="1"/>
  <c r="BT155" i="2"/>
  <c r="BU155" i="2" s="1"/>
  <c r="DC117" i="2"/>
  <c r="BU55" i="4" a="1"/>
  <c r="BU55" i="4" s="1"/>
  <c r="BL55" i="4" a="1"/>
  <c r="BL55" i="4" s="1"/>
  <c r="BK55" i="4" a="1"/>
  <c r="BK55" i="4" s="1"/>
  <c r="EI55" i="4" a="1"/>
  <c r="EI55" i="4" s="1"/>
  <c r="BD55" i="4" a="1"/>
  <c r="BD55" i="4" s="1"/>
  <c r="BO55" i="4" a="1"/>
  <c r="BO55" i="4" s="1"/>
  <c r="BC55" i="4" a="1"/>
  <c r="BC55" i="4" s="1"/>
  <c r="BN55" i="4" a="1"/>
  <c r="BN55" i="4" s="1"/>
  <c r="BE55" i="4" a="1"/>
  <c r="BE55" i="4" s="1"/>
  <c r="AB55" i="4" s="1"/>
  <c r="BJ55" i="4" a="1"/>
  <c r="BJ55" i="4" s="1"/>
  <c r="CG55" i="4" a="1"/>
  <c r="CG55" i="4" s="1"/>
  <c r="BY55" i="4" a="1"/>
  <c r="BY55" i="4" s="1"/>
  <c r="H55" i="4" a="1"/>
  <c r="H55" i="4" s="1"/>
  <c r="D55" i="4" a="1"/>
  <c r="D55" i="4" s="1"/>
  <c r="E55" i="4" a="1"/>
  <c r="E55" i="4" s="1"/>
  <c r="CD55" i="4" a="1"/>
  <c r="CD55" i="4" s="1"/>
  <c r="CE55" i="4" a="1"/>
  <c r="CE55" i="4" s="1"/>
  <c r="CA55" i="4" a="1"/>
  <c r="CA55" i="4" s="1"/>
  <c r="CB55" i="4" a="1"/>
  <c r="CB55" i="4" s="1"/>
  <c r="L55" i="4" a="1"/>
  <c r="L55" i="4" s="1"/>
  <c r="BG55" i="4" a="1"/>
  <c r="BG55" i="4" s="1"/>
  <c r="CF55" i="4" a="1"/>
  <c r="CF55" i="4" s="1"/>
  <c r="CC55" i="4" a="1"/>
  <c r="CC55" i="4" s="1"/>
  <c r="BX55" i="4" a="1"/>
  <c r="BX55" i="4" s="1"/>
  <c r="CI55" i="4" a="1"/>
  <c r="CI55" i="4" s="1"/>
  <c r="EJ55" i="4" a="1"/>
  <c r="EJ55" i="4" s="1"/>
  <c r="BM55" i="4" a="1"/>
  <c r="BM55" i="4" s="1"/>
  <c r="BV55" i="4" a="1"/>
  <c r="BV55" i="4" s="1"/>
  <c r="BW55" i="4" a="1"/>
  <c r="BW55" i="4" s="1"/>
  <c r="BQ55" i="4" a="1"/>
  <c r="BQ55" i="4" s="1"/>
  <c r="EH55" i="4" a="1"/>
  <c r="EH55" i="4" s="1"/>
  <c r="CH55" i="4" a="1"/>
  <c r="CH55" i="4" s="1"/>
  <c r="BZ55" i="4" a="1"/>
  <c r="BZ55" i="4" s="1"/>
  <c r="BR55" i="4" a="1"/>
  <c r="BR55" i="4" s="1"/>
  <c r="DV186" i="2"/>
  <c r="DN186" i="2"/>
  <c r="DP186" i="2" s="1"/>
  <c r="DQ186" i="2" s="1"/>
  <c r="EF186" i="2"/>
  <c r="DU186" i="2"/>
  <c r="DF186" i="2"/>
  <c r="DU293" i="2"/>
  <c r="DF293" i="2"/>
  <c r="DV293" i="2"/>
  <c r="DN293" i="2"/>
  <c r="DP293" i="2" s="1"/>
  <c r="DQ293" i="2" s="1"/>
  <c r="EF293" i="2"/>
  <c r="EJ20" i="4" a="1"/>
  <c r="EJ20" i="4" s="1"/>
  <c r="BJ20" i="4" a="1"/>
  <c r="BJ20" i="4" s="1"/>
  <c r="BM20" i="4" a="1"/>
  <c r="BM20" i="4" s="1"/>
  <c r="L20" i="4" a="1"/>
  <c r="L20" i="4" s="1"/>
  <c r="D20" i="4" a="1"/>
  <c r="D20" i="4" s="1"/>
  <c r="E20" i="4" a="1"/>
  <c r="E20" i="4" s="1"/>
  <c r="BQ20" i="4" a="1"/>
  <c r="BQ20" i="4" s="1"/>
  <c r="BZ20" i="4" a="1"/>
  <c r="BZ20" i="4" s="1"/>
  <c r="BO20" i="4" a="1"/>
  <c r="BO20" i="4" s="1"/>
  <c r="BC20" i="4" a="1"/>
  <c r="BC20" i="4" s="1"/>
  <c r="BL20" i="4" a="1"/>
  <c r="BL20" i="4" s="1"/>
  <c r="BY20" i="4" a="1"/>
  <c r="BY20" i="4" s="1"/>
  <c r="CH20" i="4" a="1"/>
  <c r="CH20" i="4" s="1"/>
  <c r="EH20" i="4" a="1"/>
  <c r="EH20" i="4" s="1"/>
  <c r="H20" i="4" a="1"/>
  <c r="H20" i="4" s="1"/>
  <c r="CI20" i="4" a="1"/>
  <c r="CI20" i="4" s="1"/>
  <c r="CB20" i="4" a="1"/>
  <c r="CB20" i="4" s="1"/>
  <c r="BR20" i="4" a="1"/>
  <c r="BR20" i="4" s="1"/>
  <c r="BU20" i="4" a="1"/>
  <c r="BU20" i="4" s="1"/>
  <c r="BN20" i="4" a="1"/>
  <c r="BN20" i="4" s="1"/>
  <c r="CC20" i="4" a="1"/>
  <c r="CC20" i="4" s="1"/>
  <c r="EI20" i="4" a="1"/>
  <c r="EI20" i="4" s="1"/>
  <c r="CA20" i="4" a="1"/>
  <c r="CA20" i="4" s="1"/>
  <c r="CF20" i="4" a="1"/>
  <c r="CF20" i="4" s="1"/>
  <c r="CE20" i="4" a="1"/>
  <c r="CE20" i="4" s="1"/>
  <c r="BG20" i="4" a="1"/>
  <c r="BG20" i="4" s="1"/>
  <c r="BX20" i="4" a="1"/>
  <c r="BX20" i="4" s="1"/>
  <c r="CG20" i="4" a="1"/>
  <c r="CG20" i="4" s="1"/>
  <c r="BK20" i="4" a="1"/>
  <c r="BK20" i="4" s="1"/>
  <c r="CD20" i="4" a="1"/>
  <c r="CD20" i="4" s="1"/>
  <c r="BV20" i="4" a="1"/>
  <c r="BV20" i="4" s="1"/>
  <c r="BW20" i="4" a="1"/>
  <c r="BW20" i="4" s="1"/>
  <c r="BE20" i="4" a="1"/>
  <c r="BE20" i="4" s="1"/>
  <c r="AB20" i="4" s="1"/>
  <c r="DE51" i="2"/>
  <c r="DD51" i="2"/>
  <c r="EF269" i="2"/>
  <c r="DF269" i="2"/>
  <c r="DN269" i="2"/>
  <c r="DP269" i="2" s="1"/>
  <c r="DQ269" i="2" s="1"/>
  <c r="DV269" i="2"/>
  <c r="DU269" i="2"/>
  <c r="T105" i="4"/>
  <c r="W105" i="4" s="1"/>
  <c r="Y105" i="4" s="1"/>
  <c r="BP118" i="4"/>
  <c r="BO24" i="4" a="1"/>
  <c r="BO24" i="4" s="1"/>
  <c r="BG24" i="4" a="1"/>
  <c r="BG24" i="4" s="1"/>
  <c r="CI24" i="4" a="1"/>
  <c r="CI24" i="4" s="1"/>
  <c r="CD24" i="4" a="1"/>
  <c r="CD24" i="4" s="1"/>
  <c r="EI24" i="4" a="1"/>
  <c r="EI24" i="4" s="1"/>
  <c r="BC24" i="4" a="1"/>
  <c r="BC24" i="4" s="1"/>
  <c r="BJ24" i="4" a="1"/>
  <c r="BJ24" i="4" s="1"/>
  <c r="Q24" i="4" s="1"/>
  <c r="BR24" i="4" a="1"/>
  <c r="BR24" i="4" s="1"/>
  <c r="BM24" i="4" a="1"/>
  <c r="BM24" i="4" s="1"/>
  <c r="BN24" i="4" a="1"/>
  <c r="BN24" i="4" s="1"/>
  <c r="CC24" i="4" a="1"/>
  <c r="CC24" i="4" s="1"/>
  <c r="EH24" i="4" a="1"/>
  <c r="EH24" i="4" s="1"/>
  <c r="CB24" i="4" a="1"/>
  <c r="CB24" i="4" s="1"/>
  <c r="CE24" i="4" a="1"/>
  <c r="CE24" i="4" s="1"/>
  <c r="BK24" i="4" a="1"/>
  <c r="BK24" i="4" s="1"/>
  <c r="CH24" i="4" a="1"/>
  <c r="CH24" i="4" s="1"/>
  <c r="BE24" i="4" a="1"/>
  <c r="BE24" i="4" s="1"/>
  <c r="EJ24" i="4" a="1"/>
  <c r="EJ24" i="4" s="1"/>
  <c r="CA24" i="4" a="1"/>
  <c r="CA24" i="4" s="1"/>
  <c r="L24" i="4" a="1"/>
  <c r="L24" i="4" s="1"/>
  <c r="D24" i="4" a="1"/>
  <c r="D24" i="4" s="1"/>
  <c r="H24" i="4" a="1"/>
  <c r="H24" i="4" s="1"/>
  <c r="BV24" i="4" a="1"/>
  <c r="BV24" i="4" s="1"/>
  <c r="CF24" i="4" a="1"/>
  <c r="CF24" i="4" s="1"/>
  <c r="BU24" i="4" a="1"/>
  <c r="BU24" i="4" s="1"/>
  <c r="BW24" i="4" a="1"/>
  <c r="BW24" i="4" s="1"/>
  <c r="BX24" i="4" a="1"/>
  <c r="BX24" i="4" s="1"/>
  <c r="BY24" i="4" a="1"/>
  <c r="BY24" i="4" s="1"/>
  <c r="E24" i="4" a="1"/>
  <c r="E24" i="4" s="1"/>
  <c r="CG24" i="4" a="1"/>
  <c r="CG24" i="4" s="1"/>
  <c r="BZ24" i="4" a="1"/>
  <c r="BZ24" i="4" s="1"/>
  <c r="BQ24" i="4" a="1"/>
  <c r="BQ24" i="4" s="1"/>
  <c r="BL24" i="4" a="1"/>
  <c r="BL24" i="4" s="1"/>
  <c r="DC7" i="2"/>
  <c r="T137" i="4"/>
  <c r="W137" i="4" s="1"/>
  <c r="Y137" i="4" s="1"/>
  <c r="BX174" i="2"/>
  <c r="BY174" i="2" s="1"/>
  <c r="AU174" i="2"/>
  <c r="DU169" i="2"/>
  <c r="DF169" i="2"/>
  <c r="DV169" i="2"/>
  <c r="DN169" i="2"/>
  <c r="DP169" i="2" s="1"/>
  <c r="DQ169" i="2" s="1"/>
  <c r="ED280" i="2"/>
  <c r="DX280" i="2"/>
  <c r="DZ280" i="2" s="1"/>
  <c r="EA280" i="2" s="1"/>
  <c r="T80" i="4"/>
  <c r="DN190" i="2"/>
  <c r="DP190" i="2" s="1"/>
  <c r="DQ190" i="2" s="1"/>
  <c r="DU190" i="2"/>
  <c r="EF190" i="2"/>
  <c r="DV190" i="2"/>
  <c r="DF190" i="2"/>
  <c r="BC11" i="4" a="1"/>
  <c r="BC11" i="4" s="1"/>
  <c r="BR11" i="4" a="1"/>
  <c r="BR11" i="4" s="1"/>
  <c r="CC11" i="4" a="1"/>
  <c r="CC11" i="4" s="1"/>
  <c r="BN11" i="4" a="1"/>
  <c r="BN11" i="4" s="1"/>
  <c r="D11" i="4" a="1"/>
  <c r="D11" i="4" s="1"/>
  <c r="CF11" i="4" a="1"/>
  <c r="CF11" i="4" s="1"/>
  <c r="CI11" i="4" a="1"/>
  <c r="CI11" i="4" s="1"/>
  <c r="EI11" i="4" a="1"/>
  <c r="EI11" i="4" s="1"/>
  <c r="BE11" i="4" a="1"/>
  <c r="BE11" i="4" s="1"/>
  <c r="AB11" i="4" s="1"/>
  <c r="CG11" i="4" a="1"/>
  <c r="CG11" i="4" s="1"/>
  <c r="BU11" i="4" a="1"/>
  <c r="BU11" i="4" s="1"/>
  <c r="BM11" i="4" a="1"/>
  <c r="BM11" i="4" s="1"/>
  <c r="BY11" i="4" a="1"/>
  <c r="BY11" i="4" s="1"/>
  <c r="CA11" i="4" a="1"/>
  <c r="CA11" i="4" s="1"/>
  <c r="CB11" i="4" a="1"/>
  <c r="CB11" i="4" s="1"/>
  <c r="EH11" i="4" a="1"/>
  <c r="EH11" i="4" s="1"/>
  <c r="BJ11" i="4" a="1"/>
  <c r="BJ11" i="4" s="1"/>
  <c r="BK11" i="4" a="1"/>
  <c r="BK11" i="4" s="1"/>
  <c r="BG11" i="4" a="1"/>
  <c r="BG11" i="4" s="1"/>
  <c r="CH11" i="4" a="1"/>
  <c r="CH11" i="4" s="1"/>
  <c r="EJ11" i="4" a="1"/>
  <c r="EJ11" i="4" s="1"/>
  <c r="BQ11" i="4" a="1"/>
  <c r="BQ11" i="4" s="1"/>
  <c r="BX11" i="4" a="1"/>
  <c r="BX11" i="4" s="1"/>
  <c r="BL11" i="4" a="1"/>
  <c r="BL11" i="4" s="1"/>
  <c r="BD11" i="4" a="1"/>
  <c r="BD11" i="4" s="1"/>
  <c r="H11" i="4" a="1"/>
  <c r="H11" i="4" s="1"/>
  <c r="CD11" i="4" a="1"/>
  <c r="CD11" i="4" s="1"/>
  <c r="E11" i="4" a="1"/>
  <c r="E11" i="4" s="1"/>
  <c r="L11" i="4" a="1"/>
  <c r="L11" i="4" s="1"/>
  <c r="BO11" i="4" a="1"/>
  <c r="BO11" i="4" s="1"/>
  <c r="BV11" i="4" a="1"/>
  <c r="BV11" i="4" s="1"/>
  <c r="BZ11" i="4" a="1"/>
  <c r="BZ11" i="4" s="1"/>
  <c r="BW11" i="4" a="1"/>
  <c r="BW11" i="4" s="1"/>
  <c r="CE11" i="4" a="1"/>
  <c r="CE11" i="4" s="1"/>
  <c r="BP88" i="4"/>
  <c r="T121" i="4"/>
  <c r="T100" i="4"/>
  <c r="W100" i="4" s="1"/>
  <c r="Y100" i="4" s="1"/>
  <c r="BO67" i="4" a="1"/>
  <c r="BO67" i="4" s="1"/>
  <c r="L67" i="4" a="1"/>
  <c r="L67" i="4" s="1"/>
  <c r="BW67" i="4" a="1"/>
  <c r="BW67" i="4" s="1"/>
  <c r="EH67" i="4" a="1"/>
  <c r="EH67" i="4" s="1"/>
  <c r="BJ67" i="4" a="1"/>
  <c r="BJ67" i="4" s="1"/>
  <c r="Q67" i="4" s="1"/>
  <c r="BY67" i="4" a="1"/>
  <c r="BY67" i="4" s="1"/>
  <c r="CC67" i="4" a="1"/>
  <c r="CC67" i="4" s="1"/>
  <c r="BR67" i="4" a="1"/>
  <c r="BR67" i="4" s="1"/>
  <c r="CA67" i="4" a="1"/>
  <c r="CA67" i="4" s="1"/>
  <c r="BM67" i="4" a="1"/>
  <c r="BM67" i="4" s="1"/>
  <c r="BX67" i="4" a="1"/>
  <c r="BX67" i="4" s="1"/>
  <c r="CD67" i="4" a="1"/>
  <c r="CD67" i="4" s="1"/>
  <c r="CF67" i="4" a="1"/>
  <c r="CF67" i="4" s="1"/>
  <c r="BV67" i="4" a="1"/>
  <c r="BV67" i="4" s="1"/>
  <c r="BU67" i="4" a="1"/>
  <c r="BU67" i="4" s="1"/>
  <c r="BC67" i="4" a="1"/>
  <c r="BC67" i="4" s="1"/>
  <c r="CG67" i="4" a="1"/>
  <c r="CG67" i="4" s="1"/>
  <c r="CB67" i="4" a="1"/>
  <c r="CB67" i="4" s="1"/>
  <c r="H67" i="4" a="1"/>
  <c r="H67" i="4" s="1"/>
  <c r="CE67" i="4" a="1"/>
  <c r="CE67" i="4" s="1"/>
  <c r="D67" i="4" a="1"/>
  <c r="D67" i="4" s="1"/>
  <c r="BZ67" i="4" a="1"/>
  <c r="BZ67" i="4" s="1"/>
  <c r="BK67" i="4" a="1"/>
  <c r="BK67" i="4" s="1"/>
  <c r="BN67" i="4" a="1"/>
  <c r="BN67" i="4" s="1"/>
  <c r="E67" i="4" a="1"/>
  <c r="E67" i="4" s="1"/>
  <c r="EI67" i="4" a="1"/>
  <c r="EI67" i="4" s="1"/>
  <c r="BQ67" i="4" a="1"/>
  <c r="BQ67" i="4" s="1"/>
  <c r="CH67" i="4" a="1"/>
  <c r="CH67" i="4" s="1"/>
  <c r="EJ67" i="4" a="1"/>
  <c r="EJ67" i="4" s="1"/>
  <c r="BG67" i="4" a="1"/>
  <c r="BG67" i="4" s="1"/>
  <c r="BE67" i="4" a="1"/>
  <c r="BE67" i="4" s="1"/>
  <c r="CI67" i="4" a="1"/>
  <c r="CI67" i="4" s="1"/>
  <c r="BL67" i="4" a="1"/>
  <c r="BL67" i="4" s="1"/>
  <c r="BD67" i="4" a="1"/>
  <c r="BD67" i="4" s="1"/>
  <c r="BP91" i="4"/>
  <c r="E6" i="4" a="1"/>
  <c r="E6" i="4" s="1"/>
  <c r="CA6" i="4" a="1"/>
  <c r="CA6" i="4" s="1"/>
  <c r="L6" i="4" a="1"/>
  <c r="L6" i="4" s="1"/>
  <c r="CE6" i="4" a="1"/>
  <c r="CE6" i="4" s="1"/>
  <c r="H6" i="4" a="1"/>
  <c r="H6" i="4" s="1"/>
  <c r="CB6" i="4" a="1"/>
  <c r="CB6" i="4" s="1"/>
  <c r="EI6" i="4" a="1"/>
  <c r="EI6" i="4" s="1"/>
  <c r="BV6" i="4" a="1"/>
  <c r="BV6" i="4" s="1"/>
  <c r="BY6" i="4" a="1"/>
  <c r="BY6" i="4" s="1"/>
  <c r="EH6" i="4" a="1"/>
  <c r="EH6" i="4" s="1"/>
  <c r="BZ6" i="4" a="1"/>
  <c r="BZ6" i="4" s="1"/>
  <c r="BG6" i="4" a="1"/>
  <c r="BG6" i="4" s="1"/>
  <c r="BC6" i="4" a="1"/>
  <c r="BC6" i="4" s="1"/>
  <c r="BR6" i="4" a="1"/>
  <c r="BR6" i="4" s="1"/>
  <c r="BL6" i="4" a="1"/>
  <c r="BL6" i="4" s="1"/>
  <c r="BK6" i="4" a="1"/>
  <c r="BK6" i="4" s="1"/>
  <c r="CC6" i="4" a="1"/>
  <c r="CC6" i="4" s="1"/>
  <c r="CG6" i="4" a="1"/>
  <c r="CG6" i="4" s="1"/>
  <c r="CF6" i="4" a="1"/>
  <c r="CF6" i="4" s="1"/>
  <c r="BX6" i="4" a="1"/>
  <c r="BX6" i="4" s="1"/>
  <c r="CI6" i="4" a="1"/>
  <c r="CI6" i="4" s="1"/>
  <c r="CH6" i="4" a="1"/>
  <c r="CH6" i="4" s="1"/>
  <c r="BU6" i="4" a="1"/>
  <c r="BU6" i="4" s="1"/>
  <c r="BE6" i="4" a="1"/>
  <c r="BE6" i="4" s="1"/>
  <c r="BW6" i="4" a="1"/>
  <c r="BW6" i="4" s="1"/>
  <c r="BO6" i="4" a="1"/>
  <c r="BO6" i="4" s="1"/>
  <c r="CD6" i="4" a="1"/>
  <c r="CD6" i="4" s="1"/>
  <c r="BM6" i="4" a="1"/>
  <c r="BM6" i="4" s="1"/>
  <c r="BQ6" i="4" a="1"/>
  <c r="BQ6" i="4" s="1"/>
  <c r="BJ6" i="4" a="1"/>
  <c r="BJ6" i="4" s="1"/>
  <c r="Q6" i="4" s="1"/>
  <c r="BN6" i="4" a="1"/>
  <c r="BN6" i="4" s="1"/>
  <c r="D6" i="4" a="1"/>
  <c r="D6" i="4" s="1"/>
  <c r="EJ6" i="4" a="1"/>
  <c r="EJ6" i="4" s="1"/>
  <c r="T99" i="4"/>
  <c r="W99" i="4" s="1"/>
  <c r="Y99" i="4" s="1"/>
  <c r="BP105" i="4"/>
  <c r="BP90" i="4"/>
  <c r="BP120" i="4"/>
  <c r="EI18" i="4" a="1"/>
  <c r="EI18" i="4" s="1"/>
  <c r="BW18" i="4" a="1"/>
  <c r="BW18" i="4" s="1"/>
  <c r="BN18" i="4" a="1"/>
  <c r="BN18" i="4" s="1"/>
  <c r="BY18" i="4" a="1"/>
  <c r="BY18" i="4" s="1"/>
  <c r="CG18" i="4" a="1"/>
  <c r="CG18" i="4" s="1"/>
  <c r="CC18" i="4" a="1"/>
  <c r="CC18" i="4" s="1"/>
  <c r="BR18" i="4" a="1"/>
  <c r="BR18" i="4" s="1"/>
  <c r="BL18" i="4" a="1"/>
  <c r="BL18" i="4" s="1"/>
  <c r="BD18" i="4" a="1"/>
  <c r="BD18" i="4" s="1"/>
  <c r="BX18" i="4" a="1"/>
  <c r="BX18" i="4" s="1"/>
  <c r="BV18" i="4" a="1"/>
  <c r="BV18" i="4" s="1"/>
  <c r="CB18" i="4" a="1"/>
  <c r="CB18" i="4" s="1"/>
  <c r="CD18" i="4" a="1"/>
  <c r="CD18" i="4" s="1"/>
  <c r="BJ18" i="4" a="1"/>
  <c r="BJ18" i="4" s="1"/>
  <c r="BU18" i="4" a="1"/>
  <c r="BU18" i="4" s="1"/>
  <c r="BZ18" i="4" a="1"/>
  <c r="BZ18" i="4" s="1"/>
  <c r="BK18" i="4" a="1"/>
  <c r="BK18" i="4" s="1"/>
  <c r="CA18" i="4" a="1"/>
  <c r="CA18" i="4" s="1"/>
  <c r="BE18" i="4" a="1"/>
  <c r="BE18" i="4" s="1"/>
  <c r="AB18" i="4" s="1"/>
  <c r="BQ18" i="4" a="1"/>
  <c r="BQ18" i="4" s="1"/>
  <c r="BM18" i="4" a="1"/>
  <c r="BM18" i="4" s="1"/>
  <c r="EH18" i="4" a="1"/>
  <c r="EH18" i="4" s="1"/>
  <c r="BC18" i="4" a="1"/>
  <c r="BC18" i="4" s="1"/>
  <c r="BO18" i="4" a="1"/>
  <c r="BO18" i="4" s="1"/>
  <c r="BG18" i="4" a="1"/>
  <c r="BG18" i="4" s="1"/>
  <c r="CH18" i="4" a="1"/>
  <c r="CH18" i="4" s="1"/>
  <c r="CI18" i="4" a="1"/>
  <c r="CI18" i="4" s="1"/>
  <c r="H18" i="4" a="1"/>
  <c r="H18" i="4" s="1"/>
  <c r="CE18" i="4" a="1"/>
  <c r="CE18" i="4" s="1"/>
  <c r="D18" i="4" a="1"/>
  <c r="D18" i="4" s="1"/>
  <c r="EJ18" i="4" a="1"/>
  <c r="EJ18" i="4" s="1"/>
  <c r="E18" i="4" a="1"/>
  <c r="E18" i="4" s="1"/>
  <c r="CF18" i="4" a="1"/>
  <c r="CF18" i="4" s="1"/>
  <c r="L18" i="4" a="1"/>
  <c r="L18" i="4" s="1"/>
  <c r="BU15" i="4" a="1"/>
  <c r="BU15" i="4" s="1"/>
  <c r="BM15" i="4" a="1"/>
  <c r="BM15" i="4" s="1"/>
  <c r="CE15" i="4" a="1"/>
  <c r="CE15" i="4" s="1"/>
  <c r="BQ15" i="4" a="1"/>
  <c r="BQ15" i="4" s="1"/>
  <c r="EJ15" i="4" a="1"/>
  <c r="EJ15" i="4" s="1"/>
  <c r="BV15" i="4" a="1"/>
  <c r="BV15" i="4" s="1"/>
  <c r="CC15" i="4" a="1"/>
  <c r="CC15" i="4" s="1"/>
  <c r="BD15" i="4" a="1"/>
  <c r="BD15" i="4" s="1"/>
  <c r="BG15" i="4" a="1"/>
  <c r="BG15" i="4" s="1"/>
  <c r="CD15" i="4" a="1"/>
  <c r="CD15" i="4" s="1"/>
  <c r="BY15" i="4" a="1"/>
  <c r="BY15" i="4" s="1"/>
  <c r="CF15" i="4" a="1"/>
  <c r="CF15" i="4" s="1"/>
  <c r="BN15" i="4" a="1"/>
  <c r="BN15" i="4" s="1"/>
  <c r="BO15" i="4" a="1"/>
  <c r="BO15" i="4" s="1"/>
  <c r="BK15" i="4" a="1"/>
  <c r="BK15" i="4" s="1"/>
  <c r="H15" i="4" a="1"/>
  <c r="H15" i="4" s="1"/>
  <c r="BL15" i="4" a="1"/>
  <c r="BL15" i="4" s="1"/>
  <c r="BE15" i="4" a="1"/>
  <c r="BE15" i="4" s="1"/>
  <c r="AB15" i="4" s="1"/>
  <c r="CA15" i="4" a="1"/>
  <c r="CA15" i="4" s="1"/>
  <c r="EH15" i="4" a="1"/>
  <c r="EH15" i="4" s="1"/>
  <c r="BW15" i="4" a="1"/>
  <c r="BW15" i="4" s="1"/>
  <c r="L15" i="4" a="1"/>
  <c r="L15" i="4" s="1"/>
  <c r="CH15" i="4" a="1"/>
  <c r="CH15" i="4" s="1"/>
  <c r="D15" i="4" a="1"/>
  <c r="D15" i="4" s="1"/>
  <c r="CG15" i="4" a="1"/>
  <c r="CG15" i="4" s="1"/>
  <c r="BC15" i="4" a="1"/>
  <c r="BC15" i="4" s="1"/>
  <c r="CB15" i="4" a="1"/>
  <c r="CB15" i="4" s="1"/>
  <c r="E15" i="4" a="1"/>
  <c r="E15" i="4" s="1"/>
  <c r="BX15" i="4" a="1"/>
  <c r="BX15" i="4" s="1"/>
  <c r="BR15" i="4" a="1"/>
  <c r="BR15" i="4" s="1"/>
  <c r="EI15" i="4" a="1"/>
  <c r="EI15" i="4" s="1"/>
  <c r="BJ15" i="4" a="1"/>
  <c r="BJ15" i="4" s="1"/>
  <c r="CI15" i="4" a="1"/>
  <c r="CI15" i="4" s="1"/>
  <c r="BZ15" i="4" a="1"/>
  <c r="BZ15" i="4" s="1"/>
  <c r="BR45" i="4" a="1"/>
  <c r="BR45" i="4" s="1"/>
  <c r="L45" i="4" a="1"/>
  <c r="L45" i="4" s="1"/>
  <c r="CE45" i="4" a="1"/>
  <c r="CE45" i="4" s="1"/>
  <c r="CA45" i="4" a="1"/>
  <c r="CA45" i="4" s="1"/>
  <c r="CI45" i="4" a="1"/>
  <c r="CI45" i="4" s="1"/>
  <c r="BE45" i="4" a="1"/>
  <c r="BE45" i="4" s="1"/>
  <c r="AB45" i="4" s="1"/>
  <c r="BU45" i="4" a="1"/>
  <c r="BU45" i="4" s="1"/>
  <c r="CH45" i="4" a="1"/>
  <c r="CH45" i="4" s="1"/>
  <c r="BM45" i="4" a="1"/>
  <c r="BM45" i="4" s="1"/>
  <c r="BJ45" i="4" a="1"/>
  <c r="BJ45" i="4" s="1"/>
  <c r="D45" i="4" a="1"/>
  <c r="D45" i="4" s="1"/>
  <c r="EI45" i="4" a="1"/>
  <c r="EI45" i="4" s="1"/>
  <c r="CD45" i="4" a="1"/>
  <c r="CD45" i="4" s="1"/>
  <c r="BK45" i="4" a="1"/>
  <c r="BK45" i="4" s="1"/>
  <c r="CG45" i="4" a="1"/>
  <c r="CG45" i="4" s="1"/>
  <c r="BC45" i="4" a="1"/>
  <c r="BC45" i="4" s="1"/>
  <c r="BZ45" i="4" a="1"/>
  <c r="BZ45" i="4" s="1"/>
  <c r="CB45" i="4" a="1"/>
  <c r="CB45" i="4" s="1"/>
  <c r="BY45" i="4" a="1"/>
  <c r="BY45" i="4" s="1"/>
  <c r="BO45" i="4" a="1"/>
  <c r="BO45" i="4" s="1"/>
  <c r="BL45" i="4" a="1"/>
  <c r="BL45" i="4" s="1"/>
  <c r="H45" i="4" a="1"/>
  <c r="H45" i="4" s="1"/>
  <c r="BG45" i="4" a="1"/>
  <c r="BG45" i="4" s="1"/>
  <c r="BX45" i="4" a="1"/>
  <c r="BX45" i="4" s="1"/>
  <c r="BQ45" i="4" a="1"/>
  <c r="BQ45" i="4" s="1"/>
  <c r="BN45" i="4" a="1"/>
  <c r="BN45" i="4" s="1"/>
  <c r="CC45" i="4" a="1"/>
  <c r="CC45" i="4" s="1"/>
  <c r="BV45" i="4" a="1"/>
  <c r="BV45" i="4" s="1"/>
  <c r="BW45" i="4" a="1"/>
  <c r="BW45" i="4" s="1"/>
  <c r="EJ45" i="4" a="1"/>
  <c r="EJ45" i="4" s="1"/>
  <c r="E45" i="4" a="1"/>
  <c r="E45" i="4" s="1"/>
  <c r="EH45" i="4" a="1"/>
  <c r="EH45" i="4" s="1"/>
  <c r="CF45" i="4" a="1"/>
  <c r="CF45" i="4" s="1"/>
  <c r="BD45" i="4" a="1"/>
  <c r="BD45" i="4" s="1"/>
  <c r="Z56" i="4"/>
  <c r="Y56" i="4"/>
  <c r="BP112" i="4"/>
  <c r="BR25" i="4" a="1"/>
  <c r="BR25" i="4" s="1"/>
  <c r="CI25" i="4" a="1"/>
  <c r="CI25" i="4" s="1"/>
  <c r="D25" i="4" a="1"/>
  <c r="D25" i="4" s="1"/>
  <c r="BV25" i="4" a="1"/>
  <c r="BV25" i="4" s="1"/>
  <c r="CA25" i="4" a="1"/>
  <c r="CA25" i="4" s="1"/>
  <c r="BL25" i="4" a="1"/>
  <c r="BL25" i="4" s="1"/>
  <c r="CD25" i="4" a="1"/>
  <c r="CD25" i="4" s="1"/>
  <c r="EI25" i="4" a="1"/>
  <c r="EI25" i="4" s="1"/>
  <c r="BE25" i="4" a="1"/>
  <c r="BE25" i="4" s="1"/>
  <c r="AB25" i="4" s="1"/>
  <c r="BM25" i="4" a="1"/>
  <c r="BM25" i="4" s="1"/>
  <c r="CC25" i="4" a="1"/>
  <c r="CC25" i="4" s="1"/>
  <c r="BQ25" i="4" a="1"/>
  <c r="BQ25" i="4" s="1"/>
  <c r="CB25" i="4" a="1"/>
  <c r="CB25" i="4" s="1"/>
  <c r="BX25" i="4" a="1"/>
  <c r="BX25" i="4" s="1"/>
  <c r="H25" i="4" a="1"/>
  <c r="H25" i="4" s="1"/>
  <c r="BW25" i="4" a="1"/>
  <c r="BW25" i="4" s="1"/>
  <c r="BD25" i="4" a="1"/>
  <c r="BD25" i="4" s="1"/>
  <c r="BY25" i="4" a="1"/>
  <c r="BY25" i="4" s="1"/>
  <c r="BN25" i="4" a="1"/>
  <c r="BN25" i="4" s="1"/>
  <c r="BC25" i="4" a="1"/>
  <c r="BC25" i="4" s="1"/>
  <c r="BZ25" i="4" a="1"/>
  <c r="BZ25" i="4" s="1"/>
  <c r="BO25" i="4" a="1"/>
  <c r="BO25" i="4" s="1"/>
  <c r="E25" i="4" a="1"/>
  <c r="E25" i="4" s="1"/>
  <c r="BU25" i="4" a="1"/>
  <c r="BU25" i="4" s="1"/>
  <c r="BK25" i="4" a="1"/>
  <c r="BK25" i="4" s="1"/>
  <c r="EJ25" i="4" a="1"/>
  <c r="EJ25" i="4" s="1"/>
  <c r="CF25" i="4" a="1"/>
  <c r="CF25" i="4" s="1"/>
  <c r="CG25" i="4" a="1"/>
  <c r="CG25" i="4" s="1"/>
  <c r="L25" i="4" a="1"/>
  <c r="L25" i="4" s="1"/>
  <c r="BJ25" i="4" a="1"/>
  <c r="BJ25" i="4" s="1"/>
  <c r="EH25" i="4" a="1"/>
  <c r="EH25" i="4" s="1"/>
  <c r="CE25" i="4" a="1"/>
  <c r="CE25" i="4" s="1"/>
  <c r="CH25" i="4" a="1"/>
  <c r="CH25" i="4" s="1"/>
  <c r="BG25" i="4" a="1"/>
  <c r="BG25" i="4" s="1"/>
  <c r="DY191" i="2"/>
  <c r="EG191" i="2"/>
  <c r="DX56" i="2"/>
  <c r="DZ56" i="2" s="1"/>
  <c r="EA56" i="2" s="1"/>
  <c r="ED56" i="2"/>
  <c r="G102" i="2"/>
  <c r="F102" i="2"/>
  <c r="T62" i="4"/>
  <c r="W62" i="4" s="1"/>
  <c r="Y62" i="4" s="1"/>
  <c r="T72" i="4"/>
  <c r="DU285" i="2"/>
  <c r="DF285" i="2"/>
  <c r="DN285" i="2"/>
  <c r="DP285" i="2" s="1"/>
  <c r="DQ285" i="2" s="1"/>
  <c r="DV285" i="2"/>
  <c r="EF285" i="2"/>
  <c r="DN50" i="2"/>
  <c r="DP50" i="2" s="1"/>
  <c r="DQ50" i="2" s="1"/>
  <c r="DV50" i="2"/>
  <c r="DU50" i="2"/>
  <c r="EF50" i="2"/>
  <c r="DF50" i="2"/>
  <c r="G173" i="2"/>
  <c r="F173" i="2"/>
  <c r="DC37" i="2"/>
  <c r="BP63" i="4"/>
  <c r="BP64" i="4"/>
  <c r="CN301" i="2"/>
  <c r="BT301" i="2"/>
  <c r="BU301" i="2" s="1"/>
  <c r="EW301" i="2"/>
  <c r="EX301" i="2" s="1"/>
  <c r="DC198" i="2"/>
  <c r="BT221" i="2"/>
  <c r="BU221" i="2" s="1"/>
  <c r="CN221" i="2"/>
  <c r="EW221" i="2"/>
  <c r="EX221" i="2" s="1"/>
  <c r="CF37" i="4" a="1"/>
  <c r="CF37" i="4" s="1"/>
  <c r="BR37" i="4" a="1"/>
  <c r="BR37" i="4" s="1"/>
  <c r="EH37" i="4" a="1"/>
  <c r="EH37" i="4" s="1"/>
  <c r="BC37" i="4" a="1"/>
  <c r="BC37" i="4" s="1"/>
  <c r="BY37" i="4" a="1"/>
  <c r="BY37" i="4" s="1"/>
  <c r="CB37" i="4" a="1"/>
  <c r="CB37" i="4" s="1"/>
  <c r="BK37" i="4" a="1"/>
  <c r="BK37" i="4" s="1"/>
  <c r="BZ37" i="4" a="1"/>
  <c r="BZ37" i="4" s="1"/>
  <c r="CA37" i="4" a="1"/>
  <c r="CA37" i="4" s="1"/>
  <c r="BQ37" i="4" a="1"/>
  <c r="BQ37" i="4" s="1"/>
  <c r="CC37" i="4" a="1"/>
  <c r="CC37" i="4" s="1"/>
  <c r="L37" i="4" a="1"/>
  <c r="L37" i="4" s="1"/>
  <c r="BL37" i="4" a="1"/>
  <c r="BL37" i="4" s="1"/>
  <c r="E37" i="4" a="1"/>
  <c r="E37" i="4" s="1"/>
  <c r="D37" i="4" a="1"/>
  <c r="D37" i="4" s="1"/>
  <c r="H37" i="4" a="1"/>
  <c r="H37" i="4" s="1"/>
  <c r="CH37" i="4" a="1"/>
  <c r="CH37" i="4" s="1"/>
  <c r="EJ37" i="4" a="1"/>
  <c r="EJ37" i="4" s="1"/>
  <c r="BO37" i="4" a="1"/>
  <c r="BO37" i="4" s="1"/>
  <c r="BD37" i="4" a="1"/>
  <c r="BD37" i="4" s="1"/>
  <c r="CI37" i="4" a="1"/>
  <c r="CI37" i="4" s="1"/>
  <c r="BN37" i="4" a="1"/>
  <c r="BN37" i="4" s="1"/>
  <c r="BW37" i="4" a="1"/>
  <c r="BW37" i="4" s="1"/>
  <c r="BM37" i="4" a="1"/>
  <c r="BM37" i="4" s="1"/>
  <c r="EI37" i="4" a="1"/>
  <c r="EI37" i="4" s="1"/>
  <c r="BX37" i="4" a="1"/>
  <c r="BX37" i="4" s="1"/>
  <c r="CD37" i="4" a="1"/>
  <c r="CD37" i="4" s="1"/>
  <c r="BV37" i="4" a="1"/>
  <c r="BV37" i="4" s="1"/>
  <c r="BG37" i="4" a="1"/>
  <c r="BG37" i="4" s="1"/>
  <c r="BU37" i="4" a="1"/>
  <c r="BU37" i="4" s="1"/>
  <c r="CE37" i="4" a="1"/>
  <c r="CE37" i="4" s="1"/>
  <c r="BE37" i="4" a="1"/>
  <c r="BE37" i="4" s="1"/>
  <c r="CG37" i="4" a="1"/>
  <c r="CG37" i="4" s="1"/>
  <c r="BJ37" i="4" a="1"/>
  <c r="BJ37" i="4" s="1"/>
  <c r="Q37" i="4" s="1"/>
  <c r="BX39" i="4" a="1"/>
  <c r="BX39" i="4" s="1"/>
  <c r="L39" i="4" a="1"/>
  <c r="L39" i="4" s="1"/>
  <c r="CI39" i="4" a="1"/>
  <c r="CI39" i="4" s="1"/>
  <c r="BD39" i="4" a="1"/>
  <c r="BD39" i="4" s="1"/>
  <c r="BQ39" i="4" a="1"/>
  <c r="BQ39" i="4" s="1"/>
  <c r="BR39" i="4" a="1"/>
  <c r="BR39" i="4" s="1"/>
  <c r="BV39" i="4" a="1"/>
  <c r="BV39" i="4" s="1"/>
  <c r="BY39" i="4" a="1"/>
  <c r="BY39" i="4" s="1"/>
  <c r="BC39" i="4" a="1"/>
  <c r="BC39" i="4" s="1"/>
  <c r="CD39" i="4" a="1"/>
  <c r="CD39" i="4" s="1"/>
  <c r="CH39" i="4" a="1"/>
  <c r="CH39" i="4" s="1"/>
  <c r="BJ39" i="4" a="1"/>
  <c r="BJ39" i="4" s="1"/>
  <c r="D39" i="4" a="1"/>
  <c r="D39" i="4" s="1"/>
  <c r="CF39" i="4" a="1"/>
  <c r="CF39" i="4" s="1"/>
  <c r="EJ39" i="4" a="1"/>
  <c r="EJ39" i="4" s="1"/>
  <c r="EI39" i="4" a="1"/>
  <c r="EI39" i="4" s="1"/>
  <c r="CE39" i="4" a="1"/>
  <c r="CE39" i="4" s="1"/>
  <c r="CG39" i="4" a="1"/>
  <c r="CG39" i="4" s="1"/>
  <c r="CA39" i="4" a="1"/>
  <c r="CA39" i="4" s="1"/>
  <c r="BW39" i="4" a="1"/>
  <c r="BW39" i="4" s="1"/>
  <c r="E39" i="4" a="1"/>
  <c r="E39" i="4" s="1"/>
  <c r="BG39" i="4" a="1"/>
  <c r="BG39" i="4" s="1"/>
  <c r="H39" i="4" a="1"/>
  <c r="H39" i="4" s="1"/>
  <c r="BE39" i="4" a="1"/>
  <c r="BE39" i="4" s="1"/>
  <c r="AB39" i="4" s="1"/>
  <c r="BZ39" i="4" a="1"/>
  <c r="BZ39" i="4" s="1"/>
  <c r="BN39" i="4" a="1"/>
  <c r="BN39" i="4" s="1"/>
  <c r="BK39" i="4" a="1"/>
  <c r="BK39" i="4" s="1"/>
  <c r="BU39" i="4" a="1"/>
  <c r="BU39" i="4" s="1"/>
  <c r="CC39" i="4" a="1"/>
  <c r="CC39" i="4" s="1"/>
  <c r="BM39" i="4" a="1"/>
  <c r="BM39" i="4" s="1"/>
  <c r="BO39" i="4" a="1"/>
  <c r="BO39" i="4" s="1"/>
  <c r="CB39" i="4" a="1"/>
  <c r="CB39" i="4" s="1"/>
  <c r="BL39" i="4" a="1"/>
  <c r="BL39" i="4" s="1"/>
  <c r="EH39" i="4" a="1"/>
  <c r="EH39" i="4" s="1"/>
  <c r="T96" i="4"/>
  <c r="BL7" i="4" a="1"/>
  <c r="BL7" i="4" s="1"/>
  <c r="E7" i="4" a="1"/>
  <c r="E7" i="4" s="1"/>
  <c r="EH7" i="4" a="1"/>
  <c r="EH7" i="4" s="1"/>
  <c r="BU7" i="4" a="1"/>
  <c r="BU7" i="4" s="1"/>
  <c r="BC7" i="4" a="1"/>
  <c r="BC7" i="4" s="1"/>
  <c r="CA7" i="4" a="1"/>
  <c r="CA7" i="4" s="1"/>
  <c r="CF7" i="4" a="1"/>
  <c r="CF7" i="4" s="1"/>
  <c r="EJ7" i="4" a="1"/>
  <c r="EJ7" i="4" s="1"/>
  <c r="BM7" i="4" a="1"/>
  <c r="BM7" i="4" s="1"/>
  <c r="BJ7" i="4" a="1"/>
  <c r="BJ7" i="4" s="1"/>
  <c r="Q7" i="4" s="1"/>
  <c r="BE7" i="4" a="1"/>
  <c r="BE7" i="4" s="1"/>
  <c r="BW7" i="4" a="1"/>
  <c r="BW7" i="4" s="1"/>
  <c r="CH7" i="4" a="1"/>
  <c r="CH7" i="4" s="1"/>
  <c r="CI7" i="4" a="1"/>
  <c r="CI7" i="4" s="1"/>
  <c r="D7" i="4" a="1"/>
  <c r="D7" i="4" s="1"/>
  <c r="CD7" i="4" a="1"/>
  <c r="CD7" i="4" s="1"/>
  <c r="BG7" i="4" a="1"/>
  <c r="BG7" i="4" s="1"/>
  <c r="BV7" i="4" a="1"/>
  <c r="BV7" i="4" s="1"/>
  <c r="BO7" i="4" a="1"/>
  <c r="BO7" i="4" s="1"/>
  <c r="BZ7" i="4" a="1"/>
  <c r="BZ7" i="4" s="1"/>
  <c r="CB7" i="4" a="1"/>
  <c r="CB7" i="4" s="1"/>
  <c r="BX7" i="4" a="1"/>
  <c r="BX7" i="4" s="1"/>
  <c r="H7" i="4" a="1"/>
  <c r="H7" i="4" s="1"/>
  <c r="BQ7" i="4" a="1"/>
  <c r="BQ7" i="4" s="1"/>
  <c r="CG7" i="4" a="1"/>
  <c r="CG7" i="4" s="1"/>
  <c r="EI7" i="4" a="1"/>
  <c r="EI7" i="4" s="1"/>
  <c r="BN7" i="4" a="1"/>
  <c r="BN7" i="4" s="1"/>
  <c r="CC7" i="4" a="1"/>
  <c r="CC7" i="4" s="1"/>
  <c r="BR7" i="4" a="1"/>
  <c r="BR7" i="4" s="1"/>
  <c r="CE7" i="4" a="1"/>
  <c r="CE7" i="4" s="1"/>
  <c r="BY7" i="4" a="1"/>
  <c r="BY7" i="4" s="1"/>
  <c r="L7" i="4" a="1"/>
  <c r="L7" i="4" s="1"/>
  <c r="BK7" i="4" a="1"/>
  <c r="BK7" i="4" s="1"/>
  <c r="DV39" i="2"/>
  <c r="DN39" i="2"/>
  <c r="DP39" i="2" s="1"/>
  <c r="DQ39" i="2" s="1"/>
  <c r="EF39" i="2"/>
  <c r="DU39" i="2"/>
  <c r="DF39" i="2"/>
  <c r="DF159" i="2" l="1"/>
  <c r="DU159" i="2"/>
  <c r="DV159" i="2"/>
  <c r="DN159" i="2"/>
  <c r="DP159" i="2" s="1"/>
  <c r="DQ159" i="2" s="1"/>
  <c r="EF159" i="2"/>
  <c r="DN70" i="2"/>
  <c r="DP70" i="2" s="1"/>
  <c r="DQ70" i="2" s="1"/>
  <c r="DU70" i="2"/>
  <c r="DF70" i="2"/>
  <c r="DV70" i="2"/>
  <c r="DX329" i="2"/>
  <c r="ED329" i="2"/>
  <c r="EF70" i="2"/>
  <c r="EW247" i="2"/>
  <c r="EX247" i="2" s="1"/>
  <c r="CQ4" i="2"/>
  <c r="BT4" i="2"/>
  <c r="BU4" i="2" s="1"/>
  <c r="DD275" i="2"/>
  <c r="BT315" i="2"/>
  <c r="BU315" i="2" s="1"/>
  <c r="CN315" i="2"/>
  <c r="EW315" i="2"/>
  <c r="EX315" i="2" s="1"/>
  <c r="BT277" i="2"/>
  <c r="BU277" i="2" s="1"/>
  <c r="CQ277" i="2"/>
  <c r="EG180" i="2"/>
  <c r="DY180" i="2"/>
  <c r="CQ231" i="2"/>
  <c r="BT231" i="2"/>
  <c r="BU231" i="2" s="1"/>
  <c r="DD334" i="2"/>
  <c r="DE334" i="2"/>
  <c r="DD165" i="2"/>
  <c r="DE165" i="2"/>
  <c r="EG98" i="2"/>
  <c r="DY98" i="2"/>
  <c r="CE31" i="4" a="1"/>
  <c r="CE31" i="4" s="1"/>
  <c r="BN31" i="4" a="1"/>
  <c r="BN31" i="4" s="1"/>
  <c r="CN115" i="2"/>
  <c r="BT115" i="2"/>
  <c r="BU115" i="2" s="1"/>
  <c r="CN83" i="2"/>
  <c r="EW83" i="2"/>
  <c r="EX83" i="2" s="1"/>
  <c r="DD277" i="2"/>
  <c r="DE277" i="2"/>
  <c r="DE55" i="2"/>
  <c r="DD55" i="2"/>
  <c r="CQ245" i="2"/>
  <c r="BT245" i="2"/>
  <c r="BU245" i="2" s="1"/>
  <c r="EG67" i="2"/>
  <c r="DY67" i="2"/>
  <c r="EW135" i="2"/>
  <c r="EX135" i="2" s="1"/>
  <c r="EF329" i="2"/>
  <c r="EF325" i="2"/>
  <c r="DY132" i="2"/>
  <c r="EG132" i="2"/>
  <c r="BT75" i="2"/>
  <c r="BU75" i="2" s="1"/>
  <c r="CQ75" i="2"/>
  <c r="DD325" i="2"/>
  <c r="DE325" i="2"/>
  <c r="DY294" i="2"/>
  <c r="EG294" i="2"/>
  <c r="CN10" i="2"/>
  <c r="BT10" i="2"/>
  <c r="BU10" i="2" s="1"/>
  <c r="BC66" i="4" a="1"/>
  <c r="BC66" i="4" s="1"/>
  <c r="BG65" i="4" a="1"/>
  <c r="BG65" i="4" s="1"/>
  <c r="BE65" i="4" a="1"/>
  <c r="BE65" i="4" s="1"/>
  <c r="CE65" i="4" a="1"/>
  <c r="CE65" i="4" s="1"/>
  <c r="CA65" i="4" a="1"/>
  <c r="CA65" i="4" s="1"/>
  <c r="BM54" i="4" a="1"/>
  <c r="BM54" i="4" s="1"/>
  <c r="BY54" i="4" a="1"/>
  <c r="BY54" i="4" s="1"/>
  <c r="CC54" i="4" a="1"/>
  <c r="CC54" i="4" s="1"/>
  <c r="CB54" i="4" a="1"/>
  <c r="CB54" i="4" s="1"/>
  <c r="BD69" i="4" a="1"/>
  <c r="BD69" i="4" s="1"/>
  <c r="CG69" i="4" a="1"/>
  <c r="CG69" i="4" s="1"/>
  <c r="CC69" i="4" a="1"/>
  <c r="CC69" i="4" s="1"/>
  <c r="BM66" i="4" a="1"/>
  <c r="BM66" i="4" s="1"/>
  <c r="CD66" i="4" a="1"/>
  <c r="CD66" i="4" s="1"/>
  <c r="CH66" i="4" a="1"/>
  <c r="CH66" i="4" s="1"/>
  <c r="CA85" i="4" a="1"/>
  <c r="CA85" i="4" s="1"/>
  <c r="BV85" i="4" a="1"/>
  <c r="BV85" i="4" s="1"/>
  <c r="CI85" i="4" a="1"/>
  <c r="CI85" i="4" s="1"/>
  <c r="BL85" i="4" a="1"/>
  <c r="BL85" i="4" s="1"/>
  <c r="DF260" i="2"/>
  <c r="BR31" i="4" a="1"/>
  <c r="BR31" i="4" s="1"/>
  <c r="BW31" i="4" a="1"/>
  <c r="BW31" i="4" s="1"/>
  <c r="EW318" i="2"/>
  <c r="EX318" i="2" s="1"/>
  <c r="CN318" i="2"/>
  <c r="BT318" i="2"/>
  <c r="BU318" i="2" s="1"/>
  <c r="DY156" i="2"/>
  <c r="EG156" i="2"/>
  <c r="EF206" i="2"/>
  <c r="DY178" i="2"/>
  <c r="EG178" i="2"/>
  <c r="CN236" i="2"/>
  <c r="EW236" i="2"/>
  <c r="EX236" i="2" s="1"/>
  <c r="BT236" i="2"/>
  <c r="BU236" i="2" s="1"/>
  <c r="EG100" i="2"/>
  <c r="DY100" i="2"/>
  <c r="EW115" i="2"/>
  <c r="EX115" i="2" s="1"/>
  <c r="EG229" i="2"/>
  <c r="BT30" i="2"/>
  <c r="BU30" i="2" s="1"/>
  <c r="CN30" i="2"/>
  <c r="EW30" i="2"/>
  <c r="EX30" i="2" s="1"/>
  <c r="DN212" i="2"/>
  <c r="DP212" i="2" s="1"/>
  <c r="DQ212" i="2" s="1"/>
  <c r="DV212" i="2"/>
  <c r="EF212" i="2"/>
  <c r="DF212" i="2"/>
  <c r="DU212" i="2"/>
  <c r="DU260" i="2"/>
  <c r="DY277" i="2"/>
  <c r="EG277" i="2"/>
  <c r="BT100" i="2"/>
  <c r="BU100" i="2" s="1"/>
  <c r="CQ100" i="2"/>
  <c r="DC43" i="2"/>
  <c r="CQ43" i="2"/>
  <c r="BT43" i="2"/>
  <c r="DE60" i="2"/>
  <c r="DD60" i="2"/>
  <c r="CO152" i="2"/>
  <c r="BT152" i="2"/>
  <c r="BU152" i="2" s="1"/>
  <c r="CN152" i="2"/>
  <c r="EW152" i="2"/>
  <c r="EX152" i="2" s="1"/>
  <c r="BX66" i="4" a="1"/>
  <c r="BX66" i="4" s="1"/>
  <c r="BR66" i="4" a="1"/>
  <c r="BR66" i="4" s="1"/>
  <c r="D66" i="4" a="1"/>
  <c r="D66" i="4" s="1"/>
  <c r="CI66" i="4" a="1"/>
  <c r="CI66" i="4" s="1"/>
  <c r="EF144" i="2"/>
  <c r="DN260" i="2"/>
  <c r="DP260" i="2" s="1"/>
  <c r="DQ260" i="2" s="1"/>
  <c r="CN26" i="2"/>
  <c r="BT26" i="2"/>
  <c r="BU26" i="2" s="1"/>
  <c r="EW26" i="2"/>
  <c r="EX26" i="2" s="1"/>
  <c r="BT141" i="2"/>
  <c r="BU141" i="2" s="1"/>
  <c r="CN141" i="2"/>
  <c r="EW141" i="2"/>
  <c r="EX141" i="2" s="1"/>
  <c r="DY75" i="2"/>
  <c r="EG75" i="2"/>
  <c r="CN241" i="2"/>
  <c r="EW241" i="2"/>
  <c r="EX241" i="2" s="1"/>
  <c r="BT241" i="2"/>
  <c r="BU241" i="2" s="1"/>
  <c r="EW275" i="2"/>
  <c r="EX275" i="2" s="1"/>
  <c r="CN275" i="2"/>
  <c r="DF222" i="2"/>
  <c r="DN222" i="2"/>
  <c r="DP222" i="2" s="1"/>
  <c r="DQ222" i="2" s="1"/>
  <c r="DU222" i="2"/>
  <c r="DV222" i="2"/>
  <c r="EF222" i="2"/>
  <c r="DE201" i="2"/>
  <c r="DD201" i="2"/>
  <c r="BO65" i="4" a="1"/>
  <c r="BO65" i="4" s="1"/>
  <c r="BJ65" i="4" a="1"/>
  <c r="BJ65" i="4" s="1"/>
  <c r="Q65" i="4" s="1"/>
  <c r="BH65" i="4" s="1"/>
  <c r="EI65" i="4" a="1"/>
  <c r="EI65" i="4" s="1"/>
  <c r="CA54" i="4" a="1"/>
  <c r="CA54" i="4" s="1"/>
  <c r="BC54" i="4" a="1"/>
  <c r="BC54" i="4" s="1"/>
  <c r="EH54" i="4" a="1"/>
  <c r="EH54" i="4" s="1"/>
  <c r="E27" i="4" a="1"/>
  <c r="E27" i="4" s="1"/>
  <c r="EI27" i="4" a="1"/>
  <c r="EI27" i="4" s="1"/>
  <c r="CB27" i="4" a="1"/>
  <c r="CB27" i="4" s="1"/>
  <c r="BK69" i="4" a="1"/>
  <c r="BK69" i="4" s="1"/>
  <c r="CH69" i="4" a="1"/>
  <c r="CH69" i="4" s="1"/>
  <c r="BQ69" i="4" a="1"/>
  <c r="BQ69" i="4" s="1"/>
  <c r="BR69" i="4" a="1"/>
  <c r="BR69" i="4" s="1"/>
  <c r="EJ66" i="4" a="1"/>
  <c r="EJ66" i="4" s="1"/>
  <c r="BE66" i="4" a="1"/>
  <c r="BE66" i="4" s="1"/>
  <c r="BO66" i="4" a="1"/>
  <c r="BO66" i="4" s="1"/>
  <c r="CG66" i="4" a="1"/>
  <c r="CG66" i="4" s="1"/>
  <c r="BD28" i="4" a="1"/>
  <c r="BD28" i="4" s="1"/>
  <c r="BL107" i="4" a="1"/>
  <c r="BL107" i="4" s="1"/>
  <c r="CC107" i="4" a="1"/>
  <c r="CC107" i="4" s="1"/>
  <c r="BC107" i="4" a="1"/>
  <c r="BC107" i="4" s="1"/>
  <c r="CB132" i="4" a="1"/>
  <c r="CB132" i="4" s="1"/>
  <c r="EH109" i="4" a="1"/>
  <c r="EH109" i="4" s="1"/>
  <c r="BN85" i="4" a="1"/>
  <c r="BN85" i="4" s="1"/>
  <c r="BE85" i="4" a="1"/>
  <c r="BE85" i="4" s="1"/>
  <c r="AB85" i="4" s="1"/>
  <c r="BW85" i="4" a="1"/>
  <c r="BW85" i="4" s="1"/>
  <c r="EG94" i="2"/>
  <c r="BZ31" i="4" a="1"/>
  <c r="BZ31" i="4" s="1"/>
  <c r="CF31" i="4" a="1"/>
  <c r="CF31" i="4" s="1"/>
  <c r="DY4" i="2"/>
  <c r="EF4" i="2" s="1"/>
  <c r="EG4" i="2"/>
  <c r="BT275" i="2"/>
  <c r="BU275" i="2" s="1"/>
  <c r="CQ275" i="2"/>
  <c r="DU206" i="2"/>
  <c r="DN206" i="2"/>
  <c r="DP206" i="2" s="1"/>
  <c r="DQ206" i="2" s="1"/>
  <c r="DV206" i="2"/>
  <c r="DF206" i="2"/>
  <c r="CQ132" i="2"/>
  <c r="BT132" i="2"/>
  <c r="BU132" i="2" s="1"/>
  <c r="CQ156" i="2"/>
  <c r="BT156" i="2"/>
  <c r="BU156" i="2" s="1"/>
  <c r="BT116" i="2"/>
  <c r="BU116" i="2" s="1"/>
  <c r="CN116" i="2"/>
  <c r="DD121" i="2"/>
  <c r="DE121" i="2"/>
  <c r="CQ180" i="2"/>
  <c r="BT180" i="2"/>
  <c r="BU180" i="2" s="1"/>
  <c r="EG231" i="2"/>
  <c r="DY231" i="2"/>
  <c r="BT244" i="2"/>
  <c r="BU244" i="2" s="1"/>
  <c r="CN244" i="2"/>
  <c r="EW244" i="2"/>
  <c r="EX244" i="2" s="1"/>
  <c r="CN312" i="2"/>
  <c r="EW312" i="2"/>
  <c r="EX312" i="2" s="1"/>
  <c r="BT312" i="2"/>
  <c r="BU312" i="2" s="1"/>
  <c r="DY245" i="2"/>
  <c r="EG245" i="2"/>
  <c r="DX222" i="2"/>
  <c r="DZ222" i="2" s="1"/>
  <c r="EA222" i="2" s="1"/>
  <c r="ED222" i="2"/>
  <c r="EW185" i="2"/>
  <c r="EX185" i="2" s="1"/>
  <c r="DE212" i="2"/>
  <c r="CN340" i="2"/>
  <c r="BT340" i="2"/>
  <c r="BU340" i="2" s="1"/>
  <c r="EW340" i="2"/>
  <c r="EX340" i="2" s="1"/>
  <c r="DY275" i="2"/>
  <c r="EF275" i="2" s="1"/>
  <c r="EG275" i="2"/>
  <c r="DC275" i="2"/>
  <c r="ED206" i="2"/>
  <c r="DX206" i="2"/>
  <c r="DZ206" i="2" s="1"/>
  <c r="EA206" i="2" s="1"/>
  <c r="BT178" i="2"/>
  <c r="BU178" i="2" s="1"/>
  <c r="CQ178" i="2"/>
  <c r="EW277" i="2"/>
  <c r="EX277" i="2" s="1"/>
  <c r="DD4" i="2"/>
  <c r="DE4" i="2"/>
  <c r="DY43" i="2"/>
  <c r="EG43" i="2"/>
  <c r="CQ229" i="2"/>
  <c r="BT229" i="2"/>
  <c r="BU229" i="2" s="1"/>
  <c r="DE123" i="2"/>
  <c r="DD123" i="2"/>
  <c r="DD113" i="2"/>
  <c r="DE113" i="2"/>
  <c r="DE147" i="2"/>
  <c r="DD147" i="2"/>
  <c r="DN258" i="2"/>
  <c r="DP258" i="2" s="1"/>
  <c r="DQ258" i="2" s="1"/>
  <c r="DF258" i="2"/>
  <c r="DV258" i="2"/>
  <c r="DU258" i="2"/>
  <c r="EF258" i="2"/>
  <c r="CF32" i="4" a="1"/>
  <c r="CF32" i="4" s="1"/>
  <c r="EH32" i="4" a="1"/>
  <c r="EH32" i="4" s="1"/>
  <c r="BU32" i="4" a="1"/>
  <c r="BU32" i="4" s="1"/>
  <c r="BN32" i="4" a="1"/>
  <c r="BN32" i="4" s="1"/>
  <c r="BD56" i="4" a="1"/>
  <c r="BD56" i="4" s="1"/>
  <c r="BE56" i="4" a="1"/>
  <c r="BE56" i="4" s="1"/>
  <c r="CH109" i="4" a="1"/>
  <c r="CH109" i="4" s="1"/>
  <c r="BC109" i="4" a="1"/>
  <c r="BC109" i="4" s="1"/>
  <c r="CE109" i="4" a="1"/>
  <c r="CE109" i="4" s="1"/>
  <c r="E109" i="4" a="1"/>
  <c r="E109" i="4" s="1"/>
  <c r="DE145" i="2"/>
  <c r="ED145" i="2" s="1"/>
  <c r="DE258" i="2"/>
  <c r="DS341" i="2"/>
  <c r="DR341" i="2"/>
  <c r="DT341" i="2"/>
  <c r="DE128" i="2"/>
  <c r="DD128" i="2"/>
  <c r="CQ247" i="2"/>
  <c r="BT247" i="2"/>
  <c r="BU247" i="2" s="1"/>
  <c r="DD205" i="2"/>
  <c r="DE205" i="2"/>
  <c r="CC109" i="4" a="1"/>
  <c r="CC109" i="4" s="1"/>
  <c r="BG109" i="4" a="1"/>
  <c r="BG109" i="4" s="1"/>
  <c r="BJ109" i="4" a="1"/>
  <c r="BJ109" i="4" s="1"/>
  <c r="Q109" i="4" s="1"/>
  <c r="BV109" i="4" a="1"/>
  <c r="BV109" i="4" s="1"/>
  <c r="DS278" i="2"/>
  <c r="DR278" i="2"/>
  <c r="DT278" i="2"/>
  <c r="EB278" i="2"/>
  <c r="EE278" i="2"/>
  <c r="EC278" i="2"/>
  <c r="CQ85" i="2"/>
  <c r="BT85" i="2"/>
  <c r="BU85" i="2" s="1"/>
  <c r="DD196" i="2"/>
  <c r="DE196" i="2"/>
  <c r="EB226" i="2"/>
  <c r="EC226" i="2"/>
  <c r="EE226" i="2"/>
  <c r="EG175" i="2"/>
  <c r="DY175" i="2"/>
  <c r="BM56" i="4" a="1"/>
  <c r="BM56" i="4" s="1"/>
  <c r="CH56" i="4" a="1"/>
  <c r="CH56" i="4" s="1"/>
  <c r="BN109" i="4" a="1"/>
  <c r="BN109" i="4" s="1"/>
  <c r="BU109" i="4" a="1"/>
  <c r="BU109" i="4" s="1"/>
  <c r="L109" i="4" a="1"/>
  <c r="L109" i="4" s="1"/>
  <c r="CD109" i="4" a="1"/>
  <c r="CD109" i="4" s="1"/>
  <c r="EI109" i="4" a="1"/>
  <c r="EI109" i="4" s="1"/>
  <c r="D31" i="4" a="1"/>
  <c r="D31" i="4" s="1"/>
  <c r="EJ31" i="4" a="1"/>
  <c r="EJ31" i="4" s="1"/>
  <c r="EK31" i="4" s="1"/>
  <c r="CA31" i="4" a="1"/>
  <c r="CA31" i="4" s="1"/>
  <c r="BL31" i="4" a="1"/>
  <c r="BL31" i="4" s="1"/>
  <c r="EW5" i="2"/>
  <c r="EX5" i="2" s="1"/>
  <c r="DD81" i="2"/>
  <c r="DE81" i="2"/>
  <c r="BT78" i="2"/>
  <c r="BU78" i="2" s="1"/>
  <c r="EW78" i="2"/>
  <c r="EX78" i="2" s="1"/>
  <c r="CN78" i="2"/>
  <c r="DY339" i="2"/>
  <c r="EG339" i="2"/>
  <c r="DE319" i="2"/>
  <c r="DD319" i="2"/>
  <c r="EE211" i="2"/>
  <c r="EB211" i="2"/>
  <c r="EC211" i="2"/>
  <c r="BY32" i="4" a="1"/>
  <c r="BY32" i="4" s="1"/>
  <c r="CB32" i="4" a="1"/>
  <c r="CB32" i="4" s="1"/>
  <c r="BO32" i="4" a="1"/>
  <c r="BO32" i="4" s="1"/>
  <c r="EJ32" i="4" a="1"/>
  <c r="EJ32" i="4" s="1"/>
  <c r="CG56" i="4" a="1"/>
  <c r="CG56" i="4" s="1"/>
  <c r="BU56" i="4" a="1"/>
  <c r="BU56" i="4" s="1"/>
  <c r="CD132" i="4" a="1"/>
  <c r="CD132" i="4" s="1"/>
  <c r="CF109" i="4" a="1"/>
  <c r="CF109" i="4" s="1"/>
  <c r="BY109" i="4" a="1"/>
  <c r="BY109" i="4" s="1"/>
  <c r="H109" i="4" a="1"/>
  <c r="H109" i="4" s="1"/>
  <c r="BQ109" i="4" a="1"/>
  <c r="BQ109" i="4" s="1"/>
  <c r="BK109" i="4" a="1"/>
  <c r="BK109" i="4" s="1"/>
  <c r="EW37" i="2"/>
  <c r="EX37" i="2" s="1"/>
  <c r="BV31" i="4" a="1"/>
  <c r="BV31" i="4" s="1"/>
  <c r="BX31" i="4" a="1"/>
  <c r="BX31" i="4" s="1"/>
  <c r="L31" i="4" a="1"/>
  <c r="L31" i="4" s="1"/>
  <c r="BJ31" i="4" a="1"/>
  <c r="BJ31" i="4" s="1"/>
  <c r="Q31" i="4" s="1"/>
  <c r="EC341" i="2"/>
  <c r="EE341" i="2"/>
  <c r="EB341" i="2"/>
  <c r="DD83" i="2"/>
  <c r="DE83" i="2"/>
  <c r="CN287" i="2"/>
  <c r="EW287" i="2"/>
  <c r="EX287" i="2" s="1"/>
  <c r="BT287" i="2"/>
  <c r="BU287" i="2" s="1"/>
  <c r="DE23" i="2"/>
  <c r="DD23" i="2"/>
  <c r="EC38" i="2"/>
  <c r="EE38" i="2"/>
  <c r="EB38" i="2"/>
  <c r="BZ109" i="4" a="1"/>
  <c r="BZ109" i="4" s="1"/>
  <c r="CA109" i="4" a="1"/>
  <c r="CA109" i="4" s="1"/>
  <c r="BX109" i="4" a="1"/>
  <c r="BX109" i="4" s="1"/>
  <c r="BM109" i="4" a="1"/>
  <c r="BM109" i="4" s="1"/>
  <c r="DT226" i="2"/>
  <c r="DR226" i="2"/>
  <c r="DS226" i="2"/>
  <c r="DD297" i="2"/>
  <c r="DE297" i="2"/>
  <c r="EG247" i="2"/>
  <c r="DY247" i="2"/>
  <c r="DT211" i="2"/>
  <c r="DR211" i="2"/>
  <c r="DS211" i="2"/>
  <c r="CI65" i="4" a="1"/>
  <c r="CI65" i="4" s="1"/>
  <c r="BV65" i="4" a="1"/>
  <c r="BV65" i="4" s="1"/>
  <c r="BX65" i="4" a="1"/>
  <c r="BX65" i="4" s="1"/>
  <c r="CH65" i="4" a="1"/>
  <c r="CH65" i="4" s="1"/>
  <c r="BG32" i="4" a="1"/>
  <c r="BG32" i="4" s="1"/>
  <c r="EI32" i="4" a="1"/>
  <c r="EI32" i="4" s="1"/>
  <c r="BJ32" i="4" a="1"/>
  <c r="BJ32" i="4" s="1"/>
  <c r="Q32" i="4" s="1"/>
  <c r="CH32" i="4" a="1"/>
  <c r="CH32" i="4" s="1"/>
  <c r="BN48" i="4" a="1"/>
  <c r="BN48" i="4" s="1"/>
  <c r="CE48" i="4" a="1"/>
  <c r="CE48" i="4" s="1"/>
  <c r="CA48" i="4" a="1"/>
  <c r="CA48" i="4" s="1"/>
  <c r="BL54" i="4" a="1"/>
  <c r="BL54" i="4" s="1"/>
  <c r="EJ54" i="4" a="1"/>
  <c r="EJ54" i="4" s="1"/>
  <c r="D54" i="4" a="1"/>
  <c r="D54" i="4" s="1"/>
  <c r="BV54" i="4" a="1"/>
  <c r="BV54" i="4" s="1"/>
  <c r="CF38" i="4" a="1"/>
  <c r="CF38" i="4" s="1"/>
  <c r="BJ38" i="4" a="1"/>
  <c r="BJ38" i="4" s="1"/>
  <c r="BM38" i="4" a="1"/>
  <c r="BM38" i="4" s="1"/>
  <c r="CG22" i="4" a="1"/>
  <c r="CG22" i="4" s="1"/>
  <c r="BK22" i="4" a="1"/>
  <c r="BK22" i="4" s="1"/>
  <c r="EI22" i="4" a="1"/>
  <c r="EI22" i="4" s="1"/>
  <c r="CE56" i="4" a="1"/>
  <c r="CE56" i="4" s="1"/>
  <c r="CF56" i="4" a="1"/>
  <c r="CF56" i="4" s="1"/>
  <c r="BO56" i="4" a="1"/>
  <c r="BO56" i="4" s="1"/>
  <c r="BO27" i="4" a="1"/>
  <c r="BO27" i="4" s="1"/>
  <c r="BK27" i="4" a="1"/>
  <c r="BK27" i="4" s="1"/>
  <c r="BJ27" i="4" a="1"/>
  <c r="BJ27" i="4" s="1"/>
  <c r="CF27" i="4" a="1"/>
  <c r="CF27" i="4" s="1"/>
  <c r="BC43" i="4" a="1"/>
  <c r="BC43" i="4" s="1"/>
  <c r="CE43" i="4" a="1"/>
  <c r="CE43" i="4" s="1"/>
  <c r="BY43" i="4" a="1"/>
  <c r="BY43" i="4" s="1"/>
  <c r="BV28" i="4" a="1"/>
  <c r="BV28" i="4" s="1"/>
  <c r="BD107" i="4" a="1"/>
  <c r="BD107" i="4" s="1"/>
  <c r="BM132" i="4" a="1"/>
  <c r="BM132" i="4" s="1"/>
  <c r="CG109" i="4" a="1"/>
  <c r="CG109" i="4" s="1"/>
  <c r="CB109" i="4" a="1"/>
  <c r="CB109" i="4" s="1"/>
  <c r="BW109" i="4" a="1"/>
  <c r="BW109" i="4" s="1"/>
  <c r="BE109" i="4" a="1"/>
  <c r="BE109" i="4" s="1"/>
  <c r="EF33" i="2"/>
  <c r="DZ331" i="2"/>
  <c r="EA331" i="2" s="1"/>
  <c r="CC31" i="4" a="1"/>
  <c r="CC31" i="4" s="1"/>
  <c r="BO31" i="4" a="1"/>
  <c r="BO31" i="4" s="1"/>
  <c r="CI31" i="4" a="1"/>
  <c r="CI31" i="4" s="1"/>
  <c r="CG31" i="4" a="1"/>
  <c r="CG31" i="4" s="1"/>
  <c r="EC321" i="2"/>
  <c r="EB321" i="2"/>
  <c r="EE321" i="2"/>
  <c r="EG85" i="2"/>
  <c r="DY85" i="2"/>
  <c r="DE112" i="2"/>
  <c r="DD112" i="2"/>
  <c r="DD255" i="2"/>
  <c r="DE255" i="2"/>
  <c r="DD65" i="2"/>
  <c r="DE65" i="2"/>
  <c r="DT181" i="2"/>
  <c r="DR181" i="2"/>
  <c r="DS181" i="2"/>
  <c r="DE215" i="2"/>
  <c r="DD215" i="2"/>
  <c r="BJ56" i="4" a="1"/>
  <c r="BJ56" i="4" s="1"/>
  <c r="Q56" i="4" s="1"/>
  <c r="EJ56" i="4" a="1"/>
  <c r="EJ56" i="4" s="1"/>
  <c r="D109" i="4" a="1"/>
  <c r="D109" i="4" s="1"/>
  <c r="BL109" i="4" a="1"/>
  <c r="BL109" i="4" s="1"/>
  <c r="CI109" i="4" a="1"/>
  <c r="CI109" i="4" s="1"/>
  <c r="EF225" i="2"/>
  <c r="DT321" i="2"/>
  <c r="DS321" i="2"/>
  <c r="DR321" i="2"/>
  <c r="ED24" i="2"/>
  <c r="DX24" i="2"/>
  <c r="DZ24" i="2" s="1"/>
  <c r="EA24" i="2" s="1"/>
  <c r="BT262" i="2"/>
  <c r="BU262" i="2" s="1"/>
  <c r="CN262" i="2"/>
  <c r="EW262" i="2"/>
  <c r="EX262" i="2" s="1"/>
  <c r="DE217" i="2"/>
  <c r="DD217" i="2"/>
  <c r="DN73" i="2"/>
  <c r="DP73" i="2" s="1"/>
  <c r="DQ73" i="2" s="1"/>
  <c r="DV73" i="2"/>
  <c r="DF73" i="2"/>
  <c r="DU73" i="2"/>
  <c r="EF73" i="2"/>
  <c r="CQ175" i="2"/>
  <c r="BT175" i="2"/>
  <c r="BU175" i="2" s="1"/>
  <c r="CH31" i="4" a="1"/>
  <c r="CH31" i="4" s="1"/>
  <c r="BM31" i="4" a="1"/>
  <c r="BM31" i="4" s="1"/>
  <c r="CD31" i="4" a="1"/>
  <c r="CD31" i="4" s="1"/>
  <c r="DD48" i="2"/>
  <c r="DE48" i="2"/>
  <c r="DD134" i="2"/>
  <c r="DE134" i="2"/>
  <c r="EE101" i="2"/>
  <c r="EC101" i="2"/>
  <c r="EB101" i="2"/>
  <c r="DV24" i="2"/>
  <c r="DU24" i="2"/>
  <c r="DN24" i="2"/>
  <c r="DP24" i="2" s="1"/>
  <c r="DQ24" i="2" s="1"/>
  <c r="DF24" i="2"/>
  <c r="EF24" i="2"/>
  <c r="ED73" i="2"/>
  <c r="DX73" i="2"/>
  <c r="DZ73" i="2" s="1"/>
  <c r="EA73" i="2" s="1"/>
  <c r="EE181" i="2"/>
  <c r="EC181" i="2"/>
  <c r="EB181" i="2"/>
  <c r="DC247" i="2"/>
  <c r="DS101" i="2"/>
  <c r="DR101" i="2"/>
  <c r="DT101" i="2"/>
  <c r="DN72" i="2"/>
  <c r="DP72" i="2" s="1"/>
  <c r="DQ72" i="2" s="1"/>
  <c r="DU72" i="2"/>
  <c r="DV72" i="2"/>
  <c r="EF72" i="2"/>
  <c r="DF72" i="2"/>
  <c r="DN168" i="2"/>
  <c r="DP168" i="2" s="1"/>
  <c r="DQ168" i="2" s="1"/>
  <c r="DU168" i="2"/>
  <c r="DF168" i="2"/>
  <c r="DV168" i="2"/>
  <c r="DN225" i="2"/>
  <c r="DP225" i="2" s="1"/>
  <c r="DQ225" i="2" s="1"/>
  <c r="DU225" i="2"/>
  <c r="DF225" i="2"/>
  <c r="DV225" i="2"/>
  <c r="EF168" i="2"/>
  <c r="DX207" i="2"/>
  <c r="DZ207" i="2" s="1"/>
  <c r="EA207" i="2" s="1"/>
  <c r="ED207" i="2"/>
  <c r="ED18" i="2"/>
  <c r="DX18" i="2"/>
  <c r="DZ18" i="2" s="1"/>
  <c r="EA18" i="2" s="1"/>
  <c r="DU33" i="2"/>
  <c r="DN33" i="2"/>
  <c r="DP33" i="2" s="1"/>
  <c r="DQ33" i="2" s="1"/>
  <c r="DF33" i="2"/>
  <c r="DV33" i="2"/>
  <c r="DX67" i="2"/>
  <c r="DZ67" i="2" s="1"/>
  <c r="EA67" i="2" s="1"/>
  <c r="ED67" i="2"/>
  <c r="DX291" i="2"/>
  <c r="DZ291" i="2" s="1"/>
  <c r="EA291" i="2" s="1"/>
  <c r="ED291" i="2"/>
  <c r="CA28" i="4" a="1"/>
  <c r="CA28" i="4" s="1"/>
  <c r="BO132" i="4" a="1"/>
  <c r="BO132" i="4" s="1"/>
  <c r="EG108" i="2"/>
  <c r="DY108" i="2"/>
  <c r="DC104" i="2"/>
  <c r="CN28" i="2"/>
  <c r="EW28" i="2"/>
  <c r="EX28" i="2" s="1"/>
  <c r="BT28" i="2"/>
  <c r="BU28" i="2" s="1"/>
  <c r="DR25" i="2"/>
  <c r="DS25" i="2"/>
  <c r="DT25" i="2"/>
  <c r="DD291" i="2"/>
  <c r="EB153" i="2"/>
  <c r="EE153" i="2"/>
  <c r="EC153" i="2"/>
  <c r="BT168" i="2"/>
  <c r="BU168" i="2" s="1"/>
  <c r="DC199" i="2"/>
  <c r="EG119" i="2"/>
  <c r="DY119" i="2"/>
  <c r="DE103" i="2"/>
  <c r="DD103" i="2"/>
  <c r="DD288" i="2"/>
  <c r="EF288" i="2" s="1"/>
  <c r="DE288" i="2"/>
  <c r="DX189" i="2"/>
  <c r="DZ189" i="2" s="1"/>
  <c r="EA189" i="2" s="1"/>
  <c r="ED189" i="2"/>
  <c r="EE299" i="2"/>
  <c r="EC299" i="2"/>
  <c r="EB299" i="2"/>
  <c r="BT274" i="2"/>
  <c r="BU274" i="2" s="1"/>
  <c r="EW274" i="2"/>
  <c r="EX274" i="2" s="1"/>
  <c r="CN274" i="2"/>
  <c r="DC259" i="2"/>
  <c r="DE304" i="2"/>
  <c r="DD304" i="2"/>
  <c r="DT296" i="2"/>
  <c r="DR296" i="2"/>
  <c r="DS296" i="2"/>
  <c r="EC125" i="2"/>
  <c r="EE125" i="2"/>
  <c r="EB125" i="2"/>
  <c r="BT224" i="2"/>
  <c r="BU224" i="2" s="1"/>
  <c r="CQ224" i="2"/>
  <c r="DT282" i="2"/>
  <c r="DR282" i="2"/>
  <c r="DS282" i="2"/>
  <c r="EG197" i="2"/>
  <c r="DY197" i="2"/>
  <c r="BZ56" i="4" a="1"/>
  <c r="BZ56" i="4" s="1"/>
  <c r="CB43" i="4" a="1"/>
  <c r="CB43" i="4" s="1"/>
  <c r="EI28" i="4" a="1"/>
  <c r="EI28" i="4" s="1"/>
  <c r="CF132" i="4" a="1"/>
  <c r="CF132" i="4" s="1"/>
  <c r="CE29" i="4" a="1"/>
  <c r="CE29" i="4" s="1"/>
  <c r="BW29" i="4" a="1"/>
  <c r="BW29" i="4" s="1"/>
  <c r="CD29" i="4" a="1"/>
  <c r="CD29" i="4" s="1"/>
  <c r="BN29" i="4" a="1"/>
  <c r="BN29" i="4" s="1"/>
  <c r="BE29" i="4" a="1"/>
  <c r="BE29" i="4" s="1"/>
  <c r="AB29" i="4" s="1"/>
  <c r="BV29" i="4" a="1"/>
  <c r="BV29" i="4" s="1"/>
  <c r="BJ29" i="4" a="1"/>
  <c r="BJ29" i="4" s="1"/>
  <c r="CI29" i="4" a="1"/>
  <c r="CI29" i="4" s="1"/>
  <c r="CG29" i="4" a="1"/>
  <c r="CG29" i="4" s="1"/>
  <c r="L29" i="4" a="1"/>
  <c r="L29" i="4" s="1"/>
  <c r="BZ29" i="4" a="1"/>
  <c r="BZ29" i="4" s="1"/>
  <c r="EH29" i="4" a="1"/>
  <c r="EH29" i="4" s="1"/>
  <c r="EJ29" i="4" a="1"/>
  <c r="EJ29" i="4" s="1"/>
  <c r="CB29" i="4" a="1"/>
  <c r="CB29" i="4" s="1"/>
  <c r="BL29" i="4" a="1"/>
  <c r="BL29" i="4" s="1"/>
  <c r="BU29" i="4" a="1"/>
  <c r="BU29" i="4" s="1"/>
  <c r="BD29" i="4" a="1"/>
  <c r="BD29" i="4" s="1"/>
  <c r="BG29" i="4" a="1"/>
  <c r="BG29" i="4" s="1"/>
  <c r="CH29" i="4" a="1"/>
  <c r="CH29" i="4" s="1"/>
  <c r="BR29" i="4" a="1"/>
  <c r="BR29" i="4" s="1"/>
  <c r="CA29" i="4" a="1"/>
  <c r="CA29" i="4" s="1"/>
  <c r="EI29" i="4" a="1"/>
  <c r="EI29" i="4" s="1"/>
  <c r="H29" i="4" a="1"/>
  <c r="H29" i="4" s="1"/>
  <c r="CC29" i="4" a="1"/>
  <c r="CC29" i="4" s="1"/>
  <c r="BK29" i="4" a="1"/>
  <c r="BK29" i="4" s="1"/>
  <c r="BM29" i="4" a="1"/>
  <c r="BM29" i="4" s="1"/>
  <c r="BX29" i="4" a="1"/>
  <c r="BX29" i="4" s="1"/>
  <c r="D29" i="4" a="1"/>
  <c r="D29" i="4" s="1"/>
  <c r="BC29" i="4" a="1"/>
  <c r="BC29" i="4" s="1"/>
  <c r="BQ29" i="4" a="1"/>
  <c r="BQ29" i="4" s="1"/>
  <c r="BO29" i="4" a="1"/>
  <c r="BO29" i="4" s="1"/>
  <c r="CF29" i="4" a="1"/>
  <c r="CF29" i="4" s="1"/>
  <c r="E29" i="4" a="1"/>
  <c r="E29" i="4" s="1"/>
  <c r="BY29" i="4" a="1"/>
  <c r="BY29" i="4" s="1"/>
  <c r="DV189" i="2"/>
  <c r="DU189" i="2"/>
  <c r="DN189" i="2"/>
  <c r="DP189" i="2" s="1"/>
  <c r="DQ189" i="2" s="1"/>
  <c r="DF189" i="2"/>
  <c r="DX290" i="2"/>
  <c r="DZ290" i="2" s="1"/>
  <c r="EA290" i="2" s="1"/>
  <c r="ED290" i="2"/>
  <c r="EW267" i="2"/>
  <c r="EX267" i="2" s="1"/>
  <c r="CN267" i="2"/>
  <c r="BT267" i="2"/>
  <c r="BU267" i="2" s="1"/>
  <c r="DE131" i="2"/>
  <c r="DD131" i="2"/>
  <c r="DN158" i="2"/>
  <c r="DP158" i="2" s="1"/>
  <c r="DQ158" i="2" s="1"/>
  <c r="DU158" i="2"/>
  <c r="EF158" i="2"/>
  <c r="DV158" i="2"/>
  <c r="DF158" i="2"/>
  <c r="EB90" i="2"/>
  <c r="EE90" i="2"/>
  <c r="EC90" i="2"/>
  <c r="CN126" i="2"/>
  <c r="EW126" i="2"/>
  <c r="EX126" i="2" s="1"/>
  <c r="BT126" i="2"/>
  <c r="BU126" i="2" s="1"/>
  <c r="EC302" i="2"/>
  <c r="EB302" i="2"/>
  <c r="EE302" i="2"/>
  <c r="BT120" i="2"/>
  <c r="CQ120" i="2"/>
  <c r="DE120" i="2" s="1"/>
  <c r="CN127" i="2"/>
  <c r="EW127" i="2"/>
  <c r="EX127" i="2" s="1"/>
  <c r="EC31" i="2"/>
  <c r="EB31" i="2"/>
  <c r="EE31" i="2"/>
  <c r="DE49" i="2"/>
  <c r="BC56" i="4" a="1"/>
  <c r="BC56" i="4" s="1"/>
  <c r="CA43" i="4" a="1"/>
  <c r="CA43" i="4" s="1"/>
  <c r="BX28" i="4" a="1"/>
  <c r="BX28" i="4" s="1"/>
  <c r="BJ132" i="4" a="1"/>
  <c r="BJ132" i="4" s="1"/>
  <c r="CQ108" i="2"/>
  <c r="BT108" i="2"/>
  <c r="CN124" i="2"/>
  <c r="EW124" i="2"/>
  <c r="EX124" i="2" s="1"/>
  <c r="BT124" i="2"/>
  <c r="BU124" i="2" s="1"/>
  <c r="EF290" i="2"/>
  <c r="DF290" i="2"/>
  <c r="DV290" i="2"/>
  <c r="DN290" i="2"/>
  <c r="DP290" i="2" s="1"/>
  <c r="DQ290" i="2" s="1"/>
  <c r="DU290" i="2"/>
  <c r="DR159" i="2"/>
  <c r="DT159" i="2"/>
  <c r="DS159" i="2"/>
  <c r="ED158" i="2"/>
  <c r="DX158" i="2"/>
  <c r="DZ158" i="2" s="1"/>
  <c r="EA158" i="2" s="1"/>
  <c r="DT302" i="2"/>
  <c r="DR302" i="2"/>
  <c r="DS302" i="2"/>
  <c r="EC154" i="2"/>
  <c r="EB154" i="2"/>
  <c r="EE154" i="2"/>
  <c r="DN77" i="2"/>
  <c r="DP77" i="2" s="1"/>
  <c r="DQ77" i="2" s="1"/>
  <c r="DV77" i="2"/>
  <c r="DU77" i="2"/>
  <c r="DF77" i="2"/>
  <c r="DE109" i="2"/>
  <c r="DD109" i="2"/>
  <c r="DE11" i="2"/>
  <c r="DD11" i="2"/>
  <c r="BG56" i="4" a="1"/>
  <c r="BG56" i="4" s="1"/>
  <c r="BQ28" i="4" a="1"/>
  <c r="BQ28" i="4" s="1"/>
  <c r="BR132" i="4" a="1"/>
  <c r="BR132" i="4" s="1"/>
  <c r="BG132" i="4" a="1"/>
  <c r="BG132" i="4" s="1"/>
  <c r="DN53" i="2"/>
  <c r="DP53" i="2" s="1"/>
  <c r="DQ53" i="2" s="1"/>
  <c r="DU53" i="2"/>
  <c r="DV53" i="2"/>
  <c r="EF53" i="2"/>
  <c r="DF53" i="2"/>
  <c r="DY63" i="2"/>
  <c r="EG63" i="2"/>
  <c r="BT270" i="2"/>
  <c r="BU270" i="2" s="1"/>
  <c r="CQ270" i="2"/>
  <c r="EG188" i="2"/>
  <c r="DY188" i="2"/>
  <c r="DX77" i="2"/>
  <c r="DZ77" i="2" s="1"/>
  <c r="EA77" i="2" s="1"/>
  <c r="ED77" i="2"/>
  <c r="DC36" i="2"/>
  <c r="EW195" i="2"/>
  <c r="EX195" i="2" s="1"/>
  <c r="BT195" i="2"/>
  <c r="CN195" i="2"/>
  <c r="DC119" i="2"/>
  <c r="EC111" i="2"/>
  <c r="EE111" i="2"/>
  <c r="EB111" i="2"/>
  <c r="DC108" i="2"/>
  <c r="DR242" i="2"/>
  <c r="DT242" i="2"/>
  <c r="DS242" i="2"/>
  <c r="DX53" i="2"/>
  <c r="DZ53" i="2" s="1"/>
  <c r="EA53" i="2" s="1"/>
  <c r="ED53" i="2"/>
  <c r="DU204" i="2"/>
  <c r="DN204" i="2"/>
  <c r="DP204" i="2" s="1"/>
  <c r="DQ204" i="2" s="1"/>
  <c r="DF204" i="2"/>
  <c r="DV204" i="2"/>
  <c r="EF204" i="2"/>
  <c r="DT92" i="2"/>
  <c r="DR92" i="2"/>
  <c r="DS92" i="2"/>
  <c r="DC264" i="2"/>
  <c r="DE232" i="2"/>
  <c r="DD232" i="2"/>
  <c r="CN179" i="2"/>
  <c r="EW179" i="2"/>
  <c r="EX179" i="2" s="1"/>
  <c r="BT179" i="2"/>
  <c r="BU179" i="2" s="1"/>
  <c r="DE227" i="2"/>
  <c r="DD227" i="2"/>
  <c r="ED273" i="2"/>
  <c r="DX273" i="2"/>
  <c r="DZ273" i="2" s="1"/>
  <c r="EA273" i="2" s="1"/>
  <c r="BU28" i="4" a="1"/>
  <c r="BU28" i="4" s="1"/>
  <c r="BV132" i="4" a="1"/>
  <c r="BV132" i="4" s="1"/>
  <c r="DX204" i="2"/>
  <c r="DZ204" i="2" s="1"/>
  <c r="EA204" i="2" s="1"/>
  <c r="ED204" i="2"/>
  <c r="DT283" i="2"/>
  <c r="DS283" i="2"/>
  <c r="DR283" i="2"/>
  <c r="DX233" i="2"/>
  <c r="DZ233" i="2" s="1"/>
  <c r="EA233" i="2" s="1"/>
  <c r="ED233" i="2"/>
  <c r="DS323" i="2"/>
  <c r="DT323" i="2"/>
  <c r="DR323" i="2"/>
  <c r="EG61" i="2"/>
  <c r="DY61" i="2"/>
  <c r="DE135" i="2"/>
  <c r="DD135" i="2"/>
  <c r="DN273" i="2"/>
  <c r="DP273" i="2" s="1"/>
  <c r="DQ273" i="2" s="1"/>
  <c r="EF273" i="2"/>
  <c r="DF273" i="2"/>
  <c r="DU273" i="2"/>
  <c r="DV273" i="2"/>
  <c r="DD47" i="2"/>
  <c r="BD132" i="4" a="1"/>
  <c r="BD132" i="4" s="1"/>
  <c r="EG88" i="2"/>
  <c r="DY88" i="2"/>
  <c r="DR79" i="2"/>
  <c r="DT79" i="2"/>
  <c r="DS79" i="2"/>
  <c r="DF233" i="2"/>
  <c r="DV233" i="2"/>
  <c r="DU233" i="2"/>
  <c r="DN233" i="2"/>
  <c r="DP233" i="2" s="1"/>
  <c r="DQ233" i="2" s="1"/>
  <c r="EF233" i="2"/>
  <c r="CB30" i="4" a="1"/>
  <c r="CB30" i="4" s="1"/>
  <c r="EJ30" i="4" a="1"/>
  <c r="EJ30" i="4" s="1"/>
  <c r="CE30" i="4" a="1"/>
  <c r="CE30" i="4" s="1"/>
  <c r="BV30" i="4" a="1"/>
  <c r="BV30" i="4" s="1"/>
  <c r="H30" i="4" a="1"/>
  <c r="H30" i="4" s="1"/>
  <c r="L30" i="4" a="1"/>
  <c r="L30" i="4" s="1"/>
  <c r="CI30" i="4" a="1"/>
  <c r="CI30" i="4" s="1"/>
  <c r="BZ30" i="4" a="1"/>
  <c r="BZ30" i="4" s="1"/>
  <c r="BR30" i="4" a="1"/>
  <c r="BR30" i="4" s="1"/>
  <c r="CG30" i="4" a="1"/>
  <c r="CG30" i="4" s="1"/>
  <c r="EI30" i="4" a="1"/>
  <c r="EI30" i="4" s="1"/>
  <c r="BC30" i="4" a="1"/>
  <c r="BC30" i="4" s="1"/>
  <c r="BO30" i="4" a="1"/>
  <c r="BO30" i="4" s="1"/>
  <c r="E30" i="4" a="1"/>
  <c r="E30" i="4" s="1"/>
  <c r="CC30" i="4" a="1"/>
  <c r="CC30" i="4" s="1"/>
  <c r="CF30" i="4" a="1"/>
  <c r="CF30" i="4" s="1"/>
  <c r="BM30" i="4" a="1"/>
  <c r="BM30" i="4" s="1"/>
  <c r="BW30" i="4" a="1"/>
  <c r="BW30" i="4" s="1"/>
  <c r="BX30" i="4" a="1"/>
  <c r="BX30" i="4" s="1"/>
  <c r="BG30" i="4" a="1"/>
  <c r="BG30" i="4" s="1"/>
  <c r="CA30" i="4" a="1"/>
  <c r="CA30" i="4" s="1"/>
  <c r="BJ30" i="4" a="1"/>
  <c r="BJ30" i="4" s="1"/>
  <c r="Q30" i="4" s="1"/>
  <c r="BL30" i="4" a="1"/>
  <c r="BL30" i="4" s="1"/>
  <c r="BK30" i="4" a="1"/>
  <c r="BK30" i="4" s="1"/>
  <c r="BQ30" i="4" a="1"/>
  <c r="BQ30" i="4" s="1"/>
  <c r="BE30" i="4" a="1"/>
  <c r="BE30" i="4" s="1"/>
  <c r="EH30" i="4" a="1"/>
  <c r="EH30" i="4" s="1"/>
  <c r="CH30" i="4" a="1"/>
  <c r="CH30" i="4" s="1"/>
  <c r="BN30" i="4" a="1"/>
  <c r="BN30" i="4" s="1"/>
  <c r="D30" i="4" a="1"/>
  <c r="D30" i="4" s="1"/>
  <c r="BU30" i="4" a="1"/>
  <c r="BU30" i="4" s="1"/>
  <c r="CD30" i="4" a="1"/>
  <c r="CD30" i="4" s="1"/>
  <c r="BY30" i="4" a="1"/>
  <c r="BY30" i="4" s="1"/>
  <c r="DY29" i="2"/>
  <c r="EG29" i="2"/>
  <c r="EB92" i="2"/>
  <c r="EC92" i="2"/>
  <c r="EE92" i="2"/>
  <c r="EC140" i="2"/>
  <c r="EE140" i="2"/>
  <c r="EB140" i="2"/>
  <c r="DD223" i="2"/>
  <c r="DE223" i="2"/>
  <c r="DT153" i="2"/>
  <c r="DR153" i="2"/>
  <c r="DS153" i="2"/>
  <c r="CN268" i="2"/>
  <c r="EW268" i="2"/>
  <c r="EX268" i="2" s="1"/>
  <c r="CN150" i="2"/>
  <c r="EW150" i="2"/>
  <c r="EX150" i="2" s="1"/>
  <c r="BT150" i="2"/>
  <c r="BU150" i="2" s="1"/>
  <c r="EG292" i="2"/>
  <c r="CQ119" i="2"/>
  <c r="BT119" i="2"/>
  <c r="CH28" i="4" a="1"/>
  <c r="CH28" i="4" s="1"/>
  <c r="BZ132" i="4" a="1"/>
  <c r="BZ132" i="4" s="1"/>
  <c r="DC183" i="2"/>
  <c r="CQ104" i="2"/>
  <c r="BT104" i="2"/>
  <c r="BU104" i="2" s="1"/>
  <c r="ED144" i="2"/>
  <c r="DX144" i="2"/>
  <c r="DZ144" i="2" s="1"/>
  <c r="EA144" i="2" s="1"/>
  <c r="DS45" i="2"/>
  <c r="DT45" i="2"/>
  <c r="DR45" i="2"/>
  <c r="DY40" i="2"/>
  <c r="EG40" i="2"/>
  <c r="EE271" i="2"/>
  <c r="EB271" i="2"/>
  <c r="EC271" i="2"/>
  <c r="DY89" i="2"/>
  <c r="EG89" i="2"/>
  <c r="DX34" i="2"/>
  <c r="DZ34" i="2" s="1"/>
  <c r="EA34" i="2" s="1"/>
  <c r="ED34" i="2"/>
  <c r="DY36" i="2"/>
  <c r="EG36" i="2"/>
  <c r="DC136" i="2"/>
  <c r="EC282" i="2"/>
  <c r="EE282" i="2"/>
  <c r="EB282" i="2"/>
  <c r="EE260" i="2"/>
  <c r="EC260" i="2"/>
  <c r="EB260" i="2"/>
  <c r="BK23" i="4" a="1"/>
  <c r="BK23" i="4" s="1"/>
  <c r="BU22" i="4" a="1"/>
  <c r="BU22" i="4" s="1"/>
  <c r="BN56" i="4" a="1"/>
  <c r="BN56" i="4" s="1"/>
  <c r="BG43" i="4" a="1"/>
  <c r="BG43" i="4" s="1"/>
  <c r="BW28" i="4" a="1"/>
  <c r="BW28" i="4" s="1"/>
  <c r="CE132" i="4" a="1"/>
  <c r="CE132" i="4" s="1"/>
  <c r="DD66" i="2"/>
  <c r="DE66" i="2"/>
  <c r="DY155" i="2"/>
  <c r="EG155" i="2"/>
  <c r="BT177" i="2"/>
  <c r="CQ177" i="2"/>
  <c r="DC29" i="2"/>
  <c r="CN95" i="2"/>
  <c r="EW95" i="2"/>
  <c r="EX95" i="2" s="1"/>
  <c r="BT95" i="2"/>
  <c r="BU95" i="2" s="1"/>
  <c r="DN144" i="2"/>
  <c r="DP144" i="2" s="1"/>
  <c r="DQ144" i="2" s="1"/>
  <c r="DU144" i="2"/>
  <c r="CN256" i="2"/>
  <c r="EW256" i="2"/>
  <c r="EX256" i="2" s="1"/>
  <c r="BT256" i="2"/>
  <c r="CQ89" i="2"/>
  <c r="BT89" i="2"/>
  <c r="BU89" i="2" s="1"/>
  <c r="DU34" i="2"/>
  <c r="DN34" i="2"/>
  <c r="DP34" i="2" s="1"/>
  <c r="DQ34" i="2" s="1"/>
  <c r="DV34" i="2"/>
  <c r="EF34" i="2"/>
  <c r="DF34" i="2"/>
  <c r="BT295" i="2"/>
  <c r="BU295" i="2" s="1"/>
  <c r="CQ295" i="2"/>
  <c r="DD295" i="2" s="1"/>
  <c r="DD14" i="2"/>
  <c r="DE14" i="2"/>
  <c r="CN314" i="2"/>
  <c r="EW314" i="2"/>
  <c r="EX314" i="2" s="1"/>
  <c r="BT314" i="2"/>
  <c r="BU314" i="2" s="1"/>
  <c r="DC261" i="2"/>
  <c r="BQ56" i="4" a="1"/>
  <c r="BQ56" i="4" s="1"/>
  <c r="CD28" i="4" a="1"/>
  <c r="CD28" i="4" s="1"/>
  <c r="BK132" i="4" a="1"/>
  <c r="BK132" i="4" s="1"/>
  <c r="CQ183" i="2"/>
  <c r="BT183" i="2"/>
  <c r="BU183" i="2" s="1"/>
  <c r="BT94" i="2"/>
  <c r="BU94" i="2" s="1"/>
  <c r="CQ94" i="2"/>
  <c r="DE98" i="2"/>
  <c r="DD98" i="2"/>
  <c r="DV192" i="2"/>
  <c r="DU192" i="2"/>
  <c r="EF192" i="2"/>
  <c r="DF192" i="2"/>
  <c r="DN192" i="2"/>
  <c r="DP192" i="2" s="1"/>
  <c r="DQ192" i="2" s="1"/>
  <c r="DC270" i="2"/>
  <c r="DY200" i="2"/>
  <c r="EG200" i="2"/>
  <c r="BT216" i="2"/>
  <c r="BU216" i="2" s="1"/>
  <c r="CN216" i="2"/>
  <c r="EW216" i="2"/>
  <c r="EX216" i="2" s="1"/>
  <c r="DR111" i="2"/>
  <c r="DS111" i="2"/>
  <c r="DT111" i="2"/>
  <c r="DC89" i="2"/>
  <c r="DY161" i="2"/>
  <c r="EG161" i="2"/>
  <c r="CN46" i="2"/>
  <c r="EW46" i="2"/>
  <c r="EX46" i="2" s="1"/>
  <c r="BT46" i="2"/>
  <c r="BU46" i="2" s="1"/>
  <c r="CN136" i="2"/>
  <c r="EW136" i="2"/>
  <c r="EX136" i="2" s="1"/>
  <c r="BR28" i="4" a="1"/>
  <c r="BR28" i="4" s="1"/>
  <c r="CI132" i="4" a="1"/>
  <c r="CI132" i="4" s="1"/>
  <c r="DU329" i="2"/>
  <c r="DN329" i="2"/>
  <c r="DP329" i="2" s="1"/>
  <c r="DQ329" i="2" s="1"/>
  <c r="DF329" i="2"/>
  <c r="DV329" i="2"/>
  <c r="DC177" i="2"/>
  <c r="CQ213" i="2"/>
  <c r="DE213" i="2" s="1"/>
  <c r="BT213" i="2"/>
  <c r="BU213" i="2" s="1"/>
  <c r="BT110" i="2"/>
  <c r="BU110" i="2" s="1"/>
  <c r="CN110" i="2"/>
  <c r="CO110" i="2"/>
  <c r="EW110" i="2"/>
  <c r="EX110" i="2" s="1"/>
  <c r="ED192" i="2"/>
  <c r="DX192" i="2"/>
  <c r="DZ192" i="2" s="1"/>
  <c r="EA192" i="2" s="1"/>
  <c r="EB62" i="2"/>
  <c r="EC62" i="2"/>
  <c r="EE62" i="2"/>
  <c r="DE86" i="2"/>
  <c r="DD86" i="2"/>
  <c r="BT292" i="2"/>
  <c r="BU292" i="2" s="1"/>
  <c r="CQ292" i="2"/>
  <c r="DD18" i="2"/>
  <c r="CI23" i="4" a="1"/>
  <c r="CI23" i="4" s="1"/>
  <c r="BG28" i="4" a="1"/>
  <c r="BG28" i="4" s="1"/>
  <c r="L132" i="4" a="1"/>
  <c r="L132" i="4" s="1"/>
  <c r="EB220" i="2"/>
  <c r="EE220" i="2"/>
  <c r="EC220" i="2"/>
  <c r="BT264" i="2"/>
  <c r="BU264" i="2" s="1"/>
  <c r="CQ264" i="2"/>
  <c r="DE336" i="2"/>
  <c r="DD336" i="2"/>
  <c r="DY295" i="2"/>
  <c r="EG295" i="2"/>
  <c r="DC161" i="2"/>
  <c r="CN251" i="2"/>
  <c r="EW251" i="2"/>
  <c r="EX251" i="2" s="1"/>
  <c r="BT251" i="2"/>
  <c r="BU251" i="2" s="1"/>
  <c r="CN239" i="2"/>
  <c r="EW239" i="2"/>
  <c r="EX239" i="2" s="1"/>
  <c r="BT239" i="2"/>
  <c r="BU239" i="2" s="1"/>
  <c r="CN146" i="2"/>
  <c r="BT146" i="2"/>
  <c r="BU146" i="2" s="1"/>
  <c r="EW146" i="2"/>
  <c r="EX146" i="2" s="1"/>
  <c r="DC197" i="2"/>
  <c r="BZ28" i="4" a="1"/>
  <c r="BZ28" i="4" s="1"/>
  <c r="EI132" i="4" a="1"/>
  <c r="EI132" i="4" s="1"/>
  <c r="CN80" i="2"/>
  <c r="BT80" i="2"/>
  <c r="BU80" i="2" s="1"/>
  <c r="EW80" i="2"/>
  <c r="EX80" i="2" s="1"/>
  <c r="DX72" i="2"/>
  <c r="DZ72" i="2" s="1"/>
  <c r="EA72" i="2" s="1"/>
  <c r="ED72" i="2"/>
  <c r="DD207" i="2"/>
  <c r="EF207" i="2" s="1"/>
  <c r="CN310" i="2"/>
  <c r="BT310" i="2"/>
  <c r="BU310" i="2" s="1"/>
  <c r="EW310" i="2"/>
  <c r="EX310" i="2" s="1"/>
  <c r="DC188" i="2"/>
  <c r="DC44" i="2"/>
  <c r="DT160" i="2"/>
  <c r="DR160" i="2"/>
  <c r="DS160" i="2"/>
  <c r="DY335" i="2"/>
  <c r="EG335" i="2"/>
  <c r="CN286" i="2"/>
  <c r="EW286" i="2"/>
  <c r="EX286" i="2" s="1"/>
  <c r="BT286" i="2"/>
  <c r="BU286" i="2" s="1"/>
  <c r="EJ23" i="4" a="1"/>
  <c r="EJ23" i="4" s="1"/>
  <c r="CB56" i="4" a="1"/>
  <c r="CB56" i="4" s="1"/>
  <c r="L43" i="4" a="1"/>
  <c r="L43" i="4" s="1"/>
  <c r="BW43" i="4" a="1"/>
  <c r="BW43" i="4" s="1"/>
  <c r="EH28" i="4" a="1"/>
  <c r="EH28" i="4" s="1"/>
  <c r="BX132" i="4" a="1"/>
  <c r="BX132" i="4" s="1"/>
  <c r="EB250" i="2"/>
  <c r="EE250" i="2"/>
  <c r="EC250" i="2"/>
  <c r="DE276" i="2"/>
  <c r="DD276" i="2"/>
  <c r="EE303" i="2"/>
  <c r="EC303" i="2"/>
  <c r="EB303" i="2"/>
  <c r="EC283" i="2"/>
  <c r="EB283" i="2"/>
  <c r="EE283" i="2"/>
  <c r="DT208" i="2"/>
  <c r="DR208" i="2"/>
  <c r="DS208" i="2"/>
  <c r="BT188" i="2"/>
  <c r="BU188" i="2" s="1"/>
  <c r="CQ188" i="2"/>
  <c r="DE188" i="2" s="1"/>
  <c r="CQ69" i="2"/>
  <c r="BT69" i="2"/>
  <c r="BU69" i="2" s="1"/>
  <c r="DT62" i="2"/>
  <c r="DR62" i="2"/>
  <c r="DS62" i="2"/>
  <c r="CE34" i="4" a="1"/>
  <c r="CE34" i="4" s="1"/>
  <c r="CF34" i="4" a="1"/>
  <c r="CF34" i="4" s="1"/>
  <c r="BL34" i="4" a="1"/>
  <c r="BL34" i="4" s="1"/>
  <c r="BG34" i="4" a="1"/>
  <c r="BG34" i="4" s="1"/>
  <c r="BX34" i="4" a="1"/>
  <c r="BX34" i="4" s="1"/>
  <c r="L34" i="4" a="1"/>
  <c r="L34" i="4" s="1"/>
  <c r="BN34" i="4" a="1"/>
  <c r="BN34" i="4" s="1"/>
  <c r="BR34" i="4" a="1"/>
  <c r="BR34" i="4" s="1"/>
  <c r="BE34" i="4" a="1"/>
  <c r="BE34" i="4" s="1"/>
  <c r="BY34" i="4" a="1"/>
  <c r="BY34" i="4" s="1"/>
  <c r="H34" i="4" a="1"/>
  <c r="H34" i="4" s="1"/>
  <c r="BO34" i="4" a="1"/>
  <c r="BO34" i="4" s="1"/>
  <c r="CI34" i="4" a="1"/>
  <c r="CI34" i="4" s="1"/>
  <c r="EI34" i="4" a="1"/>
  <c r="EI34" i="4" s="1"/>
  <c r="BQ34" i="4" a="1"/>
  <c r="BQ34" i="4" s="1"/>
  <c r="EJ34" i="4" a="1"/>
  <c r="EJ34" i="4" s="1"/>
  <c r="BC34" i="4" a="1"/>
  <c r="BC34" i="4" s="1"/>
  <c r="E34" i="4" a="1"/>
  <c r="E34" i="4" s="1"/>
  <c r="CH34" i="4" a="1"/>
  <c r="CH34" i="4" s="1"/>
  <c r="BZ34" i="4" a="1"/>
  <c r="BZ34" i="4" s="1"/>
  <c r="CD34" i="4" a="1"/>
  <c r="CD34" i="4" s="1"/>
  <c r="BU34" i="4" a="1"/>
  <c r="BU34" i="4" s="1"/>
  <c r="CB34" i="4" a="1"/>
  <c r="CB34" i="4" s="1"/>
  <c r="BK34" i="4" a="1"/>
  <c r="BK34" i="4" s="1"/>
  <c r="BJ34" i="4" a="1"/>
  <c r="BJ34" i="4" s="1"/>
  <c r="Q34" i="4" s="1"/>
  <c r="CC34" i="4" a="1"/>
  <c r="CC34" i="4" s="1"/>
  <c r="CG34" i="4" a="1"/>
  <c r="CG34" i="4" s="1"/>
  <c r="CA34" i="4" a="1"/>
  <c r="CA34" i="4" s="1"/>
  <c r="BW34" i="4" a="1"/>
  <c r="BW34" i="4" s="1"/>
  <c r="BV34" i="4" a="1"/>
  <c r="BV34" i="4" s="1"/>
  <c r="BM34" i="4" a="1"/>
  <c r="BM34" i="4" s="1"/>
  <c r="D34" i="4" a="1"/>
  <c r="D34" i="4" s="1"/>
  <c r="EH34" i="4" a="1"/>
  <c r="EH34" i="4" s="1"/>
  <c r="CQ161" i="2"/>
  <c r="DE161" i="2" s="1"/>
  <c r="BT161" i="2"/>
  <c r="BU161" i="2" s="1"/>
  <c r="DT99" i="2"/>
  <c r="DR99" i="2"/>
  <c r="DS99" i="2"/>
  <c r="DS260" i="2"/>
  <c r="DT260" i="2"/>
  <c r="DR260" i="2"/>
  <c r="BQ23" i="4" a="1"/>
  <c r="BQ23" i="4" s="1"/>
  <c r="L56" i="4" a="1"/>
  <c r="L56" i="4" s="1"/>
  <c r="BW56" i="4" a="1"/>
  <c r="BW56" i="4" s="1"/>
  <c r="BO28" i="4" a="1"/>
  <c r="BO28" i="4" s="1"/>
  <c r="BL132" i="4" a="1"/>
  <c r="BL132" i="4" s="1"/>
  <c r="CQ130" i="2"/>
  <c r="BT130" i="2"/>
  <c r="BU130" i="2" s="1"/>
  <c r="DE307" i="2"/>
  <c r="DD307" i="2"/>
  <c r="CN54" i="2"/>
  <c r="EW54" i="2"/>
  <c r="EX54" i="2" s="1"/>
  <c r="BT54" i="2"/>
  <c r="BU54" i="2" s="1"/>
  <c r="DR140" i="2"/>
  <c r="DT140" i="2"/>
  <c r="DS140" i="2"/>
  <c r="CQ61" i="2"/>
  <c r="BT61" i="2"/>
  <c r="BU61" i="2" s="1"/>
  <c r="DY308" i="2"/>
  <c r="EG308" i="2"/>
  <c r="DY44" i="2"/>
  <c r="EG44" i="2"/>
  <c r="DE168" i="2"/>
  <c r="DC295" i="2"/>
  <c r="EE265" i="2"/>
  <c r="EC265" i="2"/>
  <c r="EB265" i="2"/>
  <c r="CQ197" i="2"/>
  <c r="BT197" i="2"/>
  <c r="BU197" i="2" s="1"/>
  <c r="DY261" i="2"/>
  <c r="EG261" i="2"/>
  <c r="D132" i="4" a="1"/>
  <c r="D132" i="4" s="1"/>
  <c r="DX332" i="2"/>
  <c r="DZ332" i="2" s="1"/>
  <c r="EA332" i="2" s="1"/>
  <c r="ED332" i="2"/>
  <c r="DV322" i="2"/>
  <c r="DU322" i="2"/>
  <c r="DN322" i="2"/>
  <c r="DP322" i="2" s="1"/>
  <c r="DQ322" i="2" s="1"/>
  <c r="EF322" i="2"/>
  <c r="DF322" i="2"/>
  <c r="CN74" i="2"/>
  <c r="BT74" i="2"/>
  <c r="BU74" i="2" s="1"/>
  <c r="DC213" i="2"/>
  <c r="CQ42" i="2"/>
  <c r="BT42" i="2"/>
  <c r="BU42" i="2" s="1"/>
  <c r="DY171" i="2"/>
  <c r="EG171" i="2"/>
  <c r="BT237" i="2"/>
  <c r="BU237" i="2" s="1"/>
  <c r="CN237" i="2"/>
  <c r="EW237" i="2"/>
  <c r="EX237" i="2" s="1"/>
  <c r="DE200" i="2"/>
  <c r="DD200" i="2"/>
  <c r="DF200" i="2" s="1"/>
  <c r="DY8" i="2"/>
  <c r="EG8" i="2"/>
  <c r="BL23" i="4" a="1"/>
  <c r="BL23" i="4" s="1"/>
  <c r="CD22" i="4" a="1"/>
  <c r="CD22" i="4" s="1"/>
  <c r="BL56" i="4" a="1"/>
  <c r="BL56" i="4" s="1"/>
  <c r="CF43" i="4" a="1"/>
  <c r="CF43" i="4" s="1"/>
  <c r="BY28" i="4" a="1"/>
  <c r="BY28" i="4" s="1"/>
  <c r="L28" i="4" a="1"/>
  <c r="L28" i="4" s="1"/>
  <c r="CC132" i="4" a="1"/>
  <c r="CC132" i="4" s="1"/>
  <c r="ED322" i="2"/>
  <c r="DX322" i="2"/>
  <c r="DZ322" i="2" s="1"/>
  <c r="EA322" i="2" s="1"/>
  <c r="EB159" i="2"/>
  <c r="EE159" i="2"/>
  <c r="EC159" i="2"/>
  <c r="DY234" i="2"/>
  <c r="EG234" i="2"/>
  <c r="DD3" i="2"/>
  <c r="DE3" i="2"/>
  <c r="CQ44" i="2"/>
  <c r="BT44" i="2"/>
  <c r="BU44" i="2" s="1"/>
  <c r="BT200" i="2"/>
  <c r="BU200" i="2" s="1"/>
  <c r="CN294" i="2"/>
  <c r="BT294" i="2"/>
  <c r="BU294" i="2" s="1"/>
  <c r="EW294" i="2"/>
  <c r="EX294" i="2" s="1"/>
  <c r="DY301" i="2"/>
  <c r="EG301" i="2"/>
  <c r="DV326" i="2"/>
  <c r="DU326" i="2"/>
  <c r="DN326" i="2"/>
  <c r="DP326" i="2" s="1"/>
  <c r="DQ326" i="2" s="1"/>
  <c r="DF326" i="2"/>
  <c r="CA132" i="4" a="1"/>
  <c r="CA132" i="4" s="1"/>
  <c r="DD339" i="2"/>
  <c r="DE339" i="2"/>
  <c r="ED327" i="2"/>
  <c r="DX327" i="2"/>
  <c r="DZ327" i="2" s="1"/>
  <c r="EA327" i="2" s="1"/>
  <c r="DD32" i="2"/>
  <c r="DE32" i="2"/>
  <c r="CN240" i="2"/>
  <c r="EW240" i="2"/>
  <c r="EX240" i="2" s="1"/>
  <c r="BT240" i="2"/>
  <c r="BU240" i="2" s="1"/>
  <c r="CN238" i="2"/>
  <c r="EW238" i="2"/>
  <c r="EX238" i="2" s="1"/>
  <c r="BT238" i="2"/>
  <c r="BU238" i="2" s="1"/>
  <c r="DY259" i="2"/>
  <c r="EG259" i="2"/>
  <c r="EC45" i="2"/>
  <c r="EE45" i="2"/>
  <c r="EB45" i="2"/>
  <c r="DE106" i="2"/>
  <c r="DD106" i="2"/>
  <c r="EF106" i="2" s="1"/>
  <c r="EB99" i="2"/>
  <c r="EE99" i="2"/>
  <c r="EC99" i="2"/>
  <c r="DX326" i="2"/>
  <c r="DZ326" i="2" s="1"/>
  <c r="EA326" i="2" s="1"/>
  <c r="ED326" i="2"/>
  <c r="BL28" i="4" a="1"/>
  <c r="BL28" i="4" s="1"/>
  <c r="BY132" i="4" a="1"/>
  <c r="BY132" i="4" s="1"/>
  <c r="DV327" i="2"/>
  <c r="DU327" i="2"/>
  <c r="DF327" i="2"/>
  <c r="DN327" i="2"/>
  <c r="DP327" i="2" s="1"/>
  <c r="DQ327" i="2" s="1"/>
  <c r="DY213" i="2"/>
  <c r="EG213" i="2"/>
  <c r="DZ330" i="2"/>
  <c r="EA330" i="2" s="1"/>
  <c r="DT253" i="2"/>
  <c r="DS253" i="2"/>
  <c r="DR253" i="2"/>
  <c r="CN27" i="2"/>
  <c r="EW27" i="2"/>
  <c r="EX27" i="2" s="1"/>
  <c r="DD67" i="2"/>
  <c r="CQ36" i="2"/>
  <c r="DE36" i="2" s="1"/>
  <c r="BT36" i="2"/>
  <c r="BU36" i="2" s="1"/>
  <c r="BT324" i="2"/>
  <c r="BU324" i="2" s="1"/>
  <c r="CQ324" i="2"/>
  <c r="DS22" i="2"/>
  <c r="DR22" i="2"/>
  <c r="DT22" i="2"/>
  <c r="CE28" i="4" a="1"/>
  <c r="CE28" i="4" s="1"/>
  <c r="BW132" i="4" a="1"/>
  <c r="BW132" i="4" s="1"/>
  <c r="DC88" i="2"/>
  <c r="DE193" i="2"/>
  <c r="DD193" i="2"/>
  <c r="EE242" i="2"/>
  <c r="EB242" i="2"/>
  <c r="EC242" i="2"/>
  <c r="DE163" i="2"/>
  <c r="DD163" i="2"/>
  <c r="EE79" i="2"/>
  <c r="EB79" i="2"/>
  <c r="EC79" i="2"/>
  <c r="DR164" i="2"/>
  <c r="DT164" i="2"/>
  <c r="DS164" i="2"/>
  <c r="CQ35" i="2"/>
  <c r="BT35" i="2"/>
  <c r="EC25" i="2"/>
  <c r="EE25" i="2"/>
  <c r="EB25" i="2"/>
  <c r="DT125" i="2"/>
  <c r="DR125" i="2"/>
  <c r="DS125" i="2"/>
  <c r="DC324" i="2"/>
  <c r="DS219" i="2"/>
  <c r="DR219" i="2"/>
  <c r="DT219" i="2"/>
  <c r="CN254" i="2"/>
  <c r="EW254" i="2"/>
  <c r="EX254" i="2" s="1"/>
  <c r="BT254" i="2"/>
  <c r="BU254" i="2" s="1"/>
  <c r="DY199" i="2"/>
  <c r="EG199" i="2"/>
  <c r="BT261" i="2"/>
  <c r="BU261" i="2" s="1"/>
  <c r="CQ261" i="2"/>
  <c r="DS218" i="2"/>
  <c r="DR218" i="2"/>
  <c r="DT218" i="2"/>
  <c r="BJ23" i="4" a="1"/>
  <c r="BJ23" i="4" s="1"/>
  <c r="CI56" i="4" a="1"/>
  <c r="CI56" i="4" s="1"/>
  <c r="EH43" i="4" a="1"/>
  <c r="EH43" i="4" s="1"/>
  <c r="H28" i="4" a="1"/>
  <c r="H28" i="4" s="1"/>
  <c r="BN132" i="4" a="1"/>
  <c r="BN132" i="4" s="1"/>
  <c r="EG130" i="2"/>
  <c r="DY130" i="2"/>
  <c r="DU157" i="2"/>
  <c r="DN157" i="2"/>
  <c r="DP157" i="2" s="1"/>
  <c r="DQ157" i="2" s="1"/>
  <c r="DF157" i="2"/>
  <c r="DV157" i="2"/>
  <c r="EF157" i="2"/>
  <c r="CN68" i="2"/>
  <c r="BT68" i="2"/>
  <c r="EG21" i="2"/>
  <c r="DY21" i="2"/>
  <c r="DY264" i="2"/>
  <c r="EG264" i="2"/>
  <c r="EC253" i="2"/>
  <c r="EE253" i="2"/>
  <c r="EB253" i="2"/>
  <c r="ED19" i="2"/>
  <c r="DX19" i="2"/>
  <c r="DZ19" i="2" s="1"/>
  <c r="EA19" i="2" s="1"/>
  <c r="DE279" i="2"/>
  <c r="DD279" i="2"/>
  <c r="DV129" i="2"/>
  <c r="DU129" i="2"/>
  <c r="DF129" i="2"/>
  <c r="EF129" i="2"/>
  <c r="DN129" i="2"/>
  <c r="DP129" i="2" s="1"/>
  <c r="DQ129" i="2" s="1"/>
  <c r="DS258" i="2"/>
  <c r="DR258" i="2"/>
  <c r="DT258" i="2"/>
  <c r="BK28" i="4" a="1"/>
  <c r="BK28" i="4" s="1"/>
  <c r="CG132" i="4" a="1"/>
  <c r="CG132" i="4" s="1"/>
  <c r="CQ88" i="2"/>
  <c r="DE88" i="2" s="1"/>
  <c r="BT88" i="2"/>
  <c r="BU88" i="2" s="1"/>
  <c r="DX157" i="2"/>
  <c r="DZ157" i="2" s="1"/>
  <c r="EA157" i="2" s="1"/>
  <c r="ED157" i="2"/>
  <c r="DX218" i="2"/>
  <c r="DZ218" i="2" s="1"/>
  <c r="EA218" i="2" s="1"/>
  <c r="ED218" i="2"/>
  <c r="DE16" i="2"/>
  <c r="DD16" i="2"/>
  <c r="DR151" i="2"/>
  <c r="DT151" i="2"/>
  <c r="DS151" i="2"/>
  <c r="DC200" i="2"/>
  <c r="DV200" i="2"/>
  <c r="CQ29" i="2"/>
  <c r="BT29" i="2"/>
  <c r="BU29" i="2" s="1"/>
  <c r="DC69" i="2"/>
  <c r="DT220" i="2"/>
  <c r="DS220" i="2"/>
  <c r="DR220" i="2"/>
  <c r="DF19" i="2"/>
  <c r="DV19" i="2"/>
  <c r="DN19" i="2"/>
  <c r="DP19" i="2" s="1"/>
  <c r="DQ19" i="2" s="1"/>
  <c r="DU19" i="2"/>
  <c r="EF19" i="2"/>
  <c r="DS209" i="2"/>
  <c r="DT209" i="2"/>
  <c r="DR209" i="2"/>
  <c r="EF327" i="2"/>
  <c r="EG120" i="2"/>
  <c r="DX129" i="2"/>
  <c r="DZ129" i="2" s="1"/>
  <c r="EA129" i="2" s="1"/>
  <c r="ED129" i="2"/>
  <c r="CQ8" i="2"/>
  <c r="BT8" i="2"/>
  <c r="BV23" i="4" a="1"/>
  <c r="BV23" i="4" s="1"/>
  <c r="E56" i="4" a="1"/>
  <c r="E56" i="4" s="1"/>
  <c r="BM43" i="4" a="1"/>
  <c r="BM43" i="4" s="1"/>
  <c r="CF28" i="4" a="1"/>
  <c r="CF28" i="4" s="1"/>
  <c r="BU132" i="4" a="1"/>
  <c r="BU132" i="4" s="1"/>
  <c r="EC87" i="2"/>
  <c r="EE87" i="2"/>
  <c r="EB87" i="2"/>
  <c r="EG311" i="2"/>
  <c r="DY311" i="2"/>
  <c r="CN93" i="2"/>
  <c r="BT93" i="2"/>
  <c r="BU93" i="2" s="1"/>
  <c r="EW93" i="2"/>
  <c r="EX93" i="2" s="1"/>
  <c r="DU91" i="2"/>
  <c r="DF91" i="2"/>
  <c r="DN91" i="2"/>
  <c r="DP91" i="2" s="1"/>
  <c r="DQ91" i="2" s="1"/>
  <c r="DV91" i="2"/>
  <c r="DT332" i="2"/>
  <c r="DR332" i="2"/>
  <c r="DS332" i="2"/>
  <c r="DC335" i="2"/>
  <c r="EC91" i="2"/>
  <c r="EB91" i="2"/>
  <c r="EE91" i="2"/>
  <c r="BM28" i="4" a="1"/>
  <c r="BM28" i="4" s="1"/>
  <c r="E132" i="4" a="1"/>
  <c r="E132" i="4" s="1"/>
  <c r="DS298" i="2"/>
  <c r="DT298" i="2"/>
  <c r="DR298" i="2"/>
  <c r="DS299" i="2"/>
  <c r="DR299" i="2"/>
  <c r="DT299" i="2"/>
  <c r="DE235" i="2"/>
  <c r="DD235" i="2"/>
  <c r="DT303" i="2"/>
  <c r="DR303" i="2"/>
  <c r="DS303" i="2"/>
  <c r="EC160" i="2"/>
  <c r="EE160" i="2"/>
  <c r="EB160" i="2"/>
  <c r="EC209" i="2"/>
  <c r="EE209" i="2"/>
  <c r="EB209" i="2"/>
  <c r="BT171" i="2"/>
  <c r="CQ171" i="2"/>
  <c r="DC224" i="2"/>
  <c r="EF333" i="2"/>
  <c r="DU333" i="2"/>
  <c r="DF333" i="2"/>
  <c r="DN333" i="2"/>
  <c r="DP333" i="2" s="1"/>
  <c r="DQ333" i="2" s="1"/>
  <c r="DV333" i="2"/>
  <c r="DC8" i="2"/>
  <c r="CC28" i="4" a="1"/>
  <c r="CC28" i="4" s="1"/>
  <c r="BC132" i="4" a="1"/>
  <c r="BC132" i="4" s="1"/>
  <c r="DE5" i="2"/>
  <c r="DD5" i="2"/>
  <c r="EF5" i="2" s="1"/>
  <c r="DN230" i="2"/>
  <c r="DP230" i="2" s="1"/>
  <c r="DQ230" i="2" s="1"/>
  <c r="DU230" i="2"/>
  <c r="EF230" i="2"/>
  <c r="DF230" i="2"/>
  <c r="DV230" i="2"/>
  <c r="DE33" i="2"/>
  <c r="ED214" i="2"/>
  <c r="DX214" i="2"/>
  <c r="DZ214" i="2" s="1"/>
  <c r="EA214" i="2" s="1"/>
  <c r="DU142" i="2"/>
  <c r="DN142" i="2"/>
  <c r="DP142" i="2" s="1"/>
  <c r="DQ142" i="2" s="1"/>
  <c r="DF142" i="2"/>
  <c r="DV142" i="2"/>
  <c r="BT335" i="2"/>
  <c r="BU335" i="2" s="1"/>
  <c r="CQ335" i="2"/>
  <c r="ED333" i="2"/>
  <c r="DX333" i="2"/>
  <c r="DZ333" i="2" s="1"/>
  <c r="EA333" i="2" s="1"/>
  <c r="EI56" i="4" a="1"/>
  <c r="EI56" i="4" s="1"/>
  <c r="BE43" i="4" a="1"/>
  <c r="BE43" i="4" s="1"/>
  <c r="BJ28" i="4" a="1"/>
  <c r="BJ28" i="4" s="1"/>
  <c r="CH132" i="4" a="1"/>
  <c r="CH132" i="4" s="1"/>
  <c r="DR184" i="2"/>
  <c r="DT184" i="2"/>
  <c r="DS184" i="2"/>
  <c r="DY177" i="2"/>
  <c r="EG177" i="2"/>
  <c r="DS137" i="2"/>
  <c r="DT137" i="2"/>
  <c r="DR137" i="2"/>
  <c r="DC311" i="2"/>
  <c r="EW74" i="2"/>
  <c r="EX74" i="2" s="1"/>
  <c r="ED230" i="2"/>
  <c r="DX230" i="2"/>
  <c r="DZ230" i="2" s="1"/>
  <c r="EA230" i="2" s="1"/>
  <c r="DY69" i="2"/>
  <c r="EG69" i="2"/>
  <c r="CQ234" i="2"/>
  <c r="BT234" i="2"/>
  <c r="BU234" i="2" s="1"/>
  <c r="EH19" i="4" a="1"/>
  <c r="EH19" i="4" s="1"/>
  <c r="BJ19" i="4" a="1"/>
  <c r="BJ19" i="4" s="1"/>
  <c r="BR19" i="4" a="1"/>
  <c r="BR19" i="4" s="1"/>
  <c r="BE19" i="4" a="1"/>
  <c r="BE19" i="4" s="1"/>
  <c r="AB19" i="4" s="1"/>
  <c r="BY19" i="4" a="1"/>
  <c r="BY19" i="4" s="1"/>
  <c r="CH19" i="4" a="1"/>
  <c r="CH19" i="4" s="1"/>
  <c r="CA19" i="4" a="1"/>
  <c r="CA19" i="4" s="1"/>
  <c r="BU19" i="4" a="1"/>
  <c r="BU19" i="4" s="1"/>
  <c r="CF19" i="4" a="1"/>
  <c r="CF19" i="4" s="1"/>
  <c r="BK19" i="4" a="1"/>
  <c r="BK19" i="4" s="1"/>
  <c r="BX19" i="4" a="1"/>
  <c r="BX19" i="4" s="1"/>
  <c r="EI19" i="4" a="1"/>
  <c r="EI19" i="4" s="1"/>
  <c r="BL19" i="4" a="1"/>
  <c r="BL19" i="4" s="1"/>
  <c r="BN19" i="4" a="1"/>
  <c r="BN19" i="4" s="1"/>
  <c r="EJ19" i="4" a="1"/>
  <c r="EJ19" i="4" s="1"/>
  <c r="CI19" i="4" a="1"/>
  <c r="CI19" i="4" s="1"/>
  <c r="BQ19" i="4" a="1"/>
  <c r="BQ19" i="4" s="1"/>
  <c r="BC19" i="4" a="1"/>
  <c r="BC19" i="4" s="1"/>
  <c r="L19" i="4" a="1"/>
  <c r="L19" i="4" s="1"/>
  <c r="BZ19" i="4" a="1"/>
  <c r="BZ19" i="4" s="1"/>
  <c r="BV19" i="4" a="1"/>
  <c r="BV19" i="4" s="1"/>
  <c r="BG19" i="4" a="1"/>
  <c r="BG19" i="4" s="1"/>
  <c r="D19" i="4" a="1"/>
  <c r="D19" i="4" s="1"/>
  <c r="BM19" i="4" a="1"/>
  <c r="BM19" i="4" s="1"/>
  <c r="BO19" i="4" a="1"/>
  <c r="BO19" i="4" s="1"/>
  <c r="BW19" i="4" a="1"/>
  <c r="BW19" i="4" s="1"/>
  <c r="H19" i="4" a="1"/>
  <c r="H19" i="4" s="1"/>
  <c r="BD19" i="4" a="1"/>
  <c r="BD19" i="4" s="1"/>
  <c r="CC19" i="4" a="1"/>
  <c r="CC19" i="4" s="1"/>
  <c r="CD19" i="4" a="1"/>
  <c r="CD19" i="4" s="1"/>
  <c r="CB19" i="4" a="1"/>
  <c r="CB19" i="4" s="1"/>
  <c r="CE19" i="4" a="1"/>
  <c r="CE19" i="4" s="1"/>
  <c r="CG19" i="4" a="1"/>
  <c r="CG19" i="4" s="1"/>
  <c r="E19" i="4" a="1"/>
  <c r="E19" i="4" s="1"/>
  <c r="DN214" i="2"/>
  <c r="DP214" i="2" s="1"/>
  <c r="DQ214" i="2" s="1"/>
  <c r="EF214" i="2"/>
  <c r="DU214" i="2"/>
  <c r="DF214" i="2"/>
  <c r="DV214" i="2"/>
  <c r="EG221" i="2"/>
  <c r="DY221" i="2"/>
  <c r="DC171" i="2"/>
  <c r="DX142" i="2"/>
  <c r="DZ142" i="2" s="1"/>
  <c r="EA142" i="2" s="1"/>
  <c r="ED142" i="2"/>
  <c r="DR31" i="2"/>
  <c r="DS31" i="2"/>
  <c r="DT31" i="2"/>
  <c r="DT70" i="2"/>
  <c r="DR70" i="2"/>
  <c r="DS70" i="2"/>
  <c r="CG23" i="4" a="1"/>
  <c r="CG23" i="4" s="1"/>
  <c r="BN23" i="4" a="1"/>
  <c r="BN23" i="4" s="1"/>
  <c r="CI54" i="4" a="1"/>
  <c r="CI54" i="4" s="1"/>
  <c r="H22" i="4" a="1"/>
  <c r="H22" i="4" s="1"/>
  <c r="EK22" i="4" s="1"/>
  <c r="BR56" i="4" a="1"/>
  <c r="BR56" i="4" s="1"/>
  <c r="EH27" i="4" a="1"/>
  <c r="EH27" i="4" s="1"/>
  <c r="D69" i="4" a="1"/>
  <c r="D69" i="4" s="1"/>
  <c r="BL66" i="4" a="1"/>
  <c r="BL66" i="4" s="1"/>
  <c r="BR43" i="4" a="1"/>
  <c r="BR43" i="4" s="1"/>
  <c r="D28" i="4" a="1"/>
  <c r="D28" i="4" s="1"/>
  <c r="BQ132" i="4" a="1"/>
  <c r="BQ132" i="4" s="1"/>
  <c r="BY85" i="4" a="1"/>
  <c r="BY85" i="4" s="1"/>
  <c r="DR38" i="2"/>
  <c r="DS38" i="2"/>
  <c r="DT38" i="2"/>
  <c r="DF330" i="2"/>
  <c r="DN330" i="2"/>
  <c r="DP330" i="2" s="1"/>
  <c r="DQ330" i="2" s="1"/>
  <c r="DU330" i="2"/>
  <c r="DV330" i="2"/>
  <c r="EE298" i="2"/>
  <c r="EC298" i="2"/>
  <c r="EB298" i="2"/>
  <c r="DD145" i="2"/>
  <c r="CN228" i="2"/>
  <c r="EW228" i="2"/>
  <c r="EX228" i="2" s="1"/>
  <c r="BT228" i="2"/>
  <c r="BU228" i="2" s="1"/>
  <c r="CN284" i="2"/>
  <c r="EW284" i="2"/>
  <c r="EX284" i="2" s="1"/>
  <c r="BT284" i="2"/>
  <c r="BU284" i="2" s="1"/>
  <c r="DD342" i="2"/>
  <c r="DE342" i="2"/>
  <c r="DV58" i="2"/>
  <c r="EF58" i="2"/>
  <c r="DN58" i="2"/>
  <c r="DP58" i="2" s="1"/>
  <c r="DQ58" i="2" s="1"/>
  <c r="DF58" i="2"/>
  <c r="DU58" i="2"/>
  <c r="CN71" i="2"/>
  <c r="EW71" i="2"/>
  <c r="EX71" i="2" s="1"/>
  <c r="CN76" i="2"/>
  <c r="EW76" i="2"/>
  <c r="EX76" i="2" s="1"/>
  <c r="BT76" i="2"/>
  <c r="BU76" i="2" s="1"/>
  <c r="DC120" i="2"/>
  <c r="DX167" i="2"/>
  <c r="DZ167" i="2" s="1"/>
  <c r="EA167" i="2" s="1"/>
  <c r="ED167" i="2"/>
  <c r="CN337" i="2"/>
  <c r="BT337" i="2"/>
  <c r="BU337" i="2" s="1"/>
  <c r="EW337" i="2"/>
  <c r="EX337" i="2" s="1"/>
  <c r="DZ329" i="2"/>
  <c r="EA329" i="2" s="1"/>
  <c r="EH23" i="4" a="1"/>
  <c r="EH23" i="4" s="1"/>
  <c r="H54" i="4" a="1"/>
  <c r="H54" i="4" s="1"/>
  <c r="CI22" i="4" a="1"/>
  <c r="CI22" i="4" s="1"/>
  <c r="CC56" i="4" a="1"/>
  <c r="CC56" i="4" s="1"/>
  <c r="CD27" i="4" a="1"/>
  <c r="CD27" i="4" s="1"/>
  <c r="CF69" i="4" a="1"/>
  <c r="CF69" i="4" s="1"/>
  <c r="CD43" i="4" a="1"/>
  <c r="CD43" i="4" s="1"/>
  <c r="BC28" i="4" a="1"/>
  <c r="BC28" i="4" s="1"/>
  <c r="BE132" i="4" a="1"/>
  <c r="BE132" i="4" s="1"/>
  <c r="AB132" i="4" s="1"/>
  <c r="CC85" i="4" a="1"/>
  <c r="CC85" i="4" s="1"/>
  <c r="ED263" i="2"/>
  <c r="DX263" i="2"/>
  <c r="DZ263" i="2" s="1"/>
  <c r="EA263" i="2" s="1"/>
  <c r="DX70" i="2"/>
  <c r="DZ70" i="2" s="1"/>
  <c r="EA70" i="2" s="1"/>
  <c r="ED70" i="2"/>
  <c r="CQ259" i="2"/>
  <c r="DD259" i="2" s="1"/>
  <c r="DV259" i="2" s="1"/>
  <c r="BT259" i="2"/>
  <c r="BU259" i="2" s="1"/>
  <c r="BT27" i="2"/>
  <c r="BU27" i="2" s="1"/>
  <c r="EG35" i="2"/>
  <c r="DY35" i="2"/>
  <c r="DX58" i="2"/>
  <c r="DZ58" i="2" s="1"/>
  <c r="EA58" i="2" s="1"/>
  <c r="ED58" i="2"/>
  <c r="DC308" i="2"/>
  <c r="DD194" i="2"/>
  <c r="DE194" i="2"/>
  <c r="DV167" i="2"/>
  <c r="DN167" i="2"/>
  <c r="DP167" i="2" s="1"/>
  <c r="DQ167" i="2" s="1"/>
  <c r="DU167" i="2"/>
  <c r="DF167" i="2"/>
  <c r="EF167" i="2"/>
  <c r="CQ136" i="2"/>
  <c r="BT136" i="2"/>
  <c r="BU136" i="2" s="1"/>
  <c r="DD120" i="2"/>
  <c r="E28" i="4" a="1"/>
  <c r="E28" i="4" s="1"/>
  <c r="H132" i="4" a="1"/>
  <c r="H132" i="4" s="1"/>
  <c r="DF263" i="2"/>
  <c r="DN263" i="2"/>
  <c r="DP263" i="2" s="1"/>
  <c r="DQ263" i="2" s="1"/>
  <c r="DU263" i="2"/>
  <c r="DV263" i="2"/>
  <c r="EC184" i="2"/>
  <c r="EB184" i="2"/>
  <c r="EE184" i="2"/>
  <c r="EB137" i="2"/>
  <c r="EE137" i="2"/>
  <c r="EC137" i="2"/>
  <c r="DU172" i="2"/>
  <c r="DV172" i="2"/>
  <c r="DF172" i="2"/>
  <c r="DN172" i="2"/>
  <c r="DP172" i="2" s="1"/>
  <c r="DQ172" i="2" s="1"/>
  <c r="EF172" i="2"/>
  <c r="DD64" i="2"/>
  <c r="DE64" i="2"/>
  <c r="DE225" i="2"/>
  <c r="EE331" i="2"/>
  <c r="EB331" i="2"/>
  <c r="EC331" i="2"/>
  <c r="DC234" i="2"/>
  <c r="DC35" i="2"/>
  <c r="CQ308" i="2"/>
  <c r="BT308" i="2"/>
  <c r="BU308" i="2" s="1"/>
  <c r="DV144" i="2"/>
  <c r="EG224" i="2"/>
  <c r="DY224" i="2"/>
  <c r="DY136" i="2"/>
  <c r="EG136" i="2"/>
  <c r="ED323" i="2"/>
  <c r="DX323" i="2"/>
  <c r="DZ323" i="2" s="1"/>
  <c r="EA323" i="2" s="1"/>
  <c r="CN300" i="2"/>
  <c r="BT300" i="2"/>
  <c r="BU300" i="2" s="1"/>
  <c r="EW300" i="2"/>
  <c r="EX300" i="2" s="1"/>
  <c r="EB246" i="2"/>
  <c r="EC246" i="2"/>
  <c r="EE246" i="2"/>
  <c r="EG210" i="2"/>
  <c r="DY210" i="2"/>
  <c r="BV22" i="4" a="1"/>
  <c r="BV22" i="4" s="1"/>
  <c r="BK56" i="4" a="1"/>
  <c r="BK56" i="4" s="1"/>
  <c r="BG27" i="4" a="1"/>
  <c r="BG27" i="4" s="1"/>
  <c r="L69" i="4" a="1"/>
  <c r="L69" i="4" s="1"/>
  <c r="BQ43" i="4" a="1"/>
  <c r="BQ43" i="4" s="1"/>
  <c r="CB28" i="4" a="1"/>
  <c r="CB28" i="4" s="1"/>
  <c r="EH132" i="4" a="1"/>
  <c r="EH132" i="4" s="1"/>
  <c r="BQ85" i="4" a="1"/>
  <c r="BQ85" i="4" s="1"/>
  <c r="CN187" i="2"/>
  <c r="BT187" i="2"/>
  <c r="BU187" i="2" s="1"/>
  <c r="EW187" i="2"/>
  <c r="EX187" i="2" s="1"/>
  <c r="EG183" i="2"/>
  <c r="DY183" i="2"/>
  <c r="DE257" i="2"/>
  <c r="DD257" i="2"/>
  <c r="DS250" i="2"/>
  <c r="DR250" i="2"/>
  <c r="DT250" i="2"/>
  <c r="EW107" i="2"/>
  <c r="EX107" i="2" s="1"/>
  <c r="CN107" i="2"/>
  <c r="BT107" i="2"/>
  <c r="BU107" i="2" s="1"/>
  <c r="EW35" i="2"/>
  <c r="EX35" i="2" s="1"/>
  <c r="CN35" i="2"/>
  <c r="EG104" i="2"/>
  <c r="DY104" i="2"/>
  <c r="DY270" i="2"/>
  <c r="EG270" i="2"/>
  <c r="BT311" i="2"/>
  <c r="BU311" i="2" s="1"/>
  <c r="CQ311" i="2"/>
  <c r="DD42" i="2"/>
  <c r="DE42" i="2"/>
  <c r="CN170" i="2"/>
  <c r="EW170" i="2"/>
  <c r="EX170" i="2" s="1"/>
  <c r="BT170" i="2"/>
  <c r="BU170" i="2" s="1"/>
  <c r="DF144" i="2"/>
  <c r="DT41" i="2"/>
  <c r="DR41" i="2"/>
  <c r="DS41" i="2"/>
  <c r="CQ199" i="2"/>
  <c r="DE199" i="2" s="1"/>
  <c r="BT199" i="2"/>
  <c r="BU199" i="2" s="1"/>
  <c r="DR246" i="2"/>
  <c r="DS246" i="2"/>
  <c r="DT246" i="2"/>
  <c r="CN338" i="2"/>
  <c r="BT338" i="2"/>
  <c r="BU338" i="2" s="1"/>
  <c r="EW338" i="2"/>
  <c r="EX338" i="2" s="1"/>
  <c r="DE172" i="2"/>
  <c r="CG27" i="4" a="1"/>
  <c r="CG27" i="4" s="1"/>
  <c r="EG324" i="2"/>
  <c r="DY324" i="2"/>
  <c r="CQ63" i="2"/>
  <c r="BT63" i="2"/>
  <c r="BD34" i="4" s="1" a="1"/>
  <c r="BD34" i="4" s="1"/>
  <c r="EE249" i="2"/>
  <c r="EC249" i="2"/>
  <c r="EB249" i="2"/>
  <c r="DE317" i="2"/>
  <c r="DD317" i="2"/>
  <c r="EB208" i="2"/>
  <c r="EE208" i="2"/>
  <c r="EC208" i="2"/>
  <c r="CQ21" i="2"/>
  <c r="BT21" i="2"/>
  <c r="BU21" i="2" s="1"/>
  <c r="EB164" i="2"/>
  <c r="EE164" i="2"/>
  <c r="EC164" i="2"/>
  <c r="DS271" i="2"/>
  <c r="DT271" i="2"/>
  <c r="DR271" i="2"/>
  <c r="BT40" i="2"/>
  <c r="BU40" i="2" s="1"/>
  <c r="CQ40" i="2"/>
  <c r="DS154" i="2"/>
  <c r="DT154" i="2"/>
  <c r="DR154" i="2"/>
  <c r="DD185" i="2"/>
  <c r="DE185" i="2"/>
  <c r="DO66" i="4" a="1"/>
  <c r="DO66" i="4" s="1"/>
  <c r="DW66" i="4" a="1"/>
  <c r="DW66" i="4" s="1"/>
  <c r="DK66" i="4" a="1"/>
  <c r="DK66" i="4" s="1"/>
  <c r="DX66" i="4" a="1"/>
  <c r="DX66" i="4" s="1"/>
  <c r="DJ66" i="4" a="1"/>
  <c r="DJ66" i="4" s="1"/>
  <c r="DQ66" i="4" a="1"/>
  <c r="DQ66" i="4" s="1"/>
  <c r="DL66" i="4" a="1"/>
  <c r="DL66" i="4" s="1"/>
  <c r="DR66" i="4" a="1"/>
  <c r="DR66" i="4" s="1"/>
  <c r="DY66" i="4" a="1"/>
  <c r="DY66" i="4" s="1"/>
  <c r="DM66" i="4" a="1"/>
  <c r="DM66" i="4" s="1"/>
  <c r="EC66" i="4" a="1"/>
  <c r="EC66" i="4" s="1"/>
  <c r="DV66" i="4" a="1"/>
  <c r="DV66" i="4" s="1"/>
  <c r="EF66" i="4" a="1"/>
  <c r="EF66" i="4" s="1"/>
  <c r="DN66" i="4" a="1"/>
  <c r="DN66" i="4" s="1"/>
  <c r="DP66" i="4" a="1"/>
  <c r="DP66" i="4" s="1"/>
  <c r="DI66" i="4" a="1"/>
  <c r="DI66" i="4" s="1"/>
  <c r="DS66" i="4" a="1"/>
  <c r="DS66" i="4" s="1"/>
  <c r="EB66" i="4" a="1"/>
  <c r="EB66" i="4" s="1"/>
  <c r="DT66" i="4" a="1"/>
  <c r="DT66" i="4" s="1"/>
  <c r="EA66" i="4" a="1"/>
  <c r="EA66" i="4" s="1"/>
  <c r="DU66" i="4" a="1"/>
  <c r="DU66" i="4" s="1"/>
  <c r="DZ66" i="4" a="1"/>
  <c r="DZ66" i="4" s="1"/>
  <c r="EE66" i="4" a="1"/>
  <c r="EE66" i="4" s="1"/>
  <c r="ED66" i="4" a="1"/>
  <c r="ED66" i="4" s="1"/>
  <c r="BS25" i="4"/>
  <c r="AD25" i="4"/>
  <c r="AE25" i="4"/>
  <c r="W15" i="4"/>
  <c r="Q15" i="4"/>
  <c r="EK67" i="4"/>
  <c r="CJ67" i="4"/>
  <c r="AN67" i="4"/>
  <c r="EE280" i="2"/>
  <c r="EC280" i="2"/>
  <c r="EB280" i="2"/>
  <c r="BK63" i="4" a="1"/>
  <c r="BK63" i="4" s="1"/>
  <c r="H63" i="4" a="1"/>
  <c r="H63" i="4" s="1"/>
  <c r="L63" i="4" a="1"/>
  <c r="L63" i="4" s="1"/>
  <c r="CG63" i="4" a="1"/>
  <c r="CG63" i="4" s="1"/>
  <c r="BR63" i="4" a="1"/>
  <c r="BR63" i="4" s="1"/>
  <c r="BY63" i="4" a="1"/>
  <c r="BY63" i="4" s="1"/>
  <c r="CA63" i="4" a="1"/>
  <c r="CA63" i="4" s="1"/>
  <c r="BD63" i="4" a="1"/>
  <c r="BD63" i="4" s="1"/>
  <c r="CI63" i="4" a="1"/>
  <c r="CI63" i="4" s="1"/>
  <c r="CC63" i="4" a="1"/>
  <c r="CC63" i="4" s="1"/>
  <c r="BG63" i="4" a="1"/>
  <c r="BG63" i="4" s="1"/>
  <c r="CD63" i="4" a="1"/>
  <c r="CD63" i="4" s="1"/>
  <c r="BO63" i="4" a="1"/>
  <c r="BO63" i="4" s="1"/>
  <c r="BL63" i="4" a="1"/>
  <c r="BL63" i="4" s="1"/>
  <c r="E63" i="4" a="1"/>
  <c r="E63" i="4" s="1"/>
  <c r="BC63" i="4" a="1"/>
  <c r="BC63" i="4" s="1"/>
  <c r="CH63" i="4" a="1"/>
  <c r="CH63" i="4" s="1"/>
  <c r="BZ63" i="4" a="1"/>
  <c r="BZ63" i="4" s="1"/>
  <c r="BX63" i="4" a="1"/>
  <c r="BX63" i="4" s="1"/>
  <c r="BW63" i="4" a="1"/>
  <c r="BW63" i="4" s="1"/>
  <c r="BQ63" i="4" a="1"/>
  <c r="BQ63" i="4" s="1"/>
  <c r="BN63" i="4" a="1"/>
  <c r="BN63" i="4" s="1"/>
  <c r="CB63" i="4" a="1"/>
  <c r="CB63" i="4" s="1"/>
  <c r="BU63" i="4" a="1"/>
  <c r="BU63" i="4" s="1"/>
  <c r="BM63" i="4" a="1"/>
  <c r="BM63" i="4" s="1"/>
  <c r="EI63" i="4" a="1"/>
  <c r="EI63" i="4" s="1"/>
  <c r="EH63" i="4" a="1"/>
  <c r="EH63" i="4" s="1"/>
  <c r="EJ63" i="4" a="1"/>
  <c r="EJ63" i="4" s="1"/>
  <c r="BV63" i="4" a="1"/>
  <c r="BV63" i="4" s="1"/>
  <c r="BE63" i="4" a="1"/>
  <c r="BE63" i="4" s="1"/>
  <c r="AB63" i="4" s="1"/>
  <c r="D63" i="4" a="1"/>
  <c r="D63" i="4" s="1"/>
  <c r="BJ63" i="4" a="1"/>
  <c r="BJ63" i="4" s="1"/>
  <c r="CE63" i="4" a="1"/>
  <c r="CE63" i="4" s="1"/>
  <c r="CF63" i="4" a="1"/>
  <c r="CF63" i="4" s="1"/>
  <c r="DR39" i="2"/>
  <c r="DT39" i="2"/>
  <c r="DS39" i="2"/>
  <c r="AN39" i="4"/>
  <c r="EK39" i="4"/>
  <c r="CJ39" i="4"/>
  <c r="AE15" i="4"/>
  <c r="AD15" i="4"/>
  <c r="BS15" i="4"/>
  <c r="CJ18" i="4"/>
  <c r="EK18" i="4"/>
  <c r="AN18" i="4"/>
  <c r="P67" i="4"/>
  <c r="BH67" i="4"/>
  <c r="AL67" i="4"/>
  <c r="S67" i="4"/>
  <c r="AB67" i="4" s="1"/>
  <c r="CJ11" i="4"/>
  <c r="EK11" i="4"/>
  <c r="AN11" i="4"/>
  <c r="CD124" i="4" a="1"/>
  <c r="CD124" i="4" s="1"/>
  <c r="BJ124" i="4" a="1"/>
  <c r="BJ124" i="4" s="1"/>
  <c r="BL124" i="4" a="1"/>
  <c r="BL124" i="4" s="1"/>
  <c r="CC124" i="4" a="1"/>
  <c r="CC124" i="4" s="1"/>
  <c r="BN124" i="4" a="1"/>
  <c r="BN124" i="4" s="1"/>
  <c r="CG124" i="4" a="1"/>
  <c r="CG124" i="4" s="1"/>
  <c r="BY124" i="4" a="1"/>
  <c r="BY124" i="4" s="1"/>
  <c r="BE124" i="4" a="1"/>
  <c r="BE124" i="4" s="1"/>
  <c r="AB124" i="4" s="1"/>
  <c r="BZ124" i="4" a="1"/>
  <c r="BZ124" i="4" s="1"/>
  <c r="EJ124" i="4" a="1"/>
  <c r="EJ124" i="4" s="1"/>
  <c r="CA124" i="4" a="1"/>
  <c r="CA124" i="4" s="1"/>
  <c r="BM124" i="4" a="1"/>
  <c r="BM124" i="4" s="1"/>
  <c r="CB124" i="4" a="1"/>
  <c r="CB124" i="4" s="1"/>
  <c r="BO124" i="4" a="1"/>
  <c r="BO124" i="4" s="1"/>
  <c r="L124" i="4" a="1"/>
  <c r="L124" i="4" s="1"/>
  <c r="H124" i="4" a="1"/>
  <c r="H124" i="4" s="1"/>
  <c r="EH124" i="4" a="1"/>
  <c r="EH124" i="4" s="1"/>
  <c r="BX124" i="4" a="1"/>
  <c r="BX124" i="4" s="1"/>
  <c r="BR124" i="4" a="1"/>
  <c r="BR124" i="4" s="1"/>
  <c r="BK124" i="4" a="1"/>
  <c r="BK124" i="4" s="1"/>
  <c r="BQ124" i="4" a="1"/>
  <c r="BQ124" i="4" s="1"/>
  <c r="CH124" i="4" a="1"/>
  <c r="CH124" i="4" s="1"/>
  <c r="CI124" i="4" a="1"/>
  <c r="CI124" i="4" s="1"/>
  <c r="D124" i="4" a="1"/>
  <c r="D124" i="4" s="1"/>
  <c r="BW124" i="4" a="1"/>
  <c r="BW124" i="4" s="1"/>
  <c r="BV124" i="4" a="1"/>
  <c r="BV124" i="4" s="1"/>
  <c r="CE124" i="4" a="1"/>
  <c r="CE124" i="4" s="1"/>
  <c r="E124" i="4" a="1"/>
  <c r="E124" i="4" s="1"/>
  <c r="BC124" i="4" a="1"/>
  <c r="BC124" i="4" s="1"/>
  <c r="BU124" i="4" a="1"/>
  <c r="BU124" i="4" s="1"/>
  <c r="BG124" i="4" a="1"/>
  <c r="BG124" i="4" s="1"/>
  <c r="CF124" i="4" a="1"/>
  <c r="CF124" i="4" s="1"/>
  <c r="BD124" i="4" a="1"/>
  <c r="BD124" i="4" s="1"/>
  <c r="EI124" i="4" a="1"/>
  <c r="EI124" i="4" s="1"/>
  <c r="CJ40" i="4"/>
  <c r="EK40" i="4"/>
  <c r="AN40" i="4"/>
  <c r="DN252" i="2"/>
  <c r="DP252" i="2" s="1"/>
  <c r="DQ252" i="2" s="1"/>
  <c r="DU252" i="2"/>
  <c r="EF252" i="2"/>
  <c r="DF252" i="2"/>
  <c r="DV252" i="2"/>
  <c r="DE248" i="2"/>
  <c r="DD248" i="2"/>
  <c r="BQ128" i="4" a="1"/>
  <c r="BQ128" i="4" s="1"/>
  <c r="CB128" i="4" a="1"/>
  <c r="CB128" i="4" s="1"/>
  <c r="CC128" i="4" a="1"/>
  <c r="CC128" i="4" s="1"/>
  <c r="E128" i="4" a="1"/>
  <c r="E128" i="4" s="1"/>
  <c r="BR128" i="4" a="1"/>
  <c r="BR128" i="4" s="1"/>
  <c r="CD128" i="4" a="1"/>
  <c r="CD128" i="4" s="1"/>
  <c r="BX128" i="4" a="1"/>
  <c r="BX128" i="4" s="1"/>
  <c r="BK128" i="4" a="1"/>
  <c r="BK128" i="4" s="1"/>
  <c r="BN128" i="4" a="1"/>
  <c r="BN128" i="4" s="1"/>
  <c r="BD128" i="4" a="1"/>
  <c r="BD128" i="4" s="1"/>
  <c r="BG128" i="4" a="1"/>
  <c r="BG128" i="4" s="1"/>
  <c r="CA128" i="4" a="1"/>
  <c r="CA128" i="4" s="1"/>
  <c r="BZ128" i="4" a="1"/>
  <c r="BZ128" i="4" s="1"/>
  <c r="EH128" i="4" a="1"/>
  <c r="EH128" i="4" s="1"/>
  <c r="CE128" i="4" a="1"/>
  <c r="CE128" i="4" s="1"/>
  <c r="BM128" i="4" a="1"/>
  <c r="BM128" i="4" s="1"/>
  <c r="CF128" i="4" a="1"/>
  <c r="CF128" i="4" s="1"/>
  <c r="EI128" i="4" a="1"/>
  <c r="EI128" i="4" s="1"/>
  <c r="BO128" i="4" a="1"/>
  <c r="BO128" i="4" s="1"/>
  <c r="BV128" i="4" a="1"/>
  <c r="BV128" i="4" s="1"/>
  <c r="BL128" i="4" a="1"/>
  <c r="BL128" i="4" s="1"/>
  <c r="CH128" i="4" a="1"/>
  <c r="CH128" i="4" s="1"/>
  <c r="CI128" i="4" a="1"/>
  <c r="CI128" i="4" s="1"/>
  <c r="EJ128" i="4" a="1"/>
  <c r="EJ128" i="4" s="1"/>
  <c r="BC128" i="4" a="1"/>
  <c r="BC128" i="4" s="1"/>
  <c r="BY128" i="4" a="1"/>
  <c r="BY128" i="4" s="1"/>
  <c r="BE128" i="4" a="1"/>
  <c r="BE128" i="4" s="1"/>
  <c r="AB128" i="4" s="1"/>
  <c r="BJ128" i="4" a="1"/>
  <c r="BJ128" i="4" s="1"/>
  <c r="D128" i="4" a="1"/>
  <c r="D128" i="4" s="1"/>
  <c r="BW128" i="4" a="1"/>
  <c r="BW128" i="4" s="1"/>
  <c r="CG128" i="4" a="1"/>
  <c r="CG128" i="4" s="1"/>
  <c r="BU128" i="4" a="1"/>
  <c r="BU128" i="4" s="1"/>
  <c r="H128" i="4" a="1"/>
  <c r="H128" i="4" s="1"/>
  <c r="L128" i="4" a="1"/>
  <c r="L128" i="4" s="1"/>
  <c r="DR280" i="2"/>
  <c r="DS280" i="2"/>
  <c r="DT280" i="2"/>
  <c r="AE71" i="4"/>
  <c r="AD71" i="4"/>
  <c r="BS71" i="4"/>
  <c r="CD83" i="4" a="1"/>
  <c r="CD83" i="4" s="1"/>
  <c r="BW83" i="4" a="1"/>
  <c r="BW83" i="4" s="1"/>
  <c r="CC83" i="4" a="1"/>
  <c r="CC83" i="4" s="1"/>
  <c r="BX83" i="4" a="1"/>
  <c r="BX83" i="4" s="1"/>
  <c r="CG83" i="4" a="1"/>
  <c r="CG83" i="4" s="1"/>
  <c r="BY83" i="4" a="1"/>
  <c r="BY83" i="4" s="1"/>
  <c r="CA83" i="4" a="1"/>
  <c r="CA83" i="4" s="1"/>
  <c r="BN83" i="4" a="1"/>
  <c r="BN83" i="4" s="1"/>
  <c r="E83" i="4" a="1"/>
  <c r="E83" i="4" s="1"/>
  <c r="L83" i="4" a="1"/>
  <c r="L83" i="4" s="1"/>
  <c r="BG83" i="4" a="1"/>
  <c r="BG83" i="4" s="1"/>
  <c r="CH83" i="4" a="1"/>
  <c r="CH83" i="4" s="1"/>
  <c r="BU83" i="4" a="1"/>
  <c r="BU83" i="4" s="1"/>
  <c r="EH83" i="4" a="1"/>
  <c r="EH83" i="4" s="1"/>
  <c r="EJ83" i="4" a="1"/>
  <c r="EJ83" i="4" s="1"/>
  <c r="BV83" i="4" a="1"/>
  <c r="BV83" i="4" s="1"/>
  <c r="BK83" i="4" a="1"/>
  <c r="BK83" i="4" s="1"/>
  <c r="CE83" i="4" a="1"/>
  <c r="CE83" i="4" s="1"/>
  <c r="CI83" i="4" a="1"/>
  <c r="CI83" i="4" s="1"/>
  <c r="BD83" i="4" a="1"/>
  <c r="BD83" i="4" s="1"/>
  <c r="CB83" i="4" a="1"/>
  <c r="CB83" i="4" s="1"/>
  <c r="BJ83" i="4" a="1"/>
  <c r="BJ83" i="4" s="1"/>
  <c r="BZ83" i="4" a="1"/>
  <c r="BZ83" i="4" s="1"/>
  <c r="BO83" i="4" a="1"/>
  <c r="BO83" i="4" s="1"/>
  <c r="BC83" i="4" a="1"/>
  <c r="BC83" i="4" s="1"/>
  <c r="BL83" i="4" a="1"/>
  <c r="BL83" i="4" s="1"/>
  <c r="BE83" i="4" a="1"/>
  <c r="BE83" i="4" s="1"/>
  <c r="AB83" i="4" s="1"/>
  <c r="BR83" i="4" a="1"/>
  <c r="BR83" i="4" s="1"/>
  <c r="EI83" i="4" a="1"/>
  <c r="EI83" i="4" s="1"/>
  <c r="H83" i="4" a="1"/>
  <c r="H83" i="4" s="1"/>
  <c r="BM83" i="4" a="1"/>
  <c r="BM83" i="4" s="1"/>
  <c r="BQ83" i="4" a="1"/>
  <c r="BQ83" i="4" s="1"/>
  <c r="D83" i="4" a="1"/>
  <c r="D83" i="4" s="1"/>
  <c r="CF83" i="4" a="1"/>
  <c r="CF83" i="4" s="1"/>
  <c r="E143" i="4" a="1"/>
  <c r="E143" i="4" s="1"/>
  <c r="BG143" i="4" a="1"/>
  <c r="BG143" i="4" s="1"/>
  <c r="CI143" i="4" a="1"/>
  <c r="CI143" i="4" s="1"/>
  <c r="BX143" i="4" a="1"/>
  <c r="BX143" i="4" s="1"/>
  <c r="CD143" i="4" a="1"/>
  <c r="CD143" i="4" s="1"/>
  <c r="BV143" i="4" a="1"/>
  <c r="BV143" i="4" s="1"/>
  <c r="CA143" i="4" a="1"/>
  <c r="CA143" i="4" s="1"/>
  <c r="BC143" i="4" a="1"/>
  <c r="BC143" i="4" s="1"/>
  <c r="BU143" i="4" a="1"/>
  <c r="BU143" i="4" s="1"/>
  <c r="BO143" i="4" a="1"/>
  <c r="BO143" i="4" s="1"/>
  <c r="CF143" i="4" a="1"/>
  <c r="CF143" i="4" s="1"/>
  <c r="EH143" i="4" a="1"/>
  <c r="EH143" i="4" s="1"/>
  <c r="BE143" i="4" a="1"/>
  <c r="BE143" i="4" s="1"/>
  <c r="CB143" i="4" a="1"/>
  <c r="CB143" i="4" s="1"/>
  <c r="BZ143" i="4" a="1"/>
  <c r="BZ143" i="4" s="1"/>
  <c r="BD143" i="4" a="1"/>
  <c r="BD143" i="4" s="1"/>
  <c r="BY143" i="4" a="1"/>
  <c r="BY143" i="4" s="1"/>
  <c r="EJ143" i="4" a="1"/>
  <c r="EJ143" i="4" s="1"/>
  <c r="EI143" i="4" a="1"/>
  <c r="EI143" i="4" s="1"/>
  <c r="BR143" i="4" a="1"/>
  <c r="BR143" i="4" s="1"/>
  <c r="L143" i="4" a="1"/>
  <c r="L143" i="4" s="1"/>
  <c r="CE143" i="4" a="1"/>
  <c r="CE143" i="4" s="1"/>
  <c r="BL143" i="4" a="1"/>
  <c r="BL143" i="4" s="1"/>
  <c r="BJ143" i="4" a="1"/>
  <c r="BJ143" i="4" s="1"/>
  <c r="Q143" i="4" s="1"/>
  <c r="CC143" i="4" a="1"/>
  <c r="CC143" i="4" s="1"/>
  <c r="BW143" i="4" a="1"/>
  <c r="BW143" i="4" s="1"/>
  <c r="BM143" i="4" a="1"/>
  <c r="BM143" i="4" s="1"/>
  <c r="D143" i="4" a="1"/>
  <c r="D143" i="4" s="1"/>
  <c r="BQ143" i="4" a="1"/>
  <c r="BQ143" i="4" s="1"/>
  <c r="BK143" i="4" a="1"/>
  <c r="BK143" i="4" s="1"/>
  <c r="H143" i="4" a="1"/>
  <c r="H143" i="4" s="1"/>
  <c r="BN143" i="4" a="1"/>
  <c r="BN143" i="4" s="1"/>
  <c r="CH143" i="4" a="1"/>
  <c r="CH143" i="4" s="1"/>
  <c r="CG143" i="4" a="1"/>
  <c r="CG143" i="4" s="1"/>
  <c r="W41" i="4"/>
  <c r="Y41" i="4" s="1"/>
  <c r="Q41" i="4"/>
  <c r="CJ46" i="4"/>
  <c r="AN46" i="4"/>
  <c r="EK46" i="4"/>
  <c r="DS266" i="2"/>
  <c r="DT266" i="2"/>
  <c r="DR266" i="2"/>
  <c r="DV17" i="2"/>
  <c r="DU17" i="2"/>
  <c r="DN17" i="2"/>
  <c r="DP17" i="2" s="1"/>
  <c r="DQ17" i="2" s="1"/>
  <c r="DF17" i="2"/>
  <c r="EB47" i="2"/>
  <c r="EC47" i="2"/>
  <c r="EE47" i="2"/>
  <c r="DC139" i="2"/>
  <c r="AN53" i="4"/>
  <c r="CJ53" i="4"/>
  <c r="EK53" i="4"/>
  <c r="BS68" i="4"/>
  <c r="AE68" i="4"/>
  <c r="AD68" i="4"/>
  <c r="BR114" i="4" a="1"/>
  <c r="BR114" i="4" s="1"/>
  <c r="CC114" i="4" a="1"/>
  <c r="CC114" i="4" s="1"/>
  <c r="CA114" i="4" a="1"/>
  <c r="CA114" i="4" s="1"/>
  <c r="EH114" i="4" a="1"/>
  <c r="EH114" i="4" s="1"/>
  <c r="EI114" i="4" a="1"/>
  <c r="EI114" i="4" s="1"/>
  <c r="CG114" i="4" a="1"/>
  <c r="CG114" i="4" s="1"/>
  <c r="BG114" i="4" a="1"/>
  <c r="BG114" i="4" s="1"/>
  <c r="BM114" i="4" a="1"/>
  <c r="BM114" i="4" s="1"/>
  <c r="CF114" i="4" a="1"/>
  <c r="CF114" i="4" s="1"/>
  <c r="BX114" i="4" a="1"/>
  <c r="BX114" i="4" s="1"/>
  <c r="BW114" i="4" a="1"/>
  <c r="BW114" i="4" s="1"/>
  <c r="BJ114" i="4" a="1"/>
  <c r="BJ114" i="4" s="1"/>
  <c r="Q114" i="4" s="1"/>
  <c r="E114" i="4" a="1"/>
  <c r="E114" i="4" s="1"/>
  <c r="BE114" i="4" a="1"/>
  <c r="BE114" i="4" s="1"/>
  <c r="BO114" i="4" a="1"/>
  <c r="BO114" i="4" s="1"/>
  <c r="BY114" i="4" a="1"/>
  <c r="BY114" i="4" s="1"/>
  <c r="CB114" i="4" a="1"/>
  <c r="CB114" i="4" s="1"/>
  <c r="D114" i="4" a="1"/>
  <c r="D114" i="4" s="1"/>
  <c r="CI114" i="4" a="1"/>
  <c r="CI114" i="4" s="1"/>
  <c r="BQ114" i="4" a="1"/>
  <c r="BQ114" i="4" s="1"/>
  <c r="CH114" i="4" a="1"/>
  <c r="CH114" i="4" s="1"/>
  <c r="CE114" i="4" a="1"/>
  <c r="CE114" i="4" s="1"/>
  <c r="BL114" i="4" a="1"/>
  <c r="BL114" i="4" s="1"/>
  <c r="BD114" i="4" a="1"/>
  <c r="BD114" i="4" s="1"/>
  <c r="BZ114" i="4" a="1"/>
  <c r="BZ114" i="4" s="1"/>
  <c r="BU114" i="4" a="1"/>
  <c r="BU114" i="4" s="1"/>
  <c r="BK114" i="4" a="1"/>
  <c r="BK114" i="4" s="1"/>
  <c r="H114" i="4" a="1"/>
  <c r="H114" i="4" s="1"/>
  <c r="BC114" i="4" a="1"/>
  <c r="BC114" i="4" s="1"/>
  <c r="L114" i="4" a="1"/>
  <c r="L114" i="4" s="1"/>
  <c r="BN114" i="4" a="1"/>
  <c r="BN114" i="4" s="1"/>
  <c r="EJ114" i="4" a="1"/>
  <c r="EJ114" i="4" s="1"/>
  <c r="BV114" i="4" a="1"/>
  <c r="BV114" i="4" s="1"/>
  <c r="CD114" i="4" a="1"/>
  <c r="CD114" i="4" s="1"/>
  <c r="EE6" i="2"/>
  <c r="EB6" i="2"/>
  <c r="EC6" i="2"/>
  <c r="AD70" i="4"/>
  <c r="BS70" i="4"/>
  <c r="AE70" i="4"/>
  <c r="DS12" i="2"/>
  <c r="DT12" i="2"/>
  <c r="DR12" i="2"/>
  <c r="CJ57" i="4"/>
  <c r="AN57" i="4"/>
  <c r="EK57" i="4"/>
  <c r="W38" i="4"/>
  <c r="Q38" i="4"/>
  <c r="CC121" i="4" a="1"/>
  <c r="CC121" i="4" s="1"/>
  <c r="BW121" i="4" a="1"/>
  <c r="BW121" i="4" s="1"/>
  <c r="BQ121" i="4" a="1"/>
  <c r="BQ121" i="4" s="1"/>
  <c r="BK121" i="4" a="1"/>
  <c r="BK121" i="4" s="1"/>
  <c r="CD121" i="4" a="1"/>
  <c r="CD121" i="4" s="1"/>
  <c r="CI121" i="4" a="1"/>
  <c r="CI121" i="4" s="1"/>
  <c r="CF121" i="4" a="1"/>
  <c r="CF121" i="4" s="1"/>
  <c r="E121" i="4" a="1"/>
  <c r="E121" i="4" s="1"/>
  <c r="CE121" i="4" a="1"/>
  <c r="CE121" i="4" s="1"/>
  <c r="BO121" i="4" a="1"/>
  <c r="BO121" i="4" s="1"/>
  <c r="D121" i="4" a="1"/>
  <c r="D121" i="4" s="1"/>
  <c r="BX121" i="4" a="1"/>
  <c r="BX121" i="4" s="1"/>
  <c r="EJ121" i="4" a="1"/>
  <c r="EJ121" i="4" s="1"/>
  <c r="CA121" i="4" a="1"/>
  <c r="CA121" i="4" s="1"/>
  <c r="EH121" i="4" a="1"/>
  <c r="EH121" i="4" s="1"/>
  <c r="BM121" i="4" a="1"/>
  <c r="BM121" i="4" s="1"/>
  <c r="BY121" i="4" a="1"/>
  <c r="BY121" i="4" s="1"/>
  <c r="BZ121" i="4" a="1"/>
  <c r="BZ121" i="4" s="1"/>
  <c r="BJ121" i="4" a="1"/>
  <c r="BJ121" i="4" s="1"/>
  <c r="H121" i="4" a="1"/>
  <c r="H121" i="4" s="1"/>
  <c r="CB121" i="4" a="1"/>
  <c r="CB121" i="4" s="1"/>
  <c r="CG121" i="4" a="1"/>
  <c r="CG121" i="4" s="1"/>
  <c r="L121" i="4" a="1"/>
  <c r="L121" i="4" s="1"/>
  <c r="BE121" i="4" a="1"/>
  <c r="BE121" i="4" s="1"/>
  <c r="AB121" i="4" s="1"/>
  <c r="BV121" i="4" a="1"/>
  <c r="BV121" i="4" s="1"/>
  <c r="BR121" i="4" a="1"/>
  <c r="BR121" i="4" s="1"/>
  <c r="BU121" i="4" a="1"/>
  <c r="BU121" i="4" s="1"/>
  <c r="BN121" i="4" a="1"/>
  <c r="BN121" i="4" s="1"/>
  <c r="EI121" i="4" a="1"/>
  <c r="EI121" i="4" s="1"/>
  <c r="BC121" i="4" a="1"/>
  <c r="BC121" i="4" s="1"/>
  <c r="CH121" i="4" a="1"/>
  <c r="CH121" i="4" s="1"/>
  <c r="BL121" i="4" a="1"/>
  <c r="BL121" i="4" s="1"/>
  <c r="BG121" i="4" a="1"/>
  <c r="BG121" i="4" s="1"/>
  <c r="BD121" i="4" a="1"/>
  <c r="BD121" i="4" s="1"/>
  <c r="EC162" i="2"/>
  <c r="EE162" i="2"/>
  <c r="EB162" i="2"/>
  <c r="BD22" i="4" a="1"/>
  <c r="BD22" i="4" s="1"/>
  <c r="S102" i="4"/>
  <c r="AB102" i="4" s="1"/>
  <c r="BH102" i="4"/>
  <c r="P102" i="4"/>
  <c r="AL102" i="4"/>
  <c r="DS49" i="2"/>
  <c r="DR49" i="2"/>
  <c r="DT49" i="2"/>
  <c r="EK27" i="4"/>
  <c r="AN27" i="4"/>
  <c r="CJ27" i="4"/>
  <c r="BT203" i="2"/>
  <c r="BU203" i="2" s="1"/>
  <c r="CN203" i="2"/>
  <c r="EW203" i="2"/>
  <c r="EX203" i="2" s="1"/>
  <c r="EK66" i="4"/>
  <c r="DE305" i="2"/>
  <c r="DD305" i="2"/>
  <c r="EE97" i="2"/>
  <c r="EB97" i="2"/>
  <c r="EC97" i="2"/>
  <c r="AN28" i="4"/>
  <c r="CJ28" i="4"/>
  <c r="EK28" i="4"/>
  <c r="CH142" i="4" a="1"/>
  <c r="CH142" i="4" s="1"/>
  <c r="BY142" i="4" a="1"/>
  <c r="BY142" i="4" s="1"/>
  <c r="BD142" i="4" a="1"/>
  <c r="BD142" i="4" s="1"/>
  <c r="BX142" i="4" a="1"/>
  <c r="BX142" i="4" s="1"/>
  <c r="D142" i="4" a="1"/>
  <c r="D142" i="4" s="1"/>
  <c r="BV142" i="4" a="1"/>
  <c r="BV142" i="4" s="1"/>
  <c r="CB142" i="4" a="1"/>
  <c r="CB142" i="4" s="1"/>
  <c r="H142" i="4" a="1"/>
  <c r="H142" i="4" s="1"/>
  <c r="BL142" i="4" a="1"/>
  <c r="BL142" i="4" s="1"/>
  <c r="CG142" i="4" a="1"/>
  <c r="CG142" i="4" s="1"/>
  <c r="E142" i="4" a="1"/>
  <c r="E142" i="4" s="1"/>
  <c r="BC142" i="4" a="1"/>
  <c r="BC142" i="4" s="1"/>
  <c r="BE142" i="4" a="1"/>
  <c r="BE142" i="4" s="1"/>
  <c r="BW142" i="4" a="1"/>
  <c r="BW142" i="4" s="1"/>
  <c r="CE142" i="4" a="1"/>
  <c r="CE142" i="4" s="1"/>
  <c r="BJ142" i="4" a="1"/>
  <c r="BJ142" i="4" s="1"/>
  <c r="Q142" i="4" s="1"/>
  <c r="BU142" i="4" a="1"/>
  <c r="BU142" i="4" s="1"/>
  <c r="EJ142" i="4" a="1"/>
  <c r="EJ142" i="4" s="1"/>
  <c r="BG142" i="4" a="1"/>
  <c r="BG142" i="4" s="1"/>
  <c r="CD142" i="4" a="1"/>
  <c r="CD142" i="4" s="1"/>
  <c r="L142" i="4" a="1"/>
  <c r="L142" i="4" s="1"/>
  <c r="BN142" i="4" a="1"/>
  <c r="BN142" i="4" s="1"/>
  <c r="CA142" i="4" a="1"/>
  <c r="CA142" i="4" s="1"/>
  <c r="BO142" i="4" a="1"/>
  <c r="BO142" i="4" s="1"/>
  <c r="EI142" i="4" a="1"/>
  <c r="EI142" i="4" s="1"/>
  <c r="BZ142" i="4" a="1"/>
  <c r="BZ142" i="4" s="1"/>
  <c r="BQ142" i="4" a="1"/>
  <c r="BQ142" i="4" s="1"/>
  <c r="CC142" i="4" a="1"/>
  <c r="CC142" i="4" s="1"/>
  <c r="CI142" i="4" a="1"/>
  <c r="CI142" i="4" s="1"/>
  <c r="BK142" i="4" a="1"/>
  <c r="BK142" i="4" s="1"/>
  <c r="BR142" i="4" a="1"/>
  <c r="BR142" i="4" s="1"/>
  <c r="CF142" i="4" a="1"/>
  <c r="CF142" i="4" s="1"/>
  <c r="BM142" i="4" a="1"/>
  <c r="BM142" i="4" s="1"/>
  <c r="EH142" i="4" a="1"/>
  <c r="EH142" i="4" s="1"/>
  <c r="DS119" i="4" a="1"/>
  <c r="DS119" i="4" s="1"/>
  <c r="EA119" i="4" a="1"/>
  <c r="EA119" i="4" s="1"/>
  <c r="EF119" i="4" a="1"/>
  <c r="EF119" i="4" s="1"/>
  <c r="DX119" i="4" a="1"/>
  <c r="DX119" i="4" s="1"/>
  <c r="EB119" i="4" a="1"/>
  <c r="EB119" i="4" s="1"/>
  <c r="DV119" i="4" a="1"/>
  <c r="DV119" i="4" s="1"/>
  <c r="DK119" i="4" a="1"/>
  <c r="DK119" i="4" s="1"/>
  <c r="EE119" i="4" a="1"/>
  <c r="EE119" i="4" s="1"/>
  <c r="DN119" i="4" a="1"/>
  <c r="DN119" i="4" s="1"/>
  <c r="DL119" i="4" a="1"/>
  <c r="DL119" i="4" s="1"/>
  <c r="DI119" i="4" a="1"/>
  <c r="DI119" i="4" s="1"/>
  <c r="ED119" i="4" a="1"/>
  <c r="ED119" i="4" s="1"/>
  <c r="DP119" i="4" a="1"/>
  <c r="DP119" i="4" s="1"/>
  <c r="DW119" i="4" a="1"/>
  <c r="DW119" i="4" s="1"/>
  <c r="DU119" i="4" a="1"/>
  <c r="DU119" i="4" s="1"/>
  <c r="DY119" i="4" a="1"/>
  <c r="DY119" i="4" s="1"/>
  <c r="DQ119" i="4" a="1"/>
  <c r="DQ119" i="4" s="1"/>
  <c r="DJ119" i="4" a="1"/>
  <c r="DJ119" i="4" s="1"/>
  <c r="DZ119" i="4" a="1"/>
  <c r="DZ119" i="4" s="1"/>
  <c r="DR119" i="4" a="1"/>
  <c r="DR119" i="4" s="1"/>
  <c r="DM119" i="4" a="1"/>
  <c r="DM119" i="4" s="1"/>
  <c r="DO119" i="4" a="1"/>
  <c r="DO119" i="4" s="1"/>
  <c r="EC119" i="4" a="1"/>
  <c r="EC119" i="4" s="1"/>
  <c r="DT119" i="4" a="1"/>
  <c r="DT119" i="4" s="1"/>
  <c r="S107" i="4"/>
  <c r="AB107" i="4" s="1"/>
  <c r="AL107" i="4"/>
  <c r="BH107" i="4"/>
  <c r="P107" i="4"/>
  <c r="DX118" i="2"/>
  <c r="DZ118" i="2" s="1"/>
  <c r="EA118" i="2" s="1"/>
  <c r="ED118" i="2"/>
  <c r="EK109" i="4"/>
  <c r="CJ109" i="4"/>
  <c r="AN109" i="4"/>
  <c r="DU51" i="2"/>
  <c r="DN51" i="2"/>
  <c r="DP51" i="2" s="1"/>
  <c r="DQ51" i="2" s="1"/>
  <c r="DF51" i="2"/>
  <c r="DV51" i="2"/>
  <c r="EF51" i="2"/>
  <c r="CN166" i="2"/>
  <c r="EW166" i="2"/>
  <c r="EX166" i="2" s="1"/>
  <c r="BT166" i="2"/>
  <c r="BU166" i="2" s="1"/>
  <c r="Q44" i="4"/>
  <c r="W44" i="4"/>
  <c r="Y44" i="4" s="1"/>
  <c r="AN84" i="4"/>
  <c r="CJ84" i="4"/>
  <c r="EK84" i="4"/>
  <c r="EB285" i="2"/>
  <c r="EE285" i="2"/>
  <c r="EC285" i="2"/>
  <c r="EJ108" i="4" a="1"/>
  <c r="EJ108" i="4" s="1"/>
  <c r="EH108" i="4" a="1"/>
  <c r="EH108" i="4" s="1"/>
  <c r="CG108" i="4" a="1"/>
  <c r="CG108" i="4" s="1"/>
  <c r="D108" i="4" a="1"/>
  <c r="D108" i="4" s="1"/>
  <c r="CD108" i="4" a="1"/>
  <c r="CD108" i="4" s="1"/>
  <c r="L108" i="4" a="1"/>
  <c r="L108" i="4" s="1"/>
  <c r="BN108" i="4" a="1"/>
  <c r="BN108" i="4" s="1"/>
  <c r="H108" i="4" a="1"/>
  <c r="H108" i="4" s="1"/>
  <c r="CE108" i="4" a="1"/>
  <c r="CE108" i="4" s="1"/>
  <c r="BD108" i="4" a="1"/>
  <c r="BD108" i="4" s="1"/>
  <c r="BM108" i="4" a="1"/>
  <c r="BM108" i="4" s="1"/>
  <c r="CH108" i="4" a="1"/>
  <c r="CH108" i="4" s="1"/>
  <c r="CF108" i="4" a="1"/>
  <c r="CF108" i="4" s="1"/>
  <c r="EI108" i="4" a="1"/>
  <c r="EI108" i="4" s="1"/>
  <c r="BQ108" i="4" a="1"/>
  <c r="BQ108" i="4" s="1"/>
  <c r="E108" i="4" a="1"/>
  <c r="E108" i="4" s="1"/>
  <c r="CA108" i="4" a="1"/>
  <c r="CA108" i="4" s="1"/>
  <c r="BL108" i="4" a="1"/>
  <c r="BL108" i="4" s="1"/>
  <c r="BK108" i="4" a="1"/>
  <c r="BK108" i="4" s="1"/>
  <c r="BJ108" i="4" a="1"/>
  <c r="BJ108" i="4" s="1"/>
  <c r="Q108" i="4" s="1"/>
  <c r="BG108" i="4" a="1"/>
  <c r="BG108" i="4" s="1"/>
  <c r="BZ108" i="4" a="1"/>
  <c r="BZ108" i="4" s="1"/>
  <c r="CB108" i="4" a="1"/>
  <c r="CB108" i="4" s="1"/>
  <c r="BR108" i="4" a="1"/>
  <c r="BR108" i="4" s="1"/>
  <c r="BV108" i="4" a="1"/>
  <c r="BV108" i="4" s="1"/>
  <c r="BW108" i="4" a="1"/>
  <c r="BW108" i="4" s="1"/>
  <c r="BC108" i="4" a="1"/>
  <c r="BC108" i="4" s="1"/>
  <c r="CI108" i="4" a="1"/>
  <c r="CI108" i="4" s="1"/>
  <c r="BX108" i="4" a="1"/>
  <c r="BX108" i="4" s="1"/>
  <c r="BE108" i="4" a="1"/>
  <c r="BE108" i="4" s="1"/>
  <c r="CC108" i="4" a="1"/>
  <c r="CC108" i="4" s="1"/>
  <c r="BY108" i="4" a="1"/>
  <c r="BY108" i="4" s="1"/>
  <c r="BU108" i="4" a="1"/>
  <c r="BU108" i="4" s="1"/>
  <c r="BO108" i="4" a="1"/>
  <c r="BO108" i="4" s="1"/>
  <c r="EK62" i="4"/>
  <c r="CJ62" i="4"/>
  <c r="AN62" i="4"/>
  <c r="BV110" i="4" a="1"/>
  <c r="BV110" i="4" s="1"/>
  <c r="BU110" i="4" a="1"/>
  <c r="BU110" i="4" s="1"/>
  <c r="BN110" i="4" a="1"/>
  <c r="BN110" i="4" s="1"/>
  <c r="H110" i="4" a="1"/>
  <c r="H110" i="4" s="1"/>
  <c r="L110" i="4" a="1"/>
  <c r="L110" i="4" s="1"/>
  <c r="BR110" i="4" a="1"/>
  <c r="BR110" i="4" s="1"/>
  <c r="BZ110" i="4" a="1"/>
  <c r="BZ110" i="4" s="1"/>
  <c r="EJ110" i="4" a="1"/>
  <c r="EJ110" i="4" s="1"/>
  <c r="BK110" i="4" a="1"/>
  <c r="BK110" i="4" s="1"/>
  <c r="CB110" i="4" a="1"/>
  <c r="CB110" i="4" s="1"/>
  <c r="BJ110" i="4" a="1"/>
  <c r="BJ110" i="4" s="1"/>
  <c r="Q110" i="4" s="1"/>
  <c r="EI110" i="4" a="1"/>
  <c r="EI110" i="4" s="1"/>
  <c r="BO110" i="4" a="1"/>
  <c r="BO110" i="4" s="1"/>
  <c r="CC110" i="4" a="1"/>
  <c r="CC110" i="4" s="1"/>
  <c r="CI110" i="4" a="1"/>
  <c r="CI110" i="4" s="1"/>
  <c r="CF110" i="4" a="1"/>
  <c r="CF110" i="4" s="1"/>
  <c r="BY110" i="4" a="1"/>
  <c r="BY110" i="4" s="1"/>
  <c r="BM110" i="4" a="1"/>
  <c r="BM110" i="4" s="1"/>
  <c r="CA110" i="4" a="1"/>
  <c r="CA110" i="4" s="1"/>
  <c r="BD110" i="4" a="1"/>
  <c r="BD110" i="4" s="1"/>
  <c r="BX110" i="4" a="1"/>
  <c r="BX110" i="4" s="1"/>
  <c r="BW110" i="4" a="1"/>
  <c r="BW110" i="4" s="1"/>
  <c r="EH110" i="4" a="1"/>
  <c r="EH110" i="4" s="1"/>
  <c r="BL110" i="4" a="1"/>
  <c r="BL110" i="4" s="1"/>
  <c r="CH110" i="4" a="1"/>
  <c r="CH110" i="4" s="1"/>
  <c r="CG110" i="4" a="1"/>
  <c r="CG110" i="4" s="1"/>
  <c r="BQ110" i="4" a="1"/>
  <c r="BQ110" i="4" s="1"/>
  <c r="BE110" i="4" a="1"/>
  <c r="BE110" i="4" s="1"/>
  <c r="BC110" i="4" a="1"/>
  <c r="BC110" i="4" s="1"/>
  <c r="D110" i="4" a="1"/>
  <c r="D110" i="4" s="1"/>
  <c r="BG110" i="4" a="1"/>
  <c r="BG110" i="4" s="1"/>
  <c r="E110" i="4" a="1"/>
  <c r="E110" i="4" s="1"/>
  <c r="CD110" i="4" a="1"/>
  <c r="CD110" i="4" s="1"/>
  <c r="CE110" i="4" a="1"/>
  <c r="CE110" i="4" s="1"/>
  <c r="DY202" i="2"/>
  <c r="EG202" i="2"/>
  <c r="EC266" i="2"/>
  <c r="EE266" i="2"/>
  <c r="EB266" i="2"/>
  <c r="BS123" i="4"/>
  <c r="AD123" i="4"/>
  <c r="AE123" i="4"/>
  <c r="CJ71" i="4"/>
  <c r="EK71" i="4"/>
  <c r="AN71" i="4"/>
  <c r="DX313" i="2"/>
  <c r="DZ313" i="2" s="1"/>
  <c r="EA313" i="2" s="1"/>
  <c r="ED313" i="2"/>
  <c r="P10" i="4"/>
  <c r="BH10" i="4"/>
  <c r="AL10" i="4"/>
  <c r="S10" i="4"/>
  <c r="AB10" i="4" s="1"/>
  <c r="DE289" i="2"/>
  <c r="DD289" i="2"/>
  <c r="BS46" i="4"/>
  <c r="AD46" i="4"/>
  <c r="AE46" i="4"/>
  <c r="AN33" i="4"/>
  <c r="CJ33" i="4"/>
  <c r="EK33" i="4"/>
  <c r="BH51" i="4"/>
  <c r="S51" i="4"/>
  <c r="AB51" i="4" s="1"/>
  <c r="AL51" i="4"/>
  <c r="P51" i="4"/>
  <c r="EK49" i="4"/>
  <c r="CJ49" i="4"/>
  <c r="AN49" i="4"/>
  <c r="ED17" i="2"/>
  <c r="DX17" i="2"/>
  <c r="DZ17" i="2" s="1"/>
  <c r="EA17" i="2" s="1"/>
  <c r="CC86" i="4" a="1"/>
  <c r="CC86" i="4" s="1"/>
  <c r="BD86" i="4" a="1"/>
  <c r="BD86" i="4" s="1"/>
  <c r="D86" i="4" a="1"/>
  <c r="D86" i="4" s="1"/>
  <c r="E86" i="4" a="1"/>
  <c r="E86" i="4" s="1"/>
  <c r="BQ86" i="4" a="1"/>
  <c r="BQ86" i="4" s="1"/>
  <c r="CE86" i="4" a="1"/>
  <c r="CE86" i="4" s="1"/>
  <c r="EJ86" i="4" a="1"/>
  <c r="EJ86" i="4" s="1"/>
  <c r="BC86" i="4" a="1"/>
  <c r="BC86" i="4" s="1"/>
  <c r="CA86" i="4" a="1"/>
  <c r="CA86" i="4" s="1"/>
  <c r="BU86" i="4" a="1"/>
  <c r="BU86" i="4" s="1"/>
  <c r="EI86" i="4" a="1"/>
  <c r="EI86" i="4" s="1"/>
  <c r="CI86" i="4" a="1"/>
  <c r="CI86" i="4" s="1"/>
  <c r="EH86" i="4" a="1"/>
  <c r="EH86" i="4" s="1"/>
  <c r="BX86" i="4" a="1"/>
  <c r="BX86" i="4" s="1"/>
  <c r="BM86" i="4" a="1"/>
  <c r="BM86" i="4" s="1"/>
  <c r="BJ86" i="4" a="1"/>
  <c r="BJ86" i="4" s="1"/>
  <c r="BR86" i="4" a="1"/>
  <c r="BR86" i="4" s="1"/>
  <c r="BE86" i="4" a="1"/>
  <c r="BE86" i="4" s="1"/>
  <c r="BK86" i="4" a="1"/>
  <c r="BK86" i="4" s="1"/>
  <c r="BV86" i="4" a="1"/>
  <c r="BV86" i="4" s="1"/>
  <c r="BW86" i="4" a="1"/>
  <c r="BW86" i="4" s="1"/>
  <c r="BN86" i="4" a="1"/>
  <c r="BN86" i="4" s="1"/>
  <c r="BY86" i="4" a="1"/>
  <c r="BY86" i="4" s="1"/>
  <c r="BG86" i="4" a="1"/>
  <c r="BG86" i="4" s="1"/>
  <c r="CF86" i="4" a="1"/>
  <c r="CF86" i="4" s="1"/>
  <c r="BL86" i="4" a="1"/>
  <c r="BL86" i="4" s="1"/>
  <c r="CG86" i="4" a="1"/>
  <c r="CG86" i="4" s="1"/>
  <c r="BO86" i="4" a="1"/>
  <c r="BO86" i="4" s="1"/>
  <c r="CD86" i="4" a="1"/>
  <c r="CD86" i="4" s="1"/>
  <c r="CB86" i="4" a="1"/>
  <c r="CB86" i="4" s="1"/>
  <c r="CH86" i="4" a="1"/>
  <c r="CH86" i="4" s="1"/>
  <c r="BZ86" i="4" a="1"/>
  <c r="BZ86" i="4" s="1"/>
  <c r="AL35" i="4"/>
  <c r="S35" i="4"/>
  <c r="AB35" i="4" s="1"/>
  <c r="P35" i="4"/>
  <c r="BH35" i="4"/>
  <c r="BS53" i="4"/>
  <c r="AE53" i="4"/>
  <c r="AD53" i="4"/>
  <c r="Q48" i="4"/>
  <c r="W48" i="4"/>
  <c r="Y48" i="4" s="1"/>
  <c r="BS54" i="4"/>
  <c r="AD54" i="4"/>
  <c r="AE54" i="4"/>
  <c r="W54" i="4"/>
  <c r="Y54" i="4" s="1"/>
  <c r="Q54" i="4"/>
  <c r="CC138" i="4" a="1"/>
  <c r="CC138" i="4" s="1"/>
  <c r="BY138" i="4" a="1"/>
  <c r="BY138" i="4" s="1"/>
  <c r="BL138" i="4" a="1"/>
  <c r="BL138" i="4" s="1"/>
  <c r="CF138" i="4" a="1"/>
  <c r="CF138" i="4" s="1"/>
  <c r="CE138" i="4" a="1"/>
  <c r="CE138" i="4" s="1"/>
  <c r="BW138" i="4" a="1"/>
  <c r="BW138" i="4" s="1"/>
  <c r="BN138" i="4" a="1"/>
  <c r="BN138" i="4" s="1"/>
  <c r="CB138" i="4" a="1"/>
  <c r="CB138" i="4" s="1"/>
  <c r="CD138" i="4" a="1"/>
  <c r="CD138" i="4" s="1"/>
  <c r="BJ138" i="4" a="1"/>
  <c r="BJ138" i="4" s="1"/>
  <c r="Q138" i="4" s="1"/>
  <c r="EH138" i="4" a="1"/>
  <c r="EH138" i="4" s="1"/>
  <c r="BO138" i="4" a="1"/>
  <c r="BO138" i="4" s="1"/>
  <c r="EJ138" i="4" a="1"/>
  <c r="EJ138" i="4" s="1"/>
  <c r="L138" i="4" a="1"/>
  <c r="L138" i="4" s="1"/>
  <c r="BZ138" i="4" a="1"/>
  <c r="BZ138" i="4" s="1"/>
  <c r="BU138" i="4" a="1"/>
  <c r="BU138" i="4" s="1"/>
  <c r="CH138" i="4" a="1"/>
  <c r="CH138" i="4" s="1"/>
  <c r="BX138" i="4" a="1"/>
  <c r="BX138" i="4" s="1"/>
  <c r="E138" i="4" a="1"/>
  <c r="E138" i="4" s="1"/>
  <c r="BV138" i="4" a="1"/>
  <c r="BV138" i="4" s="1"/>
  <c r="CA138" i="4" a="1"/>
  <c r="CA138" i="4" s="1"/>
  <c r="BR138" i="4" a="1"/>
  <c r="BR138" i="4" s="1"/>
  <c r="EI138" i="4" a="1"/>
  <c r="EI138" i="4" s="1"/>
  <c r="BK138" i="4" a="1"/>
  <c r="BK138" i="4" s="1"/>
  <c r="BE138" i="4" a="1"/>
  <c r="BE138" i="4" s="1"/>
  <c r="D138" i="4" a="1"/>
  <c r="D138" i="4" s="1"/>
  <c r="BG138" i="4" a="1"/>
  <c r="BG138" i="4" s="1"/>
  <c r="BD138" i="4" a="1"/>
  <c r="BD138" i="4" s="1"/>
  <c r="BC138" i="4" a="1"/>
  <c r="BC138" i="4" s="1"/>
  <c r="H138" i="4" a="1"/>
  <c r="H138" i="4" s="1"/>
  <c r="CI138" i="4" a="1"/>
  <c r="CI138" i="4" s="1"/>
  <c r="BM138" i="4" a="1"/>
  <c r="BM138" i="4" s="1"/>
  <c r="BQ138" i="4" a="1"/>
  <c r="BQ138" i="4" s="1"/>
  <c r="CG138" i="4" a="1"/>
  <c r="CG138" i="4" s="1"/>
  <c r="EE281" i="2"/>
  <c r="EC281" i="2"/>
  <c r="EB281" i="2"/>
  <c r="DE191" i="2"/>
  <c r="DD191" i="2"/>
  <c r="AN22" i="4"/>
  <c r="CJ22" i="4"/>
  <c r="W26" i="4"/>
  <c r="Q26" i="4"/>
  <c r="BS16" i="4"/>
  <c r="AE16" i="4"/>
  <c r="AD16" i="4"/>
  <c r="CJ72" i="4"/>
  <c r="AN72" i="4"/>
  <c r="EK72" i="4"/>
  <c r="DC57" i="2"/>
  <c r="DT56" i="2"/>
  <c r="DS56" i="2"/>
  <c r="DR56" i="2"/>
  <c r="Q119" i="4"/>
  <c r="BH119" i="4" s="1"/>
  <c r="W119" i="4"/>
  <c r="Y119" i="4" s="1"/>
  <c r="P7" i="4"/>
  <c r="AL7" i="4"/>
  <c r="BH7" i="4"/>
  <c r="S7" i="4"/>
  <c r="AB7" i="4" s="1"/>
  <c r="DD221" i="2"/>
  <c r="DE221" i="2"/>
  <c r="BS45" i="4"/>
  <c r="AE45" i="4"/>
  <c r="AD45" i="4"/>
  <c r="EK15" i="4"/>
  <c r="AN15" i="4"/>
  <c r="CJ15" i="4"/>
  <c r="BL118" i="4" a="1"/>
  <c r="BL118" i="4" s="1"/>
  <c r="BO118" i="4" a="1"/>
  <c r="BO118" i="4" s="1"/>
  <c r="BJ118" i="4" a="1"/>
  <c r="BJ118" i="4" s="1"/>
  <c r="CF118" i="4" a="1"/>
  <c r="CF118" i="4" s="1"/>
  <c r="CD118" i="4" a="1"/>
  <c r="CD118" i="4" s="1"/>
  <c r="L118" i="4" a="1"/>
  <c r="L118" i="4" s="1"/>
  <c r="BY118" i="4" a="1"/>
  <c r="BY118" i="4" s="1"/>
  <c r="CC118" i="4" a="1"/>
  <c r="CC118" i="4" s="1"/>
  <c r="D118" i="4" a="1"/>
  <c r="D118" i="4" s="1"/>
  <c r="EH118" i="4" a="1"/>
  <c r="EH118" i="4" s="1"/>
  <c r="BW118" i="4" a="1"/>
  <c r="BW118" i="4" s="1"/>
  <c r="BZ118" i="4" a="1"/>
  <c r="BZ118" i="4" s="1"/>
  <c r="CG118" i="4" a="1"/>
  <c r="CG118" i="4" s="1"/>
  <c r="BG118" i="4" a="1"/>
  <c r="BG118" i="4" s="1"/>
  <c r="CB118" i="4" a="1"/>
  <c r="CB118" i="4" s="1"/>
  <c r="BK118" i="4" a="1"/>
  <c r="BK118" i="4" s="1"/>
  <c r="BM118" i="4" a="1"/>
  <c r="BM118" i="4" s="1"/>
  <c r="H118" i="4" a="1"/>
  <c r="H118" i="4" s="1"/>
  <c r="BU118" i="4" a="1"/>
  <c r="BU118" i="4" s="1"/>
  <c r="BR118" i="4" a="1"/>
  <c r="BR118" i="4" s="1"/>
  <c r="E118" i="4" a="1"/>
  <c r="E118" i="4" s="1"/>
  <c r="BN118" i="4" a="1"/>
  <c r="BN118" i="4" s="1"/>
  <c r="CE118" i="4" a="1"/>
  <c r="CE118" i="4" s="1"/>
  <c r="BV118" i="4" a="1"/>
  <c r="BV118" i="4" s="1"/>
  <c r="CA118" i="4" a="1"/>
  <c r="CA118" i="4" s="1"/>
  <c r="BD118" i="4" a="1"/>
  <c r="BD118" i="4" s="1"/>
  <c r="BE118" i="4" a="1"/>
  <c r="BE118" i="4" s="1"/>
  <c r="AB118" i="4" s="1"/>
  <c r="BX118" i="4" a="1"/>
  <c r="BX118" i="4" s="1"/>
  <c r="BQ118" i="4" a="1"/>
  <c r="BQ118" i="4" s="1"/>
  <c r="CH118" i="4" a="1"/>
  <c r="CH118" i="4" s="1"/>
  <c r="EJ118" i="4" a="1"/>
  <c r="EJ118" i="4" s="1"/>
  <c r="BC118" i="4" a="1"/>
  <c r="BC118" i="4" s="1"/>
  <c r="CI118" i="4" a="1"/>
  <c r="CI118" i="4" s="1"/>
  <c r="EI118" i="4" a="1"/>
  <c r="EI118" i="4" s="1"/>
  <c r="Q55" i="4"/>
  <c r="W55" i="4"/>
  <c r="Y55" i="4" s="1"/>
  <c r="DN149" i="2"/>
  <c r="DP149" i="2" s="1"/>
  <c r="DQ149" i="2" s="1"/>
  <c r="EF149" i="2"/>
  <c r="DF149" i="2"/>
  <c r="DU149" i="2"/>
  <c r="DV149" i="2"/>
  <c r="AD44" i="4"/>
  <c r="AE44" i="4"/>
  <c r="BS44" i="4"/>
  <c r="EE39" i="2"/>
  <c r="EC39" i="2"/>
  <c r="EB39" i="2"/>
  <c r="BW100" i="4" a="1"/>
  <c r="BW100" i="4" s="1"/>
  <c r="BV100" i="4" a="1"/>
  <c r="BV100" i="4" s="1"/>
  <c r="L100" i="4" a="1"/>
  <c r="L100" i="4" s="1"/>
  <c r="H100" i="4" a="1"/>
  <c r="H100" i="4" s="1"/>
  <c r="BR100" i="4" a="1"/>
  <c r="BR100" i="4" s="1"/>
  <c r="E100" i="4" a="1"/>
  <c r="E100" i="4" s="1"/>
  <c r="CE100" i="4" a="1"/>
  <c r="CE100" i="4" s="1"/>
  <c r="BO100" i="4" a="1"/>
  <c r="BO100" i="4" s="1"/>
  <c r="BY100" i="4" a="1"/>
  <c r="BY100" i="4" s="1"/>
  <c r="BQ100" i="4" a="1"/>
  <c r="BQ100" i="4" s="1"/>
  <c r="CA100" i="4" a="1"/>
  <c r="CA100" i="4" s="1"/>
  <c r="CH100" i="4" a="1"/>
  <c r="CH100" i="4" s="1"/>
  <c r="CB100" i="4" a="1"/>
  <c r="CB100" i="4" s="1"/>
  <c r="D100" i="4" a="1"/>
  <c r="D100" i="4" s="1"/>
  <c r="BJ100" i="4" a="1"/>
  <c r="BJ100" i="4" s="1"/>
  <c r="Q100" i="4" s="1"/>
  <c r="BD100" i="4" a="1"/>
  <c r="BD100" i="4" s="1"/>
  <c r="BG100" i="4" a="1"/>
  <c r="BG100" i="4" s="1"/>
  <c r="BZ100" i="4" a="1"/>
  <c r="BZ100" i="4" s="1"/>
  <c r="BC100" i="4" a="1"/>
  <c r="BC100" i="4" s="1"/>
  <c r="CC100" i="4" a="1"/>
  <c r="CC100" i="4" s="1"/>
  <c r="CG100" i="4" a="1"/>
  <c r="CG100" i="4" s="1"/>
  <c r="CI100" i="4" a="1"/>
  <c r="CI100" i="4" s="1"/>
  <c r="EI100" i="4" a="1"/>
  <c r="EI100" i="4" s="1"/>
  <c r="BE100" i="4" a="1"/>
  <c r="BE100" i="4" s="1"/>
  <c r="BN100" i="4" a="1"/>
  <c r="BN100" i="4" s="1"/>
  <c r="CD100" i="4" a="1"/>
  <c r="CD100" i="4" s="1"/>
  <c r="BL100" i="4" a="1"/>
  <c r="BL100" i="4" s="1"/>
  <c r="EJ100" i="4" a="1"/>
  <c r="EJ100" i="4" s="1"/>
  <c r="BK100" i="4" a="1"/>
  <c r="BK100" i="4" s="1"/>
  <c r="BX100" i="4" a="1"/>
  <c r="BX100" i="4" s="1"/>
  <c r="BM100" i="4" a="1"/>
  <c r="BM100" i="4" s="1"/>
  <c r="BU100" i="4" a="1"/>
  <c r="BU100" i="4" s="1"/>
  <c r="EH100" i="4" a="1"/>
  <c r="EH100" i="4" s="1"/>
  <c r="CF100" i="4" a="1"/>
  <c r="CF100" i="4" s="1"/>
  <c r="P36" i="4"/>
  <c r="BH36" i="4"/>
  <c r="AL36" i="4"/>
  <c r="S36" i="4"/>
  <c r="AB36" i="4" s="1"/>
  <c r="DN313" i="2"/>
  <c r="DP313" i="2" s="1"/>
  <c r="DQ313" i="2" s="1"/>
  <c r="DU313" i="2"/>
  <c r="EF313" i="2"/>
  <c r="DF313" i="2"/>
  <c r="DV313" i="2"/>
  <c r="CE101" i="4" a="1"/>
  <c r="CE101" i="4" s="1"/>
  <c r="BL101" i="4" a="1"/>
  <c r="BL101" i="4" s="1"/>
  <c r="L101" i="4" a="1"/>
  <c r="L101" i="4" s="1"/>
  <c r="BX101" i="4" a="1"/>
  <c r="BX101" i="4" s="1"/>
  <c r="CH101" i="4" a="1"/>
  <c r="CH101" i="4" s="1"/>
  <c r="BR101" i="4" a="1"/>
  <c r="BR101" i="4" s="1"/>
  <c r="H101" i="4" a="1"/>
  <c r="H101" i="4" s="1"/>
  <c r="E101" i="4" a="1"/>
  <c r="E101" i="4" s="1"/>
  <c r="BM101" i="4" a="1"/>
  <c r="BM101" i="4" s="1"/>
  <c r="CB101" i="4" a="1"/>
  <c r="CB101" i="4" s="1"/>
  <c r="BU101" i="4" a="1"/>
  <c r="BU101" i="4" s="1"/>
  <c r="D101" i="4" a="1"/>
  <c r="D101" i="4" s="1"/>
  <c r="BY101" i="4" a="1"/>
  <c r="BY101" i="4" s="1"/>
  <c r="BE101" i="4" a="1"/>
  <c r="BE101" i="4" s="1"/>
  <c r="AB101" i="4" s="1"/>
  <c r="BQ101" i="4" a="1"/>
  <c r="BQ101" i="4" s="1"/>
  <c r="BJ101" i="4" a="1"/>
  <c r="BJ101" i="4" s="1"/>
  <c r="BD101" i="4" a="1"/>
  <c r="BD101" i="4" s="1"/>
  <c r="CC101" i="4" a="1"/>
  <c r="CC101" i="4" s="1"/>
  <c r="BN101" i="4" a="1"/>
  <c r="BN101" i="4" s="1"/>
  <c r="BZ101" i="4" a="1"/>
  <c r="BZ101" i="4" s="1"/>
  <c r="EJ101" i="4" a="1"/>
  <c r="EJ101" i="4" s="1"/>
  <c r="BC101" i="4" a="1"/>
  <c r="BC101" i="4" s="1"/>
  <c r="BK101" i="4" a="1"/>
  <c r="BK101" i="4" s="1"/>
  <c r="EH101" i="4" a="1"/>
  <c r="EH101" i="4" s="1"/>
  <c r="BW101" i="4" a="1"/>
  <c r="BW101" i="4" s="1"/>
  <c r="CI101" i="4" a="1"/>
  <c r="CI101" i="4" s="1"/>
  <c r="BG101" i="4" a="1"/>
  <c r="BG101" i="4" s="1"/>
  <c r="CF101" i="4" a="1"/>
  <c r="CF101" i="4" s="1"/>
  <c r="CG101" i="4" a="1"/>
  <c r="CG101" i="4" s="1"/>
  <c r="CD101" i="4" a="1"/>
  <c r="CD101" i="4" s="1"/>
  <c r="BV101" i="4" a="1"/>
  <c r="BV101" i="4" s="1"/>
  <c r="EI101" i="4" a="1"/>
  <c r="EI101" i="4" s="1"/>
  <c r="CA101" i="4" a="1"/>
  <c r="CA101" i="4" s="1"/>
  <c r="BO101" i="4" a="1"/>
  <c r="BO101" i="4" s="1"/>
  <c r="P42" i="4"/>
  <c r="AL42" i="4"/>
  <c r="BH42" i="4"/>
  <c r="S42" i="4"/>
  <c r="AB42" i="4" s="1"/>
  <c r="Q46" i="4"/>
  <c r="W46" i="4"/>
  <c r="Y46" i="4" s="1"/>
  <c r="CN102" i="2"/>
  <c r="EW102" i="2"/>
  <c r="EX102" i="2" s="1"/>
  <c r="BT102" i="2"/>
  <c r="BU102" i="2" s="1"/>
  <c r="W61" i="4"/>
  <c r="Q61" i="4"/>
  <c r="CJ32" i="4"/>
  <c r="AN32" i="4"/>
  <c r="EK32" i="4"/>
  <c r="CH125" i="4" a="1"/>
  <c r="CH125" i="4" s="1"/>
  <c r="BW125" i="4" a="1"/>
  <c r="BW125" i="4" s="1"/>
  <c r="BN125" i="4" a="1"/>
  <c r="BN125" i="4" s="1"/>
  <c r="BG125" i="4" a="1"/>
  <c r="BG125" i="4" s="1"/>
  <c r="L125" i="4" a="1"/>
  <c r="L125" i="4" s="1"/>
  <c r="BL125" i="4" a="1"/>
  <c r="BL125" i="4" s="1"/>
  <c r="EI125" i="4" a="1"/>
  <c r="EI125" i="4" s="1"/>
  <c r="BU125" i="4" a="1"/>
  <c r="BU125" i="4" s="1"/>
  <c r="D125" i="4" a="1"/>
  <c r="D125" i="4" s="1"/>
  <c r="BZ125" i="4" a="1"/>
  <c r="BZ125" i="4" s="1"/>
  <c r="CD125" i="4" a="1"/>
  <c r="CD125" i="4" s="1"/>
  <c r="BV125" i="4" a="1"/>
  <c r="BV125" i="4" s="1"/>
  <c r="BR125" i="4" a="1"/>
  <c r="BR125" i="4" s="1"/>
  <c r="EH125" i="4" a="1"/>
  <c r="EH125" i="4" s="1"/>
  <c r="CI125" i="4" a="1"/>
  <c r="CI125" i="4" s="1"/>
  <c r="CB125" i="4" a="1"/>
  <c r="CB125" i="4" s="1"/>
  <c r="CG125" i="4" a="1"/>
  <c r="CG125" i="4" s="1"/>
  <c r="H125" i="4" a="1"/>
  <c r="H125" i="4" s="1"/>
  <c r="CC125" i="4" a="1"/>
  <c r="CC125" i="4" s="1"/>
  <c r="CF125" i="4" a="1"/>
  <c r="CF125" i="4" s="1"/>
  <c r="BM125" i="4" a="1"/>
  <c r="BM125" i="4" s="1"/>
  <c r="CA125" i="4" a="1"/>
  <c r="CA125" i="4" s="1"/>
  <c r="EJ125" i="4" a="1"/>
  <c r="EJ125" i="4" s="1"/>
  <c r="BE125" i="4" a="1"/>
  <c r="BE125" i="4" s="1"/>
  <c r="AB125" i="4" s="1"/>
  <c r="BY125" i="4" a="1"/>
  <c r="BY125" i="4" s="1"/>
  <c r="BQ125" i="4" a="1"/>
  <c r="BQ125" i="4" s="1"/>
  <c r="CE125" i="4" a="1"/>
  <c r="CE125" i="4" s="1"/>
  <c r="BD125" i="4" a="1"/>
  <c r="BD125" i="4" s="1"/>
  <c r="BJ125" i="4" a="1"/>
  <c r="BJ125" i="4" s="1"/>
  <c r="E125" i="4" a="1"/>
  <c r="E125" i="4" s="1"/>
  <c r="BO125" i="4" a="1"/>
  <c r="BO125" i="4" s="1"/>
  <c r="BC125" i="4" a="1"/>
  <c r="BC125" i="4" s="1"/>
  <c r="BX125" i="4" a="1"/>
  <c r="BX125" i="4" s="1"/>
  <c r="BK125" i="4" a="1"/>
  <c r="BK125" i="4" s="1"/>
  <c r="DV133" i="2"/>
  <c r="DN133" i="2"/>
  <c r="DP133" i="2" s="1"/>
  <c r="DQ133" i="2" s="1"/>
  <c r="DU133" i="2"/>
  <c r="EF133" i="2"/>
  <c r="DF133" i="2"/>
  <c r="CG130" i="4" a="1"/>
  <c r="CG130" i="4" s="1"/>
  <c r="BL130" i="4" a="1"/>
  <c r="BL130" i="4" s="1"/>
  <c r="BD130" i="4" a="1"/>
  <c r="BD130" i="4" s="1"/>
  <c r="BN130" i="4" a="1"/>
  <c r="BN130" i="4" s="1"/>
  <c r="BV130" i="4" a="1"/>
  <c r="BV130" i="4" s="1"/>
  <c r="BZ130" i="4" a="1"/>
  <c r="BZ130" i="4" s="1"/>
  <c r="BJ130" i="4" a="1"/>
  <c r="BJ130" i="4" s="1"/>
  <c r="BU130" i="4" a="1"/>
  <c r="BU130" i="4" s="1"/>
  <c r="EH130" i="4" a="1"/>
  <c r="EH130" i="4" s="1"/>
  <c r="BG130" i="4" a="1"/>
  <c r="BG130" i="4" s="1"/>
  <c r="BX130" i="4" a="1"/>
  <c r="BX130" i="4" s="1"/>
  <c r="H130" i="4" a="1"/>
  <c r="H130" i="4" s="1"/>
  <c r="L130" i="4" a="1"/>
  <c r="L130" i="4" s="1"/>
  <c r="BR130" i="4" a="1"/>
  <c r="BR130" i="4" s="1"/>
  <c r="BE130" i="4" a="1"/>
  <c r="BE130" i="4" s="1"/>
  <c r="AB130" i="4" s="1"/>
  <c r="EJ130" i="4" a="1"/>
  <c r="EJ130" i="4" s="1"/>
  <c r="CH130" i="4" a="1"/>
  <c r="CH130" i="4" s="1"/>
  <c r="CC130" i="4" a="1"/>
  <c r="CC130" i="4" s="1"/>
  <c r="BO130" i="4" a="1"/>
  <c r="BO130" i="4" s="1"/>
  <c r="CF130" i="4" a="1"/>
  <c r="CF130" i="4" s="1"/>
  <c r="EI130" i="4" a="1"/>
  <c r="EI130" i="4" s="1"/>
  <c r="BY130" i="4" a="1"/>
  <c r="BY130" i="4" s="1"/>
  <c r="D130" i="4" a="1"/>
  <c r="D130" i="4" s="1"/>
  <c r="CA130" i="4" a="1"/>
  <c r="CA130" i="4" s="1"/>
  <c r="BK130" i="4" a="1"/>
  <c r="BK130" i="4" s="1"/>
  <c r="CE130" i="4" a="1"/>
  <c r="CE130" i="4" s="1"/>
  <c r="BC130" i="4" a="1"/>
  <c r="BC130" i="4" s="1"/>
  <c r="BW130" i="4" a="1"/>
  <c r="BW130" i="4" s="1"/>
  <c r="BQ130" i="4" a="1"/>
  <c r="BQ130" i="4" s="1"/>
  <c r="CD130" i="4" a="1"/>
  <c r="CD130" i="4" s="1"/>
  <c r="CI130" i="4" a="1"/>
  <c r="CI130" i="4" s="1"/>
  <c r="CB130" i="4" a="1"/>
  <c r="CB130" i="4" s="1"/>
  <c r="BM130" i="4" a="1"/>
  <c r="BM130" i="4" s="1"/>
  <c r="E130" i="4" a="1"/>
  <c r="E130" i="4" s="1"/>
  <c r="AD57" i="4"/>
  <c r="AE57" i="4"/>
  <c r="BS57" i="4"/>
  <c r="CJ48" i="4"/>
  <c r="EK48" i="4"/>
  <c r="AN48" i="4"/>
  <c r="EK54" i="4"/>
  <c r="CJ54" i="4"/>
  <c r="AN54" i="4"/>
  <c r="BY129" i="4" a="1"/>
  <c r="BY129" i="4" s="1"/>
  <c r="E129" i="4" a="1"/>
  <c r="E129" i="4" s="1"/>
  <c r="BM129" i="4" a="1"/>
  <c r="BM129" i="4" s="1"/>
  <c r="EJ129" i="4" a="1"/>
  <c r="EJ129" i="4" s="1"/>
  <c r="CA129" i="4" a="1"/>
  <c r="CA129" i="4" s="1"/>
  <c r="EH129" i="4" a="1"/>
  <c r="EH129" i="4" s="1"/>
  <c r="BO129" i="4" a="1"/>
  <c r="BO129" i="4" s="1"/>
  <c r="CF129" i="4" a="1"/>
  <c r="CF129" i="4" s="1"/>
  <c r="BW129" i="4" a="1"/>
  <c r="BW129" i="4" s="1"/>
  <c r="CH129" i="4" a="1"/>
  <c r="CH129" i="4" s="1"/>
  <c r="BL129" i="4" a="1"/>
  <c r="BL129" i="4" s="1"/>
  <c r="BJ129" i="4" a="1"/>
  <c r="BJ129" i="4" s="1"/>
  <c r="BK129" i="4" a="1"/>
  <c r="BK129" i="4" s="1"/>
  <c r="CG129" i="4" a="1"/>
  <c r="CG129" i="4" s="1"/>
  <c r="D129" i="4" a="1"/>
  <c r="D129" i="4" s="1"/>
  <c r="CC129" i="4" a="1"/>
  <c r="CC129" i="4" s="1"/>
  <c r="CI129" i="4" a="1"/>
  <c r="CI129" i="4" s="1"/>
  <c r="BN129" i="4" a="1"/>
  <c r="BN129" i="4" s="1"/>
  <c r="BU129" i="4" a="1"/>
  <c r="BU129" i="4" s="1"/>
  <c r="CD129" i="4" a="1"/>
  <c r="CD129" i="4" s="1"/>
  <c r="BC129" i="4" a="1"/>
  <c r="BC129" i="4" s="1"/>
  <c r="BE129" i="4" a="1"/>
  <c r="BE129" i="4" s="1"/>
  <c r="AB129" i="4" s="1"/>
  <c r="BQ129" i="4" a="1"/>
  <c r="BQ129" i="4" s="1"/>
  <c r="H129" i="4" a="1"/>
  <c r="H129" i="4" s="1"/>
  <c r="BV129" i="4" a="1"/>
  <c r="BV129" i="4" s="1"/>
  <c r="BG129" i="4" a="1"/>
  <c r="BG129" i="4" s="1"/>
  <c r="BR129" i="4" a="1"/>
  <c r="BR129" i="4" s="1"/>
  <c r="EI129" i="4" a="1"/>
  <c r="EI129" i="4" s="1"/>
  <c r="CE129" i="4" a="1"/>
  <c r="CE129" i="4" s="1"/>
  <c r="BD129" i="4" a="1"/>
  <c r="BD129" i="4" s="1"/>
  <c r="BX129" i="4" a="1"/>
  <c r="BX129" i="4" s="1"/>
  <c r="CB129" i="4" a="1"/>
  <c r="CB129" i="4" s="1"/>
  <c r="L129" i="4" a="1"/>
  <c r="L129" i="4" s="1"/>
  <c r="BZ129" i="4" a="1"/>
  <c r="BZ129" i="4" s="1"/>
  <c r="CB127" i="4" a="1"/>
  <c r="CB127" i="4" s="1"/>
  <c r="BX127" i="4" a="1"/>
  <c r="BX127" i="4" s="1"/>
  <c r="E127" i="4" a="1"/>
  <c r="E127" i="4" s="1"/>
  <c r="CC127" i="4" a="1"/>
  <c r="CC127" i="4" s="1"/>
  <c r="BE127" i="4" a="1"/>
  <c r="BE127" i="4" s="1"/>
  <c r="AB127" i="4" s="1"/>
  <c r="CI127" i="4" a="1"/>
  <c r="CI127" i="4" s="1"/>
  <c r="EJ127" i="4" a="1"/>
  <c r="EJ127" i="4" s="1"/>
  <c r="BW127" i="4" a="1"/>
  <c r="BW127" i="4" s="1"/>
  <c r="BC127" i="4" a="1"/>
  <c r="BC127" i="4" s="1"/>
  <c r="L127" i="4" a="1"/>
  <c r="L127" i="4" s="1"/>
  <c r="BK127" i="4" a="1"/>
  <c r="BK127" i="4" s="1"/>
  <c r="BN127" i="4" a="1"/>
  <c r="BN127" i="4" s="1"/>
  <c r="BZ127" i="4" a="1"/>
  <c r="BZ127" i="4" s="1"/>
  <c r="CF127" i="4" a="1"/>
  <c r="CF127" i="4" s="1"/>
  <c r="BV127" i="4" a="1"/>
  <c r="BV127" i="4" s="1"/>
  <c r="BR127" i="4" a="1"/>
  <c r="BR127" i="4" s="1"/>
  <c r="D127" i="4" a="1"/>
  <c r="D127" i="4" s="1"/>
  <c r="BY127" i="4" a="1"/>
  <c r="BY127" i="4" s="1"/>
  <c r="BM127" i="4" a="1"/>
  <c r="BM127" i="4" s="1"/>
  <c r="BL127" i="4" a="1"/>
  <c r="BL127" i="4" s="1"/>
  <c r="CD127" i="4" a="1"/>
  <c r="CD127" i="4" s="1"/>
  <c r="H127" i="4" a="1"/>
  <c r="H127" i="4" s="1"/>
  <c r="BD127" i="4" a="1"/>
  <c r="BD127" i="4" s="1"/>
  <c r="CA127" i="4" a="1"/>
  <c r="CA127" i="4" s="1"/>
  <c r="CG127" i="4" a="1"/>
  <c r="CG127" i="4" s="1"/>
  <c r="CE127" i="4" a="1"/>
  <c r="CE127" i="4" s="1"/>
  <c r="BO127" i="4" a="1"/>
  <c r="BO127" i="4" s="1"/>
  <c r="BG127" i="4" a="1"/>
  <c r="BG127" i="4" s="1"/>
  <c r="BJ127" i="4" a="1"/>
  <c r="BJ127" i="4" s="1"/>
  <c r="EH127" i="4" a="1"/>
  <c r="EH127" i="4" s="1"/>
  <c r="EI127" i="4" a="1"/>
  <c r="EI127" i="4" s="1"/>
  <c r="CH127" i="4" a="1"/>
  <c r="CH127" i="4" s="1"/>
  <c r="BQ127" i="4" a="1"/>
  <c r="BQ127" i="4" s="1"/>
  <c r="BU127" i="4" a="1"/>
  <c r="BU127" i="4" s="1"/>
  <c r="Q52" i="4"/>
  <c r="W52" i="4"/>
  <c r="Y52" i="4" s="1"/>
  <c r="EK12" i="4"/>
  <c r="AN12" i="4"/>
  <c r="CJ12" i="4"/>
  <c r="DS114" i="2"/>
  <c r="DR114" i="2"/>
  <c r="DT114" i="2"/>
  <c r="S56" i="4"/>
  <c r="AB56" i="4" s="1"/>
  <c r="BH56" i="4"/>
  <c r="AL56" i="4"/>
  <c r="P56" i="4"/>
  <c r="BS72" i="4"/>
  <c r="AE72" i="4"/>
  <c r="AD72" i="4"/>
  <c r="EC190" i="2"/>
  <c r="EE190" i="2"/>
  <c r="EB190" i="2"/>
  <c r="CQ57" i="2"/>
  <c r="BT57" i="2"/>
  <c r="BU57" i="2" s="1"/>
  <c r="AD28" i="4"/>
  <c r="BS28" i="4"/>
  <c r="AE28" i="4"/>
  <c r="EK17" i="4"/>
  <c r="CJ17" i="4"/>
  <c r="AN17" i="4"/>
  <c r="ER119" i="4" a="1"/>
  <c r="ER119" i="4" s="1"/>
  <c r="EV119" i="4" a="1"/>
  <c r="EV119" i="4" s="1"/>
  <c r="EQ119" i="4" a="1"/>
  <c r="EQ119" i="4" s="1"/>
  <c r="ET119" i="4" a="1"/>
  <c r="ET119" i="4" s="1"/>
  <c r="EL119" i="4" a="1"/>
  <c r="EL119" i="4" s="1"/>
  <c r="EO119" i="4" a="1"/>
  <c r="EO119" i="4" s="1"/>
  <c r="EN119" i="4" a="1"/>
  <c r="EN119" i="4" s="1"/>
  <c r="EP119" i="4" a="1"/>
  <c r="EP119" i="4" s="1"/>
  <c r="ES119" i="4" a="1"/>
  <c r="ES119" i="4" s="1"/>
  <c r="EU119" i="4" a="1"/>
  <c r="EU119" i="4" s="1"/>
  <c r="EW119" i="4" a="1"/>
  <c r="EW119" i="4" s="1"/>
  <c r="EM119" i="4" a="1"/>
  <c r="EM119" i="4" s="1"/>
  <c r="EC291" i="2"/>
  <c r="EB291" i="2"/>
  <c r="EE291" i="2"/>
  <c r="W132" i="4"/>
  <c r="Y132" i="4" s="1"/>
  <c r="Q132" i="4"/>
  <c r="EF17" i="2"/>
  <c r="EK85" i="4"/>
  <c r="AN85" i="4"/>
  <c r="CJ85" i="4"/>
  <c r="Q39" i="4"/>
  <c r="W39" i="4"/>
  <c r="EH64" i="4" a="1"/>
  <c r="EH64" i="4" s="1"/>
  <c r="BQ64" i="4" a="1"/>
  <c r="BQ64" i="4" s="1"/>
  <c r="CB64" i="4" a="1"/>
  <c r="CB64" i="4" s="1"/>
  <c r="BZ64" i="4" a="1"/>
  <c r="BZ64" i="4" s="1"/>
  <c r="EJ64" i="4" a="1"/>
  <c r="EJ64" i="4" s="1"/>
  <c r="D64" i="4" a="1"/>
  <c r="D64" i="4" s="1"/>
  <c r="BL64" i="4" a="1"/>
  <c r="BL64" i="4" s="1"/>
  <c r="BG64" i="4" a="1"/>
  <c r="BG64" i="4" s="1"/>
  <c r="CE64" i="4" a="1"/>
  <c r="CE64" i="4" s="1"/>
  <c r="BV64" i="4" a="1"/>
  <c r="BV64" i="4" s="1"/>
  <c r="CF64" i="4" a="1"/>
  <c r="CF64" i="4" s="1"/>
  <c r="CI64" i="4" a="1"/>
  <c r="CI64" i="4" s="1"/>
  <c r="BW64" i="4" a="1"/>
  <c r="BW64" i="4" s="1"/>
  <c r="BY64" i="4" a="1"/>
  <c r="BY64" i="4" s="1"/>
  <c r="BC64" i="4" a="1"/>
  <c r="BC64" i="4" s="1"/>
  <c r="BN64" i="4" a="1"/>
  <c r="BN64" i="4" s="1"/>
  <c r="BK64" i="4" a="1"/>
  <c r="BK64" i="4" s="1"/>
  <c r="E64" i="4" a="1"/>
  <c r="E64" i="4" s="1"/>
  <c r="EI64" i="4" a="1"/>
  <c r="EI64" i="4" s="1"/>
  <c r="CA64" i="4" a="1"/>
  <c r="CA64" i="4" s="1"/>
  <c r="BU64" i="4" a="1"/>
  <c r="BU64" i="4" s="1"/>
  <c r="CC64" i="4" a="1"/>
  <c r="CC64" i="4" s="1"/>
  <c r="CD64" i="4" a="1"/>
  <c r="CD64" i="4" s="1"/>
  <c r="L64" i="4" a="1"/>
  <c r="L64" i="4" s="1"/>
  <c r="BO64" i="4" a="1"/>
  <c r="BO64" i="4" s="1"/>
  <c r="BX64" i="4" a="1"/>
  <c r="BX64" i="4" s="1"/>
  <c r="BR64" i="4" a="1"/>
  <c r="BR64" i="4" s="1"/>
  <c r="BM64" i="4" a="1"/>
  <c r="BM64" i="4" s="1"/>
  <c r="CH64" i="4" a="1"/>
  <c r="CH64" i="4" s="1"/>
  <c r="H64" i="4" a="1"/>
  <c r="H64" i="4" s="1"/>
  <c r="CG64" i="4" a="1"/>
  <c r="CG64" i="4" s="1"/>
  <c r="BJ64" i="4" a="1"/>
  <c r="BJ64" i="4" s="1"/>
  <c r="Q64" i="4" s="1"/>
  <c r="BE64" i="4" a="1"/>
  <c r="BE64" i="4" s="1"/>
  <c r="BD64" i="4" a="1"/>
  <c r="BD64" i="4" s="1"/>
  <c r="DS285" i="2"/>
  <c r="DR285" i="2"/>
  <c r="DT285" i="2"/>
  <c r="CH112" i="4" a="1"/>
  <c r="CH112" i="4" s="1"/>
  <c r="BQ112" i="4" a="1"/>
  <c r="BQ112" i="4" s="1"/>
  <c r="E112" i="4" a="1"/>
  <c r="E112" i="4" s="1"/>
  <c r="BC112" i="4" a="1"/>
  <c r="BC112" i="4" s="1"/>
  <c r="CG112" i="4" a="1"/>
  <c r="CG112" i="4" s="1"/>
  <c r="EH112" i="4" a="1"/>
  <c r="EH112" i="4" s="1"/>
  <c r="BL112" i="4" a="1"/>
  <c r="BL112" i="4" s="1"/>
  <c r="BJ112" i="4" a="1"/>
  <c r="BJ112" i="4" s="1"/>
  <c r="Q112" i="4" s="1"/>
  <c r="CF112" i="4" a="1"/>
  <c r="CF112" i="4" s="1"/>
  <c r="BD112" i="4" a="1"/>
  <c r="BD112" i="4" s="1"/>
  <c r="CD112" i="4" a="1"/>
  <c r="CD112" i="4" s="1"/>
  <c r="EJ112" i="4" a="1"/>
  <c r="EJ112" i="4" s="1"/>
  <c r="H112" i="4" a="1"/>
  <c r="H112" i="4" s="1"/>
  <c r="BZ112" i="4" a="1"/>
  <c r="BZ112" i="4" s="1"/>
  <c r="BU112" i="4" a="1"/>
  <c r="BU112" i="4" s="1"/>
  <c r="BW112" i="4" a="1"/>
  <c r="BW112" i="4" s="1"/>
  <c r="CB112" i="4" a="1"/>
  <c r="CB112" i="4" s="1"/>
  <c r="BX112" i="4" a="1"/>
  <c r="BX112" i="4" s="1"/>
  <c r="BN112" i="4" a="1"/>
  <c r="BN112" i="4" s="1"/>
  <c r="L112" i="4" a="1"/>
  <c r="L112" i="4" s="1"/>
  <c r="BO112" i="4" a="1"/>
  <c r="BO112" i="4" s="1"/>
  <c r="BV112" i="4" a="1"/>
  <c r="BV112" i="4" s="1"/>
  <c r="CC112" i="4" a="1"/>
  <c r="CC112" i="4" s="1"/>
  <c r="BY112" i="4" a="1"/>
  <c r="BY112" i="4" s="1"/>
  <c r="BR112" i="4" a="1"/>
  <c r="BR112" i="4" s="1"/>
  <c r="BE112" i="4" a="1"/>
  <c r="BE112" i="4" s="1"/>
  <c r="CE112" i="4" a="1"/>
  <c r="CE112" i="4" s="1"/>
  <c r="CI112" i="4" a="1"/>
  <c r="CI112" i="4" s="1"/>
  <c r="BM112" i="4" a="1"/>
  <c r="BM112" i="4" s="1"/>
  <c r="D112" i="4" a="1"/>
  <c r="D112" i="4" s="1"/>
  <c r="EI112" i="4" a="1"/>
  <c r="EI112" i="4" s="1"/>
  <c r="CA112" i="4" a="1"/>
  <c r="CA112" i="4" s="1"/>
  <c r="BK112" i="4" a="1"/>
  <c r="BK112" i="4" s="1"/>
  <c r="BG112" i="4" a="1"/>
  <c r="BG112" i="4" s="1"/>
  <c r="AL6" i="4"/>
  <c r="P6" i="4"/>
  <c r="BH6" i="4"/>
  <c r="S6" i="4"/>
  <c r="AB6" i="4" s="1"/>
  <c r="AN24" i="4"/>
  <c r="CJ24" i="4"/>
  <c r="EK24" i="4"/>
  <c r="AD20" i="4"/>
  <c r="BS20" i="4"/>
  <c r="AE20" i="4"/>
  <c r="Q20" i="4"/>
  <c r="W20" i="4"/>
  <c r="BS55" i="4"/>
  <c r="AD55" i="4"/>
  <c r="AE55" i="4"/>
  <c r="ED149" i="2"/>
  <c r="DX149" i="2"/>
  <c r="DZ149" i="2" s="1"/>
  <c r="EA149" i="2" s="1"/>
  <c r="BS23" i="4"/>
  <c r="AD23" i="4"/>
  <c r="AE23" i="4"/>
  <c r="AD40" i="4"/>
  <c r="BS40" i="4"/>
  <c r="AE40" i="4"/>
  <c r="BZ97" i="4" a="1"/>
  <c r="BZ97" i="4" s="1"/>
  <c r="E97" i="4" a="1"/>
  <c r="E97" i="4" s="1"/>
  <c r="BN97" i="4" a="1"/>
  <c r="BN97" i="4" s="1"/>
  <c r="EI97" i="4" a="1"/>
  <c r="EI97" i="4" s="1"/>
  <c r="CC97" i="4" a="1"/>
  <c r="CC97" i="4" s="1"/>
  <c r="BU97" i="4" a="1"/>
  <c r="BU97" i="4" s="1"/>
  <c r="BQ97" i="4" a="1"/>
  <c r="BQ97" i="4" s="1"/>
  <c r="EH97" i="4" a="1"/>
  <c r="EH97" i="4" s="1"/>
  <c r="BE97" i="4" a="1"/>
  <c r="BE97" i="4" s="1"/>
  <c r="AB97" i="4" s="1"/>
  <c r="CD97" i="4" a="1"/>
  <c r="CD97" i="4" s="1"/>
  <c r="H97" i="4" a="1"/>
  <c r="H97" i="4" s="1"/>
  <c r="BY97" i="4" a="1"/>
  <c r="BY97" i="4" s="1"/>
  <c r="CG97" i="4" a="1"/>
  <c r="CG97" i="4" s="1"/>
  <c r="BW97" i="4" a="1"/>
  <c r="BW97" i="4" s="1"/>
  <c r="EJ97" i="4" a="1"/>
  <c r="EJ97" i="4" s="1"/>
  <c r="BD97" i="4" a="1"/>
  <c r="BD97" i="4" s="1"/>
  <c r="BK97" i="4" a="1"/>
  <c r="BK97" i="4" s="1"/>
  <c r="BR97" i="4" a="1"/>
  <c r="BR97" i="4" s="1"/>
  <c r="CB97" i="4" a="1"/>
  <c r="CB97" i="4" s="1"/>
  <c r="BJ97" i="4" a="1"/>
  <c r="BJ97" i="4" s="1"/>
  <c r="BC97" i="4" a="1"/>
  <c r="BC97" i="4" s="1"/>
  <c r="BL97" i="4" a="1"/>
  <c r="BL97" i="4" s="1"/>
  <c r="CI97" i="4" a="1"/>
  <c r="CI97" i="4" s="1"/>
  <c r="BM97" i="4" a="1"/>
  <c r="BM97" i="4" s="1"/>
  <c r="L97" i="4" a="1"/>
  <c r="L97" i="4" s="1"/>
  <c r="BG97" i="4" a="1"/>
  <c r="BG97" i="4" s="1"/>
  <c r="CE97" i="4" a="1"/>
  <c r="CE97" i="4" s="1"/>
  <c r="D97" i="4" a="1"/>
  <c r="D97" i="4" s="1"/>
  <c r="BO97" i="4" a="1"/>
  <c r="BO97" i="4" s="1"/>
  <c r="BX97" i="4" a="1"/>
  <c r="BX97" i="4" s="1"/>
  <c r="CF97" i="4" a="1"/>
  <c r="CF97" i="4" s="1"/>
  <c r="CH97" i="4" a="1"/>
  <c r="CH97" i="4" s="1"/>
  <c r="BV97" i="4" a="1"/>
  <c r="BV97" i="4" s="1"/>
  <c r="CA97" i="4" a="1"/>
  <c r="CA97" i="4" s="1"/>
  <c r="DD210" i="2"/>
  <c r="DE210" i="2"/>
  <c r="CQ202" i="2"/>
  <c r="BT202" i="2"/>
  <c r="BU202" i="2" s="1"/>
  <c r="CJ123" i="4"/>
  <c r="EK123" i="4"/>
  <c r="AN123" i="4"/>
  <c r="EB169" i="2"/>
  <c r="EC169" i="2"/>
  <c r="EE169" i="2"/>
  <c r="DT306" i="2"/>
  <c r="DS306" i="2"/>
  <c r="DR306" i="2"/>
  <c r="DV84" i="2"/>
  <c r="EF84" i="2"/>
  <c r="DF84" i="2"/>
  <c r="DN84" i="2"/>
  <c r="DP84" i="2" s="1"/>
  <c r="DQ84" i="2" s="1"/>
  <c r="DU84" i="2"/>
  <c r="Q126" i="4"/>
  <c r="W126" i="4"/>
  <c r="Y126" i="4" s="1"/>
  <c r="DE20" i="2"/>
  <c r="DD20" i="2"/>
  <c r="BR78" i="4" a="1"/>
  <c r="BR78" i="4" s="1"/>
  <c r="BV78" i="4" a="1"/>
  <c r="BV78" i="4" s="1"/>
  <c r="BX78" i="4" a="1"/>
  <c r="BX78" i="4" s="1"/>
  <c r="BU78" i="4" a="1"/>
  <c r="BU78" i="4" s="1"/>
  <c r="CI78" i="4" a="1"/>
  <c r="CI78" i="4" s="1"/>
  <c r="BJ78" i="4" a="1"/>
  <c r="BJ78" i="4" s="1"/>
  <c r="BG78" i="4" a="1"/>
  <c r="BG78" i="4" s="1"/>
  <c r="H78" i="4" a="1"/>
  <c r="H78" i="4" s="1"/>
  <c r="CC78" i="4" a="1"/>
  <c r="CC78" i="4" s="1"/>
  <c r="BY78" i="4" a="1"/>
  <c r="BY78" i="4" s="1"/>
  <c r="BC78" i="4" a="1"/>
  <c r="BC78" i="4" s="1"/>
  <c r="BQ78" i="4" a="1"/>
  <c r="BQ78" i="4" s="1"/>
  <c r="BL78" i="4" a="1"/>
  <c r="BL78" i="4" s="1"/>
  <c r="CE78" i="4" a="1"/>
  <c r="CE78" i="4" s="1"/>
  <c r="CF78" i="4" a="1"/>
  <c r="CF78" i="4" s="1"/>
  <c r="BZ78" i="4" a="1"/>
  <c r="BZ78" i="4" s="1"/>
  <c r="EI78" i="4" a="1"/>
  <c r="EI78" i="4" s="1"/>
  <c r="CB78" i="4" a="1"/>
  <c r="CB78" i="4" s="1"/>
  <c r="BD78" i="4" a="1"/>
  <c r="BD78" i="4" s="1"/>
  <c r="BW78" i="4" a="1"/>
  <c r="BW78" i="4" s="1"/>
  <c r="CH78" i="4" a="1"/>
  <c r="CH78" i="4" s="1"/>
  <c r="L78" i="4" a="1"/>
  <c r="L78" i="4" s="1"/>
  <c r="BK78" i="4" a="1"/>
  <c r="BK78" i="4" s="1"/>
  <c r="E78" i="4" a="1"/>
  <c r="E78" i="4" s="1"/>
  <c r="CD78" i="4" a="1"/>
  <c r="CD78" i="4" s="1"/>
  <c r="D78" i="4" a="1"/>
  <c r="D78" i="4" s="1"/>
  <c r="BE78" i="4" a="1"/>
  <c r="BE78" i="4" s="1"/>
  <c r="AB78" i="4" s="1"/>
  <c r="EH78" i="4" a="1"/>
  <c r="EH78" i="4" s="1"/>
  <c r="CG78" i="4" a="1"/>
  <c r="CG78" i="4" s="1"/>
  <c r="BO78" i="4" a="1"/>
  <c r="BO78" i="4" s="1"/>
  <c r="BM78" i="4" a="1"/>
  <c r="BM78" i="4" s="1"/>
  <c r="BN78" i="4" a="1"/>
  <c r="BN78" i="4" s="1"/>
  <c r="CA78" i="4" a="1"/>
  <c r="CA78" i="4" s="1"/>
  <c r="EJ78" i="4" a="1"/>
  <c r="EJ78" i="4" s="1"/>
  <c r="BH21" i="4"/>
  <c r="S21" i="4"/>
  <c r="AB21" i="4" s="1"/>
  <c r="AL21" i="4"/>
  <c r="P21" i="4"/>
  <c r="P9" i="4"/>
  <c r="AL9" i="4"/>
  <c r="BH9" i="4"/>
  <c r="S9" i="4"/>
  <c r="AB9" i="4" s="1"/>
  <c r="BK122" i="4" a="1"/>
  <c r="BK122" i="4" s="1"/>
  <c r="EJ122" i="4" a="1"/>
  <c r="EJ122" i="4" s="1"/>
  <c r="BQ122" i="4" a="1"/>
  <c r="BQ122" i="4" s="1"/>
  <c r="BG122" i="4" a="1"/>
  <c r="BG122" i="4" s="1"/>
  <c r="BR122" i="4" a="1"/>
  <c r="BR122" i="4" s="1"/>
  <c r="BN122" i="4" a="1"/>
  <c r="BN122" i="4" s="1"/>
  <c r="BE122" i="4" a="1"/>
  <c r="BE122" i="4" s="1"/>
  <c r="AB122" i="4" s="1"/>
  <c r="BO122" i="4" a="1"/>
  <c r="BO122" i="4" s="1"/>
  <c r="CG122" i="4" a="1"/>
  <c r="CG122" i="4" s="1"/>
  <c r="CC122" i="4" a="1"/>
  <c r="CC122" i="4" s="1"/>
  <c r="CF122" i="4" a="1"/>
  <c r="CF122" i="4" s="1"/>
  <c r="EH122" i="4" a="1"/>
  <c r="EH122" i="4" s="1"/>
  <c r="CD122" i="4" a="1"/>
  <c r="CD122" i="4" s="1"/>
  <c r="BM122" i="4" a="1"/>
  <c r="BM122" i="4" s="1"/>
  <c r="CI122" i="4" a="1"/>
  <c r="CI122" i="4" s="1"/>
  <c r="BY122" i="4" a="1"/>
  <c r="BY122" i="4" s="1"/>
  <c r="BJ122" i="4" a="1"/>
  <c r="BJ122" i="4" s="1"/>
  <c r="BZ122" i="4" a="1"/>
  <c r="BZ122" i="4" s="1"/>
  <c r="E122" i="4" a="1"/>
  <c r="E122" i="4" s="1"/>
  <c r="H122" i="4" a="1"/>
  <c r="H122" i="4" s="1"/>
  <c r="L122" i="4" a="1"/>
  <c r="L122" i="4" s="1"/>
  <c r="CB122" i="4" a="1"/>
  <c r="CB122" i="4" s="1"/>
  <c r="CH122" i="4" a="1"/>
  <c r="CH122" i="4" s="1"/>
  <c r="BV122" i="4" a="1"/>
  <c r="BV122" i="4" s="1"/>
  <c r="D122" i="4" a="1"/>
  <c r="D122" i="4" s="1"/>
  <c r="CE122" i="4" a="1"/>
  <c r="CE122" i="4" s="1"/>
  <c r="CA122" i="4" a="1"/>
  <c r="CA122" i="4" s="1"/>
  <c r="EI122" i="4" a="1"/>
  <c r="EI122" i="4" s="1"/>
  <c r="BW122" i="4" a="1"/>
  <c r="BW122" i="4" s="1"/>
  <c r="BD122" i="4" a="1"/>
  <c r="BD122" i="4" s="1"/>
  <c r="BL122" i="4" a="1"/>
  <c r="BL122" i="4" s="1"/>
  <c r="BC122" i="4" a="1"/>
  <c r="BC122" i="4" s="1"/>
  <c r="BX122" i="4" a="1"/>
  <c r="BX122" i="4" s="1"/>
  <c r="BU122" i="4" a="1"/>
  <c r="BU122" i="4" s="1"/>
  <c r="DD328" i="2"/>
  <c r="DE328" i="2"/>
  <c r="DD7" i="2"/>
  <c r="DE7" i="2"/>
  <c r="BH33" i="4"/>
  <c r="AL33" i="4"/>
  <c r="S33" i="4"/>
  <c r="AB33" i="4" s="1"/>
  <c r="P33" i="4"/>
  <c r="CI136" i="4" a="1"/>
  <c r="CI136" i="4" s="1"/>
  <c r="BZ136" i="4" a="1"/>
  <c r="BZ136" i="4" s="1"/>
  <c r="E136" i="4" a="1"/>
  <c r="E136" i="4" s="1"/>
  <c r="CH136" i="4" a="1"/>
  <c r="CH136" i="4" s="1"/>
  <c r="BY136" i="4" a="1"/>
  <c r="BY136" i="4" s="1"/>
  <c r="CE136" i="4" a="1"/>
  <c r="CE136" i="4" s="1"/>
  <c r="CF136" i="4" a="1"/>
  <c r="CF136" i="4" s="1"/>
  <c r="CC136" i="4" a="1"/>
  <c r="CC136" i="4" s="1"/>
  <c r="BV136" i="4" a="1"/>
  <c r="BV136" i="4" s="1"/>
  <c r="BO136" i="4" a="1"/>
  <c r="BO136" i="4" s="1"/>
  <c r="L136" i="4" a="1"/>
  <c r="L136" i="4" s="1"/>
  <c r="BW136" i="4" a="1"/>
  <c r="BW136" i="4" s="1"/>
  <c r="BR136" i="4" a="1"/>
  <c r="BR136" i="4" s="1"/>
  <c r="BC136" i="4" a="1"/>
  <c r="BC136" i="4" s="1"/>
  <c r="EJ136" i="4" a="1"/>
  <c r="EJ136" i="4" s="1"/>
  <c r="BL136" i="4" a="1"/>
  <c r="BL136" i="4" s="1"/>
  <c r="BG136" i="4" a="1"/>
  <c r="BG136" i="4" s="1"/>
  <c r="EH136" i="4" a="1"/>
  <c r="EH136" i="4" s="1"/>
  <c r="CA136" i="4" a="1"/>
  <c r="CA136" i="4" s="1"/>
  <c r="BK136" i="4" a="1"/>
  <c r="BK136" i="4" s="1"/>
  <c r="H136" i="4" a="1"/>
  <c r="H136" i="4" s="1"/>
  <c r="BE136" i="4" a="1"/>
  <c r="BE136" i="4" s="1"/>
  <c r="CD136" i="4" a="1"/>
  <c r="CD136" i="4" s="1"/>
  <c r="BQ136" i="4" a="1"/>
  <c r="BQ136" i="4" s="1"/>
  <c r="BJ136" i="4" a="1"/>
  <c r="BJ136" i="4" s="1"/>
  <c r="Q136" i="4" s="1"/>
  <c r="BU136" i="4" a="1"/>
  <c r="BU136" i="4" s="1"/>
  <c r="CB136" i="4" a="1"/>
  <c r="CB136" i="4" s="1"/>
  <c r="BX136" i="4" a="1"/>
  <c r="BX136" i="4" s="1"/>
  <c r="BN136" i="4" a="1"/>
  <c r="BN136" i="4" s="1"/>
  <c r="EI136" i="4" a="1"/>
  <c r="EI136" i="4" s="1"/>
  <c r="D136" i="4" a="1"/>
  <c r="D136" i="4" s="1"/>
  <c r="BD136" i="4" a="1"/>
  <c r="BD136" i="4" s="1"/>
  <c r="CG136" i="4" a="1"/>
  <c r="CG136" i="4" s="1"/>
  <c r="BM136" i="4" a="1"/>
  <c r="BM136" i="4" s="1"/>
  <c r="EP65" i="4" a="1"/>
  <c r="EP65" i="4" s="1"/>
  <c r="ER65" i="4" a="1"/>
  <c r="ER65" i="4" s="1"/>
  <c r="EQ65" i="4" a="1"/>
  <c r="EQ65" i="4" s="1"/>
  <c r="EL65" i="4" a="1"/>
  <c r="EL65" i="4" s="1"/>
  <c r="ET65" i="4" a="1"/>
  <c r="ET65" i="4" s="1"/>
  <c r="EV65" i="4" a="1"/>
  <c r="EV65" i="4" s="1"/>
  <c r="EO65" i="4" a="1"/>
  <c r="EO65" i="4" s="1"/>
  <c r="EU65" i="4" a="1"/>
  <c r="EU65" i="4" s="1"/>
  <c r="EW65" i="4" a="1"/>
  <c r="EW65" i="4" s="1"/>
  <c r="EM65" i="4" a="1"/>
  <c r="EM65" i="4" s="1"/>
  <c r="EN65" i="4" a="1"/>
  <c r="EN65" i="4" s="1"/>
  <c r="ES65" i="4" a="1"/>
  <c r="ES65" i="4" s="1"/>
  <c r="AL32" i="4"/>
  <c r="BH32" i="4"/>
  <c r="S32" i="4"/>
  <c r="AB32" i="4" s="1"/>
  <c r="P32" i="4"/>
  <c r="BL131" i="4" a="1"/>
  <c r="BL131" i="4" s="1"/>
  <c r="CI131" i="4" a="1"/>
  <c r="CI131" i="4" s="1"/>
  <c r="CG131" i="4" a="1"/>
  <c r="CG131" i="4" s="1"/>
  <c r="BQ131" i="4" a="1"/>
  <c r="BQ131" i="4" s="1"/>
  <c r="BN131" i="4" a="1"/>
  <c r="BN131" i="4" s="1"/>
  <c r="CB131" i="4" a="1"/>
  <c r="CB131" i="4" s="1"/>
  <c r="EH131" i="4" a="1"/>
  <c r="EH131" i="4" s="1"/>
  <c r="D131" i="4" a="1"/>
  <c r="D131" i="4" s="1"/>
  <c r="BJ131" i="4" a="1"/>
  <c r="BJ131" i="4" s="1"/>
  <c r="CH131" i="4" a="1"/>
  <c r="CH131" i="4" s="1"/>
  <c r="BK131" i="4" a="1"/>
  <c r="BK131" i="4" s="1"/>
  <c r="BG131" i="4" a="1"/>
  <c r="BG131" i="4" s="1"/>
  <c r="BV131" i="4" a="1"/>
  <c r="BV131" i="4" s="1"/>
  <c r="BO131" i="4" a="1"/>
  <c r="BO131" i="4" s="1"/>
  <c r="BZ131" i="4" a="1"/>
  <c r="BZ131" i="4" s="1"/>
  <c r="H131" i="4" a="1"/>
  <c r="H131" i="4" s="1"/>
  <c r="L131" i="4" a="1"/>
  <c r="L131" i="4" s="1"/>
  <c r="BR131" i="4" a="1"/>
  <c r="BR131" i="4" s="1"/>
  <c r="CC131" i="4" a="1"/>
  <c r="CC131" i="4" s="1"/>
  <c r="CF131" i="4" a="1"/>
  <c r="CF131" i="4" s="1"/>
  <c r="BE131" i="4" a="1"/>
  <c r="BE131" i="4" s="1"/>
  <c r="AB131" i="4" s="1"/>
  <c r="BU131" i="4" a="1"/>
  <c r="BU131" i="4" s="1"/>
  <c r="BX131" i="4" a="1"/>
  <c r="BX131" i="4" s="1"/>
  <c r="BW131" i="4" a="1"/>
  <c r="BW131" i="4" s="1"/>
  <c r="CA131" i="4" a="1"/>
  <c r="CA131" i="4" s="1"/>
  <c r="CD131" i="4" a="1"/>
  <c r="CD131" i="4" s="1"/>
  <c r="BC131" i="4" a="1"/>
  <c r="BC131" i="4" s="1"/>
  <c r="EJ131" i="4" a="1"/>
  <c r="EJ131" i="4" s="1"/>
  <c r="E131" i="4" a="1"/>
  <c r="E131" i="4" s="1"/>
  <c r="EI131" i="4" a="1"/>
  <c r="EI131" i="4" s="1"/>
  <c r="BD131" i="4" a="1"/>
  <c r="BD131" i="4" s="1"/>
  <c r="BY131" i="4" a="1"/>
  <c r="BY131" i="4" s="1"/>
  <c r="BM131" i="4" a="1"/>
  <c r="BM131" i="4" s="1"/>
  <c r="CE131" i="4" a="1"/>
  <c r="CE131" i="4" s="1"/>
  <c r="W60" i="4"/>
  <c r="Y60" i="4" s="1"/>
  <c r="Q60" i="4"/>
  <c r="Q14" i="4"/>
  <c r="W14" i="4"/>
  <c r="ED133" i="2"/>
  <c r="DX133" i="2"/>
  <c r="DZ133" i="2" s="1"/>
  <c r="EA133" i="2" s="1"/>
  <c r="DV143" i="2"/>
  <c r="DF143" i="2"/>
  <c r="DN143" i="2"/>
  <c r="DP143" i="2" s="1"/>
  <c r="DQ143" i="2" s="1"/>
  <c r="EF143" i="2"/>
  <c r="DU143" i="2"/>
  <c r="BW73" i="4" a="1"/>
  <c r="BW73" i="4" s="1"/>
  <c r="CA73" i="4" a="1"/>
  <c r="CA73" i="4" s="1"/>
  <c r="EH73" i="4" a="1"/>
  <c r="EH73" i="4" s="1"/>
  <c r="CC73" i="4" a="1"/>
  <c r="CC73" i="4" s="1"/>
  <c r="BV73" i="4" a="1"/>
  <c r="BV73" i="4" s="1"/>
  <c r="L73" i="4" a="1"/>
  <c r="L73" i="4" s="1"/>
  <c r="CB73" i="4" a="1"/>
  <c r="CB73" i="4" s="1"/>
  <c r="BY73" i="4" a="1"/>
  <c r="BY73" i="4" s="1"/>
  <c r="D73" i="4" a="1"/>
  <c r="D73" i="4" s="1"/>
  <c r="BQ73" i="4" a="1"/>
  <c r="BQ73" i="4" s="1"/>
  <c r="EJ73" i="4" a="1"/>
  <c r="EJ73" i="4" s="1"/>
  <c r="H73" i="4" a="1"/>
  <c r="H73" i="4" s="1"/>
  <c r="BC73" i="4" a="1"/>
  <c r="BC73" i="4" s="1"/>
  <c r="CE73" i="4" a="1"/>
  <c r="CE73" i="4" s="1"/>
  <c r="BN73" i="4" a="1"/>
  <c r="BN73" i="4" s="1"/>
  <c r="BM73" i="4" a="1"/>
  <c r="BM73" i="4" s="1"/>
  <c r="BL73" i="4" a="1"/>
  <c r="BL73" i="4" s="1"/>
  <c r="BK73" i="4" a="1"/>
  <c r="BK73" i="4" s="1"/>
  <c r="BJ73" i="4" a="1"/>
  <c r="BJ73" i="4" s="1"/>
  <c r="EI73" i="4" a="1"/>
  <c r="EI73" i="4" s="1"/>
  <c r="BG73" i="4" a="1"/>
  <c r="BG73" i="4" s="1"/>
  <c r="BZ73" i="4" a="1"/>
  <c r="BZ73" i="4" s="1"/>
  <c r="CD73" i="4" a="1"/>
  <c r="CD73" i="4" s="1"/>
  <c r="BE73" i="4" a="1"/>
  <c r="BE73" i="4" s="1"/>
  <c r="AB73" i="4" s="1"/>
  <c r="CI73" i="4" a="1"/>
  <c r="CI73" i="4" s="1"/>
  <c r="CH73" i="4" a="1"/>
  <c r="CH73" i="4" s="1"/>
  <c r="CG73" i="4" a="1"/>
  <c r="CG73" i="4" s="1"/>
  <c r="E73" i="4" a="1"/>
  <c r="E73" i="4" s="1"/>
  <c r="BO73" i="4" a="1"/>
  <c r="BO73" i="4" s="1"/>
  <c r="BR73" i="4" a="1"/>
  <c r="BR73" i="4" s="1"/>
  <c r="CF73" i="4" a="1"/>
  <c r="CF73" i="4" s="1"/>
  <c r="BU73" i="4" a="1"/>
  <c r="BU73" i="4" s="1"/>
  <c r="BX73" i="4" a="1"/>
  <c r="BX73" i="4" s="1"/>
  <c r="BD73" i="4" a="1"/>
  <c r="BD73" i="4" s="1"/>
  <c r="AD48" i="4"/>
  <c r="BS48" i="4"/>
  <c r="AE48" i="4"/>
  <c r="BY116" i="4" a="1"/>
  <c r="BY116" i="4" s="1"/>
  <c r="BU116" i="4" a="1"/>
  <c r="BU116" i="4" s="1"/>
  <c r="H116" i="4" a="1"/>
  <c r="H116" i="4" s="1"/>
  <c r="BG116" i="4" a="1"/>
  <c r="BG116" i="4" s="1"/>
  <c r="BQ116" i="4" a="1"/>
  <c r="BQ116" i="4" s="1"/>
  <c r="CA116" i="4" a="1"/>
  <c r="CA116" i="4" s="1"/>
  <c r="CI116" i="4" a="1"/>
  <c r="CI116" i="4" s="1"/>
  <c r="BJ116" i="4" a="1"/>
  <c r="BJ116" i="4" s="1"/>
  <c r="L116" i="4" a="1"/>
  <c r="L116" i="4" s="1"/>
  <c r="BV116" i="4" a="1"/>
  <c r="BV116" i="4" s="1"/>
  <c r="BD116" i="4" a="1"/>
  <c r="BD116" i="4" s="1"/>
  <c r="BK116" i="4" a="1"/>
  <c r="BK116" i="4" s="1"/>
  <c r="BZ116" i="4" a="1"/>
  <c r="BZ116" i="4" s="1"/>
  <c r="BL116" i="4" a="1"/>
  <c r="BL116" i="4" s="1"/>
  <c r="BE116" i="4" a="1"/>
  <c r="BE116" i="4" s="1"/>
  <c r="AB116" i="4" s="1"/>
  <c r="BM116" i="4" a="1"/>
  <c r="BM116" i="4" s="1"/>
  <c r="BN116" i="4" a="1"/>
  <c r="BN116" i="4" s="1"/>
  <c r="BC116" i="4" a="1"/>
  <c r="BC116" i="4" s="1"/>
  <c r="CH116" i="4" a="1"/>
  <c r="CH116" i="4" s="1"/>
  <c r="BW116" i="4" a="1"/>
  <c r="BW116" i="4" s="1"/>
  <c r="CB116" i="4" a="1"/>
  <c r="CB116" i="4" s="1"/>
  <c r="E116" i="4" a="1"/>
  <c r="E116" i="4" s="1"/>
  <c r="EH116" i="4" a="1"/>
  <c r="EH116" i="4" s="1"/>
  <c r="CE116" i="4" a="1"/>
  <c r="CE116" i="4" s="1"/>
  <c r="CC116" i="4" a="1"/>
  <c r="CC116" i="4" s="1"/>
  <c r="D116" i="4" a="1"/>
  <c r="D116" i="4" s="1"/>
  <c r="CD116" i="4" a="1"/>
  <c r="CD116" i="4" s="1"/>
  <c r="BO116" i="4" a="1"/>
  <c r="BO116" i="4" s="1"/>
  <c r="CG116" i="4" a="1"/>
  <c r="CG116" i="4" s="1"/>
  <c r="EJ116" i="4" a="1"/>
  <c r="EJ116" i="4" s="1"/>
  <c r="EI116" i="4" a="1"/>
  <c r="EI116" i="4" s="1"/>
  <c r="BR116" i="4" a="1"/>
  <c r="BR116" i="4" s="1"/>
  <c r="CF116" i="4" a="1"/>
  <c r="CF116" i="4" s="1"/>
  <c r="BX116" i="4" a="1"/>
  <c r="BX116" i="4" s="1"/>
  <c r="AN50" i="4"/>
  <c r="CJ50" i="4"/>
  <c r="EK50" i="4"/>
  <c r="S22" i="4"/>
  <c r="AB22" i="4" s="1"/>
  <c r="BH22" i="4"/>
  <c r="AL22" i="4"/>
  <c r="P22" i="4"/>
  <c r="CJ56" i="4"/>
  <c r="AN56" i="4"/>
  <c r="EK56" i="4"/>
  <c r="AN69" i="4"/>
  <c r="CJ69" i="4"/>
  <c r="EK69" i="4"/>
  <c r="BS69" i="4"/>
  <c r="AD69" i="4"/>
  <c r="AE69" i="4"/>
  <c r="EQ66" i="4" a="1"/>
  <c r="EQ66" i="4" s="1"/>
  <c r="ER66" i="4" a="1"/>
  <c r="ER66" i="4" s="1"/>
  <c r="EW66" i="4" a="1"/>
  <c r="EW66" i="4" s="1"/>
  <c r="EL66" i="4" a="1"/>
  <c r="EL66" i="4" s="1"/>
  <c r="EU66" i="4" a="1"/>
  <c r="EU66" i="4" s="1"/>
  <c r="EP66" i="4" a="1"/>
  <c r="EP66" i="4" s="1"/>
  <c r="ES66" i="4" a="1"/>
  <c r="ES66" i="4" s="1"/>
  <c r="EN66" i="4" a="1"/>
  <c r="EN66" i="4" s="1"/>
  <c r="EO66" i="4" a="1"/>
  <c r="EO66" i="4" s="1"/>
  <c r="EV66" i="4" a="1"/>
  <c r="EV66" i="4" s="1"/>
  <c r="EM66" i="4" a="1"/>
  <c r="EM66" i="4" s="1"/>
  <c r="ET66" i="4" a="1"/>
  <c r="ET66" i="4" s="1"/>
  <c r="EG57" i="2"/>
  <c r="DY57" i="2"/>
  <c r="EK119" i="4"/>
  <c r="BS132" i="4"/>
  <c r="AD132" i="4"/>
  <c r="AE132" i="4"/>
  <c r="W85" i="4"/>
  <c r="Y85" i="4" s="1"/>
  <c r="Q85" i="4"/>
  <c r="AN58" i="4"/>
  <c r="EK58" i="4"/>
  <c r="CJ58" i="4"/>
  <c r="BU96" i="4" a="1"/>
  <c r="BU96" i="4" s="1"/>
  <c r="BG96" i="4" a="1"/>
  <c r="BG96" i="4" s="1"/>
  <c r="CC96" i="4" a="1"/>
  <c r="CC96" i="4" s="1"/>
  <c r="BR96" i="4" a="1"/>
  <c r="BR96" i="4" s="1"/>
  <c r="BC96" i="4" a="1"/>
  <c r="BC96" i="4" s="1"/>
  <c r="CH96" i="4" a="1"/>
  <c r="CH96" i="4" s="1"/>
  <c r="EI96" i="4" a="1"/>
  <c r="EI96" i="4" s="1"/>
  <c r="BO96" i="4" a="1"/>
  <c r="BO96" i="4" s="1"/>
  <c r="EJ96" i="4" a="1"/>
  <c r="EJ96" i="4" s="1"/>
  <c r="BZ96" i="4" a="1"/>
  <c r="BZ96" i="4" s="1"/>
  <c r="E96" i="4" a="1"/>
  <c r="E96" i="4" s="1"/>
  <c r="BN96" i="4" a="1"/>
  <c r="BN96" i="4" s="1"/>
  <c r="BE96" i="4" a="1"/>
  <c r="BE96" i="4" s="1"/>
  <c r="AB96" i="4" s="1"/>
  <c r="CB96" i="4" a="1"/>
  <c r="CB96" i="4" s="1"/>
  <c r="EH96" i="4" a="1"/>
  <c r="EH96" i="4" s="1"/>
  <c r="D96" i="4" a="1"/>
  <c r="D96" i="4" s="1"/>
  <c r="BL96" i="4" a="1"/>
  <c r="BL96" i="4" s="1"/>
  <c r="BQ96" i="4" a="1"/>
  <c r="BQ96" i="4" s="1"/>
  <c r="CA96" i="4" a="1"/>
  <c r="CA96" i="4" s="1"/>
  <c r="BY96" i="4" a="1"/>
  <c r="BY96" i="4" s="1"/>
  <c r="H96" i="4" a="1"/>
  <c r="H96" i="4" s="1"/>
  <c r="CG96" i="4" a="1"/>
  <c r="CG96" i="4" s="1"/>
  <c r="L96" i="4" a="1"/>
  <c r="L96" i="4" s="1"/>
  <c r="CD96" i="4" a="1"/>
  <c r="CD96" i="4" s="1"/>
  <c r="CI96" i="4" a="1"/>
  <c r="CI96" i="4" s="1"/>
  <c r="BV96" i="4" a="1"/>
  <c r="BV96" i="4" s="1"/>
  <c r="CE96" i="4" a="1"/>
  <c r="CE96" i="4" s="1"/>
  <c r="BX96" i="4" a="1"/>
  <c r="BX96" i="4" s="1"/>
  <c r="BK96" i="4" a="1"/>
  <c r="BK96" i="4" s="1"/>
  <c r="BM96" i="4" a="1"/>
  <c r="BM96" i="4" s="1"/>
  <c r="BJ96" i="4" a="1"/>
  <c r="BJ96" i="4" s="1"/>
  <c r="BD96" i="4" a="1"/>
  <c r="BD96" i="4" s="1"/>
  <c r="CF96" i="4" a="1"/>
  <c r="CF96" i="4" s="1"/>
  <c r="BW96" i="4" a="1"/>
  <c r="BW96" i="4" s="1"/>
  <c r="EK59" i="4"/>
  <c r="CJ59" i="4"/>
  <c r="AN59" i="4"/>
  <c r="CJ42" i="4"/>
  <c r="EK42" i="4"/>
  <c r="AN42" i="4"/>
  <c r="AE41" i="4"/>
  <c r="BS41" i="4"/>
  <c r="AD41" i="4"/>
  <c r="AN51" i="4"/>
  <c r="EK51" i="4"/>
  <c r="CJ51" i="4"/>
  <c r="W49" i="4"/>
  <c r="Q49" i="4"/>
  <c r="DY65" i="4" a="1"/>
  <c r="DY65" i="4" s="1"/>
  <c r="EE65" i="4" a="1"/>
  <c r="EE65" i="4" s="1"/>
  <c r="DR65" i="4" a="1"/>
  <c r="DR65" i="4" s="1"/>
  <c r="DM65" i="4" a="1"/>
  <c r="DM65" i="4" s="1"/>
  <c r="DW65" i="4" a="1"/>
  <c r="DW65" i="4" s="1"/>
  <c r="DZ65" i="4" a="1"/>
  <c r="DZ65" i="4" s="1"/>
  <c r="EB65" i="4" a="1"/>
  <c r="EB65" i="4" s="1"/>
  <c r="DU65" i="4" a="1"/>
  <c r="DU65" i="4" s="1"/>
  <c r="EA65" i="4" a="1"/>
  <c r="EA65" i="4" s="1"/>
  <c r="DN65" i="4" a="1"/>
  <c r="DN65" i="4" s="1"/>
  <c r="DK65" i="4" a="1"/>
  <c r="DK65" i="4" s="1"/>
  <c r="EC65" i="4" a="1"/>
  <c r="EC65" i="4" s="1"/>
  <c r="ED65" i="4" a="1"/>
  <c r="ED65" i="4" s="1"/>
  <c r="DJ65" i="4" a="1"/>
  <c r="DJ65" i="4" s="1"/>
  <c r="DO65" i="4" a="1"/>
  <c r="DO65" i="4" s="1"/>
  <c r="DP65" i="4" a="1"/>
  <c r="DP65" i="4" s="1"/>
  <c r="DI65" i="4" a="1"/>
  <c r="DI65" i="4" s="1"/>
  <c r="EF65" i="4" a="1"/>
  <c r="EF65" i="4" s="1"/>
  <c r="DL65" i="4" a="1"/>
  <c r="DL65" i="4" s="1"/>
  <c r="DX65" i="4" a="1"/>
  <c r="DX65" i="4" s="1"/>
  <c r="DS65" i="4" a="1"/>
  <c r="DS65" i="4" s="1"/>
  <c r="DV65" i="4" a="1"/>
  <c r="DV65" i="4" s="1"/>
  <c r="DQ65" i="4" a="1"/>
  <c r="DQ65" i="4" s="1"/>
  <c r="DT65" i="4" a="1"/>
  <c r="DT65" i="4" s="1"/>
  <c r="CJ61" i="4"/>
  <c r="AN61" i="4"/>
  <c r="EK61" i="4"/>
  <c r="CB140" i="4" a="1"/>
  <c r="CB140" i="4" s="1"/>
  <c r="E140" i="4" a="1"/>
  <c r="E140" i="4" s="1"/>
  <c r="L140" i="4" a="1"/>
  <c r="L140" i="4" s="1"/>
  <c r="CE140" i="4" a="1"/>
  <c r="CE140" i="4" s="1"/>
  <c r="BQ140" i="4" a="1"/>
  <c r="BQ140" i="4" s="1"/>
  <c r="EH140" i="4" a="1"/>
  <c r="EH140" i="4" s="1"/>
  <c r="BD140" i="4" a="1"/>
  <c r="BD140" i="4" s="1"/>
  <c r="BO140" i="4" a="1"/>
  <c r="BO140" i="4" s="1"/>
  <c r="EJ140" i="4" a="1"/>
  <c r="EJ140" i="4" s="1"/>
  <c r="BU140" i="4" a="1"/>
  <c r="BU140" i="4" s="1"/>
  <c r="BW140" i="4" a="1"/>
  <c r="BW140" i="4" s="1"/>
  <c r="CD140" i="4" a="1"/>
  <c r="CD140" i="4" s="1"/>
  <c r="CF140" i="4" a="1"/>
  <c r="CF140" i="4" s="1"/>
  <c r="CC140" i="4" a="1"/>
  <c r="CC140" i="4" s="1"/>
  <c r="BX140" i="4" a="1"/>
  <c r="BX140" i="4" s="1"/>
  <c r="BV140" i="4" a="1"/>
  <c r="BV140" i="4" s="1"/>
  <c r="BM140" i="4" a="1"/>
  <c r="BM140" i="4" s="1"/>
  <c r="BR140" i="4" a="1"/>
  <c r="BR140" i="4" s="1"/>
  <c r="BZ140" i="4" a="1"/>
  <c r="BZ140" i="4" s="1"/>
  <c r="BY140" i="4" a="1"/>
  <c r="BY140" i="4" s="1"/>
  <c r="BL140" i="4" a="1"/>
  <c r="BL140" i="4" s="1"/>
  <c r="BK140" i="4" a="1"/>
  <c r="BK140" i="4" s="1"/>
  <c r="BJ140" i="4" a="1"/>
  <c r="BJ140" i="4" s="1"/>
  <c r="Q140" i="4" s="1"/>
  <c r="CA140" i="4" a="1"/>
  <c r="CA140" i="4" s="1"/>
  <c r="EI140" i="4" a="1"/>
  <c r="EI140" i="4" s="1"/>
  <c r="D140" i="4" a="1"/>
  <c r="D140" i="4" s="1"/>
  <c r="CG140" i="4" a="1"/>
  <c r="CG140" i="4" s="1"/>
  <c r="BE140" i="4" a="1"/>
  <c r="BE140" i="4" s="1"/>
  <c r="CI140" i="4" a="1"/>
  <c r="CI140" i="4" s="1"/>
  <c r="BG140" i="4" a="1"/>
  <c r="BG140" i="4" s="1"/>
  <c r="BN140" i="4" a="1"/>
  <c r="BN140" i="4" s="1"/>
  <c r="H140" i="4" a="1"/>
  <c r="H140" i="4" s="1"/>
  <c r="BC140" i="4" a="1"/>
  <c r="BC140" i="4" s="1"/>
  <c r="CH140" i="4" a="1"/>
  <c r="CH140" i="4" s="1"/>
  <c r="BU75" i="4" a="1"/>
  <c r="BU75" i="4" s="1"/>
  <c r="BO75" i="4" a="1"/>
  <c r="BO75" i="4" s="1"/>
  <c r="CI75" i="4" a="1"/>
  <c r="CI75" i="4" s="1"/>
  <c r="BN75" i="4" a="1"/>
  <c r="BN75" i="4" s="1"/>
  <c r="CA75" i="4" a="1"/>
  <c r="CA75" i="4" s="1"/>
  <c r="CE75" i="4" a="1"/>
  <c r="CE75" i="4" s="1"/>
  <c r="BL75" i="4" a="1"/>
  <c r="BL75" i="4" s="1"/>
  <c r="BE75" i="4" a="1"/>
  <c r="BE75" i="4" s="1"/>
  <c r="AB75" i="4" s="1"/>
  <c r="CB75" i="4" a="1"/>
  <c r="CB75" i="4" s="1"/>
  <c r="BZ75" i="4" a="1"/>
  <c r="BZ75" i="4" s="1"/>
  <c r="E75" i="4" a="1"/>
  <c r="E75" i="4" s="1"/>
  <c r="BX75" i="4" a="1"/>
  <c r="BX75" i="4" s="1"/>
  <c r="EJ75" i="4" a="1"/>
  <c r="EJ75" i="4" s="1"/>
  <c r="L75" i="4" a="1"/>
  <c r="L75" i="4" s="1"/>
  <c r="BG75" i="4" a="1"/>
  <c r="BG75" i="4" s="1"/>
  <c r="CH75" i="4" a="1"/>
  <c r="CH75" i="4" s="1"/>
  <c r="BR75" i="4" a="1"/>
  <c r="BR75" i="4" s="1"/>
  <c r="EH75" i="4" a="1"/>
  <c r="EH75" i="4" s="1"/>
  <c r="BY75" i="4" a="1"/>
  <c r="BY75" i="4" s="1"/>
  <c r="CC75" i="4" a="1"/>
  <c r="CC75" i="4" s="1"/>
  <c r="BC75" i="4" a="1"/>
  <c r="BC75" i="4" s="1"/>
  <c r="BV75" i="4" a="1"/>
  <c r="BV75" i="4" s="1"/>
  <c r="CD75" i="4" a="1"/>
  <c r="CD75" i="4" s="1"/>
  <c r="D75" i="4" a="1"/>
  <c r="D75" i="4" s="1"/>
  <c r="EI75" i="4" a="1"/>
  <c r="EI75" i="4" s="1"/>
  <c r="BD75" i="4" a="1"/>
  <c r="BD75" i="4" s="1"/>
  <c r="BJ75" i="4" a="1"/>
  <c r="BJ75" i="4" s="1"/>
  <c r="H75" i="4" a="1"/>
  <c r="H75" i="4" s="1"/>
  <c r="CG75" i="4" a="1"/>
  <c r="CG75" i="4" s="1"/>
  <c r="BW75" i="4" a="1"/>
  <c r="BW75" i="4" s="1"/>
  <c r="CF75" i="4" a="1"/>
  <c r="CF75" i="4" s="1"/>
  <c r="BM75" i="4" a="1"/>
  <c r="BM75" i="4" s="1"/>
  <c r="BK75" i="4" a="1"/>
  <c r="BK75" i="4" s="1"/>
  <c r="BQ75" i="4" a="1"/>
  <c r="BQ75" i="4" s="1"/>
  <c r="Q68" i="4"/>
  <c r="W68" i="4"/>
  <c r="Y68" i="4" s="1"/>
  <c r="EE15" i="2"/>
  <c r="EB15" i="2"/>
  <c r="EC15" i="2"/>
  <c r="ED143" i="2"/>
  <c r="DX143" i="2"/>
  <c r="DZ143" i="2" s="1"/>
  <c r="EA143" i="2" s="1"/>
  <c r="DV9" i="2"/>
  <c r="DF9" i="2"/>
  <c r="EF9" i="2"/>
  <c r="DU9" i="2"/>
  <c r="DN9" i="2"/>
  <c r="DP9" i="2" s="1"/>
  <c r="DQ9" i="2" s="1"/>
  <c r="S8" i="4"/>
  <c r="AB8" i="4" s="1"/>
  <c r="AL8" i="4"/>
  <c r="BH8" i="4"/>
  <c r="P8" i="4"/>
  <c r="BN113" i="4" a="1"/>
  <c r="BN113" i="4" s="1"/>
  <c r="E113" i="4" a="1"/>
  <c r="E113" i="4" s="1"/>
  <c r="H113" i="4" a="1"/>
  <c r="H113" i="4" s="1"/>
  <c r="EI113" i="4" a="1"/>
  <c r="EI113" i="4" s="1"/>
  <c r="BV113" i="4" a="1"/>
  <c r="BV113" i="4" s="1"/>
  <c r="BC113" i="4" a="1"/>
  <c r="BC113" i="4" s="1"/>
  <c r="CE113" i="4" a="1"/>
  <c r="CE113" i="4" s="1"/>
  <c r="CI113" i="4" a="1"/>
  <c r="CI113" i="4" s="1"/>
  <c r="BG113" i="4" a="1"/>
  <c r="BG113" i="4" s="1"/>
  <c r="L113" i="4" a="1"/>
  <c r="L113" i="4" s="1"/>
  <c r="BE113" i="4" a="1"/>
  <c r="BE113" i="4" s="1"/>
  <c r="CH113" i="4" a="1"/>
  <c r="CH113" i="4" s="1"/>
  <c r="CG113" i="4" a="1"/>
  <c r="CG113" i="4" s="1"/>
  <c r="BD113" i="4" a="1"/>
  <c r="BD113" i="4" s="1"/>
  <c r="CD113" i="4" a="1"/>
  <c r="CD113" i="4" s="1"/>
  <c r="BX113" i="4" a="1"/>
  <c r="BX113" i="4" s="1"/>
  <c r="BO113" i="4" a="1"/>
  <c r="BO113" i="4" s="1"/>
  <c r="BR113" i="4" a="1"/>
  <c r="BR113" i="4" s="1"/>
  <c r="BY113" i="4" a="1"/>
  <c r="BY113" i="4" s="1"/>
  <c r="CF113" i="4" a="1"/>
  <c r="CF113" i="4" s="1"/>
  <c r="CC113" i="4" a="1"/>
  <c r="CC113" i="4" s="1"/>
  <c r="BW113" i="4" a="1"/>
  <c r="BW113" i="4" s="1"/>
  <c r="D113" i="4" a="1"/>
  <c r="D113" i="4" s="1"/>
  <c r="BU113" i="4" a="1"/>
  <c r="BU113" i="4" s="1"/>
  <c r="EJ113" i="4" a="1"/>
  <c r="EJ113" i="4" s="1"/>
  <c r="BJ113" i="4" a="1"/>
  <c r="BJ113" i="4" s="1"/>
  <c r="Q113" i="4" s="1"/>
  <c r="BZ113" i="4" a="1"/>
  <c r="BZ113" i="4" s="1"/>
  <c r="CB113" i="4" a="1"/>
  <c r="CB113" i="4" s="1"/>
  <c r="BL113" i="4" a="1"/>
  <c r="BL113" i="4" s="1"/>
  <c r="BK113" i="4" a="1"/>
  <c r="BK113" i="4" s="1"/>
  <c r="EH113" i="4" a="1"/>
  <c r="EH113" i="4" s="1"/>
  <c r="BM113" i="4" a="1"/>
  <c r="BM113" i="4" s="1"/>
  <c r="CA113" i="4" a="1"/>
  <c r="CA113" i="4" s="1"/>
  <c r="BQ113" i="4" a="1"/>
  <c r="BQ113" i="4" s="1"/>
  <c r="S50" i="4"/>
  <c r="AB50" i="4" s="1"/>
  <c r="AL50" i="4"/>
  <c r="BH50" i="4"/>
  <c r="P50" i="4"/>
  <c r="EE82" i="2"/>
  <c r="EC82" i="2"/>
  <c r="EB82" i="2"/>
  <c r="W72" i="4"/>
  <c r="Y72" i="4" s="1"/>
  <c r="Q72" i="4"/>
  <c r="W27" i="4"/>
  <c r="Q27" i="4"/>
  <c r="EB12" i="2"/>
  <c r="EC12" i="2"/>
  <c r="EE12" i="2"/>
  <c r="Y110" i="4"/>
  <c r="Z110" i="4"/>
  <c r="DS281" i="2"/>
  <c r="DT281" i="2"/>
  <c r="DR281" i="2"/>
  <c r="W17" i="4"/>
  <c r="Y17" i="4" s="1"/>
  <c r="Q17" i="4"/>
  <c r="AN132" i="4"/>
  <c r="EK132" i="4"/>
  <c r="CJ132" i="4"/>
  <c r="Q11" i="4"/>
  <c r="W11" i="4"/>
  <c r="Y11" i="4" s="1"/>
  <c r="CJ45" i="4"/>
  <c r="AN45" i="4"/>
  <c r="EK45" i="4"/>
  <c r="BR91" i="4" a="1"/>
  <c r="BR91" i="4" s="1"/>
  <c r="EJ91" i="4" a="1"/>
  <c r="EJ91" i="4" s="1"/>
  <c r="BW91" i="4" a="1"/>
  <c r="BW91" i="4" s="1"/>
  <c r="BL91" i="4" a="1"/>
  <c r="BL91" i="4" s="1"/>
  <c r="D91" i="4" a="1"/>
  <c r="D91" i="4" s="1"/>
  <c r="BO91" i="4" a="1"/>
  <c r="BO91" i="4" s="1"/>
  <c r="BN91" i="4" a="1"/>
  <c r="BN91" i="4" s="1"/>
  <c r="BM91" i="4" a="1"/>
  <c r="BM91" i="4" s="1"/>
  <c r="EI91" i="4" a="1"/>
  <c r="EI91" i="4" s="1"/>
  <c r="BD91" i="4" a="1"/>
  <c r="BD91" i="4" s="1"/>
  <c r="L91" i="4" a="1"/>
  <c r="L91" i="4" s="1"/>
  <c r="CC91" i="4" a="1"/>
  <c r="CC91" i="4" s="1"/>
  <c r="EH91" i="4" a="1"/>
  <c r="EH91" i="4" s="1"/>
  <c r="BG91" i="4" a="1"/>
  <c r="BG91" i="4" s="1"/>
  <c r="BJ91" i="4" a="1"/>
  <c r="BJ91" i="4" s="1"/>
  <c r="CI91" i="4" a="1"/>
  <c r="CI91" i="4" s="1"/>
  <c r="CD91" i="4" a="1"/>
  <c r="CD91" i="4" s="1"/>
  <c r="BV91" i="4" a="1"/>
  <c r="BV91" i="4" s="1"/>
  <c r="H91" i="4" a="1"/>
  <c r="H91" i="4" s="1"/>
  <c r="BE91" i="4" a="1"/>
  <c r="BE91" i="4" s="1"/>
  <c r="AB91" i="4" s="1"/>
  <c r="CF91" i="4" a="1"/>
  <c r="CF91" i="4" s="1"/>
  <c r="BQ91" i="4" a="1"/>
  <c r="BQ91" i="4" s="1"/>
  <c r="BK91" i="4" a="1"/>
  <c r="BK91" i="4" s="1"/>
  <c r="BZ91" i="4" a="1"/>
  <c r="BZ91" i="4" s="1"/>
  <c r="CH91" i="4" a="1"/>
  <c r="CH91" i="4" s="1"/>
  <c r="BC91" i="4" a="1"/>
  <c r="BC91" i="4" s="1"/>
  <c r="BX91" i="4" a="1"/>
  <c r="BX91" i="4" s="1"/>
  <c r="CG91" i="4" a="1"/>
  <c r="CG91" i="4" s="1"/>
  <c r="CA91" i="4" a="1"/>
  <c r="CA91" i="4" s="1"/>
  <c r="BU91" i="4" a="1"/>
  <c r="BU91" i="4" s="1"/>
  <c r="CB91" i="4" a="1"/>
  <c r="CB91" i="4" s="1"/>
  <c r="CE91" i="4" a="1"/>
  <c r="CE91" i="4" s="1"/>
  <c r="E91" i="4" a="1"/>
  <c r="E91" i="4" s="1"/>
  <c r="BY91" i="4" a="1"/>
  <c r="BY91" i="4" s="1"/>
  <c r="P24" i="4"/>
  <c r="AL24" i="4"/>
  <c r="BH24" i="4"/>
  <c r="S24" i="4"/>
  <c r="AB24" i="4" s="1"/>
  <c r="L137" i="4" a="1"/>
  <c r="L137" i="4" s="1"/>
  <c r="BX137" i="4" a="1"/>
  <c r="BX137" i="4" s="1"/>
  <c r="BD137" i="4" a="1"/>
  <c r="BD137" i="4" s="1"/>
  <c r="H137" i="4" a="1"/>
  <c r="H137" i="4" s="1"/>
  <c r="EJ137" i="4" a="1"/>
  <c r="EJ137" i="4" s="1"/>
  <c r="BN137" i="4" a="1"/>
  <c r="BN137" i="4" s="1"/>
  <c r="BK137" i="4" a="1"/>
  <c r="BK137" i="4" s="1"/>
  <c r="CE137" i="4" a="1"/>
  <c r="CE137" i="4" s="1"/>
  <c r="CG137" i="4" a="1"/>
  <c r="CG137" i="4" s="1"/>
  <c r="EI137" i="4" a="1"/>
  <c r="EI137" i="4" s="1"/>
  <c r="BO137" i="4" a="1"/>
  <c r="BO137" i="4" s="1"/>
  <c r="E137" i="4" a="1"/>
  <c r="E137" i="4" s="1"/>
  <c r="EH137" i="4" a="1"/>
  <c r="EH137" i="4" s="1"/>
  <c r="BG137" i="4" a="1"/>
  <c r="BG137" i="4" s="1"/>
  <c r="D137" i="4" a="1"/>
  <c r="D137" i="4" s="1"/>
  <c r="BZ137" i="4" a="1"/>
  <c r="BZ137" i="4" s="1"/>
  <c r="CC137" i="4" a="1"/>
  <c r="CC137" i="4" s="1"/>
  <c r="BE137" i="4" a="1"/>
  <c r="BE137" i="4" s="1"/>
  <c r="BJ137" i="4" a="1"/>
  <c r="BJ137" i="4" s="1"/>
  <c r="Q137" i="4" s="1"/>
  <c r="CI137" i="4" a="1"/>
  <c r="CI137" i="4" s="1"/>
  <c r="BY137" i="4" a="1"/>
  <c r="BY137" i="4" s="1"/>
  <c r="BC137" i="4" a="1"/>
  <c r="BC137" i="4" s="1"/>
  <c r="BQ137" i="4" a="1"/>
  <c r="BQ137" i="4" s="1"/>
  <c r="BV137" i="4" a="1"/>
  <c r="BV137" i="4" s="1"/>
  <c r="BW137" i="4" a="1"/>
  <c r="BW137" i="4" s="1"/>
  <c r="CF137" i="4" a="1"/>
  <c r="CF137" i="4" s="1"/>
  <c r="CD137" i="4" a="1"/>
  <c r="CD137" i="4" s="1"/>
  <c r="BM137" i="4" a="1"/>
  <c r="BM137" i="4" s="1"/>
  <c r="BU137" i="4" a="1"/>
  <c r="BU137" i="4" s="1"/>
  <c r="BR137" i="4" a="1"/>
  <c r="BR137" i="4" s="1"/>
  <c r="BL137" i="4" a="1"/>
  <c r="BL137" i="4" s="1"/>
  <c r="CH137" i="4" a="1"/>
  <c r="CH137" i="4" s="1"/>
  <c r="CB137" i="4" a="1"/>
  <c r="CB137" i="4" s="1"/>
  <c r="CA137" i="4" a="1"/>
  <c r="CA137" i="4" s="1"/>
  <c r="EB269" i="2"/>
  <c r="EC269" i="2"/>
  <c r="EE269" i="2"/>
  <c r="DE37" i="2"/>
  <c r="DD37" i="2"/>
  <c r="AD126" i="4"/>
  <c r="BS126" i="4"/>
  <c r="AE126" i="4"/>
  <c r="Q25" i="4"/>
  <c r="W25" i="4"/>
  <c r="DR186" i="2"/>
  <c r="DT186" i="2"/>
  <c r="DS186" i="2"/>
  <c r="BM106" i="4" a="1"/>
  <c r="BM106" i="4" s="1"/>
  <c r="CA106" i="4" a="1"/>
  <c r="CA106" i="4" s="1"/>
  <c r="CC106" i="4" a="1"/>
  <c r="CC106" i="4" s="1"/>
  <c r="BN106" i="4" a="1"/>
  <c r="BN106" i="4" s="1"/>
  <c r="BJ106" i="4" a="1"/>
  <c r="BJ106" i="4" s="1"/>
  <c r="Q106" i="4" s="1"/>
  <c r="EH106" i="4" a="1"/>
  <c r="EH106" i="4" s="1"/>
  <c r="D106" i="4" a="1"/>
  <c r="D106" i="4" s="1"/>
  <c r="E106" i="4" a="1"/>
  <c r="E106" i="4" s="1"/>
  <c r="CB106" i="4" a="1"/>
  <c r="CB106" i="4" s="1"/>
  <c r="BQ106" i="4" a="1"/>
  <c r="BQ106" i="4" s="1"/>
  <c r="L106" i="4" a="1"/>
  <c r="L106" i="4" s="1"/>
  <c r="CH106" i="4" a="1"/>
  <c r="CH106" i="4" s="1"/>
  <c r="BY106" i="4" a="1"/>
  <c r="BY106" i="4" s="1"/>
  <c r="BU106" i="4" a="1"/>
  <c r="BU106" i="4" s="1"/>
  <c r="BE106" i="4" a="1"/>
  <c r="BE106" i="4" s="1"/>
  <c r="BC106" i="4" a="1"/>
  <c r="BC106" i="4" s="1"/>
  <c r="BL106" i="4" a="1"/>
  <c r="BL106" i="4" s="1"/>
  <c r="BW106" i="4" a="1"/>
  <c r="BW106" i="4" s="1"/>
  <c r="BV106" i="4" a="1"/>
  <c r="BV106" i="4" s="1"/>
  <c r="BX106" i="4" a="1"/>
  <c r="BX106" i="4" s="1"/>
  <c r="CF106" i="4" a="1"/>
  <c r="CF106" i="4" s="1"/>
  <c r="CE106" i="4" a="1"/>
  <c r="CE106" i="4" s="1"/>
  <c r="BG106" i="4" a="1"/>
  <c r="BG106" i="4" s="1"/>
  <c r="BK106" i="4" a="1"/>
  <c r="BK106" i="4" s="1"/>
  <c r="BO106" i="4" a="1"/>
  <c r="BO106" i="4" s="1"/>
  <c r="BD106" i="4" a="1"/>
  <c r="BD106" i="4" s="1"/>
  <c r="BZ106" i="4" a="1"/>
  <c r="BZ106" i="4" s="1"/>
  <c r="CG106" i="4" a="1"/>
  <c r="CG106" i="4" s="1"/>
  <c r="CD106" i="4" a="1"/>
  <c r="CD106" i="4" s="1"/>
  <c r="CI106" i="4" a="1"/>
  <c r="CI106" i="4" s="1"/>
  <c r="BR106" i="4" a="1"/>
  <c r="BR106" i="4" s="1"/>
  <c r="H106" i="4" a="1"/>
  <c r="H106" i="4" s="1"/>
  <c r="EJ106" i="4" a="1"/>
  <c r="EJ106" i="4" s="1"/>
  <c r="EI106" i="4" a="1"/>
  <c r="EI106" i="4" s="1"/>
  <c r="BE87" i="4" a="1"/>
  <c r="BE87" i="4" s="1"/>
  <c r="BV87" i="4" a="1"/>
  <c r="BV87" i="4" s="1"/>
  <c r="CH87" i="4" a="1"/>
  <c r="CH87" i="4" s="1"/>
  <c r="L87" i="4" a="1"/>
  <c r="L87" i="4" s="1"/>
  <c r="EI87" i="4" a="1"/>
  <c r="EI87" i="4" s="1"/>
  <c r="CB87" i="4" a="1"/>
  <c r="CB87" i="4" s="1"/>
  <c r="CD87" i="4" a="1"/>
  <c r="CD87" i="4" s="1"/>
  <c r="BG87" i="4" a="1"/>
  <c r="BG87" i="4" s="1"/>
  <c r="H87" i="4" a="1"/>
  <c r="H87" i="4" s="1"/>
  <c r="BC87" i="4" a="1"/>
  <c r="BC87" i="4" s="1"/>
  <c r="D87" i="4" a="1"/>
  <c r="D87" i="4" s="1"/>
  <c r="BQ87" i="4" a="1"/>
  <c r="BQ87" i="4" s="1"/>
  <c r="CE87" i="4" a="1"/>
  <c r="CE87" i="4" s="1"/>
  <c r="BL87" i="4" a="1"/>
  <c r="BL87" i="4" s="1"/>
  <c r="CI87" i="4" a="1"/>
  <c r="CI87" i="4" s="1"/>
  <c r="BO87" i="4" a="1"/>
  <c r="BO87" i="4" s="1"/>
  <c r="BU87" i="4" a="1"/>
  <c r="BU87" i="4" s="1"/>
  <c r="BJ87" i="4" a="1"/>
  <c r="BJ87" i="4" s="1"/>
  <c r="Q87" i="4" s="1"/>
  <c r="BR87" i="4" a="1"/>
  <c r="BR87" i="4" s="1"/>
  <c r="BX87" i="4" a="1"/>
  <c r="BX87" i="4" s="1"/>
  <c r="BZ87" i="4" a="1"/>
  <c r="BZ87" i="4" s="1"/>
  <c r="CF87" i="4" a="1"/>
  <c r="CF87" i="4" s="1"/>
  <c r="EJ87" i="4" a="1"/>
  <c r="EJ87" i="4" s="1"/>
  <c r="BN87" i="4" a="1"/>
  <c r="BN87" i="4" s="1"/>
  <c r="CA87" i="4" a="1"/>
  <c r="CA87" i="4" s="1"/>
  <c r="BM87" i="4" a="1"/>
  <c r="BM87" i="4" s="1"/>
  <c r="CG87" i="4" a="1"/>
  <c r="CG87" i="4" s="1"/>
  <c r="BW87" i="4" a="1"/>
  <c r="BW87" i="4" s="1"/>
  <c r="BY87" i="4" a="1"/>
  <c r="BY87" i="4" s="1"/>
  <c r="CC87" i="4" a="1"/>
  <c r="CC87" i="4" s="1"/>
  <c r="EH87" i="4" a="1"/>
  <c r="EH87" i="4" s="1"/>
  <c r="BK87" i="4" a="1"/>
  <c r="BK87" i="4" s="1"/>
  <c r="E87" i="4" a="1"/>
  <c r="E87" i="4" s="1"/>
  <c r="BD87" i="4" a="1"/>
  <c r="BD87" i="4" s="1"/>
  <c r="W40" i="4"/>
  <c r="Y40" i="4" s="1"/>
  <c r="Q40" i="4"/>
  <c r="W58" i="4"/>
  <c r="Y58" i="4" s="1"/>
  <c r="Q58" i="4"/>
  <c r="EC186" i="2"/>
  <c r="EE186" i="2"/>
  <c r="EB186" i="2"/>
  <c r="AN79" i="4"/>
  <c r="CJ79" i="4"/>
  <c r="EK79" i="4"/>
  <c r="BH79" i="4"/>
  <c r="AL79" i="4"/>
  <c r="P79" i="4"/>
  <c r="S79" i="4"/>
  <c r="AB79" i="4" s="1"/>
  <c r="DE182" i="2"/>
  <c r="DD182" i="2"/>
  <c r="EJ133" i="4" a="1"/>
  <c r="EJ133" i="4" s="1"/>
  <c r="BJ133" i="4" a="1"/>
  <c r="BJ133" i="4" s="1"/>
  <c r="BV133" i="4" a="1"/>
  <c r="BV133" i="4" s="1"/>
  <c r="BD133" i="4" a="1"/>
  <c r="BD133" i="4" s="1"/>
  <c r="BM133" i="4" a="1"/>
  <c r="BM133" i="4" s="1"/>
  <c r="H133" i="4" a="1"/>
  <c r="H133" i="4" s="1"/>
  <c r="BY133" i="4" a="1"/>
  <c r="BY133" i="4" s="1"/>
  <c r="CC133" i="4" a="1"/>
  <c r="CC133" i="4" s="1"/>
  <c r="BR133" i="4" a="1"/>
  <c r="BR133" i="4" s="1"/>
  <c r="BG133" i="4" a="1"/>
  <c r="BG133" i="4" s="1"/>
  <c r="BW133" i="4" a="1"/>
  <c r="BW133" i="4" s="1"/>
  <c r="E133" i="4" a="1"/>
  <c r="E133" i="4" s="1"/>
  <c r="BQ133" i="4" a="1"/>
  <c r="BQ133" i="4" s="1"/>
  <c r="BK133" i="4" a="1"/>
  <c r="BK133" i="4" s="1"/>
  <c r="BC133" i="4" a="1"/>
  <c r="BC133" i="4" s="1"/>
  <c r="D133" i="4" a="1"/>
  <c r="D133" i="4" s="1"/>
  <c r="CH133" i="4" a="1"/>
  <c r="CH133" i="4" s="1"/>
  <c r="CA133" i="4" a="1"/>
  <c r="CA133" i="4" s="1"/>
  <c r="BE133" i="4" a="1"/>
  <c r="BE133" i="4" s="1"/>
  <c r="AB133" i="4" s="1"/>
  <c r="BL133" i="4" a="1"/>
  <c r="BL133" i="4" s="1"/>
  <c r="BN133" i="4" a="1"/>
  <c r="BN133" i="4" s="1"/>
  <c r="BO133" i="4" a="1"/>
  <c r="BO133" i="4" s="1"/>
  <c r="CE133" i="4" a="1"/>
  <c r="CE133" i="4" s="1"/>
  <c r="CG133" i="4" a="1"/>
  <c r="CG133" i="4" s="1"/>
  <c r="CI133" i="4" a="1"/>
  <c r="CI133" i="4" s="1"/>
  <c r="BX133" i="4" a="1"/>
  <c r="BX133" i="4" s="1"/>
  <c r="EI133" i="4" a="1"/>
  <c r="EI133" i="4" s="1"/>
  <c r="EH133" i="4" a="1"/>
  <c r="EH133" i="4" s="1"/>
  <c r="BU133" i="4" a="1"/>
  <c r="BU133" i="4" s="1"/>
  <c r="CD133" i="4" a="1"/>
  <c r="CD133" i="4" s="1"/>
  <c r="CB133" i="4" a="1"/>
  <c r="CB133" i="4" s="1"/>
  <c r="L133" i="4" a="1"/>
  <c r="L133" i="4" s="1"/>
  <c r="BZ133" i="4" a="1"/>
  <c r="BZ133" i="4" s="1"/>
  <c r="CF133" i="4" a="1"/>
  <c r="CF133" i="4" s="1"/>
  <c r="CJ21" i="4"/>
  <c r="AN21" i="4"/>
  <c r="EK21" i="4"/>
  <c r="CH94" i="4" a="1"/>
  <c r="CH94" i="4" s="1"/>
  <c r="E94" i="4" a="1"/>
  <c r="E94" i="4" s="1"/>
  <c r="BY94" i="4" a="1"/>
  <c r="BY94" i="4" s="1"/>
  <c r="H94" i="4" a="1"/>
  <c r="H94" i="4" s="1"/>
  <c r="BD94" i="4" a="1"/>
  <c r="BD94" i="4" s="1"/>
  <c r="BJ94" i="4" a="1"/>
  <c r="BJ94" i="4" s="1"/>
  <c r="CG94" i="4" a="1"/>
  <c r="CG94" i="4" s="1"/>
  <c r="CE94" i="4" a="1"/>
  <c r="CE94" i="4" s="1"/>
  <c r="BE94" i="4" a="1"/>
  <c r="BE94" i="4" s="1"/>
  <c r="AB94" i="4" s="1"/>
  <c r="D94" i="4" a="1"/>
  <c r="D94" i="4" s="1"/>
  <c r="CA94" i="4" a="1"/>
  <c r="CA94" i="4" s="1"/>
  <c r="BL94" i="4" a="1"/>
  <c r="BL94" i="4" s="1"/>
  <c r="BR94" i="4" a="1"/>
  <c r="BR94" i="4" s="1"/>
  <c r="CI94" i="4" a="1"/>
  <c r="CI94" i="4" s="1"/>
  <c r="L94" i="4" a="1"/>
  <c r="L94" i="4" s="1"/>
  <c r="EI94" i="4" a="1"/>
  <c r="EI94" i="4" s="1"/>
  <c r="BM94" i="4" a="1"/>
  <c r="BM94" i="4" s="1"/>
  <c r="BX94" i="4" a="1"/>
  <c r="BX94" i="4" s="1"/>
  <c r="EJ94" i="4" a="1"/>
  <c r="EJ94" i="4" s="1"/>
  <c r="BQ94" i="4" a="1"/>
  <c r="BQ94" i="4" s="1"/>
  <c r="BZ94" i="4" a="1"/>
  <c r="BZ94" i="4" s="1"/>
  <c r="CC94" i="4" a="1"/>
  <c r="CC94" i="4" s="1"/>
  <c r="BW94" i="4" a="1"/>
  <c r="BW94" i="4" s="1"/>
  <c r="BV94" i="4" a="1"/>
  <c r="BV94" i="4" s="1"/>
  <c r="CB94" i="4" a="1"/>
  <c r="CB94" i="4" s="1"/>
  <c r="BG94" i="4" a="1"/>
  <c r="BG94" i="4" s="1"/>
  <c r="CD94" i="4" a="1"/>
  <c r="CD94" i="4" s="1"/>
  <c r="BN94" i="4" a="1"/>
  <c r="BN94" i="4" s="1"/>
  <c r="BO94" i="4" a="1"/>
  <c r="BO94" i="4" s="1"/>
  <c r="BK94" i="4" a="1"/>
  <c r="BK94" i="4" s="1"/>
  <c r="EH94" i="4" a="1"/>
  <c r="EH94" i="4" s="1"/>
  <c r="BC94" i="4" a="1"/>
  <c r="BC94" i="4" s="1"/>
  <c r="BU94" i="4" a="1"/>
  <c r="BU94" i="4" s="1"/>
  <c r="CF94" i="4" a="1"/>
  <c r="CF94" i="4" s="1"/>
  <c r="EH76" i="4" a="1"/>
  <c r="EH76" i="4" s="1"/>
  <c r="BC76" i="4" a="1"/>
  <c r="BC76" i="4" s="1"/>
  <c r="BJ76" i="4" a="1"/>
  <c r="BJ76" i="4" s="1"/>
  <c r="E76" i="4" a="1"/>
  <c r="E76" i="4" s="1"/>
  <c r="BG76" i="4" a="1"/>
  <c r="BG76" i="4" s="1"/>
  <c r="CD76" i="4" a="1"/>
  <c r="CD76" i="4" s="1"/>
  <c r="EJ76" i="4" a="1"/>
  <c r="EJ76" i="4" s="1"/>
  <c r="BL76" i="4" a="1"/>
  <c r="BL76" i="4" s="1"/>
  <c r="D76" i="4" a="1"/>
  <c r="D76" i="4" s="1"/>
  <c r="BQ76" i="4" a="1"/>
  <c r="BQ76" i="4" s="1"/>
  <c r="BM76" i="4" a="1"/>
  <c r="BM76" i="4" s="1"/>
  <c r="BO76" i="4" a="1"/>
  <c r="BO76" i="4" s="1"/>
  <c r="BR76" i="4" a="1"/>
  <c r="BR76" i="4" s="1"/>
  <c r="BY76" i="4" a="1"/>
  <c r="BY76" i="4" s="1"/>
  <c r="BV76" i="4" a="1"/>
  <c r="BV76" i="4" s="1"/>
  <c r="CA76" i="4" a="1"/>
  <c r="CA76" i="4" s="1"/>
  <c r="CB76" i="4" a="1"/>
  <c r="CB76" i="4" s="1"/>
  <c r="BE76" i="4" a="1"/>
  <c r="BE76" i="4" s="1"/>
  <c r="AB76" i="4" s="1"/>
  <c r="CH76" i="4" a="1"/>
  <c r="CH76" i="4" s="1"/>
  <c r="CE76" i="4" a="1"/>
  <c r="CE76" i="4" s="1"/>
  <c r="H76" i="4" a="1"/>
  <c r="H76" i="4" s="1"/>
  <c r="EI76" i="4" a="1"/>
  <c r="EI76" i="4" s="1"/>
  <c r="CF76" i="4" a="1"/>
  <c r="CF76" i="4" s="1"/>
  <c r="CC76" i="4" a="1"/>
  <c r="CC76" i="4" s="1"/>
  <c r="BW76" i="4" a="1"/>
  <c r="BW76" i="4" s="1"/>
  <c r="CG76" i="4" a="1"/>
  <c r="CG76" i="4" s="1"/>
  <c r="BK76" i="4" a="1"/>
  <c r="BK76" i="4" s="1"/>
  <c r="BX76" i="4" a="1"/>
  <c r="BX76" i="4" s="1"/>
  <c r="L76" i="4" a="1"/>
  <c r="L76" i="4" s="1"/>
  <c r="BZ76" i="4" a="1"/>
  <c r="BZ76" i="4" s="1"/>
  <c r="CI76" i="4" a="1"/>
  <c r="CI76" i="4" s="1"/>
  <c r="BU76" i="4" a="1"/>
  <c r="BU76" i="4" s="1"/>
  <c r="BN76" i="4" a="1"/>
  <c r="BN76" i="4" s="1"/>
  <c r="BD76" i="4" a="1"/>
  <c r="BD76" i="4" s="1"/>
  <c r="CJ41" i="4"/>
  <c r="EK41" i="4"/>
  <c r="AN41" i="4"/>
  <c r="DY139" i="2"/>
  <c r="EG139" i="2"/>
  <c r="BW104" i="4" a="1"/>
  <c r="BW104" i="4" s="1"/>
  <c r="BX104" i="4" a="1"/>
  <c r="BX104" i="4" s="1"/>
  <c r="D104" i="4" a="1"/>
  <c r="D104" i="4" s="1"/>
  <c r="H104" i="4" a="1"/>
  <c r="H104" i="4" s="1"/>
  <c r="CB104" i="4" a="1"/>
  <c r="CB104" i="4" s="1"/>
  <c r="EJ104" i="4" a="1"/>
  <c r="EJ104" i="4" s="1"/>
  <c r="CI104" i="4" a="1"/>
  <c r="CI104" i="4" s="1"/>
  <c r="BM104" i="4" a="1"/>
  <c r="BM104" i="4" s="1"/>
  <c r="BK104" i="4" a="1"/>
  <c r="BK104" i="4" s="1"/>
  <c r="BL104" i="4" a="1"/>
  <c r="BL104" i="4" s="1"/>
  <c r="CG104" i="4" a="1"/>
  <c r="CG104" i="4" s="1"/>
  <c r="EH104" i="4" a="1"/>
  <c r="EH104" i="4" s="1"/>
  <c r="BE104" i="4" a="1"/>
  <c r="BE104" i="4" s="1"/>
  <c r="BV104" i="4" a="1"/>
  <c r="BV104" i="4" s="1"/>
  <c r="BG104" i="4" a="1"/>
  <c r="BG104" i="4" s="1"/>
  <c r="BR104" i="4" a="1"/>
  <c r="BR104" i="4" s="1"/>
  <c r="CH104" i="4" a="1"/>
  <c r="CH104" i="4" s="1"/>
  <c r="E104" i="4" a="1"/>
  <c r="E104" i="4" s="1"/>
  <c r="BD104" i="4" a="1"/>
  <c r="BD104" i="4" s="1"/>
  <c r="CC104" i="4" a="1"/>
  <c r="CC104" i="4" s="1"/>
  <c r="CA104" i="4" a="1"/>
  <c r="CA104" i="4" s="1"/>
  <c r="L104" i="4" a="1"/>
  <c r="L104" i="4" s="1"/>
  <c r="BO104" i="4" a="1"/>
  <c r="BO104" i="4" s="1"/>
  <c r="BQ104" i="4" a="1"/>
  <c r="BQ104" i="4" s="1"/>
  <c r="BN104" i="4" a="1"/>
  <c r="BN104" i="4" s="1"/>
  <c r="BU104" i="4" a="1"/>
  <c r="BU104" i="4" s="1"/>
  <c r="BY104" i="4" a="1"/>
  <c r="BY104" i="4" s="1"/>
  <c r="CE104" i="4" a="1"/>
  <c r="CE104" i="4" s="1"/>
  <c r="EI104" i="4" a="1"/>
  <c r="EI104" i="4" s="1"/>
  <c r="BJ104" i="4" a="1"/>
  <c r="BJ104" i="4" s="1"/>
  <c r="Q104" i="4" s="1"/>
  <c r="CF104" i="4" a="1"/>
  <c r="CF104" i="4" s="1"/>
  <c r="BZ104" i="4" a="1"/>
  <c r="BZ104" i="4" s="1"/>
  <c r="CD104" i="4" a="1"/>
  <c r="CD104" i="4" s="1"/>
  <c r="BC104" i="4" a="1"/>
  <c r="BC104" i="4" s="1"/>
  <c r="CA74" i="4" a="1"/>
  <c r="CA74" i="4" s="1"/>
  <c r="BV74" i="4" a="1"/>
  <c r="BV74" i="4" s="1"/>
  <c r="BG74" i="4" a="1"/>
  <c r="BG74" i="4" s="1"/>
  <c r="BU74" i="4" a="1"/>
  <c r="BU74" i="4" s="1"/>
  <c r="EH74" i="4" a="1"/>
  <c r="EH74" i="4" s="1"/>
  <c r="BK74" i="4" a="1"/>
  <c r="BK74" i="4" s="1"/>
  <c r="BL74" i="4" a="1"/>
  <c r="BL74" i="4" s="1"/>
  <c r="BQ74" i="4" a="1"/>
  <c r="BQ74" i="4" s="1"/>
  <c r="BE74" i="4" a="1"/>
  <c r="BE74" i="4" s="1"/>
  <c r="AB74" i="4" s="1"/>
  <c r="BX74" i="4" a="1"/>
  <c r="BX74" i="4" s="1"/>
  <c r="D74" i="4" a="1"/>
  <c r="D74" i="4" s="1"/>
  <c r="BO74" i="4" a="1"/>
  <c r="BO74" i="4" s="1"/>
  <c r="EJ74" i="4" a="1"/>
  <c r="EJ74" i="4" s="1"/>
  <c r="CD74" i="4" a="1"/>
  <c r="CD74" i="4" s="1"/>
  <c r="CH74" i="4" a="1"/>
  <c r="CH74" i="4" s="1"/>
  <c r="CC74" i="4" a="1"/>
  <c r="CC74" i="4" s="1"/>
  <c r="BR74" i="4" a="1"/>
  <c r="BR74" i="4" s="1"/>
  <c r="L74" i="4" a="1"/>
  <c r="L74" i="4" s="1"/>
  <c r="BJ74" i="4" a="1"/>
  <c r="BJ74" i="4" s="1"/>
  <c r="BC74" i="4" a="1"/>
  <c r="BC74" i="4" s="1"/>
  <c r="BW74" i="4" a="1"/>
  <c r="BW74" i="4" s="1"/>
  <c r="EI74" i="4" a="1"/>
  <c r="EI74" i="4" s="1"/>
  <c r="BM74" i="4" a="1"/>
  <c r="BM74" i="4" s="1"/>
  <c r="CG74" i="4" a="1"/>
  <c r="CG74" i="4" s="1"/>
  <c r="BN74" i="4" a="1"/>
  <c r="BN74" i="4" s="1"/>
  <c r="CB74" i="4" a="1"/>
  <c r="CB74" i="4" s="1"/>
  <c r="BZ74" i="4" a="1"/>
  <c r="BZ74" i="4" s="1"/>
  <c r="H74" i="4" a="1"/>
  <c r="H74" i="4" s="1"/>
  <c r="CE74" i="4" a="1"/>
  <c r="CE74" i="4" s="1"/>
  <c r="E74" i="4" a="1"/>
  <c r="E74" i="4" s="1"/>
  <c r="CF74" i="4" a="1"/>
  <c r="CF74" i="4" s="1"/>
  <c r="CI74" i="4" a="1"/>
  <c r="CI74" i="4" s="1"/>
  <c r="BY74" i="4" a="1"/>
  <c r="BY74" i="4" s="1"/>
  <c r="BD74" i="4" a="1"/>
  <c r="BD74" i="4" s="1"/>
  <c r="CJ68" i="4"/>
  <c r="AN68" i="4"/>
  <c r="EK68" i="4"/>
  <c r="BS60" i="4"/>
  <c r="AD60" i="4"/>
  <c r="AE60" i="4"/>
  <c r="BS14" i="4"/>
  <c r="AE14" i="4"/>
  <c r="AD14" i="4"/>
  <c r="ED9" i="2"/>
  <c r="DX9" i="2"/>
  <c r="DZ9" i="2" s="1"/>
  <c r="EA9" i="2" s="1"/>
  <c r="EK8" i="4"/>
  <c r="AN8" i="4"/>
  <c r="CJ8" i="4"/>
  <c r="W70" i="4"/>
  <c r="Y70" i="4" s="1"/>
  <c r="Q70" i="4"/>
  <c r="AN70" i="4"/>
  <c r="CJ70" i="4"/>
  <c r="EK70" i="4"/>
  <c r="DX138" i="2"/>
  <c r="DZ138" i="2" s="1"/>
  <c r="EA138" i="2" s="1"/>
  <c r="ED138" i="2"/>
  <c r="EB59" i="2"/>
  <c r="EE59" i="2"/>
  <c r="EC59" i="2"/>
  <c r="CD82" i="4" a="1"/>
  <c r="CD82" i="4" s="1"/>
  <c r="CC82" i="4" a="1"/>
  <c r="CC82" i="4" s="1"/>
  <c r="BO82" i="4" a="1"/>
  <c r="BO82" i="4" s="1"/>
  <c r="CF82" i="4" a="1"/>
  <c r="CF82" i="4" s="1"/>
  <c r="BK82" i="4" a="1"/>
  <c r="BK82" i="4" s="1"/>
  <c r="BC82" i="4" a="1"/>
  <c r="BC82" i="4" s="1"/>
  <c r="L82" i="4" a="1"/>
  <c r="L82" i="4" s="1"/>
  <c r="EJ82" i="4" a="1"/>
  <c r="EJ82" i="4" s="1"/>
  <c r="CE82" i="4" a="1"/>
  <c r="CE82" i="4" s="1"/>
  <c r="BM82" i="4" a="1"/>
  <c r="BM82" i="4" s="1"/>
  <c r="D82" i="4" a="1"/>
  <c r="D82" i="4" s="1"/>
  <c r="BJ82" i="4" a="1"/>
  <c r="BJ82" i="4" s="1"/>
  <c r="CA82" i="4" a="1"/>
  <c r="CA82" i="4" s="1"/>
  <c r="E82" i="4" a="1"/>
  <c r="E82" i="4" s="1"/>
  <c r="EH82" i="4" a="1"/>
  <c r="EH82" i="4" s="1"/>
  <c r="EI82" i="4" a="1"/>
  <c r="EI82" i="4" s="1"/>
  <c r="BZ82" i="4" a="1"/>
  <c r="BZ82" i="4" s="1"/>
  <c r="BU82" i="4" a="1"/>
  <c r="BU82" i="4" s="1"/>
  <c r="BQ82" i="4" a="1"/>
  <c r="BQ82" i="4" s="1"/>
  <c r="BW82" i="4" a="1"/>
  <c r="BW82" i="4" s="1"/>
  <c r="H82" i="4" a="1"/>
  <c r="H82" i="4" s="1"/>
  <c r="BG82" i="4" a="1"/>
  <c r="BG82" i="4" s="1"/>
  <c r="BX82" i="4" a="1"/>
  <c r="BX82" i="4" s="1"/>
  <c r="CI82" i="4" a="1"/>
  <c r="CI82" i="4" s="1"/>
  <c r="BR82" i="4" a="1"/>
  <c r="BR82" i="4" s="1"/>
  <c r="BE82" i="4" a="1"/>
  <c r="BE82" i="4" s="1"/>
  <c r="AB82" i="4" s="1"/>
  <c r="CG82" i="4" a="1"/>
  <c r="CG82" i="4" s="1"/>
  <c r="CB82" i="4" a="1"/>
  <c r="CB82" i="4" s="1"/>
  <c r="BN82" i="4" a="1"/>
  <c r="BN82" i="4" s="1"/>
  <c r="BL82" i="4" a="1"/>
  <c r="BL82" i="4" s="1"/>
  <c r="BY82" i="4" a="1"/>
  <c r="BY82" i="4" s="1"/>
  <c r="CH82" i="4" a="1"/>
  <c r="CH82" i="4" s="1"/>
  <c r="BV82" i="4" a="1"/>
  <c r="BV82" i="4" s="1"/>
  <c r="BD82" i="4" a="1"/>
  <c r="BD82" i="4" s="1"/>
  <c r="CJ38" i="4"/>
  <c r="EK38" i="4"/>
  <c r="AN38" i="4"/>
  <c r="AN26" i="4"/>
  <c r="CJ26" i="4"/>
  <c r="EK26" i="4"/>
  <c r="EK52" i="4"/>
  <c r="AN52" i="4"/>
  <c r="CJ52" i="4"/>
  <c r="AN16" i="4"/>
  <c r="EK16" i="4"/>
  <c r="CJ16" i="4"/>
  <c r="AD47" i="4"/>
  <c r="BS47" i="4"/>
  <c r="AE47" i="4"/>
  <c r="S43" i="4"/>
  <c r="AB43" i="4" s="1"/>
  <c r="BH43" i="4"/>
  <c r="AL43" i="4"/>
  <c r="P43" i="4"/>
  <c r="EK43" i="4"/>
  <c r="AN43" i="4"/>
  <c r="CJ43" i="4"/>
  <c r="EB50" i="2"/>
  <c r="EE50" i="2"/>
  <c r="EC50" i="2"/>
  <c r="W28" i="4"/>
  <c r="Y28" i="4" s="1"/>
  <c r="Q28" i="4"/>
  <c r="BM77" i="4" a="1"/>
  <c r="BM77" i="4" s="1"/>
  <c r="EI77" i="4" a="1"/>
  <c r="EI77" i="4" s="1"/>
  <c r="EJ77" i="4" a="1"/>
  <c r="EJ77" i="4" s="1"/>
  <c r="CE77" i="4" a="1"/>
  <c r="CE77" i="4" s="1"/>
  <c r="CG77" i="4" a="1"/>
  <c r="CG77" i="4" s="1"/>
  <c r="BR77" i="4" a="1"/>
  <c r="BR77" i="4" s="1"/>
  <c r="BJ77" i="4" a="1"/>
  <c r="BJ77" i="4" s="1"/>
  <c r="BV77" i="4" a="1"/>
  <c r="BV77" i="4" s="1"/>
  <c r="E77" i="4" a="1"/>
  <c r="E77" i="4" s="1"/>
  <c r="BN77" i="4" a="1"/>
  <c r="BN77" i="4" s="1"/>
  <c r="BL77" i="4" a="1"/>
  <c r="BL77" i="4" s="1"/>
  <c r="BY77" i="4" a="1"/>
  <c r="BY77" i="4" s="1"/>
  <c r="CC77" i="4" a="1"/>
  <c r="CC77" i="4" s="1"/>
  <c r="CH77" i="4" a="1"/>
  <c r="CH77" i="4" s="1"/>
  <c r="BK77" i="4" a="1"/>
  <c r="BK77" i="4" s="1"/>
  <c r="BU77" i="4" a="1"/>
  <c r="BU77" i="4" s="1"/>
  <c r="CA77" i="4" a="1"/>
  <c r="CA77" i="4" s="1"/>
  <c r="BW77" i="4" a="1"/>
  <c r="BW77" i="4" s="1"/>
  <c r="BQ77" i="4" a="1"/>
  <c r="BQ77" i="4" s="1"/>
  <c r="D77" i="4" a="1"/>
  <c r="D77" i="4" s="1"/>
  <c r="CF77" i="4" a="1"/>
  <c r="CF77" i="4" s="1"/>
  <c r="EH77" i="4" a="1"/>
  <c r="EH77" i="4" s="1"/>
  <c r="BG77" i="4" a="1"/>
  <c r="BG77" i="4" s="1"/>
  <c r="H77" i="4" a="1"/>
  <c r="H77" i="4" s="1"/>
  <c r="BE77" i="4" a="1"/>
  <c r="BE77" i="4" s="1"/>
  <c r="AB77" i="4" s="1"/>
  <c r="CD77" i="4" a="1"/>
  <c r="CD77" i="4" s="1"/>
  <c r="BZ77" i="4" a="1"/>
  <c r="BZ77" i="4" s="1"/>
  <c r="CB77" i="4" a="1"/>
  <c r="CB77" i="4" s="1"/>
  <c r="BD77" i="4" a="1"/>
  <c r="BD77" i="4" s="1"/>
  <c r="L77" i="4" a="1"/>
  <c r="L77" i="4" s="1"/>
  <c r="BO77" i="4" a="1"/>
  <c r="BO77" i="4" s="1"/>
  <c r="BX77" i="4" a="1"/>
  <c r="BX77" i="4" s="1"/>
  <c r="CI77" i="4" a="1"/>
  <c r="CI77" i="4" s="1"/>
  <c r="BC77" i="4" a="1"/>
  <c r="BC77" i="4" s="1"/>
  <c r="EB114" i="2"/>
  <c r="EC114" i="2"/>
  <c r="EE114" i="2"/>
  <c r="AD85" i="4"/>
  <c r="BT85" i="4"/>
  <c r="BS85" i="4"/>
  <c r="BS11" i="4"/>
  <c r="AE11" i="4"/>
  <c r="AD11" i="4"/>
  <c r="CN174" i="2"/>
  <c r="EW174" i="2"/>
  <c r="EX174" i="2" s="1"/>
  <c r="BT174" i="2"/>
  <c r="BU174" i="2" s="1"/>
  <c r="DX51" i="2"/>
  <c r="DZ51" i="2" s="1"/>
  <c r="EA51" i="2" s="1"/>
  <c r="ED51" i="2"/>
  <c r="AN13" i="4"/>
  <c r="EK13" i="4"/>
  <c r="CJ13" i="4"/>
  <c r="AD58" i="4"/>
  <c r="BS58" i="4"/>
  <c r="AE58" i="4"/>
  <c r="EB306" i="2"/>
  <c r="EE306" i="2"/>
  <c r="EC306" i="2"/>
  <c r="CD120" i="4" a="1"/>
  <c r="CD120" i="4" s="1"/>
  <c r="CH120" i="4" a="1"/>
  <c r="CH120" i="4" s="1"/>
  <c r="CE120" i="4" a="1"/>
  <c r="CE120" i="4" s="1"/>
  <c r="BX120" i="4" a="1"/>
  <c r="BX120" i="4" s="1"/>
  <c r="BG120" i="4" a="1"/>
  <c r="BG120" i="4" s="1"/>
  <c r="CG120" i="4" a="1"/>
  <c r="CG120" i="4" s="1"/>
  <c r="BL120" i="4" a="1"/>
  <c r="BL120" i="4" s="1"/>
  <c r="BU120" i="4" a="1"/>
  <c r="BU120" i="4" s="1"/>
  <c r="BM120" i="4" a="1"/>
  <c r="BM120" i="4" s="1"/>
  <c r="H120" i="4" a="1"/>
  <c r="H120" i="4" s="1"/>
  <c r="EI120" i="4" a="1"/>
  <c r="EI120" i="4" s="1"/>
  <c r="BJ120" i="4" a="1"/>
  <c r="BJ120" i="4" s="1"/>
  <c r="CF120" i="4" a="1"/>
  <c r="CF120" i="4" s="1"/>
  <c r="D120" i="4" a="1"/>
  <c r="D120" i="4" s="1"/>
  <c r="BV120" i="4" a="1"/>
  <c r="BV120" i="4" s="1"/>
  <c r="BO120" i="4" a="1"/>
  <c r="BO120" i="4" s="1"/>
  <c r="EJ120" i="4" a="1"/>
  <c r="EJ120" i="4" s="1"/>
  <c r="L120" i="4" a="1"/>
  <c r="L120" i="4" s="1"/>
  <c r="BW120" i="4" a="1"/>
  <c r="BW120" i="4" s="1"/>
  <c r="BD120" i="4" a="1"/>
  <c r="BD120" i="4" s="1"/>
  <c r="BK120" i="4" a="1"/>
  <c r="BK120" i="4" s="1"/>
  <c r="BC120" i="4" a="1"/>
  <c r="BC120" i="4" s="1"/>
  <c r="CI120" i="4" a="1"/>
  <c r="CI120" i="4" s="1"/>
  <c r="CB120" i="4" a="1"/>
  <c r="CB120" i="4" s="1"/>
  <c r="E120" i="4" a="1"/>
  <c r="E120" i="4" s="1"/>
  <c r="BZ120" i="4" a="1"/>
  <c r="BZ120" i="4" s="1"/>
  <c r="BR120" i="4" a="1"/>
  <c r="BR120" i="4" s="1"/>
  <c r="BQ120" i="4" a="1"/>
  <c r="BQ120" i="4" s="1"/>
  <c r="BN120" i="4" a="1"/>
  <c r="BN120" i="4" s="1"/>
  <c r="BY120" i="4" a="1"/>
  <c r="BY120" i="4" s="1"/>
  <c r="EH120" i="4" a="1"/>
  <c r="EH120" i="4" s="1"/>
  <c r="CA120" i="4" a="1"/>
  <c r="CA120" i="4" s="1"/>
  <c r="CC120" i="4" a="1"/>
  <c r="CC120" i="4" s="1"/>
  <c r="BE120" i="4" a="1"/>
  <c r="BE120" i="4" s="1"/>
  <c r="AB120" i="4" s="1"/>
  <c r="EK44" i="4"/>
  <c r="AN44" i="4"/>
  <c r="CJ44" i="4"/>
  <c r="ED84" i="2"/>
  <c r="DX84" i="2"/>
  <c r="DZ84" i="2" s="1"/>
  <c r="EA84" i="2" s="1"/>
  <c r="Q71" i="4"/>
  <c r="W71" i="4"/>
  <c r="Y71" i="4" s="1"/>
  <c r="CJ7" i="4"/>
  <c r="AN7" i="4"/>
  <c r="EK7" i="4"/>
  <c r="BZ90" i="4" a="1"/>
  <c r="BZ90" i="4" s="1"/>
  <c r="BX90" i="4" a="1"/>
  <c r="BX90" i="4" s="1"/>
  <c r="BK90" i="4" a="1"/>
  <c r="BK90" i="4" s="1"/>
  <c r="BJ90" i="4" a="1"/>
  <c r="BJ90" i="4" s="1"/>
  <c r="CF90" i="4" a="1"/>
  <c r="CF90" i="4" s="1"/>
  <c r="CD90" i="4" a="1"/>
  <c r="CD90" i="4" s="1"/>
  <c r="CH90" i="4" a="1"/>
  <c r="CH90" i="4" s="1"/>
  <c r="BW90" i="4" a="1"/>
  <c r="BW90" i="4" s="1"/>
  <c r="BC90" i="4" a="1"/>
  <c r="BC90" i="4" s="1"/>
  <c r="BL90" i="4" a="1"/>
  <c r="BL90" i="4" s="1"/>
  <c r="CC90" i="4" a="1"/>
  <c r="CC90" i="4" s="1"/>
  <c r="EJ90" i="4" a="1"/>
  <c r="EJ90" i="4" s="1"/>
  <c r="BG90" i="4" a="1"/>
  <c r="BG90" i="4" s="1"/>
  <c r="BM90" i="4" a="1"/>
  <c r="BM90" i="4" s="1"/>
  <c r="BV90" i="4" a="1"/>
  <c r="BV90" i="4" s="1"/>
  <c r="CA90" i="4" a="1"/>
  <c r="CA90" i="4" s="1"/>
  <c r="BY90" i="4" a="1"/>
  <c r="BY90" i="4" s="1"/>
  <c r="BR90" i="4" a="1"/>
  <c r="BR90" i="4" s="1"/>
  <c r="BQ90" i="4" a="1"/>
  <c r="BQ90" i="4" s="1"/>
  <c r="D90" i="4" a="1"/>
  <c r="D90" i="4" s="1"/>
  <c r="EI90" i="4" a="1"/>
  <c r="EI90" i="4" s="1"/>
  <c r="CE90" i="4" a="1"/>
  <c r="CE90" i="4" s="1"/>
  <c r="EH90" i="4" a="1"/>
  <c r="EH90" i="4" s="1"/>
  <c r="H90" i="4" a="1"/>
  <c r="H90" i="4" s="1"/>
  <c r="BE90" i="4" a="1"/>
  <c r="BE90" i="4" s="1"/>
  <c r="AB90" i="4" s="1"/>
  <c r="CB90" i="4" a="1"/>
  <c r="CB90" i="4" s="1"/>
  <c r="CG90" i="4" a="1"/>
  <c r="CG90" i="4" s="1"/>
  <c r="BU90" i="4" a="1"/>
  <c r="BU90" i="4" s="1"/>
  <c r="E90" i="4" a="1"/>
  <c r="E90" i="4" s="1"/>
  <c r="L90" i="4" a="1"/>
  <c r="L90" i="4" s="1"/>
  <c r="BN90" i="4" a="1"/>
  <c r="BN90" i="4" s="1"/>
  <c r="CI90" i="4" a="1"/>
  <c r="CI90" i="4" s="1"/>
  <c r="BO90" i="4" a="1"/>
  <c r="BO90" i="4" s="1"/>
  <c r="BD90" i="4" a="1"/>
  <c r="BD90" i="4" s="1"/>
  <c r="EK6" i="4"/>
  <c r="CJ6" i="4"/>
  <c r="AN6" i="4"/>
  <c r="DR50" i="2"/>
  <c r="DT50" i="2"/>
  <c r="DS50" i="2"/>
  <c r="EE56" i="2"/>
  <c r="EB56" i="2"/>
  <c r="EC56" i="2"/>
  <c r="Q45" i="4"/>
  <c r="W45" i="4"/>
  <c r="Y45" i="4" s="1"/>
  <c r="W18" i="4"/>
  <c r="Y18" i="4" s="1"/>
  <c r="Q18" i="4"/>
  <c r="BZ105" i="4" a="1"/>
  <c r="BZ105" i="4" s="1"/>
  <c r="E105" i="4" a="1"/>
  <c r="E105" i="4" s="1"/>
  <c r="EJ105" i="4" a="1"/>
  <c r="EJ105" i="4" s="1"/>
  <c r="CE105" i="4" a="1"/>
  <c r="CE105" i="4" s="1"/>
  <c r="CA105" i="4" a="1"/>
  <c r="CA105" i="4" s="1"/>
  <c r="CH105" i="4" a="1"/>
  <c r="CH105" i="4" s="1"/>
  <c r="BK105" i="4" a="1"/>
  <c r="BK105" i="4" s="1"/>
  <c r="BY105" i="4" a="1"/>
  <c r="BY105" i="4" s="1"/>
  <c r="BO105" i="4" a="1"/>
  <c r="BO105" i="4" s="1"/>
  <c r="BJ105" i="4" a="1"/>
  <c r="BJ105" i="4" s="1"/>
  <c r="Q105" i="4" s="1"/>
  <c r="BM105" i="4" a="1"/>
  <c r="BM105" i="4" s="1"/>
  <c r="D105" i="4" a="1"/>
  <c r="D105" i="4" s="1"/>
  <c r="CG105" i="4" a="1"/>
  <c r="CG105" i="4" s="1"/>
  <c r="BL105" i="4" a="1"/>
  <c r="BL105" i="4" s="1"/>
  <c r="BV105" i="4" a="1"/>
  <c r="BV105" i="4" s="1"/>
  <c r="BX105" i="4" a="1"/>
  <c r="BX105" i="4" s="1"/>
  <c r="BQ105" i="4" a="1"/>
  <c r="BQ105" i="4" s="1"/>
  <c r="BE105" i="4" a="1"/>
  <c r="BE105" i="4" s="1"/>
  <c r="CF105" i="4" a="1"/>
  <c r="CF105" i="4" s="1"/>
  <c r="BC105" i="4" a="1"/>
  <c r="BC105" i="4" s="1"/>
  <c r="BU105" i="4" a="1"/>
  <c r="BU105" i="4" s="1"/>
  <c r="CC105" i="4" a="1"/>
  <c r="CC105" i="4" s="1"/>
  <c r="BR105" i="4" a="1"/>
  <c r="BR105" i="4" s="1"/>
  <c r="BD105" i="4" a="1"/>
  <c r="BD105" i="4" s="1"/>
  <c r="BW105" i="4" a="1"/>
  <c r="BW105" i="4" s="1"/>
  <c r="EI105" i="4" a="1"/>
  <c r="EI105" i="4" s="1"/>
  <c r="L105" i="4" a="1"/>
  <c r="L105" i="4" s="1"/>
  <c r="BG105" i="4" a="1"/>
  <c r="BG105" i="4" s="1"/>
  <c r="CD105" i="4" a="1"/>
  <c r="CD105" i="4" s="1"/>
  <c r="H105" i="4" a="1"/>
  <c r="H105" i="4" s="1"/>
  <c r="CB105" i="4" a="1"/>
  <c r="CB105" i="4" s="1"/>
  <c r="BN105" i="4" a="1"/>
  <c r="BN105" i="4" s="1"/>
  <c r="EH105" i="4" a="1"/>
  <c r="EH105" i="4" s="1"/>
  <c r="CI105" i="4" a="1"/>
  <c r="CI105" i="4" s="1"/>
  <c r="DT190" i="2"/>
  <c r="DR190" i="2"/>
  <c r="DS190" i="2"/>
  <c r="DT169" i="2"/>
  <c r="DR169" i="2"/>
  <c r="DS169" i="2"/>
  <c r="DR269" i="2"/>
  <c r="DT269" i="2"/>
  <c r="DS269" i="2"/>
  <c r="EK20" i="4"/>
  <c r="CJ20" i="4"/>
  <c r="AN20" i="4"/>
  <c r="DT293" i="2"/>
  <c r="DR293" i="2"/>
  <c r="DS293" i="2"/>
  <c r="EE189" i="2"/>
  <c r="EC189" i="2"/>
  <c r="EB189" i="2"/>
  <c r="EC293" i="2"/>
  <c r="EB293" i="2"/>
  <c r="EE293" i="2"/>
  <c r="BH84" i="4"/>
  <c r="S84" i="4"/>
  <c r="AB84" i="4" s="1"/>
  <c r="P84" i="4"/>
  <c r="AL84" i="4"/>
  <c r="W23" i="4"/>
  <c r="Q23" i="4"/>
  <c r="BH62" i="4"/>
  <c r="P62" i="4"/>
  <c r="S62" i="4"/>
  <c r="AB62" i="4" s="1"/>
  <c r="AL62" i="4"/>
  <c r="CE117" i="4" a="1"/>
  <c r="CE117" i="4" s="1"/>
  <c r="CC117" i="4" a="1"/>
  <c r="CC117" i="4" s="1"/>
  <c r="BU117" i="4" a="1"/>
  <c r="BU117" i="4" s="1"/>
  <c r="BO117" i="4" a="1"/>
  <c r="BO117" i="4" s="1"/>
  <c r="BG117" i="4" a="1"/>
  <c r="BG117" i="4" s="1"/>
  <c r="BR117" i="4" a="1"/>
  <c r="BR117" i="4" s="1"/>
  <c r="BX117" i="4" a="1"/>
  <c r="BX117" i="4" s="1"/>
  <c r="BE117" i="4" a="1"/>
  <c r="BE117" i="4" s="1"/>
  <c r="AB117" i="4" s="1"/>
  <c r="EJ117" i="4" a="1"/>
  <c r="EJ117" i="4" s="1"/>
  <c r="BV117" i="4" a="1"/>
  <c r="BV117" i="4" s="1"/>
  <c r="CA117" i="4" a="1"/>
  <c r="CA117" i="4" s="1"/>
  <c r="BQ117" i="4" a="1"/>
  <c r="BQ117" i="4" s="1"/>
  <c r="BD117" i="4" a="1"/>
  <c r="BD117" i="4" s="1"/>
  <c r="CG117" i="4" a="1"/>
  <c r="CG117" i="4" s="1"/>
  <c r="BN117" i="4" a="1"/>
  <c r="BN117" i="4" s="1"/>
  <c r="BL117" i="4" a="1"/>
  <c r="BL117" i="4" s="1"/>
  <c r="BK117" i="4" a="1"/>
  <c r="BK117" i="4" s="1"/>
  <c r="EH117" i="4" a="1"/>
  <c r="EH117" i="4" s="1"/>
  <c r="CH117" i="4" a="1"/>
  <c r="CH117" i="4" s="1"/>
  <c r="D117" i="4" a="1"/>
  <c r="D117" i="4" s="1"/>
  <c r="CI117" i="4" a="1"/>
  <c r="CI117" i="4" s="1"/>
  <c r="H117" i="4" a="1"/>
  <c r="H117" i="4" s="1"/>
  <c r="CD117" i="4" a="1"/>
  <c r="CD117" i="4" s="1"/>
  <c r="BW117" i="4" a="1"/>
  <c r="BW117" i="4" s="1"/>
  <c r="BZ117" i="4" a="1"/>
  <c r="BZ117" i="4" s="1"/>
  <c r="EI117" i="4" a="1"/>
  <c r="EI117" i="4" s="1"/>
  <c r="BY117" i="4" a="1"/>
  <c r="BY117" i="4" s="1"/>
  <c r="E117" i="4" a="1"/>
  <c r="E117" i="4" s="1"/>
  <c r="CB117" i="4" a="1"/>
  <c r="CB117" i="4" s="1"/>
  <c r="L117" i="4" a="1"/>
  <c r="L117" i="4" s="1"/>
  <c r="BM117" i="4" a="1"/>
  <c r="BM117" i="4" s="1"/>
  <c r="BC117" i="4" a="1"/>
  <c r="BC117" i="4" s="1"/>
  <c r="BJ117" i="4" a="1"/>
  <c r="BJ117" i="4" s="1"/>
  <c r="CF117" i="4" a="1"/>
  <c r="CF117" i="4" s="1"/>
  <c r="EK36" i="4"/>
  <c r="AN36" i="4"/>
  <c r="CJ36" i="4"/>
  <c r="CG135" i="4" a="1"/>
  <c r="CG135" i="4" s="1"/>
  <c r="BL135" i="4" a="1"/>
  <c r="BL135" i="4" s="1"/>
  <c r="BO135" i="4" a="1"/>
  <c r="BO135" i="4" s="1"/>
  <c r="BE135" i="4" a="1"/>
  <c r="BE135" i="4" s="1"/>
  <c r="AB135" i="4" s="1"/>
  <c r="D135" i="4" a="1"/>
  <c r="D135" i="4" s="1"/>
  <c r="E135" i="4" a="1"/>
  <c r="E135" i="4" s="1"/>
  <c r="BR135" i="4" a="1"/>
  <c r="BR135" i="4" s="1"/>
  <c r="BX135" i="4" a="1"/>
  <c r="BX135" i="4" s="1"/>
  <c r="CI135" i="4" a="1"/>
  <c r="CI135" i="4" s="1"/>
  <c r="BM135" i="4" a="1"/>
  <c r="BM135" i="4" s="1"/>
  <c r="EH135" i="4" a="1"/>
  <c r="EH135" i="4" s="1"/>
  <c r="L135" i="4" a="1"/>
  <c r="L135" i="4" s="1"/>
  <c r="BU135" i="4" a="1"/>
  <c r="BU135" i="4" s="1"/>
  <c r="BG135" i="4" a="1"/>
  <c r="BG135" i="4" s="1"/>
  <c r="BQ135" i="4" a="1"/>
  <c r="BQ135" i="4" s="1"/>
  <c r="CB135" i="4" a="1"/>
  <c r="CB135" i="4" s="1"/>
  <c r="CE135" i="4" a="1"/>
  <c r="CE135" i="4" s="1"/>
  <c r="BV135" i="4" a="1"/>
  <c r="BV135" i="4" s="1"/>
  <c r="BZ135" i="4" a="1"/>
  <c r="BZ135" i="4" s="1"/>
  <c r="BN135" i="4" a="1"/>
  <c r="BN135" i="4" s="1"/>
  <c r="BC135" i="4" a="1"/>
  <c r="BC135" i="4" s="1"/>
  <c r="CD135" i="4" a="1"/>
  <c r="CD135" i="4" s="1"/>
  <c r="BW135" i="4" a="1"/>
  <c r="BW135" i="4" s="1"/>
  <c r="BD135" i="4" a="1"/>
  <c r="BD135" i="4" s="1"/>
  <c r="BK135" i="4" a="1"/>
  <c r="BK135" i="4" s="1"/>
  <c r="CF135" i="4" a="1"/>
  <c r="CF135" i="4" s="1"/>
  <c r="BJ135" i="4" a="1"/>
  <c r="BJ135" i="4" s="1"/>
  <c r="CH135" i="4" a="1"/>
  <c r="CH135" i="4" s="1"/>
  <c r="H135" i="4" a="1"/>
  <c r="H135" i="4" s="1"/>
  <c r="EJ135" i="4" a="1"/>
  <c r="EJ135" i="4" s="1"/>
  <c r="CA135" i="4" a="1"/>
  <c r="CA135" i="4" s="1"/>
  <c r="CC135" i="4" a="1"/>
  <c r="CC135" i="4" s="1"/>
  <c r="BY135" i="4" a="1"/>
  <c r="BY135" i="4" s="1"/>
  <c r="EI135" i="4" a="1"/>
  <c r="EI135" i="4" s="1"/>
  <c r="Q123" i="4"/>
  <c r="W123" i="4"/>
  <c r="Y123" i="4" s="1"/>
  <c r="CN173" i="2"/>
  <c r="EW173" i="2"/>
  <c r="EX173" i="2" s="1"/>
  <c r="BT173" i="2"/>
  <c r="CJ126" i="4"/>
  <c r="AN126" i="4"/>
  <c r="EK126" i="4"/>
  <c r="BW139" i="4" a="1"/>
  <c r="BW139" i="4" s="1"/>
  <c r="BQ139" i="4" a="1"/>
  <c r="BQ139" i="4" s="1"/>
  <c r="EJ139" i="4" a="1"/>
  <c r="EJ139" i="4" s="1"/>
  <c r="BR139" i="4" a="1"/>
  <c r="BR139" i="4" s="1"/>
  <c r="BL139" i="4" a="1"/>
  <c r="BL139" i="4" s="1"/>
  <c r="BG139" i="4" a="1"/>
  <c r="BG139" i="4" s="1"/>
  <c r="BX139" i="4" a="1"/>
  <c r="BX139" i="4" s="1"/>
  <c r="CF139" i="4" a="1"/>
  <c r="CF139" i="4" s="1"/>
  <c r="CE139" i="4" a="1"/>
  <c r="CE139" i="4" s="1"/>
  <c r="D139" i="4" a="1"/>
  <c r="D139" i="4" s="1"/>
  <c r="CG139" i="4" a="1"/>
  <c r="CG139" i="4" s="1"/>
  <c r="BU139" i="4" a="1"/>
  <c r="BU139" i="4" s="1"/>
  <c r="E139" i="4" a="1"/>
  <c r="E139" i="4" s="1"/>
  <c r="BV139" i="4" a="1"/>
  <c r="BV139" i="4" s="1"/>
  <c r="CD139" i="4" a="1"/>
  <c r="CD139" i="4" s="1"/>
  <c r="CB139" i="4" a="1"/>
  <c r="CB139" i="4" s="1"/>
  <c r="CI139" i="4" a="1"/>
  <c r="CI139" i="4" s="1"/>
  <c r="CA139" i="4" a="1"/>
  <c r="CA139" i="4" s="1"/>
  <c r="BZ139" i="4" a="1"/>
  <c r="BZ139" i="4" s="1"/>
  <c r="BC139" i="4" a="1"/>
  <c r="BC139" i="4" s="1"/>
  <c r="L139" i="4" a="1"/>
  <c r="L139" i="4" s="1"/>
  <c r="H139" i="4" a="1"/>
  <c r="H139" i="4" s="1"/>
  <c r="BO139" i="4" a="1"/>
  <c r="BO139" i="4" s="1"/>
  <c r="BK139" i="4" a="1"/>
  <c r="BK139" i="4" s="1"/>
  <c r="BE139" i="4" a="1"/>
  <c r="BE139" i="4" s="1"/>
  <c r="BJ139" i="4" a="1"/>
  <c r="BJ139" i="4" s="1"/>
  <c r="Q139" i="4" s="1"/>
  <c r="EH139" i="4" a="1"/>
  <c r="EH139" i="4" s="1"/>
  <c r="BN139" i="4" a="1"/>
  <c r="BN139" i="4" s="1"/>
  <c r="CH139" i="4" a="1"/>
  <c r="CH139" i="4" s="1"/>
  <c r="EI139" i="4" a="1"/>
  <c r="EI139" i="4" s="1"/>
  <c r="BM139" i="4" a="1"/>
  <c r="BM139" i="4" s="1"/>
  <c r="BD139" i="4" a="1"/>
  <c r="BD139" i="4" s="1"/>
  <c r="CC139" i="4" a="1"/>
  <c r="CC139" i="4" s="1"/>
  <c r="BY139" i="4" a="1"/>
  <c r="BY139" i="4" s="1"/>
  <c r="AD59" i="4"/>
  <c r="AE59" i="4"/>
  <c r="BS59" i="4"/>
  <c r="W59" i="4"/>
  <c r="Y59" i="4" s="1"/>
  <c r="Q59" i="4"/>
  <c r="CQ139" i="2"/>
  <c r="BT139" i="2"/>
  <c r="AE61" i="4"/>
  <c r="BS61" i="4"/>
  <c r="AD61" i="4"/>
  <c r="BW103" i="4" a="1"/>
  <c r="BW103" i="4" s="1"/>
  <c r="CI103" i="4" a="1"/>
  <c r="CI103" i="4" s="1"/>
  <c r="BX103" i="4" a="1"/>
  <c r="BX103" i="4" s="1"/>
  <c r="D103" i="4" a="1"/>
  <c r="D103" i="4" s="1"/>
  <c r="L103" i="4" a="1"/>
  <c r="L103" i="4" s="1"/>
  <c r="CB103" i="4" a="1"/>
  <c r="CB103" i="4" s="1"/>
  <c r="BG103" i="4" a="1"/>
  <c r="BG103" i="4" s="1"/>
  <c r="BQ103" i="4" a="1"/>
  <c r="BQ103" i="4" s="1"/>
  <c r="BL103" i="4" a="1"/>
  <c r="BL103" i="4" s="1"/>
  <c r="BD103" i="4" a="1"/>
  <c r="BD103" i="4" s="1"/>
  <c r="EH103" i="4" a="1"/>
  <c r="EH103" i="4" s="1"/>
  <c r="BR103" i="4" a="1"/>
  <c r="BR103" i="4" s="1"/>
  <c r="E103" i="4" a="1"/>
  <c r="E103" i="4" s="1"/>
  <c r="CG103" i="4" a="1"/>
  <c r="CG103" i="4" s="1"/>
  <c r="CD103" i="4" a="1"/>
  <c r="CD103" i="4" s="1"/>
  <c r="BY103" i="4" a="1"/>
  <c r="BY103" i="4" s="1"/>
  <c r="BK103" i="4" a="1"/>
  <c r="BK103" i="4" s="1"/>
  <c r="CF103" i="4" a="1"/>
  <c r="CF103" i="4" s="1"/>
  <c r="BU103" i="4" a="1"/>
  <c r="BU103" i="4" s="1"/>
  <c r="BM103" i="4" a="1"/>
  <c r="BM103" i="4" s="1"/>
  <c r="BO103" i="4" a="1"/>
  <c r="BO103" i="4" s="1"/>
  <c r="CC103" i="4" a="1"/>
  <c r="CC103" i="4" s="1"/>
  <c r="H103" i="4" a="1"/>
  <c r="H103" i="4" s="1"/>
  <c r="BE103" i="4" a="1"/>
  <c r="BE103" i="4" s="1"/>
  <c r="BN103" i="4" a="1"/>
  <c r="BN103" i="4" s="1"/>
  <c r="EJ103" i="4" a="1"/>
  <c r="EJ103" i="4" s="1"/>
  <c r="BZ103" i="4" a="1"/>
  <c r="BZ103" i="4" s="1"/>
  <c r="BC103" i="4" a="1"/>
  <c r="BC103" i="4" s="1"/>
  <c r="EI103" i="4" a="1"/>
  <c r="EI103" i="4" s="1"/>
  <c r="CA103" i="4" a="1"/>
  <c r="CA103" i="4" s="1"/>
  <c r="CH103" i="4" a="1"/>
  <c r="CH103" i="4" s="1"/>
  <c r="BJ103" i="4" a="1"/>
  <c r="BJ103" i="4" s="1"/>
  <c r="Q103" i="4" s="1"/>
  <c r="CE103" i="4" a="1"/>
  <c r="CE103" i="4" s="1"/>
  <c r="BV103" i="4" a="1"/>
  <c r="BV103" i="4" s="1"/>
  <c r="W53" i="4"/>
  <c r="Y53" i="4" s="1"/>
  <c r="Q53" i="4"/>
  <c r="DR82" i="2"/>
  <c r="DS82" i="2"/>
  <c r="DT82" i="2"/>
  <c r="BW80" i="4" a="1"/>
  <c r="BW80" i="4" s="1"/>
  <c r="BR80" i="4" a="1"/>
  <c r="BR80" i="4" s="1"/>
  <c r="BG80" i="4" a="1"/>
  <c r="BG80" i="4" s="1"/>
  <c r="CF80" i="4" a="1"/>
  <c r="CF80" i="4" s="1"/>
  <c r="EH80" i="4" a="1"/>
  <c r="EH80" i="4" s="1"/>
  <c r="EI80" i="4" a="1"/>
  <c r="EI80" i="4" s="1"/>
  <c r="CE80" i="4" a="1"/>
  <c r="CE80" i="4" s="1"/>
  <c r="CG80" i="4" a="1"/>
  <c r="CG80" i="4" s="1"/>
  <c r="BO80" i="4" a="1"/>
  <c r="BO80" i="4" s="1"/>
  <c r="CH80" i="4" a="1"/>
  <c r="CH80" i="4" s="1"/>
  <c r="BK80" i="4" a="1"/>
  <c r="BK80" i="4" s="1"/>
  <c r="H80" i="4" a="1"/>
  <c r="H80" i="4" s="1"/>
  <c r="BN80" i="4" a="1"/>
  <c r="BN80" i="4" s="1"/>
  <c r="BX80" i="4" a="1"/>
  <c r="BX80" i="4" s="1"/>
  <c r="BV80" i="4" a="1"/>
  <c r="BV80" i="4" s="1"/>
  <c r="CI80" i="4" a="1"/>
  <c r="CI80" i="4" s="1"/>
  <c r="BQ80" i="4" a="1"/>
  <c r="BQ80" i="4" s="1"/>
  <c r="EJ80" i="4" a="1"/>
  <c r="EJ80" i="4" s="1"/>
  <c r="BE80" i="4" a="1"/>
  <c r="BE80" i="4" s="1"/>
  <c r="AB80" i="4" s="1"/>
  <c r="BL80" i="4" a="1"/>
  <c r="BL80" i="4" s="1"/>
  <c r="CC80" i="4" a="1"/>
  <c r="CC80" i="4" s="1"/>
  <c r="CA80" i="4" a="1"/>
  <c r="CA80" i="4" s="1"/>
  <c r="CB80" i="4" a="1"/>
  <c r="CB80" i="4" s="1"/>
  <c r="D80" i="4" a="1"/>
  <c r="D80" i="4" s="1"/>
  <c r="BZ80" i="4" a="1"/>
  <c r="BZ80" i="4" s="1"/>
  <c r="BJ80" i="4" a="1"/>
  <c r="BJ80" i="4" s="1"/>
  <c r="CD80" i="4" a="1"/>
  <c r="CD80" i="4" s="1"/>
  <c r="BY80" i="4" a="1"/>
  <c r="BY80" i="4" s="1"/>
  <c r="L80" i="4" a="1"/>
  <c r="L80" i="4" s="1"/>
  <c r="E80" i="4" a="1"/>
  <c r="E80" i="4" s="1"/>
  <c r="BU80" i="4" a="1"/>
  <c r="BU80" i="4" s="1"/>
  <c r="BC80" i="4" a="1"/>
  <c r="BC80" i="4" s="1"/>
  <c r="BD80" i="4" a="1"/>
  <c r="BD80" i="4" s="1"/>
  <c r="BM80" i="4" a="1"/>
  <c r="BM80" i="4" s="1"/>
  <c r="DS6" i="2"/>
  <c r="DR6" i="2"/>
  <c r="DT6" i="2"/>
  <c r="DU138" i="2"/>
  <c r="DV138" i="2"/>
  <c r="EF138" i="2"/>
  <c r="DN138" i="2"/>
  <c r="DP138" i="2" s="1"/>
  <c r="DQ138" i="2" s="1"/>
  <c r="DF138" i="2"/>
  <c r="DT97" i="2"/>
  <c r="DR97" i="2"/>
  <c r="DS97" i="2"/>
  <c r="AD26" i="4"/>
  <c r="AE26" i="4"/>
  <c r="BS26" i="4"/>
  <c r="W16" i="4"/>
  <c r="Y16" i="4" s="1"/>
  <c r="Q16" i="4"/>
  <c r="AN102" i="4"/>
  <c r="CJ102" i="4"/>
  <c r="EK102" i="4"/>
  <c r="W47" i="4"/>
  <c r="Y47" i="4" s="1"/>
  <c r="Q47" i="4"/>
  <c r="DE198" i="2"/>
  <c r="DD198" i="2"/>
  <c r="EF198" i="2" s="1"/>
  <c r="BS17" i="4"/>
  <c r="AD17" i="4"/>
  <c r="AE17" i="4"/>
  <c r="EK107" i="4"/>
  <c r="CJ107" i="4"/>
  <c r="AN107" i="4"/>
  <c r="AL109" i="4"/>
  <c r="S109" i="4"/>
  <c r="AB109" i="4" s="1"/>
  <c r="BH109" i="4"/>
  <c r="P109" i="4"/>
  <c r="CJ37" i="4"/>
  <c r="AN37" i="4"/>
  <c r="EK37" i="4"/>
  <c r="BS18" i="4"/>
  <c r="AE18" i="4"/>
  <c r="AD18" i="4"/>
  <c r="CB111" i="4" a="1"/>
  <c r="CB111" i="4" s="1"/>
  <c r="BQ111" i="4" a="1"/>
  <c r="BQ111" i="4" s="1"/>
  <c r="BC111" i="4" a="1"/>
  <c r="BC111" i="4" s="1"/>
  <c r="BO111" i="4" a="1"/>
  <c r="BO111" i="4" s="1"/>
  <c r="CD111" i="4" a="1"/>
  <c r="CD111" i="4" s="1"/>
  <c r="BX111" i="4" a="1"/>
  <c r="BX111" i="4" s="1"/>
  <c r="BY111" i="4" a="1"/>
  <c r="BY111" i="4" s="1"/>
  <c r="EI111" i="4" a="1"/>
  <c r="EI111" i="4" s="1"/>
  <c r="BZ111" i="4" a="1"/>
  <c r="BZ111" i="4" s="1"/>
  <c r="CH111" i="4" a="1"/>
  <c r="CH111" i="4" s="1"/>
  <c r="BD111" i="4" a="1"/>
  <c r="BD111" i="4" s="1"/>
  <c r="CI111" i="4" a="1"/>
  <c r="CI111" i="4" s="1"/>
  <c r="BG111" i="4" a="1"/>
  <c r="BG111" i="4" s="1"/>
  <c r="CE111" i="4" a="1"/>
  <c r="CE111" i="4" s="1"/>
  <c r="CA111" i="4" a="1"/>
  <c r="CA111" i="4" s="1"/>
  <c r="BR111" i="4" a="1"/>
  <c r="BR111" i="4" s="1"/>
  <c r="CG111" i="4" a="1"/>
  <c r="CG111" i="4" s="1"/>
  <c r="BN111" i="4" a="1"/>
  <c r="BN111" i="4" s="1"/>
  <c r="BV111" i="4" a="1"/>
  <c r="BV111" i="4" s="1"/>
  <c r="E111" i="4" a="1"/>
  <c r="E111" i="4" s="1"/>
  <c r="BE111" i="4" a="1"/>
  <c r="BE111" i="4" s="1"/>
  <c r="AB111" i="4" s="1"/>
  <c r="BJ111" i="4" a="1"/>
  <c r="BJ111" i="4" s="1"/>
  <c r="BW111" i="4" a="1"/>
  <c r="BW111" i="4" s="1"/>
  <c r="D111" i="4" a="1"/>
  <c r="D111" i="4" s="1"/>
  <c r="BK111" i="4" a="1"/>
  <c r="BK111" i="4" s="1"/>
  <c r="EH111" i="4" a="1"/>
  <c r="EH111" i="4" s="1"/>
  <c r="EJ111" i="4" a="1"/>
  <c r="EJ111" i="4" s="1"/>
  <c r="CC111" i="4" a="1"/>
  <c r="CC111" i="4" s="1"/>
  <c r="BL111" i="4" a="1"/>
  <c r="BL111" i="4" s="1"/>
  <c r="L111" i="4" a="1"/>
  <c r="L111" i="4" s="1"/>
  <c r="H111" i="4" a="1"/>
  <c r="H111" i="4" s="1"/>
  <c r="BU111" i="4" a="1"/>
  <c r="BU111" i="4" s="1"/>
  <c r="CF111" i="4" a="1"/>
  <c r="CF111" i="4" s="1"/>
  <c r="BM111" i="4" a="1"/>
  <c r="BM111" i="4" s="1"/>
  <c r="EJ89" i="4" a="1"/>
  <c r="EJ89" i="4" s="1"/>
  <c r="BY89" i="4" a="1"/>
  <c r="BY89" i="4" s="1"/>
  <c r="BL89" i="4" a="1"/>
  <c r="BL89" i="4" s="1"/>
  <c r="BQ89" i="4" a="1"/>
  <c r="BQ89" i="4" s="1"/>
  <c r="EI89" i="4" a="1"/>
  <c r="EI89" i="4" s="1"/>
  <c r="CD89" i="4" a="1"/>
  <c r="CD89" i="4" s="1"/>
  <c r="BU89" i="4" a="1"/>
  <c r="BU89" i="4" s="1"/>
  <c r="CA89" i="4" a="1"/>
  <c r="CA89" i="4" s="1"/>
  <c r="BE89" i="4" a="1"/>
  <c r="BE89" i="4" s="1"/>
  <c r="AB89" i="4" s="1"/>
  <c r="BR89" i="4" a="1"/>
  <c r="BR89" i="4" s="1"/>
  <c r="BM89" i="4" a="1"/>
  <c r="BM89" i="4" s="1"/>
  <c r="CG89" i="4" a="1"/>
  <c r="CG89" i="4" s="1"/>
  <c r="BZ89" i="4" a="1"/>
  <c r="BZ89" i="4" s="1"/>
  <c r="BG89" i="4" a="1"/>
  <c r="BG89" i="4" s="1"/>
  <c r="CF89" i="4" a="1"/>
  <c r="CF89" i="4" s="1"/>
  <c r="BK89" i="4" a="1"/>
  <c r="BK89" i="4" s="1"/>
  <c r="BN89" i="4" a="1"/>
  <c r="BN89" i="4" s="1"/>
  <c r="BO89" i="4" a="1"/>
  <c r="BO89" i="4" s="1"/>
  <c r="CH89" i="4" a="1"/>
  <c r="CH89" i="4" s="1"/>
  <c r="D89" i="4" a="1"/>
  <c r="D89" i="4" s="1"/>
  <c r="BJ89" i="4" a="1"/>
  <c r="BJ89" i="4" s="1"/>
  <c r="CB89" i="4" a="1"/>
  <c r="CB89" i="4" s="1"/>
  <c r="CI89" i="4" a="1"/>
  <c r="CI89" i="4" s="1"/>
  <c r="BV89" i="4" a="1"/>
  <c r="BV89" i="4" s="1"/>
  <c r="CE89" i="4" a="1"/>
  <c r="CE89" i="4" s="1"/>
  <c r="EH89" i="4" a="1"/>
  <c r="EH89" i="4" s="1"/>
  <c r="E89" i="4" a="1"/>
  <c r="E89" i="4" s="1"/>
  <c r="CC89" i="4" a="1"/>
  <c r="CC89" i="4" s="1"/>
  <c r="BX89" i="4" a="1"/>
  <c r="BX89" i="4" s="1"/>
  <c r="BW89" i="4" a="1"/>
  <c r="BW89" i="4" s="1"/>
  <c r="H89" i="4" a="1"/>
  <c r="H89" i="4" s="1"/>
  <c r="BC89" i="4" a="1"/>
  <c r="BC89" i="4" s="1"/>
  <c r="L89" i="4" a="1"/>
  <c r="L89" i="4" s="1"/>
  <c r="BD89" i="4" a="1"/>
  <c r="BD89" i="4" s="1"/>
  <c r="AN25" i="4"/>
  <c r="CJ25" i="4"/>
  <c r="EK25" i="4"/>
  <c r="AE39" i="4"/>
  <c r="AD39" i="4"/>
  <c r="BS39" i="4"/>
  <c r="AL37" i="4"/>
  <c r="P37" i="4"/>
  <c r="BH37" i="4"/>
  <c r="S37" i="4"/>
  <c r="AB37" i="4" s="1"/>
  <c r="DE301" i="2"/>
  <c r="DD301" i="2"/>
  <c r="BC88" i="4" a="1"/>
  <c r="BC88" i="4" s="1"/>
  <c r="CE88" i="4" a="1"/>
  <c r="CE88" i="4" s="1"/>
  <c r="CA88" i="4" a="1"/>
  <c r="CA88" i="4" s="1"/>
  <c r="BG88" i="4" a="1"/>
  <c r="BG88" i="4" s="1"/>
  <c r="BQ88" i="4" a="1"/>
  <c r="BQ88" i="4" s="1"/>
  <c r="BW88" i="4" a="1"/>
  <c r="BW88" i="4" s="1"/>
  <c r="BL88" i="4" a="1"/>
  <c r="BL88" i="4" s="1"/>
  <c r="BK88" i="4" a="1"/>
  <c r="BK88" i="4" s="1"/>
  <c r="BV88" i="4" a="1"/>
  <c r="BV88" i="4" s="1"/>
  <c r="BJ88" i="4" a="1"/>
  <c r="BJ88" i="4" s="1"/>
  <c r="CF88" i="4" a="1"/>
  <c r="CF88" i="4" s="1"/>
  <c r="E88" i="4" a="1"/>
  <c r="E88" i="4" s="1"/>
  <c r="BE88" i="4" a="1"/>
  <c r="BE88" i="4" s="1"/>
  <c r="AB88" i="4" s="1"/>
  <c r="CI88" i="4" a="1"/>
  <c r="CI88" i="4" s="1"/>
  <c r="D88" i="4" a="1"/>
  <c r="D88" i="4" s="1"/>
  <c r="BZ88" i="4" a="1"/>
  <c r="BZ88" i="4" s="1"/>
  <c r="BD88" i="4" a="1"/>
  <c r="BD88" i="4" s="1"/>
  <c r="CB88" i="4" a="1"/>
  <c r="CB88" i="4" s="1"/>
  <c r="EH88" i="4" a="1"/>
  <c r="EH88" i="4" s="1"/>
  <c r="BO88" i="4" a="1"/>
  <c r="BO88" i="4" s="1"/>
  <c r="BN88" i="4" a="1"/>
  <c r="BN88" i="4" s="1"/>
  <c r="H88" i="4" a="1"/>
  <c r="H88" i="4" s="1"/>
  <c r="BM88" i="4" a="1"/>
  <c r="BM88" i="4" s="1"/>
  <c r="CG88" i="4" a="1"/>
  <c r="CG88" i="4" s="1"/>
  <c r="BY88" i="4" a="1"/>
  <c r="BY88" i="4" s="1"/>
  <c r="BR88" i="4" a="1"/>
  <c r="BR88" i="4" s="1"/>
  <c r="EI88" i="4" a="1"/>
  <c r="EI88" i="4" s="1"/>
  <c r="L88" i="4" a="1"/>
  <c r="L88" i="4" s="1"/>
  <c r="BX88" i="4" a="1"/>
  <c r="BX88" i="4" s="1"/>
  <c r="CH88" i="4" a="1"/>
  <c r="CH88" i="4" s="1"/>
  <c r="CD88" i="4" a="1"/>
  <c r="CD88" i="4" s="1"/>
  <c r="CC88" i="4" a="1"/>
  <c r="CC88" i="4" s="1"/>
  <c r="BU88" i="4" a="1"/>
  <c r="BU88" i="4" s="1"/>
  <c r="EJ88" i="4" a="1"/>
  <c r="EJ88" i="4" s="1"/>
  <c r="EK55" i="4"/>
  <c r="CJ55" i="4"/>
  <c r="AN55" i="4"/>
  <c r="DD155" i="2"/>
  <c r="DE155" i="2"/>
  <c r="L93" i="4" a="1"/>
  <c r="L93" i="4" s="1"/>
  <c r="CE93" i="4" a="1"/>
  <c r="CE93" i="4" s="1"/>
  <c r="BD93" i="4" a="1"/>
  <c r="BD93" i="4" s="1"/>
  <c r="BN93" i="4" a="1"/>
  <c r="BN93" i="4" s="1"/>
  <c r="D93" i="4" a="1"/>
  <c r="D93" i="4" s="1"/>
  <c r="CI93" i="4" a="1"/>
  <c r="CI93" i="4" s="1"/>
  <c r="BJ93" i="4" a="1"/>
  <c r="BJ93" i="4" s="1"/>
  <c r="CC93" i="4" a="1"/>
  <c r="CC93" i="4" s="1"/>
  <c r="BM93" i="4" a="1"/>
  <c r="BM93" i="4" s="1"/>
  <c r="BL93" i="4" a="1"/>
  <c r="BL93" i="4" s="1"/>
  <c r="BV93" i="4" a="1"/>
  <c r="BV93" i="4" s="1"/>
  <c r="BR93" i="4" a="1"/>
  <c r="BR93" i="4" s="1"/>
  <c r="BW93" i="4" a="1"/>
  <c r="BW93" i="4" s="1"/>
  <c r="EI93" i="4" a="1"/>
  <c r="EI93" i="4" s="1"/>
  <c r="BU93" i="4" a="1"/>
  <c r="BU93" i="4" s="1"/>
  <c r="CH93" i="4" a="1"/>
  <c r="CH93" i="4" s="1"/>
  <c r="BZ93" i="4" a="1"/>
  <c r="BZ93" i="4" s="1"/>
  <c r="BK93" i="4" a="1"/>
  <c r="BK93" i="4" s="1"/>
  <c r="BO93" i="4" a="1"/>
  <c r="BO93" i="4" s="1"/>
  <c r="E93" i="4" a="1"/>
  <c r="E93" i="4" s="1"/>
  <c r="BQ93" i="4" a="1"/>
  <c r="BQ93" i="4" s="1"/>
  <c r="CF93" i="4" a="1"/>
  <c r="CF93" i="4" s="1"/>
  <c r="CA93" i="4" a="1"/>
  <c r="CA93" i="4" s="1"/>
  <c r="EJ93" i="4" a="1"/>
  <c r="EJ93" i="4" s="1"/>
  <c r="EH93" i="4" a="1"/>
  <c r="EH93" i="4" s="1"/>
  <c r="BE93" i="4" a="1"/>
  <c r="BE93" i="4" s="1"/>
  <c r="AB93" i="4" s="1"/>
  <c r="BX93" i="4" a="1"/>
  <c r="BX93" i="4" s="1"/>
  <c r="BC93" i="4" a="1"/>
  <c r="BC93" i="4" s="1"/>
  <c r="CD93" i="4" a="1"/>
  <c r="CD93" i="4" s="1"/>
  <c r="BY93" i="4" a="1"/>
  <c r="BY93" i="4" s="1"/>
  <c r="BG93" i="4" a="1"/>
  <c r="BG93" i="4" s="1"/>
  <c r="CB93" i="4" a="1"/>
  <c r="CB93" i="4" s="1"/>
  <c r="CG93" i="4" a="1"/>
  <c r="CG93" i="4" s="1"/>
  <c r="H93" i="4" a="1"/>
  <c r="H93" i="4" s="1"/>
  <c r="CD115" i="4" a="1"/>
  <c r="CD115" i="4" s="1"/>
  <c r="EJ115" i="4" a="1"/>
  <c r="EJ115" i="4" s="1"/>
  <c r="BV115" i="4" a="1"/>
  <c r="BV115" i="4" s="1"/>
  <c r="D115" i="4" a="1"/>
  <c r="D115" i="4" s="1"/>
  <c r="CH115" i="4" a="1"/>
  <c r="CH115" i="4" s="1"/>
  <c r="BJ115" i="4" a="1"/>
  <c r="BJ115" i="4" s="1"/>
  <c r="Q115" i="4" s="1"/>
  <c r="BX115" i="4" a="1"/>
  <c r="BX115" i="4" s="1"/>
  <c r="E115" i="4" a="1"/>
  <c r="E115" i="4" s="1"/>
  <c r="BR115" i="4" a="1"/>
  <c r="BR115" i="4" s="1"/>
  <c r="BM115" i="4" a="1"/>
  <c r="BM115" i="4" s="1"/>
  <c r="BK115" i="4" a="1"/>
  <c r="BK115" i="4" s="1"/>
  <c r="CG115" i="4" a="1"/>
  <c r="CG115" i="4" s="1"/>
  <c r="H115" i="4" a="1"/>
  <c r="H115" i="4" s="1"/>
  <c r="BL115" i="4" a="1"/>
  <c r="BL115" i="4" s="1"/>
  <c r="BY115" i="4" a="1"/>
  <c r="BY115" i="4" s="1"/>
  <c r="EI115" i="4" a="1"/>
  <c r="EI115" i="4" s="1"/>
  <c r="BW115" i="4" a="1"/>
  <c r="BW115" i="4" s="1"/>
  <c r="CA115" i="4" a="1"/>
  <c r="CA115" i="4" s="1"/>
  <c r="BC115" i="4" a="1"/>
  <c r="BC115" i="4" s="1"/>
  <c r="BQ115" i="4" a="1"/>
  <c r="BQ115" i="4" s="1"/>
  <c r="CE115" i="4" a="1"/>
  <c r="CE115" i="4" s="1"/>
  <c r="CF115" i="4" a="1"/>
  <c r="CF115" i="4" s="1"/>
  <c r="CB115" i="4" a="1"/>
  <c r="CB115" i="4" s="1"/>
  <c r="BU115" i="4" a="1"/>
  <c r="BU115" i="4" s="1"/>
  <c r="BE115" i="4" a="1"/>
  <c r="BE115" i="4" s="1"/>
  <c r="CC115" i="4" a="1"/>
  <c r="CC115" i="4" s="1"/>
  <c r="BG115" i="4" a="1"/>
  <c r="BG115" i="4" s="1"/>
  <c r="BN115" i="4" a="1"/>
  <c r="BN115" i="4" s="1"/>
  <c r="EH115" i="4" a="1"/>
  <c r="EH115" i="4" s="1"/>
  <c r="CI115" i="4" a="1"/>
  <c r="CI115" i="4" s="1"/>
  <c r="BD115" i="4" a="1"/>
  <c r="BD115" i="4" s="1"/>
  <c r="L115" i="4" a="1"/>
  <c r="L115" i="4" s="1"/>
  <c r="BO115" i="4" a="1"/>
  <c r="BO115" i="4" s="1"/>
  <c r="BZ115" i="4" a="1"/>
  <c r="BZ115" i="4" s="1"/>
  <c r="AN23" i="4"/>
  <c r="CJ23" i="4"/>
  <c r="EK23" i="4"/>
  <c r="ED252" i="2"/>
  <c r="DX252" i="2"/>
  <c r="DZ252" i="2" s="1"/>
  <c r="EA252" i="2" s="1"/>
  <c r="CC95" i="4" a="1"/>
  <c r="CC95" i="4" s="1"/>
  <c r="CF95" i="4" a="1"/>
  <c r="CF95" i="4" s="1"/>
  <c r="CD95" i="4" a="1"/>
  <c r="CD95" i="4" s="1"/>
  <c r="BO95" i="4" a="1"/>
  <c r="BO95" i="4" s="1"/>
  <c r="BJ95" i="4" a="1"/>
  <c r="BJ95" i="4" s="1"/>
  <c r="BK95" i="4" a="1"/>
  <c r="BK95" i="4" s="1"/>
  <c r="BG95" i="4" a="1"/>
  <c r="BG95" i="4" s="1"/>
  <c r="CH95" i="4" a="1"/>
  <c r="CH95" i="4" s="1"/>
  <c r="CA95" i="4" a="1"/>
  <c r="CA95" i="4" s="1"/>
  <c r="BD95" i="4" a="1"/>
  <c r="BD95" i="4" s="1"/>
  <c r="CE95" i="4" a="1"/>
  <c r="CE95" i="4" s="1"/>
  <c r="BZ95" i="4" a="1"/>
  <c r="BZ95" i="4" s="1"/>
  <c r="BL95" i="4" a="1"/>
  <c r="BL95" i="4" s="1"/>
  <c r="BM95" i="4" a="1"/>
  <c r="BM95" i="4" s="1"/>
  <c r="EJ95" i="4" a="1"/>
  <c r="EJ95" i="4" s="1"/>
  <c r="EH95" i="4" a="1"/>
  <c r="EH95" i="4" s="1"/>
  <c r="E95" i="4" a="1"/>
  <c r="E95" i="4" s="1"/>
  <c r="CI95" i="4" a="1"/>
  <c r="CI95" i="4" s="1"/>
  <c r="EI95" i="4" a="1"/>
  <c r="EI95" i="4" s="1"/>
  <c r="H95" i="4" a="1"/>
  <c r="H95" i="4" s="1"/>
  <c r="BX95" i="4" a="1"/>
  <c r="BX95" i="4" s="1"/>
  <c r="L95" i="4" a="1"/>
  <c r="L95" i="4" s="1"/>
  <c r="BW95" i="4" a="1"/>
  <c r="BW95" i="4" s="1"/>
  <c r="BR95" i="4" a="1"/>
  <c r="BR95" i="4" s="1"/>
  <c r="CG95" i="4" a="1"/>
  <c r="CG95" i="4" s="1"/>
  <c r="BQ95" i="4" a="1"/>
  <c r="BQ95" i="4" s="1"/>
  <c r="BE95" i="4" a="1"/>
  <c r="BE95" i="4" s="1"/>
  <c r="AB95" i="4" s="1"/>
  <c r="BY95" i="4" a="1"/>
  <c r="BY95" i="4" s="1"/>
  <c r="BV95" i="4" a="1"/>
  <c r="BV95" i="4" s="1"/>
  <c r="BN95" i="4" a="1"/>
  <c r="BN95" i="4" s="1"/>
  <c r="D95" i="4" a="1"/>
  <c r="D95" i="4" s="1"/>
  <c r="BU95" i="4" a="1"/>
  <c r="BU95" i="4" s="1"/>
  <c r="BC95" i="4" a="1"/>
  <c r="BC95" i="4" s="1"/>
  <c r="CB95" i="4" a="1"/>
  <c r="CB95" i="4" s="1"/>
  <c r="P13" i="4"/>
  <c r="AL13" i="4"/>
  <c r="S13" i="4"/>
  <c r="AB13" i="4" s="1"/>
  <c r="BH13" i="4"/>
  <c r="Y112" i="4"/>
  <c r="Z112" i="4"/>
  <c r="DC202" i="2"/>
  <c r="DC1" i="2" s="1"/>
  <c r="DD117" i="2"/>
  <c r="DE117" i="2"/>
  <c r="E92" i="4" a="1"/>
  <c r="E92" i="4" s="1"/>
  <c r="D92" i="4" a="1"/>
  <c r="D92" i="4" s="1"/>
  <c r="BU92" i="4" a="1"/>
  <c r="BU92" i="4" s="1"/>
  <c r="EJ92" i="4" a="1"/>
  <c r="EJ92" i="4" s="1"/>
  <c r="BR92" i="4" a="1"/>
  <c r="BR92" i="4" s="1"/>
  <c r="CC92" i="4" a="1"/>
  <c r="CC92" i="4" s="1"/>
  <c r="BJ92" i="4" a="1"/>
  <c r="BJ92" i="4" s="1"/>
  <c r="BZ92" i="4" a="1"/>
  <c r="BZ92" i="4" s="1"/>
  <c r="CB92" i="4" a="1"/>
  <c r="CB92" i="4" s="1"/>
  <c r="BV92" i="4" a="1"/>
  <c r="BV92" i="4" s="1"/>
  <c r="BQ92" i="4" a="1"/>
  <c r="BQ92" i="4" s="1"/>
  <c r="BC92" i="4" a="1"/>
  <c r="BC92" i="4" s="1"/>
  <c r="CH92" i="4" a="1"/>
  <c r="CH92" i="4" s="1"/>
  <c r="BX92" i="4" a="1"/>
  <c r="BX92" i="4" s="1"/>
  <c r="BN92" i="4" a="1"/>
  <c r="BN92" i="4" s="1"/>
  <c r="EI92" i="4" a="1"/>
  <c r="EI92" i="4" s="1"/>
  <c r="CI92" i="4" a="1"/>
  <c r="CI92" i="4" s="1"/>
  <c r="CE92" i="4" a="1"/>
  <c r="CE92" i="4" s="1"/>
  <c r="BM92" i="4" a="1"/>
  <c r="BM92" i="4" s="1"/>
  <c r="L92" i="4" a="1"/>
  <c r="L92" i="4" s="1"/>
  <c r="BY92" i="4" a="1"/>
  <c r="BY92" i="4" s="1"/>
  <c r="EH92" i="4" a="1"/>
  <c r="EH92" i="4" s="1"/>
  <c r="BL92" i="4" a="1"/>
  <c r="BL92" i="4" s="1"/>
  <c r="CA92" i="4" a="1"/>
  <c r="CA92" i="4" s="1"/>
  <c r="CD92" i="4" a="1"/>
  <c r="CD92" i="4" s="1"/>
  <c r="CF92" i="4" a="1"/>
  <c r="CF92" i="4" s="1"/>
  <c r="BK92" i="4" a="1"/>
  <c r="BK92" i="4" s="1"/>
  <c r="BG92" i="4" a="1"/>
  <c r="BG92" i="4" s="1"/>
  <c r="BD92" i="4" a="1"/>
  <c r="BD92" i="4" s="1"/>
  <c r="BO92" i="4" a="1"/>
  <c r="BO92" i="4" s="1"/>
  <c r="BW92" i="4" a="1"/>
  <c r="BW92" i="4" s="1"/>
  <c r="CG92" i="4" a="1"/>
  <c r="CG92" i="4" s="1"/>
  <c r="BE92" i="4" a="1"/>
  <c r="BE92" i="4" s="1"/>
  <c r="AB92" i="4" s="1"/>
  <c r="H92" i="4" a="1"/>
  <c r="H92" i="4" s="1"/>
  <c r="CB81" i="4" a="1"/>
  <c r="CB81" i="4" s="1"/>
  <c r="E81" i="4" a="1"/>
  <c r="E81" i="4" s="1"/>
  <c r="EI81" i="4" a="1"/>
  <c r="EI81" i="4" s="1"/>
  <c r="CF81" i="4" a="1"/>
  <c r="CF81" i="4" s="1"/>
  <c r="BZ81" i="4" a="1"/>
  <c r="BZ81" i="4" s="1"/>
  <c r="BR81" i="4" a="1"/>
  <c r="BR81" i="4" s="1"/>
  <c r="BL81" i="4" a="1"/>
  <c r="BL81" i="4" s="1"/>
  <c r="BM81" i="4" a="1"/>
  <c r="BM81" i="4" s="1"/>
  <c r="BG81" i="4" a="1"/>
  <c r="BG81" i="4" s="1"/>
  <c r="H81" i="4" a="1"/>
  <c r="H81" i="4" s="1"/>
  <c r="CI81" i="4" a="1"/>
  <c r="CI81" i="4" s="1"/>
  <c r="BV81" i="4" a="1"/>
  <c r="BV81" i="4" s="1"/>
  <c r="BO81" i="4" a="1"/>
  <c r="BO81" i="4" s="1"/>
  <c r="BE81" i="4" a="1"/>
  <c r="BE81" i="4" s="1"/>
  <c r="AB81" i="4" s="1"/>
  <c r="CE81" i="4" a="1"/>
  <c r="CE81" i="4" s="1"/>
  <c r="BN81" i="4" a="1"/>
  <c r="BN81" i="4" s="1"/>
  <c r="BK81" i="4" a="1"/>
  <c r="BK81" i="4" s="1"/>
  <c r="BX81" i="4" a="1"/>
  <c r="BX81" i="4" s="1"/>
  <c r="CC81" i="4" a="1"/>
  <c r="CC81" i="4" s="1"/>
  <c r="BQ81" i="4" a="1"/>
  <c r="BQ81" i="4" s="1"/>
  <c r="EH81" i="4" a="1"/>
  <c r="EH81" i="4" s="1"/>
  <c r="BJ81" i="4" a="1"/>
  <c r="BJ81" i="4" s="1"/>
  <c r="CD81" i="4" a="1"/>
  <c r="CD81" i="4" s="1"/>
  <c r="BD81" i="4" a="1"/>
  <c r="BD81" i="4" s="1"/>
  <c r="CH81" i="4" a="1"/>
  <c r="CH81" i="4" s="1"/>
  <c r="BC81" i="4" a="1"/>
  <c r="BC81" i="4" s="1"/>
  <c r="CA81" i="4" a="1"/>
  <c r="CA81" i="4" s="1"/>
  <c r="D81" i="4" a="1"/>
  <c r="D81" i="4" s="1"/>
  <c r="CG81" i="4" a="1"/>
  <c r="CG81" i="4" s="1"/>
  <c r="L81" i="4" a="1"/>
  <c r="L81" i="4" s="1"/>
  <c r="BW81" i="4" a="1"/>
  <c r="BW81" i="4" s="1"/>
  <c r="EJ81" i="4" a="1"/>
  <c r="EJ81" i="4" s="1"/>
  <c r="BY81" i="4" a="1"/>
  <c r="BY81" i="4" s="1"/>
  <c r="BU81" i="4" a="1"/>
  <c r="BU81" i="4" s="1"/>
  <c r="D99" i="4" a="1"/>
  <c r="D99" i="4" s="1"/>
  <c r="BN99" i="4" a="1"/>
  <c r="BN99" i="4" s="1"/>
  <c r="BY99" i="4" a="1"/>
  <c r="BY99" i="4" s="1"/>
  <c r="BL99" i="4" a="1"/>
  <c r="BL99" i="4" s="1"/>
  <c r="EI99" i="4" a="1"/>
  <c r="EI99" i="4" s="1"/>
  <c r="CE99" i="4" a="1"/>
  <c r="CE99" i="4" s="1"/>
  <c r="BU99" i="4" a="1"/>
  <c r="BU99" i="4" s="1"/>
  <c r="BX99" i="4" a="1"/>
  <c r="BX99" i="4" s="1"/>
  <c r="CH99" i="4" a="1"/>
  <c r="CH99" i="4" s="1"/>
  <c r="BK99" i="4" a="1"/>
  <c r="BK99" i="4" s="1"/>
  <c r="CF99" i="4" a="1"/>
  <c r="CF99" i="4" s="1"/>
  <c r="BD99" i="4" a="1"/>
  <c r="BD99" i="4" s="1"/>
  <c r="CB99" i="4" a="1"/>
  <c r="CB99" i="4" s="1"/>
  <c r="CG99" i="4" a="1"/>
  <c r="CG99" i="4" s="1"/>
  <c r="E99" i="4" a="1"/>
  <c r="E99" i="4" s="1"/>
  <c r="BW99" i="4" a="1"/>
  <c r="BW99" i="4" s="1"/>
  <c r="BM99" i="4" a="1"/>
  <c r="BM99" i="4" s="1"/>
  <c r="CA99" i="4" a="1"/>
  <c r="CA99" i="4" s="1"/>
  <c r="BZ99" i="4" a="1"/>
  <c r="BZ99" i="4" s="1"/>
  <c r="BG99" i="4" a="1"/>
  <c r="BG99" i="4" s="1"/>
  <c r="CD99" i="4" a="1"/>
  <c r="CD99" i="4" s="1"/>
  <c r="BC99" i="4" a="1"/>
  <c r="BC99" i="4" s="1"/>
  <c r="BJ99" i="4" a="1"/>
  <c r="BJ99" i="4" s="1"/>
  <c r="Q99" i="4" s="1"/>
  <c r="EH99" i="4" a="1"/>
  <c r="EH99" i="4" s="1"/>
  <c r="H99" i="4" a="1"/>
  <c r="H99" i="4" s="1"/>
  <c r="L99" i="4" a="1"/>
  <c r="L99" i="4" s="1"/>
  <c r="BR99" i="4" a="1"/>
  <c r="BR99" i="4" s="1"/>
  <c r="BO99" i="4" a="1"/>
  <c r="BO99" i="4" s="1"/>
  <c r="BV99" i="4" a="1"/>
  <c r="BV99" i="4" s="1"/>
  <c r="BQ99" i="4" a="1"/>
  <c r="BQ99" i="4" s="1"/>
  <c r="EJ99" i="4" a="1"/>
  <c r="EJ99" i="4" s="1"/>
  <c r="CC99" i="4" a="1"/>
  <c r="CC99" i="4" s="1"/>
  <c r="CI99" i="4" a="1"/>
  <c r="CI99" i="4" s="1"/>
  <c r="BE99" i="4" a="1"/>
  <c r="BE99" i="4" s="1"/>
  <c r="AN10" i="4"/>
  <c r="CJ10" i="4"/>
  <c r="EK10" i="4"/>
  <c r="AN9" i="4"/>
  <c r="EK9" i="4"/>
  <c r="CJ9" i="4"/>
  <c r="DT15" i="2"/>
  <c r="DR15" i="2"/>
  <c r="DS15" i="2"/>
  <c r="AD49" i="4"/>
  <c r="AE49" i="4"/>
  <c r="BS49" i="4"/>
  <c r="DR59" i="2"/>
  <c r="DT59" i="2"/>
  <c r="DS59" i="2"/>
  <c r="EK65" i="4"/>
  <c r="Z114" i="4"/>
  <c r="Y114" i="4"/>
  <c r="EK35" i="4"/>
  <c r="CJ35" i="4"/>
  <c r="AN35" i="4"/>
  <c r="AN60" i="4"/>
  <c r="EK60" i="4"/>
  <c r="CJ60" i="4"/>
  <c r="EK14" i="4"/>
  <c r="AN14" i="4"/>
  <c r="CJ14" i="4"/>
  <c r="CB134" i="4" a="1"/>
  <c r="CB134" i="4" s="1"/>
  <c r="BX134" i="4" a="1"/>
  <c r="BX134" i="4" s="1"/>
  <c r="L134" i="4" a="1"/>
  <c r="L134" i="4" s="1"/>
  <c r="BY134" i="4" a="1"/>
  <c r="BY134" i="4" s="1"/>
  <c r="BV134" i="4" a="1"/>
  <c r="BV134" i="4" s="1"/>
  <c r="EJ134" i="4" a="1"/>
  <c r="EJ134" i="4" s="1"/>
  <c r="BG134" i="4" a="1"/>
  <c r="BG134" i="4" s="1"/>
  <c r="BJ134" i="4" a="1"/>
  <c r="BJ134" i="4" s="1"/>
  <c r="BW134" i="4" a="1"/>
  <c r="BW134" i="4" s="1"/>
  <c r="EI134" i="4" a="1"/>
  <c r="EI134" i="4" s="1"/>
  <c r="CI134" i="4" a="1"/>
  <c r="CI134" i="4" s="1"/>
  <c r="BD134" i="4" a="1"/>
  <c r="BD134" i="4" s="1"/>
  <c r="BL134" i="4" a="1"/>
  <c r="BL134" i="4" s="1"/>
  <c r="CD134" i="4" a="1"/>
  <c r="CD134" i="4" s="1"/>
  <c r="BZ134" i="4" a="1"/>
  <c r="BZ134" i="4" s="1"/>
  <c r="CG134" i="4" a="1"/>
  <c r="CG134" i="4" s="1"/>
  <c r="EH134" i="4" a="1"/>
  <c r="EH134" i="4" s="1"/>
  <c r="BM134" i="4" a="1"/>
  <c r="BM134" i="4" s="1"/>
  <c r="D134" i="4" a="1"/>
  <c r="D134" i="4" s="1"/>
  <c r="BN134" i="4" a="1"/>
  <c r="BN134" i="4" s="1"/>
  <c r="BQ134" i="4" a="1"/>
  <c r="BQ134" i="4" s="1"/>
  <c r="E134" i="4" a="1"/>
  <c r="E134" i="4" s="1"/>
  <c r="BE134" i="4" a="1"/>
  <c r="BE134" i="4" s="1"/>
  <c r="AB134" i="4" s="1"/>
  <c r="CA134" i="4" a="1"/>
  <c r="CA134" i="4" s="1"/>
  <c r="BC134" i="4" a="1"/>
  <c r="BC134" i="4" s="1"/>
  <c r="BK134" i="4" a="1"/>
  <c r="BK134" i="4" s="1"/>
  <c r="H134" i="4" a="1"/>
  <c r="H134" i="4" s="1"/>
  <c r="CF134" i="4" a="1"/>
  <c r="CF134" i="4" s="1"/>
  <c r="BU134" i="4" a="1"/>
  <c r="BU134" i="4" s="1"/>
  <c r="CE134" i="4" a="1"/>
  <c r="CE134" i="4" s="1"/>
  <c r="BR134" i="4" a="1"/>
  <c r="BR134" i="4" s="1"/>
  <c r="BO134" i="4" a="1"/>
  <c r="BO134" i="4" s="1"/>
  <c r="CC134" i="4" a="1"/>
  <c r="CC134" i="4" s="1"/>
  <c r="CH134" i="4" a="1"/>
  <c r="CH134" i="4" s="1"/>
  <c r="DT162" i="2"/>
  <c r="DS162" i="2"/>
  <c r="DR162" i="2"/>
  <c r="DD122" i="2"/>
  <c r="DE122" i="2"/>
  <c r="Q57" i="4"/>
  <c r="W57" i="4"/>
  <c r="Y57" i="4" s="1"/>
  <c r="BS38" i="4"/>
  <c r="AD38" i="4"/>
  <c r="AE38" i="4"/>
  <c r="BN141" i="4" a="1"/>
  <c r="BN141" i="4" s="1"/>
  <c r="BV141" i="4" a="1"/>
  <c r="BV141" i="4" s="1"/>
  <c r="E141" i="4" a="1"/>
  <c r="E141" i="4" s="1"/>
  <c r="BO141" i="4" a="1"/>
  <c r="BO141" i="4" s="1"/>
  <c r="BR141" i="4" a="1"/>
  <c r="BR141" i="4" s="1"/>
  <c r="CD141" i="4" a="1"/>
  <c r="CD141" i="4" s="1"/>
  <c r="CG141" i="4" a="1"/>
  <c r="CG141" i="4" s="1"/>
  <c r="CC141" i="4" a="1"/>
  <c r="CC141" i="4" s="1"/>
  <c r="BL141" i="4" a="1"/>
  <c r="BL141" i="4" s="1"/>
  <c r="BD141" i="4" a="1"/>
  <c r="BD141" i="4" s="1"/>
  <c r="CF141" i="4" a="1"/>
  <c r="CF141" i="4" s="1"/>
  <c r="BZ141" i="4" a="1"/>
  <c r="BZ141" i="4" s="1"/>
  <c r="BJ141" i="4" a="1"/>
  <c r="BJ141" i="4" s="1"/>
  <c r="Q141" i="4" s="1"/>
  <c r="CI141" i="4" a="1"/>
  <c r="CI141" i="4" s="1"/>
  <c r="BK141" i="4" a="1"/>
  <c r="BK141" i="4" s="1"/>
  <c r="EI141" i="4" a="1"/>
  <c r="EI141" i="4" s="1"/>
  <c r="BW141" i="4" a="1"/>
  <c r="BW141" i="4" s="1"/>
  <c r="BY141" i="4" a="1"/>
  <c r="BY141" i="4" s="1"/>
  <c r="BM141" i="4" a="1"/>
  <c r="BM141" i="4" s="1"/>
  <c r="BE141" i="4" a="1"/>
  <c r="BE141" i="4" s="1"/>
  <c r="EH141" i="4" a="1"/>
  <c r="EH141" i="4" s="1"/>
  <c r="BX141" i="4" a="1"/>
  <c r="BX141" i="4" s="1"/>
  <c r="H141" i="4" a="1"/>
  <c r="H141" i="4" s="1"/>
  <c r="BC141" i="4" a="1"/>
  <c r="BC141" i="4" s="1"/>
  <c r="CE141" i="4" a="1"/>
  <c r="CE141" i="4" s="1"/>
  <c r="BU141" i="4" a="1"/>
  <c r="BU141" i="4" s="1"/>
  <c r="L141" i="4" a="1"/>
  <c r="L141" i="4" s="1"/>
  <c r="D141" i="4" a="1"/>
  <c r="D141" i="4" s="1"/>
  <c r="CH141" i="4" a="1"/>
  <c r="CH141" i="4" s="1"/>
  <c r="EJ141" i="4" a="1"/>
  <c r="EJ141" i="4" s="1"/>
  <c r="BQ141" i="4" a="1"/>
  <c r="BQ141" i="4" s="1"/>
  <c r="BG141" i="4" a="1"/>
  <c r="BG141" i="4" s="1"/>
  <c r="CB141" i="4" a="1"/>
  <c r="CB141" i="4" s="1"/>
  <c r="CA141" i="4" a="1"/>
  <c r="CA141" i="4" s="1"/>
  <c r="AE52" i="4"/>
  <c r="BS52" i="4"/>
  <c r="AD52" i="4"/>
  <c r="AL12" i="4"/>
  <c r="P12" i="4"/>
  <c r="S12" i="4"/>
  <c r="AB12" i="4" s="1"/>
  <c r="BH12" i="4"/>
  <c r="AE27" i="4"/>
  <c r="BS27" i="4"/>
  <c r="AD27" i="4"/>
  <c r="AN47" i="4"/>
  <c r="EK47" i="4"/>
  <c r="CJ47" i="4"/>
  <c r="Q69" i="4"/>
  <c r="W69" i="4"/>
  <c r="EH98" i="4" a="1"/>
  <c r="EH98" i="4" s="1"/>
  <c r="BW98" i="4" a="1"/>
  <c r="BW98" i="4" s="1"/>
  <c r="BD98" i="4" a="1"/>
  <c r="BD98" i="4" s="1"/>
  <c r="BU98" i="4" a="1"/>
  <c r="BU98" i="4" s="1"/>
  <c r="EJ98" i="4" a="1"/>
  <c r="EJ98" i="4" s="1"/>
  <c r="CG98" i="4" a="1"/>
  <c r="CG98" i="4" s="1"/>
  <c r="BK98" i="4" a="1"/>
  <c r="BK98" i="4" s="1"/>
  <c r="CA98" i="4" a="1"/>
  <c r="CA98" i="4" s="1"/>
  <c r="CC98" i="4" a="1"/>
  <c r="CC98" i="4" s="1"/>
  <c r="CB98" i="4" a="1"/>
  <c r="CB98" i="4" s="1"/>
  <c r="BM98" i="4" a="1"/>
  <c r="BM98" i="4" s="1"/>
  <c r="BR98" i="4" a="1"/>
  <c r="BR98" i="4" s="1"/>
  <c r="EI98" i="4" a="1"/>
  <c r="EI98" i="4" s="1"/>
  <c r="E98" i="4" a="1"/>
  <c r="E98" i="4" s="1"/>
  <c r="BV98" i="4" a="1"/>
  <c r="BV98" i="4" s="1"/>
  <c r="BZ98" i="4" a="1"/>
  <c r="BZ98" i="4" s="1"/>
  <c r="BG98" i="4" a="1"/>
  <c r="BG98" i="4" s="1"/>
  <c r="BN98" i="4" a="1"/>
  <c r="BN98" i="4" s="1"/>
  <c r="CH98" i="4" a="1"/>
  <c r="CH98" i="4" s="1"/>
  <c r="BJ98" i="4" a="1"/>
  <c r="BJ98" i="4" s="1"/>
  <c r="CD98" i="4" a="1"/>
  <c r="CD98" i="4" s="1"/>
  <c r="BQ98" i="4" a="1"/>
  <c r="BQ98" i="4" s="1"/>
  <c r="H98" i="4" a="1"/>
  <c r="H98" i="4" s="1"/>
  <c r="BY98" i="4" a="1"/>
  <c r="BY98" i="4" s="1"/>
  <c r="CF98" i="4" a="1"/>
  <c r="CF98" i="4" s="1"/>
  <c r="BC98" i="4" a="1"/>
  <c r="BC98" i="4" s="1"/>
  <c r="BL98" i="4" a="1"/>
  <c r="BL98" i="4" s="1"/>
  <c r="CI98" i="4" a="1"/>
  <c r="CI98" i="4" s="1"/>
  <c r="BX98" i="4" a="1"/>
  <c r="BX98" i="4" s="1"/>
  <c r="L98" i="4" a="1"/>
  <c r="L98" i="4" s="1"/>
  <c r="D98" i="4" a="1"/>
  <c r="D98" i="4" s="1"/>
  <c r="CE98" i="4" a="1"/>
  <c r="CE98" i="4" s="1"/>
  <c r="BE98" i="4" a="1"/>
  <c r="BE98" i="4" s="1"/>
  <c r="AB98" i="4" s="1"/>
  <c r="BO98" i="4" a="1"/>
  <c r="BO98" i="4" s="1"/>
  <c r="DU118" i="2"/>
  <c r="DV118" i="2"/>
  <c r="EF118" i="2"/>
  <c r="DF118" i="2"/>
  <c r="DN118" i="2"/>
  <c r="DP118" i="2" s="1"/>
  <c r="DQ118" i="2" s="1"/>
  <c r="EF147" i="2" l="1"/>
  <c r="DN147" i="2"/>
  <c r="DP147" i="2" s="1"/>
  <c r="DQ147" i="2" s="1"/>
  <c r="DF147" i="2"/>
  <c r="DU147" i="2"/>
  <c r="DV147" i="2"/>
  <c r="DD340" i="2"/>
  <c r="DE340" i="2"/>
  <c r="DD180" i="2"/>
  <c r="DE180" i="2"/>
  <c r="DE132" i="2"/>
  <c r="DD132" i="2"/>
  <c r="DE43" i="2"/>
  <c r="DD43" i="2"/>
  <c r="DX55" i="2"/>
  <c r="DZ55" i="2" s="1"/>
  <c r="EA55" i="2" s="1"/>
  <c r="ED55" i="2"/>
  <c r="DD231" i="2"/>
  <c r="DE231" i="2"/>
  <c r="DN275" i="2"/>
  <c r="DP275" i="2" s="1"/>
  <c r="DQ275" i="2" s="1"/>
  <c r="DU275" i="2"/>
  <c r="ED147" i="2"/>
  <c r="DX147" i="2"/>
  <c r="DZ147" i="2" s="1"/>
  <c r="EA147" i="2" s="1"/>
  <c r="EF43" i="2"/>
  <c r="DF275" i="2"/>
  <c r="ED212" i="2"/>
  <c r="DX212" i="2"/>
  <c r="DZ212" i="2" s="1"/>
  <c r="EA212" i="2" s="1"/>
  <c r="DE312" i="2"/>
  <c r="DD312" i="2"/>
  <c r="DX121" i="2"/>
  <c r="DZ121" i="2" s="1"/>
  <c r="EA121" i="2" s="1"/>
  <c r="ED121" i="2"/>
  <c r="DE241" i="2"/>
  <c r="DD241" i="2"/>
  <c r="DX277" i="2"/>
  <c r="DZ277" i="2" s="1"/>
  <c r="EA277" i="2" s="1"/>
  <c r="ED277" i="2"/>
  <c r="DX113" i="2"/>
  <c r="DZ113" i="2" s="1"/>
  <c r="EA113" i="2" s="1"/>
  <c r="ED113" i="2"/>
  <c r="DX4" i="2"/>
  <c r="DZ4" i="2" s="1"/>
  <c r="EA4" i="2" s="1"/>
  <c r="ED4" i="2"/>
  <c r="DV275" i="2"/>
  <c r="DU121" i="2"/>
  <c r="EF121" i="2"/>
  <c r="DF121" i="2"/>
  <c r="DV121" i="2"/>
  <c r="DN121" i="2"/>
  <c r="DP121" i="2" s="1"/>
  <c r="DQ121" i="2" s="1"/>
  <c r="DE26" i="2"/>
  <c r="DD26" i="2"/>
  <c r="DE152" i="2"/>
  <c r="DD152" i="2"/>
  <c r="DX325" i="2"/>
  <c r="DZ325" i="2" s="1"/>
  <c r="EA325" i="2" s="1"/>
  <c r="ED325" i="2"/>
  <c r="EF277" i="2"/>
  <c r="DF277" i="2"/>
  <c r="DV277" i="2"/>
  <c r="DU277" i="2"/>
  <c r="DN277" i="2"/>
  <c r="DP277" i="2" s="1"/>
  <c r="DQ277" i="2" s="1"/>
  <c r="EF113" i="2"/>
  <c r="DV113" i="2"/>
  <c r="DN113" i="2"/>
  <c r="DP113" i="2" s="1"/>
  <c r="DQ113" i="2" s="1"/>
  <c r="DF113" i="2"/>
  <c r="DU113" i="2"/>
  <c r="DN4" i="2"/>
  <c r="DP4" i="2" s="1"/>
  <c r="DQ4" i="2" s="1"/>
  <c r="DV4" i="2"/>
  <c r="DF4" i="2"/>
  <c r="DU4" i="2"/>
  <c r="DD244" i="2"/>
  <c r="DE244" i="2"/>
  <c r="DE116" i="2"/>
  <c r="DD116" i="2"/>
  <c r="DT206" i="2"/>
  <c r="DR206" i="2"/>
  <c r="DS206" i="2"/>
  <c r="DR222" i="2"/>
  <c r="DS222" i="2"/>
  <c r="DT222" i="2"/>
  <c r="DF325" i="2"/>
  <c r="DU325" i="2"/>
  <c r="DV325" i="2"/>
  <c r="DN325" i="2"/>
  <c r="DP325" i="2" s="1"/>
  <c r="DQ325" i="2" s="1"/>
  <c r="ED165" i="2"/>
  <c r="DX165" i="2"/>
  <c r="DZ165" i="2" s="1"/>
  <c r="EA165" i="2" s="1"/>
  <c r="DV123" i="2"/>
  <c r="DU123" i="2"/>
  <c r="EF123" i="2"/>
  <c r="DF123" i="2"/>
  <c r="DN123" i="2"/>
  <c r="DP123" i="2" s="1"/>
  <c r="DQ123" i="2" s="1"/>
  <c r="EB222" i="2"/>
  <c r="EE222" i="2"/>
  <c r="EC222" i="2"/>
  <c r="DE100" i="2"/>
  <c r="DD100" i="2"/>
  <c r="DD75" i="2"/>
  <c r="DE75" i="2"/>
  <c r="DU165" i="2"/>
  <c r="DF165" i="2"/>
  <c r="EF165" i="2"/>
  <c r="DN165" i="2"/>
  <c r="DP165" i="2" s="1"/>
  <c r="DQ165" i="2" s="1"/>
  <c r="DV165" i="2"/>
  <c r="ED123" i="2"/>
  <c r="DX123" i="2"/>
  <c r="DZ123" i="2" s="1"/>
  <c r="EA123" i="2" s="1"/>
  <c r="DE178" i="2"/>
  <c r="DD178" i="2"/>
  <c r="DE275" i="2"/>
  <c r="DD141" i="2"/>
  <c r="DE141" i="2"/>
  <c r="DV60" i="2"/>
  <c r="DN60" i="2"/>
  <c r="DP60" i="2" s="1"/>
  <c r="DQ60" i="2" s="1"/>
  <c r="EF60" i="2"/>
  <c r="DF60" i="2"/>
  <c r="DU60" i="2"/>
  <c r="DS212" i="2"/>
  <c r="DT212" i="2"/>
  <c r="DR212" i="2"/>
  <c r="DX334" i="2"/>
  <c r="DZ334" i="2" s="1"/>
  <c r="EA334" i="2" s="1"/>
  <c r="ED334" i="2"/>
  <c r="DE156" i="2"/>
  <c r="DD156" i="2"/>
  <c r="DU201" i="2"/>
  <c r="DV201" i="2"/>
  <c r="DF201" i="2"/>
  <c r="EF201" i="2"/>
  <c r="DN201" i="2"/>
  <c r="DP201" i="2" s="1"/>
  <c r="DQ201" i="2" s="1"/>
  <c r="ED60" i="2"/>
  <c r="DX60" i="2"/>
  <c r="DZ60" i="2" s="1"/>
  <c r="EA60" i="2" s="1"/>
  <c r="DE318" i="2"/>
  <c r="DD318" i="2"/>
  <c r="DD245" i="2"/>
  <c r="DE245" i="2"/>
  <c r="DD115" i="2"/>
  <c r="DE115" i="2"/>
  <c r="DF334" i="2"/>
  <c r="DU334" i="2"/>
  <c r="DV334" i="2"/>
  <c r="EF334" i="2"/>
  <c r="DN334" i="2"/>
  <c r="DP334" i="2" s="1"/>
  <c r="DQ334" i="2" s="1"/>
  <c r="DE315" i="2"/>
  <c r="DD315" i="2"/>
  <c r="DE229" i="2"/>
  <c r="DD229" i="2"/>
  <c r="EE206" i="2"/>
  <c r="EB206" i="2"/>
  <c r="EC206" i="2"/>
  <c r="ED201" i="2"/>
  <c r="DX201" i="2"/>
  <c r="DZ201" i="2" s="1"/>
  <c r="EA201" i="2" s="1"/>
  <c r="BU43" i="2"/>
  <c r="BD23" i="4" a="1"/>
  <c r="BD23" i="4" s="1"/>
  <c r="BD24" i="4" a="1"/>
  <c r="BD24" i="4" s="1"/>
  <c r="DE30" i="2"/>
  <c r="DD30" i="2"/>
  <c r="DD236" i="2"/>
  <c r="DE236" i="2"/>
  <c r="DE10" i="2"/>
  <c r="DD10" i="2"/>
  <c r="EF132" i="2"/>
  <c r="EF55" i="2"/>
  <c r="DF55" i="2"/>
  <c r="DU55" i="2"/>
  <c r="DV55" i="2"/>
  <c r="DN55" i="2"/>
  <c r="DP55" i="2" s="1"/>
  <c r="DQ55" i="2" s="1"/>
  <c r="DE259" i="2"/>
  <c r="DR24" i="2"/>
  <c r="DS24" i="2"/>
  <c r="DT24" i="2"/>
  <c r="DX48" i="2"/>
  <c r="DZ48" i="2" s="1"/>
  <c r="EA48" i="2" s="1"/>
  <c r="ED48" i="2"/>
  <c r="ED319" i="2"/>
  <c r="DX319" i="2"/>
  <c r="DZ319" i="2" s="1"/>
  <c r="EA319" i="2" s="1"/>
  <c r="EF48" i="2"/>
  <c r="DF48" i="2"/>
  <c r="DV48" i="2"/>
  <c r="DN48" i="2"/>
  <c r="DP48" i="2" s="1"/>
  <c r="DQ48" i="2" s="1"/>
  <c r="DU48" i="2"/>
  <c r="EB24" i="2"/>
  <c r="EC24" i="2"/>
  <c r="EE24" i="2"/>
  <c r="ED65" i="2"/>
  <c r="DX65" i="2"/>
  <c r="DZ65" i="2" s="1"/>
  <c r="EA65" i="2" s="1"/>
  <c r="DV23" i="2"/>
  <c r="DF23" i="2"/>
  <c r="EF23" i="2"/>
  <c r="DN23" i="2"/>
  <c r="DP23" i="2" s="1"/>
  <c r="DQ23" i="2" s="1"/>
  <c r="DU23" i="2"/>
  <c r="DE247" i="2"/>
  <c r="DD247" i="2"/>
  <c r="DU65" i="2"/>
  <c r="DN65" i="2"/>
  <c r="DP65" i="2" s="1"/>
  <c r="DQ65" i="2" s="1"/>
  <c r="DV65" i="2"/>
  <c r="EF65" i="2"/>
  <c r="DF65" i="2"/>
  <c r="DX23" i="2"/>
  <c r="DZ23" i="2" s="1"/>
  <c r="EA23" i="2" s="1"/>
  <c r="ED23" i="2"/>
  <c r="DX81" i="2"/>
  <c r="DZ81" i="2" s="1"/>
  <c r="EA81" i="2" s="1"/>
  <c r="ED81" i="2"/>
  <c r="DV128" i="2"/>
  <c r="DN128" i="2"/>
  <c r="DP128" i="2" s="1"/>
  <c r="DQ128" i="2" s="1"/>
  <c r="EF128" i="2"/>
  <c r="DU128" i="2"/>
  <c r="DF128" i="2"/>
  <c r="DT73" i="2"/>
  <c r="DR73" i="2"/>
  <c r="DS73" i="2"/>
  <c r="DX255" i="2"/>
  <c r="DZ255" i="2" s="1"/>
  <c r="EA255" i="2" s="1"/>
  <c r="ED255" i="2"/>
  <c r="BH31" i="4"/>
  <c r="P31" i="4"/>
  <c r="S31" i="4"/>
  <c r="AB31" i="4" s="1"/>
  <c r="AL31" i="4"/>
  <c r="DF81" i="2"/>
  <c r="EF81" i="2"/>
  <c r="DN81" i="2"/>
  <c r="DP81" i="2" s="1"/>
  <c r="DQ81" i="2" s="1"/>
  <c r="DU81" i="2"/>
  <c r="DV81" i="2"/>
  <c r="DE85" i="2"/>
  <c r="DD85" i="2"/>
  <c r="EF85" i="2" s="1"/>
  <c r="DX128" i="2"/>
  <c r="DZ128" i="2" s="1"/>
  <c r="EA128" i="2" s="1"/>
  <c r="ED128" i="2"/>
  <c r="DX145" i="2"/>
  <c r="DZ145" i="2" s="1"/>
  <c r="EA145" i="2" s="1"/>
  <c r="EC73" i="2"/>
  <c r="EE73" i="2"/>
  <c r="EB73" i="2"/>
  <c r="DF217" i="2"/>
  <c r="EF217" i="2"/>
  <c r="DV217" i="2"/>
  <c r="DN217" i="2"/>
  <c r="DP217" i="2" s="1"/>
  <c r="DQ217" i="2" s="1"/>
  <c r="DU217" i="2"/>
  <c r="DN215" i="2"/>
  <c r="DP215" i="2" s="1"/>
  <c r="DQ215" i="2" s="1"/>
  <c r="DF215" i="2"/>
  <c r="DU215" i="2"/>
  <c r="DV215" i="2"/>
  <c r="EF215" i="2"/>
  <c r="EF255" i="2"/>
  <c r="DV255" i="2"/>
  <c r="DU255" i="2"/>
  <c r="DN255" i="2"/>
  <c r="DP255" i="2" s="1"/>
  <c r="DQ255" i="2" s="1"/>
  <c r="DF255" i="2"/>
  <c r="DD78" i="2"/>
  <c r="DE78" i="2"/>
  <c r="DD213" i="2"/>
  <c r="ED217" i="2"/>
  <c r="DX217" i="2"/>
  <c r="DZ217" i="2" s="1"/>
  <c r="EA217" i="2" s="1"/>
  <c r="DX215" i="2"/>
  <c r="DZ215" i="2" s="1"/>
  <c r="EA215" i="2" s="1"/>
  <c r="ED215" i="2"/>
  <c r="DF112" i="2"/>
  <c r="DV112" i="2"/>
  <c r="DN112" i="2"/>
  <c r="DP112" i="2" s="1"/>
  <c r="DQ112" i="2" s="1"/>
  <c r="DU112" i="2"/>
  <c r="EF112" i="2"/>
  <c r="DX297" i="2"/>
  <c r="DZ297" i="2" s="1"/>
  <c r="EA297" i="2" s="1"/>
  <c r="ED297" i="2"/>
  <c r="DD287" i="2"/>
  <c r="DE287" i="2"/>
  <c r="DX196" i="2"/>
  <c r="DZ196" i="2" s="1"/>
  <c r="EA196" i="2" s="1"/>
  <c r="ED196" i="2"/>
  <c r="DD88" i="2"/>
  <c r="DN88" i="2" s="1"/>
  <c r="DP88" i="2" s="1"/>
  <c r="DQ88" i="2" s="1"/>
  <c r="DX134" i="2"/>
  <c r="DZ134" i="2" s="1"/>
  <c r="EA134" i="2" s="1"/>
  <c r="ED134" i="2"/>
  <c r="DD175" i="2"/>
  <c r="DE175" i="2"/>
  <c r="DX112" i="2"/>
  <c r="DZ112" i="2" s="1"/>
  <c r="EA112" i="2" s="1"/>
  <c r="ED112" i="2"/>
  <c r="DV297" i="2"/>
  <c r="DF297" i="2"/>
  <c r="EF297" i="2"/>
  <c r="DU297" i="2"/>
  <c r="DN297" i="2"/>
  <c r="DP297" i="2" s="1"/>
  <c r="DQ297" i="2" s="1"/>
  <c r="DX83" i="2"/>
  <c r="DZ83" i="2" s="1"/>
  <c r="EA83" i="2" s="1"/>
  <c r="ED83" i="2"/>
  <c r="DU196" i="2"/>
  <c r="DV196" i="2"/>
  <c r="DF196" i="2"/>
  <c r="DN196" i="2"/>
  <c r="DP196" i="2" s="1"/>
  <c r="DQ196" i="2" s="1"/>
  <c r="EF196" i="2"/>
  <c r="DX205" i="2"/>
  <c r="DZ205" i="2" s="1"/>
  <c r="EA205" i="2" s="1"/>
  <c r="ED205" i="2"/>
  <c r="DF134" i="2"/>
  <c r="DN134" i="2"/>
  <c r="DP134" i="2" s="1"/>
  <c r="DQ134" i="2" s="1"/>
  <c r="EF134" i="2"/>
  <c r="DV134" i="2"/>
  <c r="DU134" i="2"/>
  <c r="DE262" i="2"/>
  <c r="DD262" i="2"/>
  <c r="DV83" i="2"/>
  <c r="DF83" i="2"/>
  <c r="EF83" i="2"/>
  <c r="DN83" i="2"/>
  <c r="DP83" i="2" s="1"/>
  <c r="DQ83" i="2" s="1"/>
  <c r="DU83" i="2"/>
  <c r="DU319" i="2"/>
  <c r="EF319" i="2"/>
  <c r="DF319" i="2"/>
  <c r="DN319" i="2"/>
  <c r="DP319" i="2" s="1"/>
  <c r="DQ319" i="2" s="1"/>
  <c r="DV319" i="2"/>
  <c r="DU205" i="2"/>
  <c r="EF205" i="2"/>
  <c r="DV205" i="2"/>
  <c r="DF205" i="2"/>
  <c r="DN205" i="2"/>
  <c r="DP205" i="2" s="1"/>
  <c r="DQ205" i="2" s="1"/>
  <c r="DX258" i="2"/>
  <c r="DZ258" i="2" s="1"/>
  <c r="EA258" i="2" s="1"/>
  <c r="ED258" i="2"/>
  <c r="ED161" i="2"/>
  <c r="DX161" i="2"/>
  <c r="DZ161" i="2" s="1"/>
  <c r="EA161" i="2" s="1"/>
  <c r="ED88" i="2"/>
  <c r="DX88" i="2"/>
  <c r="DZ88" i="2" s="1"/>
  <c r="EA88" i="2" s="1"/>
  <c r="EF295" i="2"/>
  <c r="DN295" i="2"/>
  <c r="DP295" i="2" s="1"/>
  <c r="DQ295" i="2" s="1"/>
  <c r="DU295" i="2"/>
  <c r="DF295" i="2"/>
  <c r="DV295" i="2"/>
  <c r="ED188" i="2"/>
  <c r="DX188" i="2"/>
  <c r="DZ188" i="2" s="1"/>
  <c r="EA188" i="2" s="1"/>
  <c r="ED213" i="2"/>
  <c r="DX213" i="2"/>
  <c r="DZ213" i="2" s="1"/>
  <c r="EA213" i="2" s="1"/>
  <c r="DX199" i="2"/>
  <c r="DZ199" i="2" s="1"/>
  <c r="EA199" i="2" s="1"/>
  <c r="ED199" i="2"/>
  <c r="DX120" i="2"/>
  <c r="DZ120" i="2" s="1"/>
  <c r="EA120" i="2" s="1"/>
  <c r="ED120" i="2"/>
  <c r="EC70" i="2"/>
  <c r="EB70" i="2"/>
  <c r="EE70" i="2"/>
  <c r="DD76" i="2"/>
  <c r="DE76" i="2"/>
  <c r="DX135" i="2"/>
  <c r="DZ135" i="2" s="1"/>
  <c r="EA135" i="2" s="1"/>
  <c r="ED135" i="2"/>
  <c r="ED232" i="2"/>
  <c r="DX232" i="2"/>
  <c r="DZ232" i="2" s="1"/>
  <c r="EA232" i="2" s="1"/>
  <c r="BU108" i="2"/>
  <c r="BD52" i="4" a="1"/>
  <c r="BD52" i="4" s="1"/>
  <c r="DS158" i="2"/>
  <c r="DR158" i="2"/>
  <c r="DT158" i="2"/>
  <c r="DX172" i="2"/>
  <c r="DZ172" i="2" s="1"/>
  <c r="EA172" i="2" s="1"/>
  <c r="ED172" i="2"/>
  <c r="DN257" i="2"/>
  <c r="DP257" i="2" s="1"/>
  <c r="DQ257" i="2" s="1"/>
  <c r="DU257" i="2"/>
  <c r="DV257" i="2"/>
  <c r="DF257" i="2"/>
  <c r="EF257" i="2"/>
  <c r="EE263" i="2"/>
  <c r="EB263" i="2"/>
  <c r="EC263" i="2"/>
  <c r="AD19" i="4"/>
  <c r="BS19" i="4"/>
  <c r="AE19" i="4"/>
  <c r="DV279" i="2"/>
  <c r="DN279" i="2"/>
  <c r="DP279" i="2" s="1"/>
  <c r="DQ279" i="2" s="1"/>
  <c r="DU279" i="2"/>
  <c r="EF279" i="2"/>
  <c r="DF279" i="2"/>
  <c r="DD108" i="2"/>
  <c r="DE108" i="2"/>
  <c r="ED257" i="2"/>
  <c r="DX257" i="2"/>
  <c r="DZ257" i="2" s="1"/>
  <c r="EA257" i="2" s="1"/>
  <c r="DD71" i="2"/>
  <c r="DE71" i="2"/>
  <c r="DR214" i="2"/>
  <c r="DT214" i="2"/>
  <c r="DS214" i="2"/>
  <c r="DX279" i="2"/>
  <c r="DZ279" i="2" s="1"/>
  <c r="EA279" i="2" s="1"/>
  <c r="ED279" i="2"/>
  <c r="DR192" i="2"/>
  <c r="DS192" i="2"/>
  <c r="DT192" i="2"/>
  <c r="DE104" i="2"/>
  <c r="DD104" i="2"/>
  <c r="BD30" i="4" a="1"/>
  <c r="BD30" i="4" s="1"/>
  <c r="DV11" i="2"/>
  <c r="DN11" i="2"/>
  <c r="DP11" i="2" s="1"/>
  <c r="DQ11" i="2" s="1"/>
  <c r="DF11" i="2"/>
  <c r="DU11" i="2"/>
  <c r="EF11" i="2"/>
  <c r="DR33" i="2"/>
  <c r="DT33" i="2"/>
  <c r="DS33" i="2"/>
  <c r="DR263" i="2"/>
  <c r="DT263" i="2"/>
  <c r="DS263" i="2"/>
  <c r="W19" i="4"/>
  <c r="Q19" i="4"/>
  <c r="EC19" i="2"/>
  <c r="EB19" i="2"/>
  <c r="EE19" i="2"/>
  <c r="DD261" i="2"/>
  <c r="DE261" i="2"/>
  <c r="DV193" i="2"/>
  <c r="DU193" i="2"/>
  <c r="DN193" i="2"/>
  <c r="DP193" i="2" s="1"/>
  <c r="DQ193" i="2" s="1"/>
  <c r="DF193" i="2"/>
  <c r="EF193" i="2"/>
  <c r="DX11" i="2"/>
  <c r="DZ11" i="2" s="1"/>
  <c r="EA11" i="2" s="1"/>
  <c r="ED11" i="2"/>
  <c r="DN131" i="2"/>
  <c r="DP131" i="2" s="1"/>
  <c r="DQ131" i="2" s="1"/>
  <c r="DU131" i="2"/>
  <c r="DV131" i="2"/>
  <c r="DF131" i="2"/>
  <c r="EF131" i="2"/>
  <c r="DV304" i="2"/>
  <c r="DU304" i="2"/>
  <c r="DN304" i="2"/>
  <c r="DP304" i="2" s="1"/>
  <c r="DQ304" i="2" s="1"/>
  <c r="DF304" i="2"/>
  <c r="EF304" i="2"/>
  <c r="DD40" i="2"/>
  <c r="DE40" i="2"/>
  <c r="DE338" i="2"/>
  <c r="DD338" i="2"/>
  <c r="EB333" i="2"/>
  <c r="EC333" i="2"/>
  <c r="EE333" i="2"/>
  <c r="DX193" i="2"/>
  <c r="DZ193" i="2" s="1"/>
  <c r="EA193" i="2" s="1"/>
  <c r="ED193" i="2"/>
  <c r="DE61" i="2"/>
  <c r="DD61" i="2"/>
  <c r="EF61" i="2" s="1"/>
  <c r="DE286" i="2"/>
  <c r="DD286" i="2"/>
  <c r="DD195" i="2"/>
  <c r="DE195" i="2"/>
  <c r="DF109" i="2"/>
  <c r="DN109" i="2"/>
  <c r="DP109" i="2" s="1"/>
  <c r="DQ109" i="2" s="1"/>
  <c r="DU109" i="2"/>
  <c r="DV109" i="2"/>
  <c r="ED131" i="2"/>
  <c r="DX131" i="2"/>
  <c r="DZ131" i="2" s="1"/>
  <c r="EA131" i="2" s="1"/>
  <c r="ED304" i="2"/>
  <c r="DX304" i="2"/>
  <c r="DZ304" i="2" s="1"/>
  <c r="EA304" i="2" s="1"/>
  <c r="DS58" i="2"/>
  <c r="DT58" i="2"/>
  <c r="DR58" i="2"/>
  <c r="DR333" i="2"/>
  <c r="DS333" i="2"/>
  <c r="DT333" i="2"/>
  <c r="DE29" i="2"/>
  <c r="DD29" i="2"/>
  <c r="EE326" i="2"/>
  <c r="EC326" i="2"/>
  <c r="EB326" i="2"/>
  <c r="EK30" i="4"/>
  <c r="CJ30" i="4"/>
  <c r="AN30" i="4"/>
  <c r="BU195" i="2"/>
  <c r="BD85" i="4" a="1"/>
  <c r="BD85" i="4" s="1"/>
  <c r="DX109" i="2"/>
  <c r="DZ109" i="2" s="1"/>
  <c r="EA109" i="2" s="1"/>
  <c r="ED109" i="2"/>
  <c r="DF259" i="2"/>
  <c r="DE308" i="2"/>
  <c r="DD308" i="2"/>
  <c r="DD240" i="2"/>
  <c r="DE240" i="2"/>
  <c r="DS329" i="2"/>
  <c r="DT329" i="2"/>
  <c r="DR329" i="2"/>
  <c r="DT34" i="2"/>
  <c r="DR34" i="2"/>
  <c r="DS34" i="2"/>
  <c r="DE267" i="2"/>
  <c r="DD267" i="2"/>
  <c r="EC18" i="2"/>
  <c r="EB18" i="2"/>
  <c r="EE18" i="2"/>
  <c r="DD187" i="2"/>
  <c r="DE187" i="2"/>
  <c r="DN120" i="2"/>
  <c r="DP120" i="2" s="1"/>
  <c r="DQ120" i="2" s="1"/>
  <c r="DU120" i="2"/>
  <c r="ED32" i="2"/>
  <c r="DX32" i="2"/>
  <c r="DZ32" i="2" s="1"/>
  <c r="EA32" i="2" s="1"/>
  <c r="DE74" i="2"/>
  <c r="DD74" i="2"/>
  <c r="EE233" i="2"/>
  <c r="EB233" i="2"/>
  <c r="EC233" i="2"/>
  <c r="ED342" i="2"/>
  <c r="DX342" i="2"/>
  <c r="DZ342" i="2" s="1"/>
  <c r="EA342" i="2" s="1"/>
  <c r="DN32" i="2"/>
  <c r="DP32" i="2" s="1"/>
  <c r="DQ32" i="2" s="1"/>
  <c r="DU32" i="2"/>
  <c r="DV32" i="2"/>
  <c r="DF32" i="2"/>
  <c r="EF32" i="2"/>
  <c r="EB322" i="2"/>
  <c r="EC322" i="2"/>
  <c r="EE322" i="2"/>
  <c r="DE69" i="2"/>
  <c r="DD69" i="2"/>
  <c r="DN291" i="2"/>
  <c r="DP291" i="2" s="1"/>
  <c r="DQ291" i="2" s="1"/>
  <c r="EF291" i="2"/>
  <c r="DF291" i="2"/>
  <c r="DV291" i="2"/>
  <c r="DU291" i="2"/>
  <c r="DU342" i="2"/>
  <c r="DN342" i="2"/>
  <c r="DP342" i="2" s="1"/>
  <c r="DQ342" i="2" s="1"/>
  <c r="DV342" i="2"/>
  <c r="DF342" i="2"/>
  <c r="DD234" i="2"/>
  <c r="DE234" i="2"/>
  <c r="DE335" i="2"/>
  <c r="DD335" i="2"/>
  <c r="DE254" i="2"/>
  <c r="DD254" i="2"/>
  <c r="EB327" i="2"/>
  <c r="EC327" i="2"/>
  <c r="EE327" i="2"/>
  <c r="DU18" i="2"/>
  <c r="DN18" i="2"/>
  <c r="DP18" i="2" s="1"/>
  <c r="DQ18" i="2" s="1"/>
  <c r="EF18" i="2"/>
  <c r="DF18" i="2"/>
  <c r="DV18" i="2"/>
  <c r="DD89" i="2"/>
  <c r="DE89" i="2"/>
  <c r="DR77" i="2"/>
  <c r="DS77" i="2"/>
  <c r="DT77" i="2"/>
  <c r="EE290" i="2"/>
  <c r="EC290" i="2"/>
  <c r="EB290" i="2"/>
  <c r="Q29" i="4"/>
  <c r="W29" i="4"/>
  <c r="Y29" i="4" s="1"/>
  <c r="EC207" i="2"/>
  <c r="EB207" i="2"/>
  <c r="EE207" i="2"/>
  <c r="CJ19" i="4"/>
  <c r="EK19" i="4"/>
  <c r="AN19" i="4"/>
  <c r="BU8" i="2"/>
  <c r="BD10" i="4" a="1"/>
  <c r="BD10" i="4" s="1"/>
  <c r="BD7" i="4" a="1"/>
  <c r="BD7" i="4" s="1"/>
  <c r="BD8" i="4" a="1"/>
  <c r="BD8" i="4" s="1"/>
  <c r="BD6" i="4" a="1"/>
  <c r="BD6" i="4" s="1"/>
  <c r="BD9" i="4" a="1"/>
  <c r="BD9" i="4" s="1"/>
  <c r="AL34" i="4"/>
  <c r="S34" i="4"/>
  <c r="AB34" i="4" s="1"/>
  <c r="BH34" i="4"/>
  <c r="P34" i="4"/>
  <c r="DD146" i="2"/>
  <c r="DE146" i="2"/>
  <c r="DD292" i="2"/>
  <c r="DE292" i="2"/>
  <c r="DN98" i="2"/>
  <c r="DP98" i="2" s="1"/>
  <c r="DQ98" i="2" s="1"/>
  <c r="DV98" i="2"/>
  <c r="DF98" i="2"/>
  <c r="DU98" i="2"/>
  <c r="EF98" i="2"/>
  <c r="BU256" i="2"/>
  <c r="BD102" i="4" a="1"/>
  <c r="BD102" i="4" s="1"/>
  <c r="DD8" i="2"/>
  <c r="DE8" i="2"/>
  <c r="ED339" i="2"/>
  <c r="DX339" i="2"/>
  <c r="DZ339" i="2" s="1"/>
  <c r="EA339" i="2" s="1"/>
  <c r="DD54" i="2"/>
  <c r="DE54" i="2"/>
  <c r="DE136" i="2"/>
  <c r="DD136" i="2"/>
  <c r="ED98" i="2"/>
  <c r="DX98" i="2"/>
  <c r="DZ98" i="2" s="1"/>
  <c r="EA98" i="2" s="1"/>
  <c r="DT233" i="2"/>
  <c r="DS233" i="2"/>
  <c r="DR233" i="2"/>
  <c r="ED49" i="2"/>
  <c r="DX49" i="2"/>
  <c r="DZ49" i="2" s="1"/>
  <c r="EA49" i="2" s="1"/>
  <c r="DR189" i="2"/>
  <c r="DT189" i="2"/>
  <c r="DS189" i="2"/>
  <c r="AE29" i="4"/>
  <c r="AD29" i="4"/>
  <c r="BS29" i="4"/>
  <c r="EE145" i="2"/>
  <c r="EC145" i="2"/>
  <c r="EB145" i="2"/>
  <c r="EB230" i="2"/>
  <c r="EE230" i="2"/>
  <c r="EC230" i="2"/>
  <c r="EF16" i="2"/>
  <c r="DF16" i="2"/>
  <c r="DU16" i="2"/>
  <c r="DN16" i="2"/>
  <c r="DP16" i="2" s="1"/>
  <c r="DQ16" i="2" s="1"/>
  <c r="DV16" i="2"/>
  <c r="DN339" i="2"/>
  <c r="DP339" i="2" s="1"/>
  <c r="DQ339" i="2" s="1"/>
  <c r="DU339" i="2"/>
  <c r="EF339" i="2"/>
  <c r="DV339" i="2"/>
  <c r="DF339" i="2"/>
  <c r="DR322" i="2"/>
  <c r="DT322" i="2"/>
  <c r="DS322" i="2"/>
  <c r="DV307" i="2"/>
  <c r="DN307" i="2"/>
  <c r="DP307" i="2" s="1"/>
  <c r="DQ307" i="2" s="1"/>
  <c r="EF307" i="2"/>
  <c r="DF307" i="2"/>
  <c r="DU307" i="2"/>
  <c r="DU86" i="2"/>
  <c r="DN86" i="2"/>
  <c r="DP86" i="2" s="1"/>
  <c r="DQ86" i="2" s="1"/>
  <c r="DF86" i="2"/>
  <c r="DV86" i="2"/>
  <c r="EF86" i="2"/>
  <c r="DD256" i="2"/>
  <c r="DE256" i="2"/>
  <c r="EE204" i="2"/>
  <c r="EB204" i="2"/>
  <c r="EC204" i="2"/>
  <c r="EC77" i="2"/>
  <c r="EB77" i="2"/>
  <c r="EE77" i="2"/>
  <c r="DD21" i="2"/>
  <c r="DE21" i="2"/>
  <c r="DS167" i="2"/>
  <c r="DT167" i="2"/>
  <c r="DR167" i="2"/>
  <c r="EC329" i="2"/>
  <c r="EB329" i="2"/>
  <c r="EE329" i="2"/>
  <c r="DS142" i="2"/>
  <c r="DT142" i="2"/>
  <c r="DR142" i="2"/>
  <c r="EB129" i="2"/>
  <c r="EC129" i="2"/>
  <c r="EE129" i="2"/>
  <c r="ED16" i="2"/>
  <c r="DX16" i="2"/>
  <c r="DZ16" i="2" s="1"/>
  <c r="EA16" i="2" s="1"/>
  <c r="ED307" i="2"/>
  <c r="DX307" i="2"/>
  <c r="DZ307" i="2" s="1"/>
  <c r="EA307" i="2" s="1"/>
  <c r="DE239" i="2"/>
  <c r="DD239" i="2"/>
  <c r="ED86" i="2"/>
  <c r="DX86" i="2"/>
  <c r="DZ86" i="2" s="1"/>
  <c r="EA86" i="2" s="1"/>
  <c r="DD274" i="2"/>
  <c r="DE274" i="2"/>
  <c r="DD188" i="2"/>
  <c r="EF188" i="2" s="1"/>
  <c r="DD284" i="2"/>
  <c r="DE284" i="2"/>
  <c r="EF120" i="2"/>
  <c r="DE324" i="2"/>
  <c r="DD324" i="2"/>
  <c r="EF259" i="2"/>
  <c r="DN259" i="2"/>
  <c r="DP259" i="2" s="1"/>
  <c r="DQ259" i="2" s="1"/>
  <c r="DU259" i="2"/>
  <c r="DD36" i="2"/>
  <c r="EF36" i="2" s="1"/>
  <c r="DE46" i="2"/>
  <c r="DD46" i="2"/>
  <c r="DR144" i="2"/>
  <c r="DS144" i="2"/>
  <c r="DT144" i="2"/>
  <c r="DE28" i="2"/>
  <c r="DD28" i="2"/>
  <c r="ED194" i="2"/>
  <c r="DX194" i="2"/>
  <c r="DZ194" i="2" s="1"/>
  <c r="EA194" i="2" s="1"/>
  <c r="EE214" i="2"/>
  <c r="EC214" i="2"/>
  <c r="EB214" i="2"/>
  <c r="EB218" i="2"/>
  <c r="EE218" i="2"/>
  <c r="EC218" i="2"/>
  <c r="DS326" i="2"/>
  <c r="DT326" i="2"/>
  <c r="DR326" i="2"/>
  <c r="ED259" i="2"/>
  <c r="DX259" i="2"/>
  <c r="DZ259" i="2" s="1"/>
  <c r="EA259" i="2" s="1"/>
  <c r="DU213" i="2"/>
  <c r="DN213" i="2"/>
  <c r="DP213" i="2" s="1"/>
  <c r="DQ213" i="2" s="1"/>
  <c r="DD170" i="2"/>
  <c r="DE170" i="2"/>
  <c r="ED225" i="2"/>
  <c r="DX225" i="2"/>
  <c r="DZ225" i="2" s="1"/>
  <c r="EA225" i="2" s="1"/>
  <c r="DU194" i="2"/>
  <c r="DN194" i="2"/>
  <c r="DP194" i="2" s="1"/>
  <c r="DQ194" i="2" s="1"/>
  <c r="EF194" i="2"/>
  <c r="DF194" i="2"/>
  <c r="DV194" i="2"/>
  <c r="DD171" i="2"/>
  <c r="DE171" i="2"/>
  <c r="EB332" i="2"/>
  <c r="EC332" i="2"/>
  <c r="EE332" i="2"/>
  <c r="DD251" i="2"/>
  <c r="DE251" i="2"/>
  <c r="BU119" i="2"/>
  <c r="BD57" i="4" a="1"/>
  <c r="BD57" i="4" s="1"/>
  <c r="DR204" i="2"/>
  <c r="DT204" i="2"/>
  <c r="DS204" i="2"/>
  <c r="DE127" i="2"/>
  <c r="DD127" i="2"/>
  <c r="DU317" i="2"/>
  <c r="EF317" i="2"/>
  <c r="DN317" i="2"/>
  <c r="DP317" i="2" s="1"/>
  <c r="DQ317" i="2" s="1"/>
  <c r="DF317" i="2"/>
  <c r="DV317" i="2"/>
  <c r="DX42" i="2"/>
  <c r="DZ42" i="2" s="1"/>
  <c r="EA42" i="2" s="1"/>
  <c r="ED42" i="2"/>
  <c r="ED64" i="2"/>
  <c r="DX64" i="2"/>
  <c r="DZ64" i="2" s="1"/>
  <c r="EA64" i="2" s="1"/>
  <c r="DE228" i="2"/>
  <c r="DD228" i="2"/>
  <c r="ED33" i="2"/>
  <c r="DX33" i="2"/>
  <c r="DZ33" i="2" s="1"/>
  <c r="EA33" i="2" s="1"/>
  <c r="BU171" i="2"/>
  <c r="BD71" i="4" a="1"/>
  <c r="BD71" i="4" s="1"/>
  <c r="ED36" i="2"/>
  <c r="DX36" i="2"/>
  <c r="DZ36" i="2" s="1"/>
  <c r="EA36" i="2" s="1"/>
  <c r="DE94" i="2"/>
  <c r="DD94" i="2"/>
  <c r="DE95" i="2"/>
  <c r="DD95" i="2"/>
  <c r="DE119" i="2"/>
  <c r="DD119" i="2"/>
  <c r="EF119" i="2" s="1"/>
  <c r="DT225" i="2"/>
  <c r="DR225" i="2"/>
  <c r="DS225" i="2"/>
  <c r="DX317" i="2"/>
  <c r="DZ317" i="2" s="1"/>
  <c r="EA317" i="2" s="1"/>
  <c r="ED317" i="2"/>
  <c r="DN42" i="2"/>
  <c r="DP42" i="2" s="1"/>
  <c r="DQ42" i="2" s="1"/>
  <c r="DF42" i="2"/>
  <c r="DV42" i="2"/>
  <c r="DU42" i="2"/>
  <c r="EF42" i="2"/>
  <c r="DN64" i="2"/>
  <c r="DP64" i="2" s="1"/>
  <c r="DQ64" i="2" s="1"/>
  <c r="DU64" i="2"/>
  <c r="EF64" i="2"/>
  <c r="DV64" i="2"/>
  <c r="DF64" i="2"/>
  <c r="DU145" i="2"/>
  <c r="DN145" i="2"/>
  <c r="DP145" i="2" s="1"/>
  <c r="DQ145" i="2" s="1"/>
  <c r="DV145" i="2"/>
  <c r="DF145" i="2"/>
  <c r="EF145" i="2"/>
  <c r="BU68" i="2"/>
  <c r="BD38" i="4" a="1"/>
  <c r="BD38" i="4" s="1"/>
  <c r="DF67" i="2"/>
  <c r="EF67" i="2"/>
  <c r="DU67" i="2"/>
  <c r="DN67" i="2"/>
  <c r="DP67" i="2" s="1"/>
  <c r="DQ67" i="2" s="1"/>
  <c r="DV67" i="2"/>
  <c r="DU106" i="2"/>
  <c r="DN106" i="2"/>
  <c r="DP106" i="2" s="1"/>
  <c r="DQ106" i="2" s="1"/>
  <c r="DF106" i="2"/>
  <c r="DV106" i="2"/>
  <c r="DD270" i="2"/>
  <c r="DE270" i="2"/>
  <c r="BU120" i="2"/>
  <c r="BD59" i="4" a="1"/>
  <c r="BD59" i="4" s="1"/>
  <c r="BD61" i="4" a="1"/>
  <c r="BD61" i="4" s="1"/>
  <c r="BD58" i="4" a="1"/>
  <c r="BD58" i="4" s="1"/>
  <c r="BD60" i="4" a="1"/>
  <c r="BD60" i="4" s="1"/>
  <c r="DD311" i="2"/>
  <c r="DE311" i="2"/>
  <c r="DD337" i="2"/>
  <c r="DE337" i="2"/>
  <c r="DE68" i="2"/>
  <c r="DD68" i="2"/>
  <c r="DX106" i="2"/>
  <c r="DZ106" i="2" s="1"/>
  <c r="EA106" i="2" s="1"/>
  <c r="ED106" i="2"/>
  <c r="AL30" i="4"/>
  <c r="S30" i="4"/>
  <c r="AB30" i="4" s="1"/>
  <c r="BH30" i="4"/>
  <c r="P30" i="4"/>
  <c r="EE158" i="2"/>
  <c r="EC158" i="2"/>
  <c r="EB158" i="2"/>
  <c r="DR172" i="2"/>
  <c r="DS172" i="2"/>
  <c r="DT172" i="2"/>
  <c r="EB157" i="2"/>
  <c r="EC157" i="2"/>
  <c r="EE157" i="2"/>
  <c r="DE27" i="2"/>
  <c r="DD27" i="2"/>
  <c r="DD161" i="2"/>
  <c r="DE130" i="2"/>
  <c r="DD130" i="2"/>
  <c r="EF276" i="2"/>
  <c r="DN276" i="2"/>
  <c r="DP276" i="2" s="1"/>
  <c r="DQ276" i="2" s="1"/>
  <c r="DU276" i="2"/>
  <c r="DV276" i="2"/>
  <c r="DF276" i="2"/>
  <c r="DE183" i="2"/>
  <c r="DD183" i="2"/>
  <c r="EF183" i="2" s="1"/>
  <c r="EC34" i="2"/>
  <c r="EE34" i="2"/>
  <c r="EB34" i="2"/>
  <c r="EF109" i="2"/>
  <c r="EB58" i="2"/>
  <c r="EE58" i="2"/>
  <c r="EC58" i="2"/>
  <c r="DD197" i="2"/>
  <c r="DE197" i="2"/>
  <c r="DX276" i="2"/>
  <c r="DZ276" i="2" s="1"/>
  <c r="EA276" i="2" s="1"/>
  <c r="ED276" i="2"/>
  <c r="DD150" i="2"/>
  <c r="DE150" i="2"/>
  <c r="DD199" i="2"/>
  <c r="BU35" i="2"/>
  <c r="BD21" i="4" a="1"/>
  <c r="BD21" i="4" s="1"/>
  <c r="BD20" i="4" a="1"/>
  <c r="BD20" i="4" s="1"/>
  <c r="DD294" i="2"/>
  <c r="DE294" i="2"/>
  <c r="DU336" i="2"/>
  <c r="DN336" i="2"/>
  <c r="DP336" i="2" s="1"/>
  <c r="DQ336" i="2" s="1"/>
  <c r="EF336" i="2"/>
  <c r="DV336" i="2"/>
  <c r="DF336" i="2"/>
  <c r="EB53" i="2"/>
  <c r="EC53" i="2"/>
  <c r="EE53" i="2"/>
  <c r="DE300" i="2"/>
  <c r="DD300" i="2"/>
  <c r="EE167" i="2"/>
  <c r="EC167" i="2"/>
  <c r="EB167" i="2"/>
  <c r="DR157" i="2"/>
  <c r="DT157" i="2"/>
  <c r="DS157" i="2"/>
  <c r="ED336" i="2"/>
  <c r="DX336" i="2"/>
  <c r="DZ336" i="2" s="1"/>
  <c r="EA336" i="2" s="1"/>
  <c r="DD177" i="2"/>
  <c r="EF177" i="2" s="1"/>
  <c r="DE177" i="2"/>
  <c r="DD268" i="2"/>
  <c r="DE268" i="2"/>
  <c r="EB273" i="2"/>
  <c r="EE273" i="2"/>
  <c r="EC273" i="2"/>
  <c r="EE323" i="2"/>
  <c r="EC323" i="2"/>
  <c r="EB323" i="2"/>
  <c r="DV120" i="2"/>
  <c r="EB142" i="2"/>
  <c r="EE142" i="2"/>
  <c r="EC142" i="2"/>
  <c r="DE295" i="2"/>
  <c r="DT91" i="2"/>
  <c r="DR91" i="2"/>
  <c r="DS91" i="2"/>
  <c r="EC330" i="2"/>
  <c r="EB330" i="2"/>
  <c r="EE330" i="2"/>
  <c r="DE310" i="2"/>
  <c r="DD310" i="2"/>
  <c r="DE264" i="2"/>
  <c r="DD264" i="2"/>
  <c r="EF264" i="2" s="1"/>
  <c r="EB192" i="2"/>
  <c r="EE192" i="2"/>
  <c r="EC192" i="2"/>
  <c r="BU177" i="2"/>
  <c r="BD79" i="4" a="1"/>
  <c r="BD79" i="4" s="1"/>
  <c r="DF47" i="2"/>
  <c r="DU47" i="2"/>
  <c r="DV47" i="2"/>
  <c r="DN47" i="2"/>
  <c r="DP47" i="2" s="1"/>
  <c r="DQ47" i="2" s="1"/>
  <c r="EF47" i="2"/>
  <c r="DD126" i="2"/>
  <c r="DE126" i="2"/>
  <c r="DX288" i="2"/>
  <c r="DZ288" i="2" s="1"/>
  <c r="EA288" i="2" s="1"/>
  <c r="ED288" i="2"/>
  <c r="DT168" i="2"/>
  <c r="DS168" i="2"/>
  <c r="DR168" i="2"/>
  <c r="DE35" i="2"/>
  <c r="DD35" i="2"/>
  <c r="EF35" i="2" s="1"/>
  <c r="DF120" i="2"/>
  <c r="DT230" i="2"/>
  <c r="DR230" i="2"/>
  <c r="DS230" i="2"/>
  <c r="DU200" i="2"/>
  <c r="DN200" i="2"/>
  <c r="DP200" i="2" s="1"/>
  <c r="DQ200" i="2" s="1"/>
  <c r="EK34" i="4"/>
  <c r="CJ34" i="4"/>
  <c r="AN34" i="4"/>
  <c r="DN207" i="2"/>
  <c r="DP207" i="2" s="1"/>
  <c r="DQ207" i="2" s="1"/>
  <c r="DU207" i="2"/>
  <c r="DF207" i="2"/>
  <c r="DV207" i="2"/>
  <c r="DT290" i="2"/>
  <c r="DS290" i="2"/>
  <c r="DR290" i="2"/>
  <c r="AN29" i="4"/>
  <c r="EK29" i="4"/>
  <c r="CJ29" i="4"/>
  <c r="DU288" i="2"/>
  <c r="DN288" i="2"/>
  <c r="DP288" i="2" s="1"/>
  <c r="DQ288" i="2" s="1"/>
  <c r="DF288" i="2"/>
  <c r="DV288" i="2"/>
  <c r="DN5" i="2"/>
  <c r="DP5" i="2" s="1"/>
  <c r="DQ5" i="2" s="1"/>
  <c r="DU5" i="2"/>
  <c r="DF5" i="2"/>
  <c r="DV5" i="2"/>
  <c r="ED200" i="2"/>
  <c r="DX200" i="2"/>
  <c r="DZ200" i="2" s="1"/>
  <c r="EA200" i="2" s="1"/>
  <c r="DD216" i="2"/>
  <c r="DE216" i="2"/>
  <c r="DN227" i="2"/>
  <c r="DP227" i="2" s="1"/>
  <c r="DQ227" i="2" s="1"/>
  <c r="DU227" i="2"/>
  <c r="DV227" i="2"/>
  <c r="DF227" i="2"/>
  <c r="EF227" i="2"/>
  <c r="DR53" i="2"/>
  <c r="DS53" i="2"/>
  <c r="DT53" i="2"/>
  <c r="DV103" i="2"/>
  <c r="DF103" i="2"/>
  <c r="EF103" i="2"/>
  <c r="DN103" i="2"/>
  <c r="DP103" i="2" s="1"/>
  <c r="DQ103" i="2" s="1"/>
  <c r="DU103" i="2"/>
  <c r="DS330" i="2"/>
  <c r="DR330" i="2"/>
  <c r="DT330" i="2"/>
  <c r="ED5" i="2"/>
  <c r="DX5" i="2"/>
  <c r="DZ5" i="2" s="1"/>
  <c r="EA5" i="2" s="1"/>
  <c r="DT19" i="2"/>
  <c r="DS19" i="2"/>
  <c r="DR19" i="2"/>
  <c r="DD44" i="2"/>
  <c r="DE44" i="2"/>
  <c r="EE72" i="2"/>
  <c r="EC72" i="2"/>
  <c r="EB72" i="2"/>
  <c r="ED66" i="2"/>
  <c r="DX66" i="2"/>
  <c r="DZ66" i="2" s="1"/>
  <c r="EA66" i="2" s="1"/>
  <c r="EF40" i="2"/>
  <c r="ED223" i="2"/>
  <c r="DX223" i="2"/>
  <c r="DZ223" i="2" s="1"/>
  <c r="EA223" i="2" s="1"/>
  <c r="ED227" i="2"/>
  <c r="DX227" i="2"/>
  <c r="DZ227" i="2" s="1"/>
  <c r="EA227" i="2" s="1"/>
  <c r="DD224" i="2"/>
  <c r="EF224" i="2" s="1"/>
  <c r="DE224" i="2"/>
  <c r="DX103" i="2"/>
  <c r="DZ103" i="2" s="1"/>
  <c r="EA103" i="2" s="1"/>
  <c r="ED103" i="2"/>
  <c r="BU63" i="2"/>
  <c r="BD31" i="4" a="1"/>
  <c r="BD31" i="4" s="1"/>
  <c r="BD32" i="4" a="1"/>
  <c r="BD32" i="4" s="1"/>
  <c r="BD33" i="4" a="1"/>
  <c r="BD33" i="4" s="1"/>
  <c r="DE107" i="2"/>
  <c r="DD107" i="2"/>
  <c r="DU235" i="2"/>
  <c r="DN235" i="2"/>
  <c r="DP235" i="2" s="1"/>
  <c r="DQ235" i="2" s="1"/>
  <c r="EF235" i="2"/>
  <c r="DV235" i="2"/>
  <c r="DF235" i="2"/>
  <c r="DT129" i="2"/>
  <c r="DR129" i="2"/>
  <c r="DS129" i="2"/>
  <c r="DX3" i="2"/>
  <c r="DZ3" i="2" s="1"/>
  <c r="EA3" i="2" s="1"/>
  <c r="ED3" i="2"/>
  <c r="DE237" i="2"/>
  <c r="DD237" i="2"/>
  <c r="DX168" i="2"/>
  <c r="DZ168" i="2" s="1"/>
  <c r="EA168" i="2" s="1"/>
  <c r="ED168" i="2"/>
  <c r="DE110" i="2"/>
  <c r="DD110" i="2"/>
  <c r="EF66" i="2"/>
  <c r="DU66" i="2"/>
  <c r="DN66" i="2"/>
  <c r="DP66" i="2" s="1"/>
  <c r="DQ66" i="2" s="1"/>
  <c r="DV66" i="2"/>
  <c r="DF66" i="2"/>
  <c r="DV223" i="2"/>
  <c r="DF223" i="2"/>
  <c r="DU223" i="2"/>
  <c r="DN223" i="2"/>
  <c r="DP223" i="2" s="1"/>
  <c r="DQ223" i="2" s="1"/>
  <c r="EF223" i="2"/>
  <c r="ED185" i="2"/>
  <c r="DX185" i="2"/>
  <c r="DZ185" i="2" s="1"/>
  <c r="EA185" i="2" s="1"/>
  <c r="DD63" i="2"/>
  <c r="DE63" i="2"/>
  <c r="ED235" i="2"/>
  <c r="DX235" i="2"/>
  <c r="DZ235" i="2" s="1"/>
  <c r="EA235" i="2" s="1"/>
  <c r="DE93" i="2"/>
  <c r="DD93" i="2"/>
  <c r="DD238" i="2"/>
  <c r="DE238" i="2"/>
  <c r="DF3" i="2"/>
  <c r="EF3" i="2"/>
  <c r="DV3" i="2"/>
  <c r="DU3" i="2"/>
  <c r="DN3" i="2"/>
  <c r="DP3" i="2" s="1"/>
  <c r="DQ3" i="2" s="1"/>
  <c r="DD314" i="2"/>
  <c r="DE314" i="2"/>
  <c r="EF342" i="2"/>
  <c r="EX1" i="2"/>
  <c r="EY1" i="2" s="1"/>
  <c r="DN185" i="2"/>
  <c r="DP185" i="2" s="1"/>
  <c r="DQ185" i="2" s="1"/>
  <c r="DU185" i="2"/>
  <c r="DF185" i="2"/>
  <c r="DV185" i="2"/>
  <c r="EF185" i="2"/>
  <c r="EF200" i="2"/>
  <c r="DN163" i="2"/>
  <c r="DP163" i="2" s="1"/>
  <c r="DQ163" i="2" s="1"/>
  <c r="DU163" i="2"/>
  <c r="DF163" i="2"/>
  <c r="EF163" i="2"/>
  <c r="DV163" i="2"/>
  <c r="DT327" i="2"/>
  <c r="DS327" i="2"/>
  <c r="DR327" i="2"/>
  <c r="DD80" i="2"/>
  <c r="DE80" i="2"/>
  <c r="DX14" i="2"/>
  <c r="DZ14" i="2" s="1"/>
  <c r="EA14" i="2" s="1"/>
  <c r="ED14" i="2"/>
  <c r="DR273" i="2"/>
  <c r="DS273" i="2"/>
  <c r="DT273" i="2"/>
  <c r="DE179" i="2"/>
  <c r="DD179" i="2"/>
  <c r="DX163" i="2"/>
  <c r="DZ163" i="2" s="1"/>
  <c r="EA163" i="2" s="1"/>
  <c r="ED163" i="2"/>
  <c r="DF14" i="2"/>
  <c r="DU14" i="2"/>
  <c r="EF14" i="2"/>
  <c r="DN14" i="2"/>
  <c r="DP14" i="2" s="1"/>
  <c r="DQ14" i="2" s="1"/>
  <c r="DV14" i="2"/>
  <c r="EB144" i="2"/>
  <c r="EC144" i="2"/>
  <c r="EE144" i="2"/>
  <c r="EF135" i="2"/>
  <c r="DU135" i="2"/>
  <c r="DN135" i="2"/>
  <c r="DP135" i="2" s="1"/>
  <c r="DQ135" i="2" s="1"/>
  <c r="DV135" i="2"/>
  <c r="DF135" i="2"/>
  <c r="DV232" i="2"/>
  <c r="DF232" i="2"/>
  <c r="DU232" i="2"/>
  <c r="DN232" i="2"/>
  <c r="DP232" i="2" s="1"/>
  <c r="DQ232" i="2" s="1"/>
  <c r="EF232" i="2"/>
  <c r="DE124" i="2"/>
  <c r="DD124" i="2"/>
  <c r="EE67" i="2"/>
  <c r="EC67" i="2"/>
  <c r="EB67" i="2"/>
  <c r="DT72" i="2"/>
  <c r="DS72" i="2"/>
  <c r="DR72" i="2"/>
  <c r="CJ92" i="4"/>
  <c r="AN92" i="4"/>
  <c r="EK92" i="4"/>
  <c r="S139" i="4"/>
  <c r="AB139" i="4" s="1"/>
  <c r="BH139" i="4"/>
  <c r="AL139" i="4"/>
  <c r="P139" i="4"/>
  <c r="BS135" i="4"/>
  <c r="AE135" i="4"/>
  <c r="AD135" i="4"/>
  <c r="AL141" i="4"/>
  <c r="S141" i="4"/>
  <c r="AB141" i="4" s="1"/>
  <c r="BH141" i="4"/>
  <c r="AL99" i="4"/>
  <c r="S99" i="4"/>
  <c r="AB99" i="4" s="1"/>
  <c r="BH99" i="4"/>
  <c r="P99" i="4"/>
  <c r="BS13" i="4"/>
  <c r="AD13" i="4"/>
  <c r="AE13" i="4"/>
  <c r="W95" i="4"/>
  <c r="Y95" i="4" s="1"/>
  <c r="Q95" i="4"/>
  <c r="EB252" i="2"/>
  <c r="EC252" i="2"/>
  <c r="EE252" i="2"/>
  <c r="W89" i="4"/>
  <c r="Y89" i="4" s="1"/>
  <c r="Q89" i="4"/>
  <c r="AN111" i="4"/>
  <c r="CJ111" i="4"/>
  <c r="EK111" i="4"/>
  <c r="CY18" i="4"/>
  <c r="CM18" i="4"/>
  <c r="DB18" i="4"/>
  <c r="DH18" i="4"/>
  <c r="DA18" i="4"/>
  <c r="CZ18" i="4"/>
  <c r="DD18" i="4"/>
  <c r="CN18" i="4"/>
  <c r="DE18" i="4"/>
  <c r="CX18" i="4"/>
  <c r="DG18" i="4"/>
  <c r="CR18" i="4"/>
  <c r="CO18" i="4"/>
  <c r="AH18" i="4"/>
  <c r="CS18" i="4"/>
  <c r="BT18" i="4"/>
  <c r="AJ18" i="4"/>
  <c r="CW18" i="4"/>
  <c r="DC18" i="4"/>
  <c r="CL18" i="4"/>
  <c r="CT18" i="4"/>
  <c r="CU18" i="4"/>
  <c r="CQ18" i="4"/>
  <c r="CK18" i="4"/>
  <c r="DF18" i="4"/>
  <c r="CV18" i="4"/>
  <c r="CP18" i="4"/>
  <c r="DX198" i="2"/>
  <c r="DZ198" i="2" s="1"/>
  <c r="EA198" i="2" s="1"/>
  <c r="ED198" i="2"/>
  <c r="BT80" i="4"/>
  <c r="AD80" i="4"/>
  <c r="BS80" i="4"/>
  <c r="CJ139" i="4"/>
  <c r="AN139" i="4"/>
  <c r="EK139" i="4"/>
  <c r="BH123" i="4"/>
  <c r="P123" i="4"/>
  <c r="AL123" i="4"/>
  <c r="CJ105" i="4"/>
  <c r="EK105" i="4"/>
  <c r="AN105" i="4"/>
  <c r="BS90" i="4"/>
  <c r="AD90" i="4"/>
  <c r="AE90" i="4"/>
  <c r="AL71" i="4"/>
  <c r="BH71" i="4"/>
  <c r="P71" i="4"/>
  <c r="EE51" i="2"/>
  <c r="EC51" i="2"/>
  <c r="EB51" i="2"/>
  <c r="W77" i="4"/>
  <c r="Q77" i="4"/>
  <c r="Q82" i="4"/>
  <c r="W82" i="4"/>
  <c r="Y82" i="4" s="1"/>
  <c r="EB138" i="2"/>
  <c r="EC138" i="2"/>
  <c r="EE138" i="2"/>
  <c r="AE74" i="4"/>
  <c r="AD74" i="4"/>
  <c r="BS74" i="4"/>
  <c r="AN76" i="4"/>
  <c r="CJ76" i="4"/>
  <c r="EK76" i="4"/>
  <c r="DX182" i="2"/>
  <c r="DZ182" i="2" s="1"/>
  <c r="EA182" i="2" s="1"/>
  <c r="ED182" i="2"/>
  <c r="AL58" i="4"/>
  <c r="P58" i="4"/>
  <c r="BH58" i="4"/>
  <c r="AN87" i="4"/>
  <c r="CJ87" i="4"/>
  <c r="EK87" i="4"/>
  <c r="Y49" i="4"/>
  <c r="Z49" i="4"/>
  <c r="DG132" i="4"/>
  <c r="AH132" i="4"/>
  <c r="CK132" i="4"/>
  <c r="DH132" i="4"/>
  <c r="CS132" i="4"/>
  <c r="CU132" i="4"/>
  <c r="CV132" i="4"/>
  <c r="CZ132" i="4"/>
  <c r="DC132" i="4"/>
  <c r="CW132" i="4"/>
  <c r="DA132" i="4"/>
  <c r="DF132" i="4"/>
  <c r="BT132" i="4"/>
  <c r="CM132" i="4"/>
  <c r="AJ132" i="4"/>
  <c r="CL132" i="4"/>
  <c r="DB132" i="4"/>
  <c r="CY132" i="4"/>
  <c r="CP132" i="4"/>
  <c r="CX132" i="4"/>
  <c r="DE132" i="4"/>
  <c r="DD132" i="4"/>
  <c r="CR132" i="4"/>
  <c r="CQ132" i="4"/>
  <c r="CT132" i="4"/>
  <c r="CN132" i="4"/>
  <c r="CO132" i="4"/>
  <c r="Q131" i="4"/>
  <c r="W131" i="4"/>
  <c r="Y131" i="4" s="1"/>
  <c r="AE9" i="4"/>
  <c r="AD9" i="4"/>
  <c r="BS9" i="4"/>
  <c r="P126" i="4"/>
  <c r="BH126" i="4"/>
  <c r="AL126" i="4"/>
  <c r="CS40" i="4"/>
  <c r="DA40" i="4"/>
  <c r="AH40" i="4"/>
  <c r="DB40" i="4"/>
  <c r="DD40" i="4"/>
  <c r="CO40" i="4"/>
  <c r="CZ40" i="4"/>
  <c r="CN40" i="4"/>
  <c r="DE40" i="4"/>
  <c r="CL40" i="4"/>
  <c r="DG40" i="4"/>
  <c r="CW40" i="4"/>
  <c r="CK40" i="4"/>
  <c r="CP40" i="4"/>
  <c r="CY40" i="4"/>
  <c r="CV40" i="4"/>
  <c r="DC40" i="4"/>
  <c r="AJ40" i="4"/>
  <c r="BT40" i="4"/>
  <c r="DF40" i="4"/>
  <c r="CM40" i="4"/>
  <c r="CT40" i="4"/>
  <c r="CQ40" i="4"/>
  <c r="CX40" i="4"/>
  <c r="DH40" i="4"/>
  <c r="CR40" i="4"/>
  <c r="CU40" i="4"/>
  <c r="AH55" i="4"/>
  <c r="CX55" i="4"/>
  <c r="DD55" i="4"/>
  <c r="CV55" i="4"/>
  <c r="DH55" i="4"/>
  <c r="CQ55" i="4"/>
  <c r="BT55" i="4"/>
  <c r="AJ55" i="4"/>
  <c r="CT55" i="4"/>
  <c r="CS55" i="4"/>
  <c r="DF55" i="4"/>
  <c r="CU55" i="4"/>
  <c r="CP55" i="4"/>
  <c r="CR55" i="4"/>
  <c r="CW55" i="4"/>
  <c r="DG55" i="4"/>
  <c r="DB55" i="4"/>
  <c r="CZ55" i="4"/>
  <c r="CM55" i="4"/>
  <c r="DA55" i="4"/>
  <c r="CO55" i="4"/>
  <c r="DE55" i="4"/>
  <c r="CN55" i="4"/>
  <c r="CK55" i="4"/>
  <c r="CY55" i="4"/>
  <c r="DC55" i="4"/>
  <c r="CL55" i="4"/>
  <c r="EE64" i="4" a="1"/>
  <c r="EE64" i="4" s="1"/>
  <c r="DS64" i="4" a="1"/>
  <c r="DS64" i="4" s="1"/>
  <c r="DV64" i="4" a="1"/>
  <c r="DV64" i="4" s="1"/>
  <c r="DX64" i="4" a="1"/>
  <c r="DX64" i="4" s="1"/>
  <c r="EC64" i="4" a="1"/>
  <c r="EC64" i="4" s="1"/>
  <c r="DL64" i="4" a="1"/>
  <c r="DL64" i="4" s="1"/>
  <c r="DZ64" i="4" a="1"/>
  <c r="DZ64" i="4" s="1"/>
  <c r="DT64" i="4" a="1"/>
  <c r="DT64" i="4" s="1"/>
  <c r="DU64" i="4" a="1"/>
  <c r="DU64" i="4" s="1"/>
  <c r="DN64" i="4" a="1"/>
  <c r="DN64" i="4" s="1"/>
  <c r="EA64" i="4" a="1"/>
  <c r="EA64" i="4" s="1"/>
  <c r="DR64" i="4" a="1"/>
  <c r="DR64" i="4" s="1"/>
  <c r="EB64" i="4" a="1"/>
  <c r="EB64" i="4" s="1"/>
  <c r="DQ64" i="4" a="1"/>
  <c r="DQ64" i="4" s="1"/>
  <c r="DK64" i="4" a="1"/>
  <c r="DK64" i="4" s="1"/>
  <c r="DM64" i="4" a="1"/>
  <c r="DM64" i="4" s="1"/>
  <c r="DJ64" i="4" a="1"/>
  <c r="DJ64" i="4" s="1"/>
  <c r="EF64" i="4" a="1"/>
  <c r="EF64" i="4" s="1"/>
  <c r="DY64" i="4" a="1"/>
  <c r="DY64" i="4" s="1"/>
  <c r="DI64" i="4" a="1"/>
  <c r="DI64" i="4" s="1"/>
  <c r="DP64" i="4" a="1"/>
  <c r="DP64" i="4" s="1"/>
  <c r="ED64" i="4" a="1"/>
  <c r="ED64" i="4" s="1"/>
  <c r="DW64" i="4" a="1"/>
  <c r="DW64" i="4" s="1"/>
  <c r="DO64" i="4" a="1"/>
  <c r="DO64" i="4" s="1"/>
  <c r="BH39" i="4"/>
  <c r="AL39" i="4"/>
  <c r="P39" i="4"/>
  <c r="Q129" i="4"/>
  <c r="W129" i="4"/>
  <c r="Y129" i="4" s="1"/>
  <c r="BS36" i="4"/>
  <c r="AE36" i="4"/>
  <c r="AD36" i="4"/>
  <c r="DS149" i="2"/>
  <c r="DT149" i="2"/>
  <c r="DR149" i="2"/>
  <c r="P138" i="4"/>
  <c r="BH138" i="4"/>
  <c r="AL138" i="4"/>
  <c r="S138" i="4"/>
  <c r="AB138" i="4" s="1"/>
  <c r="BH48" i="4"/>
  <c r="P48" i="4"/>
  <c r="AL48" i="4"/>
  <c r="AE35" i="4"/>
  <c r="BS35" i="4"/>
  <c r="AD35" i="4"/>
  <c r="P108" i="4"/>
  <c r="S108" i="4"/>
  <c r="AB108" i="4" s="1"/>
  <c r="BH108" i="4"/>
  <c r="AL108" i="4"/>
  <c r="S142" i="4"/>
  <c r="AB142" i="4" s="1"/>
  <c r="AL142" i="4"/>
  <c r="BH142" i="4"/>
  <c r="P142" i="4"/>
  <c r="CJ142" i="4"/>
  <c r="AN142" i="4"/>
  <c r="EK142" i="4"/>
  <c r="AD102" i="4"/>
  <c r="BS102" i="4"/>
  <c r="AE102" i="4"/>
  <c r="W128" i="4"/>
  <c r="Y128" i="4" s="1"/>
  <c r="Q128" i="4"/>
  <c r="EK124" i="4"/>
  <c r="AN124" i="4"/>
  <c r="CJ124" i="4"/>
  <c r="AD124" i="4"/>
  <c r="BS124" i="4"/>
  <c r="AE124" i="4"/>
  <c r="CZ25" i="4"/>
  <c r="CT25" i="4"/>
  <c r="CK25" i="4"/>
  <c r="CU25" i="4"/>
  <c r="BT25" i="4"/>
  <c r="CM25" i="4"/>
  <c r="DB25" i="4"/>
  <c r="DA25" i="4"/>
  <c r="CR25" i="4"/>
  <c r="DE25" i="4"/>
  <c r="DC25" i="4"/>
  <c r="CO25" i="4"/>
  <c r="DH25" i="4"/>
  <c r="CS25" i="4"/>
  <c r="CY25" i="4"/>
  <c r="CV25" i="4"/>
  <c r="DD25" i="4"/>
  <c r="CL25" i="4"/>
  <c r="CQ25" i="4"/>
  <c r="CP25" i="4"/>
  <c r="CX25" i="4"/>
  <c r="DG25" i="4"/>
  <c r="AH25" i="4"/>
  <c r="CN25" i="4"/>
  <c r="CW25" i="4"/>
  <c r="AJ25" i="4"/>
  <c r="DF25" i="4"/>
  <c r="AL115" i="4"/>
  <c r="BH115" i="4"/>
  <c r="S115" i="4"/>
  <c r="AB115" i="4" s="1"/>
  <c r="P115" i="4"/>
  <c r="ED155" i="2"/>
  <c r="DX155" i="2"/>
  <c r="DZ155" i="2" s="1"/>
  <c r="EA155" i="2" s="1"/>
  <c r="Q111" i="4"/>
  <c r="W111" i="4"/>
  <c r="AL47" i="4"/>
  <c r="P47" i="4"/>
  <c r="BH47" i="4"/>
  <c r="P16" i="4"/>
  <c r="AL16" i="4"/>
  <c r="BH16" i="4"/>
  <c r="W80" i="4"/>
  <c r="Y80" i="4" s="1"/>
  <c r="Q80" i="4"/>
  <c r="P23" i="4"/>
  <c r="AL23" i="4"/>
  <c r="BH23" i="4"/>
  <c r="BH45" i="4"/>
  <c r="AL45" i="4"/>
  <c r="P45" i="4"/>
  <c r="EK90" i="4"/>
  <c r="CJ90" i="4"/>
  <c r="AN90" i="4"/>
  <c r="EC84" i="2"/>
  <c r="EE84" i="2"/>
  <c r="EB84" i="2"/>
  <c r="CL58" i="4"/>
  <c r="CU58" i="4"/>
  <c r="BT58" i="4"/>
  <c r="CO58" i="4"/>
  <c r="AH58" i="4"/>
  <c r="CV58" i="4"/>
  <c r="DF58" i="4"/>
  <c r="DH58" i="4"/>
  <c r="CM58" i="4"/>
  <c r="CN58" i="4"/>
  <c r="CY58" i="4"/>
  <c r="CW58" i="4"/>
  <c r="CS58" i="4"/>
  <c r="CK58" i="4"/>
  <c r="DA58" i="4"/>
  <c r="DD58" i="4"/>
  <c r="DG58" i="4"/>
  <c r="DC58" i="4"/>
  <c r="CT58" i="4"/>
  <c r="CZ58" i="4"/>
  <c r="CQ58" i="4"/>
  <c r="DE58" i="4"/>
  <c r="AJ58" i="4"/>
  <c r="CX58" i="4"/>
  <c r="CR58" i="4"/>
  <c r="DB58" i="4"/>
  <c r="CP58" i="4"/>
  <c r="CQ85" i="4"/>
  <c r="DF85" i="4"/>
  <c r="CX85" i="4"/>
  <c r="DB85" i="4"/>
  <c r="DC85" i="4"/>
  <c r="DG85" i="4"/>
  <c r="DA85" i="4"/>
  <c r="CN85" i="4"/>
  <c r="CO85" i="4"/>
  <c r="CP85" i="4"/>
  <c r="CZ85" i="4"/>
  <c r="AH85" i="4"/>
  <c r="CM85" i="4"/>
  <c r="DD85" i="4"/>
  <c r="CK85" i="4"/>
  <c r="CW85" i="4"/>
  <c r="CV85" i="4"/>
  <c r="CR85" i="4"/>
  <c r="DH85" i="4"/>
  <c r="CS85" i="4"/>
  <c r="CU85" i="4"/>
  <c r="DE85" i="4"/>
  <c r="CT85" i="4"/>
  <c r="CL85" i="4"/>
  <c r="CY85" i="4"/>
  <c r="EE9" i="2"/>
  <c r="EB9" i="2"/>
  <c r="EC9" i="2"/>
  <c r="AJ60" i="4"/>
  <c r="CZ60" i="4"/>
  <c r="CS60" i="4"/>
  <c r="CX60" i="4"/>
  <c r="DA60" i="4"/>
  <c r="CY60" i="4"/>
  <c r="DB60" i="4"/>
  <c r="DD60" i="4"/>
  <c r="CP60" i="4"/>
  <c r="DF60" i="4"/>
  <c r="CL60" i="4"/>
  <c r="CM60" i="4"/>
  <c r="CW60" i="4"/>
  <c r="DE60" i="4"/>
  <c r="CO60" i="4"/>
  <c r="DG60" i="4"/>
  <c r="CU60" i="4"/>
  <c r="AH60" i="4"/>
  <c r="CN60" i="4"/>
  <c r="CK60" i="4"/>
  <c r="DC60" i="4"/>
  <c r="DH60" i="4"/>
  <c r="CQ60" i="4"/>
  <c r="BT60" i="4"/>
  <c r="CV60" i="4"/>
  <c r="CR60" i="4"/>
  <c r="CT60" i="4"/>
  <c r="AD94" i="4"/>
  <c r="AE94" i="4"/>
  <c r="BS94" i="4"/>
  <c r="EK133" i="4"/>
  <c r="CJ133" i="4"/>
  <c r="AN133" i="4"/>
  <c r="Z25" i="4"/>
  <c r="Y25" i="4"/>
  <c r="Q91" i="4"/>
  <c r="W91" i="4"/>
  <c r="Y91" i="4" s="1"/>
  <c r="EB143" i="2"/>
  <c r="EE143" i="2"/>
  <c r="EC143" i="2"/>
  <c r="W96" i="4"/>
  <c r="Y96" i="4" s="1"/>
  <c r="Q96" i="4"/>
  <c r="EK116" i="4"/>
  <c r="AN116" i="4"/>
  <c r="CJ116" i="4"/>
  <c r="AD73" i="4"/>
  <c r="BS73" i="4"/>
  <c r="AE73" i="4"/>
  <c r="EE133" i="2"/>
  <c r="EB133" i="2"/>
  <c r="EC133" i="2"/>
  <c r="AN131" i="4"/>
  <c r="EK131" i="4"/>
  <c r="CJ131" i="4"/>
  <c r="EK136" i="4"/>
  <c r="CJ136" i="4"/>
  <c r="AN136" i="4"/>
  <c r="AD122" i="4"/>
  <c r="AE122" i="4"/>
  <c r="BS122" i="4"/>
  <c r="AN64" i="4"/>
  <c r="CJ64" i="4"/>
  <c r="EK64" i="4"/>
  <c r="CX28" i="4"/>
  <c r="CK28" i="4"/>
  <c r="DF28" i="4"/>
  <c r="CO28" i="4"/>
  <c r="DC28" i="4"/>
  <c r="AH28" i="4"/>
  <c r="BT28" i="4"/>
  <c r="DB28" i="4"/>
  <c r="CV28" i="4"/>
  <c r="CS28" i="4"/>
  <c r="CY28" i="4"/>
  <c r="CP28" i="4"/>
  <c r="CU28" i="4"/>
  <c r="CW28" i="4"/>
  <c r="CN28" i="4"/>
  <c r="CL28" i="4"/>
  <c r="DE28" i="4"/>
  <c r="CT28" i="4"/>
  <c r="DD28" i="4"/>
  <c r="AJ28" i="4"/>
  <c r="CZ28" i="4"/>
  <c r="DH28" i="4"/>
  <c r="CM28" i="4"/>
  <c r="CQ28" i="4"/>
  <c r="DG28" i="4"/>
  <c r="CR28" i="4"/>
  <c r="DA28" i="4"/>
  <c r="BS130" i="4"/>
  <c r="AE130" i="4"/>
  <c r="AD130" i="4"/>
  <c r="W130" i="4"/>
  <c r="Y130" i="4" s="1"/>
  <c r="Q130" i="4"/>
  <c r="CK45" i="4"/>
  <c r="CT45" i="4"/>
  <c r="CV45" i="4"/>
  <c r="CY45" i="4"/>
  <c r="CQ45" i="4"/>
  <c r="DD45" i="4"/>
  <c r="DH45" i="4"/>
  <c r="AH45" i="4"/>
  <c r="CM45" i="4"/>
  <c r="CZ45" i="4"/>
  <c r="CU45" i="4"/>
  <c r="DE45" i="4"/>
  <c r="BT45" i="4"/>
  <c r="CS45" i="4"/>
  <c r="CR45" i="4"/>
  <c r="DA45" i="4"/>
  <c r="CX45" i="4"/>
  <c r="CW45" i="4"/>
  <c r="CO45" i="4"/>
  <c r="AJ45" i="4"/>
  <c r="CL45" i="4"/>
  <c r="CN45" i="4"/>
  <c r="DG45" i="4"/>
  <c r="DF45" i="4"/>
  <c r="DB45" i="4"/>
  <c r="CP45" i="4"/>
  <c r="DC45" i="4"/>
  <c r="EE313" i="2"/>
  <c r="EB313" i="2"/>
  <c r="EC313" i="2"/>
  <c r="EE118" i="2"/>
  <c r="EB118" i="2"/>
  <c r="EC118" i="2"/>
  <c r="CT68" i="4"/>
  <c r="CR68" i="4"/>
  <c r="DE68" i="4"/>
  <c r="DA68" i="4"/>
  <c r="BT68" i="4"/>
  <c r="CV68" i="4"/>
  <c r="DG68" i="4"/>
  <c r="CW68" i="4"/>
  <c r="CZ68" i="4"/>
  <c r="CN68" i="4"/>
  <c r="AH68" i="4"/>
  <c r="DB68" i="4"/>
  <c r="AJ68" i="4"/>
  <c r="CQ68" i="4"/>
  <c r="CM68" i="4"/>
  <c r="CU68" i="4"/>
  <c r="CL68" i="4"/>
  <c r="DH68" i="4"/>
  <c r="CP68" i="4"/>
  <c r="CS68" i="4"/>
  <c r="CO68" i="4"/>
  <c r="DD68" i="4"/>
  <c r="DC68" i="4"/>
  <c r="CX68" i="4"/>
  <c r="CY68" i="4"/>
  <c r="DF68" i="4"/>
  <c r="CK68" i="4"/>
  <c r="P41" i="4"/>
  <c r="BH41" i="4"/>
  <c r="AL41" i="4"/>
  <c r="AD83" i="4"/>
  <c r="BS83" i="4"/>
  <c r="AE83" i="4"/>
  <c r="AD128" i="4"/>
  <c r="AE128" i="4"/>
  <c r="BS128" i="4"/>
  <c r="DF301" i="2"/>
  <c r="DU301" i="2"/>
  <c r="DN301" i="2"/>
  <c r="DP301" i="2" s="1"/>
  <c r="DQ301" i="2" s="1"/>
  <c r="EF301" i="2"/>
  <c r="DV301" i="2"/>
  <c r="CX39" i="4"/>
  <c r="CW39" i="4"/>
  <c r="CZ39" i="4"/>
  <c r="BT39" i="4"/>
  <c r="DG39" i="4"/>
  <c r="CV39" i="4"/>
  <c r="DF39" i="4"/>
  <c r="CM39" i="4"/>
  <c r="CL39" i="4"/>
  <c r="DB39" i="4"/>
  <c r="DA39" i="4"/>
  <c r="AJ39" i="4"/>
  <c r="AH39" i="4"/>
  <c r="DD39" i="4"/>
  <c r="DE39" i="4"/>
  <c r="CO39" i="4"/>
  <c r="CQ39" i="4"/>
  <c r="CY39" i="4"/>
  <c r="CT39" i="4"/>
  <c r="CS39" i="4"/>
  <c r="DH39" i="4"/>
  <c r="CR39" i="4"/>
  <c r="DC39" i="4"/>
  <c r="CU39" i="4"/>
  <c r="CK39" i="4"/>
  <c r="CN39" i="4"/>
  <c r="CP39" i="4"/>
  <c r="CP17" i="4"/>
  <c r="DG17" i="4"/>
  <c r="CU17" i="4"/>
  <c r="AJ17" i="4"/>
  <c r="CW17" i="4"/>
  <c r="DC17" i="4"/>
  <c r="CS17" i="4"/>
  <c r="DD17" i="4"/>
  <c r="AH17" i="4"/>
  <c r="CR17" i="4"/>
  <c r="BT17" i="4"/>
  <c r="CV17" i="4"/>
  <c r="CN17" i="4"/>
  <c r="CT17" i="4"/>
  <c r="CY17" i="4"/>
  <c r="CL17" i="4"/>
  <c r="DF17" i="4"/>
  <c r="DB17" i="4"/>
  <c r="DA17" i="4"/>
  <c r="CO17" i="4"/>
  <c r="DE17" i="4"/>
  <c r="CQ17" i="4"/>
  <c r="CM17" i="4"/>
  <c r="CK17" i="4"/>
  <c r="DH17" i="4"/>
  <c r="CZ17" i="4"/>
  <c r="CX17" i="4"/>
  <c r="BU173" i="2"/>
  <c r="BD72" i="4" a="1"/>
  <c r="BD72" i="4" s="1"/>
  <c r="W117" i="4"/>
  <c r="Q117" i="4"/>
  <c r="BU139" i="2"/>
  <c r="BD66" i="4" a="1"/>
  <c r="BD66" i="4" s="1"/>
  <c r="Q135" i="4"/>
  <c r="W135" i="4"/>
  <c r="Y135" i="4" s="1"/>
  <c r="AN99" i="4"/>
  <c r="EK99" i="4"/>
  <c r="CJ99" i="4"/>
  <c r="AN134" i="4"/>
  <c r="CJ134" i="4"/>
  <c r="EK134" i="4"/>
  <c r="BT52" i="4"/>
  <c r="CZ52" i="4"/>
  <c r="DB52" i="4"/>
  <c r="CX52" i="4"/>
  <c r="CL52" i="4"/>
  <c r="DG52" i="4"/>
  <c r="DE52" i="4"/>
  <c r="CQ52" i="4"/>
  <c r="CT52" i="4"/>
  <c r="CR52" i="4"/>
  <c r="DH52" i="4"/>
  <c r="AH52" i="4"/>
  <c r="CN52" i="4"/>
  <c r="CP52" i="4"/>
  <c r="CK52" i="4"/>
  <c r="CV52" i="4"/>
  <c r="CW52" i="4"/>
  <c r="CM52" i="4"/>
  <c r="AJ52" i="4"/>
  <c r="CO52" i="4"/>
  <c r="DC52" i="4"/>
  <c r="CS52" i="4"/>
  <c r="DF52" i="4"/>
  <c r="DD52" i="4"/>
  <c r="CY52" i="4"/>
  <c r="DA52" i="4"/>
  <c r="CU52" i="4"/>
  <c r="DX122" i="2"/>
  <c r="DZ122" i="2" s="1"/>
  <c r="EA122" i="2" s="1"/>
  <c r="ED122" i="2"/>
  <c r="DS118" i="2"/>
  <c r="DR118" i="2"/>
  <c r="DT118" i="2"/>
  <c r="EK98" i="4"/>
  <c r="CJ98" i="4"/>
  <c r="AN98" i="4"/>
  <c r="AJ27" i="4"/>
  <c r="CQ27" i="4"/>
  <c r="CR27" i="4"/>
  <c r="DC27" i="4"/>
  <c r="CP27" i="4"/>
  <c r="DG27" i="4"/>
  <c r="DD27" i="4"/>
  <c r="CN27" i="4"/>
  <c r="DH27" i="4"/>
  <c r="CT27" i="4"/>
  <c r="CX27" i="4"/>
  <c r="DE27" i="4"/>
  <c r="CO27" i="4"/>
  <c r="CL27" i="4"/>
  <c r="CS27" i="4"/>
  <c r="DB27" i="4"/>
  <c r="CW27" i="4"/>
  <c r="DF27" i="4"/>
  <c r="CK27" i="4"/>
  <c r="CZ27" i="4"/>
  <c r="BT27" i="4"/>
  <c r="CY27" i="4"/>
  <c r="CM27" i="4"/>
  <c r="DA27" i="4"/>
  <c r="CV27" i="4"/>
  <c r="CU27" i="4"/>
  <c r="AH27" i="4"/>
  <c r="DV122" i="2"/>
  <c r="DF122" i="2"/>
  <c r="DU122" i="2"/>
  <c r="DN122" i="2"/>
  <c r="DP122" i="2" s="1"/>
  <c r="DQ122" i="2" s="1"/>
  <c r="EF122" i="2"/>
  <c r="ED117" i="2"/>
  <c r="DX117" i="2"/>
  <c r="DZ117" i="2" s="1"/>
  <c r="EA117" i="2" s="1"/>
  <c r="EK95" i="4"/>
  <c r="AN95" i="4"/>
  <c r="CJ95" i="4"/>
  <c r="Y69" i="4"/>
  <c r="Z69" i="4"/>
  <c r="W134" i="4"/>
  <c r="Y134" i="4" s="1"/>
  <c r="Q134" i="4"/>
  <c r="DU117" i="2"/>
  <c r="DN117" i="2"/>
  <c r="DP117" i="2" s="1"/>
  <c r="DQ117" i="2" s="1"/>
  <c r="DF117" i="2"/>
  <c r="DV117" i="2"/>
  <c r="EF117" i="2"/>
  <c r="AE95" i="4"/>
  <c r="BS95" i="4"/>
  <c r="AD95" i="4"/>
  <c r="EK115" i="4"/>
  <c r="AN115" i="4"/>
  <c r="CJ115" i="4"/>
  <c r="W93" i="4"/>
  <c r="Y93" i="4" s="1"/>
  <c r="Q93" i="4"/>
  <c r="DF155" i="2"/>
  <c r="DU155" i="2"/>
  <c r="DV155" i="2"/>
  <c r="DN155" i="2"/>
  <c r="DP155" i="2" s="1"/>
  <c r="DQ155" i="2" s="1"/>
  <c r="EF155" i="2"/>
  <c r="W88" i="4"/>
  <c r="Y88" i="4" s="1"/>
  <c r="Q88" i="4"/>
  <c r="AD111" i="4"/>
  <c r="BS111" i="4"/>
  <c r="AE111" i="4"/>
  <c r="DT138" i="2"/>
  <c r="DR138" i="2"/>
  <c r="DS138" i="2"/>
  <c r="AL103" i="4"/>
  <c r="S103" i="4"/>
  <c r="AB103" i="4" s="1"/>
  <c r="BH103" i="4"/>
  <c r="P103" i="4"/>
  <c r="DG59" i="4"/>
  <c r="CL59" i="4"/>
  <c r="DD59" i="4"/>
  <c r="CZ59" i="4"/>
  <c r="CM59" i="4"/>
  <c r="AJ59" i="4"/>
  <c r="CW59" i="4"/>
  <c r="AH59" i="4"/>
  <c r="BT59" i="4"/>
  <c r="DE59" i="4"/>
  <c r="CV59" i="4"/>
  <c r="DC59" i="4"/>
  <c r="CP59" i="4"/>
  <c r="CU59" i="4"/>
  <c r="CO59" i="4"/>
  <c r="CT59" i="4"/>
  <c r="CK59" i="4"/>
  <c r="DH59" i="4"/>
  <c r="CQ59" i="4"/>
  <c r="CN59" i="4"/>
  <c r="CX59" i="4"/>
  <c r="CR59" i="4"/>
  <c r="DF59" i="4"/>
  <c r="CS59" i="4"/>
  <c r="DA59" i="4"/>
  <c r="DB59" i="4"/>
  <c r="CY59" i="4"/>
  <c r="Y23" i="4"/>
  <c r="Z23" i="4"/>
  <c r="W120" i="4"/>
  <c r="Y120" i="4" s="1"/>
  <c r="Q120" i="4"/>
  <c r="AD43" i="4"/>
  <c r="AE43" i="4"/>
  <c r="BS43" i="4"/>
  <c r="AD82" i="4"/>
  <c r="BS82" i="4"/>
  <c r="AE82" i="4"/>
  <c r="W76" i="4"/>
  <c r="Q76" i="4"/>
  <c r="AL25" i="4"/>
  <c r="P25" i="4"/>
  <c r="BH25" i="4"/>
  <c r="BS24" i="4"/>
  <c r="AD24" i="4"/>
  <c r="AE24" i="4"/>
  <c r="BS50" i="4"/>
  <c r="AE50" i="4"/>
  <c r="AD50" i="4"/>
  <c r="CJ113" i="4"/>
  <c r="AN113" i="4"/>
  <c r="EK113" i="4"/>
  <c r="AD75" i="4"/>
  <c r="AE75" i="4"/>
  <c r="BS75" i="4"/>
  <c r="CP69" i="4"/>
  <c r="CM69" i="4"/>
  <c r="AJ69" i="4"/>
  <c r="CX69" i="4"/>
  <c r="CW69" i="4"/>
  <c r="CT69" i="4"/>
  <c r="CL69" i="4"/>
  <c r="CR69" i="4"/>
  <c r="CV69" i="4"/>
  <c r="DB69" i="4"/>
  <c r="DF69" i="4"/>
  <c r="DE69" i="4"/>
  <c r="CS69" i="4"/>
  <c r="DH69" i="4"/>
  <c r="DA69" i="4"/>
  <c r="BT69" i="4"/>
  <c r="CU69" i="4"/>
  <c r="CZ69" i="4"/>
  <c r="CY69" i="4"/>
  <c r="DD69" i="4"/>
  <c r="DC69" i="4"/>
  <c r="CN69" i="4"/>
  <c r="DG69" i="4"/>
  <c r="CK69" i="4"/>
  <c r="CQ69" i="4"/>
  <c r="AH69" i="4"/>
  <c r="CO69" i="4"/>
  <c r="AE32" i="4"/>
  <c r="BS32" i="4"/>
  <c r="AD32" i="4"/>
  <c r="ED7" i="2"/>
  <c r="DX7" i="2"/>
  <c r="DZ7" i="2" s="1"/>
  <c r="EA7" i="2" s="1"/>
  <c r="EK78" i="4"/>
  <c r="AN78" i="4"/>
  <c r="CJ78" i="4"/>
  <c r="EF20" i="2"/>
  <c r="DU20" i="2"/>
  <c r="DV20" i="2"/>
  <c r="DN20" i="2"/>
  <c r="DP20" i="2" s="1"/>
  <c r="DQ20" i="2" s="1"/>
  <c r="DF20" i="2"/>
  <c r="DS84" i="2"/>
  <c r="DR84" i="2"/>
  <c r="DT84" i="2"/>
  <c r="S112" i="4"/>
  <c r="AB112" i="4" s="1"/>
  <c r="P112" i="4"/>
  <c r="BH112" i="4"/>
  <c r="AL112" i="4"/>
  <c r="AH72" i="4"/>
  <c r="BT72" i="4"/>
  <c r="DB72" i="4"/>
  <c r="CY72" i="4"/>
  <c r="DH72" i="4"/>
  <c r="CX72" i="4"/>
  <c r="CP72" i="4"/>
  <c r="CK72" i="4"/>
  <c r="CL72" i="4"/>
  <c r="DE72" i="4"/>
  <c r="DG72" i="4"/>
  <c r="CV72" i="4"/>
  <c r="CU72" i="4"/>
  <c r="DC72" i="4"/>
  <c r="CM72" i="4"/>
  <c r="DD72" i="4"/>
  <c r="CW72" i="4"/>
  <c r="CO72" i="4"/>
  <c r="DA72" i="4"/>
  <c r="CQ72" i="4"/>
  <c r="CS72" i="4"/>
  <c r="CZ72" i="4"/>
  <c r="CN72" i="4"/>
  <c r="DF72" i="4"/>
  <c r="CR72" i="4"/>
  <c r="CT72" i="4"/>
  <c r="AJ72" i="4"/>
  <c r="Q125" i="4"/>
  <c r="W125" i="4"/>
  <c r="Y125" i="4" s="1"/>
  <c r="AL61" i="4"/>
  <c r="BH61" i="4"/>
  <c r="P61" i="4"/>
  <c r="CJ100" i="4"/>
  <c r="AN100" i="4"/>
  <c r="EK100" i="4"/>
  <c r="CQ44" i="4"/>
  <c r="DH44" i="4"/>
  <c r="CR44" i="4"/>
  <c r="CS44" i="4"/>
  <c r="DE44" i="4"/>
  <c r="CO44" i="4"/>
  <c r="CY44" i="4"/>
  <c r="BT44" i="4"/>
  <c r="AJ44" i="4"/>
  <c r="DA44" i="4"/>
  <c r="DB44" i="4"/>
  <c r="CX44" i="4"/>
  <c r="CV44" i="4"/>
  <c r="CK44" i="4"/>
  <c r="DC44" i="4"/>
  <c r="CP44" i="4"/>
  <c r="DD44" i="4"/>
  <c r="CL44" i="4"/>
  <c r="CZ44" i="4"/>
  <c r="CN44" i="4"/>
  <c r="CU44" i="4"/>
  <c r="AH44" i="4"/>
  <c r="CT44" i="4"/>
  <c r="DG44" i="4"/>
  <c r="DF44" i="4"/>
  <c r="CM44" i="4"/>
  <c r="CW44" i="4"/>
  <c r="AL55" i="4"/>
  <c r="BH55" i="4"/>
  <c r="P55" i="4"/>
  <c r="AD118" i="4"/>
  <c r="AE118" i="4"/>
  <c r="BS118" i="4"/>
  <c r="Q118" i="4"/>
  <c r="W118" i="4"/>
  <c r="Y118" i="4" s="1"/>
  <c r="P54" i="4"/>
  <c r="AL54" i="4"/>
  <c r="BH54" i="4"/>
  <c r="W86" i="4"/>
  <c r="Y86" i="4" s="1"/>
  <c r="Q86" i="4"/>
  <c r="BH86" i="4" s="1"/>
  <c r="DO86" i="4" a="1"/>
  <c r="DO86" i="4" s="1"/>
  <c r="DK86" i="4" a="1"/>
  <c r="DK86" i="4" s="1"/>
  <c r="DY86" i="4" a="1"/>
  <c r="DY86" i="4" s="1"/>
  <c r="DU86" i="4" a="1"/>
  <c r="DU86" i="4" s="1"/>
  <c r="DW86" i="4" a="1"/>
  <c r="DW86" i="4" s="1"/>
  <c r="EC86" i="4" a="1"/>
  <c r="EC86" i="4" s="1"/>
  <c r="DQ86" i="4" a="1"/>
  <c r="DQ86" i="4" s="1"/>
  <c r="EF86" i="4" a="1"/>
  <c r="EF86" i="4" s="1"/>
  <c r="DT86" i="4" a="1"/>
  <c r="DT86" i="4" s="1"/>
  <c r="EA86" i="4" a="1"/>
  <c r="EA86" i="4" s="1"/>
  <c r="DL86" i="4" a="1"/>
  <c r="DL86" i="4" s="1"/>
  <c r="DX86" i="4" a="1"/>
  <c r="DX86" i="4" s="1"/>
  <c r="EE86" i="4" a="1"/>
  <c r="EE86" i="4" s="1"/>
  <c r="DV86" i="4" a="1"/>
  <c r="DV86" i="4" s="1"/>
  <c r="EB86" i="4" a="1"/>
  <c r="EB86" i="4" s="1"/>
  <c r="DI86" i="4" a="1"/>
  <c r="DI86" i="4" s="1"/>
  <c r="DM86" i="4" a="1"/>
  <c r="DM86" i="4" s="1"/>
  <c r="DN86" i="4" a="1"/>
  <c r="DN86" i="4" s="1"/>
  <c r="DP86" i="4" a="1"/>
  <c r="DP86" i="4" s="1"/>
  <c r="DS86" i="4" a="1"/>
  <c r="DS86" i="4" s="1"/>
  <c r="DJ86" i="4" a="1"/>
  <c r="DJ86" i="4" s="1"/>
  <c r="DR86" i="4" a="1"/>
  <c r="DR86" i="4" s="1"/>
  <c r="DZ86" i="4" a="1"/>
  <c r="DZ86" i="4" s="1"/>
  <c r="ED86" i="4" a="1"/>
  <c r="ED86" i="4" s="1"/>
  <c r="AH46" i="4"/>
  <c r="CV46" i="4"/>
  <c r="DD46" i="4"/>
  <c r="BT46" i="4"/>
  <c r="DB46" i="4"/>
  <c r="CM46" i="4"/>
  <c r="AJ46" i="4"/>
  <c r="CP46" i="4"/>
  <c r="CK46" i="4"/>
  <c r="DC46" i="4"/>
  <c r="CT46" i="4"/>
  <c r="DF46" i="4"/>
  <c r="DH46" i="4"/>
  <c r="CW46" i="4"/>
  <c r="CX46" i="4"/>
  <c r="CU46" i="4"/>
  <c r="CY46" i="4"/>
  <c r="DE46" i="4"/>
  <c r="CN46" i="4"/>
  <c r="DG46" i="4"/>
  <c r="CQ46" i="4"/>
  <c r="CS46" i="4"/>
  <c r="CR46" i="4"/>
  <c r="CO46" i="4"/>
  <c r="CZ46" i="4"/>
  <c r="CL46" i="4"/>
  <c r="DA46" i="4"/>
  <c r="DV289" i="2"/>
  <c r="EF289" i="2"/>
  <c r="DN289" i="2"/>
  <c r="DP289" i="2" s="1"/>
  <c r="DQ289" i="2" s="1"/>
  <c r="DF289" i="2"/>
  <c r="DU289" i="2"/>
  <c r="DE203" i="2"/>
  <c r="DD203" i="2"/>
  <c r="AE121" i="4"/>
  <c r="AD121" i="4"/>
  <c r="BS121" i="4"/>
  <c r="BH38" i="4"/>
  <c r="P38" i="4"/>
  <c r="AL38" i="4"/>
  <c r="S143" i="4"/>
  <c r="AB143" i="4" s="1"/>
  <c r="P143" i="4"/>
  <c r="AL143" i="4"/>
  <c r="BH143" i="4"/>
  <c r="DR252" i="2"/>
  <c r="DS252" i="2"/>
  <c r="DT252" i="2"/>
  <c r="AE98" i="4"/>
  <c r="AD98" i="4"/>
  <c r="BS98" i="4"/>
  <c r="BT49" i="4"/>
  <c r="AJ49" i="4"/>
  <c r="CW49" i="4"/>
  <c r="CK49" i="4"/>
  <c r="DD49" i="4"/>
  <c r="CR49" i="4"/>
  <c r="CO49" i="4"/>
  <c r="DH49" i="4"/>
  <c r="CU49" i="4"/>
  <c r="CP49" i="4"/>
  <c r="CQ49" i="4"/>
  <c r="AH49" i="4"/>
  <c r="DC49" i="4"/>
  <c r="DE49" i="4"/>
  <c r="DF49" i="4"/>
  <c r="CY49" i="4"/>
  <c r="CT49" i="4"/>
  <c r="DB49" i="4"/>
  <c r="CM49" i="4"/>
  <c r="DA49" i="4"/>
  <c r="CX49" i="4"/>
  <c r="CV49" i="4"/>
  <c r="CS49" i="4"/>
  <c r="DG49" i="4"/>
  <c r="CL49" i="4"/>
  <c r="CZ49" i="4"/>
  <c r="CN49" i="4"/>
  <c r="AL69" i="4"/>
  <c r="P69" i="4"/>
  <c r="BH69" i="4"/>
  <c r="AE12" i="4"/>
  <c r="BS12" i="4"/>
  <c r="AD12" i="4"/>
  <c r="CR38" i="4"/>
  <c r="DE38" i="4"/>
  <c r="CL38" i="4"/>
  <c r="CQ38" i="4"/>
  <c r="CM38" i="4"/>
  <c r="CU38" i="4"/>
  <c r="AJ38" i="4"/>
  <c r="CS38" i="4"/>
  <c r="CT38" i="4"/>
  <c r="CP38" i="4"/>
  <c r="DC38" i="4"/>
  <c r="CY38" i="4"/>
  <c r="CZ38" i="4"/>
  <c r="DA38" i="4"/>
  <c r="DB38" i="4"/>
  <c r="CW38" i="4"/>
  <c r="CV38" i="4"/>
  <c r="CX38" i="4"/>
  <c r="DG38" i="4"/>
  <c r="DD38" i="4"/>
  <c r="CK38" i="4"/>
  <c r="CO38" i="4"/>
  <c r="BT38" i="4"/>
  <c r="DF38" i="4"/>
  <c r="AH38" i="4"/>
  <c r="DH38" i="4"/>
  <c r="CN38" i="4"/>
  <c r="AD134" i="4"/>
  <c r="BS134" i="4"/>
  <c r="AE134" i="4"/>
  <c r="W81" i="4"/>
  <c r="Y81" i="4" s="1"/>
  <c r="Q81" i="4"/>
  <c r="AE81" i="4"/>
  <c r="BS81" i="4"/>
  <c r="AD81" i="4"/>
  <c r="AN103" i="4"/>
  <c r="CJ103" i="4"/>
  <c r="EK103" i="4"/>
  <c r="EK135" i="4"/>
  <c r="CJ135" i="4"/>
  <c r="AN135" i="4"/>
  <c r="DE174" i="2"/>
  <c r="DD174" i="2"/>
  <c r="CK47" i="4"/>
  <c r="CU47" i="4"/>
  <c r="CP47" i="4"/>
  <c r="CN47" i="4"/>
  <c r="AH47" i="4"/>
  <c r="CV47" i="4"/>
  <c r="CZ47" i="4"/>
  <c r="CY47" i="4"/>
  <c r="CR47" i="4"/>
  <c r="CO47" i="4"/>
  <c r="CX47" i="4"/>
  <c r="CW47" i="4"/>
  <c r="BT47" i="4"/>
  <c r="DG47" i="4"/>
  <c r="AJ47" i="4"/>
  <c r="CT47" i="4"/>
  <c r="DH47" i="4"/>
  <c r="DA47" i="4"/>
  <c r="DC47" i="4"/>
  <c r="CL47" i="4"/>
  <c r="DE47" i="4"/>
  <c r="CQ47" i="4"/>
  <c r="DB47" i="4"/>
  <c r="DD47" i="4"/>
  <c r="CS47" i="4"/>
  <c r="DF47" i="4"/>
  <c r="CM47" i="4"/>
  <c r="BS76" i="4"/>
  <c r="AD76" i="4"/>
  <c r="AE76" i="4"/>
  <c r="EK106" i="4"/>
  <c r="AN106" i="4"/>
  <c r="CJ106" i="4"/>
  <c r="AH126" i="4"/>
  <c r="DB126" i="4"/>
  <c r="DF126" i="4"/>
  <c r="CM126" i="4"/>
  <c r="AJ126" i="4"/>
  <c r="CV126" i="4"/>
  <c r="DH126" i="4"/>
  <c r="CQ126" i="4"/>
  <c r="CP126" i="4"/>
  <c r="CR126" i="4"/>
  <c r="CK126" i="4"/>
  <c r="DC126" i="4"/>
  <c r="DD126" i="4"/>
  <c r="CT126" i="4"/>
  <c r="CZ126" i="4"/>
  <c r="CU126" i="4"/>
  <c r="DG126" i="4"/>
  <c r="DA126" i="4"/>
  <c r="CO126" i="4"/>
  <c r="BT126" i="4"/>
  <c r="CL126" i="4"/>
  <c r="CS126" i="4"/>
  <c r="DE126" i="4"/>
  <c r="CX126" i="4"/>
  <c r="CN126" i="4"/>
  <c r="CY126" i="4"/>
  <c r="CW126" i="4"/>
  <c r="DU37" i="2"/>
  <c r="DN37" i="2"/>
  <c r="DP37" i="2" s="1"/>
  <c r="DQ37" i="2" s="1"/>
  <c r="DV37" i="2"/>
  <c r="DF37" i="2"/>
  <c r="AL17" i="4"/>
  <c r="P17" i="4"/>
  <c r="BH17" i="4"/>
  <c r="P113" i="4"/>
  <c r="S113" i="4"/>
  <c r="AB113" i="4" s="1"/>
  <c r="BH113" i="4"/>
  <c r="AL113" i="4"/>
  <c r="AD8" i="4"/>
  <c r="AE8" i="4"/>
  <c r="BS8" i="4"/>
  <c r="AN96" i="4"/>
  <c r="EK96" i="4"/>
  <c r="CJ96" i="4"/>
  <c r="BS96" i="4"/>
  <c r="AE96" i="4"/>
  <c r="AD96" i="4"/>
  <c r="P85" i="4"/>
  <c r="BH85" i="4"/>
  <c r="AL85" i="4"/>
  <c r="Y14" i="4"/>
  <c r="Z14" i="4"/>
  <c r="DN7" i="2"/>
  <c r="DP7" i="2" s="1"/>
  <c r="DQ7" i="2" s="1"/>
  <c r="DU7" i="2"/>
  <c r="DV7" i="2"/>
  <c r="DF7" i="2"/>
  <c r="ED20" i="2"/>
  <c r="DX20" i="2"/>
  <c r="DZ20" i="2" s="1"/>
  <c r="EA20" i="2" s="1"/>
  <c r="DD202" i="2"/>
  <c r="DE202" i="2"/>
  <c r="DB23" i="4"/>
  <c r="CN23" i="4"/>
  <c r="CR23" i="4"/>
  <c r="CZ23" i="4"/>
  <c r="BT23" i="4"/>
  <c r="DH23" i="4"/>
  <c r="CW23" i="4"/>
  <c r="AH23" i="4"/>
  <c r="CS23" i="4"/>
  <c r="CT23" i="4"/>
  <c r="DD23" i="4"/>
  <c r="CQ23" i="4"/>
  <c r="CO23" i="4"/>
  <c r="CP23" i="4"/>
  <c r="CY23" i="4"/>
  <c r="DA23" i="4"/>
  <c r="DF23" i="4"/>
  <c r="DC23" i="4"/>
  <c r="CK23" i="4"/>
  <c r="CL23" i="4"/>
  <c r="CM23" i="4"/>
  <c r="DG23" i="4"/>
  <c r="AJ23" i="4"/>
  <c r="CX23" i="4"/>
  <c r="CU23" i="4"/>
  <c r="CV23" i="4"/>
  <c r="DE23" i="4"/>
  <c r="Y20" i="4"/>
  <c r="Z20" i="4"/>
  <c r="AE6" i="4"/>
  <c r="BS6" i="4"/>
  <c r="AD6" i="4"/>
  <c r="CK57" i="4"/>
  <c r="CV57" i="4"/>
  <c r="AJ57" i="4"/>
  <c r="CR57" i="4"/>
  <c r="CN57" i="4"/>
  <c r="DA57" i="4"/>
  <c r="CW57" i="4"/>
  <c r="BT57" i="4"/>
  <c r="DD57" i="4"/>
  <c r="CZ57" i="4"/>
  <c r="CM57" i="4"/>
  <c r="DB57" i="4"/>
  <c r="DE57" i="4"/>
  <c r="DF57" i="4"/>
  <c r="CY57" i="4"/>
  <c r="CS57" i="4"/>
  <c r="CQ57" i="4"/>
  <c r="CX57" i="4"/>
  <c r="DG57" i="4"/>
  <c r="CL57" i="4"/>
  <c r="CU57" i="4"/>
  <c r="AH57" i="4"/>
  <c r="DH57" i="4"/>
  <c r="DC57" i="4"/>
  <c r="CT57" i="4"/>
  <c r="CO57" i="4"/>
  <c r="CP57" i="4"/>
  <c r="DS133" i="2"/>
  <c r="DR133" i="2"/>
  <c r="DT133" i="2"/>
  <c r="Z61" i="4"/>
  <c r="Y61" i="4"/>
  <c r="CJ118" i="4"/>
  <c r="AN118" i="4"/>
  <c r="EK118" i="4"/>
  <c r="DX221" i="2"/>
  <c r="DZ221" i="2" s="1"/>
  <c r="EA221" i="2" s="1"/>
  <c r="ED221" i="2"/>
  <c r="DN191" i="2"/>
  <c r="DP191" i="2" s="1"/>
  <c r="DQ191" i="2" s="1"/>
  <c r="DU191" i="2"/>
  <c r="DV191" i="2"/>
  <c r="DF191" i="2"/>
  <c r="EK86" i="4"/>
  <c r="DX289" i="2"/>
  <c r="DZ289" i="2" s="1"/>
  <c r="EA289" i="2" s="1"/>
  <c r="ED289" i="2"/>
  <c r="EK110" i="4"/>
  <c r="CJ110" i="4"/>
  <c r="AN110" i="4"/>
  <c r="DR51" i="2"/>
  <c r="DT51" i="2"/>
  <c r="DS51" i="2"/>
  <c r="EG119" i="4"/>
  <c r="Z38" i="4"/>
  <c r="Y38" i="4"/>
  <c r="AN143" i="4"/>
  <c r="EK143" i="4"/>
  <c r="CJ143" i="4"/>
  <c r="DB71" i="4"/>
  <c r="CR71" i="4"/>
  <c r="CU71" i="4"/>
  <c r="CV71" i="4"/>
  <c r="DE71" i="4"/>
  <c r="DG71" i="4"/>
  <c r="CO71" i="4"/>
  <c r="DH71" i="4"/>
  <c r="BT71" i="4"/>
  <c r="CN71" i="4"/>
  <c r="DF71" i="4"/>
  <c r="CQ71" i="4"/>
  <c r="CM71" i="4"/>
  <c r="AH71" i="4"/>
  <c r="DA71" i="4"/>
  <c r="CT71" i="4"/>
  <c r="DD71" i="4"/>
  <c r="CP71" i="4"/>
  <c r="CW71" i="4"/>
  <c r="CK71" i="4"/>
  <c r="CL71" i="4"/>
  <c r="CX71" i="4"/>
  <c r="CS71" i="4"/>
  <c r="CZ71" i="4"/>
  <c r="AJ71" i="4"/>
  <c r="CY71" i="4"/>
  <c r="DC71" i="4"/>
  <c r="CJ128" i="4"/>
  <c r="EK128" i="4"/>
  <c r="AN128" i="4"/>
  <c r="AE67" i="4"/>
  <c r="BS67" i="4"/>
  <c r="AD67" i="4"/>
  <c r="CJ63" i="4"/>
  <c r="EK63" i="4"/>
  <c r="AN63" i="4"/>
  <c r="DH26" i="4"/>
  <c r="CM26" i="4"/>
  <c r="DB26" i="4"/>
  <c r="DD26" i="4"/>
  <c r="DG26" i="4"/>
  <c r="CX26" i="4"/>
  <c r="AJ26" i="4"/>
  <c r="CW26" i="4"/>
  <c r="CN26" i="4"/>
  <c r="CT26" i="4"/>
  <c r="CU26" i="4"/>
  <c r="DC26" i="4"/>
  <c r="CZ26" i="4"/>
  <c r="AH26" i="4"/>
  <c r="BT26" i="4"/>
  <c r="CK26" i="4"/>
  <c r="CS26" i="4"/>
  <c r="CR26" i="4"/>
  <c r="DE26" i="4"/>
  <c r="CL26" i="4"/>
  <c r="CP26" i="4"/>
  <c r="CQ26" i="4"/>
  <c r="CO26" i="4"/>
  <c r="CV26" i="4"/>
  <c r="DF26" i="4"/>
  <c r="DA26" i="4"/>
  <c r="CY26" i="4"/>
  <c r="S105" i="4"/>
  <c r="AB105" i="4" s="1"/>
  <c r="AL105" i="4"/>
  <c r="BH105" i="4"/>
  <c r="P105" i="4"/>
  <c r="H158" i="4" a="1"/>
  <c r="H158" i="4" s="1"/>
  <c r="BS120" i="4"/>
  <c r="AD120" i="4"/>
  <c r="AE120" i="4"/>
  <c r="CJ120" i="4"/>
  <c r="EK120" i="4"/>
  <c r="AN120" i="4"/>
  <c r="P70" i="4"/>
  <c r="BH70" i="4"/>
  <c r="AL70" i="4"/>
  <c r="Q94" i="4"/>
  <c r="W94" i="4"/>
  <c r="Y94" i="4" s="1"/>
  <c r="BS133" i="4"/>
  <c r="AD133" i="4"/>
  <c r="AE133" i="4"/>
  <c r="ED37" i="2"/>
  <c r="DX37" i="2"/>
  <c r="DZ37" i="2" s="1"/>
  <c r="EA37" i="2" s="1"/>
  <c r="AE91" i="4"/>
  <c r="BS91" i="4"/>
  <c r="AD91" i="4"/>
  <c r="DS9" i="2"/>
  <c r="DR9" i="2"/>
  <c r="DT9" i="2"/>
  <c r="EK140" i="4"/>
  <c r="CJ140" i="4"/>
  <c r="AN140" i="4"/>
  <c r="Q116" i="4"/>
  <c r="W116" i="4"/>
  <c r="Y116" i="4" s="1"/>
  <c r="DB48" i="4"/>
  <c r="CS48" i="4"/>
  <c r="AH48" i="4"/>
  <c r="DC48" i="4"/>
  <c r="CL48" i="4"/>
  <c r="CR48" i="4"/>
  <c r="CW48" i="4"/>
  <c r="CQ48" i="4"/>
  <c r="AJ48" i="4"/>
  <c r="DE48" i="4"/>
  <c r="DF48" i="4"/>
  <c r="DH48" i="4"/>
  <c r="CO48" i="4"/>
  <c r="CX48" i="4"/>
  <c r="CK48" i="4"/>
  <c r="CV48" i="4"/>
  <c r="CN48" i="4"/>
  <c r="DA48" i="4"/>
  <c r="CM48" i="4"/>
  <c r="CP48" i="4"/>
  <c r="CT48" i="4"/>
  <c r="BT48" i="4"/>
  <c r="DD48" i="4"/>
  <c r="DG48" i="4"/>
  <c r="CY48" i="4"/>
  <c r="CZ48" i="4"/>
  <c r="CU48" i="4"/>
  <c r="BH14" i="4"/>
  <c r="AL14" i="4"/>
  <c r="P14" i="4"/>
  <c r="AE131" i="4"/>
  <c r="BS131" i="4"/>
  <c r="AD131" i="4"/>
  <c r="DX328" i="2"/>
  <c r="DZ328" i="2" s="1"/>
  <c r="EA328" i="2" s="1"/>
  <c r="ED328" i="2"/>
  <c r="CJ122" i="4"/>
  <c r="AN122" i="4"/>
  <c r="EK122" i="4"/>
  <c r="W78" i="4"/>
  <c r="Q78" i="4"/>
  <c r="ED210" i="2"/>
  <c r="DX210" i="2"/>
  <c r="DZ210" i="2" s="1"/>
  <c r="EA210" i="2" s="1"/>
  <c r="Q97" i="4"/>
  <c r="W97" i="4"/>
  <c r="AL20" i="4"/>
  <c r="P20" i="4"/>
  <c r="BH20" i="4"/>
  <c r="CJ127" i="4"/>
  <c r="AN127" i="4"/>
  <c r="EK127" i="4"/>
  <c r="AN129" i="4"/>
  <c r="CJ129" i="4"/>
  <c r="EK129" i="4"/>
  <c r="AN130" i="4"/>
  <c r="CJ130" i="4"/>
  <c r="EK130" i="4"/>
  <c r="DV221" i="2"/>
  <c r="DF221" i="2"/>
  <c r="EF221" i="2"/>
  <c r="DU221" i="2"/>
  <c r="DN221" i="2"/>
  <c r="DP221" i="2" s="1"/>
  <c r="DQ221" i="2" s="1"/>
  <c r="CL16" i="4"/>
  <c r="CO16" i="4"/>
  <c r="CR16" i="4"/>
  <c r="AJ16" i="4"/>
  <c r="CW16" i="4"/>
  <c r="DH16" i="4"/>
  <c r="DA16" i="4"/>
  <c r="CM16" i="4"/>
  <c r="CT16" i="4"/>
  <c r="DG16" i="4"/>
  <c r="CN16" i="4"/>
  <c r="CU16" i="4"/>
  <c r="DD16" i="4"/>
  <c r="CZ16" i="4"/>
  <c r="CQ16" i="4"/>
  <c r="CK16" i="4"/>
  <c r="DE16" i="4"/>
  <c r="CV16" i="4"/>
  <c r="DF16" i="4"/>
  <c r="DC16" i="4"/>
  <c r="CX16" i="4"/>
  <c r="DB16" i="4"/>
  <c r="CS16" i="4"/>
  <c r="AH16" i="4"/>
  <c r="BT16" i="4"/>
  <c r="CP16" i="4"/>
  <c r="CY16" i="4"/>
  <c r="ED191" i="2"/>
  <c r="DX191" i="2"/>
  <c r="DZ191" i="2" s="1"/>
  <c r="EA191" i="2" s="1"/>
  <c r="EK138" i="4"/>
  <c r="AN138" i="4"/>
  <c r="CJ138" i="4"/>
  <c r="BT54" i="4"/>
  <c r="CT54" i="4"/>
  <c r="CO54" i="4"/>
  <c r="AJ54" i="4"/>
  <c r="CM54" i="4"/>
  <c r="DB54" i="4"/>
  <c r="CW54" i="4"/>
  <c r="CV54" i="4"/>
  <c r="CZ54" i="4"/>
  <c r="DE54" i="4"/>
  <c r="DC54" i="4"/>
  <c r="CP54" i="4"/>
  <c r="CS54" i="4"/>
  <c r="CQ54" i="4"/>
  <c r="CR54" i="4"/>
  <c r="DF54" i="4"/>
  <c r="CX54" i="4"/>
  <c r="CY54" i="4"/>
  <c r="CL54" i="4"/>
  <c r="DH54" i="4"/>
  <c r="DG54" i="4"/>
  <c r="DD54" i="4"/>
  <c r="CU54" i="4"/>
  <c r="CN54" i="4"/>
  <c r="CK54" i="4"/>
  <c r="DA54" i="4"/>
  <c r="AH54" i="4"/>
  <c r="CO53" i="4"/>
  <c r="BT53" i="4"/>
  <c r="CN53" i="4"/>
  <c r="CT53" i="4"/>
  <c r="DE53" i="4"/>
  <c r="DC53" i="4"/>
  <c r="AH53" i="4"/>
  <c r="DG53" i="4"/>
  <c r="CW53" i="4"/>
  <c r="DF53" i="4"/>
  <c r="CU53" i="4"/>
  <c r="DA53" i="4"/>
  <c r="CV53" i="4"/>
  <c r="CY53" i="4"/>
  <c r="CR53" i="4"/>
  <c r="AJ53" i="4"/>
  <c r="CM53" i="4"/>
  <c r="CL53" i="4"/>
  <c r="CZ53" i="4"/>
  <c r="CK53" i="4"/>
  <c r="DD53" i="4"/>
  <c r="DB53" i="4"/>
  <c r="CX53" i="4"/>
  <c r="CP53" i="4"/>
  <c r="DH53" i="4"/>
  <c r="CQ53" i="4"/>
  <c r="CS53" i="4"/>
  <c r="BS10" i="4"/>
  <c r="AD10" i="4"/>
  <c r="AE10" i="4"/>
  <c r="BH110" i="4"/>
  <c r="AL110" i="4"/>
  <c r="S110" i="4"/>
  <c r="AB110" i="4" s="1"/>
  <c r="P110" i="4"/>
  <c r="CJ108" i="4"/>
  <c r="AN108" i="4"/>
  <c r="EK108" i="4"/>
  <c r="P44" i="4"/>
  <c r="AL44" i="4"/>
  <c r="BH44" i="4"/>
  <c r="DU248" i="2"/>
  <c r="DN248" i="2"/>
  <c r="DP248" i="2" s="1"/>
  <c r="DQ248" i="2" s="1"/>
  <c r="DF248" i="2"/>
  <c r="DV248" i="2"/>
  <c r="EF248" i="2"/>
  <c r="CP15" i="4"/>
  <c r="CW15" i="4"/>
  <c r="BT15" i="4"/>
  <c r="CN15" i="4"/>
  <c r="DC15" i="4"/>
  <c r="CS15" i="4"/>
  <c r="CK15" i="4"/>
  <c r="CY15" i="4"/>
  <c r="CV15" i="4"/>
  <c r="DB15" i="4"/>
  <c r="CZ15" i="4"/>
  <c r="CU15" i="4"/>
  <c r="CT15" i="4"/>
  <c r="CQ15" i="4"/>
  <c r="CM15" i="4"/>
  <c r="DH15" i="4"/>
  <c r="AJ15" i="4"/>
  <c r="CR15" i="4"/>
  <c r="CL15" i="4"/>
  <c r="CX15" i="4"/>
  <c r="DE15" i="4"/>
  <c r="AH15" i="4"/>
  <c r="DD15" i="4"/>
  <c r="CO15" i="4"/>
  <c r="DA15" i="4"/>
  <c r="DF15" i="4"/>
  <c r="DG15" i="4"/>
  <c r="EF7" i="2"/>
  <c r="BS84" i="4"/>
  <c r="AE84" i="4"/>
  <c r="AD84" i="4"/>
  <c r="Q90" i="4"/>
  <c r="W90" i="4"/>
  <c r="Y90" i="4" s="1"/>
  <c r="CV11" i="4"/>
  <c r="CT11" i="4"/>
  <c r="DF11" i="4"/>
  <c r="DA11" i="4"/>
  <c r="CO11" i="4"/>
  <c r="AH11" i="4"/>
  <c r="CZ11" i="4"/>
  <c r="CU11" i="4"/>
  <c r="CQ11" i="4"/>
  <c r="CR11" i="4"/>
  <c r="CW11" i="4"/>
  <c r="CS11" i="4"/>
  <c r="DE11" i="4"/>
  <c r="BT11" i="4"/>
  <c r="CX11" i="4"/>
  <c r="CM11" i="4"/>
  <c r="CL11" i="4"/>
  <c r="DC11" i="4"/>
  <c r="DH11" i="4"/>
  <c r="CY11" i="4"/>
  <c r="DD11" i="4"/>
  <c r="DB11" i="4"/>
  <c r="CK11" i="4"/>
  <c r="CP11" i="4"/>
  <c r="CN11" i="4"/>
  <c r="AJ11" i="4"/>
  <c r="DG11" i="4"/>
  <c r="CJ74" i="4"/>
  <c r="EK74" i="4"/>
  <c r="AN74" i="4"/>
  <c r="AL104" i="4"/>
  <c r="S104" i="4"/>
  <c r="AB104" i="4" s="1"/>
  <c r="BH104" i="4"/>
  <c r="P104" i="4"/>
  <c r="Q133" i="4"/>
  <c r="W133" i="4"/>
  <c r="Y133" i="4" s="1"/>
  <c r="BH40" i="4"/>
  <c r="P40" i="4"/>
  <c r="AL40" i="4"/>
  <c r="EK91" i="4"/>
  <c r="AN91" i="4"/>
  <c r="CJ91" i="4"/>
  <c r="P27" i="4"/>
  <c r="AL27" i="4"/>
  <c r="BH27" i="4"/>
  <c r="AL140" i="4"/>
  <c r="S140" i="4"/>
  <c r="AB140" i="4" s="1"/>
  <c r="P140" i="4"/>
  <c r="BH140" i="4"/>
  <c r="BS116" i="4"/>
  <c r="AD116" i="4"/>
  <c r="AE116" i="4"/>
  <c r="CJ73" i="4"/>
  <c r="AN73" i="4"/>
  <c r="EK73" i="4"/>
  <c r="BH60" i="4"/>
  <c r="AL60" i="4"/>
  <c r="P60" i="4"/>
  <c r="BH136" i="4"/>
  <c r="S136" i="4"/>
  <c r="AB136" i="4" s="1"/>
  <c r="AL136" i="4"/>
  <c r="P136" i="4"/>
  <c r="DU328" i="2"/>
  <c r="DN328" i="2"/>
  <c r="DP328" i="2" s="1"/>
  <c r="DQ328" i="2" s="1"/>
  <c r="DV328" i="2"/>
  <c r="DF328" i="2"/>
  <c r="EF328" i="2"/>
  <c r="DN210" i="2"/>
  <c r="DP210" i="2" s="1"/>
  <c r="DQ210" i="2" s="1"/>
  <c r="DU210" i="2"/>
  <c r="DF210" i="2"/>
  <c r="DV210" i="2"/>
  <c r="EF210" i="2"/>
  <c r="EK97" i="4"/>
  <c r="CJ97" i="4"/>
  <c r="AN97" i="4"/>
  <c r="AH20" i="4"/>
  <c r="DA20" i="4"/>
  <c r="CT20" i="4"/>
  <c r="CU20" i="4"/>
  <c r="DD20" i="4"/>
  <c r="CX20" i="4"/>
  <c r="DE20" i="4"/>
  <c r="CW20" i="4"/>
  <c r="CR20" i="4"/>
  <c r="DB20" i="4"/>
  <c r="DF20" i="4"/>
  <c r="AJ20" i="4"/>
  <c r="CM20" i="4"/>
  <c r="CS20" i="4"/>
  <c r="CQ20" i="4"/>
  <c r="CV20" i="4"/>
  <c r="CO20" i="4"/>
  <c r="DH20" i="4"/>
  <c r="DG20" i="4"/>
  <c r="CN20" i="4"/>
  <c r="CZ20" i="4"/>
  <c r="BT20" i="4"/>
  <c r="CP20" i="4"/>
  <c r="CY20" i="4"/>
  <c r="CL20" i="4"/>
  <c r="CK20" i="4"/>
  <c r="DC20" i="4"/>
  <c r="AN112" i="4"/>
  <c r="EK112" i="4"/>
  <c r="CJ112" i="4"/>
  <c r="AL132" i="4"/>
  <c r="P132" i="4"/>
  <c r="BH132" i="4"/>
  <c r="DE57" i="2"/>
  <c r="DD57" i="2"/>
  <c r="Q127" i="4"/>
  <c r="W127" i="4"/>
  <c r="Y127" i="4" s="1"/>
  <c r="AD127" i="4"/>
  <c r="AE127" i="4"/>
  <c r="BS127" i="4"/>
  <c r="EK125" i="4"/>
  <c r="AN125" i="4"/>
  <c r="CJ125" i="4"/>
  <c r="W101" i="4"/>
  <c r="Q101" i="4"/>
  <c r="BS7" i="4"/>
  <c r="AE7" i="4"/>
  <c r="AD7" i="4"/>
  <c r="EL86" i="4" a="1"/>
  <c r="EL86" i="4" s="1"/>
  <c r="ET86" i="4" a="1"/>
  <c r="ET86" i="4" s="1"/>
  <c r="EV86" i="4" a="1"/>
  <c r="EV86" i="4" s="1"/>
  <c r="ES86" i="4" a="1"/>
  <c r="ES86" i="4" s="1"/>
  <c r="EO86" i="4" a="1"/>
  <c r="EO86" i="4" s="1"/>
  <c r="EN86" i="4" a="1"/>
  <c r="EN86" i="4" s="1"/>
  <c r="EU86" i="4" a="1"/>
  <c r="EU86" i="4" s="1"/>
  <c r="EP86" i="4" a="1"/>
  <c r="EP86" i="4" s="1"/>
  <c r="EQ86" i="4" a="1"/>
  <c r="EQ86" i="4" s="1"/>
  <c r="ER86" i="4" a="1"/>
  <c r="ER86" i="4" s="1"/>
  <c r="EW86" i="4" a="1"/>
  <c r="EW86" i="4" s="1"/>
  <c r="EM86" i="4" a="1"/>
  <c r="EM86" i="4" s="1"/>
  <c r="AE51" i="4"/>
  <c r="BS51" i="4"/>
  <c r="AD51" i="4"/>
  <c r="CY123" i="4"/>
  <c r="DA123" i="4"/>
  <c r="CS123" i="4"/>
  <c r="CM123" i="4"/>
  <c r="DH123" i="4"/>
  <c r="CR123" i="4"/>
  <c r="CT123" i="4"/>
  <c r="BT123" i="4"/>
  <c r="CL123" i="4"/>
  <c r="CV123" i="4"/>
  <c r="AH123" i="4"/>
  <c r="CK123" i="4"/>
  <c r="DG123" i="4"/>
  <c r="CN123" i="4"/>
  <c r="CX123" i="4"/>
  <c r="AJ123" i="4"/>
  <c r="DB123" i="4"/>
  <c r="CQ123" i="4"/>
  <c r="DE123" i="4"/>
  <c r="CP123" i="4"/>
  <c r="CW123" i="4"/>
  <c r="DD123" i="4"/>
  <c r="CU123" i="4"/>
  <c r="DF123" i="4"/>
  <c r="CO123" i="4"/>
  <c r="CZ123" i="4"/>
  <c r="DC123" i="4"/>
  <c r="AD107" i="4"/>
  <c r="AE107" i="4"/>
  <c r="BS107" i="4"/>
  <c r="DX248" i="2"/>
  <c r="DZ248" i="2" s="1"/>
  <c r="EA248" i="2" s="1"/>
  <c r="ED248" i="2"/>
  <c r="W63" i="4"/>
  <c r="Y63" i="4" s="1"/>
  <c r="Q63" i="4"/>
  <c r="EF191" i="2"/>
  <c r="BS89" i="4"/>
  <c r="AD89" i="4"/>
  <c r="AE89" i="4"/>
  <c r="AN88" i="4"/>
  <c r="EK88" i="4"/>
  <c r="CJ88" i="4"/>
  <c r="AD37" i="4"/>
  <c r="AE37" i="4"/>
  <c r="BS37" i="4"/>
  <c r="CJ89" i="4"/>
  <c r="AN89" i="4"/>
  <c r="EK89" i="4"/>
  <c r="P53" i="4"/>
  <c r="BH53" i="4"/>
  <c r="AL53" i="4"/>
  <c r="DD139" i="2"/>
  <c r="DE139" i="2"/>
  <c r="DE173" i="2"/>
  <c r="DD173" i="2"/>
  <c r="AE62" i="4"/>
  <c r="AD62" i="4"/>
  <c r="BS62" i="4"/>
  <c r="AL18" i="4"/>
  <c r="P18" i="4"/>
  <c r="BH18" i="4"/>
  <c r="BS77" i="4"/>
  <c r="AE77" i="4"/>
  <c r="AD77" i="4"/>
  <c r="W74" i="4"/>
  <c r="Y74" i="4" s="1"/>
  <c r="Q74" i="4"/>
  <c r="EK94" i="4"/>
  <c r="AN94" i="4"/>
  <c r="CJ94" i="4"/>
  <c r="BS79" i="4"/>
  <c r="AE79" i="4"/>
  <c r="AD79" i="4"/>
  <c r="AL106" i="4"/>
  <c r="BH106" i="4"/>
  <c r="S106" i="4"/>
  <c r="AB106" i="4" s="1"/>
  <c r="P106" i="4"/>
  <c r="AN137" i="4"/>
  <c r="EK137" i="4"/>
  <c r="CJ137" i="4"/>
  <c r="Z27" i="4"/>
  <c r="Y27" i="4"/>
  <c r="CJ75" i="4"/>
  <c r="EK75" i="4"/>
  <c r="AN75" i="4"/>
  <c r="EG65" i="4"/>
  <c r="CR41" i="4"/>
  <c r="DG41" i="4"/>
  <c r="CQ41" i="4"/>
  <c r="CV41" i="4"/>
  <c r="DE41" i="4"/>
  <c r="CP41" i="4"/>
  <c r="BT41" i="4"/>
  <c r="AH41" i="4"/>
  <c r="AJ41" i="4"/>
  <c r="CU41" i="4"/>
  <c r="CY41" i="4"/>
  <c r="CN41" i="4"/>
  <c r="CL41" i="4"/>
  <c r="DB41" i="4"/>
  <c r="CZ41" i="4"/>
  <c r="DC41" i="4"/>
  <c r="CO41" i="4"/>
  <c r="CS41" i="4"/>
  <c r="CX41" i="4"/>
  <c r="CK41" i="4"/>
  <c r="DH41" i="4"/>
  <c r="DD41" i="4"/>
  <c r="DF41" i="4"/>
  <c r="CM41" i="4"/>
  <c r="DA41" i="4"/>
  <c r="CW41" i="4"/>
  <c r="CT41" i="4"/>
  <c r="AE22" i="4"/>
  <c r="AD22" i="4"/>
  <c r="BS22" i="4"/>
  <c r="W73" i="4"/>
  <c r="Y73" i="4" s="1"/>
  <c r="Q73" i="4"/>
  <c r="DT143" i="2"/>
  <c r="DR143" i="2"/>
  <c r="DS143" i="2"/>
  <c r="BS21" i="4"/>
  <c r="AD21" i="4"/>
  <c r="AE21" i="4"/>
  <c r="EC149" i="2"/>
  <c r="EB149" i="2"/>
  <c r="EE149" i="2"/>
  <c r="ET64" i="4" a="1"/>
  <c r="ET64" i="4" s="1"/>
  <c r="EP64" i="4" a="1"/>
  <c r="EP64" i="4" s="1"/>
  <c r="EN64" i="4" a="1"/>
  <c r="EN64" i="4" s="1"/>
  <c r="EV64" i="4" a="1"/>
  <c r="EV64" i="4" s="1"/>
  <c r="EO64" i="4" a="1"/>
  <c r="EO64" i="4" s="1"/>
  <c r="EM64" i="4" a="1"/>
  <c r="EM64" i="4" s="1"/>
  <c r="EU64" i="4" a="1"/>
  <c r="EU64" i="4" s="1"/>
  <c r="ES64" i="4" a="1"/>
  <c r="ES64" i="4" s="1"/>
  <c r="EL64" i="4" a="1"/>
  <c r="EL64" i="4" s="1"/>
  <c r="ER64" i="4" a="1"/>
  <c r="ER64" i="4" s="1"/>
  <c r="EQ64" i="4" a="1"/>
  <c r="EQ64" i="4" s="1"/>
  <c r="EW64" i="4" a="1"/>
  <c r="EW64" i="4" s="1"/>
  <c r="AE129" i="4"/>
  <c r="BS129" i="4"/>
  <c r="AD129" i="4"/>
  <c r="DD102" i="2"/>
  <c r="DE102" i="2"/>
  <c r="P46" i="4"/>
  <c r="AL46" i="4"/>
  <c r="BH46" i="4"/>
  <c r="EK101" i="4"/>
  <c r="CJ101" i="4"/>
  <c r="AN101" i="4"/>
  <c r="BH26" i="4"/>
  <c r="P26" i="4"/>
  <c r="AL26" i="4"/>
  <c r="EB17" i="2"/>
  <c r="EC17" i="2"/>
  <c r="EE17" i="2"/>
  <c r="DU305" i="2"/>
  <c r="DN305" i="2"/>
  <c r="DP305" i="2" s="1"/>
  <c r="DQ305" i="2" s="1"/>
  <c r="EF305" i="2"/>
  <c r="DF305" i="2"/>
  <c r="DV305" i="2"/>
  <c r="AN121" i="4"/>
  <c r="EK121" i="4"/>
  <c r="CJ121" i="4"/>
  <c r="EK114" i="4"/>
  <c r="AN114" i="4"/>
  <c r="CJ114" i="4"/>
  <c r="P114" i="4"/>
  <c r="AL114" i="4"/>
  <c r="BH114" i="4"/>
  <c r="S114" i="4"/>
  <c r="AB114" i="4" s="1"/>
  <c r="DS17" i="2"/>
  <c r="DR17" i="2"/>
  <c r="DT17" i="2"/>
  <c r="EK83" i="4"/>
  <c r="AN83" i="4"/>
  <c r="CJ83" i="4"/>
  <c r="W83" i="4"/>
  <c r="Q83" i="4"/>
  <c r="W124" i="4"/>
  <c r="Y124" i="4" s="1"/>
  <c r="Q124" i="4"/>
  <c r="BH15" i="4"/>
  <c r="P15" i="4"/>
  <c r="AL15" i="4"/>
  <c r="EF37" i="2"/>
  <c r="W98" i="4"/>
  <c r="Y98" i="4" s="1"/>
  <c r="Q98" i="4"/>
  <c r="CJ141" i="4"/>
  <c r="AN141" i="4"/>
  <c r="EK141" i="4"/>
  <c r="CK61" i="4"/>
  <c r="CL61" i="4"/>
  <c r="AH61" i="4"/>
  <c r="CP61" i="4"/>
  <c r="CV61" i="4"/>
  <c r="DF61" i="4"/>
  <c r="DH61" i="4"/>
  <c r="CX61" i="4"/>
  <c r="DE61" i="4"/>
  <c r="DG61" i="4"/>
  <c r="AJ61" i="4"/>
  <c r="CZ61" i="4"/>
  <c r="DA61" i="4"/>
  <c r="CT61" i="4"/>
  <c r="CY61" i="4"/>
  <c r="DC61" i="4"/>
  <c r="CU61" i="4"/>
  <c r="CW61" i="4"/>
  <c r="CQ61" i="4"/>
  <c r="DD61" i="4"/>
  <c r="CS61" i="4"/>
  <c r="DB61" i="4"/>
  <c r="BT61" i="4"/>
  <c r="CR61" i="4"/>
  <c r="CN61" i="4"/>
  <c r="CM61" i="4"/>
  <c r="CO61" i="4"/>
  <c r="AE92" i="4"/>
  <c r="BS92" i="4"/>
  <c r="AD92" i="4"/>
  <c r="ED301" i="2"/>
  <c r="DX301" i="2"/>
  <c r="DZ301" i="2" s="1"/>
  <c r="EA301" i="2" s="1"/>
  <c r="AE117" i="4"/>
  <c r="AD117" i="4"/>
  <c r="BS117" i="4"/>
  <c r="BH57" i="4"/>
  <c r="P57" i="4"/>
  <c r="AL57" i="4"/>
  <c r="EK81" i="4"/>
  <c r="AN81" i="4"/>
  <c r="CJ81" i="4"/>
  <c r="W92" i="4"/>
  <c r="Y92" i="4" s="1"/>
  <c r="Q92" i="4"/>
  <c r="AN93" i="4"/>
  <c r="EK93" i="4"/>
  <c r="CJ93" i="4"/>
  <c r="AE93" i="4"/>
  <c r="BS93" i="4"/>
  <c r="AD93" i="4"/>
  <c r="AE88" i="4"/>
  <c r="AD88" i="4"/>
  <c r="BS88" i="4"/>
  <c r="BS109" i="4"/>
  <c r="AD109" i="4"/>
  <c r="AE109" i="4"/>
  <c r="DU198" i="2"/>
  <c r="DN198" i="2"/>
  <c r="DP198" i="2" s="1"/>
  <c r="DQ198" i="2" s="1"/>
  <c r="DF198" i="2"/>
  <c r="DV198" i="2"/>
  <c r="EK80" i="4"/>
  <c r="CJ80" i="4"/>
  <c r="AN80" i="4"/>
  <c r="AL59" i="4"/>
  <c r="BH59" i="4"/>
  <c r="P59" i="4"/>
  <c r="CJ117" i="4"/>
  <c r="EK117" i="4"/>
  <c r="AN117" i="4"/>
  <c r="EK77" i="4"/>
  <c r="AN77" i="4"/>
  <c r="CJ77" i="4"/>
  <c r="P28" i="4"/>
  <c r="BH28" i="4"/>
  <c r="AL28" i="4"/>
  <c r="AN82" i="4"/>
  <c r="CJ82" i="4"/>
  <c r="EK82" i="4"/>
  <c r="AH14" i="4"/>
  <c r="CW14" i="4"/>
  <c r="CP14" i="4"/>
  <c r="CV14" i="4"/>
  <c r="CU14" i="4"/>
  <c r="CR14" i="4"/>
  <c r="CM14" i="4"/>
  <c r="AJ14" i="4"/>
  <c r="DA14" i="4"/>
  <c r="BT14" i="4"/>
  <c r="DG14" i="4"/>
  <c r="CQ14" i="4"/>
  <c r="CO14" i="4"/>
  <c r="DB14" i="4"/>
  <c r="DF14" i="4"/>
  <c r="CX14" i="4"/>
  <c r="CN14" i="4"/>
  <c r="DD14" i="4"/>
  <c r="DC14" i="4"/>
  <c r="CY14" i="4"/>
  <c r="CK14" i="4"/>
  <c r="DH14" i="4"/>
  <c r="CL14" i="4"/>
  <c r="DE14" i="4"/>
  <c r="CS14" i="4"/>
  <c r="CT14" i="4"/>
  <c r="CZ14" i="4"/>
  <c r="AN104" i="4"/>
  <c r="CJ104" i="4"/>
  <c r="EK104" i="4"/>
  <c r="DN182" i="2"/>
  <c r="DP182" i="2" s="1"/>
  <c r="DQ182" i="2" s="1"/>
  <c r="DU182" i="2"/>
  <c r="DF182" i="2"/>
  <c r="EF182" i="2"/>
  <c r="DV182" i="2"/>
  <c r="S87" i="4"/>
  <c r="AB87" i="4" s="1"/>
  <c r="BH87" i="4"/>
  <c r="AL87" i="4"/>
  <c r="P87" i="4"/>
  <c r="BH137" i="4"/>
  <c r="S137" i="4"/>
  <c r="AB137" i="4" s="1"/>
  <c r="P137" i="4"/>
  <c r="AL137" i="4"/>
  <c r="BH11" i="4"/>
  <c r="P11" i="4"/>
  <c r="AL11" i="4"/>
  <c r="BH72" i="4"/>
  <c r="AL72" i="4"/>
  <c r="P72" i="4"/>
  <c r="BH68" i="4"/>
  <c r="P68" i="4"/>
  <c r="AL68" i="4"/>
  <c r="W75" i="4"/>
  <c r="Y75" i="4" s="1"/>
  <c r="Q75" i="4"/>
  <c r="BH49" i="4"/>
  <c r="AL49" i="4"/>
  <c r="P49" i="4"/>
  <c r="AD33" i="4"/>
  <c r="BS33" i="4"/>
  <c r="AE33" i="4"/>
  <c r="W122" i="4"/>
  <c r="Y122" i="4" s="1"/>
  <c r="Q122" i="4"/>
  <c r="AD78" i="4"/>
  <c r="BS78" i="4"/>
  <c r="AE78" i="4"/>
  <c r="AE97" i="4"/>
  <c r="AD97" i="4"/>
  <c r="BS97" i="4"/>
  <c r="BH64" i="4"/>
  <c r="S64" i="4"/>
  <c r="AL64" i="4"/>
  <c r="Z39" i="4"/>
  <c r="Y39" i="4"/>
  <c r="AE56" i="4"/>
  <c r="BS56" i="4"/>
  <c r="AD56" i="4"/>
  <c r="BH52" i="4"/>
  <c r="P52" i="4"/>
  <c r="AL52" i="4"/>
  <c r="AD125" i="4"/>
  <c r="AE125" i="4"/>
  <c r="BS125" i="4"/>
  <c r="AE42" i="4"/>
  <c r="AD42" i="4"/>
  <c r="BS42" i="4"/>
  <c r="AE101" i="4"/>
  <c r="BS101" i="4"/>
  <c r="AD101" i="4"/>
  <c r="DS313" i="2"/>
  <c r="DT313" i="2"/>
  <c r="DR313" i="2"/>
  <c r="S100" i="4"/>
  <c r="AB100" i="4" s="1"/>
  <c r="BH100" i="4"/>
  <c r="AL100" i="4"/>
  <c r="P100" i="4"/>
  <c r="Z26" i="4"/>
  <c r="Y26" i="4"/>
  <c r="DE166" i="2"/>
  <c r="DD166" i="2"/>
  <c r="ED305" i="2"/>
  <c r="DX305" i="2"/>
  <c r="DZ305" i="2" s="1"/>
  <c r="EA305" i="2" s="1"/>
  <c r="W121" i="4"/>
  <c r="Y121" i="4" s="1"/>
  <c r="Q121" i="4"/>
  <c r="DD70" i="4"/>
  <c r="AJ70" i="4"/>
  <c r="CO70" i="4"/>
  <c r="CQ70" i="4"/>
  <c r="CU70" i="4"/>
  <c r="CP70" i="4"/>
  <c r="CS70" i="4"/>
  <c r="CM70" i="4"/>
  <c r="DE70" i="4"/>
  <c r="AH70" i="4"/>
  <c r="CY70" i="4"/>
  <c r="DH70" i="4"/>
  <c r="DA70" i="4"/>
  <c r="CN70" i="4"/>
  <c r="CZ70" i="4"/>
  <c r="DB70" i="4"/>
  <c r="DG70" i="4"/>
  <c r="CW70" i="4"/>
  <c r="CV70" i="4"/>
  <c r="CL70" i="4"/>
  <c r="DC70" i="4"/>
  <c r="CT70" i="4"/>
  <c r="CR70" i="4"/>
  <c r="DF70" i="4"/>
  <c r="CK70" i="4"/>
  <c r="BT70" i="4"/>
  <c r="CX70" i="4"/>
  <c r="AE63" i="4"/>
  <c r="AD63" i="4"/>
  <c r="BS63" i="4"/>
  <c r="Z15" i="4"/>
  <c r="Y15" i="4"/>
  <c r="EG66" i="4"/>
  <c r="DT55" i="2" l="1"/>
  <c r="DR55" i="2"/>
  <c r="DS55" i="2"/>
  <c r="DX236" i="2"/>
  <c r="DZ236" i="2" s="1"/>
  <c r="EA236" i="2" s="1"/>
  <c r="ED236" i="2"/>
  <c r="DT334" i="2"/>
  <c r="DR334" i="2"/>
  <c r="DS334" i="2"/>
  <c r="DV245" i="2"/>
  <c r="EF245" i="2"/>
  <c r="DF245" i="2"/>
  <c r="DU245" i="2"/>
  <c r="DN245" i="2"/>
  <c r="DP245" i="2" s="1"/>
  <c r="DQ245" i="2" s="1"/>
  <c r="ED275" i="2"/>
  <c r="DX275" i="2"/>
  <c r="DZ275" i="2" s="1"/>
  <c r="EA275" i="2" s="1"/>
  <c r="EF152" i="2"/>
  <c r="DN152" i="2"/>
  <c r="DP152" i="2" s="1"/>
  <c r="DQ152" i="2" s="1"/>
  <c r="DV152" i="2"/>
  <c r="DF152" i="2"/>
  <c r="DU152" i="2"/>
  <c r="EB277" i="2"/>
  <c r="EE277" i="2"/>
  <c r="EC277" i="2"/>
  <c r="DU231" i="2"/>
  <c r="DN231" i="2"/>
  <c r="DP231" i="2" s="1"/>
  <c r="DQ231" i="2" s="1"/>
  <c r="EF231" i="2"/>
  <c r="DF231" i="2"/>
  <c r="DV231" i="2"/>
  <c r="DF180" i="2"/>
  <c r="DV180" i="2"/>
  <c r="DN180" i="2"/>
  <c r="DP180" i="2" s="1"/>
  <c r="DQ180" i="2" s="1"/>
  <c r="DU180" i="2"/>
  <c r="DV236" i="2"/>
  <c r="DF236" i="2"/>
  <c r="EF236" i="2"/>
  <c r="DU236" i="2"/>
  <c r="DN236" i="2"/>
  <c r="DP236" i="2" s="1"/>
  <c r="DQ236" i="2" s="1"/>
  <c r="EF318" i="2"/>
  <c r="DV318" i="2"/>
  <c r="DN318" i="2"/>
  <c r="DP318" i="2" s="1"/>
  <c r="DQ318" i="2" s="1"/>
  <c r="DF318" i="2"/>
  <c r="DU318" i="2"/>
  <c r="EF178" i="2"/>
  <c r="DV178" i="2"/>
  <c r="DF178" i="2"/>
  <c r="DN178" i="2"/>
  <c r="DP178" i="2" s="1"/>
  <c r="DQ178" i="2" s="1"/>
  <c r="DU178" i="2"/>
  <c r="DS325" i="2"/>
  <c r="DR325" i="2"/>
  <c r="DT325" i="2"/>
  <c r="DS277" i="2"/>
  <c r="DR277" i="2"/>
  <c r="DT277" i="2"/>
  <c r="DX152" i="2"/>
  <c r="DZ152" i="2" s="1"/>
  <c r="EA152" i="2" s="1"/>
  <c r="ED152" i="2"/>
  <c r="DN241" i="2"/>
  <c r="DP241" i="2" s="1"/>
  <c r="DQ241" i="2" s="1"/>
  <c r="EF241" i="2"/>
  <c r="DU241" i="2"/>
  <c r="DF241" i="2"/>
  <c r="DV241" i="2"/>
  <c r="DX340" i="2"/>
  <c r="DZ340" i="2" s="1"/>
  <c r="EA340" i="2" s="1"/>
  <c r="ED340" i="2"/>
  <c r="DV88" i="2"/>
  <c r="DU30" i="2"/>
  <c r="EF30" i="2"/>
  <c r="DN30" i="2"/>
  <c r="DP30" i="2" s="1"/>
  <c r="DQ30" i="2" s="1"/>
  <c r="DV30" i="2"/>
  <c r="DF30" i="2"/>
  <c r="ED318" i="2"/>
  <c r="DX318" i="2"/>
  <c r="DZ318" i="2" s="1"/>
  <c r="EA318" i="2" s="1"/>
  <c r="DF156" i="2"/>
  <c r="DV156" i="2"/>
  <c r="DU156" i="2"/>
  <c r="DN156" i="2"/>
  <c r="DP156" i="2" s="1"/>
  <c r="DQ156" i="2" s="1"/>
  <c r="ED178" i="2"/>
  <c r="DX178" i="2"/>
  <c r="DZ178" i="2" s="1"/>
  <c r="EA178" i="2" s="1"/>
  <c r="ED75" i="2"/>
  <c r="DX75" i="2"/>
  <c r="DZ75" i="2" s="1"/>
  <c r="EA75" i="2" s="1"/>
  <c r="DT123" i="2"/>
  <c r="DR123" i="2"/>
  <c r="DS123" i="2"/>
  <c r="DV26" i="2"/>
  <c r="DF26" i="2"/>
  <c r="EF26" i="2"/>
  <c r="DN26" i="2"/>
  <c r="DP26" i="2" s="1"/>
  <c r="DQ26" i="2" s="1"/>
  <c r="DU26" i="2"/>
  <c r="ED241" i="2"/>
  <c r="DX241" i="2"/>
  <c r="DZ241" i="2" s="1"/>
  <c r="EA241" i="2" s="1"/>
  <c r="EB55" i="2"/>
  <c r="EC55" i="2"/>
  <c r="EE55" i="2"/>
  <c r="DF340" i="2"/>
  <c r="DU340" i="2"/>
  <c r="DV340" i="2"/>
  <c r="DN340" i="2"/>
  <c r="DP340" i="2" s="1"/>
  <c r="DQ340" i="2" s="1"/>
  <c r="EF340" i="2"/>
  <c r="EE25" i="4" a="1"/>
  <c r="EE25" i="4" s="1"/>
  <c r="ED30" i="2"/>
  <c r="DX30" i="2"/>
  <c r="DZ30" i="2" s="1"/>
  <c r="EA30" i="2" s="1"/>
  <c r="EE60" i="2"/>
  <c r="EC60" i="2"/>
  <c r="EB60" i="2"/>
  <c r="ED156" i="2"/>
  <c r="DX156" i="2"/>
  <c r="DZ156" i="2" s="1"/>
  <c r="EA156" i="2" s="1"/>
  <c r="EC123" i="2"/>
  <c r="EE123" i="2"/>
  <c r="EB123" i="2"/>
  <c r="DV75" i="2"/>
  <c r="DU75" i="2"/>
  <c r="DN75" i="2"/>
  <c r="DP75" i="2" s="1"/>
  <c r="DQ75" i="2" s="1"/>
  <c r="DF75" i="2"/>
  <c r="DS4" i="2"/>
  <c r="DT4" i="2"/>
  <c r="DR4" i="2"/>
  <c r="ED26" i="2"/>
  <c r="DX26" i="2"/>
  <c r="DZ26" i="2" s="1"/>
  <c r="EA26" i="2" s="1"/>
  <c r="EE4" i="2"/>
  <c r="EB4" i="2"/>
  <c r="EC4" i="2"/>
  <c r="EC147" i="2"/>
  <c r="EE147" i="2"/>
  <c r="EB147" i="2"/>
  <c r="DN43" i="2"/>
  <c r="DP43" i="2" s="1"/>
  <c r="DQ43" i="2" s="1"/>
  <c r="DU43" i="2"/>
  <c r="DV43" i="2"/>
  <c r="DF43" i="2"/>
  <c r="DU88" i="2"/>
  <c r="DF229" i="2"/>
  <c r="DN229" i="2"/>
  <c r="DP229" i="2" s="1"/>
  <c r="DQ229" i="2" s="1"/>
  <c r="DU229" i="2"/>
  <c r="DV229" i="2"/>
  <c r="EF229" i="2"/>
  <c r="DS60" i="2"/>
  <c r="DR60" i="2"/>
  <c r="DT60" i="2"/>
  <c r="EF156" i="2"/>
  <c r="EF116" i="2"/>
  <c r="DF116" i="2"/>
  <c r="DU116" i="2"/>
  <c r="DN116" i="2"/>
  <c r="DP116" i="2" s="1"/>
  <c r="DQ116" i="2" s="1"/>
  <c r="DV116" i="2"/>
  <c r="DR121" i="2"/>
  <c r="DS121" i="2"/>
  <c r="DT121" i="2"/>
  <c r="EC121" i="2"/>
  <c r="EE121" i="2"/>
  <c r="EB121" i="2"/>
  <c r="ED43" i="2"/>
  <c r="DX43" i="2"/>
  <c r="DZ43" i="2" s="1"/>
  <c r="EA43" i="2" s="1"/>
  <c r="DX229" i="2"/>
  <c r="DZ229" i="2" s="1"/>
  <c r="EA229" i="2" s="1"/>
  <c r="ED229" i="2"/>
  <c r="DX115" i="2"/>
  <c r="DZ115" i="2" s="1"/>
  <c r="EA115" i="2" s="1"/>
  <c r="ED115" i="2"/>
  <c r="DS201" i="2"/>
  <c r="DR201" i="2"/>
  <c r="DT201" i="2"/>
  <c r="EB334" i="2"/>
  <c r="EC334" i="2"/>
  <c r="EE334" i="2"/>
  <c r="DF100" i="2"/>
  <c r="DN100" i="2"/>
  <c r="DP100" i="2" s="1"/>
  <c r="DQ100" i="2" s="1"/>
  <c r="DU100" i="2"/>
  <c r="EF100" i="2"/>
  <c r="DV100" i="2"/>
  <c r="EF75" i="2"/>
  <c r="DX116" i="2"/>
  <c r="DZ116" i="2" s="1"/>
  <c r="EA116" i="2" s="1"/>
  <c r="ED116" i="2"/>
  <c r="EE113" i="2"/>
  <c r="EB113" i="2"/>
  <c r="EC113" i="2"/>
  <c r="DF312" i="2"/>
  <c r="DN312" i="2"/>
  <c r="DP312" i="2" s="1"/>
  <c r="DQ312" i="2" s="1"/>
  <c r="DV312" i="2"/>
  <c r="DU312" i="2"/>
  <c r="EF312" i="2"/>
  <c r="DV132" i="2"/>
  <c r="DF132" i="2"/>
  <c r="DN132" i="2"/>
  <c r="DP132" i="2" s="1"/>
  <c r="DQ132" i="2" s="1"/>
  <c r="DU132" i="2"/>
  <c r="EF10" i="2"/>
  <c r="DF10" i="2"/>
  <c r="DV10" i="2"/>
  <c r="DN10" i="2"/>
  <c r="DP10" i="2" s="1"/>
  <c r="DQ10" i="2" s="1"/>
  <c r="DU10" i="2"/>
  <c r="DN315" i="2"/>
  <c r="DP315" i="2" s="1"/>
  <c r="DQ315" i="2" s="1"/>
  <c r="DU315" i="2"/>
  <c r="DF315" i="2"/>
  <c r="DV315" i="2"/>
  <c r="EF315" i="2"/>
  <c r="EF115" i="2"/>
  <c r="DN115" i="2"/>
  <c r="DP115" i="2" s="1"/>
  <c r="DQ115" i="2" s="1"/>
  <c r="DU115" i="2"/>
  <c r="DF115" i="2"/>
  <c r="DV115" i="2"/>
  <c r="ED141" i="2"/>
  <c r="DX141" i="2"/>
  <c r="DZ141" i="2" s="1"/>
  <c r="EA141" i="2" s="1"/>
  <c r="DS165" i="2"/>
  <c r="DT165" i="2"/>
  <c r="DR165" i="2"/>
  <c r="DX100" i="2"/>
  <c r="DZ100" i="2" s="1"/>
  <c r="EA100" i="2" s="1"/>
  <c r="ED100" i="2"/>
  <c r="DX244" i="2"/>
  <c r="DZ244" i="2" s="1"/>
  <c r="EA244" i="2" s="1"/>
  <c r="ED244" i="2"/>
  <c r="DS113" i="2"/>
  <c r="DR113" i="2"/>
  <c r="DT113" i="2"/>
  <c r="EF180" i="2"/>
  <c r="DX312" i="2"/>
  <c r="DZ312" i="2" s="1"/>
  <c r="EA312" i="2" s="1"/>
  <c r="ED312" i="2"/>
  <c r="DS275" i="2"/>
  <c r="DR275" i="2"/>
  <c r="DT275" i="2"/>
  <c r="DX132" i="2"/>
  <c r="DZ132" i="2" s="1"/>
  <c r="EA132" i="2" s="1"/>
  <c r="ED132" i="2"/>
  <c r="DS147" i="2"/>
  <c r="DT147" i="2"/>
  <c r="DR147" i="2"/>
  <c r="ED10" i="2"/>
  <c r="DX10" i="2"/>
  <c r="DZ10" i="2" s="1"/>
  <c r="EA10" i="2" s="1"/>
  <c r="EC201" i="2"/>
  <c r="EB201" i="2"/>
  <c r="EE201" i="2"/>
  <c r="DX315" i="2"/>
  <c r="DZ315" i="2" s="1"/>
  <c r="EA315" i="2" s="1"/>
  <c r="ED315" i="2"/>
  <c r="DX245" i="2"/>
  <c r="DZ245" i="2" s="1"/>
  <c r="EA245" i="2" s="1"/>
  <c r="ED245" i="2"/>
  <c r="DN141" i="2"/>
  <c r="DP141" i="2" s="1"/>
  <c r="DQ141" i="2" s="1"/>
  <c r="DU141" i="2"/>
  <c r="DV141" i="2"/>
  <c r="DF141" i="2"/>
  <c r="EF141" i="2"/>
  <c r="EB165" i="2"/>
  <c r="EC165" i="2"/>
  <c r="EE165" i="2"/>
  <c r="EF244" i="2"/>
  <c r="DU244" i="2"/>
  <c r="DF244" i="2"/>
  <c r="DN244" i="2"/>
  <c r="DP244" i="2" s="1"/>
  <c r="DQ244" i="2" s="1"/>
  <c r="DV244" i="2"/>
  <c r="EC325" i="2"/>
  <c r="EE325" i="2"/>
  <c r="EB325" i="2"/>
  <c r="EB212" i="2"/>
  <c r="EE212" i="2"/>
  <c r="EC212" i="2"/>
  <c r="ED231" i="2"/>
  <c r="DX231" i="2"/>
  <c r="DZ231" i="2" s="1"/>
  <c r="EA231" i="2" s="1"/>
  <c r="DX180" i="2"/>
  <c r="DZ180" i="2" s="1"/>
  <c r="EA180" i="2" s="1"/>
  <c r="ED180" i="2"/>
  <c r="DS112" i="2"/>
  <c r="DT112" i="2"/>
  <c r="DR112" i="2"/>
  <c r="DX78" i="2"/>
  <c r="DZ78" i="2" s="1"/>
  <c r="EA78" i="2" s="1"/>
  <c r="ED78" i="2"/>
  <c r="ED85" i="2"/>
  <c r="DX85" i="2"/>
  <c r="DZ85" i="2" s="1"/>
  <c r="EA85" i="2" s="1"/>
  <c r="DS23" i="2"/>
  <c r="DT23" i="2"/>
  <c r="DR23" i="2"/>
  <c r="DT134" i="2"/>
  <c r="DS134" i="2"/>
  <c r="DR134" i="2"/>
  <c r="EE196" i="2"/>
  <c r="EB196" i="2"/>
  <c r="EC196" i="2"/>
  <c r="EF78" i="2"/>
  <c r="DN78" i="2"/>
  <c r="DP78" i="2" s="1"/>
  <c r="DQ78" i="2" s="1"/>
  <c r="DU78" i="2"/>
  <c r="DF78" i="2"/>
  <c r="DV78" i="2"/>
  <c r="EC48" i="2"/>
  <c r="EE48" i="2"/>
  <c r="EB48" i="2"/>
  <c r="EB15" i="4" a="1"/>
  <c r="EB15" i="4" s="1"/>
  <c r="DS319" i="2"/>
  <c r="DT319" i="2"/>
  <c r="DR319" i="2"/>
  <c r="EB112" i="2"/>
  <c r="EE112" i="2"/>
  <c r="EC112" i="2"/>
  <c r="ED287" i="2"/>
  <c r="DX287" i="2"/>
  <c r="DZ287" i="2" s="1"/>
  <c r="EA287" i="2" s="1"/>
  <c r="DT128" i="2"/>
  <c r="DR128" i="2"/>
  <c r="DS128" i="2"/>
  <c r="DT48" i="2"/>
  <c r="DR48" i="2"/>
  <c r="DS48" i="2"/>
  <c r="EE258" i="2"/>
  <c r="EC258" i="2"/>
  <c r="EB258" i="2"/>
  <c r="EB83" i="2"/>
  <c r="EC83" i="2"/>
  <c r="EE83" i="2"/>
  <c r="ED175" i="2"/>
  <c r="DX175" i="2"/>
  <c r="DZ175" i="2" s="1"/>
  <c r="EA175" i="2" s="1"/>
  <c r="DN287" i="2"/>
  <c r="DP287" i="2" s="1"/>
  <c r="DQ287" i="2" s="1"/>
  <c r="DF287" i="2"/>
  <c r="DU287" i="2"/>
  <c r="DV287" i="2"/>
  <c r="EF287" i="2"/>
  <c r="DS255" i="2"/>
  <c r="DR255" i="2"/>
  <c r="DT255" i="2"/>
  <c r="DT215" i="2"/>
  <c r="DR215" i="2"/>
  <c r="DS215" i="2"/>
  <c r="DT81" i="2"/>
  <c r="DR81" i="2"/>
  <c r="DS81" i="2"/>
  <c r="EC255" i="2"/>
  <c r="EB255" i="2"/>
  <c r="EE255" i="2"/>
  <c r="DS65" i="2"/>
  <c r="DT65" i="2"/>
  <c r="DR65" i="2"/>
  <c r="DR205" i="2"/>
  <c r="DS205" i="2"/>
  <c r="DT205" i="2"/>
  <c r="DV262" i="2"/>
  <c r="EF262" i="2"/>
  <c r="DF262" i="2"/>
  <c r="DN262" i="2"/>
  <c r="DP262" i="2" s="1"/>
  <c r="DQ262" i="2" s="1"/>
  <c r="DU262" i="2"/>
  <c r="EE205" i="2"/>
  <c r="EC205" i="2"/>
  <c r="EB205" i="2"/>
  <c r="DR297" i="2"/>
  <c r="DS297" i="2"/>
  <c r="DT297" i="2"/>
  <c r="DU175" i="2"/>
  <c r="DV175" i="2"/>
  <c r="DF175" i="2"/>
  <c r="DN175" i="2"/>
  <c r="DP175" i="2" s="1"/>
  <c r="DQ175" i="2" s="1"/>
  <c r="EF175" i="2"/>
  <c r="EC215" i="2"/>
  <c r="EE215" i="2"/>
  <c r="EB215" i="2"/>
  <c r="EC65" i="2"/>
  <c r="EB65" i="2"/>
  <c r="EE65" i="2"/>
  <c r="ED262" i="2"/>
  <c r="DX262" i="2"/>
  <c r="DZ262" i="2" s="1"/>
  <c r="EA262" i="2" s="1"/>
  <c r="EC297" i="2"/>
  <c r="EE297" i="2"/>
  <c r="EB297" i="2"/>
  <c r="EC217" i="2"/>
  <c r="EB217" i="2"/>
  <c r="EE217" i="2"/>
  <c r="DR217" i="2"/>
  <c r="DT217" i="2"/>
  <c r="DS217" i="2"/>
  <c r="EC81" i="2"/>
  <c r="EE81" i="2"/>
  <c r="EB81" i="2"/>
  <c r="DN247" i="2"/>
  <c r="DP247" i="2" s="1"/>
  <c r="DQ247" i="2" s="1"/>
  <c r="DU247" i="2"/>
  <c r="DF247" i="2"/>
  <c r="DV247" i="2"/>
  <c r="EA11" i="4" a="1"/>
  <c r="EA11" i="4" s="1"/>
  <c r="DT196" i="2"/>
  <c r="DS196" i="2"/>
  <c r="DR196" i="2"/>
  <c r="EC134" i="2"/>
  <c r="EE134" i="2"/>
  <c r="EB134" i="2"/>
  <c r="EB128" i="2"/>
  <c r="EC128" i="2"/>
  <c r="EE128" i="2"/>
  <c r="ED247" i="2"/>
  <c r="DX247" i="2"/>
  <c r="DZ247" i="2" s="1"/>
  <c r="EA247" i="2" s="1"/>
  <c r="EC319" i="2"/>
  <c r="EB319" i="2"/>
  <c r="EE319" i="2"/>
  <c r="EF247" i="2"/>
  <c r="DT83" i="2"/>
  <c r="DS83" i="2"/>
  <c r="DR83" i="2"/>
  <c r="DF88" i="2"/>
  <c r="EF88" i="2"/>
  <c r="DV213" i="2"/>
  <c r="DF213" i="2"/>
  <c r="DN85" i="2"/>
  <c r="DP85" i="2" s="1"/>
  <c r="DQ85" i="2" s="1"/>
  <c r="DF85" i="2"/>
  <c r="DU85" i="2"/>
  <c r="DV85" i="2"/>
  <c r="AD31" i="4"/>
  <c r="BS31" i="4"/>
  <c r="AE31" i="4"/>
  <c r="EB23" i="2"/>
  <c r="EE23" i="2"/>
  <c r="EC23" i="2"/>
  <c r="EF213" i="2"/>
  <c r="EE200" i="2"/>
  <c r="EB200" i="2"/>
  <c r="EC200" i="2"/>
  <c r="DR276" i="2"/>
  <c r="DT276" i="2"/>
  <c r="DS276" i="2"/>
  <c r="DX127" i="2"/>
  <c r="DZ127" i="2" s="1"/>
  <c r="EA127" i="2" s="1"/>
  <c r="ED127" i="2"/>
  <c r="ED61" i="2"/>
  <c r="DX61" i="2"/>
  <c r="DZ61" i="2" s="1"/>
  <c r="EA61" i="2" s="1"/>
  <c r="BH19" i="4"/>
  <c r="P19" i="4"/>
  <c r="AL19" i="4"/>
  <c r="DU108" i="2"/>
  <c r="DN108" i="2"/>
  <c r="DP108" i="2" s="1"/>
  <c r="DQ108" i="2" s="1"/>
  <c r="EF108" i="2"/>
  <c r="DF108" i="2"/>
  <c r="DV108" i="2"/>
  <c r="EF76" i="2"/>
  <c r="DV76" i="2"/>
  <c r="DF76" i="2"/>
  <c r="DN76" i="2"/>
  <c r="DP76" i="2" s="1"/>
  <c r="DQ76" i="2" s="1"/>
  <c r="DU76" i="2"/>
  <c r="EB317" i="2"/>
  <c r="EE317" i="2"/>
  <c r="EC317" i="2"/>
  <c r="EB16" i="2"/>
  <c r="EE16" i="2"/>
  <c r="EC16" i="2"/>
  <c r="DN254" i="2"/>
  <c r="DP254" i="2" s="1"/>
  <c r="DQ254" i="2" s="1"/>
  <c r="DU254" i="2"/>
  <c r="DV254" i="2"/>
  <c r="EF254" i="2"/>
  <c r="DF254" i="2"/>
  <c r="Y19" i="4"/>
  <c r="Z19" i="4"/>
  <c r="EF110" i="2"/>
  <c r="DU110" i="2"/>
  <c r="DN110" i="2"/>
  <c r="DP110" i="2" s="1"/>
  <c r="DQ110" i="2" s="1"/>
  <c r="DV110" i="2"/>
  <c r="DF110" i="2"/>
  <c r="EE66" i="2"/>
  <c r="EB66" i="2"/>
  <c r="EC66" i="2"/>
  <c r="DF130" i="2"/>
  <c r="DU130" i="2"/>
  <c r="DN130" i="2"/>
  <c r="DP130" i="2" s="1"/>
  <c r="DQ130" i="2" s="1"/>
  <c r="DV130" i="2"/>
  <c r="ED254" i="2"/>
  <c r="DX254" i="2"/>
  <c r="DZ254" i="2" s="1"/>
  <c r="EA254" i="2" s="1"/>
  <c r="DU74" i="2"/>
  <c r="DN74" i="2"/>
  <c r="DP74" i="2" s="1"/>
  <c r="DQ74" i="2" s="1"/>
  <c r="DV74" i="2"/>
  <c r="DF74" i="2"/>
  <c r="EF74" i="2"/>
  <c r="EE193" i="2"/>
  <c r="EB193" i="2"/>
  <c r="EC193" i="2"/>
  <c r="EA126" i="4" a="1"/>
  <c r="EA126" i="4" s="1"/>
  <c r="EE60" i="4" a="1"/>
  <c r="EE60" i="4" s="1"/>
  <c r="DR185" i="2"/>
  <c r="DS185" i="2"/>
  <c r="DT185" i="2"/>
  <c r="ED110" i="2"/>
  <c r="DX110" i="2"/>
  <c r="DZ110" i="2" s="1"/>
  <c r="EA110" i="2" s="1"/>
  <c r="DR336" i="2"/>
  <c r="DS336" i="2"/>
  <c r="DT336" i="2"/>
  <c r="ED130" i="2"/>
  <c r="DX130" i="2"/>
  <c r="DZ130" i="2" s="1"/>
  <c r="EA130" i="2" s="1"/>
  <c r="DN335" i="2"/>
  <c r="DP335" i="2" s="1"/>
  <c r="DQ335" i="2" s="1"/>
  <c r="DU335" i="2"/>
  <c r="DV335" i="2"/>
  <c r="DF335" i="2"/>
  <c r="ED74" i="2"/>
  <c r="DX74" i="2"/>
  <c r="DZ74" i="2" s="1"/>
  <c r="EA74" i="2" s="1"/>
  <c r="DT14" i="2"/>
  <c r="DS14" i="2"/>
  <c r="DR14" i="2"/>
  <c r="EE98" i="2"/>
  <c r="EC98" i="2"/>
  <c r="EB98" i="2"/>
  <c r="EB168" i="2"/>
  <c r="EC168" i="2"/>
  <c r="EE168" i="2"/>
  <c r="DR5" i="2"/>
  <c r="DS5" i="2"/>
  <c r="DT5" i="2"/>
  <c r="DX126" i="2"/>
  <c r="DZ126" i="2" s="1"/>
  <c r="EA126" i="2" s="1"/>
  <c r="ED126" i="2"/>
  <c r="DX294" i="2"/>
  <c r="DZ294" i="2" s="1"/>
  <c r="EA294" i="2" s="1"/>
  <c r="ED294" i="2"/>
  <c r="DU27" i="2"/>
  <c r="DN27" i="2"/>
  <c r="DP27" i="2" s="1"/>
  <c r="DQ27" i="2" s="1"/>
  <c r="EF27" i="2"/>
  <c r="DV27" i="2"/>
  <c r="DF27" i="2"/>
  <c r="DN270" i="2"/>
  <c r="DP270" i="2" s="1"/>
  <c r="DQ270" i="2" s="1"/>
  <c r="DU270" i="2"/>
  <c r="DF270" i="2"/>
  <c r="DV270" i="2"/>
  <c r="DU119" i="2"/>
  <c r="DN119" i="2"/>
  <c r="DP119" i="2" s="1"/>
  <c r="DQ119" i="2" s="1"/>
  <c r="DV119" i="2"/>
  <c r="DF119" i="2"/>
  <c r="ED234" i="2"/>
  <c r="DX234" i="2"/>
  <c r="DZ234" i="2" s="1"/>
  <c r="EA234" i="2" s="1"/>
  <c r="DS279" i="2"/>
  <c r="DT279" i="2"/>
  <c r="DR279" i="2"/>
  <c r="EE120" i="2"/>
  <c r="EB120" i="2"/>
  <c r="EC120" i="2"/>
  <c r="DW23" i="4" a="1"/>
  <c r="DW23" i="4" s="1"/>
  <c r="EC288" i="2"/>
  <c r="EB288" i="2"/>
  <c r="EE288" i="2"/>
  <c r="DN161" i="2"/>
  <c r="DP161" i="2" s="1"/>
  <c r="DQ161" i="2" s="1"/>
  <c r="DU161" i="2"/>
  <c r="EF161" i="2"/>
  <c r="DF161" i="2"/>
  <c r="DV161" i="2"/>
  <c r="DX270" i="2"/>
  <c r="DZ270" i="2" s="1"/>
  <c r="EA270" i="2" s="1"/>
  <c r="ED270" i="2"/>
  <c r="DR307" i="2"/>
  <c r="DT307" i="2"/>
  <c r="DS307" i="2"/>
  <c r="DX335" i="2"/>
  <c r="DZ335" i="2" s="1"/>
  <c r="EA335" i="2" s="1"/>
  <c r="ED335" i="2"/>
  <c r="EE32" i="2"/>
  <c r="EC32" i="2"/>
  <c r="EB32" i="2"/>
  <c r="ED314" i="2"/>
  <c r="DX314" i="2"/>
  <c r="DZ314" i="2" s="1"/>
  <c r="EA314" i="2" s="1"/>
  <c r="DU237" i="2"/>
  <c r="DV237" i="2"/>
  <c r="DF237" i="2"/>
  <c r="EF237" i="2"/>
  <c r="DN237" i="2"/>
  <c r="DP237" i="2" s="1"/>
  <c r="DQ237" i="2" s="1"/>
  <c r="DV126" i="2"/>
  <c r="DU126" i="2"/>
  <c r="DF126" i="2"/>
  <c r="EF126" i="2"/>
  <c r="DN126" i="2"/>
  <c r="DP126" i="2" s="1"/>
  <c r="DQ126" i="2" s="1"/>
  <c r="EF294" i="2"/>
  <c r="DN294" i="2"/>
  <c r="DP294" i="2" s="1"/>
  <c r="DQ294" i="2" s="1"/>
  <c r="DV294" i="2"/>
  <c r="DF294" i="2"/>
  <c r="DU294" i="2"/>
  <c r="ED27" i="2"/>
  <c r="DX27" i="2"/>
  <c r="DZ27" i="2" s="1"/>
  <c r="EA27" i="2" s="1"/>
  <c r="DX119" i="2"/>
  <c r="DZ119" i="2" s="1"/>
  <c r="EA119" i="2" s="1"/>
  <c r="ED119" i="2"/>
  <c r="EE194" i="2"/>
  <c r="EB194" i="2"/>
  <c r="EC194" i="2"/>
  <c r="DN136" i="2"/>
  <c r="DP136" i="2" s="1"/>
  <c r="DQ136" i="2" s="1"/>
  <c r="DU136" i="2"/>
  <c r="EF136" i="2"/>
  <c r="DF136" i="2"/>
  <c r="DV136" i="2"/>
  <c r="EF234" i="2"/>
  <c r="DU234" i="2"/>
  <c r="DN234" i="2"/>
  <c r="DP234" i="2" s="1"/>
  <c r="DQ234" i="2" s="1"/>
  <c r="DF234" i="2"/>
  <c r="DV234" i="2"/>
  <c r="DU338" i="2"/>
  <c r="DN338" i="2"/>
  <c r="DP338" i="2" s="1"/>
  <c r="DQ338" i="2" s="1"/>
  <c r="EF338" i="2"/>
  <c r="DF338" i="2"/>
  <c r="DV338" i="2"/>
  <c r="DV314" i="2"/>
  <c r="EF314" i="2"/>
  <c r="DU314" i="2"/>
  <c r="DF314" i="2"/>
  <c r="DN314" i="2"/>
  <c r="DP314" i="2" s="1"/>
  <c r="DQ314" i="2" s="1"/>
  <c r="ED237" i="2"/>
  <c r="DX237" i="2"/>
  <c r="DZ237" i="2" s="1"/>
  <c r="EA237" i="2" s="1"/>
  <c r="ED44" i="2"/>
  <c r="DX44" i="2"/>
  <c r="DZ44" i="2" s="1"/>
  <c r="EA44" i="2" s="1"/>
  <c r="DV95" i="2"/>
  <c r="EF95" i="2"/>
  <c r="DF95" i="2"/>
  <c r="DN95" i="2"/>
  <c r="DP95" i="2" s="1"/>
  <c r="DQ95" i="2" s="1"/>
  <c r="DU95" i="2"/>
  <c r="DX136" i="2"/>
  <c r="DZ136" i="2" s="1"/>
  <c r="EA136" i="2" s="1"/>
  <c r="ED136" i="2"/>
  <c r="DS120" i="2"/>
  <c r="DT120" i="2"/>
  <c r="DR120" i="2"/>
  <c r="ED338" i="2"/>
  <c r="DX338" i="2"/>
  <c r="DZ338" i="2" s="1"/>
  <c r="EA338" i="2" s="1"/>
  <c r="CW19" i="4"/>
  <c r="CS19" i="4"/>
  <c r="CY19" i="4"/>
  <c r="CM19" i="4"/>
  <c r="DB19" i="4"/>
  <c r="BT19" i="4"/>
  <c r="DA19" i="4"/>
  <c r="DC19" i="4"/>
  <c r="CK19" i="4"/>
  <c r="CL19" i="4"/>
  <c r="CN19" i="4"/>
  <c r="DE19" i="4"/>
  <c r="DH19" i="4"/>
  <c r="CQ19" i="4"/>
  <c r="DD19" i="4"/>
  <c r="CX19" i="4"/>
  <c r="DG19" i="4"/>
  <c r="AH19" i="4"/>
  <c r="CR19" i="4"/>
  <c r="CT19" i="4"/>
  <c r="AJ19" i="4"/>
  <c r="CP19" i="4"/>
  <c r="CU19" i="4"/>
  <c r="DF19" i="4"/>
  <c r="CV19" i="4"/>
  <c r="CO19" i="4"/>
  <c r="CZ19" i="4"/>
  <c r="EF14" i="4" a="1"/>
  <c r="EF14" i="4" s="1"/>
  <c r="DR3" i="2"/>
  <c r="DT3" i="2"/>
  <c r="DS3" i="2"/>
  <c r="DN44" i="2"/>
  <c r="DP44" i="2" s="1"/>
  <c r="DQ44" i="2" s="1"/>
  <c r="DU44" i="2"/>
  <c r="DV44" i="2"/>
  <c r="DF44" i="2"/>
  <c r="EF44" i="2"/>
  <c r="DT288" i="2"/>
  <c r="DS288" i="2"/>
  <c r="DR288" i="2"/>
  <c r="DR47" i="2"/>
  <c r="DT47" i="2"/>
  <c r="DS47" i="2"/>
  <c r="DR106" i="2"/>
  <c r="DS106" i="2"/>
  <c r="DT106" i="2"/>
  <c r="DX95" i="2"/>
  <c r="DZ95" i="2" s="1"/>
  <c r="EA95" i="2" s="1"/>
  <c r="ED95" i="2"/>
  <c r="DN28" i="2"/>
  <c r="DP28" i="2" s="1"/>
  <c r="DQ28" i="2" s="1"/>
  <c r="DV28" i="2"/>
  <c r="DF28" i="2"/>
  <c r="EF28" i="2"/>
  <c r="DU28" i="2"/>
  <c r="ED54" i="2"/>
  <c r="DX54" i="2"/>
  <c r="DZ54" i="2" s="1"/>
  <c r="EA54" i="2" s="1"/>
  <c r="DX187" i="2"/>
  <c r="DZ187" i="2" s="1"/>
  <c r="EA187" i="2" s="1"/>
  <c r="ED187" i="2"/>
  <c r="ED40" i="2"/>
  <c r="DX40" i="2"/>
  <c r="DZ40" i="2" s="1"/>
  <c r="EA40" i="2" s="1"/>
  <c r="EC163" i="2"/>
  <c r="EE163" i="2"/>
  <c r="EB163" i="2"/>
  <c r="EB3" i="2"/>
  <c r="EE3" i="2"/>
  <c r="EC3" i="2"/>
  <c r="DX268" i="2"/>
  <c r="DZ268" i="2" s="1"/>
  <c r="EA268" i="2" s="1"/>
  <c r="ED268" i="2"/>
  <c r="DV94" i="2"/>
  <c r="DF94" i="2"/>
  <c r="EF94" i="2"/>
  <c r="DU94" i="2"/>
  <c r="DN94" i="2"/>
  <c r="DP94" i="2" s="1"/>
  <c r="DQ94" i="2" s="1"/>
  <c r="ED251" i="2"/>
  <c r="DX251" i="2"/>
  <c r="DZ251" i="2" s="1"/>
  <c r="EA251" i="2" s="1"/>
  <c r="ED28" i="2"/>
  <c r="DX28" i="2"/>
  <c r="DZ28" i="2" s="1"/>
  <c r="EA28" i="2" s="1"/>
  <c r="DN54" i="2"/>
  <c r="DP54" i="2" s="1"/>
  <c r="DQ54" i="2" s="1"/>
  <c r="DU54" i="2"/>
  <c r="DF54" i="2"/>
  <c r="DV54" i="2"/>
  <c r="EF54" i="2"/>
  <c r="DS342" i="2"/>
  <c r="DR342" i="2"/>
  <c r="DT342" i="2"/>
  <c r="DN187" i="2"/>
  <c r="DP187" i="2" s="1"/>
  <c r="DQ187" i="2" s="1"/>
  <c r="DV187" i="2"/>
  <c r="DF187" i="2"/>
  <c r="DU187" i="2"/>
  <c r="EF187" i="2"/>
  <c r="DN40" i="2"/>
  <c r="DP40" i="2" s="1"/>
  <c r="DQ40" i="2" s="1"/>
  <c r="DV40" i="2"/>
  <c r="DU40" i="2"/>
  <c r="DF40" i="2"/>
  <c r="EC199" i="2"/>
  <c r="EB199" i="2"/>
  <c r="EE199" i="2"/>
  <c r="DF179" i="2"/>
  <c r="DU179" i="2"/>
  <c r="DV179" i="2"/>
  <c r="DN179" i="2"/>
  <c r="DP179" i="2" s="1"/>
  <c r="DQ179" i="2" s="1"/>
  <c r="EF179" i="2"/>
  <c r="DU268" i="2"/>
  <c r="DN268" i="2"/>
  <c r="DP268" i="2" s="1"/>
  <c r="DQ268" i="2" s="1"/>
  <c r="DF268" i="2"/>
  <c r="DV268" i="2"/>
  <c r="EF268" i="2"/>
  <c r="DU199" i="2"/>
  <c r="DN199" i="2"/>
  <c r="DP199" i="2" s="1"/>
  <c r="DQ199" i="2" s="1"/>
  <c r="DV199" i="2"/>
  <c r="DF199" i="2"/>
  <c r="ED94" i="2"/>
  <c r="DX94" i="2"/>
  <c r="DZ94" i="2" s="1"/>
  <c r="EA94" i="2" s="1"/>
  <c r="EF251" i="2"/>
  <c r="DV251" i="2"/>
  <c r="DF251" i="2"/>
  <c r="DU251" i="2"/>
  <c r="DN251" i="2"/>
  <c r="DP251" i="2" s="1"/>
  <c r="DQ251" i="2" s="1"/>
  <c r="EB339" i="2"/>
  <c r="EC339" i="2"/>
  <c r="EE339" i="2"/>
  <c r="EF199" i="2"/>
  <c r="DY49" i="4" a="1"/>
  <c r="DY49" i="4" s="1"/>
  <c r="EF40" i="4" a="1"/>
  <c r="EF40" i="4" s="1"/>
  <c r="ED179" i="2"/>
  <c r="DX179" i="2"/>
  <c r="DZ179" i="2" s="1"/>
  <c r="EA179" i="2" s="1"/>
  <c r="DX177" i="2"/>
  <c r="DZ177" i="2" s="1"/>
  <c r="EA177" i="2" s="1"/>
  <c r="ED177" i="2"/>
  <c r="DX150" i="2"/>
  <c r="DZ150" i="2" s="1"/>
  <c r="EA150" i="2" s="1"/>
  <c r="ED150" i="2"/>
  <c r="DR67" i="2"/>
  <c r="DS67" i="2"/>
  <c r="DT67" i="2"/>
  <c r="EB36" i="2"/>
  <c r="EC36" i="2"/>
  <c r="EE36" i="2"/>
  <c r="DN29" i="2"/>
  <c r="DP29" i="2" s="1"/>
  <c r="DQ29" i="2" s="1"/>
  <c r="DU29" i="2"/>
  <c r="DF29" i="2"/>
  <c r="DV29" i="2"/>
  <c r="EF29" i="2"/>
  <c r="DS11" i="2"/>
  <c r="DT11" i="2"/>
  <c r="DR11" i="2"/>
  <c r="EE5" i="2"/>
  <c r="EC5" i="2"/>
  <c r="EB5" i="2"/>
  <c r="DU177" i="2"/>
  <c r="DN177" i="2"/>
  <c r="DP177" i="2" s="1"/>
  <c r="DQ177" i="2" s="1"/>
  <c r="DF177" i="2"/>
  <c r="DV177" i="2"/>
  <c r="DN150" i="2"/>
  <c r="DP150" i="2" s="1"/>
  <c r="DQ150" i="2" s="1"/>
  <c r="DV150" i="2"/>
  <c r="EF150" i="2"/>
  <c r="DF150" i="2"/>
  <c r="DU150" i="2"/>
  <c r="DX8" i="2"/>
  <c r="DZ8" i="2" s="1"/>
  <c r="EA8" i="2" s="1"/>
  <c r="ED8" i="2"/>
  <c r="DX29" i="2"/>
  <c r="DZ29" i="2" s="1"/>
  <c r="EA29" i="2" s="1"/>
  <c r="ED29" i="2"/>
  <c r="DT304" i="2"/>
  <c r="DS304" i="2"/>
  <c r="DR304" i="2"/>
  <c r="DX238" i="2"/>
  <c r="DZ238" i="2" s="1"/>
  <c r="EA238" i="2" s="1"/>
  <c r="ED238" i="2"/>
  <c r="EE336" i="2"/>
  <c r="EB336" i="2"/>
  <c r="EC336" i="2"/>
  <c r="DU46" i="2"/>
  <c r="EF46" i="2"/>
  <c r="DN46" i="2"/>
  <c r="DP46" i="2" s="1"/>
  <c r="DQ46" i="2" s="1"/>
  <c r="DF46" i="2"/>
  <c r="DV46" i="2"/>
  <c r="DR339" i="2"/>
  <c r="DS339" i="2"/>
  <c r="DT339" i="2"/>
  <c r="DU8" i="2"/>
  <c r="DN8" i="2"/>
  <c r="DP8" i="2" s="1"/>
  <c r="DQ8" i="2" s="1"/>
  <c r="DF8" i="2"/>
  <c r="EF8" i="2"/>
  <c r="DV8" i="2"/>
  <c r="AL29" i="4"/>
  <c r="BH29" i="4"/>
  <c r="P29" i="4"/>
  <c r="DF267" i="2"/>
  <c r="EF267" i="2"/>
  <c r="DV267" i="2"/>
  <c r="DN267" i="2"/>
  <c r="DP267" i="2" s="1"/>
  <c r="DQ267" i="2" s="1"/>
  <c r="DU267" i="2"/>
  <c r="DY16" i="4" a="1"/>
  <c r="DY16" i="4" s="1"/>
  <c r="EA41" i="4" a="1"/>
  <c r="EA41" i="4" s="1"/>
  <c r="DV238" i="2"/>
  <c r="EF238" i="2"/>
  <c r="DU238" i="2"/>
  <c r="DF238" i="2"/>
  <c r="DN238" i="2"/>
  <c r="DP238" i="2" s="1"/>
  <c r="DQ238" i="2" s="1"/>
  <c r="EB276" i="2"/>
  <c r="EC276" i="2"/>
  <c r="EE276" i="2"/>
  <c r="ED171" i="2"/>
  <c r="DX171" i="2"/>
  <c r="DZ171" i="2" s="1"/>
  <c r="EA171" i="2" s="1"/>
  <c r="DX46" i="2"/>
  <c r="DZ46" i="2" s="1"/>
  <c r="EA46" i="2" s="1"/>
  <c r="ED46" i="2"/>
  <c r="ED267" i="2"/>
  <c r="DX267" i="2"/>
  <c r="DZ267" i="2" s="1"/>
  <c r="EA267" i="2" s="1"/>
  <c r="DU104" i="2"/>
  <c r="DN104" i="2"/>
  <c r="DP104" i="2" s="1"/>
  <c r="DQ104" i="2" s="1"/>
  <c r="DV104" i="2"/>
  <c r="DF104" i="2"/>
  <c r="EE213" i="2"/>
  <c r="EB213" i="2"/>
  <c r="EC213" i="2"/>
  <c r="DV93" i="2"/>
  <c r="DN93" i="2"/>
  <c r="DP93" i="2" s="1"/>
  <c r="DQ93" i="2" s="1"/>
  <c r="DU93" i="2"/>
  <c r="DF93" i="2"/>
  <c r="EF93" i="2"/>
  <c r="ED197" i="2"/>
  <c r="DX197" i="2"/>
  <c r="DZ197" i="2" s="1"/>
  <c r="EA197" i="2" s="1"/>
  <c r="EB33" i="2"/>
  <c r="EC33" i="2"/>
  <c r="EE33" i="2"/>
  <c r="DU171" i="2"/>
  <c r="DN171" i="2"/>
  <c r="DP171" i="2" s="1"/>
  <c r="DQ171" i="2" s="1"/>
  <c r="DV171" i="2"/>
  <c r="DF171" i="2"/>
  <c r="EF171" i="2"/>
  <c r="DU36" i="2"/>
  <c r="DN36" i="2"/>
  <c r="DP36" i="2" s="1"/>
  <c r="DQ36" i="2" s="1"/>
  <c r="DF36" i="2"/>
  <c r="DV36" i="2"/>
  <c r="ED21" i="2"/>
  <c r="DX21" i="2"/>
  <c r="DZ21" i="2" s="1"/>
  <c r="EA21" i="2" s="1"/>
  <c r="DT16" i="2"/>
  <c r="DR16" i="2"/>
  <c r="DS16" i="2"/>
  <c r="DR291" i="2"/>
  <c r="DT291" i="2"/>
  <c r="DS291" i="2"/>
  <c r="DX104" i="2"/>
  <c r="DZ104" i="2" s="1"/>
  <c r="EA104" i="2" s="1"/>
  <c r="ED104" i="2"/>
  <c r="DU54" i="4" a="1"/>
  <c r="DU54" i="4" s="1"/>
  <c r="ED93" i="2"/>
  <c r="DX93" i="2"/>
  <c r="DZ93" i="2" s="1"/>
  <c r="EA93" i="2" s="1"/>
  <c r="DS235" i="2"/>
  <c r="DT235" i="2"/>
  <c r="DR235" i="2"/>
  <c r="DU197" i="2"/>
  <c r="DN197" i="2"/>
  <c r="DP197" i="2" s="1"/>
  <c r="DQ197" i="2" s="1"/>
  <c r="EF197" i="2"/>
  <c r="DV197" i="2"/>
  <c r="DF197" i="2"/>
  <c r="DV21" i="2"/>
  <c r="DN21" i="2"/>
  <c r="DP21" i="2" s="1"/>
  <c r="DQ21" i="2" s="1"/>
  <c r="DU21" i="2"/>
  <c r="EF21" i="2"/>
  <c r="DF21" i="2"/>
  <c r="DU69" i="2"/>
  <c r="DN69" i="2"/>
  <c r="DP69" i="2" s="1"/>
  <c r="DQ69" i="2" s="1"/>
  <c r="DF69" i="2"/>
  <c r="DV69" i="2"/>
  <c r="EF69" i="2"/>
  <c r="EB132" i="4" a="1"/>
  <c r="EB132" i="4" s="1"/>
  <c r="EC235" i="2"/>
  <c r="EE235" i="2"/>
  <c r="EB235" i="2"/>
  <c r="DN264" i="2"/>
  <c r="DP264" i="2" s="1"/>
  <c r="DQ264" i="2" s="1"/>
  <c r="DU264" i="2"/>
  <c r="DV264" i="2"/>
  <c r="DF264" i="2"/>
  <c r="DU228" i="2"/>
  <c r="DN228" i="2"/>
  <c r="DP228" i="2" s="1"/>
  <c r="DQ228" i="2" s="1"/>
  <c r="DV228" i="2"/>
  <c r="DF228" i="2"/>
  <c r="EF228" i="2"/>
  <c r="DS259" i="2"/>
  <c r="DT259" i="2"/>
  <c r="DR259" i="2"/>
  <c r="DX69" i="2"/>
  <c r="DZ69" i="2" s="1"/>
  <c r="EA69" i="2" s="1"/>
  <c r="ED69" i="2"/>
  <c r="DS257" i="2"/>
  <c r="DT257" i="2"/>
  <c r="DR257" i="2"/>
  <c r="EF104" i="2"/>
  <c r="DT103" i="2"/>
  <c r="DS103" i="2"/>
  <c r="DR103" i="2"/>
  <c r="ED264" i="2"/>
  <c r="DX264" i="2"/>
  <c r="DZ264" i="2" s="1"/>
  <c r="EA264" i="2" s="1"/>
  <c r="DX228" i="2"/>
  <c r="DZ228" i="2" s="1"/>
  <c r="EA228" i="2" s="1"/>
  <c r="ED228" i="2"/>
  <c r="EC188" i="2"/>
  <c r="EB188" i="2"/>
  <c r="EE188" i="2"/>
  <c r="ED59" i="4" a="1"/>
  <c r="ED59" i="4" s="1"/>
  <c r="ED68" i="4" a="1"/>
  <c r="ED68" i="4" s="1"/>
  <c r="EC55" i="4" a="1"/>
  <c r="EC55" i="4" s="1"/>
  <c r="EB14" i="2"/>
  <c r="EC14" i="2"/>
  <c r="EE14" i="2"/>
  <c r="ED63" i="2"/>
  <c r="DX63" i="2"/>
  <c r="DZ63" i="2" s="1"/>
  <c r="EA63" i="2" s="1"/>
  <c r="DU107" i="2"/>
  <c r="DN107" i="2"/>
  <c r="DP107" i="2" s="1"/>
  <c r="DQ107" i="2" s="1"/>
  <c r="DV107" i="2"/>
  <c r="DF107" i="2"/>
  <c r="EF107" i="2"/>
  <c r="DS207" i="2"/>
  <c r="DR207" i="2"/>
  <c r="DT207" i="2"/>
  <c r="EF310" i="2"/>
  <c r="DF310" i="2"/>
  <c r="DV310" i="2"/>
  <c r="DU310" i="2"/>
  <c r="DN310" i="2"/>
  <c r="DP310" i="2" s="1"/>
  <c r="DQ310" i="2" s="1"/>
  <c r="EE64" i="2"/>
  <c r="EB64" i="2"/>
  <c r="EC64" i="2"/>
  <c r="DR194" i="2"/>
  <c r="DS194" i="2"/>
  <c r="DT194" i="2"/>
  <c r="DU324" i="2"/>
  <c r="DN324" i="2"/>
  <c r="DP324" i="2" s="1"/>
  <c r="DQ324" i="2" s="1"/>
  <c r="EF324" i="2"/>
  <c r="DV324" i="2"/>
  <c r="DF324" i="2"/>
  <c r="EB304" i="2"/>
  <c r="EE304" i="2"/>
  <c r="EC304" i="2"/>
  <c r="DR131" i="2"/>
  <c r="DS131" i="2"/>
  <c r="DT131" i="2"/>
  <c r="EC172" i="2"/>
  <c r="EB172" i="2"/>
  <c r="EE172" i="2"/>
  <c r="DV124" i="2"/>
  <c r="EF124" i="2"/>
  <c r="DF124" i="2"/>
  <c r="DU124" i="2"/>
  <c r="DN124" i="2"/>
  <c r="DP124" i="2" s="1"/>
  <c r="DQ124" i="2" s="1"/>
  <c r="ED80" i="2"/>
  <c r="DX80" i="2"/>
  <c r="DZ80" i="2" s="1"/>
  <c r="EA80" i="2" s="1"/>
  <c r="EF63" i="2"/>
  <c r="DF63" i="2"/>
  <c r="DV63" i="2"/>
  <c r="DU63" i="2"/>
  <c r="DN63" i="2"/>
  <c r="DP63" i="2" s="1"/>
  <c r="DQ63" i="2" s="1"/>
  <c r="ED107" i="2"/>
  <c r="DX107" i="2"/>
  <c r="DZ107" i="2" s="1"/>
  <c r="EA107" i="2" s="1"/>
  <c r="DX310" i="2"/>
  <c r="DZ310" i="2" s="1"/>
  <c r="EA310" i="2" s="1"/>
  <c r="ED310" i="2"/>
  <c r="DS145" i="2"/>
  <c r="DR145" i="2"/>
  <c r="DT145" i="2"/>
  <c r="DX324" i="2"/>
  <c r="DZ324" i="2" s="1"/>
  <c r="EA324" i="2" s="1"/>
  <c r="ED324" i="2"/>
  <c r="DT98" i="2"/>
  <c r="DS98" i="2"/>
  <c r="DR98" i="2"/>
  <c r="DX89" i="2"/>
  <c r="DZ89" i="2" s="1"/>
  <c r="EA89" i="2" s="1"/>
  <c r="ED89" i="2"/>
  <c r="EC279" i="2"/>
  <c r="EB279" i="2"/>
  <c r="EE279" i="2"/>
  <c r="EF270" i="2"/>
  <c r="ED124" i="2"/>
  <c r="DX124" i="2"/>
  <c r="DZ124" i="2" s="1"/>
  <c r="EA124" i="2" s="1"/>
  <c r="DN80" i="2"/>
  <c r="DP80" i="2" s="1"/>
  <c r="DQ80" i="2" s="1"/>
  <c r="DF80" i="2"/>
  <c r="DV80" i="2"/>
  <c r="DU80" i="2"/>
  <c r="EF80" i="2"/>
  <c r="EE185" i="2"/>
  <c r="EB185" i="2"/>
  <c r="EC185" i="2"/>
  <c r="DN300" i="2"/>
  <c r="DP300" i="2" s="1"/>
  <c r="DQ300" i="2" s="1"/>
  <c r="DF300" i="2"/>
  <c r="DU300" i="2"/>
  <c r="EF300" i="2"/>
  <c r="DV300" i="2"/>
  <c r="AE30" i="4"/>
  <c r="BS30" i="4"/>
  <c r="AD30" i="4"/>
  <c r="EB225" i="2"/>
  <c r="EC225" i="2"/>
  <c r="EE225" i="2"/>
  <c r="ED292" i="2"/>
  <c r="DX292" i="2"/>
  <c r="DZ292" i="2" s="1"/>
  <c r="EA292" i="2" s="1"/>
  <c r="DF89" i="2"/>
  <c r="DN89" i="2"/>
  <c r="DP89" i="2" s="1"/>
  <c r="DQ89" i="2" s="1"/>
  <c r="DU89" i="2"/>
  <c r="DV89" i="2"/>
  <c r="EF89" i="2"/>
  <c r="ED240" i="2"/>
  <c r="DX240" i="2"/>
  <c r="DZ240" i="2" s="1"/>
  <c r="EA240" i="2" s="1"/>
  <c r="EC131" i="2"/>
  <c r="EE131" i="2"/>
  <c r="EB131" i="2"/>
  <c r="EE11" i="2"/>
  <c r="EB11" i="2"/>
  <c r="EC11" i="2"/>
  <c r="ED300" i="2"/>
  <c r="DX300" i="2"/>
  <c r="DZ300" i="2" s="1"/>
  <c r="EA300" i="2" s="1"/>
  <c r="EE42" i="2"/>
  <c r="EC42" i="2"/>
  <c r="EB42" i="2"/>
  <c r="ED284" i="2"/>
  <c r="DX284" i="2"/>
  <c r="DZ284" i="2" s="1"/>
  <c r="EA284" i="2" s="1"/>
  <c r="DU292" i="2"/>
  <c r="EF292" i="2"/>
  <c r="DN292" i="2"/>
  <c r="DP292" i="2" s="1"/>
  <c r="DQ292" i="2" s="1"/>
  <c r="DV292" i="2"/>
  <c r="DF292" i="2"/>
  <c r="DU240" i="2"/>
  <c r="DN240" i="2"/>
  <c r="DP240" i="2" s="1"/>
  <c r="DQ240" i="2" s="1"/>
  <c r="EF240" i="2"/>
  <c r="DF240" i="2"/>
  <c r="DV240" i="2"/>
  <c r="DR232" i="2"/>
  <c r="DT232" i="2"/>
  <c r="DS232" i="2"/>
  <c r="DT200" i="2"/>
  <c r="DS200" i="2"/>
  <c r="DR200" i="2"/>
  <c r="ED170" i="2"/>
  <c r="DX170" i="2"/>
  <c r="DZ170" i="2" s="1"/>
  <c r="EA170" i="2" s="1"/>
  <c r="DU284" i="2"/>
  <c r="DN284" i="2"/>
  <c r="DP284" i="2" s="1"/>
  <c r="DQ284" i="2" s="1"/>
  <c r="EF284" i="2"/>
  <c r="DV284" i="2"/>
  <c r="DF284" i="2"/>
  <c r="DX146" i="2"/>
  <c r="DZ146" i="2" s="1"/>
  <c r="EA146" i="2" s="1"/>
  <c r="ED146" i="2"/>
  <c r="EF308" i="2"/>
  <c r="DN308" i="2"/>
  <c r="DP308" i="2" s="1"/>
  <c r="DQ308" i="2" s="1"/>
  <c r="DU308" i="2"/>
  <c r="DV308" i="2"/>
  <c r="DF308" i="2"/>
  <c r="EB106" i="2"/>
  <c r="EC106" i="2"/>
  <c r="EE106" i="2"/>
  <c r="DF170" i="2"/>
  <c r="DV170" i="2"/>
  <c r="DU170" i="2"/>
  <c r="DN170" i="2"/>
  <c r="DP170" i="2" s="1"/>
  <c r="DQ170" i="2" s="1"/>
  <c r="EF170" i="2"/>
  <c r="DU188" i="2"/>
  <c r="DN188" i="2"/>
  <c r="DP188" i="2" s="1"/>
  <c r="DQ188" i="2" s="1"/>
  <c r="DF188" i="2"/>
  <c r="DV188" i="2"/>
  <c r="DU146" i="2"/>
  <c r="DF146" i="2"/>
  <c r="DV146" i="2"/>
  <c r="DN146" i="2"/>
  <c r="DP146" i="2" s="1"/>
  <c r="DQ146" i="2" s="1"/>
  <c r="EF146" i="2"/>
  <c r="ED308" i="2"/>
  <c r="DX308" i="2"/>
  <c r="DZ308" i="2" s="1"/>
  <c r="EA308" i="2" s="1"/>
  <c r="DR193" i="2"/>
  <c r="DS193" i="2"/>
  <c r="DT193" i="2"/>
  <c r="ED71" i="2"/>
  <c r="DX71" i="2"/>
  <c r="DZ71" i="2" s="1"/>
  <c r="EA71" i="2" s="1"/>
  <c r="DS295" i="2"/>
  <c r="DT295" i="2"/>
  <c r="DR295" i="2"/>
  <c r="DS223" i="2"/>
  <c r="DT223" i="2"/>
  <c r="DR223" i="2"/>
  <c r="EF130" i="2"/>
  <c r="DV68" i="2"/>
  <c r="DN68" i="2"/>
  <c r="DP68" i="2" s="1"/>
  <c r="DQ68" i="2" s="1"/>
  <c r="DU68" i="2"/>
  <c r="EF68" i="2"/>
  <c r="DF68" i="2"/>
  <c r="DT317" i="2"/>
  <c r="DR317" i="2"/>
  <c r="DS317" i="2"/>
  <c r="DT213" i="2"/>
  <c r="DR213" i="2"/>
  <c r="DS213" i="2"/>
  <c r="DX274" i="2"/>
  <c r="DZ274" i="2" s="1"/>
  <c r="EA274" i="2" s="1"/>
  <c r="ED274" i="2"/>
  <c r="DS18" i="2"/>
  <c r="DR18" i="2"/>
  <c r="DT18" i="2"/>
  <c r="DS32" i="2"/>
  <c r="DT32" i="2"/>
  <c r="DR32" i="2"/>
  <c r="DS109" i="2"/>
  <c r="DT109" i="2"/>
  <c r="DR109" i="2"/>
  <c r="DU71" i="2"/>
  <c r="DN71" i="2"/>
  <c r="DP71" i="2" s="1"/>
  <c r="DQ71" i="2" s="1"/>
  <c r="EF71" i="2"/>
  <c r="DF71" i="2"/>
  <c r="DV71" i="2"/>
  <c r="EC232" i="2"/>
  <c r="EB232" i="2"/>
  <c r="EE232" i="2"/>
  <c r="EB103" i="2"/>
  <c r="EE103" i="2"/>
  <c r="EC103" i="2"/>
  <c r="ED68" i="2"/>
  <c r="DX68" i="2"/>
  <c r="DZ68" i="2" s="1"/>
  <c r="EA68" i="2" s="1"/>
  <c r="DS64" i="2"/>
  <c r="DR64" i="2"/>
  <c r="DT64" i="2"/>
  <c r="DN274" i="2"/>
  <c r="DP274" i="2" s="1"/>
  <c r="DQ274" i="2" s="1"/>
  <c r="DU274" i="2"/>
  <c r="EF274" i="2"/>
  <c r="DV274" i="2"/>
  <c r="DF274" i="2"/>
  <c r="ED256" i="2"/>
  <c r="DX256" i="2"/>
  <c r="DZ256" i="2" s="1"/>
  <c r="EA256" i="2" s="1"/>
  <c r="EE342" i="2"/>
  <c r="EB342" i="2"/>
  <c r="EC342" i="2"/>
  <c r="EB257" i="2"/>
  <c r="EC257" i="2"/>
  <c r="EE257" i="2"/>
  <c r="EC88" i="2"/>
  <c r="EE88" i="2"/>
  <c r="EB88" i="2"/>
  <c r="EC47" i="4" a="1"/>
  <c r="EC47" i="4" s="1"/>
  <c r="DZ45" i="4" a="1"/>
  <c r="DZ45" i="4" s="1"/>
  <c r="EE28" i="4" a="1"/>
  <c r="EE28" i="4" s="1"/>
  <c r="DY58" i="4" a="1"/>
  <c r="DY58" i="4" s="1"/>
  <c r="DX224" i="2"/>
  <c r="DZ224" i="2" s="1"/>
  <c r="EA224" i="2" s="1"/>
  <c r="ED224" i="2"/>
  <c r="DN183" i="2"/>
  <c r="DP183" i="2" s="1"/>
  <c r="DQ183" i="2" s="1"/>
  <c r="DU183" i="2"/>
  <c r="DF183" i="2"/>
  <c r="DV183" i="2"/>
  <c r="DX337" i="2"/>
  <c r="DZ337" i="2" s="1"/>
  <c r="EA337" i="2" s="1"/>
  <c r="ED337" i="2"/>
  <c r="EE259" i="2"/>
  <c r="EC259" i="2"/>
  <c r="EB259" i="2"/>
  <c r="EB86" i="2"/>
  <c r="EE86" i="2"/>
  <c r="EC86" i="2"/>
  <c r="DU256" i="2"/>
  <c r="EF256" i="2"/>
  <c r="DN256" i="2"/>
  <c r="DP256" i="2" s="1"/>
  <c r="DQ256" i="2" s="1"/>
  <c r="DV256" i="2"/>
  <c r="DF256" i="2"/>
  <c r="CM29" i="4"/>
  <c r="CY29" i="4"/>
  <c r="BT29" i="4"/>
  <c r="DC29" i="4"/>
  <c r="DA29" i="4"/>
  <c r="CN29" i="4"/>
  <c r="CW29" i="4"/>
  <c r="CU29" i="4"/>
  <c r="DD29" i="4"/>
  <c r="CX29" i="4"/>
  <c r="CO29" i="4"/>
  <c r="DF29" i="4"/>
  <c r="DB29" i="4"/>
  <c r="AJ29" i="4"/>
  <c r="CS29" i="4"/>
  <c r="CP29" i="4"/>
  <c r="CK29" i="4"/>
  <c r="DG29" i="4"/>
  <c r="CR29" i="4"/>
  <c r="CZ29" i="4"/>
  <c r="DH29" i="4"/>
  <c r="CL29" i="4"/>
  <c r="CV29" i="4"/>
  <c r="CQ29" i="4"/>
  <c r="AH29" i="4"/>
  <c r="CT29" i="4"/>
  <c r="DE29" i="4"/>
  <c r="AD34" i="4"/>
  <c r="BS34" i="4"/>
  <c r="AE34" i="4"/>
  <c r="DX195" i="2"/>
  <c r="DZ195" i="2" s="1"/>
  <c r="EA195" i="2" s="1"/>
  <c r="ED195" i="2"/>
  <c r="DX261" i="2"/>
  <c r="DZ261" i="2" s="1"/>
  <c r="EA261" i="2" s="1"/>
  <c r="ED261" i="2"/>
  <c r="B3" i="50" a="1"/>
  <c r="G38" i="50" s="1"/>
  <c r="DW48" i="4" a="1"/>
  <c r="DW48" i="4" s="1"/>
  <c r="EF57" i="4" a="1"/>
  <c r="EF57" i="4" s="1"/>
  <c r="DN224" i="2"/>
  <c r="DP224" i="2" s="1"/>
  <c r="DQ224" i="2" s="1"/>
  <c r="DU224" i="2"/>
  <c r="DF224" i="2"/>
  <c r="DV224" i="2"/>
  <c r="DX183" i="2"/>
  <c r="DZ183" i="2" s="1"/>
  <c r="EA183" i="2" s="1"/>
  <c r="ED183" i="2"/>
  <c r="DU337" i="2"/>
  <c r="DV337" i="2"/>
  <c r="EF337" i="2"/>
  <c r="DF337" i="2"/>
  <c r="DN337" i="2"/>
  <c r="DP337" i="2" s="1"/>
  <c r="DQ337" i="2" s="1"/>
  <c r="DU195" i="2"/>
  <c r="DN195" i="2"/>
  <c r="DP195" i="2" s="1"/>
  <c r="DQ195" i="2" s="1"/>
  <c r="DV195" i="2"/>
  <c r="EF195" i="2"/>
  <c r="DF195" i="2"/>
  <c r="DU261" i="2"/>
  <c r="DN261" i="2"/>
  <c r="DP261" i="2" s="1"/>
  <c r="DQ261" i="2" s="1"/>
  <c r="DF261" i="2"/>
  <c r="DV261" i="2"/>
  <c r="EF261" i="2"/>
  <c r="EE135" i="2"/>
  <c r="EB135" i="2"/>
  <c r="EC135" i="2"/>
  <c r="EF335" i="2"/>
  <c r="DR135" i="2"/>
  <c r="DS135" i="2"/>
  <c r="DT135" i="2"/>
  <c r="DR163" i="2"/>
  <c r="DS163" i="2"/>
  <c r="DT163" i="2"/>
  <c r="EC227" i="2"/>
  <c r="EB227" i="2"/>
  <c r="EE227" i="2"/>
  <c r="DT227" i="2"/>
  <c r="DS227" i="2"/>
  <c r="DR227" i="2"/>
  <c r="ED311" i="2"/>
  <c r="DX311" i="2"/>
  <c r="DZ311" i="2" s="1"/>
  <c r="EA311" i="2" s="1"/>
  <c r="DU239" i="2"/>
  <c r="DN239" i="2"/>
  <c r="DP239" i="2" s="1"/>
  <c r="DQ239" i="2" s="1"/>
  <c r="EF239" i="2"/>
  <c r="DF239" i="2"/>
  <c r="DV239" i="2"/>
  <c r="DV286" i="2"/>
  <c r="DU286" i="2"/>
  <c r="DF286" i="2"/>
  <c r="DN286" i="2"/>
  <c r="DP286" i="2" s="1"/>
  <c r="DQ286" i="2" s="1"/>
  <c r="EF286" i="2"/>
  <c r="ED216" i="2"/>
  <c r="DX216" i="2"/>
  <c r="DZ216" i="2" s="1"/>
  <c r="EA216" i="2" s="1"/>
  <c r="DN35" i="2"/>
  <c r="DP35" i="2" s="1"/>
  <c r="DQ35" i="2" s="1"/>
  <c r="DU35" i="2"/>
  <c r="DF35" i="2"/>
  <c r="DV35" i="2"/>
  <c r="ED295" i="2"/>
  <c r="DX295" i="2"/>
  <c r="DZ295" i="2" s="1"/>
  <c r="EA295" i="2" s="1"/>
  <c r="DU311" i="2"/>
  <c r="DN311" i="2"/>
  <c r="DP311" i="2" s="1"/>
  <c r="DQ311" i="2" s="1"/>
  <c r="EF311" i="2"/>
  <c r="DV311" i="2"/>
  <c r="DF311" i="2"/>
  <c r="ED239" i="2"/>
  <c r="DX239" i="2"/>
  <c r="DZ239" i="2" s="1"/>
  <c r="EA239" i="2" s="1"/>
  <c r="EB109" i="2"/>
  <c r="EC109" i="2"/>
  <c r="EE109" i="2"/>
  <c r="ED286" i="2"/>
  <c r="DX286" i="2"/>
  <c r="DZ286" i="2" s="1"/>
  <c r="EA286" i="2" s="1"/>
  <c r="DR88" i="2"/>
  <c r="DS88" i="2"/>
  <c r="DT88" i="2"/>
  <c r="EE161" i="2"/>
  <c r="EC161" i="2"/>
  <c r="EB161" i="2"/>
  <c r="DS66" i="2"/>
  <c r="DT66" i="2"/>
  <c r="DR66" i="2"/>
  <c r="EE223" i="2"/>
  <c r="EB223" i="2"/>
  <c r="EC223" i="2"/>
  <c r="DU216" i="2"/>
  <c r="DN216" i="2"/>
  <c r="DP216" i="2" s="1"/>
  <c r="DQ216" i="2" s="1"/>
  <c r="DV216" i="2"/>
  <c r="DF216" i="2"/>
  <c r="EF216" i="2"/>
  <c r="ED35" i="2"/>
  <c r="DX35" i="2"/>
  <c r="DZ35" i="2" s="1"/>
  <c r="EA35" i="2" s="1"/>
  <c r="DS42" i="2"/>
  <c r="DR42" i="2"/>
  <c r="DT42" i="2"/>
  <c r="DN127" i="2"/>
  <c r="DP127" i="2" s="1"/>
  <c r="DQ127" i="2" s="1"/>
  <c r="DU127" i="2"/>
  <c r="DF127" i="2"/>
  <c r="DV127" i="2"/>
  <c r="EF127" i="2"/>
  <c r="EB307" i="2"/>
  <c r="EE307" i="2"/>
  <c r="EC307" i="2"/>
  <c r="DR86" i="2"/>
  <c r="DT86" i="2"/>
  <c r="DS86" i="2"/>
  <c r="EC49" i="2"/>
  <c r="EE49" i="2"/>
  <c r="EB49" i="2"/>
  <c r="DN61" i="2"/>
  <c r="DP61" i="2" s="1"/>
  <c r="DQ61" i="2" s="1"/>
  <c r="DU61" i="2"/>
  <c r="DV61" i="2"/>
  <c r="DF61" i="2"/>
  <c r="ED108" i="2"/>
  <c r="DX108" i="2"/>
  <c r="DZ108" i="2" s="1"/>
  <c r="EA108" i="2" s="1"/>
  <c r="DX76" i="2"/>
  <c r="DZ76" i="2" s="1"/>
  <c r="EA76" i="2" s="1"/>
  <c r="ED76" i="2"/>
  <c r="P30" i="50"/>
  <c r="C45" i="50"/>
  <c r="C6" i="50"/>
  <c r="E54" i="50"/>
  <c r="C12" i="50"/>
  <c r="B3" i="50"/>
  <c r="C56" i="50"/>
  <c r="C29" i="50"/>
  <c r="C51" i="50"/>
  <c r="N54" i="50"/>
  <c r="C48" i="50"/>
  <c r="G54" i="50"/>
  <c r="ED70" i="4" a="1"/>
  <c r="ED70" i="4" s="1"/>
  <c r="DX70" i="4" a="1"/>
  <c r="DX70" i="4" s="1"/>
  <c r="DI123" i="4" a="1"/>
  <c r="DI123" i="4" s="1"/>
  <c r="EL123" i="4" a="1"/>
  <c r="EL123" i="4" s="1"/>
  <c r="DL20" i="4" a="1"/>
  <c r="DL20" i="4" s="1"/>
  <c r="EO20" i="4" a="1"/>
  <c r="EO20" i="4" s="1"/>
  <c r="DR70" i="4" a="1"/>
  <c r="DR70" i="4" s="1"/>
  <c r="EU70" i="4" a="1"/>
  <c r="EU70" i="4" s="1"/>
  <c r="DN70" i="4" a="1"/>
  <c r="DN70" i="4" s="1"/>
  <c r="EQ70" i="4" a="1"/>
  <c r="EQ70" i="4" s="1"/>
  <c r="DS198" i="2"/>
  <c r="DT198" i="2"/>
  <c r="DR198" i="2"/>
  <c r="EO61" i="4" a="1"/>
  <c r="EO61" i="4" s="1"/>
  <c r="DL61" i="4" a="1"/>
  <c r="DL61" i="4" s="1"/>
  <c r="ED41" i="4" a="1"/>
  <c r="ED41" i="4" s="1"/>
  <c r="EC123" i="4" a="1"/>
  <c r="EC123" i="4" s="1"/>
  <c r="DY70" i="4" a="1"/>
  <c r="DY70" i="4" s="1"/>
  <c r="DV61" i="4" a="1"/>
  <c r="DV61" i="4" s="1"/>
  <c r="CX21" i="4"/>
  <c r="AJ21" i="4"/>
  <c r="CM21" i="4"/>
  <c r="DH21" i="4"/>
  <c r="DF21" i="4"/>
  <c r="DC21" i="4"/>
  <c r="CN21" i="4"/>
  <c r="CP21" i="4"/>
  <c r="AH21" i="4"/>
  <c r="CZ21" i="4"/>
  <c r="DA21" i="4"/>
  <c r="CW21" i="4"/>
  <c r="DB21" i="4"/>
  <c r="CY21" i="4"/>
  <c r="CO21" i="4"/>
  <c r="BT21" i="4"/>
  <c r="CT21" i="4"/>
  <c r="CU21" i="4"/>
  <c r="CR21" i="4"/>
  <c r="CS21" i="4"/>
  <c r="CL21" i="4"/>
  <c r="CQ21" i="4"/>
  <c r="DE21" i="4"/>
  <c r="DG21" i="4"/>
  <c r="CV21" i="4"/>
  <c r="DD21" i="4"/>
  <c r="CK21" i="4"/>
  <c r="DZ41" i="4" a="1"/>
  <c r="DZ41" i="4" s="1"/>
  <c r="EQ41" i="4" a="1"/>
  <c r="EQ41" i="4" s="1"/>
  <c r="DN41" i="4" a="1"/>
  <c r="DN41" i="4" s="1"/>
  <c r="BS106" i="4"/>
  <c r="AD106" i="4"/>
  <c r="AE106" i="4"/>
  <c r="EF70" i="4" a="1"/>
  <c r="EF70" i="4" s="1"/>
  <c r="DF166" i="2"/>
  <c r="DN166" i="2"/>
  <c r="DP166" i="2" s="1"/>
  <c r="DQ166" i="2" s="1"/>
  <c r="DU166" i="2"/>
  <c r="DV166" i="2"/>
  <c r="EF166" i="2"/>
  <c r="EU14" i="4" a="1"/>
  <c r="EU14" i="4" s="1"/>
  <c r="DR14" i="4" a="1"/>
  <c r="DR14" i="4" s="1"/>
  <c r="DU14" i="4" a="1"/>
  <c r="DU14" i="4" s="1"/>
  <c r="CZ93" i="4"/>
  <c r="CV93" i="4"/>
  <c r="CO93" i="4"/>
  <c r="CX93" i="4"/>
  <c r="CQ93" i="4"/>
  <c r="CY93" i="4"/>
  <c r="CW93" i="4"/>
  <c r="CN93" i="4"/>
  <c r="DD93" i="4"/>
  <c r="DC93" i="4"/>
  <c r="CR93" i="4"/>
  <c r="CK93" i="4"/>
  <c r="CS93" i="4"/>
  <c r="DG93" i="4"/>
  <c r="CT93" i="4"/>
  <c r="DF93" i="4"/>
  <c r="DB93" i="4"/>
  <c r="AH93" i="4"/>
  <c r="CM93" i="4"/>
  <c r="CU93" i="4"/>
  <c r="DE93" i="4"/>
  <c r="BT93" i="4"/>
  <c r="DA93" i="4"/>
  <c r="CL93" i="4"/>
  <c r="DH93" i="4"/>
  <c r="CP93" i="4"/>
  <c r="AJ93" i="4"/>
  <c r="EF61" i="4" a="1"/>
  <c r="EF61" i="4" s="1"/>
  <c r="DU70" i="4" a="1"/>
  <c r="DU70" i="4" s="1"/>
  <c r="DE56" i="4"/>
  <c r="AJ56" i="4"/>
  <c r="CK56" i="4"/>
  <c r="CV56" i="4"/>
  <c r="DB56" i="4"/>
  <c r="DF56" i="4"/>
  <c r="CQ56" i="4"/>
  <c r="CY56" i="4"/>
  <c r="CZ56" i="4"/>
  <c r="CN56" i="4"/>
  <c r="CP56" i="4"/>
  <c r="CW56" i="4"/>
  <c r="CU56" i="4"/>
  <c r="DH56" i="4"/>
  <c r="CS56" i="4"/>
  <c r="CL56" i="4"/>
  <c r="DD56" i="4"/>
  <c r="BT56" i="4"/>
  <c r="DG56" i="4"/>
  <c r="CX56" i="4"/>
  <c r="CO56" i="4"/>
  <c r="AH56" i="4"/>
  <c r="DA56" i="4"/>
  <c r="CR56" i="4"/>
  <c r="DC56" i="4"/>
  <c r="CM56" i="4"/>
  <c r="CT56" i="4"/>
  <c r="CY97" i="4"/>
  <c r="CT97" i="4"/>
  <c r="CM97" i="4"/>
  <c r="DB97" i="4"/>
  <c r="CR97" i="4"/>
  <c r="DF97" i="4"/>
  <c r="CV97" i="4"/>
  <c r="CU97" i="4"/>
  <c r="BT97" i="4"/>
  <c r="CW97" i="4"/>
  <c r="DE97" i="4"/>
  <c r="CZ97" i="4"/>
  <c r="CK97" i="4"/>
  <c r="CQ97" i="4"/>
  <c r="DD97" i="4"/>
  <c r="DH97" i="4"/>
  <c r="CP97" i="4"/>
  <c r="DA97" i="4"/>
  <c r="CO97" i="4"/>
  <c r="CX97" i="4"/>
  <c r="CN97" i="4"/>
  <c r="DC97" i="4"/>
  <c r="AH97" i="4"/>
  <c r="CL97" i="4"/>
  <c r="CS97" i="4"/>
  <c r="DG97" i="4"/>
  <c r="AJ97" i="4"/>
  <c r="EC14" i="4" a="1"/>
  <c r="EC14" i="4" s="1"/>
  <c r="DV14" i="4" a="1"/>
  <c r="DV14" i="4" s="1"/>
  <c r="ET61" i="4" a="1"/>
  <c r="ET61" i="4" s="1"/>
  <c r="DQ61" i="4" a="1"/>
  <c r="DQ61" i="4" s="1"/>
  <c r="DY61" i="4" a="1"/>
  <c r="DY61" i="4" s="1"/>
  <c r="EW61" i="4" a="1"/>
  <c r="EW61" i="4" s="1"/>
  <c r="DT61" i="4" a="1"/>
  <c r="DT61" i="4" s="1"/>
  <c r="AL98" i="4"/>
  <c r="BH98" i="4"/>
  <c r="P98" i="4"/>
  <c r="BS114" i="4"/>
  <c r="AD114" i="4"/>
  <c r="AE114" i="4"/>
  <c r="EU41" i="4" a="1"/>
  <c r="EU41" i="4" s="1"/>
  <c r="DR41" i="4" a="1"/>
  <c r="DR41" i="4" s="1"/>
  <c r="DV41" i="4" a="1"/>
  <c r="DV41" i="4" s="1"/>
  <c r="DW41" i="4" a="1"/>
  <c r="DW41" i="4" s="1"/>
  <c r="DO41" i="4" a="1"/>
  <c r="DO41" i="4" s="1"/>
  <c r="ER41" i="4" a="1"/>
  <c r="ER41" i="4" s="1"/>
  <c r="EV123" i="4" a="1"/>
  <c r="EV123" i="4" s="1"/>
  <c r="DS123" i="4" a="1"/>
  <c r="DS123" i="4" s="1"/>
  <c r="DV123" i="4" a="1"/>
  <c r="DV123" i="4" s="1"/>
  <c r="DR123" i="4" a="1"/>
  <c r="DR123" i="4" s="1"/>
  <c r="EU123" i="4" a="1"/>
  <c r="EU123" i="4" s="1"/>
  <c r="Y101" i="4"/>
  <c r="Z101" i="4"/>
  <c r="AH127" i="4"/>
  <c r="CY127" i="4"/>
  <c r="DF127" i="4"/>
  <c r="CX127" i="4"/>
  <c r="CP127" i="4"/>
  <c r="DC127" i="4"/>
  <c r="CO127" i="4"/>
  <c r="BT127" i="4"/>
  <c r="CL127" i="4"/>
  <c r="CV127" i="4"/>
  <c r="CN127" i="4"/>
  <c r="CU127" i="4"/>
  <c r="DE127" i="4"/>
  <c r="DD127" i="4"/>
  <c r="CZ127" i="4"/>
  <c r="CK127" i="4"/>
  <c r="CQ127" i="4"/>
  <c r="CT127" i="4"/>
  <c r="CW127" i="4"/>
  <c r="DA127" i="4"/>
  <c r="DB127" i="4"/>
  <c r="AJ127" i="4"/>
  <c r="CM127" i="4"/>
  <c r="CR127" i="4"/>
  <c r="DG127" i="4"/>
  <c r="DH127" i="4"/>
  <c r="CS127" i="4"/>
  <c r="DN20" i="4" a="1"/>
  <c r="DN20" i="4" s="1"/>
  <c r="EQ20" i="4" a="1"/>
  <c r="EQ20" i="4" s="1"/>
  <c r="ER20" i="4" a="1"/>
  <c r="ER20" i="4" s="1"/>
  <c r="DO20" i="4" a="1"/>
  <c r="DO20" i="4" s="1"/>
  <c r="EC20" i="4" a="1"/>
  <c r="EC20" i="4" s="1"/>
  <c r="EB11" i="4" a="1"/>
  <c r="EB11" i="4" s="1"/>
  <c r="EC11" i="4" a="1"/>
  <c r="EC11" i="4" s="1"/>
  <c r="DM11" i="4" a="1"/>
  <c r="DM11" i="4" s="1"/>
  <c r="EP11" i="4" a="1"/>
  <c r="EP11" i="4" s="1"/>
  <c r="CQ84" i="4"/>
  <c r="CP84" i="4"/>
  <c r="CN84" i="4"/>
  <c r="DE84" i="4"/>
  <c r="AH84" i="4"/>
  <c r="DC84" i="4"/>
  <c r="CL84" i="4"/>
  <c r="CM84" i="4"/>
  <c r="CS84" i="4"/>
  <c r="CK84" i="4"/>
  <c r="CY84" i="4"/>
  <c r="CW84" i="4"/>
  <c r="DD84" i="4"/>
  <c r="CU84" i="4"/>
  <c r="CX84" i="4"/>
  <c r="DF84" i="4"/>
  <c r="DB84" i="4"/>
  <c r="DA84" i="4"/>
  <c r="BT84" i="4"/>
  <c r="DH84" i="4"/>
  <c r="CV84" i="4"/>
  <c r="CZ84" i="4"/>
  <c r="DG84" i="4"/>
  <c r="CO84" i="4"/>
  <c r="CT84" i="4"/>
  <c r="AJ84" i="4"/>
  <c r="CR84" i="4"/>
  <c r="ED15" i="4" a="1"/>
  <c r="ED15" i="4" s="1"/>
  <c r="DP15" i="4" a="1"/>
  <c r="DP15" i="4" s="1"/>
  <c r="ES15" i="4" a="1"/>
  <c r="ES15" i="4" s="1"/>
  <c r="DZ15" i="4" a="1"/>
  <c r="DZ15" i="4" s="1"/>
  <c r="DU15" i="4" a="1"/>
  <c r="DU15" i="4" s="1"/>
  <c r="DV53" i="4" a="1"/>
  <c r="DV53" i="4" s="1"/>
  <c r="ES53" i="4" a="1"/>
  <c r="ES53" i="4" s="1"/>
  <c r="DP53" i="4" a="1"/>
  <c r="DP53" i="4" s="1"/>
  <c r="DY54" i="4" a="1"/>
  <c r="DY54" i="4" s="1"/>
  <c r="DW54" i="4" a="1"/>
  <c r="DW54" i="4" s="1"/>
  <c r="EC54" i="4" a="1"/>
  <c r="EC54" i="4" s="1"/>
  <c r="DR54" i="4" a="1"/>
  <c r="DR54" i="4" s="1"/>
  <c r="EU54" i="4" a="1"/>
  <c r="EU54" i="4" s="1"/>
  <c r="DN16" i="4" a="1"/>
  <c r="DN16" i="4" s="1"/>
  <c r="EQ16" i="4" a="1"/>
  <c r="EQ16" i="4" s="1"/>
  <c r="J7" i="50" s="1"/>
  <c r="EW16" i="4" a="1"/>
  <c r="EW16" i="4" s="1"/>
  <c r="P7" i="50" s="1"/>
  <c r="DT16" i="4" a="1"/>
  <c r="DT16" i="4" s="1"/>
  <c r="EE16" i="4" a="1"/>
  <c r="EE16" i="4" s="1"/>
  <c r="EP16" i="4" a="1"/>
  <c r="EP16" i="4" s="1"/>
  <c r="I7" i="50" s="1"/>
  <c r="DM16" i="4" a="1"/>
  <c r="DM16" i="4" s="1"/>
  <c r="Z97" i="4"/>
  <c r="Y97" i="4"/>
  <c r="DN48" i="4" a="1"/>
  <c r="DN48" i="4" s="1"/>
  <c r="EQ48" i="4" a="1"/>
  <c r="EQ48" i="4" s="1"/>
  <c r="EF48" i="4" a="1"/>
  <c r="EF48" i="4" s="1"/>
  <c r="EA48" i="4" a="1"/>
  <c r="EA48" i="4" s="1"/>
  <c r="EP26" i="4" a="1"/>
  <c r="EP26" i="4" s="1"/>
  <c r="DM26" i="4" a="1"/>
  <c r="DM26" i="4" s="1"/>
  <c r="DX71" i="4" a="1"/>
  <c r="DX71" i="4" s="1"/>
  <c r="DR71" i="4" a="1"/>
  <c r="DR71" i="4" s="1"/>
  <c r="EU71" i="4" a="1"/>
  <c r="EU71" i="4" s="1"/>
  <c r="N34" i="50" s="1"/>
  <c r="EF71" i="4" a="1"/>
  <c r="EF71" i="4" s="1"/>
  <c r="DM57" i="4" a="1"/>
  <c r="DM57" i="4" s="1"/>
  <c r="EP57" i="4" a="1"/>
  <c r="EP57" i="4" s="1"/>
  <c r="DV57" i="4" a="1"/>
  <c r="DV57" i="4" s="1"/>
  <c r="DX57" i="4" a="1"/>
  <c r="DX57" i="4" s="1"/>
  <c r="DT57" i="4" a="1"/>
  <c r="DT57" i="4" s="1"/>
  <c r="EW57" i="4" a="1"/>
  <c r="EW57" i="4" s="1"/>
  <c r="EW23" i="4" a="1"/>
  <c r="EW23" i="4" s="1"/>
  <c r="DT23" i="4" a="1"/>
  <c r="DT23" i="4" s="1"/>
  <c r="EA23" i="4" a="1"/>
  <c r="EA23" i="4" s="1"/>
  <c r="DR23" i="4" a="1"/>
  <c r="DR23" i="4" s="1"/>
  <c r="EU23" i="4" a="1"/>
  <c r="EU23" i="4" s="1"/>
  <c r="EO23" i="4" a="1"/>
  <c r="EO23" i="4" s="1"/>
  <c r="DL23" i="4" a="1"/>
  <c r="DL23" i="4" s="1"/>
  <c r="EC126" i="4" a="1"/>
  <c r="EC126" i="4" s="1"/>
  <c r="DX126" i="4" a="1"/>
  <c r="DX126" i="4" s="1"/>
  <c r="EF126" i="4" a="1"/>
  <c r="EF126" i="4" s="1"/>
  <c r="EB47" i="4" a="1"/>
  <c r="EB47" i="4" s="1"/>
  <c r="DR47" i="4" a="1"/>
  <c r="DR47" i="4" s="1"/>
  <c r="EU47" i="4" a="1"/>
  <c r="EU47" i="4" s="1"/>
  <c r="DW47" i="4" a="1"/>
  <c r="DW47" i="4" s="1"/>
  <c r="DU174" i="2"/>
  <c r="DN174" i="2"/>
  <c r="DP174" i="2" s="1"/>
  <c r="DQ174" i="2" s="1"/>
  <c r="DF174" i="2"/>
  <c r="EF174" i="2"/>
  <c r="DV174" i="2"/>
  <c r="CL134" i="4"/>
  <c r="CN134" i="4"/>
  <c r="AJ134" i="4"/>
  <c r="BT134" i="4"/>
  <c r="CP134" i="4"/>
  <c r="DC134" i="4"/>
  <c r="CX134" i="4"/>
  <c r="CV134" i="4"/>
  <c r="DE134" i="4"/>
  <c r="DF134" i="4"/>
  <c r="CT134" i="4"/>
  <c r="CU134" i="4"/>
  <c r="AH134" i="4"/>
  <c r="CZ134" i="4"/>
  <c r="CQ134" i="4"/>
  <c r="DD134" i="4"/>
  <c r="DA134" i="4"/>
  <c r="DH134" i="4"/>
  <c r="CY134" i="4"/>
  <c r="DG134" i="4"/>
  <c r="CS134" i="4"/>
  <c r="CW134" i="4"/>
  <c r="CK134" i="4"/>
  <c r="CR134" i="4"/>
  <c r="CM134" i="4"/>
  <c r="DB134" i="4"/>
  <c r="CO134" i="4"/>
  <c r="EP38" i="4" a="1"/>
  <c r="EP38" i="4" s="1"/>
  <c r="DM38" i="4" a="1"/>
  <c r="DM38" i="4" s="1"/>
  <c r="DY38" i="4" a="1"/>
  <c r="DY38" i="4" s="1"/>
  <c r="EV38" i="4" a="1"/>
  <c r="EV38" i="4" s="1"/>
  <c r="DS38" i="4" a="1"/>
  <c r="DS38" i="4" s="1"/>
  <c r="BT12" i="4"/>
  <c r="CN12" i="4"/>
  <c r="CW12" i="4"/>
  <c r="CV12" i="4"/>
  <c r="CP12" i="4"/>
  <c r="CL12" i="4"/>
  <c r="DH12" i="4"/>
  <c r="AJ12" i="4"/>
  <c r="DF12" i="4"/>
  <c r="DB12" i="4"/>
  <c r="CR12" i="4"/>
  <c r="CY12" i="4"/>
  <c r="CU12" i="4"/>
  <c r="DE12" i="4"/>
  <c r="DD12" i="4"/>
  <c r="CM12" i="4"/>
  <c r="CS12" i="4"/>
  <c r="DC12" i="4"/>
  <c r="DG12" i="4"/>
  <c r="CT12" i="4"/>
  <c r="CO12" i="4"/>
  <c r="CQ12" i="4"/>
  <c r="AH12" i="4"/>
  <c r="DA12" i="4"/>
  <c r="CZ12" i="4"/>
  <c r="CK12" i="4"/>
  <c r="CX12" i="4"/>
  <c r="DQ49" i="4" a="1"/>
  <c r="DQ49" i="4" s="1"/>
  <c r="ET49" i="4" a="1"/>
  <c r="ET49" i="4" s="1"/>
  <c r="ED49" i="4" a="1"/>
  <c r="ED49" i="4" s="1"/>
  <c r="DM49" i="4" a="1"/>
  <c r="DM49" i="4" s="1"/>
  <c r="EP49" i="4" a="1"/>
  <c r="EP49" i="4" s="1"/>
  <c r="DU203" i="2"/>
  <c r="DV203" i="2"/>
  <c r="DN203" i="2"/>
  <c r="DP203" i="2" s="1"/>
  <c r="DQ203" i="2" s="1"/>
  <c r="DF203" i="2"/>
  <c r="EF203" i="2"/>
  <c r="EM46" i="4" a="1"/>
  <c r="EM46" i="4" s="1"/>
  <c r="DJ46" i="4" a="1"/>
  <c r="DJ46" i="4" s="1"/>
  <c r="EC46" i="4" a="1"/>
  <c r="EC46" i="4" s="1"/>
  <c r="EA46" i="4" a="1"/>
  <c r="EA46" i="4" s="1"/>
  <c r="DT46" i="4" a="1"/>
  <c r="DT46" i="4" s="1"/>
  <c r="EW46" i="4" a="1"/>
  <c r="EW46" i="4" s="1"/>
  <c r="BH118" i="4"/>
  <c r="P118" i="4"/>
  <c r="AL118" i="4"/>
  <c r="EN44" i="4" a="1"/>
  <c r="EN44" i="4" s="1"/>
  <c r="DK44" i="4" a="1"/>
  <c r="DK44" i="4" s="1"/>
  <c r="EM44" i="4" a="1"/>
  <c r="EM44" i="4" s="1"/>
  <c r="DJ44" i="4" a="1"/>
  <c r="DJ44" i="4" s="1"/>
  <c r="DY44" i="4" a="1"/>
  <c r="DY44" i="4" s="1"/>
  <c r="EF44" i="4" a="1"/>
  <c r="EF44" i="4" s="1"/>
  <c r="ET72" i="4" a="1"/>
  <c r="ET72" i="4" s="1"/>
  <c r="DQ72" i="4" a="1"/>
  <c r="DQ72" i="4" s="1"/>
  <c r="EV72" i="4" a="1"/>
  <c r="EV72" i="4" s="1"/>
  <c r="O35" i="50" s="1"/>
  <c r="DS72" i="4" a="1"/>
  <c r="DS72" i="4" s="1"/>
  <c r="EF72" i="4" a="1"/>
  <c r="EF72" i="4" s="1"/>
  <c r="AE112" i="4"/>
  <c r="AD112" i="4"/>
  <c r="BS112" i="4"/>
  <c r="CL32" i="4"/>
  <c r="CV32" i="4"/>
  <c r="CO32" i="4"/>
  <c r="BT32" i="4"/>
  <c r="DE32" i="4"/>
  <c r="CW32" i="4"/>
  <c r="CM32" i="4"/>
  <c r="CZ32" i="4"/>
  <c r="CP32" i="4"/>
  <c r="CQ32" i="4"/>
  <c r="AJ32" i="4"/>
  <c r="CT32" i="4"/>
  <c r="DH32" i="4"/>
  <c r="DF32" i="4"/>
  <c r="CS32" i="4"/>
  <c r="CY32" i="4"/>
  <c r="CR32" i="4"/>
  <c r="DA32" i="4"/>
  <c r="DB32" i="4"/>
  <c r="AH32" i="4"/>
  <c r="CK32" i="4"/>
  <c r="DG32" i="4"/>
  <c r="DC32" i="4"/>
  <c r="CN32" i="4"/>
  <c r="CU32" i="4"/>
  <c r="CX32" i="4"/>
  <c r="DD32" i="4"/>
  <c r="EB69" i="4" a="1"/>
  <c r="EB69" i="4" s="1"/>
  <c r="EC69" i="4" a="1"/>
  <c r="EC69" i="4" s="1"/>
  <c r="DV69" i="4" a="1"/>
  <c r="DV69" i="4" s="1"/>
  <c r="DZ59" i="4" a="1"/>
  <c r="DZ59" i="4" s="1"/>
  <c r="EF59" i="4" a="1"/>
  <c r="EF59" i="4" s="1"/>
  <c r="EC59" i="4" a="1"/>
  <c r="EC59" i="4" s="1"/>
  <c r="DJ59" i="4" a="1"/>
  <c r="DJ59" i="4" s="1"/>
  <c r="EM59" i="4" a="1"/>
  <c r="EM59" i="4" s="1"/>
  <c r="DX27" i="4" a="1"/>
  <c r="DX27" i="4" s="1"/>
  <c r="EC27" i="4" a="1"/>
  <c r="EC27" i="4" s="1"/>
  <c r="EA27" i="4" a="1"/>
  <c r="EA27" i="4" s="1"/>
  <c r="ED52" i="4" a="1"/>
  <c r="ED52" i="4" s="1"/>
  <c r="EL52" i="4" a="1"/>
  <c r="EL52" i="4" s="1"/>
  <c r="DI52" i="4" a="1"/>
  <c r="DI52" i="4" s="1"/>
  <c r="EC52" i="4" a="1"/>
  <c r="EC52" i="4" s="1"/>
  <c r="DV17" i="4" a="1"/>
  <c r="DV17" i="4" s="1"/>
  <c r="DY17" i="4" a="1"/>
  <c r="DY17" i="4" s="1"/>
  <c r="DS17" i="4" a="1"/>
  <c r="DS17" i="4" s="1"/>
  <c r="EV17" i="4" a="1"/>
  <c r="EV17" i="4" s="1"/>
  <c r="ES39" i="4" a="1"/>
  <c r="ES39" i="4" s="1"/>
  <c r="DP39" i="4" a="1"/>
  <c r="DP39" i="4" s="1"/>
  <c r="EB39" i="4" a="1"/>
  <c r="EB39" i="4" s="1"/>
  <c r="EW39" i="4" a="1"/>
  <c r="EW39" i="4" s="1"/>
  <c r="DT39" i="4" a="1"/>
  <c r="DT39" i="4" s="1"/>
  <c r="DT301" i="2"/>
  <c r="DR301" i="2"/>
  <c r="DS301" i="2"/>
  <c r="DM68" i="4" a="1"/>
  <c r="DM68" i="4" s="1"/>
  <c r="EP68" i="4" a="1"/>
  <c r="EP68" i="4" s="1"/>
  <c r="EC45" i="4" a="1"/>
  <c r="EC45" i="4" s="1"/>
  <c r="DW45" i="4" a="1"/>
  <c r="DW45" i="4" s="1"/>
  <c r="DN28" i="4" a="1"/>
  <c r="DN28" i="4" s="1"/>
  <c r="EQ28" i="4" a="1"/>
  <c r="EQ28" i="4" s="1"/>
  <c r="EP28" i="4" a="1"/>
  <c r="EP28" i="4" s="1"/>
  <c r="DM28" i="4" a="1"/>
  <c r="DM28" i="4" s="1"/>
  <c r="CQ122" i="4"/>
  <c r="DF122" i="4"/>
  <c r="CT122" i="4"/>
  <c r="DH122" i="4"/>
  <c r="CX122" i="4"/>
  <c r="CO122" i="4"/>
  <c r="CN122" i="4"/>
  <c r="AH122" i="4"/>
  <c r="CK122" i="4"/>
  <c r="DD122" i="4"/>
  <c r="CR122" i="4"/>
  <c r="DE122" i="4"/>
  <c r="DA122" i="4"/>
  <c r="CS122" i="4"/>
  <c r="CV122" i="4"/>
  <c r="AJ122" i="4"/>
  <c r="CW122" i="4"/>
  <c r="CU122" i="4"/>
  <c r="CY122" i="4"/>
  <c r="CM122" i="4"/>
  <c r="DC122" i="4"/>
  <c r="CP122" i="4"/>
  <c r="BT122" i="4"/>
  <c r="CL122" i="4"/>
  <c r="DG122" i="4"/>
  <c r="DB122" i="4"/>
  <c r="CZ122" i="4"/>
  <c r="EU60" i="4" a="1"/>
  <c r="EU60" i="4" s="1"/>
  <c r="DR60" i="4" a="1"/>
  <c r="DR60" i="4" s="1"/>
  <c r="EO60" i="4" a="1"/>
  <c r="EO60" i="4" s="1"/>
  <c r="DL60" i="4" a="1"/>
  <c r="DL60" i="4" s="1"/>
  <c r="EM60" i="4" a="1"/>
  <c r="EM60" i="4" s="1"/>
  <c r="DJ60" i="4" a="1"/>
  <c r="DJ60" i="4" s="1"/>
  <c r="ET60" i="4" a="1"/>
  <c r="ET60" i="4" s="1"/>
  <c r="DQ60" i="4" a="1"/>
  <c r="DQ60" i="4" s="1"/>
  <c r="DR85" i="4" a="1"/>
  <c r="DR85" i="4" s="1"/>
  <c r="EU85" i="4" a="1"/>
  <c r="EU85" i="4" s="1"/>
  <c r="EL85" i="4" a="1"/>
  <c r="EL85" i="4" s="1"/>
  <c r="DI85" i="4" a="1"/>
  <c r="DI85" i="4" s="1"/>
  <c r="DY85" i="4" a="1"/>
  <c r="DY85" i="4" s="1"/>
  <c r="DZ58" i="4" a="1"/>
  <c r="DZ58" i="4" s="1"/>
  <c r="EA58" i="4" a="1"/>
  <c r="EA58" i="4" s="1"/>
  <c r="EO58" i="4" a="1"/>
  <c r="EO58" i="4" s="1"/>
  <c r="DL58" i="4" a="1"/>
  <c r="DL58" i="4" s="1"/>
  <c r="DS58" i="4" a="1"/>
  <c r="DS58" i="4" s="1"/>
  <c r="EV58" i="4" a="1"/>
  <c r="EV58" i="4" s="1"/>
  <c r="EC155" i="2"/>
  <c r="EB155" i="2"/>
  <c r="EE155" i="2"/>
  <c r="DU25" i="4" a="1"/>
  <c r="DU25" i="4" s="1"/>
  <c r="EB25" i="4" a="1"/>
  <c r="EB25" i="4" s="1"/>
  <c r="ES25" i="4" a="1"/>
  <c r="ES25" i="4" s="1"/>
  <c r="DP25" i="4" a="1"/>
  <c r="DP25" i="4" s="1"/>
  <c r="DX25" i="4" a="1"/>
  <c r="DX25" i="4" s="1"/>
  <c r="DE35" i="4"/>
  <c r="CP35" i="4"/>
  <c r="DG35" i="4"/>
  <c r="CO35" i="4"/>
  <c r="CV35" i="4"/>
  <c r="CZ35" i="4"/>
  <c r="CX35" i="4"/>
  <c r="AJ35" i="4"/>
  <c r="CU35" i="4"/>
  <c r="CY35" i="4"/>
  <c r="DA35" i="4"/>
  <c r="DD35" i="4"/>
  <c r="CM35" i="4"/>
  <c r="DC35" i="4"/>
  <c r="CQ35" i="4"/>
  <c r="AH35" i="4"/>
  <c r="CR35" i="4"/>
  <c r="CT35" i="4"/>
  <c r="CS35" i="4"/>
  <c r="CN35" i="4"/>
  <c r="DH35" i="4"/>
  <c r="DB35" i="4"/>
  <c r="DF35" i="4"/>
  <c r="CK35" i="4"/>
  <c r="BT35" i="4"/>
  <c r="CW35" i="4"/>
  <c r="CL35" i="4"/>
  <c r="DW55" i="4" a="1"/>
  <c r="DW55" i="4" s="1"/>
  <c r="DZ55" i="4" a="1"/>
  <c r="DZ55" i="4" s="1"/>
  <c r="EU55" i="4" a="1"/>
  <c r="EU55" i="4" s="1"/>
  <c r="DR55" i="4" a="1"/>
  <c r="DR55" i="4" s="1"/>
  <c r="ED40" i="4" a="1"/>
  <c r="ED40" i="4" s="1"/>
  <c r="DU40" i="4" a="1"/>
  <c r="DU40" i="4" s="1"/>
  <c r="DZ40" i="4" a="1"/>
  <c r="DZ40" i="4" s="1"/>
  <c r="DP132" i="4" a="1"/>
  <c r="DP132" i="4" s="1"/>
  <c r="ES132" i="4" a="1"/>
  <c r="ES132" i="4" s="1"/>
  <c r="EW132" i="4" a="1"/>
  <c r="EW132" i="4" s="1"/>
  <c r="DT132" i="4" a="1"/>
  <c r="DT132" i="4" s="1"/>
  <c r="EB182" i="2"/>
  <c r="EE182" i="2"/>
  <c r="EC182" i="2"/>
  <c r="EL18" i="4" a="1"/>
  <c r="EL18" i="4" s="1"/>
  <c r="DI18" i="4" a="1"/>
  <c r="DI18" i="4" s="1"/>
  <c r="DL18" i="4" a="1"/>
  <c r="DL18" i="4" s="1"/>
  <c r="EO18" i="4" a="1"/>
  <c r="EO18" i="4" s="1"/>
  <c r="AL95" i="4"/>
  <c r="P95" i="4"/>
  <c r="BH95" i="4"/>
  <c r="EV61" i="4" a="1"/>
  <c r="EV61" i="4" s="1"/>
  <c r="DS61" i="4" a="1"/>
  <c r="DS61" i="4" s="1"/>
  <c r="DS70" i="4" a="1"/>
  <c r="DS70" i="4" s="1"/>
  <c r="EV70" i="4" a="1"/>
  <c r="EV70" i="4" s="1"/>
  <c r="DX14" i="4" a="1"/>
  <c r="DX14" i="4" s="1"/>
  <c r="DI70" i="4" a="1"/>
  <c r="DI70" i="4" s="1"/>
  <c r="EL70" i="4" a="1"/>
  <c r="EL70" i="4" s="1"/>
  <c r="EE70" i="4" a="1"/>
  <c r="EE70" i="4" s="1"/>
  <c r="EC70" i="4" a="1"/>
  <c r="EC70" i="4" s="1"/>
  <c r="EB70" i="4" a="1"/>
  <c r="EB70" i="4" s="1"/>
  <c r="CW125" i="4"/>
  <c r="CZ125" i="4"/>
  <c r="DH125" i="4"/>
  <c r="CM125" i="4"/>
  <c r="CR125" i="4"/>
  <c r="DF125" i="4"/>
  <c r="CU125" i="4"/>
  <c r="CL125" i="4"/>
  <c r="CP125" i="4"/>
  <c r="CX125" i="4"/>
  <c r="DD125" i="4"/>
  <c r="CT125" i="4"/>
  <c r="AJ125" i="4"/>
  <c r="CQ125" i="4"/>
  <c r="CV125" i="4"/>
  <c r="CY125" i="4"/>
  <c r="DA125" i="4"/>
  <c r="CN125" i="4"/>
  <c r="CK125" i="4"/>
  <c r="DB125" i="4"/>
  <c r="BT125" i="4"/>
  <c r="CO125" i="4"/>
  <c r="AH125" i="4"/>
  <c r="DC125" i="4"/>
  <c r="DE125" i="4"/>
  <c r="CS125" i="4"/>
  <c r="DG125" i="4"/>
  <c r="CV78" i="4"/>
  <c r="DC78" i="4"/>
  <c r="CY78" i="4"/>
  <c r="CP78" i="4"/>
  <c r="CN78" i="4"/>
  <c r="CZ78" i="4"/>
  <c r="AJ78" i="4"/>
  <c r="DD78" i="4"/>
  <c r="AH78" i="4"/>
  <c r="CW78" i="4"/>
  <c r="CL78" i="4"/>
  <c r="BT78" i="4"/>
  <c r="CU78" i="4"/>
  <c r="CO78" i="4"/>
  <c r="DH78" i="4"/>
  <c r="DB78" i="4"/>
  <c r="CM78" i="4"/>
  <c r="CK78" i="4"/>
  <c r="CT78" i="4"/>
  <c r="DA78" i="4"/>
  <c r="CR78" i="4"/>
  <c r="DF78" i="4"/>
  <c r="CQ78" i="4"/>
  <c r="CX78" i="4"/>
  <c r="DG78" i="4"/>
  <c r="DE78" i="4"/>
  <c r="CS78" i="4"/>
  <c r="DT182" i="2"/>
  <c r="DS182" i="2"/>
  <c r="DR182" i="2"/>
  <c r="DJ14" i="4" a="1"/>
  <c r="DJ14" i="4" s="1"/>
  <c r="EM14" i="4" a="1"/>
  <c r="EM14" i="4" s="1"/>
  <c r="ED14" i="4" a="1"/>
  <c r="ED14" i="4" s="1"/>
  <c r="EN14" i="4" a="1"/>
  <c r="EN14" i="4" s="1"/>
  <c r="DK14" i="4" a="1"/>
  <c r="DK14" i="4" s="1"/>
  <c r="CN92" i="4"/>
  <c r="DH92" i="4"/>
  <c r="CK92" i="4"/>
  <c r="CS92" i="4"/>
  <c r="CU92" i="4"/>
  <c r="CX92" i="4"/>
  <c r="DD92" i="4"/>
  <c r="CV92" i="4"/>
  <c r="DA92" i="4"/>
  <c r="CP92" i="4"/>
  <c r="CR92" i="4"/>
  <c r="CM92" i="4"/>
  <c r="DB92" i="4"/>
  <c r="CZ92" i="4"/>
  <c r="DF92" i="4"/>
  <c r="CQ92" i="4"/>
  <c r="DG92" i="4"/>
  <c r="CO92" i="4"/>
  <c r="BT92" i="4"/>
  <c r="AJ92" i="4"/>
  <c r="DC92" i="4"/>
  <c r="CT92" i="4"/>
  <c r="AH92" i="4"/>
  <c r="DE92" i="4"/>
  <c r="CY92" i="4"/>
  <c r="CW92" i="4"/>
  <c r="CL92" i="4"/>
  <c r="EB61" i="4" a="1"/>
  <c r="EB61" i="4" s="1"/>
  <c r="DX61" i="4" a="1"/>
  <c r="DX61" i="4" s="1"/>
  <c r="DN61" i="4" a="1"/>
  <c r="DN61" i="4" s="1"/>
  <c r="EQ61" i="4" a="1"/>
  <c r="EQ61" i="4" s="1"/>
  <c r="ED102" i="2"/>
  <c r="DX102" i="2"/>
  <c r="DZ102" i="2" s="1"/>
  <c r="EA102" i="2" s="1"/>
  <c r="DU41" i="4" a="1"/>
  <c r="DU41" i="4" s="1"/>
  <c r="ET41" i="4" a="1"/>
  <c r="ET41" i="4" s="1"/>
  <c r="DQ41" i="4" a="1"/>
  <c r="DQ41" i="4" s="1"/>
  <c r="DS41" i="4" a="1"/>
  <c r="DS41" i="4" s="1"/>
  <c r="EV41" i="4" a="1"/>
  <c r="EV41" i="4" s="1"/>
  <c r="EE41" i="4" a="1"/>
  <c r="EE41" i="4" s="1"/>
  <c r="CT79" i="4"/>
  <c r="AH79" i="4"/>
  <c r="CU79" i="4"/>
  <c r="CQ79" i="4"/>
  <c r="CO79" i="4"/>
  <c r="CM79" i="4"/>
  <c r="CY79" i="4"/>
  <c r="CW79" i="4"/>
  <c r="CX79" i="4"/>
  <c r="DF79" i="4"/>
  <c r="DA79" i="4"/>
  <c r="CS79" i="4"/>
  <c r="DD79" i="4"/>
  <c r="DB79" i="4"/>
  <c r="CR79" i="4"/>
  <c r="DG79" i="4"/>
  <c r="AJ79" i="4"/>
  <c r="CZ79" i="4"/>
  <c r="CV79" i="4"/>
  <c r="CP79" i="4"/>
  <c r="CK79" i="4"/>
  <c r="DC79" i="4"/>
  <c r="DE79" i="4"/>
  <c r="CN79" i="4"/>
  <c r="CL79" i="4"/>
  <c r="BT79" i="4"/>
  <c r="DH79" i="4"/>
  <c r="BT77" i="4"/>
  <c r="CZ77" i="4"/>
  <c r="CS77" i="4"/>
  <c r="DF77" i="4"/>
  <c r="DC77" i="4"/>
  <c r="DB77" i="4"/>
  <c r="DD77" i="4"/>
  <c r="CK77" i="4"/>
  <c r="DA77" i="4"/>
  <c r="CL77" i="4"/>
  <c r="CP77" i="4"/>
  <c r="DE77" i="4"/>
  <c r="CV77" i="4"/>
  <c r="CR77" i="4"/>
  <c r="DG77" i="4"/>
  <c r="AJ77" i="4"/>
  <c r="CN77" i="4"/>
  <c r="CM77" i="4"/>
  <c r="DH77" i="4"/>
  <c r="CO77" i="4"/>
  <c r="CX77" i="4"/>
  <c r="CW77" i="4"/>
  <c r="AH77" i="4"/>
  <c r="CU77" i="4"/>
  <c r="CY77" i="4"/>
  <c r="CT77" i="4"/>
  <c r="CQ77" i="4"/>
  <c r="DH62" i="4"/>
  <c r="CO62" i="4"/>
  <c r="CZ62" i="4"/>
  <c r="DE62" i="4"/>
  <c r="CW62" i="4"/>
  <c r="DF62" i="4"/>
  <c r="CQ62" i="4"/>
  <c r="CX62" i="4"/>
  <c r="DD62" i="4"/>
  <c r="AJ62" i="4"/>
  <c r="CR62" i="4"/>
  <c r="CS62" i="4"/>
  <c r="CL62" i="4"/>
  <c r="CK62" i="4"/>
  <c r="BT62" i="4"/>
  <c r="CN62" i="4"/>
  <c r="CY62" i="4"/>
  <c r="DB62" i="4"/>
  <c r="DA62" i="4"/>
  <c r="DC62" i="4"/>
  <c r="CU62" i="4"/>
  <c r="CT62" i="4"/>
  <c r="DG62" i="4"/>
  <c r="CP62" i="4"/>
  <c r="CM62" i="4"/>
  <c r="AH62" i="4"/>
  <c r="CV62" i="4"/>
  <c r="EB123" i="4" a="1"/>
  <c r="EB123" i="4" s="1"/>
  <c r="EO123" i="4" a="1"/>
  <c r="EO123" i="4" s="1"/>
  <c r="DL123" i="4" a="1"/>
  <c r="DL123" i="4" s="1"/>
  <c r="ES123" i="4" a="1"/>
  <c r="ES123" i="4" s="1"/>
  <c r="DP123" i="4" a="1"/>
  <c r="DP123" i="4" s="1"/>
  <c r="CO51" i="4"/>
  <c r="DB51" i="4"/>
  <c r="DG51" i="4"/>
  <c r="CP51" i="4"/>
  <c r="CV51" i="4"/>
  <c r="CK51" i="4"/>
  <c r="AJ51" i="4"/>
  <c r="CW51" i="4"/>
  <c r="CQ51" i="4"/>
  <c r="DC51" i="4"/>
  <c r="CU51" i="4"/>
  <c r="DH51" i="4"/>
  <c r="DA51" i="4"/>
  <c r="CX51" i="4"/>
  <c r="BT51" i="4"/>
  <c r="CY51" i="4"/>
  <c r="DE51" i="4"/>
  <c r="CS51" i="4"/>
  <c r="CN51" i="4"/>
  <c r="CR51" i="4"/>
  <c r="AH51" i="4"/>
  <c r="CL51" i="4"/>
  <c r="CZ51" i="4"/>
  <c r="DD51" i="4"/>
  <c r="CT51" i="4"/>
  <c r="DF51" i="4"/>
  <c r="CM51" i="4"/>
  <c r="ET20" i="4" a="1"/>
  <c r="ET20" i="4" s="1"/>
  <c r="DQ20" i="4" a="1"/>
  <c r="DQ20" i="4" s="1"/>
  <c r="DV20" i="4" a="1"/>
  <c r="DV20" i="4" s="1"/>
  <c r="DW11" i="4" a="1"/>
  <c r="DW11" i="4" s="1"/>
  <c r="ET11" i="4" a="1"/>
  <c r="ET11" i="4" s="1"/>
  <c r="DQ11" i="4" a="1"/>
  <c r="DQ11" i="4" s="1"/>
  <c r="DY11" i="4" a="1"/>
  <c r="DY11" i="4" s="1"/>
  <c r="DY15" i="4" a="1"/>
  <c r="DY15" i="4" s="1"/>
  <c r="DT15" i="4" a="1"/>
  <c r="DT15" i="4" s="1"/>
  <c r="EW15" i="4" a="1"/>
  <c r="EW15" i="4" s="1"/>
  <c r="DN15" i="4" a="1"/>
  <c r="DN15" i="4" s="1"/>
  <c r="EQ15" i="4" a="1"/>
  <c r="EQ15" i="4" s="1"/>
  <c r="CO10" i="4"/>
  <c r="AH10" i="4"/>
  <c r="CL10" i="4"/>
  <c r="CS10" i="4"/>
  <c r="DC10" i="4"/>
  <c r="CK10" i="4"/>
  <c r="DF10" i="4"/>
  <c r="DE10" i="4"/>
  <c r="DG10" i="4"/>
  <c r="CQ10" i="4"/>
  <c r="CP10" i="4"/>
  <c r="DB10" i="4"/>
  <c r="CN10" i="4"/>
  <c r="CV10" i="4"/>
  <c r="CR10" i="4"/>
  <c r="CW10" i="4"/>
  <c r="CZ10" i="4"/>
  <c r="CX10" i="4"/>
  <c r="AJ10" i="4"/>
  <c r="DD10" i="4"/>
  <c r="BT10" i="4"/>
  <c r="CT10" i="4"/>
  <c r="CY10" i="4"/>
  <c r="CU10" i="4"/>
  <c r="CM10" i="4"/>
  <c r="DH10" i="4"/>
  <c r="DA10" i="4"/>
  <c r="DZ53" i="4" a="1"/>
  <c r="DZ53" i="4" s="1"/>
  <c r="DW53" i="4" a="1"/>
  <c r="DW53" i="4" s="1"/>
  <c r="EA53" i="4" a="1"/>
  <c r="EA53" i="4" s="1"/>
  <c r="DI54" i="4" a="1"/>
  <c r="DI54" i="4" s="1"/>
  <c r="EL54" i="4" a="1"/>
  <c r="EL54" i="4" s="1"/>
  <c r="DV54" i="4" a="1"/>
  <c r="DV54" i="4" s="1"/>
  <c r="DX54" i="4" a="1"/>
  <c r="DX54" i="4" s="1"/>
  <c r="EC16" i="4" a="1"/>
  <c r="EC16" i="4" s="1"/>
  <c r="EU16" i="4" a="1"/>
  <c r="EU16" i="4" s="1"/>
  <c r="DR16" i="4" a="1"/>
  <c r="DR16" i="4" s="1"/>
  <c r="EM16" i="4" a="1"/>
  <c r="EM16" i="4" s="1"/>
  <c r="F7" i="50" s="1"/>
  <c r="DJ16" i="4" a="1"/>
  <c r="DJ16" i="4" s="1"/>
  <c r="AL97" i="4"/>
  <c r="P97" i="4"/>
  <c r="BH97" i="4"/>
  <c r="DS48" i="4" a="1"/>
  <c r="DS48" i="4" s="1"/>
  <c r="EV48" i="4" a="1"/>
  <c r="EV48" i="4" s="1"/>
  <c r="EN48" i="4" a="1"/>
  <c r="EN48" i="4" s="1"/>
  <c r="DK48" i="4" a="1"/>
  <c r="DK48" i="4" s="1"/>
  <c r="ED48" i="4" a="1"/>
  <c r="ED48" i="4" s="1"/>
  <c r="CR133" i="4"/>
  <c r="DA133" i="4"/>
  <c r="CP133" i="4"/>
  <c r="CL133" i="4"/>
  <c r="DC133" i="4"/>
  <c r="DE133" i="4"/>
  <c r="DB133" i="4"/>
  <c r="CS133" i="4"/>
  <c r="BT133" i="4"/>
  <c r="DG133" i="4"/>
  <c r="CX133" i="4"/>
  <c r="DH133" i="4"/>
  <c r="CV133" i="4"/>
  <c r="AH133" i="4"/>
  <c r="CZ133" i="4"/>
  <c r="DD133" i="4"/>
  <c r="CQ133" i="4"/>
  <c r="CW133" i="4"/>
  <c r="CO133" i="4"/>
  <c r="CY133" i="4"/>
  <c r="CK133" i="4"/>
  <c r="CU133" i="4"/>
  <c r="CT133" i="4"/>
  <c r="AJ133" i="4"/>
  <c r="CM133" i="4"/>
  <c r="CN133" i="4"/>
  <c r="DF133" i="4"/>
  <c r="DO26" i="4" a="1"/>
  <c r="DO26" i="4" s="1"/>
  <c r="ER26" i="4" a="1"/>
  <c r="ER26" i="4" s="1"/>
  <c r="DV26" i="4" a="1"/>
  <c r="DV26" i="4" s="1"/>
  <c r="AJ67" i="4"/>
  <c r="DG67" i="4"/>
  <c r="DE67" i="4"/>
  <c r="CX67" i="4"/>
  <c r="CM67" i="4"/>
  <c r="AH67" i="4"/>
  <c r="DD67" i="4"/>
  <c r="DC67" i="4"/>
  <c r="CN67" i="4"/>
  <c r="CR67" i="4"/>
  <c r="CK67" i="4"/>
  <c r="DF67" i="4"/>
  <c r="CW67" i="4"/>
  <c r="DB67" i="4"/>
  <c r="CS67" i="4"/>
  <c r="DA67" i="4"/>
  <c r="CP67" i="4"/>
  <c r="BT67" i="4"/>
  <c r="CZ67" i="4"/>
  <c r="CT67" i="4"/>
  <c r="CY67" i="4"/>
  <c r="CL67" i="4"/>
  <c r="CQ67" i="4"/>
  <c r="CU67" i="4"/>
  <c r="CV67" i="4"/>
  <c r="CO67" i="4"/>
  <c r="DH67" i="4"/>
  <c r="DQ71" i="4" a="1"/>
  <c r="DQ71" i="4" s="1"/>
  <c r="ET71" i="4" a="1"/>
  <c r="ET71" i="4" s="1"/>
  <c r="M34" i="50" s="1"/>
  <c r="DY71" i="4" a="1"/>
  <c r="DY71" i="4" s="1"/>
  <c r="DM71" i="4" a="1"/>
  <c r="DM71" i="4" s="1"/>
  <c r="EP71" i="4" a="1"/>
  <c r="EP71" i="4" s="1"/>
  <c r="DR57" i="4" a="1"/>
  <c r="DR57" i="4" s="1"/>
  <c r="EU57" i="4" a="1"/>
  <c r="EU57" i="4" s="1"/>
  <c r="ER57" i="4" a="1"/>
  <c r="ER57" i="4" s="1"/>
  <c r="DO57" i="4" a="1"/>
  <c r="DO57" i="4" s="1"/>
  <c r="EB57" i="4" a="1"/>
  <c r="EB57" i="4" s="1"/>
  <c r="DI57" i="4" a="1"/>
  <c r="DI57" i="4" s="1"/>
  <c r="EL57" i="4" a="1"/>
  <c r="EL57" i="4" s="1"/>
  <c r="EV23" i="4" a="1"/>
  <c r="EV23" i="4" s="1"/>
  <c r="DS23" i="4" a="1"/>
  <c r="DS23" i="4" s="1"/>
  <c r="ED23" i="4" a="1"/>
  <c r="ED23" i="4" s="1"/>
  <c r="DQ23" i="4" a="1"/>
  <c r="DQ23" i="4" s="1"/>
  <c r="ET23" i="4" a="1"/>
  <c r="ET23" i="4" s="1"/>
  <c r="DZ23" i="4" a="1"/>
  <c r="DZ23" i="4" s="1"/>
  <c r="CX96" i="4"/>
  <c r="BT96" i="4"/>
  <c r="DH96" i="4"/>
  <c r="CR96" i="4"/>
  <c r="CL96" i="4"/>
  <c r="DF96" i="4"/>
  <c r="DD96" i="4"/>
  <c r="CV96" i="4"/>
  <c r="CU96" i="4"/>
  <c r="DA96" i="4"/>
  <c r="CQ96" i="4"/>
  <c r="DB96" i="4"/>
  <c r="CK96" i="4"/>
  <c r="DC96" i="4"/>
  <c r="AH96" i="4"/>
  <c r="CY96" i="4"/>
  <c r="CW96" i="4"/>
  <c r="CP96" i="4"/>
  <c r="AJ96" i="4"/>
  <c r="CM96" i="4"/>
  <c r="CO96" i="4"/>
  <c r="CT96" i="4"/>
  <c r="CN96" i="4"/>
  <c r="CS96" i="4"/>
  <c r="DG96" i="4"/>
  <c r="DE96" i="4"/>
  <c r="CZ96" i="4"/>
  <c r="ET126" i="4" a="1"/>
  <c r="ET126" i="4" s="1"/>
  <c r="DQ126" i="4" a="1"/>
  <c r="DQ126" i="4" s="1"/>
  <c r="DR126" i="4" a="1"/>
  <c r="DR126" i="4" s="1"/>
  <c r="EU126" i="4" a="1"/>
  <c r="EU126" i="4" s="1"/>
  <c r="DT126" i="4" a="1"/>
  <c r="DT126" i="4" s="1"/>
  <c r="EW126" i="4" a="1"/>
  <c r="EW126" i="4" s="1"/>
  <c r="DZ47" i="4" a="1"/>
  <c r="DZ47" i="4" s="1"/>
  <c r="DX47" i="4" a="1"/>
  <c r="DX47" i="4" s="1"/>
  <c r="DX174" i="2"/>
  <c r="DZ174" i="2" s="1"/>
  <c r="EA174" i="2" s="1"/>
  <c r="ED174" i="2"/>
  <c r="EL38" i="4" a="1"/>
  <c r="EL38" i="4" s="1"/>
  <c r="DI38" i="4" a="1"/>
  <c r="DI38" i="4" s="1"/>
  <c r="DX38" i="4" a="1"/>
  <c r="DX38" i="4" s="1"/>
  <c r="EN38" i="4" a="1"/>
  <c r="EN38" i="4" s="1"/>
  <c r="DK38" i="4" a="1"/>
  <c r="DK38" i="4" s="1"/>
  <c r="DT49" i="4" a="1"/>
  <c r="DT49" i="4" s="1"/>
  <c r="EW49" i="4" a="1"/>
  <c r="EW49" i="4" s="1"/>
  <c r="EC49" i="4" a="1"/>
  <c r="EC49" i="4" s="1"/>
  <c r="ES49" i="4" a="1"/>
  <c r="ES49" i="4" s="1"/>
  <c r="DP49" i="4" a="1"/>
  <c r="DP49" i="4" s="1"/>
  <c r="CR98" i="4"/>
  <c r="CP98" i="4"/>
  <c r="CK98" i="4"/>
  <c r="AH98" i="4"/>
  <c r="CZ98" i="4"/>
  <c r="CV98" i="4"/>
  <c r="BT98" i="4"/>
  <c r="CQ98" i="4"/>
  <c r="CO98" i="4"/>
  <c r="DH98" i="4"/>
  <c r="DD98" i="4"/>
  <c r="CU98" i="4"/>
  <c r="DA98" i="4"/>
  <c r="DB98" i="4"/>
  <c r="CX98" i="4"/>
  <c r="DG98" i="4"/>
  <c r="CM98" i="4"/>
  <c r="DC98" i="4"/>
  <c r="AJ98" i="4"/>
  <c r="DF98" i="4"/>
  <c r="CW98" i="4"/>
  <c r="CY98" i="4"/>
  <c r="CN98" i="4"/>
  <c r="CL98" i="4"/>
  <c r="CS98" i="4"/>
  <c r="DE98" i="4"/>
  <c r="CT98" i="4"/>
  <c r="ED203" i="2"/>
  <c r="DX203" i="2"/>
  <c r="DZ203" i="2" s="1"/>
  <c r="EA203" i="2" s="1"/>
  <c r="DX46" i="4" a="1"/>
  <c r="DX46" i="4" s="1"/>
  <c r="DW46" i="4" a="1"/>
  <c r="DW46" i="4" s="1"/>
  <c r="DI46" i="4" a="1"/>
  <c r="DI46" i="4" s="1"/>
  <c r="EL46" i="4" a="1"/>
  <c r="EL46" i="4" s="1"/>
  <c r="ED44" i="4" a="1"/>
  <c r="ED44" i="4" s="1"/>
  <c r="EB44" i="4" a="1"/>
  <c r="EB44" i="4" s="1"/>
  <c r="ER44" i="4" a="1"/>
  <c r="ER44" i="4" s="1"/>
  <c r="DO44" i="4" a="1"/>
  <c r="DO44" i="4" s="1"/>
  <c r="BH125" i="4"/>
  <c r="AL125" i="4"/>
  <c r="P125" i="4"/>
  <c r="DO72" i="4" a="1"/>
  <c r="DO72" i="4" s="1"/>
  <c r="ER72" i="4" a="1"/>
  <c r="ER72" i="4" s="1"/>
  <c r="K35" i="50" s="1"/>
  <c r="EW72" i="4" a="1"/>
  <c r="EW72" i="4" s="1"/>
  <c r="DT72" i="4" a="1"/>
  <c r="DT72" i="4" s="1"/>
  <c r="DW72" i="4" a="1"/>
  <c r="DW72" i="4" s="1"/>
  <c r="EP69" i="4" a="1"/>
  <c r="EP69" i="4" s="1"/>
  <c r="DM69" i="4" a="1"/>
  <c r="DM69" i="4" s="1"/>
  <c r="DW69" i="4" a="1"/>
  <c r="DW69" i="4" s="1"/>
  <c r="ED69" i="4" a="1"/>
  <c r="ED69" i="4" s="1"/>
  <c r="DC43" i="4"/>
  <c r="CT43" i="4"/>
  <c r="DB43" i="4"/>
  <c r="CW43" i="4"/>
  <c r="CX43" i="4"/>
  <c r="DH43" i="4"/>
  <c r="DA43" i="4"/>
  <c r="CR43" i="4"/>
  <c r="DE43" i="4"/>
  <c r="CS43" i="4"/>
  <c r="DF43" i="4"/>
  <c r="CZ43" i="4"/>
  <c r="CQ43" i="4"/>
  <c r="BT43" i="4"/>
  <c r="CM43" i="4"/>
  <c r="CL43" i="4"/>
  <c r="CO43" i="4"/>
  <c r="AJ43" i="4"/>
  <c r="DD43" i="4"/>
  <c r="CP43" i="4"/>
  <c r="CN43" i="4"/>
  <c r="DG43" i="4"/>
  <c r="CY43" i="4"/>
  <c r="CK43" i="4"/>
  <c r="CU43" i="4"/>
  <c r="AH43" i="4"/>
  <c r="CV43" i="4"/>
  <c r="DY59" i="4" a="1"/>
  <c r="DY59" i="4" s="1"/>
  <c r="DI59" i="4" a="1"/>
  <c r="DI59" i="4" s="1"/>
  <c r="EL59" i="4" a="1"/>
  <c r="EL59" i="4" s="1"/>
  <c r="EE59" i="4" a="1"/>
  <c r="EE59" i="4" s="1"/>
  <c r="DS117" i="2"/>
  <c r="DT117" i="2"/>
  <c r="DR117" i="2"/>
  <c r="EL27" i="4" a="1"/>
  <c r="EL27" i="4" s="1"/>
  <c r="DI27" i="4" a="1"/>
  <c r="DI27" i="4" s="1"/>
  <c r="DV27" i="4" a="1"/>
  <c r="DV27" i="4" s="1"/>
  <c r="ES27" i="4" a="1"/>
  <c r="ES27" i="4" s="1"/>
  <c r="L13" i="50" s="1"/>
  <c r="DP27" i="4" a="1"/>
  <c r="DP27" i="4" s="1"/>
  <c r="DQ52" i="4" a="1"/>
  <c r="DQ52" i="4" s="1"/>
  <c r="ET52" i="4" a="1"/>
  <c r="ET52" i="4" s="1"/>
  <c r="M22" i="50" s="1"/>
  <c r="DN52" i="4" a="1"/>
  <c r="DN52" i="4" s="1"/>
  <c r="EQ52" i="4" a="1"/>
  <c r="EQ52" i="4" s="1"/>
  <c r="EE52" i="4" a="1"/>
  <c r="EE52" i="4" s="1"/>
  <c r="BH135" i="4"/>
  <c r="P135" i="4"/>
  <c r="AL135" i="4"/>
  <c r="DX17" i="4" a="1"/>
  <c r="DX17" i="4" s="1"/>
  <c r="DZ17" i="4" a="1"/>
  <c r="DZ17" i="4" s="1"/>
  <c r="DP17" i="4" a="1"/>
  <c r="DP17" i="4" s="1"/>
  <c r="ES17" i="4" a="1"/>
  <c r="ES17" i="4" s="1"/>
  <c r="EE17" i="4" a="1"/>
  <c r="EE17" i="4" s="1"/>
  <c r="EF39" i="4" a="1"/>
  <c r="EF39" i="4" s="1"/>
  <c r="EE39" i="4" a="1"/>
  <c r="EE39" i="4" s="1"/>
  <c r="AJ83" i="4"/>
  <c r="DF83" i="4"/>
  <c r="CR83" i="4"/>
  <c r="CW83" i="4"/>
  <c r="AH83" i="4"/>
  <c r="CO83" i="4"/>
  <c r="BT83" i="4"/>
  <c r="CP83" i="4"/>
  <c r="CX83" i="4"/>
  <c r="CK83" i="4"/>
  <c r="DG83" i="4"/>
  <c r="CU83" i="4"/>
  <c r="CV83" i="4"/>
  <c r="DE83" i="4"/>
  <c r="DC83" i="4"/>
  <c r="CL83" i="4"/>
  <c r="CM83" i="4"/>
  <c r="CY83" i="4"/>
  <c r="CN83" i="4"/>
  <c r="CT83" i="4"/>
  <c r="CZ83" i="4"/>
  <c r="DD83" i="4"/>
  <c r="DH83" i="4"/>
  <c r="CS83" i="4"/>
  <c r="DB83" i="4"/>
  <c r="CQ83" i="4"/>
  <c r="DA83" i="4"/>
  <c r="DQ68" i="4" a="1"/>
  <c r="DQ68" i="4" s="1"/>
  <c r="ET68" i="4" a="1"/>
  <c r="ET68" i="4" s="1"/>
  <c r="DZ68" i="4" a="1"/>
  <c r="DZ68" i="4" s="1"/>
  <c r="DY68" i="4" a="1"/>
  <c r="DY68" i="4" s="1"/>
  <c r="EA45" i="4" a="1"/>
  <c r="EA45" i="4" s="1"/>
  <c r="DM45" i="4" a="1"/>
  <c r="DM45" i="4" s="1"/>
  <c r="EP45" i="4" a="1"/>
  <c r="EP45" i="4" s="1"/>
  <c r="DS45" i="4" a="1"/>
  <c r="DS45" i="4" s="1"/>
  <c r="EV45" i="4" a="1"/>
  <c r="EV45" i="4" s="1"/>
  <c r="DT45" i="4" a="1"/>
  <c r="DT45" i="4" s="1"/>
  <c r="EW45" i="4" a="1"/>
  <c r="EW45" i="4" s="1"/>
  <c r="DY28" i="4" a="1"/>
  <c r="DY28" i="4" s="1"/>
  <c r="EB28" i="4" a="1"/>
  <c r="EB28" i="4" s="1"/>
  <c r="DW28" i="4" a="1"/>
  <c r="DW28" i="4" s="1"/>
  <c r="ED28" i="4" a="1"/>
  <c r="ED28" i="4" s="1"/>
  <c r="BH96" i="4"/>
  <c r="AL96" i="4"/>
  <c r="P96" i="4"/>
  <c r="DP60" i="4" a="1"/>
  <c r="DP60" i="4" s="1"/>
  <c r="ES60" i="4" a="1"/>
  <c r="ES60" i="4" s="1"/>
  <c r="ED60" i="4" a="1"/>
  <c r="ED60" i="4" s="1"/>
  <c r="DX60" i="4" a="1"/>
  <c r="DX60" i="4" s="1"/>
  <c r="EC85" i="4" a="1"/>
  <c r="EC85" i="4" s="1"/>
  <c r="EB85" i="4" a="1"/>
  <c r="EB85" i="4" s="1"/>
  <c r="EE85" i="4" a="1"/>
  <c r="EE85" i="4" s="1"/>
  <c r="ES58" i="4" a="1"/>
  <c r="ES58" i="4" s="1"/>
  <c r="DP58" i="4" a="1"/>
  <c r="DP58" i="4" s="1"/>
  <c r="EE58" i="4" a="1"/>
  <c r="EE58" i="4" s="1"/>
  <c r="DK58" i="4" a="1"/>
  <c r="DK58" i="4" s="1"/>
  <c r="EN58" i="4" a="1"/>
  <c r="EN58" i="4" s="1"/>
  <c r="EM58" i="4" a="1"/>
  <c r="EM58" i="4" s="1"/>
  <c r="DJ58" i="4" a="1"/>
  <c r="DJ58" i="4" s="1"/>
  <c r="EO25" i="4" a="1"/>
  <c r="EO25" i="4" s="1"/>
  <c r="DL25" i="4" a="1"/>
  <c r="DL25" i="4" s="1"/>
  <c r="DT25" i="4" a="1"/>
  <c r="DT25" i="4" s="1"/>
  <c r="EW25" i="4" a="1"/>
  <c r="EW25" i="4" s="1"/>
  <c r="DY25" i="4" a="1"/>
  <c r="DY25" i="4" s="1"/>
  <c r="AE108" i="4"/>
  <c r="BS108" i="4"/>
  <c r="AD108" i="4"/>
  <c r="DI55" i="4" a="1"/>
  <c r="DI55" i="4" s="1"/>
  <c r="EL55" i="4" a="1"/>
  <c r="EL55" i="4" s="1"/>
  <c r="EE55" i="4" a="1"/>
  <c r="EE55" i="4" s="1"/>
  <c r="EV40" i="4" a="1"/>
  <c r="EV40" i="4" s="1"/>
  <c r="DS40" i="4" a="1"/>
  <c r="DS40" i="4" s="1"/>
  <c r="EE40" i="4" a="1"/>
  <c r="EE40" i="4" s="1"/>
  <c r="CY9" i="4"/>
  <c r="CZ9" i="4"/>
  <c r="CT9" i="4"/>
  <c r="AJ9" i="4"/>
  <c r="CU9" i="4"/>
  <c r="CQ9" i="4"/>
  <c r="CO9" i="4"/>
  <c r="CN9" i="4"/>
  <c r="DG9" i="4"/>
  <c r="CV9" i="4"/>
  <c r="BT9" i="4"/>
  <c r="CX9" i="4"/>
  <c r="DF9" i="4"/>
  <c r="CP9" i="4"/>
  <c r="CL9" i="4"/>
  <c r="CS9" i="4"/>
  <c r="AH9" i="4"/>
  <c r="DC9" i="4"/>
  <c r="DA9" i="4"/>
  <c r="CW9" i="4"/>
  <c r="DD9" i="4"/>
  <c r="CK9" i="4"/>
  <c r="CR9" i="4"/>
  <c r="DE9" i="4"/>
  <c r="DB9" i="4"/>
  <c r="DH9" i="4"/>
  <c r="CM9" i="4"/>
  <c r="EN132" i="4" a="1"/>
  <c r="EN132" i="4" s="1"/>
  <c r="DK132" i="4" a="1"/>
  <c r="DK132" i="4" s="1"/>
  <c r="DS132" i="4" a="1"/>
  <c r="DS132" i="4" s="1"/>
  <c r="EV132" i="4" a="1"/>
  <c r="EV132" i="4" s="1"/>
  <c r="CL80" i="4"/>
  <c r="CS80" i="4"/>
  <c r="DD80" i="4"/>
  <c r="DE80" i="4"/>
  <c r="DG80" i="4"/>
  <c r="CU80" i="4"/>
  <c r="DB80" i="4"/>
  <c r="CV80" i="4"/>
  <c r="DF80" i="4"/>
  <c r="DA80" i="4"/>
  <c r="CN80" i="4"/>
  <c r="CO80" i="4"/>
  <c r="AH80" i="4"/>
  <c r="CW80" i="4"/>
  <c r="CY80" i="4"/>
  <c r="CT80" i="4"/>
  <c r="CZ80" i="4"/>
  <c r="CM80" i="4"/>
  <c r="CR80" i="4"/>
  <c r="CK80" i="4"/>
  <c r="CQ80" i="4"/>
  <c r="CP80" i="4"/>
  <c r="DH80" i="4"/>
  <c r="CX80" i="4"/>
  <c r="DC80" i="4"/>
  <c r="DO18" i="4" a="1"/>
  <c r="DO18" i="4" s="1"/>
  <c r="ER18" i="4" a="1"/>
  <c r="ER18" i="4" s="1"/>
  <c r="DQ18" i="4" a="1"/>
  <c r="DQ18" i="4" s="1"/>
  <c r="ET18" i="4" a="1"/>
  <c r="ET18" i="4" s="1"/>
  <c r="EB18" i="4" a="1"/>
  <c r="EB18" i="4" s="1"/>
  <c r="BH121" i="4"/>
  <c r="AL121" i="4"/>
  <c r="P121" i="4"/>
  <c r="DZ14" i="4" a="1"/>
  <c r="DZ14" i="4" s="1"/>
  <c r="ES14" i="4" a="1"/>
  <c r="ES14" i="4" s="1"/>
  <c r="L6" i="50" s="1"/>
  <c r="DP14" i="4" a="1"/>
  <c r="DP14" i="4" s="1"/>
  <c r="P92" i="4"/>
  <c r="BH92" i="4"/>
  <c r="AL92" i="4"/>
  <c r="EP61" i="4" a="1"/>
  <c r="EP61" i="4" s="1"/>
  <c r="DM61" i="4" a="1"/>
  <c r="DM61" i="4" s="1"/>
  <c r="DO61" i="4" a="1"/>
  <c r="DO61" i="4" s="1"/>
  <c r="ER61" i="4" a="1"/>
  <c r="ER61" i="4" s="1"/>
  <c r="EF102" i="2"/>
  <c r="DU102" i="2"/>
  <c r="DV102" i="2"/>
  <c r="DN102" i="2"/>
  <c r="DP102" i="2" s="1"/>
  <c r="DQ102" i="2" s="1"/>
  <c r="DF102" i="2"/>
  <c r="DY41" i="4" a="1"/>
  <c r="DY41" i="4" s="1"/>
  <c r="DM41" i="4" a="1"/>
  <c r="DM41" i="4" s="1"/>
  <c r="EP41" i="4" a="1"/>
  <c r="EP41" i="4" s="1"/>
  <c r="ES41" i="4" a="1"/>
  <c r="ES41" i="4" s="1"/>
  <c r="DP41" i="4" a="1"/>
  <c r="DP41" i="4" s="1"/>
  <c r="EF173" i="2"/>
  <c r="DU173" i="2"/>
  <c r="DV173" i="2"/>
  <c r="DN173" i="2"/>
  <c r="DP173" i="2" s="1"/>
  <c r="DQ173" i="2" s="1"/>
  <c r="DF173" i="2"/>
  <c r="CR89" i="4"/>
  <c r="DB89" i="4"/>
  <c r="CS89" i="4"/>
  <c r="DF89" i="4"/>
  <c r="CW89" i="4"/>
  <c r="CQ89" i="4"/>
  <c r="DH89" i="4"/>
  <c r="CZ89" i="4"/>
  <c r="CV89" i="4"/>
  <c r="DA89" i="4"/>
  <c r="AH89" i="4"/>
  <c r="CO89" i="4"/>
  <c r="DG89" i="4"/>
  <c r="DD89" i="4"/>
  <c r="CN89" i="4"/>
  <c r="CM89" i="4"/>
  <c r="CT89" i="4"/>
  <c r="CK89" i="4"/>
  <c r="CU89" i="4"/>
  <c r="DE89" i="4"/>
  <c r="DC89" i="4"/>
  <c r="CY89" i="4"/>
  <c r="CX89" i="4"/>
  <c r="CP89" i="4"/>
  <c r="CL89" i="4"/>
  <c r="BT89" i="4"/>
  <c r="AJ89" i="4"/>
  <c r="BH63" i="4"/>
  <c r="AL63" i="4"/>
  <c r="P63" i="4"/>
  <c r="CZ107" i="4"/>
  <c r="DA107" i="4"/>
  <c r="AH107" i="4"/>
  <c r="CR107" i="4"/>
  <c r="DH107" i="4"/>
  <c r="CW107" i="4"/>
  <c r="DD107" i="4"/>
  <c r="CP107" i="4"/>
  <c r="CL107" i="4"/>
  <c r="DE107" i="4"/>
  <c r="CS107" i="4"/>
  <c r="BT107" i="4"/>
  <c r="CQ107" i="4"/>
  <c r="DB107" i="4"/>
  <c r="CU107" i="4"/>
  <c r="CV107" i="4"/>
  <c r="AJ107" i="4"/>
  <c r="CY107" i="4"/>
  <c r="DF107" i="4"/>
  <c r="CO107" i="4"/>
  <c r="CM107" i="4"/>
  <c r="CK107" i="4"/>
  <c r="CN107" i="4"/>
  <c r="DC107" i="4"/>
  <c r="DG107" i="4"/>
  <c r="CX107" i="4"/>
  <c r="CT107" i="4"/>
  <c r="DU123" i="4" a="1"/>
  <c r="DU123" i="4" s="1"/>
  <c r="EE123" i="4" a="1"/>
  <c r="EE123" i="4" s="1"/>
  <c r="EF123" i="4" a="1"/>
  <c r="EF123" i="4" s="1"/>
  <c r="DX20" i="4" a="1"/>
  <c r="DX20" i="4" s="1"/>
  <c r="EN20" i="4" a="1"/>
  <c r="EN20" i="4" s="1"/>
  <c r="DK20" i="4" a="1"/>
  <c r="DK20" i="4" s="1"/>
  <c r="EB20" i="4" a="1"/>
  <c r="EB20" i="4" s="1"/>
  <c r="DT328" i="2"/>
  <c r="DS328" i="2"/>
  <c r="DR328" i="2"/>
  <c r="BH133" i="4"/>
  <c r="P133" i="4"/>
  <c r="AL133" i="4"/>
  <c r="EE11" i="4" a="1"/>
  <c r="EE11" i="4" s="1"/>
  <c r="EF11" i="4" a="1"/>
  <c r="EF11" i="4" s="1"/>
  <c r="DU11" i="4" a="1"/>
  <c r="DU11" i="4" s="1"/>
  <c r="ED11" i="4" a="1"/>
  <c r="ED11" i="4" s="1"/>
  <c r="DM15" i="4" a="1"/>
  <c r="DM15" i="4" s="1"/>
  <c r="EP15" i="4" a="1"/>
  <c r="EP15" i="4" s="1"/>
  <c r="EF15" i="4" a="1"/>
  <c r="EF15" i="4" s="1"/>
  <c r="DW15" i="4" a="1"/>
  <c r="DW15" i="4" s="1"/>
  <c r="EB53" i="4" a="1"/>
  <c r="EB53" i="4" s="1"/>
  <c r="EW53" i="4" a="1"/>
  <c r="EW53" i="4" s="1"/>
  <c r="DT53" i="4" a="1"/>
  <c r="DT53" i="4" s="1"/>
  <c r="EC53" i="4" a="1"/>
  <c r="EC53" i="4" s="1"/>
  <c r="EO54" i="4" a="1"/>
  <c r="EO54" i="4" s="1"/>
  <c r="DL54" i="4" a="1"/>
  <c r="DL54" i="4" s="1"/>
  <c r="ED54" i="4" a="1"/>
  <c r="ED54" i="4" s="1"/>
  <c r="EW54" i="4" a="1"/>
  <c r="EW54" i="4" s="1"/>
  <c r="P24" i="50" s="1"/>
  <c r="DT54" i="4" a="1"/>
  <c r="DT54" i="4" s="1"/>
  <c r="EL16" i="4" a="1"/>
  <c r="EL16" i="4" s="1"/>
  <c r="E7" i="50" s="1"/>
  <c r="DI16" i="4" a="1"/>
  <c r="DI16" i="4" s="1"/>
  <c r="EN16" i="4" a="1"/>
  <c r="EN16" i="4" s="1"/>
  <c r="G7" i="50" s="1"/>
  <c r="DK16" i="4" a="1"/>
  <c r="DK16" i="4" s="1"/>
  <c r="EE210" i="2"/>
  <c r="EC210" i="2"/>
  <c r="EB210" i="2"/>
  <c r="EB328" i="2"/>
  <c r="EC328" i="2"/>
  <c r="EE328" i="2"/>
  <c r="DX48" i="4" a="1"/>
  <c r="DX48" i="4" s="1"/>
  <c r="DY48" i="4" a="1"/>
  <c r="DY48" i="4" s="1"/>
  <c r="EC48" i="4" a="1"/>
  <c r="EC48" i="4" s="1"/>
  <c r="ET48" i="4" a="1"/>
  <c r="ET48" i="4" s="1"/>
  <c r="DQ48" i="4" a="1"/>
  <c r="DQ48" i="4" s="1"/>
  <c r="EQ26" i="4" a="1"/>
  <c r="EQ26" i="4" s="1"/>
  <c r="DN26" i="4" a="1"/>
  <c r="DN26" i="4" s="1"/>
  <c r="DX26" i="4" a="1"/>
  <c r="DX26" i="4" s="1"/>
  <c r="EE26" i="4" a="1"/>
  <c r="EE26" i="4" s="1"/>
  <c r="DV71" i="4" a="1"/>
  <c r="DV71" i="4" s="1"/>
  <c r="EE71" i="4" a="1"/>
  <c r="EE71" i="4" s="1"/>
  <c r="DT191" i="2"/>
  <c r="DR191" i="2"/>
  <c r="DS191" i="2"/>
  <c r="EA57" i="4" a="1"/>
  <c r="EA57" i="4" s="1"/>
  <c r="DQ57" i="4" a="1"/>
  <c r="DQ57" i="4" s="1"/>
  <c r="ET57" i="4" a="1"/>
  <c r="ET57" i="4" s="1"/>
  <c r="DV23" i="4" a="1"/>
  <c r="DV23" i="4" s="1"/>
  <c r="DY23" i="4" a="1"/>
  <c r="DY23" i="4" s="1"/>
  <c r="DX202" i="2"/>
  <c r="DZ202" i="2" s="1"/>
  <c r="EA202" i="2" s="1"/>
  <c r="ED202" i="2"/>
  <c r="DT7" i="2"/>
  <c r="DS7" i="2"/>
  <c r="DR7" i="2"/>
  <c r="DR37" i="2"/>
  <c r="DS37" i="2"/>
  <c r="DT37" i="2"/>
  <c r="EM126" i="4" a="1"/>
  <c r="EM126" i="4" s="1"/>
  <c r="DJ126" i="4" a="1"/>
  <c r="DJ126" i="4" s="1"/>
  <c r="EB126" i="4" a="1"/>
  <c r="EB126" i="4" s="1"/>
  <c r="CN76" i="4"/>
  <c r="CO76" i="4"/>
  <c r="CU76" i="4"/>
  <c r="CM76" i="4"/>
  <c r="BT76" i="4"/>
  <c r="CV76" i="4"/>
  <c r="CL76" i="4"/>
  <c r="CS76" i="4"/>
  <c r="DB76" i="4"/>
  <c r="CT76" i="4"/>
  <c r="DA76" i="4"/>
  <c r="DC76" i="4"/>
  <c r="DG76" i="4"/>
  <c r="CR76" i="4"/>
  <c r="CY76" i="4"/>
  <c r="CP76" i="4"/>
  <c r="DH76" i="4"/>
  <c r="CZ76" i="4"/>
  <c r="CW76" i="4"/>
  <c r="DF76" i="4"/>
  <c r="AH76" i="4"/>
  <c r="CX76" i="4"/>
  <c r="DE76" i="4"/>
  <c r="DD76" i="4"/>
  <c r="CQ76" i="4"/>
  <c r="CK76" i="4"/>
  <c r="AJ76" i="4"/>
  <c r="DO47" i="4" a="1"/>
  <c r="DO47" i="4" s="1"/>
  <c r="ER47" i="4" a="1"/>
  <c r="ER47" i="4" s="1"/>
  <c r="EE47" i="4" a="1"/>
  <c r="EE47" i="4" s="1"/>
  <c r="EW47" i="4" a="1"/>
  <c r="EW47" i="4" s="1"/>
  <c r="DT47" i="4" a="1"/>
  <c r="DT47" i="4" s="1"/>
  <c r="AJ81" i="4"/>
  <c r="DE81" i="4"/>
  <c r="AH81" i="4"/>
  <c r="CY81" i="4"/>
  <c r="CU81" i="4"/>
  <c r="DF81" i="4"/>
  <c r="DD81" i="4"/>
  <c r="CZ81" i="4"/>
  <c r="DA81" i="4"/>
  <c r="CX81" i="4"/>
  <c r="CW81" i="4"/>
  <c r="CL81" i="4"/>
  <c r="CS81" i="4"/>
  <c r="CQ81" i="4"/>
  <c r="DG81" i="4"/>
  <c r="DH81" i="4"/>
  <c r="CM81" i="4"/>
  <c r="CP81" i="4"/>
  <c r="CN81" i="4"/>
  <c r="CT81" i="4"/>
  <c r="DC81" i="4"/>
  <c r="DB81" i="4"/>
  <c r="CK81" i="4"/>
  <c r="BT81" i="4"/>
  <c r="CO81" i="4"/>
  <c r="CR81" i="4"/>
  <c r="CV81" i="4"/>
  <c r="EB38" i="4" a="1"/>
  <c r="EB38" i="4" s="1"/>
  <c r="DW38" i="4" a="1"/>
  <c r="DW38" i="4" s="1"/>
  <c r="DO38" i="4" a="1"/>
  <c r="DO38" i="4" s="1"/>
  <c r="ER38" i="4" a="1"/>
  <c r="ER38" i="4" s="1"/>
  <c r="DV49" i="4" a="1"/>
  <c r="DV49" i="4" s="1"/>
  <c r="EA49" i="4" a="1"/>
  <c r="EA49" i="4" s="1"/>
  <c r="EB49" i="4" a="1"/>
  <c r="EB49" i="4" s="1"/>
  <c r="DM46" i="4" a="1"/>
  <c r="DM46" i="4" s="1"/>
  <c r="EP46" i="4" a="1"/>
  <c r="EP46" i="4" s="1"/>
  <c r="DS46" i="4" a="1"/>
  <c r="DS46" i="4" s="1"/>
  <c r="EV46" i="4" a="1"/>
  <c r="EV46" i="4" s="1"/>
  <c r="EQ46" i="4" a="1"/>
  <c r="EQ46" i="4" s="1"/>
  <c r="DN46" i="4" a="1"/>
  <c r="DN46" i="4" s="1"/>
  <c r="DG118" i="4"/>
  <c r="DA118" i="4"/>
  <c r="DE118" i="4"/>
  <c r="CY118" i="4"/>
  <c r="CU118" i="4"/>
  <c r="CW118" i="4"/>
  <c r="DC118" i="4"/>
  <c r="CN118" i="4"/>
  <c r="CR118" i="4"/>
  <c r="CZ118" i="4"/>
  <c r="CP118" i="4"/>
  <c r="CT118" i="4"/>
  <c r="CQ118" i="4"/>
  <c r="DB118" i="4"/>
  <c r="CV118" i="4"/>
  <c r="AJ118" i="4"/>
  <c r="DH118" i="4"/>
  <c r="DF118" i="4"/>
  <c r="CK118" i="4"/>
  <c r="CL118" i="4"/>
  <c r="DD118" i="4"/>
  <c r="CS118" i="4"/>
  <c r="CO118" i="4"/>
  <c r="AH118" i="4"/>
  <c r="BT118" i="4"/>
  <c r="CM118" i="4"/>
  <c r="CX118" i="4"/>
  <c r="EE44" i="4" a="1"/>
  <c r="EE44" i="4" s="1"/>
  <c r="EQ44" i="4" a="1"/>
  <c r="EQ44" i="4" s="1"/>
  <c r="DN44" i="4" a="1"/>
  <c r="DN44" i="4" s="1"/>
  <c r="DY72" i="4" a="1"/>
  <c r="DY72" i="4" s="1"/>
  <c r="EE72" i="4" a="1"/>
  <c r="EE72" i="4" s="1"/>
  <c r="DZ72" i="4" a="1"/>
  <c r="DZ72" i="4" s="1"/>
  <c r="DX69" i="4" a="1"/>
  <c r="DX69" i="4" s="1"/>
  <c r="DZ69" i="4" a="1"/>
  <c r="DZ69" i="4" s="1"/>
  <c r="DK69" i="4" a="1"/>
  <c r="DK69" i="4" s="1"/>
  <c r="EN69" i="4" a="1"/>
  <c r="EN69" i="4" s="1"/>
  <c r="ET59" i="4" a="1"/>
  <c r="ET59" i="4" s="1"/>
  <c r="DQ59" i="4" a="1"/>
  <c r="DQ59" i="4" s="1"/>
  <c r="DR59" i="4" a="1"/>
  <c r="DR59" i="4" s="1"/>
  <c r="EU59" i="4" a="1"/>
  <c r="EU59" i="4" s="1"/>
  <c r="DS155" i="2"/>
  <c r="DT155" i="2"/>
  <c r="DR155" i="2"/>
  <c r="EC117" i="2"/>
  <c r="EB117" i="2"/>
  <c r="EE117" i="2"/>
  <c r="DS27" i="4" a="1"/>
  <c r="DS27" i="4" s="1"/>
  <c r="EV27" i="4" a="1"/>
  <c r="EV27" i="4" s="1"/>
  <c r="O13" i="50" s="1"/>
  <c r="ED27" i="4" a="1"/>
  <c r="ED27" i="4" s="1"/>
  <c r="EU27" i="4" a="1"/>
  <c r="EU27" i="4" s="1"/>
  <c r="N13" i="50" s="1"/>
  <c r="DR27" i="4" a="1"/>
  <c r="DR27" i="4" s="1"/>
  <c r="ER27" i="4" a="1"/>
  <c r="ER27" i="4" s="1"/>
  <c r="K13" i="50" s="1"/>
  <c r="DO27" i="4" a="1"/>
  <c r="DO27" i="4" s="1"/>
  <c r="EA52" i="4" a="1"/>
  <c r="EA52" i="4" s="1"/>
  <c r="EO52" i="4" a="1"/>
  <c r="EO52" i="4" s="1"/>
  <c r="DL52" i="4" a="1"/>
  <c r="DL52" i="4" s="1"/>
  <c r="EM52" i="4" a="1"/>
  <c r="EM52" i="4" s="1"/>
  <c r="F22" i="50" s="1"/>
  <c r="DJ52" i="4" a="1"/>
  <c r="DJ52" i="4" s="1"/>
  <c r="EF17" i="4" a="1"/>
  <c r="EF17" i="4" s="1"/>
  <c r="ED17" i="4" a="1"/>
  <c r="ED17" i="4" s="1"/>
  <c r="DN17" i="4" a="1"/>
  <c r="DN17" i="4" s="1"/>
  <c r="EQ17" i="4" a="1"/>
  <c r="EQ17" i="4" s="1"/>
  <c r="ET39" i="4" a="1"/>
  <c r="ET39" i="4" s="1"/>
  <c r="DQ39" i="4" a="1"/>
  <c r="DQ39" i="4" s="1"/>
  <c r="DI68" i="4" a="1"/>
  <c r="DI68" i="4" s="1"/>
  <c r="EL68" i="4" a="1"/>
  <c r="EL68" i="4" s="1"/>
  <c r="E32" i="50" s="1"/>
  <c r="DN68" i="4" a="1"/>
  <c r="DN68" i="4" s="1"/>
  <c r="EQ68" i="4" a="1"/>
  <c r="EQ68" i="4" s="1"/>
  <c r="J32" i="50" s="1"/>
  <c r="EC68" i="4" a="1"/>
  <c r="EC68" i="4" s="1"/>
  <c r="DN45" i="4" a="1"/>
  <c r="DN45" i="4" s="1"/>
  <c r="EQ45" i="4" a="1"/>
  <c r="EQ45" i="4" s="1"/>
  <c r="DU45" i="4" a="1"/>
  <c r="DU45" i="4" s="1"/>
  <c r="DX45" i="4" a="1"/>
  <c r="DX45" i="4" s="1"/>
  <c r="EU45" i="4" a="1"/>
  <c r="EU45" i="4" s="1"/>
  <c r="DR45" i="4" a="1"/>
  <c r="DR45" i="4" s="1"/>
  <c r="ES28" i="4" a="1"/>
  <c r="ES28" i="4" s="1"/>
  <c r="DP28" i="4" a="1"/>
  <c r="DP28" i="4" s="1"/>
  <c r="DR28" i="4" a="1"/>
  <c r="DR28" i="4" s="1"/>
  <c r="EU28" i="4" a="1"/>
  <c r="EU28" i="4" s="1"/>
  <c r="DQ28" i="4" a="1"/>
  <c r="DQ28" i="4" s="1"/>
  <c r="ET28" i="4" a="1"/>
  <c r="ET28" i="4" s="1"/>
  <c r="DI28" i="4" a="1"/>
  <c r="DI28" i="4" s="1"/>
  <c r="EL28" i="4" a="1"/>
  <c r="EL28" i="4" s="1"/>
  <c r="EW60" i="4" a="1"/>
  <c r="EW60" i="4" s="1"/>
  <c r="DT60" i="4" a="1"/>
  <c r="DT60" i="4" s="1"/>
  <c r="EV60" i="4" a="1"/>
  <c r="EV60" i="4" s="1"/>
  <c r="DS60" i="4" a="1"/>
  <c r="DS60" i="4" s="1"/>
  <c r="EQ60" i="4" a="1"/>
  <c r="EQ60" i="4" s="1"/>
  <c r="DN60" i="4" a="1"/>
  <c r="DN60" i="4" s="1"/>
  <c r="EV85" i="4" a="1"/>
  <c r="EV85" i="4" s="1"/>
  <c r="DS85" i="4" a="1"/>
  <c r="DS85" i="4" s="1"/>
  <c r="EN85" i="4" a="1"/>
  <c r="EN85" i="4" s="1"/>
  <c r="DK85" i="4" a="1"/>
  <c r="DK85" i="4" s="1"/>
  <c r="EA85" i="4" a="1"/>
  <c r="EA85" i="4" s="1"/>
  <c r="DV58" i="4" a="1"/>
  <c r="DV58" i="4" s="1"/>
  <c r="EB58" i="4" a="1"/>
  <c r="EB58" i="4" s="1"/>
  <c r="EF58" i="4" a="1"/>
  <c r="EF58" i="4" s="1"/>
  <c r="DW25" i="4" a="1"/>
  <c r="DW25" i="4" s="1"/>
  <c r="DZ25" i="4" a="1"/>
  <c r="DZ25" i="4" s="1"/>
  <c r="AL129" i="4"/>
  <c r="P129" i="4"/>
  <c r="BH129" i="4"/>
  <c r="EG64" i="4"/>
  <c r="EO55" i="4" a="1"/>
  <c r="EO55" i="4" s="1"/>
  <c r="DL55" i="4" a="1"/>
  <c r="DL55" i="4" s="1"/>
  <c r="DU55" i="4" a="1"/>
  <c r="DU55" i="4" s="1"/>
  <c r="DP40" i="4" a="1"/>
  <c r="DP40" i="4" s="1"/>
  <c r="ES40" i="4" a="1"/>
  <c r="ES40" i="4" s="1"/>
  <c r="L17" i="50" s="1"/>
  <c r="DJ40" i="4" a="1"/>
  <c r="DJ40" i="4" s="1"/>
  <c r="EM40" i="4" a="1"/>
  <c r="EM40" i="4" s="1"/>
  <c r="F17" i="50" s="1"/>
  <c r="DY40" i="4" a="1"/>
  <c r="DY40" i="4" s="1"/>
  <c r="EC132" i="4" a="1"/>
  <c r="EC132" i="4" s="1"/>
  <c r="ET132" i="4" a="1"/>
  <c r="ET132" i="4" s="1"/>
  <c r="DQ132" i="4" a="1"/>
  <c r="DQ132" i="4" s="1"/>
  <c r="EV18" i="4" a="1"/>
  <c r="EV18" i="4" s="1"/>
  <c r="DS18" i="4" a="1"/>
  <c r="DS18" i="4" s="1"/>
  <c r="DX18" i="4" a="1"/>
  <c r="DX18" i="4" s="1"/>
  <c r="CP13" i="4"/>
  <c r="CW13" i="4"/>
  <c r="CX13" i="4"/>
  <c r="DC13" i="4"/>
  <c r="CU13" i="4"/>
  <c r="CQ13" i="4"/>
  <c r="CY13" i="4"/>
  <c r="DA13" i="4"/>
  <c r="BT13" i="4"/>
  <c r="DD13" i="4"/>
  <c r="DB13" i="4"/>
  <c r="CS13" i="4"/>
  <c r="DF13" i="4"/>
  <c r="AH13" i="4"/>
  <c r="CR13" i="4"/>
  <c r="CZ13" i="4"/>
  <c r="DE13" i="4"/>
  <c r="AJ13" i="4"/>
  <c r="DH13" i="4"/>
  <c r="CV13" i="4"/>
  <c r="CL13" i="4"/>
  <c r="CM13" i="4"/>
  <c r="CK13" i="4"/>
  <c r="CO13" i="4"/>
  <c r="CN13" i="4"/>
  <c r="DG13" i="4"/>
  <c r="CT13" i="4"/>
  <c r="BS141" i="4"/>
  <c r="AD141" i="4"/>
  <c r="AE141" i="4"/>
  <c r="BS139" i="4"/>
  <c r="AD139" i="4"/>
  <c r="AE139" i="4"/>
  <c r="DZ70" i="4" a="1"/>
  <c r="DZ70" i="4" s="1"/>
  <c r="DP70" i="4" a="1"/>
  <c r="DP70" i="4" s="1"/>
  <c r="ES70" i="4" a="1"/>
  <c r="ES70" i="4" s="1"/>
  <c r="DI14" i="4" a="1"/>
  <c r="DI14" i="4" s="1"/>
  <c r="EL14" i="4" a="1"/>
  <c r="EL14" i="4" s="1"/>
  <c r="DK61" i="4" a="1"/>
  <c r="DK61" i="4" s="1"/>
  <c r="EN61" i="4" a="1"/>
  <c r="EN61" i="4" s="1"/>
  <c r="DJ61" i="4" a="1"/>
  <c r="DJ61" i="4" s="1"/>
  <c r="EM61" i="4" a="1"/>
  <c r="EM61" i="4" s="1"/>
  <c r="BH73" i="4"/>
  <c r="AL73" i="4"/>
  <c r="P73" i="4"/>
  <c r="EQ123" i="4" a="1"/>
  <c r="EQ123" i="4" s="1"/>
  <c r="DN123" i="4" a="1"/>
  <c r="DN123" i="4" s="1"/>
  <c r="DS20" i="4" a="1"/>
  <c r="DS20" i="4" s="1"/>
  <c r="EV20" i="4" a="1"/>
  <c r="EV20" i="4" s="1"/>
  <c r="EU11" i="4" a="1"/>
  <c r="EU11" i="4" s="1"/>
  <c r="DR11" i="4" a="1"/>
  <c r="DR11" i="4" s="1"/>
  <c r="DK15" i="4" a="1"/>
  <c r="DK15" i="4" s="1"/>
  <c r="EN15" i="4" a="1"/>
  <c r="EN15" i="4" s="1"/>
  <c r="DY53" i="4" a="1"/>
  <c r="DY53" i="4" s="1"/>
  <c r="DR53" i="4" a="1"/>
  <c r="DR53" i="4" s="1"/>
  <c r="EU53" i="4" a="1"/>
  <c r="EU53" i="4" s="1"/>
  <c r="ES54" i="4" a="1"/>
  <c r="ES54" i="4" s="1"/>
  <c r="L24" i="50" s="1"/>
  <c r="DP54" i="4" a="1"/>
  <c r="DP54" i="4" s="1"/>
  <c r="DQ16" i="4" a="1"/>
  <c r="DQ16" i="4" s="1"/>
  <c r="ET16" i="4" a="1"/>
  <c r="ET16" i="4" s="1"/>
  <c r="M7" i="50" s="1"/>
  <c r="ER16" i="4" a="1"/>
  <c r="ER16" i="4" s="1"/>
  <c r="K7" i="50" s="1"/>
  <c r="DO16" i="4" a="1"/>
  <c r="DO16" i="4" s="1"/>
  <c r="EO48" i="4" a="1"/>
  <c r="EO48" i="4" s="1"/>
  <c r="DL48" i="4" a="1"/>
  <c r="DL48" i="4" s="1"/>
  <c r="DZ48" i="4" a="1"/>
  <c r="DZ48" i="4" s="1"/>
  <c r="BS105" i="4"/>
  <c r="AE105" i="4"/>
  <c r="AD105" i="4"/>
  <c r="EM26" i="4" a="1"/>
  <c r="EM26" i="4" s="1"/>
  <c r="DJ26" i="4" a="1"/>
  <c r="DJ26" i="4" s="1"/>
  <c r="EA26" i="4" a="1"/>
  <c r="EA26" i="4" s="1"/>
  <c r="EB26" i="4" a="1"/>
  <c r="EB26" i="4" s="1"/>
  <c r="EM71" i="4" a="1"/>
  <c r="EM71" i="4" s="1"/>
  <c r="F34" i="50" s="1"/>
  <c r="DJ71" i="4" a="1"/>
  <c r="DJ71" i="4" s="1"/>
  <c r="DK71" i="4" a="1"/>
  <c r="DK71" i="4" s="1"/>
  <c r="EN71" i="4" a="1"/>
  <c r="EN71" i="4" s="1"/>
  <c r="G34" i="50" s="1"/>
  <c r="EC71" i="4" a="1"/>
  <c r="EC71" i="4" s="1"/>
  <c r="DW57" i="4" a="1"/>
  <c r="DW57" i="4" s="1"/>
  <c r="DU57" i="4" a="1"/>
  <c r="DU57" i="4" s="1"/>
  <c r="DU23" i="4" a="1"/>
  <c r="DU23" i="4" s="1"/>
  <c r="DU202" i="2"/>
  <c r="DN202" i="2"/>
  <c r="DP202" i="2" s="1"/>
  <c r="DQ202" i="2" s="1"/>
  <c r="DF202" i="2"/>
  <c r="EF202" i="2"/>
  <c r="DV202" i="2"/>
  <c r="AD113" i="4"/>
  <c r="AE113" i="4"/>
  <c r="BS113" i="4"/>
  <c r="EN126" i="4" a="1"/>
  <c r="EN126" i="4" s="1"/>
  <c r="DK126" i="4" a="1"/>
  <c r="DK126" i="4" s="1"/>
  <c r="BH81" i="4"/>
  <c r="AL81" i="4"/>
  <c r="P81" i="4"/>
  <c r="DL38" i="4" a="1"/>
  <c r="DL38" i="4" s="1"/>
  <c r="EO38" i="4" a="1"/>
  <c r="EO38" i="4" s="1"/>
  <c r="EE38" i="4" a="1"/>
  <c r="EE38" i="4" s="1"/>
  <c r="EA38" i="4" a="1"/>
  <c r="EA38" i="4" s="1"/>
  <c r="DJ38" i="4" a="1"/>
  <c r="DJ38" i="4" s="1"/>
  <c r="EM38" i="4" a="1"/>
  <c r="EM38" i="4" s="1"/>
  <c r="DI49" i="4" a="1"/>
  <c r="DI49" i="4" s="1"/>
  <c r="EL49" i="4" a="1"/>
  <c r="EL49" i="4" s="1"/>
  <c r="DP46" i="4" a="1"/>
  <c r="DP46" i="4" s="1"/>
  <c r="ES46" i="4" a="1"/>
  <c r="ES46" i="4" s="1"/>
  <c r="DV46" i="4" a="1"/>
  <c r="DV46" i="4" s="1"/>
  <c r="EU44" i="4" a="1"/>
  <c r="EU44" i="4" s="1"/>
  <c r="DR44" i="4" a="1"/>
  <c r="DR44" i="4" s="1"/>
  <c r="EA44" i="4" a="1"/>
  <c r="EA44" i="4" s="1"/>
  <c r="DW44" i="4" a="1"/>
  <c r="DW44" i="4" s="1"/>
  <c r="DR72" i="4" a="1"/>
  <c r="DR72" i="4" s="1"/>
  <c r="EU72" i="4" a="1"/>
  <c r="EU72" i="4" s="1"/>
  <c r="DM72" i="4" a="1"/>
  <c r="DM72" i="4" s="1"/>
  <c r="EP72" i="4" a="1"/>
  <c r="EP72" i="4" s="1"/>
  <c r="EC72" i="4" a="1"/>
  <c r="EC72" i="4" s="1"/>
  <c r="ER69" i="4" a="1"/>
  <c r="ER69" i="4" s="1"/>
  <c r="DO69" i="4" a="1"/>
  <c r="DO69" i="4" s="1"/>
  <c r="DS69" i="4" a="1"/>
  <c r="DS69" i="4" s="1"/>
  <c r="EV69" i="4" a="1"/>
  <c r="EV69" i="4" s="1"/>
  <c r="O33" i="50" s="1"/>
  <c r="DT69" i="4" a="1"/>
  <c r="DT69" i="4" s="1"/>
  <c r="EW69" i="4" a="1"/>
  <c r="EW69" i="4" s="1"/>
  <c r="DN69" i="4" a="1"/>
  <c r="DN69" i="4" s="1"/>
  <c r="EQ69" i="4" a="1"/>
  <c r="EQ69" i="4" s="1"/>
  <c r="BT50" i="4"/>
  <c r="CT50" i="4"/>
  <c r="CS50" i="4"/>
  <c r="CW50" i="4"/>
  <c r="CZ50" i="4"/>
  <c r="CX50" i="4"/>
  <c r="CV50" i="4"/>
  <c r="CP50" i="4"/>
  <c r="CK50" i="4"/>
  <c r="DF50" i="4"/>
  <c r="DB50" i="4"/>
  <c r="DH50" i="4"/>
  <c r="DC50" i="4"/>
  <c r="DG50" i="4"/>
  <c r="CL50" i="4"/>
  <c r="DA50" i="4"/>
  <c r="CR50" i="4"/>
  <c r="CN50" i="4"/>
  <c r="DE50" i="4"/>
  <c r="CM50" i="4"/>
  <c r="CO50" i="4"/>
  <c r="AH50" i="4"/>
  <c r="CQ50" i="4"/>
  <c r="AJ50" i="4"/>
  <c r="DD50" i="4"/>
  <c r="CU50" i="4"/>
  <c r="CY50" i="4"/>
  <c r="P76" i="4"/>
  <c r="BH76" i="4"/>
  <c r="AL76" i="4"/>
  <c r="P120" i="4"/>
  <c r="BH120" i="4"/>
  <c r="AL120" i="4"/>
  <c r="DM59" i="4" a="1"/>
  <c r="DM59" i="4" s="1"/>
  <c r="EP59" i="4" a="1"/>
  <c r="EP59" i="4" s="1"/>
  <c r="DU59" i="4" a="1"/>
  <c r="DU59" i="4" s="1"/>
  <c r="AL134" i="4"/>
  <c r="P134" i="4"/>
  <c r="BH134" i="4"/>
  <c r="EW27" i="4" a="1"/>
  <c r="EW27" i="4" s="1"/>
  <c r="P13" i="50" s="1"/>
  <c r="DT27" i="4" a="1"/>
  <c r="DT27" i="4" s="1"/>
  <c r="DU27" i="4" a="1"/>
  <c r="DU27" i="4" s="1"/>
  <c r="EF27" i="4" a="1"/>
  <c r="EF27" i="4" s="1"/>
  <c r="EC122" i="2"/>
  <c r="EB122" i="2"/>
  <c r="EE122" i="2"/>
  <c r="DM52" i="4" a="1"/>
  <c r="DM52" i="4" s="1"/>
  <c r="EP52" i="4" a="1"/>
  <c r="EP52" i="4" s="1"/>
  <c r="I22" i="50" s="1"/>
  <c r="DV52" i="4" a="1"/>
  <c r="DV52" i="4" s="1"/>
  <c r="EL17" i="4" a="1"/>
  <c r="EL17" i="4" s="1"/>
  <c r="DI17" i="4" a="1"/>
  <c r="DI17" i="4" s="1"/>
  <c r="DJ17" i="4" a="1"/>
  <c r="DJ17" i="4" s="1"/>
  <c r="EM17" i="4" a="1"/>
  <c r="EM17" i="4" s="1"/>
  <c r="EB17" i="4" a="1"/>
  <c r="EB17" i="4" s="1"/>
  <c r="DN39" i="4" a="1"/>
  <c r="DN39" i="4" s="1"/>
  <c r="EQ39" i="4" a="1"/>
  <c r="EQ39" i="4" s="1"/>
  <c r="DR39" i="4" a="1"/>
  <c r="DR39" i="4" s="1"/>
  <c r="EU39" i="4" a="1"/>
  <c r="EU39" i="4" s="1"/>
  <c r="DY39" i="4" a="1"/>
  <c r="DY39" i="4" s="1"/>
  <c r="DX39" i="4" a="1"/>
  <c r="DX39" i="4" s="1"/>
  <c r="EF68" i="4" a="1"/>
  <c r="EF68" i="4" s="1"/>
  <c r="EO68" i="4" a="1"/>
  <c r="EO68" i="4" s="1"/>
  <c r="H32" i="50" s="1"/>
  <c r="DL68" i="4" a="1"/>
  <c r="DL68" i="4" s="1"/>
  <c r="ES68" i="4" a="1"/>
  <c r="ES68" i="4" s="1"/>
  <c r="L32" i="50" s="1"/>
  <c r="DP68" i="4" a="1"/>
  <c r="DP68" i="4" s="1"/>
  <c r="DV45" i="4" a="1"/>
  <c r="DV45" i="4" s="1"/>
  <c r="DK45" i="4" a="1"/>
  <c r="DK45" i="4" s="1"/>
  <c r="EN45" i="4" a="1"/>
  <c r="EN45" i="4" s="1"/>
  <c r="EL45" i="4" a="1"/>
  <c r="EL45" i="4" s="1"/>
  <c r="DI45" i="4" a="1"/>
  <c r="DI45" i="4" s="1"/>
  <c r="EC28" i="4" a="1"/>
  <c r="EC28" i="4" s="1"/>
  <c r="DT28" i="4" a="1"/>
  <c r="DT28" i="4" s="1"/>
  <c r="EW28" i="4" a="1"/>
  <c r="EW28" i="4" s="1"/>
  <c r="DV28" i="4" a="1"/>
  <c r="DV28" i="4" s="1"/>
  <c r="DF73" i="4"/>
  <c r="CX73" i="4"/>
  <c r="CK73" i="4"/>
  <c r="DD73" i="4"/>
  <c r="CT73" i="4"/>
  <c r="DH73" i="4"/>
  <c r="DC73" i="4"/>
  <c r="AH73" i="4"/>
  <c r="DB73" i="4"/>
  <c r="AJ73" i="4"/>
  <c r="CL73" i="4"/>
  <c r="CV73" i="4"/>
  <c r="CZ73" i="4"/>
  <c r="CN73" i="4"/>
  <c r="DA73" i="4"/>
  <c r="CY73" i="4"/>
  <c r="CP73" i="4"/>
  <c r="CS73" i="4"/>
  <c r="DG73" i="4"/>
  <c r="DE73" i="4"/>
  <c r="CQ73" i="4"/>
  <c r="CR73" i="4"/>
  <c r="CW73" i="4"/>
  <c r="CU73" i="4"/>
  <c r="BT73" i="4"/>
  <c r="CM73" i="4"/>
  <c r="CO73" i="4"/>
  <c r="EB60" i="4" a="1"/>
  <c r="EB60" i="4" s="1"/>
  <c r="ET85" i="4" a="1"/>
  <c r="ET85" i="4" s="1"/>
  <c r="DQ85" i="4" a="1"/>
  <c r="DQ85" i="4" s="1"/>
  <c r="DZ85" i="4" a="1"/>
  <c r="DZ85" i="4" s="1"/>
  <c r="ED58" i="4" a="1"/>
  <c r="ED58" i="4" s="1"/>
  <c r="AD115" i="4"/>
  <c r="AE115" i="4"/>
  <c r="BS115" i="4"/>
  <c r="ET25" i="4" a="1"/>
  <c r="ET25" i="4" s="1"/>
  <c r="DQ25" i="4" a="1"/>
  <c r="DQ25" i="4" s="1"/>
  <c r="DK25" i="4" a="1"/>
  <c r="DK25" i="4" s="1"/>
  <c r="EN25" i="4" a="1"/>
  <c r="EN25" i="4" s="1"/>
  <c r="AL128" i="4"/>
  <c r="P128" i="4"/>
  <c r="BH128" i="4"/>
  <c r="ES55" i="4" a="1"/>
  <c r="ES55" i="4" s="1"/>
  <c r="DP55" i="4" a="1"/>
  <c r="DP55" i="4" s="1"/>
  <c r="DO55" i="4" a="1"/>
  <c r="DO55" i="4" s="1"/>
  <c r="ER55" i="4" a="1"/>
  <c r="ER55" i="4" s="1"/>
  <c r="EA40" i="4" a="1"/>
  <c r="EA40" i="4" s="1"/>
  <c r="EC40" i="4" a="1"/>
  <c r="EC40" i="4" s="1"/>
  <c r="ET40" i="4" a="1"/>
  <c r="ET40" i="4" s="1"/>
  <c r="M17" i="50" s="1"/>
  <c r="DQ40" i="4" a="1"/>
  <c r="DQ40" i="4" s="1"/>
  <c r="BH131" i="4"/>
  <c r="P131" i="4"/>
  <c r="AL131" i="4"/>
  <c r="DV132" i="4" a="1"/>
  <c r="DV132" i="4" s="1"/>
  <c r="ED132" i="4" a="1"/>
  <c r="ED132" i="4" s="1"/>
  <c r="EF132" i="4" a="1"/>
  <c r="EF132" i="4" s="1"/>
  <c r="AL82" i="4"/>
  <c r="P82" i="4"/>
  <c r="BH82" i="4"/>
  <c r="EU18" i="4" a="1"/>
  <c r="EU18" i="4" s="1"/>
  <c r="DR18" i="4" a="1"/>
  <c r="DR18" i="4" s="1"/>
  <c r="EP18" i="4" a="1"/>
  <c r="EP18" i="4" s="1"/>
  <c r="DM18" i="4" a="1"/>
  <c r="DM18" i="4" s="1"/>
  <c r="DY18" i="4" a="1"/>
  <c r="DY18" i="4" s="1"/>
  <c r="P89" i="4"/>
  <c r="AL89" i="4"/>
  <c r="BH89" i="4"/>
  <c r="DK70" i="4" a="1"/>
  <c r="DK70" i="4" s="1"/>
  <c r="EN70" i="4" a="1"/>
  <c r="EN70" i="4" s="1"/>
  <c r="EP14" i="4" a="1"/>
  <c r="EP14" i="4" s="1"/>
  <c r="DM14" i="4" a="1"/>
  <c r="DM14" i="4" s="1"/>
  <c r="CV88" i="4"/>
  <c r="CP88" i="4"/>
  <c r="BT88" i="4"/>
  <c r="CT88" i="4"/>
  <c r="DC88" i="4"/>
  <c r="CK88" i="4"/>
  <c r="DF88" i="4"/>
  <c r="DA88" i="4"/>
  <c r="CL88" i="4"/>
  <c r="CM88" i="4"/>
  <c r="DE88" i="4"/>
  <c r="DD88" i="4"/>
  <c r="DB88" i="4"/>
  <c r="CS88" i="4"/>
  <c r="CX88" i="4"/>
  <c r="CR88" i="4"/>
  <c r="CY88" i="4"/>
  <c r="CW88" i="4"/>
  <c r="AJ88" i="4"/>
  <c r="DG88" i="4"/>
  <c r="AH88" i="4"/>
  <c r="DH88" i="4"/>
  <c r="CU88" i="4"/>
  <c r="CQ88" i="4"/>
  <c r="CZ88" i="4"/>
  <c r="CO88" i="4"/>
  <c r="CN88" i="4"/>
  <c r="DU61" i="4" a="1"/>
  <c r="DU61" i="4" s="1"/>
  <c r="EV54" i="4" a="1"/>
  <c r="EV54" i="4" s="1"/>
  <c r="O24" i="50" s="1"/>
  <c r="DS54" i="4" a="1"/>
  <c r="DS54" i="4" s="1"/>
  <c r="AL122" i="4"/>
  <c r="P122" i="4"/>
  <c r="BH122" i="4"/>
  <c r="DW14" i="4" a="1"/>
  <c r="DW14" i="4" s="1"/>
  <c r="EL61" i="4" a="1"/>
  <c r="EL61" i="4" s="1"/>
  <c r="DI61" i="4" a="1"/>
  <c r="DI61" i="4" s="1"/>
  <c r="EA123" i="4" a="1"/>
  <c r="EA123" i="4" s="1"/>
  <c r="ET123" i="4" a="1"/>
  <c r="ET123" i="4" s="1"/>
  <c r="DQ123" i="4" a="1"/>
  <c r="DQ123" i="4" s="1"/>
  <c r="DN57" i="2"/>
  <c r="DP57" i="2" s="1"/>
  <c r="DQ57" i="2" s="1"/>
  <c r="DU57" i="2"/>
  <c r="DV57" i="2"/>
  <c r="EF57" i="2"/>
  <c r="DF57" i="2"/>
  <c r="EA20" i="4" a="1"/>
  <c r="EA20" i="4" s="1"/>
  <c r="EE20" i="4" a="1"/>
  <c r="EE20" i="4" s="1"/>
  <c r="ED20" i="4" a="1"/>
  <c r="ED20" i="4" s="1"/>
  <c r="EU20" i="4" a="1"/>
  <c r="EU20" i="4" s="1"/>
  <c r="DR20" i="4" a="1"/>
  <c r="DR20" i="4" s="1"/>
  <c r="DL11" i="4" a="1"/>
  <c r="DL11" i="4" s="1"/>
  <c r="EO11" i="4" a="1"/>
  <c r="EO11" i="4" s="1"/>
  <c r="DJ11" i="4" a="1"/>
  <c r="DJ11" i="4" s="1"/>
  <c r="EM11" i="4" a="1"/>
  <c r="EM11" i="4" s="1"/>
  <c r="DO11" i="4" a="1"/>
  <c r="DO11" i="4" s="1"/>
  <c r="ER11" i="4" a="1"/>
  <c r="ER11" i="4" s="1"/>
  <c r="DT11" i="4" a="1"/>
  <c r="DT11" i="4" s="1"/>
  <c r="EW11" i="4" a="1"/>
  <c r="EW11" i="4" s="1"/>
  <c r="ER15" i="4" a="1"/>
  <c r="ER15" i="4" s="1"/>
  <c r="DO15" i="4" a="1"/>
  <c r="DO15" i="4" s="1"/>
  <c r="ET15" i="4" a="1"/>
  <c r="ET15" i="4" s="1"/>
  <c r="DQ15" i="4" a="1"/>
  <c r="DQ15" i="4" s="1"/>
  <c r="DQ53" i="4" a="1"/>
  <c r="DQ53" i="4" s="1"/>
  <c r="ET53" i="4" a="1"/>
  <c r="ET53" i="4" s="1"/>
  <c r="DX53" i="4" a="1"/>
  <c r="DX53" i="4" s="1"/>
  <c r="EV53" i="4" a="1"/>
  <c r="EV53" i="4" s="1"/>
  <c r="DS53" i="4" a="1"/>
  <c r="DS53" i="4" s="1"/>
  <c r="EO53" i="4" a="1"/>
  <c r="EO53" i="4" s="1"/>
  <c r="DL53" i="4" a="1"/>
  <c r="DL53" i="4" s="1"/>
  <c r="EB54" i="4" a="1"/>
  <c r="EB54" i="4" s="1"/>
  <c r="ER54" i="4" a="1"/>
  <c r="ER54" i="4" s="1"/>
  <c r="DO54" i="4" a="1"/>
  <c r="DO54" i="4" s="1"/>
  <c r="DZ54" i="4" a="1"/>
  <c r="DZ54" i="4" s="1"/>
  <c r="DZ16" i="4" a="1"/>
  <c r="DZ16" i="4" s="1"/>
  <c r="DX16" i="4" a="1"/>
  <c r="DX16" i="4" s="1"/>
  <c r="EF16" i="4" a="1"/>
  <c r="EF16" i="4" s="1"/>
  <c r="AL78" i="4"/>
  <c r="BH78" i="4"/>
  <c r="P78" i="4"/>
  <c r="EE48" i="4" a="1"/>
  <c r="EE48" i="4" s="1"/>
  <c r="DT48" i="4" a="1"/>
  <c r="DT48" i="4" s="1"/>
  <c r="EW48" i="4" a="1"/>
  <c r="EW48" i="4" s="1"/>
  <c r="ER48" i="4" a="1"/>
  <c r="ER48" i="4" s="1"/>
  <c r="DO48" i="4" a="1"/>
  <c r="DO48" i="4" s="1"/>
  <c r="DG120" i="4"/>
  <c r="DF120" i="4"/>
  <c r="DE120" i="4"/>
  <c r="DD120" i="4"/>
  <c r="AH120" i="4"/>
  <c r="CQ120" i="4"/>
  <c r="CO120" i="4"/>
  <c r="CX120" i="4"/>
  <c r="CK120" i="4"/>
  <c r="AJ120" i="4"/>
  <c r="CR120" i="4"/>
  <c r="BT120" i="4"/>
  <c r="CN120" i="4"/>
  <c r="DC120" i="4"/>
  <c r="CT120" i="4"/>
  <c r="CS120" i="4"/>
  <c r="CW120" i="4"/>
  <c r="CP120" i="4"/>
  <c r="CL120" i="4"/>
  <c r="CM120" i="4"/>
  <c r="CZ120" i="4"/>
  <c r="CY120" i="4"/>
  <c r="DB120" i="4"/>
  <c r="DA120" i="4"/>
  <c r="CU120" i="4"/>
  <c r="CV120" i="4"/>
  <c r="DH120" i="4"/>
  <c r="DW26" i="4" a="1"/>
  <c r="DW26" i="4" s="1"/>
  <c r="EC26" i="4" a="1"/>
  <c r="EC26" i="4" s="1"/>
  <c r="DS26" i="4" a="1"/>
  <c r="DS26" i="4" s="1"/>
  <c r="EV26" i="4" a="1"/>
  <c r="EV26" i="4" s="1"/>
  <c r="DZ26" i="4" a="1"/>
  <c r="DZ26" i="4" s="1"/>
  <c r="DI71" i="4" a="1"/>
  <c r="DI71" i="4" s="1"/>
  <c r="EL71" i="4" a="1"/>
  <c r="EL71" i="4" s="1"/>
  <c r="E34" i="50" s="1"/>
  <c r="DO71" i="4" a="1"/>
  <c r="DO71" i="4" s="1"/>
  <c r="ER71" i="4" a="1"/>
  <c r="ER71" i="4" s="1"/>
  <c r="K34" i="50" s="1"/>
  <c r="DT71" i="4" a="1"/>
  <c r="DT71" i="4" s="1"/>
  <c r="EW71" i="4" a="1"/>
  <c r="EW71" i="4" s="1"/>
  <c r="P34" i="50" s="1"/>
  <c r="ED57" i="4" a="1"/>
  <c r="ED57" i="4" s="1"/>
  <c r="DY57" i="4" a="1"/>
  <c r="DY57" i="4" s="1"/>
  <c r="CV6" i="4"/>
  <c r="CK6" i="4"/>
  <c r="DH6" i="4"/>
  <c r="CR6" i="4"/>
  <c r="DC6" i="4"/>
  <c r="CM6" i="4"/>
  <c r="CL6" i="4"/>
  <c r="CZ6" i="4"/>
  <c r="DG6" i="4"/>
  <c r="CT6" i="4"/>
  <c r="DD6" i="4"/>
  <c r="DF6" i="4"/>
  <c r="CX6" i="4"/>
  <c r="CN6" i="4"/>
  <c r="DB6" i="4"/>
  <c r="AJ6" i="4"/>
  <c r="AH6" i="4"/>
  <c r="CO6" i="4"/>
  <c r="CY6" i="4"/>
  <c r="BT6" i="4"/>
  <c r="CQ6" i="4"/>
  <c r="CS6" i="4"/>
  <c r="CU6" i="4"/>
  <c r="CW6" i="4"/>
  <c r="DA6" i="4"/>
  <c r="CP6" i="4"/>
  <c r="DE6" i="4"/>
  <c r="EE23" i="4" a="1"/>
  <c r="EE23" i="4" s="1"/>
  <c r="DN23" i="4" a="1"/>
  <c r="DN23" i="4" s="1"/>
  <c r="EQ23" i="4" a="1"/>
  <c r="EQ23" i="4" s="1"/>
  <c r="EF23" i="4" a="1"/>
  <c r="EF23" i="4" s="1"/>
  <c r="EE20" i="2"/>
  <c r="EC20" i="2"/>
  <c r="EB20" i="2"/>
  <c r="DU126" i="4" a="1"/>
  <c r="DU126" i="4" s="1"/>
  <c r="DM126" i="4" a="1"/>
  <c r="DM126" i="4" s="1"/>
  <c r="EP126" i="4" a="1"/>
  <c r="EP126" i="4" s="1"/>
  <c r="EL126" i="4" a="1"/>
  <c r="EL126" i="4" s="1"/>
  <c r="DI126" i="4" a="1"/>
  <c r="DI126" i="4" s="1"/>
  <c r="ED126" i="4" a="1"/>
  <c r="ED126" i="4" s="1"/>
  <c r="DJ47" i="4" a="1"/>
  <c r="DJ47" i="4" s="1"/>
  <c r="EM47" i="4" a="1"/>
  <c r="EM47" i="4" s="1"/>
  <c r="DU47" i="4" a="1"/>
  <c r="DU47" i="4" s="1"/>
  <c r="EO47" i="4" a="1"/>
  <c r="EO47" i="4" s="1"/>
  <c r="DL47" i="4" a="1"/>
  <c r="DL47" i="4" s="1"/>
  <c r="EF38" i="4" a="1"/>
  <c r="EF38" i="4" s="1"/>
  <c r="DV38" i="4" a="1"/>
  <c r="DV38" i="4" s="1"/>
  <c r="DN38" i="4" a="1"/>
  <c r="DN38" i="4" s="1"/>
  <c r="EQ38" i="4" a="1"/>
  <c r="EQ38" i="4" s="1"/>
  <c r="EC38" i="4" a="1"/>
  <c r="EC38" i="4" s="1"/>
  <c r="EO49" i="4" a="1"/>
  <c r="EO49" i="4" s="1"/>
  <c r="DL49" i="4" a="1"/>
  <c r="DL49" i="4" s="1"/>
  <c r="DK49" i="4" a="1"/>
  <c r="DK49" i="4" s="1"/>
  <c r="EN49" i="4" a="1"/>
  <c r="EN49" i="4" s="1"/>
  <c r="DO49" i="4" a="1"/>
  <c r="DO49" i="4" s="1"/>
  <c r="ER49" i="4" a="1"/>
  <c r="ER49" i="4" s="1"/>
  <c r="DU49" i="4" a="1"/>
  <c r="DU49" i="4" s="1"/>
  <c r="DS289" i="2"/>
  <c r="DT289" i="2"/>
  <c r="DR289" i="2"/>
  <c r="ET46" i="4" a="1"/>
  <c r="ET46" i="4" s="1"/>
  <c r="DQ46" i="4" a="1"/>
  <c r="DQ46" i="4" s="1"/>
  <c r="DU46" i="4" a="1"/>
  <c r="DU46" i="4" s="1"/>
  <c r="EN46" i="4" a="1"/>
  <c r="EN46" i="4" s="1"/>
  <c r="DK46" i="4" a="1"/>
  <c r="DK46" i="4" s="1"/>
  <c r="EL44" i="4" a="1"/>
  <c r="EL44" i="4" s="1"/>
  <c r="DI44" i="4" a="1"/>
  <c r="DI44" i="4" s="1"/>
  <c r="EP44" i="4" a="1"/>
  <c r="EP44" i="4" s="1"/>
  <c r="DM44" i="4" a="1"/>
  <c r="DM44" i="4" s="1"/>
  <c r="ES72" i="4" a="1"/>
  <c r="ES72" i="4" s="1"/>
  <c r="L35" i="50" s="1"/>
  <c r="DP72" i="4" a="1"/>
  <c r="DP72" i="4" s="1"/>
  <c r="DU72" i="4" a="1"/>
  <c r="DU72" i="4" s="1"/>
  <c r="EM72" i="4" a="1"/>
  <c r="EM72" i="4" s="1"/>
  <c r="F35" i="50" s="1"/>
  <c r="DJ72" i="4" a="1"/>
  <c r="DJ72" i="4" s="1"/>
  <c r="EC7" i="2"/>
  <c r="EE7" i="2"/>
  <c r="EB7" i="2"/>
  <c r="EL69" i="4" a="1"/>
  <c r="EL69" i="4" s="1"/>
  <c r="E33" i="50" s="1"/>
  <c r="DI69" i="4" a="1"/>
  <c r="DI69" i="4" s="1"/>
  <c r="DP69" i="4" a="1"/>
  <c r="DP69" i="4" s="1"/>
  <c r="ES69" i="4" a="1"/>
  <c r="ES69" i="4" s="1"/>
  <c r="Z76" i="4"/>
  <c r="Y76" i="4"/>
  <c r="DP59" i="4" a="1"/>
  <c r="DP59" i="4" s="1"/>
  <c r="ES59" i="4" a="1"/>
  <c r="ES59" i="4" s="1"/>
  <c r="EV59" i="4" a="1"/>
  <c r="EV59" i="4" s="1"/>
  <c r="DS59" i="4" a="1"/>
  <c r="DS59" i="4" s="1"/>
  <c r="AE103" i="4"/>
  <c r="BS103" i="4"/>
  <c r="AD103" i="4"/>
  <c r="CX111" i="4"/>
  <c r="CY111" i="4"/>
  <c r="CT111" i="4"/>
  <c r="CP111" i="4"/>
  <c r="CO111" i="4"/>
  <c r="AJ111" i="4"/>
  <c r="CR111" i="4"/>
  <c r="CU111" i="4"/>
  <c r="CL111" i="4"/>
  <c r="DA111" i="4"/>
  <c r="CQ111" i="4"/>
  <c r="CN111" i="4"/>
  <c r="CZ111" i="4"/>
  <c r="CS111" i="4"/>
  <c r="CM111" i="4"/>
  <c r="AH111" i="4"/>
  <c r="DD111" i="4"/>
  <c r="DF111" i="4"/>
  <c r="DE111" i="4"/>
  <c r="DH111" i="4"/>
  <c r="DB111" i="4"/>
  <c r="DC111" i="4"/>
  <c r="BT111" i="4"/>
  <c r="CK111" i="4"/>
  <c r="CW111" i="4"/>
  <c r="DG111" i="4"/>
  <c r="CV111" i="4"/>
  <c r="DY27" i="4" a="1"/>
  <c r="DY27" i="4" s="1"/>
  <c r="DZ27" i="4" a="1"/>
  <c r="DZ27" i="4" s="1"/>
  <c r="DL27" i="4" a="1"/>
  <c r="DL27" i="4" s="1"/>
  <c r="EO27" i="4" a="1"/>
  <c r="EO27" i="4" s="1"/>
  <c r="H13" i="50" s="1"/>
  <c r="EV52" i="4" a="1"/>
  <c r="EV52" i="4" s="1"/>
  <c r="O22" i="50" s="1"/>
  <c r="DS52" i="4" a="1"/>
  <c r="DS52" i="4" s="1"/>
  <c r="EF52" i="4" a="1"/>
  <c r="EF52" i="4" s="1"/>
  <c r="DZ52" i="4" a="1"/>
  <c r="DZ52" i="4" s="1"/>
  <c r="BH117" i="4"/>
  <c r="P117" i="4"/>
  <c r="AL117" i="4"/>
  <c r="DK17" i="4" a="1"/>
  <c r="DK17" i="4" s="1"/>
  <c r="EN17" i="4" a="1"/>
  <c r="EN17" i="4" s="1"/>
  <c r="DW17" i="4" a="1"/>
  <c r="DW17" i="4" s="1"/>
  <c r="DQ17" i="4" a="1"/>
  <c r="DQ17" i="4" s="1"/>
  <c r="ET17" i="4" a="1"/>
  <c r="ET17" i="4" s="1"/>
  <c r="EO39" i="4" a="1"/>
  <c r="EO39" i="4" s="1"/>
  <c r="DL39" i="4" a="1"/>
  <c r="DL39" i="4" s="1"/>
  <c r="DW39" i="4" a="1"/>
  <c r="DW39" i="4" s="1"/>
  <c r="DZ39" i="4" a="1"/>
  <c r="DZ39" i="4" s="1"/>
  <c r="DU39" i="4" a="1"/>
  <c r="DU39" i="4" s="1"/>
  <c r="DW68" i="4" a="1"/>
  <c r="DW68" i="4" s="1"/>
  <c r="DJ68" i="4" a="1"/>
  <c r="DJ68" i="4" s="1"/>
  <c r="EM68" i="4" a="1"/>
  <c r="EM68" i="4" s="1"/>
  <c r="DX68" i="4" a="1"/>
  <c r="DX68" i="4" s="1"/>
  <c r="DR68" i="4" a="1"/>
  <c r="DR68" i="4" s="1"/>
  <c r="EU68" i="4" a="1"/>
  <c r="EU68" i="4" s="1"/>
  <c r="N32" i="50" s="1"/>
  <c r="ED45" i="4" a="1"/>
  <c r="ED45" i="4" s="1"/>
  <c r="DY45" i="4" a="1"/>
  <c r="DY45" i="4" s="1"/>
  <c r="AL130" i="4"/>
  <c r="P130" i="4"/>
  <c r="BH130" i="4"/>
  <c r="DO28" i="4" a="1"/>
  <c r="DO28" i="4" s="1"/>
  <c r="ER28" i="4" a="1"/>
  <c r="ER28" i="4" s="1"/>
  <c r="EM28" i="4" a="1"/>
  <c r="EM28" i="4" s="1"/>
  <c r="DJ28" i="4" a="1"/>
  <c r="DJ28" i="4" s="1"/>
  <c r="DZ28" i="4" a="1"/>
  <c r="DZ28" i="4" s="1"/>
  <c r="ER60" i="4" a="1"/>
  <c r="ER60" i="4" s="1"/>
  <c r="DO60" i="4" a="1"/>
  <c r="DO60" i="4" s="1"/>
  <c r="EP60" i="4" a="1"/>
  <c r="EP60" i="4" s="1"/>
  <c r="DM60" i="4" a="1"/>
  <c r="DM60" i="4" s="1"/>
  <c r="DZ60" i="4" a="1"/>
  <c r="DZ60" i="4" s="1"/>
  <c r="EF85" i="4" a="1"/>
  <c r="EF85" i="4" s="1"/>
  <c r="DX85" i="4" a="1"/>
  <c r="DX85" i="4" s="1"/>
  <c r="DV85" i="4" a="1"/>
  <c r="DV85" i="4" s="1"/>
  <c r="EC58" i="4" a="1"/>
  <c r="EC58" i="4" s="1"/>
  <c r="DI58" i="4" a="1"/>
  <c r="DI58" i="4" s="1"/>
  <c r="EL58" i="4" a="1"/>
  <c r="EL58" i="4" s="1"/>
  <c r="EW58" i="4" a="1"/>
  <c r="EW58" i="4" s="1"/>
  <c r="DT58" i="4" a="1"/>
  <c r="DT58" i="4" s="1"/>
  <c r="DV25" i="4" a="1"/>
  <c r="DV25" i="4" s="1"/>
  <c r="EF25" i="4" a="1"/>
  <c r="EF25" i="4" s="1"/>
  <c r="AE138" i="4"/>
  <c r="AD138" i="4"/>
  <c r="BS138" i="4"/>
  <c r="EP55" i="4" a="1"/>
  <c r="EP55" i="4" s="1"/>
  <c r="DM55" i="4" a="1"/>
  <c r="DM55" i="4" s="1"/>
  <c r="DN55" i="4" a="1"/>
  <c r="DN55" i="4" s="1"/>
  <c r="EQ55" i="4" a="1"/>
  <c r="EQ55" i="4" s="1"/>
  <c r="EF55" i="4" a="1"/>
  <c r="EF55" i="4" s="1"/>
  <c r="DV40" i="4" a="1"/>
  <c r="DV40" i="4" s="1"/>
  <c r="EW40" i="4" a="1"/>
  <c r="EW40" i="4" s="1"/>
  <c r="DT40" i="4" a="1"/>
  <c r="DT40" i="4" s="1"/>
  <c r="DL40" i="4" a="1"/>
  <c r="DL40" i="4" s="1"/>
  <c r="EO40" i="4" a="1"/>
  <c r="EO40" i="4" s="1"/>
  <c r="H17" i="50" s="1"/>
  <c r="DM132" i="4" a="1"/>
  <c r="DM132" i="4" s="1"/>
  <c r="EP132" i="4" a="1"/>
  <c r="EP132" i="4" s="1"/>
  <c r="DN132" i="4" a="1"/>
  <c r="DN132" i="4" s="1"/>
  <c r="EQ132" i="4" a="1"/>
  <c r="EQ132" i="4" s="1"/>
  <c r="DY132" i="4" a="1"/>
  <c r="DY132" i="4" s="1"/>
  <c r="EL132" i="4" a="1"/>
  <c r="EL132" i="4" s="1"/>
  <c r="DI132" i="4" a="1"/>
  <c r="DI132" i="4" s="1"/>
  <c r="AL77" i="4"/>
  <c r="BH77" i="4"/>
  <c r="P77" i="4"/>
  <c r="AH90" i="4"/>
  <c r="CR90" i="4"/>
  <c r="CP90" i="4"/>
  <c r="DG90" i="4"/>
  <c r="CM90" i="4"/>
  <c r="CY90" i="4"/>
  <c r="CS90" i="4"/>
  <c r="CW90" i="4"/>
  <c r="DD90" i="4"/>
  <c r="CU90" i="4"/>
  <c r="DH90" i="4"/>
  <c r="CQ90" i="4"/>
  <c r="DC90" i="4"/>
  <c r="BT90" i="4"/>
  <c r="CN90" i="4"/>
  <c r="DF90" i="4"/>
  <c r="CO90" i="4"/>
  <c r="DA90" i="4"/>
  <c r="AJ90" i="4"/>
  <c r="CV90" i="4"/>
  <c r="DB90" i="4"/>
  <c r="DE90" i="4"/>
  <c r="CT90" i="4"/>
  <c r="CL90" i="4"/>
  <c r="CZ90" i="4"/>
  <c r="CK90" i="4"/>
  <c r="CX90" i="4"/>
  <c r="EE198" i="2"/>
  <c r="EC198" i="2"/>
  <c r="EB198" i="2"/>
  <c r="EM18" i="4" a="1"/>
  <c r="EM18" i="4" s="1"/>
  <c r="DJ18" i="4" a="1"/>
  <c r="DJ18" i="4" s="1"/>
  <c r="DP18" i="4" a="1"/>
  <c r="DP18" i="4" s="1"/>
  <c r="ES18" i="4" a="1"/>
  <c r="ES18" i="4" s="1"/>
  <c r="EF18" i="4" a="1"/>
  <c r="EF18" i="4" s="1"/>
  <c r="BH124" i="4"/>
  <c r="P124" i="4"/>
  <c r="AL124" i="4"/>
  <c r="DT305" i="2"/>
  <c r="DR305" i="2"/>
  <c r="DS305" i="2"/>
  <c r="EB41" i="4" a="1"/>
  <c r="EB41" i="4" s="1"/>
  <c r="CV37" i="4"/>
  <c r="CM37" i="4"/>
  <c r="AJ37" i="4"/>
  <c r="CP37" i="4"/>
  <c r="CQ37" i="4"/>
  <c r="CK37" i="4"/>
  <c r="CS37" i="4"/>
  <c r="CZ37" i="4"/>
  <c r="DF37" i="4"/>
  <c r="BT37" i="4"/>
  <c r="CY37" i="4"/>
  <c r="CW37" i="4"/>
  <c r="CL37" i="4"/>
  <c r="CU37" i="4"/>
  <c r="DC37" i="4"/>
  <c r="DB37" i="4"/>
  <c r="DG37" i="4"/>
  <c r="DD37" i="4"/>
  <c r="DA37" i="4"/>
  <c r="CN37" i="4"/>
  <c r="CX37" i="4"/>
  <c r="CO37" i="4"/>
  <c r="DE37" i="4"/>
  <c r="AH37" i="4"/>
  <c r="CR37" i="4"/>
  <c r="CT37" i="4"/>
  <c r="DH37" i="4"/>
  <c r="EC248" i="2"/>
  <c r="EE248" i="2"/>
  <c r="EB248" i="2"/>
  <c r="ER123" i="4" a="1"/>
  <c r="ER123" i="4" s="1"/>
  <c r="DO123" i="4" a="1"/>
  <c r="DO123" i="4" s="1"/>
  <c r="DT123" i="4" a="1"/>
  <c r="DT123" i="4" s="1"/>
  <c r="EW123" i="4" a="1"/>
  <c r="EW123" i="4" s="1"/>
  <c r="DY123" i="4" a="1"/>
  <c r="DY123" i="4" s="1"/>
  <c r="DC7" i="4"/>
  <c r="CP7" i="4"/>
  <c r="AH7" i="4"/>
  <c r="CR7" i="4"/>
  <c r="DD7" i="4"/>
  <c r="CZ7" i="4"/>
  <c r="CU7" i="4"/>
  <c r="CQ7" i="4"/>
  <c r="DG7" i="4"/>
  <c r="CV7" i="4"/>
  <c r="CS7" i="4"/>
  <c r="CX7" i="4"/>
  <c r="CK7" i="4"/>
  <c r="DB7" i="4"/>
  <c r="CO7" i="4"/>
  <c r="CL7" i="4"/>
  <c r="DE7" i="4"/>
  <c r="DH7" i="4"/>
  <c r="DA7" i="4"/>
  <c r="AJ7" i="4"/>
  <c r="CW7" i="4"/>
  <c r="CT7" i="4"/>
  <c r="DF7" i="4"/>
  <c r="CN7" i="4"/>
  <c r="CY7" i="4"/>
  <c r="BT7" i="4"/>
  <c r="CM7" i="4"/>
  <c r="DX57" i="2"/>
  <c r="DZ57" i="2" s="1"/>
  <c r="EA57" i="2" s="1"/>
  <c r="ED57" i="2"/>
  <c r="EL20" i="4" a="1"/>
  <c r="EL20" i="4" s="1"/>
  <c r="DI20" i="4" a="1"/>
  <c r="DI20" i="4" s="1"/>
  <c r="EF20" i="4" a="1"/>
  <c r="EF20" i="4" s="1"/>
  <c r="DZ20" i="4" a="1"/>
  <c r="DZ20" i="4" s="1"/>
  <c r="DY20" i="4" a="1"/>
  <c r="DY20" i="4" s="1"/>
  <c r="AE104" i="4"/>
  <c r="BS104" i="4"/>
  <c r="AD104" i="4"/>
  <c r="EQ11" i="4" a="1"/>
  <c r="EQ11" i="4" s="1"/>
  <c r="DN11" i="4" a="1"/>
  <c r="DN11" i="4" s="1"/>
  <c r="DK11" i="4" a="1"/>
  <c r="DK11" i="4" s="1"/>
  <c r="EN11" i="4" a="1"/>
  <c r="EN11" i="4" s="1"/>
  <c r="EV11" i="4" a="1"/>
  <c r="EV11" i="4" s="1"/>
  <c r="DS11" i="4" a="1"/>
  <c r="DS11" i="4" s="1"/>
  <c r="EC15" i="4" a="1"/>
  <c r="EC15" i="4" s="1"/>
  <c r="DR15" i="4" a="1"/>
  <c r="DR15" i="4" s="1"/>
  <c r="EU15" i="4" a="1"/>
  <c r="EU15" i="4" s="1"/>
  <c r="EA15" i="4" a="1"/>
  <c r="EA15" i="4" s="1"/>
  <c r="DR248" i="2"/>
  <c r="DS248" i="2"/>
  <c r="DT248" i="2"/>
  <c r="ER53" i="4" a="1"/>
  <c r="ER53" i="4" s="1"/>
  <c r="DO53" i="4" a="1"/>
  <c r="DO53" i="4" s="1"/>
  <c r="DJ53" i="4" a="1"/>
  <c r="DJ53" i="4" s="1"/>
  <c r="EM53" i="4" a="1"/>
  <c r="EM53" i="4" s="1"/>
  <c r="ED53" i="4" a="1"/>
  <c r="ED53" i="4" s="1"/>
  <c r="EE54" i="4" a="1"/>
  <c r="EE54" i="4" s="1"/>
  <c r="DQ54" i="4" a="1"/>
  <c r="DQ54" i="4" s="1"/>
  <c r="ET54" i="4" a="1"/>
  <c r="ET54" i="4" s="1"/>
  <c r="M24" i="50" s="1"/>
  <c r="DK54" i="4" a="1"/>
  <c r="DK54" i="4" s="1"/>
  <c r="EN54" i="4" a="1"/>
  <c r="EN54" i="4" s="1"/>
  <c r="G24" i="50" s="1"/>
  <c r="EC191" i="2"/>
  <c r="EE191" i="2"/>
  <c r="EB191" i="2"/>
  <c r="DV16" i="4" a="1"/>
  <c r="DV16" i="4" s="1"/>
  <c r="EB16" i="4" a="1"/>
  <c r="EB16" i="4" s="1"/>
  <c r="DU16" i="4" a="1"/>
  <c r="DU16" i="4" s="1"/>
  <c r="Y78" i="4"/>
  <c r="Z78" i="4"/>
  <c r="DB131" i="4"/>
  <c r="CM131" i="4"/>
  <c r="CL131" i="4"/>
  <c r="AJ131" i="4"/>
  <c r="CR131" i="4"/>
  <c r="CS131" i="4"/>
  <c r="DH131" i="4"/>
  <c r="CK131" i="4"/>
  <c r="CN131" i="4"/>
  <c r="CX131" i="4"/>
  <c r="DF131" i="4"/>
  <c r="BT131" i="4"/>
  <c r="DD131" i="4"/>
  <c r="DA131" i="4"/>
  <c r="CZ131" i="4"/>
  <c r="CO131" i="4"/>
  <c r="DG131" i="4"/>
  <c r="CU131" i="4"/>
  <c r="CW131" i="4"/>
  <c r="CV131" i="4"/>
  <c r="DC131" i="4"/>
  <c r="CY131" i="4"/>
  <c r="CT131" i="4"/>
  <c r="CQ131" i="4"/>
  <c r="AH131" i="4"/>
  <c r="CP131" i="4"/>
  <c r="DE131" i="4"/>
  <c r="EB48" i="4" a="1"/>
  <c r="EB48" i="4" s="1"/>
  <c r="EL48" i="4" a="1"/>
  <c r="EL48" i="4" s="1"/>
  <c r="DI48" i="4" a="1"/>
  <c r="DI48" i="4" s="1"/>
  <c r="DU48" i="4" a="1"/>
  <c r="DU48" i="4" s="1"/>
  <c r="P116" i="4"/>
  <c r="BH116" i="4"/>
  <c r="AL116" i="4"/>
  <c r="AL94" i="4"/>
  <c r="BH94" i="4"/>
  <c r="P94" i="4"/>
  <c r="DY26" i="4" a="1"/>
  <c r="DY26" i="4" s="1"/>
  <c r="DP26" i="4" a="1"/>
  <c r="DP26" i="4" s="1"/>
  <c r="ES26" i="4" a="1"/>
  <c r="ES26" i="4" s="1"/>
  <c r="DR26" i="4" a="1"/>
  <c r="DR26" i="4" s="1"/>
  <c r="EU26" i="4" a="1"/>
  <c r="EU26" i="4" s="1"/>
  <c r="DK26" i="4" a="1"/>
  <c r="DK26" i="4" s="1"/>
  <c r="EN26" i="4" a="1"/>
  <c r="EN26" i="4" s="1"/>
  <c r="EA71" i="4" a="1"/>
  <c r="EA71" i="4" s="1"/>
  <c r="DU71" i="4" a="1"/>
  <c r="DU71" i="4" s="1"/>
  <c r="ED71" i="4" a="1"/>
  <c r="ED71" i="4" s="1"/>
  <c r="EV71" i="4" a="1"/>
  <c r="EV71" i="4" s="1"/>
  <c r="O34" i="50" s="1"/>
  <c r="DS71" i="4" a="1"/>
  <c r="DS71" i="4" s="1"/>
  <c r="EC289" i="2"/>
  <c r="EE289" i="2"/>
  <c r="EB289" i="2"/>
  <c r="DS57" i="4" a="1"/>
  <c r="DS57" i="4" s="1"/>
  <c r="EV57" i="4" a="1"/>
  <c r="EV57" i="4" s="1"/>
  <c r="EC57" i="4" a="1"/>
  <c r="EC57" i="4" s="1"/>
  <c r="DL57" i="4" a="1"/>
  <c r="DL57" i="4" s="1"/>
  <c r="EO57" i="4" a="1"/>
  <c r="EO57" i="4" s="1"/>
  <c r="DK23" i="4" a="1"/>
  <c r="DK23" i="4" s="1"/>
  <c r="EN23" i="4" a="1"/>
  <c r="EN23" i="4" s="1"/>
  <c r="DM23" i="4" a="1"/>
  <c r="DM23" i="4" s="1"/>
  <c r="EP23" i="4" a="1"/>
  <c r="EP23" i="4" s="1"/>
  <c r="DW126" i="4" a="1"/>
  <c r="DW126" i="4" s="1"/>
  <c r="DY126" i="4" a="1"/>
  <c r="DY126" i="4" s="1"/>
  <c r="DP126" i="4" a="1"/>
  <c r="DP126" i="4" s="1"/>
  <c r="ES126" i="4" a="1"/>
  <c r="ES126" i="4" s="1"/>
  <c r="DZ126" i="4" a="1"/>
  <c r="DZ126" i="4" s="1"/>
  <c r="EN47" i="4" a="1"/>
  <c r="EN47" i="4" s="1"/>
  <c r="DK47" i="4" a="1"/>
  <c r="DK47" i="4" s="1"/>
  <c r="EA47" i="4" a="1"/>
  <c r="EA47" i="4" s="1"/>
  <c r="DV47" i="4" a="1"/>
  <c r="DV47" i="4" s="1"/>
  <c r="EQ47" i="4" a="1"/>
  <c r="EQ47" i="4" s="1"/>
  <c r="DN47" i="4" a="1"/>
  <c r="DN47" i="4" s="1"/>
  <c r="DT38" i="4" a="1"/>
  <c r="DT38" i="4" s="1"/>
  <c r="EW38" i="4" a="1"/>
  <c r="EW38" i="4" s="1"/>
  <c r="EU38" i="4" a="1"/>
  <c r="EU38" i="4" s="1"/>
  <c r="DR38" i="4" a="1"/>
  <c r="DR38" i="4" s="1"/>
  <c r="ES38" i="4" a="1"/>
  <c r="ES38" i="4" s="1"/>
  <c r="L16" i="50" s="1"/>
  <c r="DP38" i="4" a="1"/>
  <c r="DP38" i="4" s="1"/>
  <c r="DX49" i="4" a="1"/>
  <c r="DX49" i="4" s="1"/>
  <c r="DZ49" i="4" a="1"/>
  <c r="DZ49" i="4" s="1"/>
  <c r="EQ49" i="4" a="1"/>
  <c r="EQ49" i="4" s="1"/>
  <c r="DN49" i="4" a="1"/>
  <c r="DN49" i="4" s="1"/>
  <c r="ER46" i="4" a="1"/>
  <c r="ER46" i="4" s="1"/>
  <c r="DO46" i="4" a="1"/>
  <c r="DO46" i="4" s="1"/>
  <c r="EF46" i="4" a="1"/>
  <c r="EF46" i="4" s="1"/>
  <c r="DZ46" i="4" a="1"/>
  <c r="DZ46" i="4" s="1"/>
  <c r="EG86" i="4"/>
  <c r="EV44" i="4" a="1"/>
  <c r="EV44" i="4" s="1"/>
  <c r="DS44" i="4" a="1"/>
  <c r="DS44" i="4" s="1"/>
  <c r="DT44" i="4" a="1"/>
  <c r="DT44" i="4" s="1"/>
  <c r="EW44" i="4" a="1"/>
  <c r="EW44" i="4" s="1"/>
  <c r="EC44" i="4" a="1"/>
  <c r="EC44" i="4" s="1"/>
  <c r="ED72" i="4" a="1"/>
  <c r="ED72" i="4" s="1"/>
  <c r="EB72" i="4" a="1"/>
  <c r="EB72" i="4" s="1"/>
  <c r="DI72" i="4" a="1"/>
  <c r="DI72" i="4" s="1"/>
  <c r="EL72" i="4" a="1"/>
  <c r="EL72" i="4" s="1"/>
  <c r="E35" i="50" s="1"/>
  <c r="DS20" i="2"/>
  <c r="DT20" i="2"/>
  <c r="DR20" i="2"/>
  <c r="EE69" i="4" a="1"/>
  <c r="EE69" i="4" s="1"/>
  <c r="DY69" i="4" a="1"/>
  <c r="DY69" i="4" s="1"/>
  <c r="EM69" i="4" a="1"/>
  <c r="EM69" i="4" s="1"/>
  <c r="DJ69" i="4" a="1"/>
  <c r="DJ69" i="4" s="1"/>
  <c r="CY75" i="4"/>
  <c r="DE75" i="4"/>
  <c r="CZ75" i="4"/>
  <c r="CV75" i="4"/>
  <c r="DA75" i="4"/>
  <c r="CM75" i="4"/>
  <c r="DH75" i="4"/>
  <c r="DG75" i="4"/>
  <c r="CP75" i="4"/>
  <c r="AJ75" i="4"/>
  <c r="CL75" i="4"/>
  <c r="CR75" i="4"/>
  <c r="BT75" i="4"/>
  <c r="CK75" i="4"/>
  <c r="CU75" i="4"/>
  <c r="CW75" i="4"/>
  <c r="DD75" i="4"/>
  <c r="CX75" i="4"/>
  <c r="DF75" i="4"/>
  <c r="CQ75" i="4"/>
  <c r="CN75" i="4"/>
  <c r="AH75" i="4"/>
  <c r="DB75" i="4"/>
  <c r="CS75" i="4"/>
  <c r="DC75" i="4"/>
  <c r="CT75" i="4"/>
  <c r="CO75" i="4"/>
  <c r="BT24" i="4"/>
  <c r="AJ24" i="4"/>
  <c r="CQ24" i="4"/>
  <c r="CZ24" i="4"/>
  <c r="CP24" i="4"/>
  <c r="CO24" i="4"/>
  <c r="CU24" i="4"/>
  <c r="CM24" i="4"/>
  <c r="CX24" i="4"/>
  <c r="CY24" i="4"/>
  <c r="CW24" i="4"/>
  <c r="CN24" i="4"/>
  <c r="DD24" i="4"/>
  <c r="CV24" i="4"/>
  <c r="CT24" i="4"/>
  <c r="CL24" i="4"/>
  <c r="CS24" i="4"/>
  <c r="DH24" i="4"/>
  <c r="CK24" i="4"/>
  <c r="CR24" i="4"/>
  <c r="DF24" i="4"/>
  <c r="DG24" i="4"/>
  <c r="DC24" i="4"/>
  <c r="DA24" i="4"/>
  <c r="AH24" i="4"/>
  <c r="DB24" i="4"/>
  <c r="DE24" i="4"/>
  <c r="CL82" i="4"/>
  <c r="CM82" i="4"/>
  <c r="DF82" i="4"/>
  <c r="DH82" i="4"/>
  <c r="CZ82" i="4"/>
  <c r="AJ82" i="4"/>
  <c r="CU82" i="4"/>
  <c r="CY82" i="4"/>
  <c r="DA82" i="4"/>
  <c r="CK82" i="4"/>
  <c r="AH82" i="4"/>
  <c r="DD82" i="4"/>
  <c r="CQ82" i="4"/>
  <c r="CW82" i="4"/>
  <c r="CX82" i="4"/>
  <c r="DE82" i="4"/>
  <c r="BT82" i="4"/>
  <c r="DG82" i="4"/>
  <c r="CP82" i="4"/>
  <c r="CS82" i="4"/>
  <c r="CR82" i="4"/>
  <c r="CN82" i="4"/>
  <c r="CO82" i="4"/>
  <c r="DC82" i="4"/>
  <c r="CV82" i="4"/>
  <c r="DB82" i="4"/>
  <c r="CT82" i="4"/>
  <c r="DV59" i="4" a="1"/>
  <c r="DV59" i="4" s="1"/>
  <c r="DN59" i="4" a="1"/>
  <c r="DN59" i="4" s="1"/>
  <c r="EQ59" i="4" a="1"/>
  <c r="EQ59" i="4" s="1"/>
  <c r="EN59" i="4" a="1"/>
  <c r="EN59" i="4" s="1"/>
  <c r="DK59" i="4" a="1"/>
  <c r="DK59" i="4" s="1"/>
  <c r="CY95" i="4"/>
  <c r="CX95" i="4"/>
  <c r="CK95" i="4"/>
  <c r="CN95" i="4"/>
  <c r="BT95" i="4"/>
  <c r="CV95" i="4"/>
  <c r="CZ95" i="4"/>
  <c r="DG95" i="4"/>
  <c r="DB95" i="4"/>
  <c r="DF95" i="4"/>
  <c r="CR95" i="4"/>
  <c r="CW95" i="4"/>
  <c r="DH95" i="4"/>
  <c r="DD95" i="4"/>
  <c r="DE95" i="4"/>
  <c r="CS95" i="4"/>
  <c r="AJ95" i="4"/>
  <c r="CM95" i="4"/>
  <c r="DC95" i="4"/>
  <c r="DA95" i="4"/>
  <c r="CU95" i="4"/>
  <c r="CT95" i="4"/>
  <c r="CL95" i="4"/>
  <c r="CO95" i="4"/>
  <c r="CQ95" i="4"/>
  <c r="CP95" i="4"/>
  <c r="AH95" i="4"/>
  <c r="DS122" i="2"/>
  <c r="DR122" i="2"/>
  <c r="DT122" i="2"/>
  <c r="DK27" i="4" a="1"/>
  <c r="DK27" i="4" s="1"/>
  <c r="EN27" i="4" a="1"/>
  <c r="EN27" i="4" s="1"/>
  <c r="G13" i="50" s="1"/>
  <c r="ET27" i="4" a="1"/>
  <c r="ET27" i="4" s="1"/>
  <c r="M13" i="50" s="1"/>
  <c r="DQ27" i="4" a="1"/>
  <c r="DQ27" i="4" s="1"/>
  <c r="EB27" i="4" a="1"/>
  <c r="EB27" i="4" s="1"/>
  <c r="DY52" i="4" a="1"/>
  <c r="DY52" i="4" s="1"/>
  <c r="EN52" i="4" a="1"/>
  <c r="EN52" i="4" s="1"/>
  <c r="G22" i="50" s="1"/>
  <c r="DK52" i="4" a="1"/>
  <c r="DK52" i="4" s="1"/>
  <c r="ES52" i="4" a="1"/>
  <c r="ES52" i="4" s="1"/>
  <c r="DP52" i="4" a="1"/>
  <c r="DP52" i="4" s="1"/>
  <c r="DX52" i="4" a="1"/>
  <c r="DX52" i="4" s="1"/>
  <c r="Z117" i="4"/>
  <c r="Y117" i="4"/>
  <c r="ER17" i="4" a="1"/>
  <c r="ER17" i="4" s="1"/>
  <c r="K8" i="50" s="1"/>
  <c r="DO17" i="4" a="1"/>
  <c r="DO17" i="4" s="1"/>
  <c r="DR17" i="4" a="1"/>
  <c r="DR17" i="4" s="1"/>
  <c r="EU17" i="4" a="1"/>
  <c r="EU17" i="4" s="1"/>
  <c r="EA17" i="4" a="1"/>
  <c r="EA17" i="4" s="1"/>
  <c r="EL39" i="4" a="1"/>
  <c r="EL39" i="4" s="1"/>
  <c r="DI39" i="4" a="1"/>
  <c r="DI39" i="4" s="1"/>
  <c r="ER39" i="4" a="1"/>
  <c r="ER39" i="4" s="1"/>
  <c r="DO39" i="4" a="1"/>
  <c r="DO39" i="4" s="1"/>
  <c r="DJ39" i="4" a="1"/>
  <c r="DJ39" i="4" s="1"/>
  <c r="EM39" i="4" a="1"/>
  <c r="EM39" i="4" s="1"/>
  <c r="DV39" i="4" a="1"/>
  <c r="DV39" i="4" s="1"/>
  <c r="DV68" i="4" a="1"/>
  <c r="DV68" i="4" s="1"/>
  <c r="DS68" i="4" a="1"/>
  <c r="DS68" i="4" s="1"/>
  <c r="EV68" i="4" a="1"/>
  <c r="EV68" i="4" s="1"/>
  <c r="O32" i="50" s="1"/>
  <c r="DU68" i="4" a="1"/>
  <c r="DU68" i="4" s="1"/>
  <c r="EE45" i="4" a="1"/>
  <c r="EE45" i="4" s="1"/>
  <c r="ES45" i="4" a="1"/>
  <c r="ES45" i="4" s="1"/>
  <c r="DP45" i="4" a="1"/>
  <c r="DP45" i="4" s="1"/>
  <c r="EF45" i="4" a="1"/>
  <c r="EF45" i="4" s="1"/>
  <c r="EN28" i="4" a="1"/>
  <c r="EN28" i="4" s="1"/>
  <c r="DK28" i="4" a="1"/>
  <c r="DK28" i="4" s="1"/>
  <c r="EO28" i="4" a="1"/>
  <c r="EO28" i="4" s="1"/>
  <c r="DL28" i="4" a="1"/>
  <c r="DL28" i="4" s="1"/>
  <c r="EF60" i="4" a="1"/>
  <c r="EF60" i="4" s="1"/>
  <c r="EC60" i="4" a="1"/>
  <c r="EC60" i="4" s="1"/>
  <c r="DW60" i="4" a="1"/>
  <c r="DW60" i="4" s="1"/>
  <c r="DP85" i="4" a="1"/>
  <c r="DP85" i="4" s="1"/>
  <c r="ES85" i="4" a="1"/>
  <c r="ES85" i="4" s="1"/>
  <c r="EQ85" i="4" a="1"/>
  <c r="EQ85" i="4" s="1"/>
  <c r="DN85" i="4" a="1"/>
  <c r="DN85" i="4" s="1"/>
  <c r="ED85" i="4" a="1"/>
  <c r="ED85" i="4" s="1"/>
  <c r="ER58" i="4" a="1"/>
  <c r="ER58" i="4" s="1"/>
  <c r="DO58" i="4" a="1"/>
  <c r="DO58" i="4" s="1"/>
  <c r="DQ58" i="4" a="1"/>
  <c r="DQ58" i="4" s="1"/>
  <c r="ET58" i="4" a="1"/>
  <c r="ET58" i="4" s="1"/>
  <c r="DN25" i="4" a="1"/>
  <c r="DN25" i="4" s="1"/>
  <c r="EQ25" i="4" a="1"/>
  <c r="EQ25" i="4" s="1"/>
  <c r="EP25" i="4" a="1"/>
  <c r="EP25" i="4" s="1"/>
  <c r="DM25" i="4" a="1"/>
  <c r="DM25" i="4" s="1"/>
  <c r="EV25" i="4" a="1"/>
  <c r="EV25" i="4" s="1"/>
  <c r="DS25" i="4" a="1"/>
  <c r="DS25" i="4" s="1"/>
  <c r="CN124" i="4"/>
  <c r="DA124" i="4"/>
  <c r="CP124" i="4"/>
  <c r="BT124" i="4"/>
  <c r="DE124" i="4"/>
  <c r="CM124" i="4"/>
  <c r="DG124" i="4"/>
  <c r="CL124" i="4"/>
  <c r="DC124" i="4"/>
  <c r="CS124" i="4"/>
  <c r="DD124" i="4"/>
  <c r="DH124" i="4"/>
  <c r="CZ124" i="4"/>
  <c r="DF124" i="4"/>
  <c r="CY124" i="4"/>
  <c r="CQ124" i="4"/>
  <c r="DB124" i="4"/>
  <c r="AH124" i="4"/>
  <c r="CX124" i="4"/>
  <c r="CT124" i="4"/>
  <c r="CU124" i="4"/>
  <c r="CO124" i="4"/>
  <c r="CR124" i="4"/>
  <c r="CK124" i="4"/>
  <c r="CV124" i="4"/>
  <c r="CW124" i="4"/>
  <c r="AJ124" i="4"/>
  <c r="CS102" i="4"/>
  <c r="CK102" i="4"/>
  <c r="CR102" i="4"/>
  <c r="CV102" i="4"/>
  <c r="DF102" i="4"/>
  <c r="AJ102" i="4"/>
  <c r="DD102" i="4"/>
  <c r="CY102" i="4"/>
  <c r="DG102" i="4"/>
  <c r="CU102" i="4"/>
  <c r="CT102" i="4"/>
  <c r="DA102" i="4"/>
  <c r="AH102" i="4"/>
  <c r="CZ102" i="4"/>
  <c r="CW102" i="4"/>
  <c r="CL102" i="4"/>
  <c r="DC102" i="4"/>
  <c r="DE102" i="4"/>
  <c r="BT102" i="4"/>
  <c r="DH102" i="4"/>
  <c r="CN102" i="4"/>
  <c r="CQ102" i="4"/>
  <c r="CP102" i="4"/>
  <c r="CO102" i="4"/>
  <c r="DB102" i="4"/>
  <c r="CX102" i="4"/>
  <c r="CM102" i="4"/>
  <c r="DY55" i="4" a="1"/>
  <c r="DY55" i="4" s="1"/>
  <c r="EV55" i="4" a="1"/>
  <c r="EV55" i="4" s="1"/>
  <c r="DS55" i="4" a="1"/>
  <c r="DS55" i="4" s="1"/>
  <c r="DT55" i="4" a="1"/>
  <c r="DT55" i="4" s="1"/>
  <c r="EW55" i="4" a="1"/>
  <c r="EW55" i="4" s="1"/>
  <c r="ER40" i="4" a="1"/>
  <c r="ER40" i="4" s="1"/>
  <c r="K17" i="50" s="1"/>
  <c r="DO40" i="4" a="1"/>
  <c r="DO40" i="4" s="1"/>
  <c r="DW40" i="4" a="1"/>
  <c r="DW40" i="4" s="1"/>
  <c r="DX40" i="4" a="1"/>
  <c r="DX40" i="4" s="1"/>
  <c r="EO132" i="4" a="1"/>
  <c r="EO132" i="4" s="1"/>
  <c r="DL132" i="4" a="1"/>
  <c r="DL132" i="4" s="1"/>
  <c r="DW132" i="4" a="1"/>
  <c r="DW132" i="4" s="1"/>
  <c r="DU132" i="4" a="1"/>
  <c r="DU132" i="4" s="1"/>
  <c r="Z77" i="4"/>
  <c r="Y77" i="4"/>
  <c r="EQ18" i="4" a="1"/>
  <c r="EQ18" i="4" s="1"/>
  <c r="DN18" i="4" a="1"/>
  <c r="DN18" i="4" s="1"/>
  <c r="EA18" i="4" a="1"/>
  <c r="EA18" i="4" s="1"/>
  <c r="EE18" i="4" a="1"/>
  <c r="EE18" i="4" s="1"/>
  <c r="DZ18" i="4" a="1"/>
  <c r="DZ18" i="4" s="1"/>
  <c r="CM135" i="4"/>
  <c r="DB135" i="4"/>
  <c r="CL135" i="4"/>
  <c r="DG135" i="4"/>
  <c r="CS135" i="4"/>
  <c r="AJ135" i="4"/>
  <c r="CV135" i="4"/>
  <c r="CU135" i="4"/>
  <c r="CY135" i="4"/>
  <c r="CO135" i="4"/>
  <c r="DD135" i="4"/>
  <c r="CT135" i="4"/>
  <c r="DE135" i="4"/>
  <c r="CZ135" i="4"/>
  <c r="CR135" i="4"/>
  <c r="DC135" i="4"/>
  <c r="CQ135" i="4"/>
  <c r="DF135" i="4"/>
  <c r="CK135" i="4"/>
  <c r="CN135" i="4"/>
  <c r="DH135" i="4"/>
  <c r="AH135" i="4"/>
  <c r="BT135" i="4"/>
  <c r="CP135" i="4"/>
  <c r="CW135" i="4"/>
  <c r="DA135" i="4"/>
  <c r="CX135" i="4"/>
  <c r="ED173" i="2"/>
  <c r="DX173" i="2"/>
  <c r="DZ173" i="2" s="1"/>
  <c r="EA173" i="2" s="1"/>
  <c r="P127" i="4"/>
  <c r="AL127" i="4"/>
  <c r="BH127" i="4"/>
  <c r="AE140" i="4"/>
  <c r="BS140" i="4"/>
  <c r="AD140" i="4"/>
  <c r="DP11" i="4" a="1"/>
  <c r="DP11" i="4" s="1"/>
  <c r="ES11" i="4" a="1"/>
  <c r="ES11" i="4" s="1"/>
  <c r="EL15" i="4" a="1"/>
  <c r="EL15" i="4" s="1"/>
  <c r="DI15" i="4" a="1"/>
  <c r="DI15" i="4" s="1"/>
  <c r="EL53" i="4" a="1"/>
  <c r="EL53" i="4" s="1"/>
  <c r="E23" i="50" s="1"/>
  <c r="DI53" i="4" a="1"/>
  <c r="DI53" i="4" s="1"/>
  <c r="EO70" i="4" a="1"/>
  <c r="EO70" i="4" s="1"/>
  <c r="DL70" i="4" a="1"/>
  <c r="DL70" i="4" s="1"/>
  <c r="EE305" i="2"/>
  <c r="EC305" i="2"/>
  <c r="EB305" i="2"/>
  <c r="CX101" i="4"/>
  <c r="DH101" i="4"/>
  <c r="CQ101" i="4"/>
  <c r="CT101" i="4"/>
  <c r="DF101" i="4"/>
  <c r="DD101" i="4"/>
  <c r="CN101" i="4"/>
  <c r="CW101" i="4"/>
  <c r="CR101" i="4"/>
  <c r="AH101" i="4"/>
  <c r="CS101" i="4"/>
  <c r="CM101" i="4"/>
  <c r="CK101" i="4"/>
  <c r="CY101" i="4"/>
  <c r="DC101" i="4"/>
  <c r="BT101" i="4"/>
  <c r="AJ101" i="4"/>
  <c r="CO101" i="4"/>
  <c r="DB101" i="4"/>
  <c r="CP101" i="4"/>
  <c r="CU101" i="4"/>
  <c r="DA101" i="4"/>
  <c r="CL101" i="4"/>
  <c r="DE101" i="4"/>
  <c r="CV101" i="4"/>
  <c r="DG101" i="4"/>
  <c r="CZ101" i="4"/>
  <c r="AE137" i="4"/>
  <c r="BS137" i="4"/>
  <c r="AD137" i="4"/>
  <c r="AE87" i="4"/>
  <c r="AD87" i="4"/>
  <c r="BS87" i="4"/>
  <c r="DO14" i="4" a="1"/>
  <c r="DO14" i="4" s="1"/>
  <c r="ER14" i="4" a="1"/>
  <c r="ER14" i="4" s="1"/>
  <c r="DT14" i="4" a="1"/>
  <c r="DT14" i="4" s="1"/>
  <c r="EW14" i="4" a="1"/>
  <c r="EW14" i="4" s="1"/>
  <c r="CS117" i="4"/>
  <c r="CY117" i="4"/>
  <c r="DB117" i="4"/>
  <c r="CX117" i="4"/>
  <c r="DE117" i="4"/>
  <c r="CZ117" i="4"/>
  <c r="CQ117" i="4"/>
  <c r="CK117" i="4"/>
  <c r="CT117" i="4"/>
  <c r="AJ117" i="4"/>
  <c r="CP117" i="4"/>
  <c r="DC117" i="4"/>
  <c r="DF117" i="4"/>
  <c r="CL117" i="4"/>
  <c r="DD117" i="4"/>
  <c r="CU117" i="4"/>
  <c r="CN117" i="4"/>
  <c r="CW117" i="4"/>
  <c r="DH117" i="4"/>
  <c r="CO117" i="4"/>
  <c r="DG117" i="4"/>
  <c r="CM117" i="4"/>
  <c r="CV117" i="4"/>
  <c r="DA117" i="4"/>
  <c r="BT117" i="4"/>
  <c r="AH117" i="4"/>
  <c r="CR117" i="4"/>
  <c r="DX41" i="4" a="1"/>
  <c r="DX41" i="4" s="1"/>
  <c r="ED139" i="2"/>
  <c r="DX139" i="2"/>
  <c r="DZ139" i="2" s="1"/>
  <c r="EA139" i="2" s="1"/>
  <c r="EE14" i="4" a="1"/>
  <c r="EE14" i="4" s="1"/>
  <c r="EQ14" i="4" a="1"/>
  <c r="EQ14" i="4" s="1"/>
  <c r="J6" i="50" s="1"/>
  <c r="DN14" i="4" a="1"/>
  <c r="DN14" i="4" s="1"/>
  <c r="ES61" i="4" a="1"/>
  <c r="ES61" i="4" s="1"/>
  <c r="DP61" i="4" a="1"/>
  <c r="DP61" i="4" s="1"/>
  <c r="P83" i="4"/>
  <c r="AL83" i="4"/>
  <c r="BH83" i="4"/>
  <c r="AJ129" i="4"/>
  <c r="CW129" i="4"/>
  <c r="DD129" i="4"/>
  <c r="CV129" i="4"/>
  <c r="CT129" i="4"/>
  <c r="DC129" i="4"/>
  <c r="CQ129" i="4"/>
  <c r="CL129" i="4"/>
  <c r="DA129" i="4"/>
  <c r="DE129" i="4"/>
  <c r="CU129" i="4"/>
  <c r="CN129" i="4"/>
  <c r="DH129" i="4"/>
  <c r="AH129" i="4"/>
  <c r="CZ129" i="4"/>
  <c r="CR129" i="4"/>
  <c r="DB129" i="4"/>
  <c r="CY129" i="4"/>
  <c r="BT129" i="4"/>
  <c r="DG129" i="4"/>
  <c r="DF129" i="4"/>
  <c r="CM129" i="4"/>
  <c r="CK129" i="4"/>
  <c r="CX129" i="4"/>
  <c r="CS129" i="4"/>
  <c r="CO129" i="4"/>
  <c r="CP129" i="4"/>
  <c r="DU139" i="2"/>
  <c r="DN139" i="2"/>
  <c r="DP139" i="2" s="1"/>
  <c r="DQ139" i="2" s="1"/>
  <c r="DF139" i="2"/>
  <c r="DV139" i="2"/>
  <c r="DX123" i="4" a="1"/>
  <c r="DX123" i="4" s="1"/>
  <c r="EM70" i="4" a="1"/>
  <c r="EM70" i="4" s="1"/>
  <c r="DJ70" i="4" a="1"/>
  <c r="DJ70" i="4" s="1"/>
  <c r="DO70" i="4" a="1"/>
  <c r="DO70" i="4" s="1"/>
  <c r="ER70" i="4" a="1"/>
  <c r="ER70" i="4" s="1"/>
  <c r="AE100" i="4"/>
  <c r="BS100" i="4"/>
  <c r="AD100" i="4"/>
  <c r="EB14" i="4" a="1"/>
  <c r="EB14" i="4" s="1"/>
  <c r="AJ109" i="4"/>
  <c r="CZ109" i="4"/>
  <c r="CN109" i="4"/>
  <c r="DF109" i="4"/>
  <c r="CS109" i="4"/>
  <c r="CX109" i="4"/>
  <c r="CW109" i="4"/>
  <c r="DG109" i="4"/>
  <c r="DB109" i="4"/>
  <c r="CY109" i="4"/>
  <c r="CM109" i="4"/>
  <c r="DH109" i="4"/>
  <c r="DA109" i="4"/>
  <c r="CK109" i="4"/>
  <c r="BT109" i="4"/>
  <c r="DE109" i="4"/>
  <c r="DC109" i="4"/>
  <c r="CV109" i="4"/>
  <c r="CL109" i="4"/>
  <c r="CO109" i="4"/>
  <c r="CQ109" i="4"/>
  <c r="CP109" i="4"/>
  <c r="CR109" i="4"/>
  <c r="CU109" i="4"/>
  <c r="AH109" i="4"/>
  <c r="DD109" i="4"/>
  <c r="CT109" i="4"/>
  <c r="DW61" i="4" a="1"/>
  <c r="DW61" i="4" s="1"/>
  <c r="Y83" i="4"/>
  <c r="Z83" i="4"/>
  <c r="EF41" i="4" a="1"/>
  <c r="EF41" i="4" s="1"/>
  <c r="EC41" i="4" a="1"/>
  <c r="EC41" i="4" s="1"/>
  <c r="EM20" i="4" a="1"/>
  <c r="EM20" i="4" s="1"/>
  <c r="DJ20" i="4" a="1"/>
  <c r="DJ20" i="4" s="1"/>
  <c r="DM20" i="4" a="1"/>
  <c r="DM20" i="4" s="1"/>
  <c r="EP20" i="4" a="1"/>
  <c r="EP20" i="4" s="1"/>
  <c r="ES20" i="4" a="1"/>
  <c r="ES20" i="4" s="1"/>
  <c r="DP20" i="4" a="1"/>
  <c r="DP20" i="4" s="1"/>
  <c r="DS210" i="2"/>
  <c r="DT210" i="2"/>
  <c r="DR210" i="2"/>
  <c r="BS136" i="4"/>
  <c r="AE136" i="4"/>
  <c r="AD136" i="4"/>
  <c r="CV116" i="4"/>
  <c r="CT116" i="4"/>
  <c r="DC116" i="4"/>
  <c r="CS116" i="4"/>
  <c r="CZ116" i="4"/>
  <c r="AH116" i="4"/>
  <c r="DA116" i="4"/>
  <c r="CY116" i="4"/>
  <c r="DD116" i="4"/>
  <c r="CM116" i="4"/>
  <c r="BT116" i="4"/>
  <c r="CN116" i="4"/>
  <c r="CQ116" i="4"/>
  <c r="CR116" i="4"/>
  <c r="DE116" i="4"/>
  <c r="CX116" i="4"/>
  <c r="CK116" i="4"/>
  <c r="CP116" i="4"/>
  <c r="CL116" i="4"/>
  <c r="AJ116" i="4"/>
  <c r="DG116" i="4"/>
  <c r="CO116" i="4"/>
  <c r="CW116" i="4"/>
  <c r="DF116" i="4"/>
  <c r="DH116" i="4"/>
  <c r="CU116" i="4"/>
  <c r="DB116" i="4"/>
  <c r="DI11" i="4" a="1"/>
  <c r="DI11" i="4" s="1"/>
  <c r="EL11" i="4" a="1"/>
  <c r="EL11" i="4" s="1"/>
  <c r="DV11" i="4" a="1"/>
  <c r="DV11" i="4" s="1"/>
  <c r="DX11" i="4" a="1"/>
  <c r="DX11" i="4" s="1"/>
  <c r="AL90" i="4"/>
  <c r="P90" i="4"/>
  <c r="BH90" i="4"/>
  <c r="DV15" i="4" a="1"/>
  <c r="DV15" i="4" s="1"/>
  <c r="DS15" i="4" a="1"/>
  <c r="DS15" i="4" s="1"/>
  <c r="EV15" i="4" a="1"/>
  <c r="EV15" i="4" s="1"/>
  <c r="DL15" i="4" a="1"/>
  <c r="DL15" i="4" s="1"/>
  <c r="EO15" i="4" a="1"/>
  <c r="EO15" i="4" s="1"/>
  <c r="AD110" i="4"/>
  <c r="BS110" i="4"/>
  <c r="AE110" i="4"/>
  <c r="EF53" i="4" a="1"/>
  <c r="EF53" i="4" s="1"/>
  <c r="EN53" i="4" a="1"/>
  <c r="EN53" i="4" s="1"/>
  <c r="DK53" i="4" a="1"/>
  <c r="DK53" i="4" s="1"/>
  <c r="DU53" i="4" a="1"/>
  <c r="DU53" i="4" s="1"/>
  <c r="EP53" i="4" a="1"/>
  <c r="EP53" i="4" s="1"/>
  <c r="DM53" i="4" a="1"/>
  <c r="DM53" i="4" s="1"/>
  <c r="EF54" i="4" a="1"/>
  <c r="EF54" i="4" s="1"/>
  <c r="EQ54" i="4" a="1"/>
  <c r="EQ54" i="4" s="1"/>
  <c r="J24" i="50" s="1"/>
  <c r="DN54" i="4" a="1"/>
  <c r="DN54" i="4" s="1"/>
  <c r="EA16" i="4" a="1"/>
  <c r="EA16" i="4" s="1"/>
  <c r="DS16" i="4" a="1"/>
  <c r="DS16" i="4" s="1"/>
  <c r="EV16" i="4" a="1"/>
  <c r="EV16" i="4" s="1"/>
  <c r="O7" i="50" s="1"/>
  <c r="DV48" i="4" a="1"/>
  <c r="DV48" i="4" s="1"/>
  <c r="ES48" i="4" a="1"/>
  <c r="ES48" i="4" s="1"/>
  <c r="DP48" i="4" a="1"/>
  <c r="DP48" i="4" s="1"/>
  <c r="CK91" i="4"/>
  <c r="CU91" i="4"/>
  <c r="CZ91" i="4"/>
  <c r="CS91" i="4"/>
  <c r="DD91" i="4"/>
  <c r="DA91" i="4"/>
  <c r="CV91" i="4"/>
  <c r="CP91" i="4"/>
  <c r="DB91" i="4"/>
  <c r="CR91" i="4"/>
  <c r="CM91" i="4"/>
  <c r="DG91" i="4"/>
  <c r="CN91" i="4"/>
  <c r="CL91" i="4"/>
  <c r="CT91" i="4"/>
  <c r="DF91" i="4"/>
  <c r="AH91" i="4"/>
  <c r="CW91" i="4"/>
  <c r="DE91" i="4"/>
  <c r="BT91" i="4"/>
  <c r="AJ91" i="4"/>
  <c r="CX91" i="4"/>
  <c r="CQ91" i="4"/>
  <c r="CO91" i="4"/>
  <c r="DC91" i="4"/>
  <c r="CY91" i="4"/>
  <c r="DH91" i="4"/>
  <c r="ED26" i="4" a="1"/>
  <c r="ED26" i="4" s="1"/>
  <c r="ET26" i="4" a="1"/>
  <c r="ET26" i="4" s="1"/>
  <c r="DQ26" i="4" a="1"/>
  <c r="DQ26" i="4" s="1"/>
  <c r="DL26" i="4" a="1"/>
  <c r="DL26" i="4" s="1"/>
  <c r="EO26" i="4" a="1"/>
  <c r="EO26" i="4" s="1"/>
  <c r="EF26" i="4" a="1"/>
  <c r="EF26" i="4" s="1"/>
  <c r="DW71" i="4" a="1"/>
  <c r="DW71" i="4" s="1"/>
  <c r="EQ71" i="4" a="1"/>
  <c r="EQ71" i="4" s="1"/>
  <c r="J34" i="50" s="1"/>
  <c r="DN71" i="4" a="1"/>
  <c r="DN71" i="4" s="1"/>
  <c r="DL71" i="4" a="1"/>
  <c r="DL71" i="4" s="1"/>
  <c r="EO71" i="4" a="1"/>
  <c r="EO71" i="4" s="1"/>
  <c r="H34" i="50" s="1"/>
  <c r="DP71" i="4" a="1"/>
  <c r="DP71" i="4" s="1"/>
  <c r="ES71" i="4" a="1"/>
  <c r="ES71" i="4" s="1"/>
  <c r="L34" i="50" s="1"/>
  <c r="EB221" i="2"/>
  <c r="EC221" i="2"/>
  <c r="EE221" i="2"/>
  <c r="EM57" i="4" a="1"/>
  <c r="EM57" i="4" s="1"/>
  <c r="DJ57" i="4" a="1"/>
  <c r="DJ57" i="4" s="1"/>
  <c r="DZ57" i="4" a="1"/>
  <c r="DZ57" i="4" s="1"/>
  <c r="DP57" i="4" a="1"/>
  <c r="DP57" i="4" s="1"/>
  <c r="ES57" i="4" a="1"/>
  <c r="ES57" i="4" s="1"/>
  <c r="EM23" i="4" a="1"/>
  <c r="EM23" i="4" s="1"/>
  <c r="DJ23" i="4" a="1"/>
  <c r="DJ23" i="4" s="1"/>
  <c r="DO23" i="4" a="1"/>
  <c r="DO23" i="4" s="1"/>
  <c r="ER23" i="4" a="1"/>
  <c r="ER23" i="4" s="1"/>
  <c r="DX23" i="4" a="1"/>
  <c r="DX23" i="4" s="1"/>
  <c r="DD1" i="2"/>
  <c r="EO126" i="4" a="1"/>
  <c r="EO126" i="4" s="1"/>
  <c r="DL126" i="4" a="1"/>
  <c r="DL126" i="4" s="1"/>
  <c r="EE126" i="4" a="1"/>
  <c r="EE126" i="4" s="1"/>
  <c r="EQ126" i="4" a="1"/>
  <c r="EQ126" i="4" s="1"/>
  <c r="DN126" i="4" a="1"/>
  <c r="DN126" i="4" s="1"/>
  <c r="ED47" i="4" a="1"/>
  <c r="ED47" i="4" s="1"/>
  <c r="DY47" i="4" a="1"/>
  <c r="DY47" i="4" s="1"/>
  <c r="DM47" i="4" a="1"/>
  <c r="DM47" i="4" s="1"/>
  <c r="EP47" i="4" a="1"/>
  <c r="EP47" i="4" s="1"/>
  <c r="DS47" i="4" a="1"/>
  <c r="DS47" i="4" s="1"/>
  <c r="EV47" i="4" a="1"/>
  <c r="EV47" i="4" s="1"/>
  <c r="ED38" i="4" a="1"/>
  <c r="ED38" i="4" s="1"/>
  <c r="DU38" i="4" a="1"/>
  <c r="DU38" i="4" s="1"/>
  <c r="DQ38" i="4" a="1"/>
  <c r="DQ38" i="4" s="1"/>
  <c r="ET38" i="4" a="1"/>
  <c r="ET38" i="4" s="1"/>
  <c r="M16" i="50" s="1"/>
  <c r="DJ49" i="4" a="1"/>
  <c r="DJ49" i="4" s="1"/>
  <c r="EM49" i="4" a="1"/>
  <c r="EM49" i="4" s="1"/>
  <c r="EU49" i="4" a="1"/>
  <c r="EU49" i="4" s="1"/>
  <c r="DR49" i="4" a="1"/>
  <c r="DR49" i="4" s="1"/>
  <c r="DS49" i="4" a="1"/>
  <c r="DS49" i="4" s="1"/>
  <c r="EV49" i="4" a="1"/>
  <c r="EV49" i="4" s="1"/>
  <c r="BS143" i="4"/>
  <c r="AE143" i="4"/>
  <c r="AD143" i="4"/>
  <c r="EE46" i="4" a="1"/>
  <c r="EE46" i="4" s="1"/>
  <c r="ED46" i="4" a="1"/>
  <c r="ED46" i="4" s="1"/>
  <c r="DL44" i="4" a="1"/>
  <c r="DL44" i="4" s="1"/>
  <c r="EO44" i="4" a="1"/>
  <c r="EO44" i="4" s="1"/>
  <c r="DV44" i="4" a="1"/>
  <c r="DV44" i="4" s="1"/>
  <c r="DQ44" i="4" a="1"/>
  <c r="DQ44" i="4" s="1"/>
  <c r="ET44" i="4" a="1"/>
  <c r="ET44" i="4" s="1"/>
  <c r="DL72" i="4" a="1"/>
  <c r="DL72" i="4" s="1"/>
  <c r="EO72" i="4" a="1"/>
  <c r="EO72" i="4" s="1"/>
  <c r="H35" i="50" s="1"/>
  <c r="DK72" i="4" a="1"/>
  <c r="DK72" i="4" s="1"/>
  <c r="EN72" i="4" a="1"/>
  <c r="EN72" i="4" s="1"/>
  <c r="G35" i="50" s="1"/>
  <c r="DN72" i="4" a="1"/>
  <c r="DN72" i="4" s="1"/>
  <c r="EQ72" i="4" a="1"/>
  <c r="EQ72" i="4" s="1"/>
  <c r="J35" i="50" s="1"/>
  <c r="DL69" i="4" a="1"/>
  <c r="DL69" i="4" s="1"/>
  <c r="EO69" i="4" a="1"/>
  <c r="EO69" i="4" s="1"/>
  <c r="EF69" i="4" a="1"/>
  <c r="EF69" i="4" s="1"/>
  <c r="DR69" i="4" a="1"/>
  <c r="DR69" i="4" s="1"/>
  <c r="EU69" i="4" a="1"/>
  <c r="EU69" i="4" s="1"/>
  <c r="N33" i="50" s="1"/>
  <c r="EO59" i="4" a="1"/>
  <c r="EO59" i="4" s="1"/>
  <c r="DL59" i="4" a="1"/>
  <c r="DL59" i="4" s="1"/>
  <c r="EA59" i="4" a="1"/>
  <c r="EA59" i="4" s="1"/>
  <c r="DX59" i="4" a="1"/>
  <c r="DX59" i="4" s="1"/>
  <c r="AL93" i="4"/>
  <c r="BH93" i="4"/>
  <c r="P93" i="4"/>
  <c r="DW27" i="4" a="1"/>
  <c r="DW27" i="4" s="1"/>
  <c r="DJ27" i="4" a="1"/>
  <c r="DJ27" i="4" s="1"/>
  <c r="EM27" i="4" a="1"/>
  <c r="EM27" i="4" s="1"/>
  <c r="F13" i="50" s="1"/>
  <c r="EE27" i="4" a="1"/>
  <c r="EE27" i="4" s="1"/>
  <c r="DW52" i="4" a="1"/>
  <c r="DW52" i="4" s="1"/>
  <c r="DU52" i="4" a="1"/>
  <c r="DU52" i="4" s="1"/>
  <c r="DR52" i="4" a="1"/>
  <c r="DR52" i="4" s="1"/>
  <c r="EU52" i="4" a="1"/>
  <c r="EU52" i="4" s="1"/>
  <c r="N22" i="50" s="1"/>
  <c r="EC17" i="4" a="1"/>
  <c r="EC17" i="4" s="1"/>
  <c r="DL17" i="4" a="1"/>
  <c r="DL17" i="4" s="1"/>
  <c r="EO17" i="4" a="1"/>
  <c r="EO17" i="4" s="1"/>
  <c r="H8" i="50" s="1"/>
  <c r="DU17" i="4" a="1"/>
  <c r="DU17" i="4" s="1"/>
  <c r="EV39" i="4" a="1"/>
  <c r="EV39" i="4" s="1"/>
  <c r="DS39" i="4" a="1"/>
  <c r="DS39" i="4" s="1"/>
  <c r="DM39" i="4" a="1"/>
  <c r="DM39" i="4" s="1"/>
  <c r="EP39" i="4" a="1"/>
  <c r="EP39" i="4" s="1"/>
  <c r="EN39" i="4" a="1"/>
  <c r="EN39" i="4" s="1"/>
  <c r="DK39" i="4" a="1"/>
  <c r="DK39" i="4" s="1"/>
  <c r="EA68" i="4" a="1"/>
  <c r="EA68" i="4" s="1"/>
  <c r="EN68" i="4" a="1"/>
  <c r="EN68" i="4" s="1"/>
  <c r="G32" i="50" s="1"/>
  <c r="DK68" i="4" a="1"/>
  <c r="DK68" i="4" s="1"/>
  <c r="EE68" i="4" a="1"/>
  <c r="EE68" i="4" s="1"/>
  <c r="DL45" i="4" a="1"/>
  <c r="DL45" i="4" s="1"/>
  <c r="EO45" i="4" a="1"/>
  <c r="EO45" i="4" s="1"/>
  <c r="DQ45" i="4" a="1"/>
  <c r="DQ45" i="4" s="1"/>
  <c r="ET45" i="4" a="1"/>
  <c r="ET45" i="4" s="1"/>
  <c r="EB45" i="4" a="1"/>
  <c r="EB45" i="4" s="1"/>
  <c r="EF28" i="4" a="1"/>
  <c r="EF28" i="4" s="1"/>
  <c r="DU28" i="4" a="1"/>
  <c r="DU28" i="4" s="1"/>
  <c r="BT94" i="4"/>
  <c r="CO94" i="4"/>
  <c r="DD94" i="4"/>
  <c r="CZ94" i="4"/>
  <c r="AH94" i="4"/>
  <c r="CV94" i="4"/>
  <c r="CW94" i="4"/>
  <c r="CK94" i="4"/>
  <c r="CL94" i="4"/>
  <c r="CP94" i="4"/>
  <c r="DF94" i="4"/>
  <c r="CS94" i="4"/>
  <c r="DG94" i="4"/>
  <c r="DA94" i="4"/>
  <c r="CT94" i="4"/>
  <c r="DB94" i="4"/>
  <c r="CR94" i="4"/>
  <c r="DE94" i="4"/>
  <c r="CQ94" i="4"/>
  <c r="AJ94" i="4"/>
  <c r="CN94" i="4"/>
  <c r="CM94" i="4"/>
  <c r="DC94" i="4"/>
  <c r="CY94" i="4"/>
  <c r="CU94" i="4"/>
  <c r="DH94" i="4"/>
  <c r="CX94" i="4"/>
  <c r="EA60" i="4" a="1"/>
  <c r="EA60" i="4" s="1"/>
  <c r="DU60" i="4" a="1"/>
  <c r="DU60" i="4" s="1"/>
  <c r="DY60" i="4" a="1"/>
  <c r="DY60" i="4" s="1"/>
  <c r="DW85" i="4" a="1"/>
  <c r="DW85" i="4" s="1"/>
  <c r="EW85" i="4" a="1"/>
  <c r="EW85" i="4" s="1"/>
  <c r="DT85" i="4" a="1"/>
  <c r="DT85" i="4" s="1"/>
  <c r="EP85" i="4" a="1"/>
  <c r="EP85" i="4" s="1"/>
  <c r="DM85" i="4" a="1"/>
  <c r="DM85" i="4" s="1"/>
  <c r="DO85" i="4" a="1"/>
  <c r="DO85" i="4" s="1"/>
  <c r="ER85" i="4" a="1"/>
  <c r="ER85" i="4" s="1"/>
  <c r="DX58" i="4" a="1"/>
  <c r="DX58" i="4" s="1"/>
  <c r="DU58" i="4" a="1"/>
  <c r="DU58" i="4" s="1"/>
  <c r="EP58" i="4" a="1"/>
  <c r="EP58" i="4" s="1"/>
  <c r="DM58" i="4" a="1"/>
  <c r="DM58" i="4" s="1"/>
  <c r="P80" i="4"/>
  <c r="BH80" i="4"/>
  <c r="AL80" i="4"/>
  <c r="Y111" i="4"/>
  <c r="Z111" i="4"/>
  <c r="ED25" i="4" a="1"/>
  <c r="ED25" i="4" s="1"/>
  <c r="DO25" i="4" a="1"/>
  <c r="DO25" i="4" s="1"/>
  <c r="ER25" i="4" a="1"/>
  <c r="ER25" i="4" s="1"/>
  <c r="EA25" i="4" a="1"/>
  <c r="EA25" i="4" s="1"/>
  <c r="DI25" i="4" a="1"/>
  <c r="DI25" i="4" s="1"/>
  <c r="EL25" i="4" a="1"/>
  <c r="EL25" i="4" s="1"/>
  <c r="BS142" i="4"/>
  <c r="AD142" i="4"/>
  <c r="AE142" i="4"/>
  <c r="DJ55" i="4" a="1"/>
  <c r="DJ55" i="4" s="1"/>
  <c r="EM55" i="4" a="1"/>
  <c r="EM55" i="4" s="1"/>
  <c r="EN55" i="4" a="1"/>
  <c r="EN55" i="4" s="1"/>
  <c r="DK55" i="4" a="1"/>
  <c r="DK55" i="4" s="1"/>
  <c r="ED55" i="4" a="1"/>
  <c r="ED55" i="4" s="1"/>
  <c r="EB55" i="4" a="1"/>
  <c r="EB55" i="4" s="1"/>
  <c r="DR40" i="4" a="1"/>
  <c r="DR40" i="4" s="1"/>
  <c r="EU40" i="4" a="1"/>
  <c r="EU40" i="4" s="1"/>
  <c r="N17" i="50" s="1"/>
  <c r="DN40" i="4" a="1"/>
  <c r="DN40" i="4" s="1"/>
  <c r="EQ40" i="4" a="1"/>
  <c r="EQ40" i="4" s="1"/>
  <c r="J17" i="50" s="1"/>
  <c r="EP40" i="4" a="1"/>
  <c r="EP40" i="4" s="1"/>
  <c r="I17" i="50" s="1"/>
  <c r="DM40" i="4" a="1"/>
  <c r="DM40" i="4" s="1"/>
  <c r="DR132" i="4" a="1"/>
  <c r="DR132" i="4" s="1"/>
  <c r="EU132" i="4" a="1"/>
  <c r="EU132" i="4" s="1"/>
  <c r="DZ132" i="4" a="1"/>
  <c r="DZ132" i="4" s="1"/>
  <c r="EA132" i="4" a="1"/>
  <c r="EA132" i="4" s="1"/>
  <c r="EE132" i="4" a="1"/>
  <c r="EE132" i="4" s="1"/>
  <c r="AH74" i="4"/>
  <c r="DD74" i="4"/>
  <c r="AJ74" i="4"/>
  <c r="CU74" i="4"/>
  <c r="CT74" i="4"/>
  <c r="CL74" i="4"/>
  <c r="DC74" i="4"/>
  <c r="CR74" i="4"/>
  <c r="CN74" i="4"/>
  <c r="CS74" i="4"/>
  <c r="CW74" i="4"/>
  <c r="CQ74" i="4"/>
  <c r="CK74" i="4"/>
  <c r="CM74" i="4"/>
  <c r="CY74" i="4"/>
  <c r="DB74" i="4"/>
  <c r="DH74" i="4"/>
  <c r="CZ74" i="4"/>
  <c r="CX74" i="4"/>
  <c r="DF74" i="4"/>
  <c r="DA74" i="4"/>
  <c r="DE74" i="4"/>
  <c r="CV74" i="4"/>
  <c r="CO74" i="4"/>
  <c r="CP74" i="4"/>
  <c r="DG74" i="4"/>
  <c r="BT74" i="4"/>
  <c r="DT18" i="4" a="1"/>
  <c r="DT18" i="4" s="1"/>
  <c r="EW18" i="4" a="1"/>
  <c r="EW18" i="4" s="1"/>
  <c r="DU18" i="4" a="1"/>
  <c r="DU18" i="4" s="1"/>
  <c r="DV18" i="4" a="1"/>
  <c r="DV18" i="4" s="1"/>
  <c r="EN18" i="4" a="1"/>
  <c r="EN18" i="4" s="1"/>
  <c r="DK18" i="4" a="1"/>
  <c r="DK18" i="4" s="1"/>
  <c r="C1" i="46" a="1"/>
  <c r="C1" i="46" s="1"/>
  <c r="DQ70" i="4" a="1"/>
  <c r="DQ70" i="4" s="1"/>
  <c r="ET70" i="4" a="1"/>
  <c r="ET70" i="4" s="1"/>
  <c r="DS14" i="4" a="1"/>
  <c r="DS14" i="4" s="1"/>
  <c r="EV14" i="4" a="1"/>
  <c r="EV14" i="4" s="1"/>
  <c r="EE61" i="4" a="1"/>
  <c r="EE61" i="4" s="1"/>
  <c r="DK41" i="4" a="1"/>
  <c r="DK41" i="4" s="1"/>
  <c r="EN41" i="4" a="1"/>
  <c r="EN41" i="4" s="1"/>
  <c r="EN123" i="4" a="1"/>
  <c r="EN123" i="4" s="1"/>
  <c r="DK123" i="4" a="1"/>
  <c r="DK123" i="4" s="1"/>
  <c r="AL75" i="4"/>
  <c r="P75" i="4"/>
  <c r="BH75" i="4"/>
  <c r="EC61" i="4" a="1"/>
  <c r="EC61" i="4" s="1"/>
  <c r="EA70" i="4" a="1"/>
  <c r="EA70" i="4" s="1"/>
  <c r="EA14" i="4" a="1"/>
  <c r="EA14" i="4" s="1"/>
  <c r="EB301" i="2"/>
  <c r="EE301" i="2"/>
  <c r="EC301" i="2"/>
  <c r="EA61" i="4" a="1"/>
  <c r="EA61" i="4" s="1"/>
  <c r="DF63" i="4"/>
  <c r="CX63" i="4"/>
  <c r="DG63" i="4"/>
  <c r="CZ63" i="4"/>
  <c r="DH63" i="4"/>
  <c r="DD63" i="4"/>
  <c r="CN63" i="4"/>
  <c r="DB63" i="4"/>
  <c r="CY63" i="4"/>
  <c r="CV63" i="4"/>
  <c r="DA63" i="4"/>
  <c r="CP63" i="4"/>
  <c r="DC63" i="4"/>
  <c r="CW63" i="4"/>
  <c r="CK63" i="4"/>
  <c r="AH63" i="4"/>
  <c r="AJ63" i="4"/>
  <c r="CL63" i="4"/>
  <c r="CT63" i="4"/>
  <c r="CO63" i="4"/>
  <c r="CR63" i="4"/>
  <c r="CM63" i="4"/>
  <c r="CS63" i="4"/>
  <c r="CQ63" i="4"/>
  <c r="DE63" i="4"/>
  <c r="CU63" i="4"/>
  <c r="BT63" i="4"/>
  <c r="CV33" i="4"/>
  <c r="CT33" i="4"/>
  <c r="DG33" i="4"/>
  <c r="DB33" i="4"/>
  <c r="CU33" i="4"/>
  <c r="CZ33" i="4"/>
  <c r="CK33" i="4"/>
  <c r="AJ33" i="4"/>
  <c r="CW33" i="4"/>
  <c r="CY33" i="4"/>
  <c r="CR33" i="4"/>
  <c r="CP33" i="4"/>
  <c r="DH33" i="4"/>
  <c r="DC33" i="4"/>
  <c r="CO33" i="4"/>
  <c r="DD33" i="4"/>
  <c r="DF33" i="4"/>
  <c r="CX33" i="4"/>
  <c r="BT33" i="4"/>
  <c r="CQ33" i="4"/>
  <c r="CN33" i="4"/>
  <c r="CM33" i="4"/>
  <c r="DA33" i="4"/>
  <c r="DE33" i="4"/>
  <c r="AH33" i="4"/>
  <c r="CL33" i="4"/>
  <c r="CS33" i="4"/>
  <c r="EM41" i="4" a="1"/>
  <c r="EM41" i="4" s="1"/>
  <c r="DJ41" i="4" a="1"/>
  <c r="DJ41" i="4" s="1"/>
  <c r="AL74" i="4"/>
  <c r="BH74" i="4"/>
  <c r="P74" i="4"/>
  <c r="DM123" i="4" a="1"/>
  <c r="DM123" i="4" s="1"/>
  <c r="EP123" i="4" a="1"/>
  <c r="EP123" i="4" s="1"/>
  <c r="DZ123" i="4" a="1"/>
  <c r="DZ123" i="4" s="1"/>
  <c r="EM123" i="4" a="1"/>
  <c r="EM123" i="4" s="1"/>
  <c r="DJ123" i="4" a="1"/>
  <c r="DJ123" i="4" s="1"/>
  <c r="DW123" i="4" a="1"/>
  <c r="DW123" i="4" s="1"/>
  <c r="DV70" i="4" a="1"/>
  <c r="DV70" i="4" s="1"/>
  <c r="EW70" i="4" a="1"/>
  <c r="EW70" i="4" s="1"/>
  <c r="DT70" i="4" a="1"/>
  <c r="DT70" i="4" s="1"/>
  <c r="DW70" i="4" a="1"/>
  <c r="DW70" i="4" s="1"/>
  <c r="EP70" i="4" a="1"/>
  <c r="EP70" i="4" s="1"/>
  <c r="DM70" i="4" a="1"/>
  <c r="DM70" i="4" s="1"/>
  <c r="ED166" i="2"/>
  <c r="DX166" i="2"/>
  <c r="DZ166" i="2" s="1"/>
  <c r="EA166" i="2" s="1"/>
  <c r="DE42" i="4"/>
  <c r="DD42" i="4"/>
  <c r="CT42" i="4"/>
  <c r="CS42" i="4"/>
  <c r="DH42" i="4"/>
  <c r="CY42" i="4"/>
  <c r="CK42" i="4"/>
  <c r="BT42" i="4"/>
  <c r="DC42" i="4"/>
  <c r="CO42" i="4"/>
  <c r="CP42" i="4"/>
  <c r="CR42" i="4"/>
  <c r="DA42" i="4"/>
  <c r="CZ42" i="4"/>
  <c r="DG42" i="4"/>
  <c r="CU42" i="4"/>
  <c r="CV42" i="4"/>
  <c r="AJ42" i="4"/>
  <c r="DB42" i="4"/>
  <c r="AH42" i="4"/>
  <c r="CM42" i="4"/>
  <c r="DF42" i="4"/>
  <c r="CX42" i="4"/>
  <c r="CL42" i="4"/>
  <c r="CQ42" i="4"/>
  <c r="CN42" i="4"/>
  <c r="CW42" i="4"/>
  <c r="ET14" i="4" a="1"/>
  <c r="ET14" i="4" s="1"/>
  <c r="M6" i="50" s="1"/>
  <c r="DQ14" i="4" a="1"/>
  <c r="DQ14" i="4" s="1"/>
  <c r="EO14" i="4" a="1"/>
  <c r="EO14" i="4" s="1"/>
  <c r="DL14" i="4" a="1"/>
  <c r="DL14" i="4" s="1"/>
  <c r="DY14" i="4" a="1"/>
  <c r="DY14" i="4" s="1"/>
  <c r="DZ61" i="4" a="1"/>
  <c r="DZ61" i="4" s="1"/>
  <c r="EU61" i="4" a="1"/>
  <c r="EU61" i="4" s="1"/>
  <c r="DR61" i="4" a="1"/>
  <c r="DR61" i="4" s="1"/>
  <c r="ED61" i="4" a="1"/>
  <c r="ED61" i="4" s="1"/>
  <c r="CR22" i="4"/>
  <c r="CP22" i="4"/>
  <c r="DF22" i="4"/>
  <c r="DD22" i="4"/>
  <c r="CL22" i="4"/>
  <c r="CZ22" i="4"/>
  <c r="DB22" i="4"/>
  <c r="CS22" i="4"/>
  <c r="CY22" i="4"/>
  <c r="CX22" i="4"/>
  <c r="CM22" i="4"/>
  <c r="AJ22" i="4"/>
  <c r="CV22" i="4"/>
  <c r="DC22" i="4"/>
  <c r="CT22" i="4"/>
  <c r="CN22" i="4"/>
  <c r="CU22" i="4"/>
  <c r="CK22" i="4"/>
  <c r="CO22" i="4"/>
  <c r="CW22" i="4"/>
  <c r="BT22" i="4"/>
  <c r="DG22" i="4"/>
  <c r="DH22" i="4"/>
  <c r="DA22" i="4"/>
  <c r="CQ22" i="4"/>
  <c r="DE22" i="4"/>
  <c r="AH22" i="4"/>
  <c r="EL41" i="4" a="1"/>
  <c r="EL41" i="4" s="1"/>
  <c r="DI41" i="4" a="1"/>
  <c r="DI41" i="4" s="1"/>
  <c r="DL41" i="4" a="1"/>
  <c r="DL41" i="4" s="1"/>
  <c r="EO41" i="4" a="1"/>
  <c r="EO41" i="4" s="1"/>
  <c r="DT41" i="4" a="1"/>
  <c r="DT41" i="4" s="1"/>
  <c r="EW41" i="4" a="1"/>
  <c r="EW41" i="4" s="1"/>
  <c r="ED123" i="4" a="1"/>
  <c r="ED123" i="4" s="1"/>
  <c r="P101" i="4"/>
  <c r="BH101" i="4"/>
  <c r="AL101" i="4"/>
  <c r="DW20" i="4" a="1"/>
  <c r="DW20" i="4" s="1"/>
  <c r="EW20" i="4" a="1"/>
  <c r="EW20" i="4" s="1"/>
  <c r="DT20" i="4" a="1"/>
  <c r="DT20" i="4" s="1"/>
  <c r="DU20" i="4" a="1"/>
  <c r="DU20" i="4" s="1"/>
  <c r="DZ11" i="4" a="1"/>
  <c r="DZ11" i="4" s="1"/>
  <c r="EE15" i="4" a="1"/>
  <c r="EE15" i="4" s="1"/>
  <c r="DJ15" i="4" a="1"/>
  <c r="DJ15" i="4" s="1"/>
  <c r="EM15" i="4" a="1"/>
  <c r="EM15" i="4" s="1"/>
  <c r="DX15" i="4" a="1"/>
  <c r="DX15" i="4" s="1"/>
  <c r="EQ53" i="4" a="1"/>
  <c r="EQ53" i="4" s="1"/>
  <c r="J23" i="50" s="1"/>
  <c r="DN53" i="4" a="1"/>
  <c r="DN53" i="4" s="1"/>
  <c r="EE53" i="4" a="1"/>
  <c r="EE53" i="4" s="1"/>
  <c r="EM54" i="4" a="1"/>
  <c r="EM54" i="4" s="1"/>
  <c r="F24" i="50" s="1"/>
  <c r="DJ54" i="4" a="1"/>
  <c r="DJ54" i="4" s="1"/>
  <c r="EA54" i="4" a="1"/>
  <c r="EA54" i="4" s="1"/>
  <c r="DM54" i="4" a="1"/>
  <c r="DM54" i="4" s="1"/>
  <c r="EP54" i="4" a="1"/>
  <c r="EP54" i="4" s="1"/>
  <c r="I24" i="50" s="1"/>
  <c r="DW16" i="4" a="1"/>
  <c r="DW16" i="4" s="1"/>
  <c r="ED16" i="4" a="1"/>
  <c r="ED16" i="4" s="1"/>
  <c r="EO16" i="4" a="1"/>
  <c r="EO16" i="4" s="1"/>
  <c r="H7" i="50" s="1"/>
  <c r="DL16" i="4" a="1"/>
  <c r="DL16" i="4" s="1"/>
  <c r="ES16" i="4" a="1"/>
  <c r="ES16" i="4" s="1"/>
  <c r="L7" i="50" s="1"/>
  <c r="DP16" i="4" a="1"/>
  <c r="DP16" i="4" s="1"/>
  <c r="DS221" i="2"/>
  <c r="DT221" i="2"/>
  <c r="DR221" i="2"/>
  <c r="EU48" i="4" a="1"/>
  <c r="EU48" i="4" s="1"/>
  <c r="DR48" i="4" a="1"/>
  <c r="DR48" i="4" s="1"/>
  <c r="EP48" i="4" a="1"/>
  <c r="EP48" i="4" s="1"/>
  <c r="DM48" i="4" a="1"/>
  <c r="DM48" i="4" s="1"/>
  <c r="EM48" i="4" a="1"/>
  <c r="EM48" i="4" s="1"/>
  <c r="DJ48" i="4" a="1"/>
  <c r="DJ48" i="4" s="1"/>
  <c r="EC37" i="2"/>
  <c r="EB37" i="2"/>
  <c r="EE37" i="2"/>
  <c r="EW26" i="4" a="1"/>
  <c r="EW26" i="4" s="1"/>
  <c r="DT26" i="4" a="1"/>
  <c r="DT26" i="4" s="1"/>
  <c r="DI26" i="4" a="1"/>
  <c r="DI26" i="4" s="1"/>
  <c r="EL26" i="4" a="1"/>
  <c r="EL26" i="4" s="1"/>
  <c r="DU26" i="4" a="1"/>
  <c r="DU26" i="4" s="1"/>
  <c r="EB71" i="4" a="1"/>
  <c r="EB71" i="4" s="1"/>
  <c r="DZ71" i="4" a="1"/>
  <c r="DZ71" i="4" s="1"/>
  <c r="EQ57" i="4" a="1"/>
  <c r="EQ57" i="4" s="1"/>
  <c r="DN57" i="4" a="1"/>
  <c r="DN57" i="4" s="1"/>
  <c r="EE57" i="4" a="1"/>
  <c r="EE57" i="4" s="1"/>
  <c r="DK57" i="4" a="1"/>
  <c r="DK57" i="4" s="1"/>
  <c r="EN57" i="4" a="1"/>
  <c r="EN57" i="4" s="1"/>
  <c r="EC23" i="4" a="1"/>
  <c r="EC23" i="4" s="1"/>
  <c r="EL23" i="4" a="1"/>
  <c r="EL23" i="4" s="1"/>
  <c r="DI23" i="4" a="1"/>
  <c r="DI23" i="4" s="1"/>
  <c r="EB23" i="4" a="1"/>
  <c r="EB23" i="4" s="1"/>
  <c r="DP23" i="4" a="1"/>
  <c r="DP23" i="4" s="1"/>
  <c r="ES23" i="4" a="1"/>
  <c r="ES23" i="4" s="1"/>
  <c r="DF1" i="2"/>
  <c r="AJ8" i="4"/>
  <c r="DB8" i="4"/>
  <c r="CT8" i="4"/>
  <c r="CP8" i="4"/>
  <c r="CV8" i="4"/>
  <c r="CQ8" i="4"/>
  <c r="BT8" i="4"/>
  <c r="DH8" i="4"/>
  <c r="CY8" i="4"/>
  <c r="CO8" i="4"/>
  <c r="DA8" i="4"/>
  <c r="DG8" i="4"/>
  <c r="CX8" i="4"/>
  <c r="CK8" i="4"/>
  <c r="CU8" i="4"/>
  <c r="CM8" i="4"/>
  <c r="CN8" i="4"/>
  <c r="CW8" i="4"/>
  <c r="CS8" i="4"/>
  <c r="CZ8" i="4"/>
  <c r="CL8" i="4"/>
  <c r="DE8" i="4"/>
  <c r="CR8" i="4"/>
  <c r="DC8" i="4"/>
  <c r="AH8" i="4"/>
  <c r="DF8" i="4"/>
  <c r="DD8" i="4"/>
  <c r="DV126" i="4" a="1"/>
  <c r="DV126" i="4" s="1"/>
  <c r="DS126" i="4" a="1"/>
  <c r="DS126" i="4" s="1"/>
  <c r="EV126" i="4" a="1"/>
  <c r="EV126" i="4" s="1"/>
  <c r="ER126" i="4" a="1"/>
  <c r="ER126" i="4" s="1"/>
  <c r="DO126" i="4" a="1"/>
  <c r="DO126" i="4" s="1"/>
  <c r="DQ47" i="4" a="1"/>
  <c r="DQ47" i="4" s="1"/>
  <c r="ET47" i="4" a="1"/>
  <c r="ET47" i="4" s="1"/>
  <c r="EF47" i="4" a="1"/>
  <c r="EF47" i="4" s="1"/>
  <c r="ES47" i="4" a="1"/>
  <c r="ES47" i="4" s="1"/>
  <c r="DP47" i="4" a="1"/>
  <c r="DP47" i="4" s="1"/>
  <c r="EL47" i="4" a="1"/>
  <c r="EL47" i="4" s="1"/>
  <c r="DI47" i="4" a="1"/>
  <c r="DI47" i="4" s="1"/>
  <c r="DZ38" i="4" a="1"/>
  <c r="DZ38" i="4" s="1"/>
  <c r="EE49" i="4" a="1"/>
  <c r="EE49" i="4" s="1"/>
  <c r="DW49" i="4" a="1"/>
  <c r="DW49" i="4" s="1"/>
  <c r="EF49" i="4" a="1"/>
  <c r="EF49" i="4" s="1"/>
  <c r="DB121" i="4"/>
  <c r="AJ121" i="4"/>
  <c r="CP121" i="4"/>
  <c r="CX121" i="4"/>
  <c r="CS121" i="4"/>
  <c r="DA121" i="4"/>
  <c r="DE121" i="4"/>
  <c r="CV121" i="4"/>
  <c r="DF121" i="4"/>
  <c r="CK121" i="4"/>
  <c r="CT121" i="4"/>
  <c r="CL121" i="4"/>
  <c r="CY121" i="4"/>
  <c r="AH121" i="4"/>
  <c r="DG121" i="4"/>
  <c r="CZ121" i="4"/>
  <c r="CU121" i="4"/>
  <c r="DH121" i="4"/>
  <c r="CW121" i="4"/>
  <c r="CM121" i="4"/>
  <c r="BT121" i="4"/>
  <c r="DC121" i="4"/>
  <c r="CQ121" i="4"/>
  <c r="CN121" i="4"/>
  <c r="CR121" i="4"/>
  <c r="DD121" i="4"/>
  <c r="CO121" i="4"/>
  <c r="DY46" i="4" a="1"/>
  <c r="DY46" i="4" s="1"/>
  <c r="DL46" i="4" a="1"/>
  <c r="DL46" i="4" s="1"/>
  <c r="EO46" i="4" a="1"/>
  <c r="EO46" i="4" s="1"/>
  <c r="EU46" i="4" a="1"/>
  <c r="EU46" i="4" s="1"/>
  <c r="DR46" i="4" a="1"/>
  <c r="DR46" i="4" s="1"/>
  <c r="EB46" i="4" a="1"/>
  <c r="EB46" i="4" s="1"/>
  <c r="DU44" i="4" a="1"/>
  <c r="DU44" i="4" s="1"/>
  <c r="DX44" i="4" a="1"/>
  <c r="DX44" i="4" s="1"/>
  <c r="DZ44" i="4" a="1"/>
  <c r="DZ44" i="4" s="1"/>
  <c r="DP44" i="4" a="1"/>
  <c r="DP44" i="4" s="1"/>
  <c r="ES44" i="4" a="1"/>
  <c r="ES44" i="4" s="1"/>
  <c r="DX72" i="4" a="1"/>
  <c r="DX72" i="4" s="1"/>
  <c r="EA72" i="4" a="1"/>
  <c r="EA72" i="4" s="1"/>
  <c r="DV72" i="4" a="1"/>
  <c r="DV72" i="4" s="1"/>
  <c r="EA69" i="4" a="1"/>
  <c r="EA69" i="4" s="1"/>
  <c r="ET69" i="4" a="1"/>
  <c r="ET69" i="4" s="1"/>
  <c r="M33" i="50" s="1"/>
  <c r="DQ69" i="4" a="1"/>
  <c r="DQ69" i="4" s="1"/>
  <c r="DU69" i="4" a="1"/>
  <c r="DU69" i="4" s="1"/>
  <c r="DW59" i="4" a="1"/>
  <c r="DW59" i="4" s="1"/>
  <c r="DO59" i="4" a="1"/>
  <c r="DO59" i="4" s="1"/>
  <c r="ER59" i="4" a="1"/>
  <c r="ER59" i="4" s="1"/>
  <c r="DT59" i="4" a="1"/>
  <c r="DT59" i="4" s="1"/>
  <c r="EW59" i="4" a="1"/>
  <c r="EW59" i="4" s="1"/>
  <c r="EB59" i="4" a="1"/>
  <c r="EB59" i="4" s="1"/>
  <c r="P88" i="4"/>
  <c r="BH88" i="4"/>
  <c r="AL88" i="4"/>
  <c r="DM27" i="4" a="1"/>
  <c r="DM27" i="4" s="1"/>
  <c r="EP27" i="4" a="1"/>
  <c r="EP27" i="4" s="1"/>
  <c r="I13" i="50" s="1"/>
  <c r="EQ27" i="4" a="1"/>
  <c r="EQ27" i="4" s="1"/>
  <c r="J13" i="50" s="1"/>
  <c r="DN27" i="4" a="1"/>
  <c r="DN27" i="4" s="1"/>
  <c r="EB52" i="4" a="1"/>
  <c r="EB52" i="4" s="1"/>
  <c r="DT52" i="4" a="1"/>
  <c r="DT52" i="4" s="1"/>
  <c r="EW52" i="4" a="1"/>
  <c r="EW52" i="4" s="1"/>
  <c r="P22" i="50" s="1"/>
  <c r="ER52" i="4" a="1"/>
  <c r="ER52" i="4" s="1"/>
  <c r="K22" i="50" s="1"/>
  <c r="DO52" i="4" a="1"/>
  <c r="DO52" i="4" s="1"/>
  <c r="EP17" i="4" a="1"/>
  <c r="EP17" i="4" s="1"/>
  <c r="I8" i="50" s="1"/>
  <c r="DM17" i="4" a="1"/>
  <c r="DM17" i="4" s="1"/>
  <c r="DT17" i="4" a="1"/>
  <c r="DT17" i="4" s="1"/>
  <c r="EW17" i="4" a="1"/>
  <c r="EW17" i="4" s="1"/>
  <c r="EA39" i="4" a="1"/>
  <c r="EA39" i="4" s="1"/>
  <c r="EC39" i="4" a="1"/>
  <c r="EC39" i="4" s="1"/>
  <c r="ED39" i="4" a="1"/>
  <c r="ED39" i="4" s="1"/>
  <c r="AH128" i="4"/>
  <c r="CQ128" i="4"/>
  <c r="DH128" i="4"/>
  <c r="BT128" i="4"/>
  <c r="AJ128" i="4"/>
  <c r="CR128" i="4"/>
  <c r="DC128" i="4"/>
  <c r="CX128" i="4"/>
  <c r="CT128" i="4"/>
  <c r="CP128" i="4"/>
  <c r="CK128" i="4"/>
  <c r="CY128" i="4"/>
  <c r="DF128" i="4"/>
  <c r="DB128" i="4"/>
  <c r="CZ128" i="4"/>
  <c r="CW128" i="4"/>
  <c r="CS128" i="4"/>
  <c r="DE128" i="4"/>
  <c r="CU128" i="4"/>
  <c r="CO128" i="4"/>
  <c r="DG128" i="4"/>
  <c r="CN128" i="4"/>
  <c r="DA128" i="4"/>
  <c r="DD128" i="4"/>
  <c r="CV128" i="4"/>
  <c r="CL128" i="4"/>
  <c r="CM128" i="4"/>
  <c r="EB68" i="4" a="1"/>
  <c r="EB68" i="4" s="1"/>
  <c r="DO68" i="4" a="1"/>
  <c r="DO68" i="4" s="1"/>
  <c r="ER68" i="4" a="1"/>
  <c r="ER68" i="4" s="1"/>
  <c r="K32" i="50" s="1"/>
  <c r="DT68" i="4" a="1"/>
  <c r="DT68" i="4" s="1"/>
  <c r="EW68" i="4" a="1"/>
  <c r="EW68" i="4" s="1"/>
  <c r="P32" i="50" s="1"/>
  <c r="EM45" i="4" a="1"/>
  <c r="EM45" i="4" s="1"/>
  <c r="DJ45" i="4" a="1"/>
  <c r="DJ45" i="4" s="1"/>
  <c r="DO45" i="4" a="1"/>
  <c r="DO45" i="4" s="1"/>
  <c r="ER45" i="4" a="1"/>
  <c r="ER45" i="4" s="1"/>
  <c r="DD130" i="4"/>
  <c r="CX130" i="4"/>
  <c r="DG130" i="4"/>
  <c r="CP130" i="4"/>
  <c r="CS130" i="4"/>
  <c r="CZ130" i="4"/>
  <c r="DF130" i="4"/>
  <c r="DC130" i="4"/>
  <c r="CN130" i="4"/>
  <c r="CQ130" i="4"/>
  <c r="AJ130" i="4"/>
  <c r="DH130" i="4"/>
  <c r="DE130" i="4"/>
  <c r="DB130" i="4"/>
  <c r="CU130" i="4"/>
  <c r="BT130" i="4"/>
  <c r="AH130" i="4"/>
  <c r="CW130" i="4"/>
  <c r="CV130" i="4"/>
  <c r="CK130" i="4"/>
  <c r="CT130" i="4"/>
  <c r="DA130" i="4"/>
  <c r="CR130" i="4"/>
  <c r="CM130" i="4"/>
  <c r="CO130" i="4"/>
  <c r="CY130" i="4"/>
  <c r="CL130" i="4"/>
  <c r="DX28" i="4" a="1"/>
  <c r="DX28" i="4" s="1"/>
  <c r="DS28" i="4" a="1"/>
  <c r="DS28" i="4" s="1"/>
  <c r="EV28" i="4" a="1"/>
  <c r="EV28" i="4" s="1"/>
  <c r="EA28" i="4" a="1"/>
  <c r="EA28" i="4" s="1"/>
  <c r="AL91" i="4"/>
  <c r="P91" i="4"/>
  <c r="BH91" i="4"/>
  <c r="DI60" i="4" a="1"/>
  <c r="DI60" i="4" s="1"/>
  <c r="EL60" i="4" a="1"/>
  <c r="EL60" i="4" s="1"/>
  <c r="EN60" i="4" a="1"/>
  <c r="EN60" i="4" s="1"/>
  <c r="DK60" i="4" a="1"/>
  <c r="DK60" i="4" s="1"/>
  <c r="DV60" i="4" a="1"/>
  <c r="DV60" i="4" s="1"/>
  <c r="EM85" i="4" a="1"/>
  <c r="EM85" i="4" s="1"/>
  <c r="DJ85" i="4" a="1"/>
  <c r="DJ85" i="4" s="1"/>
  <c r="DU85" i="4" a="1"/>
  <c r="DU85" i="4" s="1"/>
  <c r="DL85" i="4" a="1"/>
  <c r="DL85" i="4" s="1"/>
  <c r="EO85" i="4" a="1"/>
  <c r="EO85" i="4" s="1"/>
  <c r="DN58" i="4" a="1"/>
  <c r="DN58" i="4" s="1"/>
  <c r="EQ58" i="4" a="1"/>
  <c r="EQ58" i="4" s="1"/>
  <c r="DR58" i="4" a="1"/>
  <c r="DR58" i="4" s="1"/>
  <c r="EU58" i="4" a="1"/>
  <c r="EU58" i="4" s="1"/>
  <c r="DW58" i="4" a="1"/>
  <c r="DW58" i="4" s="1"/>
  <c r="BH111" i="4"/>
  <c r="AL111" i="4"/>
  <c r="P111" i="4"/>
  <c r="DJ25" i="4" a="1"/>
  <c r="DJ25" i="4" s="1"/>
  <c r="EM25" i="4" a="1"/>
  <c r="EM25" i="4" s="1"/>
  <c r="EC25" i="4" a="1"/>
  <c r="EC25" i="4" s="1"/>
  <c r="EU25" i="4" a="1"/>
  <c r="EU25" i="4" s="1"/>
  <c r="DR25" i="4" a="1"/>
  <c r="DR25" i="4" s="1"/>
  <c r="CW36" i="4"/>
  <c r="CS36" i="4"/>
  <c r="CM36" i="4"/>
  <c r="CL36" i="4"/>
  <c r="BT36" i="4"/>
  <c r="CQ36" i="4"/>
  <c r="CR36" i="4"/>
  <c r="DA36" i="4"/>
  <c r="DC36" i="4"/>
  <c r="DF36" i="4"/>
  <c r="CX36" i="4"/>
  <c r="CO36" i="4"/>
  <c r="CZ36" i="4"/>
  <c r="DH36" i="4"/>
  <c r="CU36" i="4"/>
  <c r="CV36" i="4"/>
  <c r="CK36" i="4"/>
  <c r="DE36" i="4"/>
  <c r="DB36" i="4"/>
  <c r="DG36" i="4"/>
  <c r="CY36" i="4"/>
  <c r="CN36" i="4"/>
  <c r="AH36" i="4"/>
  <c r="DD36" i="4"/>
  <c r="CP36" i="4"/>
  <c r="CT36" i="4"/>
  <c r="AJ36" i="4"/>
  <c r="EA55" i="4" a="1"/>
  <c r="EA55" i="4" s="1"/>
  <c r="DX55" i="4" a="1"/>
  <c r="DX55" i="4" s="1"/>
  <c r="ET55" i="4" a="1"/>
  <c r="ET55" i="4" s="1"/>
  <c r="DQ55" i="4" a="1"/>
  <c r="DQ55" i="4" s="1"/>
  <c r="DV55" i="4" a="1"/>
  <c r="DV55" i="4" s="1"/>
  <c r="EN40" i="4" a="1"/>
  <c r="EN40" i="4" s="1"/>
  <c r="G17" i="50" s="1"/>
  <c r="DK40" i="4" a="1"/>
  <c r="DK40" i="4" s="1"/>
  <c r="DI40" i="4" a="1"/>
  <c r="DI40" i="4" s="1"/>
  <c r="EL40" i="4" a="1"/>
  <c r="EL40" i="4" s="1"/>
  <c r="E17" i="50" s="1"/>
  <c r="EB40" i="4" a="1"/>
  <c r="EB40" i="4" s="1"/>
  <c r="ER132" i="4" a="1"/>
  <c r="ER132" i="4" s="1"/>
  <c r="DO132" i="4" a="1"/>
  <c r="DO132" i="4" s="1"/>
  <c r="EM132" i="4" a="1"/>
  <c r="EM132" i="4" s="1"/>
  <c r="DJ132" i="4" a="1"/>
  <c r="DJ132" i="4" s="1"/>
  <c r="DX132" i="4" a="1"/>
  <c r="DX132" i="4" s="1"/>
  <c r="ED18" i="4" a="1"/>
  <c r="ED18" i="4" s="1"/>
  <c r="EC18" i="4" a="1"/>
  <c r="EC18" i="4" s="1"/>
  <c r="DW18" i="4" a="1"/>
  <c r="DW18" i="4" s="1"/>
  <c r="BS99" i="4"/>
  <c r="AD99" i="4"/>
  <c r="AE99" i="4"/>
  <c r="EF139" i="2"/>
  <c r="EC180" i="2" l="1"/>
  <c r="EE180" i="2"/>
  <c r="EB180" i="2"/>
  <c r="EC312" i="2"/>
  <c r="EB312" i="2"/>
  <c r="EE312" i="2"/>
  <c r="EE100" i="2"/>
  <c r="EB100" i="2"/>
  <c r="EC100" i="2"/>
  <c r="EC115" i="2"/>
  <c r="EE115" i="2"/>
  <c r="EB115" i="2"/>
  <c r="EE156" i="2"/>
  <c r="EC156" i="2"/>
  <c r="EB156" i="2"/>
  <c r="EB241" i="2"/>
  <c r="EC241" i="2"/>
  <c r="EE241" i="2"/>
  <c r="DS241" i="2"/>
  <c r="DR241" i="2"/>
  <c r="DT241" i="2"/>
  <c r="DS318" i="2"/>
  <c r="DT318" i="2"/>
  <c r="DR318" i="2"/>
  <c r="L33" i="50"/>
  <c r="J16" i="50"/>
  <c r="L23" i="50"/>
  <c r="N35" i="50"/>
  <c r="H24" i="50"/>
  <c r="M32" i="50"/>
  <c r="J22" i="50"/>
  <c r="E13" i="50"/>
  <c r="I34" i="50"/>
  <c r="M29" i="50"/>
  <c r="C46" i="50"/>
  <c r="C21" i="50"/>
  <c r="C9" i="50"/>
  <c r="C13" i="50"/>
  <c r="EB231" i="2"/>
  <c r="EE231" i="2"/>
  <c r="EC231" i="2"/>
  <c r="EC315" i="2"/>
  <c r="EE315" i="2"/>
  <c r="EB315" i="2"/>
  <c r="DT115" i="2"/>
  <c r="DS115" i="2"/>
  <c r="DR115" i="2"/>
  <c r="DR10" i="2"/>
  <c r="DT10" i="2"/>
  <c r="DS10" i="2"/>
  <c r="DT340" i="2"/>
  <c r="DS340" i="2"/>
  <c r="DR340" i="2"/>
  <c r="DS180" i="2"/>
  <c r="DT180" i="2"/>
  <c r="DR180" i="2"/>
  <c r="EB275" i="2"/>
  <c r="EC275" i="2"/>
  <c r="EE275" i="2"/>
  <c r="H33" i="50"/>
  <c r="P6" i="50"/>
  <c r="K23" i="50"/>
  <c r="H23" i="50"/>
  <c r="P35" i="50"/>
  <c r="N7" i="50"/>
  <c r="C59" i="50"/>
  <c r="G30" i="50"/>
  <c r="O38" i="50"/>
  <c r="E30" i="50"/>
  <c r="I29" i="50"/>
  <c r="DT244" i="2"/>
  <c r="DS244" i="2"/>
  <c r="DR244" i="2"/>
  <c r="EE116" i="2"/>
  <c r="EB116" i="2"/>
  <c r="EC116" i="2"/>
  <c r="EE229" i="2"/>
  <c r="EC229" i="2"/>
  <c r="EB229" i="2"/>
  <c r="DT75" i="2"/>
  <c r="DR75" i="2"/>
  <c r="DS75" i="2"/>
  <c r="EE75" i="2"/>
  <c r="EC75" i="2"/>
  <c r="EB75" i="2"/>
  <c r="EC318" i="2"/>
  <c r="EB318" i="2"/>
  <c r="EE318" i="2"/>
  <c r="EB152" i="2"/>
  <c r="EE152" i="2"/>
  <c r="EC152" i="2"/>
  <c r="DS178" i="2"/>
  <c r="DT178" i="2"/>
  <c r="DR178" i="2"/>
  <c r="K30" i="50"/>
  <c r="F38" i="50"/>
  <c r="I38" i="50"/>
  <c r="C33" i="50"/>
  <c r="C40" i="50"/>
  <c r="EB132" i="2"/>
  <c r="EC132" i="2"/>
  <c r="EE132" i="2"/>
  <c r="EB43" i="2"/>
  <c r="EC43" i="2"/>
  <c r="EE43" i="2"/>
  <c r="DT26" i="2"/>
  <c r="DS26" i="2"/>
  <c r="DR26" i="2"/>
  <c r="EE340" i="2"/>
  <c r="EC340" i="2"/>
  <c r="EB340" i="2"/>
  <c r="DS236" i="2"/>
  <c r="DT236" i="2"/>
  <c r="DR236" i="2"/>
  <c r="DS245" i="2"/>
  <c r="DR245" i="2"/>
  <c r="DT245" i="2"/>
  <c r="EB141" i="2"/>
  <c r="EC141" i="2"/>
  <c r="EE141" i="2"/>
  <c r="DS312" i="2"/>
  <c r="DR312" i="2"/>
  <c r="DT312" i="2"/>
  <c r="DT116" i="2"/>
  <c r="DS116" i="2"/>
  <c r="DR116" i="2"/>
  <c r="EB26" i="2"/>
  <c r="EC26" i="2"/>
  <c r="EE26" i="2"/>
  <c r="EB178" i="2"/>
  <c r="EE178" i="2"/>
  <c r="EC178" i="2"/>
  <c r="EC236" i="2"/>
  <c r="EB236" i="2"/>
  <c r="EE236" i="2"/>
  <c r="K6" i="50"/>
  <c r="L22" i="50"/>
  <c r="F32" i="50"/>
  <c r="M8" i="50"/>
  <c r="H22" i="50"/>
  <c r="C57" i="50"/>
  <c r="C17" i="50"/>
  <c r="C54" i="50"/>
  <c r="H30" i="50"/>
  <c r="C34" i="50"/>
  <c r="C4" i="50"/>
  <c r="DT141" i="2"/>
  <c r="DS141" i="2"/>
  <c r="DR141" i="2"/>
  <c r="EC10" i="2"/>
  <c r="EB10" i="2"/>
  <c r="EE10" i="2"/>
  <c r="DT43" i="2"/>
  <c r="DR43" i="2"/>
  <c r="DS43" i="2"/>
  <c r="EE30" i="2"/>
  <c r="EB30" i="2"/>
  <c r="EC30" i="2"/>
  <c r="I6" i="50"/>
  <c r="K16" i="50"/>
  <c r="E24" i="50"/>
  <c r="C5" i="50"/>
  <c r="N29" i="50"/>
  <c r="L29" i="50"/>
  <c r="C60" i="50"/>
  <c r="J30" i="50"/>
  <c r="N30" i="50"/>
  <c r="EE244" i="2"/>
  <c r="EB244" i="2"/>
  <c r="EC244" i="2"/>
  <c r="DS132" i="2"/>
  <c r="DT132" i="2"/>
  <c r="DR132" i="2"/>
  <c r="DR156" i="2"/>
  <c r="DT156" i="2"/>
  <c r="DS156" i="2"/>
  <c r="DS30" i="2"/>
  <c r="DR30" i="2"/>
  <c r="DT30" i="2"/>
  <c r="H6" i="50"/>
  <c r="P16" i="50"/>
  <c r="F23" i="50"/>
  <c r="P17" i="50"/>
  <c r="K24" i="50"/>
  <c r="I35" i="50"/>
  <c r="N23" i="50"/>
  <c r="O17" i="50"/>
  <c r="C7" i="50"/>
  <c r="C55" i="50"/>
  <c r="C43" i="50"/>
  <c r="K54" i="50"/>
  <c r="C28" i="50"/>
  <c r="K29" i="50"/>
  <c r="EC245" i="2"/>
  <c r="EB245" i="2"/>
  <c r="EE245" i="2"/>
  <c r="DS315" i="2"/>
  <c r="DR315" i="2"/>
  <c r="DT315" i="2"/>
  <c r="DS100" i="2"/>
  <c r="DR100" i="2"/>
  <c r="DT100" i="2"/>
  <c r="DR229" i="2"/>
  <c r="DT229" i="2"/>
  <c r="DS229" i="2"/>
  <c r="DT231" i="2"/>
  <c r="DS231" i="2"/>
  <c r="DR231" i="2"/>
  <c r="DS152" i="2"/>
  <c r="DR152" i="2"/>
  <c r="DT152" i="2"/>
  <c r="DR287" i="2"/>
  <c r="DS287" i="2"/>
  <c r="DT287" i="2"/>
  <c r="EE175" i="2"/>
  <c r="EC175" i="2"/>
  <c r="EB175" i="2"/>
  <c r="EE85" i="2"/>
  <c r="EB85" i="2"/>
  <c r="EC85" i="2"/>
  <c r="P8" i="50"/>
  <c r="L8" i="50"/>
  <c r="DT85" i="2"/>
  <c r="DR85" i="2"/>
  <c r="DS85" i="2"/>
  <c r="EE262" i="2"/>
  <c r="EB262" i="2"/>
  <c r="EC262" i="2"/>
  <c r="J26" i="50"/>
  <c r="H26" i="50"/>
  <c r="M35" i="50"/>
  <c r="I54" i="50"/>
  <c r="G29" i="50"/>
  <c r="C25" i="50"/>
  <c r="C35" i="50"/>
  <c r="J29" i="50"/>
  <c r="C30" i="50"/>
  <c r="P38" i="50"/>
  <c r="C14" i="50"/>
  <c r="C19" i="50"/>
  <c r="C26" i="50"/>
  <c r="C15" i="50"/>
  <c r="DT175" i="2"/>
  <c r="DR175" i="2"/>
  <c r="DS175" i="2"/>
  <c r="EB8" i="4" a="1"/>
  <c r="EB8" i="4" s="1"/>
  <c r="J33" i="50"/>
  <c r="I32" i="50"/>
  <c r="E22" i="50"/>
  <c r="N24" i="50"/>
  <c r="E29" i="50"/>
  <c r="C16" i="50"/>
  <c r="C61" i="50"/>
  <c r="C41" i="50"/>
  <c r="C31" i="50"/>
  <c r="C58" i="50"/>
  <c r="C22" i="50"/>
  <c r="E38" i="50"/>
  <c r="C39" i="50"/>
  <c r="C53" i="50"/>
  <c r="C20" i="50"/>
  <c r="DA31" i="4"/>
  <c r="CK31" i="4"/>
  <c r="CR31" i="4"/>
  <c r="CQ31" i="4"/>
  <c r="CZ31" i="4"/>
  <c r="AJ31" i="4"/>
  <c r="CS31" i="4"/>
  <c r="CL31" i="4"/>
  <c r="CV31" i="4"/>
  <c r="DB31" i="4"/>
  <c r="DG31" i="4"/>
  <c r="DH31" i="4"/>
  <c r="DF31" i="4"/>
  <c r="CO31" i="4"/>
  <c r="CU31" i="4"/>
  <c r="CT31" i="4"/>
  <c r="CM31" i="4"/>
  <c r="CN31" i="4"/>
  <c r="AH31" i="4"/>
  <c r="CW31" i="4"/>
  <c r="CX31" i="4"/>
  <c r="DE31" i="4"/>
  <c r="CP31" i="4"/>
  <c r="BT31" i="4"/>
  <c r="DC31" i="4"/>
  <c r="DD31" i="4"/>
  <c r="CY31" i="4"/>
  <c r="EE78" i="2"/>
  <c r="EC78" i="2"/>
  <c r="EB78" i="2"/>
  <c r="EC29" i="4" a="1"/>
  <c r="EC29" i="4" s="1"/>
  <c r="DX19" i="4" a="1"/>
  <c r="DX19" i="4" s="1"/>
  <c r="DR247" i="2"/>
  <c r="DT247" i="2"/>
  <c r="DS247" i="2"/>
  <c r="EG11" i="4"/>
  <c r="O6" i="50"/>
  <c r="F33" i="50"/>
  <c r="O26" i="50"/>
  <c r="H16" i="50"/>
  <c r="C50" i="50"/>
  <c r="K38" i="50"/>
  <c r="C8" i="50"/>
  <c r="C11" i="50"/>
  <c r="H29" i="50"/>
  <c r="O54" i="50"/>
  <c r="M38" i="50"/>
  <c r="F29" i="50"/>
  <c r="H54" i="50"/>
  <c r="L54" i="50"/>
  <c r="C44" i="50"/>
  <c r="EE247" i="2"/>
  <c r="EB247" i="2"/>
  <c r="EC247" i="2"/>
  <c r="DS262" i="2"/>
  <c r="DR262" i="2"/>
  <c r="DT262" i="2"/>
  <c r="DS78" i="2"/>
  <c r="DR78" i="2"/>
  <c r="DT78" i="2"/>
  <c r="G33" i="50"/>
  <c r="O30" i="50"/>
  <c r="L38" i="50"/>
  <c r="J38" i="50"/>
  <c r="C42" i="50"/>
  <c r="C27" i="50"/>
  <c r="C18" i="50"/>
  <c r="O29" i="50"/>
  <c r="H38" i="50"/>
  <c r="C47" i="50"/>
  <c r="N38" i="50"/>
  <c r="C32" i="50"/>
  <c r="EE287" i="2"/>
  <c r="EB287" i="2"/>
  <c r="EC287" i="2"/>
  <c r="G16" i="50"/>
  <c r="O16" i="50"/>
  <c r="DR311" i="2"/>
  <c r="DT311" i="2"/>
  <c r="DS311" i="2"/>
  <c r="EB256" i="2"/>
  <c r="EC256" i="2"/>
  <c r="EE256" i="2"/>
  <c r="EE228" i="2"/>
  <c r="EB228" i="2"/>
  <c r="EC228" i="2"/>
  <c r="DR44" i="2"/>
  <c r="DS44" i="2"/>
  <c r="DT44" i="2"/>
  <c r="EC338" i="2"/>
  <c r="EE338" i="2"/>
  <c r="EB338" i="2"/>
  <c r="EB335" i="2"/>
  <c r="EE335" i="2"/>
  <c r="EC335" i="2"/>
  <c r="I23" i="50"/>
  <c r="EE195" i="2"/>
  <c r="EB195" i="2"/>
  <c r="EC195" i="2"/>
  <c r="EC274" i="2"/>
  <c r="EB274" i="2"/>
  <c r="EE274" i="2"/>
  <c r="EC264" i="2"/>
  <c r="EB264" i="2"/>
  <c r="EE264" i="2"/>
  <c r="EB150" i="2"/>
  <c r="EC150" i="2"/>
  <c r="EE150" i="2"/>
  <c r="EC295" i="2"/>
  <c r="EB295" i="2"/>
  <c r="EE295" i="2"/>
  <c r="DC34" i="4"/>
  <c r="DA34" i="4"/>
  <c r="CL34" i="4"/>
  <c r="CQ34" i="4"/>
  <c r="CT34" i="4"/>
  <c r="CO34" i="4"/>
  <c r="AH34" i="4"/>
  <c r="DE34" i="4"/>
  <c r="DG34" i="4"/>
  <c r="CW34" i="4"/>
  <c r="CV34" i="4"/>
  <c r="CP34" i="4"/>
  <c r="CZ34" i="4"/>
  <c r="CK34" i="4"/>
  <c r="CN34" i="4"/>
  <c r="CS34" i="4"/>
  <c r="CM34" i="4"/>
  <c r="CR34" i="4"/>
  <c r="DB34" i="4"/>
  <c r="CU34" i="4"/>
  <c r="DD34" i="4"/>
  <c r="CY34" i="4"/>
  <c r="AJ34" i="4"/>
  <c r="DF34" i="4"/>
  <c r="BT34" i="4"/>
  <c r="CX34" i="4"/>
  <c r="DH34" i="4"/>
  <c r="DS256" i="2"/>
  <c r="DR256" i="2"/>
  <c r="DT256" i="2"/>
  <c r="DT188" i="2"/>
  <c r="DR188" i="2"/>
  <c r="DS188" i="2"/>
  <c r="DS171" i="2"/>
  <c r="DT171" i="2"/>
  <c r="DR171" i="2"/>
  <c r="DR27" i="2"/>
  <c r="DS27" i="2"/>
  <c r="DT27" i="2"/>
  <c r="DR254" i="2"/>
  <c r="DS254" i="2"/>
  <c r="DT254" i="2"/>
  <c r="E16" i="50"/>
  <c r="I16" i="50"/>
  <c r="EE35" i="2"/>
  <c r="EB35" i="2"/>
  <c r="EC35" i="2"/>
  <c r="DT240" i="2"/>
  <c r="DS240" i="2"/>
  <c r="DR240" i="2"/>
  <c r="EE29" i="2"/>
  <c r="EB29" i="2"/>
  <c r="EC29" i="2"/>
  <c r="EE177" i="2"/>
  <c r="EB177" i="2"/>
  <c r="EC177" i="2"/>
  <c r="DR136" i="2"/>
  <c r="DT136" i="2"/>
  <c r="DS136" i="2"/>
  <c r="G23" i="50"/>
  <c r="DZ124" i="4" a="1"/>
  <c r="DZ124" i="4" s="1"/>
  <c r="DX95" i="4" a="1"/>
  <c r="DX95" i="4" s="1"/>
  <c r="EF50" i="4" a="1"/>
  <c r="EF50" i="4" s="1"/>
  <c r="E6" i="50"/>
  <c r="DW98" i="4" a="1"/>
  <c r="DW98" i="4" s="1"/>
  <c r="EB133" i="4" a="1"/>
  <c r="EB133" i="4" s="1"/>
  <c r="DV12" i="4" a="1"/>
  <c r="DV12" i="4" s="1"/>
  <c r="EE93" i="4" a="1"/>
  <c r="EE93" i="4" s="1"/>
  <c r="EB310" i="2"/>
  <c r="EE310" i="2"/>
  <c r="EC310" i="2"/>
  <c r="DS21" i="2"/>
  <c r="DT21" i="2"/>
  <c r="DR21" i="2"/>
  <c r="EC179" i="2"/>
  <c r="EE179" i="2"/>
  <c r="EB179" i="2"/>
  <c r="EG41" i="4"/>
  <c r="DS170" i="2"/>
  <c r="DT170" i="2"/>
  <c r="DR170" i="2"/>
  <c r="CQ30" i="4"/>
  <c r="DD30" i="4"/>
  <c r="CZ30" i="4"/>
  <c r="AJ30" i="4"/>
  <c r="DH30" i="4"/>
  <c r="CK30" i="4"/>
  <c r="DC30" i="4"/>
  <c r="AH30" i="4"/>
  <c r="CL30" i="4"/>
  <c r="CN30" i="4"/>
  <c r="DE30" i="4"/>
  <c r="DA30" i="4"/>
  <c r="BT30" i="4"/>
  <c r="CW30" i="4"/>
  <c r="CT30" i="4"/>
  <c r="CO30" i="4"/>
  <c r="CS30" i="4"/>
  <c r="CX30" i="4"/>
  <c r="CR30" i="4"/>
  <c r="DB30" i="4"/>
  <c r="CP30" i="4"/>
  <c r="CM30" i="4"/>
  <c r="DF30" i="4"/>
  <c r="DG30" i="4"/>
  <c r="CV30" i="4"/>
  <c r="CU30" i="4"/>
  <c r="CY30" i="4"/>
  <c r="EB107" i="2"/>
  <c r="EE107" i="2"/>
  <c r="EC107" i="2"/>
  <c r="EE8" i="2"/>
  <c r="EB8" i="2"/>
  <c r="EC8" i="2"/>
  <c r="EC270" i="2"/>
  <c r="EE270" i="2"/>
  <c r="EB270" i="2"/>
  <c r="EE294" i="2"/>
  <c r="EB294" i="2"/>
  <c r="EC294" i="2"/>
  <c r="F16" i="50"/>
  <c r="DR29" i="4" a="1"/>
  <c r="DR29" i="4" s="1"/>
  <c r="EU29" i="4" a="1"/>
  <c r="EU29" i="4" s="1"/>
  <c r="N12" i="50" s="1"/>
  <c r="DT274" i="2"/>
  <c r="DS274" i="2"/>
  <c r="DR274" i="2"/>
  <c r="DT267" i="2"/>
  <c r="DR267" i="2"/>
  <c r="DS267" i="2"/>
  <c r="EB40" i="2"/>
  <c r="EC40" i="2"/>
  <c r="EE40" i="2"/>
  <c r="EP19" i="4" a="1"/>
  <c r="EP19" i="4" s="1"/>
  <c r="DM19" i="4" a="1"/>
  <c r="DM19" i="4" s="1"/>
  <c r="EB136" i="2"/>
  <c r="EC136" i="2"/>
  <c r="EE136" i="2"/>
  <c r="L26" i="50"/>
  <c r="J8" i="50"/>
  <c r="DS35" i="2"/>
  <c r="DT35" i="2"/>
  <c r="DR35" i="2"/>
  <c r="DR292" i="2"/>
  <c r="DT292" i="2"/>
  <c r="DS292" i="2"/>
  <c r="DT63" i="2"/>
  <c r="DS63" i="2"/>
  <c r="DR63" i="2"/>
  <c r="DS310" i="2"/>
  <c r="DT310" i="2"/>
  <c r="DR310" i="2"/>
  <c r="EC197" i="2"/>
  <c r="EB197" i="2"/>
  <c r="EE197" i="2"/>
  <c r="DT40" i="2"/>
  <c r="DS40" i="2"/>
  <c r="DR40" i="2"/>
  <c r="EW19" i="4" a="1"/>
  <c r="EW19" i="4" s="1"/>
  <c r="DT19" i="4" a="1"/>
  <c r="DT19" i="4" s="1"/>
  <c r="EC126" i="2"/>
  <c r="EB126" i="2"/>
  <c r="EE126" i="2"/>
  <c r="DY130" i="4" a="1"/>
  <c r="DY130" i="4" s="1"/>
  <c r="DT216" i="2"/>
  <c r="DS216" i="2"/>
  <c r="DR216" i="2"/>
  <c r="EE216" i="2"/>
  <c r="EC216" i="2"/>
  <c r="EB216" i="2"/>
  <c r="DO29" i="4" a="1"/>
  <c r="DO29" i="4" s="1"/>
  <c r="ER29" i="4" a="1"/>
  <c r="ER29" i="4" s="1"/>
  <c r="K12" i="50" s="1"/>
  <c r="ED19" i="4" a="1"/>
  <c r="ED19" i="4" s="1"/>
  <c r="DT95" i="2"/>
  <c r="DS95" i="2"/>
  <c r="DR95" i="2"/>
  <c r="EE119" i="2"/>
  <c r="EC119" i="2"/>
  <c r="EB119" i="2"/>
  <c r="DT261" i="2"/>
  <c r="DR261" i="2"/>
  <c r="DS261" i="2"/>
  <c r="DT29" i="4" a="1"/>
  <c r="DT29" i="4" s="1"/>
  <c r="EW29" i="4" a="1"/>
  <c r="EW29" i="4" s="1"/>
  <c r="P12" i="50" s="1"/>
  <c r="DT197" i="2"/>
  <c r="DS197" i="2"/>
  <c r="DR197" i="2"/>
  <c r="EE187" i="2"/>
  <c r="EC187" i="2"/>
  <c r="EB187" i="2"/>
  <c r="EV19" i="4" a="1"/>
  <c r="EV19" i="4" s="1"/>
  <c r="DS19" i="4" a="1"/>
  <c r="DS19" i="4" s="1"/>
  <c r="EB27" i="2"/>
  <c r="EE27" i="2"/>
  <c r="EC27" i="2"/>
  <c r="EM29" i="4" a="1"/>
  <c r="EM29" i="4" s="1"/>
  <c r="F12" i="50" s="1"/>
  <c r="DJ29" i="4" a="1"/>
  <c r="DJ29" i="4" s="1"/>
  <c r="EB68" i="2"/>
  <c r="EE68" i="2"/>
  <c r="EC68" i="2"/>
  <c r="EE284" i="2"/>
  <c r="EB284" i="2"/>
  <c r="EC284" i="2"/>
  <c r="DR300" i="2"/>
  <c r="DS300" i="2"/>
  <c r="DT300" i="2"/>
  <c r="DS150" i="2"/>
  <c r="DT150" i="2"/>
  <c r="DR150" i="2"/>
  <c r="EB54" i="2"/>
  <c r="EE54" i="2"/>
  <c r="EC54" i="2"/>
  <c r="DN19" i="4" a="1"/>
  <c r="DN19" i="4" s="1"/>
  <c r="EQ19" i="4" a="1"/>
  <c r="EQ19" i="4" s="1"/>
  <c r="DS161" i="2"/>
  <c r="DT161" i="2"/>
  <c r="DR161" i="2"/>
  <c r="DR76" i="2"/>
  <c r="DS76" i="2"/>
  <c r="DT76" i="2"/>
  <c r="F26" i="50"/>
  <c r="G6" i="50"/>
  <c r="EB76" i="2"/>
  <c r="EE76" i="2"/>
  <c r="EC76" i="2"/>
  <c r="DR286" i="2"/>
  <c r="DT286" i="2"/>
  <c r="DS286" i="2"/>
  <c r="EF29" i="4" a="1"/>
  <c r="EF29" i="4" s="1"/>
  <c r="DT68" i="2"/>
  <c r="DS68" i="2"/>
  <c r="DR68" i="2"/>
  <c r="EC69" i="2"/>
  <c r="EB69" i="2"/>
  <c r="EE69" i="2"/>
  <c r="DW36" i="4" a="1"/>
  <c r="DW36" i="4" s="1"/>
  <c r="DX102" i="4" a="1"/>
  <c r="DX102" i="4" s="1"/>
  <c r="EE111" i="4" a="1"/>
  <c r="EE111" i="4" s="1"/>
  <c r="DU50" i="4" a="1"/>
  <c r="DU50" i="4" s="1"/>
  <c r="I33" i="50"/>
  <c r="DW10" i="4" a="1"/>
  <c r="DW10" i="4" s="1"/>
  <c r="EC79" i="4" a="1"/>
  <c r="EC79" i="4" s="1"/>
  <c r="EE122" i="4" a="1"/>
  <c r="EE122" i="4" s="1"/>
  <c r="EA32" i="4" a="1"/>
  <c r="EA32" i="4" s="1"/>
  <c r="EC108" i="2"/>
  <c r="EB108" i="2"/>
  <c r="EE108" i="2"/>
  <c r="DX29" i="4" a="1"/>
  <c r="DX29" i="4" s="1"/>
  <c r="EB337" i="2"/>
  <c r="EE337" i="2"/>
  <c r="EC337" i="2"/>
  <c r="EE80" i="2"/>
  <c r="EC80" i="2"/>
  <c r="EB80" i="2"/>
  <c r="DT93" i="2"/>
  <c r="DR93" i="2"/>
  <c r="DS93" i="2"/>
  <c r="DR251" i="2"/>
  <c r="DT251" i="2"/>
  <c r="DS251" i="2"/>
  <c r="DT187" i="2"/>
  <c r="DS187" i="2"/>
  <c r="DR187" i="2"/>
  <c r="DR19" i="4" a="1"/>
  <c r="DR19" i="4" s="1"/>
  <c r="EU19" i="4" a="1"/>
  <c r="EU19" i="4" s="1"/>
  <c r="EE44" i="2"/>
  <c r="EB44" i="2"/>
  <c r="EC44" i="2"/>
  <c r="DS74" i="2"/>
  <c r="DT74" i="2"/>
  <c r="DR74" i="2"/>
  <c r="F6" i="50"/>
  <c r="DP29" i="4" a="1"/>
  <c r="DP29" i="4" s="1"/>
  <c r="ES29" i="4" a="1"/>
  <c r="ES29" i="4" s="1"/>
  <c r="L12" i="50" s="1"/>
  <c r="DT177" i="2"/>
  <c r="DS177" i="2"/>
  <c r="DR177" i="2"/>
  <c r="ES19" i="4" a="1"/>
  <c r="ES19" i="4" s="1"/>
  <c r="DP19" i="4" a="1"/>
  <c r="DP19" i="4" s="1"/>
  <c r="DR195" i="2"/>
  <c r="DT195" i="2"/>
  <c r="DS195" i="2"/>
  <c r="EE29" i="4" a="1"/>
  <c r="EE29" i="4" s="1"/>
  <c r="DS124" i="2"/>
  <c r="DT124" i="2"/>
  <c r="DR124" i="2"/>
  <c r="EE93" i="2"/>
  <c r="EB93" i="2"/>
  <c r="EC93" i="2"/>
  <c r="EB237" i="2"/>
  <c r="EC237" i="2"/>
  <c r="EE237" i="2"/>
  <c r="DS294" i="2"/>
  <c r="DT294" i="2"/>
  <c r="DR294" i="2"/>
  <c r="EC254" i="2"/>
  <c r="EB254" i="2"/>
  <c r="EE254" i="2"/>
  <c r="E26" i="50"/>
  <c r="EL29" i="4" a="1"/>
  <c r="EL29" i="4" s="1"/>
  <c r="DI29" i="4" a="1"/>
  <c r="DI29" i="4" s="1"/>
  <c r="DS308" i="2"/>
  <c r="DT308" i="2"/>
  <c r="DR308" i="2"/>
  <c r="EB300" i="2"/>
  <c r="EC300" i="2"/>
  <c r="EE300" i="2"/>
  <c r="EE19" i="4" a="1"/>
  <c r="EE19" i="4" s="1"/>
  <c r="DR337" i="2"/>
  <c r="DT337" i="2"/>
  <c r="DS337" i="2"/>
  <c r="EQ29" i="4" a="1"/>
  <c r="EQ29" i="4" s="1"/>
  <c r="J12" i="50" s="1"/>
  <c r="DN29" i="4" a="1"/>
  <c r="DN29" i="4" s="1"/>
  <c r="DS183" i="2"/>
  <c r="DT183" i="2"/>
  <c r="DR183" i="2"/>
  <c r="DR8" i="2"/>
  <c r="DT8" i="2"/>
  <c r="DS8" i="2"/>
  <c r="DR28" i="2"/>
  <c r="DS28" i="2"/>
  <c r="DT28" i="2"/>
  <c r="DV19" i="4" a="1"/>
  <c r="DV19" i="4" s="1"/>
  <c r="DT314" i="2"/>
  <c r="DS314" i="2"/>
  <c r="DR314" i="2"/>
  <c r="DS126" i="2"/>
  <c r="DT126" i="2"/>
  <c r="DR126" i="2"/>
  <c r="DT61" i="2"/>
  <c r="DS61" i="2"/>
  <c r="DR61" i="2"/>
  <c r="ET29" i="4" a="1"/>
  <c r="ET29" i="4" s="1"/>
  <c r="M12" i="50" s="1"/>
  <c r="DQ29" i="4" a="1"/>
  <c r="DQ29" i="4" s="1"/>
  <c r="EB94" i="2"/>
  <c r="EC94" i="2"/>
  <c r="EE94" i="2"/>
  <c r="EB19" i="4" a="1"/>
  <c r="EB19" i="4" s="1"/>
  <c r="DS130" i="2"/>
  <c r="DT130" i="2"/>
  <c r="DR130" i="2"/>
  <c r="DS108" i="2"/>
  <c r="DT108" i="2"/>
  <c r="DR108" i="2"/>
  <c r="P33" i="50"/>
  <c r="DS239" i="2"/>
  <c r="DT239" i="2"/>
  <c r="DR239" i="2"/>
  <c r="EC224" i="2"/>
  <c r="EE224" i="2"/>
  <c r="EB224" i="2"/>
  <c r="EC146" i="2"/>
  <c r="EB146" i="2"/>
  <c r="EE146" i="2"/>
  <c r="DR80" i="2"/>
  <c r="DS80" i="2"/>
  <c r="DT80" i="2"/>
  <c r="DT107" i="2"/>
  <c r="DR107" i="2"/>
  <c r="DS107" i="2"/>
  <c r="DT228" i="2"/>
  <c r="DS228" i="2"/>
  <c r="DR228" i="2"/>
  <c r="EE104" i="2"/>
  <c r="EB104" i="2"/>
  <c r="EC104" i="2"/>
  <c r="EE95" i="2"/>
  <c r="EC95" i="2"/>
  <c r="EB95" i="2"/>
  <c r="DO19" i="4" a="1"/>
  <c r="DO19" i="4" s="1"/>
  <c r="ER19" i="4" a="1"/>
  <c r="ER19" i="4" s="1"/>
  <c r="K26" i="50"/>
  <c r="DZ29" i="4" a="1"/>
  <c r="DZ29" i="4" s="1"/>
  <c r="EC124" i="2"/>
  <c r="EE124" i="2"/>
  <c r="EB124" i="2"/>
  <c r="DR104" i="2"/>
  <c r="DS104" i="2"/>
  <c r="DT104" i="2"/>
  <c r="EF19" i="4" a="1"/>
  <c r="EF19" i="4" s="1"/>
  <c r="DX91" i="4" a="1"/>
  <c r="DX91" i="4" s="1"/>
  <c r="EE109" i="4" a="1"/>
  <c r="EE109" i="4" s="1"/>
  <c r="ED6" i="4" a="1"/>
  <c r="ED6" i="4" s="1"/>
  <c r="EF80" i="4" a="1"/>
  <c r="EF80" i="4" s="1"/>
  <c r="N26" i="50"/>
  <c r="EC125" i="4" a="1"/>
  <c r="EC125" i="4" s="1"/>
  <c r="N6" i="50"/>
  <c r="EC311" i="2"/>
  <c r="EE311" i="2"/>
  <c r="EB311" i="2"/>
  <c r="ED29" i="4" a="1"/>
  <c r="ED29" i="4" s="1"/>
  <c r="EB71" i="2"/>
  <c r="EC71" i="2"/>
  <c r="EE71" i="2"/>
  <c r="EE63" i="2"/>
  <c r="EC63" i="2"/>
  <c r="EB63" i="2"/>
  <c r="DR54" i="2"/>
  <c r="DT54" i="2"/>
  <c r="DS54" i="2"/>
  <c r="EC19" i="4" a="1"/>
  <c r="EC19" i="4" s="1"/>
  <c r="EB74" i="2"/>
  <c r="EE74" i="2"/>
  <c r="EC74" i="2"/>
  <c r="DV107" i="4" a="1"/>
  <c r="DV107" i="4" s="1"/>
  <c r="O8" i="50"/>
  <c r="EP29" i="4" a="1"/>
  <c r="EP29" i="4" s="1"/>
  <c r="I12" i="50" s="1"/>
  <c r="DM29" i="4" a="1"/>
  <c r="DM29" i="4" s="1"/>
  <c r="DR71" i="2"/>
  <c r="DS71" i="2"/>
  <c r="DT71" i="2"/>
  <c r="EE267" i="2"/>
  <c r="EB267" i="2"/>
  <c r="EC267" i="2"/>
  <c r="DR199" i="2"/>
  <c r="DS199" i="2"/>
  <c r="DT199" i="2"/>
  <c r="EB28" i="2"/>
  <c r="EE28" i="2"/>
  <c r="EC28" i="2"/>
  <c r="EO19" i="4" a="1"/>
  <c r="EO19" i="4" s="1"/>
  <c r="DL19" i="4" a="1"/>
  <c r="DL19" i="4" s="1"/>
  <c r="DT237" i="2"/>
  <c r="DR237" i="2"/>
  <c r="DS237" i="2"/>
  <c r="EC234" i="2"/>
  <c r="EB234" i="2"/>
  <c r="EE234" i="2"/>
  <c r="G26" i="50"/>
  <c r="O12" i="50"/>
  <c r="I26" i="50"/>
  <c r="EB286" i="2"/>
  <c r="EE286" i="2"/>
  <c r="EC286" i="2"/>
  <c r="EB183" i="2"/>
  <c r="EE183" i="2"/>
  <c r="EC183" i="2"/>
  <c r="DV29" i="4" a="1"/>
  <c r="DV29" i="4" s="1"/>
  <c r="DR284" i="2"/>
  <c r="DT284" i="2"/>
  <c r="DS284" i="2"/>
  <c r="EM19" i="4" a="1"/>
  <c r="EM19" i="4" s="1"/>
  <c r="DJ19" i="4" a="1"/>
  <c r="DJ19" i="4" s="1"/>
  <c r="EB61" i="2"/>
  <c r="EC61" i="2"/>
  <c r="EE61" i="2"/>
  <c r="K33" i="50"/>
  <c r="EB29" i="4" a="1"/>
  <c r="EB29" i="4" s="1"/>
  <c r="EC240" i="2"/>
  <c r="EE240" i="2"/>
  <c r="EB240" i="2"/>
  <c r="DT264" i="2"/>
  <c r="DR264" i="2"/>
  <c r="DS264" i="2"/>
  <c r="DT46" i="2"/>
  <c r="DS46" i="2"/>
  <c r="DR46" i="2"/>
  <c r="EB251" i="2"/>
  <c r="EE251" i="2"/>
  <c r="EC251" i="2"/>
  <c r="DI19" i="4" a="1"/>
  <c r="DI19" i="4" s="1"/>
  <c r="EL19" i="4" a="1"/>
  <c r="EL19" i="4" s="1"/>
  <c r="EV29" i="4" a="1"/>
  <c r="EV29" i="4" s="1"/>
  <c r="DS29" i="4" a="1"/>
  <c r="DS29" i="4" s="1"/>
  <c r="EB170" i="2"/>
  <c r="EC170" i="2"/>
  <c r="EE170" i="2"/>
  <c r="EC46" i="2"/>
  <c r="EE46" i="2"/>
  <c r="EB46" i="2"/>
  <c r="EA19" i="4" a="1"/>
  <c r="EA19" i="4" s="1"/>
  <c r="DR338" i="2"/>
  <c r="DS338" i="2"/>
  <c r="DT338" i="2"/>
  <c r="C49" i="50"/>
  <c r="L30" i="50"/>
  <c r="C24" i="50"/>
  <c r="DU29" i="4" a="1"/>
  <c r="DU29" i="4" s="1"/>
  <c r="EE308" i="2"/>
  <c r="EC308" i="2"/>
  <c r="EB308" i="2"/>
  <c r="EB21" i="2"/>
  <c r="EE21" i="2"/>
  <c r="EC21" i="2"/>
  <c r="EC171" i="2"/>
  <c r="EE171" i="2"/>
  <c r="EB171" i="2"/>
  <c r="DR29" i="2"/>
  <c r="DS29" i="2"/>
  <c r="DT29" i="2"/>
  <c r="DT94" i="2"/>
  <c r="DS94" i="2"/>
  <c r="DR94" i="2"/>
  <c r="DY19" i="4" a="1"/>
  <c r="DY19" i="4" s="1"/>
  <c r="DR119" i="2"/>
  <c r="DS119" i="2"/>
  <c r="DT119" i="2"/>
  <c r="DS335" i="2"/>
  <c r="DT335" i="2"/>
  <c r="DR335" i="2"/>
  <c r="DT110" i="2"/>
  <c r="DS110" i="2"/>
  <c r="DR110" i="2"/>
  <c r="EB127" i="2"/>
  <c r="EE127" i="2"/>
  <c r="EC127" i="2"/>
  <c r="P26" i="50"/>
  <c r="O23" i="50"/>
  <c r="C23" i="50"/>
  <c r="C36" i="50"/>
  <c r="C37" i="50"/>
  <c r="DS224" i="2"/>
  <c r="DR224" i="2"/>
  <c r="DT224" i="2"/>
  <c r="EO29" i="4" a="1"/>
  <c r="EO29" i="4" s="1"/>
  <c r="H12" i="50" s="1"/>
  <c r="DL29" i="4" a="1"/>
  <c r="DL29" i="4" s="1"/>
  <c r="EE89" i="2"/>
  <c r="EC89" i="2"/>
  <c r="EB89" i="2"/>
  <c r="DT268" i="2"/>
  <c r="DS268" i="2"/>
  <c r="DR268" i="2"/>
  <c r="EC314" i="2"/>
  <c r="EB314" i="2"/>
  <c r="EE314" i="2"/>
  <c r="EC130" i="2"/>
  <c r="EE130" i="2"/>
  <c r="EB130" i="2"/>
  <c r="F8" i="50"/>
  <c r="M26" i="50"/>
  <c r="F30" i="50"/>
  <c r="P29" i="50"/>
  <c r="C52" i="50"/>
  <c r="C38" i="50"/>
  <c r="EC239" i="2"/>
  <c r="EE239" i="2"/>
  <c r="EB239" i="2"/>
  <c r="DY29" i="4" a="1"/>
  <c r="DY29" i="4" s="1"/>
  <c r="DZ19" i="4" a="1"/>
  <c r="DZ19" i="4" s="1"/>
  <c r="DW74" i="4" a="1"/>
  <c r="DW74" i="4" s="1"/>
  <c r="EA94" i="4" a="1"/>
  <c r="EA94" i="4" s="1"/>
  <c r="DY117" i="4" a="1"/>
  <c r="DY117" i="4" s="1"/>
  <c r="N8" i="50"/>
  <c r="EC95" i="4" a="1"/>
  <c r="EC95" i="4" s="1"/>
  <c r="DW24" i="4" a="1"/>
  <c r="DW24" i="4" s="1"/>
  <c r="DY111" i="4" a="1"/>
  <c r="DY111" i="4" s="1"/>
  <c r="M23" i="50"/>
  <c r="EF83" i="4" a="1"/>
  <c r="EF83" i="4" s="1"/>
  <c r="ED78" i="4" a="1"/>
  <c r="ED78" i="4" s="1"/>
  <c r="EE84" i="4" a="1"/>
  <c r="EE84" i="4" s="1"/>
  <c r="DV56" i="4" a="1"/>
  <c r="DV56" i="4" s="1"/>
  <c r="J54" i="50"/>
  <c r="EA29" i="4" a="1"/>
  <c r="EA29" i="4" s="1"/>
  <c r="DS146" i="2"/>
  <c r="DT146" i="2"/>
  <c r="DR146" i="2"/>
  <c r="DS89" i="2"/>
  <c r="DR89" i="2"/>
  <c r="DT89" i="2"/>
  <c r="EN19" i="4" a="1"/>
  <c r="EN19" i="4" s="1"/>
  <c r="DK19" i="4" a="1"/>
  <c r="DK19" i="4" s="1"/>
  <c r="DS234" i="2"/>
  <c r="DR234" i="2"/>
  <c r="DT234" i="2"/>
  <c r="N16" i="50"/>
  <c r="Q16" i="50" s="1"/>
  <c r="P23" i="50"/>
  <c r="DS36" i="2"/>
  <c r="DR36" i="2"/>
  <c r="DT36" i="2"/>
  <c r="DS179" i="2"/>
  <c r="DT179" i="2"/>
  <c r="DR179" i="2"/>
  <c r="DW19" i="4" a="1"/>
  <c r="DW19" i="4" s="1"/>
  <c r="G8" i="50"/>
  <c r="E8" i="50"/>
  <c r="I30" i="50"/>
  <c r="M54" i="50"/>
  <c r="M30" i="50"/>
  <c r="F54" i="50"/>
  <c r="DW29" i="4" a="1"/>
  <c r="DW29" i="4" s="1"/>
  <c r="EC292" i="2"/>
  <c r="EE292" i="2"/>
  <c r="EB292" i="2"/>
  <c r="DT238" i="2"/>
  <c r="DR238" i="2"/>
  <c r="DS238" i="2"/>
  <c r="EE238" i="2"/>
  <c r="EC238" i="2"/>
  <c r="EB238" i="2"/>
  <c r="ET19" i="4" a="1"/>
  <c r="ET19" i="4" s="1"/>
  <c r="DQ19" i="4" a="1"/>
  <c r="DQ19" i="4" s="1"/>
  <c r="DR270" i="2"/>
  <c r="DT270" i="2"/>
  <c r="DS270" i="2"/>
  <c r="E12" i="50"/>
  <c r="C62" i="50"/>
  <c r="P54" i="50"/>
  <c r="C10" i="50"/>
  <c r="DS127" i="2"/>
  <c r="DR127" i="2"/>
  <c r="DT127" i="2"/>
  <c r="EC261" i="2"/>
  <c r="EB261" i="2"/>
  <c r="EE261" i="2"/>
  <c r="DK29" i="4" a="1"/>
  <c r="DK29" i="4" s="1"/>
  <c r="EN29" i="4" a="1"/>
  <c r="EN29" i="4" s="1"/>
  <c r="G12" i="50" s="1"/>
  <c r="EB324" i="2"/>
  <c r="EE324" i="2"/>
  <c r="EC324" i="2"/>
  <c r="DT324" i="2"/>
  <c r="DR324" i="2"/>
  <c r="DS324" i="2"/>
  <c r="DS69" i="2"/>
  <c r="DT69" i="2"/>
  <c r="DR69" i="2"/>
  <c r="EC268" i="2"/>
  <c r="EB268" i="2"/>
  <c r="EE268" i="2"/>
  <c r="DU19" i="4" a="1"/>
  <c r="DU19" i="4" s="1"/>
  <c r="EB110" i="2"/>
  <c r="EC110" i="2"/>
  <c r="EE110" i="2"/>
  <c r="Q32" i="50"/>
  <c r="Q24" i="50"/>
  <c r="Q22" i="50"/>
  <c r="Q7" i="50"/>
  <c r="Q13" i="50"/>
  <c r="Q34" i="50"/>
  <c r="Q17" i="50"/>
  <c r="Q35" i="50"/>
  <c r="DX130" i="4" a="1"/>
  <c r="DX130" i="4" s="1"/>
  <c r="DO128" i="4" a="1"/>
  <c r="DO128" i="4" s="1"/>
  <c r="ER128" i="4" a="1"/>
  <c r="ER128" i="4" s="1"/>
  <c r="DL121" i="4" a="1"/>
  <c r="DL121" i="4" s="1"/>
  <c r="EO121" i="4" a="1"/>
  <c r="EO121" i="4" s="1"/>
  <c r="DY8" i="4" a="1"/>
  <c r="DY8" i="4" s="1"/>
  <c r="DS63" i="4" a="1"/>
  <c r="DS63" i="4" s="1"/>
  <c r="EV63" i="4" a="1"/>
  <c r="EV63" i="4" s="1"/>
  <c r="O28" i="50" s="1"/>
  <c r="EA74" i="4" a="1"/>
  <c r="EA74" i="4" s="1"/>
  <c r="DU94" i="4" a="1"/>
  <c r="DU94" i="4" s="1"/>
  <c r="DK91" i="4" a="1"/>
  <c r="DK91" i="4" s="1"/>
  <c r="EN91" i="4" a="1"/>
  <c r="EN91" i="4" s="1"/>
  <c r="EO116" i="4" a="1"/>
  <c r="EO116" i="4" s="1"/>
  <c r="DL116" i="4" a="1"/>
  <c r="DL116" i="4" s="1"/>
  <c r="EC109" i="4" a="1"/>
  <c r="EC109" i="4" s="1"/>
  <c r="ER102" i="4" a="1"/>
  <c r="ER102" i="4" s="1"/>
  <c r="DO102" i="4" a="1"/>
  <c r="DO102" i="4" s="1"/>
  <c r="DL124" i="4" a="1"/>
  <c r="DL124" i="4" s="1"/>
  <c r="EO124" i="4" a="1"/>
  <c r="EO124" i="4" s="1"/>
  <c r="H57" i="50" s="1"/>
  <c r="DM82" i="4" a="1"/>
  <c r="DM82" i="4" s="1"/>
  <c r="EP82" i="4" a="1"/>
  <c r="EP82" i="4" s="1"/>
  <c r="EO75" i="4" a="1"/>
  <c r="EO75" i="4" s="1"/>
  <c r="DL75" i="4" a="1"/>
  <c r="DL75" i="4" s="1"/>
  <c r="DT131" i="4" a="1"/>
  <c r="DT131" i="4" s="1"/>
  <c r="EW131" i="4" a="1"/>
  <c r="EW131" i="4" s="1"/>
  <c r="EO7" i="4" a="1"/>
  <c r="EO7" i="4" s="1"/>
  <c r="DL7" i="4" a="1"/>
  <c r="DL7" i="4" s="1"/>
  <c r="DU37" i="4" a="1"/>
  <c r="DU37" i="4" s="1"/>
  <c r="EE90" i="4" a="1"/>
  <c r="EE90" i="4" s="1"/>
  <c r="ED111" i="4" a="1"/>
  <c r="ED111" i="4" s="1"/>
  <c r="DV73" i="4" a="1"/>
  <c r="DV73" i="4" s="1"/>
  <c r="DQ13" i="4" a="1"/>
  <c r="DQ13" i="4" s="1"/>
  <c r="ET13" i="4" a="1"/>
  <c r="ET13" i="4" s="1"/>
  <c r="M5" i="50" s="1"/>
  <c r="DX118" i="4" a="1"/>
  <c r="DX118" i="4" s="1"/>
  <c r="DV81" i="4" a="1"/>
  <c r="DV81" i="4" s="1"/>
  <c r="DX76" i="4" a="1"/>
  <c r="DX76" i="4" s="1"/>
  <c r="EE36" i="4" a="1"/>
  <c r="EE36" i="4" s="1"/>
  <c r="ET130" i="4" a="1"/>
  <c r="ET130" i="4" s="1"/>
  <c r="DQ130" i="4" a="1"/>
  <c r="DQ130" i="4" s="1"/>
  <c r="ER121" i="4" a="1"/>
  <c r="ER121" i="4" s="1"/>
  <c r="DO121" i="4" a="1"/>
  <c r="DO121" i="4" s="1"/>
  <c r="DU8" i="4" a="1"/>
  <c r="DU8" i="4" s="1"/>
  <c r="EB22" i="4" a="1"/>
  <c r="EB22" i="4" s="1"/>
  <c r="EE166" i="2"/>
  <c r="EC166" i="2"/>
  <c r="EB166" i="2"/>
  <c r="DZ33" i="4" a="1"/>
  <c r="DZ33" i="4" s="1"/>
  <c r="EC74" i="4" a="1"/>
  <c r="EC74" i="4" s="1"/>
  <c r="DW101" i="4" a="1"/>
  <c r="DW101" i="4" s="1"/>
  <c r="DX135" i="4" a="1"/>
  <c r="DX135" i="4" s="1"/>
  <c r="DJ124" i="4" a="1"/>
  <c r="DJ124" i="4" s="1"/>
  <c r="EM124" i="4" a="1"/>
  <c r="EM124" i="4" s="1"/>
  <c r="F57" i="50" s="1"/>
  <c r="DZ36" i="4" a="1"/>
  <c r="DZ36" i="4" s="1"/>
  <c r="EQ130" i="4" a="1"/>
  <c r="EQ130" i="4" s="1"/>
  <c r="DN130" i="4" a="1"/>
  <c r="DN130" i="4" s="1"/>
  <c r="DV128" i="4" a="1"/>
  <c r="DV128" i="4" s="1"/>
  <c r="EA121" i="4" a="1"/>
  <c r="EA121" i="4" s="1"/>
  <c r="DL8" i="4" a="1"/>
  <c r="DL8" i="4" s="1"/>
  <c r="EO8" i="4" a="1"/>
  <c r="EO8" i="4" s="1"/>
  <c r="ET33" i="4" a="1"/>
  <c r="ET33" i="4" s="1"/>
  <c r="DQ33" i="4" a="1"/>
  <c r="DQ33" i="4" s="1"/>
  <c r="DZ63" i="4" a="1"/>
  <c r="DZ63" i="4" s="1"/>
  <c r="EU74" i="4" a="1"/>
  <c r="EU74" i="4" s="1"/>
  <c r="DR74" i="4" a="1"/>
  <c r="DR74" i="4" s="1"/>
  <c r="EE94" i="4" a="1"/>
  <c r="EE94" i="4" s="1"/>
  <c r="EA91" i="4" a="1"/>
  <c r="EA91" i="4" s="1"/>
  <c r="EQ116" i="4" a="1"/>
  <c r="EQ116" i="4" s="1"/>
  <c r="DN116" i="4" a="1"/>
  <c r="DN116" i="4" s="1"/>
  <c r="DI109" i="4" a="1"/>
  <c r="DI109" i="4" s="1"/>
  <c r="EL109" i="4" a="1"/>
  <c r="EL109" i="4" s="1"/>
  <c r="EC129" i="4" a="1"/>
  <c r="EC129" i="4" s="1"/>
  <c r="EE139" i="2"/>
  <c r="EB139" i="2"/>
  <c r="EC139" i="2"/>
  <c r="DX117" i="4" a="1"/>
  <c r="DX117" i="4" s="1"/>
  <c r="EV101" i="4" a="1"/>
  <c r="EV101" i="4" s="1"/>
  <c r="O49" i="50" s="1"/>
  <c r="DS101" i="4" a="1"/>
  <c r="DS101" i="4" s="1"/>
  <c r="DI101" i="4" a="1"/>
  <c r="DI101" i="4" s="1"/>
  <c r="EL101" i="4" a="1"/>
  <c r="EL101" i="4" s="1"/>
  <c r="E49" i="50" s="1"/>
  <c r="EF135" i="4" a="1"/>
  <c r="EF135" i="4" s="1"/>
  <c r="DY102" i="4" a="1"/>
  <c r="DY102" i="4" s="1"/>
  <c r="DW124" i="4" a="1"/>
  <c r="DW124" i="4" s="1"/>
  <c r="EU36" i="4" a="1"/>
  <c r="EU36" i="4" s="1"/>
  <c r="DR36" i="4" a="1"/>
  <c r="DR36" i="4" s="1"/>
  <c r="ED36" i="4" a="1"/>
  <c r="ED36" i="4" s="1"/>
  <c r="EO36" i="4" a="1"/>
  <c r="EO36" i="4" s="1"/>
  <c r="DL36" i="4" a="1"/>
  <c r="DL36" i="4" s="1"/>
  <c r="EF36" i="4" a="1"/>
  <c r="EF36" i="4" s="1"/>
  <c r="ER36" i="4" a="1"/>
  <c r="ER36" i="4" s="1"/>
  <c r="DO36" i="4" a="1"/>
  <c r="DO36" i="4" s="1"/>
  <c r="ES130" i="4" a="1"/>
  <c r="ES130" i="4" s="1"/>
  <c r="DP130" i="4" a="1"/>
  <c r="DP130" i="4" s="1"/>
  <c r="EV130" i="4" a="1"/>
  <c r="EV130" i="4" s="1"/>
  <c r="DS130" i="4" a="1"/>
  <c r="DS130" i="4" s="1"/>
  <c r="ED130" i="4" a="1"/>
  <c r="ED130" i="4" s="1"/>
  <c r="DK128" i="4" a="1"/>
  <c r="DK128" i="4" s="1"/>
  <c r="EN128" i="4" a="1"/>
  <c r="EN128" i="4" s="1"/>
  <c r="DS128" i="4" a="1"/>
  <c r="DS128" i="4" s="1"/>
  <c r="EV128" i="4" a="1"/>
  <c r="EV128" i="4" s="1"/>
  <c r="DI128" i="4" a="1"/>
  <c r="DI128" i="4" s="1"/>
  <c r="EL128" i="4" a="1"/>
  <c r="EL128" i="4" s="1"/>
  <c r="EF128" i="4" a="1"/>
  <c r="EF128" i="4" s="1"/>
  <c r="ES121" i="4" a="1"/>
  <c r="ES121" i="4" s="1"/>
  <c r="DP121" i="4" a="1"/>
  <c r="DP121" i="4" s="1"/>
  <c r="DS121" i="4" a="1"/>
  <c r="DS121" i="4" s="1"/>
  <c r="EV121" i="4" a="1"/>
  <c r="EV121" i="4" s="1"/>
  <c r="ED121" i="4" a="1"/>
  <c r="ED121" i="4" s="1"/>
  <c r="DZ121" i="4" a="1"/>
  <c r="DZ121" i="4" s="1"/>
  <c r="DX8" i="4" a="1"/>
  <c r="DX8" i="4" s="1"/>
  <c r="EE8" i="4" a="1"/>
  <c r="EE8" i="4" s="1"/>
  <c r="EQ8" i="4" a="1"/>
  <c r="EQ8" i="4" s="1"/>
  <c r="DN8" i="4" a="1"/>
  <c r="DN8" i="4" s="1"/>
  <c r="EG23" i="4"/>
  <c r="EE22" i="4" a="1"/>
  <c r="EE22" i="4" s="1"/>
  <c r="EA22" i="4" a="1"/>
  <c r="EA22" i="4" s="1"/>
  <c r="DX22" i="4" a="1"/>
  <c r="DX22" i="4" s="1"/>
  <c r="DK42" i="4" a="1"/>
  <c r="DK42" i="4" s="1"/>
  <c r="EN42" i="4" a="1"/>
  <c r="EN42" i="4" s="1"/>
  <c r="G18" i="50" s="1"/>
  <c r="DY42" i="4" a="1"/>
  <c r="DY42" i="4" s="1"/>
  <c r="EF42" i="4" a="1"/>
  <c r="EF42" i="4" s="1"/>
  <c r="EN33" i="4" a="1"/>
  <c r="EN33" i="4" s="1"/>
  <c r="DK33" i="4" a="1"/>
  <c r="DK33" i="4" s="1"/>
  <c r="EA33" i="4" a="1"/>
  <c r="EA33" i="4" s="1"/>
  <c r="DX33" i="4" a="1"/>
  <c r="DX33" i="4" s="1"/>
  <c r="DR63" i="4" a="1"/>
  <c r="DR63" i="4" s="1"/>
  <c r="EU63" i="4" a="1"/>
  <c r="EU63" i="4" s="1"/>
  <c r="N28" i="50" s="1"/>
  <c r="DY63" i="4" a="1"/>
  <c r="DY63" i="4" s="1"/>
  <c r="EE63" i="4" a="1"/>
  <c r="EE63" i="4" s="1"/>
  <c r="EP74" i="4" a="1"/>
  <c r="EP74" i="4" s="1"/>
  <c r="DM74" i="4" a="1"/>
  <c r="DM74" i="4" s="1"/>
  <c r="DZ74" i="4" a="1"/>
  <c r="DZ74" i="4" s="1"/>
  <c r="DP74" i="4" a="1"/>
  <c r="DP74" i="4" s="1"/>
  <c r="ES74" i="4" a="1"/>
  <c r="ES74" i="4" s="1"/>
  <c r="DW94" i="4" a="1"/>
  <c r="DW94" i="4" s="1"/>
  <c r="DZ94" i="4" a="1"/>
  <c r="DZ94" i="4" s="1"/>
  <c r="EL94" i="4" a="1"/>
  <c r="EL94" i="4" s="1"/>
  <c r="DI94" i="4" a="1"/>
  <c r="DI94" i="4" s="1"/>
  <c r="EE91" i="4" a="1"/>
  <c r="EE91" i="4" s="1"/>
  <c r="ET91" i="4" a="1"/>
  <c r="ET91" i="4" s="1"/>
  <c r="DQ91" i="4" a="1"/>
  <c r="DQ91" i="4" s="1"/>
  <c r="EE116" i="4" a="1"/>
  <c r="EE116" i="4" s="1"/>
  <c r="ER116" i="4" a="1"/>
  <c r="ER116" i="4" s="1"/>
  <c r="DO116" i="4" a="1"/>
  <c r="DO116" i="4" s="1"/>
  <c r="DX116" i="4" a="1"/>
  <c r="DX116" i="4" s="1"/>
  <c r="EA109" i="4" a="1"/>
  <c r="EA109" i="4" s="1"/>
  <c r="DZ109" i="4" a="1"/>
  <c r="DZ109" i="4" s="1"/>
  <c r="DT139" i="2"/>
  <c r="DR139" i="2"/>
  <c r="DS139" i="2"/>
  <c r="ED129" i="4" a="1"/>
  <c r="ED129" i="4" s="1"/>
  <c r="EF129" i="4" a="1"/>
  <c r="EF129" i="4" s="1"/>
  <c r="EU129" i="4" a="1"/>
  <c r="EU129" i="4" s="1"/>
  <c r="DR129" i="4" a="1"/>
  <c r="DR129" i="4" s="1"/>
  <c r="DL117" i="4" a="1"/>
  <c r="DL117" i="4" s="1"/>
  <c r="EO117" i="4" a="1"/>
  <c r="EO117" i="4" s="1"/>
  <c r="EU117" i="4" a="1"/>
  <c r="EU117" i="4" s="1"/>
  <c r="DR117" i="4" a="1"/>
  <c r="DR117" i="4" s="1"/>
  <c r="DQ117" i="4" a="1"/>
  <c r="DQ117" i="4" s="1"/>
  <c r="ET117" i="4" a="1"/>
  <c r="ET117" i="4" s="1"/>
  <c r="EC101" i="4" a="1"/>
  <c r="EC101" i="4" s="1"/>
  <c r="DU101" i="4" a="1"/>
  <c r="DU101" i="4" s="1"/>
  <c r="EQ135" i="4" a="1"/>
  <c r="EQ135" i="4" s="1"/>
  <c r="DN135" i="4" a="1"/>
  <c r="DN135" i="4" s="1"/>
  <c r="EA135" i="4" a="1"/>
  <c r="EA135" i="4" s="1"/>
  <c r="EV135" i="4" a="1"/>
  <c r="EV135" i="4" s="1"/>
  <c r="DS135" i="4" a="1"/>
  <c r="DS135" i="4" s="1"/>
  <c r="DN102" i="4" a="1"/>
  <c r="DN102" i="4" s="1"/>
  <c r="EQ102" i="4" a="1"/>
  <c r="EQ102" i="4" s="1"/>
  <c r="DU102" i="4" a="1"/>
  <c r="DU102" i="4" s="1"/>
  <c r="EB102" i="4" a="1"/>
  <c r="EB102" i="4" s="1"/>
  <c r="DU124" i="4" a="1"/>
  <c r="DU124" i="4" s="1"/>
  <c r="ET124" i="4" a="1"/>
  <c r="ET124" i="4" s="1"/>
  <c r="M57" i="50" s="1"/>
  <c r="DQ124" i="4" a="1"/>
  <c r="DQ124" i="4" s="1"/>
  <c r="DY124" i="4" a="1"/>
  <c r="DY124" i="4" s="1"/>
  <c r="EP95" i="4" a="1"/>
  <c r="EP95" i="4" s="1"/>
  <c r="DM95" i="4" a="1"/>
  <c r="DM95" i="4" s="1"/>
  <c r="DQ95" i="4" a="1"/>
  <c r="DQ95" i="4" s="1"/>
  <c r="ET95" i="4" a="1"/>
  <c r="ET95" i="4" s="1"/>
  <c r="EE95" i="4" a="1"/>
  <c r="EE95" i="4" s="1"/>
  <c r="EA82" i="4" a="1"/>
  <c r="EA82" i="4" s="1"/>
  <c r="EC82" i="4" a="1"/>
  <c r="EC82" i="4" s="1"/>
  <c r="DW82" i="4" a="1"/>
  <c r="DW82" i="4" s="1"/>
  <c r="EC24" i="4" a="1"/>
  <c r="EC24" i="4" s="1"/>
  <c r="DI24" i="4" a="1"/>
  <c r="DI24" i="4" s="1"/>
  <c r="EL24" i="4" a="1"/>
  <c r="EL24" i="4" s="1"/>
  <c r="E11" i="50" s="1"/>
  <c r="DU24" i="4" a="1"/>
  <c r="DU24" i="4" s="1"/>
  <c r="ER24" i="4" a="1"/>
  <c r="ER24" i="4" s="1"/>
  <c r="K11" i="50" s="1"/>
  <c r="DO24" i="4" a="1"/>
  <c r="DO24" i="4" s="1"/>
  <c r="EL75" i="4" a="1"/>
  <c r="EL75" i="4" s="1"/>
  <c r="DI75" i="4" a="1"/>
  <c r="DI75" i="4" s="1"/>
  <c r="DK75" i="4" a="1"/>
  <c r="DK75" i="4" s="1"/>
  <c r="EN75" i="4" a="1"/>
  <c r="EN75" i="4" s="1"/>
  <c r="EA131" i="4" a="1"/>
  <c r="EA131" i="4" s="1"/>
  <c r="EB131" i="4" a="1"/>
  <c r="EB131" i="4" s="1"/>
  <c r="ES131" i="4" a="1"/>
  <c r="ES131" i="4" s="1"/>
  <c r="DP131" i="4" a="1"/>
  <c r="DP131" i="4" s="1"/>
  <c r="DW7" i="4" a="1"/>
  <c r="DW7" i="4" s="1"/>
  <c r="EC7" i="4" a="1"/>
  <c r="EC7" i="4" s="1"/>
  <c r="EE7" i="4" a="1"/>
  <c r="EE7" i="4" s="1"/>
  <c r="EA7" i="4" a="1"/>
  <c r="EA7" i="4" s="1"/>
  <c r="DV37" i="4" a="1"/>
  <c r="DV37" i="4" s="1"/>
  <c r="DJ37" i="4" a="1"/>
  <c r="DJ37" i="4" s="1"/>
  <c r="EM37" i="4" a="1"/>
  <c r="EM37" i="4" s="1"/>
  <c r="ER37" i="4" a="1"/>
  <c r="ER37" i="4" s="1"/>
  <c r="DO37" i="4" a="1"/>
  <c r="DO37" i="4" s="1"/>
  <c r="DZ90" i="4" a="1"/>
  <c r="DZ90" i="4" s="1"/>
  <c r="EA90" i="4" a="1"/>
  <c r="EA90" i="4" s="1"/>
  <c r="DK90" i="4" a="1"/>
  <c r="DK90" i="4" s="1"/>
  <c r="EN90" i="4" a="1"/>
  <c r="EN90" i="4" s="1"/>
  <c r="EG132" i="4"/>
  <c r="EW111" i="4" a="1"/>
  <c r="EW111" i="4" s="1"/>
  <c r="DT111" i="4" a="1"/>
  <c r="DT111" i="4" s="1"/>
  <c r="EC111" i="4" a="1"/>
  <c r="EC111" i="4" s="1"/>
  <c r="DO111" i="4" a="1"/>
  <c r="DO111" i="4" s="1"/>
  <c r="ER111" i="4" a="1"/>
  <c r="ER111" i="4" s="1"/>
  <c r="EU111" i="4" a="1"/>
  <c r="EU111" i="4" s="1"/>
  <c r="DR111" i="4" a="1"/>
  <c r="DR111" i="4" s="1"/>
  <c r="DO6" i="4" a="1"/>
  <c r="DO6" i="4" s="1"/>
  <c r="ER6" i="4" a="1"/>
  <c r="ER6" i="4" s="1"/>
  <c r="DV6" i="4" a="1"/>
  <c r="DV6" i="4" s="1"/>
  <c r="EA6" i="4" a="1"/>
  <c r="EA6" i="4" s="1"/>
  <c r="DX120" i="4" a="1"/>
  <c r="DX120" i="4" s="1"/>
  <c r="EO120" i="4" a="1"/>
  <c r="EO120" i="4" s="1"/>
  <c r="DL120" i="4" a="1"/>
  <c r="DL120" i="4" s="1"/>
  <c r="DT57" i="2"/>
  <c r="DS57" i="2"/>
  <c r="DR57" i="2"/>
  <c r="DM88" i="4" a="1"/>
  <c r="DM88" i="4" s="1"/>
  <c r="EP88" i="4" a="1"/>
  <c r="EP88" i="4" s="1"/>
  <c r="I40" i="50" s="1"/>
  <c r="DU88" i="4" a="1"/>
  <c r="DU88" i="4" s="1"/>
  <c r="DK88" i="4" a="1"/>
  <c r="DK88" i="4" s="1"/>
  <c r="EN88" i="4" a="1"/>
  <c r="EN88" i="4" s="1"/>
  <c r="G40" i="50" s="1"/>
  <c r="DN88" i="4" a="1"/>
  <c r="DN88" i="4" s="1"/>
  <c r="EQ88" i="4" a="1"/>
  <c r="EQ88" i="4" s="1"/>
  <c r="J40" i="50" s="1"/>
  <c r="EP73" i="4" a="1"/>
  <c r="EP73" i="4" s="1"/>
  <c r="DM73" i="4" a="1"/>
  <c r="DM73" i="4" s="1"/>
  <c r="EE73" i="4" a="1"/>
  <c r="EE73" i="4" s="1"/>
  <c r="EM73" i="4" a="1"/>
  <c r="EM73" i="4" s="1"/>
  <c r="DJ73" i="4" a="1"/>
  <c r="DJ73" i="4" s="1"/>
  <c r="DI73" i="4" a="1"/>
  <c r="DI73" i="4" s="1"/>
  <c r="EL73" i="4" a="1"/>
  <c r="EL73" i="4" s="1"/>
  <c r="DM50" i="4" a="1"/>
  <c r="DM50" i="4" s="1"/>
  <c r="EP50" i="4" a="1"/>
  <c r="EP50" i="4" s="1"/>
  <c r="I20" i="50" s="1"/>
  <c r="EA50" i="4" a="1"/>
  <c r="EA50" i="4" s="1"/>
  <c r="DX50" i="4" a="1"/>
  <c r="DX50" i="4" s="1"/>
  <c r="EM13" i="4" a="1"/>
  <c r="EM13" i="4" s="1"/>
  <c r="F5" i="50" s="1"/>
  <c r="DJ13" i="4" a="1"/>
  <c r="DJ13" i="4" s="1"/>
  <c r="ED13" i="4" a="1"/>
  <c r="ED13" i="4" s="1"/>
  <c r="DS13" i="4" a="1"/>
  <c r="DS13" i="4" s="1"/>
  <c r="EV13" i="4" a="1"/>
  <c r="EV13" i="4" s="1"/>
  <c r="O5" i="50" s="1"/>
  <c r="EG28" i="4"/>
  <c r="DV118" i="4" a="1"/>
  <c r="DV118" i="4" s="1"/>
  <c r="EL118" i="4" a="1"/>
  <c r="EL118" i="4" s="1"/>
  <c r="DI118" i="4" a="1"/>
  <c r="DI118" i="4" s="1"/>
  <c r="DN118" i="4" a="1"/>
  <c r="DN118" i="4" s="1"/>
  <c r="EQ118" i="4" a="1"/>
  <c r="EQ118" i="4" s="1"/>
  <c r="EC118" i="4" a="1"/>
  <c r="EC118" i="4" s="1"/>
  <c r="DT81" i="4" a="1"/>
  <c r="DT81" i="4" s="1"/>
  <c r="EW81" i="4" a="1"/>
  <c r="EW81" i="4" s="1"/>
  <c r="EO81" i="4" a="1"/>
  <c r="EO81" i="4" s="1"/>
  <c r="DL81" i="4" a="1"/>
  <c r="DL81" i="4" s="1"/>
  <c r="DU81" i="4" a="1"/>
  <c r="DU81" i="4" s="1"/>
  <c r="DU76" i="4" a="1"/>
  <c r="DU76" i="4" s="1"/>
  <c r="DY76" i="4" a="1"/>
  <c r="DY76" i="4" s="1"/>
  <c r="DS76" i="4" a="1"/>
  <c r="DS76" i="4" s="1"/>
  <c r="EV76" i="4" a="1"/>
  <c r="EV76" i="4" s="1"/>
  <c r="EP107" i="4" a="1"/>
  <c r="EP107" i="4" s="1"/>
  <c r="DM107" i="4" a="1"/>
  <c r="DM107" i="4" s="1"/>
  <c r="ES107" i="4" a="1"/>
  <c r="ES107" i="4" s="1"/>
  <c r="DP107" i="4" a="1"/>
  <c r="DP107" i="4" s="1"/>
  <c r="EC89" i="4" a="1"/>
  <c r="EC89" i="4" s="1"/>
  <c r="DM89" i="4" a="1"/>
  <c r="DM89" i="4" s="1"/>
  <c r="EP89" i="4" a="1"/>
  <c r="EP89" i="4" s="1"/>
  <c r="I41" i="50" s="1"/>
  <c r="ED89" i="4" a="1"/>
  <c r="ED89" i="4" s="1"/>
  <c r="DV80" i="4" a="1"/>
  <c r="DV80" i="4" s="1"/>
  <c r="EU80" i="4" a="1"/>
  <c r="EU80" i="4" s="1"/>
  <c r="DR80" i="4" a="1"/>
  <c r="DR80" i="4" s="1"/>
  <c r="EW80" i="4" a="1"/>
  <c r="EW80" i="4" s="1"/>
  <c r="DT80" i="4" a="1"/>
  <c r="DT80" i="4" s="1"/>
  <c r="ES9" i="4" a="1"/>
  <c r="ES9" i="4" s="1"/>
  <c r="DP9" i="4" a="1"/>
  <c r="DP9" i="4" s="1"/>
  <c r="EM9" i="4" a="1"/>
  <c r="EM9" i="4" s="1"/>
  <c r="DJ9" i="4" a="1"/>
  <c r="DJ9" i="4" s="1"/>
  <c r="DM9" i="4" a="1"/>
  <c r="DM9" i="4" s="1"/>
  <c r="EP9" i="4" a="1"/>
  <c r="EP9" i="4" s="1"/>
  <c r="DQ83" i="4" a="1"/>
  <c r="DQ83" i="4" s="1"/>
  <c r="ET83" i="4" a="1"/>
  <c r="ET83" i="4" s="1"/>
  <c r="EM83" i="4" a="1"/>
  <c r="EM83" i="4" s="1"/>
  <c r="DJ83" i="4" a="1"/>
  <c r="DJ83" i="4" s="1"/>
  <c r="DN83" i="4" a="1"/>
  <c r="DN83" i="4" s="1"/>
  <c r="EQ83" i="4" a="1"/>
  <c r="EQ83" i="4" s="1"/>
  <c r="EE43" i="4" a="1"/>
  <c r="EE43" i="4" s="1"/>
  <c r="EF43" i="4" a="1"/>
  <c r="EF43" i="4" s="1"/>
  <c r="DL98" i="4" a="1"/>
  <c r="DL98" i="4" s="1"/>
  <c r="EO98" i="4" a="1"/>
  <c r="EO98" i="4" s="1"/>
  <c r="DV98" i="4" a="1"/>
  <c r="DV98" i="4" s="1"/>
  <c r="DR96" i="4" a="1"/>
  <c r="DR96" i="4" s="1"/>
  <c r="EU96" i="4" a="1"/>
  <c r="EU96" i="4" s="1"/>
  <c r="EA96" i="4" a="1"/>
  <c r="EA96" i="4" s="1"/>
  <c r="ED96" i="4" a="1"/>
  <c r="ED96" i="4" s="1"/>
  <c r="EF67" i="4" a="1"/>
  <c r="EF67" i="4" s="1"/>
  <c r="DX67" i="4" a="1"/>
  <c r="DX67" i="4" s="1"/>
  <c r="EL67" i="4" a="1"/>
  <c r="EL67" i="4" s="1"/>
  <c r="E31" i="50" s="1"/>
  <c r="DI67" i="4" a="1"/>
  <c r="DI67" i="4" s="1"/>
  <c r="EC67" i="4" a="1"/>
  <c r="EC67" i="4" s="1"/>
  <c r="EN133" i="4" a="1"/>
  <c r="EN133" i="4" s="1"/>
  <c r="DK133" i="4" a="1"/>
  <c r="DK133" i="4" s="1"/>
  <c r="ER133" i="4" a="1"/>
  <c r="ER133" i="4" s="1"/>
  <c r="DO133" i="4" a="1"/>
  <c r="DO133" i="4" s="1"/>
  <c r="DP133" i="4" a="1"/>
  <c r="DP133" i="4" s="1"/>
  <c r="ES133" i="4" a="1"/>
  <c r="ES133" i="4" s="1"/>
  <c r="EV10" i="4" a="1"/>
  <c r="EV10" i="4" s="1"/>
  <c r="DS10" i="4" a="1"/>
  <c r="DS10" i="4" s="1"/>
  <c r="DU10" i="4" a="1"/>
  <c r="DU10" i="4" s="1"/>
  <c r="EC10" i="4" a="1"/>
  <c r="EC10" i="4" s="1"/>
  <c r="DX51" i="4" a="1"/>
  <c r="DX51" i="4" s="1"/>
  <c r="DZ62" i="4" a="1"/>
  <c r="DZ62" i="4" s="1"/>
  <c r="DM62" i="4" a="1"/>
  <c r="DM62" i="4" s="1"/>
  <c r="EP62" i="4" a="1"/>
  <c r="EP62" i="4" s="1"/>
  <c r="I27" i="50" s="1"/>
  <c r="DV77" i="4" a="1"/>
  <c r="DV77" i="4" s="1"/>
  <c r="DT77" i="4" a="1"/>
  <c r="DT77" i="4" s="1"/>
  <c r="EW77" i="4" a="1"/>
  <c r="EW77" i="4" s="1"/>
  <c r="EA77" i="4" a="1"/>
  <c r="EA77" i="4" s="1"/>
  <c r="EO79" i="4" a="1"/>
  <c r="EO79" i="4" s="1"/>
  <c r="DL79" i="4" a="1"/>
  <c r="DL79" i="4" s="1"/>
  <c r="EE79" i="4" a="1"/>
  <c r="EE79" i="4" s="1"/>
  <c r="DU79" i="4" a="1"/>
  <c r="DU79" i="4" s="1"/>
  <c r="ED92" i="4" a="1"/>
  <c r="ED92" i="4" s="1"/>
  <c r="EB92" i="4" a="1"/>
  <c r="EB92" i="4" s="1"/>
  <c r="DO78" i="4" a="1"/>
  <c r="DO78" i="4" s="1"/>
  <c r="ER78" i="4" a="1"/>
  <c r="ER78" i="4" s="1"/>
  <c r="EF78" i="4" a="1"/>
  <c r="EF78" i="4" s="1"/>
  <c r="ET125" i="4" a="1"/>
  <c r="ET125" i="4" s="1"/>
  <c r="M58" i="50" s="1"/>
  <c r="DQ125" i="4" a="1"/>
  <c r="DQ125" i="4" s="1"/>
  <c r="EO125" i="4" a="1"/>
  <c r="EO125" i="4" s="1"/>
  <c r="H58" i="50" s="1"/>
  <c r="DL125" i="4" a="1"/>
  <c r="DL125" i="4" s="1"/>
  <c r="DV125" i="4" a="1"/>
  <c r="DV125" i="4" s="1"/>
  <c r="DX125" i="4" a="1"/>
  <c r="DX125" i="4" s="1"/>
  <c r="EO35" i="4" a="1"/>
  <c r="EO35" i="4" s="1"/>
  <c r="DL35" i="4" a="1"/>
  <c r="DL35" i="4" s="1"/>
  <c r="EB35" i="4" a="1"/>
  <c r="EB35" i="4" s="1"/>
  <c r="EP35" i="4" a="1"/>
  <c r="EP35" i="4" s="1"/>
  <c r="DM35" i="4" a="1"/>
  <c r="DM35" i="4" s="1"/>
  <c r="DZ122" i="4" a="1"/>
  <c r="DZ122" i="4" s="1"/>
  <c r="DS122" i="4" a="1"/>
  <c r="DS122" i="4" s="1"/>
  <c r="EV122" i="4" a="1"/>
  <c r="EV122" i="4" s="1"/>
  <c r="O56" i="50" s="1"/>
  <c r="EB122" i="4" a="1"/>
  <c r="EB122" i="4" s="1"/>
  <c r="ED122" i="4" a="1"/>
  <c r="ED122" i="4" s="1"/>
  <c r="DL32" i="4" a="1"/>
  <c r="DL32" i="4" s="1"/>
  <c r="EO32" i="4" a="1"/>
  <c r="EO32" i="4" s="1"/>
  <c r="DW32" i="4" a="1"/>
  <c r="DW32" i="4" s="1"/>
  <c r="DX32" i="4" a="1"/>
  <c r="DX32" i="4" s="1"/>
  <c r="EU12" i="4" a="1"/>
  <c r="EU12" i="4" s="1"/>
  <c r="N4" i="50" s="1"/>
  <c r="DR12" i="4" a="1"/>
  <c r="DR12" i="4" s="1"/>
  <c r="DW12" i="4" a="1"/>
  <c r="DW12" i="4" s="1"/>
  <c r="EW12" i="4" a="1"/>
  <c r="EW12" i="4" s="1"/>
  <c r="P4" i="50" s="1"/>
  <c r="DT12" i="4" a="1"/>
  <c r="DT12" i="4" s="1"/>
  <c r="EE134" i="4" a="1"/>
  <c r="EE134" i="4" s="1"/>
  <c r="EV134" i="4" a="1"/>
  <c r="EV134" i="4" s="1"/>
  <c r="DS134" i="4" a="1"/>
  <c r="DS134" i="4" s="1"/>
  <c r="EP84" i="4" a="1"/>
  <c r="EP84" i="4" s="1"/>
  <c r="DM84" i="4" a="1"/>
  <c r="DM84" i="4" s="1"/>
  <c r="ED84" i="4" a="1"/>
  <c r="ED84" i="4" s="1"/>
  <c r="EN84" i="4" a="1"/>
  <c r="EN84" i="4" s="1"/>
  <c r="DK84" i="4" a="1"/>
  <c r="DK84" i="4" s="1"/>
  <c r="DY127" i="4" a="1"/>
  <c r="DY127" i="4" s="1"/>
  <c r="DS127" i="4" a="1"/>
  <c r="DS127" i="4" s="1"/>
  <c r="EV127" i="4" a="1"/>
  <c r="EV127" i="4" s="1"/>
  <c r="DV127" i="4" a="1"/>
  <c r="DV127" i="4" s="1"/>
  <c r="EE97" i="4" a="1"/>
  <c r="EE97" i="4" s="1"/>
  <c r="DY97" i="4" a="1"/>
  <c r="DY97" i="4" s="1"/>
  <c r="DU97" i="4" a="1"/>
  <c r="DU97" i="4" s="1"/>
  <c r="EU97" i="4" a="1"/>
  <c r="EU97" i="4" s="1"/>
  <c r="DR97" i="4" a="1"/>
  <c r="DR97" i="4" s="1"/>
  <c r="DM56" i="4" a="1"/>
  <c r="DM56" i="4" s="1"/>
  <c r="EP56" i="4" a="1"/>
  <c r="EP56" i="4" s="1"/>
  <c r="I25" i="50" s="1"/>
  <c r="EV56" i="4" a="1"/>
  <c r="EV56" i="4" s="1"/>
  <c r="O25" i="50" s="1"/>
  <c r="DS56" i="4" a="1"/>
  <c r="DS56" i="4" s="1"/>
  <c r="DZ56" i="4" a="1"/>
  <c r="DZ56" i="4" s="1"/>
  <c r="DY93" i="4" a="1"/>
  <c r="DY93" i="4" s="1"/>
  <c r="EU93" i="4" a="1"/>
  <c r="EU93" i="4" s="1"/>
  <c r="N44" i="50" s="1"/>
  <c r="DR93" i="4" a="1"/>
  <c r="DR93" i="4" s="1"/>
  <c r="DU93" i="4" a="1"/>
  <c r="DU93" i="4" s="1"/>
  <c r="DS166" i="2"/>
  <c r="DT166" i="2"/>
  <c r="DR166" i="2"/>
  <c r="EM21" i="4" a="1"/>
  <c r="EM21" i="4" s="1"/>
  <c r="F9" i="50" s="1"/>
  <c r="DJ21" i="4" a="1"/>
  <c r="DJ21" i="4" s="1"/>
  <c r="DZ21" i="4" a="1"/>
  <c r="DZ21" i="4" s="1"/>
  <c r="ED21" i="4" a="1"/>
  <c r="ED21" i="4" s="1"/>
  <c r="EG123" i="4"/>
  <c r="Q38" i="50"/>
  <c r="EC128" i="4" a="1"/>
  <c r="EC128" i="4" s="1"/>
  <c r="DJ22" i="4" a="1"/>
  <c r="DJ22" i="4" s="1"/>
  <c r="EM22" i="4" a="1"/>
  <c r="EM22" i="4" s="1"/>
  <c r="F10" i="50" s="1"/>
  <c r="EV33" i="4" a="1"/>
  <c r="EV33" i="4" s="1"/>
  <c r="DS33" i="4" a="1"/>
  <c r="DS33" i="4" s="1"/>
  <c r="EF91" i="4" a="1"/>
  <c r="EF91" i="4" s="1"/>
  <c r="EE129" i="4" a="1"/>
  <c r="EE129" i="4" s="1"/>
  <c r="DS117" i="4" a="1"/>
  <c r="DS117" i="4" s="1"/>
  <c r="EV117" i="4" a="1"/>
  <c r="EV117" i="4" s="1"/>
  <c r="DZ24" i="4" a="1"/>
  <c r="DZ24" i="4" s="1"/>
  <c r="DP6" i="4" a="1"/>
  <c r="DP6" i="4" s="1"/>
  <c r="ES6" i="4" a="1"/>
  <c r="ES6" i="4" s="1"/>
  <c r="DJ88" i="4" a="1"/>
  <c r="DJ88" i="4" s="1"/>
  <c r="EM88" i="4" a="1"/>
  <c r="EM88" i="4" s="1"/>
  <c r="F40" i="50" s="1"/>
  <c r="DT13" i="4" a="1"/>
  <c r="DT13" i="4" s="1"/>
  <c r="EW13" i="4" a="1"/>
  <c r="EW13" i="4" s="1"/>
  <c r="P5" i="50" s="1"/>
  <c r="EU107" i="4" a="1"/>
  <c r="EU107" i="4" s="1"/>
  <c r="DR107" i="4" a="1"/>
  <c r="DR107" i="4" s="1"/>
  <c r="ED107" i="4" a="1"/>
  <c r="ED107" i="4" s="1"/>
  <c r="DQ107" i="4" a="1"/>
  <c r="DQ107" i="4" s="1"/>
  <c r="ET107" i="4" a="1"/>
  <c r="ET107" i="4" s="1"/>
  <c r="EV89" i="4" a="1"/>
  <c r="EV89" i="4" s="1"/>
  <c r="O41" i="50" s="1"/>
  <c r="DS89" i="4" a="1"/>
  <c r="DS89" i="4" s="1"/>
  <c r="ET89" i="4" a="1"/>
  <c r="ET89" i="4" s="1"/>
  <c r="M41" i="50" s="1"/>
  <c r="DQ89" i="4" a="1"/>
  <c r="DQ89" i="4" s="1"/>
  <c r="DW80" i="4" a="1"/>
  <c r="DW80" i="4" s="1"/>
  <c r="DZ80" i="4" a="1"/>
  <c r="DZ80" i="4" s="1"/>
  <c r="EL9" i="4" a="1"/>
  <c r="EL9" i="4" s="1"/>
  <c r="DI9" i="4" a="1"/>
  <c r="DI9" i="4" s="1"/>
  <c r="DN9" i="4" a="1"/>
  <c r="DN9" i="4" s="1"/>
  <c r="EQ9" i="4" a="1"/>
  <c r="EQ9" i="4" s="1"/>
  <c r="ER9" i="4" a="1"/>
  <c r="ER9" i="4" s="1"/>
  <c r="DO9" i="4" a="1"/>
  <c r="DO9" i="4" s="1"/>
  <c r="EA83" i="4" a="1"/>
  <c r="EA83" i="4" s="1"/>
  <c r="EG59" i="4"/>
  <c r="DL43" i="4" a="1"/>
  <c r="DL43" i="4" s="1"/>
  <c r="EO43" i="4" a="1"/>
  <c r="EO43" i="4" s="1"/>
  <c r="H19" i="50" s="1"/>
  <c r="DO43" i="4" a="1"/>
  <c r="DO43" i="4" s="1"/>
  <c r="ER43" i="4" a="1"/>
  <c r="ER43" i="4" s="1"/>
  <c r="K19" i="50" s="1"/>
  <c r="DV43" i="4" a="1"/>
  <c r="DV43" i="4" s="1"/>
  <c r="DZ98" i="4" a="1"/>
  <c r="DZ98" i="4" s="1"/>
  <c r="EW98" i="4" a="1"/>
  <c r="EW98" i="4" s="1"/>
  <c r="DT98" i="4" a="1"/>
  <c r="DT98" i="4" s="1"/>
  <c r="DM96" i="4" a="1"/>
  <c r="DM96" i="4" s="1"/>
  <c r="EP96" i="4" a="1"/>
  <c r="EP96" i="4" s="1"/>
  <c r="DI96" i="4" a="1"/>
  <c r="DI96" i="4" s="1"/>
  <c r="EL96" i="4" a="1"/>
  <c r="EL96" i="4" s="1"/>
  <c r="DJ96" i="4" a="1"/>
  <c r="DJ96" i="4" s="1"/>
  <c r="EM96" i="4" a="1"/>
  <c r="EM96" i="4" s="1"/>
  <c r="DM67" i="4" a="1"/>
  <c r="DM67" i="4" s="1"/>
  <c r="EP67" i="4" a="1"/>
  <c r="EP67" i="4" s="1"/>
  <c r="I31" i="50" s="1"/>
  <c r="ES67" i="4" a="1"/>
  <c r="ES67" i="4" s="1"/>
  <c r="L31" i="50" s="1"/>
  <c r="DP67" i="4" a="1"/>
  <c r="DP67" i="4" s="1"/>
  <c r="EE67" i="4" a="1"/>
  <c r="EE67" i="4" s="1"/>
  <c r="ET133" i="4" a="1"/>
  <c r="ET133" i="4" s="1"/>
  <c r="DQ133" i="4" a="1"/>
  <c r="DQ133" i="4" s="1"/>
  <c r="EG54" i="4"/>
  <c r="ES10" i="4" a="1"/>
  <c r="ES10" i="4" s="1"/>
  <c r="DP10" i="4" a="1"/>
  <c r="DP10" i="4" s="1"/>
  <c r="ED10" i="4" a="1"/>
  <c r="ED10" i="4" s="1"/>
  <c r="DJ51" i="4" a="1"/>
  <c r="DJ51" i="4" s="1"/>
  <c r="EM51" i="4" a="1"/>
  <c r="EM51" i="4" s="1"/>
  <c r="F21" i="50" s="1"/>
  <c r="DV51" i="4" a="1"/>
  <c r="DV51" i="4" s="1"/>
  <c r="EL51" i="4" a="1"/>
  <c r="EL51" i="4" s="1"/>
  <c r="E21" i="50" s="1"/>
  <c r="DI51" i="4" a="1"/>
  <c r="DI51" i="4" s="1"/>
  <c r="EN62" i="4" a="1"/>
  <c r="EN62" i="4" s="1"/>
  <c r="G27" i="50" s="1"/>
  <c r="DK62" i="4" a="1"/>
  <c r="DK62" i="4" s="1"/>
  <c r="DW62" i="4" a="1"/>
  <c r="DW62" i="4" s="1"/>
  <c r="EB62" i="4" a="1"/>
  <c r="EB62" i="4" s="1"/>
  <c r="EF62" i="4" a="1"/>
  <c r="EF62" i="4" s="1"/>
  <c r="DM77" i="4" a="1"/>
  <c r="DM77" i="4" s="1"/>
  <c r="EP77" i="4" a="1"/>
  <c r="EP77" i="4" s="1"/>
  <c r="EC77" i="4" a="1"/>
  <c r="EC77" i="4" s="1"/>
  <c r="ED77" i="4" a="1"/>
  <c r="ED77" i="4" s="1"/>
  <c r="DP79" i="4" a="1"/>
  <c r="DP79" i="4" s="1"/>
  <c r="ES79" i="4" a="1"/>
  <c r="ES79" i="4" s="1"/>
  <c r="DW79" i="4" a="1"/>
  <c r="DW79" i="4" s="1"/>
  <c r="DR92" i="4" a="1"/>
  <c r="DR92" i="4" s="1"/>
  <c r="EU92" i="4" a="1"/>
  <c r="EU92" i="4" s="1"/>
  <c r="N43" i="50" s="1"/>
  <c r="DX92" i="4" a="1"/>
  <c r="DX92" i="4" s="1"/>
  <c r="DV92" i="4" a="1"/>
  <c r="DV92" i="4" s="1"/>
  <c r="EP78" i="4" a="1"/>
  <c r="EP78" i="4" s="1"/>
  <c r="DM78" i="4" a="1"/>
  <c r="DM78" i="4" s="1"/>
  <c r="DX78" i="4" a="1"/>
  <c r="DX78" i="4" s="1"/>
  <c r="DY125" i="4" a="1"/>
  <c r="DY125" i="4" s="1"/>
  <c r="EQ125" i="4" a="1"/>
  <c r="EQ125" i="4" s="1"/>
  <c r="J58" i="50" s="1"/>
  <c r="DN125" i="4" a="1"/>
  <c r="DN125" i="4" s="1"/>
  <c r="DU125" i="4" a="1"/>
  <c r="DU125" i="4" s="1"/>
  <c r="EG18" i="4"/>
  <c r="DJ35" i="4" a="1"/>
  <c r="DJ35" i="4" s="1"/>
  <c r="EM35" i="4" a="1"/>
  <c r="EM35" i="4" s="1"/>
  <c r="DQ35" i="4" a="1"/>
  <c r="DQ35" i="4" s="1"/>
  <c r="ET35" i="4" a="1"/>
  <c r="ET35" i="4" s="1"/>
  <c r="DY35" i="4" a="1"/>
  <c r="DY35" i="4" s="1"/>
  <c r="EE35" i="4" a="1"/>
  <c r="EE35" i="4" s="1"/>
  <c r="DU122" i="4" a="1"/>
  <c r="DU122" i="4" s="1"/>
  <c r="DI122" i="4" a="1"/>
  <c r="DI122" i="4" s="1"/>
  <c r="EL122" i="4" a="1"/>
  <c r="EL122" i="4" s="1"/>
  <c r="E56" i="50" s="1"/>
  <c r="DO122" i="4" a="1"/>
  <c r="DO122" i="4" s="1"/>
  <c r="ER122" i="4" a="1"/>
  <c r="ER122" i="4" s="1"/>
  <c r="K56" i="50" s="1"/>
  <c r="DQ32" i="4" a="1"/>
  <c r="DQ32" i="4" s="1"/>
  <c r="ET32" i="4" a="1"/>
  <c r="ET32" i="4" s="1"/>
  <c r="EN32" i="4" a="1"/>
  <c r="EN32" i="4" s="1"/>
  <c r="DK32" i="4" a="1"/>
  <c r="DK32" i="4" s="1"/>
  <c r="DS203" i="2"/>
  <c r="DT203" i="2"/>
  <c r="DR203" i="2"/>
  <c r="EE12" i="4" a="1"/>
  <c r="EE12" i="4" s="1"/>
  <c r="DP12" i="4" a="1"/>
  <c r="DP12" i="4" s="1"/>
  <c r="ES12" i="4" a="1"/>
  <c r="ES12" i="4" s="1"/>
  <c r="L4" i="50" s="1"/>
  <c r="DU12" i="4" a="1"/>
  <c r="DU12" i="4" s="1"/>
  <c r="EP134" i="4" a="1"/>
  <c r="EP134" i="4" s="1"/>
  <c r="DM134" i="4" a="1"/>
  <c r="DM134" i="4" s="1"/>
  <c r="DW134" i="4" a="1"/>
  <c r="DW134" i="4" s="1"/>
  <c r="EU134" i="4" a="1"/>
  <c r="EU134" i="4" s="1"/>
  <c r="DR134" i="4" a="1"/>
  <c r="DR134" i="4" s="1"/>
  <c r="DV84" i="4" a="1"/>
  <c r="DV84" i="4" s="1"/>
  <c r="DJ84" i="4" a="1"/>
  <c r="DJ84" i="4" s="1"/>
  <c r="EM84" i="4" a="1"/>
  <c r="EM84" i="4" s="1"/>
  <c r="ET127" i="4" a="1"/>
  <c r="ET127" i="4" s="1"/>
  <c r="DQ127" i="4" a="1"/>
  <c r="DQ127" i="4" s="1"/>
  <c r="DU127" i="4" a="1"/>
  <c r="DU127" i="4" s="1"/>
  <c r="DL127" i="4" a="1"/>
  <c r="DL127" i="4" s="1"/>
  <c r="EO127" i="4" a="1"/>
  <c r="EO127" i="4" s="1"/>
  <c r="ED127" i="4" a="1"/>
  <c r="ED127" i="4" s="1"/>
  <c r="DQ97" i="4" a="1"/>
  <c r="DQ97" i="4" s="1"/>
  <c r="ET97" i="4" a="1"/>
  <c r="ET97" i="4" s="1"/>
  <c r="EQ97" i="4" a="1"/>
  <c r="EQ97" i="4" s="1"/>
  <c r="DN97" i="4" a="1"/>
  <c r="DN97" i="4" s="1"/>
  <c r="DW97" i="4" a="1"/>
  <c r="DW97" i="4" s="1"/>
  <c r="DU56" i="4" a="1"/>
  <c r="DU56" i="4" s="1"/>
  <c r="EW56" i="4" a="1"/>
  <c r="EW56" i="4" s="1"/>
  <c r="P25" i="50" s="1"/>
  <c r="DT56" i="4" a="1"/>
  <c r="DT56" i="4" s="1"/>
  <c r="DW93" i="4" a="1"/>
  <c r="DW93" i="4" s="1"/>
  <c r="DQ21" i="4" a="1"/>
  <c r="DQ21" i="4" s="1"/>
  <c r="ET21" i="4" a="1"/>
  <c r="ET21" i="4" s="1"/>
  <c r="DU21" i="4" a="1"/>
  <c r="DU21" i="4" s="1"/>
  <c r="EF21" i="4" a="1"/>
  <c r="EF21" i="4" s="1"/>
  <c r="Q30" i="50"/>
  <c r="DJ128" i="4" a="1"/>
  <c r="DJ128" i="4" s="1"/>
  <c r="EM128" i="4" a="1"/>
  <c r="EM128" i="4" s="1"/>
  <c r="EW121" i="4" a="1"/>
  <c r="EW121" i="4" s="1"/>
  <c r="DT121" i="4" a="1"/>
  <c r="DT121" i="4" s="1"/>
  <c r="EO33" i="4" a="1"/>
  <c r="EO33" i="4" s="1"/>
  <c r="DL33" i="4" a="1"/>
  <c r="DL33" i="4" s="1"/>
  <c r="CL142" i="4"/>
  <c r="CP142" i="4"/>
  <c r="CT142" i="4"/>
  <c r="CW142" i="4"/>
  <c r="CN142" i="4"/>
  <c r="DC142" i="4"/>
  <c r="CY142" i="4"/>
  <c r="AH142" i="4"/>
  <c r="CM142" i="4"/>
  <c r="CX142" i="4"/>
  <c r="DG142" i="4"/>
  <c r="CQ142" i="4"/>
  <c r="CU142" i="4"/>
  <c r="DF142" i="4"/>
  <c r="BT142" i="4"/>
  <c r="DA142" i="4"/>
  <c r="DB142" i="4"/>
  <c r="DE142" i="4"/>
  <c r="CV142" i="4"/>
  <c r="CZ142" i="4"/>
  <c r="CK142" i="4"/>
  <c r="CR142" i="4"/>
  <c r="CS142" i="4"/>
  <c r="DH142" i="4"/>
  <c r="DD142" i="4"/>
  <c r="AJ142" i="4"/>
  <c r="CO142" i="4"/>
  <c r="DJ7" i="4" a="1"/>
  <c r="DJ7" i="4" s="1"/>
  <c r="EM7" i="4" a="1"/>
  <c r="EM7" i="4" s="1"/>
  <c r="DT90" i="4" a="1"/>
  <c r="DT90" i="4" s="1"/>
  <c r="EW90" i="4" a="1"/>
  <c r="EW90" i="4" s="1"/>
  <c r="DK120" i="4" a="1"/>
  <c r="DK120" i="4" s="1"/>
  <c r="EN120" i="4" a="1"/>
  <c r="EN120" i="4" s="1"/>
  <c r="EG68" i="4"/>
  <c r="DM36" i="4" a="1"/>
  <c r="DM36" i="4" s="1"/>
  <c r="EP36" i="4" a="1"/>
  <c r="EP36" i="4" s="1"/>
  <c r="DT128" i="4" a="1"/>
  <c r="DT128" i="4" s="1"/>
  <c r="EW128" i="4" a="1"/>
  <c r="EW128" i="4" s="1"/>
  <c r="ED8" i="4" a="1"/>
  <c r="ED8" i="4" s="1"/>
  <c r="DU42" i="4" a="1"/>
  <c r="DU42" i="4" s="1"/>
  <c r="DW63" i="4" a="1"/>
  <c r="DW63" i="4" s="1"/>
  <c r="EN94" i="4" a="1"/>
  <c r="EN94" i="4" s="1"/>
  <c r="DK94" i="4" a="1"/>
  <c r="DK94" i="4" s="1"/>
  <c r="DW91" i="4" a="1"/>
  <c r="DW91" i="4" s="1"/>
  <c r="EB117" i="4" a="1"/>
  <c r="EB117" i="4" s="1"/>
  <c r="EB101" i="4" a="1"/>
  <c r="EB101" i="4" s="1"/>
  <c r="EL124" i="4" a="1"/>
  <c r="EL124" i="4" s="1"/>
  <c r="E57" i="50" s="1"/>
  <c r="DI124" i="4" a="1"/>
  <c r="DI124" i="4" s="1"/>
  <c r="DR95" i="4" a="1"/>
  <c r="DR95" i="4" s="1"/>
  <c r="EU95" i="4" a="1"/>
  <c r="EU95" i="4" s="1"/>
  <c r="DU82" i="4" a="1"/>
  <c r="DU82" i="4" s="1"/>
  <c r="ER75" i="4" a="1"/>
  <c r="ER75" i="4" s="1"/>
  <c r="DO75" i="4" a="1"/>
  <c r="DO75" i="4" s="1"/>
  <c r="ES75" i="4" a="1"/>
  <c r="ES75" i="4" s="1"/>
  <c r="DP75" i="4" a="1"/>
  <c r="DP75" i="4" s="1"/>
  <c r="EW75" i="4" a="1"/>
  <c r="EW75" i="4" s="1"/>
  <c r="DT75" i="4" a="1"/>
  <c r="DT75" i="4" s="1"/>
  <c r="EC131" i="4" a="1"/>
  <c r="EC131" i="4" s="1"/>
  <c r="DU131" i="4" a="1"/>
  <c r="DU131" i="4" s="1"/>
  <c r="ED131" i="4" a="1"/>
  <c r="ED131" i="4" s="1"/>
  <c r="EM131" i="4" a="1"/>
  <c r="EM131" i="4" s="1"/>
  <c r="DJ131" i="4" a="1"/>
  <c r="DJ131" i="4" s="1"/>
  <c r="EG20" i="4"/>
  <c r="ED7" i="4" a="1"/>
  <c r="ED7" i="4" s="1"/>
  <c r="DM7" i="4" a="1"/>
  <c r="DM7" i="4" s="1"/>
  <c r="EP7" i="4" a="1"/>
  <c r="EP7" i="4" s="1"/>
  <c r="DS7" i="4" a="1"/>
  <c r="DS7" i="4" s="1"/>
  <c r="EV7" i="4" a="1"/>
  <c r="EV7" i="4" s="1"/>
  <c r="EF37" i="4" a="1"/>
  <c r="EF37" i="4" s="1"/>
  <c r="DY37" i="4" a="1"/>
  <c r="DY37" i="4" s="1"/>
  <c r="DW37" i="4" a="1"/>
  <c r="DW37" i="4" s="1"/>
  <c r="DV90" i="4" a="1"/>
  <c r="DV90" i="4" s="1"/>
  <c r="EF90" i="4" a="1"/>
  <c r="EF90" i="4" s="1"/>
  <c r="DN90" i="4" a="1"/>
  <c r="DN90" i="4" s="1"/>
  <c r="EQ90" i="4" a="1"/>
  <c r="EQ90" i="4" s="1"/>
  <c r="DU111" i="4" a="1"/>
  <c r="DU111" i="4" s="1"/>
  <c r="EB111" i="4" a="1"/>
  <c r="EB111" i="4" s="1"/>
  <c r="DJ111" i="4" a="1"/>
  <c r="DJ111" i="4" s="1"/>
  <c r="EM111" i="4" a="1"/>
  <c r="EM111" i="4" s="1"/>
  <c r="DV111" i="4" a="1"/>
  <c r="DV111" i="4" s="1"/>
  <c r="EG44" i="4"/>
  <c r="EC6" i="4" a="1"/>
  <c r="EC6" i="4" s="1"/>
  <c r="DW6" i="4" a="1"/>
  <c r="DW6" i="4" s="1"/>
  <c r="EB6" i="4" a="1"/>
  <c r="EB6" i="4" s="1"/>
  <c r="EF6" i="4" a="1"/>
  <c r="EF6" i="4" s="1"/>
  <c r="EF120" i="4" a="1"/>
  <c r="EF120" i="4" s="1"/>
  <c r="DJ120" i="4" a="1"/>
  <c r="DJ120" i="4" s="1"/>
  <c r="EM120" i="4" a="1"/>
  <c r="EM120" i="4" s="1"/>
  <c r="ES120" i="4" a="1"/>
  <c r="ES120" i="4" s="1"/>
  <c r="DP120" i="4" a="1"/>
  <c r="DP120" i="4" s="1"/>
  <c r="EC120" i="4" a="1"/>
  <c r="EC120" i="4" s="1"/>
  <c r="DO88" i="4" a="1"/>
  <c r="DO88" i="4" s="1"/>
  <c r="ER88" i="4" a="1"/>
  <c r="ER88" i="4" s="1"/>
  <c r="K40" i="50" s="1"/>
  <c r="DP88" i="4" a="1"/>
  <c r="DP88" i="4" s="1"/>
  <c r="ES88" i="4" a="1"/>
  <c r="ES88" i="4" s="1"/>
  <c r="L40" i="50" s="1"/>
  <c r="DY88" i="4" a="1"/>
  <c r="DY88" i="4" s="1"/>
  <c r="EQ73" i="4" a="1"/>
  <c r="EQ73" i="4" s="1"/>
  <c r="DN73" i="4" a="1"/>
  <c r="DN73" i="4" s="1"/>
  <c r="DZ73" i="4" a="1"/>
  <c r="DZ73" i="4" s="1"/>
  <c r="ED73" i="4" a="1"/>
  <c r="ED73" i="4" s="1"/>
  <c r="EG17" i="4"/>
  <c r="DW50" i="4" a="1"/>
  <c r="DW50" i="4" s="1"/>
  <c r="EC50" i="4" a="1"/>
  <c r="EC50" i="4" s="1"/>
  <c r="DZ50" i="4" a="1"/>
  <c r="DZ50" i="4" s="1"/>
  <c r="ET50" i="4" a="1"/>
  <c r="ET50" i="4" s="1"/>
  <c r="M20" i="50" s="1"/>
  <c r="DQ50" i="4" a="1"/>
  <c r="DQ50" i="4" s="1"/>
  <c r="EG49" i="4"/>
  <c r="EG14" i="4"/>
  <c r="DR13" i="4" a="1"/>
  <c r="DR13" i="4" s="1"/>
  <c r="EU13" i="4" a="1"/>
  <c r="EU13" i="4" s="1"/>
  <c r="N5" i="50" s="1"/>
  <c r="EF13" i="4" a="1"/>
  <c r="EF13" i="4" s="1"/>
  <c r="DZ13" i="4" a="1"/>
  <c r="DZ13" i="4" s="1"/>
  <c r="DV13" i="4" a="1"/>
  <c r="DV13" i="4" s="1"/>
  <c r="EF118" i="4" a="1"/>
  <c r="EF118" i="4" s="1"/>
  <c r="DP118" i="4" a="1"/>
  <c r="DP118" i="4" s="1"/>
  <c r="ES118" i="4" a="1"/>
  <c r="ES118" i="4" s="1"/>
  <c r="EE118" i="4" a="1"/>
  <c r="EE118" i="4" s="1"/>
  <c r="EP81" i="4" a="1"/>
  <c r="EP81" i="4" s="1"/>
  <c r="DM81" i="4" a="1"/>
  <c r="DM81" i="4" s="1"/>
  <c r="DK81" i="4" a="1"/>
  <c r="DK81" i="4" s="1"/>
  <c r="EN81" i="4" a="1"/>
  <c r="EN81" i="4" s="1"/>
  <c r="DY81" i="4" a="1"/>
  <c r="DY81" i="4" s="1"/>
  <c r="ER76" i="4" a="1"/>
  <c r="ER76" i="4" s="1"/>
  <c r="DO76" i="4" a="1"/>
  <c r="DO76" i="4" s="1"/>
  <c r="EF76" i="4" a="1"/>
  <c r="EF76" i="4" s="1"/>
  <c r="DZ76" i="4" a="1"/>
  <c r="DZ76" i="4" s="1"/>
  <c r="DL76" i="4" a="1"/>
  <c r="DL76" i="4" s="1"/>
  <c r="EO76" i="4" a="1"/>
  <c r="EO76" i="4" s="1"/>
  <c r="DW107" i="4" a="1"/>
  <c r="DW107" i="4" s="1"/>
  <c r="EC107" i="4" a="1"/>
  <c r="EC107" i="4" s="1"/>
  <c r="DY107" i="4" a="1"/>
  <c r="DY107" i="4" s="1"/>
  <c r="EL89" i="4" a="1"/>
  <c r="EL89" i="4" s="1"/>
  <c r="E41" i="50" s="1"/>
  <c r="DI89" i="4" a="1"/>
  <c r="DI89" i="4" s="1"/>
  <c r="DY89" i="4" a="1"/>
  <c r="DY89" i="4" s="1"/>
  <c r="DZ89" i="4" a="1"/>
  <c r="DZ89" i="4" s="1"/>
  <c r="EQ80" i="4" a="1"/>
  <c r="EQ80" i="4" s="1"/>
  <c r="DN80" i="4" a="1"/>
  <c r="DN80" i="4" s="1"/>
  <c r="DU80" i="4" a="1"/>
  <c r="DU80" i="4" s="1"/>
  <c r="EV80" i="4" a="1"/>
  <c r="EV80" i="4" s="1"/>
  <c r="DS80" i="4" a="1"/>
  <c r="DS80" i="4" s="1"/>
  <c r="EB9" i="4" a="1"/>
  <c r="EB9" i="4" s="1"/>
  <c r="ED9" i="4" a="1"/>
  <c r="ED9" i="4" s="1"/>
  <c r="EV9" i="4" a="1"/>
  <c r="EV9" i="4" s="1"/>
  <c r="DS9" i="4" a="1"/>
  <c r="DS9" i="4" s="1"/>
  <c r="EB83" i="4" a="1"/>
  <c r="EB83" i="4" s="1"/>
  <c r="EC83" i="4" a="1"/>
  <c r="EC83" i="4" s="1"/>
  <c r="EP83" i="4" a="1"/>
  <c r="EP83" i="4" s="1"/>
  <c r="DM83" i="4" a="1"/>
  <c r="DM83" i="4" s="1"/>
  <c r="EG27" i="4"/>
  <c r="DN43" i="4" a="1"/>
  <c r="DN43" i="4" s="1"/>
  <c r="EQ43" i="4" a="1"/>
  <c r="EQ43" i="4" s="1"/>
  <c r="J19" i="50" s="1"/>
  <c r="DX43" i="4" a="1"/>
  <c r="DX43" i="4" s="1"/>
  <c r="DU43" i="4" a="1"/>
  <c r="DU43" i="4" s="1"/>
  <c r="EB203" i="2"/>
  <c r="EE203" i="2"/>
  <c r="EC203" i="2"/>
  <c r="DU98" i="4" a="1"/>
  <c r="DU98" i="4" s="1"/>
  <c r="DY98" i="4" a="1"/>
  <c r="DY98" i="4" s="1"/>
  <c r="DX98" i="4" a="1"/>
  <c r="DX98" i="4" s="1"/>
  <c r="EC174" i="2"/>
  <c r="EB174" i="2"/>
  <c r="EE174" i="2"/>
  <c r="DK96" i="4" a="1"/>
  <c r="DK96" i="4" s="1"/>
  <c r="EN96" i="4" a="1"/>
  <c r="EN96" i="4" s="1"/>
  <c r="DZ96" i="4" a="1"/>
  <c r="DZ96" i="4" s="1"/>
  <c r="DP96" i="4" a="1"/>
  <c r="DP96" i="4" s="1"/>
  <c r="ES96" i="4" a="1"/>
  <c r="ES96" i="4" s="1"/>
  <c r="EW67" i="4" a="1"/>
  <c r="EW67" i="4" s="1"/>
  <c r="P31" i="50" s="1"/>
  <c r="DT67" i="4" a="1"/>
  <c r="DT67" i="4" s="1"/>
  <c r="EQ67" i="4" a="1"/>
  <c r="EQ67" i="4" s="1"/>
  <c r="J31" i="50" s="1"/>
  <c r="DN67" i="4" a="1"/>
  <c r="DN67" i="4" s="1"/>
  <c r="DL67" i="4" a="1"/>
  <c r="DL67" i="4" s="1"/>
  <c r="EO67" i="4" a="1"/>
  <c r="EO67" i="4" s="1"/>
  <c r="H31" i="50" s="1"/>
  <c r="EU133" i="4" a="1"/>
  <c r="EU133" i="4" s="1"/>
  <c r="DR133" i="4" a="1"/>
  <c r="DR133" i="4" s="1"/>
  <c r="DX133" i="4" a="1"/>
  <c r="DX133" i="4" s="1"/>
  <c r="DZ133" i="4" a="1"/>
  <c r="DZ133" i="4" s="1"/>
  <c r="EU10" i="4" a="1"/>
  <c r="EU10" i="4" s="1"/>
  <c r="DR10" i="4" a="1"/>
  <c r="DR10" i="4" s="1"/>
  <c r="DT10" i="4" a="1"/>
  <c r="DT10" i="4" s="1"/>
  <c r="EW10" i="4" a="1"/>
  <c r="EW10" i="4" s="1"/>
  <c r="DI10" i="4" a="1"/>
  <c r="DI10" i="4" s="1"/>
  <c r="EL10" i="4" a="1"/>
  <c r="EL10" i="4" s="1"/>
  <c r="DY51" i="4" a="1"/>
  <c r="DY51" i="4" s="1"/>
  <c r="EW51" i="4" a="1"/>
  <c r="EW51" i="4" s="1"/>
  <c r="P21" i="50" s="1"/>
  <c r="DT51" i="4" a="1"/>
  <c r="DT51" i="4" s="1"/>
  <c r="EQ62" i="4" a="1"/>
  <c r="EQ62" i="4" s="1"/>
  <c r="J27" i="50" s="1"/>
  <c r="DN62" i="4" a="1"/>
  <c r="DN62" i="4" s="1"/>
  <c r="EO62" i="4" a="1"/>
  <c r="EO62" i="4" s="1"/>
  <c r="H27" i="50" s="1"/>
  <c r="DL62" i="4" a="1"/>
  <c r="DL62" i="4" s="1"/>
  <c r="DV62" i="4" a="1"/>
  <c r="DV62" i="4" s="1"/>
  <c r="ER77" i="4" a="1"/>
  <c r="ER77" i="4" s="1"/>
  <c r="DO77" i="4" a="1"/>
  <c r="DO77" i="4" s="1"/>
  <c r="EF77" i="4" a="1"/>
  <c r="EF77" i="4" s="1"/>
  <c r="EQ77" i="4" a="1"/>
  <c r="EQ77" i="4" s="1"/>
  <c r="DN77" i="4" a="1"/>
  <c r="DN77" i="4" s="1"/>
  <c r="ET77" i="4" a="1"/>
  <c r="ET77" i="4" s="1"/>
  <c r="DQ77" i="4" a="1"/>
  <c r="DQ77" i="4" s="1"/>
  <c r="EA79" i="4" a="1"/>
  <c r="EA79" i="4" s="1"/>
  <c r="DZ79" i="4" a="1"/>
  <c r="DZ79" i="4" s="1"/>
  <c r="EN79" i="4" a="1"/>
  <c r="EN79" i="4" s="1"/>
  <c r="DK79" i="4" a="1"/>
  <c r="DK79" i="4" s="1"/>
  <c r="EA92" i="4" a="1"/>
  <c r="EA92" i="4" s="1"/>
  <c r="DZ92" i="4" a="1"/>
  <c r="DZ92" i="4" s="1"/>
  <c r="DS92" i="4" a="1"/>
  <c r="DS92" i="4" s="1"/>
  <c r="EV92" i="4" a="1"/>
  <c r="EV92" i="4" s="1"/>
  <c r="O43" i="50" s="1"/>
  <c r="ES78" i="4" a="1"/>
  <c r="ES78" i="4" s="1"/>
  <c r="DP78" i="4" a="1"/>
  <c r="DP78" i="4" s="1"/>
  <c r="EV78" i="4" a="1"/>
  <c r="EV78" i="4" s="1"/>
  <c r="DS78" i="4" a="1"/>
  <c r="DS78" i="4" s="1"/>
  <c r="EO78" i="4" a="1"/>
  <c r="EO78" i="4" s="1"/>
  <c r="DL78" i="4" a="1"/>
  <c r="DL78" i="4" s="1"/>
  <c r="EA125" i="4" a="1"/>
  <c r="EA125" i="4" s="1"/>
  <c r="DW125" i="4" a="1"/>
  <c r="DW125" i="4" s="1"/>
  <c r="EM125" i="4" a="1"/>
  <c r="EM125" i="4" s="1"/>
  <c r="F58" i="50" s="1"/>
  <c r="DJ125" i="4" a="1"/>
  <c r="DJ125" i="4" s="1"/>
  <c r="EG70" i="4"/>
  <c r="DU35" i="4" a="1"/>
  <c r="DU35" i="4" s="1"/>
  <c r="EU35" i="4" a="1"/>
  <c r="EU35" i="4" s="1"/>
  <c r="DR35" i="4" a="1"/>
  <c r="DR35" i="4" s="1"/>
  <c r="DW35" i="4" a="1"/>
  <c r="DW35" i="4" s="1"/>
  <c r="DN35" i="4" a="1"/>
  <c r="DN35" i="4" s="1"/>
  <c r="EQ35" i="4" a="1"/>
  <c r="EQ35" i="4" s="1"/>
  <c r="DJ122" i="4" a="1"/>
  <c r="DJ122" i="4" s="1"/>
  <c r="EM122" i="4" a="1"/>
  <c r="EM122" i="4" s="1"/>
  <c r="F56" i="50" s="1"/>
  <c r="EE32" i="4" a="1"/>
  <c r="EE32" i="4" s="1"/>
  <c r="ED32" i="4" a="1"/>
  <c r="ED32" i="4" s="1"/>
  <c r="DU32" i="4" a="1"/>
  <c r="DU32" i="4" s="1"/>
  <c r="CS112" i="4"/>
  <c r="CR112" i="4"/>
  <c r="DE112" i="4"/>
  <c r="DF112" i="4"/>
  <c r="CW112" i="4"/>
  <c r="CY112" i="4"/>
  <c r="CQ112" i="4"/>
  <c r="CL112" i="4"/>
  <c r="DB112" i="4"/>
  <c r="CT112" i="4"/>
  <c r="DH112" i="4"/>
  <c r="CV112" i="4"/>
  <c r="DC112" i="4"/>
  <c r="DA112" i="4"/>
  <c r="CU112" i="4"/>
  <c r="BT112" i="4"/>
  <c r="CO112" i="4"/>
  <c r="AJ112" i="4"/>
  <c r="CZ112" i="4"/>
  <c r="CN112" i="4"/>
  <c r="CK112" i="4"/>
  <c r="AH112" i="4"/>
  <c r="CP112" i="4"/>
  <c r="CX112" i="4"/>
  <c r="DG112" i="4"/>
  <c r="CM112" i="4"/>
  <c r="DD112" i="4"/>
  <c r="DI12" i="4" a="1"/>
  <c r="DI12" i="4" s="1"/>
  <c r="EL12" i="4" a="1"/>
  <c r="EL12" i="4" s="1"/>
  <c r="E4" i="50" s="1"/>
  <c r="EA12" i="4" a="1"/>
  <c r="EA12" i="4" s="1"/>
  <c r="DZ12" i="4" a="1"/>
  <c r="DZ12" i="4" s="1"/>
  <c r="DL12" i="4" a="1"/>
  <c r="DL12" i="4" s="1"/>
  <c r="EO12" i="4" a="1"/>
  <c r="EO12" i="4" s="1"/>
  <c r="H4" i="50" s="1"/>
  <c r="DZ134" i="4" a="1"/>
  <c r="DZ134" i="4" s="1"/>
  <c r="EF134" i="4" a="1"/>
  <c r="EF134" i="4" s="1"/>
  <c r="ED134" i="4" a="1"/>
  <c r="ED134" i="4" s="1"/>
  <c r="EO134" i="4" a="1"/>
  <c r="EO134" i="4" s="1"/>
  <c r="DL134" i="4" a="1"/>
  <c r="DL134" i="4" s="1"/>
  <c r="DX84" i="4" a="1"/>
  <c r="DX84" i="4" s="1"/>
  <c r="EV84" i="4" a="1"/>
  <c r="EV84" i="4" s="1"/>
  <c r="DS84" i="4" a="1"/>
  <c r="DS84" i="4" s="1"/>
  <c r="EA84" i="4" a="1"/>
  <c r="EA84" i="4" s="1"/>
  <c r="EF127" i="4" a="1"/>
  <c r="EF127" i="4" s="1"/>
  <c r="DR127" i="4" a="1"/>
  <c r="DR127" i="4" s="1"/>
  <c r="EU127" i="4" a="1"/>
  <c r="EU127" i="4" s="1"/>
  <c r="DT127" i="4" a="1"/>
  <c r="DT127" i="4" s="1"/>
  <c r="EW127" i="4" a="1"/>
  <c r="EW127" i="4" s="1"/>
  <c r="DW127" i="4" a="1"/>
  <c r="DW127" i="4" s="1"/>
  <c r="DJ97" i="4" a="1"/>
  <c r="DJ97" i="4" s="1"/>
  <c r="EM97" i="4" a="1"/>
  <c r="EM97" i="4" s="1"/>
  <c r="EF97" i="4" a="1"/>
  <c r="EF97" i="4" s="1"/>
  <c r="EV97" i="4" a="1"/>
  <c r="EV97" i="4" s="1"/>
  <c r="DS97" i="4" a="1"/>
  <c r="DS97" i="4" s="1"/>
  <c r="EU56" i="4" a="1"/>
  <c r="EU56" i="4" s="1"/>
  <c r="N25" i="50" s="1"/>
  <c r="DR56" i="4" a="1"/>
  <c r="DR56" i="4" s="1"/>
  <c r="EE56" i="4" a="1"/>
  <c r="EE56" i="4" s="1"/>
  <c r="EQ56" i="4" a="1"/>
  <c r="EQ56" i="4" s="1"/>
  <c r="J25" i="50" s="1"/>
  <c r="DN56" i="4" a="1"/>
  <c r="DN56" i="4" s="1"/>
  <c r="EL56" i="4" a="1"/>
  <c r="EL56" i="4" s="1"/>
  <c r="E25" i="50" s="1"/>
  <c r="DI56" i="4" a="1"/>
  <c r="DI56" i="4" s="1"/>
  <c r="EC93" i="4" a="1"/>
  <c r="EC93" i="4" s="1"/>
  <c r="DQ93" i="4" a="1"/>
  <c r="DQ93" i="4" s="1"/>
  <c r="ET93" i="4" a="1"/>
  <c r="ET93" i="4" s="1"/>
  <c r="M44" i="50" s="1"/>
  <c r="ER93" i="4" a="1"/>
  <c r="ER93" i="4" s="1"/>
  <c r="K44" i="50" s="1"/>
  <c r="DO93" i="4" a="1"/>
  <c r="DO93" i="4" s="1"/>
  <c r="EL21" i="4" a="1"/>
  <c r="EL21" i="4" s="1"/>
  <c r="DI21" i="4" a="1"/>
  <c r="DI21" i="4" s="1"/>
  <c r="ES21" i="4" a="1"/>
  <c r="ES21" i="4" s="1"/>
  <c r="L9" i="50" s="1"/>
  <c r="DP21" i="4" a="1"/>
  <c r="DP21" i="4" s="1"/>
  <c r="DY21" i="4" a="1"/>
  <c r="DY21" i="4" s="1"/>
  <c r="DK21" i="4" a="1"/>
  <c r="DK21" i="4" s="1"/>
  <c r="EN21" i="4" a="1"/>
  <c r="EN21" i="4" s="1"/>
  <c r="DX36" i="4" a="1"/>
  <c r="DX36" i="4" s="1"/>
  <c r="DZ130" i="4" a="1"/>
  <c r="DZ130" i="4" s="1"/>
  <c r="EQ128" i="4" a="1"/>
  <c r="EQ128" i="4" s="1"/>
  <c r="DN128" i="4" a="1"/>
  <c r="DN128" i="4" s="1"/>
  <c r="ET8" i="4" a="1"/>
  <c r="ET8" i="4" s="1"/>
  <c r="DQ8" i="4" a="1"/>
  <c r="DQ8" i="4" s="1"/>
  <c r="EW22" i="4" a="1"/>
  <c r="EW22" i="4" s="1"/>
  <c r="P10" i="50" s="1"/>
  <c r="DT22" i="4" a="1"/>
  <c r="DT22" i="4" s="1"/>
  <c r="DQ42" i="4" a="1"/>
  <c r="DQ42" i="4" s="1"/>
  <c r="ET42" i="4" a="1"/>
  <c r="ET42" i="4" s="1"/>
  <c r="M18" i="50" s="1"/>
  <c r="EF33" i="4" a="1"/>
  <c r="EF33" i="4" s="1"/>
  <c r="EW74" i="4" a="1"/>
  <c r="EW74" i="4" s="1"/>
  <c r="DT74" i="4" a="1"/>
  <c r="DT74" i="4" s="1"/>
  <c r="DR94" i="4" a="1"/>
  <c r="DR94" i="4" s="1"/>
  <c r="EU94" i="4" a="1"/>
  <c r="EU94" i="4" s="1"/>
  <c r="EW129" i="4" a="1"/>
  <c r="EW129" i="4" s="1"/>
  <c r="DT129" i="4" a="1"/>
  <c r="DT129" i="4" s="1"/>
  <c r="EL117" i="4" a="1"/>
  <c r="EL117" i="4" s="1"/>
  <c r="DI117" i="4" a="1"/>
  <c r="DI117" i="4" s="1"/>
  <c r="EG15" i="4"/>
  <c r="EA124" i="4" a="1"/>
  <c r="EA124" i="4" s="1"/>
  <c r="EF24" i="4" a="1"/>
  <c r="EF24" i="4" s="1"/>
  <c r="EQ37" i="4" a="1"/>
  <c r="EQ37" i="4" s="1"/>
  <c r="DN37" i="4" a="1"/>
  <c r="DN37" i="4" s="1"/>
  <c r="DO90" i="4" a="1"/>
  <c r="DO90" i="4" s="1"/>
  <c r="ER90" i="4" a="1"/>
  <c r="ER90" i="4" s="1"/>
  <c r="DW111" i="4" a="1"/>
  <c r="DW111" i="4" s="1"/>
  <c r="EB120" i="4" a="1"/>
  <c r="EB120" i="4" s="1"/>
  <c r="DW88" i="4" a="1"/>
  <c r="DW88" i="4" s="1"/>
  <c r="EN73" i="4" a="1"/>
  <c r="EN73" i="4" s="1"/>
  <c r="DK73" i="4" a="1"/>
  <c r="DK73" i="4" s="1"/>
  <c r="DK118" i="4" a="1"/>
  <c r="DK118" i="4" s="1"/>
  <c r="EN118" i="4" a="1"/>
  <c r="EN118" i="4" s="1"/>
  <c r="DY118" i="4" a="1"/>
  <c r="DY118" i="4" s="1"/>
  <c r="EQ81" i="4" a="1"/>
  <c r="EQ81" i="4" s="1"/>
  <c r="DN81" i="4" a="1"/>
  <c r="DN81" i="4" s="1"/>
  <c r="EL76" i="4" a="1"/>
  <c r="EL76" i="4" s="1"/>
  <c r="DI76" i="4" a="1"/>
  <c r="DI76" i="4" s="1"/>
  <c r="EU76" i="4" a="1"/>
  <c r="EU76" i="4" s="1"/>
  <c r="DR76" i="4" a="1"/>
  <c r="DR76" i="4" s="1"/>
  <c r="DM76" i="4" a="1"/>
  <c r="DM76" i="4" s="1"/>
  <c r="EP76" i="4" a="1"/>
  <c r="EP76" i="4" s="1"/>
  <c r="EU130" i="4" a="1"/>
  <c r="EU130" i="4" s="1"/>
  <c r="DR130" i="4" a="1"/>
  <c r="DR130" i="4" s="1"/>
  <c r="EU128" i="4" a="1"/>
  <c r="EU128" i="4" s="1"/>
  <c r="DR128" i="4" a="1"/>
  <c r="DR128" i="4" s="1"/>
  <c r="EF95" i="4" a="1"/>
  <c r="EF95" i="4" s="1"/>
  <c r="ES82" i="4" a="1"/>
  <c r="ES82" i="4" s="1"/>
  <c r="DP82" i="4" a="1"/>
  <c r="DP82" i="4" s="1"/>
  <c r="ER82" i="4" a="1"/>
  <c r="ER82" i="4" s="1"/>
  <c r="DO82" i="4" a="1"/>
  <c r="DO82" i="4" s="1"/>
  <c r="DX82" i="4" a="1"/>
  <c r="DX82" i="4" s="1"/>
  <c r="DY24" i="4" a="1"/>
  <c r="DY24" i="4" s="1"/>
  <c r="DJ24" i="4" a="1"/>
  <c r="DJ24" i="4" s="1"/>
  <c r="EM24" i="4" a="1"/>
  <c r="EM24" i="4" s="1"/>
  <c r="F11" i="50" s="1"/>
  <c r="EN24" i="4" a="1"/>
  <c r="EN24" i="4" s="1"/>
  <c r="G11" i="50" s="1"/>
  <c r="DK24" i="4" a="1"/>
  <c r="DK24" i="4" s="1"/>
  <c r="DM75" i="4" a="1"/>
  <c r="DM75" i="4" s="1"/>
  <c r="EP75" i="4" a="1"/>
  <c r="EP75" i="4" s="1"/>
  <c r="ED75" i="4" a="1"/>
  <c r="ED75" i="4" s="1"/>
  <c r="EM75" i="4" a="1"/>
  <c r="EM75" i="4" s="1"/>
  <c r="DJ75" i="4" a="1"/>
  <c r="DJ75" i="4" s="1"/>
  <c r="DX75" i="4" a="1"/>
  <c r="DX75" i="4" s="1"/>
  <c r="EQ131" i="4" a="1"/>
  <c r="EQ131" i="4" s="1"/>
  <c r="DN131" i="4" a="1"/>
  <c r="DN131" i="4" s="1"/>
  <c r="DS131" i="4" a="1"/>
  <c r="DS131" i="4" s="1"/>
  <c r="EV131" i="4" a="1"/>
  <c r="EV131" i="4" s="1"/>
  <c r="DV131" i="4" a="1"/>
  <c r="DV131" i="4" s="1"/>
  <c r="EN131" i="4" a="1"/>
  <c r="EN131" i="4" s="1"/>
  <c r="DK131" i="4" a="1"/>
  <c r="DK131" i="4" s="1"/>
  <c r="EU7" i="4" a="1"/>
  <c r="EU7" i="4" s="1"/>
  <c r="DR7" i="4" a="1"/>
  <c r="DR7" i="4" s="1"/>
  <c r="DZ7" i="4" a="1"/>
  <c r="DZ7" i="4" s="1"/>
  <c r="DX7" i="4" a="1"/>
  <c r="DX7" i="4" s="1"/>
  <c r="DR37" i="4" a="1"/>
  <c r="DR37" i="4" s="1"/>
  <c r="EU37" i="4" a="1"/>
  <c r="EU37" i="4" s="1"/>
  <c r="EB37" i="4" a="1"/>
  <c r="EB37" i="4" s="1"/>
  <c r="DK37" i="4" a="1"/>
  <c r="DK37" i="4" s="1"/>
  <c r="EN37" i="4" a="1"/>
  <c r="EN37" i="4" s="1"/>
  <c r="EL90" i="4" a="1"/>
  <c r="EL90" i="4" s="1"/>
  <c r="DI90" i="4" a="1"/>
  <c r="DI90" i="4" s="1"/>
  <c r="DY90" i="4" a="1"/>
  <c r="DY90" i="4" s="1"/>
  <c r="DS90" i="4" a="1"/>
  <c r="DS90" i="4" s="1"/>
  <c r="EV90" i="4" a="1"/>
  <c r="EV90" i="4" s="1"/>
  <c r="DP90" i="4" a="1"/>
  <c r="DP90" i="4" s="1"/>
  <c r="ES90" i="4" a="1"/>
  <c r="ES90" i="4" s="1"/>
  <c r="CZ138" i="4"/>
  <c r="CU138" i="4"/>
  <c r="CQ138" i="4"/>
  <c r="CV138" i="4"/>
  <c r="BT138" i="4"/>
  <c r="CK138" i="4"/>
  <c r="DH138" i="4"/>
  <c r="DE138" i="4"/>
  <c r="DB138" i="4"/>
  <c r="DA138" i="4"/>
  <c r="CX138" i="4"/>
  <c r="AH138" i="4"/>
  <c r="CR138" i="4"/>
  <c r="AJ138" i="4"/>
  <c r="CM138" i="4"/>
  <c r="CN138" i="4"/>
  <c r="DD138" i="4"/>
  <c r="CW138" i="4"/>
  <c r="CY138" i="4"/>
  <c r="DC138" i="4"/>
  <c r="CS138" i="4"/>
  <c r="DF138" i="4"/>
  <c r="CL138" i="4"/>
  <c r="CO138" i="4"/>
  <c r="CT138" i="4"/>
  <c r="CP138" i="4"/>
  <c r="DG138" i="4"/>
  <c r="EL111" i="4" a="1"/>
  <c r="EL111" i="4" s="1"/>
  <c r="DI111" i="4" a="1"/>
  <c r="DI111" i="4" s="1"/>
  <c r="DS111" i="4" a="1"/>
  <c r="DS111" i="4" s="1"/>
  <c r="EV111" i="4" a="1"/>
  <c r="EV111" i="4" s="1"/>
  <c r="DN6" i="4" a="1"/>
  <c r="DN6" i="4" s="1"/>
  <c r="EQ6" i="4" a="1"/>
  <c r="EQ6" i="4" s="1"/>
  <c r="DM6" i="4" a="1"/>
  <c r="DM6" i="4" s="1"/>
  <c r="EP6" i="4" a="1"/>
  <c r="EP6" i="4" s="1"/>
  <c r="EU6" i="4" a="1"/>
  <c r="EU6" i="4" s="1"/>
  <c r="DR6" i="4" a="1"/>
  <c r="DR6" i="4" s="1"/>
  <c r="DI6" i="4" a="1"/>
  <c r="DI6" i="4" s="1"/>
  <c r="EL6" i="4" a="1"/>
  <c r="EL6" i="4" s="1"/>
  <c r="DT120" i="4" a="1"/>
  <c r="DT120" i="4" s="1"/>
  <c r="EW120" i="4" a="1"/>
  <c r="EW120" i="4" s="1"/>
  <c r="DN120" i="4" a="1"/>
  <c r="DN120" i="4" s="1"/>
  <c r="EQ120" i="4" a="1"/>
  <c r="EQ120" i="4" s="1"/>
  <c r="ED120" i="4" a="1"/>
  <c r="ED120" i="4" s="1"/>
  <c r="EV88" i="4" a="1"/>
  <c r="EV88" i="4" s="1"/>
  <c r="O40" i="50" s="1"/>
  <c r="DS88" i="4" a="1"/>
  <c r="DS88" i="4" s="1"/>
  <c r="DV88" i="4" a="1"/>
  <c r="DV88" i="4" s="1"/>
  <c r="ED88" i="4" a="1"/>
  <c r="ED88" i="4" s="1"/>
  <c r="DS73" i="4" a="1"/>
  <c r="DS73" i="4" s="1"/>
  <c r="EV73" i="4" a="1"/>
  <c r="EV73" i="4" s="1"/>
  <c r="DW73" i="4" a="1"/>
  <c r="DW73" i="4" s="1"/>
  <c r="EV50" i="4" a="1"/>
  <c r="EV50" i="4" s="1"/>
  <c r="O20" i="50" s="1"/>
  <c r="DS50" i="4" a="1"/>
  <c r="DS50" i="4" s="1"/>
  <c r="DL50" i="4" a="1"/>
  <c r="DL50" i="4" s="1"/>
  <c r="EO50" i="4" a="1"/>
  <c r="EO50" i="4" s="1"/>
  <c r="H20" i="50" s="1"/>
  <c r="ED50" i="4" a="1"/>
  <c r="ED50" i="4" s="1"/>
  <c r="EU50" i="4" a="1"/>
  <c r="EU50" i="4" s="1"/>
  <c r="N20" i="50" s="1"/>
  <c r="DR50" i="4" a="1"/>
  <c r="DR50" i="4" s="1"/>
  <c r="CK105" i="4"/>
  <c r="CV105" i="4"/>
  <c r="BT105" i="4"/>
  <c r="DF105" i="4"/>
  <c r="DB105" i="4"/>
  <c r="DA105" i="4"/>
  <c r="CZ105" i="4"/>
  <c r="CY105" i="4"/>
  <c r="DH105" i="4"/>
  <c r="DG105" i="4"/>
  <c r="CQ105" i="4"/>
  <c r="CN105" i="4"/>
  <c r="CW105" i="4"/>
  <c r="CO105" i="4"/>
  <c r="CP105" i="4"/>
  <c r="CM105" i="4"/>
  <c r="CX105" i="4"/>
  <c r="DE105" i="4"/>
  <c r="CL105" i="4"/>
  <c r="CT105" i="4"/>
  <c r="DD105" i="4"/>
  <c r="AJ105" i="4"/>
  <c r="DC105" i="4"/>
  <c r="CU105" i="4"/>
  <c r="CS105" i="4"/>
  <c r="AH105" i="4"/>
  <c r="CR105" i="4"/>
  <c r="EE13" i="4" a="1"/>
  <c r="EE13" i="4" s="1"/>
  <c r="EB13" i="4" a="1"/>
  <c r="EB13" i="4" s="1"/>
  <c r="DU13" i="4" a="1"/>
  <c r="DU13" i="4" s="1"/>
  <c r="DL118" i="4" a="1"/>
  <c r="DL118" i="4" s="1"/>
  <c r="EO118" i="4" a="1"/>
  <c r="EO118" i="4" s="1"/>
  <c r="EF81" i="4" a="1"/>
  <c r="EF81" i="4" s="1"/>
  <c r="DX81" i="4" a="1"/>
  <c r="DX81" i="4" s="1"/>
  <c r="EB76" i="4" a="1"/>
  <c r="EB76" i="4" s="1"/>
  <c r="DN76" i="4" a="1"/>
  <c r="DN76" i="4" s="1"/>
  <c r="EQ76" i="4" a="1"/>
  <c r="EQ76" i="4" s="1"/>
  <c r="ET76" i="4" a="1"/>
  <c r="ET76" i="4" s="1"/>
  <c r="DQ76" i="4" a="1"/>
  <c r="DQ76" i="4" s="1"/>
  <c r="EE107" i="4" a="1"/>
  <c r="EE107" i="4" s="1"/>
  <c r="DJ107" i="4" a="1"/>
  <c r="DJ107" i="4" s="1"/>
  <c r="EM107" i="4" a="1"/>
  <c r="EM107" i="4" s="1"/>
  <c r="DX107" i="4" a="1"/>
  <c r="DX107" i="4" s="1"/>
  <c r="DJ89" i="4" a="1"/>
  <c r="DJ89" i="4" s="1"/>
  <c r="EM89" i="4" a="1"/>
  <c r="EM89" i="4" s="1"/>
  <c r="F41" i="50" s="1"/>
  <c r="DR89" i="4" a="1"/>
  <c r="DR89" i="4" s="1"/>
  <c r="EU89" i="4" a="1"/>
  <c r="EU89" i="4" s="1"/>
  <c r="N41" i="50" s="1"/>
  <c r="EW89" i="4" a="1"/>
  <c r="EW89" i="4" s="1"/>
  <c r="P41" i="50" s="1"/>
  <c r="DT89" i="4" a="1"/>
  <c r="DT89" i="4" s="1"/>
  <c r="DP89" i="4" a="1"/>
  <c r="DP89" i="4" s="1"/>
  <c r="ES89" i="4" a="1"/>
  <c r="ES89" i="4" s="1"/>
  <c r="L41" i="50" s="1"/>
  <c r="ER80" i="4" a="1"/>
  <c r="ER80" i="4" s="1"/>
  <c r="DO80" i="4" a="1"/>
  <c r="DO80" i="4" s="1"/>
  <c r="EE80" i="4" a="1"/>
  <c r="EE80" i="4" s="1"/>
  <c r="DU9" i="4" a="1"/>
  <c r="DU9" i="4" s="1"/>
  <c r="DV9" i="4" a="1"/>
  <c r="DV9" i="4" s="1"/>
  <c r="DX83" i="4" a="1"/>
  <c r="DX83" i="4" s="1"/>
  <c r="EW83" i="4" a="1"/>
  <c r="EW83" i="4" s="1"/>
  <c r="DT83" i="4" a="1"/>
  <c r="DT83" i="4" s="1"/>
  <c r="DT43" i="4" a="1"/>
  <c r="DT43" i="4" s="1"/>
  <c r="EW43" i="4" a="1"/>
  <c r="EW43" i="4" s="1"/>
  <c r="P19" i="50" s="1"/>
  <c r="EB43" i="4" a="1"/>
  <c r="EB43" i="4" s="1"/>
  <c r="ED43" i="4" a="1"/>
  <c r="ED43" i="4" s="1"/>
  <c r="DZ43" i="4" a="1"/>
  <c r="DZ43" i="4" s="1"/>
  <c r="ED98" i="4" a="1"/>
  <c r="ED98" i="4" s="1"/>
  <c r="EV98" i="4" a="1"/>
  <c r="EV98" i="4" s="1"/>
  <c r="DS98" i="4" a="1"/>
  <c r="DS98" i="4" s="1"/>
  <c r="DX96" i="4" a="1"/>
  <c r="DX96" i="4" s="1"/>
  <c r="ER96" i="4" a="1"/>
  <c r="ER96" i="4" s="1"/>
  <c r="DO96" i="4" a="1"/>
  <c r="DO96" i="4" s="1"/>
  <c r="EF96" i="4" a="1"/>
  <c r="EF96" i="4" s="1"/>
  <c r="EV67" i="4" a="1"/>
  <c r="EV67" i="4" s="1"/>
  <c r="O31" i="50" s="1"/>
  <c r="DS67" i="4" a="1"/>
  <c r="DS67" i="4" s="1"/>
  <c r="DY67" i="4" a="1"/>
  <c r="DY67" i="4" s="1"/>
  <c r="EA67" i="4" a="1"/>
  <c r="EA67" i="4" s="1"/>
  <c r="EV133" i="4" a="1"/>
  <c r="EV133" i="4" s="1"/>
  <c r="DS133" i="4" a="1"/>
  <c r="DS133" i="4" s="1"/>
  <c r="EC133" i="4" a="1"/>
  <c r="EC133" i="4" s="1"/>
  <c r="EO10" i="4" a="1"/>
  <c r="EO10" i="4" s="1"/>
  <c r="DL10" i="4" a="1"/>
  <c r="DL10" i="4" s="1"/>
  <c r="EA10" i="4" a="1"/>
  <c r="EA10" i="4" s="1"/>
  <c r="DP51" i="4" a="1"/>
  <c r="DP51" i="4" s="1"/>
  <c r="ES51" i="4" a="1"/>
  <c r="ES51" i="4" s="1"/>
  <c r="L21" i="50" s="1"/>
  <c r="EF51" i="4" a="1"/>
  <c r="EF51" i="4" s="1"/>
  <c r="EQ51" i="4" a="1"/>
  <c r="EQ51" i="4" s="1"/>
  <c r="J21" i="50" s="1"/>
  <c r="DN51" i="4" a="1"/>
  <c r="DN51" i="4" s="1"/>
  <c r="EE62" i="4" a="1"/>
  <c r="EE62" i="4" s="1"/>
  <c r="ER62" i="4" a="1"/>
  <c r="ER62" i="4" s="1"/>
  <c r="K27" i="50" s="1"/>
  <c r="DO62" i="4" a="1"/>
  <c r="DO62" i="4" s="1"/>
  <c r="EU77" i="4" a="1"/>
  <c r="EU77" i="4" s="1"/>
  <c r="DR77" i="4" a="1"/>
  <c r="DR77" i="4" s="1"/>
  <c r="DK77" i="4" a="1"/>
  <c r="DK77" i="4" s="1"/>
  <c r="EN77" i="4" a="1"/>
  <c r="EN77" i="4" s="1"/>
  <c r="DJ77" i="4" a="1"/>
  <c r="DJ77" i="4" s="1"/>
  <c r="EM77" i="4" a="1"/>
  <c r="EM77" i="4" s="1"/>
  <c r="DX77" i="4" a="1"/>
  <c r="DX77" i="4" s="1"/>
  <c r="EL79" i="4" a="1"/>
  <c r="EL79" i="4" s="1"/>
  <c r="DI79" i="4" a="1"/>
  <c r="DI79" i="4" s="1"/>
  <c r="EB79" i="4" a="1"/>
  <c r="EB79" i="4" s="1"/>
  <c r="EP79" i="4" a="1"/>
  <c r="EP79" i="4" s="1"/>
  <c r="DM79" i="4" a="1"/>
  <c r="DM79" i="4" s="1"/>
  <c r="DK92" i="4" a="1"/>
  <c r="DK92" i="4" s="1"/>
  <c r="EN92" i="4" a="1"/>
  <c r="EN92" i="4" s="1"/>
  <c r="G43" i="50" s="1"/>
  <c r="ET92" i="4" a="1"/>
  <c r="ET92" i="4" s="1"/>
  <c r="M43" i="50" s="1"/>
  <c r="DQ92" i="4" a="1"/>
  <c r="DQ92" i="4" s="1"/>
  <c r="DY78" i="4" a="1"/>
  <c r="DY78" i="4" s="1"/>
  <c r="EQ78" i="4" a="1"/>
  <c r="EQ78" i="4" s="1"/>
  <c r="DN78" i="4" a="1"/>
  <c r="DN78" i="4" s="1"/>
  <c r="DT125" i="4" a="1"/>
  <c r="DT125" i="4" s="1"/>
  <c r="EW125" i="4" a="1"/>
  <c r="EW125" i="4" s="1"/>
  <c r="P58" i="50" s="1"/>
  <c r="EV125" i="4" a="1"/>
  <c r="EV125" i="4" s="1"/>
  <c r="O58" i="50" s="1"/>
  <c r="DS125" i="4" a="1"/>
  <c r="DS125" i="4" s="1"/>
  <c r="DP35" i="4" a="1"/>
  <c r="DP35" i="4" s="1"/>
  <c r="ES35" i="4" a="1"/>
  <c r="ES35" i="4" s="1"/>
  <c r="DS35" i="4" a="1"/>
  <c r="DS35" i="4" s="1"/>
  <c r="EV35" i="4" a="1"/>
  <c r="EV35" i="4" s="1"/>
  <c r="EC35" i="4" a="1"/>
  <c r="EC35" i="4" s="1"/>
  <c r="EG85" i="4"/>
  <c r="EW122" i="4" a="1"/>
  <c r="EW122" i="4" s="1"/>
  <c r="P56" i="50" s="1"/>
  <c r="DT122" i="4" a="1"/>
  <c r="DT122" i="4" s="1"/>
  <c r="DL122" i="4" a="1"/>
  <c r="DL122" i="4" s="1"/>
  <c r="EO122" i="4" a="1"/>
  <c r="EO122" i="4" s="1"/>
  <c r="H56" i="50" s="1"/>
  <c r="EL32" i="4" a="1"/>
  <c r="EL32" i="4" s="1"/>
  <c r="DI32" i="4" a="1"/>
  <c r="DI32" i="4" s="1"/>
  <c r="EF32" i="4" a="1"/>
  <c r="EF32" i="4" s="1"/>
  <c r="EC32" i="4" a="1"/>
  <c r="EC32" i="4" s="1"/>
  <c r="DX12" i="4" a="1"/>
  <c r="DX12" i="4" s="1"/>
  <c r="DQ12" i="4" a="1"/>
  <c r="DQ12" i="4" s="1"/>
  <c r="ET12" i="4" a="1"/>
  <c r="ET12" i="4" s="1"/>
  <c r="M4" i="50" s="1"/>
  <c r="ED12" i="4" a="1"/>
  <c r="ED12" i="4" s="1"/>
  <c r="DK134" i="4" a="1"/>
  <c r="DK134" i="4" s="1"/>
  <c r="EN134" i="4" a="1"/>
  <c r="EN134" i="4" s="1"/>
  <c r="DY134" i="4" a="1"/>
  <c r="DY134" i="4" s="1"/>
  <c r="EC134" i="4" a="1"/>
  <c r="EC134" i="4" s="1"/>
  <c r="EM134" i="4" a="1"/>
  <c r="EM134" i="4" s="1"/>
  <c r="DJ134" i="4" a="1"/>
  <c r="DJ134" i="4" s="1"/>
  <c r="DT84" i="4" a="1"/>
  <c r="DT84" i="4" s="1"/>
  <c r="EW84" i="4" a="1"/>
  <c r="EW84" i="4" s="1"/>
  <c r="EB84" i="4" a="1"/>
  <c r="EB84" i="4" s="1"/>
  <c r="EE127" i="4" a="1"/>
  <c r="EE127" i="4" s="1"/>
  <c r="ER127" i="4" a="1"/>
  <c r="ER127" i="4" s="1"/>
  <c r="DO127" i="4" a="1"/>
  <c r="DO127" i="4" s="1"/>
  <c r="EM127" i="4" a="1"/>
  <c r="EM127" i="4" s="1"/>
  <c r="DJ127" i="4" a="1"/>
  <c r="DJ127" i="4" s="1"/>
  <c r="EB97" i="4" a="1"/>
  <c r="EB97" i="4" s="1"/>
  <c r="EW97" i="4" a="1"/>
  <c r="EW97" i="4" s="1"/>
  <c r="DT97" i="4" a="1"/>
  <c r="DT97" i="4" s="1"/>
  <c r="DK56" i="4" a="1"/>
  <c r="DK56" i="4" s="1"/>
  <c r="EN56" i="4" a="1"/>
  <c r="EN56" i="4" s="1"/>
  <c r="G25" i="50" s="1"/>
  <c r="DL56" i="4" a="1"/>
  <c r="DL56" i="4" s="1"/>
  <c r="EO56" i="4" a="1"/>
  <c r="EO56" i="4" s="1"/>
  <c r="H25" i="50" s="1"/>
  <c r="DS93" i="4" a="1"/>
  <c r="DS93" i="4" s="1"/>
  <c r="EV93" i="4" a="1"/>
  <c r="EV93" i="4" s="1"/>
  <c r="O44" i="50" s="1"/>
  <c r="EL93" i="4" a="1"/>
  <c r="EL93" i="4" s="1"/>
  <c r="E44" i="50" s="1"/>
  <c r="DI93" i="4" a="1"/>
  <c r="DI93" i="4" s="1"/>
  <c r="DV93" i="4" a="1"/>
  <c r="DV93" i="4" s="1"/>
  <c r="EB21" i="4" a="1"/>
  <c r="EB21" i="4" s="1"/>
  <c r="DS21" i="4" a="1"/>
  <c r="DS21" i="4" s="1"/>
  <c r="EV21" i="4" a="1"/>
  <c r="EV21" i="4" s="1"/>
  <c r="O9" i="50" s="1"/>
  <c r="DX21" i="4" a="1"/>
  <c r="DX21" i="4" s="1"/>
  <c r="DX121" i="4" a="1"/>
  <c r="DX121" i="4" s="1"/>
  <c r="EU8" i="4" a="1"/>
  <c r="EU8" i="4" s="1"/>
  <c r="DR8" i="4" a="1"/>
  <c r="DR8" i="4" s="1"/>
  <c r="DP42" i="4" a="1"/>
  <c r="DP42" i="4" s="1"/>
  <c r="ES42" i="4" a="1"/>
  <c r="ES42" i="4" s="1"/>
  <c r="L18" i="50" s="1"/>
  <c r="DV63" i="4" a="1"/>
  <c r="DV63" i="4" s="1"/>
  <c r="EC91" i="4" a="1"/>
  <c r="EC91" i="4" s="1"/>
  <c r="DS109" i="4" a="1"/>
  <c r="DS109" i="4" s="1"/>
  <c r="EV109" i="4" a="1"/>
  <c r="EV109" i="4" s="1"/>
  <c r="EA101" i="4" a="1"/>
  <c r="EA101" i="4" s="1"/>
  <c r="DP135" i="4" a="1"/>
  <c r="DP135" i="4" s="1"/>
  <c r="ES135" i="4" a="1"/>
  <c r="ES135" i="4" s="1"/>
  <c r="DT124" i="4" a="1"/>
  <c r="DT124" i="4" s="1"/>
  <c r="EW124" i="4" a="1"/>
  <c r="EW124" i="4" s="1"/>
  <c r="P57" i="50" s="1"/>
  <c r="EM95" i="4" a="1"/>
  <c r="EM95" i="4" s="1"/>
  <c r="DJ95" i="4" a="1"/>
  <c r="DJ95" i="4" s="1"/>
  <c r="DV82" i="4" a="1"/>
  <c r="DV82" i="4" s="1"/>
  <c r="DY75" i="4" a="1"/>
  <c r="DY75" i="4" s="1"/>
  <c r="EO37" i="4" a="1"/>
  <c r="EO37" i="4" s="1"/>
  <c r="DL37" i="4" a="1"/>
  <c r="DL37" i="4" s="1"/>
  <c r="DX88" i="4" a="1"/>
  <c r="DX88" i="4" s="1"/>
  <c r="CR115" i="4"/>
  <c r="CK115" i="4"/>
  <c r="AH115" i="4"/>
  <c r="CX115" i="4"/>
  <c r="DH115" i="4"/>
  <c r="BT115" i="4"/>
  <c r="CZ115" i="4"/>
  <c r="DA115" i="4"/>
  <c r="CV115" i="4"/>
  <c r="CS115" i="4"/>
  <c r="CO115" i="4"/>
  <c r="AJ115" i="4"/>
  <c r="CT115" i="4"/>
  <c r="DD115" i="4"/>
  <c r="DE115" i="4"/>
  <c r="CY115" i="4"/>
  <c r="CL115" i="4"/>
  <c r="CM115" i="4"/>
  <c r="CW115" i="4"/>
  <c r="CP115" i="4"/>
  <c r="DC115" i="4"/>
  <c r="DF115" i="4"/>
  <c r="CN115" i="4"/>
  <c r="DB115" i="4"/>
  <c r="CU115" i="4"/>
  <c r="DG115" i="4"/>
  <c r="CQ115" i="4"/>
  <c r="EN50" i="4" a="1"/>
  <c r="EN50" i="4" s="1"/>
  <c r="G20" i="50" s="1"/>
  <c r="DK50" i="4" a="1"/>
  <c r="DK50" i="4" s="1"/>
  <c r="EA13" i="4" a="1"/>
  <c r="EA13" i="4" s="1"/>
  <c r="ED118" i="4" a="1"/>
  <c r="ED118" i="4" s="1"/>
  <c r="ES81" i="4" a="1"/>
  <c r="ES81" i="4" s="1"/>
  <c r="DP81" i="4" a="1"/>
  <c r="DP81" i="4" s="1"/>
  <c r="EC81" i="4" a="1"/>
  <c r="EC81" i="4" s="1"/>
  <c r="EG16" i="4"/>
  <c r="EM36" i="4" a="1"/>
  <c r="EM36" i="4" s="1"/>
  <c r="DJ36" i="4" a="1"/>
  <c r="DJ36" i="4" s="1"/>
  <c r="EC121" i="4" a="1"/>
  <c r="EC121" i="4" s="1"/>
  <c r="DZ8" i="4" a="1"/>
  <c r="DZ8" i="4" s="1"/>
  <c r="DU22" i="4" a="1"/>
  <c r="DU22" i="4" s="1"/>
  <c r="EU42" i="4" a="1"/>
  <c r="EU42" i="4" s="1"/>
  <c r="N18" i="50" s="1"/>
  <c r="DR42" i="4" a="1"/>
  <c r="DR42" i="4" s="1"/>
  <c r="DO33" i="4" a="1"/>
  <c r="DO33" i="4" s="1"/>
  <c r="ER33" i="4" a="1"/>
  <c r="ER33" i="4" s="1"/>
  <c r="EC63" i="4" a="1"/>
  <c r="EC63" i="4" s="1"/>
  <c r="DY94" i="4" a="1"/>
  <c r="DY94" i="4" s="1"/>
  <c r="DP91" i="4" a="1"/>
  <c r="DP91" i="4" s="1"/>
  <c r="ES91" i="4" a="1"/>
  <c r="ES91" i="4" s="1"/>
  <c r="EA116" i="4" a="1"/>
  <c r="EA116" i="4" s="1"/>
  <c r="EB129" i="4" a="1"/>
  <c r="EB129" i="4" s="1"/>
  <c r="DT117" i="4" a="1"/>
  <c r="DT117" i="4" s="1"/>
  <c r="EW117" i="4" a="1"/>
  <c r="EW117" i="4" s="1"/>
  <c r="DO117" i="4" a="1"/>
  <c r="DO117" i="4" s="1"/>
  <c r="ER117" i="4" a="1"/>
  <c r="ER117" i="4" s="1"/>
  <c r="BT137" i="4"/>
  <c r="CL137" i="4"/>
  <c r="AH137" i="4"/>
  <c r="DH137" i="4"/>
  <c r="DC137" i="4"/>
  <c r="DE137" i="4"/>
  <c r="CY137" i="4"/>
  <c r="CS137" i="4"/>
  <c r="CM137" i="4"/>
  <c r="DB137" i="4"/>
  <c r="DG137" i="4"/>
  <c r="CU137" i="4"/>
  <c r="CP137" i="4"/>
  <c r="DF137" i="4"/>
  <c r="CT137" i="4"/>
  <c r="CK137" i="4"/>
  <c r="CR137" i="4"/>
  <c r="CN137" i="4"/>
  <c r="AJ137" i="4"/>
  <c r="CW137" i="4"/>
  <c r="CQ137" i="4"/>
  <c r="CX137" i="4"/>
  <c r="CZ137" i="4"/>
  <c r="DD137" i="4"/>
  <c r="DA137" i="4"/>
  <c r="CV137" i="4"/>
  <c r="CO137" i="4"/>
  <c r="DO124" i="4" a="1"/>
  <c r="DO124" i="4" s="1"/>
  <c r="ER124" i="4" a="1"/>
  <c r="ER124" i="4" s="1"/>
  <c r="K57" i="50" s="1"/>
  <c r="EW95" i="4" a="1"/>
  <c r="EW95" i="4" s="1"/>
  <c r="DT95" i="4" a="1"/>
  <c r="DT95" i="4" s="1"/>
  <c r="ET24" i="4" a="1"/>
  <c r="ET24" i="4" s="1"/>
  <c r="M11" i="50" s="1"/>
  <c r="DQ24" i="4" a="1"/>
  <c r="DQ24" i="4" s="1"/>
  <c r="EG40" i="4"/>
  <c r="DK36" i="4" a="1"/>
  <c r="DK36" i="4" s="1"/>
  <c r="EN36" i="4" a="1"/>
  <c r="EN36" i="4" s="1"/>
  <c r="EF130" i="4" a="1"/>
  <c r="EF130" i="4" s="1"/>
  <c r="EB128" i="4" a="1"/>
  <c r="EB128" i="4" s="1"/>
  <c r="DY121" i="4" a="1"/>
  <c r="DY121" i="4" s="1"/>
  <c r="DW8" i="4" a="1"/>
  <c r="DW8" i="4" s="1"/>
  <c r="EP22" i="4" a="1"/>
  <c r="EP22" i="4" s="1"/>
  <c r="I10" i="50" s="1"/>
  <c r="DM22" i="4" a="1"/>
  <c r="DM22" i="4" s="1"/>
  <c r="DL42" i="4" a="1"/>
  <c r="DL42" i="4" s="1"/>
  <c r="EO42" i="4" a="1"/>
  <c r="EO42" i="4" s="1"/>
  <c r="H18" i="50" s="1"/>
  <c r="EP42" i="4" a="1"/>
  <c r="EP42" i="4" s="1"/>
  <c r="I18" i="50" s="1"/>
  <c r="DM42" i="4" a="1"/>
  <c r="DM42" i="4" s="1"/>
  <c r="DP33" i="4" a="1"/>
  <c r="DP33" i="4" s="1"/>
  <c r="ES33" i="4" a="1"/>
  <c r="ES33" i="4" s="1"/>
  <c r="DY74" i="4" a="1"/>
  <c r="DY74" i="4" s="1"/>
  <c r="EO94" i="4" a="1"/>
  <c r="EO94" i="4" s="1"/>
  <c r="DL94" i="4" a="1"/>
  <c r="DL94" i="4" s="1"/>
  <c r="DI91" i="4" a="1"/>
  <c r="DI91" i="4" s="1"/>
  <c r="EL91" i="4" a="1"/>
  <c r="EL91" i="4" s="1"/>
  <c r="EN116" i="4" a="1"/>
  <c r="EN116" i="4" s="1"/>
  <c r="DK116" i="4" a="1"/>
  <c r="DK116" i="4" s="1"/>
  <c r="DV109" i="4" a="1"/>
  <c r="DV109" i="4" s="1"/>
  <c r="DW129" i="4" a="1"/>
  <c r="DW129" i="4" s="1"/>
  <c r="ED101" i="4" a="1"/>
  <c r="ED101" i="4" s="1"/>
  <c r="EC22" i="4" a="1"/>
  <c r="EC22" i="4" s="1"/>
  <c r="DN22" i="4" a="1"/>
  <c r="DN22" i="4" s="1"/>
  <c r="EQ22" i="4" a="1"/>
  <c r="EQ22" i="4" s="1"/>
  <c r="J10" i="50" s="1"/>
  <c r="EA42" i="4" a="1"/>
  <c r="EA42" i="4" s="1"/>
  <c r="EC42" i="4" a="1"/>
  <c r="EC42" i="4" s="1"/>
  <c r="DW33" i="4" a="1"/>
  <c r="DW33" i="4" s="1"/>
  <c r="DR33" i="4" a="1"/>
  <c r="DR33" i="4" s="1"/>
  <c r="EU33" i="4" a="1"/>
  <c r="EU33" i="4" s="1"/>
  <c r="EO63" i="4" a="1"/>
  <c r="EO63" i="4" s="1"/>
  <c r="H28" i="50" s="1"/>
  <c r="DL63" i="4" a="1"/>
  <c r="DL63" i="4" s="1"/>
  <c r="DO74" i="4" a="1"/>
  <c r="DO74" i="4" s="1"/>
  <c r="ER74" i="4" a="1"/>
  <c r="ER74" i="4" s="1"/>
  <c r="ET94" i="4" a="1"/>
  <c r="ET94" i="4" s="1"/>
  <c r="M45" i="50" s="1"/>
  <c r="DQ94" i="4" a="1"/>
  <c r="DQ94" i="4" s="1"/>
  <c r="ED91" i="4" a="1"/>
  <c r="ED91" i="4" s="1"/>
  <c r="EL116" i="4" a="1"/>
  <c r="EL116" i="4" s="1"/>
  <c r="DI116" i="4" a="1"/>
  <c r="DI116" i="4" s="1"/>
  <c r="DO109" i="4" a="1"/>
  <c r="DO109" i="4" s="1"/>
  <c r="ER109" i="4" a="1"/>
  <c r="ER109" i="4" s="1"/>
  <c r="DQ109" i="4" a="1"/>
  <c r="DQ109" i="4" s="1"/>
  <c r="ET109" i="4" a="1"/>
  <c r="ET109" i="4" s="1"/>
  <c r="DY129" i="4" a="1"/>
  <c r="DY129" i="4" s="1"/>
  <c r="ED117" i="4" a="1"/>
  <c r="ED117" i="4" s="1"/>
  <c r="EN101" i="4" a="1"/>
  <c r="EN101" i="4" s="1"/>
  <c r="G49" i="50" s="1"/>
  <c r="DK101" i="4" a="1"/>
  <c r="DK101" i="4" s="1"/>
  <c r="EO135" i="4" a="1"/>
  <c r="EO135" i="4" s="1"/>
  <c r="DL135" i="4" a="1"/>
  <c r="DL135" i="4" s="1"/>
  <c r="DK102" i="4" a="1"/>
  <c r="DK102" i="4" s="1"/>
  <c r="EN102" i="4" a="1"/>
  <c r="EN102" i="4" s="1"/>
  <c r="DP102" i="4" a="1"/>
  <c r="DP102" i="4" s="1"/>
  <c r="ES102" i="4" a="1"/>
  <c r="ES102" i="4" s="1"/>
  <c r="ED124" i="4" a="1"/>
  <c r="ED124" i="4" s="1"/>
  <c r="DU95" i="4" a="1"/>
  <c r="DU95" i="4" s="1"/>
  <c r="EO95" i="4" a="1"/>
  <c r="EO95" i="4" s="1"/>
  <c r="DL95" i="4" a="1"/>
  <c r="DL95" i="4" s="1"/>
  <c r="DQ82" i="4" a="1"/>
  <c r="DQ82" i="4" s="1"/>
  <c r="ET82" i="4" a="1"/>
  <c r="ET82" i="4" s="1"/>
  <c r="EF82" i="4" a="1"/>
  <c r="EF82" i="4" s="1"/>
  <c r="DR24" i="4" a="1"/>
  <c r="DR24" i="4" s="1"/>
  <c r="EU24" i="4" a="1"/>
  <c r="EU24" i="4" s="1"/>
  <c r="N11" i="50" s="1"/>
  <c r="DS24" i="4" a="1"/>
  <c r="DS24" i="4" s="1"/>
  <c r="EV24" i="4" a="1"/>
  <c r="EV24" i="4" s="1"/>
  <c r="O11" i="50" s="1"/>
  <c r="DV75" i="4" a="1"/>
  <c r="DV75" i="4" s="1"/>
  <c r="EC75" i="4" a="1"/>
  <c r="EC75" i="4" s="1"/>
  <c r="EE131" i="4" a="1"/>
  <c r="EE131" i="4" s="1"/>
  <c r="DZ131" i="4" a="1"/>
  <c r="DZ131" i="4" s="1"/>
  <c r="DU7" i="4" a="1"/>
  <c r="DU7" i="4" s="1"/>
  <c r="EB7" i="4" a="1"/>
  <c r="EB7" i="4" s="1"/>
  <c r="ES37" i="4" a="1"/>
  <c r="ES37" i="4" s="1"/>
  <c r="DP37" i="4" a="1"/>
  <c r="DP37" i="4" s="1"/>
  <c r="EE37" i="4" a="1"/>
  <c r="EE37" i="4" s="1"/>
  <c r="DT37" i="4" a="1"/>
  <c r="DT37" i="4" s="1"/>
  <c r="EW37" i="4" a="1"/>
  <c r="EW37" i="4" s="1"/>
  <c r="DX90" i="4" a="1"/>
  <c r="DX90" i="4" s="1"/>
  <c r="EB90" i="4" a="1"/>
  <c r="EB90" i="4" s="1"/>
  <c r="DK111" i="4" a="1"/>
  <c r="DK111" i="4" s="1"/>
  <c r="EN111" i="4" a="1"/>
  <c r="EN111" i="4" s="1"/>
  <c r="DP111" i="4" a="1"/>
  <c r="DP111" i="4" s="1"/>
  <c r="ES111" i="4" a="1"/>
  <c r="ES111" i="4" s="1"/>
  <c r="DY6" i="4" a="1"/>
  <c r="DY6" i="4" s="1"/>
  <c r="EE6" i="4" a="1"/>
  <c r="EE6" i="4" s="1"/>
  <c r="DT6" i="4" a="1"/>
  <c r="DT6" i="4" s="1"/>
  <c r="EW6" i="4" a="1"/>
  <c r="EW6" i="4" s="1"/>
  <c r="EG71" i="4"/>
  <c r="DS120" i="4" a="1"/>
  <c r="DS120" i="4" s="1"/>
  <c r="EV120" i="4" a="1"/>
  <c r="EV120" i="4" s="1"/>
  <c r="O55" i="50" s="1"/>
  <c r="DU120" i="4" a="1"/>
  <c r="DU120" i="4" s="1"/>
  <c r="DI120" i="4" a="1"/>
  <c r="DI120" i="4" s="1"/>
  <c r="EL120" i="4" a="1"/>
  <c r="EL120" i="4" s="1"/>
  <c r="EE120" i="4" a="1"/>
  <c r="EE120" i="4" s="1"/>
  <c r="EG61" i="4"/>
  <c r="EF88" i="4" a="1"/>
  <c r="EF88" i="4" s="1"/>
  <c r="ET88" i="4" a="1"/>
  <c r="ET88" i="4" s="1"/>
  <c r="M40" i="50" s="1"/>
  <c r="DQ88" i="4" a="1"/>
  <c r="DQ88" i="4" s="1"/>
  <c r="DI88" i="4" a="1"/>
  <c r="DI88" i="4" s="1"/>
  <c r="EL88" i="4" a="1"/>
  <c r="EL88" i="4" s="1"/>
  <c r="E40" i="50" s="1"/>
  <c r="DU73" i="4" a="1"/>
  <c r="DU73" i="4" s="1"/>
  <c r="DY73" i="4" a="1"/>
  <c r="DY73" i="4" s="1"/>
  <c r="EA73" i="4" a="1"/>
  <c r="EA73" i="4" s="1"/>
  <c r="EB50" i="4" a="1"/>
  <c r="EB50" i="4" s="1"/>
  <c r="ES50" i="4" a="1"/>
  <c r="ES50" i="4" s="1"/>
  <c r="L20" i="50" s="1"/>
  <c r="DP50" i="4" a="1"/>
  <c r="DP50" i="4" s="1"/>
  <c r="EL50" i="4" a="1"/>
  <c r="EL50" i="4" s="1"/>
  <c r="E20" i="50" s="1"/>
  <c r="DI50" i="4" a="1"/>
  <c r="DI50" i="4" s="1"/>
  <c r="DS202" i="2"/>
  <c r="DR202" i="2"/>
  <c r="DT202" i="2"/>
  <c r="CX139" i="4"/>
  <c r="CK139" i="4"/>
  <c r="DF139" i="4"/>
  <c r="AJ139" i="4"/>
  <c r="CV139" i="4"/>
  <c r="CS139" i="4"/>
  <c r="DE139" i="4"/>
  <c r="DD139" i="4"/>
  <c r="DA139" i="4"/>
  <c r="DB139" i="4"/>
  <c r="AH139" i="4"/>
  <c r="CZ139" i="4"/>
  <c r="DC139" i="4"/>
  <c r="CR139" i="4"/>
  <c r="DG139" i="4"/>
  <c r="CM139" i="4"/>
  <c r="BT139" i="4"/>
  <c r="CN139" i="4"/>
  <c r="CU139" i="4"/>
  <c r="CW139" i="4"/>
  <c r="CL139" i="4"/>
  <c r="CP139" i="4"/>
  <c r="CO139" i="4"/>
  <c r="CY139" i="4"/>
  <c r="DH139" i="4"/>
  <c r="CT139" i="4"/>
  <c r="CQ139" i="4"/>
  <c r="EO13" i="4" a="1"/>
  <c r="EO13" i="4" s="1"/>
  <c r="H5" i="50" s="1"/>
  <c r="DL13" i="4" a="1"/>
  <c r="DL13" i="4" s="1"/>
  <c r="EC13" i="4" a="1"/>
  <c r="EC13" i="4" s="1"/>
  <c r="DN13" i="4" a="1"/>
  <c r="DN13" i="4" s="1"/>
  <c r="EQ13" i="4" a="1"/>
  <c r="EQ13" i="4" s="1"/>
  <c r="J5" i="50" s="1"/>
  <c r="DM118" i="4" a="1"/>
  <c r="DM118" i="4" s="1"/>
  <c r="EP118" i="4" a="1"/>
  <c r="EP118" i="4" s="1"/>
  <c r="DT118" i="4" a="1"/>
  <c r="DT118" i="4" s="1"/>
  <c r="EW118" i="4" a="1"/>
  <c r="EW118" i="4" s="1"/>
  <c r="EA118" i="4" a="1"/>
  <c r="EA118" i="4" s="1"/>
  <c r="EL81" i="4" a="1"/>
  <c r="EL81" i="4" s="1"/>
  <c r="DI81" i="4" a="1"/>
  <c r="DI81" i="4" s="1"/>
  <c r="EE81" i="4" a="1"/>
  <c r="EE81" i="4" s="1"/>
  <c r="EB81" i="4" a="1"/>
  <c r="EB81" i="4" s="1"/>
  <c r="EC76" i="4" a="1"/>
  <c r="EC76" i="4" s="1"/>
  <c r="DW76" i="4" a="1"/>
  <c r="DW76" i="4" s="1"/>
  <c r="EM76" i="4" a="1"/>
  <c r="EM76" i="4" s="1"/>
  <c r="DJ76" i="4" a="1"/>
  <c r="DJ76" i="4" s="1"/>
  <c r="EA107" i="4" a="1"/>
  <c r="EA107" i="4" s="1"/>
  <c r="EW107" i="4" a="1"/>
  <c r="EW107" i="4" s="1"/>
  <c r="DT107" i="4" a="1"/>
  <c r="DT107" i="4" s="1"/>
  <c r="EQ107" i="4" a="1"/>
  <c r="EQ107" i="4" s="1"/>
  <c r="DN107" i="4" a="1"/>
  <c r="DN107" i="4" s="1"/>
  <c r="DN89" i="4" a="1"/>
  <c r="DN89" i="4" s="1"/>
  <c r="EQ89" i="4" a="1"/>
  <c r="EQ89" i="4" s="1"/>
  <c r="J41" i="50" s="1"/>
  <c r="DK89" i="4" a="1"/>
  <c r="DK89" i="4" s="1"/>
  <c r="EN89" i="4" a="1"/>
  <c r="EN89" i="4" s="1"/>
  <c r="G41" i="50" s="1"/>
  <c r="DX89" i="4" a="1"/>
  <c r="DX89" i="4" s="1"/>
  <c r="DI80" i="4" a="1"/>
  <c r="DI80" i="4" s="1"/>
  <c r="EL80" i="4" a="1"/>
  <c r="EL80" i="4" s="1"/>
  <c r="EP80" i="4" a="1"/>
  <c r="EP80" i="4" s="1"/>
  <c r="DM80" i="4" a="1"/>
  <c r="DM80" i="4" s="1"/>
  <c r="EC80" i="4" a="1"/>
  <c r="EC80" i="4" s="1"/>
  <c r="DK9" i="4" a="1"/>
  <c r="DK9" i="4" s="1"/>
  <c r="EN9" i="4" a="1"/>
  <c r="EN9" i="4" s="1"/>
  <c r="DY9" i="4" a="1"/>
  <c r="DY9" i="4" s="1"/>
  <c r="DR9" i="4" a="1"/>
  <c r="DR9" i="4" s="1"/>
  <c r="EU9" i="4" a="1"/>
  <c r="EU9" i="4" s="1"/>
  <c r="EG55" i="4"/>
  <c r="DR83" i="4" a="1"/>
  <c r="DR83" i="4" s="1"/>
  <c r="EU83" i="4" a="1"/>
  <c r="EU83" i="4" s="1"/>
  <c r="DS83" i="4" a="1"/>
  <c r="DS83" i="4" s="1"/>
  <c r="EV83" i="4" a="1"/>
  <c r="EV83" i="4" s="1"/>
  <c r="DU83" i="4" a="1"/>
  <c r="DU83" i="4" s="1"/>
  <c r="DQ43" i="4" a="1"/>
  <c r="DQ43" i="4" s="1"/>
  <c r="ET43" i="4" a="1"/>
  <c r="ET43" i="4" s="1"/>
  <c r="M19" i="50" s="1"/>
  <c r="DR43" i="4" a="1"/>
  <c r="DR43" i="4" s="1"/>
  <c r="EU43" i="4" a="1"/>
  <c r="EU43" i="4" s="1"/>
  <c r="N19" i="50" s="1"/>
  <c r="EU98" i="4" a="1"/>
  <c r="EU98" i="4" s="1"/>
  <c r="DR98" i="4" a="1"/>
  <c r="DR98" i="4" s="1"/>
  <c r="EB98" i="4" a="1"/>
  <c r="EB98" i="4" s="1"/>
  <c r="DI98" i="4" a="1"/>
  <c r="DI98" i="4" s="1"/>
  <c r="EL98" i="4" a="1"/>
  <c r="EL98" i="4" s="1"/>
  <c r="EC96" i="4" a="1"/>
  <c r="EC96" i="4" s="1"/>
  <c r="EQ96" i="4" a="1"/>
  <c r="EQ96" i="4" s="1"/>
  <c r="DN96" i="4" a="1"/>
  <c r="DN96" i="4" s="1"/>
  <c r="DY96" i="4" a="1"/>
  <c r="DY96" i="4" s="1"/>
  <c r="ER67" i="4" a="1"/>
  <c r="ER67" i="4" s="1"/>
  <c r="K31" i="50" s="1"/>
  <c r="DO67" i="4" a="1"/>
  <c r="DO67" i="4" s="1"/>
  <c r="DQ67" i="4" a="1"/>
  <c r="DQ67" i="4" s="1"/>
  <c r="ET67" i="4" a="1"/>
  <c r="ET67" i="4" s="1"/>
  <c r="M31" i="50" s="1"/>
  <c r="EB67" i="4" a="1"/>
  <c r="EB67" i="4" s="1"/>
  <c r="DI133" i="4" a="1"/>
  <c r="DI133" i="4" s="1"/>
  <c r="EL133" i="4" a="1"/>
  <c r="EL133" i="4" s="1"/>
  <c r="EW133" i="4" a="1"/>
  <c r="EW133" i="4" s="1"/>
  <c r="DT133" i="4" a="1"/>
  <c r="DT133" i="4" s="1"/>
  <c r="EA133" i="4" a="1"/>
  <c r="EA133" i="4" s="1"/>
  <c r="EB10" i="4" a="1"/>
  <c r="EB10" i="4" s="1"/>
  <c r="DZ10" i="4" a="1"/>
  <c r="DZ10" i="4" s="1"/>
  <c r="DQ10" i="4" a="1"/>
  <c r="DQ10" i="4" s="1"/>
  <c r="ET10" i="4" a="1"/>
  <c r="ET10" i="4" s="1"/>
  <c r="DK51" i="4" a="1"/>
  <c r="DK51" i="4" s="1"/>
  <c r="EN51" i="4" a="1"/>
  <c r="EN51" i="4" s="1"/>
  <c r="G21" i="50" s="1"/>
  <c r="EO51" i="4" a="1"/>
  <c r="EO51" i="4" s="1"/>
  <c r="H21" i="50" s="1"/>
  <c r="DL51" i="4" a="1"/>
  <c r="DL51" i="4" s="1"/>
  <c r="DS51" i="4" a="1"/>
  <c r="DS51" i="4" s="1"/>
  <c r="EV51" i="4" a="1"/>
  <c r="EV51" i="4" s="1"/>
  <c r="O21" i="50" s="1"/>
  <c r="EE51" i="4" a="1"/>
  <c r="EE51" i="4" s="1"/>
  <c r="EU62" i="4" a="1"/>
  <c r="EU62" i="4" s="1"/>
  <c r="N27" i="50" s="1"/>
  <c r="DR62" i="4" a="1"/>
  <c r="DR62" i="4" s="1"/>
  <c r="DI62" i="4" a="1"/>
  <c r="DI62" i="4" s="1"/>
  <c r="EL62" i="4" a="1"/>
  <c r="EL62" i="4" s="1"/>
  <c r="E27" i="50" s="1"/>
  <c r="ED62" i="4" a="1"/>
  <c r="ED62" i="4" s="1"/>
  <c r="DW77" i="4" a="1"/>
  <c r="DW77" i="4" s="1"/>
  <c r="DL77" i="4" a="1"/>
  <c r="DL77" i="4" s="1"/>
  <c r="EO77" i="4" a="1"/>
  <c r="EO77" i="4" s="1"/>
  <c r="DY77" i="4" a="1"/>
  <c r="DY77" i="4" s="1"/>
  <c r="EQ79" i="4" a="1"/>
  <c r="EQ79" i="4" s="1"/>
  <c r="DN79" i="4" a="1"/>
  <c r="DN79" i="4" s="1"/>
  <c r="ET79" i="4" a="1"/>
  <c r="ET79" i="4" s="1"/>
  <c r="DQ79" i="4" a="1"/>
  <c r="DQ79" i="4" s="1"/>
  <c r="DO79" i="4" a="1"/>
  <c r="DO79" i="4" s="1"/>
  <c r="ER79" i="4" a="1"/>
  <c r="ER79" i="4" s="1"/>
  <c r="DJ92" i="4" a="1"/>
  <c r="DJ92" i="4" s="1"/>
  <c r="EM92" i="4" a="1"/>
  <c r="EM92" i="4" s="1"/>
  <c r="F43" i="50" s="1"/>
  <c r="DP92" i="4" a="1"/>
  <c r="DP92" i="4" s="1"/>
  <c r="ES92" i="4" a="1"/>
  <c r="ES92" i="4" s="1"/>
  <c r="L43" i="50" s="1"/>
  <c r="EL92" i="4" a="1"/>
  <c r="EL92" i="4" s="1"/>
  <c r="E43" i="50" s="1"/>
  <c r="DI92" i="4" a="1"/>
  <c r="DI92" i="4" s="1"/>
  <c r="DQ78" i="4" a="1"/>
  <c r="DQ78" i="4" s="1"/>
  <c r="ET78" i="4" a="1"/>
  <c r="ET78" i="4" s="1"/>
  <c r="DR78" i="4" a="1"/>
  <c r="DR78" i="4" s="1"/>
  <c r="EU78" i="4" a="1"/>
  <c r="EU78" i="4" s="1"/>
  <c r="EM78" i="4" a="1"/>
  <c r="EM78" i="4" s="1"/>
  <c r="DJ78" i="4" a="1"/>
  <c r="DJ78" i="4" s="1"/>
  <c r="DW78" i="4" a="1"/>
  <c r="DW78" i="4" s="1"/>
  <c r="EP125" i="4" a="1"/>
  <c r="EP125" i="4" s="1"/>
  <c r="I58" i="50" s="1"/>
  <c r="DM125" i="4" a="1"/>
  <c r="DM125" i="4" s="1"/>
  <c r="DO125" i="4" a="1"/>
  <c r="DO125" i="4" s="1"/>
  <c r="ER125" i="4" a="1"/>
  <c r="ER125" i="4" s="1"/>
  <c r="K58" i="50" s="1"/>
  <c r="ED125" i="4" a="1"/>
  <c r="ED125" i="4" s="1"/>
  <c r="DI35" i="4" a="1"/>
  <c r="DI35" i="4" s="1"/>
  <c r="EL35" i="4" a="1"/>
  <c r="EL35" i="4" s="1"/>
  <c r="DN122" i="4" a="1"/>
  <c r="DN122" i="4" s="1"/>
  <c r="EQ122" i="4" a="1"/>
  <c r="EQ122" i="4" s="1"/>
  <c r="J56" i="50" s="1"/>
  <c r="ET122" i="4" a="1"/>
  <c r="ET122" i="4" s="1"/>
  <c r="M56" i="50" s="1"/>
  <c r="DQ122" i="4" a="1"/>
  <c r="DQ122" i="4" s="1"/>
  <c r="EP122" i="4" a="1"/>
  <c r="EP122" i="4" s="1"/>
  <c r="I56" i="50" s="1"/>
  <c r="DM122" i="4" a="1"/>
  <c r="DM122" i="4" s="1"/>
  <c r="EU32" i="4" a="1"/>
  <c r="EU32" i="4" s="1"/>
  <c r="DR32" i="4" a="1"/>
  <c r="DR32" i="4" s="1"/>
  <c r="DY12" i="4" a="1"/>
  <c r="DY12" i="4" s="1"/>
  <c r="EN12" i="4" a="1"/>
  <c r="EN12" i="4" s="1"/>
  <c r="G4" i="50" s="1"/>
  <c r="DK12" i="4" a="1"/>
  <c r="DK12" i="4" s="1"/>
  <c r="DP134" i="4" a="1"/>
  <c r="DP134" i="4" s="1"/>
  <c r="ES134" i="4" a="1"/>
  <c r="ES134" i="4" s="1"/>
  <c r="EB134" i="4" a="1"/>
  <c r="EB134" i="4" s="1"/>
  <c r="EW134" i="4" a="1"/>
  <c r="EW134" i="4" s="1"/>
  <c r="DT134" i="4" a="1"/>
  <c r="DT134" i="4" s="1"/>
  <c r="EF84" i="4" a="1"/>
  <c r="EF84" i="4" s="1"/>
  <c r="DU84" i="4" a="1"/>
  <c r="DU84" i="4" s="1"/>
  <c r="EC84" i="4" a="1"/>
  <c r="EC84" i="4" s="1"/>
  <c r="ES127" i="4" a="1"/>
  <c r="ES127" i="4" s="1"/>
  <c r="DP127" i="4" a="1"/>
  <c r="DP127" i="4" s="1"/>
  <c r="EL127" i="4" a="1"/>
  <c r="EL127" i="4" s="1"/>
  <c r="DI127" i="4" a="1"/>
  <c r="DI127" i="4" s="1"/>
  <c r="EA97" i="4" a="1"/>
  <c r="EA97" i="4" s="1"/>
  <c r="DO97" i="4" a="1"/>
  <c r="DO97" i="4" s="1"/>
  <c r="ER97" i="4" a="1"/>
  <c r="ER97" i="4" s="1"/>
  <c r="ED97" i="4" a="1"/>
  <c r="ED97" i="4" s="1"/>
  <c r="EA56" i="4" a="1"/>
  <c r="EA56" i="4" s="1"/>
  <c r="EB56" i="4" a="1"/>
  <c r="EB56" i="4" s="1"/>
  <c r="DX56" i="4" a="1"/>
  <c r="DX56" i="4" s="1"/>
  <c r="EC56" i="4" a="1"/>
  <c r="EC56" i="4" s="1"/>
  <c r="EN93" i="4" a="1"/>
  <c r="EN93" i="4" s="1"/>
  <c r="G44" i="50" s="1"/>
  <c r="DK93" i="4" a="1"/>
  <c r="DK93" i="4" s="1"/>
  <c r="ES93" i="4" a="1"/>
  <c r="ES93" i="4" s="1"/>
  <c r="L44" i="50" s="1"/>
  <c r="DP93" i="4" a="1"/>
  <c r="DP93" i="4" s="1"/>
  <c r="DM93" i="4" a="1"/>
  <c r="DM93" i="4" s="1"/>
  <c r="EP93" i="4" a="1"/>
  <c r="EP93" i="4" s="1"/>
  <c r="I44" i="50" s="1"/>
  <c r="CL106" i="4"/>
  <c r="DC106" i="4"/>
  <c r="CW106" i="4"/>
  <c r="DH106" i="4"/>
  <c r="CK106" i="4"/>
  <c r="CO106" i="4"/>
  <c r="DG106" i="4"/>
  <c r="AJ106" i="4"/>
  <c r="CT106" i="4"/>
  <c r="CU106" i="4"/>
  <c r="DF106" i="4"/>
  <c r="DB106" i="4"/>
  <c r="CR106" i="4"/>
  <c r="CZ106" i="4"/>
  <c r="DA106" i="4"/>
  <c r="CV106" i="4"/>
  <c r="DE106" i="4"/>
  <c r="CX106" i="4"/>
  <c r="CQ106" i="4"/>
  <c r="AH106" i="4"/>
  <c r="CS106" i="4"/>
  <c r="CP106" i="4"/>
  <c r="DD106" i="4"/>
  <c r="CN106" i="4"/>
  <c r="CY106" i="4"/>
  <c r="CM106" i="4"/>
  <c r="BT106" i="4"/>
  <c r="EW21" i="4" a="1"/>
  <c r="EW21" i="4" s="1"/>
  <c r="P9" i="50" s="1"/>
  <c r="DT21" i="4" a="1"/>
  <c r="DT21" i="4" s="1"/>
  <c r="EU21" i="4" a="1"/>
  <c r="EU21" i="4" s="1"/>
  <c r="N9" i="50" s="1"/>
  <c r="DR21" i="4" a="1"/>
  <c r="DR21" i="4" s="1"/>
  <c r="DV21" i="4" a="1"/>
  <c r="DV21" i="4" s="1"/>
  <c r="Q29" i="50"/>
  <c r="DT63" i="4" a="1"/>
  <c r="DT63" i="4" s="1"/>
  <c r="EW63" i="4" a="1"/>
  <c r="EW63" i="4" s="1"/>
  <c r="P28" i="50" s="1"/>
  <c r="ET116" i="4" a="1"/>
  <c r="ET116" i="4" s="1"/>
  <c r="DQ116" i="4" a="1"/>
  <c r="DQ116" i="4" s="1"/>
  <c r="EO129" i="4" a="1"/>
  <c r="EO129" i="4" s="1"/>
  <c r="DL129" i="4" a="1"/>
  <c r="DL129" i="4" s="1"/>
  <c r="EO101" i="4" a="1"/>
  <c r="EO101" i="4" s="1"/>
  <c r="H49" i="50" s="1"/>
  <c r="DL101" i="4" a="1"/>
  <c r="DL101" i="4" s="1"/>
  <c r="ER7" i="4" a="1"/>
  <c r="ER7" i="4" s="1"/>
  <c r="DO7" i="4" a="1"/>
  <c r="DO7" i="4" s="1"/>
  <c r="EG58" i="4"/>
  <c r="ET73" i="4" a="1"/>
  <c r="ET73" i="4" s="1"/>
  <c r="DQ73" i="4" a="1"/>
  <c r="DQ73" i="4" s="1"/>
  <c r="EC130" i="4" a="1"/>
  <c r="EC130" i="4" s="1"/>
  <c r="DZ42" i="4" a="1"/>
  <c r="DZ42" i="4" s="1"/>
  <c r="EQ33" i="4" a="1"/>
  <c r="EQ33" i="4" s="1"/>
  <c r="DN33" i="4" a="1"/>
  <c r="DN33" i="4" s="1"/>
  <c r="DJ74" i="4" a="1"/>
  <c r="DJ74" i="4" s="1"/>
  <c r="EM74" i="4" a="1"/>
  <c r="EM74" i="4" s="1"/>
  <c r="DU91" i="4" a="1"/>
  <c r="DU91" i="4" s="1"/>
  <c r="DZ116" i="4" a="1"/>
  <c r="DZ116" i="4" s="1"/>
  <c r="ES109" i="4" a="1"/>
  <c r="ES109" i="4" s="1"/>
  <c r="DP109" i="4" a="1"/>
  <c r="DP109" i="4" s="1"/>
  <c r="EQ129" i="4" a="1"/>
  <c r="EQ129" i="4" s="1"/>
  <c r="DN129" i="4" a="1"/>
  <c r="DN129" i="4" s="1"/>
  <c r="EO102" i="4" a="1"/>
  <c r="EO102" i="4" s="1"/>
  <c r="DL102" i="4" a="1"/>
  <c r="DL102" i="4" s="1"/>
  <c r="EO82" i="4" a="1"/>
  <c r="EO82" i="4" s="1"/>
  <c r="DL82" i="4" a="1"/>
  <c r="DL82" i="4" s="1"/>
  <c r="ED22" i="4" a="1"/>
  <c r="ED22" i="4" s="1"/>
  <c r="ER63" i="4" a="1"/>
  <c r="ER63" i="4" s="1"/>
  <c r="K28" i="50" s="1"/>
  <c r="DO63" i="4" a="1"/>
  <c r="DO63" i="4" s="1"/>
  <c r="DS116" i="4" a="1"/>
  <c r="DS116" i="4" s="1"/>
  <c r="EV116" i="4" a="1"/>
  <c r="EV116" i="4" s="1"/>
  <c r="DN109" i="4" a="1"/>
  <c r="DN109" i="4" s="1"/>
  <c r="EQ109" i="4" a="1"/>
  <c r="EQ109" i="4" s="1"/>
  <c r="EP129" i="4" a="1"/>
  <c r="EP129" i="4" s="1"/>
  <c r="DM129" i="4" a="1"/>
  <c r="DM129" i="4" s="1"/>
  <c r="EM117" i="4" a="1"/>
  <c r="EM117" i="4" s="1"/>
  <c r="DJ117" i="4" a="1"/>
  <c r="DJ117" i="4" s="1"/>
  <c r="EC135" i="4" a="1"/>
  <c r="EC135" i="4" s="1"/>
  <c r="EF102" i="4" a="1"/>
  <c r="EF102" i="4" s="1"/>
  <c r="ES124" i="4" a="1"/>
  <c r="ES124" i="4" s="1"/>
  <c r="L57" i="50" s="1"/>
  <c r="DP124" i="4" a="1"/>
  <c r="DP124" i="4" s="1"/>
  <c r="DQ36" i="4" a="1"/>
  <c r="DQ36" i="4" s="1"/>
  <c r="ET36" i="4" a="1"/>
  <c r="ET36" i="4" s="1"/>
  <c r="EG60" i="4"/>
  <c r="DT130" i="4" a="1"/>
  <c r="DT130" i="4" s="1"/>
  <c r="EW130" i="4" a="1"/>
  <c r="EW130" i="4" s="1"/>
  <c r="P60" i="50" s="1"/>
  <c r="DY128" i="4" a="1"/>
  <c r="DY128" i="4" s="1"/>
  <c r="EA128" i="4" a="1"/>
  <c r="EA128" i="4" s="1"/>
  <c r="ET121" i="4" a="1"/>
  <c r="ET121" i="4" s="1"/>
  <c r="DQ121" i="4" a="1"/>
  <c r="DQ121" i="4" s="1"/>
  <c r="EF8" i="4" a="1"/>
  <c r="EF8" i="4" s="1"/>
  <c r="EL22" i="4" a="1"/>
  <c r="EL22" i="4" s="1"/>
  <c r="E10" i="50" s="1"/>
  <c r="DI22" i="4" a="1"/>
  <c r="DI22" i="4" s="1"/>
  <c r="ER42" i="4" a="1"/>
  <c r="ER42" i="4" s="1"/>
  <c r="K18" i="50" s="1"/>
  <c r="DO42" i="4" a="1"/>
  <c r="DO42" i="4" s="1"/>
  <c r="DJ33" i="4" a="1"/>
  <c r="DJ33" i="4" s="1"/>
  <c r="EM33" i="4" a="1"/>
  <c r="EM33" i="4" s="1"/>
  <c r="EL63" i="4" a="1"/>
  <c r="EL63" i="4" s="1"/>
  <c r="E28" i="50" s="1"/>
  <c r="DI63" i="4" a="1"/>
  <c r="DI63" i="4" s="1"/>
  <c r="ED74" i="4" a="1"/>
  <c r="ED74" i="4" s="1"/>
  <c r="DM91" i="4" a="1"/>
  <c r="DM91" i="4" s="1"/>
  <c r="EP91" i="4" a="1"/>
  <c r="EP91" i="4" s="1"/>
  <c r="EF116" i="4" a="1"/>
  <c r="EF116" i="4" s="1"/>
  <c r="DT116" i="4" a="1"/>
  <c r="DT116" i="4" s="1"/>
  <c r="EW116" i="4" a="1"/>
  <c r="EW116" i="4" s="1"/>
  <c r="ET129" i="4" a="1"/>
  <c r="ET129" i="4" s="1"/>
  <c r="DQ129" i="4" a="1"/>
  <c r="DQ129" i="4" s="1"/>
  <c r="EC117" i="4" a="1"/>
  <c r="EC117" i="4" s="1"/>
  <c r="DR101" i="4" a="1"/>
  <c r="DR101" i="4" s="1"/>
  <c r="EU101" i="4" a="1"/>
  <c r="EU101" i="4" s="1"/>
  <c r="N49" i="50" s="1"/>
  <c r="EE135" i="4" a="1"/>
  <c r="EE135" i="4" s="1"/>
  <c r="DR102" i="4" a="1"/>
  <c r="DR102" i="4" s="1"/>
  <c r="EU102" i="4" a="1"/>
  <c r="EU102" i="4" s="1"/>
  <c r="DK124" i="4" a="1"/>
  <c r="DK124" i="4" s="1"/>
  <c r="EN124" i="4" a="1"/>
  <c r="EN124" i="4" s="1"/>
  <c r="G57" i="50" s="1"/>
  <c r="DY95" i="4" a="1"/>
  <c r="DY95" i="4" s="1"/>
  <c r="EA24" i="4" a="1"/>
  <c r="EA24" i="4" s="1"/>
  <c r="EU75" i="4" a="1"/>
  <c r="EU75" i="4" s="1"/>
  <c r="DR75" i="4" a="1"/>
  <c r="DR75" i="4" s="1"/>
  <c r="DL131" i="4" a="1"/>
  <c r="DL131" i="4" s="1"/>
  <c r="EO131" i="4" a="1"/>
  <c r="EO131" i="4" s="1"/>
  <c r="DI7" i="4" a="1"/>
  <c r="DI7" i="4" s="1"/>
  <c r="EL7" i="4" a="1"/>
  <c r="EL7" i="4" s="1"/>
  <c r="ED37" i="4" a="1"/>
  <c r="ED37" i="4" s="1"/>
  <c r="DM90" i="4" a="1"/>
  <c r="DM90" i="4" s="1"/>
  <c r="EP90" i="4" a="1"/>
  <c r="EP90" i="4" s="1"/>
  <c r="I42" i="50" s="1"/>
  <c r="EA36" i="4" a="1"/>
  <c r="EA36" i="4" s="1"/>
  <c r="DU130" i="4" a="1"/>
  <c r="DU130" i="4" s="1"/>
  <c r="DL128" i="4" a="1"/>
  <c r="DL128" i="4" s="1"/>
  <c r="EO128" i="4" a="1"/>
  <c r="EO128" i="4" s="1"/>
  <c r="EG47" i="4"/>
  <c r="DP22" i="4" a="1"/>
  <c r="DP22" i="4" s="1"/>
  <c r="ES22" i="4" a="1"/>
  <c r="ES22" i="4" s="1"/>
  <c r="L10" i="50" s="1"/>
  <c r="DU33" i="4" a="1"/>
  <c r="DU33" i="4" s="1"/>
  <c r="EG25" i="4"/>
  <c r="EB94" i="4" a="1"/>
  <c r="EB94" i="4" s="1"/>
  <c r="DT91" i="4" a="1"/>
  <c r="DT91" i="4" s="1"/>
  <c r="EW91" i="4" a="1"/>
  <c r="EW91" i="4" s="1"/>
  <c r="DV116" i="4" a="1"/>
  <c r="DV116" i="4" s="1"/>
  <c r="EP109" i="4" a="1"/>
  <c r="EP109" i="4" s="1"/>
  <c r="DM109" i="4" a="1"/>
  <c r="DM109" i="4" s="1"/>
  <c r="DV129" i="4" a="1"/>
  <c r="DV129" i="4" s="1"/>
  <c r="DM117" i="4" a="1"/>
  <c r="DM117" i="4" s="1"/>
  <c r="EP117" i="4" a="1"/>
  <c r="EP117" i="4" s="1"/>
  <c r="ET101" i="4" a="1"/>
  <c r="ET101" i="4" s="1"/>
  <c r="M49" i="50" s="1"/>
  <c r="DQ101" i="4" a="1"/>
  <c r="DQ101" i="4" s="1"/>
  <c r="EL135" i="4" a="1"/>
  <c r="EL135" i="4" s="1"/>
  <c r="DI135" i="4" a="1"/>
  <c r="DI135" i="4" s="1"/>
  <c r="DV102" i="4" a="1"/>
  <c r="DV102" i="4" s="1"/>
  <c r="EV124" i="4" a="1"/>
  <c r="EV124" i="4" s="1"/>
  <c r="O57" i="50" s="1"/>
  <c r="DS124" i="4" a="1"/>
  <c r="DS124" i="4" s="1"/>
  <c r="DI95" i="4" a="1"/>
  <c r="DI95" i="4" s="1"/>
  <c r="EL95" i="4" a="1"/>
  <c r="EL95" i="4" s="1"/>
  <c r="ED82" i="4" a="1"/>
  <c r="ED82" i="4" s="1"/>
  <c r="EB75" i="4" a="1"/>
  <c r="EB75" i="4" s="1"/>
  <c r="DI131" i="4" a="1"/>
  <c r="DI131" i="4" s="1"/>
  <c r="EL131" i="4" a="1"/>
  <c r="EL131" i="4" s="1"/>
  <c r="DZ37" i="4" a="1"/>
  <c r="DZ37" i="4" s="1"/>
  <c r="EA111" i="4" a="1"/>
  <c r="EA111" i="4" s="1"/>
  <c r="DV120" i="4" a="1"/>
  <c r="DV120" i="4" s="1"/>
  <c r="DP73" i="4" a="1"/>
  <c r="DP73" i="4" s="1"/>
  <c r="ES73" i="4" a="1"/>
  <c r="ES73" i="4" s="1"/>
  <c r="DX13" i="4" a="1"/>
  <c r="DX13" i="4" s="1"/>
  <c r="DU118" i="4" a="1"/>
  <c r="DU118" i="4" s="1"/>
  <c r="ED81" i="4" a="1"/>
  <c r="ED81" i="4" s="1"/>
  <c r="EW76" i="4" a="1"/>
  <c r="EW76" i="4" s="1"/>
  <c r="DT76" i="4" a="1"/>
  <c r="DT76" i="4" s="1"/>
  <c r="EC202" i="2"/>
  <c r="EB202" i="2"/>
  <c r="EE202" i="2"/>
  <c r="EV107" i="4" a="1"/>
  <c r="EV107" i="4" s="1"/>
  <c r="DS107" i="4" a="1"/>
  <c r="DS107" i="4" s="1"/>
  <c r="EF89" i="4" a="1"/>
  <c r="EF89" i="4" s="1"/>
  <c r="EB80" i="4" a="1"/>
  <c r="EB80" i="4" s="1"/>
  <c r="EF9" i="4" a="1"/>
  <c r="EF9" i="4" s="1"/>
  <c r="EA9" i="4" a="1"/>
  <c r="EA9" i="4" s="1"/>
  <c r="EW9" i="4" a="1"/>
  <c r="EW9" i="4" s="1"/>
  <c r="DT9" i="4" a="1"/>
  <c r="DT9" i="4" s="1"/>
  <c r="DX9" i="4" a="1"/>
  <c r="DX9" i="4" s="1"/>
  <c r="DY83" i="4" a="1"/>
  <c r="DY83" i="4" s="1"/>
  <c r="DL83" i="4" a="1"/>
  <c r="DL83" i="4" s="1"/>
  <c r="EO83" i="4" a="1"/>
  <c r="EO83" i="4" s="1"/>
  <c r="DP83" i="4" a="1"/>
  <c r="DP83" i="4" s="1"/>
  <c r="ES83" i="4" a="1"/>
  <c r="ES83" i="4" s="1"/>
  <c r="EV43" i="4" a="1"/>
  <c r="EV43" i="4" s="1"/>
  <c r="O19" i="50" s="1"/>
  <c r="DS43" i="4" a="1"/>
  <c r="DS43" i="4" s="1"/>
  <c r="EP43" i="4" a="1"/>
  <c r="EP43" i="4" s="1"/>
  <c r="I19" i="50" s="1"/>
  <c r="DM43" i="4" a="1"/>
  <c r="DM43" i="4" s="1"/>
  <c r="EC43" i="4" a="1"/>
  <c r="EC43" i="4" s="1"/>
  <c r="EA43" i="4" a="1"/>
  <c r="EA43" i="4" s="1"/>
  <c r="EC98" i="4" a="1"/>
  <c r="EC98" i="4" s="1"/>
  <c r="EA98" i="4" a="1"/>
  <c r="EA98" i="4" s="1"/>
  <c r="EF98" i="4" a="1"/>
  <c r="EF98" i="4" s="1"/>
  <c r="DN98" i="4" a="1"/>
  <c r="DN98" i="4" s="1"/>
  <c r="EQ98" i="4" a="1"/>
  <c r="EQ98" i="4" s="1"/>
  <c r="EE96" i="4" a="1"/>
  <c r="EE96" i="4" s="1"/>
  <c r="DU96" i="4" a="1"/>
  <c r="DU96" i="4" s="1"/>
  <c r="EV96" i="4" a="1"/>
  <c r="EV96" i="4" s="1"/>
  <c r="O46" i="50" s="1"/>
  <c r="DS96" i="4" a="1"/>
  <c r="DS96" i="4" s="1"/>
  <c r="DV96" i="4" a="1"/>
  <c r="DV96" i="4" s="1"/>
  <c r="EG57" i="4"/>
  <c r="EM67" i="4" a="1"/>
  <c r="EM67" i="4" s="1"/>
  <c r="F31" i="50" s="1"/>
  <c r="DJ67" i="4" a="1"/>
  <c r="DJ67" i="4" s="1"/>
  <c r="DZ67" i="4" a="1"/>
  <c r="DZ67" i="4" s="1"/>
  <c r="DW133" i="4" a="1"/>
  <c r="DW133" i="4" s="1"/>
  <c r="EF133" i="4" a="1"/>
  <c r="EF133" i="4" s="1"/>
  <c r="EM133" i="4" a="1"/>
  <c r="EM133" i="4" s="1"/>
  <c r="DJ133" i="4" a="1"/>
  <c r="DJ133" i="4" s="1"/>
  <c r="DY10" i="4" a="1"/>
  <c r="DY10" i="4" s="1"/>
  <c r="EQ10" i="4" a="1"/>
  <c r="EQ10" i="4" s="1"/>
  <c r="DN10" i="4" a="1"/>
  <c r="DN10" i="4" s="1"/>
  <c r="DJ10" i="4" a="1"/>
  <c r="DJ10" i="4" s="1"/>
  <c r="EM10" i="4" a="1"/>
  <c r="EM10" i="4" s="1"/>
  <c r="ED51" i="4" a="1"/>
  <c r="ED51" i="4" s="1"/>
  <c r="ET51" i="4" a="1"/>
  <c r="ET51" i="4" s="1"/>
  <c r="M21" i="50" s="1"/>
  <c r="DQ51" i="4" a="1"/>
  <c r="DQ51" i="4" s="1"/>
  <c r="EA51" i="4" a="1"/>
  <c r="EA51" i="4" s="1"/>
  <c r="DZ51" i="4" a="1"/>
  <c r="DZ51" i="4" s="1"/>
  <c r="EV62" i="4" a="1"/>
  <c r="EV62" i="4" s="1"/>
  <c r="O27" i="50" s="1"/>
  <c r="DS62" i="4" a="1"/>
  <c r="DS62" i="4" s="1"/>
  <c r="EM62" i="4" a="1"/>
  <c r="EM62" i="4" s="1"/>
  <c r="F27" i="50" s="1"/>
  <c r="DJ62" i="4" a="1"/>
  <c r="DJ62" i="4" s="1"/>
  <c r="DU62" i="4" a="1"/>
  <c r="DU62" i="4" s="1"/>
  <c r="DS77" i="4" a="1"/>
  <c r="DS77" i="4" s="1"/>
  <c r="EV77" i="4" a="1"/>
  <c r="EV77" i="4" s="1"/>
  <c r="DI77" i="4" a="1"/>
  <c r="DI77" i="4" s="1"/>
  <c r="EL77" i="4" a="1"/>
  <c r="EL77" i="4" s="1"/>
  <c r="EF79" i="4" a="1"/>
  <c r="EF79" i="4" s="1"/>
  <c r="DT79" i="4" a="1"/>
  <c r="DT79" i="4" s="1"/>
  <c r="EW79" i="4" a="1"/>
  <c r="EW79" i="4" s="1"/>
  <c r="DY79" i="4" a="1"/>
  <c r="DY79" i="4" s="1"/>
  <c r="DS79" i="4" a="1"/>
  <c r="DS79" i="4" s="1"/>
  <c r="EV79" i="4" a="1"/>
  <c r="EV79" i="4" s="1"/>
  <c r="DU92" i="4" a="1"/>
  <c r="DU92" i="4" s="1"/>
  <c r="EP92" i="4" a="1"/>
  <c r="EP92" i="4" s="1"/>
  <c r="I43" i="50" s="1"/>
  <c r="DM92" i="4" a="1"/>
  <c r="DM92" i="4" s="1"/>
  <c r="DN92" i="4" a="1"/>
  <c r="DN92" i="4" s="1"/>
  <c r="EQ92" i="4" a="1"/>
  <c r="EQ92" i="4" s="1"/>
  <c r="J43" i="50" s="1"/>
  <c r="EF92" i="4" a="1"/>
  <c r="EF92" i="4" s="1"/>
  <c r="EC78" i="4" a="1"/>
  <c r="EC78" i="4" s="1"/>
  <c r="EL78" i="4" a="1"/>
  <c r="EL78" i="4" s="1"/>
  <c r="DI78" i="4" a="1"/>
  <c r="DI78" i="4" s="1"/>
  <c r="DU78" i="4" a="1"/>
  <c r="DU78" i="4" s="1"/>
  <c r="EA78" i="4" a="1"/>
  <c r="EA78" i="4" s="1"/>
  <c r="DP125" i="4" a="1"/>
  <c r="DP125" i="4" s="1"/>
  <c r="ES125" i="4" a="1"/>
  <c r="ES125" i="4" s="1"/>
  <c r="L58" i="50" s="1"/>
  <c r="ED35" i="4" a="1"/>
  <c r="ED35" i="4" s="1"/>
  <c r="ER35" i="4" a="1"/>
  <c r="ER35" i="4" s="1"/>
  <c r="DO35" i="4" a="1"/>
  <c r="DO35" i="4" s="1"/>
  <c r="DV35" i="4" a="1"/>
  <c r="DV35" i="4" s="1"/>
  <c r="EA122" i="4" a="1"/>
  <c r="EA122" i="4" s="1"/>
  <c r="DY122" i="4" a="1"/>
  <c r="DY122" i="4" s="1"/>
  <c r="DV122" i="4" a="1"/>
  <c r="DV122" i="4" s="1"/>
  <c r="EB32" i="4" a="1"/>
  <c r="EB32" i="4" s="1"/>
  <c r="DZ32" i="4" a="1"/>
  <c r="DZ32" i="4" s="1"/>
  <c r="DM32" i="4" a="1"/>
  <c r="DM32" i="4" s="1"/>
  <c r="EP32" i="4" a="1"/>
  <c r="EP32" i="4" s="1"/>
  <c r="EB12" i="4" a="1"/>
  <c r="EB12" i="4" s="1"/>
  <c r="EF12" i="4" a="1"/>
  <c r="EF12" i="4" s="1"/>
  <c r="DI134" i="4" a="1"/>
  <c r="DI134" i="4" s="1"/>
  <c r="EL134" i="4" a="1"/>
  <c r="EL134" i="4" s="1"/>
  <c r="ER134" i="4" a="1"/>
  <c r="ER134" i="4" s="1"/>
  <c r="DO134" i="4" a="1"/>
  <c r="DO134" i="4" s="1"/>
  <c r="DV134" i="4" a="1"/>
  <c r="DV134" i="4" s="1"/>
  <c r="ES84" i="4" a="1"/>
  <c r="ES84" i="4" s="1"/>
  <c r="DP84" i="4" a="1"/>
  <c r="DP84" i="4" s="1"/>
  <c r="DW84" i="4" a="1"/>
  <c r="DW84" i="4" s="1"/>
  <c r="DL84" i="4" a="1"/>
  <c r="DL84" i="4" s="1"/>
  <c r="EO84" i="4" a="1"/>
  <c r="EO84" i="4" s="1"/>
  <c r="DK127" i="4" a="1"/>
  <c r="DK127" i="4" s="1"/>
  <c r="EN127" i="4" a="1"/>
  <c r="EN127" i="4" s="1"/>
  <c r="DX127" i="4" a="1"/>
  <c r="DX127" i="4" s="1"/>
  <c r="EP127" i="4" a="1"/>
  <c r="EP127" i="4" s="1"/>
  <c r="DM127" i="4" a="1"/>
  <c r="DM127" i="4" s="1"/>
  <c r="CT114" i="4"/>
  <c r="CW114" i="4"/>
  <c r="CK114" i="4"/>
  <c r="DD114" i="4"/>
  <c r="CN114" i="4"/>
  <c r="AH114" i="4"/>
  <c r="DG114" i="4"/>
  <c r="CO114" i="4"/>
  <c r="DA114" i="4"/>
  <c r="CM114" i="4"/>
  <c r="CU114" i="4"/>
  <c r="CX114" i="4"/>
  <c r="CR114" i="4"/>
  <c r="DE114" i="4"/>
  <c r="DB114" i="4"/>
  <c r="CQ114" i="4"/>
  <c r="CY114" i="4"/>
  <c r="AJ114" i="4"/>
  <c r="DH114" i="4"/>
  <c r="CV114" i="4"/>
  <c r="BT114" i="4"/>
  <c r="DF114" i="4"/>
  <c r="CS114" i="4"/>
  <c r="DC114" i="4"/>
  <c r="CP114" i="4"/>
  <c r="CZ114" i="4"/>
  <c r="CL114" i="4"/>
  <c r="EO97" i="4" a="1"/>
  <c r="EO97" i="4" s="1"/>
  <c r="DL97" i="4" a="1"/>
  <c r="DL97" i="4" s="1"/>
  <c r="EL97" i="4" a="1"/>
  <c r="EL97" i="4" s="1"/>
  <c r="DI97" i="4" a="1"/>
  <c r="DI97" i="4" s="1"/>
  <c r="ES97" i="4" a="1"/>
  <c r="ES97" i="4" s="1"/>
  <c r="DP97" i="4" a="1"/>
  <c r="DP97" i="4" s="1"/>
  <c r="ES56" i="4" a="1"/>
  <c r="ES56" i="4" s="1"/>
  <c r="L25" i="50" s="1"/>
  <c r="DP56" i="4" a="1"/>
  <c r="DP56" i="4" s="1"/>
  <c r="DJ56" i="4" a="1"/>
  <c r="DJ56" i="4" s="1"/>
  <c r="EM56" i="4" a="1"/>
  <c r="EM56" i="4" s="1"/>
  <c r="F25" i="50" s="1"/>
  <c r="DW56" i="4" a="1"/>
  <c r="DW56" i="4" s="1"/>
  <c r="EQ93" i="4" a="1"/>
  <c r="EQ93" i="4" s="1"/>
  <c r="J44" i="50" s="1"/>
  <c r="DN93" i="4" a="1"/>
  <c r="DN93" i="4" s="1"/>
  <c r="EA93" i="4" a="1"/>
  <c r="EA93" i="4" s="1"/>
  <c r="EW93" i="4" a="1"/>
  <c r="EW93" i="4" s="1"/>
  <c r="P44" i="50" s="1"/>
  <c r="DT93" i="4" a="1"/>
  <c r="DT93" i="4" s="1"/>
  <c r="EE21" i="4" a="1"/>
  <c r="EE21" i="4" s="1"/>
  <c r="EQ21" i="4" a="1"/>
  <c r="EQ21" i="4" s="1"/>
  <c r="J9" i="50" s="1"/>
  <c r="DN21" i="4" a="1"/>
  <c r="DN21" i="4" s="1"/>
  <c r="EQ36" i="4" a="1"/>
  <c r="EQ36" i="4" s="1"/>
  <c r="DN36" i="4" a="1"/>
  <c r="DN36" i="4" s="1"/>
  <c r="EL36" i="4" a="1"/>
  <c r="EL36" i="4" s="1"/>
  <c r="DI36" i="4" a="1"/>
  <c r="DI36" i="4" s="1"/>
  <c r="DU36" i="4" a="1"/>
  <c r="DU36" i="4" s="1"/>
  <c r="DW130" i="4" a="1"/>
  <c r="DW130" i="4" s="1"/>
  <c r="DO130" i="4" a="1"/>
  <c r="DO130" i="4" s="1"/>
  <c r="ER130" i="4" a="1"/>
  <c r="ER130" i="4" s="1"/>
  <c r="DV130" i="4" a="1"/>
  <c r="DV130" i="4" s="1"/>
  <c r="DZ128" i="4" a="1"/>
  <c r="DZ128" i="4" s="1"/>
  <c r="ES128" i="4" a="1"/>
  <c r="ES128" i="4" s="1"/>
  <c r="DP128" i="4" a="1"/>
  <c r="DP128" i="4" s="1"/>
  <c r="EN121" i="4" a="1"/>
  <c r="EN121" i="4" s="1"/>
  <c r="DK121" i="4" a="1"/>
  <c r="DK121" i="4" s="1"/>
  <c r="EM121" i="4" a="1"/>
  <c r="EM121" i="4" s="1"/>
  <c r="DJ121" i="4" a="1"/>
  <c r="DJ121" i="4" s="1"/>
  <c r="DV121" i="4" a="1"/>
  <c r="DV121" i="4" s="1"/>
  <c r="DP8" i="4" a="1"/>
  <c r="DP8" i="4" s="1"/>
  <c r="ES8" i="4" a="1"/>
  <c r="ES8" i="4" s="1"/>
  <c r="DS8" i="4" a="1"/>
  <c r="DS8" i="4" s="1"/>
  <c r="EV8" i="4" a="1"/>
  <c r="EV8" i="4" s="1"/>
  <c r="ER22" i="4" a="1"/>
  <c r="ER22" i="4" s="1"/>
  <c r="K10" i="50" s="1"/>
  <c r="DO22" i="4" a="1"/>
  <c r="DO22" i="4" s="1"/>
  <c r="EV22" i="4" a="1"/>
  <c r="EV22" i="4" s="1"/>
  <c r="O10" i="50" s="1"/>
  <c r="DS22" i="4" a="1"/>
  <c r="DS22" i="4" s="1"/>
  <c r="DW22" i="4" a="1"/>
  <c r="DW22" i="4" s="1"/>
  <c r="DJ42" i="4" a="1"/>
  <c r="DJ42" i="4" s="1"/>
  <c r="EM42" i="4" a="1"/>
  <c r="EM42" i="4" s="1"/>
  <c r="F18" i="50" s="1"/>
  <c r="DS42" i="4" a="1"/>
  <c r="DS42" i="4" s="1"/>
  <c r="EV42" i="4" a="1"/>
  <c r="EV42" i="4" s="1"/>
  <c r="O18" i="50" s="1"/>
  <c r="ED33" i="4" a="1"/>
  <c r="ED33" i="4" s="1"/>
  <c r="DT33" i="4" a="1"/>
  <c r="DT33" i="4" s="1"/>
  <c r="EW33" i="4" a="1"/>
  <c r="EW33" i="4" s="1"/>
  <c r="DK63" i="4" a="1"/>
  <c r="DK63" i="4" s="1"/>
  <c r="EN63" i="4" a="1"/>
  <c r="EN63" i="4" s="1"/>
  <c r="G28" i="50" s="1"/>
  <c r="DU63" i="4" a="1"/>
  <c r="DU63" i="4" s="1"/>
  <c r="EB63" i="4" a="1"/>
  <c r="EB63" i="4" s="1"/>
  <c r="DV74" i="4" a="1"/>
  <c r="DV74" i="4" s="1"/>
  <c r="DU74" i="4" a="1"/>
  <c r="DU74" i="4" s="1"/>
  <c r="DV94" i="4" a="1"/>
  <c r="DV94" i="4" s="1"/>
  <c r="DO94" i="4" a="1"/>
  <c r="DO94" i="4" s="1"/>
  <c r="ER94" i="4" a="1"/>
  <c r="ER94" i="4" s="1"/>
  <c r="ED94" i="4" a="1"/>
  <c r="ED94" i="4" s="1"/>
  <c r="ER91" i="4" a="1"/>
  <c r="ER91" i="4" s="1"/>
  <c r="DO91" i="4" a="1"/>
  <c r="DO91" i="4" s="1"/>
  <c r="EU91" i="4" a="1"/>
  <c r="EU91" i="4" s="1"/>
  <c r="DR91" i="4" a="1"/>
  <c r="DR91" i="4" s="1"/>
  <c r="ED116" i="4" a="1"/>
  <c r="ED116" i="4" s="1"/>
  <c r="DW116" i="4" a="1"/>
  <c r="DW116" i="4" s="1"/>
  <c r="EF109" i="4" a="1"/>
  <c r="EF109" i="4" s="1"/>
  <c r="ED109" i="4" a="1"/>
  <c r="ED109" i="4" s="1"/>
  <c r="ES129" i="4" a="1"/>
  <c r="ES129" i="4" s="1"/>
  <c r="DP129" i="4" a="1"/>
  <c r="DP129" i="4" s="1"/>
  <c r="EM129" i="4" a="1"/>
  <c r="EM129" i="4" s="1"/>
  <c r="DJ129" i="4" a="1"/>
  <c r="DJ129" i="4" s="1"/>
  <c r="EA117" i="4" a="1"/>
  <c r="EA117" i="4" s="1"/>
  <c r="DV117" i="4" a="1"/>
  <c r="DV117" i="4" s="1"/>
  <c r="DX101" i="4" a="1"/>
  <c r="DX101" i="4" s="1"/>
  <c r="DZ101" i="4" a="1"/>
  <c r="DZ101" i="4" s="1"/>
  <c r="ER101" i="4" a="1"/>
  <c r="ER101" i="4" s="1"/>
  <c r="K49" i="50" s="1"/>
  <c r="DO101" i="4" a="1"/>
  <c r="DO101" i="4" s="1"/>
  <c r="DV135" i="4" a="1"/>
  <c r="DV135" i="4" s="1"/>
  <c r="EB135" i="4" a="1"/>
  <c r="EB135" i="4" s="1"/>
  <c r="EM135" i="4" a="1"/>
  <c r="EM135" i="4" s="1"/>
  <c r="DJ135" i="4" a="1"/>
  <c r="DJ135" i="4" s="1"/>
  <c r="EC102" i="4" a="1"/>
  <c r="EC102" i="4" s="1"/>
  <c r="EV102" i="4" a="1"/>
  <c r="EV102" i="4" s="1"/>
  <c r="DS102" i="4" a="1"/>
  <c r="DS102" i="4" s="1"/>
  <c r="DI102" i="4" a="1"/>
  <c r="DI102" i="4" s="1"/>
  <c r="EL102" i="4" a="1"/>
  <c r="EL102" i="4" s="1"/>
  <c r="DX124" i="4" a="1"/>
  <c r="DX124" i="4" s="1"/>
  <c r="EC124" i="4" a="1"/>
  <c r="EC124" i="4" s="1"/>
  <c r="EA95" i="4" a="1"/>
  <c r="EA95" i="4" s="1"/>
  <c r="DP95" i="4" a="1"/>
  <c r="DP95" i="4" s="1"/>
  <c r="ES95" i="4" a="1"/>
  <c r="ES95" i="4" s="1"/>
  <c r="DR82" i="4" a="1"/>
  <c r="DR82" i="4" s="1"/>
  <c r="EU82" i="4" a="1"/>
  <c r="EU82" i="4" s="1"/>
  <c r="EQ82" i="4" a="1"/>
  <c r="EQ82" i="4" s="1"/>
  <c r="DN82" i="4" a="1"/>
  <c r="DN82" i="4" s="1"/>
  <c r="EE24" i="4" a="1"/>
  <c r="EE24" i="4" s="1"/>
  <c r="EW24" i="4" a="1"/>
  <c r="EW24" i="4" s="1"/>
  <c r="P11" i="50" s="1"/>
  <c r="DT24" i="4" a="1"/>
  <c r="DT24" i="4" s="1"/>
  <c r="EP24" i="4" a="1"/>
  <c r="EP24" i="4" s="1"/>
  <c r="I11" i="50" s="1"/>
  <c r="DM24" i="4" a="1"/>
  <c r="DM24" i="4" s="1"/>
  <c r="EA75" i="4" a="1"/>
  <c r="EA75" i="4" s="1"/>
  <c r="DN75" i="4" a="1"/>
  <c r="DN75" i="4" s="1"/>
  <c r="EQ75" i="4" a="1"/>
  <c r="EQ75" i="4" s="1"/>
  <c r="DW75" i="4" a="1"/>
  <c r="DW75" i="4" s="1"/>
  <c r="ER131" i="4" a="1"/>
  <c r="ER131" i="4" s="1"/>
  <c r="DO131" i="4" a="1"/>
  <c r="DO131" i="4" s="1"/>
  <c r="EP131" i="4" a="1"/>
  <c r="EP131" i="4" s="1"/>
  <c r="DM131" i="4" a="1"/>
  <c r="DM131" i="4" s="1"/>
  <c r="EE57" i="2"/>
  <c r="EC57" i="2"/>
  <c r="EB57" i="2"/>
  <c r="DV7" i="4" a="1"/>
  <c r="DV7" i="4" s="1"/>
  <c r="ES7" i="4" a="1"/>
  <c r="ES7" i="4" s="1"/>
  <c r="DP7" i="4" a="1"/>
  <c r="DP7" i="4" s="1"/>
  <c r="DX37" i="4" a="1"/>
  <c r="DX37" i="4" s="1"/>
  <c r="EM90" i="4" a="1"/>
  <c r="EM90" i="4" s="1"/>
  <c r="DJ90" i="4" a="1"/>
  <c r="DJ90" i="4" s="1"/>
  <c r="ED90" i="4" a="1"/>
  <c r="ED90" i="4" s="1"/>
  <c r="DU90" i="4" a="1"/>
  <c r="DU90" i="4" s="1"/>
  <c r="DQ111" i="4" a="1"/>
  <c r="DQ111" i="4" s="1"/>
  <c r="ET111" i="4" a="1"/>
  <c r="ET111" i="4" s="1"/>
  <c r="DC103" i="4"/>
  <c r="DD103" i="4"/>
  <c r="DE103" i="4"/>
  <c r="CS103" i="4"/>
  <c r="DF103" i="4"/>
  <c r="CK103" i="4"/>
  <c r="CW103" i="4"/>
  <c r="CM103" i="4"/>
  <c r="CL103" i="4"/>
  <c r="CO103" i="4"/>
  <c r="DH103" i="4"/>
  <c r="CP103" i="4"/>
  <c r="CT103" i="4"/>
  <c r="CQ103" i="4"/>
  <c r="AH103" i="4"/>
  <c r="CY103" i="4"/>
  <c r="CN103" i="4"/>
  <c r="CR103" i="4"/>
  <c r="DB103" i="4"/>
  <c r="CX103" i="4"/>
  <c r="DA103" i="4"/>
  <c r="AJ103" i="4"/>
  <c r="BT103" i="4"/>
  <c r="DG103" i="4"/>
  <c r="CV103" i="4"/>
  <c r="CZ103" i="4"/>
  <c r="CU103" i="4"/>
  <c r="DU6" i="4" a="1"/>
  <c r="DU6" i="4" s="1"/>
  <c r="DX6" i="4" a="1"/>
  <c r="DX6" i="4" s="1"/>
  <c r="DY120" i="4" a="1"/>
  <c r="DY120" i="4" s="1"/>
  <c r="DQ120" i="4" a="1"/>
  <c r="DQ120" i="4" s="1"/>
  <c r="ET120" i="4" a="1"/>
  <c r="ET120" i="4" s="1"/>
  <c r="M55" i="50" s="1"/>
  <c r="DZ88" i="4" a="1"/>
  <c r="DZ88" i="4" s="1"/>
  <c r="EA88" i="4" a="1"/>
  <c r="EA88" i="4" s="1"/>
  <c r="EO73" i="4" a="1"/>
  <c r="EO73" i="4" s="1"/>
  <c r="DL73" i="4" a="1"/>
  <c r="DL73" i="4" s="1"/>
  <c r="EF73" i="4" a="1"/>
  <c r="EF73" i="4" s="1"/>
  <c r="DY50" i="4" a="1"/>
  <c r="DY50" i="4" s="1"/>
  <c r="DN50" i="4" a="1"/>
  <c r="DN50" i="4" s="1"/>
  <c r="EQ50" i="4" a="1"/>
  <c r="EQ50" i="4" s="1"/>
  <c r="J20" i="50" s="1"/>
  <c r="EP13" i="4" a="1"/>
  <c r="EP13" i="4" s="1"/>
  <c r="I5" i="50" s="1"/>
  <c r="DM13" i="4" a="1"/>
  <c r="DM13" i="4" s="1"/>
  <c r="DY13" i="4" a="1"/>
  <c r="DY13" i="4" s="1"/>
  <c r="ET118" i="4" a="1"/>
  <c r="ET118" i="4" s="1"/>
  <c r="DQ118" i="4" a="1"/>
  <c r="DQ118" i="4" s="1"/>
  <c r="DZ118" i="4" a="1"/>
  <c r="DZ118" i="4" s="1"/>
  <c r="DZ81" i="4" a="1"/>
  <c r="DZ81" i="4" s="1"/>
  <c r="DO81" i="4" a="1"/>
  <c r="DO81" i="4" s="1"/>
  <c r="ER81" i="4" a="1"/>
  <c r="ER81" i="4" s="1"/>
  <c r="DV76" i="4" a="1"/>
  <c r="DV76" i="4" s="1"/>
  <c r="DP76" i="4" a="1"/>
  <c r="DP76" i="4" s="1"/>
  <c r="ES76" i="4" a="1"/>
  <c r="ES76" i="4" s="1"/>
  <c r="EO107" i="4" a="1"/>
  <c r="EO107" i="4" s="1"/>
  <c r="DL107" i="4" a="1"/>
  <c r="DL107" i="4" s="1"/>
  <c r="EB107" i="4" a="1"/>
  <c r="EB107" i="4" s="1"/>
  <c r="DV89" i="4" a="1"/>
  <c r="DV89" i="4" s="1"/>
  <c r="DL89" i="4" a="1"/>
  <c r="DL89" i="4" s="1"/>
  <c r="EO89" i="4" a="1"/>
  <c r="EO89" i="4" s="1"/>
  <c r="H41" i="50" s="1"/>
  <c r="DR173" i="2"/>
  <c r="DT173" i="2"/>
  <c r="DS173" i="2"/>
  <c r="DP80" i="4" a="1"/>
  <c r="DP80" i="4" s="1"/>
  <c r="ES80" i="4" a="1"/>
  <c r="ES80" i="4" s="1"/>
  <c r="DL80" i="4" a="1"/>
  <c r="DL80" i="4" s="1"/>
  <c r="EO80" i="4" a="1"/>
  <c r="EO80" i="4" s="1"/>
  <c r="EE83" i="4" a="1"/>
  <c r="EE83" i="4" s="1"/>
  <c r="DA99" i="4"/>
  <c r="CU99" i="4"/>
  <c r="AH99" i="4"/>
  <c r="CM99" i="4"/>
  <c r="CP99" i="4"/>
  <c r="CS99" i="4"/>
  <c r="CN99" i="4"/>
  <c r="CZ99" i="4"/>
  <c r="CK99" i="4"/>
  <c r="AJ99" i="4"/>
  <c r="CQ99" i="4"/>
  <c r="CX99" i="4"/>
  <c r="CO99" i="4"/>
  <c r="CL99" i="4"/>
  <c r="DH99" i="4"/>
  <c r="CV99" i="4"/>
  <c r="CY99" i="4"/>
  <c r="CR99" i="4"/>
  <c r="BT99" i="4"/>
  <c r="CT99" i="4"/>
  <c r="DF99" i="4"/>
  <c r="DG99" i="4"/>
  <c r="DB99" i="4"/>
  <c r="DC99" i="4"/>
  <c r="CW99" i="4"/>
  <c r="DE99" i="4"/>
  <c r="DD99" i="4"/>
  <c r="EB36" i="4" a="1"/>
  <c r="EB36" i="4" s="1"/>
  <c r="EW36" i="4" a="1"/>
  <c r="EW36" i="4" s="1"/>
  <c r="P15" i="50" s="1"/>
  <c r="DT36" i="4" a="1"/>
  <c r="DT36" i="4" s="1"/>
  <c r="DY36" i="4" a="1"/>
  <c r="DY36" i="4" s="1"/>
  <c r="EP130" i="4" a="1"/>
  <c r="EP130" i="4" s="1"/>
  <c r="I60" i="50" s="1"/>
  <c r="DM130" i="4" a="1"/>
  <c r="DM130" i="4" s="1"/>
  <c r="EO130" i="4" a="1"/>
  <c r="EO130" i="4" s="1"/>
  <c r="H60" i="50" s="1"/>
  <c r="DL130" i="4" a="1"/>
  <c r="DL130" i="4" s="1"/>
  <c r="EB130" i="4" a="1"/>
  <c r="EB130" i="4" s="1"/>
  <c r="EE128" i="4" a="1"/>
  <c r="EE128" i="4" s="1"/>
  <c r="ED128" i="4" a="1"/>
  <c r="ED128" i="4" s="1"/>
  <c r="DM121" i="4" a="1"/>
  <c r="DM121" i="4" s="1"/>
  <c r="EP121" i="4" a="1"/>
  <c r="EP121" i="4" s="1"/>
  <c r="DU121" i="4" a="1"/>
  <c r="DU121" i="4" s="1"/>
  <c r="EU121" i="4" a="1"/>
  <c r="EU121" i="4" s="1"/>
  <c r="DR121" i="4" a="1"/>
  <c r="DR121" i="4" s="1"/>
  <c r="EQ121" i="4" a="1"/>
  <c r="EQ121" i="4" s="1"/>
  <c r="DN121" i="4" a="1"/>
  <c r="DN121" i="4" s="1"/>
  <c r="EC8" i="4" a="1"/>
  <c r="EC8" i="4" s="1"/>
  <c r="EL8" i="4" a="1"/>
  <c r="EL8" i="4" s="1"/>
  <c r="DI8" i="4" a="1"/>
  <c r="DI8" i="4" s="1"/>
  <c r="DO8" i="4" a="1"/>
  <c r="DO8" i="4" s="1"/>
  <c r="ER8" i="4" a="1"/>
  <c r="ER8" i="4" s="1"/>
  <c r="DY22" i="4" a="1"/>
  <c r="DY22" i="4" s="1"/>
  <c r="DL22" i="4" a="1"/>
  <c r="DL22" i="4" s="1"/>
  <c r="EO22" i="4" a="1"/>
  <c r="EO22" i="4" s="1"/>
  <c r="H10" i="50" s="1"/>
  <c r="ET22" i="4" a="1"/>
  <c r="ET22" i="4" s="1"/>
  <c r="M10" i="50" s="1"/>
  <c r="DQ22" i="4" a="1"/>
  <c r="DQ22" i="4" s="1"/>
  <c r="DV42" i="4" a="1"/>
  <c r="DV42" i="4" s="1"/>
  <c r="EE42" i="4" a="1"/>
  <c r="EE42" i="4" s="1"/>
  <c r="EL42" i="4" a="1"/>
  <c r="EL42" i="4" s="1"/>
  <c r="E18" i="50" s="1"/>
  <c r="DI42" i="4" a="1"/>
  <c r="DI42" i="4" s="1"/>
  <c r="EC33" i="4" a="1"/>
  <c r="EC33" i="4" s="1"/>
  <c r="EB33" i="4" a="1"/>
  <c r="EB33" i="4" s="1"/>
  <c r="ES63" i="4" a="1"/>
  <c r="ES63" i="4" s="1"/>
  <c r="L28" i="50" s="1"/>
  <c r="DP63" i="4" a="1"/>
  <c r="DP63" i="4" s="1"/>
  <c r="EA63" i="4" a="1"/>
  <c r="EA63" i="4" s="1"/>
  <c r="EF63" i="4" a="1"/>
  <c r="EF63" i="4" s="1"/>
  <c r="EE74" i="4" a="1"/>
  <c r="EE74" i="4" s="1"/>
  <c r="ET74" i="4" a="1"/>
  <c r="ET74" i="4" s="1"/>
  <c r="DQ74" i="4" a="1"/>
  <c r="DQ74" i="4" s="1"/>
  <c r="EF94" i="4" a="1"/>
  <c r="EF94" i="4" s="1"/>
  <c r="EC94" i="4" a="1"/>
  <c r="EC94" i="4" s="1"/>
  <c r="EP94" i="4" a="1"/>
  <c r="EP94" i="4" s="1"/>
  <c r="I45" i="50" s="1"/>
  <c r="DM94" i="4" a="1"/>
  <c r="DM94" i="4" s="1"/>
  <c r="DV91" i="4" a="1"/>
  <c r="DV91" i="4" s="1"/>
  <c r="EM91" i="4" a="1"/>
  <c r="EM91" i="4" s="1"/>
  <c r="DJ91" i="4" a="1"/>
  <c r="DJ91" i="4" s="1"/>
  <c r="DY91" i="4" a="1"/>
  <c r="DY91" i="4" s="1"/>
  <c r="DU116" i="4" a="1"/>
  <c r="DU116" i="4" s="1"/>
  <c r="EC116" i="4" a="1"/>
  <c r="EC116" i="4" s="1"/>
  <c r="DY116" i="4" a="1"/>
  <c r="DY116" i="4" s="1"/>
  <c r="CR136" i="4"/>
  <c r="DC136" i="4"/>
  <c r="CP136" i="4"/>
  <c r="CV136" i="4"/>
  <c r="CK136" i="4"/>
  <c r="CY136" i="4"/>
  <c r="DD136" i="4"/>
  <c r="CQ136" i="4"/>
  <c r="CO136" i="4"/>
  <c r="DB136" i="4"/>
  <c r="DA136" i="4"/>
  <c r="CN136" i="4"/>
  <c r="CW136" i="4"/>
  <c r="CL136" i="4"/>
  <c r="CU136" i="4"/>
  <c r="CX136" i="4"/>
  <c r="AH136" i="4"/>
  <c r="CM136" i="4"/>
  <c r="DF136" i="4"/>
  <c r="DE136" i="4"/>
  <c r="DH136" i="4"/>
  <c r="AJ136" i="4"/>
  <c r="BT136" i="4"/>
  <c r="DG136" i="4"/>
  <c r="CT136" i="4"/>
  <c r="CS136" i="4"/>
  <c r="CZ136" i="4"/>
  <c r="EU109" i="4" a="1"/>
  <c r="EU109" i="4" s="1"/>
  <c r="DR109" i="4" a="1"/>
  <c r="DR109" i="4" s="1"/>
  <c r="DJ109" i="4" a="1"/>
  <c r="DJ109" i="4" s="1"/>
  <c r="EM109" i="4" a="1"/>
  <c r="EM109" i="4" s="1"/>
  <c r="EN109" i="4" a="1"/>
  <c r="EN109" i="4" s="1"/>
  <c r="DK109" i="4" a="1"/>
  <c r="DK109" i="4" s="1"/>
  <c r="DL109" i="4" a="1"/>
  <c r="DL109" i="4" s="1"/>
  <c r="EO109" i="4" a="1"/>
  <c r="EO109" i="4" s="1"/>
  <c r="DI129" i="4" a="1"/>
  <c r="DI129" i="4" s="1"/>
  <c r="EL129" i="4" a="1"/>
  <c r="EL129" i="4" s="1"/>
  <c r="DX129" i="4" a="1"/>
  <c r="DX129" i="4" s="1"/>
  <c r="DO129" i="4" a="1"/>
  <c r="DO129" i="4" s="1"/>
  <c r="ER129" i="4" a="1"/>
  <c r="ER129" i="4" s="1"/>
  <c r="ES117" i="4" a="1"/>
  <c r="ES117" i="4" s="1"/>
  <c r="DP117" i="4" a="1"/>
  <c r="DP117" i="4" s="1"/>
  <c r="EF117" i="4" a="1"/>
  <c r="EF117" i="4" s="1"/>
  <c r="DN117" i="4" a="1"/>
  <c r="DN117" i="4" s="1"/>
  <c r="EQ117" i="4" a="1"/>
  <c r="EQ117" i="4" s="1"/>
  <c r="DZ117" i="4" a="1"/>
  <c r="DZ117" i="4" s="1"/>
  <c r="EE101" i="4" a="1"/>
  <c r="EE101" i="4" s="1"/>
  <c r="DM101" i="4" a="1"/>
  <c r="DM101" i="4" s="1"/>
  <c r="EP101" i="4" a="1"/>
  <c r="EP101" i="4" s="1"/>
  <c r="I49" i="50" s="1"/>
  <c r="EF101" i="4" a="1"/>
  <c r="EF101" i="4" s="1"/>
  <c r="DY135" i="4" a="1"/>
  <c r="DY135" i="4" s="1"/>
  <c r="ED135" i="4" a="1"/>
  <c r="ED135" i="4" s="1"/>
  <c r="DM135" i="4" a="1"/>
  <c r="DM135" i="4" s="1"/>
  <c r="EP135" i="4" a="1"/>
  <c r="EP135" i="4" s="1"/>
  <c r="DZ135" i="4" a="1"/>
  <c r="DZ135" i="4" s="1"/>
  <c r="DZ102" i="4" a="1"/>
  <c r="DZ102" i="4" s="1"/>
  <c r="EA102" i="4" a="1"/>
  <c r="EA102" i="4" s="1"/>
  <c r="EE102" i="4" a="1"/>
  <c r="EE102" i="4" s="1"/>
  <c r="ET102" i="4" a="1"/>
  <c r="ET102" i="4" s="1"/>
  <c r="DQ102" i="4" a="1"/>
  <c r="DQ102" i="4" s="1"/>
  <c r="EU124" i="4" a="1"/>
  <c r="EU124" i="4" s="1"/>
  <c r="N57" i="50" s="1"/>
  <c r="DR124" i="4" a="1"/>
  <c r="DR124" i="4" s="1"/>
  <c r="EF124" i="4" a="1"/>
  <c r="EF124" i="4" s="1"/>
  <c r="EG39" i="4"/>
  <c r="EQ95" i="4" a="1"/>
  <c r="EQ95" i="4" s="1"/>
  <c r="DN95" i="4" a="1"/>
  <c r="DN95" i="4" s="1"/>
  <c r="EN95" i="4" a="1"/>
  <c r="EN95" i="4" s="1"/>
  <c r="DK95" i="4" a="1"/>
  <c r="DK95" i="4" s="1"/>
  <c r="ED95" i="4" a="1"/>
  <c r="ED95" i="4" s="1"/>
  <c r="DV95" i="4" a="1"/>
  <c r="DV95" i="4" s="1"/>
  <c r="DZ82" i="4" a="1"/>
  <c r="DZ82" i="4" s="1"/>
  <c r="EE82" i="4" a="1"/>
  <c r="EE82" i="4" s="1"/>
  <c r="EL82" i="4" a="1"/>
  <c r="EL82" i="4" s="1"/>
  <c r="DI82" i="4" a="1"/>
  <c r="DI82" i="4" s="1"/>
  <c r="DK82" i="4" a="1"/>
  <c r="DK82" i="4" s="1"/>
  <c r="EN82" i="4" a="1"/>
  <c r="EN82" i="4" s="1"/>
  <c r="ED24" i="4" a="1"/>
  <c r="ED24" i="4" s="1"/>
  <c r="EB24" i="4" a="1"/>
  <c r="EB24" i="4" s="1"/>
  <c r="DN24" i="4" a="1"/>
  <c r="DN24" i="4" s="1"/>
  <c r="EQ24" i="4" a="1"/>
  <c r="EQ24" i="4" s="1"/>
  <c r="J11" i="50" s="1"/>
  <c r="DQ75" i="4" a="1"/>
  <c r="DQ75" i="4" s="1"/>
  <c r="ET75" i="4" a="1"/>
  <c r="ET75" i="4" s="1"/>
  <c r="DU75" i="4" a="1"/>
  <c r="DU75" i="4" s="1"/>
  <c r="EE75" i="4" a="1"/>
  <c r="EE75" i="4" s="1"/>
  <c r="EG72" i="4"/>
  <c r="EU131" i="4" a="1"/>
  <c r="EU131" i="4" s="1"/>
  <c r="DR131" i="4" a="1"/>
  <c r="DR131" i="4" s="1"/>
  <c r="DX131" i="4" a="1"/>
  <c r="DX131" i="4" s="1"/>
  <c r="EF131" i="4" a="1"/>
  <c r="EF131" i="4" s="1"/>
  <c r="DC104" i="4"/>
  <c r="CU104" i="4"/>
  <c r="AH104" i="4"/>
  <c r="CO104" i="4"/>
  <c r="AJ104" i="4"/>
  <c r="CV104" i="4"/>
  <c r="CY104" i="4"/>
  <c r="CK104" i="4"/>
  <c r="BT104" i="4"/>
  <c r="CX104" i="4"/>
  <c r="CM104" i="4"/>
  <c r="CT104" i="4"/>
  <c r="DD104" i="4"/>
  <c r="DF104" i="4"/>
  <c r="CN104" i="4"/>
  <c r="CR104" i="4"/>
  <c r="CZ104" i="4"/>
  <c r="CL104" i="4"/>
  <c r="CQ104" i="4"/>
  <c r="CP104" i="4"/>
  <c r="DG104" i="4"/>
  <c r="CW104" i="4"/>
  <c r="DA104" i="4"/>
  <c r="DE104" i="4"/>
  <c r="DH104" i="4"/>
  <c r="CS104" i="4"/>
  <c r="DB104" i="4"/>
  <c r="EN7" i="4" a="1"/>
  <c r="EN7" i="4" s="1"/>
  <c r="DK7" i="4" a="1"/>
  <c r="DK7" i="4" s="1"/>
  <c r="DY7" i="4" a="1"/>
  <c r="DY7" i="4" s="1"/>
  <c r="ET7" i="4" a="1"/>
  <c r="ET7" i="4" s="1"/>
  <c r="DQ7" i="4" a="1"/>
  <c r="DQ7" i="4" s="1"/>
  <c r="EC37" i="4" a="1"/>
  <c r="EC37" i="4" s="1"/>
  <c r="EA37" i="4" a="1"/>
  <c r="EA37" i="4" s="1"/>
  <c r="DQ37" i="4" a="1"/>
  <c r="DQ37" i="4" s="1"/>
  <c r="ET37" i="4" a="1"/>
  <c r="ET37" i="4" s="1"/>
  <c r="DR90" i="4" a="1"/>
  <c r="DR90" i="4" s="1"/>
  <c r="EU90" i="4" a="1"/>
  <c r="EU90" i="4" s="1"/>
  <c r="EO90" i="4" a="1"/>
  <c r="EO90" i="4" s="1"/>
  <c r="DL90" i="4" a="1"/>
  <c r="DL90" i="4" s="1"/>
  <c r="DQ90" i="4" a="1"/>
  <c r="DQ90" i="4" s="1"/>
  <c r="ET90" i="4" a="1"/>
  <c r="ET90" i="4" s="1"/>
  <c r="DZ111" i="4" a="1"/>
  <c r="DZ111" i="4" s="1"/>
  <c r="DX111" i="4" a="1"/>
  <c r="DX111" i="4" s="1"/>
  <c r="DM111" i="4" a="1"/>
  <c r="DM111" i="4" s="1"/>
  <c r="EP111" i="4" a="1"/>
  <c r="EP111" i="4" s="1"/>
  <c r="EG69" i="4"/>
  <c r="EG126" i="4"/>
  <c r="DS6" i="4" a="1"/>
  <c r="DS6" i="4" s="1"/>
  <c r="EV6" i="4" a="1"/>
  <c r="EV6" i="4" s="1"/>
  <c r="O3" i="50" s="1"/>
  <c r="DZ6" i="4" a="1"/>
  <c r="DZ6" i="4" s="1"/>
  <c r="DJ6" i="4" a="1"/>
  <c r="DJ6" i="4" s="1"/>
  <c r="EM6" i="4" a="1"/>
  <c r="EM6" i="4" s="1"/>
  <c r="F3" i="50" s="1"/>
  <c r="DZ120" i="4" a="1"/>
  <c r="DZ120" i="4" s="1"/>
  <c r="EU120" i="4" a="1"/>
  <c r="EU120" i="4" s="1"/>
  <c r="DR120" i="4" a="1"/>
  <c r="DR120" i="4" s="1"/>
  <c r="EP120" i="4" a="1"/>
  <c r="EP120" i="4" s="1"/>
  <c r="DM120" i="4" a="1"/>
  <c r="DM120" i="4" s="1"/>
  <c r="EE88" i="4" a="1"/>
  <c r="EE88" i="4" s="1"/>
  <c r="EB88" i="4" a="1"/>
  <c r="EB88" i="4" s="1"/>
  <c r="EU88" i="4" a="1"/>
  <c r="EU88" i="4" s="1"/>
  <c r="N40" i="50" s="1"/>
  <c r="DR88" i="4" a="1"/>
  <c r="DR88" i="4" s="1"/>
  <c r="ER73" i="4" a="1"/>
  <c r="ER73" i="4" s="1"/>
  <c r="DO73" i="4" a="1"/>
  <c r="DO73" i="4" s="1"/>
  <c r="DX73" i="4" a="1"/>
  <c r="DX73" i="4" s="1"/>
  <c r="DR73" i="4" a="1"/>
  <c r="DR73" i="4" s="1"/>
  <c r="EU73" i="4" a="1"/>
  <c r="EU73" i="4" s="1"/>
  <c r="ER50" i="4" a="1"/>
  <c r="ER50" i="4" s="1"/>
  <c r="K20" i="50" s="1"/>
  <c r="DO50" i="4" a="1"/>
  <c r="DO50" i="4" s="1"/>
  <c r="EM50" i="4" a="1"/>
  <c r="EM50" i="4" s="1"/>
  <c r="F20" i="50" s="1"/>
  <c r="DJ50" i="4" a="1"/>
  <c r="DJ50" i="4" s="1"/>
  <c r="DT50" i="4" a="1"/>
  <c r="DT50" i="4" s="1"/>
  <c r="EW50" i="4" a="1"/>
  <c r="EW50" i="4" s="1"/>
  <c r="P20" i="50" s="1"/>
  <c r="EL13" i="4" a="1"/>
  <c r="EL13" i="4" s="1"/>
  <c r="E5" i="50" s="1"/>
  <c r="DI13" i="4" a="1"/>
  <c r="DI13" i="4" s="1"/>
  <c r="ES13" i="4" a="1"/>
  <c r="ES13" i="4" s="1"/>
  <c r="L5" i="50" s="1"/>
  <c r="DP13" i="4" a="1"/>
  <c r="DP13" i="4" s="1"/>
  <c r="DW13" i="4" a="1"/>
  <c r="DW13" i="4" s="1"/>
  <c r="EB118" i="4" a="1"/>
  <c r="EB118" i="4" s="1"/>
  <c r="DO118" i="4" a="1"/>
  <c r="DO118" i="4" s="1"/>
  <c r="ER118" i="4" a="1"/>
  <c r="ER118" i="4" s="1"/>
  <c r="DS118" i="4" a="1"/>
  <c r="DS118" i="4" s="1"/>
  <c r="EV118" i="4" a="1"/>
  <c r="EV118" i="4" s="1"/>
  <c r="EA81" i="4" a="1"/>
  <c r="EA81" i="4" s="1"/>
  <c r="DQ81" i="4" a="1"/>
  <c r="DQ81" i="4" s="1"/>
  <c r="ET81" i="4" a="1"/>
  <c r="ET81" i="4" s="1"/>
  <c r="DS81" i="4" a="1"/>
  <c r="DS81" i="4" s="1"/>
  <c r="EV81" i="4" a="1"/>
  <c r="EV81" i="4" s="1"/>
  <c r="EE76" i="4" a="1"/>
  <c r="EE76" i="4" s="1"/>
  <c r="EL107" i="4" a="1"/>
  <c r="EL107" i="4" s="1"/>
  <c r="DI107" i="4" a="1"/>
  <c r="DI107" i="4" s="1"/>
  <c r="DZ107" i="4" a="1"/>
  <c r="DZ107" i="4" s="1"/>
  <c r="DU107" i="4" a="1"/>
  <c r="DU107" i="4" s="1"/>
  <c r="DW89" i="4" a="1"/>
  <c r="DW89" i="4" s="1"/>
  <c r="EB89" i="4" a="1"/>
  <c r="EB89" i="4" s="1"/>
  <c r="DO89" i="4" a="1"/>
  <c r="DO89" i="4" s="1"/>
  <c r="ER89" i="4" a="1"/>
  <c r="ER89" i="4" s="1"/>
  <c r="K41" i="50" s="1"/>
  <c r="EN80" i="4" a="1"/>
  <c r="EN80" i="4" s="1"/>
  <c r="DK80" i="4" a="1"/>
  <c r="DK80" i="4" s="1"/>
  <c r="DY80" i="4" a="1"/>
  <c r="DY80" i="4" s="1"/>
  <c r="DQ80" i="4" a="1"/>
  <c r="DQ80" i="4" s="1"/>
  <c r="ET80" i="4" a="1"/>
  <c r="ET80" i="4" s="1"/>
  <c r="DZ9" i="4" a="1"/>
  <c r="DZ9" i="4" s="1"/>
  <c r="EE9" i="4" a="1"/>
  <c r="EE9" i="4" s="1"/>
  <c r="DW9" i="4" a="1"/>
  <c r="DW9" i="4" s="1"/>
  <c r="DO83" i="4" a="1"/>
  <c r="DO83" i="4" s="1"/>
  <c r="ER83" i="4" a="1"/>
  <c r="ER83" i="4" s="1"/>
  <c r="DW83" i="4" a="1"/>
  <c r="DW83" i="4" s="1"/>
  <c r="DI83" i="4" a="1"/>
  <c r="DI83" i="4" s="1"/>
  <c r="EL83" i="4" a="1"/>
  <c r="EL83" i="4" s="1"/>
  <c r="ED83" i="4" a="1"/>
  <c r="ED83" i="4" s="1"/>
  <c r="DI43" i="4" a="1"/>
  <c r="DI43" i="4" s="1"/>
  <c r="EL43" i="4" a="1"/>
  <c r="EL43" i="4" s="1"/>
  <c r="E19" i="50" s="1"/>
  <c r="EM43" i="4" a="1"/>
  <c r="EM43" i="4" s="1"/>
  <c r="F19" i="50" s="1"/>
  <c r="DJ43" i="4" a="1"/>
  <c r="DJ43" i="4" s="1"/>
  <c r="DP43" i="4" a="1"/>
  <c r="DP43" i="4" s="1"/>
  <c r="ES43" i="4" a="1"/>
  <c r="ES43" i="4" s="1"/>
  <c r="L19" i="50" s="1"/>
  <c r="ET98" i="4" a="1"/>
  <c r="ET98" i="4" s="1"/>
  <c r="DQ98" i="4" a="1"/>
  <c r="DQ98" i="4" s="1"/>
  <c r="EN98" i="4" a="1"/>
  <c r="EN98" i="4" s="1"/>
  <c r="DK98" i="4" a="1"/>
  <c r="DK98" i="4" s="1"/>
  <c r="DM98" i="4" a="1"/>
  <c r="DM98" i="4" s="1"/>
  <c r="EP98" i="4" a="1"/>
  <c r="EP98" i="4" s="1"/>
  <c r="DP98" i="4" a="1"/>
  <c r="DP98" i="4" s="1"/>
  <c r="ES98" i="4" a="1"/>
  <c r="ES98" i="4" s="1"/>
  <c r="DQ96" i="4" a="1"/>
  <c r="DQ96" i="4" s="1"/>
  <c r="ET96" i="4" a="1"/>
  <c r="ET96" i="4" s="1"/>
  <c r="DW96" i="4" a="1"/>
  <c r="DW96" i="4" s="1"/>
  <c r="DT96" i="4" a="1"/>
  <c r="DT96" i="4" s="1"/>
  <c r="EW96" i="4" a="1"/>
  <c r="EW96" i="4" s="1"/>
  <c r="DW67" i="4" a="1"/>
  <c r="DW67" i="4" s="1"/>
  <c r="DU67" i="4" a="1"/>
  <c r="DU67" i="4" s="1"/>
  <c r="EN67" i="4" a="1"/>
  <c r="EN67" i="4" s="1"/>
  <c r="G31" i="50" s="1"/>
  <c r="DK67" i="4" a="1"/>
  <c r="DK67" i="4" s="1"/>
  <c r="ED133" i="4" a="1"/>
  <c r="ED133" i="4" s="1"/>
  <c r="DM133" i="4" a="1"/>
  <c r="DM133" i="4" s="1"/>
  <c r="EP133" i="4" a="1"/>
  <c r="EP133" i="4" s="1"/>
  <c r="DV133" i="4" a="1"/>
  <c r="DV133" i="4" s="1"/>
  <c r="EQ133" i="4" a="1"/>
  <c r="EQ133" i="4" s="1"/>
  <c r="DN133" i="4" a="1"/>
  <c r="DN133" i="4" s="1"/>
  <c r="EF10" i="4" a="1"/>
  <c r="EF10" i="4" s="1"/>
  <c r="DV10" i="4" a="1"/>
  <c r="DV10" i="4" s="1"/>
  <c r="ER10" i="4" a="1"/>
  <c r="ER10" i="4" s="1"/>
  <c r="DO10" i="4" a="1"/>
  <c r="DO10" i="4" s="1"/>
  <c r="DR51" i="4" a="1"/>
  <c r="DR51" i="4" s="1"/>
  <c r="EU51" i="4" a="1"/>
  <c r="EU51" i="4" s="1"/>
  <c r="N21" i="50" s="1"/>
  <c r="EC51" i="4" a="1"/>
  <c r="EC51" i="4" s="1"/>
  <c r="ER51" i="4" a="1"/>
  <c r="ER51" i="4" s="1"/>
  <c r="K21" i="50" s="1"/>
  <c r="DO51" i="4" a="1"/>
  <c r="DO51" i="4" s="1"/>
  <c r="DM51" i="4" a="1"/>
  <c r="DM51" i="4" s="1"/>
  <c r="EP51" i="4" a="1"/>
  <c r="EP51" i="4" s="1"/>
  <c r="I21" i="50" s="1"/>
  <c r="EA62" i="4" a="1"/>
  <c r="EA62" i="4" s="1"/>
  <c r="ET62" i="4" a="1"/>
  <c r="ET62" i="4" s="1"/>
  <c r="M27" i="50" s="1"/>
  <c r="DQ62" i="4" a="1"/>
  <c r="DQ62" i="4" s="1"/>
  <c r="EC62" i="4" a="1"/>
  <c r="EC62" i="4" s="1"/>
  <c r="EE77" i="4" a="1"/>
  <c r="EE77" i="4" s="1"/>
  <c r="EB77" i="4" a="1"/>
  <c r="EB77" i="4" s="1"/>
  <c r="DX79" i="4" a="1"/>
  <c r="DX79" i="4" s="1"/>
  <c r="ED79" i="4" a="1"/>
  <c r="ED79" i="4" s="1"/>
  <c r="EC102" i="2"/>
  <c r="EE102" i="2"/>
  <c r="EB102" i="2"/>
  <c r="DW92" i="4" a="1"/>
  <c r="DW92" i="4" s="1"/>
  <c r="EE92" i="4" a="1"/>
  <c r="EE92" i="4" s="1"/>
  <c r="DY92" i="4" a="1"/>
  <c r="DY92" i="4" s="1"/>
  <c r="EO92" i="4" a="1"/>
  <c r="EO92" i="4" s="1"/>
  <c r="H43" i="50" s="1"/>
  <c r="DL92" i="4" a="1"/>
  <c r="DL92" i="4" s="1"/>
  <c r="EE78" i="4" a="1"/>
  <c r="EE78" i="4" s="1"/>
  <c r="EN78" i="4" a="1"/>
  <c r="EN78" i="4" s="1"/>
  <c r="DK78" i="4" a="1"/>
  <c r="DK78" i="4" s="1"/>
  <c r="EW78" i="4" a="1"/>
  <c r="EW78" i="4" s="1"/>
  <c r="DT78" i="4" a="1"/>
  <c r="DT78" i="4" s="1"/>
  <c r="DZ125" i="4" a="1"/>
  <c r="DZ125" i="4" s="1"/>
  <c r="DR125" i="4" a="1"/>
  <c r="DR125" i="4" s="1"/>
  <c r="EU125" i="4" a="1"/>
  <c r="EU125" i="4" s="1"/>
  <c r="N58" i="50" s="1"/>
  <c r="DK125" i="4" a="1"/>
  <c r="DK125" i="4" s="1"/>
  <c r="EN125" i="4" a="1"/>
  <c r="EN125" i="4" s="1"/>
  <c r="G58" i="50" s="1"/>
  <c r="DZ35" i="4" a="1"/>
  <c r="DZ35" i="4" s="1"/>
  <c r="EA35" i="4" a="1"/>
  <c r="EA35" i="4" s="1"/>
  <c r="DX35" i="4" a="1"/>
  <c r="DX35" i="4" s="1"/>
  <c r="DK122" i="4" a="1"/>
  <c r="DK122" i="4" s="1"/>
  <c r="EN122" i="4" a="1"/>
  <c r="EN122" i="4" s="1"/>
  <c r="G56" i="50" s="1"/>
  <c r="EC122" i="4" a="1"/>
  <c r="EC122" i="4" s="1"/>
  <c r="EF122" i="4" a="1"/>
  <c r="EF122" i="4" s="1"/>
  <c r="DV32" i="4" a="1"/>
  <c r="DV32" i="4" s="1"/>
  <c r="DY32" i="4" a="1"/>
  <c r="DY32" i="4" s="1"/>
  <c r="DO32" i="4" a="1"/>
  <c r="DO32" i="4" s="1"/>
  <c r="ER32" i="4" a="1"/>
  <c r="ER32" i="4" s="1"/>
  <c r="DT32" i="4" a="1"/>
  <c r="DT32" i="4" s="1"/>
  <c r="EW32" i="4" a="1"/>
  <c r="EW32" i="4" s="1"/>
  <c r="DO12" i="4" a="1"/>
  <c r="DO12" i="4" s="1"/>
  <c r="ER12" i="4" a="1"/>
  <c r="ER12" i="4" s="1"/>
  <c r="K4" i="50" s="1"/>
  <c r="EC12" i="4" a="1"/>
  <c r="EC12" i="4" s="1"/>
  <c r="DJ12" i="4" a="1"/>
  <c r="DJ12" i="4" s="1"/>
  <c r="EM12" i="4" a="1"/>
  <c r="EM12" i="4" s="1"/>
  <c r="F4" i="50" s="1"/>
  <c r="DU134" i="4" a="1"/>
  <c r="DU134" i="4" s="1"/>
  <c r="DX134" i="4" a="1"/>
  <c r="DX134" i="4" s="1"/>
  <c r="EA134" i="4" a="1"/>
  <c r="EA134" i="4" s="1"/>
  <c r="DY84" i="4" a="1"/>
  <c r="DY84" i="4" s="1"/>
  <c r="EL84" i="4" a="1"/>
  <c r="EL84" i="4" s="1"/>
  <c r="DI84" i="4" a="1"/>
  <c r="DI84" i="4" s="1"/>
  <c r="EQ84" i="4" a="1"/>
  <c r="EQ84" i="4" s="1"/>
  <c r="DN84" i="4" a="1"/>
  <c r="DN84" i="4" s="1"/>
  <c r="EB127" i="4" a="1"/>
  <c r="EB127" i="4" s="1"/>
  <c r="EA127" i="4" a="1"/>
  <c r="EA127" i="4" s="1"/>
  <c r="DV97" i="4" a="1"/>
  <c r="DV97" i="4" s="1"/>
  <c r="DX97" i="4" a="1"/>
  <c r="DX97" i="4" s="1"/>
  <c r="DZ97" i="4" a="1"/>
  <c r="DZ97" i="4" s="1"/>
  <c r="DY56" i="4" a="1"/>
  <c r="DY56" i="4" s="1"/>
  <c r="ET56" i="4" a="1"/>
  <c r="ET56" i="4" s="1"/>
  <c r="M25" i="50" s="1"/>
  <c r="DQ56" i="4" a="1"/>
  <c r="DQ56" i="4" s="1"/>
  <c r="DO56" i="4" a="1"/>
  <c r="DO56" i="4" s="1"/>
  <c r="ER56" i="4" a="1"/>
  <c r="ER56" i="4" s="1"/>
  <c r="K25" i="50" s="1"/>
  <c r="EF93" i="4" a="1"/>
  <c r="EF93" i="4" s="1"/>
  <c r="DZ93" i="4" a="1"/>
  <c r="DZ93" i="4" s="1"/>
  <c r="EB93" i="4" a="1"/>
  <c r="EB93" i="4" s="1"/>
  <c r="DX93" i="4" a="1"/>
  <c r="DX93" i="4" s="1"/>
  <c r="EC21" i="4" a="1"/>
  <c r="EC21" i="4" s="1"/>
  <c r="DM21" i="4" a="1"/>
  <c r="DM21" i="4" s="1"/>
  <c r="EP21" i="4" a="1"/>
  <c r="EP21" i="4" s="1"/>
  <c r="I9" i="50" s="1"/>
  <c r="DL21" i="4" a="1"/>
  <c r="DL21" i="4" s="1"/>
  <c r="EO21" i="4" a="1"/>
  <c r="EO21" i="4" s="1"/>
  <c r="H9" i="50" s="1"/>
  <c r="C3" i="50"/>
  <c r="EM63" i="4" a="1"/>
  <c r="EM63" i="4" s="1"/>
  <c r="F28" i="50" s="1"/>
  <c r="DJ63" i="4" a="1"/>
  <c r="DJ63" i="4" s="1"/>
  <c r="DJ101" i="4" a="1"/>
  <c r="DJ101" i="4" s="1"/>
  <c r="EM101" i="4" a="1"/>
  <c r="EM101" i="4" s="1"/>
  <c r="F49" i="50" s="1"/>
  <c r="EW135" i="4" a="1"/>
  <c r="EW135" i="4" s="1"/>
  <c r="DT135" i="4" a="1"/>
  <c r="DT135" i="4" s="1"/>
  <c r="EV82" i="4" a="1"/>
  <c r="EV82" i="4" s="1"/>
  <c r="DS82" i="4" a="1"/>
  <c r="DS82" i="4" s="1"/>
  <c r="EW88" i="4" a="1"/>
  <c r="EW88" i="4" s="1"/>
  <c r="P40" i="50" s="1"/>
  <c r="DT88" i="4" a="1"/>
  <c r="DT88" i="4" s="1"/>
  <c r="ET128" i="4" a="1"/>
  <c r="ET128" i="4" s="1"/>
  <c r="DQ128" i="4" a="1"/>
  <c r="DQ128" i="4" s="1"/>
  <c r="EE121" i="4" a="1"/>
  <c r="EE121" i="4" s="1"/>
  <c r="DM8" i="4" a="1"/>
  <c r="DM8" i="4" s="1"/>
  <c r="EP8" i="4" a="1"/>
  <c r="EP8" i="4" s="1"/>
  <c r="DN42" i="4" a="1"/>
  <c r="DN42" i="4" s="1"/>
  <c r="EQ42" i="4" a="1"/>
  <c r="EQ42" i="4" s="1"/>
  <c r="J18" i="50" s="1"/>
  <c r="ED63" i="4" a="1"/>
  <c r="ED63" i="4" s="1"/>
  <c r="EN74" i="4" a="1"/>
  <c r="EN74" i="4" s="1"/>
  <c r="DK74" i="4" a="1"/>
  <c r="DK74" i="4" s="1"/>
  <c r="EW94" i="4" a="1"/>
  <c r="EW94" i="4" s="1"/>
  <c r="P45" i="50" s="1"/>
  <c r="DT94" i="4" a="1"/>
  <c r="DT94" i="4" s="1"/>
  <c r="DS91" i="4" a="1"/>
  <c r="DS91" i="4" s="1"/>
  <c r="EV91" i="4" a="1"/>
  <c r="EV91" i="4" s="1"/>
  <c r="EM116" i="4" a="1"/>
  <c r="EM116" i="4" s="1"/>
  <c r="DJ116" i="4" a="1"/>
  <c r="DJ116" i="4" s="1"/>
  <c r="DU109" i="4" a="1"/>
  <c r="DU109" i="4" s="1"/>
  <c r="EV129" i="4" a="1"/>
  <c r="EV129" i="4" s="1"/>
  <c r="DS129" i="4" a="1"/>
  <c r="DS129" i="4" s="1"/>
  <c r="DY101" i="4" a="1"/>
  <c r="DY101" i="4" s="1"/>
  <c r="ED102" i="4" a="1"/>
  <c r="ED102" i="4" s="1"/>
  <c r="EB95" i="4" a="1"/>
  <c r="EB95" i="4" s="1"/>
  <c r="DV24" i="4" a="1"/>
  <c r="DV24" i="4" s="1"/>
  <c r="DV36" i="4" a="1"/>
  <c r="DV36" i="4" s="1"/>
  <c r="EL130" i="4" a="1"/>
  <c r="EL130" i="4" s="1"/>
  <c r="E60" i="50" s="1"/>
  <c r="DI130" i="4" a="1"/>
  <c r="DI130" i="4" s="1"/>
  <c r="DU128" i="4" a="1"/>
  <c r="DU128" i="4" s="1"/>
  <c r="DK22" i="4" a="1"/>
  <c r="DK22" i="4" s="1"/>
  <c r="EN22" i="4" a="1"/>
  <c r="EN22" i="4" s="1"/>
  <c r="G10" i="50" s="1"/>
  <c r="EB42" i="4" a="1"/>
  <c r="EB42" i="4" s="1"/>
  <c r="EE33" i="4" a="1"/>
  <c r="EE33" i="4" s="1"/>
  <c r="DI74" i="4" a="1"/>
  <c r="DI74" i="4" s="1"/>
  <c r="EL74" i="4" a="1"/>
  <c r="EL74" i="4" s="1"/>
  <c r="DZ91" i="4" a="1"/>
  <c r="DZ91" i="4" s="1"/>
  <c r="DG110" i="4"/>
  <c r="DH110" i="4"/>
  <c r="CK110" i="4"/>
  <c r="CN110" i="4"/>
  <c r="DE110" i="4"/>
  <c r="CP110" i="4"/>
  <c r="AH110" i="4"/>
  <c r="CW110" i="4"/>
  <c r="CZ110" i="4"/>
  <c r="CU110" i="4"/>
  <c r="CY110" i="4"/>
  <c r="DC110" i="4"/>
  <c r="CT110" i="4"/>
  <c r="CQ110" i="4"/>
  <c r="DA110" i="4"/>
  <c r="CL110" i="4"/>
  <c r="CS110" i="4"/>
  <c r="DB110" i="4"/>
  <c r="AJ110" i="4"/>
  <c r="DF110" i="4"/>
  <c r="CX110" i="4"/>
  <c r="CR110" i="4"/>
  <c r="CM110" i="4"/>
  <c r="BT110" i="4"/>
  <c r="CO110" i="4"/>
  <c r="DD110" i="4"/>
  <c r="CV110" i="4"/>
  <c r="EU116" i="4" a="1"/>
  <c r="EU116" i="4" s="1"/>
  <c r="DR116" i="4" a="1"/>
  <c r="DR116" i="4" s="1"/>
  <c r="DU129" i="4" a="1"/>
  <c r="DU129" i="4" s="1"/>
  <c r="DK117" i="4" a="1"/>
  <c r="DK117" i="4" s="1"/>
  <c r="EN117" i="4" a="1"/>
  <c r="EN117" i="4" s="1"/>
  <c r="EB173" i="2"/>
  <c r="EC173" i="2"/>
  <c r="EE173" i="2"/>
  <c r="ET135" i="4" a="1"/>
  <c r="ET135" i="4" s="1"/>
  <c r="DQ135" i="4" a="1"/>
  <c r="DQ135" i="4" s="1"/>
  <c r="DT102" i="4" a="1"/>
  <c r="DT102" i="4" s="1"/>
  <c r="EW102" i="4" a="1"/>
  <c r="EW102" i="4" s="1"/>
  <c r="EE124" i="4" a="1"/>
  <c r="EE124" i="4" s="1"/>
  <c r="DS95" i="4" a="1"/>
  <c r="DS95" i="4" s="1"/>
  <c r="EV95" i="4" a="1"/>
  <c r="EV95" i="4" s="1"/>
  <c r="EC36" i="4" a="1"/>
  <c r="EC36" i="4" s="1"/>
  <c r="DJ130" i="4" a="1"/>
  <c r="DJ130" i="4" s="1"/>
  <c r="EM130" i="4" a="1"/>
  <c r="EM130" i="4" s="1"/>
  <c r="F60" i="50" s="1"/>
  <c r="EE130" i="4" a="1"/>
  <c r="EE130" i="4" s="1"/>
  <c r="DX128" i="4" a="1"/>
  <c r="DX128" i="4" s="1"/>
  <c r="DW121" i="4" a="1"/>
  <c r="DW121" i="4" s="1"/>
  <c r="EA8" i="4" a="1"/>
  <c r="EA8" i="4" s="1"/>
  <c r="DK8" i="4" a="1"/>
  <c r="DK8" i="4" s="1"/>
  <c r="EN8" i="4" a="1"/>
  <c r="EN8" i="4" s="1"/>
  <c r="EG26" i="4"/>
  <c r="DV22" i="4" a="1"/>
  <c r="DV22" i="4" s="1"/>
  <c r="DT42" i="4" a="1"/>
  <c r="DT42" i="4" s="1"/>
  <c r="EW42" i="4" a="1"/>
  <c r="EW42" i="4" s="1"/>
  <c r="P18" i="50" s="1"/>
  <c r="DV33" i="4" a="1"/>
  <c r="DV33" i="4" s="1"/>
  <c r="DQ63" i="4" a="1"/>
  <c r="DQ63" i="4" s="1"/>
  <c r="ET63" i="4" a="1"/>
  <c r="ET63" i="4" s="1"/>
  <c r="M28" i="50" s="1"/>
  <c r="EV74" i="4" a="1"/>
  <c r="EV74" i="4" s="1"/>
  <c r="DS74" i="4" a="1"/>
  <c r="DS74" i="4" s="1"/>
  <c r="DX94" i="4" a="1"/>
  <c r="DX94" i="4" s="1"/>
  <c r="DN91" i="4" a="1"/>
  <c r="DN91" i="4" s="1"/>
  <c r="EQ91" i="4" a="1"/>
  <c r="EQ91" i="4" s="1"/>
  <c r="EB116" i="4" a="1"/>
  <c r="EB116" i="4" s="1"/>
  <c r="DY109" i="4" a="1"/>
  <c r="DY109" i="4" s="1"/>
  <c r="DZ129" i="4" a="1"/>
  <c r="DZ129" i="4" s="1"/>
  <c r="EE117" i="4" a="1"/>
  <c r="EE117" i="4" s="1"/>
  <c r="EQ101" i="4" a="1"/>
  <c r="EQ101" i="4" s="1"/>
  <c r="J49" i="50" s="1"/>
  <c r="DN101" i="4" a="1"/>
  <c r="DN101" i="4" s="1"/>
  <c r="DR135" i="4" a="1"/>
  <c r="DR135" i="4" s="1"/>
  <c r="EU135" i="4" a="1"/>
  <c r="EU135" i="4" s="1"/>
  <c r="EP124" i="4" a="1"/>
  <c r="EP124" i="4" s="1"/>
  <c r="I57" i="50" s="1"/>
  <c r="DM124" i="4" a="1"/>
  <c r="DM124" i="4" s="1"/>
  <c r="EB82" i="4" a="1"/>
  <c r="EB82" i="4" s="1"/>
  <c r="DX74" i="4" a="1"/>
  <c r="DX74" i="4" s="1"/>
  <c r="EB74" i="4" a="1"/>
  <c r="EB74" i="4" s="1"/>
  <c r="EQ94" i="4" a="1"/>
  <c r="EQ94" i="4" s="1"/>
  <c r="DN94" i="4" a="1"/>
  <c r="DN94" i="4" s="1"/>
  <c r="EV36" i="4" a="1"/>
  <c r="EV36" i="4" s="1"/>
  <c r="DS36" i="4" a="1"/>
  <c r="DS36" i="4" s="1"/>
  <c r="ES36" i="4" a="1"/>
  <c r="ES36" i="4" s="1"/>
  <c r="L15" i="50" s="1"/>
  <c r="DP36" i="4" a="1"/>
  <c r="DP36" i="4" s="1"/>
  <c r="DK130" i="4" a="1"/>
  <c r="DK130" i="4" s="1"/>
  <c r="EN130" i="4" a="1"/>
  <c r="EN130" i="4" s="1"/>
  <c r="EA130" i="4" a="1"/>
  <c r="EA130" i="4" s="1"/>
  <c r="EP128" i="4" a="1"/>
  <c r="EP128" i="4" s="1"/>
  <c r="DM128" i="4" a="1"/>
  <c r="DM128" i="4" s="1"/>
  <c r="DW128" i="4" a="1"/>
  <c r="DW128" i="4" s="1"/>
  <c r="EB121" i="4" a="1"/>
  <c r="EB121" i="4" s="1"/>
  <c r="EF121" i="4" a="1"/>
  <c r="EF121" i="4" s="1"/>
  <c r="EL121" i="4" a="1"/>
  <c r="EL121" i="4" s="1"/>
  <c r="DI121" i="4" a="1"/>
  <c r="DI121" i="4" s="1"/>
  <c r="EM8" i="4" a="1"/>
  <c r="EM8" i="4" s="1"/>
  <c r="DJ8" i="4" a="1"/>
  <c r="DJ8" i="4" s="1"/>
  <c r="DV8" i="4" a="1"/>
  <c r="DV8" i="4" s="1"/>
  <c r="EW8" i="4" a="1"/>
  <c r="EW8" i="4" s="1"/>
  <c r="DT8" i="4" a="1"/>
  <c r="DT8" i="4" s="1"/>
  <c r="EF22" i="4" a="1"/>
  <c r="EF22" i="4" s="1"/>
  <c r="EU22" i="4" a="1"/>
  <c r="EU22" i="4" s="1"/>
  <c r="N10" i="50" s="1"/>
  <c r="DR22" i="4" a="1"/>
  <c r="DR22" i="4" s="1"/>
  <c r="DZ22" i="4" a="1"/>
  <c r="DZ22" i="4" s="1"/>
  <c r="ED42" i="4" a="1"/>
  <c r="ED42" i="4" s="1"/>
  <c r="DX42" i="4" a="1"/>
  <c r="DX42" i="4" s="1"/>
  <c r="DW42" i="4" a="1"/>
  <c r="DW42" i="4" s="1"/>
  <c r="DY33" i="4" a="1"/>
  <c r="DY33" i="4" s="1"/>
  <c r="DM33" i="4" a="1"/>
  <c r="DM33" i="4" s="1"/>
  <c r="EP33" i="4" a="1"/>
  <c r="EP33" i="4" s="1"/>
  <c r="DI33" i="4" a="1"/>
  <c r="DI33" i="4" s="1"/>
  <c r="EL33" i="4" a="1"/>
  <c r="EL33" i="4" s="1"/>
  <c r="DM63" i="4" a="1"/>
  <c r="DM63" i="4" s="1"/>
  <c r="EP63" i="4" a="1"/>
  <c r="EP63" i="4" s="1"/>
  <c r="I28" i="50" s="1"/>
  <c r="EQ63" i="4" a="1"/>
  <c r="EQ63" i="4" s="1"/>
  <c r="J28" i="50" s="1"/>
  <c r="DN63" i="4" a="1"/>
  <c r="DN63" i="4" s="1"/>
  <c r="DX63" i="4" a="1"/>
  <c r="DX63" i="4" s="1"/>
  <c r="EQ74" i="4" a="1"/>
  <c r="EQ74" i="4" s="1"/>
  <c r="DN74" i="4" a="1"/>
  <c r="DN74" i="4" s="1"/>
  <c r="EF74" i="4" a="1"/>
  <c r="EF74" i="4" s="1"/>
  <c r="EO74" i="4" a="1"/>
  <c r="EO74" i="4" s="1"/>
  <c r="DL74" i="4" a="1"/>
  <c r="DL74" i="4" s="1"/>
  <c r="DS94" i="4" a="1"/>
  <c r="DS94" i="4" s="1"/>
  <c r="EV94" i="4" a="1"/>
  <c r="EV94" i="4" s="1"/>
  <c r="ES94" i="4" a="1"/>
  <c r="ES94" i="4" s="1"/>
  <c r="L45" i="50" s="1"/>
  <c r="DP94" i="4" a="1"/>
  <c r="DP94" i="4" s="1"/>
  <c r="EM94" i="4" a="1"/>
  <c r="EM94" i="4" s="1"/>
  <c r="DJ94" i="4" a="1"/>
  <c r="DJ94" i="4" s="1"/>
  <c r="CL143" i="4"/>
  <c r="CX143" i="4"/>
  <c r="BT143" i="4"/>
  <c r="AH143" i="4"/>
  <c r="DD143" i="4"/>
  <c r="DH143" i="4"/>
  <c r="CP143" i="4"/>
  <c r="DB143" i="4"/>
  <c r="CT143" i="4"/>
  <c r="CV143" i="4"/>
  <c r="DE143" i="4"/>
  <c r="AJ143" i="4"/>
  <c r="CS143" i="4"/>
  <c r="CU143" i="4"/>
  <c r="CM143" i="4"/>
  <c r="DG143" i="4"/>
  <c r="DC143" i="4"/>
  <c r="DF143" i="4"/>
  <c r="DA143" i="4"/>
  <c r="CK143" i="4"/>
  <c r="CW143" i="4"/>
  <c r="CR143" i="4"/>
  <c r="CN143" i="4"/>
  <c r="CY143" i="4"/>
  <c r="CZ143" i="4"/>
  <c r="CQ143" i="4"/>
  <c r="CO143" i="4"/>
  <c r="EO91" i="4" a="1"/>
  <c r="EO91" i="4" s="1"/>
  <c r="DL91" i="4" a="1"/>
  <c r="DL91" i="4" s="1"/>
  <c r="EB91" i="4" a="1"/>
  <c r="EB91" i="4" s="1"/>
  <c r="DM116" i="4" a="1"/>
  <c r="DM116" i="4" s="1"/>
  <c r="EP116" i="4" a="1"/>
  <c r="EP116" i="4" s="1"/>
  <c r="ES116" i="4" a="1"/>
  <c r="ES116" i="4" s="1"/>
  <c r="DP116" i="4" a="1"/>
  <c r="DP116" i="4" s="1"/>
  <c r="EB109" i="4" a="1"/>
  <c r="EB109" i="4" s="1"/>
  <c r="DT109" i="4" a="1"/>
  <c r="DT109" i="4" s="1"/>
  <c r="EW109" i="4" a="1"/>
  <c r="EW109" i="4" s="1"/>
  <c r="DW109" i="4" a="1"/>
  <c r="DW109" i="4" s="1"/>
  <c r="DX109" i="4" a="1"/>
  <c r="DX109" i="4" s="1"/>
  <c r="CU100" i="4"/>
  <c r="DE100" i="4"/>
  <c r="AH100" i="4"/>
  <c r="AJ100" i="4"/>
  <c r="CZ100" i="4"/>
  <c r="CR100" i="4"/>
  <c r="CN100" i="4"/>
  <c r="CY100" i="4"/>
  <c r="CM100" i="4"/>
  <c r="CT100" i="4"/>
  <c r="CW100" i="4"/>
  <c r="CS100" i="4"/>
  <c r="CQ100" i="4"/>
  <c r="CV100" i="4"/>
  <c r="DD100" i="4"/>
  <c r="DG100" i="4"/>
  <c r="DB100" i="4"/>
  <c r="DA100" i="4"/>
  <c r="CX100" i="4"/>
  <c r="BT100" i="4"/>
  <c r="DF100" i="4"/>
  <c r="CP100" i="4"/>
  <c r="CO100" i="4"/>
  <c r="CK100" i="4"/>
  <c r="DH100" i="4"/>
  <c r="CL100" i="4"/>
  <c r="DC100" i="4"/>
  <c r="EN129" i="4" a="1"/>
  <c r="EN129" i="4" s="1"/>
  <c r="DK129" i="4" a="1"/>
  <c r="DK129" i="4" s="1"/>
  <c r="EA129" i="4" a="1"/>
  <c r="EA129" i="4" s="1"/>
  <c r="DU117" i="4" a="1"/>
  <c r="DU117" i="4" s="1"/>
  <c r="DW117" i="4" a="1"/>
  <c r="DW117" i="4" s="1"/>
  <c r="CP87" i="4"/>
  <c r="CY87" i="4"/>
  <c r="CL87" i="4"/>
  <c r="DF87" i="4"/>
  <c r="DB87" i="4"/>
  <c r="CN87" i="4"/>
  <c r="CM87" i="4"/>
  <c r="DC87" i="4"/>
  <c r="AH87" i="4"/>
  <c r="CV87" i="4"/>
  <c r="CW87" i="4"/>
  <c r="CS87" i="4"/>
  <c r="AJ87" i="4"/>
  <c r="CU87" i="4"/>
  <c r="DD87" i="4"/>
  <c r="CZ87" i="4"/>
  <c r="CO87" i="4"/>
  <c r="DG87" i="4"/>
  <c r="BT87" i="4"/>
  <c r="CT87" i="4"/>
  <c r="DH87" i="4"/>
  <c r="CX87" i="4"/>
  <c r="DE87" i="4"/>
  <c r="CR87" i="4"/>
  <c r="CK87" i="4"/>
  <c r="CQ87" i="4"/>
  <c r="DA87" i="4"/>
  <c r="EW101" i="4" a="1"/>
  <c r="EW101" i="4" s="1"/>
  <c r="P49" i="50" s="1"/>
  <c r="DT101" i="4" a="1"/>
  <c r="DT101" i="4" s="1"/>
  <c r="ES101" i="4" a="1"/>
  <c r="ES101" i="4" s="1"/>
  <c r="L49" i="50" s="1"/>
  <c r="DP101" i="4" a="1"/>
  <c r="DP101" i="4" s="1"/>
  <c r="DV101" i="4" a="1"/>
  <c r="DV101" i="4" s="1"/>
  <c r="EG53" i="4"/>
  <c r="CS140" i="4"/>
  <c r="CL140" i="4"/>
  <c r="DF140" i="4"/>
  <c r="CY140" i="4"/>
  <c r="AJ140" i="4"/>
  <c r="DE140" i="4"/>
  <c r="DD140" i="4"/>
  <c r="CP140" i="4"/>
  <c r="BT140" i="4"/>
  <c r="CK140" i="4"/>
  <c r="AH140" i="4"/>
  <c r="CU140" i="4"/>
  <c r="CV140" i="4"/>
  <c r="CT140" i="4"/>
  <c r="CM140" i="4"/>
  <c r="DG140" i="4"/>
  <c r="CZ140" i="4"/>
  <c r="CR140" i="4"/>
  <c r="DH140" i="4"/>
  <c r="CN140" i="4"/>
  <c r="CQ140" i="4"/>
  <c r="DB140" i="4"/>
  <c r="CX140" i="4"/>
  <c r="DC140" i="4"/>
  <c r="CW140" i="4"/>
  <c r="CO140" i="4"/>
  <c r="DA140" i="4"/>
  <c r="DU135" i="4" a="1"/>
  <c r="DU135" i="4" s="1"/>
  <c r="ER135" i="4" a="1"/>
  <c r="ER135" i="4" s="1"/>
  <c r="DO135" i="4" a="1"/>
  <c r="DO135" i="4" s="1"/>
  <c r="DW135" i="4" a="1"/>
  <c r="DW135" i="4" s="1"/>
  <c r="DK135" i="4" a="1"/>
  <c r="DK135" i="4" s="1"/>
  <c r="EN135" i="4" a="1"/>
  <c r="EN135" i="4" s="1"/>
  <c r="EP102" i="4" a="1"/>
  <c r="EP102" i="4" s="1"/>
  <c r="DM102" i="4" a="1"/>
  <c r="DM102" i="4" s="1"/>
  <c r="EM102" i="4" a="1"/>
  <c r="EM102" i="4" s="1"/>
  <c r="DJ102" i="4" a="1"/>
  <c r="DJ102" i="4" s="1"/>
  <c r="DW102" i="4" a="1"/>
  <c r="DW102" i="4" s="1"/>
  <c r="DV124" i="4" a="1"/>
  <c r="DV124" i="4" s="1"/>
  <c r="EB124" i="4" a="1"/>
  <c r="EB124" i="4" s="1"/>
  <c r="DN124" i="4" a="1"/>
  <c r="DN124" i="4" s="1"/>
  <c r="EQ124" i="4" a="1"/>
  <c r="EQ124" i="4" s="1"/>
  <c r="J57" i="50" s="1"/>
  <c r="DO95" i="4" a="1"/>
  <c r="DO95" i="4" s="1"/>
  <c r="ER95" i="4" a="1"/>
  <c r="ER95" i="4" s="1"/>
  <c r="DZ95" i="4" a="1"/>
  <c r="DZ95" i="4" s="1"/>
  <c r="DW95" i="4" a="1"/>
  <c r="DW95" i="4" s="1"/>
  <c r="EW82" i="4" a="1"/>
  <c r="EW82" i="4" s="1"/>
  <c r="DT82" i="4" a="1"/>
  <c r="DT82" i="4" s="1"/>
  <c r="DY82" i="4" a="1"/>
  <c r="DY82" i="4" s="1"/>
  <c r="DJ82" i="4" a="1"/>
  <c r="DJ82" i="4" s="1"/>
  <c r="EM82" i="4" a="1"/>
  <c r="EM82" i="4" s="1"/>
  <c r="ES24" i="4" a="1"/>
  <c r="ES24" i="4" s="1"/>
  <c r="L11" i="50" s="1"/>
  <c r="DP24" i="4" a="1"/>
  <c r="DP24" i="4" s="1"/>
  <c r="DL24" i="4" a="1"/>
  <c r="DL24" i="4" s="1"/>
  <c r="EO24" i="4" a="1"/>
  <c r="EO24" i="4" s="1"/>
  <c r="H11" i="50" s="1"/>
  <c r="DX24" i="4" a="1"/>
  <c r="DX24" i="4" s="1"/>
  <c r="DZ75" i="4" a="1"/>
  <c r="DZ75" i="4" s="1"/>
  <c r="DS75" i="4" a="1"/>
  <c r="DS75" i="4" s="1"/>
  <c r="EV75" i="4" a="1"/>
  <c r="EV75" i="4" s="1"/>
  <c r="EF75" i="4" a="1"/>
  <c r="EF75" i="4" s="1"/>
  <c r="EG48" i="4"/>
  <c r="DW131" i="4" a="1"/>
  <c r="DW131" i="4" s="1"/>
  <c r="DY131" i="4" a="1"/>
  <c r="DY131" i="4" s="1"/>
  <c r="DQ131" i="4" a="1"/>
  <c r="DQ131" i="4" s="1"/>
  <c r="ET131" i="4" a="1"/>
  <c r="ET131" i="4" s="1"/>
  <c r="EF7" i="4" a="1"/>
  <c r="EF7" i="4" s="1"/>
  <c r="DT7" i="4" a="1"/>
  <c r="DT7" i="4" s="1"/>
  <c r="EW7" i="4" a="1"/>
  <c r="EW7" i="4" s="1"/>
  <c r="P3" i="50" s="1"/>
  <c r="EQ7" i="4" a="1"/>
  <c r="EQ7" i="4" s="1"/>
  <c r="J3" i="50" s="1"/>
  <c r="DN7" i="4" a="1"/>
  <c r="DN7" i="4" s="1"/>
  <c r="DM37" i="4" a="1"/>
  <c r="DM37" i="4" s="1"/>
  <c r="EP37" i="4" a="1"/>
  <c r="EP37" i="4" s="1"/>
  <c r="DS37" i="4" a="1"/>
  <c r="DS37" i="4" s="1"/>
  <c r="EV37" i="4" a="1"/>
  <c r="EV37" i="4" s="1"/>
  <c r="EL37" i="4" a="1"/>
  <c r="EL37" i="4" s="1"/>
  <c r="DI37" i="4" a="1"/>
  <c r="DI37" i="4" s="1"/>
  <c r="EC90" i="4" a="1"/>
  <c r="EC90" i="4" s="1"/>
  <c r="DW90" i="4" a="1"/>
  <c r="DW90" i="4" s="1"/>
  <c r="EF111" i="4" a="1"/>
  <c r="EF111" i="4" s="1"/>
  <c r="EO111" i="4" a="1"/>
  <c r="EO111" i="4" s="1"/>
  <c r="DL111" i="4" a="1"/>
  <c r="DL111" i="4" s="1"/>
  <c r="EQ111" i="4" a="1"/>
  <c r="EQ111" i="4" s="1"/>
  <c r="DN111" i="4" a="1"/>
  <c r="DN111" i="4" s="1"/>
  <c r="DQ6" i="4" a="1"/>
  <c r="DQ6" i="4" s="1"/>
  <c r="ET6" i="4" a="1"/>
  <c r="ET6" i="4" s="1"/>
  <c r="DL6" i="4" a="1"/>
  <c r="DL6" i="4" s="1"/>
  <c r="EO6" i="4" a="1"/>
  <c r="EO6" i="4" s="1"/>
  <c r="DK6" i="4" a="1"/>
  <c r="DK6" i="4" s="1"/>
  <c r="EN6" i="4" a="1"/>
  <c r="EN6" i="4" s="1"/>
  <c r="G3" i="50" s="1"/>
  <c r="DW120" i="4" a="1"/>
  <c r="DW120" i="4" s="1"/>
  <c r="EA120" i="4" a="1"/>
  <c r="EA120" i="4" s="1"/>
  <c r="DO120" i="4" a="1"/>
  <c r="DO120" i="4" s="1"/>
  <c r="ER120" i="4" a="1"/>
  <c r="ER120" i="4" s="1"/>
  <c r="K55" i="50" s="1"/>
  <c r="DL88" i="4" a="1"/>
  <c r="DL88" i="4" s="1"/>
  <c r="EO88" i="4" a="1"/>
  <c r="EO88" i="4" s="1"/>
  <c r="H40" i="50" s="1"/>
  <c r="EC88" i="4" a="1"/>
  <c r="EC88" i="4" s="1"/>
  <c r="EC73" i="4" a="1"/>
  <c r="EC73" i="4" s="1"/>
  <c r="EW73" i="4" a="1"/>
  <c r="EW73" i="4" s="1"/>
  <c r="P36" i="50" s="1"/>
  <c r="DT73" i="4" a="1"/>
  <c r="DT73" i="4" s="1"/>
  <c r="EB73" i="4" a="1"/>
  <c r="EB73" i="4" s="1"/>
  <c r="EG45" i="4"/>
  <c r="EE50" i="4" a="1"/>
  <c r="EE50" i="4" s="1"/>
  <c r="DV50" i="4" a="1"/>
  <c r="DV50" i="4" s="1"/>
  <c r="DC113" i="4"/>
  <c r="DG113" i="4"/>
  <c r="DB113" i="4"/>
  <c r="CK113" i="4"/>
  <c r="CX113" i="4"/>
  <c r="CO113" i="4"/>
  <c r="CM113" i="4"/>
  <c r="AH113" i="4"/>
  <c r="CN113" i="4"/>
  <c r="DE113" i="4"/>
  <c r="DD113" i="4"/>
  <c r="CW113" i="4"/>
  <c r="CL113" i="4"/>
  <c r="CY113" i="4"/>
  <c r="CS113" i="4"/>
  <c r="CZ113" i="4"/>
  <c r="CU113" i="4"/>
  <c r="CR113" i="4"/>
  <c r="DH113" i="4"/>
  <c r="CT113" i="4"/>
  <c r="DA113" i="4"/>
  <c r="DF113" i="4"/>
  <c r="CV113" i="4"/>
  <c r="AJ113" i="4"/>
  <c r="BT113" i="4"/>
  <c r="CP113" i="4"/>
  <c r="CQ113" i="4"/>
  <c r="CZ141" i="4"/>
  <c r="CT141" i="4"/>
  <c r="CX141" i="4"/>
  <c r="CY141" i="4"/>
  <c r="DF141" i="4"/>
  <c r="CO141" i="4"/>
  <c r="DH141" i="4"/>
  <c r="CV141" i="4"/>
  <c r="CQ141" i="4"/>
  <c r="AH141" i="4"/>
  <c r="DA141" i="4"/>
  <c r="CN141" i="4"/>
  <c r="DG141" i="4"/>
  <c r="CS141" i="4"/>
  <c r="CW141" i="4"/>
  <c r="CK141" i="4"/>
  <c r="BT141" i="4"/>
  <c r="AJ141" i="4"/>
  <c r="CU141" i="4"/>
  <c r="CM141" i="4"/>
  <c r="DC141" i="4"/>
  <c r="DB141" i="4"/>
  <c r="CP141" i="4"/>
  <c r="CL141" i="4"/>
  <c r="DD141" i="4"/>
  <c r="DE141" i="4"/>
  <c r="CR141" i="4"/>
  <c r="EN13" i="4" a="1"/>
  <c r="EN13" i="4" s="1"/>
  <c r="G5" i="50" s="1"/>
  <c r="DK13" i="4" a="1"/>
  <c r="DK13" i="4" s="1"/>
  <c r="DO13" i="4" a="1"/>
  <c r="DO13" i="4" s="1"/>
  <c r="ER13" i="4" a="1"/>
  <c r="ER13" i="4" s="1"/>
  <c r="K5" i="50" s="1"/>
  <c r="EM118" i="4" a="1"/>
  <c r="EM118" i="4" s="1"/>
  <c r="DJ118" i="4" a="1"/>
  <c r="DJ118" i="4" s="1"/>
  <c r="EU118" i="4" a="1"/>
  <c r="EU118" i="4" s="1"/>
  <c r="DR118" i="4" a="1"/>
  <c r="DR118" i="4" s="1"/>
  <c r="DW118" i="4" a="1"/>
  <c r="DW118" i="4" s="1"/>
  <c r="DR81" i="4" a="1"/>
  <c r="DR81" i="4" s="1"/>
  <c r="EU81" i="4" a="1"/>
  <c r="EU81" i="4" s="1"/>
  <c r="DJ81" i="4" a="1"/>
  <c r="DJ81" i="4" s="1"/>
  <c r="EM81" i="4" a="1"/>
  <c r="EM81" i="4" s="1"/>
  <c r="DW81" i="4" a="1"/>
  <c r="DW81" i="4" s="1"/>
  <c r="ED76" i="4" a="1"/>
  <c r="ED76" i="4" s="1"/>
  <c r="EA76" i="4" a="1"/>
  <c r="EA76" i="4" s="1"/>
  <c r="EN76" i="4" a="1"/>
  <c r="EN76" i="4" s="1"/>
  <c r="DK76" i="4" a="1"/>
  <c r="DK76" i="4" s="1"/>
  <c r="DK107" i="4" a="1"/>
  <c r="DK107" i="4" s="1"/>
  <c r="EN107" i="4" a="1"/>
  <c r="EN107" i="4" s="1"/>
  <c r="ER107" i="4" a="1"/>
  <c r="ER107" i="4" s="1"/>
  <c r="DO107" i="4" a="1"/>
  <c r="DO107" i="4" s="1"/>
  <c r="EF107" i="4" a="1"/>
  <c r="EF107" i="4" s="1"/>
  <c r="EA89" i="4" a="1"/>
  <c r="EA89" i="4" s="1"/>
  <c r="EE89" i="4" a="1"/>
  <c r="EE89" i="4" s="1"/>
  <c r="DU89" i="4" a="1"/>
  <c r="DU89" i="4" s="1"/>
  <c r="DT102" i="2"/>
  <c r="DS102" i="2"/>
  <c r="DR102" i="2"/>
  <c r="EA80" i="4" a="1"/>
  <c r="EA80" i="4" s="1"/>
  <c r="DX80" i="4" a="1"/>
  <c r="DX80" i="4" s="1"/>
  <c r="ED80" i="4" a="1"/>
  <c r="ED80" i="4" s="1"/>
  <c r="EM80" i="4" a="1"/>
  <c r="EM80" i="4" s="1"/>
  <c r="DJ80" i="4" a="1"/>
  <c r="DJ80" i="4" s="1"/>
  <c r="EC9" i="4" a="1"/>
  <c r="EC9" i="4" s="1"/>
  <c r="ET9" i="4" a="1"/>
  <c r="ET9" i="4" s="1"/>
  <c r="DQ9" i="4" a="1"/>
  <c r="DQ9" i="4" s="1"/>
  <c r="EO9" i="4" a="1"/>
  <c r="EO9" i="4" s="1"/>
  <c r="DL9" i="4" a="1"/>
  <c r="DL9" i="4" s="1"/>
  <c r="CT108" i="4"/>
  <c r="DH108" i="4"/>
  <c r="CW108" i="4"/>
  <c r="CL108" i="4"/>
  <c r="DD108" i="4"/>
  <c r="AJ108" i="4"/>
  <c r="BT108" i="4"/>
  <c r="DC108" i="4"/>
  <c r="CZ108" i="4"/>
  <c r="AH108" i="4"/>
  <c r="DG108" i="4"/>
  <c r="DA108" i="4"/>
  <c r="CS108" i="4"/>
  <c r="CM108" i="4"/>
  <c r="CK108" i="4"/>
  <c r="CQ108" i="4"/>
  <c r="CO108" i="4"/>
  <c r="DF108" i="4"/>
  <c r="CP108" i="4"/>
  <c r="CX108" i="4"/>
  <c r="CV108" i="4"/>
  <c r="CY108" i="4"/>
  <c r="DE108" i="4"/>
  <c r="CN108" i="4"/>
  <c r="DB108" i="4"/>
  <c r="CR108" i="4"/>
  <c r="CU108" i="4"/>
  <c r="DZ83" i="4" a="1"/>
  <c r="DZ83" i="4" s="1"/>
  <c r="DK83" i="4" a="1"/>
  <c r="DK83" i="4" s="1"/>
  <c r="EN83" i="4" a="1"/>
  <c r="EN83" i="4" s="1"/>
  <c r="DV83" i="4" a="1"/>
  <c r="DV83" i="4" s="1"/>
  <c r="DW43" i="4" a="1"/>
  <c r="DW43" i="4" s="1"/>
  <c r="EN43" i="4" a="1"/>
  <c r="EN43" i="4" s="1"/>
  <c r="G19" i="50" s="1"/>
  <c r="DK43" i="4" a="1"/>
  <c r="DK43" i="4" s="1"/>
  <c r="DY43" i="4" a="1"/>
  <c r="DY43" i="4" s="1"/>
  <c r="EG46" i="4"/>
  <c r="EM98" i="4" a="1"/>
  <c r="EM98" i="4" s="1"/>
  <c r="DJ98" i="4" a="1"/>
  <c r="DJ98" i="4" s="1"/>
  <c r="EE98" i="4" a="1"/>
  <c r="EE98" i="4" s="1"/>
  <c r="ER98" i="4" a="1"/>
  <c r="ER98" i="4" s="1"/>
  <c r="DO98" i="4" a="1"/>
  <c r="DO98" i="4" s="1"/>
  <c r="EG38" i="4"/>
  <c r="EO96" i="4" a="1"/>
  <c r="EO96" i="4" s="1"/>
  <c r="DL96" i="4" a="1"/>
  <c r="DL96" i="4" s="1"/>
  <c r="EB96" i="4" a="1"/>
  <c r="EB96" i="4" s="1"/>
  <c r="EU67" i="4" a="1"/>
  <c r="EU67" i="4" s="1"/>
  <c r="N31" i="50" s="1"/>
  <c r="DR67" i="4" a="1"/>
  <c r="DR67" i="4" s="1"/>
  <c r="ED67" i="4" a="1"/>
  <c r="ED67" i="4" s="1"/>
  <c r="DV67" i="4" a="1"/>
  <c r="DV67" i="4" s="1"/>
  <c r="DL133" i="4" a="1"/>
  <c r="DL133" i="4" s="1"/>
  <c r="EO133" i="4" a="1"/>
  <c r="EO133" i="4" s="1"/>
  <c r="DU133" i="4" a="1"/>
  <c r="DU133" i="4" s="1"/>
  <c r="EE133" i="4" a="1"/>
  <c r="EE133" i="4" s="1"/>
  <c r="DY133" i="4" a="1"/>
  <c r="DY133" i="4" s="1"/>
  <c r="EN10" i="4" a="1"/>
  <c r="EN10" i="4" s="1"/>
  <c r="DK10" i="4" a="1"/>
  <c r="DK10" i="4" s="1"/>
  <c r="DX10" i="4" a="1"/>
  <c r="DX10" i="4" s="1"/>
  <c r="EE10" i="4" a="1"/>
  <c r="EE10" i="4" s="1"/>
  <c r="EP10" i="4" a="1"/>
  <c r="EP10" i="4" s="1"/>
  <c r="DM10" i="4" a="1"/>
  <c r="DM10" i="4" s="1"/>
  <c r="EB51" i="4" a="1"/>
  <c r="EB51" i="4" s="1"/>
  <c r="DW51" i="4" a="1"/>
  <c r="DW51" i="4" s="1"/>
  <c r="DU51" i="4" a="1"/>
  <c r="DU51" i="4" s="1"/>
  <c r="DT62" i="4" a="1"/>
  <c r="DT62" i="4" s="1"/>
  <c r="EW62" i="4" a="1"/>
  <c r="EW62" i="4" s="1"/>
  <c r="P27" i="50" s="1"/>
  <c r="DY62" i="4" a="1"/>
  <c r="DY62" i="4" s="1"/>
  <c r="DP62" i="4" a="1"/>
  <c r="DP62" i="4" s="1"/>
  <c r="ES62" i="4" a="1"/>
  <c r="ES62" i="4" s="1"/>
  <c r="L27" i="50" s="1"/>
  <c r="DX62" i="4" a="1"/>
  <c r="DX62" i="4" s="1"/>
  <c r="DU77" i="4" a="1"/>
  <c r="DU77" i="4" s="1"/>
  <c r="DP77" i="4" a="1"/>
  <c r="DP77" i="4" s="1"/>
  <c r="ES77" i="4" a="1"/>
  <c r="ES77" i="4" s="1"/>
  <c r="DZ77" i="4" a="1"/>
  <c r="DZ77" i="4" s="1"/>
  <c r="DJ79" i="4" a="1"/>
  <c r="DJ79" i="4" s="1"/>
  <c r="EM79" i="4" a="1"/>
  <c r="EM79" i="4" s="1"/>
  <c r="DV79" i="4" a="1"/>
  <c r="DV79" i="4" s="1"/>
  <c r="DR79" i="4" a="1"/>
  <c r="DR79" i="4" s="1"/>
  <c r="EU79" i="4" a="1"/>
  <c r="EU79" i="4" s="1"/>
  <c r="EC92" i="4" a="1"/>
  <c r="EC92" i="4" s="1"/>
  <c r="DO92" i="4" a="1"/>
  <c r="DO92" i="4" s="1"/>
  <c r="ER92" i="4" a="1"/>
  <c r="ER92" i="4" s="1"/>
  <c r="K43" i="50" s="1"/>
  <c r="DT92" i="4" a="1"/>
  <c r="DT92" i="4" s="1"/>
  <c r="EW92" i="4" a="1"/>
  <c r="EW92" i="4" s="1"/>
  <c r="P43" i="50" s="1"/>
  <c r="DV78" i="4" a="1"/>
  <c r="DV78" i="4" s="1"/>
  <c r="DZ78" i="4" a="1"/>
  <c r="DZ78" i="4" s="1"/>
  <c r="EB78" i="4" a="1"/>
  <c r="EB78" i="4" s="1"/>
  <c r="EE125" i="4" a="1"/>
  <c r="EE125" i="4" s="1"/>
  <c r="EL125" i="4" a="1"/>
  <c r="EL125" i="4" s="1"/>
  <c r="E58" i="50" s="1"/>
  <c r="DI125" i="4" a="1"/>
  <c r="DI125" i="4" s="1"/>
  <c r="EB125" i="4" a="1"/>
  <c r="EB125" i="4" s="1"/>
  <c r="EF125" i="4" a="1"/>
  <c r="EF125" i="4" s="1"/>
  <c r="EF35" i="4" a="1"/>
  <c r="EF35" i="4" s="1"/>
  <c r="DK35" i="4" a="1"/>
  <c r="DK35" i="4" s="1"/>
  <c r="EN35" i="4" a="1"/>
  <c r="EN35" i="4" s="1"/>
  <c r="EW35" i="4" a="1"/>
  <c r="EW35" i="4" s="1"/>
  <c r="DT35" i="4" a="1"/>
  <c r="DT35" i="4" s="1"/>
  <c r="DX122" i="4" a="1"/>
  <c r="DX122" i="4" s="1"/>
  <c r="DW122" i="4" a="1"/>
  <c r="DW122" i="4" s="1"/>
  <c r="ES122" i="4" a="1"/>
  <c r="ES122" i="4" s="1"/>
  <c r="L56" i="50" s="1"/>
  <c r="DP122" i="4" a="1"/>
  <c r="DP122" i="4" s="1"/>
  <c r="EU122" i="4" a="1"/>
  <c r="EU122" i="4" s="1"/>
  <c r="N56" i="50" s="1"/>
  <c r="DR122" i="4" a="1"/>
  <c r="DR122" i="4" s="1"/>
  <c r="EG52" i="4"/>
  <c r="DS32" i="4" a="1"/>
  <c r="DS32" i="4" s="1"/>
  <c r="EV32" i="4" a="1"/>
  <c r="EV32" i="4" s="1"/>
  <c r="ES32" i="4" a="1"/>
  <c r="ES32" i="4" s="1"/>
  <c r="DP32" i="4" a="1"/>
  <c r="DP32" i="4" s="1"/>
  <c r="EQ32" i="4" a="1"/>
  <c r="EQ32" i="4" s="1"/>
  <c r="DN32" i="4" a="1"/>
  <c r="DN32" i="4" s="1"/>
  <c r="DJ32" i="4" a="1"/>
  <c r="DJ32" i="4" s="1"/>
  <c r="EM32" i="4" a="1"/>
  <c r="EM32" i="4" s="1"/>
  <c r="DM12" i="4" a="1"/>
  <c r="DM12" i="4" s="1"/>
  <c r="EP12" i="4" a="1"/>
  <c r="EP12" i="4" s="1"/>
  <c r="I4" i="50" s="1"/>
  <c r="DS12" i="4" a="1"/>
  <c r="DS12" i="4" s="1"/>
  <c r="EV12" i="4" a="1"/>
  <c r="EV12" i="4" s="1"/>
  <c r="O4" i="50" s="1"/>
  <c r="EQ12" i="4" a="1"/>
  <c r="EQ12" i="4" s="1"/>
  <c r="J4" i="50" s="1"/>
  <c r="DN12" i="4" a="1"/>
  <c r="DN12" i="4" s="1"/>
  <c r="DQ134" i="4" a="1"/>
  <c r="DQ134" i="4" s="1"/>
  <c r="ET134" i="4" a="1"/>
  <c r="ET134" i="4" s="1"/>
  <c r="EQ134" i="4" a="1"/>
  <c r="EQ134" i="4" s="1"/>
  <c r="DN134" i="4" a="1"/>
  <c r="DN134" i="4" s="1"/>
  <c r="DR174" i="2"/>
  <c r="DT174" i="2"/>
  <c r="DS174" i="2"/>
  <c r="EU84" i="4" a="1"/>
  <c r="EU84" i="4" s="1"/>
  <c r="DR84" i="4" a="1"/>
  <c r="DR84" i="4" s="1"/>
  <c r="DZ84" i="4" a="1"/>
  <c r="DZ84" i="4" s="1"/>
  <c r="ET84" i="4" a="1"/>
  <c r="ET84" i="4" s="1"/>
  <c r="DQ84" i="4" a="1"/>
  <c r="DQ84" i="4" s="1"/>
  <c r="DO84" i="4" a="1"/>
  <c r="DO84" i="4" s="1"/>
  <c r="ER84" i="4" a="1"/>
  <c r="ER84" i="4" s="1"/>
  <c r="DZ127" i="4" a="1"/>
  <c r="DZ127" i="4" s="1"/>
  <c r="EC127" i="4" a="1"/>
  <c r="EC127" i="4" s="1"/>
  <c r="DN127" i="4" a="1"/>
  <c r="DN127" i="4" s="1"/>
  <c r="EQ127" i="4" a="1"/>
  <c r="EQ127" i="4" s="1"/>
  <c r="DM97" i="4" a="1"/>
  <c r="DM97" i="4" s="1"/>
  <c r="EP97" i="4" a="1"/>
  <c r="EP97" i="4" s="1"/>
  <c r="EC97" i="4" a="1"/>
  <c r="EC97" i="4" s="1"/>
  <c r="EN97" i="4" a="1"/>
  <c r="EN97" i="4" s="1"/>
  <c r="DK97" i="4" a="1"/>
  <c r="DK97" i="4" s="1"/>
  <c r="EF56" i="4" a="1"/>
  <c r="EF56" i="4" s="1"/>
  <c r="ED56" i="4" a="1"/>
  <c r="ED56" i="4" s="1"/>
  <c r="DJ93" i="4" a="1"/>
  <c r="DJ93" i="4" s="1"/>
  <c r="EM93" i="4" a="1"/>
  <c r="EM93" i="4" s="1"/>
  <c r="F44" i="50" s="1"/>
  <c r="ED93" i="4" a="1"/>
  <c r="ED93" i="4" s="1"/>
  <c r="DL93" i="4" a="1"/>
  <c r="DL93" i="4" s="1"/>
  <c r="EO93" i="4" a="1"/>
  <c r="EO93" i="4" s="1"/>
  <c r="H44" i="50" s="1"/>
  <c r="ER21" i="4" a="1"/>
  <c r="ER21" i="4" s="1"/>
  <c r="K9" i="50" s="1"/>
  <c r="DO21" i="4" a="1"/>
  <c r="DO21" i="4" s="1"/>
  <c r="DW21" i="4" a="1"/>
  <c r="DW21" i="4" s="1"/>
  <c r="EA21" i="4" a="1"/>
  <c r="EA21" i="4" s="1"/>
  <c r="Q54" i="50"/>
  <c r="K60" i="50" l="1"/>
  <c r="J59" i="50"/>
  <c r="EA31" i="4" a="1"/>
  <c r="EA31" i="4" s="1"/>
  <c r="I37" i="50"/>
  <c r="H45" i="50"/>
  <c r="F45" i="50"/>
  <c r="G60" i="50"/>
  <c r="G42" i="50"/>
  <c r="Q33" i="50"/>
  <c r="N55" i="50"/>
  <c r="J15" i="50"/>
  <c r="Q8" i="50"/>
  <c r="EC31" i="4" a="1"/>
  <c r="EC31" i="4" s="1"/>
  <c r="DM31" i="4" a="1"/>
  <c r="DM31" i="4" s="1"/>
  <c r="EP31" i="4" a="1"/>
  <c r="EP31" i="4" s="1"/>
  <c r="DV31" i="4" a="1"/>
  <c r="DV31" i="4" s="1"/>
  <c r="ED31" i="4" a="1"/>
  <c r="ED31" i="4" s="1"/>
  <c r="DX31" i="4" a="1"/>
  <c r="DX31" i="4" s="1"/>
  <c r="K3" i="50"/>
  <c r="P55" i="50"/>
  <c r="N3" i="50"/>
  <c r="P59" i="50"/>
  <c r="DU31" i="4" a="1"/>
  <c r="DU31" i="4" s="1"/>
  <c r="EF31" i="4" a="1"/>
  <c r="EF31" i="4" s="1"/>
  <c r="ER31" i="4" a="1"/>
  <c r="ER31" i="4" s="1"/>
  <c r="DO31" i="4" a="1"/>
  <c r="DO31" i="4" s="1"/>
  <c r="DW31" i="4" a="1"/>
  <c r="DW31" i="4" s="1"/>
  <c r="EE31" i="4" a="1"/>
  <c r="EE31" i="4" s="1"/>
  <c r="ES31" i="4" a="1"/>
  <c r="ES31" i="4" s="1"/>
  <c r="DP31" i="4" a="1"/>
  <c r="DP31" i="4" s="1"/>
  <c r="K59" i="50"/>
  <c r="Q23" i="50"/>
  <c r="Q6" i="50"/>
  <c r="Q26" i="50"/>
  <c r="DZ34" i="4" a="1"/>
  <c r="DZ34" i="4" s="1"/>
  <c r="EB31" i="4" a="1"/>
  <c r="EB31" i="4" s="1"/>
  <c r="DL31" i="4" a="1"/>
  <c r="DL31" i="4" s="1"/>
  <c r="EO31" i="4" a="1"/>
  <c r="EO31" i="4" s="1"/>
  <c r="DZ31" i="4" a="1"/>
  <c r="DZ31" i="4" s="1"/>
  <c r="DI31" i="4" a="1"/>
  <c r="DI31" i="4" s="1"/>
  <c r="EG31" i="4" s="1"/>
  <c r="EL31" i="4" a="1"/>
  <c r="EL31" i="4" s="1"/>
  <c r="DK31" i="4" a="1"/>
  <c r="DK31" i="4" s="1"/>
  <c r="EN31" i="4" a="1"/>
  <c r="EN31" i="4" s="1"/>
  <c r="EW31" i="4" a="1"/>
  <c r="EW31" i="4" s="1"/>
  <c r="DT31" i="4" a="1"/>
  <c r="DT31" i="4" s="1"/>
  <c r="DY31" i="4" a="1"/>
  <c r="DY31" i="4" s="1"/>
  <c r="E3" i="50"/>
  <c r="M9" i="50"/>
  <c r="DR31" i="4" a="1"/>
  <c r="DR31" i="4" s="1"/>
  <c r="EU31" i="4" a="1"/>
  <c r="EU31" i="4" s="1"/>
  <c r="EM31" i="4" a="1"/>
  <c r="EM31" i="4" s="1"/>
  <c r="DJ31" i="4" a="1"/>
  <c r="DJ31" i="4" s="1"/>
  <c r="EC105" i="4" a="1"/>
  <c r="EC105" i="4" s="1"/>
  <c r="E9" i="50"/>
  <c r="H55" i="50"/>
  <c r="EQ31" i="4" a="1"/>
  <c r="EQ31" i="4" s="1"/>
  <c r="DN31" i="4" a="1"/>
  <c r="DN31" i="4" s="1"/>
  <c r="DS31" i="4" a="1"/>
  <c r="DS31" i="4" s="1"/>
  <c r="EV31" i="4" a="1"/>
  <c r="EV31" i="4" s="1"/>
  <c r="DQ31" i="4" a="1"/>
  <c r="DQ31" i="4" s="1"/>
  <c r="ET31" i="4" a="1"/>
  <c r="ET31" i="4" s="1"/>
  <c r="Q12" i="50"/>
  <c r="EA30" i="4" a="1"/>
  <c r="EA30" i="4" s="1"/>
  <c r="DV34" i="4" a="1"/>
  <c r="DV34" i="4" s="1"/>
  <c r="EL30" i="4" a="1"/>
  <c r="EL30" i="4" s="1"/>
  <c r="DI30" i="4" a="1"/>
  <c r="DI30" i="4" s="1"/>
  <c r="DY143" i="4" a="1"/>
  <c r="DY143" i="4" s="1"/>
  <c r="P46" i="50"/>
  <c r="EF30" i="4" a="1"/>
  <c r="EF30" i="4" s="1"/>
  <c r="ED34" i="4" a="1"/>
  <c r="ED34" i="4" s="1"/>
  <c r="EE113" i="4" a="1"/>
  <c r="EE113" i="4" s="1"/>
  <c r="L55" i="50"/>
  <c r="L3" i="50"/>
  <c r="M15" i="50"/>
  <c r="L59" i="50"/>
  <c r="DX30" i="4" a="1"/>
  <c r="DX30" i="4" s="1"/>
  <c r="DW34" i="4" a="1"/>
  <c r="DW34" i="4" s="1"/>
  <c r="O59" i="50"/>
  <c r="EB30" i="4" a="1"/>
  <c r="EB30" i="4" s="1"/>
  <c r="EB34" i="4" a="1"/>
  <c r="EB34" i="4" s="1"/>
  <c r="K36" i="50"/>
  <c r="I59" i="50"/>
  <c r="EA138" i="4" a="1"/>
  <c r="EA138" i="4" s="1"/>
  <c r="DO30" i="4" a="1"/>
  <c r="DO30" i="4" s="1"/>
  <c r="ER30" i="4" a="1"/>
  <c r="ER30" i="4" s="1"/>
  <c r="EV34" i="4" a="1"/>
  <c r="EV34" i="4" s="1"/>
  <c r="DS34" i="4" a="1"/>
  <c r="DS34" i="4" s="1"/>
  <c r="M46" i="50"/>
  <c r="F15" i="50"/>
  <c r="G59" i="50"/>
  <c r="ES34" i="4" a="1"/>
  <c r="ES34" i="4" s="1"/>
  <c r="DP34" i="4" a="1"/>
  <c r="DP34" i="4" s="1"/>
  <c r="EN34" i="4" a="1"/>
  <c r="EN34" i="4" s="1"/>
  <c r="DK34" i="4" a="1"/>
  <c r="DK34" i="4" s="1"/>
  <c r="EG19" i="4"/>
  <c r="ET34" i="4" a="1"/>
  <c r="ET34" i="4" s="1"/>
  <c r="DQ34" i="4" a="1"/>
  <c r="DQ34" i="4" s="1"/>
  <c r="DL34" i="4" a="1"/>
  <c r="DL34" i="4" s="1"/>
  <c r="EO34" i="4" a="1"/>
  <c r="EO34" i="4" s="1"/>
  <c r="EC104" i="4" a="1"/>
  <c r="EC104" i="4" s="1"/>
  <c r="EG29" i="4"/>
  <c r="DW30" i="4" a="1"/>
  <c r="DW30" i="4" s="1"/>
  <c r="EL34" i="4" a="1"/>
  <c r="EL34" i="4" s="1"/>
  <c r="DI34" i="4" a="1"/>
  <c r="DI34" i="4" s="1"/>
  <c r="F37" i="50"/>
  <c r="H37" i="50"/>
  <c r="EV30" i="4" a="1"/>
  <c r="EV30" i="4" s="1"/>
  <c r="DS30" i="4" a="1"/>
  <c r="DS30" i="4" s="1"/>
  <c r="DX34" i="4" a="1"/>
  <c r="DX34" i="4" s="1"/>
  <c r="EW30" i="4" a="1"/>
  <c r="EW30" i="4" s="1"/>
  <c r="DT30" i="4" a="1"/>
  <c r="DT30" i="4" s="1"/>
  <c r="DN34" i="4" a="1"/>
  <c r="DN34" i="4" s="1"/>
  <c r="EQ34" i="4" a="1"/>
  <c r="EQ34" i="4" s="1"/>
  <c r="L37" i="50"/>
  <c r="EE30" i="4" a="1"/>
  <c r="EE30" i="4" s="1"/>
  <c r="DT34" i="4" a="1"/>
  <c r="DT34" i="4" s="1"/>
  <c r="EW34" i="4" a="1"/>
  <c r="EW34" i="4" s="1"/>
  <c r="I3" i="50"/>
  <c r="G9" i="50"/>
  <c r="ED30" i="4" a="1"/>
  <c r="ED30" i="4" s="1"/>
  <c r="DU34" i="4" a="1"/>
  <c r="DU34" i="4" s="1"/>
  <c r="G15" i="50"/>
  <c r="F59" i="50"/>
  <c r="H59" i="50"/>
  <c r="EN30" i="4" a="1"/>
  <c r="EN30" i="4" s="1"/>
  <c r="G14" i="50" s="1"/>
  <c r="DK30" i="4" a="1"/>
  <c r="DK30" i="4" s="1"/>
  <c r="EE34" i="4" a="1"/>
  <c r="EE34" i="4" s="1"/>
  <c r="EE110" i="4" a="1"/>
  <c r="EE110" i="4" s="1"/>
  <c r="EQ30" i="4" a="1"/>
  <c r="EQ30" i="4" s="1"/>
  <c r="DN30" i="4" a="1"/>
  <c r="DN30" i="4" s="1"/>
  <c r="EC34" i="4" a="1"/>
  <c r="EC34" i="4" s="1"/>
  <c r="DY87" i="4" a="1"/>
  <c r="DY87" i="4" s="1"/>
  <c r="DZ115" i="4" a="1"/>
  <c r="DZ115" i="4" s="1"/>
  <c r="DZ30" i="4" a="1"/>
  <c r="DZ30" i="4" s="1"/>
  <c r="H61" i="50"/>
  <c r="H3" i="50"/>
  <c r="EG43" i="4"/>
  <c r="EA99" i="4" a="1"/>
  <c r="EA99" i="4" s="1"/>
  <c r="DX103" i="4" a="1"/>
  <c r="DX103" i="4" s="1"/>
  <c r="O61" i="50"/>
  <c r="ES30" i="4" a="1"/>
  <c r="ES30" i="4" s="1"/>
  <c r="L14" i="50" s="1"/>
  <c r="DP30" i="4" a="1"/>
  <c r="DP30" i="4" s="1"/>
  <c r="EP34" i="4" a="1"/>
  <c r="EP34" i="4" s="1"/>
  <c r="I14" i="50" s="1"/>
  <c r="DM34" i="4" a="1"/>
  <c r="DM34" i="4" s="1"/>
  <c r="M59" i="50"/>
  <c r="DV30" i="4" a="1"/>
  <c r="DV30" i="4" s="1"/>
  <c r="DR34" i="4" a="1"/>
  <c r="DR34" i="4" s="1"/>
  <c r="EU34" i="4" a="1"/>
  <c r="EU34" i="4" s="1"/>
  <c r="EA115" i="4" a="1"/>
  <c r="EA115" i="4" s="1"/>
  <c r="DQ30" i="4" a="1"/>
  <c r="DQ30" i="4" s="1"/>
  <c r="ET30" i="4" a="1"/>
  <c r="ET30" i="4" s="1"/>
  <c r="ER34" i="4" a="1"/>
  <c r="ER34" i="4" s="1"/>
  <c r="DO34" i="4" a="1"/>
  <c r="DO34" i="4" s="1"/>
  <c r="DM30" i="4" a="1"/>
  <c r="DM30" i="4" s="1"/>
  <c r="EP30" i="4" a="1"/>
  <c r="EP30" i="4" s="1"/>
  <c r="EM34" i="4" a="1"/>
  <c r="EM34" i="4" s="1"/>
  <c r="DJ34" i="4" a="1"/>
  <c r="DJ34" i="4" s="1"/>
  <c r="DR30" i="4" a="1"/>
  <c r="DR30" i="4" s="1"/>
  <c r="EU30" i="4" a="1"/>
  <c r="EU30" i="4" s="1"/>
  <c r="N14" i="50" s="1"/>
  <c r="DY34" i="4" a="1"/>
  <c r="DY34" i="4" s="1"/>
  <c r="DU30" i="4" a="1"/>
  <c r="DU30" i="4" s="1"/>
  <c r="EA34" i="4" a="1"/>
  <c r="EA34" i="4" s="1"/>
  <c r="O45" i="50"/>
  <c r="DU141" i="4" a="1"/>
  <c r="DU141" i="4" s="1"/>
  <c r="M42" i="50"/>
  <c r="DY30" i="4" a="1"/>
  <c r="DY30" i="4" s="1"/>
  <c r="H46" i="50"/>
  <c r="K15" i="50"/>
  <c r="EC30" i="4" a="1"/>
  <c r="EC30" i="4" s="1"/>
  <c r="M3" i="50"/>
  <c r="DL30" i="4" a="1"/>
  <c r="DL30" i="4" s="1"/>
  <c r="EO30" i="4" a="1"/>
  <c r="EO30" i="4" s="1"/>
  <c r="N42" i="50"/>
  <c r="DX137" i="4" a="1"/>
  <c r="DX137" i="4" s="1"/>
  <c r="DJ30" i="4" a="1"/>
  <c r="DJ30" i="4" s="1"/>
  <c r="EM30" i="4" a="1"/>
  <c r="EM30" i="4" s="1"/>
  <c r="F14" i="50" s="1"/>
  <c r="EF34" i="4" a="1"/>
  <c r="EF34" i="4" s="1"/>
  <c r="Q20" i="50"/>
  <c r="Q18" i="50"/>
  <c r="Q4" i="50"/>
  <c r="Q11" i="50"/>
  <c r="DI108" i="4" a="1"/>
  <c r="DI108" i="4" s="1"/>
  <c r="EL108" i="4" a="1"/>
  <c r="EL108" i="4" s="1"/>
  <c r="ER141" i="4" a="1"/>
  <c r="ER141" i="4" s="1"/>
  <c r="DO141" i="4" a="1"/>
  <c r="DO141" i="4" s="1"/>
  <c r="DR113" i="4" a="1"/>
  <c r="DR113" i="4" s="1"/>
  <c r="EU113" i="4" a="1"/>
  <c r="EU113" i="4" s="1"/>
  <c r="N52" i="50" s="1"/>
  <c r="DI113" i="4" a="1"/>
  <c r="DI113" i="4" s="1"/>
  <c r="EL113" i="4" a="1"/>
  <c r="EL113" i="4" s="1"/>
  <c r="E52" i="50" s="1"/>
  <c r="DW108" i="4" a="1"/>
  <c r="DW108" i="4" s="1"/>
  <c r="DK108" i="4" a="1"/>
  <c r="DK108" i="4" s="1"/>
  <c r="EN108" i="4" a="1"/>
  <c r="EN108" i="4" s="1"/>
  <c r="EM141" i="4" a="1"/>
  <c r="EM141" i="4" s="1"/>
  <c r="DJ141" i="4" a="1"/>
  <c r="DJ141" i="4" s="1"/>
  <c r="DI141" i="4" a="1"/>
  <c r="DI141" i="4" s="1"/>
  <c r="EL141" i="4" a="1"/>
  <c r="EL141" i="4" s="1"/>
  <c r="DT141" i="4" a="1"/>
  <c r="DT141" i="4" s="1"/>
  <c r="EW141" i="4" a="1"/>
  <c r="EW141" i="4" s="1"/>
  <c r="ER113" i="4" a="1"/>
  <c r="ER113" i="4" s="1"/>
  <c r="K52" i="50" s="1"/>
  <c r="DO113" i="4" a="1"/>
  <c r="DO113" i="4" s="1"/>
  <c r="EF113" i="4" a="1"/>
  <c r="EF113" i="4" s="1"/>
  <c r="EB113" i="4" a="1"/>
  <c r="EB113" i="4" s="1"/>
  <c r="DZ113" i="4" a="1"/>
  <c r="DZ113" i="4" s="1"/>
  <c r="DY140" i="4" a="1"/>
  <c r="DY140" i="4" s="1"/>
  <c r="EF140" i="4" a="1"/>
  <c r="EF140" i="4" s="1"/>
  <c r="ED140" i="4" a="1"/>
  <c r="ED140" i="4" s="1"/>
  <c r="DR87" i="4" a="1"/>
  <c r="DR87" i="4" s="1"/>
  <c r="EU87" i="4" a="1"/>
  <c r="EU87" i="4" s="1"/>
  <c r="N39" i="50" s="1"/>
  <c r="ET87" i="4" a="1"/>
  <c r="ET87" i="4" s="1"/>
  <c r="M39" i="50" s="1"/>
  <c r="DQ87" i="4" a="1"/>
  <c r="DQ87" i="4" s="1"/>
  <c r="ED87" i="4" a="1"/>
  <c r="ED87" i="4" s="1"/>
  <c r="ED100" i="4" a="1"/>
  <c r="ED100" i="4" s="1"/>
  <c r="ER100" i="4" a="1"/>
  <c r="ER100" i="4" s="1"/>
  <c r="K48" i="50" s="1"/>
  <c r="DO100" i="4" a="1"/>
  <c r="DO100" i="4" s="1"/>
  <c r="DX100" i="4" a="1"/>
  <c r="DX100" i="4" s="1"/>
  <c r="EL143" i="4" a="1"/>
  <c r="EL143" i="4" s="1"/>
  <c r="DI143" i="4" a="1"/>
  <c r="DI143" i="4" s="1"/>
  <c r="EB110" i="4" a="1"/>
  <c r="EB110" i="4" s="1"/>
  <c r="DZ110" i="4" a="1"/>
  <c r="DZ110" i="4" s="1"/>
  <c r="DS110" i="4" a="1"/>
  <c r="DS110" i="4" s="1"/>
  <c r="EV110" i="4" a="1"/>
  <c r="EV110" i="4" s="1"/>
  <c r="EF110" i="4" a="1"/>
  <c r="EF110" i="4" s="1"/>
  <c r="EG84" i="4"/>
  <c r="I61" i="50"/>
  <c r="Q19" i="50"/>
  <c r="I55" i="50"/>
  <c r="EF104" i="4" a="1"/>
  <c r="EF104" i="4" s="1"/>
  <c r="DX104" i="4" a="1"/>
  <c r="DX104" i="4" s="1"/>
  <c r="EA104" i="4" a="1"/>
  <c r="EA104" i="4" s="1"/>
  <c r="EG82" i="4"/>
  <c r="DQ136" i="4" a="1"/>
  <c r="DQ136" i="4" s="1"/>
  <c r="ET136" i="4" a="1"/>
  <c r="ET136" i="4" s="1"/>
  <c r="DK136" i="4" a="1"/>
  <c r="DK136" i="4" s="1"/>
  <c r="EN136" i="4" a="1"/>
  <c r="EN136" i="4" s="1"/>
  <c r="DZ136" i="4" a="1"/>
  <c r="DZ136" i="4" s="1"/>
  <c r="EA136" i="4" a="1"/>
  <c r="EA136" i="4" s="1"/>
  <c r="DU99" i="4" a="1"/>
  <c r="DU99" i="4" s="1"/>
  <c r="DW99" i="4" a="1"/>
  <c r="DW99" i="4" s="1"/>
  <c r="EL99" i="4" a="1"/>
  <c r="EL99" i="4" s="1"/>
  <c r="E47" i="50" s="1"/>
  <c r="DI99" i="4" a="1"/>
  <c r="DI99" i="4" s="1"/>
  <c r="DY99" i="4" a="1"/>
  <c r="DY99" i="4" s="1"/>
  <c r="H36" i="50"/>
  <c r="DS103" i="4" a="1"/>
  <c r="DS103" i="4" s="1"/>
  <c r="EV103" i="4" a="1"/>
  <c r="EV103" i="4" s="1"/>
  <c r="DZ103" i="4" a="1"/>
  <c r="DZ103" i="4" s="1"/>
  <c r="EF103" i="4" a="1"/>
  <c r="EF103" i="4" s="1"/>
  <c r="EC103" i="4" a="1"/>
  <c r="EC103" i="4" s="1"/>
  <c r="F42" i="50"/>
  <c r="EG36" i="4"/>
  <c r="DX114" i="4" a="1"/>
  <c r="DX114" i="4" s="1"/>
  <c r="DK114" i="4" a="1"/>
  <c r="DK114" i="4" s="1"/>
  <c r="EN114" i="4" a="1"/>
  <c r="EN114" i="4" s="1"/>
  <c r="DU114" i="4" a="1"/>
  <c r="DU114" i="4" s="1"/>
  <c r="EG134" i="4"/>
  <c r="EG131" i="4"/>
  <c r="EG135" i="4"/>
  <c r="Q10" i="50"/>
  <c r="DW106" i="4" a="1"/>
  <c r="DW106" i="4" s="1"/>
  <c r="EC106" i="4" a="1"/>
  <c r="EC106" i="4" s="1"/>
  <c r="DR106" i="4" a="1"/>
  <c r="DR106" i="4" s="1"/>
  <c r="EU106" i="4" a="1"/>
  <c r="EU106" i="4" s="1"/>
  <c r="DJ106" i="4" a="1"/>
  <c r="DJ106" i="4" s="1"/>
  <c r="EM106" i="4" a="1"/>
  <c r="EM106" i="4" s="1"/>
  <c r="E59" i="50"/>
  <c r="Q59" i="50" s="1"/>
  <c r="EG133" i="4"/>
  <c r="J46" i="50"/>
  <c r="EU139" i="4" a="1"/>
  <c r="EU139" i="4" s="1"/>
  <c r="DR139" i="4" a="1"/>
  <c r="DR139" i="4" s="1"/>
  <c r="EO139" i="4" a="1"/>
  <c r="EO139" i="4" s="1"/>
  <c r="DL139" i="4" a="1"/>
  <c r="DL139" i="4" s="1"/>
  <c r="DZ139" i="4" a="1"/>
  <c r="DZ139" i="4" s="1"/>
  <c r="EL139" i="4" a="1"/>
  <c r="EL139" i="4" s="1"/>
  <c r="DI139" i="4" a="1"/>
  <c r="DI139" i="4" s="1"/>
  <c r="EG116" i="4"/>
  <c r="DM137" i="4" a="1"/>
  <c r="DM137" i="4" s="1"/>
  <c r="EP137" i="4" a="1"/>
  <c r="EP137" i="4" s="1"/>
  <c r="EE137" i="4" a="1"/>
  <c r="EE137" i="4" s="1"/>
  <c r="DS115" i="4" a="1"/>
  <c r="DS115" i="4" s="1"/>
  <c r="EV115" i="4" a="1"/>
  <c r="EV115" i="4" s="1"/>
  <c r="DJ115" i="4" a="1"/>
  <c r="DJ115" i="4" s="1"/>
  <c r="EM115" i="4" a="1"/>
  <c r="EM115" i="4" s="1"/>
  <c r="DT115" i="4" a="1"/>
  <c r="DT115" i="4" s="1"/>
  <c r="EW115" i="4" a="1"/>
  <c r="EW115" i="4" s="1"/>
  <c r="ES115" i="4" a="1"/>
  <c r="ES115" i="4" s="1"/>
  <c r="DP115" i="4" a="1"/>
  <c r="DP115" i="4" s="1"/>
  <c r="EP105" i="4" a="1"/>
  <c r="EP105" i="4" s="1"/>
  <c r="DM105" i="4" a="1"/>
  <c r="DM105" i="4" s="1"/>
  <c r="DY105" i="4" a="1"/>
  <c r="DY105" i="4" s="1"/>
  <c r="EP138" i="4" a="1"/>
  <c r="EP138" i="4" s="1"/>
  <c r="DM138" i="4" a="1"/>
  <c r="DM138" i="4" s="1"/>
  <c r="DL138" i="4" a="1"/>
  <c r="DL138" i="4" s="1"/>
  <c r="EO138" i="4" a="1"/>
  <c r="EO138" i="4" s="1"/>
  <c r="EC138" i="4" a="1"/>
  <c r="EC138" i="4" s="1"/>
  <c r="L42" i="50"/>
  <c r="EG76" i="4"/>
  <c r="G36" i="50"/>
  <c r="DY112" i="4" a="1"/>
  <c r="DY112" i="4" s="1"/>
  <c r="DW112" i="4" a="1"/>
  <c r="DW112" i="4" s="1"/>
  <c r="G45" i="50"/>
  <c r="EC142" i="4" a="1"/>
  <c r="EC142" i="4" s="1"/>
  <c r="DV142" i="4" a="1"/>
  <c r="DV142" i="4" s="1"/>
  <c r="DN142" i="4" a="1"/>
  <c r="DN142" i="4" s="1"/>
  <c r="EQ142" i="4" a="1"/>
  <c r="EQ142" i="4" s="1"/>
  <c r="I36" i="50"/>
  <c r="L60" i="50"/>
  <c r="N15" i="50"/>
  <c r="DN113" i="4" a="1"/>
  <c r="DN113" i="4" s="1"/>
  <c r="EQ113" i="4" a="1"/>
  <c r="EQ113" i="4" s="1"/>
  <c r="J52" i="50" s="1"/>
  <c r="ET110" i="4" a="1"/>
  <c r="ET110" i="4" s="1"/>
  <c r="DQ110" i="4" a="1"/>
  <c r="DQ110" i="4" s="1"/>
  <c r="ES136" i="4" a="1"/>
  <c r="ES136" i="4" s="1"/>
  <c r="DP136" i="4" a="1"/>
  <c r="DP136" i="4" s="1"/>
  <c r="EG8" i="4"/>
  <c r="EW99" i="4" a="1"/>
  <c r="EW99" i="4" s="1"/>
  <c r="P47" i="50" s="1"/>
  <c r="DT99" i="4" a="1"/>
  <c r="DT99" i="4" s="1"/>
  <c r="DX99" i="4" a="1"/>
  <c r="DX99" i="4" s="1"/>
  <c r="ES103" i="4" a="1"/>
  <c r="ES103" i="4" s="1"/>
  <c r="DP103" i="4" a="1"/>
  <c r="DP103" i="4" s="1"/>
  <c r="EP103" i="4" a="1"/>
  <c r="EP103" i="4" s="1"/>
  <c r="DM103" i="4" a="1"/>
  <c r="DM103" i="4" s="1"/>
  <c r="EB103" i="4" a="1"/>
  <c r="EB103" i="4" s="1"/>
  <c r="E15" i="50"/>
  <c r="DN114" i="4" a="1"/>
  <c r="DN114" i="4" s="1"/>
  <c r="EQ114" i="4" a="1"/>
  <c r="EQ114" i="4" s="1"/>
  <c r="DW114" i="4" a="1"/>
  <c r="DW114" i="4" s="1"/>
  <c r="DY114" i="4" a="1"/>
  <c r="DY114" i="4" s="1"/>
  <c r="EU114" i="4" a="1"/>
  <c r="EU114" i="4" s="1"/>
  <c r="DR114" i="4" a="1"/>
  <c r="DR114" i="4" s="1"/>
  <c r="EG63" i="4"/>
  <c r="DL106" i="4" a="1"/>
  <c r="DL106" i="4" s="1"/>
  <c r="EO106" i="4" a="1"/>
  <c r="EO106" i="4" s="1"/>
  <c r="DT106" i="4" a="1"/>
  <c r="DT106" i="4" s="1"/>
  <c r="EW106" i="4" a="1"/>
  <c r="EW106" i="4" s="1"/>
  <c r="E37" i="50"/>
  <c r="EF139" i="4" a="1"/>
  <c r="EF139" i="4" s="1"/>
  <c r="DY139" i="4" a="1"/>
  <c r="DY139" i="4" s="1"/>
  <c r="DV139" i="4" a="1"/>
  <c r="DV139" i="4" s="1"/>
  <c r="EW137" i="4" a="1"/>
  <c r="EW137" i="4" s="1"/>
  <c r="DT137" i="4" a="1"/>
  <c r="DT137" i="4" s="1"/>
  <c r="DL137" i="4" a="1"/>
  <c r="DL137" i="4" s="1"/>
  <c r="EO137" i="4" a="1"/>
  <c r="EO137" i="4" s="1"/>
  <c r="DZ137" i="4" a="1"/>
  <c r="DZ137" i="4" s="1"/>
  <c r="DJ137" i="4" a="1"/>
  <c r="DJ137" i="4" s="1"/>
  <c r="EM137" i="4" a="1"/>
  <c r="EM137" i="4" s="1"/>
  <c r="DW115" i="4" a="1"/>
  <c r="DW115" i="4" s="1"/>
  <c r="DY115" i="4" a="1"/>
  <c r="DY115" i="4" s="1"/>
  <c r="K46" i="50"/>
  <c r="EB105" i="4" a="1"/>
  <c r="EB105" i="4" s="1"/>
  <c r="DU105" i="4" a="1"/>
  <c r="DU105" i="4" s="1"/>
  <c r="DZ105" i="4" a="1"/>
  <c r="DZ105" i="4" s="1"/>
  <c r="EM138" i="4" a="1"/>
  <c r="EM138" i="4" s="1"/>
  <c r="DJ138" i="4" a="1"/>
  <c r="DJ138" i="4" s="1"/>
  <c r="DK138" i="4" a="1"/>
  <c r="DK138" i="4" s="1"/>
  <c r="EN138" i="4" a="1"/>
  <c r="EN138" i="4" s="1"/>
  <c r="EF138" i="4" a="1"/>
  <c r="EF138" i="4" s="1"/>
  <c r="N59" i="50"/>
  <c r="DI112" i="4" a="1"/>
  <c r="DI112" i="4" s="1"/>
  <c r="EL112" i="4" a="1"/>
  <c r="EL112" i="4" s="1"/>
  <c r="E51" i="50" s="1"/>
  <c r="EA112" i="4" a="1"/>
  <c r="EA112" i="4" s="1"/>
  <c r="DU112" i="4" a="1"/>
  <c r="DU112" i="4" s="1"/>
  <c r="J36" i="50"/>
  <c r="G55" i="50"/>
  <c r="EB142" i="4" a="1"/>
  <c r="EB142" i="4" s="1"/>
  <c r="DZ142" i="4" a="1"/>
  <c r="DZ142" i="4" s="1"/>
  <c r="EN142" i="4" a="1"/>
  <c r="EN142" i="4" s="1"/>
  <c r="DK142" i="4" a="1"/>
  <c r="DK142" i="4" s="1"/>
  <c r="EM142" i="4" a="1"/>
  <c r="EM142" i="4" s="1"/>
  <c r="DJ142" i="4" a="1"/>
  <c r="DJ142" i="4" s="1"/>
  <c r="Q56" i="50"/>
  <c r="G61" i="50"/>
  <c r="N46" i="50"/>
  <c r="EF141" i="4" a="1"/>
  <c r="EF141" i="4" s="1"/>
  <c r="DJ140" i="4" a="1"/>
  <c r="DJ140" i="4" s="1"/>
  <c r="EM140" i="4" a="1"/>
  <c r="EM140" i="4" s="1"/>
  <c r="EL104" i="4" a="1"/>
  <c r="EL104" i="4" s="1"/>
  <c r="DI104" i="4" a="1"/>
  <c r="DI104" i="4" s="1"/>
  <c r="EP136" i="4" a="1"/>
  <c r="EP136" i="4" s="1"/>
  <c r="DM136" i="4" a="1"/>
  <c r="DM136" i="4" s="1"/>
  <c r="DV108" i="4" a="1"/>
  <c r="DV108" i="4" s="1"/>
  <c r="DQ141" i="4" a="1"/>
  <c r="DQ141" i="4" s="1"/>
  <c r="ET141" i="4" a="1"/>
  <c r="ET141" i="4" s="1"/>
  <c r="DL113" i="4" a="1"/>
  <c r="DL113" i="4" s="1"/>
  <c r="EO113" i="4" a="1"/>
  <c r="EO113" i="4" s="1"/>
  <c r="H52" i="50" s="1"/>
  <c r="DV100" i="4" a="1"/>
  <c r="DV100" i="4" s="1"/>
  <c r="EM110" i="4" a="1"/>
  <c r="EM110" i="4" s="1"/>
  <c r="DJ110" i="4" a="1"/>
  <c r="DJ110" i="4" s="1"/>
  <c r="EG130" i="4"/>
  <c r="H42" i="50"/>
  <c r="DY104" i="4" a="1"/>
  <c r="DY104" i="4" s="1"/>
  <c r="EO104" i="4" a="1"/>
  <c r="EO104" i="4" s="1"/>
  <c r="DL104" i="4" a="1"/>
  <c r="DL104" i="4" s="1"/>
  <c r="DW104" i="4" a="1"/>
  <c r="DW104" i="4" s="1"/>
  <c r="EE136" i="4" a="1"/>
  <c r="EE136" i="4" s="1"/>
  <c r="DV136" i="4" a="1"/>
  <c r="DV136" i="4" s="1"/>
  <c r="DO136" i="4" a="1"/>
  <c r="DO136" i="4" s="1"/>
  <c r="ER136" i="4" a="1"/>
  <c r="ER136" i="4" s="1"/>
  <c r="DZ99" i="4" a="1"/>
  <c r="DZ99" i="4" s="1"/>
  <c r="EF99" i="4" a="1"/>
  <c r="EF99" i="4" s="1"/>
  <c r="DL99" i="4" a="1"/>
  <c r="DL99" i="4" s="1"/>
  <c r="EO99" i="4" a="1"/>
  <c r="EO99" i="4" s="1"/>
  <c r="H47" i="50" s="1"/>
  <c r="EW103" i="4" a="1"/>
  <c r="EW103" i="4" s="1"/>
  <c r="DT103" i="4" a="1"/>
  <c r="DT103" i="4" s="1"/>
  <c r="DL103" i="4" a="1"/>
  <c r="DL103" i="4" s="1"/>
  <c r="EO103" i="4" a="1"/>
  <c r="EO103" i="4" s="1"/>
  <c r="EM103" i="4" a="1"/>
  <c r="EM103" i="4" s="1"/>
  <c r="DJ103" i="4" a="1"/>
  <c r="DJ103" i="4" s="1"/>
  <c r="EA103" i="4" a="1"/>
  <c r="EA103" i="4" s="1"/>
  <c r="K45" i="50"/>
  <c r="EA114" i="4" a="1"/>
  <c r="EA114" i="4" s="1"/>
  <c r="ER114" i="4" a="1"/>
  <c r="ER114" i="4" s="1"/>
  <c r="DO114" i="4" a="1"/>
  <c r="DO114" i="4" s="1"/>
  <c r="DM114" i="4" a="1"/>
  <c r="DM114" i="4" s="1"/>
  <c r="EP114" i="4" a="1"/>
  <c r="EP114" i="4" s="1"/>
  <c r="EG78" i="4"/>
  <c r="EG77" i="4"/>
  <c r="L36" i="50"/>
  <c r="EG7" i="4"/>
  <c r="Q28" i="50"/>
  <c r="EB106" i="4" a="1"/>
  <c r="EB106" i="4" s="1"/>
  <c r="DY106" i="4" a="1"/>
  <c r="DY106" i="4" s="1"/>
  <c r="EE106" i="4" a="1"/>
  <c r="EE106" i="4" s="1"/>
  <c r="EG80" i="4"/>
  <c r="DW139" i="4" a="1"/>
  <c r="DW139" i="4" s="1"/>
  <c r="EN139" i="4" a="1"/>
  <c r="EN139" i="4" s="1"/>
  <c r="DK139" i="4" a="1"/>
  <c r="DK139" i="4" s="1"/>
  <c r="EB139" i="4" a="1"/>
  <c r="EB139" i="4" s="1"/>
  <c r="DY137" i="4" a="1"/>
  <c r="DY137" i="4" s="1"/>
  <c r="ES137" i="4" a="1"/>
  <c r="ES137" i="4" s="1"/>
  <c r="DP137" i="4" a="1"/>
  <c r="DP137" i="4" s="1"/>
  <c r="DK137" i="4" a="1"/>
  <c r="DK137" i="4" s="1"/>
  <c r="EN137" i="4" a="1"/>
  <c r="EN137" i="4" s="1"/>
  <c r="DL115" i="4" a="1"/>
  <c r="DL115" i="4" s="1"/>
  <c r="EO115" i="4" a="1"/>
  <c r="EO115" i="4" s="1"/>
  <c r="EC115" i="4" a="1"/>
  <c r="EC115" i="4" s="1"/>
  <c r="DX115" i="4" a="1"/>
  <c r="DX115" i="4" s="1"/>
  <c r="EG32" i="4"/>
  <c r="K37" i="50"/>
  <c r="DR105" i="4" a="1"/>
  <c r="DR105" i="4" s="1"/>
  <c r="EU105" i="4" a="1"/>
  <c r="EU105" i="4" s="1"/>
  <c r="EO105" i="4" a="1"/>
  <c r="EO105" i="4" s="1"/>
  <c r="DL105" i="4" a="1"/>
  <c r="DL105" i="4" s="1"/>
  <c r="ED105" i="4" a="1"/>
  <c r="ED105" i="4" s="1"/>
  <c r="EG6" i="4"/>
  <c r="ED138" i="4" a="1"/>
  <c r="ED138" i="4" s="1"/>
  <c r="DI138" i="4" a="1"/>
  <c r="DI138" i="4" s="1"/>
  <c r="EL138" i="4" a="1"/>
  <c r="EL138" i="4" s="1"/>
  <c r="O42" i="50"/>
  <c r="EG56" i="4"/>
  <c r="EG12" i="4"/>
  <c r="EO112" i="4" a="1"/>
  <c r="EO112" i="4" s="1"/>
  <c r="H51" i="50" s="1"/>
  <c r="DL112" i="4" a="1"/>
  <c r="DL112" i="4" s="1"/>
  <c r="DT112" i="4" a="1"/>
  <c r="DT112" i="4" s="1"/>
  <c r="EW112" i="4" a="1"/>
  <c r="EW112" i="4" s="1"/>
  <c r="P51" i="50" s="1"/>
  <c r="ED112" i="4" a="1"/>
  <c r="ED112" i="4" s="1"/>
  <c r="J37" i="50"/>
  <c r="F55" i="50"/>
  <c r="EG124" i="4"/>
  <c r="EF142" i="4" a="1"/>
  <c r="EF142" i="4" s="1"/>
  <c r="DY142" i="4" a="1"/>
  <c r="DY142" i="4" s="1"/>
  <c r="EG122" i="4"/>
  <c r="EG51" i="4"/>
  <c r="F46" i="50"/>
  <c r="E36" i="50"/>
  <c r="EG94" i="4"/>
  <c r="DQ108" i="4" a="1"/>
  <c r="DQ108" i="4" s="1"/>
  <c r="ET108" i="4" a="1"/>
  <c r="ET108" i="4" s="1"/>
  <c r="ES113" i="4" a="1"/>
  <c r="ES113" i="4" s="1"/>
  <c r="L52" i="50" s="1"/>
  <c r="DP113" i="4" a="1"/>
  <c r="DP113" i="4" s="1"/>
  <c r="EL140" i="4" a="1"/>
  <c r="EL140" i="4" s="1"/>
  <c r="DI140" i="4" a="1"/>
  <c r="DI140" i="4" s="1"/>
  <c r="DJ87" i="4" a="1"/>
  <c r="DJ87" i="4" s="1"/>
  <c r="EM87" i="4" a="1"/>
  <c r="EM87" i="4" s="1"/>
  <c r="F39" i="50" s="1"/>
  <c r="DQ100" i="4" a="1"/>
  <c r="DQ100" i="4" s="1"/>
  <c r="ET100" i="4" a="1"/>
  <c r="ET100" i="4" s="1"/>
  <c r="M48" i="50" s="1"/>
  <c r="DM143" i="4" a="1"/>
  <c r="DM143" i="4" s="1"/>
  <c r="EP143" i="4" a="1"/>
  <c r="EP143" i="4" s="1"/>
  <c r="DX110" i="4" a="1"/>
  <c r="DX110" i="4" s="1"/>
  <c r="ES104" i="4" a="1"/>
  <c r="ES104" i="4" s="1"/>
  <c r="DP104" i="4" a="1"/>
  <c r="DP104" i="4" s="1"/>
  <c r="EU136" i="4" a="1"/>
  <c r="EU136" i="4" s="1"/>
  <c r="DR136" i="4" a="1"/>
  <c r="DR136" i="4" s="1"/>
  <c r="DY108" i="4" a="1"/>
  <c r="DY108" i="4" s="1"/>
  <c r="EM108" i="4" a="1"/>
  <c r="EM108" i="4" s="1"/>
  <c r="DJ108" i="4" a="1"/>
  <c r="DJ108" i="4" s="1"/>
  <c r="DZ141" i="4" a="1"/>
  <c r="DZ141" i="4" s="1"/>
  <c r="EP141" i="4" a="1"/>
  <c r="EP141" i="4" s="1"/>
  <c r="DM141" i="4" a="1"/>
  <c r="DM141" i="4" s="1"/>
  <c r="DS113" i="4" a="1"/>
  <c r="DS113" i="4" s="1"/>
  <c r="EV113" i="4" a="1"/>
  <c r="EV113" i="4" s="1"/>
  <c r="O52" i="50" s="1"/>
  <c r="EA113" i="4" a="1"/>
  <c r="EA113" i="4" s="1"/>
  <c r="DU140" i="4" a="1"/>
  <c r="DU140" i="4" s="1"/>
  <c r="DX140" i="4" a="1"/>
  <c r="DX140" i="4" s="1"/>
  <c r="ET140" i="4" a="1"/>
  <c r="ET140" i="4" s="1"/>
  <c r="DQ140" i="4" a="1"/>
  <c r="DQ140" i="4" s="1"/>
  <c r="DO87" i="4" a="1"/>
  <c r="DO87" i="4" s="1"/>
  <c r="ER87" i="4" a="1"/>
  <c r="ER87" i="4" s="1"/>
  <c r="K39" i="50" s="1"/>
  <c r="EE87" i="4" a="1"/>
  <c r="EE87" i="4" s="1"/>
  <c r="DT87" i="4" a="1"/>
  <c r="DT87" i="4" s="1"/>
  <c r="EW87" i="4" a="1"/>
  <c r="EW87" i="4" s="1"/>
  <c r="P39" i="50" s="1"/>
  <c r="DW87" i="4" a="1"/>
  <c r="DW87" i="4" s="1"/>
  <c r="EA100" i="4" a="1"/>
  <c r="EA100" i="4" s="1"/>
  <c r="DU100" i="4" a="1"/>
  <c r="DU100" i="4" s="1"/>
  <c r="DO143" i="4" a="1"/>
  <c r="DO143" i="4" s="1"/>
  <c r="ER143" i="4" a="1"/>
  <c r="ER143" i="4" s="1"/>
  <c r="ED143" i="4" a="1"/>
  <c r="ED143" i="4" s="1"/>
  <c r="DT143" i="4" a="1"/>
  <c r="DT143" i="4" s="1"/>
  <c r="EW143" i="4" a="1"/>
  <c r="EW143" i="4" s="1"/>
  <c r="DV143" i="4" a="1"/>
  <c r="DV143" i="4" s="1"/>
  <c r="DU110" i="4" a="1"/>
  <c r="DU110" i="4" s="1"/>
  <c r="DS108" i="4" a="1"/>
  <c r="DS108" i="4" s="1"/>
  <c r="EV108" i="4" a="1"/>
  <c r="EV108" i="4" s="1"/>
  <c r="EQ108" i="4" a="1"/>
  <c r="EQ108" i="4" s="1"/>
  <c r="DN108" i="4" a="1"/>
  <c r="DN108" i="4" s="1"/>
  <c r="EE108" i="4" a="1"/>
  <c r="EE108" i="4" s="1"/>
  <c r="DU108" i="4" a="1"/>
  <c r="DU108" i="4" s="1"/>
  <c r="EA141" i="4" a="1"/>
  <c r="EA141" i="4" s="1"/>
  <c r="EE141" i="4" a="1"/>
  <c r="EE141" i="4" s="1"/>
  <c r="ED141" i="4" a="1"/>
  <c r="ED141" i="4" s="1"/>
  <c r="DX113" i="4" a="1"/>
  <c r="DX113" i="4" s="1"/>
  <c r="EA140" i="4" a="1"/>
  <c r="EA140" i="4" s="1"/>
  <c r="EE140" i="4" a="1"/>
  <c r="EE140" i="4" s="1"/>
  <c r="EQ140" i="4" a="1"/>
  <c r="EQ140" i="4" s="1"/>
  <c r="DN140" i="4" a="1"/>
  <c r="DN140" i="4" s="1"/>
  <c r="EL87" i="4" a="1"/>
  <c r="EL87" i="4" s="1"/>
  <c r="E39" i="50" s="1"/>
  <c r="DI87" i="4" a="1"/>
  <c r="DI87" i="4" s="1"/>
  <c r="DM87" i="4" a="1"/>
  <c r="DM87" i="4" s="1"/>
  <c r="EP87" i="4" a="1"/>
  <c r="EP87" i="4" s="1"/>
  <c r="I39" i="50" s="1"/>
  <c r="DN87" i="4" a="1"/>
  <c r="DN87" i="4" s="1"/>
  <c r="EQ87" i="4" a="1"/>
  <c r="EQ87" i="4" s="1"/>
  <c r="J39" i="50" s="1"/>
  <c r="EM100" i="4" a="1"/>
  <c r="EM100" i="4" s="1"/>
  <c r="F48" i="50" s="1"/>
  <c r="DJ100" i="4" a="1"/>
  <c r="DJ100" i="4" s="1"/>
  <c r="DY100" i="4" a="1"/>
  <c r="DY100" i="4" s="1"/>
  <c r="DR100" i="4" a="1"/>
  <c r="DR100" i="4" s="1"/>
  <c r="EU100" i="4" a="1"/>
  <c r="EU100" i="4" s="1"/>
  <c r="N48" i="50" s="1"/>
  <c r="EC100" i="4" a="1"/>
  <c r="EC100" i="4" s="1"/>
  <c r="DX143" i="4" a="1"/>
  <c r="DX143" i="4" s="1"/>
  <c r="EA143" i="4" a="1"/>
  <c r="EA143" i="4" s="1"/>
  <c r="EU143" i="4" a="1"/>
  <c r="EU143" i="4" s="1"/>
  <c r="DR143" i="4" a="1"/>
  <c r="DR143" i="4" s="1"/>
  <c r="DJ143" i="4" a="1"/>
  <c r="DJ143" i="4" s="1"/>
  <c r="EM143" i="4" a="1"/>
  <c r="EM143" i="4" s="1"/>
  <c r="O15" i="50"/>
  <c r="DK110" i="4" a="1"/>
  <c r="DK110" i="4" s="1"/>
  <c r="EN110" i="4" a="1"/>
  <c r="EN110" i="4" s="1"/>
  <c r="DY110" i="4" a="1"/>
  <c r="DY110" i="4" s="1"/>
  <c r="M37" i="50"/>
  <c r="DU104" i="4" a="1"/>
  <c r="DU104" i="4" s="1"/>
  <c r="ED104" i="4" a="1"/>
  <c r="ED104" i="4" s="1"/>
  <c r="DT104" i="4" a="1"/>
  <c r="DT104" i="4" s="1"/>
  <c r="EW104" i="4" a="1"/>
  <c r="EW104" i="4" s="1"/>
  <c r="EV136" i="4" a="1"/>
  <c r="EV136" i="4" s="1"/>
  <c r="DS136" i="4" a="1"/>
  <c r="DS136" i="4" s="1"/>
  <c r="EB136" i="4" a="1"/>
  <c r="EB136" i="4" s="1"/>
  <c r="EE99" i="4" a="1"/>
  <c r="EE99" i="4" s="1"/>
  <c r="DJ99" i="4" a="1"/>
  <c r="DJ99" i="4" s="1"/>
  <c r="EM99" i="4" a="1"/>
  <c r="EM99" i="4" s="1"/>
  <c r="F47" i="50" s="1"/>
  <c r="ET99" i="4" a="1"/>
  <c r="ET99" i="4" s="1"/>
  <c r="M47" i="50" s="1"/>
  <c r="DQ99" i="4" a="1"/>
  <c r="DQ99" i="4" s="1"/>
  <c r="EE103" i="4" a="1"/>
  <c r="EE103" i="4" s="1"/>
  <c r="DW103" i="4" a="1"/>
  <c r="DW103" i="4" s="1"/>
  <c r="EN103" i="4" a="1"/>
  <c r="EN103" i="4" s="1"/>
  <c r="DK103" i="4" a="1"/>
  <c r="DK103" i="4" s="1"/>
  <c r="EG97" i="4"/>
  <c r="DQ114" i="4" a="1"/>
  <c r="DQ114" i="4" s="1"/>
  <c r="ET114" i="4" a="1"/>
  <c r="ET114" i="4" s="1"/>
  <c r="DZ114" i="4" a="1"/>
  <c r="DZ114" i="4" s="1"/>
  <c r="EE114" i="4" a="1"/>
  <c r="EE114" i="4" s="1"/>
  <c r="M36" i="50"/>
  <c r="DN106" i="4" a="1"/>
  <c r="DN106" i="4" s="1"/>
  <c r="EQ106" i="4" a="1"/>
  <c r="EQ106" i="4" s="1"/>
  <c r="DX106" i="4" a="1"/>
  <c r="DX106" i="4" s="1"/>
  <c r="EP106" i="4" a="1"/>
  <c r="EP106" i="4" s="1"/>
  <c r="DM106" i="4" a="1"/>
  <c r="DM106" i="4" s="1"/>
  <c r="EG98" i="4"/>
  <c r="EG81" i="4"/>
  <c r="DM139" i="4" a="1"/>
  <c r="DM139" i="4" s="1"/>
  <c r="EP139" i="4" a="1"/>
  <c r="EP139" i="4" s="1"/>
  <c r="EE139" i="4" a="1"/>
  <c r="EE139" i="4" s="1"/>
  <c r="EC139" i="4" a="1"/>
  <c r="EC139" i="4" s="1"/>
  <c r="EB137" i="4" a="1"/>
  <c r="EB137" i="4" s="1"/>
  <c r="DI137" i="4" a="1"/>
  <c r="DI137" i="4" s="1"/>
  <c r="EL137" i="4" a="1"/>
  <c r="EL137" i="4" s="1"/>
  <c r="DQ137" i="4" a="1"/>
  <c r="DQ137" i="4" s="1"/>
  <c r="ET137" i="4" a="1"/>
  <c r="ET137" i="4" s="1"/>
  <c r="ED115" i="4" a="1"/>
  <c r="ED115" i="4" s="1"/>
  <c r="EB115" i="4" a="1"/>
  <c r="EB115" i="4" s="1"/>
  <c r="EG93" i="4"/>
  <c r="ES105" i="4" a="1"/>
  <c r="ES105" i="4" s="1"/>
  <c r="DP105" i="4" a="1"/>
  <c r="DP105" i="4" s="1"/>
  <c r="EM105" i="4" a="1"/>
  <c r="EM105" i="4" s="1"/>
  <c r="DJ105" i="4" a="1"/>
  <c r="DJ105" i="4" s="1"/>
  <c r="ER105" i="4" a="1"/>
  <c r="ER105" i="4" s="1"/>
  <c r="DO105" i="4" a="1"/>
  <c r="DO105" i="4" s="1"/>
  <c r="EG111" i="4"/>
  <c r="ET138" i="4" a="1"/>
  <c r="ET138" i="4" s="1"/>
  <c r="DQ138" i="4" a="1"/>
  <c r="DQ138" i="4" s="1"/>
  <c r="DP138" i="4" a="1"/>
  <c r="DP138" i="4" s="1"/>
  <c r="ES138" i="4" a="1"/>
  <c r="ES138" i="4" s="1"/>
  <c r="N60" i="50"/>
  <c r="EG117" i="4"/>
  <c r="EG21" i="4"/>
  <c r="Q25" i="50"/>
  <c r="EB112" i="4" a="1"/>
  <c r="EB112" i="4" s="1"/>
  <c r="DX112" i="4" a="1"/>
  <c r="DX112" i="4" s="1"/>
  <c r="EF112" i="4" a="1"/>
  <c r="EF112" i="4" s="1"/>
  <c r="EC112" i="4" a="1"/>
  <c r="EC112" i="4" s="1"/>
  <c r="L46" i="50"/>
  <c r="Q57" i="50"/>
  <c r="P42" i="50"/>
  <c r="ET142" i="4" a="1"/>
  <c r="ET142" i="4" s="1"/>
  <c r="DQ142" i="4" a="1"/>
  <c r="DQ142" i="4" s="1"/>
  <c r="DW142" i="4" a="1"/>
  <c r="DW142" i="4" s="1"/>
  <c r="Q21" i="50"/>
  <c r="EG67" i="4"/>
  <c r="EG73" i="4"/>
  <c r="EG24" i="4"/>
  <c r="E45" i="50"/>
  <c r="DK140" i="4" a="1"/>
  <c r="DK140" i="4" s="1"/>
  <c r="EN140" i="4" a="1"/>
  <c r="EN140" i="4" s="1"/>
  <c r="DX87" i="4" a="1"/>
  <c r="DX87" i="4" s="1"/>
  <c r="EF100" i="4" a="1"/>
  <c r="EF100" i="4" s="1"/>
  <c r="EV100" i="4" a="1"/>
  <c r="EV100" i="4" s="1"/>
  <c r="O48" i="50" s="1"/>
  <c r="DS100" i="4" a="1"/>
  <c r="DS100" i="4" s="1"/>
  <c r="EE143" i="4" a="1"/>
  <c r="EE143" i="4" s="1"/>
  <c r="EQ110" i="4" a="1"/>
  <c r="EQ110" i="4" s="1"/>
  <c r="DN110" i="4" a="1"/>
  <c r="DN110" i="4" s="1"/>
  <c r="EG74" i="4"/>
  <c r="EG83" i="4"/>
  <c r="EE104" i="4" a="1"/>
  <c r="EE104" i="4" s="1"/>
  <c r="DW136" i="4" a="1"/>
  <c r="DW136" i="4" s="1"/>
  <c r="ED99" i="4" a="1"/>
  <c r="ED99" i="4" s="1"/>
  <c r="DM99" i="4" a="1"/>
  <c r="DM99" i="4" s="1"/>
  <c r="EP99" i="4" a="1"/>
  <c r="EP99" i="4" s="1"/>
  <c r="I47" i="50" s="1"/>
  <c r="DN99" i="4" a="1"/>
  <c r="DN99" i="4" s="1"/>
  <c r="EQ99" i="4" a="1"/>
  <c r="EQ99" i="4" s="1"/>
  <c r="J47" i="50" s="1"/>
  <c r="DU103" i="4" a="1"/>
  <c r="DU103" i="4" s="1"/>
  <c r="ED114" i="4" a="1"/>
  <c r="ED114" i="4" s="1"/>
  <c r="EC114" i="4" a="1"/>
  <c r="EC114" i="4" s="1"/>
  <c r="EG95" i="4"/>
  <c r="ET106" i="4" a="1"/>
  <c r="ET106" i="4" s="1"/>
  <c r="DQ106" i="4" a="1"/>
  <c r="DQ106" i="4" s="1"/>
  <c r="ES106" i="4" a="1"/>
  <c r="ES106" i="4" s="1"/>
  <c r="DP106" i="4" a="1"/>
  <c r="DP106" i="4" s="1"/>
  <c r="DI106" i="4" a="1"/>
  <c r="DI106" i="4" s="1"/>
  <c r="EL106" i="4" a="1"/>
  <c r="EL106" i="4" s="1"/>
  <c r="EG92" i="4"/>
  <c r="DN139" i="4" a="1"/>
  <c r="DN139" i="4" s="1"/>
  <c r="EQ139" i="4" a="1"/>
  <c r="EQ139" i="4" s="1"/>
  <c r="ES139" i="4" a="1"/>
  <c r="ES139" i="4" s="1"/>
  <c r="DP139" i="4" a="1"/>
  <c r="DP139" i="4" s="1"/>
  <c r="ET139" i="4" a="1"/>
  <c r="ET139" i="4" s="1"/>
  <c r="DQ139" i="4" a="1"/>
  <c r="DQ139" i="4" s="1"/>
  <c r="E55" i="50"/>
  <c r="DR137" i="4" a="1"/>
  <c r="DR137" i="4" s="1"/>
  <c r="EU137" i="4" a="1"/>
  <c r="EU137" i="4" s="1"/>
  <c r="DW137" i="4" a="1"/>
  <c r="DW137" i="4" s="1"/>
  <c r="DR115" i="4" a="1"/>
  <c r="DR115" i="4" s="1"/>
  <c r="EU115" i="4" a="1"/>
  <c r="EU115" i="4" s="1"/>
  <c r="EF115" i="4" a="1"/>
  <c r="EF115" i="4" s="1"/>
  <c r="Q44" i="50"/>
  <c r="EG79" i="4"/>
  <c r="EE105" i="4" a="1"/>
  <c r="EE105" i="4" s="1"/>
  <c r="DT105" i="4" a="1"/>
  <c r="DT105" i="4" s="1"/>
  <c r="EW105" i="4" a="1"/>
  <c r="EW105" i="4" s="1"/>
  <c r="DT138" i="4" a="1"/>
  <c r="DT138" i="4" s="1"/>
  <c r="EW138" i="4" a="1"/>
  <c r="EW138" i="4" s="1"/>
  <c r="K42" i="50"/>
  <c r="EN112" i="4" a="1"/>
  <c r="EN112" i="4" s="1"/>
  <c r="G51" i="50" s="1"/>
  <c r="DK112" i="4" a="1"/>
  <c r="DK112" i="4" s="1"/>
  <c r="EU112" i="4" a="1"/>
  <c r="EU112" i="4" s="1"/>
  <c r="N51" i="50" s="1"/>
  <c r="DR112" i="4" a="1"/>
  <c r="DR112" i="4" s="1"/>
  <c r="DP112" i="4" a="1"/>
  <c r="DP112" i="4" s="1"/>
  <c r="ES112" i="4" a="1"/>
  <c r="ES112" i="4" s="1"/>
  <c r="L51" i="50" s="1"/>
  <c r="EG10" i="4"/>
  <c r="N61" i="50"/>
  <c r="ES142" i="4" a="1"/>
  <c r="ES142" i="4" s="1"/>
  <c r="DP142" i="4" a="1"/>
  <c r="DP142" i="4" s="1"/>
  <c r="ED142" i="4" a="1"/>
  <c r="ED142" i="4" s="1"/>
  <c r="EA142" i="4" a="1"/>
  <c r="EA142" i="4" s="1"/>
  <c r="M61" i="50"/>
  <c r="E46" i="50"/>
  <c r="L61" i="50"/>
  <c r="Q31" i="50"/>
  <c r="Q49" i="50"/>
  <c r="EB108" i="4" a="1"/>
  <c r="EB108" i="4" s="1"/>
  <c r="DN141" i="4" a="1"/>
  <c r="DN141" i="4" s="1"/>
  <c r="EQ141" i="4" a="1"/>
  <c r="EQ141" i="4" s="1"/>
  <c r="EC113" i="4" a="1"/>
  <c r="EC113" i="4" s="1"/>
  <c r="EP140" i="4" a="1"/>
  <c r="EP140" i="4" s="1"/>
  <c r="DM140" i="4" a="1"/>
  <c r="DM140" i="4" s="1"/>
  <c r="DK141" i="4" a="1"/>
  <c r="DK141" i="4" s="1"/>
  <c r="EN141" i="4" a="1"/>
  <c r="EN141" i="4" s="1"/>
  <c r="EO141" i="4" a="1"/>
  <c r="EO141" i="4" s="1"/>
  <c r="DL141" i="4" a="1"/>
  <c r="DL141" i="4" s="1"/>
  <c r="DW141" i="4" a="1"/>
  <c r="DW141" i="4" s="1"/>
  <c r="DT113" i="4" a="1"/>
  <c r="DT113" i="4" s="1"/>
  <c r="EW113" i="4" a="1"/>
  <c r="EW113" i="4" s="1"/>
  <c r="P52" i="50" s="1"/>
  <c r="DQ113" i="4" a="1"/>
  <c r="DQ113" i="4" s="1"/>
  <c r="ET113" i="4" a="1"/>
  <c r="ET113" i="4" s="1"/>
  <c r="M52" i="50" s="1"/>
  <c r="DK113" i="4" a="1"/>
  <c r="DK113" i="4" s="1"/>
  <c r="EN113" i="4" a="1"/>
  <c r="EN113" i="4" s="1"/>
  <c r="G52" i="50" s="1"/>
  <c r="DV140" i="4" a="1"/>
  <c r="DV140" i="4" s="1"/>
  <c r="EB140" i="4" a="1"/>
  <c r="EB140" i="4" s="1"/>
  <c r="DP87" i="4" a="1"/>
  <c r="DP87" i="4" s="1"/>
  <c r="ES87" i="4" a="1"/>
  <c r="ES87" i="4" s="1"/>
  <c r="L39" i="50" s="1"/>
  <c r="EA87" i="4" a="1"/>
  <c r="EA87" i="4" s="1"/>
  <c r="DZ100" i="4" a="1"/>
  <c r="DZ100" i="4" s="1"/>
  <c r="DK100" i="4" a="1"/>
  <c r="DK100" i="4" s="1"/>
  <c r="EN100" i="4" a="1"/>
  <c r="EN100" i="4" s="1"/>
  <c r="G48" i="50" s="1"/>
  <c r="DW143" i="4" a="1"/>
  <c r="DW143" i="4" s="1"/>
  <c r="DZ143" i="4" a="1"/>
  <c r="DZ143" i="4" s="1"/>
  <c r="DP110" i="4" a="1"/>
  <c r="DP110" i="4" s="1"/>
  <c r="ES110" i="4" a="1"/>
  <c r="ES110" i="4" s="1"/>
  <c r="DO110" i="4" a="1"/>
  <c r="DO110" i="4" s="1"/>
  <c r="ER110" i="4" a="1"/>
  <c r="ER110" i="4" s="1"/>
  <c r="EB104" i="4" a="1"/>
  <c r="EB104" i="4" s="1"/>
  <c r="DJ136" i="4" a="1"/>
  <c r="DJ136" i="4" s="1"/>
  <c r="EM136" i="4" a="1"/>
  <c r="EM136" i="4" s="1"/>
  <c r="EG125" i="4"/>
  <c r="DZ108" i="4" a="1"/>
  <c r="DZ108" i="4" s="1"/>
  <c r="DM108" i="4" a="1"/>
  <c r="DM108" i="4" s="1"/>
  <c r="EP108" i="4" a="1"/>
  <c r="EP108" i="4" s="1"/>
  <c r="DX108" i="4" a="1"/>
  <c r="DX108" i="4" s="1"/>
  <c r="EU108" i="4" a="1"/>
  <c r="EU108" i="4" s="1"/>
  <c r="DR108" i="4" a="1"/>
  <c r="DR108" i="4" s="1"/>
  <c r="ES141" i="4" a="1"/>
  <c r="ES141" i="4" s="1"/>
  <c r="DP141" i="4" a="1"/>
  <c r="DP141" i="4" s="1"/>
  <c r="EV141" i="4" a="1"/>
  <c r="EV141" i="4" s="1"/>
  <c r="DS141" i="4" a="1"/>
  <c r="DS141" i="4" s="1"/>
  <c r="DY141" i="4" a="1"/>
  <c r="DY141" i="4" s="1"/>
  <c r="DV141" i="4" a="1"/>
  <c r="DV141" i="4" s="1"/>
  <c r="ED113" i="4" a="1"/>
  <c r="ED113" i="4" s="1"/>
  <c r="DW113" i="4" a="1"/>
  <c r="DW113" i="4" s="1"/>
  <c r="EP113" i="4" a="1"/>
  <c r="EP113" i="4" s="1"/>
  <c r="I52" i="50" s="1"/>
  <c r="DM113" i="4" a="1"/>
  <c r="DM113" i="4" s="1"/>
  <c r="DZ140" i="4" a="1"/>
  <c r="DZ140" i="4" s="1"/>
  <c r="DR140" i="4" a="1"/>
  <c r="DR140" i="4" s="1"/>
  <c r="EU140" i="4" a="1"/>
  <c r="EU140" i="4" s="1"/>
  <c r="EC140" i="4" a="1"/>
  <c r="EC140" i="4" s="1"/>
  <c r="EC87" i="4" a="1"/>
  <c r="EC87" i="4" s="1"/>
  <c r="EB87" i="4" a="1"/>
  <c r="EB87" i="4" s="1"/>
  <c r="EN87" i="4" a="1"/>
  <c r="EN87" i="4" s="1"/>
  <c r="G39" i="50" s="1"/>
  <c r="DK87" i="4" a="1"/>
  <c r="DK87" i="4" s="1"/>
  <c r="DI100" i="4" a="1"/>
  <c r="DI100" i="4" s="1"/>
  <c r="EL100" i="4" a="1"/>
  <c r="EL100" i="4" s="1"/>
  <c r="E48" i="50" s="1"/>
  <c r="EE100" i="4" a="1"/>
  <c r="EE100" i="4" s="1"/>
  <c r="DW100" i="4" a="1"/>
  <c r="DW100" i="4" s="1"/>
  <c r="DL143" i="4" a="1"/>
  <c r="DL143" i="4" s="1"/>
  <c r="EO143" i="4" a="1"/>
  <c r="EO143" i="4" s="1"/>
  <c r="DK143" i="4" a="1"/>
  <c r="DK143" i="4" s="1"/>
  <c r="EN143" i="4" a="1"/>
  <c r="EN143" i="4" s="1"/>
  <c r="DN143" i="4" a="1"/>
  <c r="DN143" i="4" s="1"/>
  <c r="EQ143" i="4" a="1"/>
  <c r="EQ143" i="4" s="1"/>
  <c r="EG33" i="4"/>
  <c r="J45" i="50"/>
  <c r="DV110" i="4" a="1"/>
  <c r="DV110" i="4" s="1"/>
  <c r="DR110" i="4" a="1"/>
  <c r="DR110" i="4" s="1"/>
  <c r="EU110" i="4" a="1"/>
  <c r="EU110" i="4" s="1"/>
  <c r="EC110" i="4" a="1"/>
  <c r="EC110" i="4" s="1"/>
  <c r="EQ104" i="4" a="1"/>
  <c r="EQ104" i="4" s="1"/>
  <c r="DN104" i="4" a="1"/>
  <c r="DN104" i="4" s="1"/>
  <c r="EU104" i="4" a="1"/>
  <c r="EU104" i="4" s="1"/>
  <c r="DR104" i="4" a="1"/>
  <c r="DR104" i="4" s="1"/>
  <c r="EP104" i="4" a="1"/>
  <c r="EP104" i="4" s="1"/>
  <c r="DM104" i="4" a="1"/>
  <c r="DM104" i="4" s="1"/>
  <c r="EF136" i="4" a="1"/>
  <c r="EF136" i="4" s="1"/>
  <c r="DU136" i="4" a="1"/>
  <c r="DU136" i="4" s="1"/>
  <c r="DI136" i="4" a="1"/>
  <c r="DI136" i="4" s="1"/>
  <c r="EL136" i="4" a="1"/>
  <c r="EL136" i="4" s="1"/>
  <c r="EU99" i="4" a="1"/>
  <c r="EU99" i="4" s="1"/>
  <c r="N47" i="50" s="1"/>
  <c r="DR99" i="4" a="1"/>
  <c r="DR99" i="4" s="1"/>
  <c r="DV99" i="4" a="1"/>
  <c r="DV99" i="4" s="1"/>
  <c r="EN99" i="4" a="1"/>
  <c r="EN99" i="4" s="1"/>
  <c r="G47" i="50" s="1"/>
  <c r="DK99" i="4" a="1"/>
  <c r="DK99" i="4" s="1"/>
  <c r="DO103" i="4" a="1"/>
  <c r="DO103" i="4" s="1"/>
  <c r="ER103" i="4" a="1"/>
  <c r="ER103" i="4" s="1"/>
  <c r="DI103" i="4" a="1"/>
  <c r="DI103" i="4" s="1"/>
  <c r="EL103" i="4" a="1"/>
  <c r="EL103" i="4" s="1"/>
  <c r="ES114" i="4" a="1"/>
  <c r="ES114" i="4" s="1"/>
  <c r="L53" i="50" s="1"/>
  <c r="DP114" i="4" a="1"/>
  <c r="DP114" i="4" s="1"/>
  <c r="EO114" i="4" a="1"/>
  <c r="EO114" i="4" s="1"/>
  <c r="DL114" i="4" a="1"/>
  <c r="DL114" i="4" s="1"/>
  <c r="F61" i="50"/>
  <c r="DZ106" i="4" a="1"/>
  <c r="DZ106" i="4" s="1"/>
  <c r="EF106" i="4" a="1"/>
  <c r="EF106" i="4" s="1"/>
  <c r="Q43" i="50"/>
  <c r="Q27" i="50"/>
  <c r="DJ139" i="4" a="1"/>
  <c r="DJ139" i="4" s="1"/>
  <c r="EM139" i="4" a="1"/>
  <c r="EM139" i="4" s="1"/>
  <c r="EA139" i="4" a="1"/>
  <c r="EA139" i="4" s="1"/>
  <c r="EW139" i="4" a="1"/>
  <c r="EW139" i="4" s="1"/>
  <c r="DT139" i="4" a="1"/>
  <c r="DT139" i="4" s="1"/>
  <c r="EG50" i="4"/>
  <c r="Q40" i="50"/>
  <c r="EG120" i="4"/>
  <c r="DV137" i="4" a="1"/>
  <c r="DV137" i="4" s="1"/>
  <c r="ED137" i="4" a="1"/>
  <c r="ED137" i="4" s="1"/>
  <c r="EC137" i="4" a="1"/>
  <c r="EC137" i="4" s="1"/>
  <c r="EQ115" i="4" a="1"/>
  <c r="EQ115" i="4" s="1"/>
  <c r="DN115" i="4" a="1"/>
  <c r="DN115" i="4" s="1"/>
  <c r="DV115" i="4" a="1"/>
  <c r="DV115" i="4" s="1"/>
  <c r="DQ105" i="4" a="1"/>
  <c r="DQ105" i="4" s="1"/>
  <c r="ET105" i="4" a="1"/>
  <c r="ET105" i="4" s="1"/>
  <c r="DV105" i="4" a="1"/>
  <c r="DV105" i="4" s="1"/>
  <c r="EF105" i="4" a="1"/>
  <c r="EF105" i="4" s="1"/>
  <c r="DI105" i="4" a="1"/>
  <c r="DI105" i="4" s="1"/>
  <c r="EL105" i="4" a="1"/>
  <c r="EL105" i="4" s="1"/>
  <c r="J55" i="50"/>
  <c r="EE138" i="4" a="1"/>
  <c r="EE138" i="4" s="1"/>
  <c r="DW138" i="4" a="1"/>
  <c r="DW138" i="4" s="1"/>
  <c r="DV138" i="4" a="1"/>
  <c r="DV138" i="4" s="1"/>
  <c r="ER138" i="4" a="1"/>
  <c r="ER138" i="4" s="1"/>
  <c r="DO138" i="4" a="1"/>
  <c r="DO138" i="4" s="1"/>
  <c r="EG90" i="4"/>
  <c r="EE112" i="4" a="1"/>
  <c r="EE112" i="4" s="1"/>
  <c r="EP112" i="4" a="1"/>
  <c r="EP112" i="4" s="1"/>
  <c r="I51" i="50" s="1"/>
  <c r="DM112" i="4" a="1"/>
  <c r="DM112" i="4" s="1"/>
  <c r="DZ112" i="4" a="1"/>
  <c r="DZ112" i="4" s="1"/>
  <c r="ET112" i="4" a="1"/>
  <c r="ET112" i="4" s="1"/>
  <c r="M51" i="50" s="1"/>
  <c r="DQ112" i="4" a="1"/>
  <c r="DQ112" i="4" s="1"/>
  <c r="EG89" i="4"/>
  <c r="DI142" i="4" a="1"/>
  <c r="DI142" i="4" s="1"/>
  <c r="EL142" i="4" a="1"/>
  <c r="EL142" i="4" s="1"/>
  <c r="EV142" i="4" a="1"/>
  <c r="EV142" i="4" s="1"/>
  <c r="DS142" i="4" a="1"/>
  <c r="DS142" i="4" s="1"/>
  <c r="EO142" i="4" a="1"/>
  <c r="EO142" i="4" s="1"/>
  <c r="DL142" i="4" a="1"/>
  <c r="DL142" i="4" s="1"/>
  <c r="EG96" i="4"/>
  <c r="P37" i="50"/>
  <c r="EG118" i="4"/>
  <c r="F36" i="50"/>
  <c r="EG75" i="4"/>
  <c r="H15" i="50"/>
  <c r="EG101" i="4"/>
  <c r="J60" i="50"/>
  <c r="M60" i="50"/>
  <c r="Q58" i="50"/>
  <c r="EO108" i="4" a="1"/>
  <c r="EO108" i="4" s="1"/>
  <c r="DL108" i="4" a="1"/>
  <c r="DL108" i="4" s="1"/>
  <c r="ER108" i="4" a="1"/>
  <c r="ER108" i="4" s="1"/>
  <c r="DO108" i="4" a="1"/>
  <c r="DO108" i="4" s="1"/>
  <c r="EA108" i="4" a="1"/>
  <c r="EA108" i="4" s="1"/>
  <c r="EC141" i="4" a="1"/>
  <c r="EC141" i="4" s="1"/>
  <c r="DR141" i="4" a="1"/>
  <c r="DR141" i="4" s="1"/>
  <c r="EU141" i="4" a="1"/>
  <c r="EU141" i="4" s="1"/>
  <c r="DY113" i="4" a="1"/>
  <c r="DY113" i="4" s="1"/>
  <c r="EM113" i="4" a="1"/>
  <c r="EM113" i="4" s="1"/>
  <c r="F52" i="50" s="1"/>
  <c r="DJ113" i="4" a="1"/>
  <c r="DJ113" i="4" s="1"/>
  <c r="DV113" i="4" a="1"/>
  <c r="DV113" i="4" s="1"/>
  <c r="ER140" i="4" a="1"/>
  <c r="ER140" i="4" s="1"/>
  <c r="DO140" i="4" a="1"/>
  <c r="DO140" i="4" s="1"/>
  <c r="DT140" i="4" a="1"/>
  <c r="DT140" i="4" s="1"/>
  <c r="EW140" i="4" a="1"/>
  <c r="EW140" i="4" s="1"/>
  <c r="DV87" i="4" a="1"/>
  <c r="DV87" i="4" s="1"/>
  <c r="DS87" i="4" a="1"/>
  <c r="DS87" i="4" s="1"/>
  <c r="EV87" i="4" a="1"/>
  <c r="EV87" i="4" s="1"/>
  <c r="O39" i="50" s="1"/>
  <c r="EO87" i="4" a="1"/>
  <c r="EO87" i="4" s="1"/>
  <c r="H39" i="50" s="1"/>
  <c r="DL87" i="4" a="1"/>
  <c r="DL87" i="4" s="1"/>
  <c r="DM100" i="4" a="1"/>
  <c r="DM100" i="4" s="1"/>
  <c r="EP100" i="4" a="1"/>
  <c r="EP100" i="4" s="1"/>
  <c r="I48" i="50" s="1"/>
  <c r="EB100" i="4" a="1"/>
  <c r="EB100" i="4" s="1"/>
  <c r="DL100" i="4" a="1"/>
  <c r="DL100" i="4" s="1"/>
  <c r="EO100" i="4" a="1"/>
  <c r="EO100" i="4" s="1"/>
  <c r="H48" i="50" s="1"/>
  <c r="ES143" i="4" a="1"/>
  <c r="ES143" i="4" s="1"/>
  <c r="DP143" i="4" a="1"/>
  <c r="DP143" i="4" s="1"/>
  <c r="DS143" i="4" a="1"/>
  <c r="DS143" i="4" s="1"/>
  <c r="EV143" i="4" a="1"/>
  <c r="EV143" i="4" s="1"/>
  <c r="EF143" i="4" a="1"/>
  <c r="EF143" i="4" s="1"/>
  <c r="EG121" i="4"/>
  <c r="ED110" i="4" a="1"/>
  <c r="ED110" i="4" s="1"/>
  <c r="EA110" i="4" a="1"/>
  <c r="EA110" i="4" s="1"/>
  <c r="EO110" i="4" a="1"/>
  <c r="EO110" i="4" s="1"/>
  <c r="DL110" i="4" a="1"/>
  <c r="DL110" i="4" s="1"/>
  <c r="J61" i="50"/>
  <c r="EG107" i="4"/>
  <c r="EG13" i="4"/>
  <c r="N36" i="50"/>
  <c r="DZ104" i="4" a="1"/>
  <c r="DZ104" i="4" s="1"/>
  <c r="DO104" i="4" a="1"/>
  <c r="DO104" i="4" s="1"/>
  <c r="ER104" i="4" a="1"/>
  <c r="ER104" i="4" s="1"/>
  <c r="DK104" i="4" a="1"/>
  <c r="DK104" i="4" s="1"/>
  <c r="EN104" i="4" a="1"/>
  <c r="EN104" i="4" s="1"/>
  <c r="EG129" i="4"/>
  <c r="EC136" i="4" a="1"/>
  <c r="EC136" i="4" s="1"/>
  <c r="EO136" i="4" a="1"/>
  <c r="EO136" i="4" s="1"/>
  <c r="DL136" i="4" a="1"/>
  <c r="DL136" i="4" s="1"/>
  <c r="DT136" i="4" a="1"/>
  <c r="DT136" i="4" s="1"/>
  <c r="EW136" i="4" a="1"/>
  <c r="EW136" i="4" s="1"/>
  <c r="EG42" i="4"/>
  <c r="EB99" i="4" a="1"/>
  <c r="EB99" i="4" s="1"/>
  <c r="DO99" i="4" a="1"/>
  <c r="DO99" i="4" s="1"/>
  <c r="ER99" i="4" a="1"/>
  <c r="ER99" i="4" s="1"/>
  <c r="K47" i="50" s="1"/>
  <c r="DY103" i="4" a="1"/>
  <c r="DY103" i="4" s="1"/>
  <c r="EU103" i="4" a="1"/>
  <c r="EU103" i="4" s="1"/>
  <c r="DR103" i="4" a="1"/>
  <c r="DR103" i="4" s="1"/>
  <c r="ED103" i="4" a="1"/>
  <c r="ED103" i="4" s="1"/>
  <c r="EW114" i="4" a="1"/>
  <c r="EW114" i="4" s="1"/>
  <c r="P53" i="50" s="1"/>
  <c r="DT114" i="4" a="1"/>
  <c r="DT114" i="4" s="1"/>
  <c r="DV114" i="4" a="1"/>
  <c r="DV114" i="4" s="1"/>
  <c r="EB114" i="4" a="1"/>
  <c r="EB114" i="4" s="1"/>
  <c r="DO106" i="4" a="1"/>
  <c r="DO106" i="4" s="1"/>
  <c r="ER106" i="4" a="1"/>
  <c r="ER106" i="4" s="1"/>
  <c r="ED106" i="4" a="1"/>
  <c r="ED106" i="4" s="1"/>
  <c r="DU106" i="4" a="1"/>
  <c r="DU106" i="4" s="1"/>
  <c r="EG62" i="4"/>
  <c r="P61" i="50"/>
  <c r="DU139" i="4" a="1"/>
  <c r="DU139" i="4" s="1"/>
  <c r="DX139" i="4" a="1"/>
  <c r="DX139" i="4" s="1"/>
  <c r="EG88" i="4"/>
  <c r="DO137" i="4" a="1"/>
  <c r="DO137" i="4" s="1"/>
  <c r="ER137" i="4" a="1"/>
  <c r="ER137" i="4" s="1"/>
  <c r="EQ137" i="4" a="1"/>
  <c r="EQ137" i="4" s="1"/>
  <c r="DN137" i="4" a="1"/>
  <c r="DN137" i="4" s="1"/>
  <c r="EA137" i="4" a="1"/>
  <c r="EA137" i="4" s="1"/>
  <c r="DO115" i="4" a="1"/>
  <c r="DO115" i="4" s="1"/>
  <c r="ER115" i="4" a="1"/>
  <c r="ER115" i="4" s="1"/>
  <c r="DU115" i="4" a="1"/>
  <c r="DU115" i="4" s="1"/>
  <c r="EP115" i="4" a="1"/>
  <c r="EP115" i="4" s="1"/>
  <c r="DM115" i="4" a="1"/>
  <c r="DM115" i="4" s="1"/>
  <c r="DS105" i="4" a="1"/>
  <c r="DS105" i="4" s="1"/>
  <c r="EV105" i="4" a="1"/>
  <c r="EV105" i="4" s="1"/>
  <c r="DK105" i="4" a="1"/>
  <c r="DK105" i="4" s="1"/>
  <c r="EN105" i="4" a="1"/>
  <c r="EN105" i="4" s="1"/>
  <c r="DW105" i="4" a="1"/>
  <c r="DW105" i="4" s="1"/>
  <c r="O36" i="50"/>
  <c r="DN138" i="4" a="1"/>
  <c r="DN138" i="4" s="1"/>
  <c r="EQ138" i="4" a="1"/>
  <c r="EQ138" i="4" s="1"/>
  <c r="DU138" i="4" a="1"/>
  <c r="DU138" i="4" s="1"/>
  <c r="DY138" i="4" a="1"/>
  <c r="DY138" i="4" s="1"/>
  <c r="DS138" i="4" a="1"/>
  <c r="DS138" i="4" s="1"/>
  <c r="EV138" i="4" a="1"/>
  <c r="EV138" i="4" s="1"/>
  <c r="E42" i="50"/>
  <c r="DV112" i="4" a="1"/>
  <c r="DV112" i="4" s="1"/>
  <c r="EM112" i="4" a="1"/>
  <c r="EM112" i="4" s="1"/>
  <c r="F51" i="50" s="1"/>
  <c r="DJ112" i="4" a="1"/>
  <c r="DJ112" i="4" s="1"/>
  <c r="G46" i="50"/>
  <c r="Q41" i="50"/>
  <c r="I15" i="50"/>
  <c r="DX142" i="4" a="1"/>
  <c r="DX142" i="4" s="1"/>
  <c r="ER142" i="4" a="1"/>
  <c r="ER142" i="4" s="1"/>
  <c r="DO142" i="4" a="1"/>
  <c r="DO142" i="4" s="1"/>
  <c r="DU142" i="4" a="1"/>
  <c r="DU142" i="4" s="1"/>
  <c r="I46" i="50"/>
  <c r="EG9" i="4"/>
  <c r="O60" i="50"/>
  <c r="EG109" i="4"/>
  <c r="DT108" i="4" a="1"/>
  <c r="DT108" i="4" s="1"/>
  <c r="EW108" i="4" a="1"/>
  <c r="EW108" i="4" s="1"/>
  <c r="DP140" i="4" a="1"/>
  <c r="DP140" i="4" s="1"/>
  <c r="ES140" i="4" a="1"/>
  <c r="ES140" i="4" s="1"/>
  <c r="DU87" i="4" a="1"/>
  <c r="DU87" i="4" s="1"/>
  <c r="EC143" i="4" a="1"/>
  <c r="EC143" i="4" s="1"/>
  <c r="EP110" i="4" a="1"/>
  <c r="EP110" i="4" s="1"/>
  <c r="DM110" i="4" a="1"/>
  <c r="DM110" i="4" s="1"/>
  <c r="ES108" i="4" a="1"/>
  <c r="ES108" i="4" s="1"/>
  <c r="DP108" i="4" a="1"/>
  <c r="DP108" i="4" s="1"/>
  <c r="ED108" i="4" a="1"/>
  <c r="ED108" i="4" s="1"/>
  <c r="EF108" i="4" a="1"/>
  <c r="EF108" i="4" s="1"/>
  <c r="EC108" i="4" a="1"/>
  <c r="EC108" i="4" s="1"/>
  <c r="EB141" i="4" a="1"/>
  <c r="EB141" i="4" s="1"/>
  <c r="DX141" i="4" a="1"/>
  <c r="DX141" i="4" s="1"/>
  <c r="DU113" i="4" a="1"/>
  <c r="DU113" i="4" s="1"/>
  <c r="EG37" i="4"/>
  <c r="DL140" i="4" a="1"/>
  <c r="DL140" i="4" s="1"/>
  <c r="EO140" i="4" a="1"/>
  <c r="EO140" i="4" s="1"/>
  <c r="DS140" i="4" a="1"/>
  <c r="DS140" i="4" s="1"/>
  <c r="EV140" i="4" a="1"/>
  <c r="EV140" i="4" s="1"/>
  <c r="DW140" i="4" a="1"/>
  <c r="DW140" i="4" s="1"/>
  <c r="EF87" i="4" a="1"/>
  <c r="EF87" i="4" s="1"/>
  <c r="DZ87" i="4" a="1"/>
  <c r="DZ87" i="4" s="1"/>
  <c r="EQ100" i="4" a="1"/>
  <c r="EQ100" i="4" s="1"/>
  <c r="J48" i="50" s="1"/>
  <c r="DN100" i="4" a="1"/>
  <c r="DN100" i="4" s="1"/>
  <c r="EW100" i="4" a="1"/>
  <c r="EW100" i="4" s="1"/>
  <c r="P48" i="50" s="1"/>
  <c r="DT100" i="4" a="1"/>
  <c r="DT100" i="4" s="1"/>
  <c r="ES100" i="4" a="1"/>
  <c r="ES100" i="4" s="1"/>
  <c r="L48" i="50" s="1"/>
  <c r="DP100" i="4" a="1"/>
  <c r="DP100" i="4" s="1"/>
  <c r="DU143" i="4" a="1"/>
  <c r="DU143" i="4" s="1"/>
  <c r="DQ143" i="4" a="1"/>
  <c r="DQ143" i="4" s="1"/>
  <c r="ET143" i="4" a="1"/>
  <c r="ET143" i="4" s="1"/>
  <c r="EB143" i="4" a="1"/>
  <c r="EB143" i="4" s="1"/>
  <c r="EW110" i="4" a="1"/>
  <c r="EW110" i="4" s="1"/>
  <c r="DT110" i="4" a="1"/>
  <c r="DT110" i="4" s="1"/>
  <c r="DW110" i="4" a="1"/>
  <c r="DW110" i="4" s="1"/>
  <c r="EL110" i="4" a="1"/>
  <c r="EL110" i="4" s="1"/>
  <c r="DI110" i="4" a="1"/>
  <c r="DI110" i="4" s="1"/>
  <c r="G37" i="50"/>
  <c r="Q5" i="50"/>
  <c r="ET104" i="4" a="1"/>
  <c r="ET104" i="4" s="1"/>
  <c r="DQ104" i="4" a="1"/>
  <c r="DQ104" i="4" s="1"/>
  <c r="DJ104" i="4" a="1"/>
  <c r="DJ104" i="4" s="1"/>
  <c r="EM104" i="4" a="1"/>
  <c r="EM104" i="4" s="1"/>
  <c r="DV104" i="4" a="1"/>
  <c r="DV104" i="4" s="1"/>
  <c r="DS104" i="4" a="1"/>
  <c r="DS104" i="4" s="1"/>
  <c r="EV104" i="4" a="1"/>
  <c r="EV104" i="4" s="1"/>
  <c r="DX136" i="4" a="1"/>
  <c r="DX136" i="4" s="1"/>
  <c r="ED136" i="4" a="1"/>
  <c r="ED136" i="4" s="1"/>
  <c r="DY136" i="4" a="1"/>
  <c r="DY136" i="4" s="1"/>
  <c r="EQ136" i="4" a="1"/>
  <c r="EQ136" i="4" s="1"/>
  <c r="DN136" i="4" a="1"/>
  <c r="DN136" i="4" s="1"/>
  <c r="EC99" i="4" a="1"/>
  <c r="EC99" i="4" s="1"/>
  <c r="DP99" i="4" a="1"/>
  <c r="DP99" i="4" s="1"/>
  <c r="ES99" i="4" a="1"/>
  <c r="ES99" i="4" s="1"/>
  <c r="L47" i="50" s="1"/>
  <c r="DS99" i="4" a="1"/>
  <c r="DS99" i="4" s="1"/>
  <c r="EV99" i="4" a="1"/>
  <c r="EV99" i="4" s="1"/>
  <c r="O47" i="50" s="1"/>
  <c r="DV103" i="4" a="1"/>
  <c r="DV103" i="4" s="1"/>
  <c r="EQ103" i="4" a="1"/>
  <c r="EQ103" i="4" s="1"/>
  <c r="DN103" i="4" a="1"/>
  <c r="DN103" i="4" s="1"/>
  <c r="DQ103" i="4" a="1"/>
  <c r="DQ103" i="4" s="1"/>
  <c r="ET103" i="4" a="1"/>
  <c r="ET103" i="4" s="1"/>
  <c r="EG102" i="4"/>
  <c r="DJ114" i="4" a="1"/>
  <c r="DJ114" i="4" s="1"/>
  <c r="EM114" i="4" a="1"/>
  <c r="EM114" i="4" s="1"/>
  <c r="F53" i="50" s="1"/>
  <c r="EF114" i="4" a="1"/>
  <c r="EF114" i="4" s="1"/>
  <c r="EV114" i="4" a="1"/>
  <c r="EV114" i="4" s="1"/>
  <c r="O53" i="50" s="1"/>
  <c r="DS114" i="4" a="1"/>
  <c r="DS114" i="4" s="1"/>
  <c r="EL114" i="4" a="1"/>
  <c r="EL114" i="4" s="1"/>
  <c r="DI114" i="4" a="1"/>
  <c r="DI114" i="4" s="1"/>
  <c r="EG22" i="4"/>
  <c r="EN106" i="4" a="1"/>
  <c r="EN106" i="4" s="1"/>
  <c r="DK106" i="4" a="1"/>
  <c r="DK106" i="4" s="1"/>
  <c r="DV106" i="4" a="1"/>
  <c r="DV106" i="4" s="1"/>
  <c r="DS106" i="4" a="1"/>
  <c r="DS106" i="4" s="1"/>
  <c r="EV106" i="4" a="1"/>
  <c r="EV106" i="4" s="1"/>
  <c r="EA106" i="4" a="1"/>
  <c r="EA106" i="4" s="1"/>
  <c r="EG127" i="4"/>
  <c r="EG35" i="4"/>
  <c r="E61" i="50"/>
  <c r="ER139" i="4" a="1"/>
  <c r="ER139" i="4" s="1"/>
  <c r="DO139" i="4" a="1"/>
  <c r="DO139" i="4" s="1"/>
  <c r="DS139" i="4" a="1"/>
  <c r="DS139" i="4" s="1"/>
  <c r="EV139" i="4" a="1"/>
  <c r="EV139" i="4" s="1"/>
  <c r="ED139" i="4" a="1"/>
  <c r="ED139" i="4" s="1"/>
  <c r="EG91" i="4"/>
  <c r="DU137" i="4" a="1"/>
  <c r="DU137" i="4" s="1"/>
  <c r="EV137" i="4" a="1"/>
  <c r="EV137" i="4" s="1"/>
  <c r="DS137" i="4" a="1"/>
  <c r="DS137" i="4" s="1"/>
  <c r="EF137" i="4" a="1"/>
  <c r="EF137" i="4" s="1"/>
  <c r="EE115" i="4" a="1"/>
  <c r="EE115" i="4" s="1"/>
  <c r="DK115" i="4" a="1"/>
  <c r="DK115" i="4" s="1"/>
  <c r="EN115" i="4" a="1"/>
  <c r="EN115" i="4" s="1"/>
  <c r="DQ115" i="4" a="1"/>
  <c r="DQ115" i="4" s="1"/>
  <c r="ET115" i="4" a="1"/>
  <c r="ET115" i="4" s="1"/>
  <c r="DI115" i="4" a="1"/>
  <c r="DI115" i="4" s="1"/>
  <c r="EL115" i="4" a="1"/>
  <c r="EL115" i="4" s="1"/>
  <c r="EA105" i="4" a="1"/>
  <c r="EA105" i="4" s="1"/>
  <c r="EQ105" i="4" a="1"/>
  <c r="EQ105" i="4" s="1"/>
  <c r="DN105" i="4" a="1"/>
  <c r="DN105" i="4" s="1"/>
  <c r="DX105" i="4" a="1"/>
  <c r="DX105" i="4" s="1"/>
  <c r="DR138" i="4" a="1"/>
  <c r="DR138" i="4" s="1"/>
  <c r="EU138" i="4" a="1"/>
  <c r="EU138" i="4" s="1"/>
  <c r="EB138" i="4" a="1"/>
  <c r="EB138" i="4" s="1"/>
  <c r="DZ138" i="4" a="1"/>
  <c r="DZ138" i="4" s="1"/>
  <c r="DX138" i="4" a="1"/>
  <c r="DX138" i="4" s="1"/>
  <c r="N45" i="50"/>
  <c r="DN112" i="4" a="1"/>
  <c r="DN112" i="4" s="1"/>
  <c r="EQ112" i="4" a="1"/>
  <c r="EQ112" i="4" s="1"/>
  <c r="J51" i="50" s="1"/>
  <c r="DS112" i="4" a="1"/>
  <c r="DS112" i="4" s="1"/>
  <c r="EV112" i="4" a="1"/>
  <c r="EV112" i="4" s="1"/>
  <c r="O51" i="50" s="1"/>
  <c r="ER112" i="4" a="1"/>
  <c r="ER112" i="4" s="1"/>
  <c r="K51" i="50" s="1"/>
  <c r="DO112" i="4" a="1"/>
  <c r="DO112" i="4" s="1"/>
  <c r="O37" i="50"/>
  <c r="J42" i="50"/>
  <c r="DM142" i="4" a="1"/>
  <c r="DM142" i="4" s="1"/>
  <c r="EP142" i="4" a="1"/>
  <c r="EP142" i="4" s="1"/>
  <c r="DT142" i="4" a="1"/>
  <c r="DT142" i="4" s="1"/>
  <c r="EW142" i="4" a="1"/>
  <c r="EW142" i="4" s="1"/>
  <c r="EE142" i="4" a="1"/>
  <c r="EE142" i="4" s="1"/>
  <c r="DR142" i="4" a="1"/>
  <c r="DR142" i="4" s="1"/>
  <c r="EU142" i="4" a="1"/>
  <c r="EU142" i="4" s="1"/>
  <c r="K61" i="50"/>
  <c r="N37" i="50"/>
  <c r="EG128" i="4"/>
  <c r="Q3" i="50" l="1"/>
  <c r="P14" i="50"/>
  <c r="H53" i="50"/>
  <c r="H14" i="50"/>
  <c r="O14" i="50"/>
  <c r="E14" i="50"/>
  <c r="DU2" i="4"/>
  <c r="J14" i="50"/>
  <c r="DK2" i="4"/>
  <c r="N50" i="50"/>
  <c r="P50" i="50"/>
  <c r="M14" i="50"/>
  <c r="Q9" i="50"/>
  <c r="I50" i="50"/>
  <c r="EC2" i="4"/>
  <c r="K14" i="50"/>
  <c r="EB2" i="4"/>
  <c r="O50" i="50"/>
  <c r="E50" i="50"/>
  <c r="EE2" i="4"/>
  <c r="J62" i="50"/>
  <c r="K50" i="50"/>
  <c r="Q61" i="50"/>
  <c r="H50" i="50"/>
  <c r="Q60" i="50"/>
  <c r="DR2" i="4"/>
  <c r="F50" i="50"/>
  <c r="DX2" i="4"/>
  <c r="DJ2" i="4"/>
  <c r="EF2" i="4"/>
  <c r="DP2" i="4"/>
  <c r="DQ2" i="4"/>
  <c r="L50" i="50"/>
  <c r="EG34" i="4"/>
  <c r="DS2" i="4"/>
  <c r="DM2" i="4"/>
  <c r="DW2" i="4"/>
  <c r="EA2" i="4"/>
  <c r="DV2" i="4"/>
  <c r="H62" i="50"/>
  <c r="M50" i="50"/>
  <c r="DY2" i="4"/>
  <c r="J50" i="50"/>
  <c r="EG30" i="4"/>
  <c r="ED2" i="4"/>
  <c r="DN2" i="4"/>
  <c r="G50" i="50"/>
  <c r="DZ2" i="4"/>
  <c r="DO2" i="4"/>
  <c r="DL2" i="4"/>
  <c r="DT2" i="4"/>
  <c r="EG105" i="4"/>
  <c r="EG110" i="4"/>
  <c r="Q42" i="50"/>
  <c r="P62" i="50"/>
  <c r="F62" i="50"/>
  <c r="K53" i="50"/>
  <c r="EG108" i="4"/>
  <c r="EG87" i="4"/>
  <c r="EG140" i="4"/>
  <c r="Q36" i="50"/>
  <c r="J53" i="50"/>
  <c r="G62" i="50"/>
  <c r="Q52" i="50"/>
  <c r="Q39" i="50"/>
  <c r="I62" i="50"/>
  <c r="EG139" i="4"/>
  <c r="EG113" i="4"/>
  <c r="Q45" i="50"/>
  <c r="EG137" i="4"/>
  <c r="EG138" i="4"/>
  <c r="EG104" i="4"/>
  <c r="Q15" i="50"/>
  <c r="EG99" i="4"/>
  <c r="M62" i="50"/>
  <c r="EG141" i="4"/>
  <c r="EG115" i="4"/>
  <c r="EG142" i="4"/>
  <c r="EG103" i="4"/>
  <c r="E62" i="50"/>
  <c r="O62" i="50"/>
  <c r="Q47" i="50"/>
  <c r="EG143" i="4"/>
  <c r="EG136" i="4"/>
  <c r="Q48" i="50"/>
  <c r="Q55" i="50"/>
  <c r="M53" i="50"/>
  <c r="DI2" i="4"/>
  <c r="I53" i="50"/>
  <c r="EG100" i="4"/>
  <c r="Q46" i="50"/>
  <c r="EG106" i="4"/>
  <c r="K62" i="50"/>
  <c r="N53" i="50"/>
  <c r="EG114" i="4"/>
  <c r="E53" i="50"/>
  <c r="Q51" i="50"/>
  <c r="N62" i="50"/>
  <c r="EG112" i="4"/>
  <c r="Q37" i="50"/>
  <c r="L62" i="50"/>
  <c r="G53" i="50"/>
  <c r="Q14" i="50" l="1"/>
  <c r="Q50" i="50"/>
  <c r="Q53" i="50"/>
  <c r="T3" i="50"/>
  <c r="Q62"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tc={C6B209A8-27D0-48FA-ADF9-0A4B97B5131E}</author>
    <author>Tyler Morgan</author>
    <author>tc={7F6EDB10-A253-4E28-AF2E-BDC000019BB1}</author>
    <author>tc={68A04E2B-F31F-43B7-8083-520E95288530}</author>
    <author>tc={BC154DC8-BA0B-6842-89F9-E32C8B40A93C}</author>
    <author>tc={E09EDBFA-D185-4CE7-B1D7-F43EE4582545}</author>
    <author>tc={A75B509A-17F6-7D41-8D9F-4FEB7121D7F4}</author>
    <author>tc={70D239DC-5D26-0648-8FD1-2EF30D8BB876}</author>
    <author>tc={8287171A-63B1-4DD0-A089-1CCDF0F55970}</author>
    <author>tc={A1C89AAD-4591-4016-BCDA-2D126F92BE07}</author>
    <author>tc={F186603C-833E-470C-A9EF-548D64564C7A}</author>
    <author>tc={71C12B86-6933-4308-A59A-28FDD18385CA}</author>
    <author>tc={372CC4BC-6E21-4B0E-9FE9-2F200B815FFF}</author>
    <author>tc={BA7BB9F2-31EA-40CD-B551-FA1A4EF612A4}</author>
    <author>tc={5FFC360F-0085-41AA-96B3-D8DB90A20B32}</author>
    <author>tc={1C2C4D73-AA6B-4791-9E47-63F9B2431D56}</author>
    <author>tc={27043200-467C-4BA6-8E73-32A1EAEF62D6}</author>
    <author>tc={4EDCB7FA-5F3F-4FE6-BC16-67FECB0F5FAB}</author>
    <author>tc={80E3B026-4C94-4AA0-A066-91F1C9D924F5}</author>
    <author>tc={F7AC6ED7-6E5B-4E23-9E4D-0057095AC00D}</author>
    <author>tc={54377807-FFD0-4A42-8D39-547C2C15161E}</author>
    <author>tc={1A365BF4-53D1-436F-8498-53C65AC36806}</author>
    <author>tc={3220BF19-6D13-4C5B-BE01-2548B2235D32}</author>
    <author>tc={1C19F254-F235-4F5C-A136-A6E5F5E71611}</author>
    <author>tc={08AF8D54-E3D1-A443-AE66-65E3F01EB456}</author>
    <author>tc={F959AEC8-6641-2F4F-842D-D67D47696338}</author>
    <author>tc={AAC93E45-C25B-4E10-AFA4-CBF64EB6CCBC}</author>
    <author>tc={08F88476-FB7F-47F8-8730-09ADF61AF2DF}</author>
    <author>tc={3430F675-313F-4125-B37C-D283E1EA2EA3}</author>
    <author>tc={EB7B18C4-78F3-41AE-AEC5-C9BC37ADA2EF}</author>
    <author>tc={051E0CA0-1E58-47F9-A596-93AC9C11EF40}</author>
    <author>tc={B1CA3572-55BD-4728-B32F-2C0EB574710B}</author>
    <author>tc={3DC02B03-6DB7-44E9-8E35-2F776AD3BA2A}</author>
    <author>tc={431FC979-371D-49B6-95C3-5A0BB4DD7259}</author>
  </authors>
  <commentList>
    <comment ref="AR2" authorId="0" shapeId="0" xr:uid="{C6B209A8-27D0-48FA-ADF9-0A4B97B5131E}">
      <text>
        <t>[Threaded comment]
Your version of Excel allows you to read this threaded comment; however, any edits to it will get removed if the file is opened in a newer version of Excel. Learn more: https://go.microsoft.com/fwlink/?linkid=870924
Comment:
    Seeding to Harvest</t>
      </text>
    </comment>
    <comment ref="AS2" authorId="1" shapeId="0" xr:uid="{FCE363FF-4835-49BB-978E-28F3C8BA29AD}">
      <text>
        <r>
          <rPr>
            <b/>
            <sz val="9"/>
            <color rgb="FF000000"/>
            <rFont val="Tahoma"/>
            <family val="2"/>
          </rPr>
          <t>Tyler Morgan:</t>
        </r>
        <r>
          <rPr>
            <sz val="9"/>
            <color rgb="FF000000"/>
            <rFont val="Tahoma"/>
            <family val="2"/>
          </rPr>
          <t xml:space="preserve">
</t>
        </r>
        <r>
          <rPr>
            <sz val="9"/>
            <color rgb="FF000000"/>
            <rFont val="Tahoma"/>
            <family val="2"/>
          </rPr>
          <t xml:space="preserve">TP for STH = DTM + DTG + DIC
</t>
        </r>
        <r>
          <rPr>
            <sz val="9"/>
            <color rgb="FF000000"/>
            <rFont val="Tahoma"/>
            <family val="2"/>
          </rPr>
          <t xml:space="preserve">DS for STH = DTM + DTG
</t>
        </r>
        <r>
          <rPr>
            <sz val="9"/>
            <color rgb="FF000000"/>
            <rFont val="Tahoma"/>
            <family val="2"/>
          </rPr>
          <t>X for DTM = STM</t>
        </r>
      </text>
    </comment>
    <comment ref="BU2" authorId="2" shapeId="0" xr:uid="{7F6EDB10-A253-4E28-AF2E-BDC000019BB1}">
      <text>
        <t>[Threaded comment]
Your version of Excel allows you to read this threaded comment; however, any edits to it will get removed if the file is opened in a newer version of Excel. Learn more: https://go.microsoft.com/fwlink/?linkid=870924
Comment:
    195 day growing season. 64 beds 100' beds per acre.</t>
      </text>
    </comment>
    <comment ref="BZ2" authorId="3" shapeId="0" xr:uid="{68A04E2B-F31F-43B7-8083-520E95288530}">
      <text>
        <t>[Threaded comment]
Your version of Excel allows you to read this threaded comment; however, any edits to it will get removed if the file is opened in a newer version of Excel. Learn more: https://go.microsoft.com/fwlink/?linkid=870924
Comment:
    In weeks</t>
      </text>
    </comment>
    <comment ref="CQ2" authorId="4" shapeId="0" xr:uid="{BC154DC8-BA0B-6842-89F9-E32C8B40A93C}">
      <text>
        <t>[Threaded comment]
Your version of Excel allows you to read this threaded comment; however, any edits to it will get removed if the file is opened in a newer version of Excel. Learn more: https://go.microsoft.com/fwlink/?linkid=870924
Comment:
    This is likely a factor of the attractiveness of the crop, the perishability, the number of sales events, and the total amount of revenue that has to be sold.</t>
      </text>
    </comment>
    <comment ref="CR2" authorId="5" shapeId="0" xr:uid="{E09EDBFA-D185-4CE7-B1D7-F43EE4582545}">
      <text>
        <t>[Threaded comment]
Your version of Excel allows you to read this threaded comment; however, any edits to it will get removed if the file is opened in a newer version of Excel. Learn more: https://go.microsoft.com/fwlink/?linkid=870924
Comment:
    Includes transport</t>
      </text>
    </comment>
    <comment ref="DP2" authorId="6" shapeId="0" xr:uid="{A75B509A-17F6-7D41-8D9F-4FEB7121D7F4}">
      <text>
        <t>[Threaded comment]
Your version of Excel allows you to read this threaded comment; however, any edits to it will get removed if the file is opened in a newer version of Excel. Learn more: https://go.microsoft.com/fwlink/?linkid=870924
Comment:
    I’m not sure if marketing labor is higher for direct sales or wholesale</t>
      </text>
    </comment>
    <comment ref="EE3" authorId="7" shapeId="0" xr:uid="{70D239DC-5D26-0648-8FD1-2EF30D8BB876}">
      <text>
        <t>[Threaded comment]
Your version of Excel allows you to read this threaded comment; however, any edits to it will get removed if the file is opened in a newer version of Excel. Learn more: https://go.microsoft.com/fwlink/?linkid=870924
Comment:
    This doesn’t accurately back out wholsale labor</t>
      </text>
    </comment>
    <comment ref="BM44" authorId="8" shapeId="0" xr:uid="{8287171A-63B1-4DD0-A089-1CCDF0F55970}">
      <text>
        <t>[Threaded comment]
Your version of Excel allows you to read this threaded comment; however, any edits to it will get removed if the file is opened in a newer version of Excel. Learn more: https://go.microsoft.com/fwlink/?linkid=870924
Comment:
    Maltby has them for $4</t>
      </text>
    </comment>
    <comment ref="BM45" authorId="9" shapeId="0" xr:uid="{A1C89AAD-4591-4016-BCDA-2D126F92BE07}">
      <text>
        <t>[Threaded comment]
Your version of Excel allows you to read this threaded comment; however, any edits to it will get removed if the file is opened in a newer version of Excel. Learn more: https://go.microsoft.com/fwlink/?linkid=870924
Comment:
    Maltby has them for $4</t>
      </text>
    </comment>
    <comment ref="X56" authorId="10" shapeId="0" xr:uid="{F186603C-833E-470C-A9EF-548D64564C7A}">
      <text>
        <t>[Threaded comment]
Your version of Excel allows you to read this threaded comment; however, any edits to it will get removed if the file is opened in a newer version of Excel. Learn more: https://go.microsoft.com/fwlink/?linkid=870924
Comment:
    Can squeeze in a third row if looking for tighter heads</t>
      </text>
    </comment>
    <comment ref="X57" authorId="11" shapeId="0" xr:uid="{71C12B86-6933-4308-A59A-28FDD18385CA}">
      <text>
        <t>[Threaded comment]
Your version of Excel allows you to read this threaded comment; however, any edits to it will get removed if the file is opened in a newer version of Excel. Learn more: https://go.microsoft.com/fwlink/?linkid=870924
Comment:
    Can squeeze in a third row if looking for tighter heads</t>
      </text>
    </comment>
    <comment ref="DM57" authorId="12" shapeId="0" xr:uid="{372CC4BC-6E21-4B0E-9FE9-2F200B815FFF}">
      <text>
        <t>[Threaded comment]
Your version of Excel allows you to read this threaded comment; however, any edits to it will get removed if the file is opened in a newer version of Excel. Learn more: https://go.microsoft.com/fwlink/?linkid=870924
Comment:
    Also added in the final heads.</t>
      </text>
    </comment>
    <comment ref="Y75" authorId="13" shapeId="0" xr:uid="{BA7BB9F2-31EA-40CD-B551-FA1A4EF612A4}">
      <text>
        <t>[Threaded comment]
Your version of Excel allows you to read this threaded comment; however, any edits to it will get removed if the file is opened in a newer version of Excel. Learn more: https://go.microsoft.com/fwlink/?linkid=870924
Comment:
    Johnny's Says 6 - 12". Probably variety Dependent</t>
      </text>
    </comment>
    <comment ref="Y76" authorId="14" shapeId="0" xr:uid="{5FFC360F-0085-41AA-96B3-D8DB90A20B32}">
      <text>
        <t>[Threaded comment]
Your version of Excel allows you to read this threaded comment; however, any edits to it will get removed if the file is opened in a newer version of Excel. Learn more: https://go.microsoft.com/fwlink/?linkid=870924
Comment:
    Johnny's Says 6 - 12". Probably variety Dependent</t>
      </text>
    </comment>
    <comment ref="A94" authorId="15" shapeId="0" xr:uid="{1C2C4D73-AA6B-4791-9E47-63F9B2431D56}">
      <text>
        <t>[Threaded comment]
Your version of Excel allows you to read this threaded comment; however, any edits to it will get removed if the file is opened in a newer version of Excel. Learn more: https://go.microsoft.com/fwlink/?linkid=870924
Comment:
    This is an experimental configuration with higher density that recommended</t>
      </text>
    </comment>
    <comment ref="Y94" authorId="16" shapeId="0" xr:uid="{27043200-467C-4BA6-8E73-32A1EAEF62D6}">
      <text>
        <t>[Threaded comment]
Your version of Excel allows you to read this threaded comment; however, any edits to it will get removed if the file is opened in a newer version of Excel. Learn more: https://go.microsoft.com/fwlink/?linkid=870924
Comment:
    2 plants between each squash</t>
      </text>
    </comment>
    <comment ref="BM137" authorId="17" shapeId="0" xr:uid="{4EDCB7FA-5F3F-4FE6-BC16-67FECB0F5FAB}">
      <text>
        <t>[Threaded comment]
Your version of Excel allows you to read this threaded comment; however, any edits to it will get removed if the file is opened in a newer version of Excel. Learn more: https://go.microsoft.com/fwlink/?linkid=870924
Comment:
    Has the additional scape crop as well.</t>
      </text>
    </comment>
    <comment ref="BM138" authorId="18" shapeId="0" xr:uid="{80E3B026-4C94-4AA0-A066-91F1C9D924F5}">
      <text>
        <t>[Threaded comment]
Your version of Excel allows you to read this threaded comment; however, any edits to it will get removed if the file is opened in a newer version of Excel. Learn more: https://go.microsoft.com/fwlink/?linkid=870924
Comment:
    Has the additional scape crop as well.</t>
      </text>
    </comment>
    <comment ref="BM139" authorId="19" shapeId="0" xr:uid="{F7AC6ED7-6E5B-4E23-9E4D-0057095AC00D}">
      <text>
        <t>[Threaded comment]
Your version of Excel allows you to read this threaded comment; however, any edits to it will get removed if the file is opened in a newer version of Excel. Learn more: https://go.microsoft.com/fwlink/?linkid=870924
Comment:
    Has the additional scape crop as well.</t>
      </text>
    </comment>
    <comment ref="BM202" authorId="20" shapeId="0" xr:uid="{54377807-FFD0-4A42-8D39-547C2C15161E}">
      <text>
        <t>[Threaded comment]
Your version of Excel allows you to read this threaded comment; however, any edits to it will get removed if the file is opened in a newer version of Excel. Learn more: https://go.microsoft.com/fwlink/?linkid=870924
Comment:
    Also get a bud crop that probably doubles this.</t>
      </text>
    </comment>
    <comment ref="BM203" authorId="21" shapeId="0" xr:uid="{1A365BF4-53D1-436F-8498-53C65AC36806}">
      <text>
        <t>[Threaded comment]
Your version of Excel allows you to read this threaded comment; however, any edits to it will get removed if the file is opened in a newer version of Excel. Learn more: https://go.microsoft.com/fwlink/?linkid=870924
Comment:
    Also get a bud crop that probably doubles this.</t>
      </text>
    </comment>
    <comment ref="AN212" authorId="22" shapeId="0" xr:uid="{3220BF19-6D13-4C5B-BE01-2548B2235D32}">
      <text>
        <t>[Threaded comment]
Your version of Excel allows you to read this threaded comment; however, any edits to it will get removed if the file is opened in a newer version of Excel. Learn more: https://go.microsoft.com/fwlink/?linkid=870924
Comment:
    Dowding does his for 6-8 weeks.</t>
      </text>
    </comment>
    <comment ref="AP212" authorId="23" shapeId="0" xr:uid="{1C19F254-F235-4F5C-A136-A6E5F5E71611}">
      <text>
        <t>[Threaded comment]
Your version of Excel allows you to read this threaded comment; however, any edits to it will get removed if the file is opened in a newer version of Excel. Learn more: https://go.microsoft.com/fwlink/?linkid=870924
Comment:
    Dowding says 150 days. JM says 90. Johnny's says 92. Not sure what to do here.
Reply:
    2023. Early melons were coming on 8/7 then prescotts and kijaris came around 8/25</t>
      </text>
    </comment>
    <comment ref="BH263" authorId="24" shapeId="0" xr:uid="{08AF8D54-E3D1-A443-AE66-65E3F01EB456}">
      <text>
        <t>[Threaded comment]
Your version of Excel allows you to read this threaded comment; however, any edits to it will get removed if the file is opened in a newer version of Excel. Learn more: https://go.microsoft.com/fwlink/?linkid=870924
Comment:
    This is a weird once because they can crop in the early summer and again in the fall. See Berry Grower book</t>
      </text>
    </comment>
    <comment ref="BG265" authorId="25" shapeId="0" xr:uid="{F959AEC8-6641-2F4F-842D-D67D47696338}">
      <text>
        <t>[Threaded comment]
Your version of Excel allows you to read this threaded comment; however, any edits to it will get removed if the file is opened in a newer version of Excel. Learn more: https://go.microsoft.com/fwlink/?linkid=870924
Comment:
    This assumes that beds produce 2.5 lb per foot and each lb is 2.5 pints</t>
      </text>
    </comment>
    <comment ref="AE272" authorId="26" shapeId="0" xr:uid="{AAC93E45-C25B-4E10-AFA4-CBF64EB6CCBC}">
      <text>
        <t xml:space="preserve">[Threaded comment]
Your version of Excel allows you to read this threaded comment; however, any edits to it will get removed if the file is opened in a newer version of Excel. Learn more: https://go.microsoft.com/fwlink/?linkid=870924
Comment:
    Thin to 1
</t>
      </text>
    </comment>
    <comment ref="AE273" authorId="27" shapeId="0" xr:uid="{08F88476-FB7F-47F8-8730-09ADF61AF2DF}">
      <text>
        <t xml:space="preserve">[Threaded comment]
Your version of Excel allows you to read this threaded comment; however, any edits to it will get removed if the file is opened in a newer version of Excel. Learn more: https://go.microsoft.com/fwlink/?linkid=870924
Comment:
    Thin to 1
</t>
      </text>
    </comment>
    <comment ref="AE286" authorId="28" shapeId="0" xr:uid="{3430F675-313F-4125-B37C-D283E1EA2EA3}">
      <text>
        <t>[Threaded comment]
Your version of Excel allows you to read this threaded comment; however, any edits to it will get removed if the file is opened in a newer version of Excel. Learn more: https://go.microsoft.com/fwlink/?linkid=870924
Comment:
    Thin to 3</t>
      </text>
    </comment>
    <comment ref="BH297" authorId="29" shapeId="0" xr:uid="{EB7B18C4-78F3-41AE-AEC5-C9BC37ADA2EF}">
      <text>
        <t>[Threaded comment]
Your version of Excel allows you to read this threaded comment; however, any edits to it will get removed if the file is opened in a newer version of Excel. Learn more: https://go.microsoft.com/fwlink/?linkid=870924
Comment:
    This is actually 4 in the fall, maybe a couple of winter, and 4 in spring. Assume ~20 lbs each harvest.</t>
      </text>
    </comment>
    <comment ref="BH298" authorId="30" shapeId="0" xr:uid="{051E0CA0-1E58-47F9-A596-93AC9C11EF40}">
      <text>
        <t>[Threaded comment]
Your version of Excel allows you to read this threaded comment; however, any edits to it will get removed if the file is opened in a newer version of Excel. Learn more: https://go.microsoft.com/fwlink/?linkid=870924
Comment:
    This is actually 4 in the fall, maybe a couple of winter, and 4 in spring. Assume ~20 lbs each harvest.</t>
      </text>
    </comment>
    <comment ref="BH299" authorId="31" shapeId="0" xr:uid="{B1CA3572-55BD-4728-B32F-2C0EB574710B}">
      <text>
        <t>[Threaded comment]
Your version of Excel allows you to read this threaded comment; however, any edits to it will get removed if the file is opened in a newer version of Excel. Learn more: https://go.microsoft.com/fwlink/?linkid=870924
Comment:
    This is actually 4 in the fall, maybe a couple of winter, and 4 in spring. Assume ~20 lbs each harvest.</t>
      </text>
    </comment>
    <comment ref="Y335" authorId="32" shapeId="0" xr:uid="{3DC02B03-6DB7-44E9-8E35-2F776AD3BA2A}">
      <text>
        <t>[Threaded comment]
Your version of Excel allows you to read this threaded comment; however, any edits to it will get removed if the file is opened in a newer version of Excel. Learn more: https://go.microsoft.com/fwlink/?linkid=870924
Comment:
    Why can't you plant these on 6 or 4? They like to be close
Reply:
    4 on 6" gives the same density as JM</t>
      </text>
    </comment>
    <comment ref="AN335" authorId="33" shapeId="0" xr:uid="{431FC979-371D-49B6-95C3-5A0BB4DD7259}">
      <text>
        <t>[Threaded comment]
Your version of Excel allows you to read this threaded comment; however, any edits to it will get removed if the file is opened in a newer version of Excel. Learn more: https://go.microsoft.com/fwlink/?linkid=870924
Comment:
    14 days in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tc={596082E5-B48B-41BB-A899-1A42D7EBB1EC}</author>
    <author>tc={5A5B155C-98C7-4FAD-909E-DE9F822B7A3C}</author>
  </authors>
  <commentList>
    <comment ref="K5" authorId="0" shapeId="0" xr:uid="{596082E5-B48B-41BB-A899-1A42D7EBB1EC}">
      <text>
        <t>[Threaded comment]
Your version of Excel allows you to read this threaded comment; however, any edits to it will get removed if the file is opened in a newer version of Excel. Learn more: https://go.microsoft.com/fwlink/?linkid=870924
Comment:
    Add this functionality at some point</t>
      </text>
    </comment>
    <comment ref="AB5" authorId="1" shapeId="0" xr:uid="{5A5B155C-98C7-4FAD-909E-DE9F822B7A3C}">
      <text>
        <t>[Threaded comment]
Your version of Excel allows you to read this threaded comment; however, any edits to it will get removed if the file is opened in a newer version of Excel. Learn more: https://go.microsoft.com/fwlink/?linkid=870924
Comment:
    May want to change this to use actual seeding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Tyler Morgan</author>
    <author>tc={5359BB28-9C4B-4C7A-BA15-7C5F34F91445}</author>
  </authors>
  <commentList>
    <comment ref="Q68" authorId="0" shapeId="0" xr:uid="{2C0D221F-2F28-49E7-B9F1-3794FA12467D}">
      <text>
        <r>
          <rPr>
            <b/>
            <sz val="9"/>
            <color indexed="81"/>
            <rFont val="Tahoma"/>
            <family val="2"/>
          </rPr>
          <t>Tyler Morgan:</t>
        </r>
        <r>
          <rPr>
            <sz val="9"/>
            <color indexed="81"/>
            <rFont val="Tahoma"/>
            <family val="2"/>
          </rPr>
          <t xml:space="preserve">
This is a guess</t>
        </r>
      </text>
    </comment>
    <comment ref="Q413" authorId="1" shapeId="0" xr:uid="{5359BB28-9C4B-4C7A-BA15-7C5F34F91445}">
      <text>
        <t>[Threaded comment]
Your version of Excel allows you to read this threaded comment; however, any edits to it will get removed if the file is opened in a newer version of Excel. Learn more: https://go.microsoft.com/fwlink/?linkid=870924
Comment:
    This is a guess</t>
      </text>
    </comment>
    <comment ref="Q635" authorId="0" shapeId="0" xr:uid="{85B41461-FAAD-4E35-B9FB-27A3A7B04C2A}">
      <text>
        <r>
          <rPr>
            <b/>
            <sz val="9"/>
            <color indexed="81"/>
            <rFont val="Tahoma"/>
            <family val="2"/>
          </rPr>
          <t>Tyler Morgan:</t>
        </r>
        <r>
          <rPr>
            <sz val="9"/>
            <color indexed="81"/>
            <rFont val="Tahoma"/>
            <family val="2"/>
          </rPr>
          <t xml:space="preserve">
This is a guess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tc={50D24E0E-7B8E-4D2D-84DE-DF69CCCC5400}</author>
  </authors>
  <commentList>
    <comment ref="F207" authorId="0" shapeId="0" xr:uid="{50D24E0E-7B8E-4D2D-84DE-DF69CCCC5400}">
      <text>
        <t>[Threaded comment]
Your version of Excel allows you to read this threaded comment; however, any edits to it will get removed if the file is opened in a newer version of Excel. Learn more: https://go.microsoft.com/fwlink/?linkid=870924
Comment:
    Johnny's has a similar price and is also organic</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l Tasks" description="Connection to the 'All Tasks' query in the workbook." type="5" refreshedVersion="8" background="1" saveData="1">
    <dbPr connection="Provider=Microsoft.Mashup.OleDb.1;Data Source=$Workbook$;Location=&quot;All Tasks&quot;;Extended Properties=&quot;&quot;" command="SELECT * FROM [All Tasks]"/>
  </connection>
  <connection id="2" xr16:uid="{00000000-0015-0000-FFFF-FFFF01000000}" keepAlive="1" name="Query - All Tasks Pivot" description="Connection to the 'All Tasks Pivot' query in the workbook." type="5" refreshedVersion="8" background="1" saveData="1">
    <dbPr connection="Provider=Microsoft.Mashup.OleDb.1;Data Source=$Workbook$;Location=&quot;All Tasks Pivot&quot;;Extended Properties=&quot;&quot;" command="SELECT * FROM [All Tasks Pivot]"/>
  </connection>
  <connection id="3" xr16:uid="{00000000-0015-0000-FFFF-FFFF02000000}" keepAlive="1" name="Query - AllSeeds" description="Connection to the 'AllSeeds' query in the workbook." type="5" refreshedVersion="0" background="1">
    <dbPr connection="Provider=Microsoft.Mashup.OleDb.1;Data Source=$Workbook$;Location=AllSeeds;Extended Properties=&quot;&quot;" command="SELECT * FROM [AllSeeds]"/>
  </connection>
  <connection id="4" xr16:uid="{00000000-0015-0000-FFFF-FFFF03000000}" keepAlive="1" name="Query - AllSeedsDetailed" description="Connection to the 'AllSeedsDetailed' query in the workbook." type="5" refreshedVersion="0" background="1">
    <dbPr connection="Provider=Microsoft.Mashup.OleDb.1;Data Source=$Workbook$;Location=AllSeedsDetailed;Extended Properties=&quot;&quot;" command="SELECT * FROM [AllSeedsDetailed]"/>
  </connection>
  <connection id="5" xr16:uid="{00000000-0015-0000-FFFF-FFFF04000000}" keepAlive="1" name="Query - AllSeedsDetailed (2)" description="Connection to the 'AllSeedsDetailed (2)' query in the workbook." type="5" refreshedVersion="8" background="1">
    <dbPr connection="Provider=Microsoft.Mashup.OleDb.1;Data Source=$Workbook$;Location=&quot;AllSeedsDetailed (2)&quot;;Extended Properties=&quot;&quot;" command="SELECT * FROM [AllSeedsDetailed (2)]"/>
  </connection>
  <connection id="6" xr16:uid="{00000000-0015-0000-FFFF-FFFF05000000}" keepAlive="1" name="Query - BedPlan" description="Connection to the 'BedPlan' query in the workbook." type="5" refreshedVersion="0" background="1">
    <dbPr connection="Provider=Microsoft.Mashup.OleDb.1;Data Source=$Workbook$;Location=BedPlan;Extended Properties=&quot;&quot;" command="SELECT * FROM [BedPlan]"/>
  </connection>
  <connection id="7" xr16:uid="{00000000-0015-0000-FFFF-FFFF06000000}" keepAlive="1" name="Query - Direct Seed Tasks" description="Connection to the 'Direct Seed Tasks' query in the workbook." type="5" refreshedVersion="8" background="1" saveData="1">
    <dbPr connection="Provider=Microsoft.Mashup.OleDb.1;Data Source=$Workbook$;Location=&quot;Direct Seed Tasks&quot;;Extended Properties=&quot;&quot;" command="SELECT * FROM [Direct Seed Tasks]"/>
  </connection>
  <connection id="8" xr16:uid="{00000000-0015-0000-FFFF-FFFF07000000}" keepAlive="1" name="Query - Harvest Tasks" description="Connection to the 'Harvest Tasks' query in the workbook." type="5" refreshedVersion="8" background="1" saveData="1">
    <dbPr connection="Provider=Microsoft.Mashup.OleDb.1;Data Source=$Workbook$;Location=&quot;Harvest Tasks&quot;;Extended Properties=&quot;&quot;" command="SELECT * FROM [Harvest Tasks]"/>
  </connection>
  <connection id="9" xr16:uid="{00000000-0015-0000-FFFF-FFFF08000000}" keepAlive="1" name="Query - Merge1" description="Connection to the 'Merge1' query in the workbook." type="5" refreshedVersion="8" background="1" saveData="1">
    <dbPr connection="Provider=Microsoft.Mashup.OleDb.1;Data Source=$Workbook$;Location=Merge1;Extended Properties=&quot;&quot;" command="SELECT * FROM [Merge1]"/>
  </connection>
  <connection id="10" xr16:uid="{00000000-0015-0000-FFFF-FFFF09000000}" keepAlive="1" name="Query - MixSeeds" description="Connection to the 'MixSeeds' query in the workbook." type="5" refreshedVersion="0" background="1">
    <dbPr connection="Provider=Microsoft.Mashup.OleDb.1;Data Source=$Workbook$;Location=MixSeeds;Extended Properties=&quot;&quot;" command="SELECT * FROM [MixSeeds]"/>
  </connection>
  <connection id="11" xr16:uid="{00000000-0015-0000-FFFF-FFFF0A000000}" keepAlive="1" name="Query - NonMixSeeds" description="Connection to the 'NonMixSeeds' query in the workbook." type="5" refreshedVersion="8" background="1" saveData="1">
    <dbPr connection="Provider=Microsoft.Mashup.OleDb.1;Data Source=$Workbook$;Location=NonMixSeeds;Extended Properties=&quot;&quot;" command="SELECT * FROM [NonMixSeeds]"/>
  </connection>
  <connection id="12" xr16:uid="{00000000-0015-0000-FFFF-FFFF0B000000}" keepAlive="1" name="Query - Organic BedPlan" description="Connection to the 'Organic BedPlan' query in the workbook." type="5" refreshedVersion="8" background="1" saveData="1">
    <dbPr connection="Provider=Microsoft.Mashup.OleDb.1;Data Source=$Workbook$;Location=&quot;Organic BedPlan&quot;;Extended Properties=&quot;&quot;" command="SELECT * FROM [Organic BedPlan]"/>
  </connection>
  <connection id="13" xr16:uid="{00000000-0015-0000-FFFF-FFFF0C000000}" keepAlive="1" name="Query - Organic Tasks" description="Connection to the 'Organic Tasks' query in the workbook." type="5" refreshedVersion="8" background="1" saveData="1">
    <dbPr connection="Provider=Microsoft.Mashup.OleDb.1;Data Source=$Workbook$;Location=&quot;Organic Tasks&quot;;Extended Properties=&quot;&quot;" command="SELECT * FROM [Organic Tasks]"/>
  </connection>
  <connection id="14" xr16:uid="{00000000-0015-0000-FFFF-FFFF0D000000}" keepAlive="1" name="Query - PlanSeeds" description="Connection to the 'PlanSeeds' query in the workbook." type="5" refreshedVersion="0" background="1">
    <dbPr connection="Provider=Microsoft.Mashup.OleDb.1;Data Source=$Workbook$;Location=PlanSeeds;Extended Properties=&quot;&quot;" command="SELECT * FROM [PlanSeeds]"/>
  </connection>
  <connection id="15" xr16:uid="{00000000-0015-0000-FFFF-FFFF0E000000}" keepAlive="1" name="Query - SeedMixes" description="Connection to the 'SeedMixes' query in the workbook." type="5" refreshedVersion="0" background="1">
    <dbPr connection="Provider=Microsoft.Mashup.OleDb.1;Data Source=$Workbook$;Location=SeedMixes;Extended Properties=&quot;&quot;" command="SELECT * FROM [SeedMixes]"/>
  </connection>
  <connection id="16" xr16:uid="{00000000-0015-0000-FFFF-FFFF0F000000}" keepAlive="1" name="Query - SeedMixNames" description="Connection to the 'SeedMixNames' query in the workbook." type="5" refreshedVersion="0" background="1">
    <dbPr connection="Provider=Microsoft.Mashup.OleDb.1;Data Source=$Workbook$;Location=SeedMixNames;Extended Properties=&quot;&quot;" command="SELECT * FROM [SeedMixNames]"/>
  </connection>
  <connection id="17" xr16:uid="{00000000-0015-0000-FFFF-FFFF10000000}" keepAlive="1" name="Query - SeedNeedsPivot" description="Connection to the 'SeedNeedsPivot' query in the workbook." type="5" refreshedVersion="8" background="1">
    <dbPr connection="Provider=Microsoft.Mashup.OleDb.1;Data Source=$Workbook$;Location=SeedNeedsPivot;Extended Properties=&quot;&quot;" command="SELECT * FROM [SeedNeedsPivot]"/>
  </connection>
  <connection id="18" xr16:uid="{00000000-0015-0000-FFFF-FFFF11000000}" keepAlive="1" name="Query - Start Seedling Tasks" description="Connection to the 'Start Seedling Tasks' query in the workbook." type="5" refreshedVersion="8" background="1" saveData="1">
    <dbPr connection="Provider=Microsoft.Mashup.OleDb.1;Data Source=$Workbook$;Location=&quot;Start Seedling Tasks&quot;;Extended Properties=&quot;&quot;" command="SELECT * FROM [Start Seedling Tasks]"/>
  </connection>
  <connection id="19" xr16:uid="{00000000-0015-0000-FFFF-FFFF12000000}" keepAlive="1" name="Query - Start Seedlings Detailed" description="Connection to the 'Start Seedlings Detailed' query in the workbook." type="5" refreshedVersion="8" background="1" saveData="1">
    <dbPr connection="Provider=Microsoft.Mashup.OleDb.1;Data Source=$Workbook$;Location=&quot;Start Seedlings Detailed&quot;;Extended Properties=&quot;&quot;" command="SELECT * FROM [Start Seedlings Detailed]"/>
  </connection>
  <connection id="20" xr16:uid="{00000000-0015-0000-FFFF-FFFF13000000}" keepAlive="1" name="Query - Transplant Tasks" description="Connection to the 'Transplant Tasks' query in the workbook." type="5" refreshedVersion="8" background="1" saveData="1">
    <dbPr connection="Provider=Microsoft.Mashup.OleDb.1;Data Source=$Workbook$;Location=&quot;Transplant Tasks&quot;;Extended Properties=&quot;&quot;" command="SELECT * FROM [Transplant Tasks]"/>
  </connection>
  <connection id="21" xr16:uid="{00000000-0015-0000-FFFF-FFFF14000000}" keepAlive="1" name="Query - Varieties" description="Connection to the 'Varieties' query in the workbook." type="5" refreshedVersion="0" background="1">
    <dbPr connection="Provider=Microsoft.Mashup.OleDb.1;Data Source=$Workbook$;Location=Varieties;Extended Properties=&quot;&quot;" command="SELECT * FROM [Varieti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<sst xmlns="http://schemas.openxmlformats.org/spreadsheetml/2006/main" count="19244" uniqueCount="3473">
  <si>
    <t>Config</t>
  </si>
  <si>
    <t>Bed Length</t>
  </si>
  <si>
    <t>Safety Factor</t>
  </si>
  <si>
    <t>Might Grow</t>
  </si>
  <si>
    <t>Crop</t>
  </si>
  <si>
    <t>Identifier</t>
  </si>
  <si>
    <t>Variety</t>
  </si>
  <si>
    <t>Product</t>
  </si>
  <si>
    <t>CACA</t>
  </si>
  <si>
    <t>Growing Structure</t>
  </si>
  <si>
    <t>Planting Method</t>
  </si>
  <si>
    <t>Sp</t>
  </si>
  <si>
    <t>Su</t>
  </si>
  <si>
    <t>Fa</t>
  </si>
  <si>
    <t>Wi</t>
  </si>
  <si>
    <t>OW</t>
  </si>
  <si>
    <t>Food</t>
  </si>
  <si>
    <t>Rows</t>
  </si>
  <si>
    <t>Spacing</t>
  </si>
  <si>
    <t>Plantings Per Bed</t>
  </si>
  <si>
    <t>Seeds Per Planting</t>
  </si>
  <si>
    <t>Custom Safety Factor</t>
  </si>
  <si>
    <t>Seeds Per Bed</t>
  </si>
  <si>
    <t>DTG Lower</t>
  </si>
  <si>
    <t>DTG Upper</t>
  </si>
  <si>
    <t>Days to Germination</t>
  </si>
  <si>
    <t>DTM Lower</t>
  </si>
  <si>
    <t>DTM Upper</t>
  </si>
  <si>
    <t>DTM</t>
  </si>
  <si>
    <t>Harvest window</t>
  </si>
  <si>
    <t>Days In Field</t>
  </si>
  <si>
    <t>Tray Size</t>
  </si>
  <si>
    <t>Units Per Harvest</t>
  </si>
  <si>
    <t>Harvests</t>
  </si>
  <si>
    <t>Days Between Harvest</t>
  </si>
  <si>
    <t>Custom Yield Per Bed</t>
  </si>
  <si>
    <t>Unit</t>
  </si>
  <si>
    <t>Extended Harvest</t>
  </si>
  <si>
    <t>Revenue Per Bed Day</t>
  </si>
  <si>
    <t>Notes</t>
  </si>
  <si>
    <t>Alexanders</t>
  </si>
  <si>
    <t>Amaranth</t>
  </si>
  <si>
    <t>Arugula</t>
  </si>
  <si>
    <t>Basil</t>
  </si>
  <si>
    <t>Bean</t>
  </si>
  <si>
    <t>Beans</t>
  </si>
  <si>
    <t>Beet</t>
  </si>
  <si>
    <t>Bok Choy</t>
  </si>
  <si>
    <t>Borage</t>
  </si>
  <si>
    <t>Broccoli</t>
  </si>
  <si>
    <t>Brussel Sprouts</t>
  </si>
  <si>
    <t>Butterfly Flowers</t>
  </si>
  <si>
    <t>Cabbage</t>
  </si>
  <si>
    <t>Carrot</t>
  </si>
  <si>
    <t>Cauliflower</t>
  </si>
  <si>
    <t>Celery</t>
  </si>
  <si>
    <t>Celery Root</t>
  </si>
  <si>
    <t>Celosia</t>
  </si>
  <si>
    <t>Chicory</t>
  </si>
  <si>
    <t>Chijimisai</t>
  </si>
  <si>
    <t>Choi Sum</t>
  </si>
  <si>
    <t>Chrysanthemum Greens</t>
  </si>
  <si>
    <t>Cilantro</t>
  </si>
  <si>
    <t>Clematis</t>
  </si>
  <si>
    <t>Collard Greens</t>
  </si>
  <si>
    <t>Bachellor's Button</t>
  </si>
  <si>
    <t>Corn Salad</t>
  </si>
  <si>
    <t>Cosmos</t>
  </si>
  <si>
    <t>Cover Mix</t>
  </si>
  <si>
    <t>Crosnes</t>
  </si>
  <si>
    <t>Cucumber</t>
  </si>
  <si>
    <t>Dahlia</t>
  </si>
  <si>
    <t>Dahlias</t>
  </si>
  <si>
    <t>Delphinium</t>
  </si>
  <si>
    <t>Dianthus</t>
  </si>
  <si>
    <t>Dill</t>
  </si>
  <si>
    <t>Eggplant</t>
  </si>
  <si>
    <t>Fava Beans</t>
  </si>
  <si>
    <t>Fennel</t>
  </si>
  <si>
    <t>Frisée</t>
  </si>
  <si>
    <t>Garlic</t>
  </si>
  <si>
    <t>Ginger</t>
  </si>
  <si>
    <t>Ground Cherry</t>
  </si>
  <si>
    <t>Hops Vine with Flowers</t>
  </si>
  <si>
    <t>Huauzontle</t>
  </si>
  <si>
    <t>Hyacinth Bean Vine</t>
  </si>
  <si>
    <t>Hydrangea</t>
  </si>
  <si>
    <t>Jelly Melon</t>
  </si>
  <si>
    <t>Kale</t>
  </si>
  <si>
    <t>Kohlrabi</t>
  </si>
  <si>
    <t>Komatsuna</t>
  </si>
  <si>
    <t>Leek</t>
  </si>
  <si>
    <t>Lettuce</t>
  </si>
  <si>
    <t>Lilies</t>
  </si>
  <si>
    <t>Lisianthus</t>
  </si>
  <si>
    <t>Lovage</t>
  </si>
  <si>
    <t>Malabar Spinach</t>
  </si>
  <si>
    <t>Marigolds</t>
  </si>
  <si>
    <t>Melon</t>
  </si>
  <si>
    <t>Microgreens</t>
  </si>
  <si>
    <t>Mock Orange</t>
  </si>
  <si>
    <t>Mustard Greens</t>
  </si>
  <si>
    <t>Nausturtium</t>
  </si>
  <si>
    <t>New Zealand Spinach</t>
  </si>
  <si>
    <t>Nigella</t>
  </si>
  <si>
    <t>Onion</t>
  </si>
  <si>
    <t>Pak Choi</t>
  </si>
  <si>
    <t>Pansy and Violas</t>
  </si>
  <si>
    <t>Parsley</t>
  </si>
  <si>
    <t>Parsnip</t>
  </si>
  <si>
    <t>Peas</t>
  </si>
  <si>
    <t>Peonies</t>
  </si>
  <si>
    <t>Pepper</t>
  </si>
  <si>
    <t>Potato</t>
  </si>
  <si>
    <t>Radish</t>
  </si>
  <si>
    <t>Ranunculus</t>
  </si>
  <si>
    <t>Rapini</t>
  </si>
  <si>
    <t>Rat Tail Radish</t>
  </si>
  <si>
    <t>Rutabaga</t>
  </si>
  <si>
    <t>Scallion</t>
  </si>
  <si>
    <t>Shallots</t>
  </si>
  <si>
    <t>Snapdragons</t>
  </si>
  <si>
    <t>Sorrel</t>
  </si>
  <si>
    <t>Spinach</t>
  </si>
  <si>
    <t>Squash</t>
  </si>
  <si>
    <t>Stock</t>
  </si>
  <si>
    <t>Strawberry</t>
  </si>
  <si>
    <t>Strawberry Spinach</t>
  </si>
  <si>
    <t>Summer Squash</t>
  </si>
  <si>
    <t>Sunflower</t>
  </si>
  <si>
    <t>Sunflowers</t>
  </si>
  <si>
    <t>Swiss Chard</t>
  </si>
  <si>
    <t>Tarp</t>
  </si>
  <si>
    <t>Tat Soi</t>
  </si>
  <si>
    <t>Tokyo Bekana</t>
  </si>
  <si>
    <t>Tomatillo</t>
  </si>
  <si>
    <t>Tomato</t>
  </si>
  <si>
    <t>Turnip</t>
  </si>
  <si>
    <t>Wisteria</t>
  </si>
  <si>
    <t>Zinnia</t>
  </si>
  <si>
    <t>Rubeckia</t>
  </si>
  <si>
    <t>Queen Anne's Lace</t>
  </si>
  <si>
    <t>Dropmore</t>
  </si>
  <si>
    <t>Chrysanthemum</t>
  </si>
  <si>
    <t>TRUE</t>
  </si>
  <si>
    <t>General</t>
  </si>
  <si>
    <t>Purple Basil</t>
  </si>
  <si>
    <t>Tulsi</t>
  </si>
  <si>
    <t>Tulsi Basil</t>
  </si>
  <si>
    <t>Italian</t>
  </si>
  <si>
    <t>Pole</t>
  </si>
  <si>
    <t>Bush</t>
  </si>
  <si>
    <t>Ruby Moon Beans</t>
  </si>
  <si>
    <t>Winged</t>
  </si>
  <si>
    <t>Savoy</t>
  </si>
  <si>
    <t>Chinese</t>
  </si>
  <si>
    <t>Oxheart</t>
  </si>
  <si>
    <t>Asian Long</t>
  </si>
  <si>
    <t>Lebanese</t>
  </si>
  <si>
    <t>Tuber</t>
  </si>
  <si>
    <t>Mix</t>
  </si>
  <si>
    <t>White dill</t>
  </si>
  <si>
    <t>Moiga</t>
  </si>
  <si>
    <t>Quick Fire</t>
  </si>
  <si>
    <t>Pee Gee</t>
  </si>
  <si>
    <t>Annabelle</t>
  </si>
  <si>
    <t>Salanova</t>
  </si>
  <si>
    <t>Double Pollen Free</t>
  </si>
  <si>
    <t>Snap</t>
  </si>
  <si>
    <t>White</t>
  </si>
  <si>
    <t>Bell</t>
  </si>
  <si>
    <t>Hot</t>
  </si>
  <si>
    <t>Munchen Bier</t>
  </si>
  <si>
    <t>Golden Celebration</t>
  </si>
  <si>
    <t>Antique Pink</t>
  </si>
  <si>
    <t>Procut</t>
  </si>
  <si>
    <t>Branching</t>
  </si>
  <si>
    <t>Anarchy Mix</t>
  </si>
  <si>
    <t>Cherry</t>
  </si>
  <si>
    <t>Mature Leaf</t>
  </si>
  <si>
    <t>Mature</t>
  </si>
  <si>
    <t>Mature Stem</t>
  </si>
  <si>
    <t>Baby Leaf</t>
  </si>
  <si>
    <t>Young Pod</t>
  </si>
  <si>
    <t>Flowering Tendril</t>
  </si>
  <si>
    <t>Mature Root</t>
  </si>
  <si>
    <t>Mature Head</t>
  </si>
  <si>
    <t>Cut Flower</t>
  </si>
  <si>
    <t>Loose Rib</t>
  </si>
  <si>
    <t>Mini Root</t>
  </si>
  <si>
    <t>Loose Leaf</t>
  </si>
  <si>
    <t>Ripe Fruit</t>
  </si>
  <si>
    <t>Mature Pod</t>
  </si>
  <si>
    <t>Mini Bulb</t>
  </si>
  <si>
    <t>Storage Bulb</t>
  </si>
  <si>
    <t>Young Root</t>
  </si>
  <si>
    <t>Mature Fruit</t>
  </si>
  <si>
    <t>Flowering Vine</t>
  </si>
  <si>
    <t>Mature Bulb</t>
  </si>
  <si>
    <t>Mature Stalk</t>
  </si>
  <si>
    <t>Mini Head</t>
  </si>
  <si>
    <t>Overwinter Head</t>
  </si>
  <si>
    <t>Young Buds</t>
  </si>
  <si>
    <t>Micro Leaf</t>
  </si>
  <si>
    <t>Mature Branch</t>
  </si>
  <si>
    <t>Storage Root</t>
  </si>
  <si>
    <t>Mature Stalks</t>
  </si>
  <si>
    <t>Young Stalk</t>
  </si>
  <si>
    <t>Storage</t>
  </si>
  <si>
    <t>Clear Ground</t>
  </si>
  <si>
    <t>Field</t>
  </si>
  <si>
    <t>Greenhouse</t>
  </si>
  <si>
    <t/>
  </si>
  <si>
    <t>Stem</t>
  </si>
  <si>
    <t>Head</t>
  </si>
  <si>
    <t>Bunch</t>
  </si>
  <si>
    <t>Ounce</t>
  </si>
  <si>
    <t>Width:</t>
  </si>
  <si>
    <t>Height:</t>
  </si>
  <si>
    <t>Format</t>
  </si>
  <si>
    <t>First Year</t>
  </si>
  <si>
    <t>BLOCK A</t>
  </si>
  <si>
    <t>Jan</t>
  </si>
  <si>
    <t>Feb</t>
  </si>
  <si>
    <t>Mar</t>
  </si>
  <si>
    <t>Apr</t>
  </si>
  <si>
    <t>May</t>
  </si>
  <si>
    <t>Jun</t>
  </si>
  <si>
    <t>Jul</t>
  </si>
  <si>
    <t>Aug</t>
  </si>
  <si>
    <t>Sep</t>
  </si>
  <si>
    <t>Oct</t>
  </si>
  <si>
    <t>Nov</t>
  </si>
  <si>
    <t>Dec</t>
  </si>
  <si>
    <t>BLOCK B</t>
  </si>
  <si>
    <t>BLOCK C</t>
  </si>
  <si>
    <t>BLOCK D</t>
  </si>
  <si>
    <t>BLOCK E</t>
  </si>
  <si>
    <t>BLOCK F</t>
  </si>
  <si>
    <t>BLOCK G</t>
  </si>
  <si>
    <t>BLOCK H</t>
  </si>
  <si>
    <t>BLOCK I</t>
  </si>
  <si>
    <t>BLOCK J</t>
  </si>
  <si>
    <t>Name</t>
  </si>
  <si>
    <t>Company</t>
  </si>
  <si>
    <t>Seeds</t>
  </si>
  <si>
    <t>Seed Bought</t>
  </si>
  <si>
    <t># Of Beds</t>
  </si>
  <si>
    <t>Display Width</t>
  </si>
  <si>
    <t>Code</t>
  </si>
  <si>
    <t>Days in Cells</t>
  </si>
  <si>
    <t>Greenhouse Start Date</t>
  </si>
  <si>
    <t>Fixed Field Start Date</t>
  </si>
  <si>
    <t>Follows Crop</t>
  </si>
  <si>
    <t>TP or DS Date</t>
  </si>
  <si>
    <t>Beginning of Harvest</t>
  </si>
  <si>
    <t>End of Harvest</t>
  </si>
  <si>
    <t>Seeding Done</t>
  </si>
  <si>
    <t>Transplant Done</t>
  </si>
  <si>
    <t>Harvest Done</t>
  </si>
  <si>
    <t>Crop Done</t>
  </si>
  <si>
    <t>Revenue</t>
  </si>
  <si>
    <t>Additional Days in Cells</t>
  </si>
  <si>
    <t>Additional Days In Field</t>
  </si>
  <si>
    <t>Additional Days of Harvest</t>
  </si>
  <si>
    <t>Harvest Window</t>
  </si>
  <si>
    <t>DS/TP</t>
  </si>
  <si>
    <t>Plan As Of</t>
  </si>
  <si>
    <t>Total</t>
  </si>
  <si>
    <t xml:space="preserve">Cucumber (Asian Long) - Ripe Fruit 1X | Field TP </t>
  </si>
  <si>
    <t xml:space="preserve">Melon - Ripe Fruit 1X | Field TP </t>
  </si>
  <si>
    <t>Celery - Loose Rib 1X | Field TP SpSu</t>
  </si>
  <si>
    <t xml:space="preserve">7-10 days @ 70 degrees. </t>
  </si>
  <si>
    <t xml:space="preserve">7-14 days @ 70 degrees. </t>
  </si>
  <si>
    <t xml:space="preserve"> Calculate an average of 20 lbs /week over 7-8 weeks of picking</t>
  </si>
  <si>
    <t>5-12 days @ 65 degrees. Sow 4-6 weeks before last frost. Mature seeds must be boiled before eating. Like most soybeans, they contain a trypsin inhibitor that is broken down by heat as well as a cyanogenic glucoside that is leached out by the cooking water.</t>
  </si>
  <si>
    <t>4-7 days @ 60-70 degrees. Sow 2-3 weeks before last frost.</t>
  </si>
  <si>
    <t xml:space="preserve"> Baby beets: 5 to 6 per bunches. Reg beets;  3 to 4 per bunch. Can bolt if they get hit with a  cold snap. Some interesting work from charles dowding who cluster grows his beats as transplants then pulls out beets from the clusters as they get large enough. Need roughly 80 degrees to germinate. Damping off can be an issue with beats. Good to bottom water. Roots of transplants might not be easy to pull from one another. Seeds will generate multiple plants per seed. 3 beets per bunch is the target.</t>
  </si>
  <si>
    <t xml:space="preserve">
</t>
  </si>
  <si>
    <t xml:space="preserve">14-21 days @ 78 degrees. </t>
  </si>
  <si>
    <t>Aim for  8 carrots per bunch 5” to 7” (13 cm -18 cm) long</t>
  </si>
  <si>
    <t xml:space="preserve">7-14 days @ 60 degrees. succession planting direct seeding recommended every 3 weeks. </t>
  </si>
  <si>
    <t>Saw these from theculinarygardener</t>
  </si>
  <si>
    <t>Assume 4 fruits per plant / week</t>
  </si>
  <si>
    <t xml:space="preserve">3-5 days at 65-70°F. </t>
  </si>
  <si>
    <t xml:space="preserve">7-14 days at 65-72°F. </t>
  </si>
  <si>
    <t>Sew before winter frosts. Should be 4 inches tall by December according to Charles Dowding.</t>
  </si>
  <si>
    <t>Up to five harvests for baby. Can be cut as full heads if blanched. Blanch w/ blanching bell for 7 days.</t>
  </si>
  <si>
    <t>- 2-3'</t>
  </si>
  <si>
    <t>Prone to Bolting</t>
  </si>
  <si>
    <t xml:space="preserve"> - 18" - 24"</t>
  </si>
  <si>
    <t>Should be planted out in August. Siberian, Russian,  (any B. napus) may not transplant well. Kale can be harvested for aout 14 weeks.</t>
  </si>
  <si>
    <t>Plan for 2 cuts. 10 - 12 rows</t>
  </si>
  <si>
    <t>Johnny's recommends a low tunnel within an unheated hoophouse at the least. Immature plants tend to be the least susceptible to cold.</t>
  </si>
  <si>
    <t>Loves Heat. Drought hearty. Grows quickly with water. Pick regularly.</t>
  </si>
  <si>
    <t>Assume 2 fruits per plant. Average fruits = +/- 4 lbs</t>
  </si>
  <si>
    <t xml:space="preserve">7-14 days @ 60 degrees. </t>
  </si>
  <si>
    <t xml:space="preserve">10-14 days at 60-65°F. </t>
  </si>
  <si>
    <t>Might be able to multisow</t>
  </si>
  <si>
    <t xml:space="preserve">4-7 days @ 65 degrees. </t>
  </si>
  <si>
    <t>Spring Crop. Grew them in the fall and they did just fine. Didn't like the cold weather though, seemed to be mold prone.</t>
  </si>
  <si>
    <t xml:space="preserve">7-14 days @ 65 degrees. </t>
  </si>
  <si>
    <t xml:space="preserve">Reseeds voraciously. </t>
  </si>
  <si>
    <t>7-14 days @ 70 degrees. succession planting is recommend (plant new succession every 3 weeks)</t>
  </si>
  <si>
    <t xml:space="preserve">+/- 8 turnips per bunch </t>
  </si>
  <si>
    <t>8800/17600</t>
  </si>
  <si>
    <t xml:space="preserve">7-18 days @ soil temp 65-75F.. </t>
  </si>
  <si>
    <t>12-16 days at 60-65°F (16-18°C). Make 2-3 successive sowings, 2 weeks apart for a continuous summer harvest</t>
  </si>
  <si>
    <t>21 days @ 70 degrees. Light aids germination, after first flush, cut back to 6 in to encourage fall blooms</t>
  </si>
  <si>
    <t xml:space="preserve">Tomatillo - Ripe Fruit 1X | Field TP </t>
  </si>
  <si>
    <t>In Plan</t>
  </si>
  <si>
    <t>Seasons</t>
  </si>
  <si>
    <t>7-14 days @ 70 degrees. Sow seeds 6 weeks before last frost. First sewing in April. Can contiue to sew until June</t>
  </si>
  <si>
    <t>7-14 days @ 60 degrees. Sow seeds as soon as the soil has warmed in the spring. Direct sow recommended. Don't sew later than mid july.</t>
  </si>
  <si>
    <t>Prefer large cells for 4 weeks. Spring cabbaged in transplanted in late september. Summer transplanted in Apr - May. Fall transplanted in May - Jun. Transplant winter cabbages in July. Bury stems deep. Spacing is highly variety dependent. Summer cabbages make tighter heads. Spring cabbages are prone to bolt. Fall cabbages hold for two months. Summer heads lose quality fast. Winter heads are looser and last three months in the ground. Fall and winter cabbages can store for two months.</t>
  </si>
  <si>
    <t>Sew in late march to late may for first. Sew in late may for sept - oct crop.</t>
  </si>
  <si>
    <t>Ideal Temperature: 60-80 Degrees F. Like 4 - 6 hours of sun. Good good fall winter, spring crop.</t>
  </si>
  <si>
    <t>Not the most hardy. Prone to spring bolting. Direct sow with frost protection (a cloche or heavy row cover) as early as late winter, or without protection from four weeks before the last frost date to eight weeks after</t>
  </si>
  <si>
    <t>Susceptible to flea beetle. rich, well-drained soil. Start indoors in late winter to mid-spring, and transplant or direct sow starting around late May. They can also be direct sown in mid-September to October.</t>
  </si>
  <si>
    <t>2 plants / bunch. July 26 is a strong sewing date. Mid july - mid sep are good dates. Can sew from feb. Prone to bolting in summer.</t>
  </si>
  <si>
    <t>12-16 days at 60-65°F. Direct seed (recommended) - In early spring after last frost. start succession plantings 2 weeks after. Sew late winter to early spring for picking through summer. Sew in mid to late summer for fall harvest. Good for interplanting</t>
  </si>
  <si>
    <t>The bed usage is less impactful that in looks because 3-5 months are in off-seasons beds. Harvest in Jun July. Best time to sew is Oct. but can go as late as Dec. Good interplanmter. Avoid interplanting during final growth phase. Keep watered in May - June for fat bulbs. Hardneck varieties provide scapes.If rusty harvest small yield and move on. Can harvest green gartlic in late spring.. Don't want for necks to fall over or leaves to go yellow before harvest. Softneck matures late June. Hardneck early to mid july.</t>
  </si>
  <si>
    <t>Wait until night time temperature are consistently above 50 to transplant.</t>
  </si>
  <si>
    <t>Mustards are cool season plants that grow quickly and then bolt. Direct sow with frost protection as early as late winter or without protection from early to late spring. Heard in a podcast that it's not prone to bolting in summer.</t>
  </si>
  <si>
    <t>Requested By Dan. Start 6 weeks before last frost. Roots are edible. Seeds are similar to fennel and flowers are attractive to beneficials. Start indoors in spring or direct sow in the fall. If starting indoors, try to maintain a soil temperature of 15°C (60°F). Once seedlings are big enough to handle, harden them off before transplanting to the garden.</t>
  </si>
  <si>
    <t xml:space="preserve">Corn </t>
  </si>
  <si>
    <t>Mature Cob</t>
  </si>
  <si>
    <t>Could interplant Corn with Squash.</t>
  </si>
  <si>
    <t xml:space="preserve">+/- 15 radishes per bunch of sizes varying from 1.5” to 2”. 10 - 12 rows. Can transplant as clusters of five per cell 6 inches apart. First spring radishes can be sewn mid-feb. Seedlings can handle frost. Sew again late march and again mid apr. May-Aug radishes are spicy. Spring radishes can be grown again in early sept. Grow winter radishes singly or in pairs. Sew winter radishes mid-july - early august. Helps to fleeces from mar - apr. Water spring radishes every two days.
</t>
  </si>
  <si>
    <t>One unit here is valued at 2 lbs. Can transplant as clusters of five per cell 6 inches apart. First spring radishes can be sewn mid-feb. Seedlings can handle frost. Sew again late march and again mid apr. May-Aug radishes are spicy. Spring radishes can be grown again in early sept. Grow winter radishes singly or in pairs. Sew winter radishes mid-july - early august. Helps to fleeces from mar - apr. Leavae 10 inches between winter radishes. Start harvesting winter radish in October as necessary.</t>
  </si>
  <si>
    <t>+/- 9 onions by grabbing 2 clumps / bunch. Plant feb - june for summer fall or. Late Aug for winter. Cam sew as early as mid feb.  To mid march. Direct seed in second half of mar. Sew after last week of aug in winter to prevent bolting.</t>
  </si>
  <si>
    <t>+/- 8 turnips per bunch. Sew spring harvest in late feb - early mar. Sew fall harvest in first 10 days of aug. Can be ready for transplant in 14 days in the fall. Fleece early plantings for at least a month. Cherry sized turnips are sweet and tender. Apricot size starts to drop off taste and texture.</t>
  </si>
  <si>
    <t>Last Frost Date</t>
  </si>
  <si>
    <t>Sewing Rel Last Frost</t>
  </si>
  <si>
    <t>Early</t>
  </si>
  <si>
    <t>Squash Interplant</t>
  </si>
  <si>
    <t>Sew under cover mid may or june if uncovered. JM does 14 days in cell for late season transplants.. Possible to transplant in small starts  as you clear leaves from the plant above?</t>
  </si>
  <si>
    <t>Mizuna</t>
  </si>
  <si>
    <t>DS</t>
  </si>
  <si>
    <t>Onions like full sun. Plants around same time as garlic. Need well drained soil (mulch and cover can be problems). See article below for more details.
https://web.archive.org/web/20160406053757/http://www.frenchgardening.com/aupotager.html?pid=12990766343248445. Most likely harvest around june or july. 6 - 12 bulbs per plant</t>
  </si>
  <si>
    <t>Spinach flowers in Early summer. This is a Fall crop with a following overwintered Spring crop. Target planting date is Aug 10. Anytime in August is fine, but earlier will result in a better fall harvest.</t>
  </si>
  <si>
    <t>Winter</t>
  </si>
  <si>
    <t>Tarp - Clear Ground 0X | Field DS SpSuFaWi</t>
  </si>
  <si>
    <t>1 bunch per 2 weeks  (0.4oz) once production is underway. Market Gardner. 7-14 days @ 70 degrees. Sow seeds 6 weeks before last frost. First sewing in April</t>
  </si>
  <si>
    <t>1 bunch per 2 plants every 2 weeks</t>
  </si>
  <si>
    <t>Leeks weigh around 9 ounces. 3 - 4 leeks per bunch</t>
  </si>
  <si>
    <t>TP</t>
  </si>
  <si>
    <t>X</t>
  </si>
  <si>
    <t>Buckwheat</t>
  </si>
  <si>
    <t xml:space="preserve"> Calculate 65 Lbs of harvest per week with 2 solid harvest. Dowding crops for two months._x000B_ Heat Loving. Killed by frost. Sew three weeks before last frost. Harvest at least twice a week. Second sewing mid june early july
</t>
  </si>
  <si>
    <t>Nasturtium</t>
  </si>
  <si>
    <t>Maincrop</t>
  </si>
  <si>
    <t>Sold in 5 lbs bags. Medium carrot weights 0.15 lbs. Sow late may to early july</t>
  </si>
  <si>
    <t>Carrot (Maincrop) - Storage Root 1X | Field DS FaWi</t>
  </si>
  <si>
    <t>https://www.rareseeds.com/kajari-melon</t>
  </si>
  <si>
    <t>Chicon</t>
  </si>
  <si>
    <t>Radicchio</t>
  </si>
  <si>
    <t>Forced Head</t>
  </si>
  <si>
    <t>Young Bulb</t>
  </si>
  <si>
    <t>3 big onions per bunch or 5-6 little ones per bunch. Assuming 2 bunches per 10 seed planting here. Might be high. Dowding distinguishes between salad onions, bulb onions, and overwinter onions. We are going for salad onions.Plant sets after Mar 21. Sew feb to June. Read dowding for overwintering.. Spring salad onions are ready to ahrvest in 10 days.</t>
  </si>
  <si>
    <t>Transplant in mid-August. Assume 4.5 - 6 ounces per onion.</t>
  </si>
  <si>
    <t>Target Field Date</t>
  </si>
  <si>
    <t>Leeks weigh around 9 ounces. 3 - 4 leeks per bunch. Need larger pots</t>
  </si>
  <si>
    <t>Dowding says don't plant after mid june, but I'm curious if we could plant later and let them sit for the winter and fatten in the summer? Apparently, canker could be a problem due to moisture. Good interplanting candidate.</t>
  </si>
  <si>
    <t>Saw 2-3 lb savoys for 5.50 on farmstand.</t>
  </si>
  <si>
    <t>Dowding inspired</t>
  </si>
  <si>
    <t>Kaibroc</t>
  </si>
  <si>
    <t>Loose Florets</t>
  </si>
  <si>
    <t>Flowering Stalks</t>
  </si>
  <si>
    <t>Density</t>
  </si>
  <si>
    <t>Late</t>
  </si>
  <si>
    <t>Austrian Winter Pea</t>
  </si>
  <si>
    <t>Inspiration</t>
  </si>
  <si>
    <t>Dowding</t>
  </si>
  <si>
    <t>See radicchio</t>
  </si>
  <si>
    <t>Dowding &amp; JM</t>
  </si>
  <si>
    <t>JM</t>
  </si>
  <si>
    <t>BG</t>
  </si>
  <si>
    <t>Tender Perrenial Zones 8 - 11. there is also a fall picked configuration of this.</t>
  </si>
  <si>
    <t xml:space="preserve">Plan for 2 cuts. 10 - 12 rows. 8100 lbs/acre. 0.186 lbs/sq ft. </t>
  </si>
  <si>
    <t>Golden</t>
  </si>
  <si>
    <t>Young Shoots</t>
  </si>
  <si>
    <t>Pea Tendril</t>
  </si>
  <si>
    <t>Lb</t>
  </si>
  <si>
    <t>Should be able to plant pretty much all year. Good in early Spring.</t>
  </si>
  <si>
    <t>This is a winter planting for the tunnel. Plant in October. Harvest through May.</t>
  </si>
  <si>
    <t>Should be able to plant pretty much all year. Good in early Spring. This planting might be too dense, but it's worth trying. Needs remay or birds and rabbits will go to town.</t>
  </si>
  <si>
    <t>Lemongrass</t>
  </si>
  <si>
    <t>Shiso</t>
  </si>
  <si>
    <t>bunch</t>
  </si>
  <si>
    <t>Store seeds in freezer for best germination.</t>
  </si>
  <si>
    <t>Artichoke</t>
  </si>
  <si>
    <t>can be harvested from June to October. Young leaves eaten raw. Large leaves cooked. Soak overnight before sewing. Seed in spring through mid summer. Watch for woody stems and prickly leaf tips as plant matures. Not heat loving but needs heat to germinate. Salsola in Grow Something Different.</t>
  </si>
  <si>
    <t>Gooseberry</t>
  </si>
  <si>
    <t>Cape</t>
  </si>
  <si>
    <t>Mature Berry</t>
  </si>
  <si>
    <t>Might need pollination help by tapping flowers. Can pot them up in winter to bring inside. Overwintered crops will start faster the following year. Each plant can product up to 8 pints annually.</t>
  </si>
  <si>
    <t>lb</t>
  </si>
  <si>
    <t>Best planted as a multiyear. Might be possible to intercrop something in the winter and spring.</t>
  </si>
  <si>
    <t>Mature Sprouts</t>
  </si>
  <si>
    <t>Mature Flower</t>
  </si>
  <si>
    <t>Date of harvest is dependent on the variety. Interplant into another crop.</t>
  </si>
  <si>
    <t>Lemongrass - Mature Stalks 1X | Field TP SpSu</t>
  </si>
  <si>
    <t>Dowding has interesting thoughts.</t>
  </si>
  <si>
    <t>Cauliflower - Mature Head 1X | Field TP Fa</t>
  </si>
  <si>
    <t>Medium</t>
  </si>
  <si>
    <t>Flower</t>
  </si>
  <si>
    <t>STH</t>
  </si>
  <si>
    <t>Needs DTM Audit</t>
  </si>
  <si>
    <t>Salsola</t>
  </si>
  <si>
    <t>Corn</t>
  </si>
  <si>
    <t>Normal Method</t>
  </si>
  <si>
    <t>Sweet Early</t>
  </si>
  <si>
    <t>2 plants/bunch Johnnys recommends direct Seeding.</t>
  </si>
  <si>
    <t>Target Sewing Date</t>
  </si>
  <si>
    <t>Target Harvest Data</t>
  </si>
  <si>
    <t>10-15 days (@68 degrees). plant out when air temp is 70 degrees. Grow Malabar spinach in full sun. It does best in fertile, moist but well drained soils. Provide consistent moisture through the season, as the plants tend to go to flower if the soil gets too dry. Start seeds indoors 6-8 weeks before last frost. Plants will not grow much until the heat of summer, and will not do much when night temperatures are consistently below 60°F. Can overwinter cuttings.</t>
  </si>
  <si>
    <t>Start In</t>
  </si>
  <si>
    <t>Assume 4 fruits per plant. Average fruits = +/- 3 lbs. Cantaloupes are more cold tolerant than honeydew and watermelon. Seed indoor mid-march to early april for late may transplanting and aug-sep harvest. Keep nighttime temp above 50. Transplant under cover in mid-may. Wont ripen if shady midsummer temp falls below 75. Germinate best at 90.  Need well drained soil.</t>
  </si>
  <si>
    <t>Petunia</t>
  </si>
  <si>
    <t>7-14 days @ 75 degrees.  Should wait until soil is 60 deg mid may in Woodinville.</t>
  </si>
  <si>
    <t>Spring and summer harvest are large than fall. May through sep produce 1 leaf a day. Sew indoor mid-sep mid-feb. Hearvest cut and come again above the smallest leaf. Can typically get two or three sewings from a cut and come again.  From date of cool weather, spring transplanting. Subtract 10–14 days for late spring or early summer, warm weather transplanting. Add about 14 days for direct seeding.</t>
  </si>
  <si>
    <t>Spring and summer harvest are large than fall. May through sep produce 1 leaf a day. Sew indoor mid-sep mid-feb. Hearvest cut and come again above the smallest leaf. Can typically get two or three sewings from a cut and come again. From date of cool weather, spring transplanting. Subtract 10–14 days for late spring or early summer, warm weather transplanting. Add about 14 days for direct seeding.</t>
  </si>
  <si>
    <t>Start indoors in early spring with bottom heat, and transplant out in warm weather, once night time temperatures are consistently above 10°C (50°F). Cherry product in 3 months, medium in 4, large in 4.5.</t>
  </si>
  <si>
    <t>Assume 12 lbs per plant on average. Sew 8 weeks before last frost. Pot on once they have two true leaves. Top plants out in early august. Cherry product in 3 months, medium in 4, large in 4.5.</t>
  </si>
  <si>
    <t>Sew 8 weeks before last frost. Pot on once they have two true leaves. Top plants out in early august. JM says 150 lbs per bed per week. Cherry product in 3 months, medium in 4, large in 4.5.</t>
  </si>
  <si>
    <t xml:space="preserve">Dowding </t>
  </si>
  <si>
    <t>Beefsteak</t>
  </si>
  <si>
    <t>Assume 12 lbs per plant on average. Sew 8 weeks before last frost. Pot on once they have two true leaves. Top plants out in early august. Cherry product in 3 months, medium in 4, large in 4.5. Cluster 80-90%. Cherry 40-60%. Cocktail 25-50%. P.155 Determinates should be 2 on 24.</t>
  </si>
  <si>
    <t>Susceptible to flea beetle. rich, well-drained soil. Start indoors in late winter to mid-spring, and transplant or direct sow starting around late May. They can also be direct sown in mid-September to October. Flowering miight be triggered by waning light.</t>
  </si>
  <si>
    <t>Irrigation</t>
  </si>
  <si>
    <t>OH</t>
  </si>
  <si>
    <t>DR</t>
  </si>
  <si>
    <t>Height at Maturity</t>
  </si>
  <si>
    <t>OO</t>
  </si>
  <si>
    <t>Chart Index</t>
  </si>
  <si>
    <t>Column Index</t>
  </si>
  <si>
    <t>Match Column</t>
  </si>
  <si>
    <t>Days Until Harvest</t>
  </si>
  <si>
    <t>True Harvest Window</t>
  </si>
  <si>
    <t>Category</t>
  </si>
  <si>
    <t>Green</t>
  </si>
  <si>
    <t>Herb</t>
  </si>
  <si>
    <t>Root</t>
  </si>
  <si>
    <t>Leaf</t>
  </si>
  <si>
    <t>Brassica</t>
  </si>
  <si>
    <t>Solanacea</t>
  </si>
  <si>
    <t>Pea</t>
  </si>
  <si>
    <t>Bean (Bush)</t>
  </si>
  <si>
    <t>Beans (Ruby Moon Beans)</t>
  </si>
  <si>
    <t>Beans (Scarlet Runner Beans)</t>
  </si>
  <si>
    <t>Beans (Winged)</t>
  </si>
  <si>
    <t>Fava Beans (Late Winter)</t>
  </si>
  <si>
    <t>Cabbage (Chinese)</t>
  </si>
  <si>
    <t>Corn  (Squash Interplant)</t>
  </si>
  <si>
    <t>Corn  (Sweet Early)</t>
  </si>
  <si>
    <t>Cucumber (Asian Long)</t>
  </si>
  <si>
    <t>Cucumber (Lebanese)</t>
  </si>
  <si>
    <t>Borage (White Borage)</t>
  </si>
  <si>
    <t>Stock (Antique Pink)</t>
  </si>
  <si>
    <t>Sunflowers (Anarchy Mix)</t>
  </si>
  <si>
    <t>Basil (Italian)</t>
  </si>
  <si>
    <t>Basil (Purple Basil)</t>
  </si>
  <si>
    <t>Dill (White dill)</t>
  </si>
  <si>
    <t>Pepper (Bell)</t>
  </si>
  <si>
    <t>Potato (Early)</t>
  </si>
  <si>
    <t>Radish (Winter)</t>
  </si>
  <si>
    <t>Tomato (Beefsteak)</t>
  </si>
  <si>
    <t>Tomato (Cherry)</t>
  </si>
  <si>
    <t>Tomato (Medium)</t>
  </si>
  <si>
    <t>Grand Total</t>
  </si>
  <si>
    <t>Height At Maturity</t>
  </si>
  <si>
    <t>Height</t>
  </si>
  <si>
    <t>Row Cover</t>
  </si>
  <si>
    <t>None</t>
  </si>
  <si>
    <t>AMAP</t>
  </si>
  <si>
    <t>Young</t>
  </si>
  <si>
    <t>Cover</t>
  </si>
  <si>
    <t>(blank)</t>
  </si>
  <si>
    <t>Sum of Seeds</t>
  </si>
  <si>
    <t>Queen of Malinalco</t>
  </si>
  <si>
    <t>Astro</t>
  </si>
  <si>
    <t>High Mowing</t>
  </si>
  <si>
    <t>Italian Large Leaf</t>
  </si>
  <si>
    <t>Uprising</t>
  </si>
  <si>
    <t>Deep Purple Basil</t>
  </si>
  <si>
    <t>Holy Basil</t>
  </si>
  <si>
    <t>Cupidon</t>
  </si>
  <si>
    <t>Adaptive</t>
  </si>
  <si>
    <t>Ruby Moon</t>
  </si>
  <si>
    <t>Johnny's</t>
  </si>
  <si>
    <t>Scarlet Runner</t>
  </si>
  <si>
    <t>Baker Creek</t>
  </si>
  <si>
    <t>Bachellor's Button Mix</t>
  </si>
  <si>
    <t>Beet Mix</t>
  </si>
  <si>
    <t>Blue</t>
  </si>
  <si>
    <t>Butterfly Flower Mix</t>
  </si>
  <si>
    <t>FILDERKRAUT</t>
  </si>
  <si>
    <t>VERZA MORETTA DI VERONELLA</t>
  </si>
  <si>
    <t>January King</t>
  </si>
  <si>
    <t>Michihili</t>
  </si>
  <si>
    <t>Garden Hoard</t>
  </si>
  <si>
    <t>Napoli F1</t>
  </si>
  <si>
    <t>Osborne</t>
  </si>
  <si>
    <t>Berlin F1 Berlicum</t>
  </si>
  <si>
    <t>Park Seed</t>
  </si>
  <si>
    <t>Mardi F1</t>
  </si>
  <si>
    <t>All The Year Round</t>
  </si>
  <si>
    <t>Tango</t>
  </si>
  <si>
    <t>Misome</t>
  </si>
  <si>
    <t>Kitazawa</t>
  </si>
  <si>
    <t>Green 70 D</t>
  </si>
  <si>
    <t>Shungiku</t>
  </si>
  <si>
    <t>Shungiku, Komi</t>
  </si>
  <si>
    <t>Cilantro Mix</t>
  </si>
  <si>
    <t>Cosmos Mix</t>
  </si>
  <si>
    <t>Tuxana</t>
  </si>
  <si>
    <t>Gelber Nüssler</t>
  </si>
  <si>
    <t>Piedmont</t>
  </si>
  <si>
    <t>Vit Mache</t>
  </si>
  <si>
    <t>Tasty Green F1</t>
  </si>
  <si>
    <t>Unagi</t>
  </si>
  <si>
    <t>Dianthus Mix</t>
  </si>
  <si>
    <t>Ambrosia</t>
  </si>
  <si>
    <t>Green Sleeves</t>
  </si>
  <si>
    <t>Green Mist</t>
  </si>
  <si>
    <t>Wild Garden</t>
  </si>
  <si>
    <t>White Dill</t>
  </si>
  <si>
    <t>Eggplant Mix</t>
  </si>
  <si>
    <t>Fava Mix</t>
  </si>
  <si>
    <t>Perfection</t>
  </si>
  <si>
    <t>Solaris F1</t>
  </si>
  <si>
    <t>Polish White</t>
  </si>
  <si>
    <t>Territorial</t>
  </si>
  <si>
    <t>Apollo</t>
  </si>
  <si>
    <t>King Richard</t>
  </si>
  <si>
    <t>East Indian</t>
  </si>
  <si>
    <t>Rouge d'hiver</t>
  </si>
  <si>
    <t>MERVEILLE DES QUATRE SAISONS</t>
  </si>
  <si>
    <t>Outredgeous</t>
  </si>
  <si>
    <t>Jester</t>
  </si>
  <si>
    <t>Yedikule</t>
  </si>
  <si>
    <t>Brown Goldring</t>
  </si>
  <si>
    <t>Little Gem</t>
  </si>
  <si>
    <t>Barnwood Gem</t>
  </si>
  <si>
    <t>Eruption</t>
  </si>
  <si>
    <t>Muir</t>
  </si>
  <si>
    <t>Dubya Dapple Density</t>
  </si>
  <si>
    <t>BAUER LETTUCE - Pelleted</t>
  </si>
  <si>
    <t>N.P. TRUCHAS - Pelleted</t>
  </si>
  <si>
    <t>RICTUS LETTUCE - Pelleted</t>
  </si>
  <si>
    <t>Red</t>
  </si>
  <si>
    <t>Strictly Medicinal</t>
  </si>
  <si>
    <t>Marigold Mix</t>
  </si>
  <si>
    <t>Minnesota Midget</t>
  </si>
  <si>
    <t>Prairie Road Organic</t>
  </si>
  <si>
    <t>Farthest North Mix</t>
  </si>
  <si>
    <t>Nasturtium Mix</t>
  </si>
  <si>
    <t>Nigella Mix</t>
  </si>
  <si>
    <t>Pansy &amp; Viola Mix</t>
  </si>
  <si>
    <t>Einfache Schnitt 3</t>
  </si>
  <si>
    <t>Cicilian</t>
  </si>
  <si>
    <t>Tendril Pea</t>
  </si>
  <si>
    <t>Hot Pepper Mix</t>
  </si>
  <si>
    <t>Petunia Mix</t>
  </si>
  <si>
    <t>Rubeckia Mix</t>
  </si>
  <si>
    <t>Salsola Mix</t>
  </si>
  <si>
    <t>Sweet Pepper Mix</t>
  </si>
  <si>
    <t>Potato Mix</t>
  </si>
  <si>
    <t>Dara</t>
  </si>
  <si>
    <t>90 Mix</t>
  </si>
  <si>
    <t>110 Mix</t>
  </si>
  <si>
    <t>100 Incantadore</t>
  </si>
  <si>
    <t>Incantadore</t>
  </si>
  <si>
    <t>Rudi</t>
  </si>
  <si>
    <t>Sora</t>
  </si>
  <si>
    <t>Rat Tail Mix</t>
  </si>
  <si>
    <t>Winter Radish Mix</t>
  </si>
  <si>
    <t>Ishikura Long Winter</t>
  </si>
  <si>
    <t>White Spear</t>
  </si>
  <si>
    <t>Snapdragon Mix</t>
  </si>
  <si>
    <t>Verdil</t>
  </si>
  <si>
    <t>Giant Winter</t>
  </si>
  <si>
    <t>Winter Giant</t>
  </si>
  <si>
    <t>Summer Squash Mix</t>
  </si>
  <si>
    <t>Stock Mix</t>
  </si>
  <si>
    <t>Reds</t>
  </si>
  <si>
    <t>Red Hedge</t>
  </si>
  <si>
    <t>Procut White Lite</t>
  </si>
  <si>
    <t>Amaranth Mix</t>
  </si>
  <si>
    <t>French Grey</t>
  </si>
  <si>
    <t>Polka dot (mix)</t>
  </si>
  <si>
    <t>Tall Boy Blue</t>
  </si>
  <si>
    <t>Classic Romantic (reds, pinks, white)</t>
  </si>
  <si>
    <t>Black Button</t>
  </si>
  <si>
    <t>Classic Magic (purple, black)</t>
  </si>
  <si>
    <t>BASKET FLOWER, 'ALOHA BLANCA'</t>
  </si>
  <si>
    <t>Red Ace</t>
  </si>
  <si>
    <t>Chiogga</t>
  </si>
  <si>
    <t>Burpee's Golden</t>
  </si>
  <si>
    <t>Seed Savers</t>
  </si>
  <si>
    <t>Badger Flame</t>
  </si>
  <si>
    <t>Row 7</t>
  </si>
  <si>
    <t>White Queen</t>
  </si>
  <si>
    <t>Lavender Queen</t>
  </si>
  <si>
    <t>Blue Queen</t>
  </si>
  <si>
    <t>Double click mix</t>
  </si>
  <si>
    <t>Daydream</t>
  </si>
  <si>
    <t>ÇENGELKÖY'</t>
  </si>
  <si>
    <t>Diva</t>
  </si>
  <si>
    <t>Velvet 'n Lace'</t>
  </si>
  <si>
    <t>Volcano Mix</t>
  </si>
  <si>
    <t>SPOOKY MIX DIANTHUS</t>
  </si>
  <si>
    <t>Hollandia Purple Crown Mix</t>
  </si>
  <si>
    <t>Dill Mix</t>
  </si>
  <si>
    <t>Poamoho Dark Long</t>
  </si>
  <si>
    <t>Petch Siam</t>
  </si>
  <si>
    <t>Diamond</t>
  </si>
  <si>
    <t>FROG ISLAND NATION</t>
  </si>
  <si>
    <t>AQUADULCE</t>
  </si>
  <si>
    <t>Crackerjack</t>
  </si>
  <si>
    <t>Giant Yellow</t>
  </si>
  <si>
    <t>Giant Orange</t>
  </si>
  <si>
    <t>Coco</t>
  </si>
  <si>
    <t>White Swan</t>
  </si>
  <si>
    <t>Ildkongen</t>
  </si>
  <si>
    <t>Tangerine Gem</t>
  </si>
  <si>
    <t>Shades of Gold Mix</t>
  </si>
  <si>
    <t>Kajari Melon</t>
  </si>
  <si>
    <t>Orchid Cream</t>
  </si>
  <si>
    <t>Tip Top Rose Nasturtium</t>
  </si>
  <si>
    <t>Salmon Baby</t>
  </si>
  <si>
    <t>Empress of India</t>
  </si>
  <si>
    <t>Cramer's Plum</t>
  </si>
  <si>
    <t>Love-in-a-Mist</t>
  </si>
  <si>
    <t>STUTTGARTER RIESEN</t>
  </si>
  <si>
    <t>Rose de Roscoff Keravel</t>
  </si>
  <si>
    <t>Black Devil Pansy</t>
  </si>
  <si>
    <t>Frizzle Sizzle Yellow Blue Swirl</t>
  </si>
  <si>
    <t>Brush Strokes</t>
  </si>
  <si>
    <t>Tiger Laeta</t>
  </si>
  <si>
    <t>Frizzle Sizzle Lemonberry</t>
  </si>
  <si>
    <t>Frizzle Sizzle Mini tapestry</t>
  </si>
  <si>
    <t>Celestial Blue Pansy</t>
  </si>
  <si>
    <t>Biquinho Red</t>
  </si>
  <si>
    <t>Biquinho Yellow</t>
  </si>
  <si>
    <t>Peace Bell</t>
  </si>
  <si>
    <t>ELEPHANT'S EAR</t>
  </si>
  <si>
    <t>Superbissima Cerny's Triumph</t>
  </si>
  <si>
    <t>Superbissima Cosmic Cherry</t>
  </si>
  <si>
    <t>Superbissima Giant Alba</t>
  </si>
  <si>
    <t>Superbissima Giant Rose</t>
  </si>
  <si>
    <t>OG Viking Purple Potato</t>
  </si>
  <si>
    <t>Irish Eyes</t>
  </si>
  <si>
    <t>Allred</t>
  </si>
  <si>
    <t>PACIFICO</t>
  </si>
  <si>
    <t>LENTIGGINI</t>
  </si>
  <si>
    <t>REGINA ROSSA</t>
  </si>
  <si>
    <t>BEATRICE</t>
  </si>
  <si>
    <t>Rat Tail Purple</t>
  </si>
  <si>
    <t>Rat Tail</t>
  </si>
  <si>
    <t>Sahara</t>
  </si>
  <si>
    <t>Autum Sunset</t>
  </si>
  <si>
    <t>Rudbeckia hirta</t>
  </si>
  <si>
    <t>Anemones</t>
  </si>
  <si>
    <t>Tall Triloba</t>
  </si>
  <si>
    <t>Gloriosa Double Daisy</t>
  </si>
  <si>
    <t>Chim Chiminee</t>
  </si>
  <si>
    <t>Shawo Fruit/ Pusa Gulabi</t>
  </si>
  <si>
    <t>Okhura Winter Queen Daikon</t>
  </si>
  <si>
    <t>Apaptive</t>
  </si>
  <si>
    <t>SCHWARZER RUNDER RADISH</t>
  </si>
  <si>
    <t>Agretti Roscano Saltwort</t>
  </si>
  <si>
    <t>Salsola komarovii</t>
  </si>
  <si>
    <t>Madam Butterfly Mix</t>
  </si>
  <si>
    <t>LION'S MOUTH BLEND</t>
  </si>
  <si>
    <t>Centercut</t>
  </si>
  <si>
    <t>Zephyr</t>
  </si>
  <si>
    <t>COSTATA ROMANESCO ZUCCHINI</t>
  </si>
  <si>
    <t>COCOZELLE</t>
  </si>
  <si>
    <t>Iron Pastel Mix</t>
  </si>
  <si>
    <t>Katz Formula Mix</t>
  </si>
  <si>
    <t>Honeypatch</t>
  </si>
  <si>
    <t>Waltham</t>
  </si>
  <si>
    <t>Honeynut</t>
  </si>
  <si>
    <t>Robin's Koginut</t>
  </si>
  <si>
    <t>PIENNOLO ROSSO</t>
  </si>
  <si>
    <t>Brad's Atomic Grape</t>
  </si>
  <si>
    <t>Sungold F1</t>
  </si>
  <si>
    <t>SWEET ORANGE II</t>
  </si>
  <si>
    <t>Sungella</t>
  </si>
  <si>
    <t>Umberto</t>
  </si>
  <si>
    <t>Totally Tomatoes</t>
  </si>
  <si>
    <t>Nepal</t>
  </si>
  <si>
    <t>Yellow Bell</t>
  </si>
  <si>
    <t>Tomato Fest</t>
  </si>
  <si>
    <t>Pinky</t>
  </si>
  <si>
    <t>Green Giant</t>
  </si>
  <si>
    <t>Mary Reynold's</t>
  </si>
  <si>
    <t>Grow Artisan</t>
  </si>
  <si>
    <t>True Love</t>
  </si>
  <si>
    <t>Brandywine</t>
  </si>
  <si>
    <t>Mortgage Lifter</t>
  </si>
  <si>
    <t>Southern Exposure</t>
  </si>
  <si>
    <t>Hugh's</t>
  </si>
  <si>
    <t>Opopeo</t>
  </si>
  <si>
    <t>Love Lies Bleeding</t>
  </si>
  <si>
    <t>Emerald Tassels</t>
  </si>
  <si>
    <t>Percent</t>
  </si>
  <si>
    <t>Basil Mix</t>
  </si>
  <si>
    <t>Zanzico</t>
  </si>
  <si>
    <t>Golden Mountain Sweet Thai</t>
  </si>
  <si>
    <t>Sub Category</t>
  </si>
  <si>
    <t>Organic</t>
  </si>
  <si>
    <t>Website</t>
  </si>
  <si>
    <t>Oka Hijiki</t>
  </si>
  <si>
    <t>https://kitazawaseed.com/products/seaweed-mustard-seeds-oka-hijiki</t>
  </si>
  <si>
    <t>https://www.johnnyseeds.com/herbs/saltwort/saltwort-herb-seed-2677.11.html</t>
  </si>
  <si>
    <t>https://www.westcoastseeds.com/products/salsola</t>
  </si>
  <si>
    <t>https://uprisingorganics.com/collections/amaranth/products/amaranth-love-lies-bleeding</t>
  </si>
  <si>
    <t>Velvet Curtains (Johnny's replacement for Red Spike</t>
  </si>
  <si>
    <t>Coral Foundain</t>
  </si>
  <si>
    <t>https://www.johnnyseeds.com/flowers/amaranthus/emerald-tassels-amaranthus-seed-1786.html</t>
  </si>
  <si>
    <t>Hot Biscuits</t>
  </si>
  <si>
    <t>https://uprisingorganics.com/collections/amaranth/products/amaranth-hot-biscuits</t>
  </si>
  <si>
    <t>seed savers</t>
  </si>
  <si>
    <t>https://www.seedsavers.org/apollo-arugula</t>
  </si>
  <si>
    <t>https://www.highmowingseeds.com/organic-non-gmo-astro-arugula.html</t>
  </si>
  <si>
    <t>https://www.highmowingseeds.com/organic-non-gmo-komatsuna-asian-greens.html</t>
  </si>
  <si>
    <t>Tatsoi</t>
  </si>
  <si>
    <t>https://www.highmowingseeds.com/organic-non-gmo-polka-dot-bachelor-button.html</t>
  </si>
  <si>
    <t>https://www.johnnyseeds.com/flowers/centaurea-bachelors-button/tall-blue-boy-organic-centaurea-seed-4656G.html</t>
  </si>
  <si>
    <t>https://www.johnnyseeds.com/flowers/centaurea-bachelors-button/classic-romantic-centaurea-seed-4678.html</t>
  </si>
  <si>
    <t>https://www.johnnyseeds.com/flowers/centaurea-bachelors-button/black-button-centaurea-seed-3435.html</t>
  </si>
  <si>
    <t>https://www.johnnyseeds.com/flowers/centaurea-bachelors-button/classic-magic-centaurea-seed-3306.html</t>
  </si>
  <si>
    <t>Relative</t>
  </si>
  <si>
    <t>https://uprisingorganics.com/collections/bachelors-button/products/basket-flower-aloha-blanca</t>
  </si>
  <si>
    <t>https://uprisingorganics.com/collections/herbs/products/basil-tulsi-sacred-basil-holy-basil?_pos=1&amp;_sid=cacddacd5&amp;_ss=r</t>
  </si>
  <si>
    <t>https://www.adaptiveseeds.com/product/herbs/basil-golden-mountain-sweet-thai-mix-organic/</t>
  </si>
  <si>
    <t>Genovese</t>
  </si>
  <si>
    <t>https://www.highmowingseeds.com/organic-non-gmo-genovese-basil.html</t>
  </si>
  <si>
    <t>Lemon</t>
  </si>
  <si>
    <t>https://www.wildgardenseed.com/product_info.php?cPath=58&amp;products_id=608</t>
  </si>
  <si>
    <t>Purple</t>
  </si>
  <si>
    <t>https://www.highmowingseeds.com/organic-non-gmo-deep-purple-basil.html</t>
  </si>
  <si>
    <t>Itallian</t>
  </si>
  <si>
    <t>https://uprisingorganics.com/products/basil-italian-largeleaf?_pos=2&amp;_sid=86892f78d&amp;_ss=r</t>
  </si>
  <si>
    <t>Provider</t>
  </si>
  <si>
    <t>https://www.highmowingseeds.com/organic-non-gmo-provider-bush-bean.html</t>
  </si>
  <si>
    <t>Empress (mid summer prefered)</t>
  </si>
  <si>
    <t>https://uprisingorganics.com/collections/bush-snap/products/bean-bush-snap-empress</t>
  </si>
  <si>
    <t>https://www.adaptiveseeds.com/product/vegetables/beans/bush-snap-bean-cupidon-organic/</t>
  </si>
  <si>
    <t>Yard Long</t>
  </si>
  <si>
    <t>Everwilde</t>
  </si>
  <si>
    <t>https://www.everwilde.com/store/Yard-Long-Bean-Black-Mix-Yard-Long-Bean.html</t>
  </si>
  <si>
    <t>https://www.johnnyseeds.com/flowers/hyacinth-bean/ruby-moon-hyacinth-bean-seed-1002.html</t>
  </si>
  <si>
    <t>https://www.johnnyseeds.com/flowers/scarlet-runner-bean/scarlet-runner-bean-flower-seed-1000.html</t>
  </si>
  <si>
    <t>https://www.rareseeds.com/bean-winged-urizun-japanese</t>
  </si>
  <si>
    <t>Touchstone Gold</t>
  </si>
  <si>
    <t>https://uprisingorganics.com/products/beet-touchstone-gold?_pos=7&amp;_sid=16f9103e9&amp;_ss=r</t>
  </si>
  <si>
    <t>https://uprisingorganics.com/products/beet-chioggia?_pos=3&amp;_sid=16f9103e9&amp;_ss=r</t>
  </si>
  <si>
    <t>Bull's Blood</t>
  </si>
  <si>
    <t>https://www.highmowingseeds.com/organic-non-gmo-bull-s-blood-beet.html</t>
  </si>
  <si>
    <t>Boro F1</t>
  </si>
  <si>
    <t>https://www.seedsavers.org/burpees-golden-organic-beet</t>
  </si>
  <si>
    <t>https://www.rareseeds.com/store/vegetables/bok-choy/chijimisai</t>
  </si>
  <si>
    <t>https://www.rareseeds.com/borage-white</t>
  </si>
  <si>
    <t>https://www.adaptiveseeds.com/product/herbs/borage-organic/</t>
  </si>
  <si>
    <t>https://www.rareseeds.com/butterfly-pea-white-queen</t>
  </si>
  <si>
    <t>https://www.rareseeds.com/butterfly-pea-lavender-queen</t>
  </si>
  <si>
    <t>https://www.rareseeds.com/butterfly-pea-blue-queen</t>
  </si>
  <si>
    <t>(Brassica oleracea)*Ark of Taste Heirloom* Hands down our favorite cabbage. We searched for seed after first seeing it at the Slow Food “Salone del Gusto” food fair held in Torino, Italy in 2006 where its unusual conical shape and sweet flavor made a lasting impression. And I’m not talking about “egghead” conical; Filder is a cartoonish gnome hat extreme reaching sizes of a foot wide and two feet tall. Named for the region it hails from, near Stuttgart in southern Germany, it is traditionally a sauerkraut cabbage and in our opinion the very best there is. Written records of the variety date back to the 1700’s but with the mechanization of the kraut industry in the mid 20th century, it fell out of favor due to its awkward shape for mechanical processing. Having maintained a regional following, it was boarded on Germany’s Slow Food Ark of Taste, and has since then found a wider audience. A long season, fall cropper it can reach huge sizes (10+ lbs), with a single cabbage filling a 3-gallon crock for us last year. And please, it shouldn’t just be thought of as a processing cabbage. It is hands down the best tasting, sweetest cultivar we’ve tried with none of the sulfur-y pungency that mars many of the modern varieties available, and is a good medium-term storage head to boot. This is one of the varieties that we feel like is at the core of our seed work. Strongly recommended, especially for fermenting enthusiasts.
100-120 days. UO</t>
  </si>
  <si>
    <t>https://uprisingorganics.com/collections/cabbage/products/cabbage-filderkraut</t>
  </si>
  <si>
    <t>Brassica oleracea. 160-210 days.
January King certainly reigns supreme amongst winter cabbages. Beautiful purplish plants form light green winter savoy type heads with purple outer leaves. When growing for our winter CSA, we relied on this variety for its firm, semi-flat, well-filled, 3-5 lb heads from January into March. We sourced several strains with a lot of variability between sources but found a clear winner in the West Coast Seeds selection which overwintered under row cover and a good covering of snow. It also survived our exceptional 5°F lows in 2013. We also preferred its vigor, uniformity, shape and color over other strains. Plant out in early July for fantastic cabbage all winter long (through zone 7); William Woys Weaver, located in Pennsylvania, says he sows in January for early summer harvest.</t>
  </si>
  <si>
    <t>https://www.adaptiveseeds.com/product/vegetables/cabbage/cabbage-january-king-organic/</t>
  </si>
  <si>
    <t>Deadon F1</t>
  </si>
  <si>
    <t>https://www.highmowingseeds.com/organic-non-gmo-deadon-f1-cabbage.html</t>
  </si>
  <si>
    <t>Purple Haze</t>
  </si>
  <si>
    <t>https://www.osborneseed.com/catalog/item-content/77181/purple-haze-f1/pr_77181</t>
  </si>
  <si>
    <t>Kyoto Red</t>
  </si>
  <si>
    <t>https://www.rareseeds.com/store/vegetables/carrots/kyoto-red-carrot</t>
  </si>
  <si>
    <t>https://www.osborneseed.com/catalog/item-content/77169/napoli-f1/pr_77169/cp_/catalog/seed-form/organic/carrot</t>
  </si>
  <si>
    <t>https://kitazawaseed.com/products/carrot-seeds-kyoto-red?variant=42229261959402</t>
  </si>
  <si>
    <t>Victoria (pelleted)</t>
  </si>
  <si>
    <t>https://www.osborneseed.com/catalog/item-content/77241/victoria-f1/pr_77241/cp_/catalog/seed-form/pelleted/celery</t>
  </si>
  <si>
    <t>https://www.rareseeds.com/chijimisai</t>
  </si>
  <si>
    <t>https://www.rareseeds.com/choy-sum-50-day</t>
  </si>
  <si>
    <t>https://www.johnnyseeds.com/vegetables/greens/asian-greens/green-70-d-improved-asian-green-seed-4031.html</t>
  </si>
  <si>
    <t>https://www.adaptiveseeds.com/product/vegetables/greens/shungiku-komi-organic/</t>
  </si>
  <si>
    <t>Pokey Joe</t>
  </si>
  <si>
    <t>https://uprisingorganics.com/collections/herbs/products/cilantro-pokey-joe?_pos=1&amp;_sid=1dfa0d036&amp;_ss=r</t>
  </si>
  <si>
    <t>Rak Tamachat</t>
  </si>
  <si>
    <t>https://www.adaptiveseeds.com/product/herbs/cilantro-rak-tamachat-organic/</t>
  </si>
  <si>
    <t>Double Red</t>
  </si>
  <si>
    <t>https://www.adaptiveseeds.com/product/vegetables/corn/sweet-corn-double-red-organic/</t>
  </si>
  <si>
    <t>Natural Sweet</t>
  </si>
  <si>
    <t>https://www.highmowingseeds.com/organic-non-gmo-vit-mache.html</t>
  </si>
  <si>
    <t>https://www.adaptiveseeds.com/product/vegetables/greens/corn-salad-gelber-nussler/</t>
  </si>
  <si>
    <t>https://www.adaptiveseeds.com/product/vegetables/greens/corn-salad-piedmont-organic/</t>
  </si>
  <si>
    <t>https://www.johnnyseeds.com/flowers/cosmos/double-click-bicolor-violet-cosmos-seed-3311.html</t>
  </si>
  <si>
    <t>https://www.adaptiveseeds.com/product/flowers/cosmos-daydream-organic/</t>
  </si>
  <si>
    <t>https://www.highmowingseeds.com/organic-non-gmo-tasty-green-f1-cucumber.html</t>
  </si>
  <si>
    <t>Sashimi</t>
  </si>
  <si>
    <t>Dark, glossy, and very attractive. Maintains crispness and a uniform shape over a wide range of sizes, so you can harvest anywhere from 8–12" long. Small seed cavities and delightful sweetness. Powdery mildew resistance is significantly improved over Tasty Jade and Nokya. Fully gynoecious and parthenocarpic, which is unique for its type. Earlier than Tasty Jade, which has been dropped by our supplier. Intermediate resistance to powdery mildew and target spot. Avg. 17,200 seeds/lb. Packet: 30 seeds.</t>
  </si>
  <si>
    <t>Poniente</t>
  </si>
  <si>
    <t>Poniente offers an upgrade from Tyria with added resistance to cucumber mosaic virus (CMV) and cucumber vein yellowing virus (CVYV). Bitter-free, 12–13" fruits grow straight with trellising and fill out well. Excellent vigor and yield potential. Gynoecious and parthenocarpic. High resistance to scab; and intermediate resistance to cucumber mosaic virus, cucumber vein yellowing virus, and powdery mildew. USDA Certified Organic. Avg. 15,300 seeds/lb. Mini: 10 seeds. Packet: 30 seeds.</t>
  </si>
  <si>
    <t>Çengelköy is a neighborhood on the Asian shore of the Bosphorous Strait, a bustling waterway plied by passenger ferries and fishing boats, which cleaves the city of Istanbul in two. Now known for historic wooden seaside mansions, cozy tea gardens, friendly stray cats and a relaxed atmosphere, this area was once rich in market gardens producing this cucumber and other produce for Istanbul’s markets. Typically harvested when rather small, in the 4-5” range, it is light green and sweet with a wholesome crunch, bright flavor and very few seeds. The plants are uniform and productive, putting out loads of straight, skinny cucumbers that have long been a crowd-pleaser. Çengelköy is excellent for pickling and general snacking, but most importantly for preparing a simple Turkish breakfast with your friends on a ferry as you dream of Istanbul: “I’m pretty sure it was a cucumber, a crunchy çengelköy cucumber, that hooked me on Istanbul. That cuke - allied with a briny slab of feta-like beyaz peynir cheese, crinkly olives, and simit, a dense sesame-crusted bread ring – was my breakfast on a windswept deck of a commuter ferry crossing the Bosphorous…” – Anya von Bremzen, Saveur 2016. Dr. Mehmet Öztan of Two Seeds in a Pod seed company introduced this variety to the U.S. market a few years ago through his catalog, which specializes in heirloom Turkish varieties. He graciously shared seed with us so that this important variety can be grown by more farmers and gardeners. Thanks, Mehmet!</t>
  </si>
  <si>
    <t>https://uprisingorganics.com/collections/cucumbers/products/cucumber-cengelkoy</t>
  </si>
  <si>
    <t>socrates F1</t>
  </si>
  <si>
    <t>Plants do not require pollination; good for seedless production, but seeds will form if insects are present. Adaptable to field or tunnels but especially suited to fall or winter where light levels are low and powdery mildew is present. Plants are gynoecious and parthenocarpic.</t>
  </si>
  <si>
    <t>https://www.highmowingseeds.com/organic-non-gmo-socrates-f1-cucumber.html</t>
  </si>
  <si>
    <t>Cafe, and others</t>
  </si>
  <si>
    <t>Zephyros</t>
  </si>
  <si>
    <t>https://app.barn2door.com/zephyrosfarmandgarden/all</t>
  </si>
  <si>
    <t>https://www.wildgardenseed.com/product_info.php?cPath=93_123&amp;products_id=447</t>
  </si>
  <si>
    <t>https://www.johnnyseeds.com/flowers/dianthus-sweet-william/volcano-mix-organic-dianthus-seed-1988G.html</t>
  </si>
  <si>
    <t>https://www.rareseeds.com/dianthus-spooky-mix</t>
  </si>
  <si>
    <t>decent alternative to Johnny's sweet purple white</t>
  </si>
  <si>
    <t>https://www.adaptiveseeds.com/product/flowers/sweet-william-hollandia-purple-crown-mix-organic/</t>
  </si>
  <si>
    <t>GoldKrone</t>
  </si>
  <si>
    <t>https://uprisingorganics.com/collections/herbs/products/dill-goldkrone?_pos=1&amp;_sid=5ae0d082c&amp;_ss=r</t>
  </si>
  <si>
    <t>https://www.adaptiveseeds.com/product/herbs/dill-ambrosia-organic/</t>
  </si>
  <si>
    <t>https://www.highmowingseeds.com/organic-non-gmo-greensleeves-dill.html</t>
  </si>
  <si>
    <t>Ella Organic</t>
  </si>
  <si>
    <t>https://www.westcoastseeds.com/products/ella-organic</t>
  </si>
  <si>
    <t>White/Ammi Cut Flower</t>
  </si>
  <si>
    <t>https://www.wildgardenseed.com/product_info.php?cPath=93_168&amp;products_id=607</t>
  </si>
  <si>
    <t>https://www.wildgardenseed.com/product_info.php?cPath=93_168&amp;products_id=606</t>
  </si>
  <si>
    <t>https://www.swallowtailgardenseeds.com/perennials/anchusa.html</t>
  </si>
  <si>
    <t>Diana</t>
  </si>
  <si>
    <t>https://www.osborneseed.com/catalog/item-content/77554/bean-fava-diana/pr_77554</t>
  </si>
  <si>
    <t>Selma Fino</t>
  </si>
  <si>
    <t>Another stellar bulbing/Florence fennel with an excellent sweet anise-like flavor that mellows with cooking. In organic farm trials throughout western Oregon, Selma Fino is usually the sweetest tasting. Takes about 80 days to form full-sized bulbs, however it can be harvested sooner at a smaller size. Very white bulbs are fairly uniform and won’t prematurely bolt if planted in spring. Tops can be used as a fresh herb, adding a mellow fennel flavor to dishes or salads. Unique compared to other bulb type fennel, some plants have a perennial nature.</t>
  </si>
  <si>
    <t>https://www.adaptiveseeds.com/product/vegetables/fennel/fennel-selma-fino-organic/</t>
  </si>
  <si>
    <t>https://www.highmowingseeds.com/organic-non-gmo-solaris-f1-fennel.html</t>
  </si>
  <si>
    <t>https://www.wildgardenseed.com/product_info.php?cPath=43_72&amp;products_id=105</t>
  </si>
  <si>
    <t>https://www.wildgardenseed.com/product_info.php?cPath=43_74&amp;products_id=251</t>
  </si>
  <si>
    <t>Fristina</t>
  </si>
  <si>
    <t>https://www.adaptiveseeds.com/product/vegetables/lettuce/lettuce-fristina-organic/</t>
  </si>
  <si>
    <t>https://www.adaptiveseeds.com/product/garlic-shallots/polish-white-seed-garlic-organic/</t>
  </si>
  <si>
    <t>Bangkok</t>
  </si>
  <si>
    <t>https://www.adaptiveseeds.com/product/garlic-shallots/hardneck-seed-garlic/bangkok-seed-garlic-organic/</t>
  </si>
  <si>
    <t>https://uprisingorganics.com/products/sweet-pepper-jimmy-nardello?_pos=7&amp;_sid=b9a2ab625&amp;_ss=r</t>
  </si>
  <si>
    <t>Korean</t>
  </si>
  <si>
    <t>https://www.adaptiveseeds.com/product/vegetables/peppers/hot-pepper-korean-organic/</t>
  </si>
  <si>
    <t>Green Onion</t>
  </si>
  <si>
    <t>https://www.adaptiveseeds.com/product/vegetables/onions/green-onions-white-spear-organic/</t>
  </si>
  <si>
    <t>https://uprisingorganics.com/products/scallion-ishikura-long-winter?_pos=1&amp;_sid=04d2ed212&amp;_ss=r</t>
  </si>
  <si>
    <t>Shishito</t>
  </si>
  <si>
    <t>Red Aztec Spinach</t>
  </si>
  <si>
    <t>https://www.wildgardenseed.com/index.php?cPath=39</t>
  </si>
  <si>
    <t>White Tokyo Long</t>
  </si>
  <si>
    <t>https://www.everwilde.com/store/Organic-White-Tokyo-Long-Onion-Seeds.html</t>
  </si>
  <si>
    <t>AUNT MOLLY'S</t>
  </si>
  <si>
    <t>(aka husk cherry, cape gooseberry)(Physalis pruinosa) About the closest we can come to real tropical fruit flavor from our northwest garden! Related to the tomatillo, ground cherries are low growing plants that produce an abundance of fruit about the size of a large marble enclosed in papery husks. The flavor can best be described as a combination of banana and pineapple with a hint of muskiness from its nightshade lineage. When ripe, the yellow fruit drops with the husk attached and can easily be gathered from around the base of the plant. Great for snacking out of hand and also makes a nice dried fruit, jam, or chutney. The small fruits will keep in their husks from 2-3 weeks.</t>
  </si>
  <si>
    <t>https://uprisingorganics.com/products/ground-cherry-aunt-mollys?_pos=1&amp;_sid=fd6489ca0&amp;_ss=r</t>
  </si>
  <si>
    <t>tiny peppers</t>
  </si>
  <si>
    <t>https://uprisingorganics.com/products/hot-pepper-biquinho-red?_pos=1&amp;_sid=788eb565b&amp;_ss=r</t>
  </si>
  <si>
    <t>https://uprisingorganics.com/products/hot-pepper-biquinho-yellow?_pos=2&amp;_sid=788eb565b&amp;_ss=r</t>
  </si>
  <si>
    <t>Basque</t>
  </si>
  <si>
    <t>https://uprisingorganics.com/products/hot-pepper-basque?_pos=1&amp;_sid=b9a2ab625&amp;_ss=r</t>
  </si>
  <si>
    <t>Adaptive Early Thai</t>
  </si>
  <si>
    <t>https://www.adaptiveseeds.com/product/vegetables/peppers/hot-pepper-adaptive-early-thai-grex-organic/</t>
  </si>
  <si>
    <t>Bastan</t>
  </si>
  <si>
    <t>https://www.seedsavers.org/jelly-melon-organic-cucumber?custcol_sca_sizeweightqty=6</t>
  </si>
  <si>
    <t>cream with red streaks</t>
  </si>
  <si>
    <t>https://www.rareseeds.com/orchid-cream-nasturtium</t>
  </si>
  <si>
    <t>EZPark</t>
  </si>
  <si>
    <t>https://www.highmowingseeds.com/organic-non-gmo-nigella.html</t>
  </si>
  <si>
    <t>Merlot</t>
  </si>
  <si>
    <t>https://uprisingorganics.com/collections/vegetables/products/lettuce-merlot?_pos=1&amp;_sid=43c5c95ee&amp;_ss=r</t>
  </si>
  <si>
    <t>https://strictlymedicinalseeds.com/product/spinach-malabar-red-basella-rubra-packet-of-10-seeds/</t>
  </si>
  <si>
    <t>https://www.osborneseed.com/catalog/item-content/78968/crackerjack-giant-mix/pr_78968/cp_/catalog/flowers/edible-flowers</t>
  </si>
  <si>
    <t>https://www.johnnyseeds.com/flowers/marigold/giant-yellow-marigold-seed-1884.html</t>
  </si>
  <si>
    <t>https://www.johnnyseeds.com/flowers/marigold/giant-orange-marigold-seed-1883.html</t>
  </si>
  <si>
    <t>https://www.johnnyseeds.com/flowers/marigold/white-swan-f1-marigold-seed-4641.html</t>
  </si>
  <si>
    <t>Season long, short plants, small single petal flowers, good culinary</t>
  </si>
  <si>
    <t>https://www.adaptiveseeds.com/product/flowers/marigold-ildkongen-organic/</t>
  </si>
  <si>
    <t>https://www.adaptiveseeds.com/product/flowers/marigold-tangerine-gem-organic/</t>
  </si>
  <si>
    <t>https://www.rareseeds.com/store/vegetables/new-items-2019/chinese-shawo-fruit-radish</t>
  </si>
  <si>
    <t>shades or rose and pinks</t>
  </si>
  <si>
    <t>https://www.rareseeds.com/tip-top-rose-nasturtium</t>
  </si>
  <si>
    <t>Salmon pink</t>
  </si>
  <si>
    <t>https://www.osborneseed.com/catalog/item-content/88847/salmon-baby/pr_88847/cp_/catalog/flowers/nasturtiums</t>
  </si>
  <si>
    <t>Bright red</t>
  </si>
  <si>
    <t>https://www.johnnyseeds.com/flowers/nasturtium/empress-of-india-organic-nasturtium-seed-1824G.html</t>
  </si>
  <si>
    <t>https://www.highmowingseeds.com/organic-non-gmo-cramers-plum-nigella.html</t>
  </si>
  <si>
    <t>https://www.adaptiveseeds.com/product/flowers/nigella-exotic-love-in-a-mist-organic/</t>
  </si>
  <si>
    <t>https://www.adaptiveseeds.com/product/garlic-shallots/french-grey-shallot-seed-organic/</t>
  </si>
  <si>
    <t>Shanghai Green</t>
  </si>
  <si>
    <t>https://www.highmowingseeds.com/organic-non-gmo-shanghai-green-pac-choy.html</t>
  </si>
  <si>
    <t>Bopak</t>
  </si>
  <si>
    <t>https://www.osborneseed.com/catalog/item-content/88824/bopak-f1/pr_88824/cp_/catalog/organic/pak-choi</t>
  </si>
  <si>
    <t>https://www.johnnyseeds.com/flowers/viola-pansy/frizzle-sizzle-yellow-blue-swirl-viola-seed-4453.html</t>
  </si>
  <si>
    <t>https://www.johnnyseeds.com/flowers/viola-pansy/brush-strokes-viola-seed-4562.html</t>
  </si>
  <si>
    <t>https://www.rareseeds.com/tiger-laeta-viola</t>
  </si>
  <si>
    <t>https://www.osborneseed.com/catalog/item-content/88882/frizzle-sizzle-lemonberry/pr_88882/cp_/catalog/seed-form/untreated/flowers</t>
  </si>
  <si>
    <t>https://www.johnnyseeds.com/flowers/viola-pansy/frizzle-sizzle-mini-tapestry-viola-seed-4645.html</t>
  </si>
  <si>
    <t>Petunias</t>
  </si>
  <si>
    <t>https://www.rareseeds.com/petunia-cernys-triumph-superbissima-mix</t>
  </si>
  <si>
    <t>cherry flavor</t>
  </si>
  <si>
    <t>https://www.rareseeds.com/petunia-cosmic-cherry-superbissima</t>
  </si>
  <si>
    <t>cherry almound flavor</t>
  </si>
  <si>
    <t>https://www.rareseeds.com/petunia-superbissima-giant-alba</t>
  </si>
  <si>
    <t>https://www.rareseeds.com/petunia-rosea-superbissima</t>
  </si>
  <si>
    <t>(Physalis ixocarpa) This unique tomatillo comes from the Mexican town of Malinalco, about 70 miles southwest of Mexico City. Elongated, tapering fruits ripen to bright yellow and are much sweeter than most tomatillos with a flavor somewhere between a tomatillo and the sweeter more tropical notes of a ground cherry. Excellent grilled and diced or pureed for a fruitier version of salsa verde.</t>
  </si>
  <si>
    <t>https://uprisingorganics.com/products/tomatillo-queen-of-malinalco</t>
  </si>
  <si>
    <t>https://www.wildgardenseed.com/product_info.php?cPath=93_151&amp;products_id=533</t>
  </si>
  <si>
    <t>Grape</t>
  </si>
  <si>
    <t>https://www.gardenhoard.com/tomato-brad-s-atomic-grape-seeds.html</t>
  </si>
  <si>
    <t>Pink Berkeley Tie-Dye</t>
  </si>
  <si>
    <t>Solar Flare</t>
  </si>
  <si>
    <t>https://www.osborneseed.com/catalog/item-content/78813/solar-flare/pr_78813</t>
  </si>
  <si>
    <t>De Cicco/Santee</t>
  </si>
  <si>
    <t>Johnny's/Territorial</t>
  </si>
  <si>
    <t>https://www.seedsavers.org/rat-tailed-radish?custcol_sca_sizeweightqty=26</t>
  </si>
  <si>
    <t>Atomic Fusion</t>
  </si>
  <si>
    <t>https://www.gardenhoard.com/tomato-atomic-fusion-seeds.html</t>
  </si>
  <si>
    <t>https://uprisingorganics.com/collections/rudbeckia/products/rudbeckia-sahara</t>
  </si>
  <si>
    <t>https://uprisingorganics.com/collections/rudbeckia/products/rudbeckia-autumn-sunset</t>
  </si>
  <si>
    <t>https://www.highmowingseeds.com/flowers/organic-non-gmo-rudbeckia.html</t>
  </si>
  <si>
    <t>https://www.wildgardenseed.com/product_info.php?cPath=93_96&amp;products_id=733</t>
  </si>
  <si>
    <t>https://www.wildgardenseed.com/product_info.php?cPath=93_96&amp;products_id=747</t>
  </si>
  <si>
    <t>https://www.wildgardenseed.com/product_info.php?cPath=93_96&amp;products_id=641</t>
  </si>
  <si>
    <t>https://www.wildgardenseed.com/product_info.php?cPath=93_96&amp;products_id=688</t>
  </si>
  <si>
    <t>Praire Sun</t>
  </si>
  <si>
    <t>https://www.wildgardenseed.com/product_info.php?cPath=93_96&amp;products_id=698</t>
  </si>
  <si>
    <t>likely african variety similar to the giants</t>
  </si>
  <si>
    <t>https://www.wildgardenseed.com/product_info.php?cPath=93_134&amp;products_id=376</t>
  </si>
  <si>
    <t>The ancient ‘greasy’ lettuce of historic Constantinople! Ancient variety that has been grown by urban farmers near modern-day Istanbul, Turkey, for the past 1,500 years. This variety has been cultivated for centuries in Istanbul’s famous urban gardens, called Bostanlar. These ancient gardens are now threatened by urban sprawl; thankfully, there has been a resurgence of attention from local seed savers to keep this variety from going extinct. This variety has been recognized by the Ark of Taste as a beloved culinary symbol of the historic gardens. A romaine type with long leaves, a crisp center and white seeds. Locals report that the incredible flavor and tender leaves are so juicy and high in natural oils that there is no need for dressing. Thanks to Kathleen Jantz-Koprivnik for bringing this variety to our attention and for working so hard to grow us seeds. We are delighted to offer this culturally important and highly gourmet variety!</t>
  </si>
  <si>
    <t>https://www.rareseeds.com/store/vegetables/new-items-2019/yedikule-lettuce</t>
  </si>
  <si>
    <t>Ramrod</t>
  </si>
  <si>
    <t>https://www.westcoastseeds.com/products/ramrod</t>
  </si>
  <si>
    <t>https://www.wildgardenseed.com/product_info.php?cPath=43_72&amp;products_id=84</t>
  </si>
  <si>
    <t>https://www.johnnyseeds.com/flowers/snapdragon/madame-butterfly-mix-f1-snapdragon-seed-1930.html</t>
  </si>
  <si>
    <t>https://www.highmowingseeds.com/organic-non-gmo-lion-s-mouth-snapdragon.html</t>
  </si>
  <si>
    <t>https://www.adaptiveseeds.com/product/vegetables/spinach/spinach-verdil-organic/</t>
  </si>
  <si>
    <t>https://www.westcoastseeds.com/products/giant-winter-organic?variant=29705096265788</t>
  </si>
  <si>
    <t>https://www.adaptiveseeds.com/product/vegetables/spinach/spinach-giant-winter-organic/</t>
  </si>
  <si>
    <t>https://www.johnnyseeds.com/flowers/stock/iron-pastel-mix-stock-seed-4649.html</t>
  </si>
  <si>
    <t>https://www.johnnyseeds.com/flowers/stock/katz-formula-mix-stock-seed-3725.html</t>
  </si>
  <si>
    <t>https://www.johnnyseeds.com/flowers/stock/antique-pink-stock-seed-4094.html</t>
  </si>
  <si>
    <t>Sucrine</t>
  </si>
  <si>
    <t>https://uprisingorganics.com/products/lettuce-little-gem?_pos=3&amp;_sid=e22e3439d&amp;_ss=r</t>
  </si>
  <si>
    <t>https://uprisingorganics.com/products/lettuce-barnwood-gem?_pos=17&amp;_sid=2d27fa62a&amp;_ss=r</t>
  </si>
  <si>
    <t>https://uprisingorganics.com/products/lettuce-eruption?_pos=1&amp;_sid=2d27fa62a&amp;_ss=r</t>
  </si>
  <si>
    <t>(Helianthus anuus)What do you get when you let a whole slew of different sunflowers go unchaperoned in the garden all summer? Every year at Uprising Organics we grow 15-20 varieties of sunflowers…gorgeous burgundies, cheery yellows, whites, bi-colors, single headed, poly headed, Russian edible-seeded, teddy bear type… We let all that diverse genetic material cross pollinate freely to bring you this mix. Expect to be surprised by an unpredictable array of various combinations. We predict the results will be stunning.
UO</t>
  </si>
  <si>
    <t>https://uprisingorganics.com/collections/sunflower/products/sunflower-garden-anarchy-mix</t>
  </si>
  <si>
    <t>GOLDY DOUBLE</t>
  </si>
  <si>
    <t>https://www.highmowingseeds.com/organic-non-gmo-goldy-double-sunflower.html</t>
  </si>
  <si>
    <t>Velvet Queen</t>
  </si>
  <si>
    <t>https://www.highmowingseeds.com/organic-non-gmo-velvet-queen-sunflower.html</t>
  </si>
  <si>
    <t>A few years in and we’re selecting who stays and who goes in this mix. Selected mainly from the lovely “Moulin Rouge”, these display deep reds all around as well as slightly lighter reds with yellow shining from underneath the petals. They all appear to be sticking to a height of approx. 5-6’ and are multi branching with many displaying the best characteristics of cutting sunflowers. Do expect some that simply don’t tow the line. Select what you love and save your own seed for next year or simply share the fall bounty with all the little creatures that call your garden home.
85-90 days. UO</t>
  </si>
  <si>
    <t>https://uprisingorganics.com/collections/sunflower/products/sunflower-reds</t>
  </si>
  <si>
    <t>Darkest red sunflower with long-lasting blooms and wild look.
4-5" flowers with petals that are rounder and darker than Chocolate. 25-36" stems are sturdier than other dark sunflowers. Pollenless. Branching.</t>
  </si>
  <si>
    <t>https://www.johnnyseeds.com/flowers/sunflowers/tall-sunflowers/red-hedge-f1-sunflower-seed-1941.html</t>
  </si>
  <si>
    <t>White Procut</t>
  </si>
  <si>
    <t>Procut® White Lite has beautiful white petals with yellow centers. Great for cut flowers, perfect for wedding arrangements.</t>
  </si>
  <si>
    <t>https://www.osborneseed.com/catalog/item-content/79073/procut--white-lite-f1/pr_79073/cp_/catalog/seed-form/untreated/flowers</t>
  </si>
  <si>
    <t>Pink Clustering</t>
  </si>
  <si>
    <t>medium cherry, large trusses, good vine storage, no spliting</t>
  </si>
  <si>
    <t>https://uprisingorganics.com/products/tomato-pinky?_pos=1&amp;_sid=ad1b65c97&amp;_ss=r</t>
  </si>
  <si>
    <t>Asian</t>
  </si>
  <si>
    <t>Long, slender Japanese style eggplant bred in Hawai’i for Bacterial Wilt resistance. Despite its tropical origins, Poamoho Dark Long Eggplant has been very productive in our outdoor Pacific Northwest growing conditions. Relatively tall plants produce the longest-fruited eggplants that we grow. Many of the beautiful, shiny dark-purple fruits grow to over 12” long. Tender skin that does not need to be peeled makes it quick in the kitchen and especially good for stir-fry. Named after the Poamoho Research Station where much of the variety evaluation was done. It was bred by Dr. Kenneth Takeda of the University of Hawaiˋi at Mānoa, College of Tropical Agriculture and Human Resources (CTAHR).</t>
  </si>
  <si>
    <t>https://www.adaptiveseeds.com/product/vegetables/eggplant/eggplant-poamoho-dark-long-organic/</t>
  </si>
  <si>
    <t>Pork Chop</t>
  </si>
  <si>
    <t>https://www.osborneseed.com/catalog/item-content/78810/pork-chop/pr_78810</t>
  </si>
  <si>
    <t>Crushed Heart</t>
  </si>
  <si>
    <t>Wild Board</t>
  </si>
  <si>
    <t>https://wildboarfarms.com/product/crushed-heart/</t>
  </si>
  <si>
    <t>Atomic Sunset</t>
  </si>
  <si>
    <t>https://wildboarfarms.com/product/atomic-sunset/</t>
  </si>
  <si>
    <t>TAKANE RUBY</t>
  </si>
  <si>
    <t>A brilliant, ruby-red flowering superfood from Japan. Pink and red flowering buckwheat is a rare and wondrous pseudo-grain; blankets of pink can be seen blooming high in the Himalayas. In the late 1980s, Akio Ujihara, a professor emeritus from Shinshu University in Japan, collected seeds for a unique flowering buckwheat from Yunnan, China, at about 12,000 feet elevation. The professor selected and perfected this variety, and the signature red blanketed fields can now be found in Nara Prefecture, Japan. Japanese farmers quickly embraced this as a stunning cover crop, much more beautiful than white buckwheat. Tourism in the area to see the pink and red buckwheat fields has skyrocketed. The seeds are ground into a flour for soba noodles and can also be sprouted for a highly nutritious microgreen. In Japan, buckwheat is also brewed into tea and made into cookies. Honey from bees who fed on ruby buckwheat was analyzed by Shinshu University and shown to contain 100 times the antioxidant effect of regular honey.</t>
  </si>
  <si>
    <t>https://www.rareseeds.com/buckwheat-takane-ruby</t>
  </si>
  <si>
    <t>ROSE RED SOBA</t>
  </si>
  <si>
    <t>Warm season annual. Grown for incredible flowers, tasty buckwheat seeds, and for feeding beneficial insects! In 1987, the very rare pink buckwheat was taken to Japan from the Himalayan Mountains at an altitude of 12,400 feet by Professor Emeritus Akio Ujihara of Shinshu University. We are told that Takano Co. and Mr. Ujihara further developed this to suit the Japanese climate. Clouds of rose-pink flowers cover this low-maintenance buckwheat. The drought-tolerant flowers are fantastic for attracting beneficial pollinators in abundance and add an amazing pop to long-lasting bouquets. Planted en masse, it is as stunning as a field of lavender. Easy to grow, deer resistant, drought tolerant and hardy in much of the U.S.</t>
  </si>
  <si>
    <t>https://www.rareseeds.com/buckwheat-rose-red-soba</t>
  </si>
  <si>
    <t>Aprovecho Hardy</t>
  </si>
  <si>
    <t>https://www.adaptiveseeds.com/product/vegetables/turnips-rutabagas/turnip-aprovecho-hardy-organic/</t>
  </si>
  <si>
    <t>Tokyo Market</t>
  </si>
  <si>
    <t>https://uprisingorganics.com/products/cabbage-verza-moretta-di-veronella?_pos=6&amp;_sid=a67b98f35&amp;_ss=r</t>
  </si>
  <si>
    <t>Conical</t>
  </si>
  <si>
    <t>Caraflex F1</t>
  </si>
  <si>
    <t>Green sweetheart for fresh and gourmet markets.
Prized for its unusual cone-shaped heads and thin, sweet leaves that are delicious eaten raw or in stir-fries, slaws or egg rolls. Extremely uniform with good wrapper leaves for insect and sun protection. Sara Schlosser of Sandiwood Farm loves how perfectly Caraflex packs a box!
Fresh market
Stores 10 weeks
1.5-2 lb heads
Hybrid</t>
  </si>
  <si>
    <t>https://www.highmowingseeds.com/organic-non-gmo-caraflex-f1-cabbage.html</t>
  </si>
  <si>
    <t>Sweet Million</t>
  </si>
  <si>
    <t>https://territorialseed.com/products/tomato-sweet-million</t>
  </si>
  <si>
    <t>Main Crop</t>
  </si>
  <si>
    <t>A main season variety producing jumbo-sized, carotene-packed carrots
Days to Maturity: 90 to 113
A main season variety, best for fall harvest, Berlin, a Berlicum type carrot, is grown as a root vegetable, producing jumbo orange-skinned and -fleshed carrots that are bulky and cylindrical and packed with carotenes. Carrots are considered a superfood for their nutrient rich content, having a high (top 20) Aggregate Nutrient Density Index score (ANDI), or micronutrient-per-calorie density.
This herbaceous biennial plant, usually grown as an annual, is a member of the carrot (Apiaceae) family. It grows a rosette of finely divided leaves. Succession plantings every 2 to 3 weeks is recommended for continual harvest.
It is best grown in full sunlight and airy, loose, fertile, well-drained loamy soil free of rocks and clumps that stunt and misshape the root. It is resistant to Alternaria dauci (Ad), late leaf blight; Alternaria radicina (Ar), leaf spot; and Cercospra carotae (Cc), early leaf blight.
A cool-season, semi-hardy vegetable, one of the first to be planted in the garden, it can be direct sown into the garden as soon as the soil is workable in early spring, before the last frost date. But it can also be planted in midsummer for a fall crop. It needs cold temperatures to germinate and grow and can withstand temperatures in the 28 to 32°F range. It not only tolerates a light frost but also becomes even sweeter.</t>
  </si>
  <si>
    <t>https://parkseed.com/berlin-f1-berlicum-carrot-seeds/p/52448-PK-P1/</t>
  </si>
  <si>
    <t>https://territorialseed.com/products/carrot-oxheart</t>
  </si>
  <si>
    <t>https://www.adaptiveseeds.com/product/herbs/lovage-organic/</t>
  </si>
  <si>
    <t>https://www.johnnyseeds.com/vegetables/celery-and-celeriac/celery/tango-organic-celery-seed-647G.html</t>
  </si>
  <si>
    <t>Sweet</t>
  </si>
  <si>
    <t>I’ve always read “great old fashioned corn flavor!” in seed catalogs to mean, “not sweet, starchy, and …well…pretty bad” (kind of like “great for cooking!” in carrot descriptions). If you are seeking super-sweet Se and Se2 style corn, there are lots of hybrids to choose from (and some exciting OPs in the pipeline). But this is a well-bred and soulful sweet corn. I realized perhaps for the first time last year, that modern sweeties are really not very good for anything but fresh corn on the cob. For salsa, chowder, etc we look for a more complex, rounded, classic taste and texture. Tasters found Tuxana, fresh on the cob, to have a compelling creaminess and…well…great old fashioned corn flavor. Tall plants with large, full, white kernelled ears. Bred and being selected yearly by Jonathan Spero of Lupine Knoll Farm.</t>
  </si>
  <si>
    <t>https://uprisingorganics.com/products/corn-tuxana?_pos=1&amp;_sid=69bbb5274&amp;_ss=r</t>
  </si>
  <si>
    <t>Not organic but it's the only parenthocarcip gynoecious I could find. Unagi is the cucumber we didn't know we needed, but now can't live without. Glossy, spineless cukes with tiny seed cavities, crisp texture, and excellent flavor. A prolific yielder of remarkably straight, uniform fruits. Harvest at 9–11" long (or smaller, if you prefer). Stays crisp and delicious up to 14". Strong disease package. Gynoecious and parthenocarpic. High resistance to cucumber mosaic virus, powdery mildew, and target spot. Avg. 17,600 seeds/lb. Packet: 30 seeds.</t>
  </si>
  <si>
    <t>https://www.johnnyseeds.com/vegetables/cucumbers/seedless-and-thin-skinned-cucumbers/unagi-f1-cucumber-seed-4552.html</t>
  </si>
  <si>
    <t>Snacking</t>
  </si>
  <si>
    <t>Is untreated. Diva's seedless, thin-skinned cukes are distinctly crisp, sweet, and bitter-free. Adapted to open-field production and protected cropping. Harvest at 5–7". Parthenocarpic. High resistance to scab; and intermediate resistance to cucumber vein yellow virus and powdery mildew. AAS winner. Select 2198T (Treated) or 2198 (Untreated). Avg. 18,800 seeds/lb. Packet: 30 seeds.</t>
  </si>
  <si>
    <t>https://www.johnnyseeds.com/vegetables/cucumbers/seedless-and-thin-skinned-cucumbers/diva-cucumber-seed-2198.html</t>
  </si>
  <si>
    <t>Katrina F1</t>
  </si>
  <si>
    <t>Katrina produces an early to midseason crop in protected culture. Known for its ability to set fruit under heat stress, Katrina is very high yielding with excellent uniformity. This seedless, thin-skinned cuke is best when harvested at 5 1/2–6 1/2" long—a great size between Unistars and the larger Socrates. Gynoecious and parthenocarpic. High resistance to scab; and intermediate resistance to cucumber mosaic virus, cucumber vein yellowing virus, and powdery mildew. USDA Certified Organic. Avg. 14,400 seeds/lb. Mini: 10 seeds. Packet: 30 seeds.</t>
  </si>
  <si>
    <t>Millionaire</t>
  </si>
  <si>
    <t>54 days. Millionaire’s extra-early maturity and high productivity will make you feel like you’ve hit the jackpot. In our summer trials, Millionaire had ripe fruit before many of the other eggplant varieties were even flowering! The healthy, upright plants produce extraordinary harvests of deep purple, slender fruit, 8 inches long. This exquisite Japanese variety is tender and delicious with a minimal seed cavity.</t>
  </si>
  <si>
    <t>https://territorialseed.com/products/eggplant-millionaire</t>
  </si>
  <si>
    <t>SHIKOU F1 EGGPLANT</t>
  </si>
  <si>
    <t>A week earlier than Ping Tung Long, fruits have bright, white interior flesh with a purple calyx making for a striking contrast when sliced and very few seeds inside. Plants are productive and highly ornamental, a beautiful addition to the garden. The first organic hybrid Asian type eggplant on the market, the semi-spineless plants are robust and prolific, producing tender skinned fruits that do not get bitter and never need to be peeled. From our partners at Sakata Seeds.</t>
  </si>
  <si>
    <t>https://www.highmowingseeds.com/organic-non-gmo-shikou-f1-eggplant.html</t>
  </si>
  <si>
    <t>Thai</t>
  </si>
  <si>
    <t>Small, round, green striped eggplants are the type most commonly used in Thai cuisine. In fact, Petch Siam translates to ‘Diamond of Thailand.’ Fruit grow to 2.5 – 3″, the approximate size of a tennis ball, but are best harvested at 1.5-2″, closer to the size of a ping pong ball. We recommend quartering the fruit and cooking them lightly in coconut curry – they absorb the complex flavors and are absolutely delicious. Similar types of eggplant are also popular in Vietnam and India. We have been selecting Petch Siam eggplant for several years with each generation resulting in more reliable fruit yield, uniformity, earliness and productivity in our climate.</t>
  </si>
  <si>
    <t>https://www.adaptiveseeds.com/product/vegetables/eggplant/eggplant-petch-siam-organic/</t>
  </si>
  <si>
    <t>https://uprisingorganics.com/products/sweet-pepper-elephants-ear</t>
  </si>
  <si>
    <t>Amazing! Did you know that eggplants WEREN’T just flowering ornamentals here in the PNW but that they might actually produce fruit too...even outside of a greenhouse?! And not just a lonely token fruit to insult all your hard work. Lots of eggplants. Beautiful, slender, 4-8” long, buttery, and Not at all bitter eggplant. Some summers are cold. And wet. And then cold. Yet we are always still awash in these beauties. From our field, not our greenhouse. Even if you think you despise eggplant grow these and give them away to your friends and neighbors. They will be in awe of your mad skills. Seeds collected from Ukraine in 1993 by Kent Whealy, co-founder of Seed Savers Exchange. The most prolific variety we’ve grown for cool-climate production. Terrific for market.</t>
  </si>
  <si>
    <t>https://uprisingorganics.com/products/eggplant-diamond</t>
  </si>
  <si>
    <t>MASTERPIECE</t>
  </si>
  <si>
    <t>Favas have found their way more and more into our culinary enjoyment of early summer (and beyond) and as such, Masterpiece came recommended to us by a grower friend as having the biggest beans they had ever seen in a fava. The excellent English cultivar with beautiful large green seeds was a standout for us in 2021, with vigorous productive plants growing to about 3'. A Royal Horticultural Society award of garden merit winner.</t>
  </si>
  <si>
    <t>https://uprisingorganics.com/products/fava-masterpiece</t>
  </si>
  <si>
    <t>(Vicia faba) This beautiful purple fava variety was given to us at a seed conference several years ago and likely comes from the old Abundant Life collection. Tall 4’ vigorous plants produce somewhat irregular length pods with most commonly 3-4 beans/pod. Lighter yielding than our “Aquadulce” but with a superior rich flavor. Excellent raw, as well as sautéed with olive oil, garlic, salt, and a squeeze of lemon. Purple color develops as the bean dries.</t>
  </si>
  <si>
    <t>https://uprisingorganics.com/products/fava-frog-island-nation</t>
  </si>
  <si>
    <t>(Vicia faba) One of the oldest cultivated plants, fava popularity is on the rise! Wonderfully nutritious and delicious, they can be found in everything from elegant to rustic seasonal preparations on the tables of food lovers everywhere. Fall planted, they are one of the culinary harbingers of the spring harvest season, beginning to mature in mid-May, and are excellent in dips, stews, braises, on the grill... Spring plant in April-May for July harvest. Plants grow to about 30”+ and are heavy yielding, though the beans take some time to size up even once the pods are full size. Harvest as fresh shelly until the leaves just start to yellow. For dry beans, pods or whole plants can be pulled for further drying once leaves have browned and fallen off. While a bit of a labor of love to prepare, most will agree they are certainly worth the effort. Also, fava greens! I don't know how we have only now just discovered that they are delicious, tasting like a cross between spinach and pea shoots. Pick them young (the top 4-5") and add to salads, scrambled eggs, soups, quiche, pesto...And please remember the captivating, thick and buttery edible flowers. On top of all this favas are of course a wonderful cover crop. There are so many reasons to love them. Aquadulce produces huge yields of uniformly long pods and large beans.</t>
  </si>
  <si>
    <t>https://uprisingorganics.com/products/fava-aquadulce</t>
  </si>
  <si>
    <t>Finale</t>
  </si>
  <si>
    <t>One of our favorite vegetables, we are sad to see much of the fennel breeding veering towards hybrids. Swiss bred “Finale” continues to impress us as a production variety with the stoutest and most uniform bulbs we’ve seen thus far in an OP. Heavy, sweet bulbs with good greens and excellent bolt resistance. Eaten raw, roasted, in soups and pasta...Just divine!</t>
  </si>
  <si>
    <t>https://uprisingorganics.com/products/fennel-finale</t>
  </si>
  <si>
    <t>Color varies from reddish-bronze to deep red on the tips with dark green bases. As its translated name Red of Winter implies, this variety does particularly well in the cool conditions of the fall and winter.</t>
  </si>
  <si>
    <t>https://www.highmowingseeds.com/organic-non-gmo-rouge-d-hiver-lettuce.html</t>
  </si>
  <si>
    <t>(Lactuca sativa) We originally never gave the French classic ‘Marvel of Four Seasons’ much of a second thought. We have a tendency to focus our attention on the rare or the outliers, and Marvel felt boring in its “commonness”: found in practically every catalog, not extraordinary in color or size or shape. On a whim, after hearing from a commercial grower whom we admire that it was their favorite lettuce, we grew a large plot of it and are thankful we did! It now ranks among the very favorites of our good-sized collection of lettuce varieties. A savoyed French butterhead with bright red contrasted against dark green leaves, it's picture-perfect with beautifully proportioned heads. Delightfully substantial and crisp in a salad from its colorful outer leaves to its blanched and tightly wrapped core and with the added benefit of harvest over an extended season and into the winter in more mild areas. I suppose some varieties become popular for a reason… Highly recommended.</t>
  </si>
  <si>
    <t>https://uprisingorganics.com/products/lettuce-merveille-des-quatre-saisons</t>
  </si>
  <si>
    <t>MUIR LETTUCE - PELLETED</t>
  </si>
  <si>
    <t>Compact heads are exceptionally slow to bolt and maintain a sweet, crisp flavor well into the heat of summer. Can be grown as a mini or as full-size heads. Excellent variety for commercial productions. From Vitalis Organic Seeds. This variety is Plant Variety Protected - learn more here. Pelleted seed only.</t>
  </si>
  <si>
    <t>https://www.highmowingseeds.com/organic-non-gmo-muir-lettuce-pelleted.html</t>
  </si>
  <si>
    <t>The slowest to bolt in our summer trials. Technically a Batavian type, the light green, extra-wavy leaves form dense heads at a small size and can be harvested as a mini or left to bulk up into large, heavy, full-size heads. The leaves are crisp and have excellent flavor. Suitable for hydroponic systems. Utility Patent granted. High resistance to downy mildew races EU 16–26, 28, 32; US 5–9, Nasonovia nibisnigri aphid, and tomato bushy stunt virus (lettuce dieback complex); intermediate resistance to lettuce mosaic virus. MT0-30. Also available with NOP-compliant pelleting. USDA Certified Organic. Avg. 25,200 seeds/oz. Packet: 500 seeds.</t>
  </si>
  <si>
    <t>Classico</t>
  </si>
  <si>
    <t>We have finally found a great Italian sweet basil that will set and ripen seed in our climate. ‘Classico’ is one of many Genovese basil strains grown outside the Genoa region (and so, can’t be called Genovese), but this one stands out for flavor and aroma.?Leaves are waxy green and convex, like a turned spoon. These seemed to dry more fragrantly than other Genovese types we’ve grown recently. Vigorous productive plants are quick to regrow after cutting back.</t>
  </si>
  <si>
    <t>https://www.wildgardenseed.com/product_info.php?products_id=743</t>
  </si>
  <si>
    <t>NEW FOR 2023! ‘Zanzico’ comes from a cross of 'Opalescent X Classico', a 4th generation family with large thick leaves up to 2 x 4” in size, convexly rounded, slightly savoyed with broadly toothed margins, somewhat bronzed in color, with light lilac flowers. The East African flavors of ‘Mrihani’ (the seed parent of ‘Opalescent,’ from Zanzibar) meld with sweet Italian ‘Classico’ in this large framed plant. The scent and vigor of this one suggests tea, cooking, and fragrant floral arrangements. Expect some variation for flower color, leaf size, and flavor between plants. There is also a possibility of resistance to downy mildew, thanks to that Zanzibar heritage. ‘Mrihani’ is the source of resistance in many of the new downy mildew resistant varieties, but its flavor has been bred away in favor of the pure sweet Italian profile. Here, the ‘Mrihani’ comes through in combination with the sweet Italian from ‘Classico.’</t>
  </si>
  <si>
    <t>https://www.wildgardenseed.com/product_info.php?products_id=744</t>
  </si>
  <si>
    <t>The tightest, tiniest, most glossy, two-toned, wavy-margined mini-romaine I've ever seen. Half the size of a 'Winter Density', and maybe twice as dense--a really compact, crisp, and flashy executive lettuce with a densely blanched pinkish heart. Summer bolt resistant, and fully resistant to downy mildew. Farm Original Variety! OSSI (Open Source Seed Initiative) Pledged Variety.</t>
  </si>
  <si>
    <t>https://www.wildgardenseed.com/product_info.php?products_id=243</t>
  </si>
  <si>
    <t>SORGHUM-SUDAN GRASS</t>
  </si>
  <si>
    <t>VIKING 200</t>
  </si>
  <si>
    <t>This fast-growing, heat-loving annual can grow up to 12 feet tall. Mow when stocks are 3-4 feet tall to encourage deep root growth, subsoil aeration, and prevent woodiness. Widely adapted and can withstand drought once established. Needs adequate moisture to germinate and is not frost tolerant.</t>
  </si>
  <si>
    <t>https://www.osborneseed.com/catalog/item-content/91503/sorghum-sudan-grass-viking-200/pr_91503/cp_/catalog/seed-form/untreated/cover-crop</t>
  </si>
  <si>
    <t>AAS Winner! Adaptable, emerald green oak leaf for mini and full size harvest. Bauer's compact, well-filled heads pair beautifully with our red oak leaf Bellevue. Glossy, ruffled leaves maintain their flavor and crunchy texture in the field and post-harvest.</t>
  </si>
  <si>
    <t>https://www.osborneseed.com/catalog/item-content/91240/bauer/pr_91240/cp_/catalog/vegetables/lettuce/oak-leaf</t>
  </si>
  <si>
    <t>https://www.osborneseed.com/catalog/item-content/88923/truchas/pr_88923/cp_/catalog/seed-form/pelleted/lettuce</t>
  </si>
  <si>
    <t>Romaine</t>
  </si>
  <si>
    <t>From the producer of Salvius, a new heavy, full-size romaine for whole head and heart sales, and outstanding resistance to downy mildew. Rictus has a tall frame with slightly blistered, cupped leaves, excellent weight and density.</t>
  </si>
  <si>
    <t>https://www.osborneseed.com/catalog/item-content/88932/rictus/pr_88932/cp_/catalog/seed-form/untreated/lettuce</t>
  </si>
  <si>
    <t>Attained! A really superior “bulbing” fennel, better than the European standard ‘Zefa Fino.’ Larger and more uniform than any OP finocchio we’ve ever seen. Very bolt resistant. Came in 2nd right behind F1 Orion in the 2007 OSA Fennel Trials for overall performance, and got 1st place for real flavor.</t>
  </si>
  <si>
    <t>https://www.wildgardenseed.com/product_info.php?cPath=37&amp;products_id=68</t>
  </si>
  <si>
    <t>Heat tolerant and resistant to Downy Mildew and White Rust. Can be grown throughout the year. Prepare fertile, well-drained soil. Sow seeds in late spring/early summer after last frost and throughout mild temperature summers or late summer to early fall. Sow every 2 weeks for continuous harvest. Keep soil moist. Fertilize as needed. Harvest leaves and young stems when plant is about 8-10" tall. Excellent for salads, tsukemono (Japanese pickles), and stir fry. Used in many styles of Japanese and Chinese cooking. Prepare as you would any leafy green.</t>
  </si>
  <si>
    <t>https://kitazawaseed.com/products/mustard-seeds-misome-hybrid</t>
  </si>
  <si>
    <t>Komatsuna Red</t>
  </si>
  <si>
    <t>Komatsuna Red mustard seeds tolerate heat well and can be planted from spring to fall. The seeds do not need warm soil to germinate, so they can be planted in late winter for spring harvests as well. Try some in containers on the balcony. The leaves are round, flat and purple on top with green undersides and green stems. They are good in salads, sandwiches, and stir-fries. Use as a baby leaf in salad blends, or try them as microgreens. Komatsuna remains unfamiliar to many Western gardeners, but it is a West Coast Seeds staff favourite. Plants are fast-growing, productive, tasty, and very easy to grow.</t>
  </si>
  <si>
    <t>https://www.westcoastseeds.com/products/komatsuna-red</t>
  </si>
  <si>
    <t>Mustard Seeds - Red Komatsuna - Hybrid. Non-GMO. Annual. Brassica rapa var. perviridis. 20-38 days for baby leaf. Cool season. This spinach mustard hybrid is an excellent choice for baby leaf greens. It can also be used for microgreens. The leaf coloring is distinct-- purplish-red on the top and green with red veins underneath. ~ 10,000 seeds / oz.</t>
  </si>
  <si>
    <t>https://kitazawaseed.com/products/mustard-seeds-red-komatsuna-hybrid</t>
  </si>
  <si>
    <t>Cantaloupe</t>
  </si>
  <si>
    <t>Cucumis melo (75 days) Luscious, sweet, delicious-- this delightful little heirloom muskmelon produces a bounty of early, and true-to-its-name, mini cantaloupes. The fruits average 4-6 inches across, boasting deep orange flesh. Bred by the University of Minnesota, released in 1948, this is a terrific melon for short-season areas but can be grown in longer-season areas as well. Its compact plants are Fusarium wilt resistant and are ideal for small space or container gardens.</t>
  </si>
  <si>
    <t>https://www.prairieroadorganic.co/products/melon-minnesota-midget-muskmelon</t>
  </si>
  <si>
    <t>A diverse genepool mix of ultra early, cool weather tolerant melons. Small, single serving, baseball-to-softball-sized melons vary in color (lots of green-fleshed but also some orange) as well as texture and flavor. This melon is like a box of chocolates (thanks Forrest Gump!). You might not know what you’re going to get, but even the ones you’re less excited about are rather tasty. The earliest short-season variety we have found. Ripens outdoors in Denmark! Developed by Tim Peters of Peters Seed and Research in Riddle, Oregon.</t>
  </si>
  <si>
    <t>https://www.adaptiveseeds.com/product/vegetables/melons/melon-farthest-north-mix-organic/</t>
  </si>
  <si>
    <t>NEW YORK EARLY</t>
  </si>
  <si>
    <t>Originally selected from “Early Yellow Globe” by commercial onion growers in NY, New York Early is a dependable yellow storage variety. Medium-sized, uniform, tight bulbs provide excellent storage into spring. Commercial growers note: with ubiquitous hybrid Copra scheduled to be phased out in the next couple years, now is the time to start trying out replacements. NY Early is a great starting place scoring excellently in duplicated northeast &amp; northwest trials. Superior in flavor to Copra if a hair shorter storage.
100 days. WG</t>
  </si>
  <si>
    <t>https://uprisingorganics.com/products/storage-onion-new-york-early</t>
  </si>
  <si>
    <t>If you’ve ever grown onions from Dutch sets before, chances are you’ve already grown Stuttgarter. For many years it was the industry standard for set production. The somewhat flattened, medium-sized bulbs have a very attractive glossy bronze skin and excellent storing firm flesh. In a storage onion taste trial put on by the Culinary Breeding Network, it generated some of the most praise from Portland-area chefs and growers of the 15 or so varieties tasted. Excellent!
100 days. TR</t>
  </si>
  <si>
    <t>https://uprisingorganics.com/products/storage-onion-stuttgarter-riesen</t>
  </si>
  <si>
    <t>SISKIYOU SWEET</t>
  </si>
  <si>
    <t>This is southern Oregon grower Don Tipping’s of Siskiyou Seeds selection of the classic Walla Walla Sweet onion, the most famous of the northern adapted sweets. Very large, slightly flattened bulbs are juicy, mild and very sweet. We have heard tales of people eating these like apples. Original seed was brought from the island of Corsica off the west coast of Italy to WA by French soldier Peter Pieri around the turn of the 20th century. Not a keeper. Long day.
110-120 days. WG</t>
  </si>
  <si>
    <t>https://uprisingorganics.com/products/sweet-onion-siskiyou-sweet</t>
  </si>
  <si>
    <t>Allium cepa. Pink Storage. 105 days.
The pretty rosy-pink skin of this onion is not the only thing that sets it apart. Flavor is both delicately sweet and piquant, complex yet not overpowering. White flesh with light pink layers. Good for braiding and long storage. Rose de Roscoff Keravel is a selection of a type of onion known as Oignon de Roscoff in France. This French heritage cultivar has been grown since the 17th century in Roscoff, Brittany. High in Vitamin C, onions from Brittany were sold to merchant ships as a cure for scurvy. From the 1800s until the 1950s, “Onion Johnnies” would travel as far as England selling their famous onions, often on bicycles draped with onion braids. The climate in Brittany must be similar enough to our location in the Pacific Northwest, because Rose de Roscoff Keravel is right at home here. We want to thank Myrtha Zierock for sourcing the seed and bringing this variety to Oregon.</t>
  </si>
  <si>
    <t>https://www.adaptiveseeds.com/product/vegetables/onions/onion-rose-de-roscoff-keravel-organic/</t>
  </si>
  <si>
    <t>Mid-Season Pre-Nuclear</t>
  </si>
  <si>
    <t>Pre-nuclear potatoes are the earliest generation of potatoes. These are grown from tissue culture in our greenhouses. As these have never been grown in native soil and they are free of disease. These marble sized tubers can produce high yields of up to 200% or more by weight. These medium to extra-large tubers have smooth, brilliant red skin with medium shallow eyes and pink swirled flesh that retains its color after cooking. Like most reds, this variety is good for steaming or boiling and makes an attractive and unusual potato salad.</t>
  </si>
  <si>
    <t>https://irisheyesgardenseeds.com/product/og-all-red-pre-nuclear-potato/</t>
  </si>
  <si>
    <t>These beautiful potatoes have smooth dark purple skin with violet splashes and pure snow white flesh. They are great for mashing with excellent flavor. These very early potatoes store well and are drought-resistant. This high-yielding potato was developed at North Dakota State University in 1962.</t>
  </si>
  <si>
    <t>https://irisheyesgardenseeds.com/product/viking-purple-organic/</t>
  </si>
  <si>
    <t>Passion Flower</t>
  </si>
  <si>
    <t>Passionflower</t>
  </si>
  <si>
    <t>https://strictlymedicinalseeds.com/product/passionflower-official-passiflora-incarnata-seeds-organic/</t>
  </si>
  <si>
    <t>A very high quality classic red bunching radish. Globe shaped with bright white flesh. Refreshingly crisp and quite tasty. Uniform, quick to mature, and holds well much longer in the field than most open pollinated bunching radishes. Rudi was bred by Enza Zaden, the highly regarded Dutch seed company, before they began focusing entirely on hybrids and patented seed.</t>
  </si>
  <si>
    <t>https://www.adaptiveseeds.com/product/vegetables/radishes/radish-rudi-organic/</t>
  </si>
  <si>
    <t>Classic stump-rooted daikon style radish with mild flavor. White, cylindrical roots can grow to 5 lbs and 16” long but taste best when harvested smaller. Excellent pickled, shredded on salad, or added to soups or stirfry. An outstanding storage crop, in the field or root cellar. Many daikon varieties hold a lot of their root above ground; Okhura Winter Queen keeps the above-ground portion small, contributing to increased winter hardiness. In addition to being a tasty and nutritious vegetable, daikons are also frequently grown as a forage and fodder crop, and as a cover crop to break through soil hard pan. Best for any use when fall planted. We thank Peace Seeds for introducing us to this variety.</t>
  </si>
  <si>
    <t>https://www.adaptiveseeds.com/product/vegetables/radishes/radish-okhura-winter-queen-daikon-organic/</t>
  </si>
  <si>
    <t>ICICLE RADISH</t>
  </si>
  <si>
    <t>Our improved strain from Swiss biodynamic seed company Sativa shows overall enhanced performance for a consistent harvest. Mild flavor and crunchy bite. Tops can be used as salad greens.</t>
  </si>
  <si>
    <t>https://www.highmowingseeds.com/organic-non-gmo-white-icicle-radish.html</t>
  </si>
  <si>
    <t>Also known as Black Winter radish, with rich spicy flavor excellent for salads and cruditee. Coarse outer skin allows for exceptionally long storage in the ground or the root cellar. Often eaten in Germany as a "beer radish", served thinly sliced with salt and paired with a light beer. From our friends at Sativa Seeds.</t>
  </si>
  <si>
    <t>https://www.highmowingseeds.com/organic-non-gmo-schwarzer-runder-radish.html</t>
  </si>
  <si>
    <t>Flat Leaf</t>
  </si>
  <si>
    <t>Mersin</t>
  </si>
  <si>
    <t>(Petroselinum crispum) Mersin is the modern name of a city and province in Southeastern Turkey, with a history of human activity reaching back to 6300 BC. Being the southern outpost of one of the few passes through the Tuarus mountain range, the area has been an important locus of cultural exchange between the Mediterranean lowlands and the Anatolian highlands, but also of military struggle and violence. Collected in 1948 near Mersin, which was then called Içel, by USDA plant breeder Jack Harlan and Turkish colleague Osman Tosun, this parsley has fine stems with delicate, fern-like leaves, and a lighter flavor profile than Italian flat. When 6 parsley varieties were taste tested in Portland, OR, Mersin was the overall favorite. The taster's notes describe it as aromatic and floral up front, with a touch of celery seed pungency from the leaf through to the tender stems. If you love cooking cuisines of the Middle East, you will be pleased with how this parsley works in your favorite dishes. Overwintered well in a harsh week of sub 20-degree lows without cover, and displays upright growth with many fine stems.</t>
  </si>
  <si>
    <t>https://uprisingorganics.com/products/parsley-mersin?_pos=1&amp;_sid=cc116f37d&amp;_ss=r</t>
  </si>
  <si>
    <t>Chai Thai</t>
  </si>
  <si>
    <t>https://www.adaptiveseeds.com/product/vegetables/celeriac-celery/celery-chai-thai-organic/</t>
  </si>
  <si>
    <t>Flat leaf</t>
  </si>
  <si>
    <t>Translates from German as ‘easy cut,’ which proves to be very true. Incredibly flavorful and hardy, the dark green, flat leaves grow upright allowing for easy harvest and built-in rot resistance. High quality, marketable appearance and healthy year-round, even in the dead of winter. Several local organic growers have sung the praises of Einfache Schnitt 3 and we too relied on it all season long. Originally sourced from Bingenheimer Saatgut, the German biodynamic seed company.</t>
  </si>
  <si>
    <t>https://www.adaptiveseeds.com/product/herbs/parsley-einfache-schnitt-3-organic/</t>
  </si>
  <si>
    <t>A very rare and special parsley originally from a medieval kingdom located in what is present-day Syria and Turkey, and brought to North America via Cyprus. Cilician parsley has a more ferny leaf type, with an intense flavor that makes a great addition to any dish calling for parsley. Tolerates shade well, possibly preferring it. Some people think Cilician parsley may be a different species than the Italian flat-leaf or curly-leaf types, or possibly even a predecessor. The region of Cilicia has a long history of conflict and has been fought over by Greeks, Armenians, Syrians, Romans, and Turks. It is a cradle of agricultural biodiversity and a place few have heard of. We thank food writer William Woys Weaver for shedding light on this variety and piquing our interest, and to John Miller of the Old Schoolhouse Plantery in Brattleboro, Vermont, for sharing this great variety with us.</t>
  </si>
  <si>
    <t>https://www.adaptiveseeds.com/product/herbs/parsley-cilician-organic/</t>
  </si>
  <si>
    <t>Curly</t>
  </si>
  <si>
    <t>Lisette</t>
  </si>
  <si>
    <t>55 days. Super-finely curled bright green leaves appear in no time on this Moss Curled-type parsley. Resistant to bolting and so lush, it looks as good as it tastes! Curly parsley matures a little more quickly than flat-leaf, and you can begin harvesting these dense, dark green, richly flavored leaves within 2 months of setting out transplants. Parsley makes a fine companion to flowering plants in the annual bed and containers, as well as an herb garden beauty. The plant is bushy and full, reaching about 18 inches high. Although technically a biennial, parsley should be grown as an annual. If overwintered, it will return in mild and warm climates, but will quickly flower the second year, at which point the flavor of the leaves turns bitter. Make the most of Lisette its first year! Parsley seeds take a while to get going, so you may want to soak them overnight before sowing. If you're beginning them indoors, be sure to transplant them as soon as they have two sets of true leaves (and the soil is warm), because they have a long root and resent being transplanted once they have begun to leaf out. If you're growing them in a pot for the kitchen window, select a container that is long and narrow rather than wide and shallow, to give the root room to run. Pkt is 100 seeds.</t>
  </si>
  <si>
    <t>https://parkseed.com/lisette-parsley-seeds/p/05635-PK-P1/</t>
  </si>
  <si>
    <t>RED RAT'S TAIL RADISH</t>
  </si>
  <si>
    <t>50 days. Completely unique. The Red Rat’s Tail radish is praised for its many tender, crisp, purplish seed pods rather than its root. The plants are exceptionally easy to grow, and highly rewarding, too, producing oodles of lightly, spicy pods that can be compared to a pungent green bean! Pick pods when they are tender and young, about 5-6 inches long. They can be eaten raw, cooked or even pickled. A South Asian delicacy.</t>
  </si>
  <si>
    <t>https://www.rareseeds.com/red-rat-s-tail-radish</t>
  </si>
  <si>
    <t>Salsola Soda</t>
  </si>
  <si>
    <t>Very rare highly prized heirloom variety used in Mediterranean and Japanese cuisine lending an unusual somewhat salty flavour to the fronds and stems. The plants usually grow to near 24 inches tall if allowed and are ready to pick in about 70-80 days in typical growing conditions. Agretti seed needs to be stored in warmer conditions than most other seeds in about 14-16 degrees C for optimum germination. Thin out grassy shoots once they reach 6-8 inches, they can be harvested by cutting. The shoots will regrow allowing 3-5 harvests. This particular variety thrives on a loose soil/sand mixture garden base. Seeds/Package Untreated</t>
  </si>
  <si>
    <t>https://westonseeds.com/product/agretti-roscano-saltwort/</t>
  </si>
  <si>
    <t>Bambara</t>
  </si>
  <si>
    <t>BAMBARA GROUNDNUTS MIX</t>
  </si>
  <si>
    <t>True Love Seeds</t>
  </si>
  <si>
    <t>Barbaras are grown by hundreds of thousands of subsistence farmers in semi-arid Africa (where they were first domesticated) as well as in Indonesia, Thailand, and Malaysia. They are the third most important legume on the continent, after their cousin the cowpea (black eyed pea) and the peanut, with whom their history is entwined.
Peanuts, originally from Paraguay and Brazil, traveled to Africa via Spain during the transatlantic slave trade and were readily adopted because they are grown and prepared in the same way. Both plants grow their edible seeds underground from pegs that dive down from fertilized yellow flowers.
You can boil or roast the fresh seeds (like peanuts) or dry them to make flour, dumplings, cakes, or porridge. According to the BamNetwork (where much of this info came from), many people prefer Bambara milk to soy or cowpea.
Bambara is very nutritious, very drought tolerant, and it gives back by fixing atmospheric nitrogen in the soil. This is a mix from 5 or 6 different sources, including a large amount of Speckled Bambara seeds, which came from a market in Francistown, Botswana in 2001 via Roughwood Seed Collection in Devon, PA. Our hope is that by including a large amount of diversity, this population will begin to adapt to our unique climate, soils, and ecosystem.
Also known as bambara beans, jugo beans, ditloo marapo, indlubu, hlanga, njugo, nduhu, phonda, and tindhluwa.</t>
  </si>
  <si>
    <t>https://trueloveseeds.com/products/bambara-groundnuts-mix</t>
  </si>
  <si>
    <t>Zucchini</t>
  </si>
  <si>
    <t>Italian heirloom with tender, gray-green skin and prominent ribbing that give this variety a distinctive appearance. Pick at 6" or smaller and fry whole with the flower still attached.</t>
  </si>
  <si>
    <t>https://www.highmowingseeds.com/organic-non-gmo-costata-romanesc-zucchini.html</t>
  </si>
  <si>
    <t>Dark and light green striping is less defined than Costata Romanesco. Flavor is slightly nutty; milder than Costata but more flavorful than most zucchini. Straight fruit with very slight ribbing over the lighter green striping.</t>
  </si>
  <si>
    <t>https://www.highmowingseeds.com/organic-non-gmo-cocozelle-zucchini.html</t>
  </si>
  <si>
    <t>Yellow</t>
  </si>
  <si>
    <t>Goldy F1</t>
  </si>
  <si>
    <t>Open habit with few spines makes harvesting easy. Heavy yields with a high percentage of marketable fruit. Mix with green zucchini for an eye-catching display! Similar to Sebring and Gold Rush, with less greening than Gold Rush. From our partners at Genesis Seeds.</t>
  </si>
  <si>
    <t>https://www.highmowingseeds.com/organic-non-gmo-goldy-f1-zucchini.html</t>
  </si>
  <si>
    <t>Distinctive, slender fruits are yellow with faint white stripes and light-green blossom ends. Harvest young at 4-6" for unusually delicious, nutty flavor and firm texture. Vigorous, high-yielding plants. NOTE: Under certain stressful situations, such as hot weather, Zephyr fruits can show some variability in the amount of green at the blossom ends. In addition, sometimes the first one or two fruits produced can be green-striped.
• Edible Flowers: Blossoms bear a mild, squash-like flavor and are great stuffed and fried, or sliced for use in soups, omelets, salads, and pasta dishes.
Avg. 4,600 seeds/lb. Packet: 30 seeds.</t>
  </si>
  <si>
    <t>https://www.johnnyseeds.com/vegetables/squash/summer-squash/zephyr-f1-yellow-summer-squash-seed-2217.html</t>
  </si>
  <si>
    <t>Cluster</t>
  </si>
  <si>
    <t>If you've ever seen pictures of rustic Italian kitchens with huge masses of tomatoes hanging by loops of twine above the counters, chances are you were looking at "Piennolo del Vesuvio". This world-famous tomato (this listing is for the red version though there is a less common yellow version) is grown in the volcanic soils near Napoli on the shoulder of Vesuvius. The small oval fruits have a pointed nipple at the blossom end, and their high dry content makes them perfect for long storage through the fall and winter. Harvested by the truss, they are often hung in long twine loops as tomato 'ristras' ("piennolo" meaning "hanging" in Neapolitan dialect). Not quite as prolific as our other storage tomato, 'Annarita', Piennolo (both red and yellow versions) compensates with a fantastic rich, sweet flavor that continues to concentrate over time. Our selection comes from friend and grower Hans Fama in southern California, who has been growing and promoting them for years and is typically able to store them for 6 months after harvest (up to 10 months in the best of years!).
We have become increasingly interested in this class of tomatoes known as "pomodoro d'inverno" in Italy. With some care both at harvest and in how they are stored, these types of tomatoes can provide fresh eating well after cold weather and frosts have ended the outdoor fresh tomato season. While canning can preserve the harvest for sauces and cooking, the novelty of fresh tomatoes in winter that haven't been shipped from a thousand miles away is a delight.</t>
  </si>
  <si>
    <t>https://uprisingorganics.com/collections/new-in-2023/products/tomato-piennolo-red</t>
  </si>
  <si>
    <t>Tromboncino</t>
  </si>
  <si>
    <t xml:space="preserve">A new chapter for the heirloom tromboncino, and an answer to ho-hum zucchini. Young green squash were selected for their sweet, nutty flavor and meaty texture. 70 days to harvest.
Each Centercut seed sold supports public plant breeding research at Cornell University. The creation of this variety was funded in part by a USDA-NIFA grant. All products are certified NOP but not US-COR (Canadian Organic) Compliant.
</t>
  </si>
  <si>
    <t>https://www.row7seeds.com/products/centercut-squash</t>
  </si>
  <si>
    <t>Butternut</t>
  </si>
  <si>
    <t>Bred to reimagine the workaday butternut, the Honeypatch packs concentrated sweetness, flavor and beta-carotene into a single-serving squash. 110 days to maturity.
Our Honeypatch squash seeds were produced in New York and Oregon. Each seed sold supports public plant breeding research at Cornell University. The creation of this variety was funded in part by a USDA-NIFA grant. All products are certified NOP but not US-COR (Canadian Organic) Compliant.</t>
  </si>
  <si>
    <t>https://www.row7seeds.com/products/898-squash</t>
  </si>
  <si>
    <t>Pumpkin</t>
  </si>
  <si>
    <t>A cross between two of our favorite squash, this stately little pumpkin offers the best of both: sweetness, smooth texture, storability, yield and a built-in ripeness indicator to ensure it’s picked for peak flavor. 110 days to maturity.
Each Robin’s Koginut seed sold supports public plant breeding research at Cornell University. The creation of this variety was funded in part by a USDA-NIFA grant. All products are certified NOP but not US-COR (Canadian Organic) Compliant.</t>
  </si>
  <si>
    <t>https://www.row7seeds.com/products/robins-koginut-squash</t>
  </si>
  <si>
    <t>All the vegetal sweetness of the beet, without the polarizing earthiness—the brilliant Badger Flame is here to redeem the beet's dirty reputation. 80 days to maturity; 55 days for small beets.
Our Badger Flame beet seeds were produced in Oregon and Washington. Each seed sold supports public plant breeding research at University of Wisconsin-Madison. All products are certified NOP but not US-COR (Canadian Organic) Compliant.
*More Badger Flame beet seeds coming early 2023. Please sign up for the waitlist below.</t>
  </si>
  <si>
    <t>https://www.row7seeds.com/products/badger-flame-beet</t>
  </si>
  <si>
    <t>Peace Bell is a big red bell pepper with that classic blocky bell shape and sweet, tasty fruit. We have been looking for a red bell pepper to add to our offerings for a very long time, but found that most open-pollinated varieties were too late maturing, with low yields and a high percentage of blemished fruit. Peace Bell bucks that trend with tall plants that are dense and loaded with fruit. Provides remarkably good yields in our outdoor growing conditions, and would probably do even better in a greenhouse. The large yields can be heavy for the plants, so we recommend staking or tying them up to help avoid broken branches. Good leaf cover reduces the ubiquitous sun-scald problems that can afflict many bell pepper varieties. In 2022 we had a difficult late wet spring and Peace Bell still came through to produce hundreds of pounds of beautiful, delicious peppers. Then we got lucky and experienced a late dry fall and found that Peace Bell continually ripens fruit all the way until frost – we harvested the last green bell peppers for Thanksgiving. Good flavor and culinary characteristics, whether used green or red. They are great stuffed, stir fried, and raw in salads. Bred over the last decade by Peace Seeds and Peace Seedlings in Corvallis, Oregon.</t>
  </si>
  <si>
    <t>https://www.adaptiveseeds.com/product/vegetables/peppers/sweet-pepper-peace-bell-organic/</t>
  </si>
  <si>
    <t>Pear</t>
  </si>
  <si>
    <t>Renaissance Farms</t>
  </si>
  <si>
    <t>I can remember every place in our gardens that I have planted Umberto tomato over the years. And, the one thing that remains constant, is that they do exceptionally well no matter where they are. Tall vines produce pretty clusters of 5 to 7 light-pink tomatoes with really good flavor. They are delicious! Expect your first ripened fruits about 70 to 75 days after transplant. A great selection for market sales.</t>
  </si>
  <si>
    <t>https://renaissancefarms.org/product/umberto-tomato/</t>
  </si>
  <si>
    <t>A very old heirloom variety brought back from near extinction. Just one plant can produce up to 250 pink, meaty, 2 ounce fruits. Robust flavor is excellent for both fresh eating and sauces.
Indeterminate.</t>
  </si>
  <si>
    <t>https://www.totallytomato.com/product/T00786/124</t>
  </si>
  <si>
    <t>Orange Beefsteak</t>
  </si>
  <si>
    <t>https://store.growartisan.com/product/mary-reynolds</t>
  </si>
  <si>
    <t>Huge and productive beefsteak tomato with a mango/persimmon orange color, and a sweet rich flavor. Mary Reynolds lived in Natural Bridge, Virginia, where she saved this variety for so long that the original name is gone. She gave seeds to her neighbor John R. Lewis Jr., who in turn shared them with William Woys Weaver through Seed Savers Exchange in the late 1990s. Now we can all enjoy the juicy, delicious, 12-16oz fruits of her labor. For more information and beautiful descriptions of this variety and 99 others, see William Woys Weaver's "100 Vegetables and Where They Come From."</t>
  </si>
  <si>
    <t>https://trueloveseeds.com/products/mary-reynolds-orange-tomato</t>
  </si>
  <si>
    <t>Paste</t>
  </si>
  <si>
    <t>https://www.seedsavers.org/salvaterras-select-organic-tomato</t>
  </si>
  <si>
    <t>Yellow Beefsteak</t>
  </si>
  <si>
    <t>An heirloom beefsteak variety from Madison County, Indiana in the 1940's. Sparse plants produce generous amounts of 1 to 2 pound, pale-yellow, thin-skinned (delicate), meaty fruits that are bursting with luscious, robust, sweet tomato flavors.</t>
  </si>
  <si>
    <t>https://www.tomatofest.com/Hugh_s_p/tf-0247.htm</t>
  </si>
  <si>
    <t>Yellow Pear</t>
  </si>
  <si>
    <t>60 days. (Indeterminate) [Introduced 1986 by SESE. Family heirloom from TN.] Great yellow sauce tomato for salads or for making lovely tomato paste, juice, preserves, salsa, and yellow catsup! Heavy-yielding plants produce 5-12 fruits per cluster. Roma-shaped fruits average 3 x 1½ in. Survives cool wet conditions better than other sauce tomatoes, bearing heavily until frost. Ripens from green to creamy yellow to yellow. Outstanding flavor, both sweet and rich.</t>
  </si>
  <si>
    <t>https://www.southernexposure.com/products/yellow-bell-paste-tomato/</t>
  </si>
  <si>
    <t>Popular since the late 1800s. Indeterminate, regular leaf plant produces HUGE amounts of big clusters of small 1 1/2 inch, bright-yellow, pear-shaped tomatoes that are low in acid and have fruity sweet flavors. Delightful. "Like eatin' candy." Great for eating fresh in salads. Very popular market tomato. Disease resistant.</t>
  </si>
  <si>
    <t>https://www.tomatofest.com/Yellow_Pear_Organic_Heirloom_Tomato_Seeds_p/tf-0531.htm</t>
  </si>
  <si>
    <t>Days to Maturity: 75
Indeterminate
Yellow Pear tomato produces bright yellow, small, pear-shaped heirlooms that grow to between 1 to 2 inches in length when ripe. This enticing new tomato variety is desirable for its high yielding, tasty, colorful fruit. Yellow pear is perfect for snacks and salads. No matter the use, this delectable tomato packs excellent flavor.
If you are starting the Yellow Pear tomato plant from seed, wait until they have grown 4 to 6 inches tall and the danger of frost is gone before planting outside. Put your plants in a sunny spot and give them plenty of space, about 36 inches between each one.
Ripe fruits should be ready to be picked about 70 or 80 days after starting your plants. The tomatoes are ready to harvest when they are completely yellow and easily come off the vine. Yellow Pear tomato vines usually survive well into the fall, so expect to keep harvesting longer than you would with other varieties.</t>
  </si>
  <si>
    <t>https://parkseed.com/tomato-yellow-pear-organic/p/05385-Pk-P1/</t>
  </si>
  <si>
    <t>Red Medium</t>
  </si>
  <si>
    <t>The 10-12 oz. medium-large, globe-shaped, bright red fruits are rather soft but meaty with plenty of old-fashioned tomato flavor. Indeterminate. USDA Certified Organic. Avg. 10,700 seeds/oz. Packet: 40 seeds.</t>
  </si>
  <si>
    <t>https://www.johnnyseeds.com/vegetables/tomatoes/heirloom-tomatoes/nepal-organic-tomato-seed-748.html</t>
  </si>
  <si>
    <t>Orange Cherry</t>
  </si>
  <si>
    <t>Intense fruity flavor.
Exceptionally sweet, bright tangerine-orange cherry tomatoes leave everyone begging for more. Vigorous plants start yielding early and bear right through the season. Tendency to split precludes shipping, making these an exclusively fresh-market treat. The taste can't be beat. 15–20 gm. fruits. High resistance to Fusarium wilt and tobacco mosaic virus. Indeterminate. Avg. 15,950 seeds/oz. Packet: 40 seeds.</t>
  </si>
  <si>
    <t>https://www.johnnyseeds.com/vegetables/tomatoes/cherry-tomatoes/sun-gold-f1-tomato-seed-770.html</t>
  </si>
  <si>
    <t>We were on the hunt for a good round orange cherry to replace ever-popular hybrid “Sungold” in our cherry color mix. Sweet orange II fits the bill with vigorous vines and tons of bright orange medium-sized round fruit. Its flavor is very sweet, fruity and delicious. More of a garden variety to eat out of hand than a commercial shipper, it has a tendency to start to desiccate just a couple days after harvest. With its fine eating, bountiful trusses, and long harvest period, we’re fine with that… just means we eat ‘em quick! Developed by Tim Peters. Indeterminate.</t>
  </si>
  <si>
    <t>https://uprisingorganics.com/products/tomato-sweet-orange-ii?_pos=1&amp;_sid=ff9cc92b6&amp;_ss=r</t>
  </si>
  <si>
    <t>Orange Large Cherry</t>
  </si>
  <si>
    <t>1½-2” wide, sweet, orange globes are small but larger than cherry tomatoes. Plum-sized, 1-2 oz fruit with deliciously sweet flesh. Very productive and cold tolerant. A Sungold F1 dehybridization, Sungella is bigger and much more split resistant. This is one of only a few tomato varieties that has ever produced high quality fruit for us from the greenhouse well into November. Originally offered by the English seed company, Thompson and Morgan, bred by one of their customers.</t>
  </si>
  <si>
    <t>https://www.adaptiveseeds.com/product/vegetables/tomatoes/tomato-sungella-organic/</t>
  </si>
  <si>
    <t>Red Beefsteak</t>
  </si>
  <si>
    <t>(aka Red Brandywine) The original Brandywine introduced by Johnson and Stokes in 1889 from seeds they received from a customer in Ohio. Named after Brandywine Creek in Chester County, Pennsylvania. Large vines produce deep red 8-12 ounce fruits. Excellent flavor. Very productive. Indeterminate, 80 days from transplant. ±8,900 seeds/oz.</t>
  </si>
  <si>
    <t>https://www.seedsavers.org/brandywine-red-organic-tomato</t>
  </si>
  <si>
    <t>(vw, fw1) 79 days (Indeterminate) [Developed by M.C. Byles in the 1930s and released to SESE in 1985.] A legendary tomato always in demand in the Mid-Atlantic states. The following history is based on portions of our 1985 taped interview with M.C. Byles who developed this tomato in the early 1930s while in Logan, WV. Mr. Byles is affectionately known as “Radiator Charlie.” He earned that nickname from the radiator-repair business he opened at the foot of a steep hill on which trucks would often overheat. Radiator Charlie had no formal education or plant-breeding experience, yet he created this legendary tomato by cross-breeding four of the largest-fruited tomatoes he could find: German Johnson, Beefsteak, an Italian variety, and an English variety. One of the four varieties was planted in the middle of a circle. Then, using a baby’s ear syringe, he cross-pollinated the center plant with pollen from the circle of tomatoes. Next year he selected the best seedlings: he planted the best seedling in the center and the rest in a circle around it. The pollination and selection process was repeated six more years until he had a stable variety. After Charlie developed and named this large tasty tomato he sold plants for $1 each (in the 1940s) and paid off the $6000 mortgage on his house in 6 years. Each spring, gardeners drove as far as 200 miles to buy Charlie’s seedling tomatoes. Fruits of Mortgage Lifter can average 2½ lbs and may reach 4 lbs when grown well. Plants are very productive and disease-resistant, and continue to bear until frost. These large, slightly flattened, pink-red tomatoes are meaty and flavorful with few seeds. Pkt (0.08 g, ~25-30 seeds)</t>
  </si>
  <si>
    <t>https://www.southernexposure.com/products/mortgage-lifter-radiator-charlie-s-tomato/</t>
  </si>
  <si>
    <t>Polish</t>
  </si>
  <si>
    <t>Green Beefsteak</t>
  </si>
  <si>
    <t>The first known potato leaf variety for a green fruited tomato. In 2004 Craig LeHoullier obtained seeds from Reinhard Kraft in Germany. A tall, bushy indeterminate plant produce large crops of 1-2 lb., lime green, smooth, oblate fruit. A light green when ripe that turns to an amber green as it ripens further. Delicious melon-sweet flavors. Arguably, one of the best tasting green tomatoes. A very good salad tomato or salsa tomato. Appears to be disease resistant.</t>
  </si>
  <si>
    <t>https://www.tomatofest.com/Green_Giant_Tomato_Seeds_p/tf-0194.htm</t>
  </si>
  <si>
    <t>Lucky Cross</t>
  </si>
  <si>
    <t>https://www.seedsavers.org/rat-tail-purple-organic-radish</t>
  </si>
  <si>
    <t>(B. rapa pekinensis) 73 days. [1948] Popular variety. Large, upright, well-blanched heads (4 x 18 in.) wrapped with dark-green leaves. Flavor is sweet and mild. Sow in early July for Fall harvest. Pkt (2 g).</t>
  </si>
  <si>
    <t>https://www.southernexposure.com/products/michihili-chinese-cabbage/</t>
  </si>
  <si>
    <t>Everwilder</t>
  </si>
  <si>
    <t xml:space="preserve">The solid, crisp, cylindrical heads of Michihili average 16-18" tall by 4" in diameter with dark-green leaves and a well-blanched interior. This well-known, sure-heading variety accounts for a high percentage of Chinese cabbage grown for market in the United States. Relative maturity varies from 55 to 100 days.
Chinese cabbage dates back to the 15th century in China, when a pharmacologist of the Ming Dynasty considered it nutritionally beneficial. Later it became the main ingredient in kim chi, the national dish of Korea; Japanese soldiers also discovered Chinese cabbage and took it home with them after the war. Americans became familiar with this vegetable in the late 19th century.
</t>
  </si>
  <si>
    <t>https://www.everwilde.com/store/Michihili-Chinese-Cabbage-Seeds.html</t>
  </si>
  <si>
    <t>Introduced in 1948, Michihili is a softer, loose-leaf form of Chinese cabbage with clusters of 8-12” wide white celery-like stalks. It has dense, narrow leaves with wide, flat white ribs. Michihili is a multi-purpose variety. The tender leaves are often used raw as a romaine lettuce would be, in salads or in coleslaw. It can be steamed whole, finely cut into slices for a salad, or cut coarsely for a stir-fry. Cooked leaves and stalks also add flavor to soups, stews and pasta dishes. Excellent for pickling!</t>
  </si>
  <si>
    <t>https://www.gardenhoard.com/napa-chinese-cabbage-michihili-seeds.html</t>
  </si>
  <si>
    <t>Large, off-white heads on highly uniform plants.
Each plant produces impressive heads of pronounced florets with smooth buds that avoid getting ricey. Scored the highest for overall quality in our cauliflower trials! Good flavor with high yield potential.
Spring or fall crop
Self-wrapping
6-7" heads
Hybrid</t>
  </si>
  <si>
    <t>https://www.highmowingseeds.com/organic-non-gmo-mardi-f1-cauliflower.html</t>
  </si>
  <si>
    <t>(Brassica oleracea) We are happy to offer All the Year Round after a several year hiatus from our catalog, especially as open-pollinated overwinter cauliflower varieties are quickly becoming an endangered species. Over winter types like ATYR are summer planted and require vernalization (going through a winter) to trigger heading the following spring. This cultivar, an old British standby producing huge heads with fine pure white curds, has been grown for commercial fresh-market production by Nash Huber out in Sequim for many years. Delicious!
270-290 days. NF</t>
  </si>
  <si>
    <t>https://uprisingorganics.com/products/cauliflower-all-the-year-round?_pos=2&amp;_sid=9545cef59&amp;_ss=r</t>
  </si>
  <si>
    <t>Blue Star Gai Lan</t>
  </si>
  <si>
    <t>Our favorite variety of Chinese broccoli chosen from trials that included eight contestants. We like Blue Star’s moderately thick stems, incredible flavor, and easy-to-grow nature. Small plants send up stems up to 1″ thick, with small broccoli-like clusters on top. Due to the small stature, Gai Lan should be grown at tighter spacing than standard broccoli varieties. We recommend 4-6″ spacing in row. There are many tropically adapted varieties of Chinese broccoli and, unlike those, Blue Star was very happy in our temperate northern climate. The flavor is robust, somewhere between broccoli and collard greens. An essential and loved vegetable in many culinary traditions, Gai Lan deserves a spot in every garden. In Thailand, where it is known as kana, we have seen it served in pad see ew street noodles and stir fry. Also commonly found in Chinese, Vietnamese and Burmese cuisine. Gai Lan is also known as Chinese kale.</t>
  </si>
  <si>
    <t>https://www.adaptiveseeds.com/product/vegetables/broccoli-cauliflower/broccoli-blue-star-gai-lan-organic/</t>
  </si>
  <si>
    <t>https://territorialseed.com/products/broccoli-apollo</t>
  </si>
  <si>
    <t>Early, popular full-sized leek with long, slender shaft.
Tall, upright plants have shafts that are very straight with sweet mild flavor. Uniform shafts have practically no bulbing, making them extremely easy to clean. Plant for summer or early fall harvests. Tolerates light frosts.
Summer/fall crop
Easy to clean
Open-Pollinated</t>
  </si>
  <si>
    <t>https://www.highmowingseeds.com/organic-non-gmo-king-richard-leek.html</t>
  </si>
  <si>
    <t>Lemon Grass</t>
  </si>
  <si>
    <t>Aromatic grass from India.
Our seeds have been carefully cleaned to remove the chaff (seed coat material), resulting in a higher germination rate. A delicious addition to soups, curries, teas, and any other dish calling for lemon grass. Essential oil distilled from this variety contains large amounts of citral and geraniol and can be used for flavorings, perfumes, and insect repellent. 6-12 stalks per plant, depending on growing climate. Avg. 74,300 seeds/oz. Packet: 50 seeds.</t>
  </si>
  <si>
    <t>https://www.johnnyseeds.com/herbs/lemon-grass/lemon-grass-east-indian-cleaned-seed-lemon-grass-seed-4074.html</t>
  </si>
  <si>
    <t>Tendril</t>
  </si>
  <si>
    <t>https://www.johnnyseeds.com/vegetables/shoots/tendril-pea-organic-shoot-seed-3165SG.html</t>
  </si>
  <si>
    <t>Variety: "Incantatore"
Type: Rosso di Treviso Tardivo
Days to Maturity: 100-110
In our opinion, the forced winter chicories represent the absolute pinnacle of grace and culinary joy in the radicchio family. Distinctively elegant in appearance, “Incantatore" has long slender burgundy leaves with pure white mid-ribs that curl fancifully inwards at the tip. Produced primarily around the town of Treviso, in the Veneto region of northern Italy, this type of radicchio is known as Rosso di Treviso Tardivo and is traditionally “forced", or brought inside (roots and all) in late fall/early winter after growing for months in the field to produce a second, deliciously tender growth in the heart of the rosette. The practice originates from historically lean times when poor rural populations sought out sources of winter-time nourishment. Plants that produced a core of edible greens in the coldest months of the year when brought inside barns and cellars became food of necessity. Ironically many have now come to be thought of as gourmet culinary treasures like Belgian endive, Treviso Tardivo, and Rosa di Gorizia. The first Italian vegetable to gain IGP, a European protected status for special food products specific to a place of origin (similar to many wines and cheeses) radicchio, Treviso tardivo was celebrated with a producers exhibition in 1900 which, interrupted only by wartime years, has been held every year since. Use raw in salads, grilled, roasted, sautéed with risotto or pasta. A true source of joy
While some strains of tardivo produce a blanched core even in the field setting, we strongly encourage you to take the extra step of forcing which produces the most tender midribs and unquestionably superior eating quality. It is worth the additional effort. Tardivo has always reminded us of hooded snakes standing upright, hence our name for the strain Incantatore, Italian for “charmer”. As a reference point for those familiar with other strains on the market in the US, ours slots right in the middle in days to maturity between "Sile Precoce" and "Sile Tardivo" and is, in our opinion perfectly suited to our PNW growing conditions, producing a bigger head than the extra early varieties, while still being able to be forced in time for the Thanksgiving market.
100-110 days + forcing. UO</t>
  </si>
  <si>
    <t>https://uprisingorganics.com/products/radicchio-incantatore?_pos=1&amp;_sid=e9e99d278&amp;_ss=r</t>
  </si>
  <si>
    <t>65 VARIEGATO DI CASTELFRANCO</t>
  </si>
  <si>
    <t>MIRABELLA</t>
  </si>
  <si>
    <t>https://uprisingorganics.com/products/radicchio-castelfranco-4-18?_pos=3&amp;_sid=e9e99d278&amp;_ss=r</t>
  </si>
  <si>
    <t>90 ROSSO DI TREVISO PRECOCE</t>
  </si>
  <si>
    <t>https://uprisingorganics.com/products/radicchio-treviso-precoce-4-10?_pos=15&amp;_sid=e9e99d278&amp;_ss=r</t>
  </si>
  <si>
    <t>110 ROSSO DI TREVISO PRECOCE</t>
  </si>
  <si>
    <t>https://uprisingorganics.com/products/radicchio-treviso-precoce-4-11?_pos=13&amp;_sid=e9e99d278&amp;_ss=r</t>
  </si>
  <si>
    <t>90 VARIEGATO DI CASTELFRANCO</t>
  </si>
  <si>
    <t>https://uprisingorganics.com/products/radicchio-castelfranco-4-20?_pos=7&amp;_sid=e9e99d278&amp;_ss=r</t>
  </si>
  <si>
    <t>110 VARIEGATO DI CASTELFRANCO</t>
  </si>
  <si>
    <t>https://uprisingorganics.com/products/radicchio-castelfranco-4-21?_pos=5&amp;_sid=e9e99d278&amp;_ss=r</t>
  </si>
  <si>
    <t>Adorable, serving size mini butternut with dark tan skin and great sweet flavor.
Delectable squash is smaller than Ponca with more uniform butternut shape. Green unripe fruits; early planting is recommended for tan color. Field resistance to powdery mildew. Developed by the Vegetable Breeding Institute at Cornell University. A portion of the sales of this variety is paid to the breeder - learn more here.
Stores well
.5-1 lb
BR
Vining habit
Open-Pollinated</t>
  </si>
  <si>
    <t>https://www.highmowingseeds.com/organic-non-gmo-honeynut-butternut-squash.html</t>
  </si>
  <si>
    <t>Teardrop-shaped, striking red-orange squash from Japan.
Also known as Baby Red Hubbard or Orange Hokkaido, this variety has smooth, sweet, dry orange flesh. Reliable yields even in cool climates with short growing seasons. Improved HMOS strain with greater uniformity than others.
Reliable in short seasons
3-4 lbs
Vining habit
Open-Pollinated</t>
  </si>
  <si>
    <t>https://www.highmowingseeds.com/organic-non-gmo-red-kuri-winter-squash.html</t>
  </si>
  <si>
    <t>Varieties.Website</t>
  </si>
  <si>
    <t>Varieties.Already Own</t>
  </si>
  <si>
    <t>Density Per</t>
  </si>
  <si>
    <t>Needed (g)</t>
  </si>
  <si>
    <t>Needed (ozm)</t>
  </si>
  <si>
    <t>Needed (lbm)</t>
  </si>
  <si>
    <t>Product Weight</t>
  </si>
  <si>
    <t>Weight Unit</t>
  </si>
  <si>
    <t>Product Cost</t>
  </si>
  <si>
    <t>Product Quantity</t>
  </si>
  <si>
    <t>Order Weight</t>
  </si>
  <si>
    <t>Is Enough?</t>
  </si>
  <si>
    <t>Order Cost</t>
  </si>
  <si>
    <t>lbm</t>
  </si>
  <si>
    <t>ozm</t>
  </si>
  <si>
    <t>g</t>
  </si>
  <si>
    <t>ct</t>
  </si>
  <si>
    <t>Out of Stock</t>
  </si>
  <si>
    <t>Backordered</t>
  </si>
  <si>
    <t>Backordered until jan</t>
  </si>
  <si>
    <t>Backordered until early 2023</t>
  </si>
  <si>
    <t>https://uprisingorganics.com/collections/amaranth/products/amaranth-opopeo</t>
  </si>
  <si>
    <t xml:space="preserve">Borage </t>
  </si>
  <si>
    <t>Beta vulgaris. Round Pink/White Rings. 65 days.
In our days as market growers, Chioggia beets were by far our customers’ favorite, and we loved them too. Dark pink on the outside, the inside features concentric rings of pink and white. The candy cane like appearance is as pretty as it is fun. But Chioggia charms the palate, too – much sweeter than red beets, with less of the “earthy” flavor that turns some people off from this nutritious root vegetable. Winter Chioggia beets are just about as sweet as candy. Plus, they don’t bleed as much as red beets when cooked, although the stripes do fade. Very good simply roasted with a little olive oil and salt. Green leaves. Heirloom originally from Chioggia, Italy, that has been in the US since the 1860s.</t>
  </si>
  <si>
    <t>https://www.adaptiveseeds.com/product/vegetables/beets/beet-chioggia-organic/</t>
  </si>
  <si>
    <t>https://www.everwilde.com/store/Organic-Crosby's-Egyptian-Beet-Seeds.html</t>
  </si>
  <si>
    <t>Also known as Crosby's Early Egyptian, this heirloom variety originated in Germany and is a standard early bunching beet. Heart-shaped roots are flattened and dark red in color, while the erect tops are medium green and grow up to 16" tall. It matures in about 55 days.
In spite of their name, this beet actually came to America in 1869 via Germany, not Egypt. Crosby's Egyptian beets come from the work and research of Josiah Crosby of Massachusetts, who later sold his seeds to his colleague James Gregory. Mr. Gregory made this type of beet available to the public in 1885.</t>
  </si>
  <si>
    <t>Crosby's Egyptian</t>
  </si>
  <si>
    <t>https://www.highmowingseeds.com/organic-non-gmo-boro-f1-beet.html</t>
  </si>
  <si>
    <t>One of the sweetest beets we’ve tasted!
Superb flavor and the ability to stay tender support a wide range of uses. Juicy roots can be harvested baby and beyond 3" with good quality up to 6". Tops regenerate quickly for clean, healthy leaves all season. Deep red color with minimal zoning. Precision sized.
Stores well
Baby or full sized
2-6" roots
Hybrid</t>
  </si>
  <si>
    <t>https://www.johnnyseeds.com/vegetables/leeks/king-richard-organic-leek-seed-416G.59.html?source=google_johnny_seeds</t>
  </si>
  <si>
    <t>Remarkable earliness and size.
Beautiful full-sized leeks. In favorable soil and culture, the white shanks are over a foot long to the first leaf. Medium-green leaves with full habit. For baby leeks, plant closely (40 seeds/ft.) and harvest at finger size. While not hardy enough for overwintering, they will withstand medium-heavy frost (32° to 20°F/0° to -7°C) without losing their healthy appearance. USDA Certified Organic. Avg. 9,500 seeds/oz. Packet: 250 seeds.</t>
  </si>
  <si>
    <t>https://kitazawaseed.com/collections/komatsuna/products/komatsuna-mustard-seeds-summer-fest-hybrid</t>
  </si>
  <si>
    <t>Summer Fest</t>
  </si>
  <si>
    <t>Komatsuna Mustard Seeds - Summer Fest - Hybrid. Non-GMO. Brassica rapa var. perviridis. Alt names: komatsuna, mustard spinach, tender green mustard. 21 days in summer, Warm season annual. 50-70 days in winter. This popular traditional Japanese komatsuna hybrid has glossy, thick dark green leaves and an upright growing habit. Apx. 10600 seeds per ounce.</t>
  </si>
  <si>
    <t>Muir - Pelleted</t>
  </si>
  <si>
    <t>https://www.johnnyseeds.com/vegetables/lettuce/summer-crisp-lettuce-batavia/muir-organic-pelleted-lettuce-seed-3881GP.html</t>
  </si>
  <si>
    <t>Id</t>
  </si>
  <si>
    <t>https://www.osborneseed.com/catalog/item-content/77543/austrian-winter-pea/pr_77543</t>
  </si>
  <si>
    <t>Austrian Winter Pea is vigorous in cool weather, withstanding temperatures as low as 10 degrees F. Mix with winter rye, triticale, or oats to help support vines. Sensitive to heat and humidity.</t>
  </si>
  <si>
    <t>https://www.highmowingseeds.com/organic-non-gmo-bengala-f1-carrot.html</t>
  </si>
  <si>
    <t>Bengala F1</t>
  </si>
  <si>
    <t>Beautiful and uniform roots with delicious flavor and strong att achment to long, sturdy stems.
Excellent main season carrot with erect, vigorous foliage and good field holding quality. Exceptional storage makes it a great candidate for winter sales. Cylindrical roots have smooth skin and a medium core. Excellent flavor raw or cooked.
Long storage
7-9" Nantes-type
Hybrid</t>
  </si>
  <si>
    <t>Windsor</t>
  </si>
  <si>
    <t>https://www.highmowingseeds.com/organic-non-gmo-windsor-fava-bean.html</t>
  </si>
  <si>
    <t>Hardy plant with large, nutty beans.
English variety dating to 1863 with delicious flavor when eaten as a shell bean. Plants produce 5-6" pods each holding 3-5 large plump beans. Great for freezing or drying. Plants require cool conditions and are not heat tolerant. Hardy to 12 degrees F. Buff colored seeds.
Tall 4' plants
Cold tolerant
Heirloom</t>
  </si>
  <si>
    <t>Order Later</t>
  </si>
  <si>
    <t>Magnus</t>
  </si>
  <si>
    <t>https://www.seedsavers.org/lovage-magnus-organic-herb</t>
  </si>
  <si>
    <t>Organic
Perennial plants in zones 3-8
Plants grow to 5-8 feet tall
Leaves and stems taste similar to celery
(Levisticum officinale) Very uniform selection of lovage with green-yellow flowers. The leaves, stems, and seeds all taste like celery. Used extensively in preparing soups and salads. Perennial in zones 3-8.</t>
  </si>
  <si>
    <t>Order</t>
  </si>
  <si>
    <t>Butterfly Flower</t>
  </si>
  <si>
    <t>Pepper - Hot</t>
  </si>
  <si>
    <t>Marigold</t>
  </si>
  <si>
    <t>Only available in 5k</t>
  </si>
  <si>
    <t>Work Needed</t>
  </si>
  <si>
    <t>https://uprisingorganics.com/collections/melon/products/melon-prescott-fond-blanc</t>
  </si>
  <si>
    <t>Despite the American tendency to use the terms “muskmelon” and “cantaloupe” interchangeably, this is a true cantaloupe, something actually quite uncommon in this country. Native to France where it is prized, this melon was grown in the US as early as 1850. We find most people mistake it for winter squash at market for its unusual lumpy skin and squat shape. The drought-tolerant plants prefer a dry season to reach their best quality. True cantaloupes do not slip when ripe. We pick ours when the skin starts to turn from slate grey to blush tan and becomes fragrant. Food historian William Woys Weaver recommends picking them slightly earlier and ripening them on a window sill for the sweetest fruit. Ethereal, intoxicating fragrance and very thick flesh.
85 days. CV, WF, UO</t>
  </si>
  <si>
    <t>Prescott Fond Blanc</t>
  </si>
  <si>
    <t>Mortgage Lifter, Radiator Charlie's</t>
  </si>
  <si>
    <t xml:space="preserve">
Developed by M.C. Byles in the 1930's, this heirloom tomato remains very much in demand in the Mid-Atlantic states. Mr. Byles, affectionately known as "Radiator Charlie" earned his nickname from the radiator repair business he opened at the foot of a steep hill on which trucks would often overheat. Radiator Charlie, who had no formal education or plant breeding experience, created this legendary tomato by cross-breeding four of the largest tomatoes he was able to find and developed a stable variety after six years of pollination and selection. He then sold his heirloom tomato plants for one dollar each (in the 1940s) and paid off the six thousand dollar mortgage on his house in six years. It is said that each spring, gardeners drove as far as 200 miles to buy Charlie's seedling tomatoes. The large, slightly flattened, pink-red fruits that range from 1 pound to more than 3 pounds, are meaty, very flavorful and have few tomato seeds.</t>
  </si>
  <si>
    <t>https://www.tomatofest.com/Mortgage_Lifter_Radiator_Charlie_s_p/tf-0324.htm</t>
  </si>
  <si>
    <t>*This seed is offered as part of the "Gusto Italiano Project", a collaborative partnership between Uprising, Italian breeders Smarties.Bio, and the Culinary Breeding Network. Certified organic seed is grown in Italy by Smarties.Bio, Chioggia, It.*
The "Moretta" cabbage is a traditional winter harvested savoy cabbage from the village of Veronella which lies between Verona and Padua in northern Italy. Like many regional specialties with roots in place in Italy and elsewhere, this variety is woven into the agricultural, cullinary, and cultural fabric of the area, and is celebrated with a "Sagra" or harvest festival in the second half of November each year. Green savoyed leaves blush deep purple on the exterior as the weather cools while the interior remains blanched pale yellow. Excellent and cold hardy for winter harvest from June sowing.
150 days
Packet: 100 seeds</t>
  </si>
  <si>
    <t>*This seed is offered as part of the "Gusto Italiano Project", a collaborative partnership between Uprising, Italian breeders Smarties.Bio, and the Culinary Breeding Network. Certified organic seed is grown in Italy by Smarties.Bio, Chioggia, It.*
Variety: "Beatrice"
Type: Variegato di Castelfranco
Days to Maturity (slot): 90 days (mid)
Named after the town about 40 miles NW of Venice, towards Bassano, Variegato di Castelfranco is winter salad royalty and one of the most visually stunning "greens" we grow. Plants begin with an open habit of broad green leaves which eventually develop a central conical head that becomes denser and denser through the fall and into the winter. As the weather cools the leaves develop stunning burgundy flecking which is contrasted against the inner golden leaves that have been blanched by the exterior. Patterning and degree of flecking can vary from plant to plant and the outer edges of the leaves have an elegant serrated shape. Sometimes referred to as the "Tulip of Winter" in Italy, the dense heads are laboriously opened up into a beautiful floral shape for to display in markets. Castelfranco types offer some of the best fresh, raw eating of the entire radicchio family, with thin tender leaves and a very mild bitterness. Very cold-hardy it is one of the very best choices for winter salad greens.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for example, Castelfranco types having early, mid, and late slotted varieties.
90 days from transplant.</t>
  </si>
  <si>
    <t>*This seed is offered as part of the "Gusto Italiano Project", a collaborative partnership between Uprising, Italian breeders Smarties.Bio, and the Culinary Breeding Network. Certified organic seed is grown in Italy by Smarties.Bio, Chioggia, It.*
Variety: "Lentiggini"
Type: Variegato di Castelfranco
Days to Maturity (slot): 110 days (late)
Named after the town about 40 miles NW of Venice, towards Bassano, Variegato di Castelfranco is winter salad royalty and one of the most visually stunning "greens" we grow. Plants begin with an open habit of broad green leaves which eventually develop a central conical head that becomes denser and denser through the fall and into the winter. As the weather cools the leaves develop stunning burgundy flecking which is contrasted against the inner golden leaves that have been blanched by the exterior. Patterning and degree of flecking can vary from plant to plant and the outer edges of the leaves have an elegant serrated shape. Sometimes referred to as the "Tulip of Winter" in Italy, the dense heads are laboriously opened up into a beautiful floral shape for to display in markets. Castelfranco types offer some of the best fresh, raw eating of the entire radicchio family, with thin tender leaves and a very mild bitterness. Very cold-hardy it is one of the very best choices for winter salad greens.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for example, Castelfranco types having early, mid, and late slotted varieties.
110 days from transplant.</t>
  </si>
  <si>
    <t>*This seed is offered as part of the "Gusto Italiano Project", a collaborative partnership between Uprising, Italian breeders Smarties.Bio, and the Culinary Breeding Network. Certified organic seed is grown in Italy by Smarties.Bio.
Variety: "Mirabella"
Type: Variegato di Castelfranco
Days to Maturity (slot): 65 days (extra early)
Named after the town about 40 miles NW of Venice, towards Bassano, Variegato di Castelfranco is winter salad royalty and one of the most visually stunning "greens" we grow. Plants begin with an open habit of broad green leaves which eventually develop a central conical head that becomes denser and denser through the fall and into the winter. As the weather cools the leaves develop stunning burgundy flecking which is contrasted against the inner golden leaves that have been blanched by the exterior. Patterning and degree of flecking can vary from plant to plant and the outer edges of the leaves have an elegant serrated shape. Sometimes referred to as the "Tulip of Winter" in Italy, the dense heads are laboriously opened up into a beautiful floral shape for to display in markets. Castelfranco types offer some of the best fresh, raw eating of the entire radicchio family, with thin tender leaves and a very mild bitterness. Very cold-hardy it is one of the very best choices for winter salad greens.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for example, Castelfranco types having early, mid, and late slotted varieties.</t>
  </si>
  <si>
    <t>*This seed is offered as part of the "Gusto Italiano Project", a collaborative partnership between Uprising, Italian breeders Smarties.Bio, and the Culinary Breeding Network. Certified organic seed is grown in Italy by Smarties.Bio.
Variety: 'Pacifico'
Type: Rosso di Treviso Precoce
Days to Maturity (slot): 110 days (mid-late)
The city of Treviso is one of the epicenters of radicchio production, and Rosso di Treviso Precoce is one of the best known types in Italy, second only to Rosso di Chioggia in terms of ammount produced. "Precoce" means "early" in Italian and is used here to differentiate it from the late fall/winter forced-type, Treviso Tardivo. It is relatively unfussy to grow producing dense vertically elongated heads with wine-red leaves and wide contrasting white mid-ribs for fall harvests. It has the mildest bitterness of any of the red heading radicchio types, and though it is very much at home in a raw salad preparation, it is widely considered a type for sauteing, grilling, and roasting in Italy. Much of the plants sweetness that compliments the bitterness is found in the midrib. As with all radicchio, be especially mindful of your planting dates as a successful crop requires a MUCH narrower planting window than most garden vegetables.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many types having early, mid, and late slotted varieties.
110 days from transplant</t>
  </si>
  <si>
    <t>*This seed is offered as part of the "Gusto Italiano Project", a collaborative partnership between Uprising, Italian breeders Smarties.Bio, and the Culinary Breeding Network. Certified organic seed is grown in Italy by Smarties.Bio.
Variety: 'Regina Rossa'
Type: Rosso di Treviso Precoce
Days to Maturity (slot): 90 days (early-mid)
The city of Treviso is one of the epicenters of radicchio production, and Rosso di Treviso Precoce is one of the best known types in Italy, second only to Rosso di Chioggia in terms of ammount produced. "Precoce" means "early" in Italian and is used here to differentiate it from the late fall/winter forced-type, Treviso Tardivo. It is relatively unfussy to grow producing dense vertically elongated heads with wine-red leaves and wide contrasting white mid-ribs for fall harvests. It has the mildest bitterness of any of the red heading radicchio types, and though it is very much at home in a raw salad preparation, it is widely considered a type for sauteing, grilling, and roasting in Italy. Much of the plants sweetness that compliments the bitterness is found in the midrib. As with all radicchio, be especially mindful of your planting dates as a successful crop requires a MUCH narrower planting window than most garden vegetables.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many types having early, mid, and late slotted varieties.
90 days from transplant</t>
  </si>
  <si>
    <t>Weston</t>
  </si>
  <si>
    <t>West Coast</t>
  </si>
  <si>
    <t>Swallowtail Garden</t>
  </si>
  <si>
    <t>https://www.highmowingseeds.com/organic-non-gmo-badger-flame-beet.html</t>
  </si>
  <si>
    <t>A unique oblong golden beet cultivar developed with flavor-first chefs and consumers in mind.
This fascinating cultivar was developed to have a low amount of geosmin, the compound that gives beets their earthy flavor. this makes for a perfectly mild and sweet golden beet that is delightful when eaten raw. After 9 years of pursuing this variety, we are finally able to share it. This one-of-a-kind variety comes to us from renowned plant breeder Irwin Goldman of the University of Wisconsin. A portion of the sales of this variety is paid to the breeder - learn more here.
Easy to process
Delicious raw or cooked
1.5” wide and 4” long roots
BR
Open-Pollinated</t>
  </si>
  <si>
    <t>Green Beans</t>
  </si>
  <si>
    <t>Cobs</t>
  </si>
  <si>
    <t>Fruit</t>
  </si>
  <si>
    <t>Delay Before Sale</t>
  </si>
  <si>
    <t>90 Day</t>
  </si>
  <si>
    <t>110 Day</t>
  </si>
  <si>
    <t>Radicchio (110 Day) - Forced Head 1X | Field TP Su</t>
  </si>
  <si>
    <t>Radicchio (90 Day) - Forced Head 1X | Field TP Su</t>
  </si>
  <si>
    <t>Winter Squash</t>
  </si>
  <si>
    <t>Common Name</t>
  </si>
  <si>
    <t>Tendril Beans</t>
  </si>
  <si>
    <t>Sprouting Broccoli</t>
  </si>
  <si>
    <t>Italian Basil</t>
  </si>
  <si>
    <t>Hot Pepper</t>
  </si>
  <si>
    <t>Sweet Pepper</t>
  </si>
  <si>
    <t>Winter Radish</t>
  </si>
  <si>
    <t>Sunchoke</t>
  </si>
  <si>
    <t>Done</t>
  </si>
  <si>
    <t>Date</t>
  </si>
  <si>
    <t>Task</t>
  </si>
  <si>
    <t>Direct Seed</t>
  </si>
  <si>
    <t>Transplant</t>
  </si>
  <si>
    <t>Start Seedlings</t>
  </si>
  <si>
    <t>BedPlan.Variety</t>
  </si>
  <si>
    <t>BedPlan.Company</t>
  </si>
  <si>
    <t>Max of Date</t>
  </si>
  <si>
    <t>FALSE</t>
  </si>
  <si>
    <t>Frost Tolerant Starts</t>
  </si>
  <si>
    <t>Tray 1 Days</t>
  </si>
  <si>
    <t>Tray 1 Count</t>
  </si>
  <si>
    <t>Tray 2 Days</t>
  </si>
  <si>
    <t>Tray 2 Count</t>
  </si>
  <si>
    <t>Tray 3 Days</t>
  </si>
  <si>
    <t>Tray 3 Count</t>
  </si>
  <si>
    <t>Tray 1 Size</t>
  </si>
  <si>
    <t>Tray 2 Size</t>
  </si>
  <si>
    <t>Tray 3 Size</t>
  </si>
  <si>
    <t>Days in Cells Old</t>
  </si>
  <si>
    <t>Pansy &amp; Viola</t>
  </si>
  <si>
    <t>Snapdragon</t>
  </si>
  <si>
    <t>Squash - Summer</t>
  </si>
  <si>
    <t>Radish- Winter</t>
  </si>
  <si>
    <t>Pepper - Sweet</t>
  </si>
  <si>
    <t>Squash - Winter</t>
  </si>
  <si>
    <t>Label</t>
  </si>
  <si>
    <t>Corn Salad Mix</t>
  </si>
  <si>
    <t>Radish Mix</t>
  </si>
  <si>
    <t>Mix Constituents</t>
  </si>
  <si>
    <t>Actual Greenhouse Date</t>
  </si>
  <si>
    <t>Actual TP or DS Date</t>
  </si>
  <si>
    <t>Row Labels</t>
  </si>
  <si>
    <t>Sum of Tray 1 Count</t>
  </si>
  <si>
    <t>BedPlan.Name</t>
  </si>
  <si>
    <t>Hampton</t>
  </si>
  <si>
    <t>Hampton - Pelleted</t>
  </si>
  <si>
    <t>Can take up to three weeks to germinate. Early sewing may bolt. Sew mid feb - late july. Summer sowings can survive winter and come back in spring. Flat leaf is more prone to spring bolting. Can get bitter in Summer. Beneficial to soak over night says Adaptive. Dowding pricks his out.</t>
  </si>
  <si>
    <t>Winter Density</t>
  </si>
  <si>
    <t>Peruvian</t>
  </si>
  <si>
    <t>https://www.johnnyseeds.com/vegetables/peppers/hot-peppers/bastan-organic-f1-poblano-pepper-seed-3274G.html</t>
  </si>
  <si>
    <t>https://www.johnnyseeds.com/vegetables/beets/round-beets/boro-organic-f1-beet-seed-3300G.html</t>
  </si>
  <si>
    <t>https://www.johnnyseeds.com/flowers/amaranthus/coral-fountain-amaranthus-seed-1701.html</t>
  </si>
  <si>
    <t>https://www.johnnyseeds.com/vegetables/cucumbers/seedless-and-thin-skinned-cucumbers/katrina-organic-f1-cucumber-seed-47G.html</t>
  </si>
  <si>
    <t>https://www.johnnyseeds.com/vegetables/greens/asian-greens/mizuna-organic-asian-green-seed-2883.html</t>
  </si>
  <si>
    <t>https://www.johnnyseeds.com/vegetables/lettuce/summer-crisp-lettuce-batavia/muir-organic-lettuce-seed-3881G.html</t>
  </si>
  <si>
    <t>https://www.johnnyseeds.com/vegetables/corn/sweet-corn/natural-sweet-1r-organic-f1-corn-seed-3590RG.html</t>
  </si>
  <si>
    <t>https://www.johnnyseeds.com/vegetables/tomatoes/specialty-tomatoes/pink-berkeley-tie-dye-organic-tomato-seed-3636G.html</t>
  </si>
  <si>
    <t>https://www.johnnyseeds.com/vegetables/cucumbers/seedless-and-thin-skinned-cucumbers/poniente-organic-f1-cucumber-seed-4379G.html</t>
  </si>
  <si>
    <t>https://www.johnnyseeds.com/vegetables/beets/round-beets/red-ace-organic-f1-beet-seed-2841.html</t>
  </si>
  <si>
    <t>https://www.johnnyseeds.com/vegetables/cucumbers/specialty-cucumbers/sashimi-f1-cucumber-seed-4728.html</t>
  </si>
  <si>
    <t>https://www.johnnyseeds.com/vegetables/greens/asian-greens/shungiku-asian-green-seed-514.html</t>
  </si>
  <si>
    <t>https://www.johnnyseeds.com/vegetables/greens/asian-greens/tatsoi-organic-asian-green-seed-2897.html</t>
  </si>
  <si>
    <t>https://www.johnnyseeds.com/vegetables/chinese-cabbage/tokyo-bekana-organic-f1-asian-green-seed-2251G.38.html</t>
  </si>
  <si>
    <t>https://www.johnnyseeds.com/flowers/amaranthus/velvet-curtains-amaranthus-seed-4489.html</t>
  </si>
  <si>
    <t>Variety &amp; Company</t>
  </si>
  <si>
    <t>Planned TP or DS Date</t>
  </si>
  <si>
    <t xml:space="preserve"> </t>
  </si>
  <si>
    <t>Royal Bride</t>
  </si>
  <si>
    <t>Costata Romanesco</t>
  </si>
  <si>
    <t>Goldini 2</t>
  </si>
  <si>
    <t>Orange Wonder</t>
  </si>
  <si>
    <t>Coco Gold F1</t>
  </si>
  <si>
    <t>Red Cloud F1</t>
  </si>
  <si>
    <t>Katz Formulal Mix</t>
  </si>
  <si>
    <t>Carlton F1</t>
  </si>
  <si>
    <t>Intercut</t>
  </si>
  <si>
    <t>Values</t>
  </si>
  <si>
    <t>Row Count</t>
  </si>
  <si>
    <t>Space</t>
  </si>
  <si>
    <t>Beds</t>
  </si>
  <si>
    <t>Aim for  8 carrots per bunch 5” to 7” (13 cm -18 cm) long. Sew midmarch to mid april  and jun for fall and winter. No-Till S3 E11 Prema Farm says they get 1k carrot bunches per 100 ft using 4 rows with dense in-row spacing.</t>
  </si>
  <si>
    <t>Follow Offset</t>
  </si>
  <si>
    <t>Actual End of Harvest</t>
  </si>
  <si>
    <t>Actual Beginning of Harvest</t>
  </si>
  <si>
    <t>Ground Cherry Mix</t>
  </si>
  <si>
    <t>Jimmy Nardello</t>
  </si>
  <si>
    <t>Plantings</t>
  </si>
  <si>
    <t>b</t>
  </si>
  <si>
    <t>c</t>
  </si>
  <si>
    <t>d</t>
  </si>
  <si>
    <t>e</t>
  </si>
  <si>
    <t>Susceptible to rust but doesn't effect quality. Doesn't like wet feet. https://www.youtube.com/watch?v=t5rM9rrpJpM</t>
  </si>
  <si>
    <t>Expected Beginning of Harvest</t>
  </si>
  <si>
    <t>Expected End of Harvest</t>
  </si>
  <si>
    <t>Failed</t>
  </si>
  <si>
    <t>Sew under cover mid may or june if uncovered. JM does 14 days in cell for late season transplants.. Possible to transplant in small starts  as you clear leaves from the plant above? Sundance harvest says they run 4' x 48' beds and get 50 lbs per week by April in their tunnels.</t>
  </si>
  <si>
    <t>Avoid sewing later than mid-July or roots won't size in time. Can be harvested from clusters for 3 months.</t>
  </si>
  <si>
    <t>Watch out for bolting in Spring plantings which go to flower around June. Winter plants will stay tender even with large swelling. Less vulnerable to flea beetle. Should swell to nice big bulbs by October. Probably plant a little thicker in spring, because they will be picked before they swell. https://www.youtube.com/watch?v=r6OWkdjtaTA</t>
  </si>
  <si>
    <t>Need improvement</t>
  </si>
  <si>
    <t>+/- 9 onions by grabbing 2 clumps / bunch. Plant feb - june for summer fall or. Late Aug for winter. Cam sew as early as mid feb.  To mid march. Direct seed in second half of mar. Sew after last week of aug in winter to prevent bolting. With good onions should be able to get 1 bunch per 1.5 - 2 plantings. Currently we get about 1 per 3 - 4.</t>
  </si>
  <si>
    <t>Leeks weigh around 9 ounces. 3 - 4 leeks per bunch. Need larger pots. Can transplant June to Late July. Should try half as individual and half as clusters.</t>
  </si>
  <si>
    <t>Assume 1 bunch per 3 plants / week. Can pot up if necessary.</t>
  </si>
  <si>
    <t>One unit here is valued at 2 lbs. Thin to a single plant. Plants deep. They like consistent access to water especially while establishing. Can store for 3 months.</t>
  </si>
  <si>
    <t>Tunnel</t>
  </si>
  <si>
    <t>Date of harvest is dependent on the variety. Interplant into another crop. It would be interesting to try and interplant overwintered fava beans into early Brussel sprouts.</t>
  </si>
  <si>
    <t>Sow in September for greens through March. May also be spring sown; requires cool temps to germinate. Thin to 4” in all directions. Harvest 1” above basal plate for cut-and-come-again greens or lower for rosette. Self-seeds prolifically. Hardy to 5˚F. Seeds need constant moisture to germinate. Can direct seed thick then thin to 3-4" with 6" between rows.</t>
  </si>
  <si>
    <t>Target End of Harvest</t>
  </si>
  <si>
    <t>Sew in trays around summer solstice (June 21st) through the first third of July says Osborne. Many varieties are differentiated by the DTM. Hard to grow, but doesn't sound like rocket science. Longer varieties are more cold hardy. 30 minutes in. https://www.notillgrowers.com/blog/2019/12/23/the-no-till-market-garden-podcast-with-evan-chendar-the-culinary-gardener. Hard to get dense heads which are necessary to get good texture, blanched color. Shorter varieties are easier to get a hit on. Nights in the 40s to head up for large varieties. Need gradual weather. Outer leaves self blanch when you force it. Forcing always develops a dense head. Even early varieties are cold hardy to 15 deg with AG-19 over short stints. Easy to force in water. Dig plants. trim slightly. Pack in crates insides a tub with a few inches of water + a heater under a lower tunnel raised on pallets. Force for three weeks. Change water twice a week. All nonf-roced are 6/lb. Forced are 20/lb. Target head is 0.5 lb up to 2lb. Sounds like early varieties are grown on 10 inch spacing. Why do the heads big? It seems riskier to do them larger and you can't fit as many to the bed. Seems better to do smaller tighter. Young Plants hardy to 5 deg. Mature hardy to 23 deg. Late-maturing varieties store longer than short-season varieties. https://www.osborneseed.com/catalog/cp_/catalog/vegetables/chicory/radicchio. Remay below 25. Possible to Spring force radicchio (would be less sweet but easier to heat)? https://uprisingorganics.com/pages/radicchiology https://extension.colostate.edu/docs/pubs/garden/07617.pdf. Assumune 2 lbs per plant. Typically plant less than three weeks before first frost. Much of the U.S. can plant in late march if fleeced. Midseason get planted in late april. Main crop get planted in mid apr - mid may. Earlier go late march - June. Midseason go late apr - late jul. Main crop go mid apr - mid may through aug. Heading varieties (Chioggia, Verona, Treviso precoce, Lusia, Rosa) are better sown towards the earlier part of this window. Looser or more cold tolerant varieties (Gorizia/Isontina, Castelfranco, Treviso Tardivo, Catalogna) or the earliest slotted varieties of the heading types, have more flexibility and can be successfully sown later in the window. Grumolo (a late winter/early spring harvested variety) can be sown into August. Heading varieties (Chioggia, Verona, Treviso precoce, Lusia, Rosa) are better sown towards the earlier part of this window. Looser or more cold tolerant varieties (Gorizia/Isontina, Castelfranco, Treviso Tardivo, Catalogna) or the earliest slotted varieties of the heading types, have more flexibility and can be successfully sown later in the window. Grumolo (a late winter/early spring harvested variety) can be sown into August.</t>
  </si>
  <si>
    <t>Sew mid feb - mid march. Wait for weather to warm before transplanting. Well clear of frost risk. Transplant May - June. Can crop until September. Like well drained soil. Ideal seedlings have buds, but no open flowers. Plastic mulch will help</t>
  </si>
  <si>
    <t>If the leaves go yellow they are definitely ready to harvest. Flowering can be a sign that they are nearing harvest but not always. No big need to plant them early as cold weather often sets them back and later plantings will catch up. Most efficient to water them near harvest, but unless it's especially dry they can be dry-farmed. Additional water will help increase yields. Brown leaves aren't blight, they generally go more translucent. Potatoes will come out cleaner if the soil is not wet. Dowding yields almost 13 kilos out of his small beds. One of our rows is likely around 5 of those. So we should be able to get 130 lb out of a 50 ft bed if we can get things dialed.</t>
  </si>
  <si>
    <t>Swiss Chard - Mature Leaf 1X | Field TP Ow</t>
  </si>
  <si>
    <t xml:space="preserve">Hortonova — optional. We find Hortonova to interfere with harvesting pansies and violas, so we no longer use it as support in this crop. However, depending on your preference, it can be useful for supporting taller varieties.   Brush Strokes: Earliest variety in our trials to have long enough stems to harvest. Nature Series: Almost as early as Brush Strokes; tall productive plants with beautiful color range. Frizzle Sizzle Series: later than Brush Strokes and slightly shorter, with unique, deeply ruffled blooms.  Sorbet Formula Mix: Best choice for edible flower production. This variety had the most consistent bloom production through the winter and early spring.   Stems stretch as the days lengthen, yielding harvestable (10–20") stems suitable for mixing into spring bouquets. Long harvest window.   Plants bloomed throughout the winter, yielding edible flowers on short, compact plants. Once the days began to lengthen, stems started to stretch. We found this crop particularly valuable in early May, paired with field tulips and daffodils. The flowers added sparkle and the leafy stems added nice greenery in pairings with the early bulb crops.  * If growing for edible blooms:  Sorbet Formula Mix yielded blooms December through March, with best and most consistent production in late February through March. </t>
  </si>
  <si>
    <t xml:space="preserve">Hortonova — 2 layers Madame Butterfly, Potomac, Costa, Legend, and Bridal all do well. Plantings of different Groups 1–3 at the same time will yield a staggered harvest in the spring.  Vigorous plants and tall stems. Some stems may become thicker/fleshier than those of field-planted snaps, and may break a little more easily. Rocket Series not recommended for tunnel; stems become too tall and snap easily. Florets are spaced far apart on the stalks.  * This includes the numbers from the second cuts. </t>
  </si>
  <si>
    <t xml:space="preserve">Hortonova — 2 layers Delft Blue: Dramatic, very large blooms. Blooms slightly later than Love-In-A-Mist. Love-in-A-Mist: Wide blooms with distinct centers.  Plants are taller and more vigorous than field plantings, with longer stems and wider blooms.  Blooms appeared to hold their petals longer in the tunnel and did not seem to shatter as quickly as field-planted Nigella. </t>
  </si>
  <si>
    <t>A1</t>
  </si>
  <si>
    <t>A2</t>
  </si>
  <si>
    <t>A3</t>
  </si>
  <si>
    <t>A4</t>
  </si>
  <si>
    <t>A5</t>
  </si>
  <si>
    <t>A6</t>
  </si>
  <si>
    <t>A7</t>
  </si>
  <si>
    <t>A8</t>
  </si>
  <si>
    <t>B1</t>
  </si>
  <si>
    <t>B2</t>
  </si>
  <si>
    <t>B3</t>
  </si>
  <si>
    <t>B4</t>
  </si>
  <si>
    <t>B5</t>
  </si>
  <si>
    <t>B6</t>
  </si>
  <si>
    <t>B7</t>
  </si>
  <si>
    <t>B8</t>
  </si>
  <si>
    <t>C1</t>
  </si>
  <si>
    <t>C2</t>
  </si>
  <si>
    <t>C3</t>
  </si>
  <si>
    <t>C4</t>
  </si>
  <si>
    <t>C5</t>
  </si>
  <si>
    <t>C6</t>
  </si>
  <si>
    <t>C7</t>
  </si>
  <si>
    <t>C8</t>
  </si>
  <si>
    <t>D1</t>
  </si>
  <si>
    <t>D2</t>
  </si>
  <si>
    <t>D3</t>
  </si>
  <si>
    <t>D4</t>
  </si>
  <si>
    <t>D5</t>
  </si>
  <si>
    <t>D6</t>
  </si>
  <si>
    <t>D7</t>
  </si>
  <si>
    <t>D8</t>
  </si>
  <si>
    <t>E1</t>
  </si>
  <si>
    <t>E2</t>
  </si>
  <si>
    <t>E3</t>
  </si>
  <si>
    <t>E4</t>
  </si>
  <si>
    <t>E5</t>
  </si>
  <si>
    <t>E6</t>
  </si>
  <si>
    <t>E7</t>
  </si>
  <si>
    <t>E8</t>
  </si>
  <si>
    <t>F0</t>
  </si>
  <si>
    <t>F1</t>
  </si>
  <si>
    <t>F2</t>
  </si>
  <si>
    <t>F3</t>
  </si>
  <si>
    <t>F4</t>
  </si>
  <si>
    <t>F5</t>
  </si>
  <si>
    <t>F6</t>
  </si>
  <si>
    <t>F7</t>
  </si>
  <si>
    <t>F8</t>
  </si>
  <si>
    <t>G1</t>
  </si>
  <si>
    <t>G2</t>
  </si>
  <si>
    <t>G3</t>
  </si>
  <si>
    <t>G4</t>
  </si>
  <si>
    <t>G5</t>
  </si>
  <si>
    <t>G6</t>
  </si>
  <si>
    <t>G7</t>
  </si>
  <si>
    <t>G8</t>
  </si>
  <si>
    <t>H1</t>
  </si>
  <si>
    <t>H2</t>
  </si>
  <si>
    <t>H3</t>
  </si>
  <si>
    <t>H4</t>
  </si>
  <si>
    <t>H5</t>
  </si>
  <si>
    <t>H6</t>
  </si>
  <si>
    <t>H7</t>
  </si>
  <si>
    <t>H8</t>
  </si>
  <si>
    <t>I1</t>
  </si>
  <si>
    <t>I2</t>
  </si>
  <si>
    <t>I3</t>
  </si>
  <si>
    <t>I4</t>
  </si>
  <si>
    <t>I5</t>
  </si>
  <si>
    <t>I6</t>
  </si>
  <si>
    <t>I7</t>
  </si>
  <si>
    <t>I8</t>
  </si>
  <si>
    <t>J1</t>
  </si>
  <si>
    <t>J2</t>
  </si>
  <si>
    <t>J3</t>
  </si>
  <si>
    <t>J4</t>
  </si>
  <si>
    <t>J5</t>
  </si>
  <si>
    <t>J6</t>
  </si>
  <si>
    <t>J7</t>
  </si>
  <si>
    <t>J8</t>
  </si>
  <si>
    <t>Bed</t>
  </si>
  <si>
    <t>Cauliflower - Mature Head 1X | Field TP Ow</t>
  </si>
  <si>
    <t>Onion - Mature Bulb 6X | Field TP Ow</t>
  </si>
  <si>
    <t>Start Date</t>
  </si>
  <si>
    <t>Planned Greenhouse Start Date</t>
  </si>
  <si>
    <t>Seeding Factor</t>
  </si>
  <si>
    <t>Large</t>
  </si>
  <si>
    <t>X4</t>
  </si>
  <si>
    <t>X3</t>
  </si>
  <si>
    <t>X2</t>
  </si>
  <si>
    <t>X1</t>
  </si>
  <si>
    <t>Annex</t>
  </si>
  <si>
    <t>Asian Greens</t>
  </si>
  <si>
    <t>Mixed</t>
  </si>
  <si>
    <t>Asian Greens (Mixed) - Loose Leaf 1.5X | Field TP Ow</t>
  </si>
  <si>
    <t>Chrysanthemum Greens - Mature Leaf 1X | Field DS Ow</t>
  </si>
  <si>
    <t>Perennial</t>
  </si>
  <si>
    <t>Annual</t>
  </si>
  <si>
    <t>7-18 days @ soil temp 65-75F.. Bloomed 7/8 in 2023</t>
  </si>
  <si>
    <t>PE</t>
  </si>
  <si>
    <t>Reseed</t>
  </si>
  <si>
    <t>7-14 days @ 70 degrees. Sow seeds 6 weeks before last frost. First sewing in April. Can get like 1/2 lb per plant every 3 weeks or so if you cut it hard.</t>
  </si>
  <si>
    <t>Tulsi Reseed</t>
  </si>
  <si>
    <t xml:space="preserve">Lovage (Perennial) - Mature Leaf 1X | Field DS </t>
  </si>
  <si>
    <t>Softneck</t>
  </si>
  <si>
    <t>Hardneck</t>
  </si>
  <si>
    <t>The bed usage is less impactful that in looks because 3-5 months are in off-seasons beds. Harvest in Jun July. Best time to sew is Oct. but can go as late as Dec. Good interplanter. Avoid interplanting during final growth phase. Keep watered in May - June for fat bulbs. Hardneck varieties provide scapes.If rusty harvest small yield and move on. Can harvest green gartlic in late spring.. Don't want for necks to fall over or leaves to go yellow before harvest. Softneck matures late June. Hardneck early to mid july. Should be harvestable  May - June.</t>
  </si>
  <si>
    <t>Garlic (Softneck) - Storage Bulb 1X | Field DS Ow</t>
  </si>
  <si>
    <t>Garlic (Hardneck) - Storage Bulb 1X | Field DS Ow</t>
  </si>
  <si>
    <t>Slicer</t>
  </si>
  <si>
    <t>Saltwort</t>
  </si>
  <si>
    <t>Agretti</t>
  </si>
  <si>
    <t>can be harvested from June to October. Young leaves eaten raw. Large leaves cooked. Soak overnight before sewing. Seed in spring through mid summer. Watch for woody stems and prickly leaf tips as plant matures. Not heat loving but needs heat to germinate. Salsola in Grow Something Different. Poor germinator.  Best to soak seeds. Like vernalization.</t>
  </si>
  <si>
    <t>Planting in light shade and keeping the seed stalks cut increases summer quality, but a good crop will re-grow in fall even if plants bolt. Harvest side leaves until plants become well established; later, plants can be cut completely, right above the crown (around mid-July). Plants spread and can be divided by root cuttings.</t>
  </si>
  <si>
    <t>Garden Sorrel</t>
  </si>
  <si>
    <t>https://www.wildgardenseed.com/product_info.php?cPath=62&amp;products_id=163</t>
  </si>
  <si>
    <t xml:space="preserve">Sorrel - Mature Leaf 3X | Field TP </t>
  </si>
  <si>
    <t>Lovelock</t>
  </si>
  <si>
    <t>Florence</t>
  </si>
  <si>
    <t>4.3 Seedlinked</t>
  </si>
  <si>
    <t>4.3 SeedLinked</t>
  </si>
  <si>
    <t>Snackabelle Red</t>
  </si>
  <si>
    <t>Jalepeno</t>
  </si>
  <si>
    <t>El Jefe</t>
  </si>
  <si>
    <t>Sun Dipper</t>
  </si>
  <si>
    <t>Prospera</t>
  </si>
  <si>
    <t>4.2 SeedLinked</t>
  </si>
  <si>
    <t>Hypsy</t>
  </si>
  <si>
    <t>4.2 Seedlinked</t>
  </si>
  <si>
    <t>Dazzling Blue</t>
  </si>
  <si>
    <t>Aji Rico</t>
  </si>
  <si>
    <t>French Breakfast</t>
  </si>
  <si>
    <t>Summer</t>
  </si>
  <si>
    <t>Cheery</t>
  </si>
  <si>
    <t>Juliet</t>
  </si>
  <si>
    <t>Red. 4.1 Seedlinked</t>
  </si>
  <si>
    <t>Cascadia</t>
  </si>
  <si>
    <t>4.1 Seedlinked</t>
  </si>
  <si>
    <t>4.0 Seedlinked</t>
  </si>
  <si>
    <t>Habanero. 4.0 Seedlinked</t>
  </si>
  <si>
    <t>Tiera</t>
  </si>
  <si>
    <t>White. 4.0 SeedLinked</t>
  </si>
  <si>
    <t>Carola</t>
  </si>
  <si>
    <t>Yellow. 4.0 Seedlinked</t>
  </si>
  <si>
    <t>Tetsukabuto</t>
  </si>
  <si>
    <t>4.0 SeedLinked</t>
  </si>
  <si>
    <t>Blushing Not Bashful</t>
  </si>
  <si>
    <t>West Virginia 63</t>
  </si>
  <si>
    <t>Esperanza</t>
  </si>
  <si>
    <t>Green. 4.0 Seedlinked</t>
  </si>
  <si>
    <t>4.0 SeedLinked. Stroll past a kitchen window in Serbia in October and there’s a good chance you’ll be greeted by the smell of roasting red peppers. Across the Balkans, fall is the time for making ajvar, a thick, deliciously rich, and tangy savory spread that preserves the peak harvests of peppers and eggplants to be enjoyed throughout the year (recipe follows). The process can take a couple days and often happens in large volumes (one recipe I read started “Take about 60lbs of ripe red peppers…”). One of the choice varieties of sweet pepper used is known as “Elephant’s Ear” (Slonovo uvo in Serbian) for its impressive appearance. Our 2015 crop yielded some of the biggest, most beautiful sweet peppers we’ve ever grown, 6” long by 4”wide, slightly flattened and with a pointed tip. Fruits ripen from green to bright red with thick walls and very sweet flavor. Very reasonable maturity for such a big sweet pepper.</t>
  </si>
  <si>
    <t>Pentland Brig</t>
  </si>
  <si>
    <t>Green, curly. 4.0 Seed Linked.</t>
  </si>
  <si>
    <t>Romance</t>
  </si>
  <si>
    <t>Bolero</t>
  </si>
  <si>
    <t>Nantes</t>
  </si>
  <si>
    <t>3.9 SeedLinked</t>
  </si>
  <si>
    <t>Okra</t>
  </si>
  <si>
    <t>Clemson Spineless</t>
  </si>
  <si>
    <t>Cherokee Purple</t>
  </si>
  <si>
    <t>3.9 Seedlinked</t>
  </si>
  <si>
    <t>3.8 SeedLinked. The most heat tolerant lettuce. Organic seed with NOP-compliant pelleting.
Muir is an extremely heat tolerant variety and was the slowest to bolt in our summer trials. Technically a Batavian type, the light green, extra-wavy leaves form dense heads at a small size and can be harvested as a mini or left to bulk up into large, heavy, full-size heads. The leaves are crisp and have excellent flavor. Suitable for hydroponic systems. Utility Patent granted. High resistance to downy mildew races EU 16–26, 28, 32; US 5–9, Nasonovia nibisnigri aphid, and tomato bushy stunt virus (lettuce dieback complex); intermediate resistance to lettuce mosaic virus. MT0-30. USDA Certified Organic. Avg. 1,100 seeds/oz. Packet: 250 seeds.</t>
  </si>
  <si>
    <t>3.8 SeedLinked. Winner of our 2017 Tomato Tasting - Paste/ Sauce division. The great meaty texture is paired with tangy, sweet flavor that make it an ideal sauce tomato. Fruits measure 2½-3¾". At Seed Savers Exchange (zone 4B), it was a bit later maturing but had above average productivity. Grown by Charles Salvaterra since the early 1980s, this heirloom tomato has been shared within the Hazleton, Pennsylvania community since the 1950s. Indeterminate, 70-80 days from transplant.</t>
  </si>
  <si>
    <t>Newham</t>
  </si>
  <si>
    <t>Romaine (Mini)</t>
  </si>
  <si>
    <t>3.8 SeedLinked</t>
  </si>
  <si>
    <t>SeedLinked</t>
  </si>
  <si>
    <t>Saladette</t>
  </si>
  <si>
    <t>Ruby  Perfection</t>
  </si>
  <si>
    <t>Rutger's Devotion</t>
  </si>
  <si>
    <t>Jade</t>
  </si>
  <si>
    <t>Affirmed</t>
  </si>
  <si>
    <t>Looks really long</t>
  </si>
  <si>
    <t>Maxibel</t>
  </si>
  <si>
    <t>Moving Target</t>
  </si>
  <si>
    <t>Zoned</t>
  </si>
  <si>
    <t>Monty</t>
  </si>
  <si>
    <t>Sprouting</t>
  </si>
  <si>
    <t>Sweet Stems</t>
  </si>
  <si>
    <t>Integro</t>
  </si>
  <si>
    <t>Deep Purple</t>
  </si>
  <si>
    <t>Dragon</t>
  </si>
  <si>
    <t>Earlisnow</t>
  </si>
  <si>
    <t>Beit Alpha</t>
  </si>
  <si>
    <t>Manny</t>
  </si>
  <si>
    <t>Mideast Peace</t>
  </si>
  <si>
    <t>Mini</t>
  </si>
  <si>
    <t>Sooyow Nishiki</t>
  </si>
  <si>
    <t>Slider</t>
  </si>
  <si>
    <t>Marketmore 76</t>
  </si>
  <si>
    <t>Tasty Jade</t>
  </si>
  <si>
    <t>Purple Pickling</t>
  </si>
  <si>
    <t>Darkibor</t>
  </si>
  <si>
    <t>Triton</t>
  </si>
  <si>
    <t>Rossa Di Milano</t>
  </si>
  <si>
    <t>Talon</t>
  </si>
  <si>
    <t>New York Early</t>
  </si>
  <si>
    <t>Amish Snap</t>
  </si>
  <si>
    <t>Dragonfly</t>
  </si>
  <si>
    <t>Pruple</t>
  </si>
  <si>
    <t>Bornio Tadiva</t>
  </si>
  <si>
    <t>Luisa</t>
  </si>
  <si>
    <t>Rubro</t>
  </si>
  <si>
    <t>Chioggia</t>
  </si>
  <si>
    <t>Bottiglione</t>
  </si>
  <si>
    <t>Treviso</t>
  </si>
  <si>
    <t>Verona</t>
  </si>
  <si>
    <t>Costarossa</t>
  </si>
  <si>
    <t>Castelfranco</t>
  </si>
  <si>
    <t>Cecelia</t>
  </si>
  <si>
    <t>Smooth</t>
  </si>
  <si>
    <t>Banjo</t>
  </si>
  <si>
    <t>Hot Streak</t>
  </si>
  <si>
    <t>Red &amp; Yellow</t>
  </si>
  <si>
    <t>Cipolla's Pride</t>
  </si>
  <si>
    <t>Light Red</t>
  </si>
  <si>
    <t>Cosmic Mountain Sunset</t>
  </si>
  <si>
    <t>Red &amp; Black</t>
  </si>
  <si>
    <t>Musquee De Provence</t>
  </si>
  <si>
    <t>Seppelin</t>
  </si>
  <si>
    <t>Stella Blue</t>
  </si>
  <si>
    <t>Long Island Cheese</t>
  </si>
  <si>
    <t>Brulee</t>
  </si>
  <si>
    <t>Green Wave</t>
  </si>
  <si>
    <t>Mustard</t>
  </si>
  <si>
    <t>Variegated</t>
  </si>
  <si>
    <t>Arugala</t>
  </si>
  <si>
    <t>Byrd</t>
  </si>
  <si>
    <t>Green in Snow</t>
  </si>
  <si>
    <t>Winter Rainbow</t>
  </si>
  <si>
    <t>Scotch</t>
  </si>
  <si>
    <t>Lark's Tongue</t>
  </si>
  <si>
    <t>Wild Red</t>
  </si>
  <si>
    <t>Lacatino</t>
  </si>
  <si>
    <t>Melox Red Oak</t>
  </si>
  <si>
    <t>Red Oak Leaf</t>
  </si>
  <si>
    <t>Mt. Honey</t>
  </si>
  <si>
    <t>Cortland</t>
  </si>
  <si>
    <t>Red Carpet</t>
  </si>
  <si>
    <t>Slocan</t>
  </si>
  <si>
    <t>Snow</t>
  </si>
  <si>
    <t>King of the North Circle</t>
  </si>
  <si>
    <t>Annaheim 118</t>
  </si>
  <si>
    <t>Mariachi</t>
  </si>
  <si>
    <t>Pinkish Yellow Waxy Banana?</t>
  </si>
  <si>
    <t>Beacon</t>
  </si>
  <si>
    <t>Doe Hill</t>
  </si>
  <si>
    <t>Carmen</t>
  </si>
  <si>
    <t>Russet</t>
  </si>
  <si>
    <t>Goldrush</t>
  </si>
  <si>
    <t>Mondak Gold</t>
  </si>
  <si>
    <t>Red?</t>
  </si>
  <si>
    <t>Oneida Gold</t>
  </si>
  <si>
    <t>Belmonda</t>
  </si>
  <si>
    <t>French Fingerling</t>
  </si>
  <si>
    <t>Fingerling</t>
  </si>
  <si>
    <t>Peter Wilcox</t>
  </si>
  <si>
    <t>Helenor</t>
  </si>
  <si>
    <t>Nadmorska</t>
  </si>
  <si>
    <t>Green Shoulder</t>
  </si>
  <si>
    <t>Red Shoulder</t>
  </si>
  <si>
    <t>Hakurei</t>
  </si>
  <si>
    <t>Uncle David's Dakota Dessert</t>
  </si>
  <si>
    <t>Candystick Dessert Delicata</t>
  </si>
  <si>
    <t>Nutterbutter</t>
  </si>
  <si>
    <t>Assume 1 bunch per 3 plants/week. Sewing too early can lead to bolting in summer. Thin cells to 1 seedling for large and 2 for small leaf.</t>
  </si>
  <si>
    <t>1 bunch per 2 plants every 2 weeks. Harvest drops off around Dec then resumes around Mar - Mid Apr before flowering in Late April</t>
  </si>
  <si>
    <t xml:space="preserve"> Calculate an average of 60 lbs of total harvest over 4 weeks. Transplant rootball 1.5 inches below soil level.</t>
  </si>
  <si>
    <t>Salad Early</t>
  </si>
  <si>
    <t>Salad Late</t>
  </si>
  <si>
    <t>Strawflower</t>
  </si>
  <si>
    <t>Do not cover seed as light is required for germination. Harden off and transplant out after danger of frost. Bottom water or mist to avoid covering seeds.</t>
  </si>
  <si>
    <t>Sage</t>
  </si>
  <si>
    <t>Rosemary</t>
  </si>
  <si>
    <t>Thyme</t>
  </si>
  <si>
    <t>Mature Sprigs</t>
  </si>
  <si>
    <t>Pot</t>
  </si>
  <si>
    <t>Mint</t>
  </si>
  <si>
    <t>Most nurseries grow rosemary from cuttings, not seeds. Germination is notoriously low, so plant more seeds than needed. Sow them barely covered with sterilized seed starting mix over bottom heat. Once germinated, rosemary is highly prone to damping off, so keep watering to a minimum, provide bright light, and ventilation. Keep each plant in its own pot for the first winter and offer them protection from severe cold. Transplant to the garden the following spring at a spacing of 60-90cm (24-36″).</t>
  </si>
  <si>
    <t xml:space="preserve">Sage - Mature Sprigs 4X | Pot TP </t>
  </si>
  <si>
    <t xml:space="preserve">Rosemary - Mature Sprigs 6X | Pot TP </t>
  </si>
  <si>
    <t xml:space="preserve">Thyme - Mature Sprigs 4X | Pot TP </t>
  </si>
  <si>
    <t xml:space="preserve">Mint - Mature Sprigs 4X | Pot TP </t>
  </si>
  <si>
    <t>https://www.everwilde.com/store/Organic-Rosemary-Herb-Seed.html</t>
  </si>
  <si>
    <t>Variant</t>
  </si>
  <si>
    <t>Interplant</t>
  </si>
  <si>
    <t>Onion (Salad Late) - Young Bulb 10X | Field TP Sp</t>
  </si>
  <si>
    <t>Basil (Interplant) - Mature Leaf 1X | Tunnel TP SpSuOw</t>
  </si>
  <si>
    <t>Assume 1 bunch per 3 plants / week. Can pot up if necessary. Thin to strongest plants. Can be planted as late as the end of April after which use th fall planting protocol.</t>
  </si>
  <si>
    <t>Carrot (Early) - Mature Root 1X | Field DS Sp</t>
  </si>
  <si>
    <t>Roselle</t>
  </si>
  <si>
    <t>7-14 days @ 75 degrees. Pre-soaking for 1-2 hours speeds germination. Tied these in 2023 and they really struggled. They  definitely don't like cold.</t>
  </si>
  <si>
    <t>Short Season</t>
  </si>
  <si>
    <t>Long Season</t>
  </si>
  <si>
    <t>Assume 8 lbs / plant. 2 fruit per week. Very frost prone. Don't sew under cover more than thress weeks before last frost. Pot up after 15 days. Can Cropp for 4 months. They like full sun. Transplant in late may or early june. Row cover and planting through plastic can help growth rates. Spacing can effect the length of fruiting. 2023 had underperforming rows and got ~13 lb/100' per day in peak season</t>
  </si>
  <si>
    <t>Sring sewings rush to flower. Fennel flowers early summer to midsummer. Sew in late winter early spring (Feb - Mar) for early summer harvest. Sew in midsummer (Jul) to harvest through fall until 27 degree frost.</t>
  </si>
  <si>
    <t>Spring sewings rush to flower. Fennel flowers early summer to midsummer. Sew in late winter early spring (Feb - Mar) for early summer harvest. Sew in midsummer (Jul) to harvest through fall until 27 degree frost.</t>
  </si>
  <si>
    <t>Fennel - Mini Bulb 1X | Field TP Sp</t>
  </si>
  <si>
    <t>Summer Squash (Long Season) - Ripe Fruit 1X | Field TP Su</t>
  </si>
  <si>
    <t>6r</t>
  </si>
  <si>
    <t>10r</t>
  </si>
  <si>
    <t>Radish (6r) - Mature Root 1X | Field DS Sp</t>
  </si>
  <si>
    <t>Based on Dowding Timings but DS</t>
  </si>
  <si>
    <t>Shoot for end of July to avoid bolting (works for dowding, may need to calibrate here)</t>
  </si>
  <si>
    <t>3 cuts averaging 20 lbs / bed. Tend to flower in June</t>
  </si>
  <si>
    <t>3 cuts averaging 20 lbs / bed. Don't sow in the spring later than the end of march or spinach will bolt too fast. Tend to flower in June</t>
  </si>
  <si>
    <t>Assume 3 fruits per plant. Only transplant once certain frosts are past. Can put two corn plants between each squash. Transplant in late May - Early June. Sew late april. Kuri are faster than butternut and good for cool summers. Need room temp to germinate.Must be picked before frist frost. Tend to flower in June.</t>
  </si>
  <si>
    <t>Spinach flowers in Early summer. This is a Fall crop with a following overwintered Spring crop. Target planting date is Aug 10. Anytime in August is fine, but earlier will result in a better fall harvest. Tend to flower in June. This in every 9 inches</t>
  </si>
  <si>
    <t>Swiss Chard - Mature Leaf 1X | Field TP SpSuFa</t>
  </si>
  <si>
    <t>4-7 days @ 75 degrees. sow 4-6 weeks before last frost. The original planting dates jive with experience in 2023.</t>
  </si>
  <si>
    <t>French</t>
  </si>
  <si>
    <t>Gem</t>
  </si>
  <si>
    <t>African</t>
  </si>
  <si>
    <t>Delicata</t>
  </si>
  <si>
    <t>Kuri</t>
  </si>
  <si>
    <t xml:space="preserve">Squash (Delicata) - Storage 1X | Field TP </t>
  </si>
  <si>
    <t xml:space="preserve">Squash (Kuri) - Storage 1X | Field TP </t>
  </si>
  <si>
    <t>In 2023 they bloomed on 8/26</t>
  </si>
  <si>
    <t>1r</t>
  </si>
  <si>
    <t>2r</t>
  </si>
  <si>
    <t xml:space="preserve">7-14 days @ 60 degrees. Sow 4-5 weeks before last frost. Blue came on earlier and gave up earlier than white. </t>
  </si>
  <si>
    <t>Edible Bloom</t>
  </si>
  <si>
    <t>Can plant out as late as the end of July.</t>
  </si>
  <si>
    <t>Parsley - Mature Leaf 3X | Field TP Sp</t>
  </si>
  <si>
    <t>Parsley - Mature Leaf 3X | Field TP Su</t>
  </si>
  <si>
    <t>Beet - Mature Root 3X | Field TP SuFa</t>
  </si>
  <si>
    <t>Beet - Mature Root 3X | Field TP Sp</t>
  </si>
  <si>
    <t>This setup is calibrated for pelleted monogerm seeds. Baby beets: 5 to 6 per bunches. Reg beets: 3 to 4 per bunch. Can bolt if they get hit with a  cold snap.Need roughly 80 degrees to germinate. Damping off can be an issue with beats. Good to bottom water. Roots of transplants might not be easy to pull from one another. Seeds will generate multiple plants per seed. 3 beets per bunch is the target.</t>
  </si>
  <si>
    <t>Crickmore recommendation</t>
  </si>
  <si>
    <t>Seed Feb -  Mar for frost hardy varieties. Other varieties in late march. Crickmore plants beets alongside his tomatoes. Both  JM and Crickmore recommend pelleted seeds.</t>
  </si>
  <si>
    <t>Baby Root</t>
  </si>
  <si>
    <t>Could interplant Corn with Squash. 2023 Seed 4/23, TP 5/14, Harvest 8/31</t>
  </si>
  <si>
    <t>Could interplant Corn with Squash. 2023  Seed 6/11 Harvest 9/14</t>
  </si>
  <si>
    <t>Mid Season</t>
  </si>
  <si>
    <t>Can go in mid April Until Mid May.</t>
  </si>
  <si>
    <t xml:space="preserve">Potato (Main Crop) - Storage Root 1X | Field DS </t>
  </si>
  <si>
    <t xml:space="preserve">Potato (Early) - Mature Root 1X | Field DS </t>
  </si>
  <si>
    <t>Johnnys</t>
  </si>
  <si>
    <t>Bupleurum</t>
  </si>
  <si>
    <t>G0</t>
  </si>
  <si>
    <t>Everlasting</t>
  </si>
  <si>
    <t>Milkweed</t>
  </si>
  <si>
    <t>Yarrow</t>
  </si>
  <si>
    <t>Flax</t>
  </si>
  <si>
    <t>Scabiosa</t>
  </si>
  <si>
    <t>Transplant (recommended) - Sow 4-6 weeks before planting out. Barely cover as light aids germination. Transplant to cell packs or larger containers when the first true leaves appear. In the greenhouse, grow transplants at 50-55°F (10-13°C) to keep the plants from stretching. Harden off and transplant outside after the last frost. Direct seed - Successive plantings every 2-3 weeks until late spring give the best quality flowers and pods. May require support.</t>
  </si>
  <si>
    <t>Grass</t>
  </si>
  <si>
    <t>The prolific 1/2- 3/4" silvery-white blooms on stiff stems are typically grown for dried-flower production but are also useful as fresh cuts for flower arrangements. The tiny blooms make an elegant addition to boutonnieres and floral crowns. As flowers mature, the papery white petals open to reveal bright-yellow centers. Flowers are typically harvested when half open, before the center is exposed. Winged Everlasting gets its name from ribbed, or winged stems the plant produces. Tender perennial in Zones 9-10 but most often grown as an annual. Once the flowers were fully open at our trial farm, we noticed lots of flying friends visiting the flowers, including hoverflies and wasps.</t>
  </si>
  <si>
    <t>Hibiscus</t>
  </si>
  <si>
    <t>Mahagony Splendor</t>
  </si>
  <si>
    <t>Decorative, deeply cut foliage with maple-leaf appearance, rich color, and sturdy branches. Ideal for late summer and fall arrangements. Primarily grown for use as cut flower foliage, the vigorous, drought- and heat-tolerant plants are also suitable for containers and landscaping. The abundant color and tall stature make Mahogany Splendor a lovely backdrop in the garden or patio. NOTE: If grown indoors or in part shade, foliage will be green to rust in color; the mahogany color develops fully in full sun. Also known as red-leaf hibiscus, false roselle, African rose mallow, and cranberry hibiscus. Tropical, herbaceous perennial in Zones 8a–9b. Tender perennial or annual in all other growing zones.</t>
  </si>
  <si>
    <t>Transplant (recommended) - Sow 7-9 weeks before last frost. Sow 1/4" deep into a seed starting mix. Begins taproot growth upon germination. Do not allow to become pot bound at any time as plants will deteriorate rapidly. Transplant into larger cell packs or 3-4" pots 3-5 weeks after sowing. Harden off and transplant outdoors after the last frost. Direct seed - Can be direct sown in the fall or spring.</t>
  </si>
  <si>
    <t>Cress</t>
  </si>
  <si>
    <t>Ornamental</t>
  </si>
  <si>
    <t>Mature Stems</t>
  </si>
  <si>
    <t>Can harbor aphids. Johnnys says to space them tight but their winter trial has them at at like 1 plant per square foot. Can thin out early plants and sell as edible. I  think the Johnny's DTM is for greens, not pods.</t>
  </si>
  <si>
    <t>Based on this video. https://www.youtube.com/watch?v=5ROs1WeTDGs. Can harbor aphids. Johnnys says to space them tight but their winter trial has them at at like 1 plant per square foot. Can thin out early plants and sell as edible. I  think the Johnny's DTM is for greens, not pods.</t>
  </si>
  <si>
    <t>Perrenial. Prefers dry. Cut when flowers are fully open and wait until the evening. Loves heat. Cut down to get second blooms.</t>
  </si>
  <si>
    <t>Siskiyou</t>
  </si>
  <si>
    <t>Siskiyou has flax. Can be sewn after frost. According to West Coast Seeds, some varieties prefer being sewn in spring. Seeds can definitely take frost.</t>
  </si>
  <si>
    <t>Atriplex</t>
  </si>
  <si>
    <t>Orach does well in any well-drained garden soil. Tolerant of both hot and cold weather, it is best planted early spring through midsummer. Sow seeds 1-2" apart, covering 1/4", in rows spaced 18-30" apart. Thin to 6-10" apart.</t>
  </si>
  <si>
    <t>Frosted Explosion</t>
  </si>
  <si>
    <t>Floral</t>
  </si>
  <si>
    <t>Flowering Stem</t>
  </si>
  <si>
    <t>Need 50 deg temp to geerminate. Soil from April to September should ammenable.</t>
  </si>
  <si>
    <t>Talinum</t>
  </si>
  <si>
    <t>Not sure when to start but it needs heat to germinate so I'm assuming it prefers heat. Produces edible greens.</t>
  </si>
  <si>
    <t>Magenta Spreen</t>
  </si>
  <si>
    <t>Produces edible leaves. Should be refrigerated 7 days prior to sewing. Barely cover and tamp. Thin to 6"</t>
  </si>
  <si>
    <t>Best to plant it after late summer. It tends to bolt as heat and day length rise.</t>
  </si>
  <si>
    <t>6"</t>
  </si>
  <si>
    <t>Lettuce (6") - Mini Head 1X | Tunnel TP Wi</t>
  </si>
  <si>
    <t>Sum of # Of Beds</t>
  </si>
  <si>
    <t>GAR533</t>
  </si>
  <si>
    <t>GAR534</t>
  </si>
  <si>
    <t>LOV366</t>
  </si>
  <si>
    <t>SOR485</t>
  </si>
  <si>
    <t>Onion - Mature Bulb 6X | Field TP SpSu</t>
  </si>
  <si>
    <t>Sum of Revenue</t>
  </si>
  <si>
    <t>Asian Green Mix</t>
  </si>
  <si>
    <t>Callaloo</t>
  </si>
  <si>
    <t>Cruiser</t>
  </si>
  <si>
    <t>Early Carrot Mix</t>
  </si>
  <si>
    <t>Maincrop Carrot Mix</t>
  </si>
  <si>
    <t>Napoli</t>
  </si>
  <si>
    <t>Marketmore</t>
  </si>
  <si>
    <t>Tasty Green</t>
  </si>
  <si>
    <t>Annina F1</t>
  </si>
  <si>
    <t>Sustainable Seed Company</t>
  </si>
  <si>
    <t>Aquadulce</t>
  </si>
  <si>
    <t>Red Cloud</t>
  </si>
  <si>
    <t>9"</t>
  </si>
  <si>
    <t>Lettuce (9") - Mature Head 1X | Tunnel TP Wi</t>
  </si>
  <si>
    <t>Rouge D'Hiver</t>
  </si>
  <si>
    <t>Red Sweet Crisp</t>
  </si>
  <si>
    <t>Merlox Red Oak</t>
  </si>
  <si>
    <t>Salanova Red Oak Leaf</t>
  </si>
  <si>
    <t>Truchas</t>
  </si>
  <si>
    <t>Green Sweet Crisp</t>
  </si>
  <si>
    <t>Black Seeded Simpson</t>
  </si>
  <si>
    <t>Green Incised</t>
  </si>
  <si>
    <t>Bauer</t>
  </si>
  <si>
    <t>Cool 6" Lettuce Mix</t>
  </si>
  <si>
    <t>Cool 9" Lettuce Mix</t>
  </si>
  <si>
    <t>Hot 9" Lettuce Mix</t>
  </si>
  <si>
    <t>Hot 6" Lettuce Mix</t>
  </si>
  <si>
    <t>Fennel Mix</t>
  </si>
  <si>
    <t xml:space="preserve">Fennel </t>
  </si>
  <si>
    <t>Softneck Garlic Mix</t>
  </si>
  <si>
    <t>Hardneck Garlic Mix</t>
  </si>
  <si>
    <t>TBD</t>
  </si>
  <si>
    <t>Malabar Spinach Mix</t>
  </si>
  <si>
    <t>Red Malabar Spinach</t>
  </si>
  <si>
    <t>Melon Mix</t>
  </si>
  <si>
    <t>Rose de Roscoff</t>
  </si>
  <si>
    <t>Salad Onion Mix</t>
  </si>
  <si>
    <t>Storage Onion Mix</t>
  </si>
  <si>
    <t>Red Long of Florence</t>
  </si>
  <si>
    <t>Amber</t>
  </si>
  <si>
    <t>Cortland F1</t>
  </si>
  <si>
    <t>Red Carpet  F1</t>
  </si>
  <si>
    <t>3 big onions per bunch or 5-6 little ones per bunch. Assuming 2 bunches per 10 seed planting here. Might be high. Dowding distinguishes between salad onions, bulb onions, and overwinter onions. We are going for salad onions.Plant sets after Mar 21. Sew feb to June. Read dowding for overwintering.. Spring salad onions are ready to ahrvest in 10 days. This timing  also jives with Johnny's</t>
  </si>
  <si>
    <t>Overwinter Onion Mix</t>
  </si>
  <si>
    <t>Walla Wallla</t>
  </si>
  <si>
    <t>Ailsa Craig</t>
  </si>
  <si>
    <t>Scallion Mix</t>
  </si>
  <si>
    <t>Parade</t>
  </si>
  <si>
    <t>Shallot Mix</t>
  </si>
  <si>
    <t>Shallot</t>
  </si>
  <si>
    <t>Conservor F1</t>
  </si>
  <si>
    <t>Crème Brulee</t>
  </si>
  <si>
    <t>Medium Tomato Mix</t>
  </si>
  <si>
    <t>Large Tomato Mix</t>
  </si>
  <si>
    <t>Blush</t>
  </si>
  <si>
    <t>Cherry Tomato Mix</t>
  </si>
  <si>
    <t>West Virginia '63</t>
  </si>
  <si>
    <t>Paste Tomato Mix</t>
  </si>
  <si>
    <t>Pacifico</t>
  </si>
  <si>
    <t>Lentiginni</t>
  </si>
  <si>
    <t>Regina Rossa</t>
  </si>
  <si>
    <t>Beatrice</t>
  </si>
  <si>
    <t>Elephant's Ear</t>
  </si>
  <si>
    <t>Spooky Mix</t>
  </si>
  <si>
    <t>Cengelkoy</t>
  </si>
  <si>
    <t>Blanca</t>
  </si>
  <si>
    <t>Celery Mix</t>
  </si>
  <si>
    <t>Merrengo F1</t>
  </si>
  <si>
    <t>Corn Mix</t>
  </si>
  <si>
    <t>Natural Bright XR F1</t>
  </si>
  <si>
    <t>Enchanted F1</t>
  </si>
  <si>
    <t>Allure F1</t>
  </si>
  <si>
    <t>East Indian Lemongrass</t>
  </si>
  <si>
    <t>Giant of Italy</t>
  </si>
  <si>
    <t>Laica</t>
  </si>
  <si>
    <t>Parsley Mix</t>
  </si>
  <si>
    <t>Hungarian Hot Wax</t>
  </si>
  <si>
    <t>Bastan F1</t>
  </si>
  <si>
    <t>Carmen F1</t>
  </si>
  <si>
    <t>Olly F1</t>
  </si>
  <si>
    <t>Fast Early</t>
  </si>
  <si>
    <t xml:space="preserve">Corn  (Sweet Early) - Mature Cob 2X | Field DS </t>
  </si>
  <si>
    <t>Lg</t>
  </si>
  <si>
    <t>Sm</t>
  </si>
  <si>
    <t>Passat F1</t>
  </si>
  <si>
    <t>Expect F1</t>
  </si>
  <si>
    <t>Bronco F1</t>
  </si>
  <si>
    <t>Integro F1</t>
  </si>
  <si>
    <t>Klimaro F1</t>
  </si>
  <si>
    <t>Reaction F1</t>
  </si>
  <si>
    <t>Stanton F1</t>
  </si>
  <si>
    <t>Cabbage Overwinter Mix</t>
  </si>
  <si>
    <t>Winter Cabbage Large Mix</t>
  </si>
  <si>
    <t>Cabbage Fall Mix</t>
  </si>
  <si>
    <t>Farao F1</t>
  </si>
  <si>
    <t>Famosa F1</t>
  </si>
  <si>
    <t>Red Express</t>
  </si>
  <si>
    <t>Cabbage - Chinese</t>
  </si>
  <si>
    <t>Bilko F1</t>
  </si>
  <si>
    <t>Emiko F1</t>
  </si>
  <si>
    <t>Chinese Cabbage Mix</t>
  </si>
  <si>
    <t>Fall Cauliflower Mix</t>
  </si>
  <si>
    <t>Skywalker F1</t>
  </si>
  <si>
    <t>Purple Moon F1</t>
  </si>
  <si>
    <t>Song TSJ-65 F1</t>
  </si>
  <si>
    <t>Fast Mid 9"</t>
  </si>
  <si>
    <t>Fast Mid 12"</t>
  </si>
  <si>
    <t>Warm Kale Mix</t>
  </si>
  <si>
    <t>Overwinter Kale Mix</t>
  </si>
  <si>
    <t>White Russian</t>
  </si>
  <si>
    <t>Arun F1</t>
  </si>
  <si>
    <t>Kohlrabi (Sm) - Storage Bulb 1X | Field TP Fa</t>
  </si>
  <si>
    <t>Kossak F1</t>
  </si>
  <si>
    <t>Fresh Kholrabi Mix</t>
  </si>
  <si>
    <t>Kholrabi</t>
  </si>
  <si>
    <t>Konan F1</t>
  </si>
  <si>
    <t>Kolibri F1</t>
  </si>
  <si>
    <t>Daikon</t>
  </si>
  <si>
    <t xml:space="preserve">Radish (Munchen Bier) - Storage Root 1X | Field DS </t>
  </si>
  <si>
    <t>Radish (Daikon) - Storage Root 1X | Field TP FaWi</t>
  </si>
  <si>
    <t>Schwarzer Runder</t>
  </si>
  <si>
    <t>Shawo Fruit</t>
  </si>
  <si>
    <t>Sorrel Mix</t>
  </si>
  <si>
    <t>Red Veined Sorrel</t>
  </si>
  <si>
    <t>Regiment F1</t>
  </si>
  <si>
    <t>Overwinter Spinach Mix</t>
  </si>
  <si>
    <t>Butternut Mix</t>
  </si>
  <si>
    <t>Butterscotch PMR F1</t>
  </si>
  <si>
    <t>Delicata Mix</t>
  </si>
  <si>
    <t>Bush Delicata</t>
  </si>
  <si>
    <t>Sugar Dumpling F1</t>
  </si>
  <si>
    <t>Honey Boat</t>
  </si>
  <si>
    <t>Winter Squash Mix</t>
  </si>
  <si>
    <t>Red Kuri</t>
  </si>
  <si>
    <t>Butterfingers</t>
  </si>
  <si>
    <t>Tempest</t>
  </si>
  <si>
    <t>Dunja F1</t>
  </si>
  <si>
    <t>Queen of Mallinalco</t>
  </si>
  <si>
    <t>Spring Turnip Mix</t>
  </si>
  <si>
    <t>Fall Turnip Mix</t>
  </si>
  <si>
    <t>Red Spike</t>
  </si>
  <si>
    <t>Double click Snowpuff</t>
  </si>
  <si>
    <t>Apricotta</t>
  </si>
  <si>
    <t>African Marigold Mix</t>
  </si>
  <si>
    <t>Gem Marigold Mix</t>
  </si>
  <si>
    <t>Red Gem</t>
  </si>
  <si>
    <t>Lemon Gem</t>
  </si>
  <si>
    <t>Triloba Macau</t>
  </si>
  <si>
    <t>Atriplex Mix</t>
  </si>
  <si>
    <t>Copper Plume</t>
  </si>
  <si>
    <t>Orach, Red Flash</t>
  </si>
  <si>
    <t>Borage Mix</t>
  </si>
  <si>
    <t>Rare Seeds</t>
  </si>
  <si>
    <t>Buckwheat Mix</t>
  </si>
  <si>
    <t>Japanese</t>
  </si>
  <si>
    <t>True Leaf</t>
  </si>
  <si>
    <t>Bupleurum Mix</t>
  </si>
  <si>
    <t>Green Gold</t>
  </si>
  <si>
    <t>Thoroughwax</t>
  </si>
  <si>
    <t>Celosia Mix</t>
  </si>
  <si>
    <t>Sunday Mix</t>
  </si>
  <si>
    <t>Pampas Plume</t>
  </si>
  <si>
    <t>Flamingo Purple</t>
  </si>
  <si>
    <t>Cress Mix</t>
  </si>
  <si>
    <t>Persian Cress</t>
  </si>
  <si>
    <t>Dahlias Mix</t>
  </si>
  <si>
    <t>Star Gazer</t>
  </si>
  <si>
    <t>Floral Dill Mix</t>
  </si>
  <si>
    <t>Everlasting Mix</t>
  </si>
  <si>
    <t>Flax Mix</t>
  </si>
  <si>
    <t>Foster</t>
  </si>
  <si>
    <t>Hibiscus Mix</t>
  </si>
  <si>
    <t>Mahogany Splendor</t>
  </si>
  <si>
    <t>Magenta Spreen Mix</t>
  </si>
  <si>
    <t>Milkweed Mix</t>
  </si>
  <si>
    <t>Swamp Milkweed</t>
  </si>
  <si>
    <t>Native Northwest</t>
  </si>
  <si>
    <t>Silky Gold</t>
  </si>
  <si>
    <t>Silky Red</t>
  </si>
  <si>
    <t>Queen Anne's Lace Mix</t>
  </si>
  <si>
    <t>Scabiosa Mix</t>
  </si>
  <si>
    <t>Starflower</t>
  </si>
  <si>
    <t>Picotee Pincushion Mix</t>
  </si>
  <si>
    <t>Strawflower Mix</t>
  </si>
  <si>
    <t>White Immortelle</t>
  </si>
  <si>
    <t>Roggli Riesen</t>
  </si>
  <si>
    <t>Vintage White</t>
  </si>
  <si>
    <t>Monstrosum Mix</t>
  </si>
  <si>
    <t>Goldy Double</t>
  </si>
  <si>
    <t>Summer Breeze Mix</t>
  </si>
  <si>
    <t>Procut Peach</t>
  </si>
  <si>
    <t>Shock-O-Lat</t>
  </si>
  <si>
    <t>Strawberry Blonde</t>
  </si>
  <si>
    <t>Limon</t>
  </si>
  <si>
    <t>Yarrow Mix</t>
  </si>
  <si>
    <t>Noblessa</t>
  </si>
  <si>
    <t>Summer Berries</t>
  </si>
  <si>
    <t>Summer Pastels</t>
  </si>
  <si>
    <t>Zinnia Mix</t>
  </si>
  <si>
    <t>Wild Garden Zinnia Mix</t>
  </si>
  <si>
    <t>UV Bee Mix</t>
  </si>
  <si>
    <t>Benary's Giant Mix</t>
  </si>
  <si>
    <t>Persian Broadleaf</t>
  </si>
  <si>
    <t>Winged Everlasting</t>
  </si>
  <si>
    <t>Frosted Explosion Grass</t>
  </si>
  <si>
    <t>Garden Anarchy Mix</t>
  </si>
  <si>
    <t>Swiss Chard Mix</t>
  </si>
  <si>
    <t>Fordhook Giant</t>
  </si>
  <si>
    <t>Bright Lights</t>
  </si>
  <si>
    <t>Already Own</t>
  </si>
  <si>
    <t>Selected</t>
  </si>
  <si>
    <t>No Organic</t>
  </si>
  <si>
    <t>(All)</t>
  </si>
  <si>
    <t>Big Round Leaf</t>
  </si>
  <si>
    <t>Green Vines Supreme</t>
  </si>
  <si>
    <t>Green Yardlong Bean</t>
  </si>
  <si>
    <t>Whitman Organics</t>
  </si>
  <si>
    <t>Black Jack F1</t>
  </si>
  <si>
    <t>Fedco</t>
  </si>
  <si>
    <t>Wild Mountain</t>
  </si>
  <si>
    <t>https://www.adaptiveseeds.com/product/flowers/snapdragon-orange-wonder-organic/</t>
  </si>
  <si>
    <t>https://www.johnnyseeds.com/vegetables/greens/asian-greens/carlton-f1-asian-green-seed-3872.html</t>
  </si>
  <si>
    <t>https://www.johnnyseeds.com/flowers/marigold/coco-gold-f1-marigold-seed-4097.html</t>
  </si>
  <si>
    <t>https://uprisingorganics.com/products/snapdragon-royal-bride</t>
  </si>
  <si>
    <t>https://www.adaptiveseeds.com/product/flowers/winged-everlasting-organic/</t>
  </si>
  <si>
    <t>Cilician</t>
  </si>
  <si>
    <t>https://www.adaptiveseeds.com/product/grains/flax-foster-organic/</t>
  </si>
  <si>
    <t>https://www.adaptiveseeds.com/product/vegetables/greens/orach-red-flash-organic/</t>
  </si>
  <si>
    <t>https://www.adaptiveseeds.com/product/flowers/strawflower-monstrosum-mix-organic/</t>
  </si>
  <si>
    <t>https://www.rareseeds.com/radish-chinese-shawo-fruit</t>
  </si>
  <si>
    <t>https://www.everwilde.com/store/Organic-Yard-Long-Bean-Green-Yard-Long-Bean.html</t>
  </si>
  <si>
    <t>https://fedcoseeds.com/seeds/merlox-red-oak-organic-oakleaf-lettuce-2781</t>
  </si>
  <si>
    <t>https://www.gardenhoard.com/peruvian-ground-cherry-seeds-certified-organic.html</t>
  </si>
  <si>
    <t>https://www.highmowingseeds.com/organic-non-gmo-integro-f1-cabbage.html</t>
  </si>
  <si>
    <t>https://www.highmowingseeds.com/organic-non-gmo-bronco-f1-cabbage.html</t>
  </si>
  <si>
    <t>https://www.highmowingseeds.com/organic-non-gmo-bilko-f1-napa-cabbage.html</t>
  </si>
  <si>
    <t>https://www.highmowingseeds.com/organic-non-gmo-emiko-f1-napa-cabbage.html</t>
  </si>
  <si>
    <t>https://www.highmowingseeds.com/gganic-non-gmo-klimaro-f1-cabbage.html</t>
  </si>
  <si>
    <t>https://www.highmowingseeds.com/organic-non-gmo-reaction-f1-cabbage.html</t>
  </si>
  <si>
    <t>https://www.highmowingseeds.com/organic-non-gmo-stanton-f1-cabbage.html</t>
  </si>
  <si>
    <t>https://www.highmowingseeds.com/organic-non-gmo-farao-f1-cabbage.html</t>
  </si>
  <si>
    <t>https://www.highmowingseeds.com/organic-non-gmo-famosa-f1-cabbage.html</t>
  </si>
  <si>
    <t>https://www.highmowingseeds.com/organic-non-gmo-red-express-cabbage.html</t>
  </si>
  <si>
    <t>https://www.highmowingseeds.com/organic-non-gmo-passat-f1-cabbage.html</t>
  </si>
  <si>
    <t>https://www.highmowingseeds.com/organic-non-gmo-expect-f1-cabbage.html</t>
  </si>
  <si>
    <t>https://www.highmowingseeds.com/organic-non-gmo-dragon-carrot.html</t>
  </si>
  <si>
    <t>https://www.highmowingseeds.com/organic-non-gmo-napoli-f1-carrot.html</t>
  </si>
  <si>
    <t>https://www.highmowingseeds.com/organic-non-gmo-tango-celery.html</t>
  </si>
  <si>
    <t>https://www.highmowingseeds.com/organic-non-gmo-merengo-f1-celery.html</t>
  </si>
  <si>
    <t>https://www.highmowingseeds.com/organic-non-gmo-cruiser-cilantro.html</t>
  </si>
  <si>
    <t>https://www.highmowingseeds.com/organic-non-gmo-natural-bright-xr-f1-sweet-corn.html</t>
  </si>
  <si>
    <t>https://www.highmowingseeds.com/organic-non-gmo-enchanted-f1-corn.html</t>
  </si>
  <si>
    <t>https://www.highmowingseeds.com/organic-non-gmo-allure-f1-sweet-corn.html</t>
  </si>
  <si>
    <t>https://www.highmowingseeds.com/organic-non-gmo-manny-f1-cucumber.html</t>
  </si>
  <si>
    <t>https://www.highmowingseeds.com/organic-non-gmo-marketmore-76-cucumber.html</t>
  </si>
  <si>
    <t>https://www.highmowingseeds.com/organic-non-gmo-annina-f1-eggplant.html</t>
  </si>
  <si>
    <t>https://www.highmowingseeds.com/organic-non-gmo-lovelock-lettuce.html</t>
  </si>
  <si>
    <t>https://www.highmowingseeds.com/organic-non-gmo-black-seeded-simp-lettuce.html</t>
  </si>
  <si>
    <t>https://www.highmowingseeds.com/organic-non-gmo-walla-walla-onion.html</t>
  </si>
  <si>
    <t>https://www.highmowingseeds.com/organic-non-gmo-ailsa-craig-onion.html</t>
  </si>
  <si>
    <t>https://www.highmowingseeds.com/organic-non-gmo-cortland-f1-onion.html</t>
  </si>
  <si>
    <t>https://www.highmowingseeds.com/organic-non-gmo-red-carpet-f1-onion.html</t>
  </si>
  <si>
    <t>https://www.highmowingseeds.com/organic-non-gmo-red-long-of-florence-onion.html</t>
  </si>
  <si>
    <t>https://www.highmowingseeds.com/organic-non-gmo-amber-onion.html</t>
  </si>
  <si>
    <t>https://www.highmowingseeds.com/organic-non-gmo-laica-parsley.html</t>
  </si>
  <si>
    <t>https://www.highmowingseeds.com/organic-non-gmo-daikon.html</t>
  </si>
  <si>
    <t>https://www.highmowingseeds.com/organic-non-gmo-parade-bunching-onion.html</t>
  </si>
  <si>
    <t>https://www.highmowingseeds.com/organic-non-gmo-regiment-f1-spinach.html</t>
  </si>
  <si>
    <t>https://www.highmowingseeds.com/organic-non-gmo-butterscotch-pmr-f1-butternut-squash.html</t>
  </si>
  <si>
    <t>https://www.highmowingseeds.com/organic-non-gmo-bush-delicata-squash.html</t>
  </si>
  <si>
    <t>https://www.highmowingseeds.com/organic-non-gmo-sugar-dumpling-f1-squash.html</t>
  </si>
  <si>
    <t>https://www.highmowingseeds.com/organic-non-gmo-honey-boat-winter-squash.html</t>
  </si>
  <si>
    <t>https://www.highmowingseeds.com/organic-non-gmo-brandywine-tomato.html</t>
  </si>
  <si>
    <t>https://www.highmowingseeds.com/organic-non-gmo-cherokee-purple-tomato.html</t>
  </si>
  <si>
    <t>https://www.highmowingseeds.com/organic-non-gmo-helenor-rutabaga.html</t>
  </si>
  <si>
    <t>https://www.highmowingseeds.com/organic-non-gmo-fordhook-giant-chard.html</t>
  </si>
  <si>
    <t>https://www.highmowingseeds.com/organic-non-gmo-darkibor-f1-kale.html</t>
  </si>
  <si>
    <t>https://www.highmowingseeds.com/dazzling-blue-kale.html</t>
  </si>
  <si>
    <t>https://www.highmowingseeds.com/organic-non-gmo-white-russian-kale.html</t>
  </si>
  <si>
    <t>https://www.highmowingseeds.com/organic-non-gmo-arun-f1-kale.html</t>
  </si>
  <si>
    <t>https://www.highmowingseeds.com/organic-non-gmo-black-jack-f1-kale.html</t>
  </si>
  <si>
    <t>https://www.highmowingseeds.com/organic-non-gmo-red-veined-sorrel.html</t>
  </si>
  <si>
    <t>https://www.highmowingseeds.com/organic-non-gmo-roggli-riesen-strawflower.html</t>
  </si>
  <si>
    <t>https://www.highmowingseeds.com/organic-non-gmo-tokyo-market-turnip.html</t>
  </si>
  <si>
    <t>https://www.johnnyseeds.com/flowers/amaranthus/red-spike-amaranthus-seed-3786.html</t>
  </si>
  <si>
    <t>https://www.johnnyseeds.com/herbs/basil/genovese-basil/noga-prospera-active-dmr-organic-basil-seed-5467G.html</t>
  </si>
  <si>
    <t>https://www.johnnyseeds.com/vegetables/carrots/storage-carrots/bolero-f1-carrot-seed-216.html</t>
  </si>
  <si>
    <t>https://www.johnnyseeds.com/vegetables/carrots/main-crop-carrots/romance-f1-carrot-seed-3116.html</t>
  </si>
  <si>
    <t>https://www.johnnyseeds.com/vegetables/cauliflower/standard-cauliflower/skywalker-organic-f1-cauliflower-seed-2593G.html</t>
  </si>
  <si>
    <t>https://www.johnnyseeds.com/vegetables/cauliflower/standard-cauliflower/purple-moon-f1-cauliflower-seed-4822.html</t>
  </si>
  <si>
    <t>https://www.johnnyseeds.com/vegetables/cauliflower/green-stem-cauliflower/song-tjs-65-f1-cauliflower-seed-4131.html</t>
  </si>
  <si>
    <t>https://www.johnnyseeds.com/vegetables/lettuce/salanova-lettuce/salanova-red-sweet-crisp-pelleted-lettuce-seed-3055JP.html</t>
  </si>
  <si>
    <t>https://www.johnnyseeds.com/vegetables/lettuce/salanova-lettuce/salanova-red-oakleaf-pelleted-lettuce-seed-3059JP.html</t>
  </si>
  <si>
    <t>https://www.johnnyseeds.com/vegetables/lettuce/salanova-lettuce/salanova-green-incised-pelleted-lettuce-seed-3052JP.html</t>
  </si>
  <si>
    <t>https://www.johnnyseeds.com/vegetables/lettuce/salanova-lettuce/salanova-green-sweet-crisp-pelleted-lettuce-seed-3054JP.html</t>
  </si>
  <si>
    <t>https://www.johnnyseeds.com/vegetables/lettuce/oakleaf-lettuce/bauer-organic-lettuce-seed-4245G.html</t>
  </si>
  <si>
    <t>https://www.johnnyseeds.com/vegetables/lettuce/romaine-lettuce-cos/xalbadora-organic-lettuce-seed-4195G.html</t>
  </si>
  <si>
    <t>Xalbadora</t>
  </si>
  <si>
    <t>https://www.johnnyseeds.com/vegetables/lettuce/romaine-lettuce-cos/truchas-organic-lettuce-seed-3880G.html</t>
  </si>
  <si>
    <t>https://www.johnnyseeds.com/vegetables/lettuce/one-cut-lettuce/intercut-pelleted-lettuce-seed-4460JP.html</t>
  </si>
  <si>
    <t>https://www.johnnyseeds.com/flowers/marigold/red-gem-marigold-seed-1857.html</t>
  </si>
  <si>
    <t>https://www.johnnyseeds.com/flowers/marigold/lemon-gem-marigold-seed-1410.html</t>
  </si>
  <si>
    <t>https://www.johnnyseeds.com/vegetables/melons/cantaloupe-muskmelon/triton-f1-melon-seed-4182.html</t>
  </si>
  <si>
    <t>https://www.johnnyseeds.com/herbs/parsley/leaf-parsley/giant-of-italy-organic-parsley-seed-2390G.html</t>
  </si>
  <si>
    <t>https://www.johnnyseeds.com/vegetables/peppers/hot-peppers/hungarian-hot-wax-organic-pepper-seed-3092G.html</t>
  </si>
  <si>
    <t>https://www.johnnyseeds.com/vegetables/peppers/sweet-peppers/carmen-organic-f1-corno-di-toro-pepper-seed-2993G.html</t>
  </si>
  <si>
    <t>https://www.johnnyseeds.com/vegetables/peppers/sweet-bell-peppers/olly-organic-f1-bell-pepper-seed-4761G.html</t>
  </si>
  <si>
    <t>https://www.highmowingseeds.com/organic-non-gmo-french-breakfast-radish.html</t>
  </si>
  <si>
    <t>https://www.johnnyseeds.com/herbs/saltwort/saltwort-herb-seed-2677.html</t>
  </si>
  <si>
    <t>https://www.johnnyseeds.com/vegetables/squash/winter-squash/tetsukabuto-f1-hubbard-squash-seed-3578.html</t>
  </si>
  <si>
    <t>https://www.johnnyseeds.com/vegetables/squash/summer-squash/costata-romanesco-zucchini-squash-seed-2053.html</t>
  </si>
  <si>
    <t>https://www.johnnyseeds.com/vegetables/squash/summer-squash/butterfingers-organic-f1-yellow-summer-squash-seed-4306G.html</t>
  </si>
  <si>
    <t>https://www.johnnyseeds.com/vegetables/squash/summer-squash/tempest-organic-f1-yellow-summer-squash-seed-3256G.html</t>
  </si>
  <si>
    <t>https://www.johnnyseeds.com/vegetables/squash/summer-squash/dunja-organic-f1-zucchini-squash-seed-3843G.html</t>
  </si>
  <si>
    <t>https://www.johnnyseeds.com/flowers/sunflowers/tall-sunflowers/summer-breeze-mix-sunflower-seed-4782.html</t>
  </si>
  <si>
    <t>https://www.johnnyseeds.com/flowers/sunflowers/tall-sunflowers/procut-peach-f1-sunflower-seed-4445.html</t>
  </si>
  <si>
    <t>https://www.johnnyseeds.com/flowers/sunflowers/tall-sunflowers/shock-o-lat-f1-sunflower-seed-4731.html</t>
  </si>
  <si>
    <t>https://www.johnnyseeds.com/flowers/sunflowers/tall-sunflowers/strawberry-blonde-f1-sunflower-seed-1744.html</t>
  </si>
  <si>
    <t>https://www.johnnyseeds.com/vegetables/tomatoes/specialty-tomatoes/blush-organic-tomato-seed-3517G.html</t>
  </si>
  <si>
    <t>https://www.johnnyseeds.com/vegetables/tomatoes/beefsteak-tomatoes/hot-streak-f1-tomato-seed-4760.html</t>
  </si>
  <si>
    <t>https://www.johnnyseeds.com/flowers/grasses-ornamental/frosted-explosion-ornamental-grass-seed-1855.html</t>
  </si>
  <si>
    <t>https://www.johnnyseeds.com/flowers/hibiscus/mahogany-splendor-hibiscus-seed-4013.html</t>
  </si>
  <si>
    <t>https://www.johnnyseeds.com/vegetables/kohlrabi/storage-kohlrabi/kossak-organic-f1-kohlrabi-seed-237G.html</t>
  </si>
  <si>
    <t>https://www.johnnyseeds.com/vegetables/kohlrabi/fresh-market-kohlrabi/konan-organic-f1-kohlrabi-seed-4431G.html</t>
  </si>
  <si>
    <t>https://www.johnnyseeds.com/vegetables/swiss-chard/bright-lights-swiss-chard-seed-703D.html</t>
  </si>
  <si>
    <t>https://www.johnnyseeds.com/flowers/talinum/limon-talinum-seed-4411.html</t>
  </si>
  <si>
    <t>https://www.johnnyseeds.com/vegetables/greens/asian-greens/red-cloud-f1-asian-green-seed-3341.html</t>
  </si>
  <si>
    <t>https://www.johnnyseeds.com/flowers/atriplex/copper-plume-organic-atriplex-seed-3739G.html</t>
  </si>
  <si>
    <t>https://www.johnnyseeds.com/flowers/bupleurum/green-gold-bupleurum-seed-1045.html</t>
  </si>
  <si>
    <t>https://www.johnnyseeds.com/flowers/cress-ornamental/persian-cress-organic-cress-seed-3399G.html</t>
  </si>
  <si>
    <t>https://www.johnnyseeds.com/flowers/asclepias-butterfly-weed/swamp-milkweed-asclepias-seed-990.html</t>
  </si>
  <si>
    <t>https://www.johnnyseeds.com/vegetables/shallots/conservor-organic-f1-shallot-seed-2703G.html</t>
  </si>
  <si>
    <t>https://www.johnnyseeds.com/vegetables/shallots/cre%CC%80me-bru%CC%82le%CC%81e-f1-shallot-seed-4575.html</t>
  </si>
  <si>
    <t>https://www.johnnyseeds.com/flowers/strawflower/vintage-white-organic-strawflower-seed-3330G.html</t>
  </si>
  <si>
    <t>https://www.johnnyseeds.com/vegetables/turnips/hakurei-f1-turnip-seed-706.html</t>
  </si>
  <si>
    <t>https://www.johnnyseeds.com/flowers/zinnias/benarys-giant-series/benarys-giant-mix-zinnia-seed-1346.html</t>
  </si>
  <si>
    <t>https://www.trueleafmarket.com/products/malbar-spinach-seeds-big-round-leaf</t>
  </si>
  <si>
    <t>https://www.trueleafmarket.com/products/organic-japanese-buckwheat</t>
  </si>
  <si>
    <t>https://www.trueleafmarket.com/products/hibiscus-seeds-asian-sour-leaf-roselle</t>
  </si>
  <si>
    <t>https://www.adaptiveseeds.com/product/vegetables/greens/lambsquarter-magenta-spreen-organic/</t>
  </si>
  <si>
    <t>https://www.osborneseed.com/products/sun-dipper-f1-untreated-tomato-seeds</t>
  </si>
  <si>
    <t>https://www.highmowingseeds.com/organic-non-gmo-nutterbutter-bnut-squash.html</t>
  </si>
  <si>
    <t>https://shop.seedsavers.org/rat-tail-purple-organic-radish</t>
  </si>
  <si>
    <t>https://www.southernexposure.com/products/west-virginia-63-centennial-tomato/</t>
  </si>
  <si>
    <t>https://www.trueleafmarket.com/products/bean-seeds-fava-aquadulce-organic</t>
  </si>
  <si>
    <t>https://territorialseed.com/products/tomato-mortgage-lifter</t>
  </si>
  <si>
    <t>https://uprisingorganics.com/collections/vegetables/products/amaranth-callaloo-suriname?_pos=1&amp;_sid=8aae837f1&amp;_ss=r</t>
  </si>
  <si>
    <t>https://uprisingorganics.com/collections/herbs/products/basil-tulsi-sacred-basil-holy-basil?_pos=1&amp;_sid=f9868298f&amp;_ss=r</t>
  </si>
  <si>
    <t>https://uprisingorganics.com/collections/vegetables/products/cucumber-cengelkoy?_pos=1&amp;_sid=5413b124b&amp;_ss=r</t>
  </si>
  <si>
    <t>https://uprisingorganics.com/collections/vegetables/products/sweet-pepper-elephants-ear?_pos=1&amp;_sid=8dbb4dc68&amp;_ss=r</t>
  </si>
  <si>
    <t>Black Magic F1</t>
  </si>
  <si>
    <t>https://www.johnnyseeds.com/vegetables/peppers/hot-peppers/black-magic-organic-f1-jalapeno-pepper-seed-4718G.html</t>
  </si>
  <si>
    <t>https://uprisingorganics.com/collections/vegetables/products/radicchio-castelfranco-4-20?_pos=1&amp;_sid=bcf1dea30&amp;_ss=r</t>
  </si>
  <si>
    <t>https://uprisingorganics.com/collections/vegetables/products/radicchio-treviso-precoce-4-11?_pos=1&amp;_sid=deaa7e37d&amp;_ss=r</t>
  </si>
  <si>
    <t>https://uprisingorganics.com/collections/vegetables/products/radicchio-treviso-precoce-4-10?_pos=1&amp;_sid=a46b80468&amp;_ss=r</t>
  </si>
  <si>
    <t>https://uprisingorganics.com/collections/vegetables/products/radicchio-castelfranco-4-21?_pos=1&amp;_sid=93d8693b4&amp;_ss=r</t>
  </si>
  <si>
    <t>https://uprisingorganics.com/collections/sunflower/products/sunflower-garden-anarchy-mix?_pos=1&amp;_sid=4b1e24747&amp;_ss=r</t>
  </si>
  <si>
    <t>https://uprisingorganics.com/collections/vegetables/products/tomatillo-queen-of-malinalco?_pos=10&amp;_sid=8b390d579&amp;_ss=r</t>
  </si>
  <si>
    <t>https://whitwamorganics.com/products/sooyow-nishiki-cucumber-seeds-1?_pos=1&amp;_sid=6169e0576&amp;_ss=r</t>
  </si>
  <si>
    <t>https://www.wildgardenseed.com/product_info.php?products_id=532</t>
  </si>
  <si>
    <t>https://www.wildgardenseed.com/product_info.php?products_id=720</t>
  </si>
  <si>
    <t>Bicolor Violet</t>
  </si>
  <si>
    <t>https://www.wildgardenseed.com/product_info.php?products_id=753</t>
  </si>
  <si>
    <t>https://www.wildgardenseed.com/product_info.php?products_id=477</t>
  </si>
  <si>
    <t>https://www.wildgardenseed.com/product_info.php?products_id=601</t>
  </si>
  <si>
    <t>https://www.wildgardenseed.com/product_info.php?products_id=62</t>
  </si>
  <si>
    <t>https://www.wildgardenseed.com/product_info.php?products_id=576</t>
  </si>
  <si>
    <t>Heavenly Blue</t>
  </si>
  <si>
    <t>https://www.wildgardenseed.com/product_info.php?products_id=636</t>
  </si>
  <si>
    <t>https://www.wildgardenseed.com/product_info.php?products_id=424</t>
  </si>
  <si>
    <t>https://www.wildgardenseed.com/product_info.php?products_id=425</t>
  </si>
  <si>
    <t>https://www.wildgardenseed.com/product_info.php?products_id=699</t>
  </si>
  <si>
    <t>https://www.wildgardenseed.com/product_info.php?products_id=749</t>
  </si>
  <si>
    <t>https://www.wildgardenseed.com/product_info.php?products_id=739</t>
  </si>
  <si>
    <t>https://www.wildgardenseed.com/product_info.php?products_id=516</t>
  </si>
  <si>
    <t>https://www.wildgardenseed.com/product_info.php?products_id=413</t>
  </si>
  <si>
    <t>https://www.wildgardenseed.com/product_info.php?products_id=414</t>
  </si>
  <si>
    <t>https://www.wildgardenseed.com/product_info.php?products_id=583</t>
  </si>
  <si>
    <t>https://www.wildgardenseed.com/product_info.php?products_id=751</t>
  </si>
  <si>
    <t>https://wildmountainseeds.com/product/cosmic-mountain-sunset/</t>
  </si>
  <si>
    <t>https://www.wildgardenseed.com/product_info.php?products_id=623</t>
  </si>
  <si>
    <t xml:space="preserve">https://www.gardenhoard.com/tomato-brad-s-atomic-grape-seeds.html </t>
  </si>
  <si>
    <t>https://www.rareseeds.com/viola-black-devil-pansy</t>
  </si>
  <si>
    <t>https://www.rareseeds.com/viola-celestial-blue-pansy</t>
  </si>
  <si>
    <t>Hubbard</t>
  </si>
  <si>
    <t>https://www.osborneseed.com/collections/organic-garden-peppers-seed/products/shishito-organic-pepper-seeds</t>
  </si>
  <si>
    <t>https://www.highmowingseeds.com/organic-non-gmo-sora-radish.html</t>
  </si>
  <si>
    <t>Count Only</t>
  </si>
  <si>
    <t>https://www.johnnyseeds.com/flowers/celosia/sunday-mix-celosia-seed-4310.html</t>
  </si>
  <si>
    <t>https://www.johnnyseeds.com/flowers/celosia/flamingo-purple-celosia-seed-4780.html</t>
  </si>
  <si>
    <t>https://www.wildgardenseed.com/product_info.php?products_id=435</t>
  </si>
  <si>
    <t>Is duplicate</t>
  </si>
  <si>
    <t>Needed</t>
  </si>
  <si>
    <t>Is In Cart</t>
  </si>
  <si>
    <t>Already Have</t>
  </si>
  <si>
    <t>Link</t>
  </si>
  <si>
    <t>https://www.highmowingseeds.com/organic-non-gmo-dunja-f1-zucchini.html</t>
  </si>
  <si>
    <t>https://www.johnnyseeds.com/vegetables/kohlrabi/fresh-market-kohlrabi/kolibri-organic-f1-kohlrabi-seed-320G.html</t>
  </si>
  <si>
    <t>https://www.rareseeds.com/viola-tiger-laeta</t>
  </si>
  <si>
    <t>Sum of Order Cost</t>
  </si>
  <si>
    <t>Seed Cost</t>
  </si>
  <si>
    <t>Row Cost</t>
  </si>
  <si>
    <t>Crop Revenue</t>
  </si>
  <si>
    <t>Seed Cost Margin</t>
  </si>
  <si>
    <t>Prospera F1</t>
  </si>
  <si>
    <t>https://www.highmowingseeds.com/organic-non-gmo-prospera-f1-basil.html</t>
  </si>
  <si>
    <t>https://www.highmowingseeds.com/organic-non-gmo-touchstone-gold-beet.html</t>
  </si>
  <si>
    <t>Bolero F1</t>
  </si>
  <si>
    <t>Deep Purple F1</t>
  </si>
  <si>
    <t>Romance F1</t>
  </si>
  <si>
    <t>https://territorialseed.com/products/carrot-romance</t>
  </si>
  <si>
    <t>Pelleted</t>
  </si>
  <si>
    <t>Ventura</t>
  </si>
  <si>
    <t>Merrengo F1 - Pelleted</t>
  </si>
  <si>
    <t>Utah</t>
  </si>
  <si>
    <t>https://www.adaptiveseeds.com/product/vegetables/celeriac-celery/celery-ventura-organic/</t>
  </si>
  <si>
    <t>New Mama Super Sweet</t>
  </si>
  <si>
    <t>https://www.adaptiveseeds.com/product/vegetables/corn/sweet-corn-new-mama-super-sweet-organic/</t>
  </si>
  <si>
    <t>Traviata F1</t>
  </si>
  <si>
    <t>Red Russian</t>
  </si>
  <si>
    <t>https://www.highmowingseeds.com/organic-non-gmo-red-russian-kale.html</t>
  </si>
  <si>
    <t>Kale - Mature Leaf 2X | Field TP Fa</t>
  </si>
  <si>
    <t>Kale - Mature Leaf 2X | Field TP Ow</t>
  </si>
  <si>
    <t>Kale - Mature Leaf 2X | Field TP Sp</t>
  </si>
  <si>
    <t>Truchas - Pelleted</t>
  </si>
  <si>
    <t>Approved Pellet</t>
  </si>
  <si>
    <t>https://www.osborneseed.com/products/truchas-organic-nop-compliant-pellet-lettuce-seeds?_pos=1&amp;_sid=5be874f6b&amp;_ss=r&amp;variant=40616662171714</t>
  </si>
  <si>
    <t>https://territorialseed.com/products/marigold-lemon-gem</t>
  </si>
  <si>
    <t>https://www.highmowingseeds.com/organic-non-gmo-talon-f1-onion.html</t>
  </si>
  <si>
    <t>Talon F1</t>
  </si>
  <si>
    <t>Pansy and Violsa</t>
  </si>
  <si>
    <t>Overwinter Violas</t>
  </si>
  <si>
    <t>Sorbet Formula Mix</t>
  </si>
  <si>
    <t>https://www.johnnyseeds.com/flowers/viola-pansy/sorbet-formula-mix-f1-viola-seed-1413.html</t>
  </si>
  <si>
    <t>Overwinter Viola Mix</t>
  </si>
  <si>
    <t>https://www.osborneseed.com/products/triloba-macau-organic-rudbeckia-seeds</t>
  </si>
  <si>
    <t>Primero Red F1</t>
  </si>
  <si>
    <t>https://www.highmowingseeds.com/organic-non-gmo-shishito-pepper.html</t>
  </si>
  <si>
    <t>Chantilly Cream Yellow</t>
  </si>
  <si>
    <t>https://www.osborneseed.com/products/chantilly-cream-yellow-untreated-snapdragon-seeds?_pos=1&amp;_sid=3d44097cb&amp;_ss=r</t>
  </si>
  <si>
    <t>Overwinter Snapdragon Mix</t>
  </si>
  <si>
    <t>https://www.johnnyseeds.com/vegetables/eggplant/italian-eggplants/traviata-organic-f1-eggplant-seed-2575G.html</t>
  </si>
  <si>
    <t>https://www.trueleafmarket.com/products/malabar-spinach-seeds-green-vines-supreme</t>
  </si>
  <si>
    <t>https://www.osborneseed.com/products/frizzle-sizzle-lemonberry-untreated-pansy-seeds?_pos=1&amp;_psq=frizzle%20sizzzle%20lem&amp;_ss=e&amp;_v=1.0</t>
  </si>
  <si>
    <t>Divergent F1</t>
  </si>
  <si>
    <t>https://www.johnnyseeds.com/vegetables/melons/cantaloupe-muskmelon/divergent-organic-f1-melon-seed-3760G.html</t>
  </si>
  <si>
    <t>Suyo Long</t>
  </si>
  <si>
    <t>https://www.highmowingseeds.com/organic-non-gmo-suyo-long-cucumber.html</t>
  </si>
  <si>
    <t>https://www.johnnyseeds.com/vegetables/carrots/main-crop-carrots/deep-purple-f1-carrot-seed-2737.html</t>
  </si>
  <si>
    <t>https://www.adaptiveseeds.com/product/vegetables/turnips-rutabagas/turnip-tokyo-market-organic/</t>
  </si>
  <si>
    <t>Runner Bean</t>
  </si>
  <si>
    <t>Northeaster</t>
  </si>
  <si>
    <t>Runner</t>
  </si>
  <si>
    <t>https://www.johnnyseeds.com/vegetables/beans/pole-beans/northeaster-organic-bean-seed-39G.html</t>
  </si>
  <si>
    <t>https://www.johnnyseeds.com/vegetables/tomatoes/heirloom-tomatoes/cipollas-pride-organic-tomato-seed-4180G.html</t>
  </si>
  <si>
    <t>Moonglow Gardens</t>
  </si>
  <si>
    <t>Painted Pink</t>
  </si>
  <si>
    <t>Very prolific! Produces trusses of pink cherry tomatoes with heavy antho shoulders. Sweet flavor. Holds very well on the vine. Did not have a problem with splitting despite an exceptionally rainy year. Good keeper. Needs staking or something to support growth.</t>
  </si>
  <si>
    <t>https://growersblend.ca/shop-seeds/ols/products/painted-pink-tomato</t>
  </si>
  <si>
    <t>Indigo Cherry Drops has the same striking, dark blue anthocyanin coloration and red flesh, but the plant habit is much improved; instead of the small semi-determinate growth habit of Indigo Rose, Indigo Cherry Drops is a vigorous indeterminate. Yield and flavor are much improved, with larger clusters of 1–2 oz. fruit. Indeterminate. Plant Variety Protected. USDA Certified Organic.</t>
  </si>
  <si>
    <t>Indigo Cherry Drop</t>
  </si>
  <si>
    <t>https://www.johnnyseeds.com/vegetables/tomatoes/cherry-tomatoes/indigo-cherry-drops-organic-tomato-seed-3233G.html</t>
  </si>
  <si>
    <t>Specialty</t>
  </si>
  <si>
    <t>Antho Pink Panther</t>
  </si>
  <si>
    <t>https://growersblend.ca/shop-seeds/ols/products/antho-pink-panther-dwarf-tomato</t>
  </si>
  <si>
    <t>Jewels of Opar</t>
  </si>
  <si>
    <t>https://www.gardenhoard.com/jewels-of-opar-aka-fame-flower-seeds-certified-organic.html</t>
  </si>
  <si>
    <t>https://www.highmowingseeds.com/organic-non-gmo-conservor-f1-shallots.html</t>
  </si>
  <si>
    <t>https://www.johnnyseeds.com/vegetables/cabbage/fresh-market-cabbage/deadon-organic-f1-cabbage-seed-306G.html</t>
  </si>
  <si>
    <t>https://www.johnnyseeds.com/vegetables/cabbage/fresh-market-cabbage/integro-organic-f1-cabbage-seed-262G.html</t>
  </si>
  <si>
    <t>Salvaterra's Select</t>
  </si>
  <si>
    <t>Major Dunne</t>
  </si>
  <si>
    <t>https://www.adaptiveseeds.com/product/vegetables/turnips-rutabagas/rutabaga-major-dunne-organic/</t>
  </si>
  <si>
    <t>https://fedcoseeds.com/seeds/queen-of-malinalco-organic-tomatillo-4010</t>
  </si>
  <si>
    <t>https://www.highmowingseeds.com/organic-non-gmo-primero-red-f1-habanero-pepper.html</t>
  </si>
  <si>
    <t>https://fedcoseeds.com/seeds/benarys-giant-mix-organic-zinnia-5708</t>
  </si>
  <si>
    <t>Fava Bean</t>
  </si>
  <si>
    <t>Sum of Percent</t>
  </si>
  <si>
    <t>Cells</t>
  </si>
  <si>
    <t>Unsafe Cells</t>
  </si>
  <si>
    <t>DTG</t>
  </si>
  <si>
    <t>Early Potato Mix</t>
  </si>
  <si>
    <t>Mid Potato Mix</t>
  </si>
  <si>
    <t>Main Potato Mix</t>
  </si>
  <si>
    <t>Purple Viking</t>
  </si>
  <si>
    <t>Yukon Gold</t>
  </si>
  <si>
    <t>Yukon Gem</t>
  </si>
  <si>
    <t>Lemon Balm</t>
  </si>
  <si>
    <t>Oregano</t>
  </si>
  <si>
    <t>Chervil</t>
  </si>
  <si>
    <t>Catnip</t>
  </si>
  <si>
    <t>Marjoram</t>
  </si>
  <si>
    <t>Anise Hysopp</t>
  </si>
  <si>
    <t>Epazote</t>
  </si>
  <si>
    <t>Guess</t>
  </si>
  <si>
    <t>Arugula - Baby Leaf 1X | Field DS Sp</t>
  </si>
  <si>
    <t>Tendril Pea Mix</t>
  </si>
  <si>
    <t>Assume 1 fruit per plant / week once production is underway Sew under cover by end of march. Sew as early as mid feb. Coule pot up a second time for even bigger starts.</t>
  </si>
  <si>
    <t>Lettuce (Salanova) - Loose Leaf 1X | Field TP SuFa</t>
  </si>
  <si>
    <t>Salanova Mix</t>
  </si>
  <si>
    <t>Audited?</t>
  </si>
  <si>
    <t>Deprecated</t>
  </si>
  <si>
    <t>Bed Prep</t>
  </si>
  <si>
    <t>Transplanting</t>
  </si>
  <si>
    <t>Start Irrigation</t>
  </si>
  <si>
    <t>Start Transport</t>
  </si>
  <si>
    <t>Weeding</t>
  </si>
  <si>
    <t>Pruning</t>
  </si>
  <si>
    <t>Manage Pests</t>
  </si>
  <si>
    <t>Install Irrigation</t>
  </si>
  <si>
    <t>Install Row Cover</t>
  </si>
  <si>
    <t>Harvest</t>
  </si>
  <si>
    <t>Market &amp; Sell</t>
  </si>
  <si>
    <t>Wash</t>
  </si>
  <si>
    <t>Pack</t>
  </si>
  <si>
    <t>Clean</t>
  </si>
  <si>
    <t>Rehandle</t>
  </si>
  <si>
    <t>Market Transport</t>
  </si>
  <si>
    <t>Remove Crop Residue</t>
  </si>
  <si>
    <t>Direct Seeding</t>
  </si>
  <si>
    <t>Seeding Trays</t>
  </si>
  <si>
    <t>StartsPerHourSeeding</t>
  </si>
  <si>
    <t>StartsPerHourTansplanting</t>
  </si>
  <si>
    <t>Potting Up</t>
  </si>
  <si>
    <t>UpPottingPerHour</t>
  </si>
  <si>
    <t>HomeStartFlatIrrigationPerHour</t>
  </si>
  <si>
    <t>DaysBetweenStartIrrigation</t>
  </si>
  <si>
    <t>SmallTransplantTime</t>
  </si>
  <si>
    <t>LargeTransplantTime</t>
  </si>
  <si>
    <t>Direct Seeding Difficulty</t>
  </si>
  <si>
    <t>Revenue Per Hour</t>
  </si>
  <si>
    <t>HoursPerWeedingPass</t>
  </si>
  <si>
    <t>Condition</t>
  </si>
  <si>
    <t>Trim</t>
  </si>
  <si>
    <t>Trellising</t>
  </si>
  <si>
    <t>ID</t>
  </si>
  <si>
    <t>Minute</t>
  </si>
  <si>
    <t>Seconds</t>
  </si>
  <si>
    <t>Harvest (s)</t>
  </si>
  <si>
    <t>Wash (s)</t>
  </si>
  <si>
    <t>Condition (s)</t>
  </si>
  <si>
    <t>Trim (s)</t>
  </si>
  <si>
    <t>Pack (s)</t>
  </si>
  <si>
    <t>Clean (s)</t>
  </si>
  <si>
    <t>Rehandle (s)</t>
  </si>
  <si>
    <t>Per Crate</t>
  </si>
  <si>
    <t>Units Per Pack</t>
  </si>
  <si>
    <t>Wet</t>
  </si>
  <si>
    <t>Hard to fit</t>
  </si>
  <si>
    <t>Fragile</t>
  </si>
  <si>
    <t>Target</t>
  </si>
  <si>
    <t>Bulb</t>
  </si>
  <si>
    <t>Bloom</t>
  </si>
  <si>
    <t>Stalk</t>
  </si>
  <si>
    <t>Pint</t>
  </si>
  <si>
    <t>Large Head</t>
  </si>
  <si>
    <t>Small Head</t>
  </si>
  <si>
    <t>Large Fruit</t>
  </si>
  <si>
    <t>Small Fruit</t>
  </si>
  <si>
    <t>Packing Container</t>
  </si>
  <si>
    <t>32 oz</t>
  </si>
  <si>
    <t>Half Flat</t>
  </si>
  <si>
    <t>Bucket</t>
  </si>
  <si>
    <t>IP4</t>
  </si>
  <si>
    <t>Packaging Cost</t>
  </si>
  <si>
    <t>Container</t>
  </si>
  <si>
    <t>Cost</t>
  </si>
  <si>
    <t>Bunch (s)</t>
  </si>
  <si>
    <t>small cut</t>
  </si>
  <si>
    <t>5 seconds</t>
  </si>
  <si>
    <t>pick</t>
  </si>
  <si>
    <t>3s</t>
  </si>
  <si>
    <t>large cut</t>
  </si>
  <si>
    <t>10s</t>
  </si>
  <si>
    <t>cut flower stem</t>
  </si>
  <si>
    <t>Ripe Fruit Large</t>
  </si>
  <si>
    <t>Ripe Fruit Small</t>
  </si>
  <si>
    <t>Factor in repsoitioning?</t>
  </si>
  <si>
    <t>Wash Type</t>
  </si>
  <si>
    <t>Salad Leaf</t>
  </si>
  <si>
    <t>Clean Head</t>
  </si>
  <si>
    <t>Dirty Stalk</t>
  </si>
  <si>
    <t>Dirty Head</t>
  </si>
  <si>
    <t>Salad Lead</t>
  </si>
  <si>
    <t>Allium Stalk</t>
  </si>
  <si>
    <t>Dunked Head</t>
  </si>
  <si>
    <t>Wash Factor</t>
  </si>
  <si>
    <t>Haul (s)</t>
  </si>
  <si>
    <t>CrateHaulTime</t>
  </si>
  <si>
    <t>s</t>
  </si>
  <si>
    <t>hr</t>
  </si>
  <si>
    <t>MarketHaulTime</t>
  </si>
  <si>
    <t>CratePerMarketLoad</t>
  </si>
  <si>
    <t>#</t>
  </si>
  <si>
    <t>Transit during harvest is a real time sink</t>
  </si>
  <si>
    <t>ProductIndex</t>
  </si>
  <si>
    <t>Marketing (hr)</t>
  </si>
  <si>
    <t>Haul</t>
  </si>
  <si>
    <t>Market Transport (s)</t>
  </si>
  <si>
    <t>Trellis Type</t>
  </si>
  <si>
    <t>Tulsi as a cut flower</t>
  </si>
  <si>
    <t>ProductTarget</t>
  </si>
  <si>
    <t>Ripe Fruit Medium</t>
  </si>
  <si>
    <t>Rose</t>
  </si>
  <si>
    <t>Tangled Stem</t>
  </si>
  <si>
    <t>stem</t>
  </si>
  <si>
    <t>Alexanders - Mature X | Field DS Ow</t>
  </si>
  <si>
    <t>Arugula - Mature Leaf X | Field DS Sp</t>
  </si>
  <si>
    <t xml:space="preserve">Microgreens - Micro Leaf X | Field DS </t>
  </si>
  <si>
    <t>Calendula - Cut Flower X | Field DS Ow</t>
  </si>
  <si>
    <t xml:space="preserve">Collard Greens - Loose Leaf 1X | Field DS </t>
  </si>
  <si>
    <t>Collard Greens - Mature Leaf X | Field DS Ow</t>
  </si>
  <si>
    <t>Cover Mix - Mature Nothing 1X | Field DS Ow</t>
  </si>
  <si>
    <t xml:space="preserve">Crosnes - Mature Root X | Field DS </t>
  </si>
  <si>
    <t>Erba Stella - Mature Leaf X | Field DS Ow</t>
  </si>
  <si>
    <t>Esacarole - Mature Head X | Field DS Ow</t>
  </si>
  <si>
    <t xml:space="preserve">Feather Top - Flowering Stalks X | Field DS </t>
  </si>
  <si>
    <t xml:space="preserve">Fiber Optic Grass - Flowering Stalks X | Field DS </t>
  </si>
  <si>
    <t xml:space="preserve">Ginger (Moiga) - Young Root X | Field DS </t>
  </si>
  <si>
    <t>Lettuce - Baby Leaf X | Field DS Ow</t>
  </si>
  <si>
    <t xml:space="preserve">Matricaria - Mature Stem X | Field DS </t>
  </si>
  <si>
    <t xml:space="preserve">Millet - Flowering Stalks X | Field DS </t>
  </si>
  <si>
    <t>Mustard Greens - Mature Leaf X | Field DS Ow</t>
  </si>
  <si>
    <t>Nigella - Mature Stalk X | Field DS Sp</t>
  </si>
  <si>
    <t>Raab - Mature Stalks X | Field DS Ow</t>
  </si>
  <si>
    <t xml:space="preserve">Ranunculus - Mature Stalk X | Field DS </t>
  </si>
  <si>
    <t>Sunflower - Mature Stem 1X | Field DS SpSuFa</t>
  </si>
  <si>
    <t>Sunflower (Branching) - Mature Stem 1X | Field DS SpSuFa</t>
  </si>
  <si>
    <t>Texsel Greens - Mature Leaf X | Field DS Ow</t>
  </si>
  <si>
    <t>Upland Cress - Mature Leaf X | Field DS Ow</t>
  </si>
  <si>
    <t xml:space="preserve">Violaceum - Flowering Stalks X | Field DS </t>
  </si>
  <si>
    <t>Revenue - Copy</t>
  </si>
  <si>
    <t xml:space="preserve">Delphinium - Cut Flower 1X | Field DS </t>
  </si>
  <si>
    <t xml:space="preserve">Lisianthus - Mature Stalk 1X | Field DS </t>
  </si>
  <si>
    <t xml:space="preserve">New Zealand Spinach - Mature Leaf X | Field DS </t>
  </si>
  <si>
    <t>Raspberries</t>
  </si>
  <si>
    <t>Bush fruit in genera</t>
  </si>
  <si>
    <t>Parsnips</t>
  </si>
  <si>
    <t>MarketingTimeFactor</t>
  </si>
  <si>
    <t>CSA</t>
  </si>
  <si>
    <t>Wholesale</t>
  </si>
  <si>
    <t>Farmer's Market</t>
  </si>
  <si>
    <t>A portion of CSA revenue</t>
  </si>
  <si>
    <t>$1000/7</t>
  </si>
  <si>
    <t>Young Stem</t>
  </si>
  <si>
    <t>Mortgage</t>
  </si>
  <si>
    <t>$/Acre/Yr</t>
  </si>
  <si>
    <t>Beds Per Acre</t>
  </si>
  <si>
    <t>Mortage Per Bed Year</t>
  </si>
  <si>
    <t>Packaging Costs</t>
  </si>
  <si>
    <t>Labor Rate</t>
  </si>
  <si>
    <t>Water Cost</t>
  </si>
  <si>
    <t>Row Cover Cost</t>
  </si>
  <si>
    <t>Mulch Cost</t>
  </si>
  <si>
    <t>Irrigation Cost</t>
  </si>
  <si>
    <t>CompostCost</t>
  </si>
  <si>
    <t>$/Bed/Yr</t>
  </si>
  <si>
    <t>Packaging Percent</t>
  </si>
  <si>
    <t>Look at green tomatoes</t>
  </si>
  <si>
    <t>May 1</t>
  </si>
  <si>
    <t>May 2</t>
  </si>
  <si>
    <t>May 3</t>
  </si>
  <si>
    <t>May 4</t>
  </si>
  <si>
    <t>Jun 1</t>
  </si>
  <si>
    <t>Jun 2</t>
  </si>
  <si>
    <t>Aug 1</t>
  </si>
  <si>
    <t>Aug 2</t>
  </si>
  <si>
    <t>Aug 3</t>
  </si>
  <si>
    <t>Aug 4</t>
  </si>
  <si>
    <t>Sep 1</t>
  </si>
  <si>
    <t>Sep 2</t>
  </si>
  <si>
    <t>Sep 3</t>
  </si>
  <si>
    <t>Sep 4</t>
  </si>
  <si>
    <t>Oct 1</t>
  </si>
  <si>
    <t>Oct 2</t>
  </si>
  <si>
    <t>Oct 3</t>
  </si>
  <si>
    <t>Oct 4</t>
  </si>
  <si>
    <t>No</t>
  </si>
  <si>
    <t>Maybe</t>
  </si>
  <si>
    <t>Yes</t>
  </si>
  <si>
    <t>Jun 3</t>
  </si>
  <si>
    <t>Jun 4</t>
  </si>
  <si>
    <t xml:space="preserve">Jul1 </t>
  </si>
  <si>
    <t>Jul 2</t>
  </si>
  <si>
    <t>Jul 3</t>
  </si>
  <si>
    <t>Jul 32</t>
  </si>
  <si>
    <t>Items Per CSA</t>
  </si>
  <si>
    <t>Average Item Cost</t>
  </si>
  <si>
    <t>Average CSA Value</t>
  </si>
  <si>
    <t>CSA Weeks</t>
  </si>
  <si>
    <t>CSA Items</t>
  </si>
  <si>
    <t>CSA Cost</t>
  </si>
  <si>
    <t>Market Price</t>
  </si>
  <si>
    <t>Value</t>
  </si>
  <si>
    <t>CSA Members</t>
  </si>
  <si>
    <t>CSA Need</t>
  </si>
  <si>
    <t>CSA Beds</t>
  </si>
  <si>
    <t>CSA Bed Days</t>
  </si>
  <si>
    <t>Planned CSA Bed Days</t>
  </si>
  <si>
    <t>Mark products as edible</t>
  </si>
  <si>
    <t>CSA Portion</t>
  </si>
  <si>
    <t>CSA Times</t>
  </si>
  <si>
    <t>CSA Harvests</t>
  </si>
  <si>
    <t>Propduction Weeks</t>
  </si>
  <si>
    <t>Units Per Weekly Harvest</t>
  </si>
  <si>
    <t>Direct Revenue Per Bed</t>
  </si>
  <si>
    <t>Direct Price</t>
  </si>
  <si>
    <t>Direct Revenue Per Acre Year</t>
  </si>
  <si>
    <t>Wholesale Revenue Per Bed</t>
  </si>
  <si>
    <t>Direct Total Cost</t>
  </si>
  <si>
    <t>Wholesale Total Cost</t>
  </si>
  <si>
    <t>Wholesale Profit</t>
  </si>
  <si>
    <t>Direct Profit</t>
  </si>
  <si>
    <t>Wholesale Profit Per Bed Day</t>
  </si>
  <si>
    <t>Direct Profit Per Bed Day</t>
  </si>
  <si>
    <t>Direct Labor Cost</t>
  </si>
  <si>
    <t>Wholesale Labor Cost</t>
  </si>
  <si>
    <t>Field Acres</t>
  </si>
  <si>
    <t>Direct Time</t>
  </si>
  <si>
    <t>Wholesale Time</t>
  </si>
  <si>
    <t>Direct Non-Labor Cost</t>
  </si>
  <si>
    <t>Wholesale Non-Labor Cost</t>
  </si>
  <si>
    <t>Direct Profit Per Owner Labor Hour</t>
  </si>
  <si>
    <t>Wholesale Profit Per Owner Labor Hour</t>
  </si>
  <si>
    <t>Wholesale Profit Per Acre</t>
  </si>
  <si>
    <t>Direct Labor Per Acre</t>
  </si>
  <si>
    <t>Wholesale Labor Per Acre</t>
  </si>
  <si>
    <t>Direct Profit Per Acre</t>
  </si>
  <si>
    <t>Direct Profit Per Acre Year</t>
  </si>
  <si>
    <t>Wholesale Profit Per Acre Year</t>
  </si>
  <si>
    <t>Growing Days</t>
  </si>
  <si>
    <t>Holding Window</t>
  </si>
  <si>
    <t>Holding Period</t>
  </si>
  <si>
    <t>Standard Bed Length</t>
  </si>
  <si>
    <t>Bed Width</t>
  </si>
  <si>
    <t>Annual compost Depth</t>
  </si>
  <si>
    <t>CompostCostPerBed</t>
  </si>
  <si>
    <t>$/yd</t>
  </si>
  <si>
    <t>Perrenial</t>
  </si>
  <si>
    <t>Plant transplants out in the spring 2 rows on 24 inch alternating spacing. Thin plants to 1 ft appart in summer. Remove all slowers in first year. Airflow and low light penetration are key to reducing mold problems. Thnnings can be a valuable extra crop. Sell 10 in a bag for $10 or pot up. Might be able to fall plant in our climate but there's some risk of plants dying. Drought sensitive but only require irrigation in drought conditions. Once berries start showing pink harvest begins in a few days.</t>
  </si>
  <si>
    <t>Plant transplants out in the spring 2 rows on 24 inch alternating spacing. Thin plants to 1 ft appart in summer. Remove all slowers in first year. Airflow and low light penetration are key to reducing mold problems. Thnnings can be a valuable extra crop. Sell 10 in a bag for $10 or pot up. Might be able to fall plant in our climate but there's some risk of plants dying. Drought sensitive but only require irrigation in drought conditions. Once berries start showing pink harvest begins in a few days. Berry Growers has an excellent list of good varieties for organic production.</t>
  </si>
  <si>
    <t>Berry Growers</t>
  </si>
  <si>
    <t>Raspberry</t>
  </si>
  <si>
    <t>1/2 Pint</t>
  </si>
  <si>
    <t>Red June Bearing</t>
  </si>
  <si>
    <t>Berry</t>
  </si>
  <si>
    <t>Red Fall Bearing</t>
  </si>
  <si>
    <t>Black Primocane</t>
  </si>
  <si>
    <t>Can crop twice a year in the right setups. Earlier than reds</t>
  </si>
  <si>
    <t>Florida Weave 2x</t>
  </si>
  <si>
    <t>Hours</t>
  </si>
  <si>
    <t>Florida Weave 3x</t>
  </si>
  <si>
    <t>This needs to be filled out!</t>
  </si>
  <si>
    <t>Red Berry</t>
  </si>
  <si>
    <t>Black Berry</t>
  </si>
  <si>
    <t>large showy dahlias</t>
  </si>
  <si>
    <t>Filler</t>
  </si>
  <si>
    <t>2024 Notes</t>
  </si>
  <si>
    <t>Maybe not for food. Valdemar bought a bunch of so at frequency. Planted way too thick and they didn't really size. 4 rows at like 5 per inch. Greens may have gotten shaded out. Calalloo variety was quite small. Often intersting with indian customers, especially customers. Could probably get it in the ground earlier (maybe even a month).</t>
  </si>
  <si>
    <t>Don't survice under 26 degrees. Didn't like wet feet. Relatively easy to get rid of seeds if they go to seed. Plants get bigger with more spacing. Could likely be direct seeded in early spring. Came up around the time the dava beans got planted. They don't tiller a ton. Probably can only get a cutting or two off a single bed. Do better in spring and fall. Do continue to grow in cold weather. Great tunnel candidate. Never seen any real pest damage.</t>
  </si>
  <si>
    <t>Grew well. Took a while to drop seeds. The pruple did slightly better than the pink. Not tasty. Might be able to space them a little tighter. Didn't pinch them so not sure if they'll tiller.  Having a single big long stalk is a little much. Nice window when the seed pods are nice and attached to the stalks, but they evenetually got to a point when they shatter.</t>
  </si>
  <si>
    <t>20 feet felt like about the right amount for our current markets. Might have gone in a little late. Transplants grew faster than field stock. Not entirely sure if the variety we use is what it's listed as. Very cold hardy. Should try other varieties. Tried to  pot up starts and they were never happy.</t>
  </si>
  <si>
    <t>Early spring tunnel went for like 8 weeks until 4th of july.  Reds are slower than the greens. Balls of Fire an dKrnes finest didn't have much of a showing but went in later. We have way too much inventory in early summer when the market is flooded. Cutting the heads from the edge rather than above the crown results in much better regrowth. Shade cloth seems like it might have prevented bolting, but not certain. Took some videos on spacing. Green Sweet crisp are the biggest and tasty. Red Oak leaf has the deepest color. Bauer makes a nice flex.</t>
  </si>
  <si>
    <t>Still can't get these consistent. Had really nice starts in the spring, I think we had issues with our soil. Had starts that got really stuned in the north tunnel -- thought it was light issues, probably actually nutrition because the next round did worse. Moved to bottom watering improved it immensely. Might need to foliar spray or supplement nutrition.</t>
  </si>
  <si>
    <t>Still not 100% sure this spacing makes the most sense. We didn’t get a good opportunity to test this.  Last round of lettuces went in too late.</t>
  </si>
  <si>
    <t>Wasn't a good flower color. Ended up with white intead of pink. Not as visually intersting as expected. They grew alright. Flax if nicer. Less intersting than the Milkweed.</t>
  </si>
  <si>
    <t>Really is a pain in the ass with reseeding. Some of the young plants survive the winter. If you get them back in later spring they will come back.</t>
  </si>
  <si>
    <t>Great filler. Does well with cold weather. Went in later than it could have. Probably could have gone in two months earlier or in the fall. Doesn't tiller. Only get one stem per plant. Seem to do fine in cluster of plants. Could probably plant them tightly.</t>
  </si>
  <si>
    <t>Really took to vertical trellis. Put fruit on later this year despite being in the Tunnel, you can pick them early and they hold quite well. Picked some that kept for literal months in our livingroom. Not a lot of market interest. Continue to be really tasty. Pancita liked them. Not sure the weight is there, but might be.</t>
  </si>
  <si>
    <t>Currently looking great in january. Just picked a couple. Probably 1.2 - 2 lbs each. Still a bit loose. Tasty. Deadon (top of the bed) seems to be the best performer. Slugs have largely left them alone. They are planted at the top of the field. Haven't seem how they handled the frost.</t>
  </si>
  <si>
    <t>This was an excellent crop. Planded them loose at 9 inch spacing in the tunnel. Not sure if that's the reason.</t>
  </si>
  <si>
    <t>Didn't grow.</t>
  </si>
  <si>
    <t>Did great. Top of bed bolted before end of bed. In one of the wettest beds on the farm. Center stalks can be delicious if they're not overly fibrous. Still continues to not be a great seller. No noticable difference in quality between the two varieties. No signs of fungal disease this year. Two rows was probably more than we currently need. Can we transplant pups?</t>
  </si>
  <si>
    <t>Went in too later. Did pretty good. Got absolutely decimated by something. Likely a snail. Defoliated an entire bed.</t>
  </si>
  <si>
    <t>Parsley did great. Bolted in the fall. Some varieties much alrger than others. North variety was pretty small. Second variety from the bottom was the biggest. Didn't notice a big taste difference. All were good.'</t>
  </si>
  <si>
    <t>Performed quite well. Survived into January. Get eaten heavily by a mollusk late in the season. Spacing seemed good. Could maybe go a little tighter within the row. Were in a high/dry bed.</t>
  </si>
  <si>
    <t>Didn’t come back as well as the previous years did from the B rows. Not worth doing. Just transplant it.</t>
  </si>
  <si>
    <t>Cortland did the beest of all. Talon, Red Carter, and Rose de roscoff all shit the bed. Likely a funagal issue. Talon was the first to succumb.</t>
  </si>
  <si>
    <t>Red longs were pretty but small. Ailsa Craig, Anber, Red Long of Florence. Need a lot more variety trial here. This bed was really stunted in D8 compared to the onions in I8. Red Long of florence was a bit slow. We THINK the ailsa craig outperformed the anber. Didn't lose as many here, they just didn't really size well .</t>
  </si>
  <si>
    <t>These did awesome. Held well.</t>
  </si>
  <si>
    <t>Went pretty bolty. Got a few decent patches though. Need to still dial this one in. Planted in this in direct seeded rows. Would like to tfigure this crop out.</t>
  </si>
  <si>
    <t>Carleton is stunning. Komastuna bolted faster and is larger. Carleton is a big spicy. Carleton makes a great cut and come again, Komatsuna not so much. Red cloud was probably a bit too dense. Carleton 4x6 spacing.</t>
  </si>
  <si>
    <t>This was great having it on a single side. Density was good. Honestly about the right amount for the farmer's market. Maybe could have doubled it. Zanzico is awesome. Thai stayed productive for a long time.  The big italian was big. Starts were too early again but bounced back. Still not sure if cold holding it matter. Freshness is the game.</t>
  </si>
  <si>
    <t>MAYBE</t>
  </si>
  <si>
    <t>Went in too late. Top did better than bottom. Don't appear to like wet feet. Noreasters were way more productive than scartet runners. Would like to pick up more colored varieities. Definitely lean in here. Popular with customers in half pound bunches for $5. Runner beans and pole beans.</t>
  </si>
  <si>
    <t>A Tobasco peppers takes 70 days to go from flower to red pepper</t>
  </si>
  <si>
    <t>Assume 1 fruits per plant / week once production is underway. Assume 4.5 ounces per fruit. Sew mid feb - mid march. Wait for waether to warm before transplanting. Well clear of frost risk. Transplant May - June. Can crop until September.  Like well drained soil. Ideal seedlings have buds, but no open flowers. Plastic Mulch Will help 70 days from flower to fruit.</t>
  </si>
  <si>
    <t>CSA Portions Per Week</t>
  </si>
  <si>
    <t>Out of Season</t>
  </si>
  <si>
    <t>Weeks</t>
  </si>
  <si>
    <t>CSA %</t>
  </si>
  <si>
    <t>Basil (Italian) - Mature Leaf 1X | Tunnel TP SpSuOw</t>
  </si>
  <si>
    <t>Cabbage - Large Head 1X | Field TP Fa</t>
  </si>
  <si>
    <t>Cabbage (Chinese) - Large Head 1X | Field TP Wi</t>
  </si>
  <si>
    <t>Cabbage (Large) - Large Head 1X | Field TP Ow</t>
  </si>
  <si>
    <t>Cabbage (Lg) - Large Head 1X | Field TP Wi</t>
  </si>
  <si>
    <t xml:space="preserve">Choi Sum - Mature Head 1X | Field TP </t>
  </si>
  <si>
    <t xml:space="preserve">Cucumber (Asian Long) - Large Fruit 1X | Greenhouse TP </t>
  </si>
  <si>
    <t>Fava Bean - Mature Pod 1X | Field DS Sp</t>
  </si>
  <si>
    <t>Kohlrabi (Sm) - Storage Bulb 1X | Field TP Sp</t>
  </si>
  <si>
    <t>Lettuce (6") - Mini Head 1X | Field TP Ow</t>
  </si>
  <si>
    <t>Lettuce (9") - Mature Head 1X | Field TP Ow</t>
  </si>
  <si>
    <t>Lettuce (Salanova) - Loose Leaf 1X | Field TP Sp</t>
  </si>
  <si>
    <t>Onion (Salad Early) - Young Bulb 10X | Field TP Sp</t>
  </si>
  <si>
    <t>Peas (Snap) - Young Pod 3X | Field TP SpSu</t>
  </si>
  <si>
    <t xml:space="preserve">Pepper (Bell) - Ripe Fruit Large 1X | Field TP </t>
  </si>
  <si>
    <t xml:space="preserve">Pepper (Bell) - Ripe Fruit Large 1X | Greenhouse TP </t>
  </si>
  <si>
    <t xml:space="preserve">Pepper (Hot) - Ripe Fruit Small 1X | Field TP </t>
  </si>
  <si>
    <t xml:space="preserve">Pepper (Hot) - Ripe Fruit Small 1X | Greenhouse TP </t>
  </si>
  <si>
    <t>Radish (6r) - Mature Root 1X | Field DS Su</t>
  </si>
  <si>
    <t>Raspberry (Red Fall Bearing) - Red Berry 1X | Field DS Su</t>
  </si>
  <si>
    <t>Summer Squash (Short Season) - Ripe Fruit 1X | Field TP Su</t>
  </si>
  <si>
    <t>Tomato (Beefsteak) - Ripe Fruit Large 1X | Field TP Su</t>
  </si>
  <si>
    <t>Tomato (Beefsteak) - Ripe Fruit Large 1X | Greenhouse TP Su</t>
  </si>
  <si>
    <t>Tomato (Cherry) - Ripe Fruit Small 1X | Greenhouse TP Su</t>
  </si>
  <si>
    <t>Tomato (Medium) - Ripe Fruit Medium 1X | Field TP Su</t>
  </si>
  <si>
    <t>ARU001</t>
  </si>
  <si>
    <t>BAS001</t>
  </si>
  <si>
    <t>BAS002</t>
  </si>
  <si>
    <t>BEA001</t>
  </si>
  <si>
    <t>BEE001</t>
  </si>
  <si>
    <t>BEE002</t>
  </si>
  <si>
    <t>BOK001</t>
  </si>
  <si>
    <t>CAB001</t>
  </si>
  <si>
    <t>CAB002</t>
  </si>
  <si>
    <t>CAB003</t>
  </si>
  <si>
    <t>CAB004</t>
  </si>
  <si>
    <t>CAR001</t>
  </si>
  <si>
    <t>CAR002</t>
  </si>
  <si>
    <t>CAR003</t>
  </si>
  <si>
    <t>CAU001</t>
  </si>
  <si>
    <t>CEL001</t>
  </si>
  <si>
    <t>CHO001</t>
  </si>
  <si>
    <t>CHR001</t>
  </si>
  <si>
    <t>CIL002</t>
  </si>
  <si>
    <t>COR001</t>
  </si>
  <si>
    <t>CUC001</t>
  </si>
  <si>
    <t>CUC002</t>
  </si>
  <si>
    <t>DIL001</t>
  </si>
  <si>
    <t>FAV001</t>
  </si>
  <si>
    <t>GOO001</t>
  </si>
  <si>
    <t>KAL003</t>
  </si>
  <si>
    <t>KOH002</t>
  </si>
  <si>
    <t>KOH003</t>
  </si>
  <si>
    <t>LEE001</t>
  </si>
  <si>
    <t>LEM001</t>
  </si>
  <si>
    <t>LET012</t>
  </si>
  <si>
    <t>MEL001</t>
  </si>
  <si>
    <t>ONI003</t>
  </si>
  <si>
    <t>ONI004</t>
  </si>
  <si>
    <t>ONI005</t>
  </si>
  <si>
    <t>PAR001</t>
  </si>
  <si>
    <t>PAR003</t>
  </si>
  <si>
    <t>PEA001</t>
  </si>
  <si>
    <t>PEP001</t>
  </si>
  <si>
    <t>PEP002</t>
  </si>
  <si>
    <t>PEP003</t>
  </si>
  <si>
    <t>PEP004</t>
  </si>
  <si>
    <t>POT001</t>
  </si>
  <si>
    <t>POT002</t>
  </si>
  <si>
    <t>RAD002</t>
  </si>
  <si>
    <t>RAD003</t>
  </si>
  <si>
    <t>RAD005</t>
  </si>
  <si>
    <t>RAD006</t>
  </si>
  <si>
    <t>SQU002</t>
  </si>
  <si>
    <t>SUM001</t>
  </si>
  <si>
    <t>SUM002</t>
  </si>
  <si>
    <t>SWI002</t>
  </si>
  <si>
    <t>TOM001</t>
  </si>
  <si>
    <t>TOM002</t>
  </si>
  <si>
    <t>TOM003</t>
  </si>
  <si>
    <t>TOM004</t>
  </si>
  <si>
    <t>TOM005</t>
  </si>
  <si>
    <t>TUR001</t>
  </si>
  <si>
    <t>TUR002</t>
  </si>
  <si>
    <t>TUR003</t>
  </si>
  <si>
    <t>Times</t>
  </si>
  <si>
    <t>CSA Notes</t>
  </si>
  <si>
    <t xml:space="preserve">can we split? Can we tighten? </t>
  </si>
  <si>
    <t>Does the timing work? Might  need a summer planting. Perhaps a dowding style june/july planting.</t>
  </si>
  <si>
    <t>Bed Yield</t>
  </si>
  <si>
    <t>This timing seems tight</t>
  </si>
  <si>
    <t>Need a summer planting</t>
  </si>
  <si>
    <t>Spring should last a while. Need to make sure we get early summer right.</t>
  </si>
  <si>
    <t xml:space="preserve">This feels like a lot. Not certain if my numbers or correct. If they are, not certain this is worth it. But it is a good milestone crop. </t>
  </si>
  <si>
    <t>Maybe throw in another row of shishitos as well</t>
  </si>
  <si>
    <t>Probably need an early variety.\</t>
  </si>
  <si>
    <t>-</t>
  </si>
  <si>
    <t>GAR</t>
  </si>
  <si>
    <t>Green garlic in I8. Was all of our saved runts. I7 is softneck . Sofneck was just polish. Might have done a spacing experiement.</t>
  </si>
  <si>
    <t>Zemo. Red Chesnok and Adaptive Music. Zemo from Viva was abolsutely massive. Even bigger than our current. Might have done a spacing experiement.</t>
  </si>
  <si>
    <t>LOV</t>
  </si>
  <si>
    <t>SOR</t>
  </si>
  <si>
    <t>Blood sorrel takes fuckin ages. Like a month to start. Grows really slow. Green sorrel grew like a weed. Cut back the flowering stalk and it it bounded well. Something at it in late summer.</t>
  </si>
  <si>
    <t>Garden Sorrel Wild Garden, Red Veined Sorrel High Mowing</t>
  </si>
  <si>
    <t>Direct Revenue Per Bed Day</t>
  </si>
  <si>
    <t>Beets</t>
  </si>
  <si>
    <t>Green Garlic</t>
  </si>
  <si>
    <t>Full Bed Equivalent</t>
  </si>
  <si>
    <t>4x9</t>
  </si>
  <si>
    <t>U1</t>
  </si>
  <si>
    <t>U2</t>
  </si>
  <si>
    <t>U4</t>
  </si>
  <si>
    <t>U5</t>
  </si>
  <si>
    <t>LET013</t>
  </si>
  <si>
    <t>Maybe pair with Bok Choy</t>
  </si>
  <si>
    <t>Radish/turnip/arugala/chrysanthemum</t>
  </si>
  <si>
    <t>Dill/Cilantro/Magentaspreen/Spring Onion</t>
  </si>
  <si>
    <t>Magenta Spreen - Young Stem 1X |  DS Sp</t>
  </si>
  <si>
    <t>MAG001</t>
  </si>
  <si>
    <t>CIL003</t>
  </si>
  <si>
    <t>DIL002</t>
  </si>
  <si>
    <t>SCA633</t>
  </si>
  <si>
    <t>Cilantro Dill successions</t>
  </si>
  <si>
    <t>CSA Portions</t>
  </si>
  <si>
    <t xml:space="preserve">Cucumber (Lebanese) - Small Fruit 1X | Greenhouse TP </t>
  </si>
  <si>
    <t xml:space="preserve">Cucumber (Slicer) - Ripe Fruit 1X | Field TP </t>
  </si>
  <si>
    <t>CUC003</t>
  </si>
  <si>
    <t>CUC004</t>
  </si>
  <si>
    <t>Garlic (Green) - Young Bulb 1X | Field DS Ow</t>
  </si>
  <si>
    <t>GAR535</t>
  </si>
  <si>
    <t>BAS003</t>
  </si>
  <si>
    <t>Lettuce (Salanova) - Loose Leaf 1X | Tunnel TP Sp</t>
  </si>
  <si>
    <t>FEN002</t>
  </si>
  <si>
    <t>Lettuce (4x9) - Mature Head 1X | Field TP Sp</t>
  </si>
  <si>
    <t>LET014</t>
  </si>
  <si>
    <t>LET015</t>
  </si>
  <si>
    <t>LET016</t>
  </si>
  <si>
    <t>LET017</t>
  </si>
  <si>
    <t>CIL004</t>
  </si>
  <si>
    <t>CIL005</t>
  </si>
  <si>
    <t>CIL006</t>
  </si>
  <si>
    <t>CIL007</t>
  </si>
  <si>
    <t>CIL010</t>
  </si>
  <si>
    <t>CIL011</t>
  </si>
  <si>
    <t>CIL012</t>
  </si>
  <si>
    <t>DIL004</t>
  </si>
  <si>
    <t>DIL005</t>
  </si>
  <si>
    <t>DIL006</t>
  </si>
  <si>
    <t>DIL009</t>
  </si>
  <si>
    <t>DIL010</t>
  </si>
  <si>
    <t>Dill - Mature Leaf 4X | Field TP Sp</t>
  </si>
  <si>
    <t>Cilantro - Loose Leaf 3X | Field TP Su</t>
  </si>
  <si>
    <t>Dill - Mature Leaf 4X | Field TP Su</t>
  </si>
  <si>
    <t>Tokyo</t>
  </si>
  <si>
    <t>Turnip (Tokyo) - Mature Root 1X | Field DS SuFa</t>
  </si>
  <si>
    <t>Turnip (Tokyo) - Mature Root 1X | Field DS Sp</t>
  </si>
  <si>
    <t>TUR528</t>
  </si>
  <si>
    <t>TUR529</t>
  </si>
  <si>
    <t>TUR530</t>
  </si>
  <si>
    <t>RAD449</t>
  </si>
  <si>
    <t>RAD451</t>
  </si>
  <si>
    <t>RAD452</t>
  </si>
  <si>
    <t>RAD453</t>
  </si>
  <si>
    <t>RAD454</t>
  </si>
  <si>
    <t>CAR004</t>
  </si>
  <si>
    <t>CAR005</t>
  </si>
  <si>
    <t>CAR006</t>
  </si>
  <si>
    <t>SCA634</t>
  </si>
  <si>
    <t>SCA635</t>
  </si>
  <si>
    <t>SCA637</t>
  </si>
  <si>
    <t>LET018</t>
  </si>
  <si>
    <t>LET019</t>
  </si>
  <si>
    <t>LET020</t>
  </si>
  <si>
    <t>LET021</t>
  </si>
  <si>
    <t>LET022</t>
  </si>
  <si>
    <t>LET023</t>
  </si>
  <si>
    <t>LET024</t>
  </si>
  <si>
    <t>LET025</t>
  </si>
  <si>
    <t>LET026</t>
  </si>
  <si>
    <t>Lettuce (4x9) - Mature Head 1X | Field TP SuFa</t>
  </si>
  <si>
    <t>FEN003</t>
  </si>
  <si>
    <t>Broccoli (Sprouting) - Loose Florets 1X | Field TP SuFa</t>
  </si>
  <si>
    <t>BRO001</t>
  </si>
  <si>
    <t>CAR007</t>
  </si>
  <si>
    <t>Winter Crops</t>
  </si>
  <si>
    <t>PEP005</t>
  </si>
  <si>
    <t>Prospera® Active Thai-Thai F1 Basil</t>
  </si>
  <si>
    <t>Pole Bean Mix</t>
  </si>
  <si>
    <t>Marvel of Venice</t>
  </si>
  <si>
    <t>Fortex</t>
  </si>
  <si>
    <t>Rattlesnake</t>
  </si>
  <si>
    <t>Dragon Langerie</t>
  </si>
  <si>
    <t>Fast Cabbage Mix</t>
  </si>
  <si>
    <t>Primero F1</t>
  </si>
  <si>
    <t>Mini Cabbage Mix</t>
  </si>
  <si>
    <t>Katarina F1</t>
  </si>
  <si>
    <t>Mini Chinese Cabbage Mix</t>
  </si>
  <si>
    <t>Minuet</t>
  </si>
  <si>
    <t>Wa Wa Tsai F1</t>
  </si>
  <si>
    <t>Cabbage (Fast Mid 9") - Large Head 1X | Field TP Sp</t>
  </si>
  <si>
    <t>Fast Early 9"</t>
  </si>
  <si>
    <t>Cabbage (Fast Early 9") - Large Head 1X | Field TP Sp</t>
  </si>
  <si>
    <t>Megaton</t>
  </si>
  <si>
    <t>Cabbage (Chinese) - Small Head 1X | Field TP Fa</t>
  </si>
  <si>
    <t>CAB010</t>
  </si>
  <si>
    <t>Mokum</t>
  </si>
  <si>
    <t>Cosmic Purple</t>
  </si>
  <si>
    <t>Yellowstone</t>
  </si>
  <si>
    <t>Dolciva F1</t>
  </si>
  <si>
    <t>Tessaury F1</t>
  </si>
  <si>
    <t>Green-Stem</t>
  </si>
  <si>
    <t>Cauliflower (Green-Stem) - Mature Head 1X | Field TP Su</t>
  </si>
  <si>
    <t>CAU002</t>
  </si>
  <si>
    <t>Song TJS-65</t>
  </si>
  <si>
    <t>Calypso</t>
  </si>
  <si>
    <t>Katrina</t>
  </si>
  <si>
    <t>Shintokiwa</t>
  </si>
  <si>
    <t>Thalia OG</t>
  </si>
  <si>
    <t>Hot Lettuce Mix</t>
  </si>
  <si>
    <t>Summertime</t>
  </si>
  <si>
    <t>Cool Lettuce Mix</t>
  </si>
  <si>
    <t>Narvik</t>
  </si>
  <si>
    <t>Rot Resistant Onions Mix</t>
  </si>
  <si>
    <t>Sedona F1</t>
  </si>
  <si>
    <t>Red Spring</t>
  </si>
  <si>
    <t>Slicing Cucumber Mix</t>
  </si>
  <si>
    <t>Asian Cucumber Mix</t>
  </si>
  <si>
    <t>Lebanese Cucumber Mix</t>
  </si>
  <si>
    <t>Moss Curled</t>
  </si>
  <si>
    <t>Forest Green</t>
  </si>
  <si>
    <t>Pepper - Shishito</t>
  </si>
  <si>
    <t>Shishito Mix</t>
  </si>
  <si>
    <t>Katana</t>
  </si>
  <si>
    <t>Red Norland</t>
  </si>
  <si>
    <t>Elba</t>
  </si>
  <si>
    <t>German Butterball</t>
  </si>
  <si>
    <t>Pearl</t>
  </si>
  <si>
    <t>Patricia</t>
  </si>
  <si>
    <t>Sunburst</t>
  </si>
  <si>
    <t>Y-Star</t>
  </si>
  <si>
    <t>Yellow Crookneck</t>
  </si>
  <si>
    <t>Sunshine</t>
  </si>
  <si>
    <t>Mambo</t>
  </si>
  <si>
    <t>Neon</t>
  </si>
  <si>
    <t>De Milpa</t>
  </si>
  <si>
    <t>Toma Verde</t>
  </si>
  <si>
    <t>Tomatillo Mix</t>
  </si>
  <si>
    <t>Chocolate Sprinkles</t>
  </si>
  <si>
    <t>Geronimo</t>
  </si>
  <si>
    <t>Benevento</t>
  </si>
  <si>
    <t>Bene</t>
  </si>
  <si>
    <t>Black Cherry OG</t>
  </si>
  <si>
    <t>Sakura OG</t>
  </si>
  <si>
    <t>Minivento</t>
  </si>
  <si>
    <t>Arugala Mix</t>
  </si>
  <si>
    <t>Esmee</t>
  </si>
  <si>
    <t>Sprouting Broccoli Mix</t>
  </si>
  <si>
    <t>Montebello</t>
  </si>
  <si>
    <t>Burgundy</t>
  </si>
  <si>
    <t>Peruvian Ground Cherry</t>
  </si>
  <si>
    <t>Summer Leek Mix</t>
  </si>
  <si>
    <t>Lancia</t>
  </si>
  <si>
    <t>Chinook OG</t>
  </si>
  <si>
    <t>Snap Pea Mix</t>
  </si>
  <si>
    <t>Super Sugar Snap</t>
  </si>
  <si>
    <t>Cascadia OG</t>
  </si>
  <si>
    <t>SS 141</t>
  </si>
  <si>
    <t>Saved Seed</t>
  </si>
  <si>
    <t>Parsnip Mix</t>
  </si>
  <si>
    <t>Panorama F1</t>
  </si>
  <si>
    <t>Halblange</t>
  </si>
  <si>
    <t>https://www.johnnyseeds.com/vegetables/greens/arugula-roquette/esmee-organic-salad-arugula-seed-3746G.html</t>
  </si>
  <si>
    <t>https://www.johnnyseeds.com/herbs/basil/asian-basil/thai-thai-prospera-active-dmr-organic-basil-seed-4968G.html</t>
  </si>
  <si>
    <t>https://www.johnnyseeds.com/vegetables/greens/pac-choi-bok-choy/bopak-organic-f1-green-seed-4206G.html</t>
  </si>
  <si>
    <t>https://www.johnnyseeds.com/vegetables/broccoli/mini-broccoli/burgundy-f1-broccoli-seed-3460.html</t>
  </si>
  <si>
    <t>https://www.johnnyseeds.com/vegetables/chinese-cabbage/merlot-f1-chinese-cabbage-seed-4171.html</t>
  </si>
  <si>
    <t>https://www.johnnyseeds.com/vegetables/chinese-cabbage/minuet-f1-chinese-cabbage-seed-2901.html</t>
  </si>
  <si>
    <t>https://www.johnnyseeds.com/vegetables/carrots/colored-carrots/yellowstone-organic-carrot-seed-3333G.html</t>
  </si>
  <si>
    <t>https://www.johnnyseeds.com/vegetables/carrots/early-carrots/mokum-f1-carrot-seed-2186.html</t>
  </si>
  <si>
    <t>https://www.johnnyseeds.com/vegetables/cauliflower/standard-cauliflower/tessaury-organic-f1-cauliflower-seed-6042G.html</t>
  </si>
  <si>
    <t>https://www.johnnyseeds.com/herbs/cilantro-coriander/calypso-cilantro-coriander-seed-3803.html</t>
  </si>
  <si>
    <t>Corinto</t>
  </si>
  <si>
    <t>https://www.johnnyseeds.com/vegetables/cucumbers/slicing-cucumbers/corinto-organic-f1-cucumber-seed-2562G.html</t>
  </si>
  <si>
    <t>https://www.johnnyseeds.com/herbs/dill/thalia-organic-dill-seed-4010G.html</t>
  </si>
  <si>
    <t>https://www.johnnyseeds.com/vegetables/onions/full-size-onions/red-spring-f1-onion-seed-4815.html</t>
  </si>
  <si>
    <t>https://www.johnnyseeds.com/vegetables/peas/snap-peas/super-sugar-snap-pea-seed-2855.html</t>
  </si>
  <si>
    <t>https://www.johnnyseeds.com/vegetables/radishes/round-radishes/pearl-organic-f1-radish-seed-3456G.html</t>
  </si>
  <si>
    <t>https://www.johnnyseeds.com/vegetables/squash/winter-squash/sunshine-organic-f1-kabocha-squash-seed-2998G.html</t>
  </si>
  <si>
    <t>https://www.johnnyseeds.com/vegetables/squash/winter-squash/mambo-organic-f1-kabocha-squash-seed-4304G.html</t>
  </si>
  <si>
    <t>https://www.johnnyseeds.com/vegetables/squash/summer-squash/y-star-organic-f1-patty-pan-squash-seed-3855G.html</t>
  </si>
  <si>
    <t>https://www.johnnyseeds.com/vegetables/tomatillos/de-milpa-organic-tomatillo-seed-2075.html</t>
  </si>
  <si>
    <t>https://www.johnnyseeds.com/vegetables/tomatoes/beefsteak-tomatoes/geronimo-f1-tomato-seed-2794.html</t>
  </si>
  <si>
    <t>https://www.johnnyseeds.com/vegetables/tomatoes/cherry-tomatoes/sakura-organic-f1-tomato-seed-3853G.html</t>
  </si>
  <si>
    <t>https://www.johnnyseeds.com/vegetables/tomatoes/cherry-tomatoes/black-cherry-organic-tomato-seed-88G.html</t>
  </si>
  <si>
    <t>https://www.johnnyseeds.com/vegetables/potatoes/purple-viking-organic-seed-potatoes-3424G.html</t>
  </si>
  <si>
    <t>https://www.johnnyseeds.com/vegetables/potatoes/dark-red-norland-organic-seed-potatoes-552G.html</t>
  </si>
  <si>
    <t>https://www.highmowingseeds.com/organic-non-gmo-german-butterball-potato.html</t>
  </si>
  <si>
    <t>https://www.highmowingseeds.com/organic-non-gmo-dragon-langerie-bush-bean.html</t>
  </si>
  <si>
    <t>https://www.highmowingseeds.com/organic-non-gmo-rattlesnake-bean.html</t>
  </si>
  <si>
    <t>https://www.osborneseed.com/products/bolero-f1-untreated-seed-raw-carrot-seeds</t>
  </si>
  <si>
    <t>https://www.highmowingseeds.com/organic-non-gmo-cosmic-purple-carrot.html</t>
  </si>
  <si>
    <t>https://www.highmowingseeds.com/organic-non-gmo-dolciva-carrot.html</t>
  </si>
  <si>
    <t>https://www.highmowingseeds.com/organic-non-gmo-narvik-f1-carrot.html</t>
  </si>
  <si>
    <t>https://www.highmowingseeds.com/organic-non-gmo-shintokiwa-cucumber.html</t>
  </si>
  <si>
    <t>Bouquet OG</t>
  </si>
  <si>
    <t>https://www.highmowingseeds.com/organic-non-gmo-true-love-f1-melon.html</t>
  </si>
  <si>
    <t>https://www.highmowingseeds.com/organic-non-gmo-sedona-f1-onion.html</t>
  </si>
  <si>
    <t>https://www.highmowingseeds.com/organic-non-gmo-patricia-radish.html</t>
  </si>
  <si>
    <t>https://www.highmowingseeds.com/organic-non-gmo-toma-verde-tomatillo.html</t>
  </si>
  <si>
    <t>https://www.osborneseed.com/products/wa-wa-tsai-f1-untreated-napa-cabbage-seeds?_pos=1&amp;_psq=wa+wa&amp;_ss=e&amp;_v=1.0</t>
  </si>
  <si>
    <t>Piccolima F1</t>
  </si>
  <si>
    <t>https://www.osborneseed.com/products/piccolima-untreated-cabbage-seeds</t>
  </si>
  <si>
    <t>https://www.osborneseed.com/products/katrina-f1-organic-cucumber-seeds?_pos=1&amp;_psq=katrina&amp;_ss=e&amp;_v=1.0</t>
  </si>
  <si>
    <t>https://www.osborneseed.com/products/katarina-f1-untreated-cabbage-seeds?_pos=1&amp;_psq=katarina&amp;_ss=e&amp;_v=1.0</t>
  </si>
  <si>
    <t>https://www.osborneseed.com/products/katrina-f1-organic-cucumber-seeds?_pos=1&amp;_sid=cf2f1279b&amp;_ss=r</t>
  </si>
  <si>
    <t>https://www.osborneseed.com/products/lancia-organic-leek-seeds?_pos=1&amp;_psq=lancia&amp;_ss=e&amp;_v=1.0</t>
  </si>
  <si>
    <t>https://www.osborneseed.com/products/divergent-f1-organic-melon-seeds?_pos=1&amp;_psq=divergent&amp;_ss=e&amp;_v=1.0</t>
  </si>
  <si>
    <t>https://www.osborneseed.com/products/pea-snap-ss-141-untreated?_pos=1&amp;_psq=ss+141&amp;_ss=e&amp;_v=1.0</t>
  </si>
  <si>
    <t>https://www.osborneseed.com/products/hungarian-hot-wax-organic-pepper-seeds?_pos=1&amp;_psq=hunga&amp;_ss=e&amp;_v=1.0</t>
  </si>
  <si>
    <t>https://www.osborneseed.com/products/chocolate-sprinkles-f1-organic-tomato-seeds?_pos=1&amp;_psq=chocolate&amp;_ss=e&amp;_v=1.0</t>
  </si>
  <si>
    <t>By Count</t>
  </si>
  <si>
    <t>https://www.osborneseed.com/products/dill-bouquet-organic-herb-seeds?_pos=2&amp;_psq=bouquet+dill&amp;_ss=e&amp;_v=1.0</t>
  </si>
  <si>
    <t>https://uprisingorganics.com/collections/vegetables/products/bean-pole-snap-marvel-of-venice?_pos=1&amp;_sid=db038fdc9&amp;_ss=r</t>
  </si>
  <si>
    <t>https://www.osborneseed.com/products/montebello-f1-untreated-broccoli-seeds?_pos=1&amp;_sid=c13cb6bec&amp;_ss=r</t>
  </si>
  <si>
    <t>By count</t>
  </si>
  <si>
    <t>https://uprisingorganics.com/collections/vegetables/products/bean-pole-snap-fortex?_pos=1&amp;_sid=434a3c7d0&amp;_ss=r</t>
  </si>
  <si>
    <t>https://territorialseed.com/products/leek-chinook</t>
  </si>
  <si>
    <t>https://uprisingorganics.com/collections/vegetables/products/lettuce-summertime?_pos=1&amp;_sid=cb387c0e7&amp;_ss=r</t>
  </si>
  <si>
    <t>https://www.adaptiveseeds.com/product/herbs/parsley-forest-green-organic/</t>
  </si>
  <si>
    <t>https://www.wildgardenseed.com/product_info.php?products_id=131</t>
  </si>
  <si>
    <t>https://www.highmowingseeds.com/organic-non-gmo-halblange-parsnip.html</t>
  </si>
  <si>
    <t>https://www.highmowingseeds.com/organic-non-gmo-panorama-f1-parsnip.html</t>
  </si>
  <si>
    <t>https://territorialseed.com/products/pea-cascadia</t>
  </si>
  <si>
    <t>https://territorialseed.com/products/pumpkin-neon</t>
  </si>
  <si>
    <t>https://territorialseed.com/products/squash-summer-sunburst</t>
  </si>
  <si>
    <t>https://www.siskiyouseeds.com/collections/squash-croockneck/products/summer-squash-yellow-crookneck</t>
  </si>
  <si>
    <t>https://uprisingorganics.com/collections/vegetables/products/tomatillo-queen-of-malinalco?_pos=2&amp;_sid=15ce03514&amp;_ss=r</t>
  </si>
  <si>
    <t>https://www.adaptiveseeds.com/product/vegetables/tomatoes/tomato-tiffen-mennonite-organic/</t>
  </si>
  <si>
    <t>https://beneseeds.com/products/benevento-f1</t>
  </si>
  <si>
    <t>https://beneseeds.com/products/minivento?_pos=1&amp;_psq=minivento&amp;_ss=e&amp;_v=1.0</t>
  </si>
  <si>
    <t>Sunset Chard</t>
  </si>
  <si>
    <t>Rhubard Supreme</t>
  </si>
  <si>
    <t>Ruby Red</t>
  </si>
  <si>
    <t>https://www.highmowingseeds.com/organic-non-gmo-sunset-chard.html</t>
  </si>
  <si>
    <t>https://www.highmowingseeds.com/organic-non-gmo-rhubarb-supreme-chard.html</t>
  </si>
  <si>
    <t>https://www.highmowingseeds.com/organic-non-gmo-ruby-rhubarb-red-chard.html</t>
  </si>
  <si>
    <t>Helios F1</t>
  </si>
  <si>
    <t>https://www.johnnyseeds.com/vegetables/peppers/hot-peppers/helios-f1-habanero-pepper-seed-3219.html</t>
  </si>
  <si>
    <t>OG Search</t>
  </si>
  <si>
    <t>August Harvest</t>
  </si>
  <si>
    <t>x</t>
  </si>
  <si>
    <t>Tiffen Mennonite</t>
  </si>
  <si>
    <t>12r</t>
  </si>
  <si>
    <t>4r</t>
  </si>
  <si>
    <t>Parsnip (4r) - Mature Root 1X | Field DS Fa</t>
  </si>
  <si>
    <t>Skip</t>
  </si>
  <si>
    <t>Harvest Days January 2025</t>
  </si>
  <si>
    <t>Harvest Days February 2025</t>
  </si>
  <si>
    <t>Harvest Days March 2025</t>
  </si>
  <si>
    <t>Harvest Days April 2025</t>
  </si>
  <si>
    <t>Harvest Days May 2025</t>
  </si>
  <si>
    <t>Harvest Days June 2025</t>
  </si>
  <si>
    <t>Harvest Days July 2025</t>
  </si>
  <si>
    <t>Harvest Days August 2025</t>
  </si>
  <si>
    <t>Harvest Days September 2025</t>
  </si>
  <si>
    <t>Harvest Days October 2025</t>
  </si>
  <si>
    <t>Harvest Days November 2025</t>
  </si>
  <si>
    <t>Harvest Days December 2025</t>
  </si>
  <si>
    <t>Harvest Days January 2026</t>
  </si>
  <si>
    <t>Harvest Days February 2026</t>
  </si>
  <si>
    <t>Harvest Days March 2026</t>
  </si>
  <si>
    <t>Harvest Days April 2026</t>
  </si>
  <si>
    <t>Harvest Days May 2026</t>
  </si>
  <si>
    <t>Harvest Days June 2026</t>
  </si>
  <si>
    <t>Harvest Days July 2026</t>
  </si>
  <si>
    <t>Harvest Days August 2026</t>
  </si>
  <si>
    <t>Harvest Days September 2026</t>
  </si>
  <si>
    <t>Harvest Days October 2026</t>
  </si>
  <si>
    <t>Harvest Days November 2026</t>
  </si>
  <si>
    <t>Harvest Days December 2026</t>
  </si>
  <si>
    <t>Revenue January 2025</t>
  </si>
  <si>
    <t>Revenue February 2025</t>
  </si>
  <si>
    <t>Revenue March 2025</t>
  </si>
  <si>
    <t>Revenue April 2025</t>
  </si>
  <si>
    <t>Revenue May 2025</t>
  </si>
  <si>
    <t>Revenue June 2025</t>
  </si>
  <si>
    <t>Revenue July 2025</t>
  </si>
  <si>
    <t>Revenue August 2025</t>
  </si>
  <si>
    <t>Revenue September 2025</t>
  </si>
  <si>
    <t>Revenue October 2025</t>
  </si>
  <si>
    <t>Revenue November 2025</t>
  </si>
  <si>
    <t>Revenue December 2025</t>
  </si>
  <si>
    <t>Revenue January 2026</t>
  </si>
  <si>
    <t>Revenue February 2026</t>
  </si>
  <si>
    <t>Revenue March 2026</t>
  </si>
  <si>
    <t>Revenue April 2026</t>
  </si>
  <si>
    <t>Revenue May 2026</t>
  </si>
  <si>
    <t>Revenue June 2026</t>
  </si>
  <si>
    <t>Revenue July 2026</t>
  </si>
  <si>
    <t>Revenue August 2026</t>
  </si>
  <si>
    <t>Revenue September 2026</t>
  </si>
  <si>
    <t>Revenue October 2026</t>
  </si>
  <si>
    <t>Revenue November 2026</t>
  </si>
  <si>
    <t>Revenue December 2026</t>
  </si>
  <si>
    <t>Revenue Check</t>
  </si>
  <si>
    <t>Wholesale List</t>
  </si>
  <si>
    <t>Rough Wholesale Price</t>
  </si>
  <si>
    <t>True Wholesale Price</t>
  </si>
  <si>
    <t>Direct Revenue Per Bed2</t>
  </si>
  <si>
    <t>Farao</t>
  </si>
  <si>
    <t>TOM006</t>
  </si>
  <si>
    <t>TOM007</t>
  </si>
  <si>
    <t>TOM008</t>
  </si>
  <si>
    <t>42-Day</t>
  </si>
  <si>
    <t>A H Whaley</t>
  </si>
  <si>
    <t>Early Cherry</t>
  </si>
  <si>
    <t>Cherry Falls</t>
  </si>
  <si>
    <t>Red Racer</t>
  </si>
  <si>
    <t>Harris</t>
  </si>
  <si>
    <t>Washington Cherry</t>
  </si>
  <si>
    <t>Spring King</t>
  </si>
  <si>
    <t>Seedway</t>
  </si>
  <si>
    <t>Red Deuce</t>
  </si>
  <si>
    <t>Black Sea Man</t>
  </si>
  <si>
    <t>Orange You Glad</t>
  </si>
  <si>
    <t>Dynamite Delight</t>
  </si>
  <si>
    <t>Wild Board Farm</t>
  </si>
  <si>
    <t>Dwarf Purple Heart</t>
  </si>
  <si>
    <t>Banana Legs</t>
  </si>
  <si>
    <t>Cream Sausage</t>
  </si>
  <si>
    <t>Emerald Flame</t>
  </si>
  <si>
    <t>Limelight</t>
  </si>
  <si>
    <t>Sean's Yellow Dwarf</t>
  </si>
  <si>
    <t>Golden Hour</t>
  </si>
  <si>
    <t>TOM009</t>
  </si>
  <si>
    <t>Margold</t>
  </si>
  <si>
    <t>Marbonne</t>
  </si>
  <si>
    <t>German Johnson</t>
  </si>
  <si>
    <t>Janet's Jacinth Jewel</t>
  </si>
  <si>
    <t>Large Barred Boar</t>
  </si>
  <si>
    <t>Beauty King</t>
  </si>
  <si>
    <t>Woodstock</t>
  </si>
  <si>
    <t>Pink Jazz</t>
  </si>
  <si>
    <t>Gin Fizz</t>
  </si>
  <si>
    <t>A P Whaley</t>
  </si>
  <si>
    <t>Determinate Medium Mix</t>
  </si>
  <si>
    <t>Determinate Cherry Mix</t>
  </si>
  <si>
    <t>Determinate Beefsteak Mix</t>
  </si>
  <si>
    <t>Specialty Heirloom Mix</t>
  </si>
  <si>
    <t>Beefsteak Det</t>
  </si>
  <si>
    <t>Cherry Det</t>
  </si>
  <si>
    <t>Medium Det</t>
  </si>
  <si>
    <t>Tomato (Beefsteak Det) - Ripe Fruit Large 1X | Field TP Su</t>
  </si>
  <si>
    <t>Tomato (Cherry Det) - Ripe Fruit Small 1X | Field TP Su</t>
  </si>
  <si>
    <t>Tomato (Medium Det) - Ripe Fruit Medium 1X | Field TP Su</t>
  </si>
  <si>
    <t>Large Tunnel</t>
  </si>
  <si>
    <t>Tomato (Beefsteak) - Ripe Fruit Large 1X | Large Tunnel TP Su</t>
  </si>
  <si>
    <t>5/31/2025 - 6/6/2025</t>
  </si>
  <si>
    <t>6/7/2025 - 6/13/2025</t>
  </si>
  <si>
    <t>6/14/2025 - 6/20/2025</t>
  </si>
  <si>
    <t>6/21/2025 - 6/27/2025</t>
  </si>
  <si>
    <t>6/28/2025 - 7/4/2025</t>
  </si>
  <si>
    <t>7/12/2025 - 7/17/2025</t>
  </si>
  <si>
    <t>Watermelon Small</t>
  </si>
  <si>
    <t>SQU004</t>
  </si>
  <si>
    <t>TOM010</t>
  </si>
  <si>
    <t>Watermelon Mix</t>
  </si>
  <si>
    <t>Sunflower Mix</t>
  </si>
  <si>
    <t>Watermelon</t>
  </si>
  <si>
    <t>Mini Love</t>
  </si>
  <si>
    <t>Blacktail Mountain</t>
  </si>
  <si>
    <t>https://www.johnnyseeds.com/vegetables/tomatoes/specialty-tomatoes/woodstock-organic-f1-tomato-seed-4503G.html</t>
  </si>
  <si>
    <t>https://www.johnnyseeds.com/vegetables/tomatoes/cherry-tomatoes/washington-cherry-organic-tomato-seed-764.html</t>
  </si>
  <si>
    <t>https://www.johnnyseeds.com/vegetables/tomatoes/beefsteak-tomatoes/marnero-f1-tomato-seed-3176.html</t>
  </si>
  <si>
    <t>Marnero</t>
  </si>
  <si>
    <t>https://www.johnnyseeds.com/vegetables/tomatoes/beefsteak-tomatoes/margold-f1-tomato-seed-3177.html</t>
  </si>
  <si>
    <t>https://www.johnnyseeds.com/vegetables/tomatoes/specialty-tomatoes/marbonne-f1-tomato-seed-3225.html</t>
  </si>
  <si>
    <t>https://www.johnnyseeds.com/vegetables/tomatoes/heirloom-tomatoes/german-johnson-organic-tomato-seed-3815G.html</t>
  </si>
  <si>
    <t>https://www.johnnyseeds.com/vegetables/tomatoes/specialty-tomatoes/ginfiz-organic-f1-tomato-seed-4605G.html</t>
  </si>
  <si>
    <t>https://www.osborneseed.com/products/solar-flare-organic-tomato-seeds?_pos=1&amp;_sid=bc34ff08c&amp;_ss=r</t>
  </si>
  <si>
    <t>https://territorialseed.com/products/tomato-early-cherry</t>
  </si>
  <si>
    <t>https://www.tomatofest.com/Black_Sea_Man_Heirloom_Tomato_Seeds_p/tf-0065a.htm</t>
  </si>
  <si>
    <t>https://www.tomatofest.com/Dwarf_Purple_Heart_Organic_Tomato_Seeds_p/tf-0153d10.htm</t>
  </si>
  <si>
    <t>https://www.tomatofest.com/Banana_Legs_p/tf-0039.htm</t>
  </si>
  <si>
    <t>https://www.tomatofest.com/Cream_Sausage_Tomato_Seeds_p/tf-0128.htm</t>
  </si>
  <si>
    <t>https://www.tomatofest.com/Sean_s_Yellow_Dwarf_Organic_Tomato_Seeds_p/tf-0447m.htm</t>
  </si>
  <si>
    <t>https://www.highmowingseeds.com/organic-non-gmo-blacktail-mtn-watermelon.html</t>
  </si>
  <si>
    <t>https://www.adaptiveseeds.com/product/vegetables/tomatoes/tomato-spring-king-organic/</t>
  </si>
  <si>
    <t>https://www.seedway.com/product/red-deuce-tomato-not-treated/</t>
  </si>
  <si>
    <t>https://www.harrisseeds.com/products/12494-tomato-red-racer-f1?variant=39982906638408</t>
  </si>
  <si>
    <t>https://www.wildboarfarms.com/product/dynamite-delight/</t>
  </si>
  <si>
    <t>https://www.wildboarfarms.com/product/emerald-flame/</t>
  </si>
  <si>
    <t>https://www.wildboarfarms.com/product/limelight/</t>
  </si>
  <si>
    <t>https://www.wildboarfarms.com/product/golden-hour/</t>
  </si>
  <si>
    <t>https://awhaley.com/product/42-day/</t>
  </si>
  <si>
    <t>Beefy Purple</t>
  </si>
  <si>
    <t>https://awhaley.com/product/cream-of-the-crop-beefy-purple/</t>
  </si>
  <si>
    <t>https://awhaley.com/product/cherry-falls/</t>
  </si>
  <si>
    <t>https://awhaley.com/product/janets-jacinthe-jewel/</t>
  </si>
  <si>
    <t>https://awhaley.com/product/large-barred-boar/</t>
  </si>
  <si>
    <t>https://awhaley.com/product/beauty-king/</t>
  </si>
  <si>
    <t>https://awhaley.com/product/artisan-pink-jazz/</t>
  </si>
  <si>
    <t>https://www.johnnyseeds.com/vegetables/watermelons/diploid-watermelons/mini-love-f1-watermelon-seed-3457.html</t>
  </si>
  <si>
    <t>https://www.adaptiveseeds.com/product/vegetables/tomatoes/tomato-orange-glad-organic/</t>
  </si>
  <si>
    <t>Bought from Osborne</t>
  </si>
  <si>
    <t>Leek - Mature Stalk 5X | Field TP Su</t>
  </si>
  <si>
    <t>Bean (Pole) - Young Pod 3X | Field TP SuFa</t>
  </si>
  <si>
    <t xml:space="preserve">Gooseberry (Cape) - Mature Berry 1X | Field TP </t>
  </si>
  <si>
    <t>RAD455</t>
  </si>
  <si>
    <t>Young Leaf</t>
  </si>
  <si>
    <t xml:space="preserve">Asian Greens - Young Leaf 1X | Field DS </t>
  </si>
  <si>
    <t>ASI001</t>
  </si>
  <si>
    <t xml:space="preserve">Asian Greens - Mature Head 1X | Field TP </t>
  </si>
  <si>
    <t>Pac Choi</t>
  </si>
  <si>
    <t>ARU002</t>
  </si>
  <si>
    <t>Yield</t>
  </si>
  <si>
    <t>Yield January 2025</t>
  </si>
  <si>
    <t>Yield February 2025</t>
  </si>
  <si>
    <t>Yield March 2025</t>
  </si>
  <si>
    <t>Yield April 2025</t>
  </si>
  <si>
    <t>Yield May 2025</t>
  </si>
  <si>
    <t>Yield June 2025</t>
  </si>
  <si>
    <t>Yield July 2025</t>
  </si>
  <si>
    <t>Yield August 2025</t>
  </si>
  <si>
    <t>Yield September 2025</t>
  </si>
  <si>
    <t>Yield October 2025</t>
  </si>
  <si>
    <t>Yield November 2025</t>
  </si>
  <si>
    <t>Yield December 2025</t>
  </si>
  <si>
    <t>Compound Product</t>
  </si>
  <si>
    <t xml:space="preserve">Basil (Tulsi) - Mature Leaf 1X | Field TP </t>
  </si>
  <si>
    <t>Fennel - Mini Bulb 1X | Field TP Fa</t>
  </si>
  <si>
    <t>Price</t>
  </si>
  <si>
    <t>Our Price</t>
  </si>
  <si>
    <t>Arugula Baby Leaf - Lb</t>
  </si>
  <si>
    <t>Asian Greens Mature Head - Head</t>
  </si>
  <si>
    <t>Asian Greens Young Leaf - Lb</t>
  </si>
  <si>
    <t>Basil Mature Leaf - Bunch</t>
  </si>
  <si>
    <t>Basil Mature Leaf - Lb</t>
  </si>
  <si>
    <t>Bean Young Pod - Lb</t>
  </si>
  <si>
    <t>Beet Mature Root - Bunch</t>
  </si>
  <si>
    <t>Broccoli Loose Florets - Bunch</t>
  </si>
  <si>
    <t>Cabbage Large Head - Head</t>
  </si>
  <si>
    <t>Cabbage Small Head - Head</t>
  </si>
  <si>
    <t>Carrot Mature Root - Bunch</t>
  </si>
  <si>
    <t>Carrot Storage Root - Lb</t>
  </si>
  <si>
    <t>Cauliflower Mature Head - Head</t>
  </si>
  <si>
    <t>Celery Loose Rib - Bunch</t>
  </si>
  <si>
    <t>Choi Sum Mature Head - Bunch</t>
  </si>
  <si>
    <t>Chrysanthemum Greens Mature Leaf - Bunch</t>
  </si>
  <si>
    <t>Cilantro Loose Leaf - Bunch</t>
  </si>
  <si>
    <t>Corn  Mature Cob - Cobs</t>
  </si>
  <si>
    <t>Cucumber Large Fruit - Fruit</t>
  </si>
  <si>
    <t>Cucumber Ripe Fruit - Lb</t>
  </si>
  <si>
    <t>Cucumber Small Fruit - Fruit</t>
  </si>
  <si>
    <t>Dill Mature Leaf - Bunch</t>
  </si>
  <si>
    <t>Fava Bean Mature Pod - Lb</t>
  </si>
  <si>
    <t>Fennel Mini Bulb - Bulb</t>
  </si>
  <si>
    <t>Garlic Storage Bulb - Lb</t>
  </si>
  <si>
    <t>Garlic Young Bulb - Bunch</t>
  </si>
  <si>
    <t>Gooseberry Mature Berry - Pint</t>
  </si>
  <si>
    <t>Kale Mature Leaf - Bunch</t>
  </si>
  <si>
    <t>Kohlrabi Storage Bulb - Bulb</t>
  </si>
  <si>
    <t>Leek Mature Stalk - Bunch</t>
  </si>
  <si>
    <t>Lemongrass Mature Stalks - Bunch</t>
  </si>
  <si>
    <t>Lettuce Loose Leaf - Lb</t>
  </si>
  <si>
    <t>Lettuce Mature Head - Head</t>
  </si>
  <si>
    <t>Lovage Mature Leaf - Bunch</t>
  </si>
  <si>
    <t>Magenta Spreen Young Stem - Bunch</t>
  </si>
  <si>
    <t>Melon Ripe Fruit - Lb</t>
  </si>
  <si>
    <t>Onion Mature Bulb - Lb</t>
  </si>
  <si>
    <t>Onion Young Bulb - Bunch</t>
  </si>
  <si>
    <t>Parsley Mature Leaf - Bunch</t>
  </si>
  <si>
    <t>Parsnip Mature Root - Bunch</t>
  </si>
  <si>
    <t>Peas Young Pod - Lb</t>
  </si>
  <si>
    <t>Pepper Ripe Fruit Large - Lb</t>
  </si>
  <si>
    <t>Pepper Ripe Fruit Small - Lb</t>
  </si>
  <si>
    <t>Potato Mature Root - Lb</t>
  </si>
  <si>
    <t>Potato Storage Root - Lb</t>
  </si>
  <si>
    <t>Radicchio Forced Head - Head</t>
  </si>
  <si>
    <t>Radish Mature Root - Bunch</t>
  </si>
  <si>
    <t>Radish Storage Root - Lb</t>
  </si>
  <si>
    <t>Scallion Mature Stalk - Bunch</t>
  </si>
  <si>
    <t>Sorrel Mature Leaf - Bunch</t>
  </si>
  <si>
    <t>Squash Storage - Lb</t>
  </si>
  <si>
    <t>Summer Squash Ripe Fruit - Lb</t>
  </si>
  <si>
    <t>Sunflower Mature Stem - Stem</t>
  </si>
  <si>
    <t>Swiss Chard Mature Leaf - Bunch</t>
  </si>
  <si>
    <t>Tomatillo Ripe Fruit - Lb</t>
  </si>
  <si>
    <t>Tomato Ripe Fruit Large - Lb</t>
  </si>
  <si>
    <t>Tomato Ripe Fruit Medium - Lb</t>
  </si>
  <si>
    <t>Tomato Ripe Fruit Small - Lb</t>
  </si>
  <si>
    <t>Turnip Mature Root - Bunch</t>
  </si>
  <si>
    <t>LET030</t>
  </si>
  <si>
    <t>Scallion - Mature Stalk 6X | Field TP Sp</t>
  </si>
  <si>
    <t>BEA002</t>
  </si>
  <si>
    <t>ARU003</t>
  </si>
  <si>
    <t>ARU004</t>
  </si>
  <si>
    <t>TOM011</t>
  </si>
  <si>
    <t>TOM012</t>
  </si>
  <si>
    <t>In Ground Days Late</t>
  </si>
  <si>
    <t>true</t>
  </si>
  <si>
    <t>false</t>
  </si>
  <si>
    <t>Spring Asian Greens Mix</t>
  </si>
  <si>
    <t>Broadfork Date</t>
  </si>
  <si>
    <t>Tilther</t>
  </si>
  <si>
    <t>Tilther Date</t>
  </si>
  <si>
    <t>Row Cover Date</t>
  </si>
  <si>
    <t>Broadfork</t>
  </si>
  <si>
    <t>Observation 1</t>
  </si>
  <si>
    <t>Oberservation 2</t>
  </si>
  <si>
    <t>Observation 3</t>
  </si>
  <si>
    <t>Observation 1 Date</t>
  </si>
  <si>
    <t>Observation 2 Date</t>
  </si>
  <si>
    <t>Observation 3 Date</t>
  </si>
  <si>
    <t>Amend</t>
  </si>
  <si>
    <t>Amend Date</t>
  </si>
  <si>
    <t>Lenz Compost: 5 Wheelbarrow</t>
  </si>
  <si>
    <t>Astro bolted much faster than Esmee.</t>
  </si>
  <si>
    <t>Stutzman's 8-2-4: 3 scoops</t>
  </si>
  <si>
    <t>Has less weeds because it has fresher compost</t>
  </si>
  <si>
    <t>Poor germination</t>
  </si>
  <si>
    <t>Lenz Compost: 5 Wheelbarrow, Stutzman's 8-2-4: 3 scoops</t>
  </si>
  <si>
    <t>This is the best looking crop of potatoes</t>
  </si>
  <si>
    <t>The cut potatoes look much smaller than the whole potatoes even though the cut pieces were larger.</t>
  </si>
  <si>
    <t>Strong aphic infestation. Crop is a a near loss</t>
  </si>
  <si>
    <t>Crop withstood the nearby aphic infestation.</t>
  </si>
  <si>
    <t>Great crop. Have continued to perform well.</t>
  </si>
  <si>
    <t>Quite a few weeds, could have used compost</t>
  </si>
  <si>
    <t>Our most successful crop. Didn't root deeply</t>
  </si>
  <si>
    <t>Incredibly weedy beds. Lots of plaintain.</t>
  </si>
  <si>
    <t xml:space="preserve">Incredibly poor growth. About 30% missing. </t>
  </si>
  <si>
    <t>Plants do not seem to like the lower bed</t>
  </si>
  <si>
    <t>Somewhat weedy</t>
  </si>
  <si>
    <t>Failed crop. Only about 10% of the upper bed sized. Rest never sized and were outgrown by weeds. Explore cover crop to imporve soil.</t>
  </si>
  <si>
    <t>Failed crop. Only about 20% of the upper bed sized. Rest never sized and were outgrown by weeds. Explore cover crop to imporve soil.</t>
  </si>
  <si>
    <t>Bed was really tight. Gave some light tillage with the tilther.</t>
  </si>
  <si>
    <t>Komatsuna Bolted</t>
  </si>
  <si>
    <t>Bok Choy bolted</t>
  </si>
  <si>
    <t>Strong regrowth on Komatsuna</t>
  </si>
  <si>
    <t>Stutzman's 8-2-4: 5 scoops</t>
  </si>
  <si>
    <t>Sup'r Green: 3 scoops</t>
  </si>
  <si>
    <t>Sup'r Green: 6 scoops</t>
  </si>
  <si>
    <t>Applied landscape fabric to kill weeds before planting</t>
  </si>
  <si>
    <t>Installed row cover around to prevent rabbit damage</t>
  </si>
  <si>
    <t>Seeing lots of deer feeding</t>
  </si>
  <si>
    <t>Area</t>
  </si>
  <si>
    <t>Tilth</t>
  </si>
  <si>
    <t>Observation 2</t>
  </si>
  <si>
    <t>Concatenated</t>
  </si>
  <si>
    <t>Filtered</t>
  </si>
  <si>
    <t>Amendments</t>
  </si>
  <si>
    <t>Amendment</t>
  </si>
  <si>
    <t>Lenz Compost: 5 Wheelbarrow per 50' of bed</t>
  </si>
  <si>
    <t>Lenz Compost: 5 Wheelbarrow per 50' of bed, Stutzman's 8-2-4: 3 Scoops per 50' of bed</t>
  </si>
  <si>
    <t>Stutzman's 8-2-4: 3 Scoops per 50' of bed</t>
  </si>
  <si>
    <t>Stutzman's 8-2-4: 5 Scoops per 50' of bed</t>
  </si>
  <si>
    <t>Sup'r Green: 3 Scoops per 50' of bed</t>
  </si>
  <si>
    <t>Sup'r Green: 6 Scoops per 50' of bed</t>
  </si>
  <si>
    <t>Adjacent Beds</t>
  </si>
  <si>
    <t>Reed Canary Island (RCI)</t>
  </si>
  <si>
    <t>U</t>
  </si>
  <si>
    <t>Stutzman's 8-2-4: 4 scoops, Stutzman's Sup'r Green: 1 scoop</t>
  </si>
  <si>
    <t>Scallion - Mature Stalk 6X | Field DS Fa</t>
  </si>
  <si>
    <t>Carrot (Early) - Mature Root 1X | Field DS Su</t>
  </si>
  <si>
    <t>Rutabaga - Mature Root 2X | Field TP Fa</t>
  </si>
  <si>
    <t>BEE003</t>
  </si>
  <si>
    <t>ASI002</t>
  </si>
  <si>
    <t>BRO002</t>
  </si>
  <si>
    <t>CAR008</t>
  </si>
  <si>
    <t>CHO002</t>
  </si>
  <si>
    <t>RAD456</t>
  </si>
  <si>
    <t>RAD457</t>
  </si>
  <si>
    <t>RUT001</t>
  </si>
  <si>
    <t>SCA636</t>
  </si>
  <si>
    <t>SCA638</t>
  </si>
  <si>
    <t>TUR531</t>
  </si>
  <si>
    <t>TUR532</t>
  </si>
  <si>
    <t xml:space="preserve">Dahlia - Cut Flower 1X | Field DS </t>
  </si>
  <si>
    <t>DAH001</t>
  </si>
  <si>
    <t>Sudangrass</t>
  </si>
  <si>
    <t>Cover Crop</t>
  </si>
  <si>
    <t>Sundagrass</t>
  </si>
  <si>
    <t>Continue all winter I think</t>
  </si>
  <si>
    <t>Wet, Turnips maybe just to have something growing.</t>
  </si>
  <si>
    <t>Turnips Maybe</t>
  </si>
  <si>
    <t>SPI001</t>
  </si>
  <si>
    <t>Turnips?</t>
  </si>
  <si>
    <t>Bok Choy - Mature Head 1X | Field TP SpFaWiOw</t>
  </si>
  <si>
    <t>BOK002</t>
  </si>
  <si>
    <t>Column1</t>
  </si>
  <si>
    <t>3r</t>
  </si>
  <si>
    <t>ARU005</t>
  </si>
  <si>
    <t>ARU</t>
  </si>
  <si>
    <t>ASI</t>
  </si>
  <si>
    <t xml:space="preserve"> Asian Greens </t>
  </si>
  <si>
    <t>BAS</t>
  </si>
  <si>
    <t xml:space="preserve"> Basil </t>
  </si>
  <si>
    <t>BEA</t>
  </si>
  <si>
    <t xml:space="preserve"> Bean </t>
  </si>
  <si>
    <t>BEE</t>
  </si>
  <si>
    <t xml:space="preserve"> Beet </t>
  </si>
  <si>
    <t>BOK</t>
  </si>
  <si>
    <t xml:space="preserve"> Bok Choy </t>
  </si>
  <si>
    <t>BRO</t>
  </si>
  <si>
    <t xml:space="preserve"> Broccoli </t>
  </si>
  <si>
    <t>CAB</t>
  </si>
  <si>
    <t xml:space="preserve"> Cabbage </t>
  </si>
  <si>
    <t>CAR</t>
  </si>
  <si>
    <t xml:space="preserve"> Carrot </t>
  </si>
  <si>
    <t>CAU</t>
  </si>
  <si>
    <t xml:space="preserve"> Cauliflower </t>
  </si>
  <si>
    <t>CEL</t>
  </si>
  <si>
    <t xml:space="preserve"> Celery </t>
  </si>
  <si>
    <t>CHO</t>
  </si>
  <si>
    <t xml:space="preserve"> Choi Sum </t>
  </si>
  <si>
    <t>CHR</t>
  </si>
  <si>
    <t xml:space="preserve"> Chrysanthemum Greens </t>
  </si>
  <si>
    <t>CIL</t>
  </si>
  <si>
    <t xml:space="preserve"> Cilantro </t>
  </si>
  <si>
    <t>COR</t>
  </si>
  <si>
    <t xml:space="preserve"> Corn  </t>
  </si>
  <si>
    <t>CUC</t>
  </si>
  <si>
    <t xml:space="preserve"> Cucumber </t>
  </si>
  <si>
    <t>DAH</t>
  </si>
  <si>
    <t xml:space="preserve"> Dahlia </t>
  </si>
  <si>
    <t>DIL</t>
  </si>
  <si>
    <t xml:space="preserve"> Dill </t>
  </si>
  <si>
    <t>FAV</t>
  </si>
  <si>
    <t xml:space="preserve"> Fava Bean </t>
  </si>
  <si>
    <t>FEN</t>
  </si>
  <si>
    <t xml:space="preserve"> Fennel </t>
  </si>
  <si>
    <t xml:space="preserve"> Garlic </t>
  </si>
  <si>
    <t>GOO</t>
  </si>
  <si>
    <t xml:space="preserve"> Gooseberry </t>
  </si>
  <si>
    <t>KAL</t>
  </si>
  <si>
    <t xml:space="preserve"> Kale </t>
  </si>
  <si>
    <t>KOH</t>
  </si>
  <si>
    <t xml:space="preserve"> Kohlrabi </t>
  </si>
  <si>
    <t>LEE</t>
  </si>
  <si>
    <t xml:space="preserve"> Leek </t>
  </si>
  <si>
    <t>LEM</t>
  </si>
  <si>
    <t xml:space="preserve"> Lemongrass </t>
  </si>
  <si>
    <t>LET</t>
  </si>
  <si>
    <t xml:space="preserve"> Lettuce </t>
  </si>
  <si>
    <t xml:space="preserve"> Lovage </t>
  </si>
  <si>
    <t>MAG</t>
  </si>
  <si>
    <t xml:space="preserve"> Magenta Spreen </t>
  </si>
  <si>
    <t>MEL</t>
  </si>
  <si>
    <t xml:space="preserve"> Melon </t>
  </si>
  <si>
    <t>ONI</t>
  </si>
  <si>
    <t xml:space="preserve"> Onion </t>
  </si>
  <si>
    <t>PAR</t>
  </si>
  <si>
    <t xml:space="preserve"> Parsley </t>
  </si>
  <si>
    <t>PEA</t>
  </si>
  <si>
    <t xml:space="preserve"> Peas </t>
  </si>
  <si>
    <t>PEP</t>
  </si>
  <si>
    <t xml:space="preserve"> Pepper </t>
  </si>
  <si>
    <t>POT</t>
  </si>
  <si>
    <t xml:space="preserve"> Potato </t>
  </si>
  <si>
    <t>RAD</t>
  </si>
  <si>
    <t xml:space="preserve"> Radicchio </t>
  </si>
  <si>
    <t xml:space="preserve"> Radish </t>
  </si>
  <si>
    <t>RUT</t>
  </si>
  <si>
    <t xml:space="preserve"> Rutabaga </t>
  </si>
  <si>
    <t>SCA</t>
  </si>
  <si>
    <t xml:space="preserve"> Scallion </t>
  </si>
  <si>
    <t xml:space="preserve"> Sorrel </t>
  </si>
  <si>
    <t>SQU</t>
  </si>
  <si>
    <t xml:space="preserve"> Squash </t>
  </si>
  <si>
    <t>SUM</t>
  </si>
  <si>
    <t xml:space="preserve"> Summer Squash </t>
  </si>
  <si>
    <t>SWI</t>
  </si>
  <si>
    <t xml:space="preserve"> Swiss Chard </t>
  </si>
  <si>
    <t>TOM</t>
  </si>
  <si>
    <t xml:space="preserve"> Tomatillo </t>
  </si>
  <si>
    <t xml:space="preserve"> Tomato </t>
  </si>
  <si>
    <t>TUR</t>
  </si>
  <si>
    <t xml:space="preserve"> Turnip </t>
  </si>
  <si>
    <t>Adjust</t>
  </si>
  <si>
    <t>Note</t>
  </si>
  <si>
    <t>More</t>
  </si>
  <si>
    <t xml:space="preserve">Plant later. Need a new red? </t>
  </si>
  <si>
    <t>Less</t>
  </si>
  <si>
    <t>varieties are great</t>
  </si>
  <si>
    <t>Same</t>
  </si>
  <si>
    <t>amount of each is good. Could try some more mustards. CSA liked them, not great at the market</t>
  </si>
  <si>
    <t>Maybe whole row choy sum? Could go denser or interplant for spacing. Great spring. Transplant</t>
  </si>
  <si>
    <t>need better pepper starts, get them in on time. No difference between 2 bells. Only make sense in the tunnel</t>
  </si>
  <si>
    <t>same</t>
  </si>
  <si>
    <t>tunnel</t>
  </si>
  <si>
    <t>transplant, might be low market interest</t>
  </si>
  <si>
    <t>same or less</t>
  </si>
  <si>
    <t>only calipso next year</t>
  </si>
  <si>
    <t>maybe more early for the CSA and market. Keep 4 varieties? Talia</t>
  </si>
  <si>
    <t xml:space="preserve">great direct seed in the spring, White Spear old seed. </t>
  </si>
  <si>
    <t>more</t>
  </si>
  <si>
    <t xml:space="preserve">lebonese cucs? Keep? No Karento maybe new Johnny's. Asians did awesome. Get them in earlier. Pruning increased yeilds. </t>
  </si>
  <si>
    <t xml:space="preserve">revisit varieties and move towards the.big stuff. </t>
  </si>
  <si>
    <t xml:space="preserve">don't let it get so hot. Maybe determinate cherries. </t>
  </si>
  <si>
    <t xml:space="preserve">whites did the best, getmination issues. </t>
  </si>
  <si>
    <t xml:space="preserve">maybe packaging </t>
  </si>
  <si>
    <t xml:space="preserve">use part of the bed as greens. Germination seemed great. Can we get them in earlier? </t>
  </si>
  <si>
    <t xml:space="preserve">did great. </t>
  </si>
  <si>
    <t>beneventos and tiffin showed up early. More fertilizer.</t>
  </si>
  <si>
    <t xml:space="preserve">reseeded letuce came up EARLY. Salenova more than heads. </t>
  </si>
  <si>
    <t>Monsters. Can we put them in the U-Pick? Trellis for sure</t>
  </si>
  <si>
    <t>same or more</t>
  </si>
  <si>
    <t>Don't interplant</t>
  </si>
  <si>
    <t>Get in earlier, more fertilizer, U-Pick</t>
  </si>
  <si>
    <t xml:space="preserve">more fertilizer, good varieties, could add another red. More red for market as spring onions. </t>
  </si>
  <si>
    <t>didn't happen</t>
  </si>
  <si>
    <t>direct seed and start some transplants. Not much market for them. Good for CSA</t>
  </si>
  <si>
    <t>moved to D</t>
  </si>
  <si>
    <t xml:space="preserve">look at video to see which orange was better. Yellow was great. Check video notes. </t>
  </si>
  <si>
    <t xml:space="preserve">hit by aphids. Stress flowered. To early to be outside. </t>
  </si>
  <si>
    <t xml:space="preserve">too early to be outside. Didn't like B beds early. </t>
  </si>
  <si>
    <t xml:space="preserve">hit by aphids. Stress flowered. To early to be outside, this planting did better then the april.  </t>
  </si>
  <si>
    <t>Dino only</t>
  </si>
  <si>
    <t xml:space="preserve">terrible. Did not like B. Too early. Questional B beds. Testing. </t>
  </si>
  <si>
    <t xml:space="preserve">terrible. Did not like B. Too early. Questional B beds. Testing. Germinated ok at that time, but grew terribly. </t>
  </si>
  <si>
    <t xml:space="preserve">fine. Check video to see better varieties. Didn't sell well at the market. CSA loved them. </t>
  </si>
  <si>
    <t>market and csa like them</t>
  </si>
  <si>
    <t xml:space="preserve">didn't do amazing, but some varieties did better then others. Not as good as the tunnel. Likely needs more fertilizer. </t>
  </si>
  <si>
    <t>less</t>
  </si>
  <si>
    <t xml:space="preserve">F did better. But these were ok. Might have been runtier starts. More reds. </t>
  </si>
  <si>
    <t xml:space="preserve">don't think main crops are worth the trouble, unless want them for spring farmers market. </t>
  </si>
  <si>
    <t xml:space="preserve">did ok , but were a little slow. More fertilizer. </t>
  </si>
  <si>
    <t xml:space="preserve">Don't plant brocos on tight spacing. Consider early napas instead. Broco might not be a good early. </t>
  </si>
  <si>
    <t xml:space="preserve">Random note, consider matching CSA to farmer's market season, with fall CSA add on. Focus on storage crops. </t>
  </si>
  <si>
    <t xml:space="preserve">grew our best fennel. Grows great in the tunnel super early. </t>
  </si>
  <si>
    <t xml:space="preserve">probably need less storage carrots and more main season . Yellowstone production was very high. </t>
  </si>
  <si>
    <t xml:space="preserve">did great. Got a little too big. Clubroot at the end. Don't like the 8 rows. </t>
  </si>
  <si>
    <t xml:space="preserve">did great. Got big. </t>
  </si>
  <si>
    <t xml:space="preserve">good. Talia and Bouquet. Check video one bolted earlier. </t>
  </si>
  <si>
    <t xml:space="preserve">did ok got hot by the 2nd or 3rd curring. Didn't have great demand for it. </t>
  </si>
  <si>
    <t xml:space="preserve">weren't too happy. Had wire worm problems. Might be a shade or nitrogen problem. Passable. </t>
  </si>
  <si>
    <t>weren't too happy. Had wire worm problems. Might be a shade or nitrogen problem. Passable. Didn't like the real tight density</t>
  </si>
  <si>
    <t xml:space="preserve">did ok, but bolty. Carlton did best. Bok Choy did worst. Didn't get water till late. Maybe need more nutrition too. </t>
  </si>
  <si>
    <t xml:space="preserve">little cabbages did great. Didn't sell well but quantity was good. Pico was best tasking. </t>
  </si>
  <si>
    <t xml:space="preserve">Got Anthracnose, would have liked more nitrogen. Trellis worked well. Consider tunnel. </t>
  </si>
  <si>
    <t xml:space="preserve">Did best this year. Scallions that were mixed in were huge. Double density didn't work. Big clusters. Maybe direct seed in clusters? </t>
  </si>
  <si>
    <t xml:space="preserve">Did great. Check varieties and data. Red one had the least. Tighter spacing didn't impact yeilds. Add more fertilizer next year. Spliting potatoes didn't hurt yeild. </t>
  </si>
  <si>
    <t xml:space="preserve">haven't produced as of nov. Greens used for collards. Plant earlier next year. </t>
  </si>
  <si>
    <t xml:space="preserve">look good. Heads continue to size. </t>
  </si>
  <si>
    <t xml:space="preserve">sad. Needed water. Went in late. No sales for these. </t>
  </si>
  <si>
    <t xml:space="preserve">didn't do well. Beds need N. Patty pan was ok. Overalll varieties were ok. Need a true zuccini </t>
  </si>
  <si>
    <t xml:space="preserve">Might be good for U-pick. Did great in G. Go with the big leaf italian varieties. </t>
  </si>
  <si>
    <t xml:space="preserve">did great. Both kinds. Can't tell difference in variety. </t>
  </si>
  <si>
    <t xml:space="preserve">did great. Went in late. Didn't get enough nutrition in their cell trays as they should have. </t>
  </si>
  <si>
    <t xml:space="preserve">starts got put in late. Split was good. Mix was ok. Greens grow faster than the reds. </t>
  </si>
  <si>
    <t xml:space="preserve">did well. Slow to start, might have been too long in the cell tray. People excited about Yellow wax beans. Dragons might be better for U-pick. Need better trellis support for pole beans. </t>
  </si>
  <si>
    <t xml:space="preserve">Did great. Had right amount for current market channels. Would see expansion. </t>
  </si>
  <si>
    <t xml:space="preserve">went in late. Fruited heavy. Overly generative early on. </t>
  </si>
  <si>
    <t xml:space="preserve">did good. Top brads early and that helped. Blush not as productive as last year. </t>
  </si>
  <si>
    <t xml:space="preserve">need a market for it, otherwise don't grow. </t>
  </si>
  <si>
    <t xml:space="preserve">was shaded out . Lovelock and Muir did ok. </t>
  </si>
  <si>
    <t xml:space="preserve">full of weeds. Not good. </t>
  </si>
  <si>
    <t xml:space="preserve">Don't do field peppers. Difference between the shishitos - we think Osborne is better. </t>
  </si>
  <si>
    <t xml:space="preserve">landscape skirt sucked. Pick something else to keep the rabbits off. Picking suchs but everyone loves them. Pick once they are super large. Deer ate 40% of them. Cascadia had longes harvest window. SS had biggest plants. </t>
  </si>
  <si>
    <t>moved to I5</t>
  </si>
  <si>
    <t xml:space="preserve">Did good. Couldn't tell difference in varieties. </t>
  </si>
  <si>
    <t xml:space="preserve">purple is awesome. Green was ok. </t>
  </si>
  <si>
    <t>moved to I6</t>
  </si>
  <si>
    <t xml:space="preserve">over vegetative. Did great. Wax bean is good. Fortex was a good bean with little demand. Try some noodle beans. Worth considering a second succession of them. </t>
  </si>
  <si>
    <t xml:space="preserve">did great. Some of the plants were huge. Yellow and ford hook were good. Red petered out early. </t>
  </si>
  <si>
    <t xml:space="preserve">hardneck was bad. Softneck was good. Had too much green garlic. Sold all the scapes. </t>
  </si>
  <si>
    <t xml:space="preserve">size was good. </t>
  </si>
  <si>
    <t xml:space="preserve">did good. Big ones got huge, purple less bug pressre. Need overhead irrigation. Need backfill for ones that don't make it. </t>
  </si>
  <si>
    <t xml:space="preserve">fine. Did ok. Had the same water issue where the 3 rows didn't get water on them using the 2 drop lines. </t>
  </si>
  <si>
    <t xml:space="preserve">need more market . Grew ok. Stayed on top of cutting it. </t>
  </si>
  <si>
    <t xml:space="preserve">tyler wants to get rid of this. </t>
  </si>
  <si>
    <t xml:space="preserve">habaneros take too long so tunnel. Pablanos and jalapinos did ok. </t>
  </si>
  <si>
    <t xml:space="preserve">Don't plant onions near garlic in July due to rust. Did well considering they were dry farmed. </t>
  </si>
  <si>
    <t xml:space="preserve">need market. </t>
  </si>
  <si>
    <t xml:space="preserve">reuse tubers. could add a few more rows in U-pick. </t>
  </si>
  <si>
    <t xml:space="preserve">likely not worth growing. </t>
  </si>
  <si>
    <t xml:space="preserve">tasty. Sunshine was outstanding. Good prodcution in new field. Timing was good.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</si>
</sst>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mm/dd/yy;@"/>
    <numFmt numFmtId="165" formatCode="_(* #,##0_);_(* \(#,##0\);_(* &quot;-&quot;??_);_(@_)"/>
    <numFmt numFmtId="166" formatCode="_(&quot;$&quot;* #,##0_);_(&quot;$&quot;* \(#,##0\);_(&quot;$&quot;* &quot;-&quot;??_);_(@_)"/>
    <numFmt numFmtId="167" formatCode="[$-409]mmm\-dd;@"/>
    <numFmt numFmtId="168" formatCode="0.000"/>
    <numFmt numFmtId="169" formatCode="[$-409]d\-mmm;@"/>
    <numFmt numFmtId="170" formatCode="0.0"/>
    <numFmt numFmtId="171" formatCode="m/d;@"/>
    <numFmt numFmtId="172" formatCode="_(&quot;$&quot;* #,##0.0_);_(&quot;$&quot;* \(#,##0.0\);_(&quot;$&quot;* &quot;-&quot;??_);_(@_)"/>
  </numFmts>
  <fonts count="21">
    <font>
      <sz val="11"/>
      <color theme="1"/>
      <name val="Calibri"/>
      <family val="2"/>
      <scheme val="minor"/>
    </font>
    <font>
      <sz val="11"/>
      <color theme="0"/>
      <name val="Calibri"/>
      <family val="2"/>
      <scheme val="minor"/>
    </font>
    <font>
      <sz val="11"/>
      <color theme="1"/>
      <name val="Calibri"/>
      <family val="2"/>
      <scheme val="minor"/>
    </font>
    <font>
      <u/>
      <sz val="11"/>
      <color theme="10"/>
      <name val="Calibri"/>
      <family val="2"/>
      <scheme val="minor"/>
    </font>
    <font>
      <sz val="8"/>
      <name val="Calibri"/>
      <family val="2"/>
      <scheme val="minor"/>
    </font>
    <font>
      <b/>
      <sz val="11"/>
      <color theme="0"/>
      <name val="Calibri"/>
      <family val="2"/>
      <scheme val="minor"/>
    </font>
    <font>
      <sz val="10"/>
      <color theme="1"/>
      <name val="Arial"/>
      <family val="2"/>
    </font>
    <font>
      <sz val="9"/>
      <color indexed="81"/>
      <name val="Tahoma"/>
      <family val="2"/>
    </font>
    <font>
      <b/>
      <sz val="9"/>
      <color indexed="81"/>
      <name val="Tahoma"/>
      <family val="2"/>
    </font>
    <font>
      <sz val="10"/>
      <color rgb="FF333333"/>
      <name val="Arial"/>
      <family val="2"/>
    </font>
    <font>
      <b/>
      <sz val="24"/>
      <color theme="1"/>
      <name val="Calibri"/>
      <family val="2"/>
      <scheme val="minor"/>
    </font>
    <font>
      <sz val="11"/>
      <color rgb="FF000000"/>
      <name val="Robotobold"/>
    </font>
    <font>
      <sz val="11"/>
      <color rgb="FF000000"/>
      <name val="Calibri"/>
      <family val="2"/>
      <scheme val="minor"/>
    </font>
    <font>
      <b/>
      <sz val="11"/>
      <color theme="1"/>
      <name val="Calibri"/>
      <family val="2"/>
      <scheme val="minor"/>
    </font>
    <font>
      <b/>
      <sz val="9"/>
      <color rgb="FF000000"/>
      <name val="Tahoma"/>
      <family val="2"/>
    </font>
    <font>
      <sz val="9"/>
      <color rgb="FF000000"/>
      <name val="Tahoma"/>
      <family val="2"/>
    </font>
    <font>
      <sz val="12"/>
      <color rgb="FF000000"/>
      <name val="Georgia"/>
      <family val="1"/>
    </font>
    <font>
      <sz val="12"/>
      <color rgb="FF888177"/>
      <name val="Relevant-Normal"/>
    </font>
    <font>
      <sz val="11"/>
      <color rgb="FF000000"/>
      <name val="Calibri"/>
      <family val="2"/>
    </font>
    <font>
      <b/>
      <sz val="11"/>
      <color rgb="FFFFFFFF"/>
      <name val="Calibri"/>
      <family val="2"/>
      <scheme val="minor"/>
    </font>
    <font>
      <sz val="11"/>
      <color rgb="FFFFFFFF"/>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2" tint="-0.499984740745262"/>
        <bgColor indexed="64"/>
      </patternFill>
    </fill>
    <fill>
      <patternFill patternType="solid">
        <fgColor rgb="FF00B0F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rgb="FFD9D9D9"/>
        <bgColor indexed="64"/>
      </patternFill>
    </fill>
    <fill>
      <patternFill patternType="solid">
        <fgColor theme="5" tint="0.79998168889431442"/>
        <bgColor indexed="64"/>
      </patternFill>
    </fill>
    <fill>
      <patternFill patternType="solid">
        <fgColor rgb="FFFF99FF"/>
        <bgColor indexed="64"/>
      </patternFill>
    </fill>
    <fill>
      <patternFill patternType="solid">
        <fgColor rgb="FFFF5050"/>
        <bgColor indexed="64"/>
      </patternFill>
    </fill>
    <fill>
      <patternFill patternType="solid">
        <fgColor rgb="FF00B050"/>
        <bgColor indexed="64"/>
      </patternFill>
    </fill>
    <fill>
      <patternFill patternType="solid">
        <fgColor theme="0" tint="-0.14999847407452621"/>
        <bgColor theme="0" tint="-0.14999847407452621"/>
      </patternFill>
    </fill>
    <fill>
      <patternFill patternType="solid">
        <fgColor rgb="FFA6A6A6"/>
        <bgColor rgb="FFA6A6A6"/>
      </patternFill>
    </fill>
    <fill>
      <patternFill patternType="solid">
        <fgColor rgb="FFD9D9D9"/>
        <bgColor rgb="FFD9D9D9"/>
      </patternFill>
    </fill>
    <fill>
      <patternFill patternType="solid">
        <fgColor rgb="FF7030A0"/>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000000"/>
        <bgColor rgb="FF000000"/>
      </patternFill>
    </fill>
    <fill>
      <patternFill patternType="solid">
        <fgColor rgb="FFBF8F00"/>
        <bgColor rgb="FF000000"/>
      </patternFill>
    </fill>
    <fill>
      <patternFill patternType="solid">
        <fgColor rgb="FF548235"/>
        <bgColor rgb="FF000000"/>
      </patternFill>
    </fill>
    <fill>
      <patternFill patternType="solid">
        <fgColor rgb="FF2F75B5"/>
        <bgColor rgb="FF000000"/>
      </patternFill>
    </fill>
    <fill>
      <patternFill patternType="solid">
        <fgColor rgb="FF92D050"/>
        <bgColor rgb="FF000000"/>
      </patternFill>
    </fill>
    <fill>
      <patternFill patternType="solid">
        <fgColor rgb="FF00B050"/>
        <bgColor rgb="FF000000"/>
      </patternFill>
    </fill>
    <fill>
      <patternFill patternType="solid">
        <fgColor rgb="FFFF0000"/>
        <bgColor rgb="FF000000"/>
      </patternFill>
    </fill>
    <fill>
      <patternFill patternType="solid">
        <fgColor rgb="FFFFE699"/>
        <bgColor rgb="FF000000"/>
      </patternFill>
    </fill>
    <fill>
      <patternFill patternType="solid">
        <fgColor rgb="FF00B0F0"/>
        <bgColor rgb="FF000000"/>
      </patternFill>
    </fill>
    <fill>
      <patternFill patternType="solid">
        <fgColor rgb="FFFFC000"/>
        <bgColor rgb="FF000000"/>
      </patternFill>
    </fill>
    <fill>
      <patternFill patternType="solid">
        <fgColor rgb="FFBDD7EE"/>
        <bgColor rgb="FF000000"/>
      </patternFill>
    </fill>
    <fill>
      <patternFill patternType="solid">
        <fgColor rgb="FFFFFF00"/>
        <bgColor rgb="FF000000"/>
      </patternFill>
    </fill>
    <fill>
      <patternFill patternType="solid">
        <fgColor rgb="FFC6E0B4"/>
        <bgColor rgb="FF000000"/>
      </patternFill>
    </fill>
    <fill>
      <patternFill patternType="solid">
        <fgColor rgb="FFBFBFBF"/>
        <bgColor rgb="FF000000"/>
      </patternFill>
    </fill>
    <fill>
      <patternFill patternType="solid">
        <fgColor rgb="FFFF5050"/>
        <bgColor rgb="FF000000"/>
      </patternFill>
    </fill>
    <fill>
      <patternFill patternType="solid">
        <fgColor rgb="FFFFD966"/>
        <bgColor rgb="FF000000"/>
      </patternFill>
    </fill>
    <fill>
      <patternFill patternType="solid">
        <fgColor rgb="FFFF99FF"/>
        <bgColor rgb="FF000000"/>
      </patternFill>
    </fill>
    <fill>
      <patternFill patternType="solid">
        <fgColor rgb="FFFCE4D6"/>
        <bgColor rgb="FF000000"/>
      </patternFill>
    </fill>
    <fill>
      <patternFill patternType="solid">
        <fgColor rgb="FFF4B084"/>
        <bgColor rgb="FF000000"/>
      </patternFill>
    </fill>
  </fills>
  <borders count="4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theme="4" tint="0.39997558519241921"/>
      </bottom>
      <diagonal/>
    </border>
    <border>
      <left/>
      <right style="thin">
        <color indexed="64"/>
      </right>
      <top style="medium">
        <color indexed="64"/>
      </top>
      <bottom style="medium">
        <color indexed="64"/>
      </bottom>
      <diagonal/>
    </border>
    <border>
      <left/>
      <right style="thin">
        <color indexed="64"/>
      </right>
      <top style="medium">
        <color indexed="64"/>
      </top>
      <bottom style="dashed">
        <color indexed="64"/>
      </bottom>
      <diagonal/>
    </border>
    <border>
      <left/>
      <right style="thin">
        <color indexed="64"/>
      </right>
      <top style="dashed">
        <color indexed="64"/>
      </top>
      <bottom style="dashed">
        <color indexed="64"/>
      </bottom>
      <diagonal/>
    </border>
    <border>
      <left/>
      <right style="thin">
        <color indexed="64"/>
      </right>
      <top style="dashed">
        <color indexed="64"/>
      </top>
      <bottom style="medium">
        <color indexed="64"/>
      </bottom>
      <diagonal/>
    </border>
    <border>
      <left style="thin">
        <color indexed="64"/>
      </left>
      <right/>
      <top style="medium">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medium">
        <color indexed="64"/>
      </bottom>
      <diagonal/>
    </border>
    <border>
      <left style="mediumDashed">
        <color theme="5" tint="-0.24994659260841701"/>
      </left>
      <right style="thin">
        <color indexed="64"/>
      </right>
      <top style="medium">
        <color indexed="64"/>
      </top>
      <bottom style="dashed">
        <color indexed="64"/>
      </bottom>
      <diagonal/>
    </border>
    <border>
      <left style="mediumDashed">
        <color theme="5" tint="-0.24994659260841701"/>
      </left>
      <right style="thin">
        <color indexed="64"/>
      </right>
      <top style="dashed">
        <color indexed="64"/>
      </top>
      <bottom style="dashed">
        <color indexed="64"/>
      </bottom>
      <diagonal/>
    </border>
    <border>
      <left style="mediumDashed">
        <color theme="5" tint="-0.24994659260841701"/>
      </left>
      <right style="thin">
        <color indexed="64"/>
      </right>
      <top style="dashed">
        <color indexed="64"/>
      </top>
      <bottom style="medium">
        <color indexed="64"/>
      </bottom>
      <diagonal/>
    </border>
    <border>
      <left style="mediumDashed">
        <color theme="5"/>
      </left>
      <right style="thin">
        <color indexed="64"/>
      </right>
      <top style="medium">
        <color indexed="64"/>
      </top>
      <bottom style="dashed">
        <color indexed="64"/>
      </bottom>
      <diagonal/>
    </border>
    <border>
      <left style="mediumDashed">
        <color theme="5"/>
      </left>
      <right style="thin">
        <color indexed="64"/>
      </right>
      <top style="dashed">
        <color indexed="64"/>
      </top>
      <bottom style="dashed">
        <color indexed="64"/>
      </bottom>
      <diagonal/>
    </border>
    <border>
      <left style="mediumDashed">
        <color theme="5"/>
      </left>
      <right style="thin">
        <color indexed="64"/>
      </right>
      <top style="dashed">
        <color indexed="64"/>
      </top>
      <bottom style="medium">
        <color indexed="64"/>
      </bottom>
      <diagonal/>
    </border>
    <border>
      <left style="medium">
        <color indexed="64"/>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style="medium">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medium">
        <color indexed="64"/>
      </right>
      <top style="dashed">
        <color indexed="64"/>
      </top>
      <bottom style="thin">
        <color indexed="64"/>
      </bottom>
      <diagonal/>
    </border>
    <border>
      <left/>
      <right/>
      <top style="medium">
        <color indexed="64"/>
      </top>
      <bottom style="dashed">
        <color indexed="64"/>
      </bottom>
      <diagonal/>
    </border>
    <border>
      <left/>
      <right/>
      <top style="dashed">
        <color indexed="64"/>
      </top>
      <bottom style="dashed">
        <color indexed="64"/>
      </bottom>
      <diagonal/>
    </border>
    <border>
      <left/>
      <right/>
      <top style="dashed">
        <color indexed="64"/>
      </top>
      <bottom style="medium">
        <color indexed="64"/>
      </bottom>
      <diagonal/>
    </border>
    <border>
      <left style="thin">
        <color theme="1"/>
      </left>
      <right/>
      <top style="thin">
        <color theme="1"/>
      </top>
      <bottom style="thin">
        <color theme="1"/>
      </bottom>
      <diagonal/>
    </border>
    <border>
      <left style="thin">
        <color rgb="FFFFFFFF"/>
      </left>
      <right style="thin">
        <color rgb="FFFFFFFF"/>
      </right>
      <top style="thin">
        <color rgb="FFFFFFFF"/>
      </top>
      <bottom style="thin">
        <color rgb="FFFFFFFF"/>
      </bottom>
      <diagonal/>
    </border>
    <border>
      <left/>
      <right/>
      <top style="thin">
        <color rgb="FF000000"/>
      </top>
      <bottom style="thin">
        <color rgb="FF000000"/>
      </bottom>
      <diagonal/>
    </border>
    <border>
      <left/>
      <right/>
      <top style="thin">
        <color theme="1"/>
      </top>
      <bottom style="thin">
        <color theme="1"/>
      </bottom>
      <diagonal/>
    </border>
    <border>
      <left/>
      <right/>
      <top style="thin">
        <color theme="1"/>
      </top>
      <bottom/>
      <diagonal/>
    </border>
    <border>
      <left style="medium">
        <color indexed="64"/>
      </left>
      <right/>
      <top/>
      <bottom/>
      <diagonal/>
    </border>
    <border>
      <left/>
      <right/>
      <top/>
      <bottom style="thin">
        <color rgb="FF000000"/>
      </bottom>
      <diagonal/>
    </border>
    <border>
      <left/>
      <right/>
      <top style="thin">
        <color rgb="FF000000"/>
      </top>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0" fontId="3" fillId="0" borderId="0" applyNumberFormat="0" applyFill="0" applyBorder="0" applyAlignment="0" applyProtection="0"/>
    <xf numFmtId="9" fontId="2" fillId="0" borderId="0" applyFont="0" applyFill="0" applyBorder="0" applyAlignment="0" applyProtection="0"/>
  </cellStyleXfs>
  <cellXfs count="341">
    <xf numFmtId="0" fontId="0" fillId="0" borderId="0" xfId="0"/>
    <xf numFmtId="0" fontId="0" fillId="0" borderId="0" xfId="0" applyAlignment="1">
      <alignment horizontal="center"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3" borderId="7" xfId="0" applyFill="1" applyBorder="1"/>
    <xf numFmtId="0" fontId="0" fillId="3" borderId="8" xfId="0" applyFill="1" applyBorder="1"/>
    <xf numFmtId="0" fontId="0" fillId="3" borderId="9" xfId="0" applyFill="1" applyBorder="1"/>
    <xf numFmtId="0" fontId="0" fillId="4" borderId="7" xfId="0" applyFill="1" applyBorder="1"/>
    <xf numFmtId="0" fontId="0" fillId="4" borderId="8" xfId="0" applyFill="1" applyBorder="1"/>
    <xf numFmtId="0" fontId="0" fillId="4" borderId="9" xfId="0" applyFill="1" applyBorder="1"/>
    <xf numFmtId="0" fontId="0" fillId="5" borderId="7" xfId="0" applyFill="1" applyBorder="1"/>
    <xf numFmtId="0" fontId="0" fillId="5" borderId="8" xfId="0" applyFill="1" applyBorder="1"/>
    <xf numFmtId="0" fontId="0" fillId="5" borderId="9" xfId="0" applyFill="1" applyBorder="1"/>
    <xf numFmtId="14" fontId="0" fillId="0" borderId="0" xfId="0" applyNumberFormat="1"/>
    <xf numFmtId="0" fontId="0" fillId="9" borderId="0" xfId="0" applyFill="1"/>
    <xf numFmtId="0" fontId="0" fillId="4" borderId="0" xfId="0" applyFill="1"/>
    <xf numFmtId="0" fontId="0" fillId="11" borderId="0" xfId="0" applyFill="1"/>
    <xf numFmtId="0" fontId="0" fillId="0" borderId="0" xfId="0" applyAlignment="1">
      <alignment wrapText="1"/>
    </xf>
    <xf numFmtId="164" fontId="0" fillId="0" borderId="0" xfId="0" applyNumberFormat="1"/>
    <xf numFmtId="1" fontId="0" fillId="0" borderId="0" xfId="0" applyNumberFormat="1"/>
    <xf numFmtId="165" fontId="0" fillId="0" borderId="0" xfId="1" applyNumberFormat="1" applyFont="1"/>
    <xf numFmtId="0" fontId="0" fillId="0" borderId="0" xfId="0" applyAlignment="1">
      <alignment horizontal="center" vertical="center" wrapText="1"/>
    </xf>
    <xf numFmtId="44" fontId="0" fillId="0" borderId="0" xfId="2" applyFont="1"/>
    <xf numFmtId="166" fontId="0" fillId="0" borderId="0" xfId="2" applyNumberFormat="1" applyFont="1"/>
    <xf numFmtId="165" fontId="0" fillId="0" borderId="0" xfId="0" applyNumberFormat="1"/>
    <xf numFmtId="167" fontId="0" fillId="0" borderId="0" xfId="0" applyNumberFormat="1"/>
    <xf numFmtId="0" fontId="0" fillId="0" borderId="0" xfId="1" applyNumberFormat="1" applyFont="1"/>
    <xf numFmtId="0" fontId="0" fillId="0" borderId="0" xfId="0" applyAlignment="1">
      <alignment horizontal="left" vertical="top" wrapText="1"/>
    </xf>
    <xf numFmtId="0" fontId="0" fillId="0" borderId="0" xfId="0" applyAlignment="1">
      <alignment horizontal="left" vertical="top"/>
    </xf>
    <xf numFmtId="0" fontId="0" fillId="0" borderId="0" xfId="0" pivotButton="1"/>
    <xf numFmtId="9" fontId="6" fillId="0" borderId="0" xfId="4" applyFont="1" applyBorder="1" applyAlignment="1">
      <alignment wrapText="1"/>
    </xf>
    <xf numFmtId="9" fontId="6" fillId="17" borderId="0" xfId="4" applyFont="1" applyFill="1" applyBorder="1" applyAlignment="1">
      <alignment wrapText="1"/>
    </xf>
    <xf numFmtId="0" fontId="5" fillId="0" borderId="16" xfId="0" applyFont="1" applyBorder="1" applyAlignment="1">
      <alignment horizontal="center" vertical="top" wrapText="1"/>
    </xf>
    <xf numFmtId="0" fontId="0" fillId="0" borderId="0" xfId="0" applyAlignment="1">
      <alignment horizontal="center" vertical="top" wrapText="1"/>
    </xf>
    <xf numFmtId="0" fontId="9" fillId="0" borderId="0" xfId="0" applyFont="1"/>
    <xf numFmtId="169" fontId="0" fillId="0" borderId="0" xfId="0" applyNumberFormat="1"/>
    <xf numFmtId="170" fontId="0" fillId="0" borderId="0" xfId="0" applyNumberFormat="1"/>
    <xf numFmtId="171" fontId="0" fillId="0" borderId="0" xfId="0" applyNumberFormat="1"/>
    <xf numFmtId="9" fontId="6" fillId="0" borderId="0" xfId="4" applyFont="1" applyAlignment="1">
      <alignment wrapText="1"/>
    </xf>
    <xf numFmtId="0" fontId="0" fillId="0" borderId="0" xfId="0" applyAlignment="1">
      <alignment horizontal="center"/>
    </xf>
    <xf numFmtId="0" fontId="0" fillId="0" borderId="0" xfId="0" applyAlignment="1">
      <alignment horizontal="left"/>
    </xf>
    <xf numFmtId="0" fontId="0" fillId="0" borderId="17" xfId="0" applyBorder="1" applyAlignment="1">
      <alignment horizontal="center" vertical="center"/>
    </xf>
    <xf numFmtId="0" fontId="0" fillId="5" borderId="19" xfId="0" applyFill="1" applyBorder="1"/>
    <xf numFmtId="0" fontId="0" fillId="4" borderId="19" xfId="0" applyFill="1" applyBorder="1"/>
    <xf numFmtId="0" fontId="0" fillId="0" borderId="19" xfId="0" applyBorder="1"/>
    <xf numFmtId="0" fontId="0" fillId="2" borderId="19" xfId="0" applyFill="1" applyBorder="1"/>
    <xf numFmtId="0" fontId="0" fillId="2" borderId="20" xfId="0" applyFill="1" applyBorder="1"/>
    <xf numFmtId="0" fontId="0" fillId="0" borderId="18" xfId="0" applyBorder="1"/>
    <xf numFmtId="0" fontId="0" fillId="3" borderId="19" xfId="0" applyFill="1" applyBorder="1"/>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xf numFmtId="0" fontId="0" fillId="0" borderId="9" xfId="0" applyBorder="1" applyAlignment="1">
      <alignment wrapText="1"/>
    </xf>
    <xf numFmtId="0" fontId="0" fillId="2" borderId="7" xfId="0" applyFill="1" applyBorder="1" applyAlignment="1">
      <alignment wrapText="1"/>
    </xf>
    <xf numFmtId="0" fontId="0" fillId="2" borderId="8" xfId="0" applyFill="1" applyBorder="1" applyAlignment="1">
      <alignment wrapText="1"/>
    </xf>
    <xf numFmtId="0" fontId="0" fillId="2" borderId="9" xfId="0" applyFill="1" applyBorder="1" applyAlignment="1">
      <alignment wrapText="1"/>
    </xf>
    <xf numFmtId="0" fontId="0" fillId="3" borderId="7" xfId="0" applyFill="1" applyBorder="1" applyAlignment="1">
      <alignment wrapText="1"/>
    </xf>
    <xf numFmtId="0" fontId="0" fillId="3" borderId="8" xfId="0" applyFill="1" applyBorder="1" applyAlignment="1">
      <alignment wrapText="1"/>
    </xf>
    <xf numFmtId="0" fontId="0" fillId="3" borderId="9" xfId="0" applyFill="1" applyBorder="1" applyAlignment="1">
      <alignment wrapText="1"/>
    </xf>
    <xf numFmtId="0" fontId="0" fillId="4" borderId="7" xfId="0" applyFill="1" applyBorder="1" applyAlignment="1">
      <alignment wrapText="1"/>
    </xf>
    <xf numFmtId="0" fontId="0" fillId="4" borderId="8" xfId="0" applyFill="1" applyBorder="1" applyAlignment="1">
      <alignment wrapText="1"/>
    </xf>
    <xf numFmtId="0" fontId="0" fillId="4" borderId="9" xfId="0" applyFill="1" applyBorder="1" applyAlignment="1">
      <alignment wrapText="1"/>
    </xf>
    <xf numFmtId="0" fontId="0" fillId="5" borderId="7" xfId="0" applyFill="1" applyBorder="1" applyAlignment="1">
      <alignment wrapText="1"/>
    </xf>
    <xf numFmtId="0" fontId="0" fillId="5" borderId="8" xfId="0" applyFill="1" applyBorder="1" applyAlignment="1">
      <alignment wrapText="1"/>
    </xf>
    <xf numFmtId="0" fontId="0" fillId="5" borderId="9" xfId="0" applyFill="1" applyBorder="1" applyAlignment="1">
      <alignment wrapText="1"/>
    </xf>
    <xf numFmtId="0" fontId="0" fillId="5" borderId="19" xfId="0" applyFill="1" applyBorder="1" applyAlignment="1">
      <alignment wrapText="1"/>
    </xf>
    <xf numFmtId="0" fontId="0" fillId="4" borderId="19" xfId="0" applyFill="1" applyBorder="1" applyAlignment="1">
      <alignment wrapText="1"/>
    </xf>
    <xf numFmtId="0" fontId="0" fillId="0" borderId="19" xfId="0" applyBorder="1" applyAlignment="1">
      <alignment wrapText="1"/>
    </xf>
    <xf numFmtId="0" fontId="0" fillId="2" borderId="19" xfId="0" applyFill="1" applyBorder="1" applyAlignment="1">
      <alignment wrapText="1"/>
    </xf>
    <xf numFmtId="0" fontId="0" fillId="2" borderId="10" xfId="0" applyFill="1" applyBorder="1" applyAlignment="1">
      <alignment wrapText="1"/>
    </xf>
    <xf numFmtId="0" fontId="0" fillId="2" borderId="11" xfId="0" applyFill="1" applyBorder="1" applyAlignment="1">
      <alignment wrapText="1"/>
    </xf>
    <xf numFmtId="0" fontId="0" fillId="2" borderId="12" xfId="0" applyFill="1" applyBorder="1" applyAlignment="1">
      <alignment wrapText="1"/>
    </xf>
    <xf numFmtId="0" fontId="0" fillId="2" borderId="20" xfId="0" applyFill="1" applyBorder="1" applyAlignment="1">
      <alignment wrapText="1"/>
    </xf>
    <xf numFmtId="0" fontId="0" fillId="0" borderId="0" xfId="0" quotePrefix="1"/>
    <xf numFmtId="0" fontId="0" fillId="0" borderId="21" xfId="0" applyBorder="1" applyAlignment="1">
      <alignment wrapText="1"/>
    </xf>
    <xf numFmtId="0" fontId="0" fillId="0" borderId="22" xfId="0" applyBorder="1" applyAlignment="1">
      <alignment wrapText="1"/>
    </xf>
    <xf numFmtId="0" fontId="0" fillId="2" borderId="22" xfId="0" applyFill="1" applyBorder="1" applyAlignment="1">
      <alignment wrapText="1"/>
    </xf>
    <xf numFmtId="0" fontId="0" fillId="3" borderId="22" xfId="0" applyFill="1" applyBorder="1" applyAlignment="1">
      <alignment wrapText="1"/>
    </xf>
    <xf numFmtId="0" fontId="0" fillId="4" borderId="22" xfId="0" applyFill="1" applyBorder="1" applyAlignment="1">
      <alignment wrapText="1"/>
    </xf>
    <xf numFmtId="0" fontId="0" fillId="5" borderId="22" xfId="0" applyFill="1" applyBorder="1" applyAlignment="1">
      <alignment wrapText="1"/>
    </xf>
    <xf numFmtId="0" fontId="0" fillId="2" borderId="23" xfId="0" applyFill="1" applyBorder="1" applyAlignment="1">
      <alignment wrapText="1"/>
    </xf>
    <xf numFmtId="0" fontId="0" fillId="0" borderId="21" xfId="0" applyBorder="1"/>
    <xf numFmtId="0" fontId="0" fillId="0" borderId="22" xfId="0" applyBorder="1"/>
    <xf numFmtId="0" fontId="0" fillId="2" borderId="22" xfId="0" applyFill="1" applyBorder="1"/>
    <xf numFmtId="0" fontId="0" fillId="3" borderId="22" xfId="0" applyFill="1" applyBorder="1"/>
    <xf numFmtId="0" fontId="0" fillId="4" borderId="22" xfId="0" applyFill="1" applyBorder="1"/>
    <xf numFmtId="0" fontId="0" fillId="5" borderId="22" xfId="0" applyFill="1" applyBorder="1"/>
    <xf numFmtId="0" fontId="0" fillId="2" borderId="23" xfId="0" applyFill="1" applyBorder="1"/>
    <xf numFmtId="0" fontId="0" fillId="0" borderId="24" xfId="0" applyBorder="1" applyAlignment="1">
      <alignment wrapText="1"/>
    </xf>
    <xf numFmtId="0" fontId="0" fillId="0" borderId="25" xfId="0" applyBorder="1" applyAlignment="1">
      <alignment wrapText="1"/>
    </xf>
    <xf numFmtId="0" fontId="0" fillId="2" borderId="25" xfId="0" applyFill="1" applyBorder="1" applyAlignment="1">
      <alignment wrapText="1"/>
    </xf>
    <xf numFmtId="0" fontId="0" fillId="3" borderId="25" xfId="0" applyFill="1" applyBorder="1" applyAlignment="1">
      <alignment wrapText="1"/>
    </xf>
    <xf numFmtId="0" fontId="0" fillId="4" borderId="25" xfId="0" applyFill="1" applyBorder="1" applyAlignment="1">
      <alignment wrapText="1"/>
    </xf>
    <xf numFmtId="0" fontId="0" fillId="5" borderId="25" xfId="0" applyFill="1" applyBorder="1" applyAlignment="1">
      <alignment wrapText="1"/>
    </xf>
    <xf numFmtId="0" fontId="0" fillId="2" borderId="26" xfId="0" applyFill="1" applyBorder="1" applyAlignment="1">
      <alignment wrapText="1"/>
    </xf>
    <xf numFmtId="0" fontId="0" fillId="0" borderId="24" xfId="0" applyBorder="1"/>
    <xf numFmtId="0" fontId="0" fillId="0" borderId="25" xfId="0" applyBorder="1"/>
    <xf numFmtId="0" fontId="0" fillId="2" borderId="25" xfId="0" applyFill="1" applyBorder="1"/>
    <xf numFmtId="0" fontId="0" fillId="3" borderId="25" xfId="0" applyFill="1" applyBorder="1"/>
    <xf numFmtId="0" fontId="0" fillId="4" borderId="25" xfId="0" applyFill="1" applyBorder="1"/>
    <xf numFmtId="0" fontId="0" fillId="5" borderId="25" xfId="0" applyFill="1" applyBorder="1"/>
    <xf numFmtId="0" fontId="0" fillId="2" borderId="26" xfId="0" applyFill="1" applyBorder="1"/>
    <xf numFmtId="0" fontId="0" fillId="5" borderId="28" xfId="0" applyFill="1" applyBorder="1" applyAlignment="1">
      <alignment wrapText="1"/>
    </xf>
    <xf numFmtId="0" fontId="0" fillId="2" borderId="28" xfId="0" applyFill="1" applyBorder="1" applyAlignment="1">
      <alignment wrapText="1"/>
    </xf>
    <xf numFmtId="0" fontId="0" fillId="0" borderId="28" xfId="0" applyBorder="1" applyAlignment="1">
      <alignment wrapText="1"/>
    </xf>
    <xf numFmtId="0" fontId="0" fillId="4" borderId="28" xfId="0" applyFill="1" applyBorder="1" applyAlignment="1">
      <alignment wrapText="1"/>
    </xf>
    <xf numFmtId="0" fontId="0" fillId="2" borderId="29" xfId="0" applyFill="1" applyBorder="1" applyAlignment="1">
      <alignment wrapText="1"/>
    </xf>
    <xf numFmtId="0" fontId="0" fillId="0" borderId="27" xfId="0" applyBorder="1"/>
    <xf numFmtId="0" fontId="0" fillId="0" borderId="28" xfId="0" applyBorder="1"/>
    <xf numFmtId="0" fontId="0" fillId="2" borderId="28" xfId="0" applyFill="1" applyBorder="1"/>
    <xf numFmtId="0" fontId="0" fillId="3" borderId="28" xfId="0" applyFill="1" applyBorder="1"/>
    <xf numFmtId="0" fontId="0" fillId="4" borderId="28" xfId="0" applyFill="1" applyBorder="1"/>
    <xf numFmtId="0" fontId="0" fillId="5" borderId="28" xfId="0" applyFill="1" applyBorder="1"/>
    <xf numFmtId="0" fontId="0" fillId="2" borderId="29" xfId="0" applyFill="1" applyBorder="1"/>
    <xf numFmtId="0" fontId="0" fillId="0" borderId="0" xfId="0" applyAlignment="1">
      <alignment vertical="top" wrapText="1"/>
    </xf>
    <xf numFmtId="0" fontId="10"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0" fillId="0" borderId="0" xfId="0" applyAlignment="1">
      <alignment horizontal="right" vertical="center"/>
    </xf>
    <xf numFmtId="0" fontId="0" fillId="2" borderId="30" xfId="0" applyFill="1" applyBorder="1"/>
    <xf numFmtId="0" fontId="0" fillId="2" borderId="31" xfId="0" applyFill="1" applyBorder="1"/>
    <xf numFmtId="0" fontId="0" fillId="2" borderId="32" xfId="0" applyFill="1" applyBorder="1"/>
    <xf numFmtId="0" fontId="0" fillId="11" borderId="4" xfId="0" applyFill="1" applyBorder="1" applyAlignment="1">
      <alignment wrapText="1"/>
    </xf>
    <xf numFmtId="0" fontId="0" fillId="11" borderId="5" xfId="0" applyFill="1" applyBorder="1" applyAlignment="1">
      <alignment wrapText="1"/>
    </xf>
    <xf numFmtId="0" fontId="0" fillId="11" borderId="6" xfId="0" applyFill="1" applyBorder="1" applyAlignment="1">
      <alignment wrapText="1"/>
    </xf>
    <xf numFmtId="0" fontId="0" fillId="11" borderId="33" xfId="0" applyFill="1" applyBorder="1" applyAlignment="1">
      <alignment wrapText="1"/>
    </xf>
    <xf numFmtId="0" fontId="0" fillId="11" borderId="34" xfId="0" applyFill="1" applyBorder="1" applyAlignment="1">
      <alignment wrapText="1"/>
    </xf>
    <xf numFmtId="0" fontId="0" fillId="11" borderId="35" xfId="0" applyFill="1" applyBorder="1" applyAlignment="1">
      <alignment wrapText="1"/>
    </xf>
    <xf numFmtId="165" fontId="0" fillId="0" borderId="0" xfId="0" applyNumberFormat="1" applyAlignment="1">
      <alignment vertical="top"/>
    </xf>
    <xf numFmtId="0" fontId="11" fillId="0" borderId="0" xfId="0" applyFont="1" applyAlignment="1">
      <alignment vertical="center"/>
    </xf>
    <xf numFmtId="16" fontId="0" fillId="0" borderId="0" xfId="0" applyNumberFormat="1"/>
    <xf numFmtId="0" fontId="0" fillId="0" borderId="2" xfId="0" applyBorder="1" applyAlignment="1">
      <alignment horizontal="center" vertical="center"/>
    </xf>
    <xf numFmtId="0" fontId="0" fillId="5" borderId="37" xfId="0" applyFill="1" applyBorder="1" applyAlignment="1">
      <alignment wrapText="1"/>
    </xf>
    <xf numFmtId="0" fontId="0" fillId="2" borderId="37" xfId="0" applyFill="1" applyBorder="1" applyAlignment="1">
      <alignment wrapText="1"/>
    </xf>
    <xf numFmtId="0" fontId="0" fillId="0" borderId="37" xfId="0" applyBorder="1" applyAlignment="1">
      <alignment wrapText="1"/>
    </xf>
    <xf numFmtId="0" fontId="0" fillId="4" borderId="37" xfId="0" applyFill="1" applyBorder="1" applyAlignment="1">
      <alignment wrapText="1"/>
    </xf>
    <xf numFmtId="0" fontId="0" fillId="2" borderId="38" xfId="0" applyFill="1" applyBorder="1" applyAlignment="1">
      <alignment wrapText="1"/>
    </xf>
    <xf numFmtId="0" fontId="0" fillId="0" borderId="36" xfId="0" applyBorder="1"/>
    <xf numFmtId="0" fontId="0" fillId="0" borderId="37" xfId="0" applyBorder="1"/>
    <xf numFmtId="0" fontId="0" fillId="2" borderId="37" xfId="0" applyFill="1" applyBorder="1"/>
    <xf numFmtId="0" fontId="0" fillId="3" borderId="37" xfId="0" applyFill="1" applyBorder="1"/>
    <xf numFmtId="0" fontId="0" fillId="4" borderId="37" xfId="0" applyFill="1" applyBorder="1"/>
    <xf numFmtId="0" fontId="0" fillId="5" borderId="37" xfId="0" applyFill="1" applyBorder="1"/>
    <xf numFmtId="0" fontId="0" fillId="2" borderId="38" xfId="0" applyFill="1" applyBorder="1"/>
    <xf numFmtId="9" fontId="6" fillId="0" borderId="0" xfId="4" applyFont="1" applyFill="1" applyBorder="1" applyAlignment="1">
      <alignment wrapText="1"/>
    </xf>
    <xf numFmtId="0" fontId="3" fillId="0" borderId="0" xfId="3"/>
    <xf numFmtId="165" fontId="2" fillId="0" borderId="0" xfId="1" applyNumberFormat="1" applyFont="1"/>
    <xf numFmtId="0" fontId="2" fillId="9" borderId="0" xfId="1" applyNumberFormat="1" applyFont="1" applyFill="1"/>
    <xf numFmtId="44" fontId="2" fillId="9" borderId="0" xfId="2" applyFont="1" applyFill="1"/>
    <xf numFmtId="168" fontId="0" fillId="0" borderId="0" xfId="0" applyNumberFormat="1"/>
    <xf numFmtId="9" fontId="2" fillId="0" borderId="0" xfId="4" applyFont="1"/>
    <xf numFmtId="166" fontId="2" fillId="0" borderId="0" xfId="2" applyNumberFormat="1" applyFont="1"/>
    <xf numFmtId="165" fontId="2" fillId="0" borderId="0" xfId="1" applyNumberFormat="1" applyFont="1" applyBorder="1"/>
    <xf numFmtId="0" fontId="2" fillId="9" borderId="0" xfId="1" applyNumberFormat="1" applyFont="1" applyFill="1" applyBorder="1"/>
    <xf numFmtId="9" fontId="2" fillId="0" borderId="0" xfId="4" applyFont="1" applyBorder="1"/>
    <xf numFmtId="166" fontId="2" fillId="0" borderId="0" xfId="2" applyNumberFormat="1" applyFont="1" applyBorder="1"/>
    <xf numFmtId="165" fontId="3" fillId="0" borderId="0" xfId="3" applyNumberFormat="1"/>
    <xf numFmtId="0" fontId="0" fillId="9" borderId="0" xfId="1" applyNumberFormat="1" applyFont="1" applyFill="1"/>
    <xf numFmtId="2" fontId="0" fillId="0" borderId="0" xfId="0" applyNumberFormat="1"/>
    <xf numFmtId="9" fontId="0" fillId="0" borderId="0" xfId="4" applyFont="1"/>
    <xf numFmtId="44" fontId="0" fillId="9" borderId="0" xfId="2" applyFont="1" applyFill="1"/>
    <xf numFmtId="3" fontId="0" fillId="0" borderId="0" xfId="0" applyNumberFormat="1"/>
    <xf numFmtId="14" fontId="0" fillId="0" borderId="0" xfId="0" applyNumberFormat="1" applyAlignment="1">
      <alignment horizontal="left"/>
    </xf>
    <xf numFmtId="1" fontId="0" fillId="0" borderId="0" xfId="1" applyNumberFormat="1" applyFont="1"/>
    <xf numFmtId="0" fontId="0" fillId="8" borderId="0" xfId="0" applyFill="1"/>
    <xf numFmtId="0" fontId="0" fillId="10" borderId="0" xfId="0" applyFill="1"/>
    <xf numFmtId="0" fontId="0" fillId="15" borderId="0" xfId="0" applyFill="1"/>
    <xf numFmtId="0" fontId="0" fillId="6" borderId="0" xfId="0" applyFill="1"/>
    <xf numFmtId="0" fontId="0" fillId="7" borderId="0" xfId="0" applyFill="1"/>
    <xf numFmtId="0" fontId="0" fillId="16" borderId="0" xfId="0" applyFill="1"/>
    <xf numFmtId="0" fontId="0" fillId="12" borderId="0" xfId="0" applyFill="1"/>
    <xf numFmtId="0" fontId="0" fillId="18" borderId="0" xfId="0" applyFill="1"/>
    <xf numFmtId="0" fontId="0" fillId="13" borderId="0" xfId="0" applyFill="1"/>
    <xf numFmtId="0" fontId="1" fillId="14" borderId="0" xfId="0" applyFont="1" applyFill="1"/>
    <xf numFmtId="0" fontId="0" fillId="19" borderId="0" xfId="0" applyFill="1"/>
    <xf numFmtId="0" fontId="0" fillId="20" borderId="0" xfId="0" applyFill="1"/>
    <xf numFmtId="0" fontId="0" fillId="21" borderId="0" xfId="0" applyFill="1"/>
    <xf numFmtId="0" fontId="0" fillId="5" borderId="0" xfId="0" applyFill="1"/>
    <xf numFmtId="0" fontId="13" fillId="0" borderId="0" xfId="0" applyFont="1"/>
    <xf numFmtId="0" fontId="0" fillId="22" borderId="39" xfId="0" applyFill="1" applyBorder="1"/>
    <xf numFmtId="0" fontId="0" fillId="0" borderId="39" xfId="0" applyBorder="1"/>
    <xf numFmtId="0" fontId="12" fillId="23" borderId="40" xfId="0" applyFont="1" applyFill="1" applyBorder="1"/>
    <xf numFmtId="0" fontId="12" fillId="23" borderId="0" xfId="0" applyFont="1" applyFill="1"/>
    <xf numFmtId="0" fontId="0" fillId="0" borderId="40" xfId="0" applyBorder="1"/>
    <xf numFmtId="0" fontId="12" fillId="24" borderId="40" xfId="0" applyFont="1" applyFill="1" applyBorder="1"/>
    <xf numFmtId="0" fontId="0" fillId="8" borderId="39" xfId="0" applyFill="1" applyBorder="1"/>
    <xf numFmtId="0" fontId="0" fillId="19" borderId="39" xfId="0" applyFill="1" applyBorder="1"/>
    <xf numFmtId="0" fontId="0" fillId="21" borderId="39" xfId="0" applyFill="1" applyBorder="1"/>
    <xf numFmtId="0" fontId="0" fillId="11" borderId="39" xfId="0" applyFill="1" applyBorder="1"/>
    <xf numFmtId="0" fontId="0" fillId="16" borderId="39" xfId="0" applyFill="1" applyBorder="1"/>
    <xf numFmtId="0" fontId="1" fillId="14" borderId="39" xfId="0" applyFont="1" applyFill="1" applyBorder="1"/>
    <xf numFmtId="49" fontId="0" fillId="0" borderId="0" xfId="0" applyNumberFormat="1" applyAlignment="1">
      <alignment horizontal="left" vertical="top" wrapText="1"/>
    </xf>
    <xf numFmtId="0" fontId="0" fillId="14" borderId="0" xfId="0" applyFill="1"/>
    <xf numFmtId="170" fontId="0" fillId="0" borderId="0" xfId="2" applyNumberFormat="1" applyFont="1"/>
    <xf numFmtId="0" fontId="0" fillId="25" borderId="0" xfId="0" applyFill="1" applyAlignment="1">
      <alignment horizontal="left" vertical="top" wrapText="1"/>
    </xf>
    <xf numFmtId="43" fontId="0" fillId="0" borderId="0" xfId="1" applyFont="1"/>
    <xf numFmtId="44" fontId="0" fillId="0" borderId="0" xfId="0" applyNumberFormat="1"/>
    <xf numFmtId="44" fontId="0" fillId="0" borderId="0" xfId="2" applyFont="1" applyBorder="1"/>
    <xf numFmtId="2" fontId="0" fillId="0" borderId="0" xfId="2" applyNumberFormat="1" applyFont="1"/>
    <xf numFmtId="165" fontId="0" fillId="0" borderId="0" xfId="2" applyNumberFormat="1" applyFont="1"/>
    <xf numFmtId="43" fontId="0" fillId="0" borderId="0" xfId="2" applyNumberFormat="1" applyFont="1"/>
    <xf numFmtId="2" fontId="0" fillId="0" borderId="0" xfId="1" applyNumberFormat="1" applyFont="1"/>
    <xf numFmtId="170" fontId="0" fillId="0" borderId="0" xfId="1" applyNumberFormat="1" applyFont="1"/>
    <xf numFmtId="0" fontId="0" fillId="0" borderId="41" xfId="0" applyBorder="1"/>
    <xf numFmtId="0" fontId="12" fillId="0" borderId="41" xfId="0" applyFont="1" applyBorder="1"/>
    <xf numFmtId="0" fontId="12" fillId="0" borderId="0" xfId="0" applyFont="1"/>
    <xf numFmtId="172" fontId="0" fillId="0" borderId="0" xfId="2" applyNumberFormat="1" applyFont="1"/>
    <xf numFmtId="170" fontId="0" fillId="0" borderId="41" xfId="0" applyNumberFormat="1" applyBorder="1"/>
    <xf numFmtId="0" fontId="0" fillId="0" borderId="0" xfId="0" quotePrefix="1" applyAlignment="1">
      <alignment horizontal="center" vertical="center"/>
    </xf>
    <xf numFmtId="44" fontId="12" fillId="0" borderId="41" xfId="0" applyNumberFormat="1" applyFont="1" applyBorder="1"/>
    <xf numFmtId="0" fontId="12" fillId="24" borderId="41" xfId="0" applyFont="1" applyFill="1" applyBorder="1" applyAlignment="1">
      <alignment horizontal="center" vertical="center"/>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165" fontId="0" fillId="0" borderId="0" xfId="1" applyNumberFormat="1" applyFont="1" applyAlignment="1">
      <alignment horizontal="center" vertical="center" wrapText="1"/>
    </xf>
    <xf numFmtId="164" fontId="0" fillId="0" borderId="0" xfId="0" applyNumberFormat="1" applyAlignment="1">
      <alignment horizontal="center" vertical="center" wrapText="1"/>
    </xf>
    <xf numFmtId="166" fontId="0" fillId="0" borderId="0" xfId="2" applyNumberFormat="1" applyFont="1" applyAlignment="1">
      <alignment horizontal="center" vertical="center" wrapText="1"/>
    </xf>
    <xf numFmtId="0" fontId="0" fillId="0" borderId="27" xfId="0" applyBorder="1" applyAlignment="1">
      <alignment wrapText="1"/>
    </xf>
    <xf numFmtId="0" fontId="0" fillId="3" borderId="28" xfId="0" applyFill="1" applyBorder="1" applyAlignment="1">
      <alignment wrapText="1"/>
    </xf>
    <xf numFmtId="0" fontId="0" fillId="2" borderId="0" xfId="0" applyFill="1" applyAlignment="1">
      <alignment wrapText="1"/>
    </xf>
    <xf numFmtId="0" fontId="0" fillId="3" borderId="0" xfId="0" applyFill="1" applyAlignment="1">
      <alignment wrapText="1"/>
    </xf>
    <xf numFmtId="0" fontId="0" fillId="4" borderId="0" xfId="0" applyFill="1" applyAlignment="1">
      <alignment wrapText="1"/>
    </xf>
    <xf numFmtId="0" fontId="0" fillId="5" borderId="0" xfId="0" applyFill="1" applyAlignment="1">
      <alignment wrapText="1"/>
    </xf>
    <xf numFmtId="0" fontId="0" fillId="2" borderId="0" xfId="0" applyFill="1"/>
    <xf numFmtId="0" fontId="0" fillId="3" borderId="0" xfId="0" applyFill="1"/>
    <xf numFmtId="0" fontId="1" fillId="7" borderId="0" xfId="0" applyFont="1" applyFill="1"/>
    <xf numFmtId="0" fontId="12" fillId="24" borderId="0" xfId="0" applyFont="1" applyFill="1" applyAlignment="1">
      <alignment horizontal="center" vertical="center"/>
    </xf>
    <xf numFmtId="0" fontId="0" fillId="0" borderId="41" xfId="0" applyBorder="1" applyAlignment="1">
      <alignment horizontal="center" vertical="center"/>
    </xf>
    <xf numFmtId="0" fontId="0" fillId="12" borderId="39" xfId="0" applyFill="1" applyBorder="1"/>
    <xf numFmtId="0" fontId="0" fillId="5" borderId="39" xfId="0" applyFill="1" applyBorder="1"/>
    <xf numFmtId="0" fontId="0" fillId="7" borderId="39" xfId="0" applyFill="1" applyBorder="1"/>
    <xf numFmtId="0" fontId="0" fillId="22" borderId="42" xfId="0" applyFill="1" applyBorder="1"/>
    <xf numFmtId="0" fontId="0" fillId="0" borderId="42" xfId="0" applyBorder="1"/>
    <xf numFmtId="3" fontId="16" fillId="0" borderId="0" xfId="0" applyNumberFormat="1" applyFont="1"/>
    <xf numFmtId="3" fontId="17" fillId="0" borderId="0" xfId="0" applyNumberFormat="1" applyFont="1"/>
    <xf numFmtId="0" fontId="17" fillId="0" borderId="0" xfId="0" applyFont="1"/>
    <xf numFmtId="165" fontId="0" fillId="0" borderId="0" xfId="1" applyNumberFormat="1" applyFont="1" applyBorder="1"/>
    <xf numFmtId="0" fontId="0" fillId="9" borderId="0" xfId="1" applyNumberFormat="1" applyFont="1" applyFill="1" applyBorder="1"/>
    <xf numFmtId="9" fontId="0" fillId="0" borderId="0" xfId="4" applyFont="1" applyBorder="1"/>
    <xf numFmtId="166" fontId="0" fillId="0" borderId="0" xfId="2" applyNumberFormat="1" applyFont="1" applyBorder="1"/>
    <xf numFmtId="165" fontId="3" fillId="0" borderId="0" xfId="3" applyNumberFormat="1" applyBorder="1"/>
    <xf numFmtId="14" fontId="0" fillId="0" borderId="0" xfId="0" applyNumberFormat="1" applyAlignment="1">
      <alignment horizontal="center" vertical="center" wrapText="1"/>
    </xf>
    <xf numFmtId="166" fontId="0" fillId="0" borderId="0" xfId="0" applyNumberFormat="1"/>
    <xf numFmtId="44" fontId="12" fillId="0" borderId="0" xfId="0" applyNumberFormat="1" applyFont="1"/>
    <xf numFmtId="164" fontId="0" fillId="0" borderId="0" xfId="0" applyNumberFormat="1" applyAlignment="1">
      <alignment horizontal="right"/>
    </xf>
    <xf numFmtId="0" fontId="0" fillId="0" borderId="0" xfId="0" applyAlignment="1">
      <alignment horizontal="right"/>
    </xf>
    <xf numFmtId="164" fontId="0" fillId="0" borderId="0" xfId="0" applyNumberFormat="1" applyAlignment="1">
      <alignment horizontal="right" vertical="center" wrapText="1"/>
    </xf>
    <xf numFmtId="164" fontId="0" fillId="27" borderId="0" xfId="0" applyNumberFormat="1" applyFill="1" applyAlignment="1">
      <alignment horizontal="right" vertical="center" wrapText="1"/>
    </xf>
    <xf numFmtId="0" fontId="0" fillId="27" borderId="0" xfId="0" applyFill="1" applyAlignment="1">
      <alignment horizontal="right" vertical="center" wrapText="1"/>
    </xf>
    <xf numFmtId="0" fontId="0" fillId="28" borderId="0" xfId="0" applyFill="1" applyAlignment="1">
      <alignment horizontal="right" vertical="center" wrapText="1"/>
    </xf>
    <xf numFmtId="164" fontId="0" fillId="28" borderId="0" xfId="0" applyNumberFormat="1" applyFill="1" applyAlignment="1">
      <alignment horizontal="right" vertical="center" wrapText="1"/>
    </xf>
    <xf numFmtId="170" fontId="12" fillId="0" borderId="0" xfId="0" applyNumberFormat="1" applyFont="1"/>
    <xf numFmtId="0" fontId="0" fillId="0" borderId="43" xfId="0" applyBorder="1"/>
    <xf numFmtId="0" fontId="0" fillId="22" borderId="0" xfId="0" applyFill="1"/>
    <xf numFmtId="0" fontId="13" fillId="0" borderId="0" xfId="0" applyFont="1" applyAlignment="1">
      <alignment horizontal="center"/>
    </xf>
    <xf numFmtId="1" fontId="0" fillId="28" borderId="0" xfId="0" applyNumberFormat="1" applyFill="1" applyAlignment="1">
      <alignment horizontal="right" vertical="center" wrapText="1"/>
    </xf>
    <xf numFmtId="1" fontId="0" fillId="0" borderId="0" xfId="0" applyNumberFormat="1" applyAlignment="1">
      <alignment horizontal="right"/>
    </xf>
    <xf numFmtId="22" fontId="0" fillId="0" borderId="0" xfId="0" applyNumberFormat="1"/>
    <xf numFmtId="0" fontId="1" fillId="27" borderId="0" xfId="0" applyFont="1" applyFill="1"/>
    <xf numFmtId="1" fontId="0" fillId="28" borderId="0" xfId="0" applyNumberFormat="1" applyFill="1" applyAlignment="1">
      <alignment horizontal="right"/>
    </xf>
    <xf numFmtId="0" fontId="12" fillId="24" borderId="41" xfId="0" applyFont="1" applyFill="1" applyBorder="1"/>
    <xf numFmtId="0" fontId="12" fillId="24" borderId="41" xfId="0" applyFont="1" applyFill="1" applyBorder="1" applyAlignment="1">
      <alignment vertical="top"/>
    </xf>
    <xf numFmtId="164" fontId="12" fillId="24" borderId="41" xfId="0" applyNumberFormat="1" applyFont="1" applyFill="1" applyBorder="1"/>
    <xf numFmtId="164" fontId="12" fillId="24" borderId="41" xfId="0" applyNumberFormat="1" applyFont="1" applyFill="1" applyBorder="1" applyAlignment="1">
      <alignment horizontal="right"/>
    </xf>
    <xf numFmtId="0" fontId="12" fillId="24" borderId="41" xfId="0" applyFont="1" applyFill="1" applyBorder="1" applyAlignment="1">
      <alignment horizontal="right"/>
    </xf>
    <xf numFmtId="1" fontId="12" fillId="24" borderId="41" xfId="0" applyNumberFormat="1" applyFont="1" applyFill="1" applyBorder="1" applyAlignment="1">
      <alignment horizontal="right"/>
    </xf>
    <xf numFmtId="0" fontId="12" fillId="0" borderId="41" xfId="0" applyFont="1" applyBorder="1" applyAlignment="1">
      <alignment vertical="top"/>
    </xf>
    <xf numFmtId="164" fontId="12" fillId="0" borderId="41" xfId="0" applyNumberFormat="1" applyFont="1" applyBorder="1"/>
    <xf numFmtId="164" fontId="12" fillId="0" borderId="41" xfId="0" applyNumberFormat="1" applyFont="1" applyBorder="1" applyAlignment="1">
      <alignment horizontal="right"/>
    </xf>
    <xf numFmtId="0" fontId="12" fillId="0" borderId="41" xfId="0" applyFont="1" applyBorder="1" applyAlignment="1">
      <alignment horizontal="right"/>
    </xf>
    <xf numFmtId="1" fontId="12" fillId="0" borderId="41" xfId="0" applyNumberFormat="1" applyFont="1" applyBorder="1" applyAlignment="1">
      <alignment horizontal="right"/>
    </xf>
    <xf numFmtId="165" fontId="12" fillId="0" borderId="41" xfId="0" applyNumberFormat="1" applyFont="1" applyBorder="1" applyAlignment="1">
      <alignment vertical="top"/>
    </xf>
    <xf numFmtId="165" fontId="12" fillId="24" borderId="41" xfId="0" applyNumberFormat="1" applyFont="1" applyFill="1" applyBorder="1" applyAlignment="1">
      <alignment vertical="top"/>
    </xf>
    <xf numFmtId="0" fontId="20" fillId="35" borderId="41" xfId="0" applyFont="1" applyFill="1" applyBorder="1"/>
    <xf numFmtId="0" fontId="12" fillId="30" borderId="41" xfId="0" applyFont="1" applyFill="1" applyBorder="1" applyAlignment="1">
      <alignment horizontal="center" vertical="center" wrapText="1"/>
    </xf>
    <xf numFmtId="0" fontId="12" fillId="0" borderId="41" xfId="0" applyFont="1" applyBorder="1" applyAlignment="1">
      <alignment horizontal="center" vertical="center" wrapText="1"/>
    </xf>
    <xf numFmtId="0" fontId="12" fillId="31" borderId="41" xfId="0" applyFont="1" applyFill="1" applyBorder="1" applyAlignment="1">
      <alignment horizontal="center" vertical="center" wrapText="1"/>
    </xf>
    <xf numFmtId="164" fontId="12" fillId="0" borderId="41" xfId="0" applyNumberFormat="1" applyFont="1" applyBorder="1" applyAlignment="1">
      <alignment horizontal="right" vertical="center" wrapText="1"/>
    </xf>
    <xf numFmtId="164" fontId="12" fillId="31" borderId="41" xfId="0" applyNumberFormat="1" applyFont="1" applyFill="1" applyBorder="1" applyAlignment="1">
      <alignment horizontal="right" vertical="center" wrapText="1"/>
    </xf>
    <xf numFmtId="0" fontId="12" fillId="31" borderId="41" xfId="0" applyFont="1" applyFill="1" applyBorder="1" applyAlignment="1">
      <alignment horizontal="right" vertical="center" wrapText="1"/>
    </xf>
    <xf numFmtId="0" fontId="12" fillId="32" borderId="41" xfId="0" applyFont="1" applyFill="1" applyBorder="1" applyAlignment="1">
      <alignment horizontal="right" vertical="center" wrapText="1"/>
    </xf>
    <xf numFmtId="164" fontId="12" fillId="32" borderId="41" xfId="0" applyNumberFormat="1" applyFont="1" applyFill="1" applyBorder="1" applyAlignment="1">
      <alignment horizontal="right" vertical="center" wrapText="1"/>
    </xf>
    <xf numFmtId="0" fontId="12" fillId="24" borderId="41" xfId="0" applyFont="1" applyFill="1" applyBorder="1" applyAlignment="1">
      <alignment horizontal="center" vertical="center" wrapText="1"/>
    </xf>
    <xf numFmtId="164" fontId="12" fillId="24" borderId="41" xfId="0" applyNumberFormat="1" applyFont="1" applyFill="1" applyBorder="1" applyAlignment="1">
      <alignment horizontal="right" vertical="center" wrapText="1"/>
    </xf>
    <xf numFmtId="164" fontId="12" fillId="24" borderId="41" xfId="0" applyNumberFormat="1" applyFont="1" applyFill="1" applyBorder="1" applyAlignment="1">
      <alignment horizontal="center" vertical="center" wrapText="1"/>
    </xf>
    <xf numFmtId="1" fontId="12" fillId="32" borderId="41" xfId="0" applyNumberFormat="1" applyFont="1" applyFill="1" applyBorder="1" applyAlignment="1">
      <alignment horizontal="right" vertical="center" wrapText="1"/>
    </xf>
    <xf numFmtId="1" fontId="12" fillId="32" borderId="41" xfId="0" applyNumberFormat="1" applyFont="1" applyFill="1" applyBorder="1" applyAlignment="1">
      <alignment horizontal="right"/>
    </xf>
    <xf numFmtId="164" fontId="12" fillId="0" borderId="41" xfId="0" applyNumberFormat="1" applyFont="1" applyBorder="1" applyAlignment="1">
      <alignment horizontal="center" vertical="center" wrapText="1"/>
    </xf>
    <xf numFmtId="0" fontId="12" fillId="33" borderId="41" xfId="0" applyFont="1" applyFill="1" applyBorder="1"/>
    <xf numFmtId="0" fontId="12" fillId="34" borderId="41" xfId="0" applyFont="1" applyFill="1" applyBorder="1"/>
    <xf numFmtId="0" fontId="12" fillId="36" borderId="41" xfId="0" applyFont="1" applyFill="1" applyBorder="1"/>
    <xf numFmtId="0" fontId="12" fillId="37" borderId="41" xfId="0" applyFont="1" applyFill="1" applyBorder="1"/>
    <xf numFmtId="0" fontId="12" fillId="35" borderId="41" xfId="0" applyFont="1" applyFill="1" applyBorder="1"/>
    <xf numFmtId="0" fontId="12" fillId="38" borderId="41" xfId="0" applyFont="1" applyFill="1" applyBorder="1"/>
    <xf numFmtId="0" fontId="12" fillId="39" borderId="41" xfId="0" applyFont="1" applyFill="1" applyBorder="1"/>
    <xf numFmtId="0" fontId="12" fillId="40" borderId="41" xfId="0" applyFont="1" applyFill="1" applyBorder="1"/>
    <xf numFmtId="0" fontId="12" fillId="41" borderId="41" xfId="0" applyFont="1" applyFill="1" applyBorder="1"/>
    <xf numFmtId="0" fontId="12" fillId="42" borderId="41" xfId="0" applyFont="1" applyFill="1" applyBorder="1"/>
    <xf numFmtId="0" fontId="12" fillId="43" borderId="41" xfId="0" applyFont="1" applyFill="1" applyBorder="1"/>
    <xf numFmtId="0" fontId="12" fillId="44" borderId="41" xfId="0" applyFont="1" applyFill="1" applyBorder="1"/>
    <xf numFmtId="0" fontId="12" fillId="45" borderId="41" xfId="0" applyFont="1" applyFill="1" applyBorder="1"/>
    <xf numFmtId="0" fontId="12" fillId="46" borderId="41" xfId="0" applyFont="1" applyFill="1" applyBorder="1"/>
    <xf numFmtId="0" fontId="12" fillId="47" borderId="41" xfId="0" applyFont="1" applyFill="1" applyBorder="1"/>
    <xf numFmtId="0" fontId="19" fillId="29" borderId="45" xfId="0" applyFont="1" applyFill="1" applyBorder="1" applyAlignment="1">
      <alignment horizontal="center" vertical="center" wrapText="1"/>
    </xf>
    <xf numFmtId="0" fontId="19" fillId="30" borderId="45" xfId="0" applyFont="1" applyFill="1" applyBorder="1" applyAlignment="1">
      <alignment horizontal="center" vertical="center" wrapText="1"/>
    </xf>
    <xf numFmtId="0" fontId="19" fillId="31" borderId="45" xfId="0" applyFont="1" applyFill="1" applyBorder="1" applyAlignment="1">
      <alignment horizontal="center" vertical="center" wrapText="1"/>
    </xf>
    <xf numFmtId="0" fontId="19" fillId="32" borderId="45" xfId="0" applyFont="1" applyFill="1" applyBorder="1" applyAlignment="1">
      <alignment horizontal="center" vertical="center" wrapText="1"/>
    </xf>
    <xf numFmtId="0" fontId="20" fillId="35" borderId="46" xfId="0" applyFont="1" applyFill="1" applyBorder="1"/>
    <xf numFmtId="0" fontId="12" fillId="30" borderId="46" xfId="0" applyFont="1" applyFill="1" applyBorder="1" applyAlignment="1">
      <alignment horizontal="center" vertical="center" wrapText="1"/>
    </xf>
    <xf numFmtId="164" fontId="12" fillId="0" borderId="46" xfId="0" applyNumberFormat="1" applyFont="1" applyBorder="1" applyAlignment="1">
      <alignment horizontal="right" vertical="center" wrapText="1"/>
    </xf>
    <xf numFmtId="0" fontId="20" fillId="31" borderId="46" xfId="0" applyFont="1" applyFill="1" applyBorder="1"/>
    <xf numFmtId="0" fontId="12" fillId="24" borderId="46" xfId="0" applyFont="1" applyFill="1" applyBorder="1"/>
    <xf numFmtId="165" fontId="12" fillId="24" borderId="46" xfId="0" applyNumberFormat="1" applyFont="1" applyFill="1" applyBorder="1" applyAlignment="1">
      <alignment vertical="top"/>
    </xf>
    <xf numFmtId="164" fontId="12" fillId="24" borderId="46" xfId="0" applyNumberFormat="1" applyFont="1" applyFill="1" applyBorder="1"/>
    <xf numFmtId="164" fontId="12" fillId="24" borderId="46" xfId="0" applyNumberFormat="1" applyFont="1" applyFill="1" applyBorder="1" applyAlignment="1">
      <alignment horizontal="right"/>
    </xf>
    <xf numFmtId="0" fontId="12" fillId="24" borderId="46" xfId="0" applyFont="1" applyFill="1" applyBorder="1" applyAlignment="1">
      <alignment horizontal="right"/>
    </xf>
    <xf numFmtId="1" fontId="12" fillId="24" borderId="46" xfId="0" applyNumberFormat="1" applyFont="1" applyFill="1" applyBorder="1" applyAlignment="1">
      <alignment horizontal="right"/>
    </xf>
    <xf numFmtId="164" fontId="12" fillId="0" borderId="45" xfId="0" applyNumberFormat="1" applyFont="1" applyBorder="1" applyAlignment="1">
      <alignment horizontal="right" vertical="center" wrapText="1"/>
    </xf>
    <xf numFmtId="0" fontId="0" fillId="0" borderId="44" xfId="0" applyBorder="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16" borderId="1" xfId="0" applyFill="1" applyBorder="1" applyAlignment="1">
      <alignment horizontal="center"/>
    </xf>
    <xf numFmtId="0" fontId="0" fillId="16" borderId="2" xfId="0" applyFill="1" applyBorder="1" applyAlignment="1">
      <alignment horizontal="center"/>
    </xf>
    <xf numFmtId="0" fontId="0" fillId="16" borderId="3" xfId="0" applyFill="1" applyBorder="1" applyAlignment="1">
      <alignment horizontal="center"/>
    </xf>
  </cellXfs>
  <cellStyles count="5">
    <cellStyle name="Comma" xfId="1" builtinId="3"/>
    <cellStyle name="Currency" xfId="2" builtinId="4"/>
    <cellStyle name="Hyperlink" xfId="3" builtinId="8"/>
    <cellStyle name="Normal" xfId="0" builtinId="0"/>
    <cellStyle name="Percent" xfId="4" builtinId="5"/>
  </cellStyles>
  <dxfs count="413">
    <dxf>
      <numFmt numFmtId="173" formatCode="m/d/yyyy"/>
    </dxf>
    <dxf>
      <numFmt numFmtId="173" formatCode="m/d/yyyy"/>
    </dxf>
    <dxf>
      <numFmt numFmtId="173" formatCode="m/d/yyyy"/>
    </dxf>
    <dxf>
      <numFmt numFmtId="173" formatCode="m/d/yyyy"/>
    </dxf>
    <dxf>
      <numFmt numFmtId="173" formatCode="m/d/yyyy"/>
    </dxf>
    <dxf>
      <numFmt numFmtId="173" formatCode="m/d/yyyy"/>
    </dxf>
    <dxf>
      <numFmt numFmtId="173" formatCode="m/d/yyyy"/>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74" formatCode="m/d/yyyy\ h:mm"/>
    </dxf>
    <dxf>
      <numFmt numFmtId="0" formatCode="General"/>
    </dxf>
    <dxf>
      <numFmt numFmtId="174" formatCode="m/d/yyyy\ h:mm"/>
    </dxf>
    <dxf>
      <numFmt numFmtId="0" formatCode="General"/>
    </dxf>
    <dxf>
      <numFmt numFmtId="174" formatCode="m/d/yyyy\ h:mm"/>
    </dxf>
    <dxf>
      <numFmt numFmtId="0" formatCode="General"/>
    </dxf>
    <dxf>
      <numFmt numFmtId="174" formatCode="m/d/yyyy\ h:mm"/>
    </dxf>
    <dxf>
      <numFmt numFmtId="174" formatCode="m/d/yyyy\ h:mm"/>
    </dxf>
    <dxf>
      <numFmt numFmtId="174" formatCode="m/d/yyyy\ h:mm"/>
    </dxf>
    <dxf>
      <numFmt numFmtId="174"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fill>
        <patternFill>
          <bgColor theme="0" tint="-0.14996795556505021"/>
        </patternFill>
      </fill>
    </dxf>
    <dxf>
      <font>
        <color auto="1"/>
      </font>
      <fill>
        <patternFill>
          <bgColor theme="0" tint="-0.14996795556505021"/>
        </patternFill>
      </fil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2" formatCode="0.00"/>
    </dxf>
    <dxf>
      <numFmt numFmtId="165" formatCode="_(* #,##0_);_(* \(#,##0\);_(* &quot;-&quot;??_);_(@_)"/>
    </dxf>
    <dxf>
      <fill>
        <patternFill>
          <bgColor theme="7" tint="0.59996337778862885"/>
        </patternFill>
      </fill>
    </dxf>
    <dxf>
      <fill>
        <patternFill>
          <bgColor theme="7" tint="0.59996337778862885"/>
        </patternFill>
      </fill>
    </dxf>
    <dxf>
      <numFmt numFmtId="1" formatCode="0"/>
    </dxf>
    <dxf>
      <numFmt numFmtId="1" formatCode="0"/>
    </dxf>
    <dxf>
      <numFmt numFmtId="1" formatCode="0"/>
    </dxf>
    <dxf>
      <numFmt numFmtId="170" formatCode="0.0"/>
    </dxf>
    <dxf>
      <numFmt numFmtId="170" formatCode="0.0"/>
    </dxf>
    <dxf>
      <numFmt numFmtId="170" formatCode="0.0"/>
    </dxf>
    <dxf>
      <numFmt numFmtId="0" formatCode="General"/>
    </dxf>
    <dxf>
      <numFmt numFmtId="171" formatCode="m/d;@"/>
    </dxf>
    <dxf>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font>
    </dxf>
    <dxf>
      <font>
        <b val="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 formatCode="0"/>
    </dxf>
    <dxf>
      <font>
        <b val="0"/>
      </font>
    </dxf>
    <dxf>
      <font>
        <b val="0"/>
        <i val="0"/>
        <strike val="0"/>
        <condense val="0"/>
        <extend val="0"/>
        <outline val="0"/>
        <shadow val="0"/>
        <u val="none"/>
        <vertAlign val="baseline"/>
        <sz val="11"/>
        <color theme="1"/>
        <name val="Calibri"/>
        <family val="2"/>
        <scheme val="minor"/>
      </font>
    </dxf>
    <dxf>
      <font>
        <b val="0"/>
      </font>
    </dxf>
    <dxf>
      <font>
        <b val="0"/>
        <i val="0"/>
        <strike val="0"/>
        <condense val="0"/>
        <extend val="0"/>
        <outline val="0"/>
        <shadow val="0"/>
        <u val="none"/>
        <vertAlign val="baseline"/>
        <sz val="11"/>
        <color theme="1"/>
        <name val="Calibri"/>
        <family val="2"/>
        <scheme val="minor"/>
      </font>
      <numFmt numFmtId="0" formatCode="General"/>
    </dxf>
    <dxf>
      <font>
        <b val="0"/>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0" formatCode="General"/>
    </dxf>
    <dxf>
      <font>
        <b val="0"/>
      </font>
      <numFmt numFmtId="13" formatCode="0%"/>
    </dxf>
    <dxf>
      <font>
        <b val="0"/>
        <i val="0"/>
        <strike val="0"/>
        <condense val="0"/>
        <extend val="0"/>
        <outline val="0"/>
        <shadow val="0"/>
        <u val="none"/>
        <vertAlign val="baseline"/>
        <sz val="11"/>
        <color theme="1"/>
        <name val="Calibri"/>
        <family val="2"/>
        <scheme val="minor"/>
      </font>
    </dxf>
    <dxf>
      <font>
        <b val="0"/>
      </font>
      <numFmt numFmtId="168" formatCode="0.000"/>
    </dxf>
    <dxf>
      <font>
        <b val="0"/>
        <i val="0"/>
        <strike val="0"/>
        <condense val="0"/>
        <extend val="0"/>
        <outline val="0"/>
        <shadow val="0"/>
        <u val="none"/>
        <vertAlign val="baseline"/>
        <sz val="11"/>
        <color theme="1"/>
        <name val="Calibri"/>
        <family val="2"/>
        <scheme val="minor"/>
      </font>
    </dxf>
    <dxf>
      <font>
        <b val="0"/>
      </font>
      <numFmt numFmtId="168" formatCode="0.000"/>
    </dxf>
    <dxf>
      <font>
        <b val="0"/>
        <i val="0"/>
        <strike val="0"/>
        <condense val="0"/>
        <extend val="0"/>
        <outline val="0"/>
        <shadow val="0"/>
        <u val="none"/>
        <vertAlign val="baseline"/>
        <sz val="11"/>
        <color theme="1"/>
        <name val="Calibri"/>
        <family val="2"/>
        <scheme val="minor"/>
      </font>
    </dxf>
    <dxf>
      <font>
        <b val="0"/>
      </font>
      <numFmt numFmtId="168" formatCode="0.000"/>
    </dxf>
    <dxf>
      <font>
        <b val="0"/>
        <i val="0"/>
        <strike val="0"/>
        <condense val="0"/>
        <extend val="0"/>
        <outline val="0"/>
        <shadow val="0"/>
        <u val="none"/>
        <vertAlign val="baseline"/>
        <sz val="11"/>
        <color theme="1"/>
        <name val="Calibri"/>
        <family val="2"/>
        <scheme val="minor"/>
      </font>
    </dxf>
    <dxf>
      <font>
        <b val="0"/>
      </font>
      <numFmt numFmtId="0" formatCode="Genera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font>
      <numFmt numFmtId="0" formatCode="General"/>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font>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font>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7" tint="0.59999389629810485"/>
        </patternFill>
      </fill>
    </dxf>
    <dxf>
      <font>
        <b val="0"/>
      </font>
      <numFmt numFmtId="0" formatCode="General"/>
      <fill>
        <patternFill patternType="solid">
          <fgColor indexed="64"/>
          <bgColor theme="7" tint="0.59999389629810485"/>
        </patternFill>
      </fill>
    </dxf>
    <dxf>
      <font>
        <b val="0"/>
      </font>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dxf>
    <dxf>
      <font>
        <b val="0"/>
      </font>
      <numFmt numFmtId="165"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font>
      <numFmt numFmtId="165" formatCode="_(* #,##0_);_(* \(#,##0\);_(* &quot;-&quot;??_);_(@_)"/>
    </dxf>
    <dxf>
      <font>
        <b val="0"/>
        <i val="0"/>
        <strike val="0"/>
        <condense val="0"/>
        <extend val="0"/>
        <outline val="0"/>
        <shadow val="0"/>
        <u val="none"/>
        <vertAlign val="baseline"/>
        <sz val="11"/>
        <color theme="1"/>
        <name val="Calibri"/>
        <family val="2"/>
        <scheme val="minor"/>
      </font>
    </dxf>
    <dxf>
      <font>
        <b val="0"/>
      </font>
    </dxf>
    <dxf>
      <font>
        <b val="0"/>
        <i val="0"/>
        <strike val="0"/>
        <condense val="0"/>
        <extend val="0"/>
        <outline val="0"/>
        <shadow val="0"/>
        <u val="none"/>
        <vertAlign val="baseline"/>
        <sz val="11"/>
        <color theme="1"/>
        <name val="Calibri"/>
        <family val="2"/>
        <scheme val="minor"/>
      </font>
    </dxf>
    <dxf>
      <font>
        <b val="0"/>
      </font>
      <numFmt numFmtId="0" formatCode="General"/>
    </dxf>
    <dxf>
      <font>
        <b val="0"/>
        <i val="0"/>
        <strike val="0"/>
        <condense val="0"/>
        <extend val="0"/>
        <outline val="0"/>
        <shadow val="0"/>
        <u val="none"/>
        <vertAlign val="baseline"/>
        <sz val="11"/>
        <color theme="1"/>
        <name val="Calibri"/>
        <family val="2"/>
        <scheme val="minor"/>
      </font>
    </dxf>
    <dxf>
      <font>
        <b val="0"/>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font>
    </dxf>
    <dxf>
      <alignment horizontal="center" vertical="top" textRotation="0" wrapText="1"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top" textRotation="0" wrapText="1"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 formatCode="0"/>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54823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5" formatCode="_(* #,##0_);_(* \(#,##0\);_(* &quot;-&quot;??_);_(@_)"/>
      <alignment horizontal="general" vertical="top" textRotation="0" wrapText="0"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BF8F00"/>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BF8F00"/>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BF8F00"/>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FFFFFF"/>
        <name val="Calibri"/>
        <family val="2"/>
        <scheme val="minor"/>
      </font>
      <fill>
        <patternFill patternType="solid">
          <fgColor rgb="FF000000"/>
          <bgColor rgb="FFFF0000"/>
        </patternFill>
      </fill>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00B050"/>
        </patternFill>
      </fill>
      <border diagonalUp="0" diagonalDown="0">
        <left/>
        <right/>
        <top style="thin">
          <color rgb="FF000000"/>
        </top>
        <bottom style="thin">
          <color rgb="FF000000"/>
        </bottom>
        <vertical/>
        <horizontal/>
      </border>
    </dxf>
    <dxf>
      <border outline="0">
        <top style="thin">
          <color rgb="FF000000"/>
        </top>
      </border>
    </dxf>
    <dxf>
      <border outline="0">
        <left style="thin">
          <color rgb="FF000000"/>
        </left>
        <top style="thin">
          <color rgb="FF000000"/>
        </top>
        <bottom style="thin">
          <color rgb="FF000000"/>
        </bottom>
      </border>
    </dxf>
    <dxf>
      <font>
        <b val="0"/>
        <i val="0"/>
        <strike val="0"/>
        <condense val="0"/>
        <extend val="0"/>
        <outline val="0"/>
        <shadow val="0"/>
        <u val="none"/>
        <vertAlign val="baseline"/>
        <sz val="11"/>
        <color rgb="FF000000"/>
        <name val="Calibri"/>
        <family val="2"/>
        <scheme val="minor"/>
      </font>
      <alignment horizontal="right"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1"/>
        <color rgb="FFFFFFFF"/>
        <name val="Calibri"/>
        <family val="2"/>
        <scheme val="minor"/>
      </font>
      <fill>
        <patternFill patternType="solid">
          <fgColor rgb="FF000000"/>
          <bgColor rgb="FF000000"/>
        </patternFill>
      </fill>
      <alignment horizontal="center" vertical="center" textRotation="0" wrapText="1" indent="0" justifyLastLine="0" shrinkToFit="0" readingOrder="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170" formatCode="0.0"/>
    </dxf>
    <dxf>
      <numFmt numFmtId="170" formatCode="0.0"/>
    </dxf>
    <dxf>
      <numFmt numFmtId="0" formatCode="General"/>
    </dxf>
    <dxf>
      <numFmt numFmtId="0" formatCode="General"/>
    </dxf>
    <dxf>
      <numFmt numFmtId="170" formatCode="0.0"/>
    </dxf>
    <dxf>
      <numFmt numFmtId="170" formatCode="0.0"/>
    </dxf>
    <dxf>
      <numFmt numFmtId="0" formatCode="General"/>
    </dxf>
    <dxf>
      <numFmt numFmtId="0" formatCode="General"/>
    </dxf>
    <dxf>
      <numFmt numFmtId="170" formatCode="0.0"/>
    </dxf>
    <dxf>
      <numFmt numFmtId="170"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73" formatCode="m/d/yyyy"/>
      <alignment horizontal="center" vertical="center" textRotation="0" wrapText="1" indent="0" justifyLastLine="0" shrinkToFit="0" readingOrder="0"/>
    </dxf>
    <dxf>
      <alignment horizontal="center" vertical="center" textRotation="0" wrapText="1" indent="0" justifyLastLine="0" shrinkToFit="0" readingOrder="0"/>
    </dxf>
    <dxf>
      <numFmt numFmtId="173" formatCode="m/d/yyyy"/>
      <alignment horizontal="center" vertical="center" textRotation="0" wrapText="1" indent="0" justifyLastLine="0" shrinkToFit="0" readingOrder="0"/>
    </dxf>
    <dxf>
      <alignment horizontal="center" vertical="center" textRotation="0" wrapText="1" indent="0" justifyLastLine="0" shrinkToFit="0" readingOrder="0"/>
    </dxf>
    <dxf>
      <numFmt numFmtId="173" formatCode="m/d/yyyy"/>
      <alignment horizontal="center" vertical="center" textRotation="0" wrapText="1" indent="0" justifyLastLine="0" shrinkToFit="0" readingOrder="0"/>
    </dxf>
    <dxf>
      <alignment horizontal="center" vertical="center" textRotation="0" wrapText="1" indent="0" justifyLastLine="0" shrinkToFit="0" readingOrder="0"/>
    </dxf>
    <dxf>
      <numFmt numFmtId="173" formatCode="m/d/yyyy"/>
      <alignment horizontal="center" vertical="center" textRotation="0" wrapText="1" indent="0" justifyLastLine="0" shrinkToFit="0" readingOrder="0"/>
    </dxf>
    <dxf>
      <numFmt numFmtId="173" formatCode="m/d/yyyy"/>
      <alignment horizontal="center" vertical="center" textRotation="0" wrapText="1" indent="0" justifyLastLine="0" shrinkToFit="0" readingOrder="0"/>
    </dxf>
    <dxf>
      <numFmt numFmtId="173" formatCode="m/d/yyyy"/>
      <alignment horizontal="center" vertical="center" textRotation="0" wrapText="1" indent="0" justifyLastLine="0" shrinkToFit="0" readingOrder="0"/>
    </dxf>
    <dxf>
      <numFmt numFmtId="173" formatCode="m/d/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164" formatCode="mm/dd/yy;@"/>
    </dxf>
    <dxf>
      <numFmt numFmtId="164" formatCode="mm/dd/yy;@"/>
    </dxf>
    <dxf>
      <numFmt numFmtId="0" formatCode="General"/>
      <alignment horizontal="center" vertical="center" textRotation="0" wrapText="1"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 formatCode="0"/>
      <alignment horizontal="right" vertical="bottom" textRotation="0" wrapText="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alignment horizontal="right" textRotation="0" indent="0" justifyLastLine="0" shrinkToFit="0" readingOrder="0"/>
    </dxf>
    <dxf>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dxf>
    <dxf>
      <numFmt numFmtId="0" formatCode="General"/>
    </dxf>
    <dxf>
      <numFmt numFmtId="165" formatCode="_(* #,##0_);_(* \(#,##0\);_(* &quot;-&quot;??_);_(@_)"/>
    </dxf>
    <dxf>
      <fill>
        <patternFill patternType="solid">
          <fgColor indexed="64"/>
          <bgColor theme="9" tint="-0.249977111117893"/>
        </patternFill>
      </fill>
      <alignment horizontal="center" vertical="center" textRotation="0" wrapText="1" indent="0" justifyLastLine="0" shrinkToFit="0" readingOrder="0"/>
    </dxf>
    <dxf>
      <numFmt numFmtId="165" formatCode="_(* #,##0_);_(* \(#,##0\);_(* &quot;-&quot;??_);_(@_)"/>
      <alignment horizontal="general" vertical="top" textRotation="0" wrapText="0" indent="0" justifyLastLine="0" shrinkToFit="0" readingOrder="0"/>
    </dxf>
    <dxf>
      <numFmt numFmtId="0" formatCode="General"/>
    </dxf>
    <dxf>
      <numFmt numFmtId="0" formatCode="General"/>
      <fill>
        <patternFill patternType="solid">
          <fgColor indexed="64"/>
          <bgColor theme="7" tint="-0.249977111117893"/>
        </patternFill>
      </fill>
      <alignment horizontal="center" vertical="center" textRotation="0" wrapText="1" indent="0" justifyLastLine="0" shrinkToFit="0" readingOrder="0"/>
    </dxf>
    <dxf>
      <numFmt numFmtId="0" formatCode="General"/>
      <fill>
        <patternFill patternType="solid">
          <fgColor indexed="64"/>
          <bgColor theme="7"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FF0000"/>
        </patternFill>
      </fill>
    </dxf>
    <dxf>
      <font>
        <b val="0"/>
        <i val="0"/>
        <strike val="0"/>
        <condense val="0"/>
        <extend val="0"/>
        <outline val="0"/>
        <shadow val="0"/>
        <u val="none"/>
        <vertAlign val="baseline"/>
        <sz val="11"/>
        <color theme="0"/>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center" textRotation="0" wrapText="1"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numFmt numFmtId="170" formatCode="0.0"/>
    </dxf>
    <dxf>
      <font>
        <b val="0"/>
        <i val="0"/>
        <strike val="0"/>
        <condense val="0"/>
        <extend val="0"/>
        <outline val="0"/>
        <shadow val="0"/>
        <u val="none"/>
        <vertAlign val="baseline"/>
        <sz val="11"/>
        <color theme="1"/>
        <name val="Calibri"/>
        <family val="2"/>
        <scheme val="minor"/>
      </font>
      <numFmt numFmtId="170" formatCode="0.0"/>
    </dxf>
    <dxf>
      <font>
        <b val="0"/>
        <i val="0"/>
        <strike val="0"/>
        <condense val="0"/>
        <extend val="0"/>
        <outline val="0"/>
        <shadow val="0"/>
        <u val="none"/>
        <vertAlign val="baseline"/>
        <sz val="11"/>
        <color theme="1"/>
        <name val="Calibri"/>
        <family val="2"/>
        <scheme val="minor"/>
      </font>
      <numFmt numFmtId="170" formatCode="0.0"/>
    </dxf>
    <dxf>
      <font>
        <b val="0"/>
        <i val="0"/>
        <strike val="0"/>
        <condense val="0"/>
        <extend val="0"/>
        <outline val="0"/>
        <shadow val="0"/>
        <u val="none"/>
        <vertAlign val="baseline"/>
        <sz val="11"/>
        <color theme="1"/>
        <name val="Calibri"/>
        <family val="2"/>
        <scheme val="minor"/>
      </font>
      <numFmt numFmtId="170" formatCode="0.0"/>
    </dxf>
    <dxf>
      <numFmt numFmtId="170" formatCode="0.0"/>
    </dxf>
    <dxf>
      <numFmt numFmtId="170" formatCode="0.0"/>
    </dxf>
    <dxf>
      <numFmt numFmtId="35" formatCode="_(* #,##0.00_);_(* \(#,##0.00\);_(* &quot;-&quot;??_);_(@_)"/>
    </dxf>
    <dxf>
      <numFmt numFmtId="35" formatCode="_(* #,##0.00_);_(* \(#,##0.00\);_(* &quot;-&quot;??_);_(@_)"/>
    </dxf>
    <dxf>
      <numFmt numFmtId="35" formatCode="_(* #,##0.00_);_(* \(#,##0.00\);_(* &quot;-&quot;??_);_(@_)"/>
    </dxf>
    <dxf>
      <numFmt numFmtId="2" formatCode="0.00"/>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6" formatCode="_(&quot;$&quot;* #,##0_);_(&quot;$&quot;* \(#,##0\);_(&quot;$&quot;* &quot;-&quot;??_);_(@_)"/>
    </dxf>
    <dxf>
      <numFmt numFmtId="2" formatCode="0.00"/>
    </dxf>
    <dxf>
      <numFmt numFmtId="2"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2" formatCode="0.00"/>
    </dxf>
    <dxf>
      <numFmt numFmtId="0" formatCode="General"/>
    </dxf>
    <dxf>
      <numFmt numFmtId="0" formatCode="General"/>
    </dxf>
    <dxf>
      <numFmt numFmtId="0" formatCode="General"/>
    </dxf>
    <dxf>
      <numFmt numFmtId="2" formatCode="0.00"/>
    </dxf>
    <dxf>
      <numFmt numFmtId="2" formatCode="0.00"/>
    </dxf>
    <dxf>
      <numFmt numFmtId="0" formatCode="General"/>
    </dxf>
    <dxf>
      <numFmt numFmtId="0" formatCode="General"/>
    </dxf>
    <dxf>
      <numFmt numFmtId="2" formatCode="0.00"/>
    </dxf>
    <dxf>
      <numFmt numFmtId="2" formatCode="0.00"/>
    </dxf>
    <dxf>
      <numFmt numFmtId="2" formatCode="0.00"/>
    </dxf>
    <dxf>
      <numFmt numFmtId="0" formatCode="General"/>
    </dxf>
    <dxf>
      <numFmt numFmtId="0" formatCode="General"/>
    </dxf>
    <dxf>
      <numFmt numFmtId="167" formatCode="[$-409]mmm\-dd;@"/>
    </dxf>
    <dxf>
      <numFmt numFmtId="167" formatCode="[$-409]mmm\-dd;@"/>
    </dxf>
    <dxf>
      <numFmt numFmtId="167" formatCode="[$-409]mmm\-dd;@"/>
    </dxf>
    <dxf>
      <numFmt numFmtId="167" formatCode="[$-409]mmm\-dd;@"/>
    </dxf>
    <dxf>
      <numFmt numFmtId="165" formatCode="_(* #,##0_);_(* \(#,##0\);_(* &quot;-&quot;??_);_(@_)"/>
    </dxf>
    <dxf>
      <numFmt numFmtId="166" formatCode="_(&quot;$&quot;* #,##0_);_(&quot;$&quot;* \(#,##0\);_(&quot;$&quot;* &quot;-&quot;??_);_(@_)"/>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34" formatCode="_(&quot;$&quot;* #,##0.00_);_(&quot;$&quot;* \(#,##0.00\);_(&quot;$&quot;* &quot;-&quot;??_);_(@_)"/>
    </dxf>
    <dxf>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_(* #,##0_);_(* \(#,##0\);_(* &quot;-&quot;??_);_(@_)"/>
    </dxf>
    <dxf>
      <numFmt numFmtId="0" formatCode="General"/>
    </dxf>
    <dxf>
      <numFmt numFmtId="0" formatCode="General"/>
    </dxf>
    <dxf>
      <numFmt numFmtId="1" formatCode="0"/>
    </dxf>
    <dxf>
      <numFmt numFmtId="0" formatCode="General"/>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0" formatCode="General"/>
    </dxf>
    <dxf>
      <alignment horizontal="left" vertical="top" textRotation="0" wrapText="1" indent="0" justifyLastLine="0" shrinkToFit="0" readingOrder="0"/>
    </dxf>
  </dxfs>
  <tableStyles count="0" defaultTableStyle="TableStyleMedium2" defaultPivotStyle="PivotStyleLight16"/>
  <colors>
    <mruColors>
      <color rgb="FFFF5050"/>
      <color rgb="FFFF99FF"/>
      <color rgb="FFCC99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styles" Target="style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D09F9166-5ABC-0B4B-9434-68419B4A92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68A-4A45-B72D-485ABFA4413D}"/>
                </c:ext>
              </c:extLst>
            </c:dLbl>
            <c:dLbl>
              <c:idx val="1"/>
              <c:tx>
                <c:rich>
                  <a:bodyPr/>
                  <a:lstStyle/>
                  <a:p>
                    <a:fld id="{8C91F406-15CF-CA43-BD7D-E09B9ED390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68A-4A45-B72D-485ABFA4413D}"/>
                </c:ext>
              </c:extLst>
            </c:dLbl>
            <c:dLbl>
              <c:idx val="2"/>
              <c:tx>
                <c:rich>
                  <a:bodyPr/>
                  <a:lstStyle/>
                  <a:p>
                    <a:fld id="{39A38F0C-59D2-B042-90A4-142855C23A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68A-4A45-B72D-485ABFA4413D}"/>
                </c:ext>
              </c:extLst>
            </c:dLbl>
            <c:dLbl>
              <c:idx val="3"/>
              <c:tx>
                <c:rich>
                  <a:bodyPr/>
                  <a:lstStyle/>
                  <a:p>
                    <a:fld id="{13189AAB-597D-1143-868B-00F1432E36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68A-4A45-B72D-485ABFA4413D}"/>
                </c:ext>
              </c:extLst>
            </c:dLbl>
            <c:dLbl>
              <c:idx val="4"/>
              <c:tx>
                <c:rich>
                  <a:bodyPr/>
                  <a:lstStyle/>
                  <a:p>
                    <a:fld id="{F73A1FDA-B9F8-5745-90BE-82D641F27E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68A-4A45-B72D-485ABFA4413D}"/>
                </c:ext>
              </c:extLst>
            </c:dLbl>
            <c:dLbl>
              <c:idx val="5"/>
              <c:tx>
                <c:rich>
                  <a:bodyPr/>
                  <a:lstStyle/>
                  <a:p>
                    <a:fld id="{7A0BDF06-EC6F-3A47-BC06-931B04BBD9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68A-4A45-B72D-485ABFA4413D}"/>
                </c:ext>
              </c:extLst>
            </c:dLbl>
            <c:dLbl>
              <c:idx val="6"/>
              <c:tx>
                <c:rich>
                  <a:bodyPr/>
                  <a:lstStyle/>
                  <a:p>
                    <a:fld id="{6475D1FA-59BD-EF48-8AAE-58AE9EE7CC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68A-4A45-B72D-485ABFA4413D}"/>
                </c:ext>
              </c:extLst>
            </c:dLbl>
            <c:dLbl>
              <c:idx val="7"/>
              <c:tx>
                <c:rich>
                  <a:bodyPr/>
                  <a:lstStyle/>
                  <a:p>
                    <a:fld id="{96D55295-35AF-0F4C-ADDD-633B6DA729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68A-4A45-B72D-485ABFA4413D}"/>
                </c:ext>
              </c:extLst>
            </c:dLbl>
            <c:dLbl>
              <c:idx val="8"/>
              <c:tx>
                <c:rich>
                  <a:bodyPr/>
                  <a:lstStyle/>
                  <a:p>
                    <a:fld id="{7B65945C-4AFE-1045-846D-19473B8FE6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68A-4A45-B72D-485ABFA4413D}"/>
                </c:ext>
              </c:extLst>
            </c:dLbl>
            <c:dLbl>
              <c:idx val="9"/>
              <c:tx>
                <c:rich>
                  <a:bodyPr/>
                  <a:lstStyle/>
                  <a:p>
                    <a:fld id="{B33D77B5-CB4C-DB41-AF81-884C66B134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68A-4A45-B72D-485ABFA4413D}"/>
                </c:ext>
              </c:extLst>
            </c:dLbl>
            <c:dLbl>
              <c:idx val="10"/>
              <c:tx>
                <c:rich>
                  <a:bodyPr/>
                  <a:lstStyle/>
                  <a:p>
                    <a:fld id="{8A1989A3-D96B-764E-AA5A-30626C0F4B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68A-4A45-B72D-485ABFA4413D}"/>
                </c:ext>
              </c:extLst>
            </c:dLbl>
            <c:dLbl>
              <c:idx val="11"/>
              <c:tx>
                <c:rich>
                  <a:bodyPr/>
                  <a:lstStyle/>
                  <a:p>
                    <a:fld id="{ED891EEB-E717-AB49-9BF3-919BEB381B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68A-4A45-B72D-485ABFA4413D}"/>
                </c:ext>
              </c:extLst>
            </c:dLbl>
            <c:dLbl>
              <c:idx val="12"/>
              <c:tx>
                <c:rich>
                  <a:bodyPr/>
                  <a:lstStyle/>
                  <a:p>
                    <a:fld id="{8929E7B8-DA0C-CE45-B86A-FAD7757271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68A-4A45-B72D-485ABFA4413D}"/>
                </c:ext>
              </c:extLst>
            </c:dLbl>
            <c:dLbl>
              <c:idx val="13"/>
              <c:tx>
                <c:rich>
                  <a:bodyPr/>
                  <a:lstStyle/>
                  <a:p>
                    <a:fld id="{18A10202-4618-AF4A-8A4F-3C219DA79A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68A-4A45-B72D-485ABFA4413D}"/>
                </c:ext>
              </c:extLst>
            </c:dLbl>
            <c:dLbl>
              <c:idx val="14"/>
              <c:tx>
                <c:rich>
                  <a:bodyPr/>
                  <a:lstStyle/>
                  <a:p>
                    <a:fld id="{C57A2BCA-37E4-BF4F-9923-1D52EBFF6F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68A-4A45-B72D-485ABFA4413D}"/>
                </c:ext>
              </c:extLst>
            </c:dLbl>
            <c:dLbl>
              <c:idx val="15"/>
              <c:tx>
                <c:rich>
                  <a:bodyPr/>
                  <a:lstStyle/>
                  <a:p>
                    <a:fld id="{809E75E8-A00A-7C49-841F-92F91C3C6A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68A-4A45-B72D-485ABFA4413D}"/>
                </c:ext>
              </c:extLst>
            </c:dLbl>
            <c:dLbl>
              <c:idx val="16"/>
              <c:tx>
                <c:rich>
                  <a:bodyPr/>
                  <a:lstStyle/>
                  <a:p>
                    <a:fld id="{B90C7D12-B693-F04D-A083-FC7F9F693C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68A-4A45-B72D-485ABFA4413D}"/>
                </c:ext>
              </c:extLst>
            </c:dLbl>
            <c:dLbl>
              <c:idx val="17"/>
              <c:tx>
                <c:rich>
                  <a:bodyPr/>
                  <a:lstStyle/>
                  <a:p>
                    <a:fld id="{182BD96D-489B-4F4F-A556-ABF5AAECD1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68A-4A45-B72D-485ABFA4413D}"/>
                </c:ext>
              </c:extLst>
            </c:dLbl>
            <c:dLbl>
              <c:idx val="18"/>
              <c:tx>
                <c:rich>
                  <a:bodyPr/>
                  <a:lstStyle/>
                  <a:p>
                    <a:fld id="{EE09A934-8F19-E943-A719-2636F3175D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68A-4A45-B72D-485ABFA4413D}"/>
                </c:ext>
              </c:extLst>
            </c:dLbl>
            <c:dLbl>
              <c:idx val="19"/>
              <c:tx>
                <c:rich>
                  <a:bodyPr/>
                  <a:lstStyle/>
                  <a:p>
                    <a:fld id="{7F2399AC-0767-6049-BA53-2912420468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68A-4A45-B72D-485ABFA4413D}"/>
                </c:ext>
              </c:extLst>
            </c:dLbl>
            <c:dLbl>
              <c:idx val="20"/>
              <c:tx>
                <c:rich>
                  <a:bodyPr/>
                  <a:lstStyle/>
                  <a:p>
                    <a:fld id="{A928551B-2B26-7344-803C-2D99901FF5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68A-4A45-B72D-485ABFA4413D}"/>
                </c:ext>
              </c:extLst>
            </c:dLbl>
            <c:dLbl>
              <c:idx val="21"/>
              <c:tx>
                <c:rich>
                  <a:bodyPr/>
                  <a:lstStyle/>
                  <a:p>
                    <a:fld id="{6C266FAD-7912-ED4E-906F-2031F202F7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68A-4A45-B72D-485ABFA4413D}"/>
                </c:ext>
              </c:extLst>
            </c:dLbl>
            <c:dLbl>
              <c:idx val="22"/>
              <c:tx>
                <c:rich>
                  <a:bodyPr/>
                  <a:lstStyle/>
                  <a:p>
                    <a:fld id="{E107B8B9-54F2-404A-B04C-882A838F51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68A-4A45-B72D-485ABFA4413D}"/>
                </c:ext>
              </c:extLst>
            </c:dLbl>
            <c:dLbl>
              <c:idx val="23"/>
              <c:tx>
                <c:rich>
                  <a:bodyPr/>
                  <a:lstStyle/>
                  <a:p>
                    <a:fld id="{F4A85E94-23C9-A045-96A6-ADA57A2A4C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68A-4A45-B72D-485ABFA4413D}"/>
                </c:ext>
              </c:extLst>
            </c:dLbl>
            <c:dLbl>
              <c:idx val="24"/>
              <c:tx>
                <c:rich>
                  <a:bodyPr/>
                  <a:lstStyle/>
                  <a:p>
                    <a:fld id="{4CCB354C-C04B-AF45-B1FF-C9CFAAEC37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E68A-4A45-B72D-485ABFA4413D}"/>
                </c:ext>
              </c:extLst>
            </c:dLbl>
            <c:dLbl>
              <c:idx val="25"/>
              <c:tx>
                <c:rich>
                  <a:bodyPr/>
                  <a:lstStyle/>
                  <a:p>
                    <a:fld id="{9C0DD86A-D022-8949-9334-DAAB0DCAF3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E68A-4A45-B72D-485ABFA4413D}"/>
                </c:ext>
              </c:extLst>
            </c:dLbl>
            <c:dLbl>
              <c:idx val="26"/>
              <c:tx>
                <c:rich>
                  <a:bodyPr/>
                  <a:lstStyle/>
                  <a:p>
                    <a:fld id="{8A8DF94C-885B-AC4D-A47B-336EC48953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E68A-4A45-B72D-485ABFA4413D}"/>
                </c:ext>
              </c:extLst>
            </c:dLbl>
            <c:dLbl>
              <c:idx val="27"/>
              <c:tx>
                <c:rich>
                  <a:bodyPr/>
                  <a:lstStyle/>
                  <a:p>
                    <a:fld id="{3F8E1ED8-3F64-2344-9736-7F3C70329A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E68A-4A45-B72D-485ABFA4413D}"/>
                </c:ext>
              </c:extLst>
            </c:dLbl>
            <c:dLbl>
              <c:idx val="28"/>
              <c:tx>
                <c:rich>
                  <a:bodyPr/>
                  <a:lstStyle/>
                  <a:p>
                    <a:fld id="{B302EE9C-EFBD-3A46-990C-B86FCC8625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E68A-4A45-B72D-485ABFA4413D}"/>
                </c:ext>
              </c:extLst>
            </c:dLbl>
            <c:dLbl>
              <c:idx val="29"/>
              <c:tx>
                <c:rich>
                  <a:bodyPr/>
                  <a:lstStyle/>
                  <a:p>
                    <a:fld id="{ACB3737E-2B33-D446-9605-A68181A98F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E68A-4A45-B72D-485ABFA4413D}"/>
                </c:ext>
              </c:extLst>
            </c:dLbl>
            <c:dLbl>
              <c:idx val="30"/>
              <c:tx>
                <c:rich>
                  <a:bodyPr/>
                  <a:lstStyle/>
                  <a:p>
                    <a:fld id="{59B8683D-B10B-5647-B9FD-BF8243D4F7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E68A-4A45-B72D-485ABFA4413D}"/>
                </c:ext>
              </c:extLst>
            </c:dLbl>
            <c:dLbl>
              <c:idx val="31"/>
              <c:tx>
                <c:rich>
                  <a:bodyPr/>
                  <a:lstStyle/>
                  <a:p>
                    <a:fld id="{460566AA-4B10-0C4D-AD85-21BA3958E0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E68A-4A45-B72D-485ABFA4413D}"/>
                </c:ext>
              </c:extLst>
            </c:dLbl>
            <c:dLbl>
              <c:idx val="32"/>
              <c:tx>
                <c:rich>
                  <a:bodyPr/>
                  <a:lstStyle/>
                  <a:p>
                    <a:fld id="{B8164DAD-6E57-EF41-874E-DC505FA95A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E68A-4A45-B72D-485ABFA4413D}"/>
                </c:ext>
              </c:extLst>
            </c:dLbl>
            <c:dLbl>
              <c:idx val="33"/>
              <c:tx>
                <c:rich>
                  <a:bodyPr/>
                  <a:lstStyle/>
                  <a:p>
                    <a:fld id="{264A0F22-D747-EC4C-8926-78B82E002E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E68A-4A45-B72D-485ABFA4413D}"/>
                </c:ext>
              </c:extLst>
            </c:dLbl>
            <c:dLbl>
              <c:idx val="34"/>
              <c:tx>
                <c:rich>
                  <a:bodyPr/>
                  <a:lstStyle/>
                  <a:p>
                    <a:fld id="{B431F42D-E12E-8247-B79B-B2558AA729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E68A-4A45-B72D-485ABFA4413D}"/>
                </c:ext>
              </c:extLst>
            </c:dLbl>
            <c:dLbl>
              <c:idx val="35"/>
              <c:tx>
                <c:rich>
                  <a:bodyPr/>
                  <a:lstStyle/>
                  <a:p>
                    <a:fld id="{98E1159D-2CBB-0645-A4D3-AD00A90AF1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E68A-4A45-B72D-485ABFA4413D}"/>
                </c:ext>
              </c:extLst>
            </c:dLbl>
            <c:dLbl>
              <c:idx val="36"/>
              <c:tx>
                <c:rich>
                  <a:bodyPr/>
                  <a:lstStyle/>
                  <a:p>
                    <a:fld id="{601D780B-42ED-9646-A0DC-D8AC75AB17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E68A-4A45-B72D-485ABFA4413D}"/>
                </c:ext>
              </c:extLst>
            </c:dLbl>
            <c:dLbl>
              <c:idx val="37"/>
              <c:tx>
                <c:rich>
                  <a:bodyPr/>
                  <a:lstStyle/>
                  <a:p>
                    <a:fld id="{46BCE1E9-9F3E-F746-961B-FEFAC8CD04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E68A-4A45-B72D-485ABFA4413D}"/>
                </c:ext>
              </c:extLst>
            </c:dLbl>
            <c:dLbl>
              <c:idx val="38"/>
              <c:tx>
                <c:rich>
                  <a:bodyPr/>
                  <a:lstStyle/>
                  <a:p>
                    <a:fld id="{34F1629A-53D0-5347-AA37-DA0701D90D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E68A-4A45-B72D-485ABFA4413D}"/>
                </c:ext>
              </c:extLst>
            </c:dLbl>
            <c:dLbl>
              <c:idx val="39"/>
              <c:tx>
                <c:rich>
                  <a:bodyPr/>
                  <a:lstStyle/>
                  <a:p>
                    <a:fld id="{56D5AE08-9ACF-824D-ADB8-4562637F43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E68A-4A45-B72D-485ABFA4413D}"/>
                </c:ext>
              </c:extLst>
            </c:dLbl>
            <c:dLbl>
              <c:idx val="40"/>
              <c:tx>
                <c:rich>
                  <a:bodyPr/>
                  <a:lstStyle/>
                  <a:p>
                    <a:fld id="{EEFA0099-F730-AD46-AD95-57AE62B7FC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E68A-4A45-B72D-485ABFA4413D}"/>
                </c:ext>
              </c:extLst>
            </c:dLbl>
            <c:dLbl>
              <c:idx val="41"/>
              <c:tx>
                <c:rich>
                  <a:bodyPr/>
                  <a:lstStyle/>
                  <a:p>
                    <a:fld id="{2F797541-8CD4-5F49-87D4-D4C9E7FC3B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E68A-4A45-B72D-485ABFA4413D}"/>
                </c:ext>
              </c:extLst>
            </c:dLbl>
            <c:dLbl>
              <c:idx val="42"/>
              <c:tx>
                <c:rich>
                  <a:bodyPr/>
                  <a:lstStyle/>
                  <a:p>
                    <a:fld id="{2DEA94C0-DB01-AD45-8F80-487D65CA0A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E68A-4A45-B72D-485ABFA4413D}"/>
                </c:ext>
              </c:extLst>
            </c:dLbl>
            <c:dLbl>
              <c:idx val="43"/>
              <c:tx>
                <c:rich>
                  <a:bodyPr/>
                  <a:lstStyle/>
                  <a:p>
                    <a:fld id="{85CC2EF3-94DA-5D42-AB97-AC6D724D20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E68A-4A45-B72D-485ABFA4413D}"/>
                </c:ext>
              </c:extLst>
            </c:dLbl>
            <c:dLbl>
              <c:idx val="44"/>
              <c:tx>
                <c:rich>
                  <a:bodyPr/>
                  <a:lstStyle/>
                  <a:p>
                    <a:fld id="{F53AC6CE-AE83-C44E-941F-EFC33F0495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E68A-4A45-B72D-485ABFA4413D}"/>
                </c:ext>
              </c:extLst>
            </c:dLbl>
            <c:dLbl>
              <c:idx val="45"/>
              <c:tx>
                <c:rich>
                  <a:bodyPr/>
                  <a:lstStyle/>
                  <a:p>
                    <a:fld id="{7BA591A1-C781-C941-81B9-A15DD1EBEB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E68A-4A45-B72D-485ABFA4413D}"/>
                </c:ext>
              </c:extLst>
            </c:dLbl>
            <c:dLbl>
              <c:idx val="46"/>
              <c:tx>
                <c:rich>
                  <a:bodyPr/>
                  <a:lstStyle/>
                  <a:p>
                    <a:fld id="{30316654-D575-6C40-9453-ED4C98BF43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E68A-4A45-B72D-485ABFA4413D}"/>
                </c:ext>
              </c:extLst>
            </c:dLbl>
            <c:dLbl>
              <c:idx val="47"/>
              <c:tx>
                <c:rich>
                  <a:bodyPr/>
                  <a:lstStyle/>
                  <a:p>
                    <a:fld id="{D40498F3-D621-BD46-9A57-AEABA50988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E68A-4A45-B72D-485ABFA4413D}"/>
                </c:ext>
              </c:extLst>
            </c:dLbl>
            <c:dLbl>
              <c:idx val="48"/>
              <c:tx>
                <c:rich>
                  <a:bodyPr/>
                  <a:lstStyle/>
                  <a:p>
                    <a:fld id="{CCB12A77-CDA1-C445-BE1E-3F23E65034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E68A-4A45-B72D-485ABFA4413D}"/>
                </c:ext>
              </c:extLst>
            </c:dLbl>
            <c:dLbl>
              <c:idx val="49"/>
              <c:tx>
                <c:rich>
                  <a:bodyPr/>
                  <a:lstStyle/>
                  <a:p>
                    <a:fld id="{BF0A67AF-4729-2342-8284-79A8A33015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E68A-4A45-B72D-485ABFA4413D}"/>
                </c:ext>
              </c:extLst>
            </c:dLbl>
            <c:dLbl>
              <c:idx val="50"/>
              <c:tx>
                <c:rich>
                  <a:bodyPr/>
                  <a:lstStyle/>
                  <a:p>
                    <a:fld id="{C2A0A13B-03D0-C74A-B59F-9592627172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E68A-4A45-B72D-485ABFA4413D}"/>
                </c:ext>
              </c:extLst>
            </c:dLbl>
            <c:dLbl>
              <c:idx val="51"/>
              <c:tx>
                <c:rich>
                  <a:bodyPr/>
                  <a:lstStyle/>
                  <a:p>
                    <a:fld id="{C4716FB2-B095-5F40-8D51-A99522974F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E68A-4A45-B72D-485ABFA4413D}"/>
                </c:ext>
              </c:extLst>
            </c:dLbl>
            <c:dLbl>
              <c:idx val="52"/>
              <c:tx>
                <c:rich>
                  <a:bodyPr/>
                  <a:lstStyle/>
                  <a:p>
                    <a:fld id="{6733325D-B044-0E44-8CF0-43078B152F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E68A-4A45-B72D-485ABFA4413D}"/>
                </c:ext>
              </c:extLst>
            </c:dLbl>
            <c:dLbl>
              <c:idx val="53"/>
              <c:tx>
                <c:rich>
                  <a:bodyPr/>
                  <a:lstStyle/>
                  <a:p>
                    <a:fld id="{F7A1588E-C670-4440-8A69-2BD308FBED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E68A-4A45-B72D-485ABFA4413D}"/>
                </c:ext>
              </c:extLst>
            </c:dLbl>
            <c:dLbl>
              <c:idx val="54"/>
              <c:tx>
                <c:rich>
                  <a:bodyPr/>
                  <a:lstStyle/>
                  <a:p>
                    <a:fld id="{FBE30229-13D1-824A-9F92-44BBD8A470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E68A-4A45-B72D-485ABFA4413D}"/>
                </c:ext>
              </c:extLst>
            </c:dLbl>
            <c:dLbl>
              <c:idx val="55"/>
              <c:tx>
                <c:rich>
                  <a:bodyPr/>
                  <a:lstStyle/>
                  <a:p>
                    <a:fld id="{96EFDB64-85B4-2B48-85D8-068225343A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E68A-4A45-B72D-485ABFA4413D}"/>
                </c:ext>
              </c:extLst>
            </c:dLbl>
            <c:dLbl>
              <c:idx val="56"/>
              <c:tx>
                <c:rich>
                  <a:bodyPr/>
                  <a:lstStyle/>
                  <a:p>
                    <a:fld id="{7F9EE477-10D0-E645-BE5D-0795FBD6E9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E68A-4A45-B72D-485ABFA4413D}"/>
                </c:ext>
              </c:extLst>
            </c:dLbl>
            <c:dLbl>
              <c:idx val="57"/>
              <c:tx>
                <c:rich>
                  <a:bodyPr/>
                  <a:lstStyle/>
                  <a:p>
                    <a:fld id="{7E332EEE-46DF-164B-83A3-9F32966A3A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E68A-4A45-B72D-485ABFA4413D}"/>
                </c:ext>
              </c:extLst>
            </c:dLbl>
            <c:dLbl>
              <c:idx val="58"/>
              <c:tx>
                <c:rich>
                  <a:bodyPr/>
                  <a:lstStyle/>
                  <a:p>
                    <a:fld id="{E9A2B311-F8DD-3B46-BF2F-FF5CD280F5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E68A-4A45-B72D-485ABFA4413D}"/>
                </c:ext>
              </c:extLst>
            </c:dLbl>
            <c:dLbl>
              <c:idx val="59"/>
              <c:tx>
                <c:rich>
                  <a:bodyPr/>
                  <a:lstStyle/>
                  <a:p>
                    <a:fld id="{435B4EB1-238D-DF4F-A993-9F66529EC0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E68A-4A45-B72D-485ABFA4413D}"/>
                </c:ext>
              </c:extLst>
            </c:dLbl>
            <c:dLbl>
              <c:idx val="60"/>
              <c:tx>
                <c:rich>
                  <a:bodyPr/>
                  <a:lstStyle/>
                  <a:p>
                    <a:fld id="{29196DF9-E5E4-4040-A13D-26757E9D1B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E68A-4A45-B72D-485ABFA4413D}"/>
                </c:ext>
              </c:extLst>
            </c:dLbl>
            <c:dLbl>
              <c:idx val="61"/>
              <c:tx>
                <c:rich>
                  <a:bodyPr/>
                  <a:lstStyle/>
                  <a:p>
                    <a:fld id="{14270B7A-2600-844C-B3D6-33889E6B9F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E68A-4A45-B72D-485ABFA4413D}"/>
                </c:ext>
              </c:extLst>
            </c:dLbl>
            <c:dLbl>
              <c:idx val="62"/>
              <c:tx>
                <c:rich>
                  <a:bodyPr/>
                  <a:lstStyle/>
                  <a:p>
                    <a:fld id="{CEF7668C-788C-D042-957B-A9F80391A1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E68A-4A45-B72D-485ABFA4413D}"/>
                </c:ext>
              </c:extLst>
            </c:dLbl>
            <c:dLbl>
              <c:idx val="63"/>
              <c:tx>
                <c:rich>
                  <a:bodyPr/>
                  <a:lstStyle/>
                  <a:p>
                    <a:fld id="{A2A6049A-F5E8-CB40-AE95-A66CDD7FE8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346-2940-8C22-36686414F423}"/>
                </c:ext>
              </c:extLst>
            </c:dLbl>
            <c:dLbl>
              <c:idx val="64"/>
              <c:tx>
                <c:rich>
                  <a:bodyPr/>
                  <a:lstStyle/>
                  <a:p>
                    <a:fld id="{0382F08C-5A9B-C040-B098-5EA21D3AF0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346-2940-8C22-36686414F423}"/>
                </c:ext>
              </c:extLst>
            </c:dLbl>
            <c:dLbl>
              <c:idx val="65"/>
              <c:tx>
                <c:rich>
                  <a:bodyPr/>
                  <a:lstStyle/>
                  <a:p>
                    <a:fld id="{EFF1CD55-3EA5-A247-ABD7-A3877E7DDE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346-2940-8C22-36686414F423}"/>
                </c:ext>
              </c:extLst>
            </c:dLbl>
            <c:dLbl>
              <c:idx val="66"/>
              <c:tx>
                <c:rich>
                  <a:bodyPr/>
                  <a:lstStyle/>
                  <a:p>
                    <a:fld id="{412D5A29-3682-FB40-BBC0-303E155C34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346-2940-8C22-36686414F423}"/>
                </c:ext>
              </c:extLst>
            </c:dLbl>
            <c:dLbl>
              <c:idx val="67"/>
              <c:tx>
                <c:rich>
                  <a:bodyPr/>
                  <a:lstStyle/>
                  <a:p>
                    <a:fld id="{F2025487-7258-0B44-9CE5-9ACDB8B868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346-2940-8C22-36686414F423}"/>
                </c:ext>
              </c:extLst>
            </c:dLbl>
            <c:dLbl>
              <c:idx val="68"/>
              <c:tx>
                <c:rich>
                  <a:bodyPr/>
                  <a:lstStyle/>
                  <a:p>
                    <a:fld id="{4B55B2C3-9256-264B-869F-6F4AA1F222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346-2940-8C22-36686414F423}"/>
                </c:ext>
              </c:extLst>
            </c:dLbl>
            <c:dLbl>
              <c:idx val="69"/>
              <c:tx>
                <c:rich>
                  <a:bodyPr/>
                  <a:lstStyle/>
                  <a:p>
                    <a:fld id="{25F5E591-E0AB-894D-AC73-D2CCA8D2A9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346-2940-8C22-36686414F423}"/>
                </c:ext>
              </c:extLst>
            </c:dLbl>
            <c:dLbl>
              <c:idx val="70"/>
              <c:tx>
                <c:rich>
                  <a:bodyPr/>
                  <a:lstStyle/>
                  <a:p>
                    <a:fld id="{F6BBE1D1-0A8F-9843-8696-29DB118B9E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346-2940-8C22-36686414F423}"/>
                </c:ext>
              </c:extLst>
            </c:dLbl>
            <c:dLbl>
              <c:idx val="71"/>
              <c:tx>
                <c:rich>
                  <a:bodyPr/>
                  <a:lstStyle/>
                  <a:p>
                    <a:fld id="{999D626F-5493-A24E-9992-8C513E89C8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346-2940-8C22-36686414F423}"/>
                </c:ext>
              </c:extLst>
            </c:dLbl>
            <c:dLbl>
              <c:idx val="72"/>
              <c:tx>
                <c:rich>
                  <a:bodyPr/>
                  <a:lstStyle/>
                  <a:p>
                    <a:fld id="{421825D0-01BB-7A4F-919C-A6CB95A298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346-2940-8C22-36686414F423}"/>
                </c:ext>
              </c:extLst>
            </c:dLbl>
            <c:dLbl>
              <c:idx val="73"/>
              <c:tx>
                <c:rich>
                  <a:bodyPr/>
                  <a:lstStyle/>
                  <a:p>
                    <a:fld id="{B9B09C57-5796-1F49-B641-12329AC33D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346-2940-8C22-36686414F423}"/>
                </c:ext>
              </c:extLst>
            </c:dLbl>
            <c:dLbl>
              <c:idx val="74"/>
              <c:tx>
                <c:rich>
                  <a:bodyPr/>
                  <a:lstStyle/>
                  <a:p>
                    <a:fld id="{350E3BE7-803B-954F-A033-2103C9CF54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346-2940-8C22-36686414F423}"/>
                </c:ext>
              </c:extLst>
            </c:dLbl>
            <c:dLbl>
              <c:idx val="75"/>
              <c:tx>
                <c:rich>
                  <a:bodyPr/>
                  <a:lstStyle/>
                  <a:p>
                    <a:fld id="{C23C7849-362B-694F-87EB-5AA093EAF2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346-2940-8C22-36686414F423}"/>
                </c:ext>
              </c:extLst>
            </c:dLbl>
            <c:dLbl>
              <c:idx val="76"/>
              <c:tx>
                <c:rich>
                  <a:bodyPr/>
                  <a:lstStyle/>
                  <a:p>
                    <a:fld id="{0C91E489-6820-2649-9819-B6962CDA0B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346-2940-8C22-36686414F423}"/>
                </c:ext>
              </c:extLst>
            </c:dLbl>
            <c:dLbl>
              <c:idx val="77"/>
              <c:tx>
                <c:rich>
                  <a:bodyPr/>
                  <a:lstStyle/>
                  <a:p>
                    <a:fld id="{E9DA5198-C849-C943-8530-EC1DB4D2F9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346-2940-8C22-36686414F423}"/>
                </c:ext>
              </c:extLst>
            </c:dLbl>
            <c:dLbl>
              <c:idx val="78"/>
              <c:tx>
                <c:rich>
                  <a:bodyPr/>
                  <a:lstStyle/>
                  <a:p>
                    <a:fld id="{BB3BA16D-46D3-7644-8AB8-F6C8882CAC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346-2940-8C22-36686414F423}"/>
                </c:ext>
              </c:extLst>
            </c:dLbl>
            <c:dLbl>
              <c:idx val="79"/>
              <c:tx>
                <c:rich>
                  <a:bodyPr/>
                  <a:lstStyle/>
                  <a:p>
                    <a:fld id="{A42C42F0-BE30-7543-89EF-7130D45781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346-2940-8C22-36686414F423}"/>
                </c:ext>
              </c:extLst>
            </c:dLbl>
            <c:dLbl>
              <c:idx val="80"/>
              <c:tx>
                <c:rich>
                  <a:bodyPr/>
                  <a:lstStyle/>
                  <a:p>
                    <a:fld id="{E209F156-96D7-0947-A932-FA55DBB80E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346-2940-8C22-36686414F423}"/>
                </c:ext>
              </c:extLst>
            </c:dLbl>
            <c:dLbl>
              <c:idx val="81"/>
              <c:tx>
                <c:rich>
                  <a:bodyPr/>
                  <a:lstStyle/>
                  <a:p>
                    <a:fld id="{D3074DD3-69EC-8B4A-A328-9443DD8D68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346-2940-8C22-36686414F423}"/>
                </c:ext>
              </c:extLst>
            </c:dLbl>
            <c:dLbl>
              <c:idx val="82"/>
              <c:tx>
                <c:rich>
                  <a:bodyPr/>
                  <a:lstStyle/>
                  <a:p>
                    <a:fld id="{DF7834BE-F71C-024D-87D7-69D08DA3B2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346-2940-8C22-36686414F423}"/>
                </c:ext>
              </c:extLst>
            </c:dLbl>
            <c:dLbl>
              <c:idx val="83"/>
              <c:tx>
                <c:rich>
                  <a:bodyPr/>
                  <a:lstStyle/>
                  <a:p>
                    <a:fld id="{1C9E65E7-597F-2440-8CF0-89FB68EA61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346-2940-8C22-36686414F423}"/>
                </c:ext>
              </c:extLst>
            </c:dLbl>
            <c:dLbl>
              <c:idx val="84"/>
              <c:tx>
                <c:rich>
                  <a:bodyPr/>
                  <a:lstStyle/>
                  <a:p>
                    <a:fld id="{2BCFA252-9751-114A-9E94-FED61CE948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346-2940-8C22-36686414F423}"/>
                </c:ext>
              </c:extLst>
            </c:dLbl>
            <c:dLbl>
              <c:idx val="85"/>
              <c:tx>
                <c:rich>
                  <a:bodyPr/>
                  <a:lstStyle/>
                  <a:p>
                    <a:fld id="{01E4DE70-8E98-C14A-B134-85A0C90A14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346-2940-8C22-36686414F423}"/>
                </c:ext>
              </c:extLst>
            </c:dLbl>
            <c:dLbl>
              <c:idx val="86"/>
              <c:tx>
                <c:rich>
                  <a:bodyPr/>
                  <a:lstStyle/>
                  <a:p>
                    <a:fld id="{2AB8D54A-F539-9D4E-BECE-61EA1D9EBE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346-2940-8C22-36686414F423}"/>
                </c:ext>
              </c:extLst>
            </c:dLbl>
            <c:dLbl>
              <c:idx val="87"/>
              <c:tx>
                <c:rich>
                  <a:bodyPr/>
                  <a:lstStyle/>
                  <a:p>
                    <a:fld id="{EB6D4811-74A4-7B4D-AF22-D289DB06E5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346-2940-8C22-36686414F423}"/>
                </c:ext>
              </c:extLst>
            </c:dLbl>
            <c:dLbl>
              <c:idx val="88"/>
              <c:tx>
                <c:rich>
                  <a:bodyPr/>
                  <a:lstStyle/>
                  <a:p>
                    <a:fld id="{D8245339-FB61-A04F-B206-28E46D10A5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346-2940-8C22-36686414F423}"/>
                </c:ext>
              </c:extLst>
            </c:dLbl>
            <c:dLbl>
              <c:idx val="89"/>
              <c:tx>
                <c:rich>
                  <a:bodyPr/>
                  <a:lstStyle/>
                  <a:p>
                    <a:fld id="{47BFE5D4-C13D-0B47-9DBB-AE3B3E6DD7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346-2940-8C22-36686414F423}"/>
                </c:ext>
              </c:extLst>
            </c:dLbl>
            <c:dLbl>
              <c:idx val="90"/>
              <c:tx>
                <c:rich>
                  <a:bodyPr/>
                  <a:lstStyle/>
                  <a:p>
                    <a:fld id="{348A6626-8E06-664A-94B0-63486280BD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346-2940-8C22-36686414F423}"/>
                </c:ext>
              </c:extLst>
            </c:dLbl>
            <c:dLbl>
              <c:idx val="91"/>
              <c:tx>
                <c:rich>
                  <a:bodyPr/>
                  <a:lstStyle/>
                  <a:p>
                    <a:fld id="{22E21938-F1B2-1247-81B7-605CC26B6D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346-2940-8C22-36686414F423}"/>
                </c:ext>
              </c:extLst>
            </c:dLbl>
            <c:dLbl>
              <c:idx val="92"/>
              <c:tx>
                <c:rich>
                  <a:bodyPr/>
                  <a:lstStyle/>
                  <a:p>
                    <a:fld id="{EC421010-3E2D-7C47-9116-4D297CCD34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346-2940-8C22-36686414F423}"/>
                </c:ext>
              </c:extLst>
            </c:dLbl>
            <c:dLbl>
              <c:idx val="93"/>
              <c:tx>
                <c:rich>
                  <a:bodyPr/>
                  <a:lstStyle/>
                  <a:p>
                    <a:fld id="{8C1B8115-21CC-5740-9CDD-77FFE99F36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980-48F0-883D-43F4611555DE}"/>
                </c:ext>
              </c:extLst>
            </c:dLbl>
            <c:dLbl>
              <c:idx val="94"/>
              <c:tx>
                <c:rich>
                  <a:bodyPr/>
                  <a:lstStyle/>
                  <a:p>
                    <a:fld id="{B953E3AD-A2E5-1545-9A6E-AB7BFE1038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980-48F0-883D-43F4611555DE}"/>
                </c:ext>
              </c:extLst>
            </c:dLbl>
            <c:dLbl>
              <c:idx val="95"/>
              <c:tx>
                <c:rich>
                  <a:bodyPr/>
                  <a:lstStyle/>
                  <a:p>
                    <a:fld id="{D7BBA0D8-09B5-8047-BD56-237E02F64C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980-48F0-883D-43F4611555DE}"/>
                </c:ext>
              </c:extLst>
            </c:dLbl>
            <c:dLbl>
              <c:idx val="96"/>
              <c:tx>
                <c:rich>
                  <a:bodyPr/>
                  <a:lstStyle/>
                  <a:p>
                    <a:fld id="{5FADA248-5C11-E247-B48D-AD43BE4A25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980-48F0-883D-43F4611555DE}"/>
                </c:ext>
              </c:extLst>
            </c:dLbl>
            <c:dLbl>
              <c:idx val="97"/>
              <c:tx>
                <c:rich>
                  <a:bodyPr/>
                  <a:lstStyle/>
                  <a:p>
                    <a:fld id="{A8B4C8C3-D088-6846-AEFE-24F9C2E58F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980-48F0-883D-43F4611555DE}"/>
                </c:ext>
              </c:extLst>
            </c:dLbl>
            <c:dLbl>
              <c:idx val="98"/>
              <c:tx>
                <c:rich>
                  <a:bodyPr/>
                  <a:lstStyle/>
                  <a:p>
                    <a:fld id="{E66B7688-CF28-B44E-ABC0-665D9875BB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980-48F0-883D-43F4611555DE}"/>
                </c:ext>
              </c:extLst>
            </c:dLbl>
            <c:dLbl>
              <c:idx val="99"/>
              <c:tx>
                <c:rich>
                  <a:bodyPr/>
                  <a:lstStyle/>
                  <a:p>
                    <a:fld id="{1ACB693A-47C8-564C-A830-B0DBB513E7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980-48F0-883D-43F4611555DE}"/>
                </c:ext>
              </c:extLst>
            </c:dLbl>
            <c:dLbl>
              <c:idx val="100"/>
              <c:tx>
                <c:rich>
                  <a:bodyPr/>
                  <a:lstStyle/>
                  <a:p>
                    <a:fld id="{367C4A7C-334A-2940-9F4F-67F60915E9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980-48F0-883D-43F4611555DE}"/>
                </c:ext>
              </c:extLst>
            </c:dLbl>
            <c:dLbl>
              <c:idx val="101"/>
              <c:tx>
                <c:rich>
                  <a:bodyPr/>
                  <a:lstStyle/>
                  <a:p>
                    <a:fld id="{5DB20FE4-0254-6C47-9CD0-D5965EB251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980-48F0-883D-43F4611555DE}"/>
                </c:ext>
              </c:extLst>
            </c:dLbl>
            <c:dLbl>
              <c:idx val="102"/>
              <c:tx>
                <c:rich>
                  <a:bodyPr/>
                  <a:lstStyle/>
                  <a:p>
                    <a:fld id="{93458F73-F004-0143-88A8-4A3A97BFBE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980-48F0-883D-43F4611555DE}"/>
                </c:ext>
              </c:extLst>
            </c:dLbl>
            <c:dLbl>
              <c:idx val="103"/>
              <c:tx>
                <c:rich>
                  <a:bodyPr/>
                  <a:lstStyle/>
                  <a:p>
                    <a:fld id="{D8004C5C-D296-0344-AA00-E0BAA97D72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980-48F0-883D-43F4611555DE}"/>
                </c:ext>
              </c:extLst>
            </c:dLbl>
            <c:dLbl>
              <c:idx val="104"/>
              <c:tx>
                <c:rich>
                  <a:bodyPr/>
                  <a:lstStyle/>
                  <a:p>
                    <a:fld id="{D3FB323F-37E9-E341-9F77-F4114A09F3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980-48F0-883D-43F4611555DE}"/>
                </c:ext>
              </c:extLst>
            </c:dLbl>
            <c:dLbl>
              <c:idx val="105"/>
              <c:tx>
                <c:rich>
                  <a:bodyPr/>
                  <a:lstStyle/>
                  <a:p>
                    <a:fld id="{7D7C7320-0BAD-FE43-8A86-BF51694609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980-48F0-883D-43F4611555DE}"/>
                </c:ext>
              </c:extLst>
            </c:dLbl>
            <c:dLbl>
              <c:idx val="106"/>
              <c:tx>
                <c:rich>
                  <a:bodyPr/>
                  <a:lstStyle/>
                  <a:p>
                    <a:fld id="{5A40EAFC-18EE-7846-8833-0EEAFCFEE4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980-48F0-883D-43F4611555DE}"/>
                </c:ext>
              </c:extLst>
            </c:dLbl>
            <c:dLbl>
              <c:idx val="107"/>
              <c:tx>
                <c:rich>
                  <a:bodyPr/>
                  <a:lstStyle/>
                  <a:p>
                    <a:fld id="{C791644A-7F26-C44E-9D18-731A70D2D7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980-48F0-883D-43F4611555DE}"/>
                </c:ext>
              </c:extLst>
            </c:dLbl>
            <c:dLbl>
              <c:idx val="108"/>
              <c:tx>
                <c:rich>
                  <a:bodyPr/>
                  <a:lstStyle/>
                  <a:p>
                    <a:fld id="{A5B391AC-74C5-D042-BBC6-ECA6E065A6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980-48F0-883D-43F4611555DE}"/>
                </c:ext>
              </c:extLst>
            </c:dLbl>
            <c:dLbl>
              <c:idx val="109"/>
              <c:tx>
                <c:rich>
                  <a:bodyPr/>
                  <a:lstStyle/>
                  <a:p>
                    <a:fld id="{22BD81E4-C772-204E-88E6-CED59A124E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980-48F0-883D-43F4611555DE}"/>
                </c:ext>
              </c:extLst>
            </c:dLbl>
            <c:dLbl>
              <c:idx val="110"/>
              <c:tx>
                <c:rich>
                  <a:bodyPr/>
                  <a:lstStyle/>
                  <a:p>
                    <a:fld id="{65D79676-3438-BA46-A4A3-00F68A1777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980-48F0-883D-43F4611555DE}"/>
                </c:ext>
              </c:extLst>
            </c:dLbl>
            <c:dLbl>
              <c:idx val="111"/>
              <c:tx>
                <c:rich>
                  <a:bodyPr/>
                  <a:lstStyle/>
                  <a:p>
                    <a:fld id="{CAAA98E6-FFBD-AC45-ABB7-A0801768A2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980-48F0-883D-43F4611555DE}"/>
                </c:ext>
              </c:extLst>
            </c:dLbl>
            <c:dLbl>
              <c:idx val="112"/>
              <c:tx>
                <c:rich>
                  <a:bodyPr/>
                  <a:lstStyle/>
                  <a:p>
                    <a:fld id="{FEC4B3A0-4527-AA4B-B73E-BC9182CCDA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980-48F0-883D-43F4611555DE}"/>
                </c:ext>
              </c:extLst>
            </c:dLbl>
            <c:dLbl>
              <c:idx val="113"/>
              <c:tx>
                <c:rich>
                  <a:bodyPr/>
                  <a:lstStyle/>
                  <a:p>
                    <a:fld id="{41158B8A-E7FB-814F-839F-A40EC693B7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980-48F0-883D-43F4611555DE}"/>
                </c:ext>
              </c:extLst>
            </c:dLbl>
            <c:dLbl>
              <c:idx val="114"/>
              <c:tx>
                <c:rich>
                  <a:bodyPr/>
                  <a:lstStyle/>
                  <a:p>
                    <a:fld id="{9F662BD2-D7E2-7B48-92EB-F27D71D868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980-48F0-883D-43F4611555DE}"/>
                </c:ext>
              </c:extLst>
            </c:dLbl>
            <c:dLbl>
              <c:idx val="115"/>
              <c:tx>
                <c:rich>
                  <a:bodyPr/>
                  <a:lstStyle/>
                  <a:p>
                    <a:fld id="{F2B46620-61B7-3A47-9E6E-E7BF5A24DA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980-48F0-883D-43F4611555DE}"/>
                </c:ext>
              </c:extLst>
            </c:dLbl>
            <c:dLbl>
              <c:idx val="116"/>
              <c:tx>
                <c:rich>
                  <a:bodyPr/>
                  <a:lstStyle/>
                  <a:p>
                    <a:fld id="{42300A7A-9826-8946-8EF8-21B96A0E94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980-48F0-883D-43F4611555DE}"/>
                </c:ext>
              </c:extLst>
            </c:dLbl>
            <c:dLbl>
              <c:idx val="117"/>
              <c:tx>
                <c:rich>
                  <a:bodyPr/>
                  <a:lstStyle/>
                  <a:p>
                    <a:fld id="{7FD203CE-1653-014D-96A1-CE85512D10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C980-48F0-883D-43F4611555DE}"/>
                </c:ext>
              </c:extLst>
            </c:dLbl>
            <c:dLbl>
              <c:idx val="118"/>
              <c:tx>
                <c:rich>
                  <a:bodyPr/>
                  <a:lstStyle/>
                  <a:p>
                    <a:fld id="{BFD6757D-E716-F943-974C-6CFE4E1CF2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980-48F0-883D-43F4611555DE}"/>
                </c:ext>
              </c:extLst>
            </c:dLbl>
            <c:dLbl>
              <c:idx val="119"/>
              <c:tx>
                <c:rich>
                  <a:bodyPr/>
                  <a:lstStyle/>
                  <a:p>
                    <a:fld id="{1326215C-CF98-4241-ACCF-058B3B3A9B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C980-48F0-883D-43F4611555DE}"/>
                </c:ext>
              </c:extLst>
            </c:dLbl>
            <c:dLbl>
              <c:idx val="120"/>
              <c:tx>
                <c:rich>
                  <a:bodyPr/>
                  <a:lstStyle/>
                  <a:p>
                    <a:fld id="{678CCBFE-98EF-D44A-90B6-F6BC8B4971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980-48F0-883D-43F4611555DE}"/>
                </c:ext>
              </c:extLst>
            </c:dLbl>
            <c:dLbl>
              <c:idx val="121"/>
              <c:tx>
                <c:rich>
                  <a:bodyPr/>
                  <a:lstStyle/>
                  <a:p>
                    <a:fld id="{57273EA8-228C-4A4F-913A-4E869D6176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C980-48F0-883D-43F4611555DE}"/>
                </c:ext>
              </c:extLst>
            </c:dLbl>
            <c:dLbl>
              <c:idx val="122"/>
              <c:tx>
                <c:rich>
                  <a:bodyPr/>
                  <a:lstStyle/>
                  <a:p>
                    <a:fld id="{41B80DF7-DCB5-1242-B4B3-C14B412089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980-48F0-883D-43F4611555DE}"/>
                </c:ext>
              </c:extLst>
            </c:dLbl>
            <c:dLbl>
              <c:idx val="123"/>
              <c:tx>
                <c:rich>
                  <a:bodyPr/>
                  <a:lstStyle/>
                  <a:p>
                    <a:fld id="{E431923D-9191-4E40-A1E4-3D93A5863E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C980-48F0-883D-43F4611555DE}"/>
                </c:ext>
              </c:extLst>
            </c:dLbl>
            <c:dLbl>
              <c:idx val="124"/>
              <c:tx>
                <c:rich>
                  <a:bodyPr/>
                  <a:lstStyle/>
                  <a:p>
                    <a:fld id="{EB29D2B4-163F-AE49-AA55-8BE611610E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980-48F0-883D-43F4611555DE}"/>
                </c:ext>
              </c:extLst>
            </c:dLbl>
            <c:dLbl>
              <c:idx val="125"/>
              <c:tx>
                <c:rich>
                  <a:bodyPr/>
                  <a:lstStyle/>
                  <a:p>
                    <a:fld id="{AE4F5E63-678C-F944-B42B-DB4D8EE7B0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C980-48F0-883D-43F4611555DE}"/>
                </c:ext>
              </c:extLst>
            </c:dLbl>
            <c:dLbl>
              <c:idx val="126"/>
              <c:tx>
                <c:rich>
                  <a:bodyPr/>
                  <a:lstStyle/>
                  <a:p>
                    <a:fld id="{4C575E44-13CD-E74D-858C-C95FE43335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980-48F0-883D-43F4611555DE}"/>
                </c:ext>
              </c:extLst>
            </c:dLbl>
            <c:dLbl>
              <c:idx val="127"/>
              <c:tx>
                <c:rich>
                  <a:bodyPr/>
                  <a:lstStyle/>
                  <a:p>
                    <a:fld id="{65B1FBE5-4F3E-E445-A70E-37C0C67763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C980-48F0-883D-43F4611555DE}"/>
                </c:ext>
              </c:extLst>
            </c:dLbl>
            <c:dLbl>
              <c:idx val="128"/>
              <c:tx>
                <c:rich>
                  <a:bodyPr/>
                  <a:lstStyle/>
                  <a:p>
                    <a:fld id="{9C63EB14-E74F-1D49-ADE8-23BD91BEE0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980-48F0-883D-43F4611555DE}"/>
                </c:ext>
              </c:extLst>
            </c:dLbl>
            <c:dLbl>
              <c:idx val="129"/>
              <c:tx>
                <c:rich>
                  <a:bodyPr/>
                  <a:lstStyle/>
                  <a:p>
                    <a:fld id="{499CECD2-6F2B-0B46-9877-AA43C22C10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C980-48F0-883D-43F4611555DE}"/>
                </c:ext>
              </c:extLst>
            </c:dLbl>
            <c:dLbl>
              <c:idx val="130"/>
              <c:tx>
                <c:rich>
                  <a:bodyPr/>
                  <a:lstStyle/>
                  <a:p>
                    <a:fld id="{39E598FF-5D23-FB49-A330-EEDEF459ED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980-48F0-883D-43F4611555DE}"/>
                </c:ext>
              </c:extLst>
            </c:dLbl>
            <c:dLbl>
              <c:idx val="131"/>
              <c:tx>
                <c:rich>
                  <a:bodyPr/>
                  <a:lstStyle/>
                  <a:p>
                    <a:fld id="{586EF380-4BE7-F243-9558-961CAB444D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C980-48F0-883D-43F4611555DE}"/>
                </c:ext>
              </c:extLst>
            </c:dLbl>
            <c:dLbl>
              <c:idx val="132"/>
              <c:tx>
                <c:rich>
                  <a:bodyPr/>
                  <a:lstStyle/>
                  <a:p>
                    <a:fld id="{E6C7EFDA-2971-6C4E-9ED7-B770F124D6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980-48F0-883D-43F4611555DE}"/>
                </c:ext>
              </c:extLst>
            </c:dLbl>
            <c:dLbl>
              <c:idx val="133"/>
              <c:tx>
                <c:rich>
                  <a:bodyPr/>
                  <a:lstStyle/>
                  <a:p>
                    <a:fld id="{BDC1D577-3321-E74C-87AD-56959D60C7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C980-48F0-883D-43F4611555DE}"/>
                </c:ext>
              </c:extLst>
            </c:dLbl>
            <c:dLbl>
              <c:idx val="134"/>
              <c:tx>
                <c:rich>
                  <a:bodyPr/>
                  <a:lstStyle/>
                  <a:p>
                    <a:fld id="{6C80802E-8BC1-224E-93B2-DA6BF5B0C5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980-48F0-883D-43F4611555DE}"/>
                </c:ext>
              </c:extLst>
            </c:dLbl>
            <c:dLbl>
              <c:idx val="135"/>
              <c:tx>
                <c:rich>
                  <a:bodyPr/>
                  <a:lstStyle/>
                  <a:p>
                    <a:fld id="{393F576A-240E-8B4B-BFF9-7F8A38BB3A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C980-48F0-883D-43F4611555DE}"/>
                </c:ext>
              </c:extLst>
            </c:dLbl>
            <c:dLbl>
              <c:idx val="136"/>
              <c:tx>
                <c:rich>
                  <a:bodyPr/>
                  <a:lstStyle/>
                  <a:p>
                    <a:fld id="{CE928414-7754-B341-AFE7-2012CDF426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980-48F0-883D-43F4611555DE}"/>
                </c:ext>
              </c:extLst>
            </c:dLbl>
            <c:dLbl>
              <c:idx val="137"/>
              <c:tx>
                <c:rich>
                  <a:bodyPr/>
                  <a:lstStyle/>
                  <a:p>
                    <a:fld id="{8DDB01A6-5FFB-D049-AE7D-E6F4F67623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C980-48F0-883D-43F4611555DE}"/>
                </c:ext>
              </c:extLst>
            </c:dLbl>
            <c:dLbl>
              <c:idx val="138"/>
              <c:tx>
                <c:rich>
                  <a:bodyPr/>
                  <a:lstStyle/>
                  <a:p>
                    <a:fld id="{547CB84D-825A-FD44-90DF-85D43397BB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980-48F0-883D-43F4611555DE}"/>
                </c:ext>
              </c:extLst>
            </c:dLbl>
            <c:dLbl>
              <c:idx val="139"/>
              <c:tx>
                <c:rich>
                  <a:bodyPr/>
                  <a:lstStyle/>
                  <a:p>
                    <a:fld id="{AA5FF903-8FFF-034A-BE59-E4A93885DB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C980-48F0-883D-43F4611555DE}"/>
                </c:ext>
              </c:extLst>
            </c:dLbl>
            <c:dLbl>
              <c:idx val="140"/>
              <c:tx>
                <c:rich>
                  <a:bodyPr/>
                  <a:lstStyle/>
                  <a:p>
                    <a:fld id="{36224462-BB7A-264E-85F4-909DE5DAEF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980-48F0-883D-43F4611555DE}"/>
                </c:ext>
              </c:extLst>
            </c:dLbl>
            <c:dLbl>
              <c:idx val="141"/>
              <c:tx>
                <c:rich>
                  <a:bodyPr/>
                  <a:lstStyle/>
                  <a:p>
                    <a:fld id="{748ABACE-C454-F24F-AD9E-7DE3C45E48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C980-48F0-883D-43F4611555DE}"/>
                </c:ext>
              </c:extLst>
            </c:dLbl>
            <c:dLbl>
              <c:idx val="142"/>
              <c:tx>
                <c:rich>
                  <a:bodyPr/>
                  <a:lstStyle/>
                  <a:p>
                    <a:fld id="{13CF646E-E576-DF45-A8C8-534A3947C9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980-48F0-883D-43F4611555DE}"/>
                </c:ext>
              </c:extLst>
            </c:dLbl>
            <c:dLbl>
              <c:idx val="143"/>
              <c:tx>
                <c:rich>
                  <a:bodyPr/>
                  <a:lstStyle/>
                  <a:p>
                    <a:fld id="{66244D15-3967-1743-9DC3-B435EBA956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C980-48F0-883D-43F4611555DE}"/>
                </c:ext>
              </c:extLst>
            </c:dLbl>
            <c:dLbl>
              <c:idx val="144"/>
              <c:tx>
                <c:rich>
                  <a:bodyPr/>
                  <a:lstStyle/>
                  <a:p>
                    <a:fld id="{FAE9D5A4-FB23-8B43-90CF-3A38375022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980-48F0-883D-43F4611555DE}"/>
                </c:ext>
              </c:extLst>
            </c:dLbl>
            <c:dLbl>
              <c:idx val="145"/>
              <c:tx>
                <c:rich>
                  <a:bodyPr/>
                  <a:lstStyle/>
                  <a:p>
                    <a:fld id="{5C8BCBC5-DF23-C54F-A139-0CBF449896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C980-48F0-883D-43F4611555DE}"/>
                </c:ext>
              </c:extLst>
            </c:dLbl>
            <c:dLbl>
              <c:idx val="146"/>
              <c:tx>
                <c:rich>
                  <a:bodyPr/>
                  <a:lstStyle/>
                  <a:p>
                    <a:fld id="{0A67C0A4-1E72-2A41-A9EE-D9F64D06DB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980-48F0-883D-43F4611555DE}"/>
                </c:ext>
              </c:extLst>
            </c:dLbl>
            <c:dLbl>
              <c:idx val="147"/>
              <c:tx>
                <c:rich>
                  <a:bodyPr/>
                  <a:lstStyle/>
                  <a:p>
                    <a:fld id="{E8DE0073-F7B8-5846-AEAC-EA1139F1CB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C980-48F0-883D-43F4611555DE}"/>
                </c:ext>
              </c:extLst>
            </c:dLbl>
            <c:dLbl>
              <c:idx val="148"/>
              <c:tx>
                <c:rich>
                  <a:bodyPr/>
                  <a:lstStyle/>
                  <a:p>
                    <a:fld id="{0EB4649A-65C1-4248-A1EE-E245A1E601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C980-48F0-883D-43F4611555DE}"/>
                </c:ext>
              </c:extLst>
            </c:dLbl>
            <c:dLbl>
              <c:idx val="149"/>
              <c:tx>
                <c:rich>
                  <a:bodyPr/>
                  <a:lstStyle/>
                  <a:p>
                    <a:fld id="{617F7227-067F-6C4E-A7B7-C2D540195E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C980-48F0-883D-43F4611555DE}"/>
                </c:ext>
              </c:extLst>
            </c:dLbl>
            <c:dLbl>
              <c:idx val="150"/>
              <c:tx>
                <c:rich>
                  <a:bodyPr/>
                  <a:lstStyle/>
                  <a:p>
                    <a:fld id="{6F0F9BD3-5C5C-154E-9E50-92E6411008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C980-48F0-883D-43F4611555DE}"/>
                </c:ext>
              </c:extLst>
            </c:dLbl>
            <c:dLbl>
              <c:idx val="151"/>
              <c:tx>
                <c:rich>
                  <a:bodyPr/>
                  <a:lstStyle/>
                  <a:p>
                    <a:fld id="{DF99BF60-E7E3-5C46-839D-80A15A6A5B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C980-48F0-883D-43F4611555DE}"/>
                </c:ext>
              </c:extLst>
            </c:dLbl>
            <c:dLbl>
              <c:idx val="152"/>
              <c:tx>
                <c:rich>
                  <a:bodyPr/>
                  <a:lstStyle/>
                  <a:p>
                    <a:fld id="{8A6C6C32-5911-4C4E-B5BF-AA175B3B1D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C980-48F0-883D-43F4611555DE}"/>
                </c:ext>
              </c:extLst>
            </c:dLbl>
            <c:dLbl>
              <c:idx val="153"/>
              <c:tx>
                <c:rich>
                  <a:bodyPr/>
                  <a:lstStyle/>
                  <a:p>
                    <a:fld id="{9F037EAF-EA73-604F-92A4-691A78728B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C980-48F0-883D-43F4611555DE}"/>
                </c:ext>
              </c:extLst>
            </c:dLbl>
            <c:dLbl>
              <c:idx val="154"/>
              <c:tx>
                <c:rich>
                  <a:bodyPr/>
                  <a:lstStyle/>
                  <a:p>
                    <a:fld id="{F8E5B418-5CE0-8C42-95C4-20C4F476D0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C980-48F0-883D-43F4611555DE}"/>
                </c:ext>
              </c:extLst>
            </c:dLbl>
            <c:dLbl>
              <c:idx val="155"/>
              <c:tx>
                <c:rich>
                  <a:bodyPr/>
                  <a:lstStyle/>
                  <a:p>
                    <a:fld id="{486DBF6E-B58E-BB49-9F28-530F9E30A0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C980-48F0-883D-43F4611555DE}"/>
                </c:ext>
              </c:extLst>
            </c:dLbl>
            <c:dLbl>
              <c:idx val="156"/>
              <c:tx>
                <c:rich>
                  <a:bodyPr/>
                  <a:lstStyle/>
                  <a:p>
                    <a:fld id="{155787DE-C3D5-D14E-B2C7-0AA4A2FD69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C980-48F0-883D-43F4611555DE}"/>
                </c:ext>
              </c:extLst>
            </c:dLbl>
            <c:dLbl>
              <c:idx val="157"/>
              <c:tx>
                <c:rich>
                  <a:bodyPr/>
                  <a:lstStyle/>
                  <a:p>
                    <a:fld id="{51EA4302-8D28-1C45-86C3-622C3EBCCB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C980-48F0-883D-43F4611555DE}"/>
                </c:ext>
              </c:extLst>
            </c:dLbl>
            <c:dLbl>
              <c:idx val="158"/>
              <c:tx>
                <c:rich>
                  <a:bodyPr/>
                  <a:lstStyle/>
                  <a:p>
                    <a:fld id="{ADF6ED2C-2D6B-F049-958D-8ED1338B97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C980-48F0-883D-43F4611555DE}"/>
                </c:ext>
              </c:extLst>
            </c:dLbl>
            <c:dLbl>
              <c:idx val="159"/>
              <c:tx>
                <c:rich>
                  <a:bodyPr/>
                  <a:lstStyle/>
                  <a:p>
                    <a:fld id="{12004270-BC85-164A-BEAE-3D2D2F6AA1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C980-48F0-883D-43F4611555DE}"/>
                </c:ext>
              </c:extLst>
            </c:dLbl>
            <c:dLbl>
              <c:idx val="160"/>
              <c:tx>
                <c:rich>
                  <a:bodyPr/>
                  <a:lstStyle/>
                  <a:p>
                    <a:fld id="{5A2312F0-FA8D-DC4D-AE28-CF32335349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C980-48F0-883D-43F4611555DE}"/>
                </c:ext>
              </c:extLst>
            </c:dLbl>
            <c:dLbl>
              <c:idx val="161"/>
              <c:tx>
                <c:rich>
                  <a:bodyPr/>
                  <a:lstStyle/>
                  <a:p>
                    <a:fld id="{AFA64BF0-1C07-8048-890F-882F736F32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C980-48F0-883D-43F4611555DE}"/>
                </c:ext>
              </c:extLst>
            </c:dLbl>
            <c:dLbl>
              <c:idx val="162"/>
              <c:tx>
                <c:rich>
                  <a:bodyPr/>
                  <a:lstStyle/>
                  <a:p>
                    <a:fld id="{FD22EE5E-8541-AA42-8536-A8CE4BB150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C980-48F0-883D-43F4611555DE}"/>
                </c:ext>
              </c:extLst>
            </c:dLbl>
            <c:dLbl>
              <c:idx val="163"/>
              <c:tx>
                <c:rich>
                  <a:bodyPr/>
                  <a:lstStyle/>
                  <a:p>
                    <a:fld id="{BCEF033C-C85C-B849-9580-05413E9936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C980-48F0-883D-43F4611555DE}"/>
                </c:ext>
              </c:extLst>
            </c:dLbl>
            <c:dLbl>
              <c:idx val="164"/>
              <c:tx>
                <c:rich>
                  <a:bodyPr/>
                  <a:lstStyle/>
                  <a:p>
                    <a:fld id="{E3BB8C35-1D53-D841-90ED-34629A9C8C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C980-48F0-883D-43F4611555DE}"/>
                </c:ext>
              </c:extLst>
            </c:dLbl>
            <c:dLbl>
              <c:idx val="165"/>
              <c:tx>
                <c:rich>
                  <a:bodyPr/>
                  <a:lstStyle/>
                  <a:p>
                    <a:fld id="{E867B418-C530-AC49-AED4-50B8331BF8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C980-48F0-883D-43F4611555DE}"/>
                </c:ext>
              </c:extLst>
            </c:dLbl>
            <c:dLbl>
              <c:idx val="166"/>
              <c:tx>
                <c:rich>
                  <a:bodyPr/>
                  <a:lstStyle/>
                  <a:p>
                    <a:fld id="{39581350-715A-AD4A-975C-C39E6061C1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C980-48F0-883D-43F4611555DE}"/>
                </c:ext>
              </c:extLst>
            </c:dLbl>
            <c:dLbl>
              <c:idx val="167"/>
              <c:tx>
                <c:rich>
                  <a:bodyPr/>
                  <a:lstStyle/>
                  <a:p>
                    <a:fld id="{13A4E344-DABC-AA41-B6BC-DA3274C546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C980-48F0-883D-43F4611555DE}"/>
                </c:ext>
              </c:extLst>
            </c:dLbl>
            <c:dLbl>
              <c:idx val="168"/>
              <c:tx>
                <c:rich>
                  <a:bodyPr/>
                  <a:lstStyle/>
                  <a:p>
                    <a:fld id="{0DD0634A-CF5C-CD47-AC02-9B324B3CD3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C980-48F0-883D-43F4611555DE}"/>
                </c:ext>
              </c:extLst>
            </c:dLbl>
            <c:dLbl>
              <c:idx val="169"/>
              <c:tx>
                <c:rich>
                  <a:bodyPr/>
                  <a:lstStyle/>
                  <a:p>
                    <a:fld id="{2194EA70-4743-2448-BBCF-BD092AD83C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C980-48F0-883D-43F4611555DE}"/>
                </c:ext>
              </c:extLst>
            </c:dLbl>
            <c:dLbl>
              <c:idx val="170"/>
              <c:tx>
                <c:rich>
                  <a:bodyPr/>
                  <a:lstStyle/>
                  <a:p>
                    <a:fld id="{700D7973-EA41-F24D-9927-82ACF74350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C980-48F0-883D-43F4611555DE}"/>
                </c:ext>
              </c:extLst>
            </c:dLbl>
            <c:dLbl>
              <c:idx val="171"/>
              <c:tx>
                <c:rich>
                  <a:bodyPr/>
                  <a:lstStyle/>
                  <a:p>
                    <a:fld id="{2297B0FC-CF7D-D249-BFA6-A3B0992F66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C980-48F0-883D-43F4611555DE}"/>
                </c:ext>
              </c:extLst>
            </c:dLbl>
            <c:dLbl>
              <c:idx val="172"/>
              <c:tx>
                <c:rich>
                  <a:bodyPr/>
                  <a:lstStyle/>
                  <a:p>
                    <a:fld id="{381E0A04-1F34-2443-AD7F-D2964F4FB9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C980-48F0-883D-43F4611555DE}"/>
                </c:ext>
              </c:extLst>
            </c:dLbl>
            <c:dLbl>
              <c:idx val="173"/>
              <c:tx>
                <c:rich>
                  <a:bodyPr/>
                  <a:lstStyle/>
                  <a:p>
                    <a:fld id="{56CBA4E0-013A-8E43-8525-1D5A89EF17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C980-48F0-883D-43F4611555DE}"/>
                </c:ext>
              </c:extLst>
            </c:dLbl>
            <c:dLbl>
              <c:idx val="174"/>
              <c:tx>
                <c:rich>
                  <a:bodyPr/>
                  <a:lstStyle/>
                  <a:p>
                    <a:fld id="{A4BDB998-C5D1-A344-A989-C145477AD7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C980-48F0-883D-43F4611555DE}"/>
                </c:ext>
              </c:extLst>
            </c:dLbl>
            <c:dLbl>
              <c:idx val="175"/>
              <c:tx>
                <c:rich>
                  <a:bodyPr/>
                  <a:lstStyle/>
                  <a:p>
                    <a:fld id="{7E470A11-0447-F447-BC36-BF9F27C7B8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C980-48F0-883D-43F4611555DE}"/>
                </c:ext>
              </c:extLst>
            </c:dLbl>
            <c:dLbl>
              <c:idx val="176"/>
              <c:tx>
                <c:rich>
                  <a:bodyPr/>
                  <a:lstStyle/>
                  <a:p>
                    <a:fld id="{DCCC0265-F964-CD4F-979D-CCD5E47A42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C980-48F0-883D-43F4611555DE}"/>
                </c:ext>
              </c:extLst>
            </c:dLbl>
            <c:dLbl>
              <c:idx val="177"/>
              <c:tx>
                <c:rich>
                  <a:bodyPr/>
                  <a:lstStyle/>
                  <a:p>
                    <a:fld id="{7FFA8796-110C-4145-AA81-6F938F88D5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C980-48F0-883D-43F4611555DE}"/>
                </c:ext>
              </c:extLst>
            </c:dLbl>
            <c:dLbl>
              <c:idx val="178"/>
              <c:tx>
                <c:rich>
                  <a:bodyPr/>
                  <a:lstStyle/>
                  <a:p>
                    <a:fld id="{200B878E-3099-424C-8A69-B8CD4B02FE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C980-48F0-883D-43F4611555DE}"/>
                </c:ext>
              </c:extLst>
            </c:dLbl>
            <c:dLbl>
              <c:idx val="179"/>
              <c:tx>
                <c:rich>
                  <a:bodyPr/>
                  <a:lstStyle/>
                  <a:p>
                    <a:fld id="{93E45B04-0AB9-EB4A-8172-86485FEB13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C980-48F0-883D-43F4611555DE}"/>
                </c:ext>
              </c:extLst>
            </c:dLbl>
            <c:dLbl>
              <c:idx val="180"/>
              <c:tx>
                <c:rich>
                  <a:bodyPr/>
                  <a:lstStyle/>
                  <a:p>
                    <a:fld id="{5194748D-A87F-2F44-8F6B-9AF991360E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C980-48F0-883D-43F4611555DE}"/>
                </c:ext>
              </c:extLst>
            </c:dLbl>
            <c:dLbl>
              <c:idx val="181"/>
              <c:tx>
                <c:rich>
                  <a:bodyPr/>
                  <a:lstStyle/>
                  <a:p>
                    <a:fld id="{7FC5B877-4C02-1C4F-A3BE-206E5705BA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C980-48F0-883D-43F4611555DE}"/>
                </c:ext>
              </c:extLst>
            </c:dLbl>
            <c:dLbl>
              <c:idx val="182"/>
              <c:tx>
                <c:rich>
                  <a:bodyPr/>
                  <a:lstStyle/>
                  <a:p>
                    <a:fld id="{8E59726F-6CA8-6646-B8C4-825BE938D1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C980-48F0-883D-43F4611555DE}"/>
                </c:ext>
              </c:extLst>
            </c:dLbl>
            <c:dLbl>
              <c:idx val="183"/>
              <c:tx>
                <c:rich>
                  <a:bodyPr/>
                  <a:lstStyle/>
                  <a:p>
                    <a:fld id="{3A901CCE-D6E7-5045-B2E9-1DA6BFB10A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C980-48F0-883D-43F4611555DE}"/>
                </c:ext>
              </c:extLst>
            </c:dLbl>
            <c:dLbl>
              <c:idx val="184"/>
              <c:tx>
                <c:rich>
                  <a:bodyPr/>
                  <a:lstStyle/>
                  <a:p>
                    <a:fld id="{CE296207-201B-CF4B-8BF9-E630CFF91E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C980-48F0-883D-43F4611555DE}"/>
                </c:ext>
              </c:extLst>
            </c:dLbl>
            <c:dLbl>
              <c:idx val="185"/>
              <c:tx>
                <c:rich>
                  <a:bodyPr/>
                  <a:lstStyle/>
                  <a:p>
                    <a:fld id="{1A078A25-959D-7C4F-8A34-5162A36AA1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C980-48F0-883D-43F4611555DE}"/>
                </c:ext>
              </c:extLst>
            </c:dLbl>
            <c:dLbl>
              <c:idx val="186"/>
              <c:tx>
                <c:rich>
                  <a:bodyPr/>
                  <a:lstStyle/>
                  <a:p>
                    <a:fld id="{DABBB9B6-762B-5148-A996-7BC64BDA25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C980-48F0-883D-43F4611555DE}"/>
                </c:ext>
              </c:extLst>
            </c:dLbl>
            <c:dLbl>
              <c:idx val="187"/>
              <c:tx>
                <c:rich>
                  <a:bodyPr/>
                  <a:lstStyle/>
                  <a:p>
                    <a:fld id="{6C75C734-81D2-6E4A-BCED-2F0E6949D1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C980-48F0-883D-43F4611555DE}"/>
                </c:ext>
              </c:extLst>
            </c:dLbl>
            <c:dLbl>
              <c:idx val="188"/>
              <c:tx>
                <c:rich>
                  <a:bodyPr/>
                  <a:lstStyle/>
                  <a:p>
                    <a:fld id="{59279042-C474-1643-A547-A333F4E6AF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C980-48F0-883D-43F4611555DE}"/>
                </c:ext>
              </c:extLst>
            </c:dLbl>
            <c:dLbl>
              <c:idx val="189"/>
              <c:tx>
                <c:rich>
                  <a:bodyPr/>
                  <a:lstStyle/>
                  <a:p>
                    <a:fld id="{787471E2-1BE6-F342-8B26-ACA36ABEA4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C980-48F0-883D-43F4611555DE}"/>
                </c:ext>
              </c:extLst>
            </c:dLbl>
            <c:dLbl>
              <c:idx val="190"/>
              <c:tx>
                <c:rich>
                  <a:bodyPr/>
                  <a:lstStyle/>
                  <a:p>
                    <a:fld id="{D9D2AFF9-16E6-D845-8A37-964835264E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C980-48F0-883D-43F4611555DE}"/>
                </c:ext>
              </c:extLst>
            </c:dLbl>
            <c:dLbl>
              <c:idx val="191"/>
              <c:tx>
                <c:rich>
                  <a:bodyPr/>
                  <a:lstStyle/>
                  <a:p>
                    <a:fld id="{B74FA249-3196-C44D-BF53-5EFFD15DD4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C980-48F0-883D-43F4611555DE}"/>
                </c:ext>
              </c:extLst>
            </c:dLbl>
            <c:dLbl>
              <c:idx val="192"/>
              <c:tx>
                <c:rich>
                  <a:bodyPr/>
                  <a:lstStyle/>
                  <a:p>
                    <a:fld id="{2FD071F1-7ACE-2247-9E55-1BDF58C02F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C980-48F0-883D-43F4611555DE}"/>
                </c:ext>
              </c:extLst>
            </c:dLbl>
            <c:dLbl>
              <c:idx val="193"/>
              <c:tx>
                <c:rich>
                  <a:bodyPr/>
                  <a:lstStyle/>
                  <a:p>
                    <a:fld id="{92738683-2C7E-8444-A308-71D196557A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C980-48F0-883D-43F4611555DE}"/>
                </c:ext>
              </c:extLst>
            </c:dLbl>
            <c:dLbl>
              <c:idx val="194"/>
              <c:tx>
                <c:rich>
                  <a:bodyPr/>
                  <a:lstStyle/>
                  <a:p>
                    <a:fld id="{1F72C22D-18A2-8C41-A845-34BD3A60C6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C980-48F0-883D-43F4611555DE}"/>
                </c:ext>
              </c:extLst>
            </c:dLbl>
            <c:dLbl>
              <c:idx val="195"/>
              <c:tx>
                <c:rich>
                  <a:bodyPr/>
                  <a:lstStyle/>
                  <a:p>
                    <a:fld id="{FE26D7FB-2394-B647-A2AF-2C318F1DE6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C980-48F0-883D-43F4611555DE}"/>
                </c:ext>
              </c:extLst>
            </c:dLbl>
            <c:dLbl>
              <c:idx val="196"/>
              <c:tx>
                <c:rich>
                  <a:bodyPr/>
                  <a:lstStyle/>
                  <a:p>
                    <a:fld id="{B34216DB-65DE-6042-8520-A2E7FA2CDB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C980-48F0-883D-43F4611555DE}"/>
                </c:ext>
              </c:extLst>
            </c:dLbl>
            <c:dLbl>
              <c:idx val="197"/>
              <c:tx>
                <c:rich>
                  <a:bodyPr/>
                  <a:lstStyle/>
                  <a:p>
                    <a:fld id="{7A90C4F9-10FB-3A46-B83B-A878729B00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C980-48F0-883D-43F4611555DE}"/>
                </c:ext>
              </c:extLst>
            </c:dLbl>
            <c:dLbl>
              <c:idx val="198"/>
              <c:tx>
                <c:rich>
                  <a:bodyPr/>
                  <a:lstStyle/>
                  <a:p>
                    <a:fld id="{8E7DAEEC-2904-6644-B3EA-95E4168FA2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C980-48F0-883D-43F4611555DE}"/>
                </c:ext>
              </c:extLst>
            </c:dLbl>
            <c:dLbl>
              <c:idx val="199"/>
              <c:tx>
                <c:rich>
                  <a:bodyPr/>
                  <a:lstStyle/>
                  <a:p>
                    <a:fld id="{A3AD82B3-556A-1B49-BA7E-8E357CCBE1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C980-48F0-883D-43F4611555DE}"/>
                </c:ext>
              </c:extLst>
            </c:dLbl>
            <c:dLbl>
              <c:idx val="200"/>
              <c:tx>
                <c:rich>
                  <a:bodyPr/>
                  <a:lstStyle/>
                  <a:p>
                    <a:fld id="{A465464F-45FE-8E49-A672-2E1AE9B213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C980-48F0-883D-43F4611555DE}"/>
                </c:ext>
              </c:extLst>
            </c:dLbl>
            <c:dLbl>
              <c:idx val="201"/>
              <c:tx>
                <c:rich>
                  <a:bodyPr/>
                  <a:lstStyle/>
                  <a:p>
                    <a:fld id="{791F3F07-B10E-814C-AF88-427AAFB56F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C980-48F0-883D-43F4611555DE}"/>
                </c:ext>
              </c:extLst>
            </c:dLbl>
            <c:dLbl>
              <c:idx val="202"/>
              <c:tx>
                <c:rich>
                  <a:bodyPr/>
                  <a:lstStyle/>
                  <a:p>
                    <a:fld id="{D7CD997E-9D8B-204F-8E7D-7977843C44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C980-48F0-883D-43F4611555DE}"/>
                </c:ext>
              </c:extLst>
            </c:dLbl>
            <c:dLbl>
              <c:idx val="203"/>
              <c:tx>
                <c:rich>
                  <a:bodyPr/>
                  <a:lstStyle/>
                  <a:p>
                    <a:fld id="{FE3ABFF2-C77F-AC46-819C-DB5D1AFFB3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C980-48F0-883D-43F4611555DE}"/>
                </c:ext>
              </c:extLst>
            </c:dLbl>
            <c:dLbl>
              <c:idx val="204"/>
              <c:tx>
                <c:rich>
                  <a:bodyPr/>
                  <a:lstStyle/>
                  <a:p>
                    <a:fld id="{FD99C274-6639-FD40-8FB9-1F35DFBAF1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C980-48F0-883D-43F4611555DE}"/>
                </c:ext>
              </c:extLst>
            </c:dLbl>
            <c:dLbl>
              <c:idx val="205"/>
              <c:tx>
                <c:rich>
                  <a:bodyPr/>
                  <a:lstStyle/>
                  <a:p>
                    <a:fld id="{D4C0F404-42F3-7B42-A60F-A9D7C606C8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C980-48F0-883D-43F4611555DE}"/>
                </c:ext>
              </c:extLst>
            </c:dLbl>
            <c:dLbl>
              <c:idx val="206"/>
              <c:tx>
                <c:rich>
                  <a:bodyPr/>
                  <a:lstStyle/>
                  <a:p>
                    <a:fld id="{D23E6BD7-1D1C-B74C-B311-D879DF6CA1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C980-48F0-883D-43F4611555DE}"/>
                </c:ext>
              </c:extLst>
            </c:dLbl>
            <c:dLbl>
              <c:idx val="207"/>
              <c:tx>
                <c:rich>
                  <a:bodyPr/>
                  <a:lstStyle/>
                  <a:p>
                    <a:fld id="{85EBEE60-1CA8-AA46-88C3-360D583BE0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C980-48F0-883D-43F4611555DE}"/>
                </c:ext>
              </c:extLst>
            </c:dLbl>
            <c:dLbl>
              <c:idx val="208"/>
              <c:tx>
                <c:rich>
                  <a:bodyPr/>
                  <a:lstStyle/>
                  <a:p>
                    <a:fld id="{FC849C58-2F5E-ED4D-807D-A05A7406BF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C980-48F0-883D-43F4611555DE}"/>
                </c:ext>
              </c:extLst>
            </c:dLbl>
            <c:dLbl>
              <c:idx val="209"/>
              <c:tx>
                <c:rich>
                  <a:bodyPr/>
                  <a:lstStyle/>
                  <a:p>
                    <a:fld id="{E5E6C94C-7209-E04C-97B3-92985F1C93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C980-48F0-883D-43F4611555DE}"/>
                </c:ext>
              </c:extLst>
            </c:dLbl>
            <c:dLbl>
              <c:idx val="210"/>
              <c:tx>
                <c:rich>
                  <a:bodyPr/>
                  <a:lstStyle/>
                  <a:p>
                    <a:fld id="{2C875FCE-2243-EB43-BF2A-FCF4832F20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C980-48F0-883D-43F4611555DE}"/>
                </c:ext>
              </c:extLst>
            </c:dLbl>
            <c:dLbl>
              <c:idx val="211"/>
              <c:tx>
                <c:rich>
                  <a:bodyPr/>
                  <a:lstStyle/>
                  <a:p>
                    <a:fld id="{B6F326F1-0811-6F48-B73A-B932356543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C980-48F0-883D-43F4611555DE}"/>
                </c:ext>
              </c:extLst>
            </c:dLbl>
            <c:dLbl>
              <c:idx val="212"/>
              <c:tx>
                <c:rich>
                  <a:bodyPr/>
                  <a:lstStyle/>
                  <a:p>
                    <a:fld id="{7894EAEC-91BF-9B46-838C-04C22C4790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C980-48F0-883D-43F4611555DE}"/>
                </c:ext>
              </c:extLst>
            </c:dLbl>
            <c:dLbl>
              <c:idx val="213"/>
              <c:tx>
                <c:rich>
                  <a:bodyPr/>
                  <a:lstStyle/>
                  <a:p>
                    <a:fld id="{40549B3E-DF1E-5243-AC7E-A06058F1FE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C980-48F0-883D-43F4611555DE}"/>
                </c:ext>
              </c:extLst>
            </c:dLbl>
            <c:dLbl>
              <c:idx val="214"/>
              <c:tx>
                <c:rich>
                  <a:bodyPr/>
                  <a:lstStyle/>
                  <a:p>
                    <a:fld id="{46EBB312-1B55-6448-8980-C69C4C2D8A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C980-48F0-883D-43F4611555DE}"/>
                </c:ext>
              </c:extLst>
            </c:dLbl>
            <c:dLbl>
              <c:idx val="215"/>
              <c:tx>
                <c:rich>
                  <a:bodyPr/>
                  <a:lstStyle/>
                  <a:p>
                    <a:fld id="{37D21254-750C-1C45-8115-B0C2CD2CCD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C980-48F0-883D-43F4611555DE}"/>
                </c:ext>
              </c:extLst>
            </c:dLbl>
            <c:dLbl>
              <c:idx val="216"/>
              <c:tx>
                <c:rich>
                  <a:bodyPr/>
                  <a:lstStyle/>
                  <a:p>
                    <a:fld id="{AA2B2AB1-CC4C-404A-96EA-984AC8016D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C980-48F0-883D-43F4611555DE}"/>
                </c:ext>
              </c:extLst>
            </c:dLbl>
            <c:dLbl>
              <c:idx val="217"/>
              <c:tx>
                <c:rich>
                  <a:bodyPr/>
                  <a:lstStyle/>
                  <a:p>
                    <a:fld id="{86F4D0E7-E2C8-BC4E-8FEE-3A7B62E015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C980-48F0-883D-43F4611555DE}"/>
                </c:ext>
              </c:extLst>
            </c:dLbl>
            <c:dLbl>
              <c:idx val="218"/>
              <c:tx>
                <c:rich>
                  <a:bodyPr/>
                  <a:lstStyle/>
                  <a:p>
                    <a:fld id="{6CDAA48B-A83B-D149-B75C-F0D0C9B0C6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C980-48F0-883D-43F4611555DE}"/>
                </c:ext>
              </c:extLst>
            </c:dLbl>
            <c:dLbl>
              <c:idx val="219"/>
              <c:tx>
                <c:rich>
                  <a:bodyPr/>
                  <a:lstStyle/>
                  <a:p>
                    <a:fld id="{302C7D78-6B88-B14E-A743-CB77305801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C980-48F0-883D-43F4611555DE}"/>
                </c:ext>
              </c:extLst>
            </c:dLbl>
            <c:dLbl>
              <c:idx val="220"/>
              <c:tx>
                <c:rich>
                  <a:bodyPr/>
                  <a:lstStyle/>
                  <a:p>
                    <a:fld id="{12954973-F9B0-9148-9237-1BA6F0A4B7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C980-48F0-883D-43F4611555DE}"/>
                </c:ext>
              </c:extLst>
            </c:dLbl>
            <c:dLbl>
              <c:idx val="221"/>
              <c:tx>
                <c:rich>
                  <a:bodyPr/>
                  <a:lstStyle/>
                  <a:p>
                    <a:fld id="{77EBF814-45D8-3947-8112-2A3F6E8F6A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C980-48F0-883D-43F4611555DE}"/>
                </c:ext>
              </c:extLst>
            </c:dLbl>
            <c:dLbl>
              <c:idx val="222"/>
              <c:tx>
                <c:rich>
                  <a:bodyPr/>
                  <a:lstStyle/>
                  <a:p>
                    <a:fld id="{16F4E9A8-3698-0042-BBB0-21515540DB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C980-48F0-883D-43F4611555DE}"/>
                </c:ext>
              </c:extLst>
            </c:dLbl>
            <c:dLbl>
              <c:idx val="223"/>
              <c:tx>
                <c:rich>
                  <a:bodyPr/>
                  <a:lstStyle/>
                  <a:p>
                    <a:fld id="{BEB79F9A-3D74-F048-8B4E-D351149E0A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C980-48F0-883D-43F4611555DE}"/>
                </c:ext>
              </c:extLst>
            </c:dLbl>
            <c:dLbl>
              <c:idx val="224"/>
              <c:tx>
                <c:rich>
                  <a:bodyPr/>
                  <a:lstStyle/>
                  <a:p>
                    <a:fld id="{07B5F31E-9819-A24D-809E-D040A23196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C980-48F0-883D-43F4611555DE}"/>
                </c:ext>
              </c:extLst>
            </c:dLbl>
            <c:dLbl>
              <c:idx val="225"/>
              <c:tx>
                <c:rich>
                  <a:bodyPr/>
                  <a:lstStyle/>
                  <a:p>
                    <a:fld id="{EB82D77C-4B2C-BB4C-BEE6-AB908F621C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C980-48F0-883D-43F4611555DE}"/>
                </c:ext>
              </c:extLst>
            </c:dLbl>
            <c:dLbl>
              <c:idx val="226"/>
              <c:tx>
                <c:rich>
                  <a:bodyPr/>
                  <a:lstStyle/>
                  <a:p>
                    <a:fld id="{9E765728-CD47-DF4E-ADFA-8396FE6C32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C980-48F0-883D-43F4611555DE}"/>
                </c:ext>
              </c:extLst>
            </c:dLbl>
            <c:dLbl>
              <c:idx val="227"/>
              <c:tx>
                <c:rich>
                  <a:bodyPr/>
                  <a:lstStyle/>
                  <a:p>
                    <a:fld id="{84BC8878-27F3-474E-BD19-E2AB9F6EC3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C980-48F0-883D-43F4611555DE}"/>
                </c:ext>
              </c:extLst>
            </c:dLbl>
            <c:dLbl>
              <c:idx val="228"/>
              <c:tx>
                <c:rich>
                  <a:bodyPr/>
                  <a:lstStyle/>
                  <a:p>
                    <a:fld id="{64C343C8-2D9C-1D46-BE71-C975133A74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C980-48F0-883D-43F4611555DE}"/>
                </c:ext>
              </c:extLst>
            </c:dLbl>
            <c:dLbl>
              <c:idx val="229"/>
              <c:tx>
                <c:rich>
                  <a:bodyPr/>
                  <a:lstStyle/>
                  <a:p>
                    <a:fld id="{DCE5B27C-FC1E-F34A-9EE9-BF2E35F889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C980-48F0-883D-43F4611555DE}"/>
                </c:ext>
              </c:extLst>
            </c:dLbl>
            <c:dLbl>
              <c:idx val="230"/>
              <c:tx>
                <c:rich>
                  <a:bodyPr/>
                  <a:lstStyle/>
                  <a:p>
                    <a:fld id="{AA129C09-D286-5A4F-A881-7F48A6845A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C980-48F0-883D-43F4611555DE}"/>
                </c:ext>
              </c:extLst>
            </c:dLbl>
            <c:dLbl>
              <c:idx val="231"/>
              <c:tx>
                <c:rich>
                  <a:bodyPr/>
                  <a:lstStyle/>
                  <a:p>
                    <a:fld id="{1892F3AF-D510-FD4F-9983-0DADF4E2B3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C980-48F0-883D-43F4611555DE}"/>
                </c:ext>
              </c:extLst>
            </c:dLbl>
            <c:dLbl>
              <c:idx val="232"/>
              <c:tx>
                <c:rich>
                  <a:bodyPr/>
                  <a:lstStyle/>
                  <a:p>
                    <a:fld id="{61550E64-DC64-CA4D-BA56-70F719BB52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C980-48F0-883D-43F4611555DE}"/>
                </c:ext>
              </c:extLst>
            </c:dLbl>
            <c:dLbl>
              <c:idx val="233"/>
              <c:tx>
                <c:rich>
                  <a:bodyPr/>
                  <a:lstStyle/>
                  <a:p>
                    <a:fld id="{6FBB6508-56B9-034B-83A7-23ED3434A4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C980-48F0-883D-43F4611555DE}"/>
                </c:ext>
              </c:extLst>
            </c:dLbl>
            <c:dLbl>
              <c:idx val="234"/>
              <c:tx>
                <c:rich>
                  <a:bodyPr/>
                  <a:lstStyle/>
                  <a:p>
                    <a:fld id="{0E1A2BA5-F204-3B4F-82ED-54264434B9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C980-48F0-883D-43F4611555DE}"/>
                </c:ext>
              </c:extLst>
            </c:dLbl>
            <c:dLbl>
              <c:idx val="235"/>
              <c:tx>
                <c:rich>
                  <a:bodyPr/>
                  <a:lstStyle/>
                  <a:p>
                    <a:fld id="{59655BBC-D49A-8B41-B059-3AD24CAD64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C980-48F0-883D-43F4611555DE}"/>
                </c:ext>
              </c:extLst>
            </c:dLbl>
            <c:dLbl>
              <c:idx val="236"/>
              <c:tx>
                <c:rich>
                  <a:bodyPr/>
                  <a:lstStyle/>
                  <a:p>
                    <a:fld id="{5BFFE0BB-FD78-2F48-9336-90E7E50051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C980-48F0-883D-43F4611555DE}"/>
                </c:ext>
              </c:extLst>
            </c:dLbl>
            <c:dLbl>
              <c:idx val="237"/>
              <c:tx>
                <c:rich>
                  <a:bodyPr/>
                  <a:lstStyle/>
                  <a:p>
                    <a:fld id="{5D072460-6C78-4548-83A1-B729CDBBB9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C980-48F0-883D-43F4611555DE}"/>
                </c:ext>
              </c:extLst>
            </c:dLbl>
            <c:dLbl>
              <c:idx val="238"/>
              <c:tx>
                <c:rich>
                  <a:bodyPr/>
                  <a:lstStyle/>
                  <a:p>
                    <a:fld id="{05D459C4-100F-524D-96F8-18EB4490AB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C980-48F0-883D-43F4611555DE}"/>
                </c:ext>
              </c:extLst>
            </c:dLbl>
            <c:dLbl>
              <c:idx val="239"/>
              <c:tx>
                <c:rich>
                  <a:bodyPr/>
                  <a:lstStyle/>
                  <a:p>
                    <a:fld id="{D9069366-B1EF-7647-BDC5-D4B2D69D04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C980-48F0-883D-43F4611555DE}"/>
                </c:ext>
              </c:extLst>
            </c:dLbl>
            <c:dLbl>
              <c:idx val="240"/>
              <c:tx>
                <c:rich>
                  <a:bodyPr/>
                  <a:lstStyle/>
                  <a:p>
                    <a:fld id="{2AB19267-6105-8945-8897-57470DF31D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C980-48F0-883D-43F4611555DE}"/>
                </c:ext>
              </c:extLst>
            </c:dLbl>
            <c:dLbl>
              <c:idx val="241"/>
              <c:tx>
                <c:rich>
                  <a:bodyPr/>
                  <a:lstStyle/>
                  <a:p>
                    <a:fld id="{717D1002-7359-ED44-83B7-1166E3F981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C980-48F0-883D-43F4611555DE}"/>
                </c:ext>
              </c:extLst>
            </c:dLbl>
            <c:dLbl>
              <c:idx val="242"/>
              <c:tx>
                <c:rich>
                  <a:bodyPr/>
                  <a:lstStyle/>
                  <a:p>
                    <a:fld id="{052DF5CF-FD0E-424F-B25C-45A5F484D9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C980-48F0-883D-43F4611555DE}"/>
                </c:ext>
              </c:extLst>
            </c:dLbl>
            <c:dLbl>
              <c:idx val="243"/>
              <c:tx>
                <c:rich>
                  <a:bodyPr/>
                  <a:lstStyle/>
                  <a:p>
                    <a:fld id="{D753E3E1-FB46-C149-A590-F46DDA77AF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C980-48F0-883D-43F4611555DE}"/>
                </c:ext>
              </c:extLst>
            </c:dLbl>
            <c:dLbl>
              <c:idx val="244"/>
              <c:tx>
                <c:rich>
                  <a:bodyPr/>
                  <a:lstStyle/>
                  <a:p>
                    <a:fld id="{7C97643F-5A01-8C40-AE25-36355BC659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C980-48F0-883D-43F4611555DE}"/>
                </c:ext>
              </c:extLst>
            </c:dLbl>
            <c:dLbl>
              <c:idx val="245"/>
              <c:tx>
                <c:rich>
                  <a:bodyPr/>
                  <a:lstStyle/>
                  <a:p>
                    <a:fld id="{3EE802B3-3C19-E340-A39A-6BCA4DD8D5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C980-48F0-883D-43F4611555DE}"/>
                </c:ext>
              </c:extLst>
            </c:dLbl>
            <c:dLbl>
              <c:idx val="246"/>
              <c:tx>
                <c:rich>
                  <a:bodyPr/>
                  <a:lstStyle/>
                  <a:p>
                    <a:fld id="{38BE14CF-E7AD-FE40-8024-A2BAC7B8C4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C980-48F0-883D-43F4611555DE}"/>
                </c:ext>
              </c:extLst>
            </c:dLbl>
            <c:dLbl>
              <c:idx val="247"/>
              <c:tx>
                <c:rich>
                  <a:bodyPr/>
                  <a:lstStyle/>
                  <a:p>
                    <a:fld id="{FB0DFCC5-19BA-084D-8AB4-88323286B3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C980-48F0-883D-43F4611555DE}"/>
                </c:ext>
              </c:extLst>
            </c:dLbl>
            <c:dLbl>
              <c:idx val="248"/>
              <c:tx>
                <c:rich>
                  <a:bodyPr/>
                  <a:lstStyle/>
                  <a:p>
                    <a:fld id="{104D3E9C-2C8D-9143-AC2E-C937BB2EAF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C980-48F0-883D-43F4611555DE}"/>
                </c:ext>
              </c:extLst>
            </c:dLbl>
            <c:dLbl>
              <c:idx val="249"/>
              <c:tx>
                <c:rich>
                  <a:bodyPr/>
                  <a:lstStyle/>
                  <a:p>
                    <a:fld id="{0B8EC2BF-CDF2-C94A-8BC4-AB8F119EFF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C980-48F0-883D-43F4611555DE}"/>
                </c:ext>
              </c:extLst>
            </c:dLbl>
            <c:dLbl>
              <c:idx val="250"/>
              <c:tx>
                <c:rich>
                  <a:bodyPr/>
                  <a:lstStyle/>
                  <a:p>
                    <a:fld id="{42CACCC6-6A83-394D-87C9-C44F95E320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C980-48F0-883D-43F4611555DE}"/>
                </c:ext>
              </c:extLst>
            </c:dLbl>
            <c:dLbl>
              <c:idx val="251"/>
              <c:tx>
                <c:rich>
                  <a:bodyPr/>
                  <a:lstStyle/>
                  <a:p>
                    <a:fld id="{E24E56A0-4CA9-5E4B-99CB-AB941AD521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C980-48F0-883D-43F4611555DE}"/>
                </c:ext>
              </c:extLst>
            </c:dLbl>
            <c:dLbl>
              <c:idx val="252"/>
              <c:tx>
                <c:rich>
                  <a:bodyPr/>
                  <a:lstStyle/>
                  <a:p>
                    <a:fld id="{49183C9F-FC99-DE4A-A858-5416E8563E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C980-48F0-883D-43F4611555DE}"/>
                </c:ext>
              </c:extLst>
            </c:dLbl>
            <c:dLbl>
              <c:idx val="253"/>
              <c:tx>
                <c:rich>
                  <a:bodyPr/>
                  <a:lstStyle/>
                  <a:p>
                    <a:fld id="{5C2C2C82-372C-F841-ACF5-FED31A3D19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C980-48F0-883D-43F4611555DE}"/>
                </c:ext>
              </c:extLst>
            </c:dLbl>
            <c:dLbl>
              <c:idx val="254"/>
              <c:tx>
                <c:rich>
                  <a:bodyPr/>
                  <a:lstStyle/>
                  <a:p>
                    <a:fld id="{BDCF36AC-1FCA-2648-ABBC-A39D53571D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C980-48F0-883D-43F4611555DE}"/>
                </c:ext>
              </c:extLst>
            </c:dLbl>
            <c:dLbl>
              <c:idx val="255"/>
              <c:tx>
                <c:rich>
                  <a:bodyPr/>
                  <a:lstStyle/>
                  <a:p>
                    <a:fld id="{92E71D93-74DA-414F-9BFF-E569B9B5A9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C980-48F0-883D-43F4611555DE}"/>
                </c:ext>
              </c:extLst>
            </c:dLbl>
            <c:dLbl>
              <c:idx val="256"/>
              <c:tx>
                <c:rich>
                  <a:bodyPr/>
                  <a:lstStyle/>
                  <a:p>
                    <a:fld id="{D1A2D4FE-7F75-EE46-871E-A958293665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C980-48F0-883D-43F4611555DE}"/>
                </c:ext>
              </c:extLst>
            </c:dLbl>
            <c:dLbl>
              <c:idx val="257"/>
              <c:tx>
                <c:rich>
                  <a:bodyPr/>
                  <a:lstStyle/>
                  <a:p>
                    <a:fld id="{83F677BC-B260-6A4B-A17C-D07B0CF6A5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C980-48F0-883D-43F4611555DE}"/>
                </c:ext>
              </c:extLst>
            </c:dLbl>
            <c:dLbl>
              <c:idx val="258"/>
              <c:tx>
                <c:rich>
                  <a:bodyPr/>
                  <a:lstStyle/>
                  <a:p>
                    <a:fld id="{508DB497-EF96-9549-9BD8-5B2F6879C3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C980-48F0-883D-43F4611555DE}"/>
                </c:ext>
              </c:extLst>
            </c:dLbl>
            <c:dLbl>
              <c:idx val="259"/>
              <c:tx>
                <c:rich>
                  <a:bodyPr/>
                  <a:lstStyle/>
                  <a:p>
                    <a:fld id="{B9541C37-FDAB-EA44-AD51-39AF1B4BA5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C980-48F0-883D-43F4611555DE}"/>
                </c:ext>
              </c:extLst>
            </c:dLbl>
            <c:dLbl>
              <c:idx val="260"/>
              <c:tx>
                <c:rich>
                  <a:bodyPr/>
                  <a:lstStyle/>
                  <a:p>
                    <a:fld id="{5220B778-0D83-914A-A435-11AD647736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C980-48F0-883D-43F4611555DE}"/>
                </c:ext>
              </c:extLst>
            </c:dLbl>
            <c:dLbl>
              <c:idx val="261"/>
              <c:tx>
                <c:rich>
                  <a:bodyPr/>
                  <a:lstStyle/>
                  <a:p>
                    <a:fld id="{17855239-DBEF-B246-8B8E-9CC19698B4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C980-48F0-883D-43F4611555DE}"/>
                </c:ext>
              </c:extLst>
            </c:dLbl>
            <c:dLbl>
              <c:idx val="262"/>
              <c:tx>
                <c:rich>
                  <a:bodyPr/>
                  <a:lstStyle/>
                  <a:p>
                    <a:fld id="{DF2C147E-F598-734D-BB69-F9F6C485A6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C980-48F0-883D-43F4611555DE}"/>
                </c:ext>
              </c:extLst>
            </c:dLbl>
            <c:dLbl>
              <c:idx val="263"/>
              <c:tx>
                <c:rich>
                  <a:bodyPr/>
                  <a:lstStyle/>
                  <a:p>
                    <a:fld id="{5A5C1FD9-2970-554C-A124-83240FFBD4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C980-48F0-883D-43F4611555DE}"/>
                </c:ext>
              </c:extLst>
            </c:dLbl>
            <c:dLbl>
              <c:idx val="264"/>
              <c:tx>
                <c:rich>
                  <a:bodyPr/>
                  <a:lstStyle/>
                  <a:p>
                    <a:fld id="{D70C5FE1-BF5B-104D-AB36-67A25FE974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C980-48F0-883D-43F4611555DE}"/>
                </c:ext>
              </c:extLst>
            </c:dLbl>
            <c:dLbl>
              <c:idx val="265"/>
              <c:tx>
                <c:rich>
                  <a:bodyPr/>
                  <a:lstStyle/>
                  <a:p>
                    <a:fld id="{96949220-939C-C34A-B9F3-603D282082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C980-48F0-883D-43F4611555DE}"/>
                </c:ext>
              </c:extLst>
            </c:dLbl>
            <c:dLbl>
              <c:idx val="266"/>
              <c:tx>
                <c:rich>
                  <a:bodyPr/>
                  <a:lstStyle/>
                  <a:p>
                    <a:fld id="{9519949E-3707-A64B-8FD4-09466A3ADB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C980-48F0-883D-43F4611555DE}"/>
                </c:ext>
              </c:extLst>
            </c:dLbl>
            <c:dLbl>
              <c:idx val="267"/>
              <c:tx>
                <c:rich>
                  <a:bodyPr/>
                  <a:lstStyle/>
                  <a:p>
                    <a:fld id="{3E64D434-4FCC-7347-A3C1-97556016E3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C980-48F0-883D-43F4611555DE}"/>
                </c:ext>
              </c:extLst>
            </c:dLbl>
            <c:dLbl>
              <c:idx val="268"/>
              <c:tx>
                <c:rich>
                  <a:bodyPr/>
                  <a:lstStyle/>
                  <a:p>
                    <a:fld id="{CA4556D2-A2EC-9E4B-8B92-864A89204A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C980-48F0-883D-43F4611555DE}"/>
                </c:ext>
              </c:extLst>
            </c:dLbl>
            <c:dLbl>
              <c:idx val="269"/>
              <c:tx>
                <c:rich>
                  <a:bodyPr/>
                  <a:lstStyle/>
                  <a:p>
                    <a:fld id="{35C25B11-BC7A-564F-AD50-98453E97C3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C980-48F0-883D-43F4611555DE}"/>
                </c:ext>
              </c:extLst>
            </c:dLbl>
            <c:dLbl>
              <c:idx val="270"/>
              <c:tx>
                <c:rich>
                  <a:bodyPr/>
                  <a:lstStyle/>
                  <a:p>
                    <a:fld id="{0CDAF49B-43C9-C74B-8B2F-116F27C447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C980-48F0-883D-43F4611555DE}"/>
                </c:ext>
              </c:extLst>
            </c:dLbl>
            <c:dLbl>
              <c:idx val="271"/>
              <c:tx>
                <c:rich>
                  <a:bodyPr/>
                  <a:lstStyle/>
                  <a:p>
                    <a:fld id="{3E30F813-09A6-3540-91A8-77344846E4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C980-48F0-883D-43F4611555DE}"/>
                </c:ext>
              </c:extLst>
            </c:dLbl>
            <c:dLbl>
              <c:idx val="272"/>
              <c:tx>
                <c:rich>
                  <a:bodyPr/>
                  <a:lstStyle/>
                  <a:p>
                    <a:fld id="{B6BB85CB-C8C8-A448-ADEE-59632EE593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C980-48F0-883D-43F4611555DE}"/>
                </c:ext>
              </c:extLst>
            </c:dLbl>
            <c:dLbl>
              <c:idx val="273"/>
              <c:tx>
                <c:rich>
                  <a:bodyPr/>
                  <a:lstStyle/>
                  <a:p>
                    <a:fld id="{509D0FF4-1363-CD4A-A18F-7E73B3BF4E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C980-48F0-883D-43F4611555DE}"/>
                </c:ext>
              </c:extLst>
            </c:dLbl>
            <c:dLbl>
              <c:idx val="274"/>
              <c:tx>
                <c:rich>
                  <a:bodyPr/>
                  <a:lstStyle/>
                  <a:p>
                    <a:fld id="{7C94FF69-6B46-5046-ADD1-76E80C874B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C980-48F0-883D-43F4611555DE}"/>
                </c:ext>
              </c:extLst>
            </c:dLbl>
            <c:dLbl>
              <c:idx val="275"/>
              <c:tx>
                <c:rich>
                  <a:bodyPr/>
                  <a:lstStyle/>
                  <a:p>
                    <a:fld id="{EE2717BA-015C-BA48-9B0A-E92C9D1234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C980-48F0-883D-43F4611555DE}"/>
                </c:ext>
              </c:extLst>
            </c:dLbl>
            <c:dLbl>
              <c:idx val="276"/>
              <c:tx>
                <c:rich>
                  <a:bodyPr/>
                  <a:lstStyle/>
                  <a:p>
                    <a:fld id="{5A7E0B8A-DC4B-6248-BA30-1F54BE1BCC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C980-48F0-883D-43F4611555DE}"/>
                </c:ext>
              </c:extLst>
            </c:dLbl>
            <c:dLbl>
              <c:idx val="277"/>
              <c:tx>
                <c:rich>
                  <a:bodyPr/>
                  <a:lstStyle/>
                  <a:p>
                    <a:fld id="{BA6EEA6D-8D3D-3C45-B5B3-A425454EEC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C980-48F0-883D-43F4611555DE}"/>
                </c:ext>
              </c:extLst>
            </c:dLbl>
            <c:dLbl>
              <c:idx val="278"/>
              <c:tx>
                <c:rich>
                  <a:bodyPr/>
                  <a:lstStyle/>
                  <a:p>
                    <a:fld id="{137E9533-7001-5C49-82EE-2B560B3E30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C980-48F0-883D-43F4611555DE}"/>
                </c:ext>
              </c:extLst>
            </c:dLbl>
            <c:dLbl>
              <c:idx val="279"/>
              <c:tx>
                <c:rich>
                  <a:bodyPr/>
                  <a:lstStyle/>
                  <a:p>
                    <a:fld id="{173F01FF-C207-9E4E-8E19-90074BC809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C980-48F0-883D-43F4611555DE}"/>
                </c:ext>
              </c:extLst>
            </c:dLbl>
            <c:dLbl>
              <c:idx val="280"/>
              <c:tx>
                <c:rich>
                  <a:bodyPr/>
                  <a:lstStyle/>
                  <a:p>
                    <a:fld id="{D97C560E-6845-7B40-9491-7EFE0C57E7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C980-48F0-883D-43F4611555DE}"/>
                </c:ext>
              </c:extLst>
            </c:dLbl>
            <c:dLbl>
              <c:idx val="281"/>
              <c:tx>
                <c:rich>
                  <a:bodyPr/>
                  <a:lstStyle/>
                  <a:p>
                    <a:fld id="{FF982348-06F9-4E49-A8F9-7070C6F63F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C980-48F0-883D-43F4611555DE}"/>
                </c:ext>
              </c:extLst>
            </c:dLbl>
            <c:dLbl>
              <c:idx val="282"/>
              <c:tx>
                <c:rich>
                  <a:bodyPr/>
                  <a:lstStyle/>
                  <a:p>
                    <a:fld id="{CDDD9C58-572B-9640-807D-D2749D83EC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C980-48F0-883D-43F4611555DE}"/>
                </c:ext>
              </c:extLst>
            </c:dLbl>
            <c:dLbl>
              <c:idx val="283"/>
              <c:tx>
                <c:rich>
                  <a:bodyPr/>
                  <a:lstStyle/>
                  <a:p>
                    <a:fld id="{E1F458D5-4F08-FB45-AEBD-8F249BDA61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C980-48F0-883D-43F4611555DE}"/>
                </c:ext>
              </c:extLst>
            </c:dLbl>
            <c:dLbl>
              <c:idx val="284"/>
              <c:tx>
                <c:rich>
                  <a:bodyPr/>
                  <a:lstStyle/>
                  <a:p>
                    <a:fld id="{EF1840D7-E959-B645-8969-33681EAF98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C980-48F0-883D-43F4611555DE}"/>
                </c:ext>
              </c:extLst>
            </c:dLbl>
            <c:dLbl>
              <c:idx val="285"/>
              <c:tx>
                <c:rich>
                  <a:bodyPr/>
                  <a:lstStyle/>
                  <a:p>
                    <a:fld id="{1BDFABA6-5367-524A-BAF6-F64801319C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C980-48F0-883D-43F4611555DE}"/>
                </c:ext>
              </c:extLst>
            </c:dLbl>
            <c:dLbl>
              <c:idx val="286"/>
              <c:tx>
                <c:rich>
                  <a:bodyPr/>
                  <a:lstStyle/>
                  <a:p>
                    <a:fld id="{E26190DE-9A97-2A4C-BFE7-4E547ED768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C980-48F0-883D-43F4611555DE}"/>
                </c:ext>
              </c:extLst>
            </c:dLbl>
            <c:dLbl>
              <c:idx val="287"/>
              <c:tx>
                <c:rich>
                  <a:bodyPr/>
                  <a:lstStyle/>
                  <a:p>
                    <a:fld id="{38222942-C1A8-874F-801D-77B6D45E1E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C980-48F0-883D-43F4611555DE}"/>
                </c:ext>
              </c:extLst>
            </c:dLbl>
            <c:dLbl>
              <c:idx val="288"/>
              <c:tx>
                <c:rich>
                  <a:bodyPr/>
                  <a:lstStyle/>
                  <a:p>
                    <a:fld id="{E2D406BF-B8A3-0542-8BF7-C682D7DD71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C980-48F0-883D-43F4611555DE}"/>
                </c:ext>
              </c:extLst>
            </c:dLbl>
            <c:dLbl>
              <c:idx val="289"/>
              <c:tx>
                <c:rich>
                  <a:bodyPr/>
                  <a:lstStyle/>
                  <a:p>
                    <a:fld id="{5D5E4C6D-E39D-E34E-9659-EABCFBF0A0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C980-48F0-883D-43F4611555DE}"/>
                </c:ext>
              </c:extLst>
            </c:dLbl>
            <c:dLbl>
              <c:idx val="290"/>
              <c:tx>
                <c:rich>
                  <a:bodyPr/>
                  <a:lstStyle/>
                  <a:p>
                    <a:fld id="{8303CB06-DE9F-DF4E-A070-8171499D94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C980-48F0-883D-43F4611555DE}"/>
                </c:ext>
              </c:extLst>
            </c:dLbl>
            <c:dLbl>
              <c:idx val="291"/>
              <c:tx>
                <c:rich>
                  <a:bodyPr/>
                  <a:lstStyle/>
                  <a:p>
                    <a:fld id="{AEED7660-025B-C243-99BC-32EDC4806C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C980-48F0-883D-43F4611555DE}"/>
                </c:ext>
              </c:extLst>
            </c:dLbl>
            <c:dLbl>
              <c:idx val="292"/>
              <c:tx>
                <c:rich>
                  <a:bodyPr/>
                  <a:lstStyle/>
                  <a:p>
                    <a:fld id="{8531A3FC-FA47-2C4E-9C67-89A24D6E91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C980-48F0-883D-43F4611555DE}"/>
                </c:ext>
              </c:extLst>
            </c:dLbl>
            <c:dLbl>
              <c:idx val="293"/>
              <c:tx>
                <c:rich>
                  <a:bodyPr/>
                  <a:lstStyle/>
                  <a:p>
                    <a:fld id="{DE579ED8-E0E3-2448-B1C4-F6A056B5DD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C980-48F0-883D-43F4611555DE}"/>
                </c:ext>
              </c:extLst>
            </c:dLbl>
            <c:dLbl>
              <c:idx val="294"/>
              <c:tx>
                <c:rich>
                  <a:bodyPr/>
                  <a:lstStyle/>
                  <a:p>
                    <a:fld id="{8AE8ACE3-51AB-0649-B22D-58DCB6BC8C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C980-48F0-883D-43F4611555DE}"/>
                </c:ext>
              </c:extLst>
            </c:dLbl>
            <c:dLbl>
              <c:idx val="295"/>
              <c:tx>
                <c:rich>
                  <a:bodyPr/>
                  <a:lstStyle/>
                  <a:p>
                    <a:fld id="{17414EF1-D8A0-AC44-8FE6-108578A479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C980-48F0-883D-43F4611555DE}"/>
                </c:ext>
              </c:extLst>
            </c:dLbl>
            <c:dLbl>
              <c:idx val="296"/>
              <c:tx>
                <c:rich>
                  <a:bodyPr/>
                  <a:lstStyle/>
                  <a:p>
                    <a:fld id="{2CCB8809-C4CB-7F46-9B1D-A018645B29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C980-48F0-883D-43F4611555DE}"/>
                </c:ext>
              </c:extLst>
            </c:dLbl>
            <c:dLbl>
              <c:idx val="297"/>
              <c:tx>
                <c:rich>
                  <a:bodyPr/>
                  <a:lstStyle/>
                  <a:p>
                    <a:fld id="{B2AC9DBD-F953-E046-B19E-B959379132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C980-48F0-883D-43F4611555DE}"/>
                </c:ext>
              </c:extLst>
            </c:dLbl>
            <c:dLbl>
              <c:idx val="298"/>
              <c:tx>
                <c:rich>
                  <a:bodyPr/>
                  <a:lstStyle/>
                  <a:p>
                    <a:fld id="{6486D718-0D35-4C4B-A04C-153B012D42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C980-48F0-883D-43F4611555DE}"/>
                </c:ext>
              </c:extLst>
            </c:dLbl>
            <c:dLbl>
              <c:idx val="299"/>
              <c:tx>
                <c:rich>
                  <a:bodyPr/>
                  <a:lstStyle/>
                  <a:p>
                    <a:fld id="{5AA8453D-11D3-8348-AB6B-F9C2B7D797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C980-48F0-883D-43F4611555DE}"/>
                </c:ext>
              </c:extLst>
            </c:dLbl>
            <c:dLbl>
              <c:idx val="300"/>
              <c:tx>
                <c:rich>
                  <a:bodyPr/>
                  <a:lstStyle/>
                  <a:p>
                    <a:fld id="{7BF93A84-D9B5-9D42-AB9F-7BD52B8216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C980-48F0-883D-43F4611555DE}"/>
                </c:ext>
              </c:extLst>
            </c:dLbl>
            <c:dLbl>
              <c:idx val="301"/>
              <c:tx>
                <c:rich>
                  <a:bodyPr/>
                  <a:lstStyle/>
                  <a:p>
                    <a:fld id="{53907431-19A7-A645-B767-EEAE7F585B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C980-48F0-883D-43F4611555DE}"/>
                </c:ext>
              </c:extLst>
            </c:dLbl>
            <c:dLbl>
              <c:idx val="302"/>
              <c:tx>
                <c:rich>
                  <a:bodyPr/>
                  <a:lstStyle/>
                  <a:p>
                    <a:fld id="{68DE0E69-D2B1-2A4F-95F7-49EF458CDE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C980-48F0-883D-43F4611555DE}"/>
                </c:ext>
              </c:extLst>
            </c:dLbl>
            <c:dLbl>
              <c:idx val="303"/>
              <c:tx>
                <c:rich>
                  <a:bodyPr/>
                  <a:lstStyle/>
                  <a:p>
                    <a:fld id="{ADBB35BD-580F-D244-8C13-0B3E22DD54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C980-48F0-883D-43F4611555DE}"/>
                </c:ext>
              </c:extLst>
            </c:dLbl>
            <c:dLbl>
              <c:idx val="304"/>
              <c:tx>
                <c:rich>
                  <a:bodyPr/>
                  <a:lstStyle/>
                  <a:p>
                    <a:fld id="{4B9BA2FF-6FFE-7E4F-BC65-6EF4D3B4DF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C980-48F0-883D-43F4611555DE}"/>
                </c:ext>
              </c:extLst>
            </c:dLbl>
            <c:dLbl>
              <c:idx val="305"/>
              <c:tx>
                <c:rich>
                  <a:bodyPr/>
                  <a:lstStyle/>
                  <a:p>
                    <a:fld id="{3ADD20AA-64B4-784E-B960-45839C0D45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C980-48F0-883D-43F4611555DE}"/>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C980-48F0-883D-43F4611555DE}"/>
                </c:ext>
              </c:extLst>
            </c:dLbl>
            <c:dLbl>
              <c:idx val="307"/>
              <c:tx>
                <c:rich>
                  <a:bodyPr/>
                  <a:lstStyle/>
                  <a:p>
                    <a:fld id="{5F86CE5F-0B2F-9647-B573-6E952EACFF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C980-48F0-883D-43F4611555DE}"/>
                </c:ext>
              </c:extLst>
            </c:dLbl>
            <c:dLbl>
              <c:idx val="308"/>
              <c:tx>
                <c:rich>
                  <a:bodyPr/>
                  <a:lstStyle/>
                  <a:p>
                    <a:fld id="{222B8A7B-FD0C-3A49-B857-29A59B53AC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C980-48F0-883D-43F4611555DE}"/>
                </c:ext>
              </c:extLst>
            </c:dLbl>
            <c:dLbl>
              <c:idx val="309"/>
              <c:tx>
                <c:rich>
                  <a:bodyPr/>
                  <a:lstStyle/>
                  <a:p>
                    <a:fld id="{D546CCC3-F9D3-2046-916F-80D0928C3D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C980-48F0-883D-43F4611555DE}"/>
                </c:ext>
              </c:extLst>
            </c:dLbl>
            <c:dLbl>
              <c:idx val="310"/>
              <c:tx>
                <c:rich>
                  <a:bodyPr/>
                  <a:lstStyle/>
                  <a:p>
                    <a:fld id="{A3EA1312-4848-1240-8928-4418EF27A1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C980-48F0-883D-43F4611555DE}"/>
                </c:ext>
              </c:extLst>
            </c:dLbl>
            <c:dLbl>
              <c:idx val="311"/>
              <c:tx>
                <c:rich>
                  <a:bodyPr/>
                  <a:lstStyle/>
                  <a:p>
                    <a:fld id="{2204B36A-D533-AF48-9C35-B9103F2AD2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C980-48F0-883D-43F4611555DE}"/>
                </c:ext>
              </c:extLst>
            </c:dLbl>
            <c:dLbl>
              <c:idx val="312"/>
              <c:tx>
                <c:rich>
                  <a:bodyPr/>
                  <a:lstStyle/>
                  <a:p>
                    <a:fld id="{667D97FF-97BE-4349-8F81-B8DD2B479A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C980-48F0-883D-43F4611555DE}"/>
                </c:ext>
              </c:extLst>
            </c:dLbl>
            <c:dLbl>
              <c:idx val="313"/>
              <c:tx>
                <c:rich>
                  <a:bodyPr/>
                  <a:lstStyle/>
                  <a:p>
                    <a:fld id="{B82A1BA4-52DD-A045-B02E-D6CE860BF1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C980-48F0-883D-43F4611555DE}"/>
                </c:ext>
              </c:extLst>
            </c:dLbl>
            <c:dLbl>
              <c:idx val="314"/>
              <c:tx>
                <c:rich>
                  <a:bodyPr/>
                  <a:lstStyle/>
                  <a:p>
                    <a:fld id="{449CE259-CA91-1E41-8CC7-C41038859B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C980-48F0-883D-43F4611555DE}"/>
                </c:ext>
              </c:extLst>
            </c:dLbl>
            <c:dLbl>
              <c:idx val="315"/>
              <c:tx>
                <c:rich>
                  <a:bodyPr/>
                  <a:lstStyle/>
                  <a:p>
                    <a:fld id="{8BE838D1-290C-4042-8BE7-410AD4A9DF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C980-48F0-883D-43F4611555DE}"/>
                </c:ext>
              </c:extLst>
            </c:dLbl>
            <c:dLbl>
              <c:idx val="316"/>
              <c:tx>
                <c:rich>
                  <a:bodyPr/>
                  <a:lstStyle/>
                  <a:p>
                    <a:fld id="{F2A98E0B-8940-B148-9F6A-A183EF3484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C980-48F0-883D-43F4611555DE}"/>
                </c:ext>
              </c:extLst>
            </c:dLbl>
            <c:dLbl>
              <c:idx val="317"/>
              <c:tx>
                <c:rich>
                  <a:bodyPr/>
                  <a:lstStyle/>
                  <a:p>
                    <a:fld id="{6065FA39-07D9-6649-A762-D18D123C39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C980-48F0-883D-43F4611555DE}"/>
                </c:ext>
              </c:extLst>
            </c:dLbl>
            <c:dLbl>
              <c:idx val="318"/>
              <c:tx>
                <c:rich>
                  <a:bodyPr/>
                  <a:lstStyle/>
                  <a:p>
                    <a:fld id="{0E5891BD-EAA8-4641-AF90-28C70FEEF6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C980-48F0-883D-43F4611555DE}"/>
                </c:ext>
              </c:extLst>
            </c:dLbl>
            <c:dLbl>
              <c:idx val="319"/>
              <c:tx>
                <c:rich>
                  <a:bodyPr/>
                  <a:lstStyle/>
                  <a:p>
                    <a:fld id="{814D5CF3-672C-4048-8C8F-DFB14F2877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C980-48F0-883D-43F4611555DE}"/>
                </c:ext>
              </c:extLst>
            </c:dLbl>
            <c:dLbl>
              <c:idx val="320"/>
              <c:tx>
                <c:rich>
                  <a:bodyPr/>
                  <a:lstStyle/>
                  <a:p>
                    <a:fld id="{174BD30C-87AB-2D4E-840C-E9F86F7F0C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C980-48F0-883D-43F4611555DE}"/>
                </c:ext>
              </c:extLst>
            </c:dLbl>
            <c:dLbl>
              <c:idx val="321"/>
              <c:tx>
                <c:rich>
                  <a:bodyPr/>
                  <a:lstStyle/>
                  <a:p>
                    <a:fld id="{F8C233C6-38EB-8043-B32C-817494951A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C980-48F0-883D-43F4611555DE}"/>
                </c:ext>
              </c:extLst>
            </c:dLbl>
            <c:dLbl>
              <c:idx val="322"/>
              <c:tx>
                <c:rich>
                  <a:bodyPr/>
                  <a:lstStyle/>
                  <a:p>
                    <a:fld id="{942AA979-8452-4A48-8311-F0A36E0632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C980-48F0-883D-43F4611555DE}"/>
                </c:ext>
              </c:extLst>
            </c:dLbl>
            <c:dLbl>
              <c:idx val="323"/>
              <c:tx>
                <c:rich>
                  <a:bodyPr/>
                  <a:lstStyle/>
                  <a:p>
                    <a:fld id="{49C1D716-E624-B04E-A659-99452712AD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C980-48F0-883D-43F4611555DE}"/>
                </c:ext>
              </c:extLst>
            </c:dLbl>
            <c:dLbl>
              <c:idx val="324"/>
              <c:tx>
                <c:rich>
                  <a:bodyPr/>
                  <a:lstStyle/>
                  <a:p>
                    <a:fld id="{137E33CB-964F-974D-9B05-2E6367117F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C980-48F0-883D-43F4611555DE}"/>
                </c:ext>
              </c:extLst>
            </c:dLbl>
            <c:dLbl>
              <c:idx val="325"/>
              <c:tx>
                <c:rich>
                  <a:bodyPr/>
                  <a:lstStyle/>
                  <a:p>
                    <a:fld id="{7709EBC3-6F78-9743-A8DF-A1EB7C5E23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C980-48F0-883D-43F4611555DE}"/>
                </c:ext>
              </c:extLst>
            </c:dLbl>
            <c:dLbl>
              <c:idx val="326"/>
              <c:tx>
                <c:rich>
                  <a:bodyPr/>
                  <a:lstStyle/>
                  <a:p>
                    <a:fld id="{7B16E823-BC1E-D046-8C3D-20A4D9F556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C980-48F0-883D-43F4611555DE}"/>
                </c:ext>
              </c:extLst>
            </c:dLbl>
            <c:dLbl>
              <c:idx val="327"/>
              <c:tx>
                <c:rich>
                  <a:bodyPr/>
                  <a:lstStyle/>
                  <a:p>
                    <a:fld id="{86FB25E4-18B4-284E-B84A-EAD50E2E57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C980-48F0-883D-43F4611555DE}"/>
                </c:ext>
              </c:extLst>
            </c:dLbl>
            <c:dLbl>
              <c:idx val="328"/>
              <c:tx>
                <c:rich>
                  <a:bodyPr/>
                  <a:lstStyle/>
                  <a:p>
                    <a:fld id="{3D41530A-1633-A048-BECC-B1B730F0C4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C980-48F0-883D-43F4611555DE}"/>
                </c:ext>
              </c:extLst>
            </c:dLbl>
            <c:dLbl>
              <c:idx val="329"/>
              <c:tx>
                <c:rich>
                  <a:bodyPr/>
                  <a:lstStyle/>
                  <a:p>
                    <a:fld id="{EEABBAE9-100E-914C-AFFC-F9B4A28EB7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C980-48F0-883D-43F4611555DE}"/>
                </c:ext>
              </c:extLst>
            </c:dLbl>
            <c:dLbl>
              <c:idx val="330"/>
              <c:tx>
                <c:rich>
                  <a:bodyPr/>
                  <a:lstStyle/>
                  <a:p>
                    <a:fld id="{F5738E71-FED4-4D48-8684-4A32872676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C980-48F0-883D-43F4611555DE}"/>
                </c:ext>
              </c:extLst>
            </c:dLbl>
            <c:dLbl>
              <c:idx val="331"/>
              <c:tx>
                <c:rich>
                  <a:bodyPr/>
                  <a:lstStyle/>
                  <a:p>
                    <a:fld id="{425A5198-9BCE-BB45-AF3C-7D9D2F6E4F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C980-48F0-883D-43F4611555DE}"/>
                </c:ext>
              </c:extLst>
            </c:dLbl>
            <c:dLbl>
              <c:idx val="332"/>
              <c:tx>
                <c:rich>
                  <a:bodyPr/>
                  <a:lstStyle/>
                  <a:p>
                    <a:fld id="{E774E565-D8F6-9B49-805F-E924BD21F4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C980-48F0-883D-43F4611555DE}"/>
                </c:ext>
              </c:extLst>
            </c:dLbl>
            <c:dLbl>
              <c:idx val="333"/>
              <c:tx>
                <c:rich>
                  <a:bodyPr/>
                  <a:lstStyle/>
                  <a:p>
                    <a:fld id="{2CD6ED58-42F2-2A46-B807-89608AA9DE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C980-48F0-883D-43F4611555DE}"/>
                </c:ext>
              </c:extLst>
            </c:dLbl>
            <c:dLbl>
              <c:idx val="334"/>
              <c:tx>
                <c:rich>
                  <a:bodyPr/>
                  <a:lstStyle/>
                  <a:p>
                    <a:fld id="{6B37A01E-9261-A64C-82E8-0048E5C14A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C980-48F0-883D-43F4611555DE}"/>
                </c:ext>
              </c:extLst>
            </c:dLbl>
            <c:dLbl>
              <c:idx val="335"/>
              <c:tx>
                <c:rich>
                  <a:bodyPr/>
                  <a:lstStyle/>
                  <a:p>
                    <a:fld id="{64AFCD92-0725-0946-A9EB-47AC6ED2E9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C980-48F0-883D-43F4611555DE}"/>
                </c:ext>
              </c:extLst>
            </c:dLbl>
            <c:dLbl>
              <c:idx val="336"/>
              <c:tx>
                <c:rich>
                  <a:bodyPr/>
                  <a:lstStyle/>
                  <a:p>
                    <a:fld id="{36EF27D4-FD01-DF40-AF99-F4BAC65AAF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C980-48F0-883D-43F4611555DE}"/>
                </c:ext>
              </c:extLst>
            </c:dLbl>
            <c:dLbl>
              <c:idx val="337"/>
              <c:tx>
                <c:rich>
                  <a:bodyPr/>
                  <a:lstStyle/>
                  <a:p>
                    <a:fld id="{A9EE1985-0A81-0748-8E6C-336651DAF0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C980-48F0-883D-43F4611555DE}"/>
                </c:ext>
              </c:extLst>
            </c:dLbl>
            <c:dLbl>
              <c:idx val="338"/>
              <c:tx>
                <c:rich>
                  <a:bodyPr/>
                  <a:lstStyle/>
                  <a:p>
                    <a:fld id="{ED501C40-97F3-FD48-85A3-1D13AC638E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C980-48F0-883D-43F4611555DE}"/>
                </c:ext>
              </c:extLst>
            </c:dLbl>
            <c:dLbl>
              <c:idx val="339"/>
              <c:tx>
                <c:rich>
                  <a:bodyPr/>
                  <a:lstStyle/>
                  <a:p>
                    <a:fld id="{004A9D87-8564-F043-9DF6-47717E6D81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C980-48F0-883D-43F4611555DE}"/>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C980-48F0-883D-43F4611555DE}"/>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FD92-4543-970C-BFEBCF20BAE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F4D6-4F4C-B45B-0C08C9AD5F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'Crop Chart'!$DM$3:$DM$345</c:f>
              <c:numCache>
                <c:formatCode>_(* #,##0_);_(* \(#,##0\);_(* "-"??_);_(@_)</c:formatCode>
                <c:ptCount val="343"/>
                <c:pt idx="0">
                  <c:v>0</c:v>
                </c:pt>
                <c:pt idx="1">
                  <c:v>900</c:v>
                </c:pt>
                <c:pt idx="2">
                  <c:v>900</c:v>
                </c:pt>
                <c:pt idx="3">
                  <c:v>2333.333333333333</c:v>
                </c:pt>
                <c:pt idx="4">
                  <c:v>900</c:v>
                </c:pt>
                <c:pt idx="5">
                  <c:v>225</c:v>
                </c:pt>
                <c:pt idx="6">
                  <c:v>225</c:v>
                </c:pt>
                <c:pt idx="7">
                  <c:v>225</c:v>
                </c:pt>
                <c:pt idx="8">
                  <c:v>225</c:v>
                </c:pt>
                <c:pt idx="9">
                  <c:v>533.33333333333326</c:v>
                </c:pt>
                <c:pt idx="10">
                  <c:v>500</c:v>
                </c:pt>
                <c:pt idx="11">
                  <c:v>499.99999999999994</c:v>
                </c:pt>
                <c:pt idx="12">
                  <c:v>800</c:v>
                </c:pt>
                <c:pt idx="13">
                  <c:v>800</c:v>
                </c:pt>
                <c:pt idx="14">
                  <c:v>500</c:v>
                </c:pt>
                <c:pt idx="15">
                  <c:v>81.25</c:v>
                </c:pt>
                <c:pt idx="16">
                  <c:v>325</c:v>
                </c:pt>
                <c:pt idx="17">
                  <c:v>600</c:v>
                </c:pt>
                <c:pt idx="18">
                  <c:v>1500</c:v>
                </c:pt>
                <c:pt idx="19">
                  <c:v>1050</c:v>
                </c:pt>
                <c:pt idx="20">
                  <c:v>1200</c:v>
                </c:pt>
                <c:pt idx="21">
                  <c:v>520</c:v>
                </c:pt>
                <c:pt idx="22">
                  <c:v>1040</c:v>
                </c:pt>
                <c:pt idx="23">
                  <c:v>4000</c:v>
                </c:pt>
                <c:pt idx="24">
                  <c:v>2000</c:v>
                </c:pt>
                <c:pt idx="25">
                  <c:v>2000</c:v>
                </c:pt>
                <c:pt idx="26">
                  <c:v>1000</c:v>
                </c:pt>
                <c:pt idx="27">
                  <c:v>195</c:v>
                </c:pt>
                <c:pt idx="28">
                  <c:v>480</c:v>
                </c:pt>
                <c:pt idx="29">
                  <c:v>400</c:v>
                </c:pt>
                <c:pt idx="30">
                  <c:v>400</c:v>
                </c:pt>
                <c:pt idx="31">
                  <c:v>400</c:v>
                </c:pt>
                <c:pt idx="32">
                  <c:v>400</c:v>
                </c:pt>
                <c:pt idx="33">
                  <c:v>400</c:v>
                </c:pt>
                <c:pt idx="34">
                  <c:v>666.66666666666652</c:v>
                </c:pt>
                <c:pt idx="35">
                  <c:v>1680</c:v>
                </c:pt>
                <c:pt idx="36">
                  <c:v>4200</c:v>
                </c:pt>
                <c:pt idx="37">
                  <c:v>1680</c:v>
                </c:pt>
                <c:pt idx="38">
                  <c:v>4200</c:v>
                </c:pt>
                <c:pt idx="39">
                  <c:v>216.66666666666663</c:v>
                </c:pt>
                <c:pt idx="40">
                  <c:v>800</c:v>
                </c:pt>
                <c:pt idx="41">
                  <c:v>625</c:v>
                </c:pt>
                <c:pt idx="42">
                  <c:v>625</c:v>
                </c:pt>
                <c:pt idx="43">
                  <c:v>960</c:v>
                </c:pt>
                <c:pt idx="44">
                  <c:v>1620</c:v>
                </c:pt>
                <c:pt idx="45">
                  <c:v>2000</c:v>
                </c:pt>
                <c:pt idx="46">
                  <c:v>586.66666666666663</c:v>
                </c:pt>
                <c:pt idx="47">
                  <c:v>360</c:v>
                </c:pt>
                <c:pt idx="48">
                  <c:v>600</c:v>
                </c:pt>
                <c:pt idx="49">
                  <c:v>660</c:v>
                </c:pt>
                <c:pt idx="50">
                  <c:v>1100</c:v>
                </c:pt>
                <c:pt idx="51">
                  <c:v>660</c:v>
                </c:pt>
                <c:pt idx="52">
                  <c:v>660</c:v>
                </c:pt>
                <c:pt idx="53">
                  <c:v>440</c:v>
                </c:pt>
                <c:pt idx="54">
                  <c:v>486.66666666666663</c:v>
                </c:pt>
                <c:pt idx="55">
                  <c:v>528</c:v>
                </c:pt>
                <c:pt idx="56">
                  <c:v>440</c:v>
                </c:pt>
                <c:pt idx="57">
                  <c:v>715</c:v>
                </c:pt>
                <c:pt idx="58">
                  <c:v>293.33333333333331</c:v>
                </c:pt>
                <c:pt idx="59">
                  <c:v>400</c:v>
                </c:pt>
                <c:pt idx="60">
                  <c:v>557.14285714285711</c:v>
                </c:pt>
                <c:pt idx="61">
                  <c:v>557.14285714285711</c:v>
                </c:pt>
                <c:pt idx="62">
                  <c:v>630</c:v>
                </c:pt>
                <c:pt idx="63">
                  <c:v>960</c:v>
                </c:pt>
                <c:pt idx="64">
                  <c:v>1500</c:v>
                </c:pt>
                <c:pt idx="65">
                  <c:v>514.28571428571422</c:v>
                </c:pt>
                <c:pt idx="66">
                  <c:v>514.28571428571422</c:v>
                </c:pt>
                <c:pt idx="67">
                  <c:v>514.28571428571422</c:v>
                </c:pt>
                <c:pt idx="68">
                  <c:v>514.28571428571422</c:v>
                </c:pt>
                <c:pt idx="69">
                  <c:v>4949.9999999999991</c:v>
                </c:pt>
                <c:pt idx="70">
                  <c:v>600</c:v>
                </c:pt>
                <c:pt idx="71">
                  <c:v>400</c:v>
                </c:pt>
                <c:pt idx="72">
                  <c:v>1470</c:v>
                </c:pt>
                <c:pt idx="73">
                  <c:v>1470</c:v>
                </c:pt>
                <c:pt idx="74">
                  <c:v>6600</c:v>
                </c:pt>
                <c:pt idx="75">
                  <c:v>750</c:v>
                </c:pt>
                <c:pt idx="76">
                  <c:v>500</c:v>
                </c:pt>
                <c:pt idx="77">
                  <c:v>0</c:v>
                </c:pt>
                <c:pt idx="78">
                  <c:v>533.33333333333337</c:v>
                </c:pt>
                <c:pt idx="79">
                  <c:v>350</c:v>
                </c:pt>
                <c:pt idx="80">
                  <c:v>3200</c:v>
                </c:pt>
                <c:pt idx="81">
                  <c:v>2400</c:v>
                </c:pt>
                <c:pt idx="82">
                  <c:v>2400</c:v>
                </c:pt>
                <c:pt idx="83">
                  <c:v>1200</c:v>
                </c:pt>
                <c:pt idx="84">
                  <c:v>1200</c:v>
                </c:pt>
                <c:pt idx="85">
                  <c:v>1200</c:v>
                </c:pt>
                <c:pt idx="86">
                  <c:v>1200</c:v>
                </c:pt>
                <c:pt idx="87">
                  <c:v>1200</c:v>
                </c:pt>
                <c:pt idx="88">
                  <c:v>0</c:v>
                </c:pt>
                <c:pt idx="89">
                  <c:v>0</c:v>
                </c:pt>
                <c:pt idx="90">
                  <c:v>0</c:v>
                </c:pt>
                <c:pt idx="91">
                  <c:v>200</c:v>
                </c:pt>
                <c:pt idx="92">
                  <c:v>400</c:v>
                </c:pt>
                <c:pt idx="93">
                  <c:v>400</c:v>
                </c:pt>
                <c:pt idx="94">
                  <c:v>562.5</c:v>
                </c:pt>
                <c:pt idx="95">
                  <c:v>562.5</c:v>
                </c:pt>
                <c:pt idx="96">
                  <c:v>240</c:v>
                </c:pt>
                <c:pt idx="97">
                  <c:v>562.5</c:v>
                </c:pt>
                <c:pt idx="98">
                  <c:v>240</c:v>
                </c:pt>
                <c:pt idx="99">
                  <c:v>562.5</c:v>
                </c:pt>
                <c:pt idx="100">
                  <c:v>900</c:v>
                </c:pt>
                <c:pt idx="101">
                  <c:v>3000</c:v>
                </c:pt>
                <c:pt idx="102">
                  <c:v>0</c:v>
                </c:pt>
                <c:pt idx="103">
                  <c:v>1800</c:v>
                </c:pt>
                <c:pt idx="104">
                  <c:v>1800</c:v>
                </c:pt>
                <c:pt idx="105">
                  <c:v>2142.8571428571422</c:v>
                </c:pt>
                <c:pt idx="106">
                  <c:v>1080</c:v>
                </c:pt>
                <c:pt idx="107">
                  <c:v>864</c:v>
                </c:pt>
                <c:pt idx="108">
                  <c:v>2857.1428571428569</c:v>
                </c:pt>
                <c:pt idx="109">
                  <c:v>2142.8571428571422</c:v>
                </c:pt>
                <c:pt idx="110">
                  <c:v>1080</c:v>
                </c:pt>
                <c:pt idx="111">
                  <c:v>0</c:v>
                </c:pt>
                <c:pt idx="112">
                  <c:v>3000</c:v>
                </c:pt>
                <c:pt idx="113">
                  <c:v>5100</c:v>
                </c:pt>
                <c:pt idx="114">
                  <c:v>1600</c:v>
                </c:pt>
                <c:pt idx="115">
                  <c:v>800</c:v>
                </c:pt>
                <c:pt idx="116">
                  <c:v>1280</c:v>
                </c:pt>
                <c:pt idx="117">
                  <c:v>1280</c:v>
                </c:pt>
                <c:pt idx="118">
                  <c:v>1200</c:v>
                </c:pt>
                <c:pt idx="119">
                  <c:v>1200</c:v>
                </c:pt>
                <c:pt idx="120">
                  <c:v>799.99999999999989</c:v>
                </c:pt>
                <c:pt idx="121">
                  <c:v>799.99999999999989</c:v>
                </c:pt>
                <c:pt idx="122">
                  <c:v>855</c:v>
                </c:pt>
                <c:pt idx="123">
                  <c:v>5400</c:v>
                </c:pt>
                <c:pt idx="124">
                  <c:v>1280</c:v>
                </c:pt>
                <c:pt idx="125">
                  <c:v>600</c:v>
                </c:pt>
                <c:pt idx="126">
                  <c:v>600</c:v>
                </c:pt>
                <c:pt idx="127">
                  <c:v>500</c:v>
                </c:pt>
                <c:pt idx="128">
                  <c:v>500</c:v>
                </c:pt>
                <c:pt idx="129">
                  <c:v>666.66666666666674</c:v>
                </c:pt>
                <c:pt idx="130">
                  <c:v>666.66666666666674</c:v>
                </c:pt>
                <c:pt idx="131">
                  <c:v>960</c:v>
                </c:pt>
                <c:pt idx="132">
                  <c:v>900</c:v>
                </c:pt>
                <c:pt idx="133">
                  <c:v>0</c:v>
                </c:pt>
                <c:pt idx="134">
                  <c:v>642.85714285714289</c:v>
                </c:pt>
                <c:pt idx="135">
                  <c:v>771.42857142857133</c:v>
                </c:pt>
                <c:pt idx="136">
                  <c:v>771.42857142857133</c:v>
                </c:pt>
                <c:pt idx="137">
                  <c:v>0</c:v>
                </c:pt>
                <c:pt idx="138">
                  <c:v>0</c:v>
                </c:pt>
                <c:pt idx="139">
                  <c:v>1280</c:v>
                </c:pt>
                <c:pt idx="140">
                  <c:v>1500</c:v>
                </c:pt>
                <c:pt idx="141">
                  <c:v>399.99999999999994</c:v>
                </c:pt>
                <c:pt idx="142">
                  <c:v>666.66666666666652</c:v>
                </c:pt>
                <c:pt idx="143">
                  <c:v>0</c:v>
                </c:pt>
                <c:pt idx="144">
                  <c:v>0</c:v>
                </c:pt>
                <c:pt idx="145">
                  <c:v>0</c:v>
                </c:pt>
                <c:pt idx="146">
                  <c:v>0</c:v>
                </c:pt>
                <c:pt idx="147">
                  <c:v>0</c:v>
                </c:pt>
                <c:pt idx="148">
                  <c:v>0</c:v>
                </c:pt>
                <c:pt idx="149">
                  <c:v>0</c:v>
                </c:pt>
                <c:pt idx="150">
                  <c:v>320</c:v>
                </c:pt>
                <c:pt idx="151">
                  <c:v>0</c:v>
                </c:pt>
                <c:pt idx="152">
                  <c:v>799.99999999999989</c:v>
                </c:pt>
                <c:pt idx="153">
                  <c:v>199.99999999999997</c:v>
                </c:pt>
                <c:pt idx="154">
                  <c:v>799.99999999999989</c:v>
                </c:pt>
                <c:pt idx="155">
                  <c:v>700</c:v>
                </c:pt>
                <c:pt idx="156">
                  <c:v>600</c:v>
                </c:pt>
                <c:pt idx="157">
                  <c:v>600</c:v>
                </c:pt>
                <c:pt idx="158">
                  <c:v>399.99999999999994</c:v>
                </c:pt>
                <c:pt idx="159">
                  <c:v>399.99999999999994</c:v>
                </c:pt>
                <c:pt idx="160">
                  <c:v>300</c:v>
                </c:pt>
                <c:pt idx="161">
                  <c:v>500</c:v>
                </c:pt>
                <c:pt idx="162">
                  <c:v>500</c:v>
                </c:pt>
                <c:pt idx="163">
                  <c:v>257.14285714285711</c:v>
                </c:pt>
                <c:pt idx="164">
                  <c:v>900</c:v>
                </c:pt>
                <c:pt idx="165">
                  <c:v>257.14285714285711</c:v>
                </c:pt>
                <c:pt idx="166">
                  <c:v>1333.333333333333</c:v>
                </c:pt>
                <c:pt idx="167">
                  <c:v>1000</c:v>
                </c:pt>
                <c:pt idx="168">
                  <c:v>1333.333333333333</c:v>
                </c:pt>
                <c:pt idx="169">
                  <c:v>2400</c:v>
                </c:pt>
                <c:pt idx="170">
                  <c:v>2400</c:v>
                </c:pt>
                <c:pt idx="171">
                  <c:v>0</c:v>
                </c:pt>
                <c:pt idx="172">
                  <c:v>800</c:v>
                </c:pt>
                <c:pt idx="173">
                  <c:v>1066.6666666666665</c:v>
                </c:pt>
                <c:pt idx="174">
                  <c:v>1066.6666666666665</c:v>
                </c:pt>
                <c:pt idx="175">
                  <c:v>1066.6666666666665</c:v>
                </c:pt>
                <c:pt idx="176">
                  <c:v>1200</c:v>
                </c:pt>
                <c:pt idx="177">
                  <c:v>1200</c:v>
                </c:pt>
                <c:pt idx="178">
                  <c:v>600</c:v>
                </c:pt>
                <c:pt idx="179">
                  <c:v>1200</c:v>
                </c:pt>
                <c:pt idx="180">
                  <c:v>1200</c:v>
                </c:pt>
                <c:pt idx="181">
                  <c:v>1200</c:v>
                </c:pt>
                <c:pt idx="182">
                  <c:v>1200</c:v>
                </c:pt>
                <c:pt idx="183">
                  <c:v>800</c:v>
                </c:pt>
                <c:pt idx="184">
                  <c:v>800</c:v>
                </c:pt>
                <c:pt idx="185">
                  <c:v>800</c:v>
                </c:pt>
                <c:pt idx="186">
                  <c:v>800</c:v>
                </c:pt>
                <c:pt idx="187">
                  <c:v>800</c:v>
                </c:pt>
                <c:pt idx="188">
                  <c:v>800</c:v>
                </c:pt>
                <c:pt idx="189">
                  <c:v>800</c:v>
                </c:pt>
                <c:pt idx="190">
                  <c:v>1338.333333333333</c:v>
                </c:pt>
                <c:pt idx="191">
                  <c:v>1340.833333333333</c:v>
                </c:pt>
                <c:pt idx="192">
                  <c:v>2671.6666666666661</c:v>
                </c:pt>
                <c:pt idx="193">
                  <c:v>0</c:v>
                </c:pt>
                <c:pt idx="194">
                  <c:v>1199.9999999999998</c:v>
                </c:pt>
                <c:pt idx="195">
                  <c:v>1199.9999999999998</c:v>
                </c:pt>
                <c:pt idx="196">
                  <c:v>600</c:v>
                </c:pt>
                <c:pt idx="197">
                  <c:v>600</c:v>
                </c:pt>
                <c:pt idx="198">
                  <c:v>1350</c:v>
                </c:pt>
                <c:pt idx="199">
                  <c:v>900</c:v>
                </c:pt>
                <c:pt idx="200">
                  <c:v>900</c:v>
                </c:pt>
                <c:pt idx="201">
                  <c:v>800</c:v>
                </c:pt>
                <c:pt idx="202">
                  <c:v>666.66666666666652</c:v>
                </c:pt>
                <c:pt idx="203">
                  <c:v>1333.333333333333</c:v>
                </c:pt>
                <c:pt idx="204">
                  <c:v>3200</c:v>
                </c:pt>
                <c:pt idx="205">
                  <c:v>5200</c:v>
                </c:pt>
                <c:pt idx="206">
                  <c:v>2400</c:v>
                </c:pt>
                <c:pt idx="207">
                  <c:v>3900</c:v>
                </c:pt>
                <c:pt idx="208">
                  <c:v>4200</c:v>
                </c:pt>
                <c:pt idx="209">
                  <c:v>450</c:v>
                </c:pt>
                <c:pt idx="210">
                  <c:v>240</c:v>
                </c:pt>
                <c:pt idx="211">
                  <c:v>0</c:v>
                </c:pt>
                <c:pt idx="212">
                  <c:v>586.66666666666663</c:v>
                </c:pt>
                <c:pt idx="213">
                  <c:v>0</c:v>
                </c:pt>
                <c:pt idx="214">
                  <c:v>0</c:v>
                </c:pt>
                <c:pt idx="215">
                  <c:v>0</c:v>
                </c:pt>
                <c:pt idx="216">
                  <c:v>240</c:v>
                </c:pt>
                <c:pt idx="217">
                  <c:v>0</c:v>
                </c:pt>
                <c:pt idx="218">
                  <c:v>2000</c:v>
                </c:pt>
                <c:pt idx="219">
                  <c:v>1500</c:v>
                </c:pt>
                <c:pt idx="220">
                  <c:v>618.75</c:v>
                </c:pt>
                <c:pt idx="221">
                  <c:v>618.75</c:v>
                </c:pt>
                <c:pt idx="222">
                  <c:v>618.75</c:v>
                </c:pt>
                <c:pt idx="223">
                  <c:v>600</c:v>
                </c:pt>
                <c:pt idx="224">
                  <c:v>600</c:v>
                </c:pt>
                <c:pt idx="225">
                  <c:v>2100</c:v>
                </c:pt>
                <c:pt idx="226">
                  <c:v>1200</c:v>
                </c:pt>
                <c:pt idx="227">
                  <c:v>840</c:v>
                </c:pt>
                <c:pt idx="228">
                  <c:v>2100</c:v>
                </c:pt>
                <c:pt idx="229">
                  <c:v>2250</c:v>
                </c:pt>
                <c:pt idx="230">
                  <c:v>3750</c:v>
                </c:pt>
                <c:pt idx="231">
                  <c:v>480</c:v>
                </c:pt>
                <c:pt idx="232">
                  <c:v>800</c:v>
                </c:pt>
                <c:pt idx="233">
                  <c:v>300</c:v>
                </c:pt>
                <c:pt idx="234">
                  <c:v>300</c:v>
                </c:pt>
                <c:pt idx="235">
                  <c:v>300</c:v>
                </c:pt>
                <c:pt idx="236">
                  <c:v>237.5</c:v>
                </c:pt>
                <c:pt idx="237">
                  <c:v>237.5</c:v>
                </c:pt>
                <c:pt idx="238">
                  <c:v>237.5</c:v>
                </c:pt>
                <c:pt idx="239">
                  <c:v>1333.333333333333</c:v>
                </c:pt>
                <c:pt idx="240">
                  <c:v>1335.9375</c:v>
                </c:pt>
                <c:pt idx="241">
                  <c:v>4809.375</c:v>
                </c:pt>
                <c:pt idx="242">
                  <c:v>1125</c:v>
                </c:pt>
                <c:pt idx="243">
                  <c:v>2025</c:v>
                </c:pt>
                <c:pt idx="244">
                  <c:v>2400</c:v>
                </c:pt>
                <c:pt idx="245">
                  <c:v>279.99999999999994</c:v>
                </c:pt>
                <c:pt idx="246">
                  <c:v>196.875</c:v>
                </c:pt>
                <c:pt idx="247">
                  <c:v>209.99999999999994</c:v>
                </c:pt>
                <c:pt idx="248">
                  <c:v>4800</c:v>
                </c:pt>
                <c:pt idx="249">
                  <c:v>900</c:v>
                </c:pt>
                <c:pt idx="250">
                  <c:v>900</c:v>
                </c:pt>
                <c:pt idx="251">
                  <c:v>400</c:v>
                </c:pt>
                <c:pt idx="252">
                  <c:v>375</c:v>
                </c:pt>
                <c:pt idx="253">
                  <c:v>375</c:v>
                </c:pt>
                <c:pt idx="254">
                  <c:v>375</c:v>
                </c:pt>
                <c:pt idx="255">
                  <c:v>500</c:v>
                </c:pt>
                <c:pt idx="256">
                  <c:v>1800</c:v>
                </c:pt>
                <c:pt idx="257">
                  <c:v>1200</c:v>
                </c:pt>
                <c:pt idx="258">
                  <c:v>514.28571428571422</c:v>
                </c:pt>
                <c:pt idx="259">
                  <c:v>0</c:v>
                </c:pt>
                <c:pt idx="260">
                  <c:v>1500</c:v>
                </c:pt>
                <c:pt idx="261">
                  <c:v>1250</c:v>
                </c:pt>
                <c:pt idx="262">
                  <c:v>1562.5</c:v>
                </c:pt>
                <c:pt idx="263">
                  <c:v>356.99999999999989</c:v>
                </c:pt>
                <c:pt idx="264">
                  <c:v>0</c:v>
                </c:pt>
                <c:pt idx="265">
                  <c:v>528</c:v>
                </c:pt>
                <c:pt idx="266">
                  <c:v>0</c:v>
                </c:pt>
                <c:pt idx="267">
                  <c:v>2400</c:v>
                </c:pt>
                <c:pt idx="268">
                  <c:v>2400</c:v>
                </c:pt>
                <c:pt idx="269">
                  <c:v>525</c:v>
                </c:pt>
                <c:pt idx="270">
                  <c:v>787.5</c:v>
                </c:pt>
                <c:pt idx="271">
                  <c:v>0</c:v>
                </c:pt>
                <c:pt idx="272">
                  <c:v>150</c:v>
                </c:pt>
                <c:pt idx="273">
                  <c:v>1099.9999999999998</c:v>
                </c:pt>
                <c:pt idx="274">
                  <c:v>1099.9999999999998</c:v>
                </c:pt>
                <c:pt idx="275">
                  <c:v>1200</c:v>
                </c:pt>
                <c:pt idx="276">
                  <c:v>333.33333333333337</c:v>
                </c:pt>
                <c:pt idx="277">
                  <c:v>366.66666666666669</c:v>
                </c:pt>
                <c:pt idx="278">
                  <c:v>333.33333333333337</c:v>
                </c:pt>
                <c:pt idx="279">
                  <c:v>333.33333333333337</c:v>
                </c:pt>
                <c:pt idx="280">
                  <c:v>366.66666666666669</c:v>
                </c:pt>
                <c:pt idx="281">
                  <c:v>500</c:v>
                </c:pt>
                <c:pt idx="282">
                  <c:v>250</c:v>
                </c:pt>
                <c:pt idx="283">
                  <c:v>525</c:v>
                </c:pt>
                <c:pt idx="284">
                  <c:v>525</c:v>
                </c:pt>
                <c:pt idx="285">
                  <c:v>650</c:v>
                </c:pt>
                <c:pt idx="286">
                  <c:v>960</c:v>
                </c:pt>
                <c:pt idx="287">
                  <c:v>2400</c:v>
                </c:pt>
                <c:pt idx="288">
                  <c:v>2400</c:v>
                </c:pt>
                <c:pt idx="289">
                  <c:v>2057.1428571428569</c:v>
                </c:pt>
                <c:pt idx="290">
                  <c:v>2057.1428571428569</c:v>
                </c:pt>
                <c:pt idx="291">
                  <c:v>2314.2857142857138</c:v>
                </c:pt>
                <c:pt idx="292">
                  <c:v>2314.2857142857138</c:v>
                </c:pt>
                <c:pt idx="293">
                  <c:v>300</c:v>
                </c:pt>
                <c:pt idx="294">
                  <c:v>640</c:v>
                </c:pt>
                <c:pt idx="295">
                  <c:v>640</c:v>
                </c:pt>
                <c:pt idx="296">
                  <c:v>640</c:v>
                </c:pt>
                <c:pt idx="297">
                  <c:v>300</c:v>
                </c:pt>
                <c:pt idx="298">
                  <c:v>337.49999999999994</c:v>
                </c:pt>
                <c:pt idx="299">
                  <c:v>225</c:v>
                </c:pt>
                <c:pt idx="300">
                  <c:v>337.49999999999994</c:v>
                </c:pt>
                <c:pt idx="301">
                  <c:v>500</c:v>
                </c:pt>
                <c:pt idx="302">
                  <c:v>560</c:v>
                </c:pt>
                <c:pt idx="303">
                  <c:v>800</c:v>
                </c:pt>
                <c:pt idx="304">
                  <c:v>0</c:v>
                </c:pt>
                <c:pt idx="305">
                  <c:v>1125</c:v>
                </c:pt>
                <c:pt idx="307">
                  <c:v>642.85714285714289</c:v>
                </c:pt>
                <c:pt idx="308">
                  <c:v>642.85714285714289</c:v>
                </c:pt>
                <c:pt idx="309">
                  <c:v>420</c:v>
                </c:pt>
                <c:pt idx="310">
                  <c:v>375</c:v>
                </c:pt>
                <c:pt idx="311">
                  <c:v>1140.7407407407409</c:v>
                </c:pt>
                <c:pt idx="312">
                  <c:v>0</c:v>
                </c:pt>
                <c:pt idx="313">
                  <c:v>600</c:v>
                </c:pt>
                <c:pt idx="314">
                  <c:v>1800</c:v>
                </c:pt>
                <c:pt idx="315">
                  <c:v>1080</c:v>
                </c:pt>
                <c:pt idx="316">
                  <c:v>350</c:v>
                </c:pt>
                <c:pt idx="317">
                  <c:v>1049.9999999999998</c:v>
                </c:pt>
                <c:pt idx="318">
                  <c:v>700</c:v>
                </c:pt>
                <c:pt idx="319">
                  <c:v>0</c:v>
                </c:pt>
                <c:pt idx="320">
                  <c:v>0</c:v>
                </c:pt>
                <c:pt idx="321">
                  <c:v>1599.9999999999998</c:v>
                </c:pt>
                <c:pt idx="322">
                  <c:v>1875</c:v>
                </c:pt>
                <c:pt idx="323">
                  <c:v>1875</c:v>
                </c:pt>
                <c:pt idx="324">
                  <c:v>2500</c:v>
                </c:pt>
                <c:pt idx="325">
                  <c:v>2500</c:v>
                </c:pt>
                <c:pt idx="326">
                  <c:v>2041.6666666666667</c:v>
                </c:pt>
                <c:pt idx="327">
                  <c:v>2041.6666666666667</c:v>
                </c:pt>
                <c:pt idx="328">
                  <c:v>2333.333333333333</c:v>
                </c:pt>
                <c:pt idx="329">
                  <c:v>2100</c:v>
                </c:pt>
                <c:pt idx="330">
                  <c:v>2100</c:v>
                </c:pt>
                <c:pt idx="331">
                  <c:v>2800</c:v>
                </c:pt>
                <c:pt idx="332">
                  <c:v>275</c:v>
                </c:pt>
                <c:pt idx="333">
                  <c:v>412.5</c:v>
                </c:pt>
                <c:pt idx="334">
                  <c:v>275</c:v>
                </c:pt>
                <c:pt idx="335">
                  <c:v>275</c:v>
                </c:pt>
                <c:pt idx="336">
                  <c:v>275</c:v>
                </c:pt>
                <c:pt idx="337">
                  <c:v>0</c:v>
                </c:pt>
                <c:pt idx="338">
                  <c:v>1000</c:v>
                </c:pt>
                <c:pt idx="339">
                  <c:v>600</c:v>
                </c:pt>
              </c:numCache>
            </c:numRef>
          </c:xVal>
          <c:yVal>
            <c:numRef>
              <c:f>'Crop Chart'!$DD$3:$DD$345</c:f>
              <c:numCache>
                <c:formatCode>0.00</c:formatCode>
                <c:ptCount val="343"/>
                <c:pt idx="0">
                  <c:v>9.4785714285714278</c:v>
                </c:pt>
                <c:pt idx="1">
                  <c:v>15.503869047619046</c:v>
                </c:pt>
                <c:pt idx="2">
                  <c:v>16.549260602678572</c:v>
                </c:pt>
                <c:pt idx="3">
                  <c:v>7.9147376543209873</c:v>
                </c:pt>
                <c:pt idx="4">
                  <c:v>11.153571428571428</c:v>
                </c:pt>
                <c:pt idx="5">
                  <c:v>8.4781250000000004</c:v>
                </c:pt>
                <c:pt idx="6">
                  <c:v>8.335267857142858</c:v>
                </c:pt>
                <c:pt idx="7">
                  <c:v>6.9974702380952376</c:v>
                </c:pt>
                <c:pt idx="8">
                  <c:v>10.700210813492063</c:v>
                </c:pt>
                <c:pt idx="9">
                  <c:v>7.429873511904761</c:v>
                </c:pt>
                <c:pt idx="10">
                  <c:v>5.9476190476190478</c:v>
                </c:pt>
                <c:pt idx="11">
                  <c:v>12.541940517526452</c:v>
                </c:pt>
                <c:pt idx="12">
                  <c:v>14.271626984126986</c:v>
                </c:pt>
                <c:pt idx="13">
                  <c:v>14.054258122519842</c:v>
                </c:pt>
                <c:pt idx="14">
                  <c:v>17.003224206349206</c:v>
                </c:pt>
                <c:pt idx="15">
                  <c:v>4.3128619481646826</c:v>
                </c:pt>
                <c:pt idx="16">
                  <c:v>11.25144779265873</c:v>
                </c:pt>
                <c:pt idx="17">
                  <c:v>9.7316266741071438</c:v>
                </c:pt>
                <c:pt idx="18">
                  <c:v>22.081547619047623</c:v>
                </c:pt>
                <c:pt idx="19">
                  <c:v>7.2715076264880949</c:v>
                </c:pt>
                <c:pt idx="20">
                  <c:v>15.429840959821428</c:v>
                </c:pt>
                <c:pt idx="21">
                  <c:v>9.3260295758928589</c:v>
                </c:pt>
                <c:pt idx="22">
                  <c:v>12.855091145833333</c:v>
                </c:pt>
                <c:pt idx="23">
                  <c:v>37.519356863839285</c:v>
                </c:pt>
                <c:pt idx="24">
                  <c:v>51.161499669312171</c:v>
                </c:pt>
                <c:pt idx="25">
                  <c:v>50.564285714285717</c:v>
                </c:pt>
                <c:pt idx="26">
                  <c:v>28.250313895089285</c:v>
                </c:pt>
                <c:pt idx="27">
                  <c:v>9.4481296502976182</c:v>
                </c:pt>
                <c:pt idx="28">
                  <c:v>9.8132142857142863</c:v>
                </c:pt>
                <c:pt idx="29">
                  <c:v>12.791820126488096</c:v>
                </c:pt>
                <c:pt idx="30">
                  <c:v>12.256105840773809</c:v>
                </c:pt>
                <c:pt idx="31">
                  <c:v>9.8195475260416671</c:v>
                </c:pt>
                <c:pt idx="32">
                  <c:v>10.426690383184525</c:v>
                </c:pt>
                <c:pt idx="33">
                  <c:v>13.998118954613096</c:v>
                </c:pt>
                <c:pt idx="34">
                  <c:v>11.761884093915342</c:v>
                </c:pt>
                <c:pt idx="35">
                  <c:v>21.264642857142857</c:v>
                </c:pt>
                <c:pt idx="36">
                  <c:v>44.090476190476188</c:v>
                </c:pt>
                <c:pt idx="37">
                  <c:v>23.805119047619044</c:v>
                </c:pt>
                <c:pt idx="38">
                  <c:v>46.63095238095238</c:v>
                </c:pt>
                <c:pt idx="39">
                  <c:v>6.7175925925925926</c:v>
                </c:pt>
                <c:pt idx="40">
                  <c:v>10.519866071428572</c:v>
                </c:pt>
                <c:pt idx="41">
                  <c:v>10.29639384920635</c:v>
                </c:pt>
                <c:pt idx="42">
                  <c:v>11.724965277777777</c:v>
                </c:pt>
                <c:pt idx="43">
                  <c:v>25.48634920634921</c:v>
                </c:pt>
                <c:pt idx="44">
                  <c:v>55.252857142857145</c:v>
                </c:pt>
                <c:pt idx="45">
                  <c:v>51.207589285714285</c:v>
                </c:pt>
                <c:pt idx="46">
                  <c:v>9.5813095238095247</c:v>
                </c:pt>
                <c:pt idx="47">
                  <c:v>9.0090595238095226</c:v>
                </c:pt>
                <c:pt idx="48">
                  <c:v>12.349724702380954</c:v>
                </c:pt>
                <c:pt idx="49">
                  <c:v>13.8225</c:v>
                </c:pt>
                <c:pt idx="50">
                  <c:v>14.08392857142857</c:v>
                </c:pt>
                <c:pt idx="51">
                  <c:v>9.0805357142857162</c:v>
                </c:pt>
                <c:pt idx="52">
                  <c:v>13.286785714285713</c:v>
                </c:pt>
                <c:pt idx="53">
                  <c:v>11.767976190476192</c:v>
                </c:pt>
                <c:pt idx="54">
                  <c:v>12.153465608465607</c:v>
                </c:pt>
                <c:pt idx="55">
                  <c:v>8.6834761904761901</c:v>
                </c:pt>
                <c:pt idx="56">
                  <c:v>10.458452380952382</c:v>
                </c:pt>
                <c:pt idx="57">
                  <c:v>9.5681250000000002</c:v>
                </c:pt>
                <c:pt idx="58">
                  <c:v>8.0022619047619035</c:v>
                </c:pt>
                <c:pt idx="59">
                  <c:v>10.884027777777778</c:v>
                </c:pt>
                <c:pt idx="60">
                  <c:v>12.386904761904759</c:v>
                </c:pt>
                <c:pt idx="61">
                  <c:v>12.386904761904759</c:v>
                </c:pt>
                <c:pt idx="62">
                  <c:v>12.758750000000001</c:v>
                </c:pt>
                <c:pt idx="63">
                  <c:v>13.740714285714285</c:v>
                </c:pt>
                <c:pt idx="64">
                  <c:v>17.395864335317459</c:v>
                </c:pt>
                <c:pt idx="65">
                  <c:v>7.9012524801587292</c:v>
                </c:pt>
                <c:pt idx="66">
                  <c:v>9.7583953373015859</c:v>
                </c:pt>
                <c:pt idx="67">
                  <c:v>7.5917286706349207</c:v>
                </c:pt>
                <c:pt idx="68">
                  <c:v>6.8774429563492063</c:v>
                </c:pt>
                <c:pt idx="69">
                  <c:v>53.846469029017854</c:v>
                </c:pt>
                <c:pt idx="70">
                  <c:v>11.437500000000002</c:v>
                </c:pt>
                <c:pt idx="71">
                  <c:v>11.468849206349208</c:v>
                </c:pt>
                <c:pt idx="72">
                  <c:v>22.230238095238093</c:v>
                </c:pt>
                <c:pt idx="73">
                  <c:v>23.747884424603175</c:v>
                </c:pt>
                <c:pt idx="74">
                  <c:v>9.2757109788359777</c:v>
                </c:pt>
                <c:pt idx="75">
                  <c:v>8.3763392857142858</c:v>
                </c:pt>
                <c:pt idx="76">
                  <c:v>8.0447420634920626</c:v>
                </c:pt>
                <c:pt idx="77">
                  <c:v>11.366803850446427</c:v>
                </c:pt>
                <c:pt idx="78">
                  <c:v>13.48541046626984</c:v>
                </c:pt>
                <c:pt idx="79">
                  <c:v>20.314862351190481</c:v>
                </c:pt>
                <c:pt idx="80">
                  <c:v>30.832539682539686</c:v>
                </c:pt>
                <c:pt idx="81">
                  <c:v>23.192261904761907</c:v>
                </c:pt>
                <c:pt idx="82">
                  <c:v>23.192261904761907</c:v>
                </c:pt>
                <c:pt idx="83">
                  <c:v>13.247619047619047</c:v>
                </c:pt>
                <c:pt idx="84">
                  <c:v>14.2</c:v>
                </c:pt>
                <c:pt idx="85">
                  <c:v>16.539727492559521</c:v>
                </c:pt>
                <c:pt idx="86">
                  <c:v>17.49210844494047</c:v>
                </c:pt>
                <c:pt idx="87">
                  <c:v>16.242108444940474</c:v>
                </c:pt>
                <c:pt idx="88">
                  <c:v>7.0285714285714285</c:v>
                </c:pt>
                <c:pt idx="89">
                  <c:v>2.5</c:v>
                </c:pt>
                <c:pt idx="90">
                  <c:v>2.5</c:v>
                </c:pt>
                <c:pt idx="91">
                  <c:v>10.294039868551588</c:v>
                </c:pt>
                <c:pt idx="92">
                  <c:v>10.409508308531747</c:v>
                </c:pt>
                <c:pt idx="93">
                  <c:v>9.4228174603174608</c:v>
                </c:pt>
                <c:pt idx="94">
                  <c:v>19.64267113095238</c:v>
                </c:pt>
                <c:pt idx="95">
                  <c:v>28.630766369047617</c:v>
                </c:pt>
                <c:pt idx="96">
                  <c:v>19.70808330233135</c:v>
                </c:pt>
                <c:pt idx="97">
                  <c:v>34.068929036458329</c:v>
                </c:pt>
                <c:pt idx="98">
                  <c:v>19.218058190724207</c:v>
                </c:pt>
                <c:pt idx="99">
                  <c:v>26.449881417410715</c:v>
                </c:pt>
                <c:pt idx="100">
                  <c:v>25.337797619047617</c:v>
                </c:pt>
                <c:pt idx="101">
                  <c:v>39.389285714285712</c:v>
                </c:pt>
                <c:pt idx="102">
                  <c:v>30.414285714285707</c:v>
                </c:pt>
                <c:pt idx="103">
                  <c:v>56.526190476190479</c:v>
                </c:pt>
                <c:pt idx="104">
                  <c:v>60.902929687499999</c:v>
                </c:pt>
                <c:pt idx="105">
                  <c:v>26.037560626102291</c:v>
                </c:pt>
                <c:pt idx="106">
                  <c:v>18.985706018518517</c:v>
                </c:pt>
                <c:pt idx="107">
                  <c:v>18.365706018518516</c:v>
                </c:pt>
                <c:pt idx="108">
                  <c:v>33.631737764550259</c:v>
                </c:pt>
                <c:pt idx="109">
                  <c:v>23.656608245149911</c:v>
                </c:pt>
                <c:pt idx="110">
                  <c:v>18.985706018518517</c:v>
                </c:pt>
                <c:pt idx="111">
                  <c:v>5.3190476190476188</c:v>
                </c:pt>
                <c:pt idx="112">
                  <c:v>26.108730158730157</c:v>
                </c:pt>
                <c:pt idx="113">
                  <c:v>41.728174603174601</c:v>
                </c:pt>
                <c:pt idx="114">
                  <c:v>30.003490823412697</c:v>
                </c:pt>
                <c:pt idx="115">
                  <c:v>12.322817460317461</c:v>
                </c:pt>
                <c:pt idx="116">
                  <c:v>20.859774305555554</c:v>
                </c:pt>
                <c:pt idx="117">
                  <c:v>20.38358382936508</c:v>
                </c:pt>
                <c:pt idx="118">
                  <c:v>17.266666666666666</c:v>
                </c:pt>
                <c:pt idx="119">
                  <c:v>20.18818824404762</c:v>
                </c:pt>
                <c:pt idx="120">
                  <c:v>8.9079447751322736</c:v>
                </c:pt>
                <c:pt idx="121">
                  <c:v>9.5775132275132258</c:v>
                </c:pt>
                <c:pt idx="122">
                  <c:v>10.473839079034391</c:v>
                </c:pt>
                <c:pt idx="123">
                  <c:v>10.465262276785715</c:v>
                </c:pt>
                <c:pt idx="124">
                  <c:v>20.017681671626981</c:v>
                </c:pt>
                <c:pt idx="125">
                  <c:v>10.237797619047619</c:v>
                </c:pt>
                <c:pt idx="126">
                  <c:v>11.428273809523809</c:v>
                </c:pt>
                <c:pt idx="127">
                  <c:v>9.4805555555555543</c:v>
                </c:pt>
                <c:pt idx="128">
                  <c:v>8.6270306299603163</c:v>
                </c:pt>
                <c:pt idx="129">
                  <c:v>12.718346974206348</c:v>
                </c:pt>
                <c:pt idx="130">
                  <c:v>13.718346974206348</c:v>
                </c:pt>
                <c:pt idx="131">
                  <c:v>23.343492063492064</c:v>
                </c:pt>
                <c:pt idx="132">
                  <c:v>14.862499999999999</c:v>
                </c:pt>
                <c:pt idx="133">
                  <c:v>5.8</c:v>
                </c:pt>
                <c:pt idx="134">
                  <c:v>18.541071428571428</c:v>
                </c:pt>
                <c:pt idx="135">
                  <c:v>23.754761904761903</c:v>
                </c:pt>
                <c:pt idx="136">
                  <c:v>22.68333333333333</c:v>
                </c:pt>
                <c:pt idx="137">
                  <c:v>5.0642857142857149</c:v>
                </c:pt>
                <c:pt idx="138">
                  <c:v>2.5</c:v>
                </c:pt>
                <c:pt idx="139">
                  <c:v>23.742685185185184</c:v>
                </c:pt>
                <c:pt idx="140">
                  <c:v>16.539682539682538</c:v>
                </c:pt>
                <c:pt idx="141">
                  <c:v>11.086491402116403</c:v>
                </c:pt>
                <c:pt idx="142">
                  <c:v>14.236352237654319</c:v>
                </c:pt>
                <c:pt idx="143">
                  <c:v>4.8261904761904759</c:v>
                </c:pt>
                <c:pt idx="144">
                  <c:v>5.2476190476190476</c:v>
                </c:pt>
                <c:pt idx="145">
                  <c:v>4.3499999999999996</c:v>
                </c:pt>
                <c:pt idx="146">
                  <c:v>7.0285714285714285</c:v>
                </c:pt>
                <c:pt idx="147">
                  <c:v>7.0285714285714285</c:v>
                </c:pt>
                <c:pt idx="148">
                  <c:v>7.0285714285714285</c:v>
                </c:pt>
                <c:pt idx="149">
                  <c:v>9.6</c:v>
                </c:pt>
                <c:pt idx="150">
                  <c:v>7.9733826884920633</c:v>
                </c:pt>
                <c:pt idx="151">
                  <c:v>7.6666666666666661</c:v>
                </c:pt>
                <c:pt idx="152">
                  <c:v>11.426184964726628</c:v>
                </c:pt>
                <c:pt idx="153">
                  <c:v>10.155550044091708</c:v>
                </c:pt>
                <c:pt idx="154">
                  <c:v>11.783327821869486</c:v>
                </c:pt>
                <c:pt idx="155">
                  <c:v>8.0204318576388882</c:v>
                </c:pt>
                <c:pt idx="156">
                  <c:v>11.287486049107144</c:v>
                </c:pt>
                <c:pt idx="157">
                  <c:v>10.858914620535716</c:v>
                </c:pt>
                <c:pt idx="158">
                  <c:v>12.369718295304232</c:v>
                </c:pt>
                <c:pt idx="159">
                  <c:v>12.369718295304232</c:v>
                </c:pt>
                <c:pt idx="160">
                  <c:v>9.8074497767857149</c:v>
                </c:pt>
                <c:pt idx="161">
                  <c:v>13.57958209325397</c:v>
                </c:pt>
                <c:pt idx="162">
                  <c:v>10.508134920634921</c:v>
                </c:pt>
                <c:pt idx="163">
                  <c:v>9.2767857142857135</c:v>
                </c:pt>
                <c:pt idx="164">
                  <c:v>17.950892857142858</c:v>
                </c:pt>
                <c:pt idx="165">
                  <c:v>9.2767857142857135</c:v>
                </c:pt>
                <c:pt idx="166">
                  <c:v>16.173809523809521</c:v>
                </c:pt>
                <c:pt idx="167">
                  <c:v>23.941170634920635</c:v>
                </c:pt>
                <c:pt idx="168">
                  <c:v>19.938326719576715</c:v>
                </c:pt>
                <c:pt idx="169">
                  <c:v>20.316145833333334</c:v>
                </c:pt>
                <c:pt idx="170">
                  <c:v>25.438754960317461</c:v>
                </c:pt>
                <c:pt idx="171">
                  <c:v>2.5</c:v>
                </c:pt>
                <c:pt idx="172">
                  <c:v>14.110912698412699</c:v>
                </c:pt>
                <c:pt idx="173">
                  <c:v>14.009850363756611</c:v>
                </c:pt>
                <c:pt idx="174">
                  <c:v>12.819374173280421</c:v>
                </c:pt>
                <c:pt idx="175">
                  <c:v>13.057469411375658</c:v>
                </c:pt>
                <c:pt idx="176">
                  <c:v>15.135714285714286</c:v>
                </c:pt>
                <c:pt idx="177">
                  <c:v>14.469047619047618</c:v>
                </c:pt>
                <c:pt idx="178">
                  <c:v>16.457189360119045</c:v>
                </c:pt>
                <c:pt idx="179">
                  <c:v>16.771521577380948</c:v>
                </c:pt>
                <c:pt idx="180">
                  <c:v>16.104854910714288</c:v>
                </c:pt>
                <c:pt idx="181">
                  <c:v>16.771521577380948</c:v>
                </c:pt>
                <c:pt idx="182">
                  <c:v>19.438188244047616</c:v>
                </c:pt>
                <c:pt idx="183">
                  <c:v>10.68234126984127</c:v>
                </c:pt>
                <c:pt idx="184">
                  <c:v>10.182341269841269</c:v>
                </c:pt>
                <c:pt idx="185">
                  <c:v>16.900244915674605</c:v>
                </c:pt>
                <c:pt idx="186">
                  <c:v>10.543102058531746</c:v>
                </c:pt>
                <c:pt idx="187">
                  <c:v>10.114530629960317</c:v>
                </c:pt>
                <c:pt idx="188">
                  <c:v>10.364530629960317</c:v>
                </c:pt>
                <c:pt idx="189">
                  <c:v>12.900244915674604</c:v>
                </c:pt>
                <c:pt idx="190">
                  <c:v>19.356480654761899</c:v>
                </c:pt>
                <c:pt idx="191">
                  <c:v>18.661674107142851</c:v>
                </c:pt>
                <c:pt idx="192">
                  <c:v>30.697750496031738</c:v>
                </c:pt>
                <c:pt idx="193">
                  <c:v>6.9785714285714286</c:v>
                </c:pt>
                <c:pt idx="194">
                  <c:v>14.585819003527334</c:v>
                </c:pt>
                <c:pt idx="195">
                  <c:v>13.529761904761903</c:v>
                </c:pt>
                <c:pt idx="196">
                  <c:v>13.385714285714284</c:v>
                </c:pt>
                <c:pt idx="197">
                  <c:v>19.129120163690477</c:v>
                </c:pt>
                <c:pt idx="198">
                  <c:v>15.608184523809523</c:v>
                </c:pt>
                <c:pt idx="199">
                  <c:v>13.665476190476191</c:v>
                </c:pt>
                <c:pt idx="200">
                  <c:v>14.151636904761906</c:v>
                </c:pt>
                <c:pt idx="201">
                  <c:v>16.340327380952381</c:v>
                </c:pt>
                <c:pt idx="202">
                  <c:v>6.2714285714285714</c:v>
                </c:pt>
                <c:pt idx="203">
                  <c:v>6.3217540922619042</c:v>
                </c:pt>
                <c:pt idx="204">
                  <c:v>8.1928571428571431</c:v>
                </c:pt>
                <c:pt idx="205">
                  <c:v>9.6438337053571423</c:v>
                </c:pt>
                <c:pt idx="206">
                  <c:v>8.1928571428571431</c:v>
                </c:pt>
                <c:pt idx="207">
                  <c:v>9.0810895647321423</c:v>
                </c:pt>
                <c:pt idx="208">
                  <c:v>41.765757275132266</c:v>
                </c:pt>
                <c:pt idx="209">
                  <c:v>6.7587723214285704</c:v>
                </c:pt>
                <c:pt idx="210">
                  <c:v>4.8038432539682558</c:v>
                </c:pt>
                <c:pt idx="211">
                  <c:v>2.5</c:v>
                </c:pt>
                <c:pt idx="212">
                  <c:v>10.171321924603172</c:v>
                </c:pt>
                <c:pt idx="213">
                  <c:v>5.3923886684303346</c:v>
                </c:pt>
                <c:pt idx="214">
                  <c:v>7.0285714285714285</c:v>
                </c:pt>
                <c:pt idx="215">
                  <c:v>7.6666666666666661</c:v>
                </c:pt>
                <c:pt idx="216">
                  <c:v>7.3715471540178568</c:v>
                </c:pt>
                <c:pt idx="217">
                  <c:v>7.28095238095238</c:v>
                </c:pt>
                <c:pt idx="218">
                  <c:v>22.770039682539686</c:v>
                </c:pt>
                <c:pt idx="219">
                  <c:v>25.928695436507933</c:v>
                </c:pt>
                <c:pt idx="220">
                  <c:v>16.989118303571427</c:v>
                </c:pt>
                <c:pt idx="221">
                  <c:v>17.108865792410715</c:v>
                </c:pt>
                <c:pt idx="222">
                  <c:v>11.041203962053572</c:v>
                </c:pt>
                <c:pt idx="223">
                  <c:v>14.86186058407738</c:v>
                </c:pt>
                <c:pt idx="224">
                  <c:v>14.86186058407738</c:v>
                </c:pt>
                <c:pt idx="225">
                  <c:v>7.7619460978835981</c:v>
                </c:pt>
                <c:pt idx="226">
                  <c:v>35.000237165178575</c:v>
                </c:pt>
                <c:pt idx="227">
                  <c:v>29.319522879464284</c:v>
                </c:pt>
                <c:pt idx="228">
                  <c:v>59.73869047619047</c:v>
                </c:pt>
                <c:pt idx="229">
                  <c:v>26.426292782738095</c:v>
                </c:pt>
                <c:pt idx="230">
                  <c:v>39.7060546875</c:v>
                </c:pt>
                <c:pt idx="231">
                  <c:v>26.057619047619049</c:v>
                </c:pt>
                <c:pt idx="232">
                  <c:v>15.876984126984127</c:v>
                </c:pt>
                <c:pt idx="233">
                  <c:v>6.0943452380952374</c:v>
                </c:pt>
                <c:pt idx="234">
                  <c:v>10.478934151785715</c:v>
                </c:pt>
                <c:pt idx="235">
                  <c:v>10.415783110119047</c:v>
                </c:pt>
                <c:pt idx="236">
                  <c:v>6.7187500000000009</c:v>
                </c:pt>
                <c:pt idx="237">
                  <c:v>7.3370473710317468</c:v>
                </c:pt>
                <c:pt idx="238">
                  <c:v>6.7187500000000009</c:v>
                </c:pt>
                <c:pt idx="239">
                  <c:v>13.408201058201058</c:v>
                </c:pt>
                <c:pt idx="240">
                  <c:v>38.038659431349203</c:v>
                </c:pt>
                <c:pt idx="241">
                  <c:v>39.497885664682542</c:v>
                </c:pt>
                <c:pt idx="242">
                  <c:v>21.346974206349206</c:v>
                </c:pt>
                <c:pt idx="243">
                  <c:v>29.116245039682539</c:v>
                </c:pt>
                <c:pt idx="244">
                  <c:v>30.58806216931217</c:v>
                </c:pt>
                <c:pt idx="245">
                  <c:v>7.5670899470899471</c:v>
                </c:pt>
                <c:pt idx="246">
                  <c:v>7.7205109126984119</c:v>
                </c:pt>
                <c:pt idx="247">
                  <c:v>9.176375661375662</c:v>
                </c:pt>
                <c:pt idx="248">
                  <c:v>43.692857142857143</c:v>
                </c:pt>
                <c:pt idx="249">
                  <c:v>11.718588789682538</c:v>
                </c:pt>
                <c:pt idx="250">
                  <c:v>11.004303075396823</c:v>
                </c:pt>
                <c:pt idx="251">
                  <c:v>12.910960234788359</c:v>
                </c:pt>
                <c:pt idx="252">
                  <c:v>14.425843253968253</c:v>
                </c:pt>
                <c:pt idx="253">
                  <c:v>11.502033730158729</c:v>
                </c:pt>
                <c:pt idx="254">
                  <c:v>11.502033730158729</c:v>
                </c:pt>
                <c:pt idx="255">
                  <c:v>9.2436833457341265</c:v>
                </c:pt>
                <c:pt idx="256">
                  <c:v>26.725892857142856</c:v>
                </c:pt>
                <c:pt idx="257">
                  <c:v>21.957133556547618</c:v>
                </c:pt>
                <c:pt idx="258">
                  <c:v>12.413095238095238</c:v>
                </c:pt>
                <c:pt idx="259">
                  <c:v>10.192857142857143</c:v>
                </c:pt>
                <c:pt idx="260">
                  <c:v>24.865376984126982</c:v>
                </c:pt>
                <c:pt idx="261">
                  <c:v>24.740376984126982</c:v>
                </c:pt>
                <c:pt idx="262">
                  <c:v>28.564161706349211</c:v>
                </c:pt>
                <c:pt idx="263">
                  <c:v>8.1522774057539689</c:v>
                </c:pt>
                <c:pt idx="264">
                  <c:v>7.0285714285714285</c:v>
                </c:pt>
                <c:pt idx="265">
                  <c:v>9.0410946800595262</c:v>
                </c:pt>
                <c:pt idx="266">
                  <c:v>5.4979952050264549</c:v>
                </c:pt>
                <c:pt idx="267">
                  <c:v>24.256143043154761</c:v>
                </c:pt>
                <c:pt idx="268">
                  <c:v>26.385714285714283</c:v>
                </c:pt>
                <c:pt idx="269">
                  <c:v>11.477071707589285</c:v>
                </c:pt>
                <c:pt idx="270">
                  <c:v>18.210777064732142</c:v>
                </c:pt>
                <c:pt idx="271">
                  <c:v>11.467675264550262</c:v>
                </c:pt>
                <c:pt idx="272">
                  <c:v>9.9135912698412696</c:v>
                </c:pt>
                <c:pt idx="273">
                  <c:v>11.924404761904761</c:v>
                </c:pt>
                <c:pt idx="274">
                  <c:v>11.544805617559522</c:v>
                </c:pt>
                <c:pt idx="275">
                  <c:v>17.909672619047619</c:v>
                </c:pt>
                <c:pt idx="276">
                  <c:v>12.075925925925924</c:v>
                </c:pt>
                <c:pt idx="277">
                  <c:v>18.442592592592593</c:v>
                </c:pt>
                <c:pt idx="278">
                  <c:v>12.075925925925924</c:v>
                </c:pt>
                <c:pt idx="279">
                  <c:v>13.638630539021165</c:v>
                </c:pt>
                <c:pt idx="280">
                  <c:v>20.100535300925927</c:v>
                </c:pt>
                <c:pt idx="281">
                  <c:v>16.869450644841269</c:v>
                </c:pt>
                <c:pt idx="282">
                  <c:v>11.336115761408731</c:v>
                </c:pt>
                <c:pt idx="283">
                  <c:v>17.961386253720239</c:v>
                </c:pt>
                <c:pt idx="284">
                  <c:v>11.461386253720237</c:v>
                </c:pt>
                <c:pt idx="285">
                  <c:v>14.965600198412698</c:v>
                </c:pt>
                <c:pt idx="286">
                  <c:v>16.395238095238096</c:v>
                </c:pt>
                <c:pt idx="287">
                  <c:v>37.885779389880952</c:v>
                </c:pt>
                <c:pt idx="288">
                  <c:v>36.706076388888889</c:v>
                </c:pt>
                <c:pt idx="289">
                  <c:v>30.538095238095242</c:v>
                </c:pt>
                <c:pt idx="290">
                  <c:v>30.426327659970241</c:v>
                </c:pt>
                <c:pt idx="291">
                  <c:v>36.549999999999997</c:v>
                </c:pt>
                <c:pt idx="292">
                  <c:v>36.438232421874993</c:v>
                </c:pt>
                <c:pt idx="293">
                  <c:v>8.9398809523809515</c:v>
                </c:pt>
                <c:pt idx="294">
                  <c:v>14.573333333333334</c:v>
                </c:pt>
                <c:pt idx="295">
                  <c:v>14.667132161458333</c:v>
                </c:pt>
                <c:pt idx="296">
                  <c:v>18.695642361111108</c:v>
                </c:pt>
                <c:pt idx="297">
                  <c:v>7.4703031994047615</c:v>
                </c:pt>
                <c:pt idx="298">
                  <c:v>4.7297470238095229</c:v>
                </c:pt>
                <c:pt idx="299">
                  <c:v>4.3273164682539678</c:v>
                </c:pt>
                <c:pt idx="300">
                  <c:v>4.7297470238095229</c:v>
                </c:pt>
                <c:pt idx="301">
                  <c:v>19.71527002728175</c:v>
                </c:pt>
                <c:pt idx="302">
                  <c:v>10.850188492063491</c:v>
                </c:pt>
                <c:pt idx="303">
                  <c:v>19.870337301587298</c:v>
                </c:pt>
                <c:pt idx="304">
                  <c:v>4.0571428571428569</c:v>
                </c:pt>
                <c:pt idx="305">
                  <c:v>23.657304067460316</c:v>
                </c:pt>
                <c:pt idx="306">
                  <c:v>7.9952380952380953</c:v>
                </c:pt>
                <c:pt idx="307">
                  <c:v>9.2138392857142861</c:v>
                </c:pt>
                <c:pt idx="308">
                  <c:v>8.712998511904761</c:v>
                </c:pt>
                <c:pt idx="309">
                  <c:v>7.6738988095238083</c:v>
                </c:pt>
                <c:pt idx="310">
                  <c:v>6.9631845238095238</c:v>
                </c:pt>
                <c:pt idx="311">
                  <c:v>30.96418283362728</c:v>
                </c:pt>
                <c:pt idx="312">
                  <c:v>5.2476190476190476</c:v>
                </c:pt>
                <c:pt idx="313">
                  <c:v>11.277777777777779</c:v>
                </c:pt>
                <c:pt idx="314">
                  <c:v>23.790476190476191</c:v>
                </c:pt>
                <c:pt idx="315">
                  <c:v>17.465</c:v>
                </c:pt>
                <c:pt idx="316">
                  <c:v>11.445340401785716</c:v>
                </c:pt>
                <c:pt idx="317">
                  <c:v>14.692730034722219</c:v>
                </c:pt>
                <c:pt idx="318">
                  <c:v>11.013946759259259</c:v>
                </c:pt>
                <c:pt idx="319">
                  <c:v>2.6833333333333336</c:v>
                </c:pt>
                <c:pt idx="320">
                  <c:v>13.783840388007054</c:v>
                </c:pt>
                <c:pt idx="321">
                  <c:v>19.313850308641975</c:v>
                </c:pt>
                <c:pt idx="322">
                  <c:v>27.310660548941801</c:v>
                </c:pt>
                <c:pt idx="323">
                  <c:v>31.628871803350972</c:v>
                </c:pt>
                <c:pt idx="324">
                  <c:v>33.80310295414462</c:v>
                </c:pt>
                <c:pt idx="325">
                  <c:v>33.80310295414462</c:v>
                </c:pt>
                <c:pt idx="326">
                  <c:v>49.417390046296291</c:v>
                </c:pt>
                <c:pt idx="327">
                  <c:v>45.997506062610228</c:v>
                </c:pt>
                <c:pt idx="328">
                  <c:v>49.203069885361558</c:v>
                </c:pt>
                <c:pt idx="329">
                  <c:v>39.27993138227513</c:v>
                </c:pt>
                <c:pt idx="330">
                  <c:v>38.181475970017637</c:v>
                </c:pt>
                <c:pt idx="331">
                  <c:v>42.539908509700176</c:v>
                </c:pt>
                <c:pt idx="332">
                  <c:v>10.113061135912698</c:v>
                </c:pt>
                <c:pt idx="333">
                  <c:v>11.267708333333331</c:v>
                </c:pt>
                <c:pt idx="334">
                  <c:v>8.2499007936507951</c:v>
                </c:pt>
                <c:pt idx="335">
                  <c:v>8.7260912698412714</c:v>
                </c:pt>
                <c:pt idx="336">
                  <c:v>8.2499007936507951</c:v>
                </c:pt>
                <c:pt idx="337">
                  <c:v>7.0285714285714285</c:v>
                </c:pt>
                <c:pt idx="338">
                  <c:v>20.134961970899472</c:v>
                </c:pt>
                <c:pt idx="339">
                  <c:v>15.016666666666666</c:v>
                </c:pt>
              </c:numCache>
            </c:numRef>
          </c:yVal>
          <c:smooth val="0"/>
          <c:extLst>
            <c:ext xmlns:c15="http://schemas.microsoft.com/office/drawing/2012/chart" uri="{02D57815-91ED-43cb-92C2-25804820EDAC}">
              <c15:datalabelsRange>
                <c15:f>'Crop Chart'!$I$3:$I$345</c15:f>
                <c15:dlblRangeCache>
                  <c:ptCount val="343"/>
                  <c:pt idx="0">
                    <c:v>Alexanders</c:v>
                  </c:pt>
                  <c:pt idx="1">
                    <c:v>Amaranth</c:v>
                  </c:pt>
                  <c:pt idx="2">
                    <c:v>Amaranth</c:v>
                  </c:pt>
                  <c:pt idx="3">
                    <c:v>Anise Hysopp</c:v>
                  </c:pt>
                  <c:pt idx="4">
                    <c:v>Artichoke</c:v>
                  </c:pt>
                  <c:pt idx="5">
                    <c:v>Arugula</c:v>
                  </c:pt>
                  <c:pt idx="6">
                    <c:v>Arugula</c:v>
                  </c:pt>
                  <c:pt idx="7">
                    <c:v>Arugula</c:v>
                  </c:pt>
                  <c:pt idx="8">
                    <c:v>Arugula</c:v>
                  </c:pt>
                  <c:pt idx="9">
                    <c:v>Asian Greens</c:v>
                  </c:pt>
                  <c:pt idx="10">
                    <c:v>Asian Greens</c:v>
                  </c:pt>
                  <c:pt idx="11">
                    <c:v>Asian Greens</c:v>
                  </c:pt>
                  <c:pt idx="12">
                    <c:v>Atriplex</c:v>
                  </c:pt>
                  <c:pt idx="13">
                    <c:v>Atriplex</c:v>
                  </c:pt>
                  <c:pt idx="14">
                    <c:v>Bachellor's Button</c:v>
                  </c:pt>
                  <c:pt idx="15">
                    <c:v>Basil</c:v>
                  </c:pt>
                  <c:pt idx="16">
                    <c:v>Basil</c:v>
                  </c:pt>
                  <c:pt idx="17">
                    <c:v>Basil</c:v>
                  </c:pt>
                  <c:pt idx="18">
                    <c:v>Basil</c:v>
                  </c:pt>
                  <c:pt idx="19">
                    <c:v>Basil</c:v>
                  </c:pt>
                  <c:pt idx="20">
                    <c:v>Basil</c:v>
                  </c:pt>
                  <c:pt idx="21">
                    <c:v>Bean</c:v>
                  </c:pt>
                  <c:pt idx="22">
                    <c:v>Bean</c:v>
                  </c:pt>
                  <c:pt idx="23">
                    <c:v>Bean</c:v>
                  </c:pt>
                  <c:pt idx="24">
                    <c:v>Bean</c:v>
                  </c:pt>
                  <c:pt idx="25">
                    <c:v>Bean</c:v>
                  </c:pt>
                  <c:pt idx="26">
                    <c:v>Bean</c:v>
                  </c:pt>
                  <c:pt idx="27">
                    <c:v>Beet</c:v>
                  </c:pt>
                  <c:pt idx="28">
                    <c:v>Beet</c:v>
                  </c:pt>
                  <c:pt idx="29">
                    <c:v>Beet</c:v>
                  </c:pt>
                  <c:pt idx="30">
                    <c:v>Beet</c:v>
                  </c:pt>
                  <c:pt idx="31">
                    <c:v>Beet</c:v>
                  </c:pt>
                  <c:pt idx="32">
                    <c:v>Beet</c:v>
                  </c:pt>
                  <c:pt idx="33">
                    <c:v>Beet</c:v>
                  </c:pt>
                  <c:pt idx="34">
                    <c:v>Bok Choy</c:v>
                  </c:pt>
                  <c:pt idx="35">
                    <c:v>Borage</c:v>
                  </c:pt>
                  <c:pt idx="36">
                    <c:v>Borage</c:v>
                  </c:pt>
                  <c:pt idx="37">
                    <c:v>Borage</c:v>
                  </c:pt>
                  <c:pt idx="38">
                    <c:v>Borage</c:v>
                  </c:pt>
                  <c:pt idx="39">
                    <c:v>Broccoli</c:v>
                  </c:pt>
                  <c:pt idx="40">
                    <c:v>Broccoli</c:v>
                  </c:pt>
                  <c:pt idx="41">
                    <c:v>Brussel Sprouts</c:v>
                  </c:pt>
                  <c:pt idx="42">
                    <c:v>Brussel Sprouts</c:v>
                  </c:pt>
                  <c:pt idx="43">
                    <c:v>Buckwheat</c:v>
                  </c:pt>
                  <c:pt idx="44">
                    <c:v>Bupleurum</c:v>
                  </c:pt>
                  <c:pt idx="45">
                    <c:v>Butterfly Flowers</c:v>
                  </c:pt>
                  <c:pt idx="46">
                    <c:v>Cabbage</c:v>
                  </c:pt>
                  <c:pt idx="47">
                    <c:v>Cabbage</c:v>
                  </c:pt>
                  <c:pt idx="48">
                    <c:v>Cabbage</c:v>
                  </c:pt>
                  <c:pt idx="49">
                    <c:v>Cabbage</c:v>
                  </c:pt>
                  <c:pt idx="50">
                    <c:v>Cabbage</c:v>
                  </c:pt>
                  <c:pt idx="51">
                    <c:v>Cabbage</c:v>
                  </c:pt>
                  <c:pt idx="52">
                    <c:v>Cabbage</c:v>
                  </c:pt>
                  <c:pt idx="53">
                    <c:v>Cabbage</c:v>
                  </c:pt>
                  <c:pt idx="54">
                    <c:v>Cabbage</c:v>
                  </c:pt>
                  <c:pt idx="55">
                    <c:v>Cabbage</c:v>
                  </c:pt>
                  <c:pt idx="56">
                    <c:v>Cabbage</c:v>
                  </c:pt>
                  <c:pt idx="57">
                    <c:v>Cabbage</c:v>
                  </c:pt>
                  <c:pt idx="58">
                    <c:v>Cabbage</c:v>
                  </c:pt>
                  <c:pt idx="59">
                    <c:v>Cabbage</c:v>
                  </c:pt>
                  <c:pt idx="60">
                    <c:v>Carrot</c:v>
                  </c:pt>
                  <c:pt idx="61">
                    <c:v>Carrot</c:v>
                  </c:pt>
                  <c:pt idx="62">
                    <c:v>Carrot</c:v>
                  </c:pt>
                  <c:pt idx="63">
                    <c:v>Carrot</c:v>
                  </c:pt>
                  <c:pt idx="64">
                    <c:v>Catnip</c:v>
                  </c:pt>
                  <c:pt idx="65">
                    <c:v>Cauliflower</c:v>
                  </c:pt>
                  <c:pt idx="66">
                    <c:v>Cauliflower</c:v>
                  </c:pt>
                  <c:pt idx="67">
                    <c:v>Cauliflower</c:v>
                  </c:pt>
                  <c:pt idx="68">
                    <c:v>Cauliflower</c:v>
                  </c:pt>
                  <c:pt idx="69">
                    <c:v>Celery</c:v>
                  </c:pt>
                  <c:pt idx="70">
                    <c:v>Celery Root</c:v>
                  </c:pt>
                  <c:pt idx="71">
                    <c:v>Celery Root</c:v>
                  </c:pt>
                  <c:pt idx="72">
                    <c:v>Celosia</c:v>
                  </c:pt>
                  <c:pt idx="73">
                    <c:v>Celosia</c:v>
                  </c:pt>
                  <c:pt idx="74">
                    <c:v>Chervil</c:v>
                  </c:pt>
                  <c:pt idx="75">
                    <c:v>Chicory</c:v>
                  </c:pt>
                  <c:pt idx="76">
                    <c:v>Chicory</c:v>
                  </c:pt>
                  <c:pt idx="77">
                    <c:v>Chijimisai</c:v>
                  </c:pt>
                  <c:pt idx="78">
                    <c:v>Choi Sum</c:v>
                  </c:pt>
                  <c:pt idx="79">
                    <c:v>Choi Sum</c:v>
                  </c:pt>
                  <c:pt idx="80">
                    <c:v>Chrysanthemum</c:v>
                  </c:pt>
                  <c:pt idx="81">
                    <c:v>Chrysanthemum Greens</c:v>
                  </c:pt>
                  <c:pt idx="82">
                    <c:v>Chrysanthemum Greens</c:v>
                  </c:pt>
                  <c:pt idx="83">
                    <c:v>Cilantro</c:v>
                  </c:pt>
                  <c:pt idx="84">
                    <c:v>Cilantro</c:v>
                  </c:pt>
                  <c:pt idx="85">
                    <c:v>Cilantro</c:v>
                  </c:pt>
                  <c:pt idx="86">
                    <c:v>Cilantro</c:v>
                  </c:pt>
                  <c:pt idx="87">
                    <c:v>Cilantro</c:v>
                  </c:pt>
                  <c:pt idx="88">
                    <c:v>Clematis</c:v>
                  </c:pt>
                  <c:pt idx="89">
                    <c:v>Collard Greens</c:v>
                  </c:pt>
                  <c:pt idx="90">
                    <c:v>Collard Greens</c:v>
                  </c:pt>
                  <c:pt idx="91">
                    <c:v>Corn </c:v>
                  </c:pt>
                  <c:pt idx="92">
                    <c:v>Corn </c:v>
                  </c:pt>
                  <c:pt idx="93">
                    <c:v>Corn </c:v>
                  </c:pt>
                  <c:pt idx="94">
                    <c:v>Corn Salad</c:v>
                  </c:pt>
                  <c:pt idx="95">
                    <c:v>Corn Salad</c:v>
                  </c:pt>
                  <c:pt idx="96">
                    <c:v>Corn Salad</c:v>
                  </c:pt>
                  <c:pt idx="97">
                    <c:v>Corn Salad</c:v>
                  </c:pt>
                  <c:pt idx="98">
                    <c:v>Corn Salad</c:v>
                  </c:pt>
                  <c:pt idx="99">
                    <c:v>Corn Salad</c:v>
                  </c:pt>
                  <c:pt idx="100">
                    <c:v>Corn Salad</c:v>
                  </c:pt>
                  <c:pt idx="101">
                    <c:v>Cosmos</c:v>
                  </c:pt>
                  <c:pt idx="102">
                    <c:v>Cover Mix</c:v>
                  </c:pt>
                  <c:pt idx="103">
                    <c:v>Cress</c:v>
                  </c:pt>
                  <c:pt idx="104">
                    <c:v>Cress</c:v>
                  </c:pt>
                  <c:pt idx="105">
                    <c:v>Cucumber</c:v>
                  </c:pt>
                  <c:pt idx="106">
                    <c:v>Cucumber</c:v>
                  </c:pt>
                  <c:pt idx="107">
                    <c:v>Cucumber</c:v>
                  </c:pt>
                  <c:pt idx="108">
                    <c:v>Cucumber</c:v>
                  </c:pt>
                  <c:pt idx="109">
                    <c:v>Cucumber</c:v>
                  </c:pt>
                  <c:pt idx="110">
                    <c:v>Cucumber</c:v>
                  </c:pt>
                  <c:pt idx="111">
                    <c:v>Dahlia</c:v>
                  </c:pt>
                  <c:pt idx="112">
                    <c:v>Dahlia</c:v>
                  </c:pt>
                  <c:pt idx="113">
                    <c:v>Dahlia</c:v>
                  </c:pt>
                  <c:pt idx="114">
                    <c:v>Dianthus</c:v>
                  </c:pt>
                  <c:pt idx="115">
                    <c:v>Dill</c:v>
                  </c:pt>
                  <c:pt idx="116">
                    <c:v>Dill</c:v>
                  </c:pt>
                  <c:pt idx="117">
                    <c:v>Dill</c:v>
                  </c:pt>
                  <c:pt idx="118">
                    <c:v>Dill</c:v>
                  </c:pt>
                  <c:pt idx="119">
                    <c:v>Dill</c:v>
                  </c:pt>
                  <c:pt idx="120">
                    <c:v>Dropmore</c:v>
                  </c:pt>
                  <c:pt idx="121">
                    <c:v>Dropmore</c:v>
                  </c:pt>
                  <c:pt idx="122">
                    <c:v>Eggplant</c:v>
                  </c:pt>
                  <c:pt idx="123">
                    <c:v>Epazote</c:v>
                  </c:pt>
                  <c:pt idx="124">
                    <c:v>Everlasting</c:v>
                  </c:pt>
                  <c:pt idx="125">
                    <c:v>Fava Bean</c:v>
                  </c:pt>
                  <c:pt idx="126">
                    <c:v>Fava Bean</c:v>
                  </c:pt>
                  <c:pt idx="127">
                    <c:v>Fennel</c:v>
                  </c:pt>
                  <c:pt idx="128">
                    <c:v>Fennel</c:v>
                  </c:pt>
                  <c:pt idx="129">
                    <c:v>Fennel</c:v>
                  </c:pt>
                  <c:pt idx="130">
                    <c:v>Fennel</c:v>
                  </c:pt>
                  <c:pt idx="131">
                    <c:v>Flax</c:v>
                  </c:pt>
                  <c:pt idx="132">
                    <c:v>Frisée</c:v>
                  </c:pt>
                  <c:pt idx="133">
                    <c:v>Frisée</c:v>
                  </c:pt>
                  <c:pt idx="134">
                    <c:v>Garlic</c:v>
                  </c:pt>
                  <c:pt idx="135">
                    <c:v>Garlic</c:v>
                  </c:pt>
                  <c:pt idx="136">
                    <c:v>Garlic</c:v>
                  </c:pt>
                  <c:pt idx="137">
                    <c:v>Ginger</c:v>
                  </c:pt>
                  <c:pt idx="138">
                    <c:v>Ginger</c:v>
                  </c:pt>
                  <c:pt idx="139">
                    <c:v>Gooseberry</c:v>
                  </c:pt>
                  <c:pt idx="140">
                    <c:v>Grass</c:v>
                  </c:pt>
                  <c:pt idx="141">
                    <c:v>Ground Cherry</c:v>
                  </c:pt>
                  <c:pt idx="142">
                    <c:v>Hibiscus</c:v>
                  </c:pt>
                  <c:pt idx="143">
                    <c:v>Hops Vine with Flowers</c:v>
                  </c:pt>
                  <c:pt idx="144">
                    <c:v>Huauzontle</c:v>
                  </c:pt>
                  <c:pt idx="145">
                    <c:v>Hyacinth Bean Vine</c:v>
                  </c:pt>
                  <c:pt idx="146">
                    <c:v>Hydrangea</c:v>
                  </c:pt>
                  <c:pt idx="147">
                    <c:v>Hydrangea</c:v>
                  </c:pt>
                  <c:pt idx="148">
                    <c:v>Hydrangea</c:v>
                  </c:pt>
                  <c:pt idx="149">
                    <c:v>Jelly Melon</c:v>
                  </c:pt>
                  <c:pt idx="150">
                    <c:v>Kaibroc</c:v>
                  </c:pt>
                  <c:pt idx="151">
                    <c:v>Kale</c:v>
                  </c:pt>
                  <c:pt idx="152">
                    <c:v>Kale</c:v>
                  </c:pt>
                  <c:pt idx="153">
                    <c:v>Kale</c:v>
                  </c:pt>
                  <c:pt idx="154">
                    <c:v>Kale</c:v>
                  </c:pt>
                  <c:pt idx="155">
                    <c:v>Kohlrabi</c:v>
                  </c:pt>
                  <c:pt idx="156">
                    <c:v>Kohlrabi</c:v>
                  </c:pt>
                  <c:pt idx="157">
                    <c:v>Kohlrabi</c:v>
                  </c:pt>
                  <c:pt idx="158">
                    <c:v>Komatsuna</c:v>
                  </c:pt>
                  <c:pt idx="159">
                    <c:v>Komatsuna</c:v>
                  </c:pt>
                  <c:pt idx="160">
                    <c:v>Komatsuna</c:v>
                  </c:pt>
                  <c:pt idx="161">
                    <c:v>Komatsuna</c:v>
                  </c:pt>
                  <c:pt idx="162">
                    <c:v>Komatsuna</c:v>
                  </c:pt>
                  <c:pt idx="163">
                    <c:v>Leek</c:v>
                  </c:pt>
                  <c:pt idx="164">
                    <c:v>Leek</c:v>
                  </c:pt>
                  <c:pt idx="165">
                    <c:v>Leek</c:v>
                  </c:pt>
                  <c:pt idx="166">
                    <c:v>Leek</c:v>
                  </c:pt>
                  <c:pt idx="167">
                    <c:v>Leek</c:v>
                  </c:pt>
                  <c:pt idx="168">
                    <c:v>Leek</c:v>
                  </c:pt>
                  <c:pt idx="169">
                    <c:v>Lemon Balm</c:v>
                  </c:pt>
                  <c:pt idx="170">
                    <c:v>Lemongrass</c:v>
                  </c:pt>
                  <c:pt idx="171">
                    <c:v>Lettuce</c:v>
                  </c:pt>
                  <c:pt idx="172">
                    <c:v>Lettuce</c:v>
                  </c:pt>
                  <c:pt idx="173">
                    <c:v>Lettuce</c:v>
                  </c:pt>
                  <c:pt idx="174">
                    <c:v>Lettuce</c:v>
                  </c:pt>
                  <c:pt idx="175">
                    <c:v>Lettuce</c:v>
                  </c:pt>
                  <c:pt idx="176">
                    <c:v>Lettuce</c:v>
                  </c:pt>
                  <c:pt idx="177">
                    <c:v>Lettuce</c:v>
                  </c:pt>
                  <c:pt idx="178">
                    <c:v>Lettuce</c:v>
                  </c:pt>
                  <c:pt idx="179">
                    <c:v>Lettuce</c:v>
                  </c:pt>
                  <c:pt idx="180">
                    <c:v>Lettuce</c:v>
                  </c:pt>
                  <c:pt idx="181">
                    <c:v>Lettuce</c:v>
                  </c:pt>
                  <c:pt idx="182">
                    <c:v>Lettuce</c:v>
                  </c:pt>
                  <c:pt idx="183">
                    <c:v>Lettuce</c:v>
                  </c:pt>
                  <c:pt idx="184">
                    <c:v>Lettuce</c:v>
                  </c:pt>
                  <c:pt idx="185">
                    <c:v>Lettuce</c:v>
                  </c:pt>
                  <c:pt idx="186">
                    <c:v>Lettuce</c:v>
                  </c:pt>
                  <c:pt idx="187">
                    <c:v>Lettuce</c:v>
                  </c:pt>
                  <c:pt idx="188">
                    <c:v>Lettuce</c:v>
                  </c:pt>
                  <c:pt idx="189">
                    <c:v>Lettuce</c:v>
                  </c:pt>
                  <c:pt idx="190">
                    <c:v>Lettuce</c:v>
                  </c:pt>
                  <c:pt idx="191">
                    <c:v>Lettuce</c:v>
                  </c:pt>
                  <c:pt idx="192">
                    <c:v>Lettuce</c:v>
                  </c:pt>
                  <c:pt idx="193">
                    <c:v>Lilies</c:v>
                  </c:pt>
                  <c:pt idx="194">
                    <c:v>Lovage</c:v>
                  </c:pt>
                  <c:pt idx="195">
                    <c:v>Lovage</c:v>
                  </c:pt>
                  <c:pt idx="196">
                    <c:v>Magenta Spreen</c:v>
                  </c:pt>
                  <c:pt idx="197">
                    <c:v>Magenta Spreen</c:v>
                  </c:pt>
                  <c:pt idx="198">
                    <c:v>Magenta Spreen</c:v>
                  </c:pt>
                  <c:pt idx="199">
                    <c:v>Malabar Spinach</c:v>
                  </c:pt>
                  <c:pt idx="200">
                    <c:v>Malabar Spinach</c:v>
                  </c:pt>
                  <c:pt idx="201">
                    <c:v>Malabar Spinach</c:v>
                  </c:pt>
                  <c:pt idx="202">
                    <c:v>Marigolds</c:v>
                  </c:pt>
                  <c:pt idx="203">
                    <c:v>Marigolds</c:v>
                  </c:pt>
                  <c:pt idx="204">
                    <c:v>Marigolds</c:v>
                  </c:pt>
                  <c:pt idx="205">
                    <c:v>Marigolds</c:v>
                  </c:pt>
                  <c:pt idx="206">
                    <c:v>Marigolds</c:v>
                  </c:pt>
                  <c:pt idx="207">
                    <c:v>Marigolds</c:v>
                  </c:pt>
                  <c:pt idx="208">
                    <c:v>Marjoram</c:v>
                  </c:pt>
                  <c:pt idx="209">
                    <c:v>Melon</c:v>
                  </c:pt>
                  <c:pt idx="210">
                    <c:v>Melon</c:v>
                  </c:pt>
                  <c:pt idx="211">
                    <c:v>Microgreens</c:v>
                  </c:pt>
                  <c:pt idx="212">
                    <c:v>Milkweed</c:v>
                  </c:pt>
                  <c:pt idx="213">
                    <c:v>Mint</c:v>
                  </c:pt>
                  <c:pt idx="214">
                    <c:v>Mock Orange</c:v>
                  </c:pt>
                  <c:pt idx="215">
                    <c:v>Mustard Greens</c:v>
                  </c:pt>
                  <c:pt idx="216">
                    <c:v>Nausturtium</c:v>
                  </c:pt>
                  <c:pt idx="217">
                    <c:v>Nigella</c:v>
                  </c:pt>
                  <c:pt idx="218">
                    <c:v>Nigella</c:v>
                  </c:pt>
                  <c:pt idx="219">
                    <c:v>Nigella</c:v>
                  </c:pt>
                  <c:pt idx="220">
                    <c:v>Onion</c:v>
                  </c:pt>
                  <c:pt idx="221">
                    <c:v>Onion</c:v>
                  </c:pt>
                  <c:pt idx="222">
                    <c:v>Onion</c:v>
                  </c:pt>
                  <c:pt idx="223">
                    <c:v>Onion</c:v>
                  </c:pt>
                  <c:pt idx="224">
                    <c:v>Onion</c:v>
                  </c:pt>
                  <c:pt idx="225">
                    <c:v>Oregano</c:v>
                  </c:pt>
                  <c:pt idx="226">
                    <c:v>Pansy and Violas</c:v>
                  </c:pt>
                  <c:pt idx="227">
                    <c:v>Pansy and Violas</c:v>
                  </c:pt>
                  <c:pt idx="228">
                    <c:v>Pansy and Violas</c:v>
                  </c:pt>
                  <c:pt idx="229">
                    <c:v>Parsley</c:v>
                  </c:pt>
                  <c:pt idx="230">
                    <c:v>Parsley</c:v>
                  </c:pt>
                  <c:pt idx="231">
                    <c:v>Parsnip</c:v>
                  </c:pt>
                  <c:pt idx="232">
                    <c:v>Parsnip</c:v>
                  </c:pt>
                  <c:pt idx="233">
                    <c:v>Pea Tendril</c:v>
                  </c:pt>
                  <c:pt idx="234">
                    <c:v>Pea Tendril</c:v>
                  </c:pt>
                  <c:pt idx="235">
                    <c:v>Pea Tendril</c:v>
                  </c:pt>
                  <c:pt idx="236">
                    <c:v>Peas</c:v>
                  </c:pt>
                  <c:pt idx="237">
                    <c:v>Peas</c:v>
                  </c:pt>
                  <c:pt idx="238">
                    <c:v>Peas</c:v>
                  </c:pt>
                  <c:pt idx="239">
                    <c:v>Peonies</c:v>
                  </c:pt>
                  <c:pt idx="240">
                    <c:v>Pepper</c:v>
                  </c:pt>
                  <c:pt idx="241">
                    <c:v>Pepper</c:v>
                  </c:pt>
                  <c:pt idx="242">
                    <c:v>Pepper</c:v>
                  </c:pt>
                  <c:pt idx="243">
                    <c:v>Pepper</c:v>
                  </c:pt>
                  <c:pt idx="244">
                    <c:v>Petunia</c:v>
                  </c:pt>
                  <c:pt idx="245">
                    <c:v>Potato</c:v>
                  </c:pt>
                  <c:pt idx="246">
                    <c:v>Potato</c:v>
                  </c:pt>
                  <c:pt idx="247">
                    <c:v>Potato</c:v>
                  </c:pt>
                  <c:pt idx="248">
                    <c:v>Queen Anne's Lace</c:v>
                  </c:pt>
                  <c:pt idx="249">
                    <c:v>Radicchio</c:v>
                  </c:pt>
                  <c:pt idx="250">
                    <c:v>Radicchio</c:v>
                  </c:pt>
                  <c:pt idx="251">
                    <c:v>Radish</c:v>
                  </c:pt>
                  <c:pt idx="252">
                    <c:v>Radish</c:v>
                  </c:pt>
                  <c:pt idx="253">
                    <c:v>Radish</c:v>
                  </c:pt>
                  <c:pt idx="254">
                    <c:v>Radish</c:v>
                  </c:pt>
                  <c:pt idx="255">
                    <c:v>Radish</c:v>
                  </c:pt>
                  <c:pt idx="256">
                    <c:v>Radish</c:v>
                  </c:pt>
                  <c:pt idx="257">
                    <c:v>Radish</c:v>
                  </c:pt>
                  <c:pt idx="258">
                    <c:v>Radish</c:v>
                  </c:pt>
                  <c:pt idx="259">
                    <c:v>Ranunculus</c:v>
                  </c:pt>
                  <c:pt idx="260">
                    <c:v>Raspberry</c:v>
                  </c:pt>
                  <c:pt idx="261">
                    <c:v>Raspberry</c:v>
                  </c:pt>
                  <c:pt idx="262">
                    <c:v>Raspberry</c:v>
                  </c:pt>
                  <c:pt idx="263">
                    <c:v>Rat Tail Radish</c:v>
                  </c:pt>
                  <c:pt idx="264">
                    <c:v>Rose</c:v>
                  </c:pt>
                  <c:pt idx="265">
                    <c:v>Roselle</c:v>
                  </c:pt>
                  <c:pt idx="266">
                    <c:v>Rosemary</c:v>
                  </c:pt>
                  <c:pt idx="267">
                    <c:v>Rubeckia</c:v>
                  </c:pt>
                  <c:pt idx="268">
                    <c:v>Rubeckia</c:v>
                  </c:pt>
                  <c:pt idx="269">
                    <c:v>Rutabaga</c:v>
                  </c:pt>
                  <c:pt idx="270">
                    <c:v>Rutabaga</c:v>
                  </c:pt>
                  <c:pt idx="271">
                    <c:v>Sage</c:v>
                  </c:pt>
                  <c:pt idx="272">
                    <c:v>Salsola</c:v>
                  </c:pt>
                  <c:pt idx="273">
                    <c:v>Salsola</c:v>
                  </c:pt>
                  <c:pt idx="274">
                    <c:v>Salsola</c:v>
                  </c:pt>
                  <c:pt idx="275">
                    <c:v>Scabiosa</c:v>
                  </c:pt>
                  <c:pt idx="276">
                    <c:v>Scallion</c:v>
                  </c:pt>
                  <c:pt idx="277">
                    <c:v>Scallion</c:v>
                  </c:pt>
                  <c:pt idx="278">
                    <c:v>Scallion</c:v>
                  </c:pt>
                  <c:pt idx="279">
                    <c:v>Scallion</c:v>
                  </c:pt>
                  <c:pt idx="280">
                    <c:v>Scallion</c:v>
                  </c:pt>
                  <c:pt idx="281">
                    <c:v>Scallion</c:v>
                  </c:pt>
                  <c:pt idx="282">
                    <c:v>Scallion</c:v>
                  </c:pt>
                  <c:pt idx="283">
                    <c:v>Shallots</c:v>
                  </c:pt>
                  <c:pt idx="284">
                    <c:v>Shallots</c:v>
                  </c:pt>
                  <c:pt idx="285">
                    <c:v>Shallots</c:v>
                  </c:pt>
                  <c:pt idx="286">
                    <c:v>Shiso</c:v>
                  </c:pt>
                  <c:pt idx="287">
                    <c:v>Snapdragons</c:v>
                  </c:pt>
                  <c:pt idx="288">
                    <c:v>Snapdragons</c:v>
                  </c:pt>
                  <c:pt idx="289">
                    <c:v>Sorrel</c:v>
                  </c:pt>
                  <c:pt idx="290">
                    <c:v>Sorrel</c:v>
                  </c:pt>
                  <c:pt idx="291">
                    <c:v>Sorrel</c:v>
                  </c:pt>
                  <c:pt idx="292">
                    <c:v>Sorrel</c:v>
                  </c:pt>
                  <c:pt idx="293">
                    <c:v>Spinach</c:v>
                  </c:pt>
                  <c:pt idx="294">
                    <c:v>Spinach</c:v>
                  </c:pt>
                  <c:pt idx="295">
                    <c:v>Spinach</c:v>
                  </c:pt>
                  <c:pt idx="296">
                    <c:v>Spinach</c:v>
                  </c:pt>
                  <c:pt idx="297">
                    <c:v>Spinach</c:v>
                  </c:pt>
                  <c:pt idx="298">
                    <c:v>Squash</c:v>
                  </c:pt>
                  <c:pt idx="299">
                    <c:v>Squash</c:v>
                  </c:pt>
                  <c:pt idx="300">
                    <c:v>Squash</c:v>
                  </c:pt>
                  <c:pt idx="301">
                    <c:v>Stock</c:v>
                  </c:pt>
                  <c:pt idx="302">
                    <c:v>Strawberry</c:v>
                  </c:pt>
                  <c:pt idx="303">
                    <c:v>Strawberry</c:v>
                  </c:pt>
                  <c:pt idx="304">
                    <c:v>Strawberry Spinach</c:v>
                  </c:pt>
                  <c:pt idx="305">
                    <c:v>Strawflower</c:v>
                  </c:pt>
                  <c:pt idx="306">
                    <c:v>Sudangrass</c:v>
                  </c:pt>
                  <c:pt idx="307">
                    <c:v>Summer Squash</c:v>
                  </c:pt>
                  <c:pt idx="308">
                    <c:v>Summer Squash</c:v>
                  </c:pt>
                  <c:pt idx="309">
                    <c:v>Summer Squash</c:v>
                  </c:pt>
                  <c:pt idx="310">
                    <c:v>Summer Squash</c:v>
                  </c:pt>
                  <c:pt idx="311">
                    <c:v>Sunchoke</c:v>
                  </c:pt>
                  <c:pt idx="312">
                    <c:v>Sunflower</c:v>
                  </c:pt>
                  <c:pt idx="313">
                    <c:v>Sunflower</c:v>
                  </c:pt>
                  <c:pt idx="314">
                    <c:v>Sunflower</c:v>
                  </c:pt>
                  <c:pt idx="315">
                    <c:v>Sunflower</c:v>
                  </c:pt>
                  <c:pt idx="316">
                    <c:v>Swiss Chard</c:v>
                  </c:pt>
                  <c:pt idx="317">
                    <c:v>Swiss Chard</c:v>
                  </c:pt>
                  <c:pt idx="318">
                    <c:v>Talinum</c:v>
                  </c:pt>
                  <c:pt idx="319">
                    <c:v>Tarp</c:v>
                  </c:pt>
                  <c:pt idx="320">
                    <c:v>Thyme</c:v>
                  </c:pt>
                  <c:pt idx="321">
                    <c:v>Tomatillo</c:v>
                  </c:pt>
                  <c:pt idx="322">
                    <c:v>Tomato</c:v>
                  </c:pt>
                  <c:pt idx="323">
                    <c:v>Tomato</c:v>
                  </c:pt>
                  <c:pt idx="324">
                    <c:v>Tomato</c:v>
                  </c:pt>
                  <c:pt idx="325">
                    <c:v>Tomato</c:v>
                  </c:pt>
                  <c:pt idx="326">
                    <c:v>Tomato</c:v>
                  </c:pt>
                  <c:pt idx="327">
                    <c:v>Tomato</c:v>
                  </c:pt>
                  <c:pt idx="328">
                    <c:v>Tomato</c:v>
                  </c:pt>
                  <c:pt idx="329">
                    <c:v>Tomato</c:v>
                  </c:pt>
                  <c:pt idx="330">
                    <c:v>Tomato</c:v>
                  </c:pt>
                  <c:pt idx="331">
                    <c:v>Tomato</c:v>
                  </c:pt>
                  <c:pt idx="332">
                    <c:v>Turnip</c:v>
                  </c:pt>
                  <c:pt idx="333">
                    <c:v>Turnip</c:v>
                  </c:pt>
                  <c:pt idx="334">
                    <c:v>Turnip</c:v>
                  </c:pt>
                  <c:pt idx="335">
                    <c:v>Turnip</c:v>
                  </c:pt>
                  <c:pt idx="336">
                    <c:v>Turnip</c:v>
                  </c:pt>
                  <c:pt idx="337">
                    <c:v>Wisteria</c:v>
                  </c:pt>
                  <c:pt idx="338">
                    <c:v>Yarrow</c:v>
                  </c:pt>
                  <c:pt idx="339">
                    <c:v>Zinnia</c:v>
                  </c:pt>
                </c15:dlblRangeCache>
              </c15:datalabelsRange>
            </c:ext>
            <c:ext xmlns:c16="http://schemas.microsoft.com/office/drawing/2014/chart" uri="{C3380CC4-5D6E-409C-BE32-E72D297353CC}">
              <c16:uniqueId val="{00000000-E68A-4A45-B72D-485ABFA4413D}"/>
            </c:ext>
          </c:extLst>
        </c:ser>
        <c:dLbls>
          <c:showLegendKey val="0"/>
          <c:showVal val="0"/>
          <c:showCatName val="0"/>
          <c:showSerName val="0"/>
          <c:showPercent val="0"/>
          <c:showBubbleSize val="0"/>
        </c:dLbls>
        <c:axId val="1843306912"/>
        <c:axId val="1843308624"/>
      </c:scatterChart>
      <c:valAx>
        <c:axId val="1843306912"/>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308624"/>
        <c:crosses val="autoZero"/>
        <c:crossBetween val="midCat"/>
      </c:valAx>
      <c:valAx>
        <c:axId val="184330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3069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[Crop Plan 2025 V20.xlsm]Seed Starting!PivotTable1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'Seed Starting'!$Y$24</c:f>
              <c:strCache>
                <c:ptCount val="1"/>
                <c:pt idx="0">
                  <c:v>Total</c:v>
                </c:pt>
              </c:strCache>
            </c:strRef>
          </c:tx>
          <c:spPr>
            <a:solidFill>
              <a:schemeClr val="accent1"/>
            </a:solidFill>
            <a:ln>
              <a:noFill/>
            </a:ln>
            <a:effectLst/>
          </c:spPr>
          <c:invertIfNegative val="0"/>
          <c:cat>
            <c:strRef>
              <c:f>'Seed Starting'!$X$25:$X$31</c:f>
              <c:strCache>
                <c:ptCount val="6"/>
                <c:pt idx="0">
                  <c:v>5/31/2025 - 6/6/2025</c:v>
                </c:pt>
                <c:pt idx="1">
                  <c:v>6/7/2025 - 6/13/2025</c:v>
                </c:pt>
                <c:pt idx="2">
                  <c:v>6/14/2025 - 6/20/2025</c:v>
                </c:pt>
                <c:pt idx="3">
                  <c:v>6/21/2025 - 6/27/2025</c:v>
                </c:pt>
                <c:pt idx="4">
                  <c:v>6/28/2025 - 7/4/2025</c:v>
                </c:pt>
                <c:pt idx="5">
                  <c:v>7/12/2025 - 7/17/2025</c:v>
                </c:pt>
              </c:strCache>
            </c:strRef>
          </c:cat>
          <c:val>
            <c:numRef>
              <c:f>'Seed Starting'!$Y$25:$Y$31</c:f>
              <c:numCache>
                <c:formatCode>0.0</c:formatCode>
                <c:ptCount val="6"/>
                <c:pt idx="0">
                  <c:v>14.125</c:v>
                </c:pt>
                <c:pt idx="1">
                  <c:v>1.921653439153439</c:v>
                </c:pt>
                <c:pt idx="2">
                  <c:v>11.93359375</c:v>
                </c:pt>
                <c:pt idx="3">
                  <c:v>3.9345238095238093</c:v>
                </c:pt>
                <c:pt idx="4">
                  <c:v>2.79296875</c:v>
                </c:pt>
                <c:pt idx="5">
                  <c:v>4.8658854166666661</c:v>
                </c:pt>
              </c:numCache>
            </c:numRef>
          </c:val>
          <c:extLst>
            <c:ext xmlns:c16="http://schemas.microsoft.com/office/drawing/2014/chart" uri="{C3380CC4-5D6E-409C-BE32-E72D297353CC}">
              <c16:uniqueId val="{00000000-58B2-4D76-A8FF-85ECFE35AA40}"/>
            </c:ext>
          </c:extLst>
        </c:ser>
        <c:dLbls>
          <c:showLegendKey val="0"/>
          <c:showVal val="0"/>
          <c:showCatName val="0"/>
          <c:showSerName val="0"/>
          <c:showPercent val="0"/>
          <c:showBubbleSize val="0"/>
        </c:dLbls>
        <c:gapWidth val="219"/>
        <c:overlap val="-27"/>
        <c:axId val="980270079"/>
        <c:axId val="980270495"/>
      </c:barChart>
      <c:catAx>
        <c:axId val="980270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270495"/>
        <c:crosses val="autoZero"/>
        <c:auto val="1"/>
        <c:lblAlgn val="ctr"/>
        <c:lblOffset val="100"/>
        <c:noMultiLvlLbl val="0"/>
      </c:catAx>
      <c:valAx>
        <c:axId val="980270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27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1752600</xdr:colOff>
          <xdr:row>1</xdr:row>
          <xdr:rowOff>76200</xdr:rowOff>
        </xdr:from>
        <xdr:to>
          <xdr:col>1</xdr:col>
          <xdr:colOff>3695700</xdr:colOff>
          <xdr:row>3</xdr:row>
          <xdr:rowOff>12700</xdr:rowOff>
        </xdr:to>
        <xdr:sp macro="" textlink="">
          <xdr:nvSpPr>
            <xdr:cNvPr id="3260" name="Button 188" hidden="1">
              <a:extLst>
                <a:ext uri="{63B3BB69-23CF-44E3-9099-C40C66FF867C}">
                  <a14:compatExt spid="_x0000_s3260"/>
                </a:ext>
                <a:ext uri="{FF2B5EF4-FFF2-40B4-BE49-F238E27FC236}">
                  <a16:creationId xmlns:a16="http://schemas.microsoft.com/office/drawing/2014/main" id="{00000000-0008-0000-0200-0000B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Generate IDs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73</xdr:col>
      <xdr:colOff>2494</xdr:colOff>
      <xdr:row>28</xdr:row>
      <xdr:rowOff>233297</xdr:rowOff>
    </xdr:from>
    <xdr:to>
      <xdr:col>75</xdr:col>
      <xdr:colOff>2494</xdr:colOff>
      <xdr:row>40</xdr:row>
      <xdr:rowOff>118997</xdr:rowOff>
    </xdr:to>
    <xdr:sp macro="" textlink="">
      <xdr:nvSpPr>
        <xdr:cNvPr id="2595" name="GAR533">
          <a:extLst>
            <a:ext uri="{FF2B5EF4-FFF2-40B4-BE49-F238E27FC236}">
              <a16:creationId xmlns:a16="http://schemas.microsoft.com/office/drawing/2014/main" id="{2B9564F1-4BC4-91AC-0575-40D4F1E83431}"/>
            </a:ext>
          </a:extLst>
        </xdr:cNvPr>
        <xdr:cNvSpPr/>
      </xdr:nvSpPr>
      <xdr:spPr>
        <a:xfrm>
          <a:off x="74487994" y="15101822"/>
          <a:ext cx="1962150" cy="6743700"/>
        </a:xfrm>
        <a:prstGeom prst="rect">
          <a:avLst/>
        </a:prstGeom>
        <a:gradFill flip="none" rotWithShape="1">
          <a:gsLst>
            <a:gs pos="0">
              <a:srgbClr val="BFBFBF">
                <a:alpha val="75000"/>
              </a:srgbClr>
            </a:gs>
            <a:gs pos="92045">
              <a:srgbClr val="BFBFBF">
                <a:alpha val="75000"/>
              </a:srgbClr>
            </a:gs>
            <a:gs pos="9204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Garlic</a:t>
          </a:r>
        </a:p>
        <a:p>
          <a:pPr algn="l"/>
          <a:r>
            <a:rPr lang="en-US" sz="1200" kern="1200">
              <a:solidFill>
                <a:srgbClr val="000000"/>
              </a:solidFill>
            </a:rPr>
            <a:t>Hardneck</a:t>
          </a:r>
        </a:p>
        <a:p>
          <a:pPr algn="l"/>
          <a:r>
            <a:rPr lang="en-US" sz="1200" kern="1200">
              <a:solidFill>
                <a:srgbClr val="000000"/>
              </a:solidFill>
            </a:rPr>
            <a:t>Field</a:t>
          </a:r>
        </a:p>
        <a:p>
          <a:pPr algn="l"/>
          <a:r>
            <a:rPr lang="en-US" sz="1200" kern="1200">
              <a:solidFill>
                <a:srgbClr val="000000"/>
              </a:solidFill>
            </a:rPr>
            <a:t>GAR533</a:t>
          </a:r>
        </a:p>
        <a:p>
          <a:pPr algn="l"/>
          <a:r>
            <a:rPr lang="en-US" sz="1200" kern="1200">
              <a:solidFill>
                <a:srgbClr val="000000"/>
              </a:solidFill>
            </a:rPr>
            <a:t>(!) Green garlic in I8. Was all of our saved runts. I7 is softneck . Sofneck was just polish. Might have done a spacing experiement.</a:t>
          </a:r>
        </a:p>
        <a:p>
          <a:pPr algn="l"/>
          <a:r>
            <a:rPr lang="en-US" sz="1200" kern="1200">
              <a:solidFill>
                <a:srgbClr val="000000"/>
              </a:solidFill>
            </a:rPr>
            <a:t>$1,543</a:t>
          </a:r>
        </a:p>
        <a:p>
          <a:pPr algn="l"/>
          <a:r>
            <a:rPr lang="en-US" sz="1200" kern="1200">
              <a:solidFill>
                <a:srgbClr val="000000"/>
              </a:solidFill>
            </a:rPr>
            <a:t>Saved Seed</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06/01 - 06/15</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75</xdr:col>
      <xdr:colOff>20182</xdr:colOff>
      <xdr:row>28</xdr:row>
      <xdr:rowOff>233297</xdr:rowOff>
    </xdr:from>
    <xdr:to>
      <xdr:col>76</xdr:col>
      <xdr:colOff>20182</xdr:colOff>
      <xdr:row>40</xdr:row>
      <xdr:rowOff>499997</xdr:rowOff>
    </xdr:to>
    <xdr:sp macro="" textlink="">
      <xdr:nvSpPr>
        <xdr:cNvPr id="2594" name="GAR534">
          <a:extLst>
            <a:ext uri="{FF2B5EF4-FFF2-40B4-BE49-F238E27FC236}">
              <a16:creationId xmlns:a16="http://schemas.microsoft.com/office/drawing/2014/main" id="{96BA4783-F561-E8F9-01C9-2E7B77A4229F}"/>
            </a:ext>
          </a:extLst>
        </xdr:cNvPr>
        <xdr:cNvSpPr/>
      </xdr:nvSpPr>
      <xdr:spPr>
        <a:xfrm>
          <a:off x="76467832" y="15101822"/>
          <a:ext cx="981075" cy="7124700"/>
        </a:xfrm>
        <a:prstGeom prst="rect">
          <a:avLst/>
        </a:prstGeom>
        <a:gradFill flip="none" rotWithShape="1">
          <a:gsLst>
            <a:gs pos="0">
              <a:srgbClr val="BFBFBF">
                <a:alpha val="75000"/>
              </a:srgbClr>
            </a:gs>
            <a:gs pos="94624">
              <a:srgbClr val="BFBFBF">
                <a:alpha val="75000"/>
              </a:srgbClr>
            </a:gs>
            <a:gs pos="94624">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Garlic</a:t>
          </a:r>
        </a:p>
        <a:p>
          <a:pPr algn="l"/>
          <a:r>
            <a:rPr lang="en-US" sz="1200" kern="1200">
              <a:solidFill>
                <a:srgbClr val="000000"/>
              </a:solidFill>
            </a:rPr>
            <a:t>Softneck</a:t>
          </a:r>
        </a:p>
        <a:p>
          <a:pPr algn="l"/>
          <a:r>
            <a:rPr lang="en-US" sz="1200" kern="1200">
              <a:solidFill>
                <a:srgbClr val="000000"/>
              </a:solidFill>
            </a:rPr>
            <a:t>Field</a:t>
          </a:r>
        </a:p>
        <a:p>
          <a:pPr algn="l"/>
          <a:r>
            <a:rPr lang="en-US" sz="1200" kern="1200">
              <a:solidFill>
                <a:srgbClr val="000000"/>
              </a:solidFill>
            </a:rPr>
            <a:t>GAR534</a:t>
          </a:r>
        </a:p>
        <a:p>
          <a:pPr algn="l"/>
          <a:r>
            <a:rPr lang="en-US" sz="1200" kern="1200">
              <a:solidFill>
                <a:srgbClr val="000000"/>
              </a:solidFill>
            </a:rPr>
            <a:t>(!) Zemo. Red Chesnok and Adaptive Music. Zemo from Viva was abolsutely massive. Even bigger than our current. Might have done a spacing experiement.</a:t>
          </a:r>
        </a:p>
        <a:p>
          <a:pPr algn="l"/>
          <a:r>
            <a:rPr lang="en-US" sz="1200" kern="1200">
              <a:solidFill>
                <a:srgbClr val="000000"/>
              </a:solidFill>
            </a:rPr>
            <a:t>$771</a:t>
          </a:r>
        </a:p>
        <a:p>
          <a:pPr algn="l"/>
          <a:r>
            <a:rPr lang="en-US" sz="1200" kern="1200">
              <a:solidFill>
                <a:srgbClr val="000000"/>
              </a:solidFill>
            </a:rPr>
            <a:t>Saved Seed</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06/15 - 06/25</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76</xdr:col>
      <xdr:colOff>32883</xdr:colOff>
      <xdr:row>28</xdr:row>
      <xdr:rowOff>233297</xdr:rowOff>
    </xdr:from>
    <xdr:to>
      <xdr:col>77</xdr:col>
      <xdr:colOff>32883</xdr:colOff>
      <xdr:row>39</xdr:row>
      <xdr:rowOff>80897</xdr:rowOff>
    </xdr:to>
    <xdr:sp macro="" textlink="">
      <xdr:nvSpPr>
        <xdr:cNvPr id="18" name="GAR535">
          <a:extLst>
            <a:ext uri="{FF2B5EF4-FFF2-40B4-BE49-F238E27FC236}">
              <a16:creationId xmlns:a16="http://schemas.microsoft.com/office/drawing/2014/main" id="{DDB09C84-9C30-A7E0-07C8-A8E97A0D4218}"/>
            </a:ext>
          </a:extLst>
        </xdr:cNvPr>
        <xdr:cNvSpPr/>
      </xdr:nvSpPr>
      <xdr:spPr>
        <a:xfrm>
          <a:off x="77461608" y="15101822"/>
          <a:ext cx="981075" cy="6134100"/>
        </a:xfrm>
        <a:prstGeom prst="rect">
          <a:avLst/>
        </a:prstGeom>
        <a:gradFill flip="none" rotWithShape="1">
          <a:gsLst>
            <a:gs pos="0">
              <a:srgbClr val="BFBFBF">
                <a:alpha val="75000"/>
              </a:srgbClr>
            </a:gs>
            <a:gs pos="81875">
              <a:srgbClr val="BFBFBF">
                <a:alpha val="75000"/>
              </a:srgbClr>
            </a:gs>
            <a:gs pos="8187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Garlic</a:t>
          </a:r>
        </a:p>
        <a:p>
          <a:pPr algn="l"/>
          <a:r>
            <a:rPr lang="en-US" sz="1200" kern="1200">
              <a:solidFill>
                <a:srgbClr val="000000"/>
              </a:solidFill>
            </a:rPr>
            <a:t>Green</a:t>
          </a:r>
        </a:p>
        <a:p>
          <a:pPr algn="l"/>
          <a:r>
            <a:rPr lang="en-US" sz="1200" kern="1200">
              <a:solidFill>
                <a:srgbClr val="000000"/>
              </a:solidFill>
            </a:rPr>
            <a:t>Field</a:t>
          </a:r>
        </a:p>
        <a:p>
          <a:pPr algn="l"/>
          <a:r>
            <a:rPr lang="en-US" sz="1200" kern="1200">
              <a:solidFill>
                <a:srgbClr val="000000"/>
              </a:solidFill>
            </a:rPr>
            <a:t>GAR535</a:t>
          </a:r>
        </a:p>
        <a:p>
          <a:pPr algn="l"/>
          <a:r>
            <a:rPr lang="en-US" sz="1200" kern="1200">
              <a:solidFill>
                <a:srgbClr val="000000"/>
              </a:solidFill>
            </a:rPr>
            <a:t>$643</a:t>
          </a:r>
        </a:p>
        <a:p>
          <a:pPr algn="l"/>
          <a:r>
            <a:rPr lang="en-US" sz="1200" kern="1200">
              <a:solidFill>
                <a:srgbClr val="000000"/>
              </a:solidFill>
            </a:rPr>
            <a:t>Saved Seed</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05/01 - 05/30</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83</xdr:col>
      <xdr:colOff>980844</xdr:colOff>
      <xdr:row>5</xdr:row>
      <xdr:rowOff>37578</xdr:rowOff>
    </xdr:from>
    <xdr:to>
      <xdr:col>84</xdr:col>
      <xdr:colOff>490307</xdr:colOff>
      <xdr:row>30</xdr:row>
      <xdr:rowOff>456678</xdr:rowOff>
    </xdr:to>
    <xdr:sp macro="" textlink="">
      <xdr:nvSpPr>
        <xdr:cNvPr id="2568" name="LOV366">
          <a:extLst>
            <a:ext uri="{FF2B5EF4-FFF2-40B4-BE49-F238E27FC236}">
              <a16:creationId xmlns:a16="http://schemas.microsoft.com/office/drawing/2014/main" id="{F6E9C5E3-5B9D-D183-E2CD-6155FCB36C3E}"/>
            </a:ext>
          </a:extLst>
        </xdr:cNvPr>
        <xdr:cNvSpPr/>
      </xdr:nvSpPr>
      <xdr:spPr>
        <a:xfrm>
          <a:off x="85277094" y="1761603"/>
          <a:ext cx="490538" cy="14706600"/>
        </a:xfrm>
        <a:prstGeom prst="rect">
          <a:avLst/>
        </a:prstGeom>
        <a:gradFill flip="none" rotWithShape="1">
          <a:gsLst>
            <a:gs pos="0">
              <a:srgbClr val="BDD7EE">
                <a:alpha val="75000"/>
              </a:srgbClr>
            </a:gs>
            <a:gs pos="25974">
              <a:srgbClr val="BDD7EE">
                <a:alpha val="75000"/>
              </a:srgbClr>
            </a:gs>
            <a:gs pos="25974">
              <a:srgbClr val="BDD7EE">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Lovage</a:t>
          </a:r>
        </a:p>
        <a:p>
          <a:pPr algn="l"/>
          <a:r>
            <a:rPr lang="en-US" sz="800" kern="1200">
              <a:solidFill>
                <a:srgbClr val="000000"/>
              </a:solidFill>
            </a:rPr>
            <a:t>Perennial</a:t>
          </a:r>
        </a:p>
        <a:p>
          <a:pPr algn="l"/>
          <a:r>
            <a:rPr lang="en-US" sz="800" kern="1200">
              <a:solidFill>
                <a:srgbClr val="000000"/>
              </a:solidFill>
            </a:rPr>
            <a:t>Field</a:t>
          </a:r>
        </a:p>
        <a:p>
          <a:pPr algn="l"/>
          <a:r>
            <a:rPr lang="en-US" sz="800" kern="1200">
              <a:solidFill>
                <a:srgbClr val="000000"/>
              </a:solidFill>
            </a:rPr>
            <a:t>LOV366</a:t>
          </a:r>
        </a:p>
        <a:p>
          <a:pPr algn="l"/>
          <a:r>
            <a:rPr lang="en-US" sz="800" kern="1200">
              <a:solidFill>
                <a:srgbClr val="000000"/>
              </a:solidFill>
            </a:rPr>
            <a:t>(!) Perennial</a:t>
          </a:r>
        </a:p>
        <a:p>
          <a:pPr algn="l"/>
          <a:r>
            <a:rPr lang="en-US" sz="800" kern="1200">
              <a:solidFill>
                <a:srgbClr val="000000"/>
              </a:solidFill>
            </a:rPr>
            <a:t>$480</a:t>
          </a:r>
        </a:p>
        <a:p>
          <a:pPr algn="l"/>
          <a:r>
            <a:rPr lang="en-US" sz="800" kern="1200">
              <a:solidFill>
                <a:srgbClr val="000000"/>
              </a:solidFill>
            </a:rPr>
            <a:t>Perennial</a:t>
          </a:r>
        </a:p>
        <a:p>
          <a:pPr algn="l"/>
          <a:endParaRPr lang="en-US" sz="800" kern="1200">
            <a:solidFill>
              <a:srgbClr val="000000"/>
            </a:solidFill>
          </a:endParaRPr>
        </a:p>
        <a:p>
          <a:pPr algn="l"/>
          <a:r>
            <a:rPr lang="en-US" sz="800" kern="1200">
              <a:solidFill>
                <a:srgbClr val="000000"/>
              </a:solidFill>
            </a:rPr>
            <a:t>0.4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04/10 - 01/20</a:t>
          </a:r>
        </a:p>
        <a:p>
          <a:pPr algn="l"/>
          <a:r>
            <a:rPr lang="en-US" sz="800" kern="1200">
              <a:solidFill>
                <a:srgbClr val="000000"/>
              </a:solidFill>
            </a:rPr>
            <a:t> 6'</a:t>
          </a:r>
        </a:p>
        <a:p>
          <a:pPr algn="l"/>
          <a:r>
            <a:rPr lang="en-US" sz="800" kern="1200">
              <a:solidFill>
                <a:srgbClr val="000000"/>
              </a:solidFill>
            </a:rPr>
            <a:t>None</a:t>
          </a:r>
        </a:p>
      </xdr:txBody>
    </xdr:sp>
    <xdr:clientData/>
  </xdr:twoCellAnchor>
  <xdr:twoCellAnchor>
    <xdr:from>
      <xdr:col>78</xdr:col>
      <xdr:colOff>1814</xdr:colOff>
      <xdr:row>12</xdr:row>
      <xdr:rowOff>396136</xdr:rowOff>
    </xdr:from>
    <xdr:to>
      <xdr:col>78</xdr:col>
      <xdr:colOff>492352</xdr:colOff>
      <xdr:row>31</xdr:row>
      <xdr:rowOff>243736</xdr:rowOff>
    </xdr:to>
    <xdr:sp macro="" textlink="">
      <xdr:nvSpPr>
        <xdr:cNvPr id="2540" name="SOR485">
          <a:extLst>
            <a:ext uri="{FF2B5EF4-FFF2-40B4-BE49-F238E27FC236}">
              <a16:creationId xmlns:a16="http://schemas.microsoft.com/office/drawing/2014/main" id="{C7D76B6F-190A-C557-536F-2E6234477DB3}"/>
            </a:ext>
          </a:extLst>
        </xdr:cNvPr>
        <xdr:cNvSpPr/>
      </xdr:nvSpPr>
      <xdr:spPr>
        <a:xfrm>
          <a:off x="79392689" y="6120661"/>
          <a:ext cx="490538" cy="10706100"/>
        </a:xfrm>
        <a:prstGeom prst="rect">
          <a:avLst/>
        </a:prstGeom>
        <a:gradFill flip="none" rotWithShape="1">
          <a:gsLst>
            <a:gs pos="0">
              <a:srgbClr val="FCE4D6">
                <a:alpha val="75000"/>
              </a:srgbClr>
            </a:gs>
            <a:gs pos="12857">
              <a:srgbClr val="FCE4D6">
                <a:alpha val="75000"/>
              </a:srgbClr>
            </a:gs>
            <a:gs pos="12857">
              <a:srgbClr val="FCE4D6">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Sorrel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SOR485</a:t>
          </a:r>
        </a:p>
        <a:p>
          <a:pPr algn="l"/>
          <a:r>
            <a:rPr lang="en-US" sz="800" kern="1200">
              <a:solidFill>
                <a:srgbClr val="000000"/>
              </a:solidFill>
            </a:rPr>
            <a:t>(!) Blood sorrel takes fuckin ages. Like a month to start. Grows really slow. Green sorrel grew like a weed. Cut back the flowering stalk and it it bounded well. Something at it in late summer.</a:t>
          </a:r>
        </a:p>
        <a:p>
          <a:pPr algn="l"/>
          <a:r>
            <a:rPr lang="en-US" sz="800" kern="1200">
              <a:solidFill>
                <a:srgbClr val="000000"/>
              </a:solidFill>
            </a:rPr>
            <a:t>$823</a:t>
          </a:r>
        </a:p>
        <a:p>
          <a:pPr algn="l"/>
          <a:r>
            <a:rPr lang="en-US" sz="800" kern="1200">
              <a:solidFill>
                <a:srgbClr val="000000"/>
              </a:solidFill>
            </a:rPr>
            <a:t>Sorrel Mix</a:t>
          </a:r>
        </a:p>
        <a:p>
          <a:pPr algn="l"/>
          <a:endParaRPr lang="en-US" sz="800" kern="1200">
            <a:solidFill>
              <a:srgbClr val="000000"/>
            </a:solidFill>
          </a:endParaRPr>
        </a:p>
        <a:p>
          <a:pPr algn="l"/>
          <a:r>
            <a:rPr lang="en-US" sz="800" kern="1200">
              <a:solidFill>
                <a:srgbClr val="000000"/>
              </a:solidFill>
            </a:rPr>
            <a:t>0.4 beds</a:t>
          </a:r>
        </a:p>
        <a:p>
          <a:pPr algn="l"/>
          <a:r>
            <a:rPr lang="en-US" sz="800" kern="1200">
              <a:solidFill>
                <a:srgbClr val="000000"/>
              </a:solidFill>
            </a:rPr>
            <a:t>3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06/01 - 01/31</a:t>
          </a:r>
        </a:p>
        <a:p>
          <a:pPr algn="l"/>
          <a:r>
            <a:rPr lang="en-US" sz="800" kern="1200">
              <a:solidFill>
                <a:srgbClr val="000000"/>
              </a:solidFill>
            </a:rPr>
            <a:t> 1.5'</a:t>
          </a:r>
        </a:p>
        <a:p>
          <a:pPr algn="l"/>
          <a:r>
            <a:rPr lang="en-US" sz="800" kern="1200">
              <a:solidFill>
                <a:srgbClr val="000000"/>
              </a:solidFill>
            </a:rPr>
            <a:t>0</a:t>
          </a:r>
        </a:p>
      </xdr:txBody>
    </xdr:sp>
    <xdr:clientData/>
  </xdr:twoCellAnchor>
  <xdr:twoCellAnchor>
    <xdr:from>
      <xdr:col>8</xdr:col>
      <xdr:colOff>9978</xdr:colOff>
      <xdr:row>29</xdr:row>
      <xdr:rowOff>75157</xdr:rowOff>
    </xdr:from>
    <xdr:to>
      <xdr:col>8</xdr:col>
      <xdr:colOff>500516</xdr:colOff>
      <xdr:row>52</xdr:row>
      <xdr:rowOff>151357</xdr:rowOff>
    </xdr:to>
    <xdr:sp macro="" textlink="">
      <xdr:nvSpPr>
        <xdr:cNvPr id="2593" name="GOO001">
          <a:extLst>
            <a:ext uri="{FF2B5EF4-FFF2-40B4-BE49-F238E27FC236}">
              <a16:creationId xmlns:a16="http://schemas.microsoft.com/office/drawing/2014/main" id="{DA5605C8-739A-CC29-E670-4EB706FD9C6B}"/>
            </a:ext>
          </a:extLst>
        </xdr:cNvPr>
        <xdr:cNvSpPr/>
      </xdr:nvSpPr>
      <xdr:spPr>
        <a:xfrm>
          <a:off x="10725603" y="15515182"/>
          <a:ext cx="490538" cy="13220700"/>
        </a:xfrm>
        <a:prstGeom prst="rect">
          <a:avLst/>
        </a:prstGeom>
        <a:gradFill flip="none" rotWithShape="1">
          <a:gsLst>
            <a:gs pos="0">
              <a:srgbClr val="FF5050">
                <a:alpha val="75000"/>
              </a:srgbClr>
            </a:gs>
            <a:gs pos="71676">
              <a:srgbClr val="FF5050">
                <a:alpha val="75000"/>
              </a:srgbClr>
            </a:gs>
            <a:gs pos="71676">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Gooseberry</a:t>
          </a:r>
        </a:p>
        <a:p>
          <a:pPr algn="l"/>
          <a:r>
            <a:rPr lang="en-US" sz="800" kern="1200">
              <a:solidFill>
                <a:srgbClr val="000000"/>
              </a:solidFill>
            </a:rPr>
            <a:t>Cape</a:t>
          </a:r>
        </a:p>
        <a:p>
          <a:pPr algn="l"/>
          <a:r>
            <a:rPr lang="en-US" sz="800" kern="1200">
              <a:solidFill>
                <a:srgbClr val="000000"/>
              </a:solidFill>
            </a:rPr>
            <a:t>Field</a:t>
          </a:r>
        </a:p>
        <a:p>
          <a:pPr algn="l"/>
          <a:r>
            <a:rPr lang="en-US" sz="800" kern="1200">
              <a:solidFill>
                <a:srgbClr val="000000"/>
              </a:solidFill>
            </a:rPr>
            <a:t>GOO001</a:t>
          </a:r>
        </a:p>
        <a:p>
          <a:pPr algn="l"/>
          <a:r>
            <a:rPr lang="en-US" sz="800" kern="1200">
              <a:solidFill>
                <a:srgbClr val="000000"/>
              </a:solidFill>
            </a:rPr>
            <a:t>$640</a:t>
          </a:r>
        </a:p>
        <a:p>
          <a:pPr algn="l"/>
          <a:r>
            <a:rPr lang="en-US" sz="800" kern="1200">
              <a:solidFill>
                <a:srgbClr val="000000"/>
              </a:solidFill>
            </a:rPr>
            <a:t>Peruvian Ground Cherry</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1 R @ 30"</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09/06 - 12/13</a:t>
          </a:r>
        </a:p>
        <a:p>
          <a:pPr algn="l"/>
          <a:r>
            <a:rPr lang="en-US" sz="800" kern="1200">
              <a:solidFill>
                <a:srgbClr val="000000"/>
              </a:solidFill>
            </a:rPr>
            <a:t> 0'</a:t>
          </a:r>
        </a:p>
        <a:p>
          <a:pPr algn="l"/>
          <a:r>
            <a:rPr lang="en-US" sz="800" kern="1200">
              <a:solidFill>
                <a:srgbClr val="000000"/>
              </a:solidFill>
            </a:rPr>
            <a:t>0</a:t>
          </a:r>
        </a:p>
      </xdr:txBody>
    </xdr:sp>
    <xdr:clientData/>
  </xdr:twoCellAnchor>
  <xdr:twoCellAnchor>
    <xdr:from>
      <xdr:col>11</xdr:col>
      <xdr:colOff>12698</xdr:colOff>
      <xdr:row>31</xdr:row>
      <xdr:rowOff>59499</xdr:rowOff>
    </xdr:from>
    <xdr:to>
      <xdr:col>12</xdr:col>
      <xdr:colOff>12698</xdr:colOff>
      <xdr:row>41</xdr:row>
      <xdr:rowOff>516699</xdr:rowOff>
    </xdr:to>
    <xdr:sp macro="" textlink="">
      <xdr:nvSpPr>
        <xdr:cNvPr id="2598" name="FAV001">
          <a:extLst>
            <a:ext uri="{FF2B5EF4-FFF2-40B4-BE49-F238E27FC236}">
              <a16:creationId xmlns:a16="http://schemas.microsoft.com/office/drawing/2014/main" id="{2532C309-61BB-0F87-02C8-680BF3EB7C12}"/>
            </a:ext>
          </a:extLst>
        </xdr:cNvPr>
        <xdr:cNvSpPr/>
      </xdr:nvSpPr>
      <xdr:spPr>
        <a:xfrm>
          <a:off x="13671548" y="16642524"/>
          <a:ext cx="981075" cy="6172200"/>
        </a:xfrm>
        <a:prstGeom prst="rect">
          <a:avLst/>
        </a:prstGeom>
        <a:gradFill flip="none" rotWithShape="1">
          <a:gsLst>
            <a:gs pos="0">
              <a:srgbClr val="00B0F0">
                <a:alpha val="75000"/>
              </a:srgbClr>
            </a:gs>
            <a:gs pos="86957">
              <a:srgbClr val="00B0F0">
                <a:alpha val="75000"/>
              </a:srgbClr>
            </a:gs>
            <a:gs pos="86957">
              <a:srgbClr val="00B0F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Fava Bean</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FAV001</a:t>
          </a:r>
        </a:p>
        <a:p>
          <a:pPr algn="l"/>
          <a:r>
            <a:rPr lang="en-US" sz="1200" kern="1200">
              <a:solidFill>
                <a:srgbClr val="000000"/>
              </a:solidFill>
            </a:rPr>
            <a:t>$600</a:t>
          </a:r>
        </a:p>
        <a:p>
          <a:pPr algn="l"/>
          <a:r>
            <a:rPr lang="en-US" sz="1200" kern="1200">
              <a:solidFill>
                <a:srgbClr val="000000"/>
              </a:solidFill>
            </a:rPr>
            <a:t>Aquadulce</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06/20 - 07/11</a:t>
          </a:r>
        </a:p>
        <a:p>
          <a:pPr algn="l"/>
          <a:r>
            <a:rPr lang="en-US" sz="1200" kern="1200">
              <a:solidFill>
                <a:srgbClr val="000000"/>
              </a:solidFill>
            </a:rPr>
            <a:t> 3.5'</a:t>
          </a:r>
        </a:p>
        <a:p>
          <a:pPr algn="l"/>
          <a:r>
            <a:rPr lang="en-US" sz="1200" kern="1200">
              <a:solidFill>
                <a:srgbClr val="000000"/>
              </a:solidFill>
            </a:rPr>
            <a:t>0</a:t>
          </a:r>
        </a:p>
      </xdr:txBody>
    </xdr:sp>
    <xdr:clientData/>
  </xdr:twoCellAnchor>
  <xdr:twoCellAnchor>
    <xdr:from>
      <xdr:col>6</xdr:col>
      <xdr:colOff>557889</xdr:colOff>
      <xdr:row>33</xdr:row>
      <xdr:rowOff>419622</xdr:rowOff>
    </xdr:from>
    <xdr:to>
      <xdr:col>7</xdr:col>
      <xdr:colOff>67352</xdr:colOff>
      <xdr:row>41</xdr:row>
      <xdr:rowOff>419622</xdr:rowOff>
    </xdr:to>
    <xdr:sp macro="" textlink="">
      <xdr:nvSpPr>
        <xdr:cNvPr id="12" name="SCA633">
          <a:extLst>
            <a:ext uri="{FF2B5EF4-FFF2-40B4-BE49-F238E27FC236}">
              <a16:creationId xmlns:a16="http://schemas.microsoft.com/office/drawing/2014/main" id="{DCE0D3B5-5AD0-E594-1064-FF0B2D210309}"/>
            </a:ext>
          </a:extLst>
        </xdr:cNvPr>
        <xdr:cNvSpPr/>
      </xdr:nvSpPr>
      <xdr:spPr>
        <a:xfrm>
          <a:off x="9311364" y="18145647"/>
          <a:ext cx="490538" cy="4572000"/>
        </a:xfrm>
        <a:prstGeom prst="rect">
          <a:avLst/>
        </a:prstGeom>
        <a:gradFill flip="none" rotWithShape="1">
          <a:gsLst>
            <a:gs pos="0">
              <a:srgbClr val="BFBFBF">
                <a:alpha val="75000"/>
              </a:srgbClr>
            </a:gs>
            <a:gs pos="88235">
              <a:srgbClr val="BFBFBF">
                <a:alpha val="75000"/>
              </a:srgbClr>
            </a:gs>
            <a:gs pos="88235">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Scallion</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SCA633</a:t>
          </a:r>
        </a:p>
        <a:p>
          <a:pPr algn="l"/>
          <a:r>
            <a:rPr lang="en-US" sz="800" kern="1200">
              <a:solidFill>
                <a:srgbClr val="000000"/>
              </a:solidFill>
            </a:rPr>
            <a:t>$125</a:t>
          </a:r>
        </a:p>
        <a:p>
          <a:pPr algn="l"/>
          <a:r>
            <a:rPr lang="en-US" sz="800" kern="1200">
              <a:solidFill>
                <a:srgbClr val="000000"/>
              </a:solidFill>
            </a:rPr>
            <a:t>Scallion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06/25 - 07/09</a:t>
          </a:r>
        </a:p>
        <a:p>
          <a:pPr algn="l"/>
          <a:r>
            <a:rPr lang="en-US" sz="800" kern="1200">
              <a:solidFill>
                <a:srgbClr val="000000"/>
              </a:solidFill>
            </a:rPr>
            <a:t> 1.5'</a:t>
          </a:r>
        </a:p>
        <a:p>
          <a:pPr algn="l"/>
          <a:r>
            <a:rPr lang="en-US" sz="800" kern="1200">
              <a:solidFill>
                <a:srgbClr val="000000"/>
              </a:solidFill>
            </a:rPr>
            <a:t>None</a:t>
          </a:r>
        </a:p>
      </xdr:txBody>
    </xdr:sp>
    <xdr:clientData/>
  </xdr:twoCellAnchor>
  <xdr:twoCellAnchor>
    <xdr:from>
      <xdr:col>7</xdr:col>
      <xdr:colOff>524322</xdr:colOff>
      <xdr:row>34</xdr:row>
      <xdr:rowOff>336637</xdr:rowOff>
    </xdr:from>
    <xdr:to>
      <xdr:col>8</xdr:col>
      <xdr:colOff>33785</xdr:colOff>
      <xdr:row>37</xdr:row>
      <xdr:rowOff>527137</xdr:rowOff>
    </xdr:to>
    <xdr:sp macro="" textlink="">
      <xdr:nvSpPr>
        <xdr:cNvPr id="2633" name="ARU001">
          <a:extLst>
            <a:ext uri="{FF2B5EF4-FFF2-40B4-BE49-F238E27FC236}">
              <a16:creationId xmlns:a16="http://schemas.microsoft.com/office/drawing/2014/main" id="{44F1189E-B789-AA66-5726-45D93E662D11}"/>
            </a:ext>
          </a:extLst>
        </xdr:cNvPr>
        <xdr:cNvSpPr/>
      </xdr:nvSpPr>
      <xdr:spPr>
        <a:xfrm>
          <a:off x="10258872" y="18634162"/>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Arugula</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ARU001</a:t>
          </a:r>
        </a:p>
        <a:p>
          <a:pPr algn="l"/>
          <a:r>
            <a:rPr lang="en-US" sz="800" kern="1200">
              <a:solidFill>
                <a:srgbClr val="000000"/>
              </a:solidFill>
            </a:rPr>
            <a:t>$56</a:t>
          </a:r>
        </a:p>
        <a:p>
          <a:pPr algn="l"/>
          <a:r>
            <a:rPr lang="en-US" sz="800" kern="1200">
              <a:solidFill>
                <a:srgbClr val="000000"/>
              </a:solidFill>
            </a:rPr>
            <a:t>Arugala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6 R @ 0"</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04/25 - 05/13</a:t>
          </a:r>
        </a:p>
        <a:p>
          <a:pPr algn="l"/>
          <a:r>
            <a:rPr lang="en-US" sz="800" kern="1200">
              <a:solidFill>
                <a:srgbClr val="000000"/>
              </a:solidFill>
            </a:rPr>
            <a:t>OH 1'</a:t>
          </a:r>
        </a:p>
        <a:p>
          <a:pPr algn="l"/>
          <a:r>
            <a:rPr lang="en-US" sz="800" kern="1200">
              <a:solidFill>
                <a:srgbClr val="000000"/>
              </a:solidFill>
            </a:rPr>
            <a:t>None</a:t>
          </a:r>
        </a:p>
      </xdr:txBody>
    </xdr:sp>
    <xdr:clientData/>
  </xdr:twoCellAnchor>
  <xdr:twoCellAnchor>
    <xdr:from>
      <xdr:col>7</xdr:col>
      <xdr:colOff>395061</xdr:colOff>
      <xdr:row>34</xdr:row>
      <xdr:rowOff>336637</xdr:rowOff>
    </xdr:from>
    <xdr:to>
      <xdr:col>7</xdr:col>
      <xdr:colOff>885599</xdr:colOff>
      <xdr:row>40</xdr:row>
      <xdr:rowOff>489037</xdr:rowOff>
    </xdr:to>
    <xdr:sp macro="" textlink="">
      <xdr:nvSpPr>
        <xdr:cNvPr id="2605" name="CHR001">
          <a:extLst>
            <a:ext uri="{FF2B5EF4-FFF2-40B4-BE49-F238E27FC236}">
              <a16:creationId xmlns:a16="http://schemas.microsoft.com/office/drawing/2014/main" id="{561977B3-336E-F105-9961-BA39916FDFA1}"/>
            </a:ext>
          </a:extLst>
        </xdr:cNvPr>
        <xdr:cNvSpPr/>
      </xdr:nvSpPr>
      <xdr:spPr>
        <a:xfrm>
          <a:off x="10129611" y="18634162"/>
          <a:ext cx="490538" cy="3581400"/>
        </a:xfrm>
        <a:prstGeom prst="rect">
          <a:avLst/>
        </a:prstGeom>
        <a:gradFill flip="none" rotWithShape="1">
          <a:gsLst>
            <a:gs pos="0">
              <a:srgbClr val="00B050">
                <a:alpha val="75000"/>
              </a:srgbClr>
            </a:gs>
            <a:gs pos="39785">
              <a:srgbClr val="00B050">
                <a:alpha val="75000"/>
              </a:srgbClr>
            </a:gs>
            <a:gs pos="39785">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Chrysanthemum Greens</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CHR001</a:t>
          </a:r>
        </a:p>
        <a:p>
          <a:pPr algn="l"/>
          <a:r>
            <a:rPr lang="en-US" sz="800" kern="1200">
              <a:solidFill>
                <a:srgbClr val="000000"/>
              </a:solidFill>
            </a:rPr>
            <a:t>$600</a:t>
          </a:r>
        </a:p>
        <a:p>
          <a:pPr algn="l"/>
          <a:r>
            <a:rPr lang="en-US" sz="800" kern="1200">
              <a:solidFill>
                <a:srgbClr val="000000"/>
              </a:solidFill>
            </a:rPr>
            <a:t>Shungiku, Komi</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3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05/01 - 06/26</a:t>
          </a:r>
        </a:p>
        <a:p>
          <a:pPr algn="l"/>
          <a:r>
            <a:rPr lang="en-US" sz="800" kern="1200">
              <a:solidFill>
                <a:srgbClr val="000000"/>
              </a:solidFill>
            </a:rPr>
            <a:t>OH 2'</a:t>
          </a:r>
        </a:p>
        <a:p>
          <a:pPr algn="l"/>
          <a:r>
            <a:rPr lang="en-US" sz="800" kern="1200">
              <a:solidFill>
                <a:srgbClr val="000000"/>
              </a:solidFill>
            </a:rPr>
            <a:t>AMAP</a:t>
          </a:r>
        </a:p>
      </xdr:txBody>
    </xdr:sp>
    <xdr:clientData/>
  </xdr:twoCellAnchor>
  <xdr:twoCellAnchor>
    <xdr:from>
      <xdr:col>6</xdr:col>
      <xdr:colOff>40821</xdr:colOff>
      <xdr:row>34</xdr:row>
      <xdr:rowOff>336637</xdr:rowOff>
    </xdr:from>
    <xdr:to>
      <xdr:col>6</xdr:col>
      <xdr:colOff>531359</xdr:colOff>
      <xdr:row>40</xdr:row>
      <xdr:rowOff>565237</xdr:rowOff>
    </xdr:to>
    <xdr:sp macro="" textlink="">
      <xdr:nvSpPr>
        <xdr:cNvPr id="9" name="MAG001">
          <a:extLst>
            <a:ext uri="{FF2B5EF4-FFF2-40B4-BE49-F238E27FC236}">
              <a16:creationId xmlns:a16="http://schemas.microsoft.com/office/drawing/2014/main" id="{6CFADA8E-BB67-9642-F868-10693BFC611B}"/>
            </a:ext>
          </a:extLst>
        </xdr:cNvPr>
        <xdr:cNvSpPr/>
      </xdr:nvSpPr>
      <xdr:spPr>
        <a:xfrm>
          <a:off x="8794296" y="18634162"/>
          <a:ext cx="490538" cy="3657600"/>
        </a:xfrm>
        <a:prstGeom prst="rect">
          <a:avLst/>
        </a:prstGeom>
        <a:gradFill flip="none" rotWithShape="1">
          <a:gsLst>
            <a:gs pos="0">
              <a:srgbClr val="FF99FF">
                <a:alpha val="75000"/>
              </a:srgbClr>
            </a:gs>
            <a:gs pos="63158">
              <a:srgbClr val="FF99FF">
                <a:alpha val="75000"/>
              </a:srgbClr>
            </a:gs>
            <a:gs pos="63158">
              <a:srgbClr val="FF99F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Magenta Spreen</a:t>
          </a:r>
        </a:p>
        <a:p>
          <a:pPr algn="l"/>
          <a:r>
            <a:rPr lang="en-US" sz="800" kern="1200">
              <a:solidFill>
                <a:srgbClr val="000000"/>
              </a:solidFill>
            </a:rPr>
            <a:t>General</a:t>
          </a:r>
        </a:p>
        <a:p>
          <a:pPr algn="l"/>
          <a:r>
            <a:rPr lang="en-US" sz="800" kern="1200">
              <a:solidFill>
                <a:srgbClr val="000000"/>
              </a:solidFill>
            </a:rPr>
            <a:t>0</a:t>
          </a:r>
        </a:p>
        <a:p>
          <a:pPr algn="l"/>
          <a:r>
            <a:rPr lang="en-US" sz="800" kern="1200">
              <a:solidFill>
                <a:srgbClr val="000000"/>
              </a:solidFill>
            </a:rPr>
            <a:t>MAG001</a:t>
          </a:r>
        </a:p>
        <a:p>
          <a:pPr algn="l"/>
          <a:r>
            <a:rPr lang="en-US" sz="800" kern="1200">
              <a:solidFill>
                <a:srgbClr val="000000"/>
              </a:solidFill>
            </a:rPr>
            <a:t>$338</a:t>
          </a:r>
        </a:p>
        <a:p>
          <a:pPr algn="l"/>
          <a:r>
            <a:rPr lang="en-US" sz="800" kern="1200">
              <a:solidFill>
                <a:srgbClr val="000000"/>
              </a:solidFill>
            </a:rPr>
            <a:t>Magenta Spreen</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05/24 - 06/28</a:t>
          </a:r>
        </a:p>
        <a:p>
          <a:pPr algn="l"/>
          <a:r>
            <a:rPr lang="en-US" sz="800" kern="1200">
              <a:solidFill>
                <a:srgbClr val="000000"/>
              </a:solidFill>
            </a:rPr>
            <a:t> 7'</a:t>
          </a:r>
        </a:p>
        <a:p>
          <a:pPr algn="l"/>
          <a:r>
            <a:rPr lang="en-US" sz="800" kern="1200">
              <a:solidFill>
                <a:srgbClr val="000000"/>
              </a:solidFill>
            </a:rPr>
            <a:t>0</a:t>
          </a:r>
        </a:p>
      </xdr:txBody>
    </xdr:sp>
    <xdr:clientData/>
  </xdr:twoCellAnchor>
  <xdr:twoCellAnchor>
    <xdr:from>
      <xdr:col>7</xdr:col>
      <xdr:colOff>41274</xdr:colOff>
      <xdr:row>34</xdr:row>
      <xdr:rowOff>336637</xdr:rowOff>
    </xdr:from>
    <xdr:to>
      <xdr:col>7</xdr:col>
      <xdr:colOff>531812</xdr:colOff>
      <xdr:row>38</xdr:row>
      <xdr:rowOff>108037</xdr:rowOff>
    </xdr:to>
    <xdr:sp macro="" textlink="">
      <xdr:nvSpPr>
        <xdr:cNvPr id="2549" name="RAD003">
          <a:extLst>
            <a:ext uri="{FF2B5EF4-FFF2-40B4-BE49-F238E27FC236}">
              <a16:creationId xmlns:a16="http://schemas.microsoft.com/office/drawing/2014/main" id="{0700FF39-27E8-00BA-FD1C-16C2F6F17A4B}"/>
            </a:ext>
          </a:extLst>
        </xdr:cNvPr>
        <xdr:cNvSpPr/>
      </xdr:nvSpPr>
      <xdr:spPr>
        <a:xfrm>
          <a:off x="9775824" y="18634162"/>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RAD003</a:t>
          </a:r>
        </a:p>
        <a:p>
          <a:pPr algn="l"/>
          <a:r>
            <a:rPr lang="en-US" sz="800" kern="1200">
              <a:solidFill>
                <a:srgbClr val="000000"/>
              </a:solidFill>
            </a:rPr>
            <a:t>$94</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04/26 - 05/17</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7</xdr:col>
      <xdr:colOff>224293</xdr:colOff>
      <xdr:row>34</xdr:row>
      <xdr:rowOff>336637</xdr:rowOff>
    </xdr:from>
    <xdr:to>
      <xdr:col>7</xdr:col>
      <xdr:colOff>714831</xdr:colOff>
      <xdr:row>38</xdr:row>
      <xdr:rowOff>146137</xdr:rowOff>
    </xdr:to>
    <xdr:sp macro="" textlink="">
      <xdr:nvSpPr>
        <xdr:cNvPr id="2521" name="TUR003">
          <a:extLst>
            <a:ext uri="{FF2B5EF4-FFF2-40B4-BE49-F238E27FC236}">
              <a16:creationId xmlns:a16="http://schemas.microsoft.com/office/drawing/2014/main" id="{25069E84-2028-09B0-7581-C82113CCB4BA}"/>
            </a:ext>
          </a:extLst>
        </xdr:cNvPr>
        <xdr:cNvSpPr/>
      </xdr:nvSpPr>
      <xdr:spPr>
        <a:xfrm>
          <a:off x="9958843" y="18634162"/>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TUR003</a:t>
          </a:r>
        </a:p>
        <a:p>
          <a:pPr algn="l"/>
          <a:r>
            <a:rPr lang="en-US" sz="800" kern="1200">
              <a:solidFill>
                <a:srgbClr val="000000"/>
              </a:solidFill>
            </a:rPr>
            <a:t>$69</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05/04 - 05/18</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93</xdr:col>
      <xdr:colOff>925286</xdr:colOff>
      <xdr:row>35</xdr:row>
      <xdr:rowOff>28184</xdr:rowOff>
    </xdr:from>
    <xdr:to>
      <xdr:col>94</xdr:col>
      <xdr:colOff>925286</xdr:colOff>
      <xdr:row>42</xdr:row>
      <xdr:rowOff>256784</xdr:rowOff>
    </xdr:to>
    <xdr:sp macro="" textlink="">
      <xdr:nvSpPr>
        <xdr:cNvPr id="2510" name="DAH001">
          <a:extLst>
            <a:ext uri="{FF2B5EF4-FFF2-40B4-BE49-F238E27FC236}">
              <a16:creationId xmlns:a16="http://schemas.microsoft.com/office/drawing/2014/main" id="{09EC4CD9-5E31-1E54-2387-EEA80D6B828B}"/>
            </a:ext>
          </a:extLst>
        </xdr:cNvPr>
        <xdr:cNvSpPr/>
      </xdr:nvSpPr>
      <xdr:spPr>
        <a:xfrm>
          <a:off x="95032286" y="18897209"/>
          <a:ext cx="981075" cy="4229100"/>
        </a:xfrm>
        <a:prstGeom prst="rect">
          <a:avLst/>
        </a:prstGeom>
        <a:gradFill flip="none" rotWithShape="1">
          <a:gsLst>
            <a:gs pos="0">
              <a:srgbClr val="C6E0B4">
                <a:alpha val="75000"/>
              </a:srgbClr>
            </a:gs>
            <a:gs pos="93636">
              <a:srgbClr val="C6E0B4">
                <a:alpha val="75000"/>
              </a:srgbClr>
            </a:gs>
            <a:gs pos="93636">
              <a:srgbClr val="C6E0B4">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Dahlia</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DAH001</a:t>
          </a:r>
        </a:p>
        <a:p>
          <a:pPr algn="l"/>
          <a:r>
            <a:rPr lang="en-US" sz="1200">
              <a:solidFill>
                <a:srgbClr val="000000"/>
              </a:solidFill>
            </a:rPr>
            <a:t>$0</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4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07/13 - 07/20</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69</xdr:col>
      <xdr:colOff>1133</xdr:colOff>
      <xdr:row>35</xdr:row>
      <xdr:rowOff>65762</xdr:rowOff>
    </xdr:from>
    <xdr:to>
      <xdr:col>71</xdr:col>
      <xdr:colOff>1133</xdr:colOff>
      <xdr:row>41</xdr:row>
      <xdr:rowOff>522962</xdr:rowOff>
    </xdr:to>
    <xdr:sp macro="" textlink="">
      <xdr:nvSpPr>
        <xdr:cNvPr id="2558" name="PEA001">
          <a:extLst>
            <a:ext uri="{FF2B5EF4-FFF2-40B4-BE49-F238E27FC236}">
              <a16:creationId xmlns:a16="http://schemas.microsoft.com/office/drawing/2014/main" id="{3151DF60-7C93-2217-E866-F4213301220C}"/>
            </a:ext>
          </a:extLst>
        </xdr:cNvPr>
        <xdr:cNvSpPr/>
      </xdr:nvSpPr>
      <xdr:spPr>
        <a:xfrm>
          <a:off x="70562333" y="18934787"/>
          <a:ext cx="1962150" cy="3886200"/>
        </a:xfrm>
        <a:prstGeom prst="rect">
          <a:avLst/>
        </a:prstGeom>
        <a:gradFill flip="none" rotWithShape="1">
          <a:gsLst>
            <a:gs pos="0">
              <a:srgbClr val="00B0F0">
                <a:alpha val="75000"/>
              </a:srgbClr>
            </a:gs>
            <a:gs pos="67327">
              <a:srgbClr val="00B0F0">
                <a:alpha val="75000"/>
              </a:srgbClr>
            </a:gs>
            <a:gs pos="67327">
              <a:srgbClr val="00B0F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Peas</a:t>
          </a:r>
        </a:p>
        <a:p>
          <a:pPr algn="l"/>
          <a:r>
            <a:rPr lang="en-US" sz="1200" kern="1200">
              <a:solidFill>
                <a:srgbClr val="000000"/>
              </a:solidFill>
            </a:rPr>
            <a:t>Snap</a:t>
          </a:r>
        </a:p>
        <a:p>
          <a:pPr algn="l"/>
          <a:r>
            <a:rPr lang="en-US" sz="1200" kern="1200">
              <a:solidFill>
                <a:srgbClr val="000000"/>
              </a:solidFill>
            </a:rPr>
            <a:t>Field</a:t>
          </a:r>
        </a:p>
        <a:p>
          <a:pPr algn="l"/>
          <a:r>
            <a:rPr lang="en-US" sz="1200" kern="1200">
              <a:solidFill>
                <a:srgbClr val="000000"/>
              </a:solidFill>
            </a:rPr>
            <a:t>PEA001</a:t>
          </a:r>
        </a:p>
        <a:p>
          <a:pPr algn="l"/>
          <a:r>
            <a:rPr lang="en-US" sz="1200" kern="1200">
              <a:solidFill>
                <a:srgbClr val="000000"/>
              </a:solidFill>
            </a:rPr>
            <a:t>$475</a:t>
          </a:r>
        </a:p>
        <a:p>
          <a:pPr algn="l"/>
          <a:r>
            <a:rPr lang="en-US" sz="1200" kern="1200">
              <a:solidFill>
                <a:srgbClr val="000000"/>
              </a:solidFill>
            </a:rPr>
            <a:t>Snap Pea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06/09 - 07/12</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xdr:col>
      <xdr:colOff>4535</xdr:colOff>
      <xdr:row>35</xdr:row>
      <xdr:rowOff>178496</xdr:rowOff>
    </xdr:from>
    <xdr:to>
      <xdr:col>4</xdr:col>
      <xdr:colOff>4535</xdr:colOff>
      <xdr:row>41</xdr:row>
      <xdr:rowOff>254696</xdr:rowOff>
    </xdr:to>
    <xdr:sp macro="" textlink="">
      <xdr:nvSpPr>
        <xdr:cNvPr id="2613" name="CAR001">
          <a:extLst>
            <a:ext uri="{FF2B5EF4-FFF2-40B4-BE49-F238E27FC236}">
              <a16:creationId xmlns:a16="http://schemas.microsoft.com/office/drawing/2014/main" id="{9D5B8DA4-4711-27F0-A46C-0373B9452199}"/>
            </a:ext>
          </a:extLst>
        </xdr:cNvPr>
        <xdr:cNvSpPr/>
      </xdr:nvSpPr>
      <xdr:spPr>
        <a:xfrm>
          <a:off x="5814785" y="19047521"/>
          <a:ext cx="981075"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Carrot</a:t>
          </a:r>
        </a:p>
        <a:p>
          <a:pPr algn="l"/>
          <a:r>
            <a:rPr lang="en-US" sz="1200" kern="1200">
              <a:solidFill>
                <a:srgbClr val="000000"/>
              </a:solidFill>
            </a:rPr>
            <a:t>Early</a:t>
          </a:r>
        </a:p>
        <a:p>
          <a:pPr algn="l"/>
          <a:r>
            <a:rPr lang="en-US" sz="1200" kern="1200">
              <a:solidFill>
                <a:srgbClr val="000000"/>
              </a:solidFill>
            </a:rPr>
            <a:t>Field</a:t>
          </a:r>
        </a:p>
        <a:p>
          <a:pPr algn="l"/>
          <a:r>
            <a:rPr lang="en-US" sz="1200" kern="1200">
              <a:solidFill>
                <a:srgbClr val="000000"/>
              </a:solidFill>
            </a:rPr>
            <a:t>CAR001</a:t>
          </a:r>
        </a:p>
        <a:p>
          <a:pPr algn="l"/>
          <a:r>
            <a:rPr lang="en-US" sz="1200" kern="1200">
              <a:solidFill>
                <a:srgbClr val="000000"/>
              </a:solidFill>
            </a:rPr>
            <a:t>$557</a:t>
          </a:r>
        </a:p>
        <a:p>
          <a:pPr algn="l"/>
          <a:r>
            <a:rPr lang="en-US" sz="1200" kern="1200">
              <a:solidFill>
                <a:srgbClr val="000000"/>
              </a:solidFill>
            </a:rPr>
            <a:t>Early Carrot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0"</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06/14 - 07/05</a:t>
          </a:r>
        </a:p>
        <a:p>
          <a:pPr algn="l"/>
          <a:r>
            <a:rPr lang="en-US" sz="1200" kern="1200">
              <a:solidFill>
                <a:srgbClr val="000000"/>
              </a:solidFill>
            </a:rPr>
            <a:t>OH 1'</a:t>
          </a:r>
        </a:p>
        <a:p>
          <a:pPr algn="l"/>
          <a:r>
            <a:rPr lang="en-US" sz="1200" kern="1200">
              <a:solidFill>
                <a:srgbClr val="000000"/>
              </a:solidFill>
            </a:rPr>
            <a:t>AMAP</a:t>
          </a:r>
        </a:p>
      </xdr:txBody>
    </xdr:sp>
    <xdr:clientData/>
  </xdr:twoCellAnchor>
  <xdr:twoCellAnchor>
    <xdr:from>
      <xdr:col>85</xdr:col>
      <xdr:colOff>9525</xdr:colOff>
      <xdr:row>35</xdr:row>
      <xdr:rowOff>216074</xdr:rowOff>
    </xdr:from>
    <xdr:to>
      <xdr:col>86</xdr:col>
      <xdr:colOff>9525</xdr:colOff>
      <xdr:row>38</xdr:row>
      <xdr:rowOff>558974</xdr:rowOff>
    </xdr:to>
    <xdr:sp macro="" textlink="">
      <xdr:nvSpPr>
        <xdr:cNvPr id="2534" name="RAD455">
          <a:extLst>
            <a:ext uri="{FF2B5EF4-FFF2-40B4-BE49-F238E27FC236}">
              <a16:creationId xmlns:a16="http://schemas.microsoft.com/office/drawing/2014/main" id="{731CC7BA-C7C0-9F2D-9918-A8A54BAC86DD}"/>
            </a:ext>
          </a:extLst>
        </xdr:cNvPr>
        <xdr:cNvSpPr/>
      </xdr:nvSpPr>
      <xdr:spPr>
        <a:xfrm>
          <a:off x="86267925" y="19085099"/>
          <a:ext cx="981075"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Radish</a:t>
          </a:r>
        </a:p>
        <a:p>
          <a:pPr algn="l"/>
          <a:r>
            <a:rPr lang="en-US" sz="1200">
              <a:solidFill>
                <a:srgbClr val="000000"/>
              </a:solidFill>
            </a:rPr>
            <a:t>6r</a:t>
          </a:r>
        </a:p>
        <a:p>
          <a:pPr algn="l"/>
          <a:r>
            <a:rPr lang="en-US" sz="1200">
              <a:solidFill>
                <a:srgbClr val="000000"/>
              </a:solidFill>
            </a:rPr>
            <a:t>Field</a:t>
          </a:r>
        </a:p>
        <a:p>
          <a:pPr algn="l"/>
          <a:r>
            <a:rPr lang="en-US" sz="1200">
              <a:solidFill>
                <a:srgbClr val="000000"/>
              </a:solidFill>
            </a:rPr>
            <a:t>RAD455</a:t>
          </a:r>
        </a:p>
        <a:p>
          <a:pPr algn="l"/>
          <a:r>
            <a:rPr lang="en-US" sz="1200">
              <a:solidFill>
                <a:srgbClr val="000000"/>
              </a:solidFill>
            </a:rPr>
            <a:t>$375</a:t>
          </a:r>
        </a:p>
        <a:p>
          <a:pPr algn="l"/>
          <a:r>
            <a:rPr lang="en-US" sz="1200">
              <a:solidFill>
                <a:srgbClr val="000000"/>
              </a:solidFill>
            </a:rPr>
            <a:t>Radish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6 R @ 1"</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05/08 - 05/29</a:t>
          </a:r>
        </a:p>
        <a:p>
          <a:pPr algn="l"/>
          <a:r>
            <a:rPr lang="en-US" sz="1200">
              <a:solidFill>
                <a:srgbClr val="000000"/>
              </a:solidFill>
            </a:rPr>
            <a:t>OH 1'</a:t>
          </a:r>
        </a:p>
        <a:p>
          <a:pPr algn="l"/>
          <a:r>
            <a:rPr lang="en-US" sz="1200">
              <a:solidFill>
                <a:srgbClr val="000000"/>
              </a:solidFill>
            </a:rPr>
            <a:t>AMAP</a:t>
          </a:r>
        </a:p>
      </xdr:txBody>
    </xdr:sp>
    <xdr:clientData/>
  </xdr:twoCellAnchor>
  <xdr:twoCellAnchor>
    <xdr:from>
      <xdr:col>86</xdr:col>
      <xdr:colOff>489855</xdr:colOff>
      <xdr:row>35</xdr:row>
      <xdr:rowOff>253653</xdr:rowOff>
    </xdr:from>
    <xdr:to>
      <xdr:col>86</xdr:col>
      <xdr:colOff>980393</xdr:colOff>
      <xdr:row>38</xdr:row>
      <xdr:rowOff>444153</xdr:rowOff>
    </xdr:to>
    <xdr:sp macro="" textlink="">
      <xdr:nvSpPr>
        <xdr:cNvPr id="2538" name="ARU002">
          <a:extLst>
            <a:ext uri="{FF2B5EF4-FFF2-40B4-BE49-F238E27FC236}">
              <a16:creationId xmlns:a16="http://schemas.microsoft.com/office/drawing/2014/main" id="{2F73F468-7A09-DF16-BBF9-3B2DB1A6E845}"/>
            </a:ext>
          </a:extLst>
        </xdr:cNvPr>
        <xdr:cNvSpPr/>
      </xdr:nvSpPr>
      <xdr:spPr>
        <a:xfrm>
          <a:off x="87729330" y="19122678"/>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Arugula</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ARU002</a:t>
          </a:r>
        </a:p>
        <a:p>
          <a:pPr algn="l"/>
          <a:r>
            <a:rPr lang="en-US" sz="800">
              <a:solidFill>
                <a:srgbClr val="000000"/>
              </a:solidFill>
            </a:rPr>
            <a:t>$113</a:t>
          </a:r>
        </a:p>
        <a:p>
          <a:pPr algn="l"/>
          <a:r>
            <a:rPr lang="en-US" sz="800">
              <a:solidFill>
                <a:srgbClr val="000000"/>
              </a:solidFill>
            </a:rPr>
            <a:t>Arugala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05/08 - 05/26</a:t>
          </a:r>
        </a:p>
        <a:p>
          <a:pPr algn="l"/>
          <a:r>
            <a:rPr lang="en-US" sz="800">
              <a:solidFill>
                <a:srgbClr val="000000"/>
              </a:solidFill>
            </a:rPr>
            <a:t>OH 1'</a:t>
          </a:r>
        </a:p>
        <a:p>
          <a:pPr algn="l"/>
          <a:r>
            <a:rPr lang="en-US" sz="800">
              <a:solidFill>
                <a:srgbClr val="000000"/>
              </a:solidFill>
            </a:rPr>
            <a:t>None</a:t>
          </a:r>
        </a:p>
      </xdr:txBody>
    </xdr:sp>
    <xdr:clientData/>
  </xdr:twoCellAnchor>
  <xdr:twoCellAnchor>
    <xdr:from>
      <xdr:col>86</xdr:col>
      <xdr:colOff>13607</xdr:colOff>
      <xdr:row>35</xdr:row>
      <xdr:rowOff>253653</xdr:rowOff>
    </xdr:from>
    <xdr:to>
      <xdr:col>86</xdr:col>
      <xdr:colOff>504145</xdr:colOff>
      <xdr:row>39</xdr:row>
      <xdr:rowOff>444153</xdr:rowOff>
    </xdr:to>
    <xdr:sp macro="" textlink="">
      <xdr:nvSpPr>
        <xdr:cNvPr id="2535" name="ASI001">
          <a:extLst>
            <a:ext uri="{FF2B5EF4-FFF2-40B4-BE49-F238E27FC236}">
              <a16:creationId xmlns:a16="http://schemas.microsoft.com/office/drawing/2014/main" id="{4F81CE8F-C4C0-06D2-DFBA-ABC82FB3598C}"/>
            </a:ext>
          </a:extLst>
        </xdr:cNvPr>
        <xdr:cNvSpPr/>
      </xdr:nvSpPr>
      <xdr:spPr>
        <a:xfrm>
          <a:off x="87253082" y="19122678"/>
          <a:ext cx="490538" cy="2476500"/>
        </a:xfrm>
        <a:prstGeom prst="rect">
          <a:avLst/>
        </a:prstGeom>
        <a:gradFill flip="none" rotWithShape="1">
          <a:gsLst>
            <a:gs pos="0">
              <a:srgbClr val="00B050">
                <a:alpha val="75000"/>
              </a:srgbClr>
            </a:gs>
            <a:gs pos="78125">
              <a:srgbClr val="00B050">
                <a:alpha val="75000"/>
              </a:srgbClr>
            </a:gs>
            <a:gs pos="78125">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Asian Greens</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ASI001</a:t>
          </a:r>
        </a:p>
        <a:p>
          <a:pPr algn="l"/>
          <a:r>
            <a:rPr lang="en-US" sz="800">
              <a:solidFill>
                <a:srgbClr val="000000"/>
              </a:solidFill>
            </a:rPr>
            <a:t>$250</a:t>
          </a:r>
        </a:p>
        <a:p>
          <a:pPr algn="l"/>
          <a:r>
            <a:rPr lang="en-US" sz="800">
              <a:solidFill>
                <a:srgbClr val="000000"/>
              </a:solidFill>
            </a:rPr>
            <a:t>Spring Asian Greens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05/27 - 06/10</a:t>
          </a:r>
        </a:p>
        <a:p>
          <a:pPr algn="l"/>
          <a:r>
            <a:rPr lang="en-US" sz="800">
              <a:solidFill>
                <a:srgbClr val="000000"/>
              </a:solidFill>
            </a:rPr>
            <a:t> 0'</a:t>
          </a:r>
        </a:p>
        <a:p>
          <a:pPr algn="l"/>
          <a:r>
            <a:rPr lang="en-US" sz="800">
              <a:solidFill>
                <a:srgbClr val="000000"/>
              </a:solidFill>
            </a:rPr>
            <a:t>0</a:t>
          </a:r>
        </a:p>
      </xdr:txBody>
    </xdr:sp>
    <xdr:clientData/>
  </xdr:twoCellAnchor>
  <xdr:twoCellAnchor>
    <xdr:from>
      <xdr:col>46</xdr:col>
      <xdr:colOff>9298</xdr:colOff>
      <xdr:row>36</xdr:row>
      <xdr:rowOff>95510</xdr:rowOff>
    </xdr:from>
    <xdr:to>
      <xdr:col>48</xdr:col>
      <xdr:colOff>9298</xdr:colOff>
      <xdr:row>40</xdr:row>
      <xdr:rowOff>400310</xdr:rowOff>
    </xdr:to>
    <xdr:sp macro="" textlink="">
      <xdr:nvSpPr>
        <xdr:cNvPr id="2553" name="POT001">
          <a:extLst>
            <a:ext uri="{FF2B5EF4-FFF2-40B4-BE49-F238E27FC236}">
              <a16:creationId xmlns:a16="http://schemas.microsoft.com/office/drawing/2014/main" id="{FFE53BEA-5A52-C7AF-6D75-4EF3408D7BC4}"/>
            </a:ext>
          </a:extLst>
        </xdr:cNvPr>
        <xdr:cNvSpPr/>
      </xdr:nvSpPr>
      <xdr:spPr>
        <a:xfrm>
          <a:off x="48005773" y="19536035"/>
          <a:ext cx="1962150" cy="2590800"/>
        </a:xfrm>
        <a:prstGeom prst="rect">
          <a:avLst/>
        </a:prstGeom>
        <a:gradFill flip="none" rotWithShape="1">
          <a:gsLst>
            <a:gs pos="0">
              <a:srgbClr val="FF5050">
                <a:alpha val="75000"/>
              </a:srgbClr>
            </a:gs>
            <a:gs pos="89552">
              <a:srgbClr val="FF5050">
                <a:alpha val="75000"/>
              </a:srgbClr>
            </a:gs>
            <a:gs pos="89552">
              <a:srgbClr val="FF5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Potato</a:t>
          </a:r>
        </a:p>
        <a:p>
          <a:pPr algn="l"/>
          <a:r>
            <a:rPr lang="en-US" sz="1200" kern="1200">
              <a:solidFill>
                <a:srgbClr val="000000"/>
              </a:solidFill>
            </a:rPr>
            <a:t>Early</a:t>
          </a:r>
        </a:p>
        <a:p>
          <a:pPr algn="l"/>
          <a:r>
            <a:rPr lang="en-US" sz="1200" kern="1200">
              <a:solidFill>
                <a:srgbClr val="000000"/>
              </a:solidFill>
            </a:rPr>
            <a:t>Field</a:t>
          </a:r>
        </a:p>
        <a:p>
          <a:pPr algn="l"/>
          <a:r>
            <a:rPr lang="en-US" sz="1200" kern="1200">
              <a:solidFill>
                <a:srgbClr val="000000"/>
              </a:solidFill>
            </a:rPr>
            <a:t>POT001</a:t>
          </a:r>
        </a:p>
        <a:p>
          <a:pPr algn="l"/>
          <a:r>
            <a:rPr lang="en-US" sz="1200" kern="1200">
              <a:solidFill>
                <a:srgbClr val="000000"/>
              </a:solidFill>
            </a:rPr>
            <a:t>$560</a:t>
          </a:r>
        </a:p>
        <a:p>
          <a:pPr algn="l"/>
          <a:r>
            <a:rPr lang="en-US" sz="1200" kern="1200">
              <a:solidFill>
                <a:srgbClr val="000000"/>
              </a:solidFill>
            </a:rPr>
            <a:t>Early Potato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06/17 - 06/24</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6</xdr:col>
      <xdr:colOff>414114</xdr:colOff>
      <xdr:row>36</xdr:row>
      <xdr:rowOff>170667</xdr:rowOff>
    </xdr:from>
    <xdr:to>
      <xdr:col>6</xdr:col>
      <xdr:colOff>904652</xdr:colOff>
      <xdr:row>41</xdr:row>
      <xdr:rowOff>56367</xdr:rowOff>
    </xdr:to>
    <xdr:sp macro="" textlink="">
      <xdr:nvSpPr>
        <xdr:cNvPr id="2603" name="CIL002">
          <a:extLst>
            <a:ext uri="{FF2B5EF4-FFF2-40B4-BE49-F238E27FC236}">
              <a16:creationId xmlns:a16="http://schemas.microsoft.com/office/drawing/2014/main" id="{3BB32CDC-B5F6-3174-9D4F-7BAD58006AFE}"/>
            </a:ext>
          </a:extLst>
        </xdr:cNvPr>
        <xdr:cNvSpPr/>
      </xdr:nvSpPr>
      <xdr:spPr>
        <a:xfrm>
          <a:off x="9167589" y="19611192"/>
          <a:ext cx="490538" cy="2743200"/>
        </a:xfrm>
        <a:prstGeom prst="rect">
          <a:avLst/>
        </a:prstGeom>
        <a:gradFill flip="none" rotWithShape="1">
          <a:gsLst>
            <a:gs pos="0">
              <a:srgbClr val="FFE699">
                <a:alpha val="75000"/>
              </a:srgbClr>
            </a:gs>
            <a:gs pos="80282">
              <a:srgbClr val="FFE699">
                <a:alpha val="75000"/>
              </a:srgbClr>
            </a:gs>
            <a:gs pos="80282">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CIL002</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06/16 - 06/30</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530677</xdr:colOff>
      <xdr:row>36</xdr:row>
      <xdr:rowOff>170667</xdr:rowOff>
    </xdr:from>
    <xdr:to>
      <xdr:col>13</xdr:col>
      <xdr:colOff>40140</xdr:colOff>
      <xdr:row>41</xdr:row>
      <xdr:rowOff>323067</xdr:rowOff>
    </xdr:to>
    <xdr:sp macro="" textlink="">
      <xdr:nvSpPr>
        <xdr:cNvPr id="14" name="CIL003">
          <a:extLst>
            <a:ext uri="{FF2B5EF4-FFF2-40B4-BE49-F238E27FC236}">
              <a16:creationId xmlns:a16="http://schemas.microsoft.com/office/drawing/2014/main" id="{849C41A8-A816-D654-2D33-439A3183510E}"/>
            </a:ext>
          </a:extLst>
        </xdr:cNvPr>
        <xdr:cNvSpPr/>
      </xdr:nvSpPr>
      <xdr:spPr>
        <a:xfrm>
          <a:off x="15170602" y="19611192"/>
          <a:ext cx="490538" cy="3009900"/>
        </a:xfrm>
        <a:prstGeom prst="rect">
          <a:avLst/>
        </a:prstGeom>
        <a:gradFill flip="none" rotWithShape="1">
          <a:gsLst>
            <a:gs pos="0">
              <a:srgbClr val="FFE699">
                <a:alpha val="75000"/>
              </a:srgbClr>
            </a:gs>
            <a:gs pos="82051">
              <a:srgbClr val="FFE699">
                <a:alpha val="75000"/>
              </a:srgbClr>
            </a:gs>
            <a:gs pos="82051">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CIL003</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06/23 - 07/07</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530677</xdr:colOff>
      <xdr:row>36</xdr:row>
      <xdr:rowOff>170667</xdr:rowOff>
    </xdr:from>
    <xdr:to>
      <xdr:col>13</xdr:col>
      <xdr:colOff>40140</xdr:colOff>
      <xdr:row>41</xdr:row>
      <xdr:rowOff>323067</xdr:rowOff>
    </xdr:to>
    <xdr:sp macro="" textlink="">
      <xdr:nvSpPr>
        <xdr:cNvPr id="31" name="CIL004">
          <a:extLst>
            <a:ext uri="{FF2B5EF4-FFF2-40B4-BE49-F238E27FC236}">
              <a16:creationId xmlns:a16="http://schemas.microsoft.com/office/drawing/2014/main" id="{D2BC6A88-AA9D-C074-B2BB-E8AA0E8EA35E}"/>
            </a:ext>
          </a:extLst>
        </xdr:cNvPr>
        <xdr:cNvSpPr/>
      </xdr:nvSpPr>
      <xdr:spPr>
        <a:xfrm>
          <a:off x="15170602" y="19611192"/>
          <a:ext cx="490538" cy="3009900"/>
        </a:xfrm>
        <a:prstGeom prst="rect">
          <a:avLst/>
        </a:prstGeom>
        <a:gradFill flip="none" rotWithShape="1">
          <a:gsLst>
            <a:gs pos="0">
              <a:srgbClr val="FFE699">
                <a:alpha val="75000"/>
              </a:srgbClr>
            </a:gs>
            <a:gs pos="82051">
              <a:srgbClr val="FFE699">
                <a:alpha val="75000"/>
              </a:srgbClr>
            </a:gs>
            <a:gs pos="82051">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CIL004</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06/23 - 07/07</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6</xdr:col>
      <xdr:colOff>229050</xdr:colOff>
      <xdr:row>36</xdr:row>
      <xdr:rowOff>170667</xdr:rowOff>
    </xdr:from>
    <xdr:to>
      <xdr:col>6</xdr:col>
      <xdr:colOff>719588</xdr:colOff>
      <xdr:row>40</xdr:row>
      <xdr:rowOff>475467</xdr:rowOff>
    </xdr:to>
    <xdr:sp macro="" textlink="">
      <xdr:nvSpPr>
        <xdr:cNvPr id="2599" name="DIL001">
          <a:extLst>
            <a:ext uri="{FF2B5EF4-FFF2-40B4-BE49-F238E27FC236}">
              <a16:creationId xmlns:a16="http://schemas.microsoft.com/office/drawing/2014/main" id="{00A2C14A-AE01-756B-BFFA-B993DDDD8FAA}"/>
            </a:ext>
          </a:extLst>
        </xdr:cNvPr>
        <xdr:cNvSpPr/>
      </xdr:nvSpPr>
      <xdr:spPr>
        <a:xfrm>
          <a:off x="8982525" y="19611192"/>
          <a:ext cx="490538" cy="2590800"/>
        </a:xfrm>
        <a:prstGeom prst="rect">
          <a:avLst/>
        </a:prstGeom>
        <a:gradFill flip="none" rotWithShape="1">
          <a:gsLst>
            <a:gs pos="0">
              <a:srgbClr val="FFC000">
                <a:alpha val="75000"/>
              </a:srgbClr>
            </a:gs>
            <a:gs pos="74627">
              <a:srgbClr val="FFC000">
                <a:alpha val="75000"/>
              </a:srgbClr>
            </a:gs>
            <a:gs pos="74627">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DIL001</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06/09 - 06/26</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12</xdr:col>
      <xdr:colOff>27213</xdr:colOff>
      <xdr:row>36</xdr:row>
      <xdr:rowOff>170667</xdr:rowOff>
    </xdr:from>
    <xdr:to>
      <xdr:col>12</xdr:col>
      <xdr:colOff>517751</xdr:colOff>
      <xdr:row>41</xdr:row>
      <xdr:rowOff>170667</xdr:rowOff>
    </xdr:to>
    <xdr:sp macro="" textlink="">
      <xdr:nvSpPr>
        <xdr:cNvPr id="13" name="DIL002">
          <a:extLst>
            <a:ext uri="{FF2B5EF4-FFF2-40B4-BE49-F238E27FC236}">
              <a16:creationId xmlns:a16="http://schemas.microsoft.com/office/drawing/2014/main" id="{50873E84-EB5F-365D-A26F-B04FBD9FCBB1}"/>
            </a:ext>
          </a:extLst>
        </xdr:cNvPr>
        <xdr:cNvSpPr/>
      </xdr:nvSpPr>
      <xdr:spPr>
        <a:xfrm>
          <a:off x="14667138" y="19611192"/>
          <a:ext cx="490538" cy="2857500"/>
        </a:xfrm>
        <a:prstGeom prst="rect">
          <a:avLst/>
        </a:prstGeom>
        <a:gradFill flip="none" rotWithShape="1">
          <a:gsLst>
            <a:gs pos="0">
              <a:srgbClr val="FFC000">
                <a:alpha val="75000"/>
              </a:srgbClr>
            </a:gs>
            <a:gs pos="77027">
              <a:srgbClr val="FFC000">
                <a:alpha val="75000"/>
              </a:srgbClr>
            </a:gs>
            <a:gs pos="77027">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DIL002</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06/16 - 07/03</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4</xdr:col>
      <xdr:colOff>9300</xdr:colOff>
      <xdr:row>36</xdr:row>
      <xdr:rowOff>170667</xdr:rowOff>
    </xdr:from>
    <xdr:to>
      <xdr:col>5</xdr:col>
      <xdr:colOff>9300</xdr:colOff>
      <xdr:row>39</xdr:row>
      <xdr:rowOff>132567</xdr:rowOff>
    </xdr:to>
    <xdr:sp macro="" textlink="">
      <xdr:nvSpPr>
        <xdr:cNvPr id="2586" name="KOH003">
          <a:extLst>
            <a:ext uri="{FF2B5EF4-FFF2-40B4-BE49-F238E27FC236}">
              <a16:creationId xmlns:a16="http://schemas.microsoft.com/office/drawing/2014/main" id="{C7C1BBBF-4C19-F728-EE93-A077BA7111EF}"/>
            </a:ext>
          </a:extLst>
        </xdr:cNvPr>
        <xdr:cNvSpPr/>
      </xdr:nvSpPr>
      <xdr:spPr>
        <a:xfrm>
          <a:off x="6800625" y="19611192"/>
          <a:ext cx="981075" cy="1676400"/>
        </a:xfrm>
        <a:prstGeom prst="rect">
          <a:avLst/>
        </a:prstGeom>
        <a:gradFill flip="none" rotWithShape="1">
          <a:gsLst>
            <a:gs pos="0">
              <a:srgbClr val="00B050">
                <a:alpha val="75000"/>
              </a:srgbClr>
            </a:gs>
            <a:gs pos="67442">
              <a:srgbClr val="00B050">
                <a:alpha val="75000"/>
              </a:srgbClr>
            </a:gs>
            <a:gs pos="6744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Kohlrabi</a:t>
          </a:r>
        </a:p>
        <a:p>
          <a:pPr algn="l"/>
          <a:r>
            <a:rPr lang="en-US" sz="1200" kern="1200">
              <a:solidFill>
                <a:srgbClr val="000000"/>
              </a:solidFill>
            </a:rPr>
            <a:t>Sm</a:t>
          </a:r>
        </a:p>
        <a:p>
          <a:pPr algn="l"/>
          <a:r>
            <a:rPr lang="en-US" sz="1200" kern="1200">
              <a:solidFill>
                <a:srgbClr val="000000"/>
              </a:solidFill>
            </a:rPr>
            <a:t>Field</a:t>
          </a:r>
        </a:p>
        <a:p>
          <a:pPr algn="l"/>
          <a:r>
            <a:rPr lang="en-US" sz="1200" kern="1200">
              <a:solidFill>
                <a:srgbClr val="000000"/>
              </a:solidFill>
            </a:rPr>
            <a:t>KOH003</a:t>
          </a:r>
        </a:p>
        <a:p>
          <a:pPr algn="l"/>
          <a:r>
            <a:rPr lang="en-US" sz="1200" kern="1200">
              <a:solidFill>
                <a:srgbClr val="000000"/>
              </a:solidFill>
            </a:rPr>
            <a:t>$600</a:t>
          </a:r>
        </a:p>
        <a:p>
          <a:pPr algn="l"/>
          <a:r>
            <a:rPr lang="en-US" sz="1200" kern="1200">
              <a:solidFill>
                <a:srgbClr val="000000"/>
              </a:solidFill>
            </a:rPr>
            <a:t>Fresh Kholrabi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05/19 - 06/02</a:t>
          </a:r>
        </a:p>
        <a:p>
          <a:pPr algn="l"/>
          <a:r>
            <a:rPr lang="en-US" sz="1200" kern="1200">
              <a:solidFill>
                <a:srgbClr val="000000"/>
              </a:solidFill>
            </a:rPr>
            <a:t> 0'</a:t>
          </a:r>
        </a:p>
        <a:p>
          <a:pPr algn="l"/>
          <a:r>
            <a:rPr lang="en-US" sz="1200" kern="1200">
              <a:solidFill>
                <a:srgbClr val="000000"/>
              </a:solidFill>
            </a:rPr>
            <a:t>AMAP</a:t>
          </a:r>
        </a:p>
      </xdr:txBody>
    </xdr:sp>
    <xdr:clientData/>
  </xdr:twoCellAnchor>
  <xdr:twoCellAnchor>
    <xdr:from>
      <xdr:col>9</xdr:col>
      <xdr:colOff>1112141</xdr:colOff>
      <xdr:row>36</xdr:row>
      <xdr:rowOff>170667</xdr:rowOff>
    </xdr:from>
    <xdr:to>
      <xdr:col>10</xdr:col>
      <xdr:colOff>1112141</xdr:colOff>
      <xdr:row>44</xdr:row>
      <xdr:rowOff>56367</xdr:rowOff>
    </xdr:to>
    <xdr:sp macro="" textlink="">
      <xdr:nvSpPr>
        <xdr:cNvPr id="2563" name="ONI004">
          <a:extLst>
            <a:ext uri="{FF2B5EF4-FFF2-40B4-BE49-F238E27FC236}">
              <a16:creationId xmlns:a16="http://schemas.microsoft.com/office/drawing/2014/main" id="{627DA211-A066-F9D4-D9A0-F1F3F16B82F7}"/>
            </a:ext>
          </a:extLst>
        </xdr:cNvPr>
        <xdr:cNvSpPr/>
      </xdr:nvSpPr>
      <xdr:spPr>
        <a:xfrm>
          <a:off x="14484494" y="5878196"/>
          <a:ext cx="1120588" cy="4427818"/>
        </a:xfrm>
        <a:prstGeom prst="rect">
          <a:avLst/>
        </a:prstGeom>
        <a:gradFill flip="none" rotWithShape="1">
          <a:gsLst>
            <a:gs pos="0">
              <a:srgbClr val="BFBFBF">
                <a:alpha val="75000"/>
              </a:srgbClr>
            </a:gs>
            <a:gs pos="51724">
              <a:srgbClr val="BFBFBF">
                <a:alpha val="75000"/>
              </a:srgbClr>
            </a:gs>
            <a:gs pos="51724">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Onion</a:t>
          </a:r>
        </a:p>
        <a:p>
          <a:pPr algn="l"/>
          <a:r>
            <a:rPr lang="en-US" sz="1200" kern="1200">
              <a:solidFill>
                <a:srgbClr val="000000"/>
              </a:solidFill>
            </a:rPr>
            <a:t>Salad Early</a:t>
          </a:r>
        </a:p>
        <a:p>
          <a:pPr algn="l"/>
          <a:r>
            <a:rPr lang="en-US" sz="1200" kern="1200">
              <a:solidFill>
                <a:srgbClr val="000000"/>
              </a:solidFill>
            </a:rPr>
            <a:t>Field</a:t>
          </a:r>
        </a:p>
        <a:p>
          <a:pPr algn="l"/>
          <a:r>
            <a:rPr lang="en-US" sz="1200" kern="1200">
              <a:solidFill>
                <a:srgbClr val="000000"/>
              </a:solidFill>
            </a:rPr>
            <a:t>ONI004</a:t>
          </a:r>
        </a:p>
        <a:p>
          <a:pPr algn="l"/>
          <a:r>
            <a:rPr lang="en-US" sz="1200" kern="1200">
              <a:solidFill>
                <a:srgbClr val="000000"/>
              </a:solidFill>
            </a:rPr>
            <a:t>$600</a:t>
          </a:r>
        </a:p>
        <a:p>
          <a:pPr algn="l"/>
          <a:r>
            <a:rPr lang="en-US" sz="1200" kern="1200">
              <a:solidFill>
                <a:srgbClr val="000000"/>
              </a:solidFill>
            </a:rPr>
            <a:t>Rot Resistant Onions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06/19 - 08/14</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22</xdr:col>
      <xdr:colOff>12111</xdr:colOff>
      <xdr:row>36</xdr:row>
      <xdr:rowOff>245824</xdr:rowOff>
    </xdr:from>
    <xdr:to>
      <xdr:col>23</xdr:col>
      <xdr:colOff>12111</xdr:colOff>
      <xdr:row>44</xdr:row>
      <xdr:rowOff>322024</xdr:rowOff>
    </xdr:to>
    <xdr:sp macro="" textlink="">
      <xdr:nvSpPr>
        <xdr:cNvPr id="2562" name="ONI005">
          <a:extLst>
            <a:ext uri="{FF2B5EF4-FFF2-40B4-BE49-F238E27FC236}">
              <a16:creationId xmlns:a16="http://schemas.microsoft.com/office/drawing/2014/main" id="{6DD84979-C982-B139-3AFB-631EFFCA0E6D}"/>
            </a:ext>
          </a:extLst>
        </xdr:cNvPr>
        <xdr:cNvSpPr/>
      </xdr:nvSpPr>
      <xdr:spPr>
        <a:xfrm>
          <a:off x="24462786" y="19686349"/>
          <a:ext cx="981075" cy="4648200"/>
        </a:xfrm>
        <a:prstGeom prst="rect">
          <a:avLst/>
        </a:prstGeom>
        <a:gradFill flip="none" rotWithShape="1">
          <a:gsLst>
            <a:gs pos="0">
              <a:srgbClr val="BFBFBF">
                <a:alpha val="75000"/>
              </a:srgbClr>
            </a:gs>
            <a:gs pos="53719">
              <a:srgbClr val="BFBFBF">
                <a:alpha val="75000"/>
              </a:srgbClr>
            </a:gs>
            <a:gs pos="53719">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Onion</a:t>
          </a:r>
        </a:p>
        <a:p>
          <a:pPr algn="l"/>
          <a:r>
            <a:rPr lang="en-US" sz="1200" kern="1200">
              <a:solidFill>
                <a:srgbClr val="000000"/>
              </a:solidFill>
            </a:rPr>
            <a:t>Salad Late</a:t>
          </a:r>
        </a:p>
        <a:p>
          <a:pPr algn="l"/>
          <a:r>
            <a:rPr lang="en-US" sz="1200" kern="1200">
              <a:solidFill>
                <a:srgbClr val="000000"/>
              </a:solidFill>
            </a:rPr>
            <a:t>Field</a:t>
          </a:r>
        </a:p>
        <a:p>
          <a:pPr algn="l"/>
          <a:r>
            <a:rPr lang="en-US" sz="1200" kern="1200">
              <a:solidFill>
                <a:srgbClr val="000000"/>
              </a:solidFill>
            </a:rPr>
            <a:t>ONI005</a:t>
          </a:r>
        </a:p>
        <a:p>
          <a:pPr algn="l"/>
          <a:r>
            <a:rPr lang="en-US" sz="1200" kern="1200">
              <a:solidFill>
                <a:srgbClr val="000000"/>
              </a:solidFill>
            </a:rPr>
            <a:t>$600</a:t>
          </a:r>
        </a:p>
        <a:p>
          <a:pPr algn="l"/>
          <a:r>
            <a:rPr lang="en-US" sz="1200" kern="1200">
              <a:solidFill>
                <a:srgbClr val="000000"/>
              </a:solidFill>
            </a:rPr>
            <a:t>Rot Resistant Onions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06/26 - 08/21</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5</xdr:col>
      <xdr:colOff>3174</xdr:colOff>
      <xdr:row>36</xdr:row>
      <xdr:rowOff>283401</xdr:rowOff>
    </xdr:from>
    <xdr:to>
      <xdr:col>6</xdr:col>
      <xdr:colOff>3174</xdr:colOff>
      <xdr:row>40</xdr:row>
      <xdr:rowOff>16701</xdr:rowOff>
    </xdr:to>
    <xdr:sp macro="" textlink="">
      <xdr:nvSpPr>
        <xdr:cNvPr id="2606" name="CHO001">
          <a:extLst>
            <a:ext uri="{FF2B5EF4-FFF2-40B4-BE49-F238E27FC236}">
              <a16:creationId xmlns:a16="http://schemas.microsoft.com/office/drawing/2014/main" id="{00518705-3F36-B02B-7C02-2EC3BBBC5BD5}"/>
            </a:ext>
          </a:extLst>
        </xdr:cNvPr>
        <xdr:cNvSpPr/>
      </xdr:nvSpPr>
      <xdr:spPr>
        <a:xfrm>
          <a:off x="7775574" y="19723926"/>
          <a:ext cx="981075" cy="2019300"/>
        </a:xfrm>
        <a:prstGeom prst="rect">
          <a:avLst/>
        </a:prstGeom>
        <a:gradFill flip="none" rotWithShape="1">
          <a:gsLst>
            <a:gs pos="0">
              <a:srgbClr val="00B050">
                <a:alpha val="75000"/>
              </a:srgbClr>
            </a:gs>
            <a:gs pos="46154">
              <a:srgbClr val="00B050">
                <a:alpha val="75000"/>
              </a:srgbClr>
            </a:gs>
            <a:gs pos="46154">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Choi Sum</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CHO001</a:t>
          </a:r>
        </a:p>
        <a:p>
          <a:pPr algn="l"/>
          <a:r>
            <a:rPr lang="en-US" sz="1200" kern="1200">
              <a:solidFill>
                <a:srgbClr val="000000"/>
              </a:solidFill>
            </a:rPr>
            <a:t>$533</a:t>
          </a:r>
        </a:p>
        <a:p>
          <a:pPr algn="l"/>
          <a:r>
            <a:rPr lang="en-US" sz="1200" kern="1200">
              <a:solidFill>
                <a:srgbClr val="000000"/>
              </a:solidFill>
            </a:rPr>
            <a:t>Green 70 D</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05/17 - 06/14</a:t>
          </a:r>
        </a:p>
        <a:p>
          <a:pPr algn="l"/>
          <a:r>
            <a:rPr lang="en-US" sz="1200" kern="1200">
              <a:solidFill>
                <a:srgbClr val="000000"/>
              </a:solidFill>
            </a:rPr>
            <a:t> 1.5'</a:t>
          </a:r>
        </a:p>
        <a:p>
          <a:pPr algn="l"/>
          <a:r>
            <a:rPr lang="en-US" sz="1200" kern="1200">
              <a:solidFill>
                <a:srgbClr val="000000"/>
              </a:solidFill>
            </a:rPr>
            <a:t>AMAP</a:t>
          </a:r>
        </a:p>
      </xdr:txBody>
    </xdr:sp>
    <xdr:clientData/>
  </xdr:twoCellAnchor>
  <xdr:twoCellAnchor>
    <xdr:from>
      <xdr:col>23</xdr:col>
      <xdr:colOff>16115</xdr:colOff>
      <xdr:row>36</xdr:row>
      <xdr:rowOff>320979</xdr:rowOff>
    </xdr:from>
    <xdr:to>
      <xdr:col>25</xdr:col>
      <xdr:colOff>16115</xdr:colOff>
      <xdr:row>45</xdr:row>
      <xdr:rowOff>54279</xdr:rowOff>
    </xdr:to>
    <xdr:sp macro="" textlink="">
      <xdr:nvSpPr>
        <xdr:cNvPr id="2552" name="POT002">
          <a:extLst>
            <a:ext uri="{FF2B5EF4-FFF2-40B4-BE49-F238E27FC236}">
              <a16:creationId xmlns:a16="http://schemas.microsoft.com/office/drawing/2014/main" id="{5C73CBC8-D366-80D3-EC30-06F674F8B38F}"/>
            </a:ext>
          </a:extLst>
        </xdr:cNvPr>
        <xdr:cNvSpPr/>
      </xdr:nvSpPr>
      <xdr:spPr>
        <a:xfrm>
          <a:off x="25447865" y="19761504"/>
          <a:ext cx="1962150" cy="4876800"/>
        </a:xfrm>
        <a:prstGeom prst="rect">
          <a:avLst/>
        </a:prstGeom>
        <a:gradFill flip="none" rotWithShape="1">
          <a:gsLst>
            <a:gs pos="0">
              <a:srgbClr val="FF5050">
                <a:alpha val="75000"/>
              </a:srgbClr>
            </a:gs>
            <a:gs pos="94488">
              <a:srgbClr val="FF5050">
                <a:alpha val="75000"/>
              </a:srgbClr>
            </a:gs>
            <a:gs pos="94488">
              <a:srgbClr val="FF5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Potato</a:t>
          </a:r>
        </a:p>
        <a:p>
          <a:pPr algn="l"/>
          <a:r>
            <a:rPr lang="en-US" sz="1200" kern="1200">
              <a:solidFill>
                <a:srgbClr val="000000"/>
              </a:solidFill>
            </a:rPr>
            <a:t>Main Crop</a:t>
          </a:r>
        </a:p>
        <a:p>
          <a:pPr algn="l"/>
          <a:r>
            <a:rPr lang="en-US" sz="1200" kern="1200">
              <a:solidFill>
                <a:srgbClr val="000000"/>
              </a:solidFill>
            </a:rPr>
            <a:t>Field</a:t>
          </a:r>
        </a:p>
        <a:p>
          <a:pPr algn="l"/>
          <a:r>
            <a:rPr lang="en-US" sz="1200" kern="1200">
              <a:solidFill>
                <a:srgbClr val="000000"/>
              </a:solidFill>
            </a:rPr>
            <a:t>POT002</a:t>
          </a:r>
        </a:p>
        <a:p>
          <a:pPr algn="l"/>
          <a:r>
            <a:rPr lang="en-US" sz="1200" kern="1200">
              <a:solidFill>
                <a:srgbClr val="000000"/>
              </a:solidFill>
            </a:rPr>
            <a:t>$394</a:t>
          </a:r>
        </a:p>
        <a:p>
          <a:pPr algn="l"/>
          <a:r>
            <a:rPr lang="en-US" sz="1200" kern="1200">
              <a:solidFill>
                <a:srgbClr val="000000"/>
              </a:solidFill>
            </a:rPr>
            <a:t>Main Potato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08/22 - 08/29</a:t>
          </a:r>
        </a:p>
        <a:p>
          <a:pPr algn="l"/>
          <a:r>
            <a:rPr lang="en-US" sz="1200" kern="1200">
              <a:solidFill>
                <a:srgbClr val="000000"/>
              </a:solidFill>
            </a:rPr>
            <a:t> 3'</a:t>
          </a:r>
        </a:p>
        <a:p>
          <a:pPr algn="l"/>
          <a:r>
            <a:rPr lang="en-US" sz="1200" kern="1200">
              <a:solidFill>
                <a:srgbClr val="000000"/>
              </a:solidFill>
            </a:rPr>
            <a:t>0</a:t>
          </a:r>
        </a:p>
      </xdr:txBody>
    </xdr:sp>
    <xdr:clientData/>
  </xdr:twoCellAnchor>
  <xdr:twoCellAnchor>
    <xdr:from>
      <xdr:col>13</xdr:col>
      <xdr:colOff>226</xdr:colOff>
      <xdr:row>36</xdr:row>
      <xdr:rowOff>471292</xdr:rowOff>
    </xdr:from>
    <xdr:to>
      <xdr:col>15</xdr:col>
      <xdr:colOff>226</xdr:colOff>
      <xdr:row>44</xdr:row>
      <xdr:rowOff>471292</xdr:rowOff>
    </xdr:to>
    <xdr:sp macro="" textlink="">
      <xdr:nvSpPr>
        <xdr:cNvPr id="2590" name="KAL003">
          <a:extLst>
            <a:ext uri="{FF2B5EF4-FFF2-40B4-BE49-F238E27FC236}">
              <a16:creationId xmlns:a16="http://schemas.microsoft.com/office/drawing/2014/main" id="{E5AFFCFE-24DB-7D11-B09A-38E5E68292ED}"/>
            </a:ext>
          </a:extLst>
        </xdr:cNvPr>
        <xdr:cNvSpPr/>
      </xdr:nvSpPr>
      <xdr:spPr>
        <a:xfrm>
          <a:off x="15621226" y="19911817"/>
          <a:ext cx="1962150" cy="4572000"/>
        </a:xfrm>
        <a:prstGeom prst="rect">
          <a:avLst/>
        </a:prstGeom>
        <a:gradFill flip="none" rotWithShape="1">
          <a:gsLst>
            <a:gs pos="0">
              <a:srgbClr val="00B050">
                <a:alpha val="75000"/>
              </a:srgbClr>
            </a:gs>
            <a:gs pos="52941">
              <a:srgbClr val="00B050">
                <a:alpha val="75000"/>
              </a:srgbClr>
            </a:gs>
            <a:gs pos="52941">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Kale</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KAL003</a:t>
          </a:r>
        </a:p>
        <a:p>
          <a:pPr algn="l"/>
          <a:r>
            <a:rPr lang="en-US" sz="1200" kern="1200">
              <a:solidFill>
                <a:srgbClr val="000000"/>
              </a:solidFill>
            </a:rPr>
            <a:t>$1,600</a:t>
          </a:r>
        </a:p>
        <a:p>
          <a:pPr algn="l"/>
          <a:r>
            <a:rPr lang="en-US" sz="1200" kern="1200">
              <a:solidFill>
                <a:srgbClr val="000000"/>
              </a:solidFill>
            </a:rPr>
            <a:t>Warm Kale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06/30 - 08/25</a:t>
          </a:r>
        </a:p>
        <a:p>
          <a:pPr algn="l"/>
          <a:r>
            <a:rPr lang="en-US" sz="1200" kern="1200">
              <a:solidFill>
                <a:srgbClr val="000000"/>
              </a:solidFill>
            </a:rPr>
            <a:t> 3'</a:t>
          </a:r>
        </a:p>
        <a:p>
          <a:pPr algn="l"/>
          <a:r>
            <a:rPr lang="en-US" sz="1200" kern="1200">
              <a:solidFill>
                <a:srgbClr val="000000"/>
              </a:solidFill>
            </a:rPr>
            <a:t>AMAP</a:t>
          </a:r>
        </a:p>
      </xdr:txBody>
    </xdr:sp>
    <xdr:clientData/>
  </xdr:twoCellAnchor>
  <xdr:twoCellAnchor>
    <xdr:from>
      <xdr:col>8</xdr:col>
      <xdr:colOff>1361</xdr:colOff>
      <xdr:row>36</xdr:row>
      <xdr:rowOff>471292</xdr:rowOff>
    </xdr:from>
    <xdr:to>
      <xdr:col>9</xdr:col>
      <xdr:colOff>1361</xdr:colOff>
      <xdr:row>41</xdr:row>
      <xdr:rowOff>204592</xdr:rowOff>
    </xdr:to>
    <xdr:sp macro="" textlink="">
      <xdr:nvSpPr>
        <xdr:cNvPr id="4" name="LET013">
          <a:extLst>
            <a:ext uri="{FF2B5EF4-FFF2-40B4-BE49-F238E27FC236}">
              <a16:creationId xmlns:a16="http://schemas.microsoft.com/office/drawing/2014/main" id="{57973E00-C6DB-32BC-85E8-70EB5C27E6DD}"/>
            </a:ext>
          </a:extLst>
        </xdr:cNvPr>
        <xdr:cNvSpPr/>
      </xdr:nvSpPr>
      <xdr:spPr>
        <a:xfrm>
          <a:off x="10716986" y="19911817"/>
          <a:ext cx="981075" cy="2590800"/>
        </a:xfrm>
        <a:prstGeom prst="rect">
          <a:avLst/>
        </a:prstGeom>
        <a:gradFill flip="none" rotWithShape="1">
          <a:gsLst>
            <a:gs pos="0">
              <a:srgbClr val="92D050">
                <a:alpha val="75000"/>
              </a:srgbClr>
            </a:gs>
            <a:gs pos="80597">
              <a:srgbClr val="92D050">
                <a:alpha val="75000"/>
              </a:srgbClr>
            </a:gs>
            <a:gs pos="80597">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Salanova</a:t>
          </a:r>
        </a:p>
        <a:p>
          <a:pPr algn="l"/>
          <a:r>
            <a:rPr lang="en-US" sz="1200" kern="1200">
              <a:solidFill>
                <a:srgbClr val="000000"/>
              </a:solidFill>
            </a:rPr>
            <a:t>Tunnel</a:t>
          </a:r>
        </a:p>
        <a:p>
          <a:pPr algn="l"/>
          <a:r>
            <a:rPr lang="en-US" sz="1200" kern="1200">
              <a:solidFill>
                <a:srgbClr val="000000"/>
              </a:solidFill>
            </a:rPr>
            <a:t>LET013</a:t>
          </a:r>
        </a:p>
        <a:p>
          <a:pPr algn="l"/>
          <a:r>
            <a:rPr lang="en-US" sz="1200" kern="1200">
              <a:solidFill>
                <a:srgbClr val="000000"/>
              </a:solidFill>
            </a:rPr>
            <a:t>$2,672</a:t>
          </a:r>
        </a:p>
        <a:p>
          <a:pPr algn="l"/>
          <a:r>
            <a:rPr lang="en-US" sz="1200" kern="1200">
              <a:solidFill>
                <a:srgbClr val="000000"/>
              </a:solidFill>
            </a:rPr>
            <a:t>Salanova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06/21 - 07/04</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29</xdr:col>
      <xdr:colOff>50950</xdr:colOff>
      <xdr:row>36</xdr:row>
      <xdr:rowOff>546447</xdr:rowOff>
    </xdr:from>
    <xdr:to>
      <xdr:col>29</xdr:col>
      <xdr:colOff>541488</xdr:colOff>
      <xdr:row>43</xdr:row>
      <xdr:rowOff>51147</xdr:rowOff>
    </xdr:to>
    <xdr:sp macro="" textlink="">
      <xdr:nvSpPr>
        <xdr:cNvPr id="2612" name="CAR002">
          <a:extLst>
            <a:ext uri="{FF2B5EF4-FFF2-40B4-BE49-F238E27FC236}">
              <a16:creationId xmlns:a16="http://schemas.microsoft.com/office/drawing/2014/main" id="{F8F80F69-68DA-B491-9C44-AB399C3E9F88}"/>
            </a:ext>
            <a:ext uri="{147F2762-F138-4A5C-976F-8EAC2B608ADB}">
              <a16:predDERef xmlns:a16="http://schemas.microsoft.com/office/drawing/2014/main" pred="{57973E00-C6DB-32BC-85E8-70EB5C27E6DD}"/>
            </a:ext>
          </a:extLst>
        </xdr:cNvPr>
        <xdr:cNvSpPr/>
      </xdr:nvSpPr>
      <xdr:spPr>
        <a:xfrm>
          <a:off x="31369150" y="19986972"/>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Carrot</a:t>
          </a:r>
        </a:p>
        <a:p>
          <a:pPr algn="l"/>
          <a:r>
            <a:rPr lang="en-US" sz="800" kern="1200">
              <a:solidFill>
                <a:srgbClr val="000000"/>
              </a:solidFill>
            </a:rPr>
            <a:t>Early</a:t>
          </a:r>
        </a:p>
        <a:p>
          <a:pPr algn="l"/>
          <a:r>
            <a:rPr lang="en-US" sz="800" kern="1200">
              <a:solidFill>
                <a:srgbClr val="000000"/>
              </a:solidFill>
            </a:rPr>
            <a:t>Field</a:t>
          </a:r>
        </a:p>
        <a:p>
          <a:pPr algn="l"/>
          <a:r>
            <a:rPr lang="en-US" sz="800" kern="1200">
              <a:solidFill>
                <a:srgbClr val="000000"/>
              </a:solidFill>
            </a:rPr>
            <a:t>CAR002</a:t>
          </a:r>
        </a:p>
        <a:p>
          <a:pPr algn="l"/>
          <a:r>
            <a:rPr lang="en-US" sz="800" kern="1200">
              <a:solidFill>
                <a:srgbClr val="000000"/>
              </a:solidFill>
            </a:rPr>
            <a:t>$279</a:t>
          </a:r>
        </a:p>
        <a:p>
          <a:pPr algn="l"/>
          <a:r>
            <a:rPr lang="en-US" sz="800" kern="1200">
              <a:solidFill>
                <a:srgbClr val="000000"/>
              </a:solidFill>
            </a:rPr>
            <a:t>Early Carrot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0"</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07/09 - 07/30</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29</xdr:col>
      <xdr:colOff>462276</xdr:colOff>
      <xdr:row>36</xdr:row>
      <xdr:rowOff>546447</xdr:rowOff>
    </xdr:from>
    <xdr:to>
      <xdr:col>29</xdr:col>
      <xdr:colOff>952814</xdr:colOff>
      <xdr:row>43</xdr:row>
      <xdr:rowOff>51147</xdr:rowOff>
    </xdr:to>
    <xdr:sp macro="" textlink="">
      <xdr:nvSpPr>
        <xdr:cNvPr id="22" name="CAR004">
          <a:extLst>
            <a:ext uri="{FF2B5EF4-FFF2-40B4-BE49-F238E27FC236}">
              <a16:creationId xmlns:a16="http://schemas.microsoft.com/office/drawing/2014/main" id="{E7F67CA0-8F3B-D5F1-C26B-2AB0C11CEE06}"/>
            </a:ext>
            <a:ext uri="{147F2762-F138-4A5C-976F-8EAC2B608ADB}">
              <a16:predDERef xmlns:a16="http://schemas.microsoft.com/office/drawing/2014/main" pred="{F8F80F69-68DA-B491-9C44-AB399C3E9F88}"/>
            </a:ext>
          </a:extLst>
        </xdr:cNvPr>
        <xdr:cNvSpPr/>
      </xdr:nvSpPr>
      <xdr:spPr>
        <a:xfrm>
          <a:off x="31780476" y="19986972"/>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Carrot</a:t>
          </a:r>
        </a:p>
        <a:p>
          <a:pPr algn="l"/>
          <a:r>
            <a:rPr lang="en-US" sz="800">
              <a:solidFill>
                <a:srgbClr val="000000"/>
              </a:solidFill>
            </a:rPr>
            <a:t>Early</a:t>
          </a:r>
        </a:p>
        <a:p>
          <a:pPr algn="l"/>
          <a:r>
            <a:rPr lang="en-US" sz="800">
              <a:solidFill>
                <a:srgbClr val="000000"/>
              </a:solidFill>
            </a:rPr>
            <a:t>Field</a:t>
          </a:r>
        </a:p>
        <a:p>
          <a:pPr algn="l"/>
          <a:r>
            <a:rPr lang="en-US" sz="800">
              <a:solidFill>
                <a:srgbClr val="000000"/>
              </a:solidFill>
            </a:rPr>
            <a:t>CAR004</a:t>
          </a:r>
        </a:p>
        <a:p>
          <a:pPr algn="l"/>
          <a:r>
            <a:rPr lang="en-US" sz="800">
              <a:solidFill>
                <a:srgbClr val="000000"/>
              </a:solidFill>
            </a:rPr>
            <a:t>$279</a:t>
          </a:r>
        </a:p>
        <a:p>
          <a:pPr algn="l"/>
          <a:r>
            <a:rPr lang="en-US" sz="800">
              <a:solidFill>
                <a:srgbClr val="000000"/>
              </a:solidFill>
            </a:rPr>
            <a:t>Early Carrot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07/09 - 07/30</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16</xdr:col>
      <xdr:colOff>498928</xdr:colOff>
      <xdr:row>36</xdr:row>
      <xdr:rowOff>546447</xdr:rowOff>
    </xdr:from>
    <xdr:to>
      <xdr:col>17</xdr:col>
      <xdr:colOff>8391</xdr:colOff>
      <xdr:row>40</xdr:row>
      <xdr:rowOff>317847</xdr:rowOff>
    </xdr:to>
    <xdr:sp macro="" textlink="">
      <xdr:nvSpPr>
        <xdr:cNvPr id="52" name="RAD449">
          <a:extLst>
            <a:ext uri="{FF2B5EF4-FFF2-40B4-BE49-F238E27FC236}">
              <a16:creationId xmlns:a16="http://schemas.microsoft.com/office/drawing/2014/main" id="{773E947C-9FD6-461E-097F-889BF783DFDE}"/>
            </a:ext>
          </a:extLst>
        </xdr:cNvPr>
        <xdr:cNvSpPr/>
      </xdr:nvSpPr>
      <xdr:spPr>
        <a:xfrm>
          <a:off x="19063153" y="19986972"/>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RAD449</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06/01 - 06/22</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16</xdr:col>
      <xdr:colOff>12245</xdr:colOff>
      <xdr:row>36</xdr:row>
      <xdr:rowOff>546447</xdr:rowOff>
    </xdr:from>
    <xdr:to>
      <xdr:col>16</xdr:col>
      <xdr:colOff>502783</xdr:colOff>
      <xdr:row>40</xdr:row>
      <xdr:rowOff>355947</xdr:rowOff>
    </xdr:to>
    <xdr:sp macro="" textlink="">
      <xdr:nvSpPr>
        <xdr:cNvPr id="2523" name="TUR001">
          <a:extLst>
            <a:ext uri="{FF2B5EF4-FFF2-40B4-BE49-F238E27FC236}">
              <a16:creationId xmlns:a16="http://schemas.microsoft.com/office/drawing/2014/main" id="{E101A125-2A05-D292-DFDC-45BFEF2EF58D}"/>
            </a:ext>
          </a:extLst>
        </xdr:cNvPr>
        <xdr:cNvSpPr/>
      </xdr:nvSpPr>
      <xdr:spPr>
        <a:xfrm>
          <a:off x="18576470" y="19986972"/>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TUR001</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06/09 - 06/23</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27</xdr:col>
      <xdr:colOff>1815</xdr:colOff>
      <xdr:row>37</xdr:row>
      <xdr:rowOff>12526</xdr:rowOff>
    </xdr:from>
    <xdr:to>
      <xdr:col>28</xdr:col>
      <xdr:colOff>1815</xdr:colOff>
      <xdr:row>41</xdr:row>
      <xdr:rowOff>317326</xdr:rowOff>
    </xdr:to>
    <xdr:sp macro="" textlink="">
      <xdr:nvSpPr>
        <xdr:cNvPr id="2621" name="CAB004">
          <a:extLst>
            <a:ext uri="{FF2B5EF4-FFF2-40B4-BE49-F238E27FC236}">
              <a16:creationId xmlns:a16="http://schemas.microsoft.com/office/drawing/2014/main" id="{3B0510C4-E167-BAEC-3375-C3058427A519}"/>
            </a:ext>
          </a:extLst>
        </xdr:cNvPr>
        <xdr:cNvSpPr/>
      </xdr:nvSpPr>
      <xdr:spPr>
        <a:xfrm>
          <a:off x="29357865" y="20024551"/>
          <a:ext cx="981075" cy="2590800"/>
        </a:xfrm>
        <a:prstGeom prst="rect">
          <a:avLst/>
        </a:prstGeom>
        <a:gradFill flip="none" rotWithShape="1">
          <a:gsLst>
            <a:gs pos="0">
              <a:srgbClr val="00B050">
                <a:alpha val="75000"/>
              </a:srgbClr>
            </a:gs>
            <a:gs pos="89552">
              <a:srgbClr val="00B050">
                <a:alpha val="75000"/>
              </a:srgbClr>
            </a:gs>
            <a:gs pos="8955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Fast Mid 9"</a:t>
          </a:r>
        </a:p>
        <a:p>
          <a:pPr algn="l"/>
          <a:r>
            <a:rPr lang="en-US" sz="1200" kern="1200">
              <a:solidFill>
                <a:srgbClr val="000000"/>
              </a:solidFill>
            </a:rPr>
            <a:t>Field</a:t>
          </a:r>
        </a:p>
        <a:p>
          <a:pPr algn="l"/>
          <a:r>
            <a:rPr lang="en-US" sz="1200" kern="1200">
              <a:solidFill>
                <a:srgbClr val="000000"/>
              </a:solidFill>
            </a:rPr>
            <a:t>CAB004</a:t>
          </a:r>
        </a:p>
        <a:p>
          <a:pPr algn="l"/>
          <a:r>
            <a:rPr lang="en-US" sz="1200" kern="1200">
              <a:solidFill>
                <a:srgbClr val="000000"/>
              </a:solidFill>
            </a:rPr>
            <a:t>$660</a:t>
          </a:r>
        </a:p>
        <a:p>
          <a:pPr algn="l"/>
          <a:r>
            <a:rPr lang="en-US" sz="1200" kern="1200">
              <a:solidFill>
                <a:srgbClr val="000000"/>
              </a:solidFill>
            </a:rPr>
            <a:t>Farao F1</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06/30 - 07/07</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25</xdr:col>
      <xdr:colOff>28577</xdr:colOff>
      <xdr:row>37</xdr:row>
      <xdr:rowOff>50104</xdr:rowOff>
    </xdr:from>
    <xdr:to>
      <xdr:col>27</xdr:col>
      <xdr:colOff>28577</xdr:colOff>
      <xdr:row>43</xdr:row>
      <xdr:rowOff>126304</xdr:rowOff>
    </xdr:to>
    <xdr:sp macro="" textlink="">
      <xdr:nvSpPr>
        <xdr:cNvPr id="2628" name="BEE001">
          <a:extLst>
            <a:ext uri="{FF2B5EF4-FFF2-40B4-BE49-F238E27FC236}">
              <a16:creationId xmlns:a16="http://schemas.microsoft.com/office/drawing/2014/main" id="{C5778793-6FA1-A503-7A39-7BCCAD2B1320}"/>
            </a:ext>
          </a:extLst>
        </xdr:cNvPr>
        <xdr:cNvSpPr/>
      </xdr:nvSpPr>
      <xdr:spPr>
        <a:xfrm>
          <a:off x="27422477" y="20062129"/>
          <a:ext cx="1962150" cy="3505200"/>
        </a:xfrm>
        <a:prstGeom prst="rect">
          <a:avLst/>
        </a:prstGeom>
        <a:gradFill flip="none" rotWithShape="1">
          <a:gsLst>
            <a:gs pos="0">
              <a:srgbClr val="FF0000">
                <a:alpha val="75000"/>
              </a:srgbClr>
            </a:gs>
            <a:gs pos="61538">
              <a:srgbClr val="FF0000">
                <a:alpha val="75000"/>
              </a:srgbClr>
            </a:gs>
            <a:gs pos="61538">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Beet</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BEE001</a:t>
          </a:r>
        </a:p>
        <a:p>
          <a:pPr algn="l"/>
          <a:r>
            <a:rPr lang="en-US" sz="1200" kern="1200">
              <a:solidFill>
                <a:srgbClr val="000000"/>
              </a:solidFill>
            </a:rPr>
            <a:t>$800</a:t>
          </a:r>
        </a:p>
        <a:p>
          <a:pPr algn="l"/>
          <a:r>
            <a:rPr lang="en-US" sz="1200" kern="1200">
              <a:solidFill>
                <a:srgbClr val="000000"/>
              </a:solidFill>
            </a:rPr>
            <a:t>Beet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06/27 - 08/01</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68</xdr:col>
      <xdr:colOff>19050</xdr:colOff>
      <xdr:row>37</xdr:row>
      <xdr:rowOff>125261</xdr:rowOff>
    </xdr:from>
    <xdr:to>
      <xdr:col>69</xdr:col>
      <xdr:colOff>19050</xdr:colOff>
      <xdr:row>40</xdr:row>
      <xdr:rowOff>315761</xdr:rowOff>
    </xdr:to>
    <xdr:sp macro="" textlink="">
      <xdr:nvSpPr>
        <xdr:cNvPr id="2543" name="ARU003">
          <a:extLst>
            <a:ext uri="{FF2B5EF4-FFF2-40B4-BE49-F238E27FC236}">
              <a16:creationId xmlns:a16="http://schemas.microsoft.com/office/drawing/2014/main" id="{FDD0894B-FFAB-4566-5DF3-822641A5B631}"/>
            </a:ext>
          </a:extLst>
        </xdr:cNvPr>
        <xdr:cNvSpPr/>
      </xdr:nvSpPr>
      <xdr:spPr>
        <a:xfrm>
          <a:off x="69599175" y="20137286"/>
          <a:ext cx="981075"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Arugula</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ARU003</a:t>
          </a:r>
        </a:p>
        <a:p>
          <a:pPr algn="l"/>
          <a:r>
            <a:rPr lang="en-US" sz="1200">
              <a:solidFill>
                <a:srgbClr val="000000"/>
              </a:solidFill>
            </a:rPr>
            <a:t>$225</a:t>
          </a:r>
        </a:p>
        <a:p>
          <a:pPr algn="l"/>
          <a:r>
            <a:rPr lang="en-US" sz="1200">
              <a:solidFill>
                <a:srgbClr val="000000"/>
              </a:solidFill>
            </a:rPr>
            <a:t>Arugala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6 R @ 0"</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06/04 - 06/22</a:t>
          </a:r>
        </a:p>
        <a:p>
          <a:pPr algn="l"/>
          <a:r>
            <a:rPr lang="en-US" sz="1200">
              <a:solidFill>
                <a:srgbClr val="000000"/>
              </a:solidFill>
            </a:rPr>
            <a:t>OH 1'</a:t>
          </a:r>
        </a:p>
        <a:p>
          <a:pPr algn="l"/>
          <a:r>
            <a:rPr lang="en-US" sz="1200">
              <a:solidFill>
                <a:srgbClr val="000000"/>
              </a:solidFill>
            </a:rPr>
            <a:t>None</a:t>
          </a:r>
        </a:p>
      </xdr:txBody>
    </xdr:sp>
    <xdr:clientData/>
  </xdr:twoCellAnchor>
  <xdr:twoCellAnchor>
    <xdr:from>
      <xdr:col>28</xdr:col>
      <xdr:colOff>2023</xdr:colOff>
      <xdr:row>37</xdr:row>
      <xdr:rowOff>125261</xdr:rowOff>
    </xdr:from>
    <xdr:to>
      <xdr:col>29</xdr:col>
      <xdr:colOff>2023</xdr:colOff>
      <xdr:row>40</xdr:row>
      <xdr:rowOff>239561</xdr:rowOff>
    </xdr:to>
    <xdr:sp macro="" textlink="">
      <xdr:nvSpPr>
        <xdr:cNvPr id="2500" name="FEN003">
          <a:extLst>
            <a:ext uri="{FF2B5EF4-FFF2-40B4-BE49-F238E27FC236}">
              <a16:creationId xmlns:a16="http://schemas.microsoft.com/office/drawing/2014/main" id="{0D9BC7AB-C105-A9E9-B676-9AEEF1269473}"/>
            </a:ext>
            <a:ext uri="{147F2762-F138-4A5C-976F-8EAC2B608ADB}">
              <a16:predDERef xmlns:a16="http://schemas.microsoft.com/office/drawing/2014/main" pred="{FDD0894B-FFAB-4566-5DF3-822641A5B631}"/>
            </a:ext>
          </a:extLst>
        </xdr:cNvPr>
        <xdr:cNvSpPr/>
      </xdr:nvSpPr>
      <xdr:spPr>
        <a:xfrm>
          <a:off x="30339148" y="20137286"/>
          <a:ext cx="981075" cy="1828800"/>
        </a:xfrm>
        <a:prstGeom prst="rect">
          <a:avLst/>
        </a:prstGeom>
        <a:gradFill flip="none" rotWithShape="1">
          <a:gsLst>
            <a:gs pos="0">
              <a:srgbClr val="FFC000">
                <a:alpha val="75000"/>
              </a:srgbClr>
            </a:gs>
            <a:gs pos="70213">
              <a:srgbClr val="FFC000">
                <a:alpha val="75000"/>
              </a:srgbClr>
            </a:gs>
            <a:gs pos="70213">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Fennel</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FEN003</a:t>
          </a:r>
        </a:p>
        <a:p>
          <a:pPr algn="l"/>
          <a:r>
            <a:rPr lang="en-US" sz="1200">
              <a:solidFill>
                <a:srgbClr val="000000"/>
              </a:solidFill>
            </a:rPr>
            <a:t>$667</a:t>
          </a:r>
        </a:p>
        <a:p>
          <a:pPr algn="l"/>
          <a:r>
            <a:rPr lang="en-US" sz="1200">
              <a:solidFill>
                <a:srgbClr val="000000"/>
              </a:solidFill>
            </a:rPr>
            <a:t>Fennel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06/06 - 06/20</a:t>
          </a:r>
        </a:p>
        <a:p>
          <a:pPr algn="l"/>
          <a:r>
            <a:rPr lang="en-US" sz="1200">
              <a:solidFill>
                <a:srgbClr val="000000"/>
              </a:solidFill>
            </a:rPr>
            <a:t> 2.5'</a:t>
          </a:r>
        </a:p>
        <a:p>
          <a:pPr algn="l"/>
          <a:r>
            <a:rPr lang="en-US" sz="1200">
              <a:solidFill>
                <a:srgbClr val="000000"/>
              </a:solidFill>
            </a:rPr>
            <a:t>None</a:t>
          </a:r>
        </a:p>
      </xdr:txBody>
    </xdr:sp>
    <xdr:clientData/>
  </xdr:twoCellAnchor>
  <xdr:twoCellAnchor>
    <xdr:from>
      <xdr:col>41</xdr:col>
      <xdr:colOff>28575</xdr:colOff>
      <xdr:row>37</xdr:row>
      <xdr:rowOff>162838</xdr:rowOff>
    </xdr:from>
    <xdr:to>
      <xdr:col>42</xdr:col>
      <xdr:colOff>28575</xdr:colOff>
      <xdr:row>42</xdr:row>
      <xdr:rowOff>162838</xdr:rowOff>
    </xdr:to>
    <xdr:sp macro="" textlink="">
      <xdr:nvSpPr>
        <xdr:cNvPr id="2622" name="CAB003">
          <a:extLst>
            <a:ext uri="{FF2B5EF4-FFF2-40B4-BE49-F238E27FC236}">
              <a16:creationId xmlns:a16="http://schemas.microsoft.com/office/drawing/2014/main" id="{9554F5DE-73E0-0348-85D8-4F83AB2039CC}"/>
            </a:ext>
          </a:extLst>
        </xdr:cNvPr>
        <xdr:cNvSpPr/>
      </xdr:nvSpPr>
      <xdr:spPr>
        <a:xfrm>
          <a:off x="43119675" y="20174863"/>
          <a:ext cx="981075" cy="2857500"/>
        </a:xfrm>
        <a:prstGeom prst="rect">
          <a:avLst/>
        </a:prstGeom>
        <a:gradFill flip="none" rotWithShape="1">
          <a:gsLst>
            <a:gs pos="0">
              <a:srgbClr val="00B050">
                <a:alpha val="75000"/>
              </a:srgbClr>
            </a:gs>
            <a:gs pos="90541">
              <a:srgbClr val="00B050">
                <a:alpha val="75000"/>
              </a:srgbClr>
            </a:gs>
            <a:gs pos="90541">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Fast Early 9"</a:t>
          </a:r>
        </a:p>
        <a:p>
          <a:pPr algn="l"/>
          <a:r>
            <a:rPr lang="en-US" sz="1200" kern="1200">
              <a:solidFill>
                <a:srgbClr val="000000"/>
              </a:solidFill>
            </a:rPr>
            <a:t>Field</a:t>
          </a:r>
        </a:p>
        <a:p>
          <a:pPr algn="l"/>
          <a:r>
            <a:rPr lang="en-US" sz="1200" kern="1200">
              <a:solidFill>
                <a:srgbClr val="000000"/>
              </a:solidFill>
            </a:rPr>
            <a:t>CAB003</a:t>
          </a:r>
        </a:p>
        <a:p>
          <a:pPr algn="l"/>
          <a:r>
            <a:rPr lang="en-US" sz="1200" kern="1200">
              <a:solidFill>
                <a:srgbClr val="000000"/>
              </a:solidFill>
            </a:rPr>
            <a:t>$264</a:t>
          </a:r>
        </a:p>
        <a:p>
          <a:pPr algn="l"/>
          <a:r>
            <a:rPr lang="en-US" sz="1200" kern="1200">
              <a:solidFill>
                <a:srgbClr val="000000"/>
              </a:solidFill>
            </a:rPr>
            <a:t>Mini Cabbage Mix</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07/11 - 07/18</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45</xdr:col>
      <xdr:colOff>3041</xdr:colOff>
      <xdr:row>37</xdr:row>
      <xdr:rowOff>162838</xdr:rowOff>
    </xdr:from>
    <xdr:to>
      <xdr:col>46</xdr:col>
      <xdr:colOff>3041</xdr:colOff>
      <xdr:row>44</xdr:row>
      <xdr:rowOff>162838</xdr:rowOff>
    </xdr:to>
    <xdr:sp macro="" textlink="">
      <xdr:nvSpPr>
        <xdr:cNvPr id="2564" name="ONI003">
          <a:extLst>
            <a:ext uri="{FF2B5EF4-FFF2-40B4-BE49-F238E27FC236}">
              <a16:creationId xmlns:a16="http://schemas.microsoft.com/office/drawing/2014/main" id="{5985AE2C-CC4F-9F08-9250-211267C6328A}"/>
            </a:ext>
          </a:extLst>
        </xdr:cNvPr>
        <xdr:cNvSpPr/>
      </xdr:nvSpPr>
      <xdr:spPr>
        <a:xfrm>
          <a:off x="47018441" y="20174863"/>
          <a:ext cx="981075" cy="4000500"/>
        </a:xfrm>
        <a:prstGeom prst="rect">
          <a:avLst/>
        </a:prstGeom>
        <a:gradFill flip="none" rotWithShape="1">
          <a:gsLst>
            <a:gs pos="0">
              <a:srgbClr val="BFBFBF">
                <a:alpha val="75000"/>
              </a:srgbClr>
            </a:gs>
            <a:gs pos="86538">
              <a:srgbClr val="BFBFBF">
                <a:alpha val="75000"/>
              </a:srgbClr>
            </a:gs>
            <a:gs pos="86538">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Onion</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ONI003</a:t>
          </a:r>
        </a:p>
        <a:p>
          <a:pPr algn="l"/>
          <a:r>
            <a:rPr lang="en-US" sz="1200" kern="1200">
              <a:solidFill>
                <a:srgbClr val="000000"/>
              </a:solidFill>
            </a:rPr>
            <a:t>$619</a:t>
          </a:r>
        </a:p>
        <a:p>
          <a:pPr algn="l"/>
          <a:r>
            <a:rPr lang="en-US" sz="1200" kern="1200">
              <a:solidFill>
                <a:srgbClr val="000000"/>
              </a:solidFill>
            </a:rPr>
            <a:t>Rot Resistant Onions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08/03 - 08/17</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37</xdr:col>
      <xdr:colOff>19501</xdr:colOff>
      <xdr:row>37</xdr:row>
      <xdr:rowOff>237995</xdr:rowOff>
    </xdr:from>
    <xdr:to>
      <xdr:col>41</xdr:col>
      <xdr:colOff>19501</xdr:colOff>
      <xdr:row>41</xdr:row>
      <xdr:rowOff>123695</xdr:rowOff>
    </xdr:to>
    <xdr:sp macro="" textlink="">
      <xdr:nvSpPr>
        <xdr:cNvPr id="2625" name="BOK001">
          <a:extLst>
            <a:ext uri="{FF2B5EF4-FFF2-40B4-BE49-F238E27FC236}">
              <a16:creationId xmlns:a16="http://schemas.microsoft.com/office/drawing/2014/main" id="{E267DF2B-2326-DD30-9FC9-E38977FD9BA9}"/>
            </a:ext>
          </a:extLst>
        </xdr:cNvPr>
        <xdr:cNvSpPr/>
      </xdr:nvSpPr>
      <xdr:spPr>
        <a:xfrm>
          <a:off x="39186301" y="20250020"/>
          <a:ext cx="3924300" cy="2171700"/>
        </a:xfrm>
        <a:prstGeom prst="rect">
          <a:avLst/>
        </a:prstGeom>
        <a:gradFill flip="none" rotWithShape="1">
          <a:gsLst>
            <a:gs pos="0">
              <a:srgbClr val="00B050">
                <a:alpha val="75000"/>
              </a:srgbClr>
            </a:gs>
            <a:gs pos="75000">
              <a:srgbClr val="00B050">
                <a:alpha val="75000"/>
              </a:srgbClr>
            </a:gs>
            <a:gs pos="75000">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Asian Greens</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BOK001</a:t>
          </a:r>
        </a:p>
        <a:p>
          <a:pPr algn="l"/>
          <a:r>
            <a:rPr lang="en-US" sz="1200" kern="1200">
              <a:solidFill>
                <a:srgbClr val="000000"/>
              </a:solidFill>
            </a:rPr>
            <a:t>(!) Asian Greens</a:t>
          </a:r>
        </a:p>
        <a:p>
          <a:pPr algn="l"/>
          <a:r>
            <a:rPr lang="en-US" sz="1200" kern="1200">
              <a:solidFill>
                <a:srgbClr val="000000"/>
              </a:solidFill>
            </a:rPr>
            <a:t>$853</a:t>
          </a:r>
        </a:p>
        <a:p>
          <a:pPr algn="l"/>
          <a:r>
            <a:rPr lang="en-US" sz="1200" kern="1200">
              <a:solidFill>
                <a:srgbClr val="000000"/>
              </a:solidFill>
            </a:rPr>
            <a:t>Asian Green Mix</a:t>
          </a:r>
        </a:p>
        <a:p>
          <a:pPr algn="l"/>
          <a:endParaRPr lang="en-US" sz="1200" kern="1200">
            <a:solidFill>
              <a:srgbClr val="000000"/>
            </a:solidFill>
          </a:endParaRPr>
        </a:p>
        <a:p>
          <a:pPr algn="l"/>
          <a:r>
            <a:rPr lang="en-US" sz="1200" kern="1200">
              <a:solidFill>
                <a:srgbClr val="000000"/>
              </a:solidFill>
            </a:rPr>
            <a:t>1.6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06/18 - 07/02</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47</xdr:col>
      <xdr:colOff>978357</xdr:colOff>
      <xdr:row>37</xdr:row>
      <xdr:rowOff>275572</xdr:rowOff>
    </xdr:from>
    <xdr:to>
      <xdr:col>49</xdr:col>
      <xdr:colOff>978357</xdr:colOff>
      <xdr:row>41</xdr:row>
      <xdr:rowOff>199372</xdr:rowOff>
    </xdr:to>
    <xdr:sp macro="" textlink="">
      <xdr:nvSpPr>
        <xdr:cNvPr id="2570" name="LET012">
          <a:extLst>
            <a:ext uri="{FF2B5EF4-FFF2-40B4-BE49-F238E27FC236}">
              <a16:creationId xmlns:a16="http://schemas.microsoft.com/office/drawing/2014/main" id="{D4E34976-159D-3664-552A-774BAFF4C8D5}"/>
            </a:ext>
          </a:extLst>
        </xdr:cNvPr>
        <xdr:cNvSpPr/>
      </xdr:nvSpPr>
      <xdr:spPr>
        <a:xfrm>
          <a:off x="49955907" y="20287597"/>
          <a:ext cx="1962150" cy="2209800"/>
        </a:xfrm>
        <a:prstGeom prst="rect">
          <a:avLst/>
        </a:prstGeom>
        <a:gradFill flip="none" rotWithShape="1">
          <a:gsLst>
            <a:gs pos="0">
              <a:srgbClr val="92D050">
                <a:alpha val="75000"/>
              </a:srgbClr>
            </a:gs>
            <a:gs pos="80702">
              <a:srgbClr val="92D050">
                <a:alpha val="75000"/>
              </a:srgbClr>
            </a:gs>
            <a:gs pos="8070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Salanova</a:t>
          </a:r>
        </a:p>
        <a:p>
          <a:pPr algn="l"/>
          <a:r>
            <a:rPr lang="en-US" sz="1200" kern="1200">
              <a:solidFill>
                <a:srgbClr val="000000"/>
              </a:solidFill>
            </a:rPr>
            <a:t>Field</a:t>
          </a:r>
        </a:p>
        <a:p>
          <a:pPr algn="l"/>
          <a:r>
            <a:rPr lang="en-US" sz="1200" kern="1200">
              <a:solidFill>
                <a:srgbClr val="000000"/>
              </a:solidFill>
            </a:rPr>
            <a:t>LET012</a:t>
          </a:r>
        </a:p>
        <a:p>
          <a:pPr algn="l"/>
          <a:r>
            <a:rPr lang="en-US" sz="1200" kern="1200">
              <a:solidFill>
                <a:srgbClr val="000000"/>
              </a:solidFill>
            </a:rPr>
            <a:t>$2,677</a:t>
          </a:r>
        </a:p>
        <a:p>
          <a:pPr algn="l"/>
          <a:r>
            <a:rPr lang="en-US" sz="1200" kern="1200">
              <a:solidFill>
                <a:srgbClr val="000000"/>
              </a:solidFill>
            </a:rPr>
            <a:t>Salanova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06/23 - 07/04</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35</xdr:col>
      <xdr:colOff>977900</xdr:colOff>
      <xdr:row>37</xdr:row>
      <xdr:rowOff>350729</xdr:rowOff>
    </xdr:from>
    <xdr:to>
      <xdr:col>36</xdr:col>
      <xdr:colOff>977900</xdr:colOff>
      <xdr:row>42</xdr:row>
      <xdr:rowOff>198329</xdr:rowOff>
    </xdr:to>
    <xdr:sp macro="" textlink="">
      <xdr:nvSpPr>
        <xdr:cNvPr id="27" name="LET014">
          <a:extLst>
            <a:ext uri="{FF2B5EF4-FFF2-40B4-BE49-F238E27FC236}">
              <a16:creationId xmlns:a16="http://schemas.microsoft.com/office/drawing/2014/main" id="{309C88E0-16D8-D4F6-4D0C-24B9428E7490}"/>
            </a:ext>
          </a:extLst>
        </xdr:cNvPr>
        <xdr:cNvSpPr/>
      </xdr:nvSpPr>
      <xdr:spPr>
        <a:xfrm>
          <a:off x="38182550" y="20362754"/>
          <a:ext cx="981075" cy="2705100"/>
        </a:xfrm>
        <a:prstGeom prst="rect">
          <a:avLst/>
        </a:prstGeom>
        <a:gradFill flip="none" rotWithShape="1">
          <a:gsLst>
            <a:gs pos="0">
              <a:srgbClr val="92D050">
                <a:alpha val="75000"/>
              </a:srgbClr>
            </a:gs>
            <a:gs pos="80000">
              <a:srgbClr val="92D050">
                <a:alpha val="75000"/>
              </a:srgbClr>
            </a:gs>
            <a:gs pos="80000">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LET014</a:t>
          </a:r>
        </a:p>
        <a:p>
          <a:pPr algn="l"/>
          <a:r>
            <a:rPr lang="en-US" sz="1200" kern="1200">
              <a:solidFill>
                <a:srgbClr val="000000"/>
              </a:solidFill>
            </a:rPr>
            <a:t>$427</a:t>
          </a:r>
        </a:p>
        <a:p>
          <a:pPr algn="l"/>
          <a:r>
            <a:rPr lang="en-US" sz="1200" kern="1200">
              <a:solidFill>
                <a:srgbClr val="000000"/>
              </a:solidFill>
            </a:rPr>
            <a:t>Brown Goldring</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07/05 - 07/19</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35</xdr:col>
      <xdr:colOff>3175</xdr:colOff>
      <xdr:row>37</xdr:row>
      <xdr:rowOff>350729</xdr:rowOff>
    </xdr:from>
    <xdr:to>
      <xdr:col>36</xdr:col>
      <xdr:colOff>3175</xdr:colOff>
      <xdr:row>42</xdr:row>
      <xdr:rowOff>503129</xdr:rowOff>
    </xdr:to>
    <xdr:sp macro="" textlink="">
      <xdr:nvSpPr>
        <xdr:cNvPr id="26" name="LET015">
          <a:extLst>
            <a:ext uri="{FF2B5EF4-FFF2-40B4-BE49-F238E27FC236}">
              <a16:creationId xmlns:a16="http://schemas.microsoft.com/office/drawing/2014/main" id="{9995AE45-CEE1-88E5-07BB-78F0EE2896BF}"/>
            </a:ext>
          </a:extLst>
        </xdr:cNvPr>
        <xdr:cNvSpPr/>
      </xdr:nvSpPr>
      <xdr:spPr>
        <a:xfrm>
          <a:off x="37207825" y="20362754"/>
          <a:ext cx="981075" cy="3009900"/>
        </a:xfrm>
        <a:prstGeom prst="rect">
          <a:avLst/>
        </a:prstGeom>
        <a:gradFill flip="none" rotWithShape="1">
          <a:gsLst>
            <a:gs pos="0">
              <a:srgbClr val="92D050">
                <a:alpha val="75000"/>
              </a:srgbClr>
            </a:gs>
            <a:gs pos="82051">
              <a:srgbClr val="92D050">
                <a:alpha val="75000"/>
              </a:srgbClr>
            </a:gs>
            <a:gs pos="82051">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LET015</a:t>
          </a:r>
        </a:p>
        <a:p>
          <a:pPr algn="l"/>
          <a:r>
            <a:rPr lang="en-US" sz="1200" kern="1200">
              <a:solidFill>
                <a:srgbClr val="000000"/>
              </a:solidFill>
            </a:rPr>
            <a:t>$427</a:t>
          </a:r>
        </a:p>
        <a:p>
          <a:pPr algn="l"/>
          <a:r>
            <a:rPr lang="en-US" sz="1200" kern="1200">
              <a:solidFill>
                <a:srgbClr val="000000"/>
              </a:solidFill>
            </a:rPr>
            <a:t>Rouge D'Hiver</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07/13 - 07/27</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55</xdr:col>
      <xdr:colOff>977900</xdr:colOff>
      <xdr:row>37</xdr:row>
      <xdr:rowOff>425886</xdr:rowOff>
    </xdr:from>
    <xdr:to>
      <xdr:col>56</xdr:col>
      <xdr:colOff>977900</xdr:colOff>
      <xdr:row>42</xdr:row>
      <xdr:rowOff>311586</xdr:rowOff>
    </xdr:to>
    <xdr:sp macro="" textlink="">
      <xdr:nvSpPr>
        <xdr:cNvPr id="62" name="LET018">
          <a:extLst>
            <a:ext uri="{FF2B5EF4-FFF2-40B4-BE49-F238E27FC236}">
              <a16:creationId xmlns:a16="http://schemas.microsoft.com/office/drawing/2014/main" id="{FF248C19-171B-FF4C-7BD2-654840D7D493}"/>
            </a:ext>
          </a:extLst>
        </xdr:cNvPr>
        <xdr:cNvSpPr/>
      </xdr:nvSpPr>
      <xdr:spPr>
        <a:xfrm>
          <a:off x="57804050" y="20437911"/>
          <a:ext cx="981075" cy="2743200"/>
        </a:xfrm>
        <a:prstGeom prst="rect">
          <a:avLst/>
        </a:prstGeom>
        <a:gradFill flip="none" rotWithShape="1">
          <a:gsLst>
            <a:gs pos="0">
              <a:srgbClr val="92D050">
                <a:alpha val="75000"/>
              </a:srgbClr>
            </a:gs>
            <a:gs pos="61972">
              <a:srgbClr val="92D050">
                <a:alpha val="75000"/>
              </a:srgbClr>
            </a:gs>
            <a:gs pos="6197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LET018</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06/25 - 07/22</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12</xdr:col>
      <xdr:colOff>517069</xdr:colOff>
      <xdr:row>38</xdr:row>
      <xdr:rowOff>79854</xdr:rowOff>
    </xdr:from>
    <xdr:to>
      <xdr:col>13</xdr:col>
      <xdr:colOff>26532</xdr:colOff>
      <xdr:row>42</xdr:row>
      <xdr:rowOff>460854</xdr:rowOff>
    </xdr:to>
    <xdr:sp macro="" textlink="">
      <xdr:nvSpPr>
        <xdr:cNvPr id="30" name="CIL005">
          <a:extLst>
            <a:ext uri="{FF2B5EF4-FFF2-40B4-BE49-F238E27FC236}">
              <a16:creationId xmlns:a16="http://schemas.microsoft.com/office/drawing/2014/main" id="{6EEB6AB8-07BE-7C79-526A-99A00C4088F7}"/>
            </a:ext>
          </a:extLst>
        </xdr:cNvPr>
        <xdr:cNvSpPr/>
      </xdr:nvSpPr>
      <xdr:spPr>
        <a:xfrm>
          <a:off x="15156994" y="20663379"/>
          <a:ext cx="490538" cy="2667000"/>
        </a:xfrm>
        <a:prstGeom prst="rect">
          <a:avLst/>
        </a:prstGeom>
        <a:gradFill flip="none" rotWithShape="1">
          <a:gsLst>
            <a:gs pos="0">
              <a:srgbClr val="FFE699">
                <a:alpha val="75000"/>
              </a:srgbClr>
            </a:gs>
            <a:gs pos="79710">
              <a:srgbClr val="FFE699">
                <a:alpha val="75000"/>
              </a:srgbClr>
            </a:gs>
            <a:gs pos="79710">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CIL005</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07/12 - 07/26</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537478</xdr:colOff>
      <xdr:row>38</xdr:row>
      <xdr:rowOff>79854</xdr:rowOff>
    </xdr:from>
    <xdr:to>
      <xdr:col>13</xdr:col>
      <xdr:colOff>46941</xdr:colOff>
      <xdr:row>42</xdr:row>
      <xdr:rowOff>346554</xdr:rowOff>
    </xdr:to>
    <xdr:sp macro="" textlink="">
      <xdr:nvSpPr>
        <xdr:cNvPr id="29" name="CIL006">
          <a:extLst>
            <a:ext uri="{FF2B5EF4-FFF2-40B4-BE49-F238E27FC236}">
              <a16:creationId xmlns:a16="http://schemas.microsoft.com/office/drawing/2014/main" id="{D9CF1D15-8C8A-8235-395A-7B7B9D77E94A}"/>
            </a:ext>
          </a:extLst>
        </xdr:cNvPr>
        <xdr:cNvSpPr/>
      </xdr:nvSpPr>
      <xdr:spPr>
        <a:xfrm>
          <a:off x="15177403" y="20663379"/>
          <a:ext cx="490538" cy="2552700"/>
        </a:xfrm>
        <a:prstGeom prst="rect">
          <a:avLst/>
        </a:prstGeom>
        <a:gradFill flip="none" rotWithShape="1">
          <a:gsLst>
            <a:gs pos="0">
              <a:srgbClr val="FFE699">
                <a:alpha val="75000"/>
              </a:srgbClr>
            </a:gs>
            <a:gs pos="78788">
              <a:srgbClr val="FFE699">
                <a:alpha val="75000"/>
              </a:srgbClr>
            </a:gs>
            <a:gs pos="78788">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CIL006</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07/09 - 07/23</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27214</xdr:colOff>
      <xdr:row>38</xdr:row>
      <xdr:rowOff>79854</xdr:rowOff>
    </xdr:from>
    <xdr:to>
      <xdr:col>12</xdr:col>
      <xdr:colOff>517752</xdr:colOff>
      <xdr:row>43</xdr:row>
      <xdr:rowOff>232254</xdr:rowOff>
    </xdr:to>
    <xdr:sp macro="" textlink="">
      <xdr:nvSpPr>
        <xdr:cNvPr id="43" name="DIL004">
          <a:extLst>
            <a:ext uri="{FF2B5EF4-FFF2-40B4-BE49-F238E27FC236}">
              <a16:creationId xmlns:a16="http://schemas.microsoft.com/office/drawing/2014/main" id="{5B55783E-B6EC-F4FB-7936-8EE254452950}"/>
            </a:ext>
          </a:extLst>
        </xdr:cNvPr>
        <xdr:cNvSpPr/>
      </xdr:nvSpPr>
      <xdr:spPr>
        <a:xfrm>
          <a:off x="14667139" y="20663379"/>
          <a:ext cx="490538" cy="3009900"/>
        </a:xfrm>
        <a:prstGeom prst="rect">
          <a:avLst/>
        </a:prstGeom>
        <a:gradFill flip="none" rotWithShape="1">
          <a:gsLst>
            <a:gs pos="0">
              <a:srgbClr val="FFC000">
                <a:alpha val="75000"/>
              </a:srgbClr>
            </a:gs>
            <a:gs pos="78205">
              <a:srgbClr val="FFC000">
                <a:alpha val="75000"/>
              </a:srgbClr>
            </a:gs>
            <a:gs pos="78205">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DIL004</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07/18 - 08/04</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12</xdr:col>
      <xdr:colOff>13606</xdr:colOff>
      <xdr:row>38</xdr:row>
      <xdr:rowOff>79854</xdr:rowOff>
    </xdr:from>
    <xdr:to>
      <xdr:col>12</xdr:col>
      <xdr:colOff>504144</xdr:colOff>
      <xdr:row>42</xdr:row>
      <xdr:rowOff>308454</xdr:rowOff>
    </xdr:to>
    <xdr:sp macro="" textlink="">
      <xdr:nvSpPr>
        <xdr:cNvPr id="42" name="DIL005">
          <a:extLst>
            <a:ext uri="{FF2B5EF4-FFF2-40B4-BE49-F238E27FC236}">
              <a16:creationId xmlns:a16="http://schemas.microsoft.com/office/drawing/2014/main" id="{8E93C031-6803-04DD-727D-153800398A8D}"/>
            </a:ext>
          </a:extLst>
        </xdr:cNvPr>
        <xdr:cNvSpPr/>
      </xdr:nvSpPr>
      <xdr:spPr>
        <a:xfrm>
          <a:off x="14653531" y="20663379"/>
          <a:ext cx="490538" cy="2514600"/>
        </a:xfrm>
        <a:prstGeom prst="rect">
          <a:avLst/>
        </a:prstGeom>
        <a:gradFill flip="none" rotWithShape="1">
          <a:gsLst>
            <a:gs pos="0">
              <a:srgbClr val="FFC000">
                <a:alpha val="75000"/>
              </a:srgbClr>
            </a:gs>
            <a:gs pos="73846">
              <a:srgbClr val="FFC000">
                <a:alpha val="75000"/>
              </a:srgbClr>
            </a:gs>
            <a:gs pos="73846">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DIL005</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07/05 - 07/22</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56</xdr:col>
      <xdr:colOff>979487</xdr:colOff>
      <xdr:row>38</xdr:row>
      <xdr:rowOff>79854</xdr:rowOff>
    </xdr:from>
    <xdr:to>
      <xdr:col>57</xdr:col>
      <xdr:colOff>979487</xdr:colOff>
      <xdr:row>42</xdr:row>
      <xdr:rowOff>460854</xdr:rowOff>
    </xdr:to>
    <xdr:sp macro="" textlink="">
      <xdr:nvSpPr>
        <xdr:cNvPr id="61" name="LET019">
          <a:extLst>
            <a:ext uri="{FF2B5EF4-FFF2-40B4-BE49-F238E27FC236}">
              <a16:creationId xmlns:a16="http://schemas.microsoft.com/office/drawing/2014/main" id="{24CC51DE-BE0D-95BB-03E3-0B6304F4BACC}"/>
            </a:ext>
          </a:extLst>
        </xdr:cNvPr>
        <xdr:cNvSpPr/>
      </xdr:nvSpPr>
      <xdr:spPr>
        <a:xfrm>
          <a:off x="58786712" y="20663379"/>
          <a:ext cx="981075" cy="2667000"/>
        </a:xfrm>
        <a:prstGeom prst="rect">
          <a:avLst/>
        </a:prstGeom>
        <a:gradFill flip="none" rotWithShape="1">
          <a:gsLst>
            <a:gs pos="0">
              <a:srgbClr val="92D050">
                <a:alpha val="75000"/>
              </a:srgbClr>
            </a:gs>
            <a:gs pos="60870">
              <a:srgbClr val="92D050">
                <a:alpha val="75000"/>
              </a:srgbClr>
            </a:gs>
            <a:gs pos="60870">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LET019</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06/29 - 07/26</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21</xdr:col>
      <xdr:colOff>631665</xdr:colOff>
      <xdr:row>38</xdr:row>
      <xdr:rowOff>79854</xdr:rowOff>
    </xdr:from>
    <xdr:to>
      <xdr:col>22</xdr:col>
      <xdr:colOff>1615</xdr:colOff>
      <xdr:row>43</xdr:row>
      <xdr:rowOff>3654</xdr:rowOff>
    </xdr:to>
    <xdr:sp macro="" textlink="">
      <xdr:nvSpPr>
        <xdr:cNvPr id="57" name="SCA635">
          <a:extLst>
            <a:ext uri="{FF2B5EF4-FFF2-40B4-BE49-F238E27FC236}">
              <a16:creationId xmlns:a16="http://schemas.microsoft.com/office/drawing/2014/main" id="{54EBF904-8EB7-0750-B538-CAD705BCA54D}"/>
            </a:ext>
          </a:extLst>
        </xdr:cNvPr>
        <xdr:cNvSpPr/>
      </xdr:nvSpPr>
      <xdr:spPr>
        <a:xfrm>
          <a:off x="27451077" y="6922913"/>
          <a:ext cx="490538" cy="2762623"/>
        </a:xfrm>
        <a:prstGeom prst="rect">
          <a:avLst/>
        </a:prstGeom>
        <a:gradFill flip="none" rotWithShape="1">
          <a:gsLst>
            <a:gs pos="0">
              <a:srgbClr val="BFBFBF">
                <a:alpha val="75000"/>
              </a:srgbClr>
            </a:gs>
            <a:gs pos="80556">
              <a:srgbClr val="BFBFBF">
                <a:alpha val="75000"/>
              </a:srgbClr>
            </a:gs>
            <a:gs pos="80556">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Scallion</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SCA635</a:t>
          </a:r>
        </a:p>
        <a:p>
          <a:pPr algn="l"/>
          <a:r>
            <a:rPr lang="en-US" sz="800">
              <a:solidFill>
                <a:srgbClr val="000000"/>
              </a:solidFill>
            </a:rPr>
            <a:t>$250</a:t>
          </a:r>
        </a:p>
        <a:p>
          <a:pPr algn="l"/>
          <a:r>
            <a:rPr lang="en-US" sz="800">
              <a:solidFill>
                <a:srgbClr val="000000"/>
              </a:solidFill>
            </a:rPr>
            <a:t>Scallion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6"</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07/15 - 07/29</a:t>
          </a:r>
        </a:p>
        <a:p>
          <a:pPr algn="l"/>
          <a:r>
            <a:rPr lang="en-US" sz="800">
              <a:solidFill>
                <a:srgbClr val="000000"/>
              </a:solidFill>
            </a:rPr>
            <a:t> 1.5'</a:t>
          </a:r>
        </a:p>
        <a:p>
          <a:pPr algn="l"/>
          <a:r>
            <a:rPr lang="en-US" sz="800">
              <a:solidFill>
                <a:srgbClr val="000000"/>
              </a:solidFill>
            </a:rPr>
            <a:t>None</a:t>
          </a:r>
        </a:p>
      </xdr:txBody>
    </xdr:sp>
    <xdr:clientData/>
  </xdr:twoCellAnchor>
  <xdr:twoCellAnchor>
    <xdr:from>
      <xdr:col>59</xdr:col>
      <xdr:colOff>977446</xdr:colOff>
      <xdr:row>38</xdr:row>
      <xdr:rowOff>117432</xdr:rowOff>
    </xdr:from>
    <xdr:to>
      <xdr:col>60</xdr:col>
      <xdr:colOff>977446</xdr:colOff>
      <xdr:row>46</xdr:row>
      <xdr:rowOff>231732</xdr:rowOff>
    </xdr:to>
    <xdr:sp macro="" textlink="">
      <xdr:nvSpPr>
        <xdr:cNvPr id="7" name="SUM001">
          <a:extLst>
            <a:ext uri="{FF2B5EF4-FFF2-40B4-BE49-F238E27FC236}">
              <a16:creationId xmlns:a16="http://schemas.microsoft.com/office/drawing/2014/main" id="{8218CED7-D32A-4C8E-BB27-F14B95E51330}"/>
            </a:ext>
          </a:extLst>
        </xdr:cNvPr>
        <xdr:cNvSpPr/>
      </xdr:nvSpPr>
      <xdr:spPr>
        <a:xfrm>
          <a:off x="61727896" y="20700957"/>
          <a:ext cx="981075" cy="4686300"/>
        </a:xfrm>
        <a:prstGeom prst="rect">
          <a:avLst/>
        </a:prstGeom>
        <a:gradFill flip="none" rotWithShape="1">
          <a:gsLst>
            <a:gs pos="0">
              <a:srgbClr val="F4B084">
                <a:alpha val="75000"/>
              </a:srgbClr>
            </a:gs>
            <a:gs pos="22131">
              <a:srgbClr val="F4B084">
                <a:alpha val="75000"/>
              </a:srgbClr>
            </a:gs>
            <a:gs pos="22131">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Summer Squash</a:t>
          </a:r>
        </a:p>
        <a:p>
          <a:pPr algn="l"/>
          <a:r>
            <a:rPr lang="en-US" sz="1200" kern="1200">
              <a:solidFill>
                <a:srgbClr val="000000"/>
              </a:solidFill>
            </a:rPr>
            <a:t>Long Season</a:t>
          </a:r>
        </a:p>
        <a:p>
          <a:pPr algn="l"/>
          <a:r>
            <a:rPr lang="en-US" sz="1200" kern="1200">
              <a:solidFill>
                <a:srgbClr val="000000"/>
              </a:solidFill>
            </a:rPr>
            <a:t>Field</a:t>
          </a:r>
        </a:p>
        <a:p>
          <a:pPr algn="l"/>
          <a:r>
            <a:rPr lang="en-US" sz="1200" kern="1200">
              <a:solidFill>
                <a:srgbClr val="000000"/>
              </a:solidFill>
            </a:rPr>
            <a:t>SUM001</a:t>
          </a:r>
        </a:p>
        <a:p>
          <a:pPr algn="l"/>
          <a:r>
            <a:rPr lang="en-US" sz="1200" kern="1200">
              <a:solidFill>
                <a:srgbClr val="000000"/>
              </a:solidFill>
            </a:rPr>
            <a:t>$643</a:t>
          </a:r>
        </a:p>
        <a:p>
          <a:pPr algn="l"/>
          <a:r>
            <a:rPr lang="en-US" sz="1200" kern="1200">
              <a:solidFill>
                <a:srgbClr val="000000"/>
              </a:solidFill>
            </a:rPr>
            <a:t>Centercut</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06/15 - 09/18</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49</xdr:col>
      <xdr:colOff>1096295</xdr:colOff>
      <xdr:row>38</xdr:row>
      <xdr:rowOff>267743</xdr:rowOff>
    </xdr:from>
    <xdr:to>
      <xdr:col>51</xdr:col>
      <xdr:colOff>1096295</xdr:colOff>
      <xdr:row>45</xdr:row>
      <xdr:rowOff>115343</xdr:rowOff>
    </xdr:to>
    <xdr:sp macro="" textlink="">
      <xdr:nvSpPr>
        <xdr:cNvPr id="10" name="SUM002">
          <a:extLst>
            <a:ext uri="{FF2B5EF4-FFF2-40B4-BE49-F238E27FC236}">
              <a16:creationId xmlns:a16="http://schemas.microsoft.com/office/drawing/2014/main" id="{7C2DADC5-BA3C-495A-8875-3A682DF52C02}"/>
            </a:ext>
          </a:extLst>
        </xdr:cNvPr>
        <xdr:cNvSpPr/>
      </xdr:nvSpPr>
      <xdr:spPr>
        <a:xfrm>
          <a:off x="59292177" y="7110802"/>
          <a:ext cx="2241177" cy="3821953"/>
        </a:xfrm>
        <a:prstGeom prst="rect">
          <a:avLst/>
        </a:prstGeom>
        <a:gradFill flip="none" rotWithShape="1">
          <a:gsLst>
            <a:gs pos="0">
              <a:srgbClr val="F4B084">
                <a:alpha val="75000"/>
              </a:srgbClr>
            </a:gs>
            <a:gs pos="23000">
              <a:srgbClr val="F4B084">
                <a:alpha val="75000"/>
              </a:srgbClr>
            </a:gs>
            <a:gs pos="23000">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Summer Squash</a:t>
          </a:r>
        </a:p>
        <a:p>
          <a:pPr algn="l"/>
          <a:r>
            <a:rPr lang="en-US" sz="1200" kern="1200">
              <a:solidFill>
                <a:srgbClr val="000000"/>
              </a:solidFill>
            </a:rPr>
            <a:t>Short Season</a:t>
          </a:r>
        </a:p>
        <a:p>
          <a:pPr algn="l"/>
          <a:r>
            <a:rPr lang="en-US" sz="1200" kern="1200">
              <a:solidFill>
                <a:srgbClr val="000000"/>
              </a:solidFill>
            </a:rPr>
            <a:t>Field</a:t>
          </a:r>
        </a:p>
        <a:p>
          <a:pPr algn="l"/>
          <a:r>
            <a:rPr lang="en-US" sz="1200" kern="1200">
              <a:solidFill>
                <a:srgbClr val="000000"/>
              </a:solidFill>
            </a:rPr>
            <a:t>SUM002</a:t>
          </a:r>
        </a:p>
        <a:p>
          <a:pPr algn="l"/>
          <a:r>
            <a:rPr lang="en-US" sz="1200" kern="1200">
              <a:solidFill>
                <a:srgbClr val="000000"/>
              </a:solidFill>
            </a:rPr>
            <a:t>$750</a:t>
          </a:r>
        </a:p>
        <a:p>
          <a:pPr algn="l"/>
          <a:r>
            <a:rPr lang="en-US" sz="1200" kern="1200">
              <a:solidFill>
                <a:srgbClr val="000000"/>
              </a:solidFill>
            </a:rPr>
            <a:t>Summer Squash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06/15 - 08/31</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5</xdr:col>
      <xdr:colOff>978126</xdr:colOff>
      <xdr:row>38</xdr:row>
      <xdr:rowOff>380478</xdr:rowOff>
    </xdr:from>
    <xdr:to>
      <xdr:col>6</xdr:col>
      <xdr:colOff>978126</xdr:colOff>
      <xdr:row>45</xdr:row>
      <xdr:rowOff>380478</xdr:rowOff>
    </xdr:to>
    <xdr:sp macro="" textlink="">
      <xdr:nvSpPr>
        <xdr:cNvPr id="2631" name="BAS001">
          <a:extLst>
            <a:ext uri="{FF2B5EF4-FFF2-40B4-BE49-F238E27FC236}">
              <a16:creationId xmlns:a16="http://schemas.microsoft.com/office/drawing/2014/main" id="{C0EF2565-3872-9471-9D5D-74DADC6BEDDB}"/>
            </a:ext>
          </a:extLst>
        </xdr:cNvPr>
        <xdr:cNvSpPr/>
      </xdr:nvSpPr>
      <xdr:spPr>
        <a:xfrm>
          <a:off x="8750526" y="20964003"/>
          <a:ext cx="981075" cy="4000500"/>
        </a:xfrm>
        <a:prstGeom prst="rect">
          <a:avLst/>
        </a:prstGeom>
        <a:gradFill flip="none" rotWithShape="1">
          <a:gsLst>
            <a:gs pos="0">
              <a:srgbClr val="FFE699">
                <a:alpha val="75000"/>
              </a:srgbClr>
            </a:gs>
            <a:gs pos="52885">
              <a:srgbClr val="FFE699">
                <a:alpha val="75000"/>
              </a:srgbClr>
            </a:gs>
            <a:gs pos="5288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Basil</a:t>
          </a:r>
        </a:p>
        <a:p>
          <a:pPr algn="l"/>
          <a:r>
            <a:rPr lang="en-US" sz="1200" kern="1200">
              <a:solidFill>
                <a:srgbClr val="000000"/>
              </a:solidFill>
            </a:rPr>
            <a:t>Interplant</a:t>
          </a:r>
        </a:p>
        <a:p>
          <a:pPr algn="l"/>
          <a:r>
            <a:rPr lang="en-US" sz="1200" kern="1200">
              <a:solidFill>
                <a:srgbClr val="000000"/>
              </a:solidFill>
            </a:rPr>
            <a:t>Tunnel</a:t>
          </a:r>
        </a:p>
        <a:p>
          <a:pPr algn="l"/>
          <a:r>
            <a:rPr lang="en-US" sz="1200" kern="1200">
              <a:solidFill>
                <a:srgbClr val="000000"/>
              </a:solidFill>
            </a:rPr>
            <a:t>BAS001</a:t>
          </a:r>
        </a:p>
        <a:p>
          <a:pPr algn="l"/>
          <a:r>
            <a:rPr lang="en-US" sz="1200" kern="1200">
              <a:solidFill>
                <a:srgbClr val="000000"/>
              </a:solidFill>
            </a:rPr>
            <a:t>$81</a:t>
          </a:r>
        </a:p>
        <a:p>
          <a:pPr algn="l"/>
          <a:r>
            <a:rPr lang="en-US" sz="1200" kern="1200">
              <a:solidFill>
                <a:srgbClr val="000000"/>
              </a:solidFill>
            </a:rPr>
            <a:t>Basil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07/20 - 09/07</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43</xdr:col>
      <xdr:colOff>14062</xdr:colOff>
      <xdr:row>38</xdr:row>
      <xdr:rowOff>380478</xdr:rowOff>
    </xdr:from>
    <xdr:to>
      <xdr:col>44</xdr:col>
      <xdr:colOff>14062</xdr:colOff>
      <xdr:row>46</xdr:row>
      <xdr:rowOff>304278</xdr:rowOff>
    </xdr:to>
    <xdr:sp macro="" textlink="">
      <xdr:nvSpPr>
        <xdr:cNvPr id="16" name="CUC003">
          <a:extLst>
            <a:ext uri="{FF2B5EF4-FFF2-40B4-BE49-F238E27FC236}">
              <a16:creationId xmlns:a16="http://schemas.microsoft.com/office/drawing/2014/main" id="{D80CAF21-FE74-0BEE-796F-A35DB982BFBB}"/>
            </a:ext>
          </a:extLst>
        </xdr:cNvPr>
        <xdr:cNvSpPr/>
      </xdr:nvSpPr>
      <xdr:spPr>
        <a:xfrm>
          <a:off x="45067312" y="20964003"/>
          <a:ext cx="981075" cy="4495800"/>
        </a:xfrm>
        <a:prstGeom prst="rect">
          <a:avLst/>
        </a:prstGeom>
        <a:gradFill flip="none" rotWithShape="1">
          <a:gsLst>
            <a:gs pos="0">
              <a:srgbClr val="C6E0B4">
                <a:alpha val="75000"/>
              </a:srgbClr>
            </a:gs>
            <a:gs pos="34188">
              <a:srgbClr val="C6E0B4">
                <a:alpha val="75000"/>
              </a:srgbClr>
            </a:gs>
            <a:gs pos="34188">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Cucumber</a:t>
          </a:r>
        </a:p>
        <a:p>
          <a:pPr algn="l"/>
          <a:r>
            <a:rPr lang="en-US" sz="1200" kern="1200">
              <a:solidFill>
                <a:srgbClr val="000000"/>
              </a:solidFill>
            </a:rPr>
            <a:t>Asian Long</a:t>
          </a:r>
        </a:p>
        <a:p>
          <a:pPr algn="l"/>
          <a:r>
            <a:rPr lang="en-US" sz="1200" kern="1200">
              <a:solidFill>
                <a:srgbClr val="000000"/>
              </a:solidFill>
            </a:rPr>
            <a:t>Field</a:t>
          </a:r>
        </a:p>
        <a:p>
          <a:pPr algn="l"/>
          <a:r>
            <a:rPr lang="en-US" sz="1200" kern="1200">
              <a:solidFill>
                <a:srgbClr val="000000"/>
              </a:solidFill>
            </a:rPr>
            <a:t>CUC003</a:t>
          </a:r>
        </a:p>
        <a:p>
          <a:pPr algn="l"/>
          <a:r>
            <a:rPr lang="en-US" sz="1200" kern="1200">
              <a:solidFill>
                <a:srgbClr val="000000"/>
              </a:solidFill>
            </a:rPr>
            <a:t>$1,080</a:t>
          </a:r>
        </a:p>
        <a:p>
          <a:pPr algn="l"/>
          <a:r>
            <a:rPr lang="en-US" sz="1200" kern="1200">
              <a:solidFill>
                <a:srgbClr val="000000"/>
              </a:solidFill>
            </a:rPr>
            <a:t>Asian Cucumber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07/05 - 09/20</a:t>
          </a:r>
        </a:p>
        <a:p>
          <a:pPr algn="l"/>
          <a:r>
            <a:rPr lang="en-US" sz="1200" kern="1200">
              <a:solidFill>
                <a:srgbClr val="000000"/>
              </a:solidFill>
            </a:rPr>
            <a:t>DR 6'</a:t>
          </a:r>
        </a:p>
        <a:p>
          <a:pPr algn="l"/>
          <a:r>
            <a:rPr lang="en-US" sz="1200" kern="1200">
              <a:solidFill>
                <a:srgbClr val="000000"/>
              </a:solidFill>
            </a:rPr>
            <a:t>None</a:t>
          </a:r>
        </a:p>
      </xdr:txBody>
    </xdr:sp>
    <xdr:clientData/>
  </xdr:twoCellAnchor>
  <xdr:twoCellAnchor>
    <xdr:from>
      <xdr:col>44</xdr:col>
      <xdr:colOff>18369</xdr:colOff>
      <xdr:row>38</xdr:row>
      <xdr:rowOff>380478</xdr:rowOff>
    </xdr:from>
    <xdr:to>
      <xdr:col>45</xdr:col>
      <xdr:colOff>18369</xdr:colOff>
      <xdr:row>46</xdr:row>
      <xdr:rowOff>304278</xdr:rowOff>
    </xdr:to>
    <xdr:sp macro="" textlink="">
      <xdr:nvSpPr>
        <xdr:cNvPr id="2505" name="CUC004">
          <a:extLst>
            <a:ext uri="{FF2B5EF4-FFF2-40B4-BE49-F238E27FC236}">
              <a16:creationId xmlns:a16="http://schemas.microsoft.com/office/drawing/2014/main" id="{41037635-AF45-4E53-2B2F-FD9F51422DF3}"/>
            </a:ext>
          </a:extLst>
        </xdr:cNvPr>
        <xdr:cNvSpPr/>
      </xdr:nvSpPr>
      <xdr:spPr>
        <a:xfrm>
          <a:off x="46052694" y="20964003"/>
          <a:ext cx="981075" cy="4495800"/>
        </a:xfrm>
        <a:prstGeom prst="rect">
          <a:avLst/>
        </a:prstGeom>
        <a:gradFill flip="none" rotWithShape="1">
          <a:gsLst>
            <a:gs pos="0">
              <a:srgbClr val="C6E0B4">
                <a:alpha val="75000"/>
              </a:srgbClr>
            </a:gs>
            <a:gs pos="34188">
              <a:srgbClr val="C6E0B4">
                <a:alpha val="75000"/>
              </a:srgbClr>
            </a:gs>
            <a:gs pos="34188">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Cucumber</a:t>
          </a:r>
        </a:p>
        <a:p>
          <a:pPr algn="l"/>
          <a:r>
            <a:rPr lang="en-US" sz="1200" kern="1200">
              <a:solidFill>
                <a:srgbClr val="000000"/>
              </a:solidFill>
            </a:rPr>
            <a:t>Slicer</a:t>
          </a:r>
        </a:p>
        <a:p>
          <a:pPr algn="l"/>
          <a:r>
            <a:rPr lang="en-US" sz="1200" kern="1200">
              <a:solidFill>
                <a:srgbClr val="000000"/>
              </a:solidFill>
            </a:rPr>
            <a:t>Field</a:t>
          </a:r>
        </a:p>
        <a:p>
          <a:pPr algn="l"/>
          <a:r>
            <a:rPr lang="en-US" sz="1200" kern="1200">
              <a:solidFill>
                <a:srgbClr val="000000"/>
              </a:solidFill>
            </a:rPr>
            <a:t>CUC004</a:t>
          </a:r>
        </a:p>
        <a:p>
          <a:pPr algn="l"/>
          <a:r>
            <a:rPr lang="en-US" sz="1200" kern="1200">
              <a:solidFill>
                <a:srgbClr val="000000"/>
              </a:solidFill>
            </a:rPr>
            <a:t>$1,080</a:t>
          </a:r>
        </a:p>
        <a:p>
          <a:pPr algn="l"/>
          <a:r>
            <a:rPr lang="en-US" sz="1200" kern="1200">
              <a:solidFill>
                <a:srgbClr val="000000"/>
              </a:solidFill>
            </a:rPr>
            <a:t>Slicing Cucumber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07/05 - 09/20</a:t>
          </a:r>
        </a:p>
        <a:p>
          <a:pPr algn="l"/>
          <a:r>
            <a:rPr lang="en-US" sz="1200" kern="1200">
              <a:solidFill>
                <a:srgbClr val="000000"/>
              </a:solidFill>
            </a:rPr>
            <a:t>DR 6'</a:t>
          </a:r>
        </a:p>
        <a:p>
          <a:pPr algn="l"/>
          <a:r>
            <a:rPr lang="en-US" sz="1200" kern="1200">
              <a:solidFill>
                <a:srgbClr val="000000"/>
              </a:solidFill>
            </a:rPr>
            <a:t>None</a:t>
          </a:r>
        </a:p>
      </xdr:txBody>
    </xdr:sp>
    <xdr:clientData/>
  </xdr:twoCellAnchor>
  <xdr:twoCellAnchor>
    <xdr:from>
      <xdr:col>16</xdr:col>
      <xdr:colOff>1099019</xdr:colOff>
      <xdr:row>38</xdr:row>
      <xdr:rowOff>418057</xdr:rowOff>
    </xdr:from>
    <xdr:to>
      <xdr:col>18</xdr:col>
      <xdr:colOff>1099019</xdr:colOff>
      <xdr:row>44</xdr:row>
      <xdr:rowOff>494257</xdr:rowOff>
    </xdr:to>
    <xdr:sp macro="" textlink="">
      <xdr:nvSpPr>
        <xdr:cNvPr id="2567" name="MEL001">
          <a:extLst>
            <a:ext uri="{FF2B5EF4-FFF2-40B4-BE49-F238E27FC236}">
              <a16:creationId xmlns:a16="http://schemas.microsoft.com/office/drawing/2014/main" id="{1130CEA5-B964-2AB1-2249-6E89182749A9}"/>
            </a:ext>
          </a:extLst>
        </xdr:cNvPr>
        <xdr:cNvSpPr/>
      </xdr:nvSpPr>
      <xdr:spPr>
        <a:xfrm>
          <a:off x="22315490" y="7261116"/>
          <a:ext cx="2241176" cy="3482788"/>
        </a:xfrm>
        <a:prstGeom prst="rect">
          <a:avLst/>
        </a:prstGeom>
        <a:gradFill flip="none" rotWithShape="1">
          <a:gsLst>
            <a:gs pos="0">
              <a:srgbClr val="C6E0B4">
                <a:alpha val="75000"/>
              </a:srgbClr>
            </a:gs>
            <a:gs pos="76923">
              <a:srgbClr val="C6E0B4">
                <a:alpha val="75000"/>
              </a:srgbClr>
            </a:gs>
            <a:gs pos="76923">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Melon</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MEL001</a:t>
          </a:r>
        </a:p>
        <a:p>
          <a:pPr algn="l"/>
          <a:r>
            <a:rPr lang="en-US" sz="1200" kern="1200">
              <a:solidFill>
                <a:srgbClr val="000000"/>
              </a:solidFill>
            </a:rPr>
            <a:t>$900</a:t>
          </a:r>
        </a:p>
        <a:p>
          <a:pPr algn="l"/>
          <a:r>
            <a:rPr lang="en-US" sz="1200" kern="1200">
              <a:solidFill>
                <a:srgbClr val="000000"/>
              </a:solidFill>
            </a:rPr>
            <a:t>Melon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08/05 - 08/26</a:t>
          </a:r>
        </a:p>
        <a:p>
          <a:pPr algn="l"/>
          <a:r>
            <a:rPr lang="en-US" sz="1200" kern="1200">
              <a:solidFill>
                <a:srgbClr val="000000"/>
              </a:solidFill>
            </a:rPr>
            <a:t>DR 2'</a:t>
          </a:r>
        </a:p>
        <a:p>
          <a:pPr algn="l"/>
          <a:r>
            <a:rPr lang="en-US" sz="1200" kern="1200">
              <a:solidFill>
                <a:srgbClr val="000000"/>
              </a:solidFill>
            </a:rPr>
            <a:t>None</a:t>
          </a:r>
        </a:p>
      </xdr:txBody>
    </xdr:sp>
    <xdr:clientData/>
  </xdr:twoCellAnchor>
  <xdr:twoCellAnchor>
    <xdr:from>
      <xdr:col>7</xdr:col>
      <xdr:colOff>26534</xdr:colOff>
      <xdr:row>38</xdr:row>
      <xdr:rowOff>530791</xdr:rowOff>
    </xdr:from>
    <xdr:to>
      <xdr:col>7</xdr:col>
      <xdr:colOff>517072</xdr:colOff>
      <xdr:row>47</xdr:row>
      <xdr:rowOff>416491</xdr:rowOff>
    </xdr:to>
    <xdr:sp macro="" textlink="">
      <xdr:nvSpPr>
        <xdr:cNvPr id="2601" name="CUC001">
          <a:extLst>
            <a:ext uri="{FF2B5EF4-FFF2-40B4-BE49-F238E27FC236}">
              <a16:creationId xmlns:a16="http://schemas.microsoft.com/office/drawing/2014/main" id="{38DF7B0F-3919-A485-CE2F-899500A15FEF}"/>
            </a:ext>
          </a:extLst>
        </xdr:cNvPr>
        <xdr:cNvSpPr/>
      </xdr:nvSpPr>
      <xdr:spPr>
        <a:xfrm>
          <a:off x="9761084" y="21114316"/>
          <a:ext cx="490538" cy="5029200"/>
        </a:xfrm>
        <a:prstGeom prst="rect">
          <a:avLst/>
        </a:prstGeom>
        <a:gradFill flip="none" rotWithShape="1">
          <a:gsLst>
            <a:gs pos="0">
              <a:srgbClr val="C6E0B4">
                <a:alpha val="75000"/>
              </a:srgbClr>
            </a:gs>
            <a:gs pos="19847">
              <a:srgbClr val="C6E0B4">
                <a:alpha val="75000"/>
              </a:srgbClr>
            </a:gs>
            <a:gs pos="19847">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Cucumber</a:t>
          </a:r>
        </a:p>
        <a:p>
          <a:pPr algn="l"/>
          <a:r>
            <a:rPr lang="en-US" sz="800" kern="1200">
              <a:solidFill>
                <a:srgbClr val="000000"/>
              </a:solidFill>
            </a:rPr>
            <a:t>Asian Long</a:t>
          </a:r>
        </a:p>
        <a:p>
          <a:pPr algn="l"/>
          <a:r>
            <a:rPr lang="en-US" sz="800" kern="1200">
              <a:solidFill>
                <a:srgbClr val="000000"/>
              </a:solidFill>
            </a:rPr>
            <a:t>Greenhouse</a:t>
          </a:r>
        </a:p>
        <a:p>
          <a:pPr algn="l"/>
          <a:r>
            <a:rPr lang="en-US" sz="800" kern="1200">
              <a:solidFill>
                <a:srgbClr val="000000"/>
              </a:solidFill>
            </a:rPr>
            <a:t>CUC001</a:t>
          </a:r>
        </a:p>
        <a:p>
          <a:pPr algn="l"/>
          <a:r>
            <a:rPr lang="en-US" sz="800" kern="1200">
              <a:solidFill>
                <a:srgbClr val="000000"/>
              </a:solidFill>
            </a:rPr>
            <a:t>$1,607</a:t>
          </a:r>
        </a:p>
        <a:p>
          <a:pPr algn="l"/>
          <a:r>
            <a:rPr lang="en-US" sz="800" kern="1200">
              <a:solidFill>
                <a:srgbClr val="000000"/>
              </a:solidFill>
            </a:rPr>
            <a:t>Asian Cucumber Mix</a:t>
          </a:r>
        </a:p>
        <a:p>
          <a:pPr algn="l"/>
          <a:endParaRPr lang="en-US" sz="800" kern="1200">
            <a:solidFill>
              <a:srgbClr val="000000"/>
            </a:solidFill>
          </a:endParaRPr>
        </a:p>
        <a:p>
          <a:pPr algn="l"/>
          <a:r>
            <a:rPr lang="en-US" sz="800" kern="1200">
              <a:solidFill>
                <a:srgbClr val="000000"/>
              </a:solidFill>
            </a:rPr>
            <a:t>0.75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06/25 - 10/08</a:t>
          </a:r>
        </a:p>
        <a:p>
          <a:pPr algn="l"/>
          <a:r>
            <a:rPr lang="en-US" sz="800" kern="1200">
              <a:solidFill>
                <a:srgbClr val="000000"/>
              </a:solidFill>
            </a:rPr>
            <a:t> 6'</a:t>
          </a:r>
        </a:p>
        <a:p>
          <a:pPr algn="l"/>
          <a:r>
            <a:rPr lang="en-US" sz="800" kern="1200">
              <a:solidFill>
                <a:srgbClr val="000000"/>
              </a:solidFill>
            </a:rPr>
            <a:t>0</a:t>
          </a:r>
        </a:p>
      </xdr:txBody>
    </xdr:sp>
    <xdr:clientData/>
  </xdr:twoCellAnchor>
  <xdr:twoCellAnchor>
    <xdr:from>
      <xdr:col>6</xdr:col>
      <xdr:colOff>548594</xdr:colOff>
      <xdr:row>38</xdr:row>
      <xdr:rowOff>530791</xdr:rowOff>
    </xdr:from>
    <xdr:to>
      <xdr:col>7</xdr:col>
      <xdr:colOff>58057</xdr:colOff>
      <xdr:row>47</xdr:row>
      <xdr:rowOff>416491</xdr:rowOff>
    </xdr:to>
    <xdr:sp macro="" textlink="">
      <xdr:nvSpPr>
        <xdr:cNvPr id="2600" name="CUC002">
          <a:extLst>
            <a:ext uri="{FF2B5EF4-FFF2-40B4-BE49-F238E27FC236}">
              <a16:creationId xmlns:a16="http://schemas.microsoft.com/office/drawing/2014/main" id="{CC337D8E-16FC-9EBC-53C6-BC3A36573E6C}"/>
            </a:ext>
          </a:extLst>
        </xdr:cNvPr>
        <xdr:cNvSpPr/>
      </xdr:nvSpPr>
      <xdr:spPr>
        <a:xfrm>
          <a:off x="9302069" y="21114316"/>
          <a:ext cx="490538" cy="5029200"/>
        </a:xfrm>
        <a:prstGeom prst="rect">
          <a:avLst/>
        </a:prstGeom>
        <a:gradFill flip="none" rotWithShape="1">
          <a:gsLst>
            <a:gs pos="0">
              <a:srgbClr val="C6E0B4">
                <a:alpha val="75000"/>
              </a:srgbClr>
            </a:gs>
            <a:gs pos="19847">
              <a:srgbClr val="C6E0B4">
                <a:alpha val="75000"/>
              </a:srgbClr>
            </a:gs>
            <a:gs pos="19847">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Cucumber</a:t>
          </a:r>
        </a:p>
        <a:p>
          <a:pPr algn="l"/>
          <a:r>
            <a:rPr lang="en-US" sz="800" kern="1200">
              <a:solidFill>
                <a:srgbClr val="000000"/>
              </a:solidFill>
            </a:rPr>
            <a:t>Lebanese</a:t>
          </a:r>
        </a:p>
        <a:p>
          <a:pPr algn="l"/>
          <a:r>
            <a:rPr lang="en-US" sz="800" kern="1200">
              <a:solidFill>
                <a:srgbClr val="000000"/>
              </a:solidFill>
            </a:rPr>
            <a:t>Greenhouse</a:t>
          </a:r>
        </a:p>
        <a:p>
          <a:pPr algn="l"/>
          <a:r>
            <a:rPr lang="en-US" sz="800" kern="1200">
              <a:solidFill>
                <a:srgbClr val="000000"/>
              </a:solidFill>
            </a:rPr>
            <a:t>CUC002</a:t>
          </a:r>
        </a:p>
        <a:p>
          <a:pPr algn="l"/>
          <a:r>
            <a:rPr lang="en-US" sz="800" kern="1200">
              <a:solidFill>
                <a:srgbClr val="000000"/>
              </a:solidFill>
            </a:rPr>
            <a:t>$714</a:t>
          </a:r>
        </a:p>
        <a:p>
          <a:pPr algn="l"/>
          <a:r>
            <a:rPr lang="en-US" sz="800" kern="1200">
              <a:solidFill>
                <a:srgbClr val="000000"/>
              </a:solidFill>
            </a:rPr>
            <a:t>Lebanese Cucumber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1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06/25 - 10/08</a:t>
          </a:r>
        </a:p>
        <a:p>
          <a:pPr algn="l"/>
          <a:r>
            <a:rPr lang="en-US" sz="800" kern="1200">
              <a:solidFill>
                <a:srgbClr val="000000"/>
              </a:solidFill>
            </a:rPr>
            <a:t> 0'</a:t>
          </a:r>
        </a:p>
        <a:p>
          <a:pPr algn="l"/>
          <a:r>
            <a:rPr lang="en-US" sz="800" kern="1200">
              <a:solidFill>
                <a:srgbClr val="000000"/>
              </a:solidFill>
            </a:rPr>
            <a:t>0</a:t>
          </a:r>
        </a:p>
      </xdr:txBody>
    </xdr:sp>
    <xdr:clientData/>
  </xdr:twoCellAnchor>
  <xdr:twoCellAnchor>
    <xdr:from>
      <xdr:col>7</xdr:col>
      <xdr:colOff>504370</xdr:colOff>
      <xdr:row>38</xdr:row>
      <xdr:rowOff>530791</xdr:rowOff>
    </xdr:from>
    <xdr:to>
      <xdr:col>8</xdr:col>
      <xdr:colOff>13833</xdr:colOff>
      <xdr:row>48</xdr:row>
      <xdr:rowOff>378391</xdr:rowOff>
    </xdr:to>
    <xdr:sp macro="" textlink="">
      <xdr:nvSpPr>
        <xdr:cNvPr id="2527" name="TOM003">
          <a:extLst>
            <a:ext uri="{FF2B5EF4-FFF2-40B4-BE49-F238E27FC236}">
              <a16:creationId xmlns:a16="http://schemas.microsoft.com/office/drawing/2014/main" id="{7A1BA0FD-C535-9F7F-0C45-428CFA0A853A}"/>
            </a:ext>
          </a:extLst>
        </xdr:cNvPr>
        <xdr:cNvSpPr/>
      </xdr:nvSpPr>
      <xdr:spPr>
        <a:xfrm>
          <a:off x="10238920" y="21114316"/>
          <a:ext cx="490538" cy="5562600"/>
        </a:xfrm>
        <a:prstGeom prst="rect">
          <a:avLst/>
        </a:prstGeom>
        <a:gradFill flip="none" rotWithShape="1">
          <a:gsLst>
            <a:gs pos="0">
              <a:srgbClr val="FF5050">
                <a:alpha val="75000"/>
              </a:srgbClr>
            </a:gs>
            <a:gs pos="42069">
              <a:srgbClr val="FF5050">
                <a:alpha val="75000"/>
              </a:srgbClr>
            </a:gs>
            <a:gs pos="42069">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Tomato</a:t>
          </a:r>
        </a:p>
        <a:p>
          <a:pPr algn="l"/>
          <a:r>
            <a:rPr lang="en-US" sz="800" kern="1200">
              <a:solidFill>
                <a:srgbClr val="000000"/>
              </a:solidFill>
            </a:rPr>
            <a:t>Beefsteak</a:t>
          </a:r>
        </a:p>
        <a:p>
          <a:pPr algn="l"/>
          <a:r>
            <a:rPr lang="en-US" sz="800" kern="1200">
              <a:solidFill>
                <a:srgbClr val="000000"/>
              </a:solidFill>
            </a:rPr>
            <a:t>Greenhouse</a:t>
          </a:r>
        </a:p>
        <a:p>
          <a:pPr algn="l"/>
          <a:r>
            <a:rPr lang="en-US" sz="800" kern="1200">
              <a:solidFill>
                <a:srgbClr val="000000"/>
              </a:solidFill>
            </a:rPr>
            <a:t>TOM003</a:t>
          </a:r>
        </a:p>
        <a:p>
          <a:pPr algn="l"/>
          <a:r>
            <a:rPr lang="en-US" sz="800" kern="1200">
              <a:solidFill>
                <a:srgbClr val="000000"/>
              </a:solidFill>
            </a:rPr>
            <a:t>$1,250</a:t>
          </a:r>
        </a:p>
        <a:p>
          <a:pPr algn="l"/>
          <a:r>
            <a:rPr lang="en-US" sz="800" kern="1200">
              <a:solidFill>
                <a:srgbClr val="000000"/>
              </a:solidFill>
            </a:rPr>
            <a:t>Large Tomato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07/30 - 10/22</a:t>
          </a:r>
        </a:p>
        <a:p>
          <a:pPr algn="l"/>
          <a:r>
            <a:rPr lang="en-US" sz="800" kern="1200">
              <a:solidFill>
                <a:srgbClr val="000000"/>
              </a:solidFill>
            </a:rPr>
            <a:t>DR 7'</a:t>
          </a:r>
        </a:p>
        <a:p>
          <a:pPr algn="l"/>
          <a:r>
            <a:rPr lang="en-US" sz="800" kern="1200">
              <a:solidFill>
                <a:srgbClr val="000000"/>
              </a:solidFill>
            </a:rPr>
            <a:t>Young</a:t>
          </a:r>
        </a:p>
      </xdr:txBody>
    </xdr:sp>
    <xdr:clientData/>
  </xdr:twoCellAnchor>
  <xdr:twoCellAnchor>
    <xdr:from>
      <xdr:col>5</xdr:col>
      <xdr:colOff>980165</xdr:colOff>
      <xdr:row>38</xdr:row>
      <xdr:rowOff>530791</xdr:rowOff>
    </xdr:from>
    <xdr:to>
      <xdr:col>6</xdr:col>
      <xdr:colOff>489628</xdr:colOff>
      <xdr:row>48</xdr:row>
      <xdr:rowOff>302191</xdr:rowOff>
    </xdr:to>
    <xdr:sp macro="" textlink="">
      <xdr:nvSpPr>
        <xdr:cNvPr id="2526" name="TOM004">
          <a:extLst>
            <a:ext uri="{FF2B5EF4-FFF2-40B4-BE49-F238E27FC236}">
              <a16:creationId xmlns:a16="http://schemas.microsoft.com/office/drawing/2014/main" id="{89A02E95-712B-C443-6610-B7B5671AC7F4}"/>
            </a:ext>
          </a:extLst>
        </xdr:cNvPr>
        <xdr:cNvSpPr/>
      </xdr:nvSpPr>
      <xdr:spPr>
        <a:xfrm>
          <a:off x="8752565" y="21114316"/>
          <a:ext cx="490538" cy="5486400"/>
        </a:xfrm>
        <a:prstGeom prst="rect">
          <a:avLst/>
        </a:prstGeom>
        <a:gradFill flip="none" rotWithShape="1">
          <a:gsLst>
            <a:gs pos="0">
              <a:srgbClr val="FF5050">
                <a:alpha val="75000"/>
              </a:srgbClr>
            </a:gs>
            <a:gs pos="21678">
              <a:srgbClr val="FF5050">
                <a:alpha val="75000"/>
              </a:srgbClr>
            </a:gs>
            <a:gs pos="2167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Tomato</a:t>
          </a:r>
        </a:p>
        <a:p>
          <a:pPr algn="l"/>
          <a:r>
            <a:rPr lang="en-US" sz="800" kern="1200">
              <a:solidFill>
                <a:srgbClr val="000000"/>
              </a:solidFill>
            </a:rPr>
            <a:t>Cherry</a:t>
          </a:r>
        </a:p>
        <a:p>
          <a:pPr algn="l"/>
          <a:r>
            <a:rPr lang="en-US" sz="800" kern="1200">
              <a:solidFill>
                <a:srgbClr val="000000"/>
              </a:solidFill>
            </a:rPr>
            <a:t>Greenhouse</a:t>
          </a:r>
        </a:p>
        <a:p>
          <a:pPr algn="l"/>
          <a:r>
            <a:rPr lang="en-US" sz="800" kern="1200">
              <a:solidFill>
                <a:srgbClr val="000000"/>
              </a:solidFill>
            </a:rPr>
            <a:t>TOM004</a:t>
          </a:r>
        </a:p>
        <a:p>
          <a:pPr algn="l"/>
          <a:r>
            <a:rPr lang="en-US" sz="800" kern="1200">
              <a:solidFill>
                <a:srgbClr val="000000"/>
              </a:solidFill>
            </a:rPr>
            <a:t>$1,167</a:t>
          </a:r>
        </a:p>
        <a:p>
          <a:pPr algn="l"/>
          <a:r>
            <a:rPr lang="en-US" sz="800" kern="1200">
              <a:solidFill>
                <a:srgbClr val="000000"/>
              </a:solidFill>
            </a:rPr>
            <a:t>Cherry Tomato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06/30 - 10/20</a:t>
          </a:r>
        </a:p>
        <a:p>
          <a:pPr algn="l"/>
          <a:r>
            <a:rPr lang="en-US" sz="800" kern="1200">
              <a:solidFill>
                <a:srgbClr val="000000"/>
              </a:solidFill>
            </a:rPr>
            <a:t>DR 7'</a:t>
          </a:r>
        </a:p>
        <a:p>
          <a:pPr algn="l"/>
          <a:r>
            <a:rPr lang="en-US" sz="800" kern="1200">
              <a:solidFill>
                <a:srgbClr val="000000"/>
              </a:solidFill>
            </a:rPr>
            <a:t>Young</a:t>
          </a:r>
        </a:p>
      </xdr:txBody>
    </xdr:sp>
    <xdr:clientData/>
  </xdr:twoCellAnchor>
  <xdr:twoCellAnchor>
    <xdr:from>
      <xdr:col>65</xdr:col>
      <xdr:colOff>7265</xdr:colOff>
      <xdr:row>38</xdr:row>
      <xdr:rowOff>568368</xdr:rowOff>
    </xdr:from>
    <xdr:to>
      <xdr:col>66</xdr:col>
      <xdr:colOff>7265</xdr:colOff>
      <xdr:row>47</xdr:row>
      <xdr:rowOff>149268</xdr:rowOff>
    </xdr:to>
    <xdr:sp macro="" textlink="">
      <xdr:nvSpPr>
        <xdr:cNvPr id="2582" name="LEM001">
          <a:extLst>
            <a:ext uri="{FF2B5EF4-FFF2-40B4-BE49-F238E27FC236}">
              <a16:creationId xmlns:a16="http://schemas.microsoft.com/office/drawing/2014/main" id="{7DE83EF6-8F81-D747-0D31-5D2C23453809}"/>
            </a:ext>
          </a:extLst>
        </xdr:cNvPr>
        <xdr:cNvSpPr/>
      </xdr:nvSpPr>
      <xdr:spPr>
        <a:xfrm>
          <a:off x="66644165" y="21151893"/>
          <a:ext cx="981075" cy="4724400"/>
        </a:xfrm>
        <a:prstGeom prst="rect">
          <a:avLst/>
        </a:prstGeom>
        <a:gradFill flip="none" rotWithShape="1">
          <a:gsLst>
            <a:gs pos="0">
              <a:srgbClr val="FFD966">
                <a:alpha val="75000"/>
              </a:srgbClr>
            </a:gs>
            <a:gs pos="48780">
              <a:srgbClr val="FFD966">
                <a:alpha val="75000"/>
              </a:srgbClr>
            </a:gs>
            <a:gs pos="48780">
              <a:srgbClr val="FFD966">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Lemongrass</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LEM001</a:t>
          </a:r>
        </a:p>
        <a:p>
          <a:pPr algn="l"/>
          <a:r>
            <a:rPr lang="en-US" sz="1200" kern="1200">
              <a:solidFill>
                <a:srgbClr val="000000"/>
              </a:solidFill>
            </a:rPr>
            <a:t>$2,400</a:t>
          </a:r>
        </a:p>
        <a:p>
          <a:pPr algn="l"/>
          <a:r>
            <a:rPr lang="en-US" sz="1200" kern="1200">
              <a:solidFill>
                <a:srgbClr val="000000"/>
              </a:solidFill>
            </a:rPr>
            <a:t>East Indian Lemongrass</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07/30 - 10/01</a:t>
          </a:r>
        </a:p>
        <a:p>
          <a:pPr algn="l"/>
          <a:r>
            <a:rPr lang="en-US" sz="1200" kern="1200">
              <a:solidFill>
                <a:srgbClr val="000000"/>
              </a:solidFill>
            </a:rPr>
            <a:t> 4'</a:t>
          </a:r>
        </a:p>
        <a:p>
          <a:pPr algn="l"/>
          <a:r>
            <a:rPr lang="en-US" sz="1200" kern="1200">
              <a:solidFill>
                <a:srgbClr val="000000"/>
              </a:solidFill>
            </a:rPr>
            <a:t>None</a:t>
          </a:r>
        </a:p>
      </xdr:txBody>
    </xdr:sp>
    <xdr:clientData/>
  </xdr:twoCellAnchor>
  <xdr:twoCellAnchor>
    <xdr:from>
      <xdr:col>61</xdr:col>
      <xdr:colOff>39686</xdr:colOff>
      <xdr:row>38</xdr:row>
      <xdr:rowOff>568368</xdr:rowOff>
    </xdr:from>
    <xdr:to>
      <xdr:col>63</xdr:col>
      <xdr:colOff>39686</xdr:colOff>
      <xdr:row>48</xdr:row>
      <xdr:rowOff>149268</xdr:rowOff>
    </xdr:to>
    <xdr:sp macro="" textlink="">
      <xdr:nvSpPr>
        <xdr:cNvPr id="2528" name="TOM002">
          <a:extLst>
            <a:ext uri="{FF2B5EF4-FFF2-40B4-BE49-F238E27FC236}">
              <a16:creationId xmlns:a16="http://schemas.microsoft.com/office/drawing/2014/main" id="{0D066E1F-84BF-F1DF-5532-569FBDD0C6E7}"/>
            </a:ext>
          </a:extLst>
        </xdr:cNvPr>
        <xdr:cNvSpPr/>
      </xdr:nvSpPr>
      <xdr:spPr>
        <a:xfrm>
          <a:off x="62752286" y="21151893"/>
          <a:ext cx="1962150" cy="5295900"/>
        </a:xfrm>
        <a:prstGeom prst="rect">
          <a:avLst/>
        </a:prstGeom>
        <a:gradFill flip="none" rotWithShape="1">
          <a:gsLst>
            <a:gs pos="0">
              <a:srgbClr val="FF5050">
                <a:alpha val="75000"/>
              </a:srgbClr>
            </a:gs>
            <a:gs pos="54348">
              <a:srgbClr val="FF5050">
                <a:alpha val="75000"/>
              </a:srgbClr>
            </a:gs>
            <a:gs pos="5434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Tomato</a:t>
          </a:r>
        </a:p>
        <a:p>
          <a:pPr algn="l"/>
          <a:r>
            <a:rPr lang="en-US" sz="1200" kern="1200">
              <a:solidFill>
                <a:srgbClr val="000000"/>
              </a:solidFill>
            </a:rPr>
            <a:t>Beefsteak</a:t>
          </a:r>
        </a:p>
        <a:p>
          <a:pPr algn="l"/>
          <a:r>
            <a:rPr lang="en-US" sz="1200" kern="1200">
              <a:solidFill>
                <a:srgbClr val="000000"/>
              </a:solidFill>
            </a:rPr>
            <a:t>Field</a:t>
          </a:r>
        </a:p>
        <a:p>
          <a:pPr algn="l"/>
          <a:r>
            <a:rPr lang="en-US" sz="1200" kern="1200">
              <a:solidFill>
                <a:srgbClr val="000000"/>
              </a:solidFill>
            </a:rPr>
            <a:t>TOM002</a:t>
          </a:r>
        </a:p>
        <a:p>
          <a:pPr algn="l"/>
          <a:r>
            <a:rPr lang="en-US" sz="1200" kern="1200">
              <a:solidFill>
                <a:srgbClr val="000000"/>
              </a:solidFill>
            </a:rPr>
            <a:t>$3,750</a:t>
          </a:r>
        </a:p>
        <a:p>
          <a:pPr algn="l"/>
          <a:r>
            <a:rPr lang="en-US" sz="1200" kern="1200">
              <a:solidFill>
                <a:srgbClr val="000000"/>
              </a:solidFill>
            </a:rPr>
            <a:t>Large Tomato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08/14 - 10/16</a:t>
          </a:r>
        </a:p>
        <a:p>
          <a:pPr algn="l"/>
          <a:r>
            <a:rPr lang="en-US" sz="1200" kern="1200">
              <a:solidFill>
                <a:srgbClr val="000000"/>
              </a:solidFill>
            </a:rPr>
            <a:t>DR 7'</a:t>
          </a:r>
        </a:p>
        <a:p>
          <a:pPr algn="l"/>
          <a:r>
            <a:rPr lang="en-US" sz="1200" kern="1200">
              <a:solidFill>
                <a:srgbClr val="000000"/>
              </a:solidFill>
            </a:rPr>
            <a:t>Young</a:t>
          </a:r>
        </a:p>
      </xdr:txBody>
    </xdr:sp>
    <xdr:clientData/>
  </xdr:twoCellAnchor>
  <xdr:twoCellAnchor>
    <xdr:from>
      <xdr:col>63</xdr:col>
      <xdr:colOff>25851</xdr:colOff>
      <xdr:row>38</xdr:row>
      <xdr:rowOff>568368</xdr:rowOff>
    </xdr:from>
    <xdr:to>
      <xdr:col>65</xdr:col>
      <xdr:colOff>25851</xdr:colOff>
      <xdr:row>48</xdr:row>
      <xdr:rowOff>149268</xdr:rowOff>
    </xdr:to>
    <xdr:sp macro="" textlink="">
      <xdr:nvSpPr>
        <xdr:cNvPr id="2525" name="TOM005">
          <a:extLst>
            <a:ext uri="{FF2B5EF4-FFF2-40B4-BE49-F238E27FC236}">
              <a16:creationId xmlns:a16="http://schemas.microsoft.com/office/drawing/2014/main" id="{CB093A36-6A34-668D-65F4-DE6A6A656A24}"/>
            </a:ext>
          </a:extLst>
        </xdr:cNvPr>
        <xdr:cNvSpPr/>
      </xdr:nvSpPr>
      <xdr:spPr>
        <a:xfrm>
          <a:off x="64700601" y="21151893"/>
          <a:ext cx="1962150" cy="5295900"/>
        </a:xfrm>
        <a:prstGeom prst="rect">
          <a:avLst/>
        </a:prstGeom>
        <a:gradFill flip="none" rotWithShape="1">
          <a:gsLst>
            <a:gs pos="0">
              <a:srgbClr val="FF5050">
                <a:alpha val="75000"/>
              </a:srgbClr>
            </a:gs>
            <a:gs pos="54348">
              <a:srgbClr val="FF5050">
                <a:alpha val="75000"/>
              </a:srgbClr>
            </a:gs>
            <a:gs pos="5434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Tomato</a:t>
          </a:r>
        </a:p>
        <a:p>
          <a:pPr algn="l"/>
          <a:r>
            <a:rPr lang="en-US" sz="1200" kern="1200">
              <a:solidFill>
                <a:srgbClr val="000000"/>
              </a:solidFill>
            </a:rPr>
            <a:t>Medium</a:t>
          </a:r>
        </a:p>
        <a:p>
          <a:pPr algn="l"/>
          <a:r>
            <a:rPr lang="en-US" sz="1200" kern="1200">
              <a:solidFill>
                <a:srgbClr val="000000"/>
              </a:solidFill>
            </a:rPr>
            <a:t>Field</a:t>
          </a:r>
        </a:p>
        <a:p>
          <a:pPr algn="l"/>
          <a:r>
            <a:rPr lang="en-US" sz="1200" kern="1200">
              <a:solidFill>
                <a:srgbClr val="000000"/>
              </a:solidFill>
            </a:rPr>
            <a:t>TOM005</a:t>
          </a:r>
        </a:p>
        <a:p>
          <a:pPr algn="l"/>
          <a:r>
            <a:rPr lang="en-US" sz="1200" kern="1200">
              <a:solidFill>
                <a:srgbClr val="000000"/>
              </a:solidFill>
            </a:rPr>
            <a:t>$4,200</a:t>
          </a:r>
        </a:p>
        <a:p>
          <a:pPr algn="l"/>
          <a:r>
            <a:rPr lang="en-US" sz="1200" kern="1200">
              <a:solidFill>
                <a:srgbClr val="000000"/>
              </a:solidFill>
            </a:rPr>
            <a:t>Medium Tomato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08/14 - 10/16</a:t>
          </a:r>
        </a:p>
        <a:p>
          <a:pPr algn="l"/>
          <a:r>
            <a:rPr lang="en-US" sz="1200" kern="1200">
              <a:solidFill>
                <a:srgbClr val="000000"/>
              </a:solidFill>
            </a:rPr>
            <a:t>DR 5'</a:t>
          </a:r>
        </a:p>
        <a:p>
          <a:pPr algn="l"/>
          <a:r>
            <a:rPr lang="en-US" sz="1200" kern="1200">
              <a:solidFill>
                <a:srgbClr val="000000"/>
              </a:solidFill>
            </a:rPr>
            <a:t>Young</a:t>
          </a:r>
        </a:p>
      </xdr:txBody>
    </xdr:sp>
    <xdr:clientData/>
  </xdr:twoCellAnchor>
  <xdr:twoCellAnchor>
    <xdr:from>
      <xdr:col>77</xdr:col>
      <xdr:colOff>15877</xdr:colOff>
      <xdr:row>39</xdr:row>
      <xdr:rowOff>147180</xdr:rowOff>
    </xdr:from>
    <xdr:to>
      <xdr:col>78</xdr:col>
      <xdr:colOff>15877</xdr:colOff>
      <xdr:row>50</xdr:row>
      <xdr:rowOff>109080</xdr:rowOff>
    </xdr:to>
    <xdr:sp macro="" textlink="">
      <xdr:nvSpPr>
        <xdr:cNvPr id="19" name="BAS003">
          <a:extLst>
            <a:ext uri="{FF2B5EF4-FFF2-40B4-BE49-F238E27FC236}">
              <a16:creationId xmlns:a16="http://schemas.microsoft.com/office/drawing/2014/main" id="{06D8E618-EEEA-A5E3-C4E4-C28FEA5A58D5}"/>
            </a:ext>
          </a:extLst>
        </xdr:cNvPr>
        <xdr:cNvSpPr/>
      </xdr:nvSpPr>
      <xdr:spPr>
        <a:xfrm>
          <a:off x="78425677" y="21302205"/>
          <a:ext cx="981075" cy="6248400"/>
        </a:xfrm>
        <a:prstGeom prst="rect">
          <a:avLst/>
        </a:prstGeom>
        <a:gradFill flip="none" rotWithShape="1">
          <a:gsLst>
            <a:gs pos="0">
              <a:srgbClr val="FFE699">
                <a:alpha val="75000"/>
              </a:srgbClr>
            </a:gs>
            <a:gs pos="31288">
              <a:srgbClr val="FFE699">
                <a:alpha val="75000"/>
              </a:srgbClr>
            </a:gs>
            <a:gs pos="31288">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Basil</a:t>
          </a:r>
        </a:p>
        <a:p>
          <a:pPr algn="l"/>
          <a:r>
            <a:rPr lang="en-US" sz="1200" kern="1200">
              <a:solidFill>
                <a:srgbClr val="000000"/>
              </a:solidFill>
            </a:rPr>
            <a:t>Tulsi</a:t>
          </a:r>
        </a:p>
        <a:p>
          <a:pPr algn="l"/>
          <a:r>
            <a:rPr lang="en-US" sz="1200" kern="1200">
              <a:solidFill>
                <a:srgbClr val="000000"/>
              </a:solidFill>
            </a:rPr>
            <a:t>Field</a:t>
          </a:r>
        </a:p>
        <a:p>
          <a:pPr algn="l"/>
          <a:r>
            <a:rPr lang="en-US" sz="1200" kern="1200">
              <a:solidFill>
                <a:srgbClr val="000000"/>
              </a:solidFill>
            </a:rPr>
            <a:t>BAS003</a:t>
          </a:r>
        </a:p>
        <a:p>
          <a:pPr algn="l"/>
          <a:r>
            <a:rPr lang="en-US" sz="1200" kern="1200">
              <a:solidFill>
                <a:srgbClr val="000000"/>
              </a:solidFill>
            </a:rPr>
            <a:t>$420</a:t>
          </a:r>
        </a:p>
        <a:p>
          <a:pPr algn="l"/>
          <a:r>
            <a:rPr lang="en-US" sz="1200" kern="1200">
              <a:solidFill>
                <a:srgbClr val="000000"/>
              </a:solidFill>
            </a:rPr>
            <a:t>Tulsi</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2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07/25 - 11/14</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88</xdr:col>
      <xdr:colOff>960890</xdr:colOff>
      <xdr:row>39</xdr:row>
      <xdr:rowOff>147180</xdr:rowOff>
    </xdr:from>
    <xdr:to>
      <xdr:col>89</xdr:col>
      <xdr:colOff>960890</xdr:colOff>
      <xdr:row>45</xdr:row>
      <xdr:rowOff>32880</xdr:rowOff>
    </xdr:to>
    <xdr:sp macro="" textlink="">
      <xdr:nvSpPr>
        <xdr:cNvPr id="6" name="SQU002">
          <a:extLst>
            <a:ext uri="{FF2B5EF4-FFF2-40B4-BE49-F238E27FC236}">
              <a16:creationId xmlns:a16="http://schemas.microsoft.com/office/drawing/2014/main" id="{6E8ED4EE-CEF4-4658-9013-6B086E5713A3}"/>
            </a:ext>
          </a:extLst>
        </xdr:cNvPr>
        <xdr:cNvSpPr/>
      </xdr:nvSpPr>
      <xdr:spPr>
        <a:xfrm>
          <a:off x="90162515" y="21302205"/>
          <a:ext cx="981075" cy="3314700"/>
        </a:xfrm>
        <a:prstGeom prst="rect">
          <a:avLst/>
        </a:prstGeom>
        <a:gradFill flip="none" rotWithShape="1">
          <a:gsLst>
            <a:gs pos="0">
              <a:srgbClr val="F4B084">
                <a:alpha val="75000"/>
              </a:srgbClr>
            </a:gs>
            <a:gs pos="91860">
              <a:srgbClr val="F4B084">
                <a:alpha val="75000"/>
              </a:srgbClr>
            </a:gs>
            <a:gs pos="91860">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Squash</a:t>
          </a:r>
        </a:p>
        <a:p>
          <a:pPr algn="l"/>
          <a:r>
            <a:rPr lang="en-US" sz="1200" kern="1200">
              <a:solidFill>
                <a:srgbClr val="000000"/>
              </a:solidFill>
            </a:rPr>
            <a:t>Delicata</a:t>
          </a:r>
        </a:p>
        <a:p>
          <a:pPr algn="l"/>
          <a:r>
            <a:rPr lang="en-US" sz="1200" kern="1200">
              <a:solidFill>
                <a:srgbClr val="000000"/>
              </a:solidFill>
            </a:rPr>
            <a:t>Field</a:t>
          </a:r>
        </a:p>
        <a:p>
          <a:pPr algn="l"/>
          <a:r>
            <a:rPr lang="en-US" sz="1200" kern="1200">
              <a:solidFill>
                <a:srgbClr val="000000"/>
              </a:solidFill>
            </a:rPr>
            <a:t>SQU002</a:t>
          </a:r>
        </a:p>
        <a:p>
          <a:pPr algn="l"/>
          <a:r>
            <a:rPr lang="en-US" sz="1200" kern="1200">
              <a:solidFill>
                <a:srgbClr val="000000"/>
              </a:solidFill>
            </a:rPr>
            <a:t>$225</a:t>
          </a:r>
        </a:p>
        <a:p>
          <a:pPr algn="l"/>
          <a:r>
            <a:rPr lang="en-US" sz="1200" kern="1200">
              <a:solidFill>
                <a:srgbClr val="000000"/>
              </a:solidFill>
            </a:rPr>
            <a:t>Delicata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36"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08/22 - 08/29</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89</xdr:col>
      <xdr:colOff>950232</xdr:colOff>
      <xdr:row>39</xdr:row>
      <xdr:rowOff>147180</xdr:rowOff>
    </xdr:from>
    <xdr:to>
      <xdr:col>90</xdr:col>
      <xdr:colOff>950232</xdr:colOff>
      <xdr:row>45</xdr:row>
      <xdr:rowOff>32880</xdr:rowOff>
    </xdr:to>
    <xdr:sp macro="" textlink="">
      <xdr:nvSpPr>
        <xdr:cNvPr id="2511" name="SQU004">
          <a:extLst>
            <a:ext uri="{FF2B5EF4-FFF2-40B4-BE49-F238E27FC236}">
              <a16:creationId xmlns:a16="http://schemas.microsoft.com/office/drawing/2014/main" id="{CF5C7BA7-D063-51D0-9060-572185CEEA43}"/>
            </a:ext>
          </a:extLst>
        </xdr:cNvPr>
        <xdr:cNvSpPr/>
      </xdr:nvSpPr>
      <xdr:spPr>
        <a:xfrm>
          <a:off x="91132932" y="21302205"/>
          <a:ext cx="981075" cy="3314700"/>
        </a:xfrm>
        <a:prstGeom prst="rect">
          <a:avLst/>
        </a:prstGeom>
        <a:gradFill flip="none" rotWithShape="1">
          <a:gsLst>
            <a:gs pos="0">
              <a:srgbClr val="F4B084">
                <a:alpha val="75000"/>
              </a:srgbClr>
            </a:gs>
            <a:gs pos="91860">
              <a:srgbClr val="F4B084">
                <a:alpha val="75000"/>
              </a:srgbClr>
            </a:gs>
            <a:gs pos="91860">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Squash</a:t>
          </a:r>
        </a:p>
        <a:p>
          <a:pPr algn="l"/>
          <a:r>
            <a:rPr lang="en-US" sz="1200">
              <a:solidFill>
                <a:srgbClr val="000000"/>
              </a:solidFill>
            </a:rPr>
            <a:t>Kuri</a:t>
          </a:r>
        </a:p>
        <a:p>
          <a:pPr algn="l"/>
          <a:r>
            <a:rPr lang="en-US" sz="1200">
              <a:solidFill>
                <a:srgbClr val="000000"/>
              </a:solidFill>
            </a:rPr>
            <a:t>Field</a:t>
          </a:r>
        </a:p>
        <a:p>
          <a:pPr algn="l"/>
          <a:r>
            <a:rPr lang="en-US" sz="1200">
              <a:solidFill>
                <a:srgbClr val="000000"/>
              </a:solidFill>
            </a:rPr>
            <a:t>SQU004</a:t>
          </a:r>
        </a:p>
        <a:p>
          <a:pPr algn="l"/>
          <a:r>
            <a:rPr lang="en-US" sz="1200">
              <a:solidFill>
                <a:srgbClr val="000000"/>
              </a:solidFill>
            </a:rPr>
            <a:t>$5,400</a:t>
          </a:r>
        </a:p>
        <a:p>
          <a:pPr algn="l"/>
          <a:r>
            <a:rPr lang="en-US" sz="1200">
              <a:solidFill>
                <a:srgbClr val="000000"/>
              </a:solidFill>
            </a:rPr>
            <a:t>Winter Squash Mix</a:t>
          </a:r>
        </a:p>
        <a:p>
          <a:pPr algn="l"/>
          <a:endParaRPr lang="en-US" sz="1200">
            <a:solidFill>
              <a:srgbClr val="000000"/>
            </a:solidFill>
          </a:endParaRPr>
        </a:p>
        <a:p>
          <a:pPr algn="l"/>
          <a:r>
            <a:rPr lang="en-US" sz="1200">
              <a:solidFill>
                <a:srgbClr val="000000"/>
              </a:solidFill>
            </a:rPr>
            <a:t>16 beds</a:t>
          </a:r>
        </a:p>
        <a:p>
          <a:pPr algn="l"/>
          <a:r>
            <a:rPr lang="en-US" sz="1200">
              <a:solidFill>
                <a:srgbClr val="000000"/>
              </a:solidFill>
            </a:rPr>
            <a:t>1 R @ 36"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08/22 - 08/29</a:t>
          </a:r>
        </a:p>
        <a:p>
          <a:pPr algn="l"/>
          <a:r>
            <a:rPr lang="en-US" sz="1200">
              <a:solidFill>
                <a:srgbClr val="000000"/>
              </a:solidFill>
            </a:rPr>
            <a:t> 3'</a:t>
          </a:r>
        </a:p>
        <a:p>
          <a:pPr algn="l"/>
          <a:r>
            <a:rPr lang="en-US" sz="1200">
              <a:solidFill>
                <a:srgbClr val="000000"/>
              </a:solidFill>
            </a:rPr>
            <a:t>None</a:t>
          </a:r>
        </a:p>
      </xdr:txBody>
    </xdr:sp>
    <xdr:clientData/>
  </xdr:twoCellAnchor>
  <xdr:twoCellAnchor>
    <xdr:from>
      <xdr:col>58</xdr:col>
      <xdr:colOff>1813</xdr:colOff>
      <xdr:row>39</xdr:row>
      <xdr:rowOff>184759</xdr:rowOff>
    </xdr:from>
    <xdr:to>
      <xdr:col>60</xdr:col>
      <xdr:colOff>1813</xdr:colOff>
      <xdr:row>47</xdr:row>
      <xdr:rowOff>70459</xdr:rowOff>
    </xdr:to>
    <xdr:sp macro="" textlink="">
      <xdr:nvSpPr>
        <xdr:cNvPr id="2629" name="BEA001">
          <a:extLst>
            <a:ext uri="{FF2B5EF4-FFF2-40B4-BE49-F238E27FC236}">
              <a16:creationId xmlns:a16="http://schemas.microsoft.com/office/drawing/2014/main" id="{3670F086-FB6D-DE42-13FC-B6ABA85D8D17}"/>
            </a:ext>
          </a:extLst>
        </xdr:cNvPr>
        <xdr:cNvSpPr/>
      </xdr:nvSpPr>
      <xdr:spPr>
        <a:xfrm>
          <a:off x="59771188" y="21339784"/>
          <a:ext cx="1962150" cy="4457700"/>
        </a:xfrm>
        <a:prstGeom prst="rect">
          <a:avLst/>
        </a:prstGeom>
        <a:gradFill flip="none" rotWithShape="1">
          <a:gsLst>
            <a:gs pos="0">
              <a:srgbClr val="00B0F0">
                <a:alpha val="75000"/>
              </a:srgbClr>
            </a:gs>
            <a:gs pos="62931">
              <a:srgbClr val="00B0F0">
                <a:alpha val="75000"/>
              </a:srgbClr>
            </a:gs>
            <a:gs pos="62931">
              <a:srgbClr val="00B0F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Bean</a:t>
          </a:r>
        </a:p>
        <a:p>
          <a:pPr algn="l"/>
          <a:r>
            <a:rPr lang="en-US" sz="1200" kern="1200">
              <a:solidFill>
                <a:srgbClr val="000000"/>
              </a:solidFill>
            </a:rPr>
            <a:t>Pole</a:t>
          </a:r>
        </a:p>
        <a:p>
          <a:pPr algn="l"/>
          <a:r>
            <a:rPr lang="en-US" sz="1200" kern="1200">
              <a:solidFill>
                <a:srgbClr val="000000"/>
              </a:solidFill>
            </a:rPr>
            <a:t>Field</a:t>
          </a:r>
        </a:p>
        <a:p>
          <a:pPr algn="l"/>
          <a:r>
            <a:rPr lang="en-US" sz="1200" kern="1200">
              <a:solidFill>
                <a:srgbClr val="000000"/>
              </a:solidFill>
            </a:rPr>
            <a:t>BEA001</a:t>
          </a:r>
        </a:p>
        <a:p>
          <a:pPr algn="l"/>
          <a:r>
            <a:rPr lang="en-US" sz="1200" kern="1200">
              <a:solidFill>
                <a:srgbClr val="000000"/>
              </a:solidFill>
            </a:rPr>
            <a:t>$2,080</a:t>
          </a:r>
        </a:p>
        <a:p>
          <a:pPr algn="l"/>
          <a:r>
            <a:rPr lang="en-US" sz="1200" kern="1200">
              <a:solidFill>
                <a:srgbClr val="000000"/>
              </a:solidFill>
            </a:rPr>
            <a:t>Pole Bean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08/17 - 09/29</a:t>
          </a:r>
        </a:p>
        <a:p>
          <a:pPr algn="l"/>
          <a:r>
            <a:rPr lang="en-US" sz="1200" kern="1200">
              <a:solidFill>
                <a:srgbClr val="000000"/>
              </a:solidFill>
            </a:rPr>
            <a:t> 6'</a:t>
          </a:r>
        </a:p>
        <a:p>
          <a:pPr algn="l"/>
          <a:r>
            <a:rPr lang="en-US" sz="1200" kern="1200">
              <a:solidFill>
                <a:srgbClr val="000000"/>
              </a:solidFill>
            </a:rPr>
            <a:t>Early</a:t>
          </a:r>
        </a:p>
      </xdr:txBody>
    </xdr:sp>
    <xdr:clientData/>
  </xdr:twoCellAnchor>
  <xdr:twoCellAnchor>
    <xdr:from>
      <xdr:col>71</xdr:col>
      <xdr:colOff>20730</xdr:colOff>
      <xdr:row>39</xdr:row>
      <xdr:rowOff>184759</xdr:rowOff>
    </xdr:from>
    <xdr:to>
      <xdr:col>72</xdr:col>
      <xdr:colOff>20731</xdr:colOff>
      <xdr:row>47</xdr:row>
      <xdr:rowOff>70459</xdr:rowOff>
    </xdr:to>
    <xdr:sp macro="" textlink="">
      <xdr:nvSpPr>
        <xdr:cNvPr id="44" name="BEA002">
          <a:extLst>
            <a:ext uri="{FF2B5EF4-FFF2-40B4-BE49-F238E27FC236}">
              <a16:creationId xmlns:a16="http://schemas.microsoft.com/office/drawing/2014/main" id="{B90D0D1E-ED1B-43D2-17F3-AAAC57306F0B}"/>
            </a:ext>
          </a:extLst>
        </xdr:cNvPr>
        <xdr:cNvSpPr/>
      </xdr:nvSpPr>
      <xdr:spPr>
        <a:xfrm>
          <a:off x="82869554" y="7595583"/>
          <a:ext cx="1120589" cy="4427817"/>
        </a:xfrm>
        <a:prstGeom prst="rect">
          <a:avLst/>
        </a:prstGeom>
        <a:gradFill flip="none" rotWithShape="1">
          <a:gsLst>
            <a:gs pos="0">
              <a:srgbClr val="00B0F0">
                <a:alpha val="75000"/>
              </a:srgbClr>
            </a:gs>
            <a:gs pos="62931">
              <a:srgbClr val="00B0F0">
                <a:alpha val="75000"/>
              </a:srgbClr>
            </a:gs>
            <a:gs pos="62931">
              <a:srgbClr val="00B0F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Bean</a:t>
          </a:r>
        </a:p>
        <a:p>
          <a:pPr algn="l"/>
          <a:r>
            <a:rPr lang="en-US" sz="1200">
              <a:solidFill>
                <a:srgbClr val="000000"/>
              </a:solidFill>
            </a:rPr>
            <a:t>Pole</a:t>
          </a:r>
        </a:p>
        <a:p>
          <a:pPr algn="l"/>
          <a:r>
            <a:rPr lang="en-US" sz="1200">
              <a:solidFill>
                <a:srgbClr val="000000"/>
              </a:solidFill>
            </a:rPr>
            <a:t>Field</a:t>
          </a:r>
        </a:p>
        <a:p>
          <a:pPr algn="l"/>
          <a:r>
            <a:rPr lang="en-US" sz="1200">
              <a:solidFill>
                <a:srgbClr val="000000"/>
              </a:solidFill>
            </a:rPr>
            <a:t>BEA002</a:t>
          </a:r>
        </a:p>
        <a:p>
          <a:pPr algn="l"/>
          <a:r>
            <a:rPr lang="en-US" sz="1200">
              <a:solidFill>
                <a:srgbClr val="000000"/>
              </a:solidFill>
            </a:rPr>
            <a:t>$1,040</a:t>
          </a:r>
        </a:p>
        <a:p>
          <a:pPr algn="l"/>
          <a:r>
            <a:rPr lang="en-US" sz="1200">
              <a:solidFill>
                <a:srgbClr val="000000"/>
              </a:solidFill>
            </a:rPr>
            <a:t>Pole Bean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1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08/17 - 09/29</a:t>
          </a:r>
        </a:p>
        <a:p>
          <a:pPr algn="l"/>
          <a:r>
            <a:rPr lang="en-US" sz="1200">
              <a:solidFill>
                <a:srgbClr val="000000"/>
              </a:solidFill>
            </a:rPr>
            <a:t> 6'</a:t>
          </a:r>
        </a:p>
        <a:p>
          <a:pPr algn="l"/>
          <a:r>
            <a:rPr lang="en-US" sz="1200">
              <a:solidFill>
                <a:srgbClr val="000000"/>
              </a:solidFill>
            </a:rPr>
            <a:t>Early</a:t>
          </a:r>
        </a:p>
      </xdr:txBody>
    </xdr:sp>
    <xdr:clientData/>
  </xdr:twoCellAnchor>
  <xdr:twoCellAnchor>
    <xdr:from>
      <xdr:col>53</xdr:col>
      <xdr:colOff>2041</xdr:colOff>
      <xdr:row>39</xdr:row>
      <xdr:rowOff>184759</xdr:rowOff>
    </xdr:from>
    <xdr:to>
      <xdr:col>54</xdr:col>
      <xdr:colOff>2041</xdr:colOff>
      <xdr:row>51</xdr:row>
      <xdr:rowOff>146659</xdr:rowOff>
    </xdr:to>
    <xdr:sp macro="" textlink="">
      <xdr:nvSpPr>
        <xdr:cNvPr id="2608" name="CEL001">
          <a:extLst>
            <a:ext uri="{FF2B5EF4-FFF2-40B4-BE49-F238E27FC236}">
              <a16:creationId xmlns:a16="http://schemas.microsoft.com/office/drawing/2014/main" id="{08DD2240-EC12-7936-B4E8-8C7549021B11}"/>
            </a:ext>
          </a:extLst>
        </xdr:cNvPr>
        <xdr:cNvSpPr/>
      </xdr:nvSpPr>
      <xdr:spPr>
        <a:xfrm>
          <a:off x="54866041" y="21339784"/>
          <a:ext cx="981075" cy="6819900"/>
        </a:xfrm>
        <a:prstGeom prst="rect">
          <a:avLst/>
        </a:prstGeom>
        <a:gradFill flip="none" rotWithShape="1">
          <a:gsLst>
            <a:gs pos="0">
              <a:srgbClr val="BDD7EE">
                <a:alpha val="75000"/>
              </a:srgbClr>
            </a:gs>
            <a:gs pos="17416">
              <a:srgbClr val="BDD7EE">
                <a:alpha val="75000"/>
              </a:srgbClr>
            </a:gs>
            <a:gs pos="17416">
              <a:srgbClr val="BDD7EE">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Celery</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CEL001</a:t>
          </a:r>
        </a:p>
        <a:p>
          <a:pPr algn="l"/>
          <a:r>
            <a:rPr lang="en-US" sz="1200" kern="1200">
              <a:solidFill>
                <a:srgbClr val="000000"/>
              </a:solidFill>
            </a:rPr>
            <a:t>$4,950</a:t>
          </a:r>
        </a:p>
        <a:p>
          <a:pPr algn="l"/>
          <a:r>
            <a:rPr lang="en-US" sz="1200" kern="1200">
              <a:solidFill>
                <a:srgbClr val="000000"/>
              </a:solidFill>
            </a:rPr>
            <a:t>Celery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07/06 - 11/30</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52</xdr:col>
      <xdr:colOff>6803</xdr:colOff>
      <xdr:row>39</xdr:row>
      <xdr:rowOff>184759</xdr:rowOff>
    </xdr:from>
    <xdr:to>
      <xdr:col>53</xdr:col>
      <xdr:colOff>6803</xdr:colOff>
      <xdr:row>47</xdr:row>
      <xdr:rowOff>565759</xdr:rowOff>
    </xdr:to>
    <xdr:sp macro="" textlink="">
      <xdr:nvSpPr>
        <xdr:cNvPr id="11" name="PAR001">
          <a:extLst>
            <a:ext uri="{FF2B5EF4-FFF2-40B4-BE49-F238E27FC236}">
              <a16:creationId xmlns:a16="http://schemas.microsoft.com/office/drawing/2014/main" id="{9F926563-3A89-4E16-816D-D94ED6B60362}"/>
            </a:ext>
          </a:extLst>
        </xdr:cNvPr>
        <xdr:cNvSpPr/>
      </xdr:nvSpPr>
      <xdr:spPr>
        <a:xfrm>
          <a:off x="53889728" y="21339784"/>
          <a:ext cx="981075" cy="4953000"/>
        </a:xfrm>
        <a:prstGeom prst="rect">
          <a:avLst/>
        </a:prstGeom>
        <a:gradFill flip="none" rotWithShape="1">
          <a:gsLst>
            <a:gs pos="0">
              <a:srgbClr val="BDD7EE">
                <a:alpha val="75000"/>
              </a:srgbClr>
            </a:gs>
            <a:gs pos="7752">
              <a:srgbClr val="BDD7EE">
                <a:alpha val="75000"/>
              </a:srgbClr>
            </a:gs>
            <a:gs pos="7752">
              <a:srgbClr val="BDD7EE">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Parsley</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PAR001</a:t>
          </a:r>
        </a:p>
        <a:p>
          <a:pPr algn="l"/>
          <a:r>
            <a:rPr lang="en-US" sz="1200" kern="1200">
              <a:solidFill>
                <a:srgbClr val="000000"/>
              </a:solidFill>
            </a:rPr>
            <a:t>$2,250</a:t>
          </a:r>
        </a:p>
        <a:p>
          <a:pPr algn="l"/>
          <a:r>
            <a:rPr lang="en-US" sz="1200" kern="1200">
              <a:solidFill>
                <a:srgbClr val="000000"/>
              </a:solidFill>
            </a:rPr>
            <a:t>Parsley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06/15 - 10/12</a:t>
          </a:r>
        </a:p>
        <a:p>
          <a:pPr algn="l"/>
          <a:r>
            <a:rPr lang="en-US" sz="1200" kern="1200">
              <a:solidFill>
                <a:srgbClr val="000000"/>
              </a:solidFill>
            </a:rPr>
            <a:t> 24'</a:t>
          </a:r>
        </a:p>
        <a:p>
          <a:pPr algn="l"/>
          <a:r>
            <a:rPr lang="en-US" sz="1200" kern="1200">
              <a:solidFill>
                <a:srgbClr val="000000"/>
              </a:solidFill>
            </a:rPr>
            <a:t>None</a:t>
          </a:r>
        </a:p>
      </xdr:txBody>
    </xdr:sp>
    <xdr:clientData/>
  </xdr:twoCellAnchor>
  <xdr:twoCellAnchor>
    <xdr:from>
      <xdr:col>72</xdr:col>
      <xdr:colOff>3</xdr:colOff>
      <xdr:row>39</xdr:row>
      <xdr:rowOff>184759</xdr:rowOff>
    </xdr:from>
    <xdr:to>
      <xdr:col>73</xdr:col>
      <xdr:colOff>3</xdr:colOff>
      <xdr:row>46</xdr:row>
      <xdr:rowOff>184759</xdr:rowOff>
    </xdr:to>
    <xdr:sp macro="" textlink="">
      <xdr:nvSpPr>
        <xdr:cNvPr id="17" name="SWI002">
          <a:extLst>
            <a:ext uri="{FF2B5EF4-FFF2-40B4-BE49-F238E27FC236}">
              <a16:creationId xmlns:a16="http://schemas.microsoft.com/office/drawing/2014/main" id="{9967EF96-F611-44B5-8B5E-EE17C4444DC3}"/>
            </a:ext>
          </a:extLst>
        </xdr:cNvPr>
        <xdr:cNvSpPr/>
      </xdr:nvSpPr>
      <xdr:spPr>
        <a:xfrm>
          <a:off x="73504428" y="21339784"/>
          <a:ext cx="981075" cy="4000500"/>
        </a:xfrm>
        <a:prstGeom prst="rect">
          <a:avLst/>
        </a:prstGeom>
        <a:gradFill flip="none" rotWithShape="1">
          <a:gsLst>
            <a:gs pos="0">
              <a:srgbClr val="FF0000">
                <a:alpha val="75000"/>
              </a:srgbClr>
            </a:gs>
            <a:gs pos="16346">
              <a:srgbClr val="FF0000">
                <a:alpha val="75000"/>
              </a:srgbClr>
            </a:gs>
            <a:gs pos="16346">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Swiss Chard</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SWI002</a:t>
          </a:r>
        </a:p>
        <a:p>
          <a:pPr algn="l"/>
          <a:r>
            <a:rPr lang="en-US" sz="1200" kern="1200">
              <a:solidFill>
                <a:srgbClr val="000000"/>
              </a:solidFill>
            </a:rPr>
            <a:t>$1,050</a:t>
          </a:r>
        </a:p>
        <a:p>
          <a:pPr algn="l"/>
          <a:r>
            <a:rPr lang="en-US" sz="1200" kern="1200">
              <a:solidFill>
                <a:srgbClr val="000000"/>
              </a:solidFill>
            </a:rPr>
            <a:t>Swiss Chard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06/22 - 09/17</a:t>
          </a:r>
        </a:p>
        <a:p>
          <a:pPr algn="l"/>
          <a:r>
            <a:rPr lang="en-US" sz="1200" kern="1200">
              <a:solidFill>
                <a:srgbClr val="000000"/>
              </a:solidFill>
            </a:rPr>
            <a:t> 2.5'</a:t>
          </a:r>
        </a:p>
        <a:p>
          <a:pPr algn="l"/>
          <a:r>
            <a:rPr lang="en-US" sz="1200" kern="1200">
              <a:solidFill>
                <a:srgbClr val="000000"/>
              </a:solidFill>
            </a:rPr>
            <a:t>0</a:t>
          </a:r>
        </a:p>
      </xdr:txBody>
    </xdr:sp>
    <xdr:clientData/>
  </xdr:twoCellAnchor>
  <xdr:twoCellAnchor>
    <xdr:from>
      <xdr:col>40</xdr:col>
      <xdr:colOff>25401</xdr:colOff>
      <xdr:row>39</xdr:row>
      <xdr:rowOff>222337</xdr:rowOff>
    </xdr:from>
    <xdr:to>
      <xdr:col>41</xdr:col>
      <xdr:colOff>25401</xdr:colOff>
      <xdr:row>42</xdr:row>
      <xdr:rowOff>527137</xdr:rowOff>
    </xdr:to>
    <xdr:sp macro="" textlink="">
      <xdr:nvSpPr>
        <xdr:cNvPr id="25" name="LET016">
          <a:extLst>
            <a:ext uri="{FF2B5EF4-FFF2-40B4-BE49-F238E27FC236}">
              <a16:creationId xmlns:a16="http://schemas.microsoft.com/office/drawing/2014/main" id="{00A66749-7F1D-141A-1B01-5570FDB6A984}"/>
            </a:ext>
          </a:extLst>
        </xdr:cNvPr>
        <xdr:cNvSpPr/>
      </xdr:nvSpPr>
      <xdr:spPr>
        <a:xfrm>
          <a:off x="42135426" y="21377362"/>
          <a:ext cx="981075" cy="2019300"/>
        </a:xfrm>
        <a:prstGeom prst="rect">
          <a:avLst/>
        </a:prstGeom>
        <a:gradFill flip="none" rotWithShape="1">
          <a:gsLst>
            <a:gs pos="0">
              <a:srgbClr val="92D050">
                <a:alpha val="75000"/>
              </a:srgbClr>
            </a:gs>
            <a:gs pos="73077">
              <a:srgbClr val="92D050">
                <a:alpha val="75000"/>
              </a:srgbClr>
            </a:gs>
            <a:gs pos="73077">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LET016</a:t>
          </a:r>
        </a:p>
        <a:p>
          <a:pPr algn="l"/>
          <a:r>
            <a:rPr lang="en-US" sz="1200" kern="1200">
              <a:solidFill>
                <a:srgbClr val="000000"/>
              </a:solidFill>
            </a:rPr>
            <a:t>$427</a:t>
          </a:r>
        </a:p>
        <a:p>
          <a:pPr algn="l"/>
          <a:r>
            <a:rPr lang="en-US" sz="1200" kern="1200">
              <a:solidFill>
                <a:srgbClr val="000000"/>
              </a:solidFill>
            </a:rPr>
            <a:t>Jester</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07/14 - 07/28</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85</xdr:col>
      <xdr:colOff>971550</xdr:colOff>
      <xdr:row>39</xdr:row>
      <xdr:rowOff>259914</xdr:rowOff>
    </xdr:from>
    <xdr:to>
      <xdr:col>87</xdr:col>
      <xdr:colOff>971550</xdr:colOff>
      <xdr:row>47</xdr:row>
      <xdr:rowOff>374214</xdr:rowOff>
    </xdr:to>
    <xdr:sp macro="" textlink="">
      <xdr:nvSpPr>
        <xdr:cNvPr id="2541" name="TOM010">
          <a:extLst>
            <a:ext uri="{FF2B5EF4-FFF2-40B4-BE49-F238E27FC236}">
              <a16:creationId xmlns:a16="http://schemas.microsoft.com/office/drawing/2014/main" id="{B2027091-EA19-88FE-612C-B5B387F66662}"/>
            </a:ext>
          </a:extLst>
        </xdr:cNvPr>
        <xdr:cNvSpPr/>
      </xdr:nvSpPr>
      <xdr:spPr>
        <a:xfrm>
          <a:off x="87229950" y="21414939"/>
          <a:ext cx="1962150" cy="4686300"/>
        </a:xfrm>
        <a:prstGeom prst="rect">
          <a:avLst/>
        </a:prstGeom>
        <a:gradFill flip="none" rotWithShape="1">
          <a:gsLst>
            <a:gs pos="0">
              <a:srgbClr val="FF5050">
                <a:alpha val="75000"/>
              </a:srgbClr>
            </a:gs>
            <a:gs pos="48361">
              <a:srgbClr val="FF5050">
                <a:alpha val="75000"/>
              </a:srgbClr>
            </a:gs>
            <a:gs pos="48361">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Beefsteak Det</a:t>
          </a:r>
        </a:p>
        <a:p>
          <a:pPr algn="l"/>
          <a:r>
            <a:rPr lang="en-US" sz="1200">
              <a:solidFill>
                <a:srgbClr val="000000"/>
              </a:solidFill>
            </a:rPr>
            <a:t>Field</a:t>
          </a:r>
        </a:p>
        <a:p>
          <a:pPr algn="l"/>
          <a:r>
            <a:rPr lang="en-US" sz="1200">
              <a:solidFill>
                <a:srgbClr val="000000"/>
              </a:solidFill>
            </a:rPr>
            <a:t>TOM010</a:t>
          </a:r>
        </a:p>
        <a:p>
          <a:pPr algn="l"/>
          <a:r>
            <a:rPr lang="en-US" sz="1200">
              <a:solidFill>
                <a:srgbClr val="000000"/>
              </a:solidFill>
            </a:rPr>
            <a:t>$3,750</a:t>
          </a:r>
        </a:p>
        <a:p>
          <a:pPr algn="l"/>
          <a:r>
            <a:rPr lang="en-US" sz="1200">
              <a:solidFill>
                <a:srgbClr val="000000"/>
              </a:solidFill>
            </a:rPr>
            <a:t>Determinate Beefsteak Mix</a:t>
          </a:r>
        </a:p>
        <a:p>
          <a:pPr algn="l"/>
          <a:endParaRPr lang="en-US" sz="1200">
            <a:solidFill>
              <a:srgbClr val="000000"/>
            </a:solidFill>
          </a:endParaRPr>
        </a:p>
        <a:p>
          <a:pPr algn="l"/>
          <a:r>
            <a:rPr lang="en-US" sz="1200">
              <a:solidFill>
                <a:srgbClr val="000000"/>
              </a:solidFill>
            </a:rPr>
            <a:t>2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08/05 - 10/07</a:t>
          </a:r>
        </a:p>
        <a:p>
          <a:pPr algn="l"/>
          <a:r>
            <a:rPr lang="en-US" sz="1200">
              <a:solidFill>
                <a:srgbClr val="000000"/>
              </a:solidFill>
            </a:rPr>
            <a:t>DR 7'</a:t>
          </a:r>
        </a:p>
        <a:p>
          <a:pPr algn="l"/>
          <a:r>
            <a:rPr lang="en-US" sz="1200">
              <a:solidFill>
                <a:srgbClr val="000000"/>
              </a:solidFill>
            </a:rPr>
            <a:t>Young</a:t>
          </a:r>
        </a:p>
      </xdr:txBody>
    </xdr:sp>
    <xdr:clientData/>
  </xdr:twoCellAnchor>
  <xdr:twoCellAnchor>
    <xdr:from>
      <xdr:col>87</xdr:col>
      <xdr:colOff>962025</xdr:colOff>
      <xdr:row>39</xdr:row>
      <xdr:rowOff>259914</xdr:rowOff>
    </xdr:from>
    <xdr:to>
      <xdr:col>88</xdr:col>
      <xdr:colOff>962025</xdr:colOff>
      <xdr:row>50</xdr:row>
      <xdr:rowOff>564714</xdr:rowOff>
    </xdr:to>
    <xdr:sp macro="" textlink="">
      <xdr:nvSpPr>
        <xdr:cNvPr id="2545" name="TOM011">
          <a:extLst>
            <a:ext uri="{FF2B5EF4-FFF2-40B4-BE49-F238E27FC236}">
              <a16:creationId xmlns:a16="http://schemas.microsoft.com/office/drawing/2014/main" id="{40ED77D7-1A22-9B93-E604-A8565DC9F167}"/>
            </a:ext>
          </a:extLst>
        </xdr:cNvPr>
        <xdr:cNvSpPr/>
      </xdr:nvSpPr>
      <xdr:spPr>
        <a:xfrm>
          <a:off x="89182575" y="21414939"/>
          <a:ext cx="981075" cy="6591300"/>
        </a:xfrm>
        <a:prstGeom prst="rect">
          <a:avLst/>
        </a:prstGeom>
        <a:gradFill flip="none" rotWithShape="1">
          <a:gsLst>
            <a:gs pos="0">
              <a:srgbClr val="FF5050">
                <a:alpha val="75000"/>
              </a:srgbClr>
            </a:gs>
            <a:gs pos="43023">
              <a:srgbClr val="FF5050">
                <a:alpha val="75000"/>
              </a:srgbClr>
            </a:gs>
            <a:gs pos="43023">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Cherry Det</a:t>
          </a:r>
        </a:p>
        <a:p>
          <a:pPr algn="l"/>
          <a:r>
            <a:rPr lang="en-US" sz="1200">
              <a:solidFill>
                <a:srgbClr val="000000"/>
              </a:solidFill>
            </a:rPr>
            <a:t>Field</a:t>
          </a:r>
        </a:p>
        <a:p>
          <a:pPr algn="l"/>
          <a:r>
            <a:rPr lang="en-US" sz="1200">
              <a:solidFill>
                <a:srgbClr val="000000"/>
              </a:solidFill>
            </a:rPr>
            <a:t>TOM011</a:t>
          </a:r>
        </a:p>
        <a:p>
          <a:pPr algn="l"/>
          <a:r>
            <a:rPr lang="en-US" sz="1200">
              <a:solidFill>
                <a:srgbClr val="000000"/>
              </a:solidFill>
            </a:rPr>
            <a:t>$2,042</a:t>
          </a:r>
        </a:p>
        <a:p>
          <a:pPr algn="l"/>
          <a:r>
            <a:rPr lang="en-US" sz="1200">
              <a:solidFill>
                <a:srgbClr val="000000"/>
              </a:solidFill>
            </a:rPr>
            <a:t>Determinate Cherry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08/20 - 11/26</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84</xdr:col>
      <xdr:colOff>962025</xdr:colOff>
      <xdr:row>39</xdr:row>
      <xdr:rowOff>259914</xdr:rowOff>
    </xdr:from>
    <xdr:to>
      <xdr:col>85</xdr:col>
      <xdr:colOff>962025</xdr:colOff>
      <xdr:row>49</xdr:row>
      <xdr:rowOff>564714</xdr:rowOff>
    </xdr:to>
    <xdr:sp macro="" textlink="">
      <xdr:nvSpPr>
        <xdr:cNvPr id="2544" name="TOM012">
          <a:extLst>
            <a:ext uri="{FF2B5EF4-FFF2-40B4-BE49-F238E27FC236}">
              <a16:creationId xmlns:a16="http://schemas.microsoft.com/office/drawing/2014/main" id="{63AF80FC-644B-AFD6-8359-EA4ED6C0072E}"/>
            </a:ext>
          </a:extLst>
        </xdr:cNvPr>
        <xdr:cNvSpPr/>
      </xdr:nvSpPr>
      <xdr:spPr>
        <a:xfrm>
          <a:off x="86239350" y="21414939"/>
          <a:ext cx="981075" cy="6019800"/>
        </a:xfrm>
        <a:prstGeom prst="rect">
          <a:avLst/>
        </a:prstGeom>
        <a:gradFill flip="none" rotWithShape="1">
          <a:gsLst>
            <a:gs pos="0">
              <a:srgbClr val="FF5050">
                <a:alpha val="75000"/>
              </a:srgbClr>
            </a:gs>
            <a:gs pos="59873">
              <a:srgbClr val="FF5050">
                <a:alpha val="75000"/>
              </a:srgbClr>
            </a:gs>
            <a:gs pos="59873">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Medium Det</a:t>
          </a:r>
        </a:p>
        <a:p>
          <a:pPr algn="l"/>
          <a:r>
            <a:rPr lang="en-US" sz="1200">
              <a:solidFill>
                <a:srgbClr val="000000"/>
              </a:solidFill>
            </a:rPr>
            <a:t>Field</a:t>
          </a:r>
        </a:p>
        <a:p>
          <a:pPr algn="l"/>
          <a:r>
            <a:rPr lang="en-US" sz="1200">
              <a:solidFill>
                <a:srgbClr val="000000"/>
              </a:solidFill>
            </a:rPr>
            <a:t>TOM012</a:t>
          </a:r>
        </a:p>
        <a:p>
          <a:pPr algn="l"/>
          <a:r>
            <a:rPr lang="en-US" sz="1200">
              <a:solidFill>
                <a:srgbClr val="000000"/>
              </a:solidFill>
            </a:rPr>
            <a:t>$2,100</a:t>
          </a:r>
        </a:p>
        <a:p>
          <a:pPr algn="l"/>
          <a:r>
            <a:rPr lang="en-US" sz="1200">
              <a:solidFill>
                <a:srgbClr val="000000"/>
              </a:solidFill>
            </a:rPr>
            <a:t>Determinate Medium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09/09 - 11/11</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30</xdr:col>
      <xdr:colOff>972910</xdr:colOff>
      <xdr:row>39</xdr:row>
      <xdr:rowOff>335071</xdr:rowOff>
    </xdr:from>
    <xdr:to>
      <xdr:col>31</xdr:col>
      <xdr:colOff>482373</xdr:colOff>
      <xdr:row>44</xdr:row>
      <xdr:rowOff>68371</xdr:rowOff>
    </xdr:to>
    <xdr:sp macro="" textlink="">
      <xdr:nvSpPr>
        <xdr:cNvPr id="41" name="DIL006">
          <a:extLst>
            <a:ext uri="{FF2B5EF4-FFF2-40B4-BE49-F238E27FC236}">
              <a16:creationId xmlns:a16="http://schemas.microsoft.com/office/drawing/2014/main" id="{B9CE4631-4CDA-B2C6-8A5F-8C469A47813A}"/>
            </a:ext>
          </a:extLst>
        </xdr:cNvPr>
        <xdr:cNvSpPr/>
      </xdr:nvSpPr>
      <xdr:spPr>
        <a:xfrm>
          <a:off x="33272185" y="21490096"/>
          <a:ext cx="490538" cy="2590800"/>
        </a:xfrm>
        <a:prstGeom prst="rect">
          <a:avLst/>
        </a:prstGeom>
        <a:gradFill flip="none" rotWithShape="1">
          <a:gsLst>
            <a:gs pos="0">
              <a:srgbClr val="FFC000">
                <a:alpha val="75000"/>
              </a:srgbClr>
            </a:gs>
            <a:gs pos="74627">
              <a:srgbClr val="FFC000">
                <a:alpha val="75000"/>
              </a:srgbClr>
            </a:gs>
            <a:gs pos="74627">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DIL006</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07/29 - 08/15</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12</xdr:col>
      <xdr:colOff>523871</xdr:colOff>
      <xdr:row>39</xdr:row>
      <xdr:rowOff>485384</xdr:rowOff>
    </xdr:from>
    <xdr:to>
      <xdr:col>13</xdr:col>
      <xdr:colOff>33334</xdr:colOff>
      <xdr:row>44</xdr:row>
      <xdr:rowOff>104384</xdr:rowOff>
    </xdr:to>
    <xdr:sp macro="" textlink="">
      <xdr:nvSpPr>
        <xdr:cNvPr id="28" name="CIL007">
          <a:extLst>
            <a:ext uri="{FF2B5EF4-FFF2-40B4-BE49-F238E27FC236}">
              <a16:creationId xmlns:a16="http://schemas.microsoft.com/office/drawing/2014/main" id="{830AE466-9469-4A54-7AC4-5346A5075EA5}"/>
            </a:ext>
          </a:extLst>
        </xdr:cNvPr>
        <xdr:cNvSpPr/>
      </xdr:nvSpPr>
      <xdr:spPr>
        <a:xfrm>
          <a:off x="15163796" y="21640409"/>
          <a:ext cx="490538" cy="2476500"/>
        </a:xfrm>
        <a:prstGeom prst="rect">
          <a:avLst/>
        </a:prstGeom>
        <a:gradFill flip="none" rotWithShape="1">
          <a:gsLst>
            <a:gs pos="0">
              <a:srgbClr val="FFE699">
                <a:alpha val="75000"/>
              </a:srgbClr>
            </a:gs>
            <a:gs pos="78125">
              <a:srgbClr val="FFE699">
                <a:alpha val="75000"/>
              </a:srgbClr>
            </a:gs>
            <a:gs pos="7812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CIL007</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08/02 - 08/16</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42</xdr:col>
      <xdr:colOff>0</xdr:colOff>
      <xdr:row>39</xdr:row>
      <xdr:rowOff>485384</xdr:rowOff>
    </xdr:from>
    <xdr:to>
      <xdr:col>43</xdr:col>
      <xdr:colOff>0</xdr:colOff>
      <xdr:row>43</xdr:row>
      <xdr:rowOff>447284</xdr:rowOff>
    </xdr:to>
    <xdr:sp macro="" textlink="">
      <xdr:nvSpPr>
        <xdr:cNvPr id="24" name="LET017">
          <a:extLst>
            <a:ext uri="{FF2B5EF4-FFF2-40B4-BE49-F238E27FC236}">
              <a16:creationId xmlns:a16="http://schemas.microsoft.com/office/drawing/2014/main" id="{74F5E5D7-78A2-82A3-2829-C2E426FD8E51}"/>
            </a:ext>
          </a:extLst>
        </xdr:cNvPr>
        <xdr:cNvSpPr/>
      </xdr:nvSpPr>
      <xdr:spPr>
        <a:xfrm>
          <a:off x="44072175" y="21640409"/>
          <a:ext cx="981075" cy="2247900"/>
        </a:xfrm>
        <a:prstGeom prst="rect">
          <a:avLst/>
        </a:prstGeom>
        <a:gradFill flip="none" rotWithShape="1">
          <a:gsLst>
            <a:gs pos="0">
              <a:srgbClr val="92D050">
                <a:alpha val="75000"/>
              </a:srgbClr>
            </a:gs>
            <a:gs pos="75862">
              <a:srgbClr val="92D050">
                <a:alpha val="75000"/>
              </a:srgbClr>
            </a:gs>
            <a:gs pos="7586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LET017</a:t>
          </a:r>
        </a:p>
        <a:p>
          <a:pPr algn="l"/>
          <a:r>
            <a:rPr lang="en-US" sz="1200" kern="1200">
              <a:solidFill>
                <a:srgbClr val="000000"/>
              </a:solidFill>
            </a:rPr>
            <a:t>$427</a:t>
          </a:r>
        </a:p>
        <a:p>
          <a:pPr algn="l"/>
          <a:r>
            <a:rPr lang="en-US" sz="1200" kern="1200">
              <a:solidFill>
                <a:srgbClr val="000000"/>
              </a:solidFill>
            </a:rPr>
            <a:t>Truchas - Pelleted</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07/27 - 08/10</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92</xdr:col>
      <xdr:colOff>956032</xdr:colOff>
      <xdr:row>39</xdr:row>
      <xdr:rowOff>485384</xdr:rowOff>
    </xdr:from>
    <xdr:to>
      <xdr:col>93</xdr:col>
      <xdr:colOff>956032</xdr:colOff>
      <xdr:row>47</xdr:row>
      <xdr:rowOff>371084</xdr:rowOff>
    </xdr:to>
    <xdr:sp macro="" textlink="">
      <xdr:nvSpPr>
        <xdr:cNvPr id="2508" name="TOM006">
          <a:extLst>
            <a:ext uri="{FF2B5EF4-FFF2-40B4-BE49-F238E27FC236}">
              <a16:creationId xmlns:a16="http://schemas.microsoft.com/office/drawing/2014/main" id="{AF13BDA1-2D44-F088-86BE-C611CBB6C619}"/>
            </a:ext>
          </a:extLst>
        </xdr:cNvPr>
        <xdr:cNvSpPr/>
      </xdr:nvSpPr>
      <xdr:spPr>
        <a:xfrm>
          <a:off x="94081957" y="21640409"/>
          <a:ext cx="981075" cy="4457700"/>
        </a:xfrm>
        <a:prstGeom prst="rect">
          <a:avLst/>
        </a:prstGeom>
        <a:gradFill flip="none" rotWithShape="1">
          <a:gsLst>
            <a:gs pos="0">
              <a:srgbClr val="FF5050">
                <a:alpha val="75000"/>
              </a:srgbClr>
            </a:gs>
            <a:gs pos="45690">
              <a:srgbClr val="FF5050">
                <a:alpha val="75000"/>
              </a:srgbClr>
            </a:gs>
            <a:gs pos="45690">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Beefsteak Det</a:t>
          </a:r>
        </a:p>
        <a:p>
          <a:pPr algn="l"/>
          <a:r>
            <a:rPr lang="en-US" sz="1200">
              <a:solidFill>
                <a:srgbClr val="000000"/>
              </a:solidFill>
            </a:rPr>
            <a:t>Field</a:t>
          </a:r>
        </a:p>
        <a:p>
          <a:pPr algn="l"/>
          <a:r>
            <a:rPr lang="en-US" sz="1200">
              <a:solidFill>
                <a:srgbClr val="000000"/>
              </a:solidFill>
            </a:rPr>
            <a:t>TOM006</a:t>
          </a:r>
        </a:p>
        <a:p>
          <a:pPr algn="l"/>
          <a:r>
            <a:rPr lang="en-US" sz="1200">
              <a:solidFill>
                <a:srgbClr val="000000"/>
              </a:solidFill>
            </a:rPr>
            <a:t>$11,250</a:t>
          </a:r>
        </a:p>
        <a:p>
          <a:pPr algn="l"/>
          <a:r>
            <a:rPr lang="en-US" sz="1200">
              <a:solidFill>
                <a:srgbClr val="000000"/>
              </a:solidFill>
            </a:rPr>
            <a:t>Determinate Beefsteak Mix</a:t>
          </a:r>
        </a:p>
        <a:p>
          <a:pPr algn="l"/>
          <a:endParaRPr lang="en-US" sz="1200">
            <a:solidFill>
              <a:srgbClr val="000000"/>
            </a:solidFill>
          </a:endParaRPr>
        </a:p>
        <a:p>
          <a:pPr algn="l"/>
          <a:r>
            <a:rPr lang="en-US" sz="1200">
              <a:solidFill>
                <a:srgbClr val="000000"/>
              </a:solidFill>
            </a:rPr>
            <a:t>6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08/05 - 10/07</a:t>
          </a:r>
        </a:p>
        <a:p>
          <a:pPr algn="l"/>
          <a:r>
            <a:rPr lang="en-US" sz="1200">
              <a:solidFill>
                <a:srgbClr val="000000"/>
              </a:solidFill>
            </a:rPr>
            <a:t>DR 7'</a:t>
          </a:r>
        </a:p>
        <a:p>
          <a:pPr algn="l"/>
          <a:r>
            <a:rPr lang="en-US" sz="1200">
              <a:solidFill>
                <a:srgbClr val="000000"/>
              </a:solidFill>
            </a:rPr>
            <a:t>Young</a:t>
          </a:r>
        </a:p>
      </xdr:txBody>
    </xdr:sp>
    <xdr:clientData/>
  </xdr:twoCellAnchor>
  <xdr:twoCellAnchor>
    <xdr:from>
      <xdr:col>9</xdr:col>
      <xdr:colOff>1134</xdr:colOff>
      <xdr:row>39</xdr:row>
      <xdr:rowOff>560539</xdr:rowOff>
    </xdr:from>
    <xdr:to>
      <xdr:col>10</xdr:col>
      <xdr:colOff>1134</xdr:colOff>
      <xdr:row>45</xdr:row>
      <xdr:rowOff>408139</xdr:rowOff>
    </xdr:to>
    <xdr:sp macro="" textlink="">
      <xdr:nvSpPr>
        <xdr:cNvPr id="2529" name="TOM001">
          <a:extLst>
            <a:ext uri="{FF2B5EF4-FFF2-40B4-BE49-F238E27FC236}">
              <a16:creationId xmlns:a16="http://schemas.microsoft.com/office/drawing/2014/main" id="{7D2D2C45-438A-7454-BF2F-6DC9D560FC96}"/>
            </a:ext>
          </a:extLst>
        </xdr:cNvPr>
        <xdr:cNvSpPr/>
      </xdr:nvSpPr>
      <xdr:spPr>
        <a:xfrm>
          <a:off x="11697834" y="21715564"/>
          <a:ext cx="981075" cy="3276600"/>
        </a:xfrm>
        <a:prstGeom prst="rect">
          <a:avLst/>
        </a:prstGeom>
        <a:gradFill flip="none" rotWithShape="1">
          <a:gsLst>
            <a:gs pos="0">
              <a:srgbClr val="FF5050">
                <a:alpha val="75000"/>
              </a:srgbClr>
            </a:gs>
            <a:gs pos="17647">
              <a:srgbClr val="FF5050">
                <a:alpha val="75000"/>
              </a:srgbClr>
            </a:gs>
            <a:gs pos="17647">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Tomatillo</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TOM001</a:t>
          </a:r>
        </a:p>
        <a:p>
          <a:pPr algn="l"/>
          <a:r>
            <a:rPr lang="en-US" sz="1200" kern="1200">
              <a:solidFill>
                <a:srgbClr val="000000"/>
              </a:solidFill>
            </a:rPr>
            <a:t>$1,600</a:t>
          </a:r>
        </a:p>
        <a:p>
          <a:pPr algn="l"/>
          <a:r>
            <a:rPr lang="en-US" sz="1200" kern="1200">
              <a:solidFill>
                <a:srgbClr val="000000"/>
              </a:solidFill>
            </a:rPr>
            <a:t>Tomatillo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06/30 - 09/08</a:t>
          </a:r>
        </a:p>
        <a:p>
          <a:pPr algn="l"/>
          <a:r>
            <a:rPr lang="en-US" sz="1200" kern="1200">
              <a:solidFill>
                <a:srgbClr val="000000"/>
              </a:solidFill>
            </a:rPr>
            <a:t>DR 5'</a:t>
          </a:r>
        </a:p>
        <a:p>
          <a:pPr algn="l"/>
          <a:r>
            <a:rPr lang="en-US" sz="1200" kern="1200">
              <a:solidFill>
                <a:srgbClr val="000000"/>
              </a:solidFill>
            </a:rPr>
            <a:t>Young</a:t>
          </a:r>
        </a:p>
      </xdr:txBody>
    </xdr:sp>
    <xdr:clientData/>
  </xdr:twoCellAnchor>
  <xdr:twoCellAnchor>
    <xdr:from>
      <xdr:col>90</xdr:col>
      <xdr:colOff>955675</xdr:colOff>
      <xdr:row>39</xdr:row>
      <xdr:rowOff>560539</xdr:rowOff>
    </xdr:from>
    <xdr:to>
      <xdr:col>91</xdr:col>
      <xdr:colOff>955675</xdr:colOff>
      <xdr:row>50</xdr:row>
      <xdr:rowOff>560539</xdr:rowOff>
    </xdr:to>
    <xdr:sp macro="" textlink="">
      <xdr:nvSpPr>
        <xdr:cNvPr id="2506" name="TOM007">
          <a:extLst>
            <a:ext uri="{FF2B5EF4-FFF2-40B4-BE49-F238E27FC236}">
              <a16:creationId xmlns:a16="http://schemas.microsoft.com/office/drawing/2014/main" id="{C78E937D-DC8C-6A9A-9E2B-3D155406915B}"/>
            </a:ext>
          </a:extLst>
        </xdr:cNvPr>
        <xdr:cNvSpPr/>
      </xdr:nvSpPr>
      <xdr:spPr>
        <a:xfrm>
          <a:off x="92119450" y="21715564"/>
          <a:ext cx="981075" cy="6286500"/>
        </a:xfrm>
        <a:prstGeom prst="rect">
          <a:avLst/>
        </a:prstGeom>
        <a:gradFill flip="none" rotWithShape="1">
          <a:gsLst>
            <a:gs pos="0">
              <a:srgbClr val="FF5050">
                <a:alpha val="75000"/>
              </a:srgbClr>
            </a:gs>
            <a:gs pos="40244">
              <a:srgbClr val="FF5050">
                <a:alpha val="75000"/>
              </a:srgbClr>
            </a:gs>
            <a:gs pos="40244">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Cherry Det</a:t>
          </a:r>
        </a:p>
        <a:p>
          <a:pPr algn="l"/>
          <a:r>
            <a:rPr lang="en-US" sz="1200">
              <a:solidFill>
                <a:srgbClr val="000000"/>
              </a:solidFill>
            </a:rPr>
            <a:t>Field</a:t>
          </a:r>
        </a:p>
        <a:p>
          <a:pPr algn="l"/>
          <a:r>
            <a:rPr lang="en-US" sz="1200">
              <a:solidFill>
                <a:srgbClr val="000000"/>
              </a:solidFill>
            </a:rPr>
            <a:t>TOM007</a:t>
          </a:r>
        </a:p>
        <a:p>
          <a:pPr algn="l"/>
          <a:r>
            <a:rPr lang="en-US" sz="1200">
              <a:solidFill>
                <a:srgbClr val="000000"/>
              </a:solidFill>
            </a:rPr>
            <a:t>$16,333</a:t>
          </a:r>
        </a:p>
        <a:p>
          <a:pPr algn="l"/>
          <a:r>
            <a:rPr lang="en-US" sz="1200">
              <a:solidFill>
                <a:srgbClr val="000000"/>
              </a:solidFill>
            </a:rPr>
            <a:t>Determinate Cherry Mix</a:t>
          </a:r>
        </a:p>
        <a:p>
          <a:pPr algn="l"/>
          <a:endParaRPr lang="en-US" sz="1200">
            <a:solidFill>
              <a:srgbClr val="000000"/>
            </a:solidFill>
          </a:endParaRPr>
        </a:p>
        <a:p>
          <a:pPr algn="l"/>
          <a:r>
            <a:rPr lang="en-US" sz="1200">
              <a:solidFill>
                <a:srgbClr val="000000"/>
              </a:solidFill>
            </a:rPr>
            <a:t>8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08/20 - 11/26</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91</xdr:col>
      <xdr:colOff>958398</xdr:colOff>
      <xdr:row>39</xdr:row>
      <xdr:rowOff>560539</xdr:rowOff>
    </xdr:from>
    <xdr:to>
      <xdr:col>92</xdr:col>
      <xdr:colOff>958398</xdr:colOff>
      <xdr:row>49</xdr:row>
      <xdr:rowOff>560539</xdr:rowOff>
    </xdr:to>
    <xdr:sp macro="" textlink="">
      <xdr:nvSpPr>
        <xdr:cNvPr id="15" name="TOM008">
          <a:extLst>
            <a:ext uri="{FF2B5EF4-FFF2-40B4-BE49-F238E27FC236}">
              <a16:creationId xmlns:a16="http://schemas.microsoft.com/office/drawing/2014/main" id="{1B7DD900-46DD-A196-0BB7-47961627A1A0}"/>
            </a:ext>
          </a:extLst>
        </xdr:cNvPr>
        <xdr:cNvSpPr/>
      </xdr:nvSpPr>
      <xdr:spPr>
        <a:xfrm>
          <a:off x="93103248" y="21715564"/>
          <a:ext cx="981075" cy="5715000"/>
        </a:xfrm>
        <a:prstGeom prst="rect">
          <a:avLst/>
        </a:prstGeom>
        <a:gradFill flip="none" rotWithShape="1">
          <a:gsLst>
            <a:gs pos="0">
              <a:srgbClr val="FF5050">
                <a:alpha val="75000"/>
              </a:srgbClr>
            </a:gs>
            <a:gs pos="57718">
              <a:srgbClr val="FF5050">
                <a:alpha val="75000"/>
              </a:srgbClr>
            </a:gs>
            <a:gs pos="5771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Medium Det</a:t>
          </a:r>
        </a:p>
        <a:p>
          <a:pPr algn="l"/>
          <a:r>
            <a:rPr lang="en-US" sz="1200">
              <a:solidFill>
                <a:srgbClr val="000000"/>
              </a:solidFill>
            </a:rPr>
            <a:t>Field</a:t>
          </a:r>
        </a:p>
        <a:p>
          <a:pPr algn="l"/>
          <a:r>
            <a:rPr lang="en-US" sz="1200">
              <a:solidFill>
                <a:srgbClr val="000000"/>
              </a:solidFill>
            </a:rPr>
            <a:t>TOM008</a:t>
          </a:r>
        </a:p>
        <a:p>
          <a:pPr algn="l"/>
          <a:r>
            <a:rPr lang="en-US" sz="1200">
              <a:solidFill>
                <a:srgbClr val="000000"/>
              </a:solidFill>
            </a:rPr>
            <a:t>$16,800</a:t>
          </a:r>
        </a:p>
        <a:p>
          <a:pPr algn="l"/>
          <a:r>
            <a:rPr lang="en-US" sz="1200">
              <a:solidFill>
                <a:srgbClr val="000000"/>
              </a:solidFill>
            </a:rPr>
            <a:t>Determinate Medium Mix</a:t>
          </a:r>
        </a:p>
        <a:p>
          <a:pPr algn="l"/>
          <a:endParaRPr lang="en-US" sz="1200">
            <a:solidFill>
              <a:srgbClr val="000000"/>
            </a:solidFill>
          </a:endParaRPr>
        </a:p>
        <a:p>
          <a:pPr algn="l"/>
          <a:r>
            <a:rPr lang="en-US" sz="1200">
              <a:solidFill>
                <a:srgbClr val="000000"/>
              </a:solidFill>
            </a:rPr>
            <a:t>8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09/09 - 11/11</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67</xdr:col>
      <xdr:colOff>0</xdr:colOff>
      <xdr:row>40</xdr:row>
      <xdr:rowOff>101774</xdr:rowOff>
    </xdr:from>
    <xdr:to>
      <xdr:col>68</xdr:col>
      <xdr:colOff>0</xdr:colOff>
      <xdr:row>44</xdr:row>
      <xdr:rowOff>63674</xdr:rowOff>
    </xdr:to>
    <xdr:sp macro="" textlink="">
      <xdr:nvSpPr>
        <xdr:cNvPr id="5" name="LET030">
          <a:extLst>
            <a:ext uri="{FF2B5EF4-FFF2-40B4-BE49-F238E27FC236}">
              <a16:creationId xmlns:a16="http://schemas.microsoft.com/office/drawing/2014/main" id="{0033B5C0-F542-26A3-E6B2-F5A63A492BF9}"/>
            </a:ext>
          </a:extLst>
        </xdr:cNvPr>
        <xdr:cNvSpPr/>
      </xdr:nvSpPr>
      <xdr:spPr>
        <a:xfrm>
          <a:off x="68599050" y="21828299"/>
          <a:ext cx="981075" cy="2247900"/>
        </a:xfrm>
        <a:prstGeom prst="rect">
          <a:avLst/>
        </a:prstGeom>
        <a:gradFill flip="none" rotWithShape="1">
          <a:gsLst>
            <a:gs pos="0">
              <a:srgbClr val="92D050">
                <a:alpha val="75000"/>
              </a:srgbClr>
            </a:gs>
            <a:gs pos="75862">
              <a:srgbClr val="92D050">
                <a:alpha val="75000"/>
              </a:srgbClr>
            </a:gs>
            <a:gs pos="7586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4x9</a:t>
          </a:r>
        </a:p>
        <a:p>
          <a:pPr algn="l"/>
          <a:r>
            <a:rPr lang="en-US" sz="1200">
              <a:solidFill>
                <a:srgbClr val="000000"/>
              </a:solidFill>
            </a:rPr>
            <a:t>Field</a:t>
          </a:r>
        </a:p>
        <a:p>
          <a:pPr algn="l"/>
          <a:r>
            <a:rPr lang="en-US" sz="1200">
              <a:solidFill>
                <a:srgbClr val="000000"/>
              </a:solidFill>
            </a:rPr>
            <a:t>LET030</a:t>
          </a:r>
        </a:p>
        <a:p>
          <a:pPr algn="l"/>
          <a:r>
            <a:rPr lang="en-US" sz="1200">
              <a:solidFill>
                <a:srgbClr val="000000"/>
              </a:solidFill>
            </a:rPr>
            <a:t>$1,067</a:t>
          </a:r>
        </a:p>
        <a:p>
          <a:pPr algn="l"/>
          <a:r>
            <a:rPr lang="en-US" sz="1200">
              <a:solidFill>
                <a:srgbClr val="000000"/>
              </a:solidFill>
            </a:rPr>
            <a:t>Cool Lettuce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08/01 - 08/15</a:t>
          </a:r>
        </a:p>
        <a:p>
          <a:pPr algn="l"/>
          <a:r>
            <a:rPr lang="en-US" sz="1200">
              <a:solidFill>
                <a:srgbClr val="000000"/>
              </a:solidFill>
            </a:rPr>
            <a:t> 1'</a:t>
          </a:r>
        </a:p>
        <a:p>
          <a:pPr algn="l"/>
          <a:r>
            <a:rPr lang="en-US" sz="1200">
              <a:solidFill>
                <a:srgbClr val="000000"/>
              </a:solidFill>
            </a:rPr>
            <a:t>None</a:t>
          </a:r>
        </a:p>
      </xdr:txBody>
    </xdr:sp>
    <xdr:clientData/>
  </xdr:twoCellAnchor>
  <xdr:twoCellAnchor>
    <xdr:from>
      <xdr:col>68</xdr:col>
      <xdr:colOff>15874</xdr:colOff>
      <xdr:row>40</xdr:row>
      <xdr:rowOff>101774</xdr:rowOff>
    </xdr:from>
    <xdr:to>
      <xdr:col>68</xdr:col>
      <xdr:colOff>506412</xdr:colOff>
      <xdr:row>48</xdr:row>
      <xdr:rowOff>558974</xdr:rowOff>
    </xdr:to>
    <xdr:sp macro="" textlink="">
      <xdr:nvSpPr>
        <xdr:cNvPr id="2557" name="PEP001">
          <a:extLst>
            <a:ext uri="{FF2B5EF4-FFF2-40B4-BE49-F238E27FC236}">
              <a16:creationId xmlns:a16="http://schemas.microsoft.com/office/drawing/2014/main" id="{610A2F6E-5213-1223-D1FB-3B9B9084F5CF}"/>
            </a:ext>
          </a:extLst>
        </xdr:cNvPr>
        <xdr:cNvSpPr/>
      </xdr:nvSpPr>
      <xdr:spPr>
        <a:xfrm>
          <a:off x="69595999" y="21828299"/>
          <a:ext cx="490538" cy="5029200"/>
        </a:xfrm>
        <a:prstGeom prst="rect">
          <a:avLst/>
        </a:prstGeom>
        <a:gradFill flip="none" rotWithShape="1">
          <a:gsLst>
            <a:gs pos="0">
              <a:srgbClr val="FF5050">
                <a:alpha val="75000"/>
              </a:srgbClr>
            </a:gs>
            <a:gs pos="46565">
              <a:srgbClr val="FF5050">
                <a:alpha val="75000"/>
              </a:srgbClr>
            </a:gs>
            <a:gs pos="46565">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Bell</a:t>
          </a:r>
        </a:p>
        <a:p>
          <a:pPr algn="l"/>
          <a:r>
            <a:rPr lang="en-US" sz="800" kern="1200">
              <a:solidFill>
                <a:srgbClr val="000000"/>
              </a:solidFill>
            </a:rPr>
            <a:t>Field</a:t>
          </a:r>
        </a:p>
        <a:p>
          <a:pPr algn="l"/>
          <a:r>
            <a:rPr lang="en-US" sz="800" kern="1200">
              <a:solidFill>
                <a:srgbClr val="000000"/>
              </a:solidFill>
            </a:rPr>
            <a:t>PEP001</a:t>
          </a:r>
        </a:p>
        <a:p>
          <a:pPr algn="l"/>
          <a:r>
            <a:rPr lang="en-US" sz="800" kern="1200">
              <a:solidFill>
                <a:srgbClr val="000000"/>
              </a:solidFill>
            </a:rPr>
            <a:t>$668</a:t>
          </a:r>
        </a:p>
        <a:p>
          <a:pPr algn="l"/>
          <a:r>
            <a:rPr lang="en-US" sz="800" kern="1200">
              <a:solidFill>
                <a:srgbClr val="000000"/>
              </a:solidFill>
            </a:rPr>
            <a:t>Shishito</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08/18 - 10/27</a:t>
          </a:r>
        </a:p>
        <a:p>
          <a:pPr algn="l"/>
          <a:r>
            <a:rPr lang="en-US" sz="800" kern="1200">
              <a:solidFill>
                <a:srgbClr val="000000"/>
              </a:solidFill>
            </a:rPr>
            <a:t>DR 4'</a:t>
          </a:r>
        </a:p>
        <a:p>
          <a:pPr algn="l"/>
          <a:r>
            <a:rPr lang="en-US" sz="800" kern="1200">
              <a:solidFill>
                <a:srgbClr val="000000"/>
              </a:solidFill>
            </a:rPr>
            <a:t>None</a:t>
          </a:r>
        </a:p>
      </xdr:txBody>
    </xdr:sp>
    <xdr:clientData/>
  </xdr:twoCellAnchor>
  <xdr:twoCellAnchor>
    <xdr:from>
      <xdr:col>68</xdr:col>
      <xdr:colOff>525460</xdr:colOff>
      <xdr:row>40</xdr:row>
      <xdr:rowOff>101774</xdr:rowOff>
    </xdr:from>
    <xdr:to>
      <xdr:col>69</xdr:col>
      <xdr:colOff>34923</xdr:colOff>
      <xdr:row>48</xdr:row>
      <xdr:rowOff>558974</xdr:rowOff>
    </xdr:to>
    <xdr:sp macro="" textlink="">
      <xdr:nvSpPr>
        <xdr:cNvPr id="2555" name="PEP003">
          <a:extLst>
            <a:ext uri="{FF2B5EF4-FFF2-40B4-BE49-F238E27FC236}">
              <a16:creationId xmlns:a16="http://schemas.microsoft.com/office/drawing/2014/main" id="{AE7BBB23-63C0-E894-3F51-1F6DC41CB63E}"/>
            </a:ext>
          </a:extLst>
        </xdr:cNvPr>
        <xdr:cNvSpPr/>
      </xdr:nvSpPr>
      <xdr:spPr>
        <a:xfrm>
          <a:off x="70105585" y="21828299"/>
          <a:ext cx="490538" cy="5029200"/>
        </a:xfrm>
        <a:prstGeom prst="rect">
          <a:avLst/>
        </a:prstGeom>
        <a:gradFill flip="none" rotWithShape="1">
          <a:gsLst>
            <a:gs pos="0">
              <a:srgbClr val="FF5050">
                <a:alpha val="75000"/>
              </a:srgbClr>
            </a:gs>
            <a:gs pos="46565">
              <a:srgbClr val="FF5050">
                <a:alpha val="75000"/>
              </a:srgbClr>
            </a:gs>
            <a:gs pos="46565">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Hot</a:t>
          </a:r>
        </a:p>
        <a:p>
          <a:pPr algn="l"/>
          <a:r>
            <a:rPr lang="en-US" sz="800" kern="1200">
              <a:solidFill>
                <a:srgbClr val="000000"/>
              </a:solidFill>
            </a:rPr>
            <a:t>Field</a:t>
          </a:r>
        </a:p>
        <a:p>
          <a:pPr algn="l"/>
          <a:r>
            <a:rPr lang="en-US" sz="800" kern="1200">
              <a:solidFill>
                <a:srgbClr val="000000"/>
              </a:solidFill>
            </a:rPr>
            <a:t>PEP003</a:t>
          </a:r>
        </a:p>
        <a:p>
          <a:pPr algn="l"/>
          <a:r>
            <a:rPr lang="en-US" sz="800" kern="1200">
              <a:solidFill>
                <a:srgbClr val="000000"/>
              </a:solidFill>
            </a:rPr>
            <a:t>$563</a:t>
          </a:r>
        </a:p>
        <a:p>
          <a:pPr algn="l"/>
          <a:r>
            <a:rPr lang="en-US" sz="800" kern="1200">
              <a:solidFill>
                <a:srgbClr val="000000"/>
              </a:solidFill>
            </a:rPr>
            <a:t>Shishito</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08/18 - 10/27</a:t>
          </a:r>
        </a:p>
        <a:p>
          <a:pPr algn="l"/>
          <a:r>
            <a:rPr lang="en-US" sz="800" kern="1200">
              <a:solidFill>
                <a:srgbClr val="000000"/>
              </a:solidFill>
            </a:rPr>
            <a:t>DR 4'</a:t>
          </a:r>
        </a:p>
        <a:p>
          <a:pPr algn="l"/>
          <a:r>
            <a:rPr lang="en-US" sz="800" kern="1200">
              <a:solidFill>
                <a:srgbClr val="000000"/>
              </a:solidFill>
            </a:rPr>
            <a:t>None</a:t>
          </a:r>
        </a:p>
      </xdr:txBody>
    </xdr:sp>
    <xdr:clientData/>
  </xdr:twoCellAnchor>
  <xdr:twoCellAnchor>
    <xdr:from>
      <xdr:col>19</xdr:col>
      <xdr:colOff>459</xdr:colOff>
      <xdr:row>40</xdr:row>
      <xdr:rowOff>176930</xdr:rowOff>
    </xdr:from>
    <xdr:to>
      <xdr:col>21</xdr:col>
      <xdr:colOff>459</xdr:colOff>
      <xdr:row>47</xdr:row>
      <xdr:rowOff>557930</xdr:rowOff>
    </xdr:to>
    <xdr:sp macro="" textlink="">
      <xdr:nvSpPr>
        <xdr:cNvPr id="2602" name="COR001">
          <a:extLst>
            <a:ext uri="{FF2B5EF4-FFF2-40B4-BE49-F238E27FC236}">
              <a16:creationId xmlns:a16="http://schemas.microsoft.com/office/drawing/2014/main" id="{AEAD4C5B-C023-6733-3AB6-677F4AA3D891}"/>
            </a:ext>
          </a:extLst>
        </xdr:cNvPr>
        <xdr:cNvSpPr/>
      </xdr:nvSpPr>
      <xdr:spPr>
        <a:xfrm>
          <a:off x="21507909" y="21903455"/>
          <a:ext cx="1962150" cy="4381500"/>
        </a:xfrm>
        <a:prstGeom prst="rect">
          <a:avLst/>
        </a:prstGeom>
        <a:gradFill flip="none" rotWithShape="1">
          <a:gsLst>
            <a:gs pos="0">
              <a:srgbClr val="FFFF00">
                <a:alpha val="75000"/>
              </a:srgbClr>
            </a:gs>
            <a:gs pos="87719">
              <a:srgbClr val="FFFF00">
                <a:alpha val="75000"/>
              </a:srgbClr>
            </a:gs>
            <a:gs pos="87719">
              <a:srgbClr val="FFFF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Corn </a:t>
          </a:r>
        </a:p>
        <a:p>
          <a:pPr algn="l"/>
          <a:r>
            <a:rPr lang="en-US" sz="1200" kern="1200">
              <a:solidFill>
                <a:srgbClr val="000000"/>
              </a:solidFill>
            </a:rPr>
            <a:t>Sweet Early</a:t>
          </a:r>
        </a:p>
        <a:p>
          <a:pPr algn="l"/>
          <a:r>
            <a:rPr lang="en-US" sz="1200" kern="1200">
              <a:solidFill>
                <a:srgbClr val="000000"/>
              </a:solidFill>
            </a:rPr>
            <a:t>Field</a:t>
          </a:r>
        </a:p>
        <a:p>
          <a:pPr algn="l"/>
          <a:r>
            <a:rPr lang="en-US" sz="1200" kern="1200">
              <a:solidFill>
                <a:srgbClr val="000000"/>
              </a:solidFill>
            </a:rPr>
            <a:t>COR001</a:t>
          </a:r>
        </a:p>
        <a:p>
          <a:pPr algn="l"/>
          <a:r>
            <a:rPr lang="en-US" sz="1200" kern="1200">
              <a:solidFill>
                <a:srgbClr val="000000"/>
              </a:solidFill>
            </a:rPr>
            <a:t>$800</a:t>
          </a:r>
        </a:p>
        <a:p>
          <a:pPr algn="l"/>
          <a:r>
            <a:rPr lang="en-US" sz="1200" kern="1200">
              <a:solidFill>
                <a:srgbClr val="000000"/>
              </a:solidFill>
            </a:rPr>
            <a:t>Corn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09/28 - 10/12</a:t>
          </a:r>
        </a:p>
        <a:p>
          <a:pPr algn="l"/>
          <a:r>
            <a:rPr lang="en-US" sz="1200" kern="1200">
              <a:solidFill>
                <a:srgbClr val="000000"/>
              </a:solidFill>
            </a:rPr>
            <a:t>DR 4'</a:t>
          </a:r>
        </a:p>
        <a:p>
          <a:pPr algn="l"/>
          <a:r>
            <a:rPr lang="en-US" sz="1200" kern="1200">
              <a:solidFill>
                <a:srgbClr val="000000"/>
              </a:solidFill>
            </a:rPr>
            <a:t>None</a:t>
          </a:r>
        </a:p>
      </xdr:txBody>
    </xdr:sp>
    <xdr:clientData/>
  </xdr:twoCellAnchor>
  <xdr:twoCellAnchor>
    <xdr:from>
      <xdr:col>5</xdr:col>
      <xdr:colOff>9418</xdr:colOff>
      <xdr:row>40</xdr:row>
      <xdr:rowOff>176930</xdr:rowOff>
    </xdr:from>
    <xdr:to>
      <xdr:col>5</xdr:col>
      <xdr:colOff>499956</xdr:colOff>
      <xdr:row>52</xdr:row>
      <xdr:rowOff>405530</xdr:rowOff>
    </xdr:to>
    <xdr:sp macro="" textlink="">
      <xdr:nvSpPr>
        <xdr:cNvPr id="2556" name="PEP002">
          <a:extLst>
            <a:ext uri="{FF2B5EF4-FFF2-40B4-BE49-F238E27FC236}">
              <a16:creationId xmlns:a16="http://schemas.microsoft.com/office/drawing/2014/main" id="{858797E5-F7B8-9AEE-790A-0C4FBA10BB14}"/>
            </a:ext>
          </a:extLst>
        </xdr:cNvPr>
        <xdr:cNvSpPr/>
      </xdr:nvSpPr>
      <xdr:spPr>
        <a:xfrm>
          <a:off x="7781818" y="21903455"/>
          <a:ext cx="490538" cy="7086600"/>
        </a:xfrm>
        <a:prstGeom prst="rect">
          <a:avLst/>
        </a:prstGeom>
        <a:gradFill flip="none" rotWithShape="1">
          <a:gsLst>
            <a:gs pos="0">
              <a:srgbClr val="FF5050">
                <a:alpha val="75000"/>
              </a:srgbClr>
            </a:gs>
            <a:gs pos="31892">
              <a:srgbClr val="FF5050">
                <a:alpha val="75000"/>
              </a:srgbClr>
            </a:gs>
            <a:gs pos="31892">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Bell</a:t>
          </a:r>
        </a:p>
        <a:p>
          <a:pPr algn="l"/>
          <a:r>
            <a:rPr lang="en-US" sz="800" kern="1200">
              <a:solidFill>
                <a:srgbClr val="000000"/>
              </a:solidFill>
            </a:rPr>
            <a:t>Greenhouse</a:t>
          </a:r>
        </a:p>
        <a:p>
          <a:pPr algn="l"/>
          <a:r>
            <a:rPr lang="en-US" sz="800" kern="1200">
              <a:solidFill>
                <a:srgbClr val="000000"/>
              </a:solidFill>
            </a:rPr>
            <a:t>PEP002</a:t>
          </a:r>
        </a:p>
        <a:p>
          <a:pPr algn="l"/>
          <a:r>
            <a:rPr lang="en-US" sz="800" kern="1200">
              <a:solidFill>
                <a:srgbClr val="000000"/>
              </a:solidFill>
            </a:rPr>
            <a:t>$2,405</a:t>
          </a:r>
        </a:p>
        <a:p>
          <a:pPr algn="l"/>
          <a:r>
            <a:rPr lang="en-US" sz="800" kern="1200">
              <a:solidFill>
                <a:srgbClr val="000000"/>
              </a:solidFill>
            </a:rPr>
            <a:t>Sweet Pepper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08/18 - 12/22</a:t>
          </a:r>
        </a:p>
        <a:p>
          <a:pPr algn="l"/>
          <a:r>
            <a:rPr lang="en-US" sz="800" kern="1200">
              <a:solidFill>
                <a:srgbClr val="000000"/>
              </a:solidFill>
            </a:rPr>
            <a:t> 4'</a:t>
          </a:r>
        </a:p>
        <a:p>
          <a:pPr algn="l"/>
          <a:r>
            <a:rPr lang="en-US" sz="800" kern="1200">
              <a:solidFill>
                <a:srgbClr val="000000"/>
              </a:solidFill>
            </a:rPr>
            <a:t>0</a:t>
          </a:r>
        </a:p>
      </xdr:txBody>
    </xdr:sp>
    <xdr:clientData/>
  </xdr:twoCellAnchor>
  <xdr:twoCellAnchor>
    <xdr:from>
      <xdr:col>5</xdr:col>
      <xdr:colOff>516846</xdr:colOff>
      <xdr:row>40</xdr:row>
      <xdr:rowOff>176930</xdr:rowOff>
    </xdr:from>
    <xdr:to>
      <xdr:col>6</xdr:col>
      <xdr:colOff>26309</xdr:colOff>
      <xdr:row>52</xdr:row>
      <xdr:rowOff>405530</xdr:rowOff>
    </xdr:to>
    <xdr:sp macro="" textlink="">
      <xdr:nvSpPr>
        <xdr:cNvPr id="2554" name="PEP004">
          <a:extLst>
            <a:ext uri="{FF2B5EF4-FFF2-40B4-BE49-F238E27FC236}">
              <a16:creationId xmlns:a16="http://schemas.microsoft.com/office/drawing/2014/main" id="{9B6A954A-A7E3-BEBF-48D2-FA8E827B1469}"/>
            </a:ext>
          </a:extLst>
        </xdr:cNvPr>
        <xdr:cNvSpPr/>
      </xdr:nvSpPr>
      <xdr:spPr>
        <a:xfrm>
          <a:off x="8289246" y="21903455"/>
          <a:ext cx="490538" cy="7086600"/>
        </a:xfrm>
        <a:prstGeom prst="rect">
          <a:avLst/>
        </a:prstGeom>
        <a:gradFill flip="none" rotWithShape="1">
          <a:gsLst>
            <a:gs pos="0">
              <a:srgbClr val="FF5050">
                <a:alpha val="75000"/>
              </a:srgbClr>
            </a:gs>
            <a:gs pos="31892">
              <a:srgbClr val="FF5050">
                <a:alpha val="75000"/>
              </a:srgbClr>
            </a:gs>
            <a:gs pos="31892">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Hot</a:t>
          </a:r>
        </a:p>
        <a:p>
          <a:pPr algn="l"/>
          <a:r>
            <a:rPr lang="en-US" sz="800" kern="1200">
              <a:solidFill>
                <a:srgbClr val="000000"/>
              </a:solidFill>
            </a:rPr>
            <a:t>Greenhouse</a:t>
          </a:r>
        </a:p>
        <a:p>
          <a:pPr algn="l"/>
          <a:r>
            <a:rPr lang="en-US" sz="800" kern="1200">
              <a:solidFill>
                <a:srgbClr val="000000"/>
              </a:solidFill>
            </a:rPr>
            <a:t>PEP004</a:t>
          </a:r>
        </a:p>
        <a:p>
          <a:pPr algn="l"/>
          <a:r>
            <a:rPr lang="en-US" sz="800" kern="1200">
              <a:solidFill>
                <a:srgbClr val="000000"/>
              </a:solidFill>
            </a:rPr>
            <a:t>$1,013</a:t>
          </a:r>
        </a:p>
        <a:p>
          <a:pPr algn="l"/>
          <a:r>
            <a:rPr lang="en-US" sz="800" kern="1200">
              <a:solidFill>
                <a:srgbClr val="000000"/>
              </a:solidFill>
            </a:rPr>
            <a:t>Sweet Pepper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08/18 - 12/22</a:t>
          </a:r>
        </a:p>
        <a:p>
          <a:pPr algn="l"/>
          <a:r>
            <a:rPr lang="en-US" sz="800" kern="1200">
              <a:solidFill>
                <a:srgbClr val="000000"/>
              </a:solidFill>
            </a:rPr>
            <a:t> 4'</a:t>
          </a:r>
        </a:p>
        <a:p>
          <a:pPr algn="l"/>
          <a:r>
            <a:rPr lang="en-US" sz="800" kern="1200">
              <a:solidFill>
                <a:srgbClr val="000000"/>
              </a:solidFill>
            </a:rPr>
            <a:t>0</a:t>
          </a:r>
        </a:p>
      </xdr:txBody>
    </xdr:sp>
    <xdr:clientData/>
  </xdr:twoCellAnchor>
  <xdr:twoCellAnchor>
    <xdr:from>
      <xdr:col>81</xdr:col>
      <xdr:colOff>17462</xdr:colOff>
      <xdr:row>40</xdr:row>
      <xdr:rowOff>364821</xdr:rowOff>
    </xdr:from>
    <xdr:to>
      <xdr:col>83</xdr:col>
      <xdr:colOff>17462</xdr:colOff>
      <xdr:row>44</xdr:row>
      <xdr:rowOff>555321</xdr:rowOff>
    </xdr:to>
    <xdr:sp macro="" textlink="">
      <xdr:nvSpPr>
        <xdr:cNvPr id="58" name="SCA634">
          <a:extLst>
            <a:ext uri="{FF2B5EF4-FFF2-40B4-BE49-F238E27FC236}">
              <a16:creationId xmlns:a16="http://schemas.microsoft.com/office/drawing/2014/main" id="{1F2AEEEC-8081-EC5F-A19D-B11D1B617D58}"/>
            </a:ext>
          </a:extLst>
        </xdr:cNvPr>
        <xdr:cNvSpPr/>
      </xdr:nvSpPr>
      <xdr:spPr>
        <a:xfrm>
          <a:off x="82351562" y="22091346"/>
          <a:ext cx="1962150" cy="2476500"/>
        </a:xfrm>
        <a:prstGeom prst="rect">
          <a:avLst/>
        </a:prstGeom>
        <a:gradFill flip="none" rotWithShape="1">
          <a:gsLst>
            <a:gs pos="0">
              <a:srgbClr val="BFBFBF">
                <a:alpha val="75000"/>
              </a:srgbClr>
            </a:gs>
            <a:gs pos="78125">
              <a:srgbClr val="BFBFBF">
                <a:alpha val="75000"/>
              </a:srgbClr>
            </a:gs>
            <a:gs pos="78125">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Scallion</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SCA634</a:t>
          </a:r>
        </a:p>
        <a:p>
          <a:pPr algn="l"/>
          <a:r>
            <a:rPr lang="en-US" sz="1200">
              <a:solidFill>
                <a:srgbClr val="000000"/>
              </a:solidFill>
            </a:rPr>
            <a:t>$400</a:t>
          </a:r>
        </a:p>
        <a:p>
          <a:pPr algn="l"/>
          <a:r>
            <a:rPr lang="en-US" sz="1200">
              <a:solidFill>
                <a:srgbClr val="000000"/>
              </a:solidFill>
            </a:rPr>
            <a:t>Scallion Mix</a:t>
          </a:r>
        </a:p>
        <a:p>
          <a:pPr algn="l"/>
          <a:endParaRPr lang="en-US" sz="1200">
            <a:solidFill>
              <a:srgbClr val="000000"/>
            </a:solidFill>
          </a:endParaRPr>
        </a:p>
        <a:p>
          <a:pPr algn="l"/>
          <a:r>
            <a:rPr lang="en-US" sz="1200">
              <a:solidFill>
                <a:srgbClr val="000000"/>
              </a:solidFill>
            </a:rPr>
            <a:t>0.8 beds</a:t>
          </a:r>
        </a:p>
        <a:p>
          <a:pPr algn="l"/>
          <a:r>
            <a:rPr lang="en-US" sz="1200">
              <a:solidFill>
                <a:srgbClr val="000000"/>
              </a:solidFill>
            </a:rPr>
            <a:t>4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08/14 - 08/28</a:t>
          </a:r>
        </a:p>
        <a:p>
          <a:pPr algn="l"/>
          <a:r>
            <a:rPr lang="en-US" sz="1200">
              <a:solidFill>
                <a:srgbClr val="000000"/>
              </a:solidFill>
            </a:rPr>
            <a:t> 1.5'</a:t>
          </a:r>
        </a:p>
        <a:p>
          <a:pPr algn="l"/>
          <a:r>
            <a:rPr lang="en-US" sz="1200">
              <a:solidFill>
                <a:srgbClr val="000000"/>
              </a:solidFill>
            </a:rPr>
            <a:t>None</a:t>
          </a:r>
        </a:p>
      </xdr:txBody>
    </xdr:sp>
    <xdr:clientData/>
  </xdr:twoCellAnchor>
  <xdr:twoCellAnchor>
    <xdr:from>
      <xdr:col>20</xdr:col>
      <xdr:colOff>1101004</xdr:colOff>
      <xdr:row>40</xdr:row>
      <xdr:rowOff>364821</xdr:rowOff>
    </xdr:from>
    <xdr:to>
      <xdr:col>21</xdr:col>
      <xdr:colOff>610467</xdr:colOff>
      <xdr:row>46</xdr:row>
      <xdr:rowOff>441021</xdr:rowOff>
    </xdr:to>
    <xdr:sp macro="" textlink="">
      <xdr:nvSpPr>
        <xdr:cNvPr id="33" name="SCA638">
          <a:extLst>
            <a:ext uri="{FF2B5EF4-FFF2-40B4-BE49-F238E27FC236}">
              <a16:creationId xmlns:a16="http://schemas.microsoft.com/office/drawing/2014/main" id="{C11C2F36-E7CD-80D7-8F5B-CB2745EF32B1}"/>
            </a:ext>
          </a:extLst>
        </xdr:cNvPr>
        <xdr:cNvSpPr/>
      </xdr:nvSpPr>
      <xdr:spPr>
        <a:xfrm>
          <a:off x="26799828" y="8343409"/>
          <a:ext cx="630051" cy="3482788"/>
        </a:xfrm>
        <a:prstGeom prst="rect">
          <a:avLst/>
        </a:prstGeom>
        <a:gradFill flip="none" rotWithShape="1">
          <a:gsLst>
            <a:gs pos="0">
              <a:srgbClr val="BFBFBF">
                <a:alpha val="75000"/>
              </a:srgbClr>
            </a:gs>
            <a:gs pos="84615">
              <a:srgbClr val="BFBFBF">
                <a:alpha val="75000"/>
              </a:srgbClr>
            </a:gs>
            <a:gs pos="8461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Scallion</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SCA638</a:t>
          </a:r>
        </a:p>
        <a:p>
          <a:pPr algn="l"/>
          <a:r>
            <a:rPr lang="en-US" sz="800">
              <a:solidFill>
                <a:srgbClr val="000000"/>
              </a:solidFill>
            </a:rPr>
            <a:t>$167</a:t>
          </a:r>
        </a:p>
        <a:p>
          <a:pPr algn="l"/>
          <a:endParaRPr lang="en-US" sz="800">
            <a:solidFill>
              <a:srgbClr val="000000"/>
            </a:solidFill>
          </a:endParaRP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6"</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09/10 - 09/24</a:t>
          </a:r>
        </a:p>
        <a:p>
          <a:pPr algn="l"/>
          <a:r>
            <a:rPr lang="en-US" sz="800">
              <a:solidFill>
                <a:srgbClr val="000000"/>
              </a:solidFill>
            </a:rPr>
            <a:t> 1.5'</a:t>
          </a:r>
        </a:p>
        <a:p>
          <a:pPr algn="l"/>
          <a:r>
            <a:rPr lang="en-US" sz="800">
              <a:solidFill>
                <a:srgbClr val="000000"/>
              </a:solidFill>
            </a:rPr>
            <a:t>None</a:t>
          </a:r>
        </a:p>
      </xdr:txBody>
    </xdr:sp>
    <xdr:clientData/>
  </xdr:twoCellAnchor>
  <xdr:twoCellAnchor>
    <xdr:from>
      <xdr:col>8</xdr:col>
      <xdr:colOff>10886</xdr:colOff>
      <xdr:row>40</xdr:row>
      <xdr:rowOff>477555</xdr:rowOff>
    </xdr:from>
    <xdr:to>
      <xdr:col>9</xdr:col>
      <xdr:colOff>10886</xdr:colOff>
      <xdr:row>47</xdr:row>
      <xdr:rowOff>477555</xdr:rowOff>
    </xdr:to>
    <xdr:sp macro="" textlink="">
      <xdr:nvSpPr>
        <xdr:cNvPr id="2630" name="BAS002">
          <a:extLst>
            <a:ext uri="{FF2B5EF4-FFF2-40B4-BE49-F238E27FC236}">
              <a16:creationId xmlns:a16="http://schemas.microsoft.com/office/drawing/2014/main" id="{B3D4D97B-2BA2-DC7C-ABB5-E70488EFE5E6}"/>
            </a:ext>
          </a:extLst>
        </xdr:cNvPr>
        <xdr:cNvSpPr/>
      </xdr:nvSpPr>
      <xdr:spPr>
        <a:xfrm>
          <a:off x="10726511" y="22204080"/>
          <a:ext cx="981075" cy="4000500"/>
        </a:xfrm>
        <a:prstGeom prst="rect">
          <a:avLst/>
        </a:prstGeom>
        <a:gradFill flip="none" rotWithShape="1">
          <a:gsLst>
            <a:gs pos="0">
              <a:srgbClr val="FFE699">
                <a:alpha val="75000"/>
              </a:srgbClr>
            </a:gs>
            <a:gs pos="52885">
              <a:srgbClr val="FFE699">
                <a:alpha val="75000"/>
              </a:srgbClr>
            </a:gs>
            <a:gs pos="5288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Basil</a:t>
          </a:r>
        </a:p>
        <a:p>
          <a:pPr algn="l"/>
          <a:r>
            <a:rPr lang="en-US" sz="1200" kern="1200">
              <a:solidFill>
                <a:srgbClr val="000000"/>
              </a:solidFill>
            </a:rPr>
            <a:t>Italian</a:t>
          </a:r>
        </a:p>
        <a:p>
          <a:pPr algn="l"/>
          <a:r>
            <a:rPr lang="en-US" sz="1200" kern="1200">
              <a:solidFill>
                <a:srgbClr val="000000"/>
              </a:solidFill>
            </a:rPr>
            <a:t>Tunnel</a:t>
          </a:r>
        </a:p>
        <a:p>
          <a:pPr algn="l"/>
          <a:r>
            <a:rPr lang="en-US" sz="1200" kern="1200">
              <a:solidFill>
                <a:srgbClr val="000000"/>
              </a:solidFill>
            </a:rPr>
            <a:t>BAS002</a:t>
          </a:r>
        </a:p>
        <a:p>
          <a:pPr algn="l"/>
          <a:r>
            <a:rPr lang="en-US" sz="1200" kern="1200">
              <a:solidFill>
                <a:srgbClr val="000000"/>
              </a:solidFill>
            </a:rPr>
            <a:t>$325</a:t>
          </a:r>
        </a:p>
        <a:p>
          <a:pPr algn="l"/>
          <a:r>
            <a:rPr lang="en-US" sz="1200" kern="1200">
              <a:solidFill>
                <a:srgbClr val="000000"/>
              </a:solidFill>
            </a:rPr>
            <a:t>Basil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08/22 - 10/10</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53</xdr:col>
      <xdr:colOff>1113730</xdr:colOff>
      <xdr:row>40</xdr:row>
      <xdr:rowOff>477555</xdr:rowOff>
    </xdr:from>
    <xdr:to>
      <xdr:col>55</xdr:col>
      <xdr:colOff>1113730</xdr:colOff>
      <xdr:row>47</xdr:row>
      <xdr:rowOff>172755</xdr:rowOff>
    </xdr:to>
    <xdr:sp macro="" textlink="">
      <xdr:nvSpPr>
        <xdr:cNvPr id="2583" name="LEE001">
          <a:extLst>
            <a:ext uri="{FF2B5EF4-FFF2-40B4-BE49-F238E27FC236}">
              <a16:creationId xmlns:a16="http://schemas.microsoft.com/office/drawing/2014/main" id="{81C55690-3E10-262F-C5AF-B10E828CF5BD}"/>
            </a:ext>
          </a:extLst>
        </xdr:cNvPr>
        <xdr:cNvSpPr/>
      </xdr:nvSpPr>
      <xdr:spPr>
        <a:xfrm>
          <a:off x="63791965" y="8456143"/>
          <a:ext cx="2241177" cy="3669553"/>
        </a:xfrm>
        <a:prstGeom prst="rect">
          <a:avLst/>
        </a:prstGeom>
        <a:gradFill flip="none" rotWithShape="1">
          <a:gsLst>
            <a:gs pos="0">
              <a:srgbClr val="BFBFBF">
                <a:alpha val="75000"/>
              </a:srgbClr>
            </a:gs>
            <a:gs pos="70833">
              <a:srgbClr val="BFBFBF">
                <a:alpha val="75000"/>
              </a:srgbClr>
            </a:gs>
            <a:gs pos="70833">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Leek</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LEE001</a:t>
          </a:r>
        </a:p>
        <a:p>
          <a:pPr algn="l"/>
          <a:r>
            <a:rPr lang="en-US" sz="1200" kern="1200">
              <a:solidFill>
                <a:srgbClr val="000000"/>
              </a:solidFill>
            </a:rPr>
            <a:t>$2,667</a:t>
          </a:r>
        </a:p>
        <a:p>
          <a:pPr algn="l"/>
          <a:r>
            <a:rPr lang="en-US" sz="1200" kern="1200">
              <a:solidFill>
                <a:srgbClr val="000000"/>
              </a:solidFill>
            </a:rPr>
            <a:t>Summer Leek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09/04 - 10/02</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32</xdr:col>
      <xdr:colOff>9151</xdr:colOff>
      <xdr:row>40</xdr:row>
      <xdr:rowOff>515133</xdr:rowOff>
    </xdr:from>
    <xdr:to>
      <xdr:col>33</xdr:col>
      <xdr:colOff>9151</xdr:colOff>
      <xdr:row>47</xdr:row>
      <xdr:rowOff>553233</xdr:rowOff>
    </xdr:to>
    <xdr:sp macro="" textlink="">
      <xdr:nvSpPr>
        <xdr:cNvPr id="2611" name="CAR003">
          <a:extLst>
            <a:ext uri="{FF2B5EF4-FFF2-40B4-BE49-F238E27FC236}">
              <a16:creationId xmlns:a16="http://schemas.microsoft.com/office/drawing/2014/main" id="{CAE74345-4261-747D-02B0-A47F2B520EF1}"/>
            </a:ext>
            <a:ext uri="{147F2762-F138-4A5C-976F-8EAC2B608ADB}">
              <a16:predDERef xmlns:a16="http://schemas.microsoft.com/office/drawing/2014/main" pred="{89A02E95-712B-C443-6610-B7B5671AC7F4}"/>
            </a:ext>
          </a:extLst>
        </xdr:cNvPr>
        <xdr:cNvSpPr/>
      </xdr:nvSpPr>
      <xdr:spPr>
        <a:xfrm>
          <a:off x="34270576" y="22241658"/>
          <a:ext cx="981075" cy="4038600"/>
        </a:xfrm>
        <a:prstGeom prst="rect">
          <a:avLst/>
        </a:prstGeom>
        <a:gradFill flip="none" rotWithShape="1">
          <a:gsLst>
            <a:gs pos="0">
              <a:srgbClr val="FFC000">
                <a:alpha val="75000"/>
              </a:srgbClr>
            </a:gs>
            <a:gs pos="80000">
              <a:srgbClr val="FFC000">
                <a:alpha val="75000"/>
              </a:srgbClr>
            </a:gs>
            <a:gs pos="80000">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Carrot</a:t>
          </a:r>
        </a:p>
        <a:p>
          <a:pPr algn="l"/>
          <a:r>
            <a:rPr lang="en-US" sz="1200" kern="1200">
              <a:solidFill>
                <a:srgbClr val="000000"/>
              </a:solidFill>
            </a:rPr>
            <a:t>Maincrop</a:t>
          </a:r>
        </a:p>
        <a:p>
          <a:pPr algn="l"/>
          <a:r>
            <a:rPr lang="en-US" sz="1200" kern="1200">
              <a:solidFill>
                <a:srgbClr val="000000"/>
              </a:solidFill>
            </a:rPr>
            <a:t>Field</a:t>
          </a:r>
        </a:p>
        <a:p>
          <a:pPr algn="l"/>
          <a:r>
            <a:rPr lang="en-US" sz="1200" kern="1200">
              <a:solidFill>
                <a:srgbClr val="000000"/>
              </a:solidFill>
            </a:rPr>
            <a:t>CAR003</a:t>
          </a:r>
        </a:p>
        <a:p>
          <a:pPr algn="l"/>
          <a:r>
            <a:rPr lang="en-US" sz="1200" kern="1200">
              <a:solidFill>
                <a:srgbClr val="000000"/>
              </a:solidFill>
            </a:rPr>
            <a:t>$630</a:t>
          </a:r>
        </a:p>
        <a:p>
          <a:pPr algn="l"/>
          <a:r>
            <a:rPr lang="en-US" sz="1200" kern="1200">
              <a:solidFill>
                <a:srgbClr val="000000"/>
              </a:solidFill>
            </a:rPr>
            <a:t>Maincrop Carrot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0"</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09/21 - 10/12</a:t>
          </a:r>
        </a:p>
        <a:p>
          <a:pPr algn="l"/>
          <a:r>
            <a:rPr lang="en-US" sz="1200" kern="1200">
              <a:solidFill>
                <a:srgbClr val="000000"/>
              </a:solidFill>
            </a:rPr>
            <a:t>OH 1'</a:t>
          </a:r>
        </a:p>
        <a:p>
          <a:pPr algn="l"/>
          <a:r>
            <a:rPr lang="en-US" sz="1200" kern="1200">
              <a:solidFill>
                <a:srgbClr val="000000"/>
              </a:solidFill>
            </a:rPr>
            <a:t>AMAP</a:t>
          </a:r>
        </a:p>
      </xdr:txBody>
    </xdr:sp>
    <xdr:clientData/>
  </xdr:twoCellAnchor>
  <xdr:twoCellAnchor>
    <xdr:from>
      <xdr:col>30</xdr:col>
      <xdr:colOff>14964</xdr:colOff>
      <xdr:row>40</xdr:row>
      <xdr:rowOff>515133</xdr:rowOff>
    </xdr:from>
    <xdr:to>
      <xdr:col>30</xdr:col>
      <xdr:colOff>505502</xdr:colOff>
      <xdr:row>47</xdr:row>
      <xdr:rowOff>19833</xdr:rowOff>
    </xdr:to>
    <xdr:sp macro="" textlink="">
      <xdr:nvSpPr>
        <xdr:cNvPr id="20" name="CAR005">
          <a:extLst>
            <a:ext uri="{FF2B5EF4-FFF2-40B4-BE49-F238E27FC236}">
              <a16:creationId xmlns:a16="http://schemas.microsoft.com/office/drawing/2014/main" id="{8B95ADAD-ED29-04AD-3D0C-E4680F67CEDC}"/>
            </a:ext>
          </a:extLst>
        </xdr:cNvPr>
        <xdr:cNvSpPr/>
      </xdr:nvSpPr>
      <xdr:spPr>
        <a:xfrm>
          <a:off x="32314239" y="22241658"/>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Carrot</a:t>
          </a:r>
        </a:p>
        <a:p>
          <a:pPr algn="l"/>
          <a:r>
            <a:rPr lang="en-US" sz="800">
              <a:solidFill>
                <a:srgbClr val="000000"/>
              </a:solidFill>
            </a:rPr>
            <a:t>Early</a:t>
          </a:r>
        </a:p>
        <a:p>
          <a:pPr algn="l"/>
          <a:r>
            <a:rPr lang="en-US" sz="800">
              <a:solidFill>
                <a:srgbClr val="000000"/>
              </a:solidFill>
            </a:rPr>
            <a:t>Field</a:t>
          </a:r>
        </a:p>
        <a:p>
          <a:pPr algn="l"/>
          <a:r>
            <a:rPr lang="en-US" sz="800">
              <a:solidFill>
                <a:srgbClr val="000000"/>
              </a:solidFill>
            </a:rPr>
            <a:t>CAR005</a:t>
          </a:r>
        </a:p>
        <a:p>
          <a:pPr algn="l"/>
          <a:r>
            <a:rPr lang="en-US" sz="800">
              <a:solidFill>
                <a:srgbClr val="000000"/>
              </a:solidFill>
            </a:rPr>
            <a:t>$279</a:t>
          </a:r>
        </a:p>
        <a:p>
          <a:pPr algn="l"/>
          <a:r>
            <a:rPr lang="en-US" sz="800">
              <a:solidFill>
                <a:srgbClr val="000000"/>
              </a:solidFill>
            </a:rPr>
            <a:t>Early Carrot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09/07 - 09/28</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30</xdr:col>
      <xdr:colOff>521151</xdr:colOff>
      <xdr:row>40</xdr:row>
      <xdr:rowOff>515133</xdr:rowOff>
    </xdr:from>
    <xdr:to>
      <xdr:col>31</xdr:col>
      <xdr:colOff>30614</xdr:colOff>
      <xdr:row>47</xdr:row>
      <xdr:rowOff>19833</xdr:rowOff>
    </xdr:to>
    <xdr:sp macro="" textlink="">
      <xdr:nvSpPr>
        <xdr:cNvPr id="2" name="CAR006">
          <a:extLst>
            <a:ext uri="{FF2B5EF4-FFF2-40B4-BE49-F238E27FC236}">
              <a16:creationId xmlns:a16="http://schemas.microsoft.com/office/drawing/2014/main" id="{ECE1337B-4630-DCAE-7448-A16D3D7775B3}"/>
            </a:ext>
          </a:extLst>
        </xdr:cNvPr>
        <xdr:cNvSpPr/>
      </xdr:nvSpPr>
      <xdr:spPr>
        <a:xfrm>
          <a:off x="32820426" y="22241658"/>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Carrot</a:t>
          </a:r>
        </a:p>
        <a:p>
          <a:pPr algn="l"/>
          <a:r>
            <a:rPr lang="en-US" sz="800">
              <a:solidFill>
                <a:srgbClr val="000000"/>
              </a:solidFill>
            </a:rPr>
            <a:t>Early</a:t>
          </a:r>
        </a:p>
        <a:p>
          <a:pPr algn="l"/>
          <a:r>
            <a:rPr lang="en-US" sz="800">
              <a:solidFill>
                <a:srgbClr val="000000"/>
              </a:solidFill>
            </a:rPr>
            <a:t>Field</a:t>
          </a:r>
        </a:p>
        <a:p>
          <a:pPr algn="l"/>
          <a:r>
            <a:rPr lang="en-US" sz="800">
              <a:solidFill>
                <a:srgbClr val="000000"/>
              </a:solidFill>
            </a:rPr>
            <a:t>CAR006</a:t>
          </a:r>
        </a:p>
        <a:p>
          <a:pPr algn="l"/>
          <a:r>
            <a:rPr lang="en-US" sz="800">
              <a:solidFill>
                <a:srgbClr val="000000"/>
              </a:solidFill>
            </a:rPr>
            <a:t>$279</a:t>
          </a:r>
        </a:p>
        <a:p>
          <a:pPr algn="l"/>
          <a:r>
            <a:rPr lang="en-US" sz="800">
              <a:solidFill>
                <a:srgbClr val="000000"/>
              </a:solidFill>
            </a:rPr>
            <a:t>Early Carrot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09/07 - 09/28</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33</xdr:col>
      <xdr:colOff>44903</xdr:colOff>
      <xdr:row>40</xdr:row>
      <xdr:rowOff>515133</xdr:rowOff>
    </xdr:from>
    <xdr:to>
      <xdr:col>33</xdr:col>
      <xdr:colOff>535441</xdr:colOff>
      <xdr:row>44</xdr:row>
      <xdr:rowOff>286533</xdr:rowOff>
    </xdr:to>
    <xdr:sp macro="" textlink="">
      <xdr:nvSpPr>
        <xdr:cNvPr id="50" name="RAD451">
          <a:extLst>
            <a:ext uri="{FF2B5EF4-FFF2-40B4-BE49-F238E27FC236}">
              <a16:creationId xmlns:a16="http://schemas.microsoft.com/office/drawing/2014/main" id="{20AC5BFF-516D-A11B-F624-38614B667C8B}"/>
            </a:ext>
          </a:extLst>
        </xdr:cNvPr>
        <xdr:cNvSpPr/>
      </xdr:nvSpPr>
      <xdr:spPr>
        <a:xfrm>
          <a:off x="35287403" y="22241658"/>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RAD451</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07/31 - 08/21</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31</xdr:col>
      <xdr:colOff>476250</xdr:colOff>
      <xdr:row>40</xdr:row>
      <xdr:rowOff>552710</xdr:rowOff>
    </xdr:from>
    <xdr:to>
      <xdr:col>31</xdr:col>
      <xdr:colOff>966788</xdr:colOff>
      <xdr:row>44</xdr:row>
      <xdr:rowOff>171710</xdr:rowOff>
    </xdr:to>
    <xdr:sp macro="" textlink="">
      <xdr:nvSpPr>
        <xdr:cNvPr id="2542" name="ARU004">
          <a:extLst>
            <a:ext uri="{FF2B5EF4-FFF2-40B4-BE49-F238E27FC236}">
              <a16:creationId xmlns:a16="http://schemas.microsoft.com/office/drawing/2014/main" id="{593BA074-8393-9B2A-4E03-F42A88A5ED08}"/>
            </a:ext>
            <a:ext uri="{147F2762-F138-4A5C-976F-8EAC2B608ADB}">
              <a16:predDERef xmlns:a16="http://schemas.microsoft.com/office/drawing/2014/main" pred="{3FAE6A39-7FAF-2CA0-0685-76BF1BAB3D0C}"/>
            </a:ext>
          </a:extLst>
        </xdr:cNvPr>
        <xdr:cNvSpPr/>
      </xdr:nvSpPr>
      <xdr:spPr>
        <a:xfrm>
          <a:off x="33756600" y="22279235"/>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Arugula</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ARU004</a:t>
          </a:r>
        </a:p>
        <a:p>
          <a:pPr algn="l"/>
          <a:r>
            <a:rPr lang="en-US" sz="800">
              <a:solidFill>
                <a:srgbClr val="000000"/>
              </a:solidFill>
            </a:rPr>
            <a:t>$113</a:t>
          </a:r>
        </a:p>
        <a:p>
          <a:pPr algn="l"/>
          <a:r>
            <a:rPr lang="en-US" sz="800">
              <a:solidFill>
                <a:srgbClr val="000000"/>
              </a:solidFill>
            </a:rPr>
            <a:t>Arugala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07/31 - 08/18</a:t>
          </a:r>
        </a:p>
        <a:p>
          <a:pPr algn="l"/>
          <a:r>
            <a:rPr lang="en-US" sz="800">
              <a:solidFill>
                <a:srgbClr val="000000"/>
              </a:solidFill>
            </a:rPr>
            <a:t>OH 1'</a:t>
          </a:r>
        </a:p>
        <a:p>
          <a:pPr algn="l"/>
          <a:r>
            <a:rPr lang="en-US" sz="800">
              <a:solidFill>
                <a:srgbClr val="000000"/>
              </a:solidFill>
            </a:rPr>
            <a:t>None</a:t>
          </a:r>
        </a:p>
      </xdr:txBody>
    </xdr:sp>
    <xdr:clientData/>
  </xdr:twoCellAnchor>
  <xdr:twoCellAnchor>
    <xdr:from>
      <xdr:col>79</xdr:col>
      <xdr:colOff>4762</xdr:colOff>
      <xdr:row>40</xdr:row>
      <xdr:rowOff>552710</xdr:rowOff>
    </xdr:from>
    <xdr:to>
      <xdr:col>80</xdr:col>
      <xdr:colOff>4762</xdr:colOff>
      <xdr:row>49</xdr:row>
      <xdr:rowOff>400310</xdr:rowOff>
    </xdr:to>
    <xdr:sp macro="" textlink="">
      <xdr:nvSpPr>
        <xdr:cNvPr id="2507" name="PEP005">
          <a:extLst>
            <a:ext uri="{FF2B5EF4-FFF2-40B4-BE49-F238E27FC236}">
              <a16:creationId xmlns:a16="http://schemas.microsoft.com/office/drawing/2014/main" id="{3A95EC99-ED4F-D6FB-B5D8-EC1023C482BE}"/>
            </a:ext>
          </a:extLst>
        </xdr:cNvPr>
        <xdr:cNvSpPr/>
      </xdr:nvSpPr>
      <xdr:spPr>
        <a:xfrm>
          <a:off x="80376712" y="22279235"/>
          <a:ext cx="981075" cy="4991100"/>
        </a:xfrm>
        <a:prstGeom prst="rect">
          <a:avLst/>
        </a:prstGeom>
        <a:gradFill flip="none" rotWithShape="1">
          <a:gsLst>
            <a:gs pos="0">
              <a:srgbClr val="FF5050">
                <a:alpha val="75000"/>
              </a:srgbClr>
            </a:gs>
            <a:gs pos="46154">
              <a:srgbClr val="FF5050">
                <a:alpha val="75000"/>
              </a:srgbClr>
            </a:gs>
            <a:gs pos="46154">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Pepper</a:t>
          </a:r>
        </a:p>
        <a:p>
          <a:pPr algn="l"/>
          <a:r>
            <a:rPr lang="en-US" sz="1200">
              <a:solidFill>
                <a:srgbClr val="000000"/>
              </a:solidFill>
            </a:rPr>
            <a:t>Hot</a:t>
          </a:r>
        </a:p>
        <a:p>
          <a:pPr algn="l"/>
          <a:r>
            <a:rPr lang="en-US" sz="1200">
              <a:solidFill>
                <a:srgbClr val="000000"/>
              </a:solidFill>
            </a:rPr>
            <a:t>Field</a:t>
          </a:r>
        </a:p>
        <a:p>
          <a:pPr algn="l"/>
          <a:r>
            <a:rPr lang="en-US" sz="1200">
              <a:solidFill>
                <a:srgbClr val="000000"/>
              </a:solidFill>
            </a:rPr>
            <a:t>PEP005</a:t>
          </a:r>
        </a:p>
        <a:p>
          <a:pPr algn="l"/>
          <a:r>
            <a:rPr lang="en-US" sz="1200">
              <a:solidFill>
                <a:srgbClr val="000000"/>
              </a:solidFill>
            </a:rPr>
            <a:t>$450</a:t>
          </a:r>
        </a:p>
        <a:p>
          <a:pPr algn="l"/>
          <a:r>
            <a:rPr lang="en-US" sz="1200">
              <a:solidFill>
                <a:srgbClr val="000000"/>
              </a:solidFill>
            </a:rPr>
            <a:t>Hot Pepper Mix</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08/29 - 11/07</a:t>
          </a:r>
        </a:p>
        <a:p>
          <a:pPr algn="l"/>
          <a:r>
            <a:rPr lang="en-US" sz="1200">
              <a:solidFill>
                <a:srgbClr val="000000"/>
              </a:solidFill>
            </a:rPr>
            <a:t>DR 4'</a:t>
          </a:r>
        </a:p>
        <a:p>
          <a:pPr algn="l"/>
          <a:r>
            <a:rPr lang="en-US" sz="1200">
              <a:solidFill>
                <a:srgbClr val="000000"/>
              </a:solidFill>
            </a:rPr>
            <a:t>None</a:t>
          </a:r>
        </a:p>
      </xdr:txBody>
    </xdr:sp>
    <xdr:clientData/>
  </xdr:twoCellAnchor>
  <xdr:twoCellAnchor>
    <xdr:from>
      <xdr:col>15</xdr:col>
      <xdr:colOff>12702</xdr:colOff>
      <xdr:row>42</xdr:row>
      <xdr:rowOff>492945</xdr:rowOff>
    </xdr:from>
    <xdr:to>
      <xdr:col>16</xdr:col>
      <xdr:colOff>12702</xdr:colOff>
      <xdr:row>47</xdr:row>
      <xdr:rowOff>378646</xdr:rowOff>
    </xdr:to>
    <xdr:sp macro="" textlink="">
      <xdr:nvSpPr>
        <xdr:cNvPr id="2546" name="RAD006">
          <a:extLst>
            <a:ext uri="{FF2B5EF4-FFF2-40B4-BE49-F238E27FC236}">
              <a16:creationId xmlns:a16="http://schemas.microsoft.com/office/drawing/2014/main" id="{099AC450-9203-349A-285B-54F9F45E1FDC}"/>
            </a:ext>
            <a:ext uri="{147F2762-F138-4A5C-976F-8EAC2B608ADB}">
              <a16:predDERef xmlns:a16="http://schemas.microsoft.com/office/drawing/2014/main" pred="{3A95EC99-ED4F-D6FB-B5D8-EC1023C482BE}"/>
            </a:ext>
          </a:extLst>
        </xdr:cNvPr>
        <xdr:cNvSpPr/>
      </xdr:nvSpPr>
      <xdr:spPr>
        <a:xfrm>
          <a:off x="20108584" y="9607063"/>
          <a:ext cx="1120589" cy="2724524"/>
        </a:xfrm>
        <a:prstGeom prst="rect">
          <a:avLst/>
        </a:prstGeom>
        <a:gradFill flip="none" rotWithShape="1">
          <a:gsLst>
            <a:gs pos="0">
              <a:srgbClr val="00B050">
                <a:alpha val="75000"/>
              </a:srgbClr>
            </a:gs>
            <a:gs pos="70423">
              <a:srgbClr val="00B050">
                <a:alpha val="75000"/>
              </a:srgbClr>
            </a:gs>
            <a:gs pos="70423">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Radish</a:t>
          </a:r>
        </a:p>
        <a:p>
          <a:pPr algn="l"/>
          <a:r>
            <a:rPr lang="en-US" sz="1200" kern="1200">
              <a:solidFill>
                <a:srgbClr val="000000"/>
              </a:solidFill>
            </a:rPr>
            <a:t>Munchen Bier</a:t>
          </a:r>
        </a:p>
        <a:p>
          <a:pPr algn="l"/>
          <a:r>
            <a:rPr lang="en-US" sz="1200" kern="1200">
              <a:solidFill>
                <a:srgbClr val="000000"/>
              </a:solidFill>
            </a:rPr>
            <a:t>Field</a:t>
          </a:r>
        </a:p>
        <a:p>
          <a:pPr algn="l"/>
          <a:r>
            <a:rPr lang="en-US" sz="1200" kern="1200">
              <a:solidFill>
                <a:srgbClr val="000000"/>
              </a:solidFill>
            </a:rPr>
            <a:t>RAD006</a:t>
          </a:r>
        </a:p>
        <a:p>
          <a:pPr algn="l"/>
          <a:r>
            <a:rPr lang="en-US" sz="1200" kern="1200">
              <a:solidFill>
                <a:srgbClr val="000000"/>
              </a:solidFill>
            </a:rPr>
            <a:t>$514</a:t>
          </a:r>
        </a:p>
        <a:p>
          <a:pPr algn="l"/>
          <a:r>
            <a:rPr lang="en-US" sz="1200" kern="1200">
              <a:solidFill>
                <a:srgbClr val="000000"/>
              </a:solidFill>
            </a:rPr>
            <a:t>Schwarzer Runder</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6 R @ 3"</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08/19 - 09/09</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33</xdr:col>
      <xdr:colOff>536345</xdr:colOff>
      <xdr:row>40</xdr:row>
      <xdr:rowOff>552710</xdr:rowOff>
    </xdr:from>
    <xdr:to>
      <xdr:col>34</xdr:col>
      <xdr:colOff>45808</xdr:colOff>
      <xdr:row>44</xdr:row>
      <xdr:rowOff>362210</xdr:rowOff>
    </xdr:to>
    <xdr:sp macro="" textlink="">
      <xdr:nvSpPr>
        <xdr:cNvPr id="2522" name="TUR002">
          <a:extLst>
            <a:ext uri="{FF2B5EF4-FFF2-40B4-BE49-F238E27FC236}">
              <a16:creationId xmlns:a16="http://schemas.microsoft.com/office/drawing/2014/main" id="{3FAE6A39-7FAF-2CA0-0685-76BF1BAB3D0C}"/>
            </a:ext>
          </a:extLst>
        </xdr:cNvPr>
        <xdr:cNvSpPr/>
      </xdr:nvSpPr>
      <xdr:spPr>
        <a:xfrm>
          <a:off x="35778845" y="22279235"/>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TUR002</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08/09 - 08/23</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28</xdr:col>
      <xdr:colOff>47334</xdr:colOff>
      <xdr:row>40</xdr:row>
      <xdr:rowOff>190458</xdr:rowOff>
    </xdr:from>
    <xdr:to>
      <xdr:col>29</xdr:col>
      <xdr:colOff>47333</xdr:colOff>
      <xdr:row>47</xdr:row>
      <xdr:rowOff>228558</xdr:rowOff>
    </xdr:to>
    <xdr:sp macro="" textlink="">
      <xdr:nvSpPr>
        <xdr:cNvPr id="2502" name="CAR007">
          <a:extLst>
            <a:ext uri="{FF2B5EF4-FFF2-40B4-BE49-F238E27FC236}">
              <a16:creationId xmlns:a16="http://schemas.microsoft.com/office/drawing/2014/main" id="{46E52896-3646-671A-A3F2-67CAC7249DA6}"/>
            </a:ext>
            <a:ext uri="{147F2762-F138-4A5C-976F-8EAC2B608ADB}">
              <a16:predDERef xmlns:a16="http://schemas.microsoft.com/office/drawing/2014/main" pred="{3FAE6A39-7FAF-2CA0-0685-76BF1BAB3D0C}"/>
            </a:ext>
          </a:extLst>
        </xdr:cNvPr>
        <xdr:cNvSpPr/>
      </xdr:nvSpPr>
      <xdr:spPr>
        <a:xfrm>
          <a:off x="32271468" y="8267658"/>
          <a:ext cx="1041399" cy="4068234"/>
        </a:xfrm>
        <a:prstGeom prst="rect">
          <a:avLst/>
        </a:prstGeom>
        <a:gradFill flip="none" rotWithShape="1">
          <a:gsLst>
            <a:gs pos="0">
              <a:srgbClr val="FFC000">
                <a:alpha val="75000"/>
              </a:srgbClr>
            </a:gs>
            <a:gs pos="80000">
              <a:srgbClr val="FFC000">
                <a:alpha val="75000"/>
              </a:srgbClr>
            </a:gs>
            <a:gs pos="80000">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Carrot</a:t>
          </a:r>
        </a:p>
        <a:p>
          <a:pPr algn="l"/>
          <a:r>
            <a:rPr lang="en-US" sz="1200">
              <a:solidFill>
                <a:srgbClr val="000000"/>
              </a:solidFill>
            </a:rPr>
            <a:t>Maincrop</a:t>
          </a:r>
        </a:p>
        <a:p>
          <a:pPr algn="l"/>
          <a:r>
            <a:rPr lang="en-US" sz="1200">
              <a:solidFill>
                <a:srgbClr val="000000"/>
              </a:solidFill>
            </a:rPr>
            <a:t>Field</a:t>
          </a:r>
        </a:p>
        <a:p>
          <a:pPr algn="l"/>
          <a:r>
            <a:rPr lang="en-US" sz="1200">
              <a:solidFill>
                <a:srgbClr val="000000"/>
              </a:solidFill>
            </a:rPr>
            <a:t>CAR007</a:t>
          </a:r>
        </a:p>
        <a:p>
          <a:pPr algn="l"/>
          <a:r>
            <a:rPr lang="en-US" sz="1200">
              <a:solidFill>
                <a:srgbClr val="000000"/>
              </a:solidFill>
            </a:rPr>
            <a:t>$630</a:t>
          </a:r>
        </a:p>
        <a:p>
          <a:pPr algn="l"/>
          <a:r>
            <a:rPr lang="en-US" sz="1200">
              <a:solidFill>
                <a:srgbClr val="000000"/>
              </a:solidFill>
            </a:rPr>
            <a:t>Maincrop Carrot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0"</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09/23 - 10/14</a:t>
          </a:r>
        </a:p>
        <a:p>
          <a:pPr algn="l"/>
          <a:r>
            <a:rPr lang="en-US" sz="1200">
              <a:solidFill>
                <a:srgbClr val="000000"/>
              </a:solidFill>
            </a:rPr>
            <a:t>OH 1'</a:t>
          </a:r>
        </a:p>
        <a:p>
          <a:pPr algn="l"/>
          <a:r>
            <a:rPr lang="en-US" sz="1200">
              <a:solidFill>
                <a:srgbClr val="000000"/>
              </a:solidFill>
            </a:rPr>
            <a:t>AMAP</a:t>
          </a:r>
        </a:p>
      </xdr:txBody>
    </xdr:sp>
    <xdr:clientData/>
  </xdr:twoCellAnchor>
  <xdr:twoCellAnchor>
    <xdr:from>
      <xdr:col>70</xdr:col>
      <xdr:colOff>4763</xdr:colOff>
      <xdr:row>42</xdr:row>
      <xdr:rowOff>123695</xdr:rowOff>
    </xdr:from>
    <xdr:to>
      <xdr:col>71</xdr:col>
      <xdr:colOff>4763</xdr:colOff>
      <xdr:row>46</xdr:row>
      <xdr:rowOff>390395</xdr:rowOff>
    </xdr:to>
    <xdr:sp macro="" textlink="">
      <xdr:nvSpPr>
        <xdr:cNvPr id="2501" name="BRO001">
          <a:extLst>
            <a:ext uri="{FF2B5EF4-FFF2-40B4-BE49-F238E27FC236}">
              <a16:creationId xmlns:a16="http://schemas.microsoft.com/office/drawing/2014/main" id="{9B2B98B7-E9C3-9293-9A0F-5FE99B632D9E}"/>
            </a:ext>
          </a:extLst>
        </xdr:cNvPr>
        <xdr:cNvSpPr/>
      </xdr:nvSpPr>
      <xdr:spPr>
        <a:xfrm>
          <a:off x="71547038" y="22993220"/>
          <a:ext cx="981075" cy="2552700"/>
        </a:xfrm>
        <a:prstGeom prst="rect">
          <a:avLst/>
        </a:prstGeom>
        <a:gradFill flip="none" rotWithShape="1">
          <a:gsLst>
            <a:gs pos="0">
              <a:srgbClr val="00B050">
                <a:alpha val="75000"/>
              </a:srgbClr>
            </a:gs>
            <a:gs pos="68182">
              <a:srgbClr val="00B050">
                <a:alpha val="75000"/>
              </a:srgbClr>
            </a:gs>
            <a:gs pos="6818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Broccoli</a:t>
          </a:r>
        </a:p>
        <a:p>
          <a:pPr algn="l"/>
          <a:r>
            <a:rPr lang="en-US" sz="1200">
              <a:solidFill>
                <a:srgbClr val="000000"/>
              </a:solidFill>
            </a:rPr>
            <a:t>Sprouting</a:t>
          </a:r>
        </a:p>
        <a:p>
          <a:pPr algn="l"/>
          <a:r>
            <a:rPr lang="en-US" sz="1200">
              <a:solidFill>
                <a:srgbClr val="000000"/>
              </a:solidFill>
            </a:rPr>
            <a:t>Field</a:t>
          </a:r>
        </a:p>
        <a:p>
          <a:pPr algn="l"/>
          <a:r>
            <a:rPr lang="en-US" sz="1200">
              <a:solidFill>
                <a:srgbClr val="000000"/>
              </a:solidFill>
            </a:rPr>
            <a:t>BRO001</a:t>
          </a:r>
        </a:p>
        <a:p>
          <a:pPr algn="l"/>
          <a:r>
            <a:rPr lang="en-US" sz="1200">
              <a:solidFill>
                <a:srgbClr val="000000"/>
              </a:solidFill>
            </a:rPr>
            <a:t>$800</a:t>
          </a:r>
        </a:p>
        <a:p>
          <a:pPr algn="l"/>
          <a:r>
            <a:rPr lang="en-US" sz="1200">
              <a:solidFill>
                <a:srgbClr val="000000"/>
              </a:solidFill>
            </a:rPr>
            <a:t>Sprouting Broccoli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09/02 - 09/23</a:t>
          </a:r>
        </a:p>
        <a:p>
          <a:pPr algn="l"/>
          <a:r>
            <a:rPr lang="en-US" sz="1200">
              <a:solidFill>
                <a:srgbClr val="000000"/>
              </a:solidFill>
            </a:rPr>
            <a:t> 2'</a:t>
          </a:r>
        </a:p>
        <a:p>
          <a:pPr algn="l"/>
          <a:r>
            <a:rPr lang="en-US" sz="1200">
              <a:solidFill>
                <a:srgbClr val="000000"/>
              </a:solidFill>
            </a:rPr>
            <a:t>AMAP</a:t>
          </a:r>
        </a:p>
      </xdr:txBody>
    </xdr:sp>
    <xdr:clientData/>
  </xdr:twoCellAnchor>
  <xdr:twoCellAnchor>
    <xdr:from>
      <xdr:col>73</xdr:col>
      <xdr:colOff>4539</xdr:colOff>
      <xdr:row>42</xdr:row>
      <xdr:rowOff>123695</xdr:rowOff>
    </xdr:from>
    <xdr:to>
      <xdr:col>74</xdr:col>
      <xdr:colOff>4539</xdr:colOff>
      <xdr:row>47</xdr:row>
      <xdr:rowOff>9395</xdr:rowOff>
    </xdr:to>
    <xdr:sp macro="" textlink="">
      <xdr:nvSpPr>
        <xdr:cNvPr id="2623" name="CAB002">
          <a:extLst>
            <a:ext uri="{FF2B5EF4-FFF2-40B4-BE49-F238E27FC236}">
              <a16:creationId xmlns:a16="http://schemas.microsoft.com/office/drawing/2014/main" id="{D15CB084-A4AA-7294-8D8B-C804DD013CA3}"/>
            </a:ext>
          </a:extLst>
        </xdr:cNvPr>
        <xdr:cNvSpPr/>
      </xdr:nvSpPr>
      <xdr:spPr>
        <a:xfrm>
          <a:off x="85094539" y="9237813"/>
          <a:ext cx="1120588" cy="2724523"/>
        </a:xfrm>
        <a:prstGeom prst="rect">
          <a:avLst/>
        </a:prstGeom>
        <a:gradFill flip="none" rotWithShape="1">
          <a:gsLst>
            <a:gs pos="0">
              <a:srgbClr val="00B050">
                <a:alpha val="75000"/>
              </a:srgbClr>
            </a:gs>
            <a:gs pos="80282">
              <a:srgbClr val="00B050">
                <a:alpha val="75000"/>
              </a:srgbClr>
            </a:gs>
            <a:gs pos="8028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Chinese</a:t>
          </a:r>
        </a:p>
        <a:p>
          <a:pPr algn="l"/>
          <a:r>
            <a:rPr lang="en-US" sz="1200" kern="1200">
              <a:solidFill>
                <a:srgbClr val="000000"/>
              </a:solidFill>
            </a:rPr>
            <a:t>Field</a:t>
          </a:r>
        </a:p>
        <a:p>
          <a:pPr algn="l"/>
          <a:r>
            <a:rPr lang="en-US" sz="1200" kern="1200">
              <a:solidFill>
                <a:srgbClr val="000000"/>
              </a:solidFill>
            </a:rPr>
            <a:t>CAB002</a:t>
          </a:r>
        </a:p>
        <a:p>
          <a:pPr algn="l"/>
          <a:r>
            <a:rPr lang="en-US" sz="1200" kern="1200">
              <a:solidFill>
                <a:srgbClr val="000000"/>
              </a:solidFill>
            </a:rPr>
            <a:t>$360</a:t>
          </a:r>
        </a:p>
        <a:p>
          <a:pPr algn="l"/>
          <a:r>
            <a:rPr lang="en-US" sz="1200" kern="1200">
              <a:solidFill>
                <a:srgbClr val="000000"/>
              </a:solidFill>
            </a:rPr>
            <a:t>Chinese Cabbage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15"</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09/14 - 09/28</a:t>
          </a:r>
        </a:p>
        <a:p>
          <a:pPr algn="l"/>
          <a:r>
            <a:rPr lang="en-US" sz="1200" kern="1200">
              <a:solidFill>
                <a:srgbClr val="000000"/>
              </a:solidFill>
            </a:rPr>
            <a:t> 2'</a:t>
          </a:r>
        </a:p>
        <a:p>
          <a:pPr algn="l"/>
          <a:r>
            <a:rPr lang="en-US" sz="1200" kern="1200">
              <a:solidFill>
                <a:srgbClr val="000000"/>
              </a:solidFill>
            </a:rPr>
            <a:t>AMAP</a:t>
          </a:r>
        </a:p>
      </xdr:txBody>
    </xdr:sp>
    <xdr:clientData/>
  </xdr:twoCellAnchor>
  <xdr:twoCellAnchor>
    <xdr:from>
      <xdr:col>25</xdr:col>
      <xdr:colOff>18113</xdr:colOff>
      <xdr:row>42</xdr:row>
      <xdr:rowOff>198851</xdr:rowOff>
    </xdr:from>
    <xdr:to>
      <xdr:col>27</xdr:col>
      <xdr:colOff>44824</xdr:colOff>
      <xdr:row>49</xdr:row>
      <xdr:rowOff>198851</xdr:rowOff>
    </xdr:to>
    <xdr:sp macro="" textlink="">
      <xdr:nvSpPr>
        <xdr:cNvPr id="2550" name="RAD002">
          <a:extLst>
            <a:ext uri="{FF2B5EF4-FFF2-40B4-BE49-F238E27FC236}">
              <a16:creationId xmlns:a16="http://schemas.microsoft.com/office/drawing/2014/main" id="{9698BED6-010E-9FFF-2A2B-A19479B77844}"/>
            </a:ext>
          </a:extLst>
        </xdr:cNvPr>
        <xdr:cNvSpPr/>
      </xdr:nvSpPr>
      <xdr:spPr>
        <a:xfrm>
          <a:off x="31319878" y="9312969"/>
          <a:ext cx="2267887" cy="3974353"/>
        </a:xfrm>
        <a:prstGeom prst="rect">
          <a:avLst/>
        </a:prstGeom>
        <a:gradFill flip="none" rotWithShape="1">
          <a:gsLst>
            <a:gs pos="0">
              <a:srgbClr val="92D050">
                <a:alpha val="75000"/>
              </a:srgbClr>
            </a:gs>
            <a:gs pos="86538">
              <a:srgbClr val="92D050">
                <a:alpha val="75000"/>
              </a:srgbClr>
            </a:gs>
            <a:gs pos="86538">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Radicchio</a:t>
          </a:r>
        </a:p>
        <a:p>
          <a:pPr algn="l"/>
          <a:r>
            <a:rPr lang="en-US" sz="1200" kern="1200">
              <a:solidFill>
                <a:srgbClr val="000000"/>
              </a:solidFill>
            </a:rPr>
            <a:t>90 Day</a:t>
          </a:r>
        </a:p>
        <a:p>
          <a:pPr algn="l"/>
          <a:r>
            <a:rPr lang="en-US" sz="1200" kern="1200">
              <a:solidFill>
                <a:srgbClr val="000000"/>
              </a:solidFill>
            </a:rPr>
            <a:t>Field</a:t>
          </a:r>
        </a:p>
        <a:p>
          <a:pPr algn="l"/>
          <a:r>
            <a:rPr lang="en-US" sz="1200" kern="1200">
              <a:solidFill>
                <a:srgbClr val="000000"/>
              </a:solidFill>
            </a:rPr>
            <a:t>RAD002</a:t>
          </a:r>
        </a:p>
        <a:p>
          <a:pPr algn="l"/>
          <a:r>
            <a:rPr lang="en-US" sz="1200" kern="1200">
              <a:solidFill>
                <a:srgbClr val="000000"/>
              </a:solidFill>
            </a:rPr>
            <a:t>$1,440</a:t>
          </a:r>
        </a:p>
        <a:p>
          <a:pPr algn="l"/>
          <a:r>
            <a:rPr lang="en-US" sz="1200" kern="1200">
              <a:solidFill>
                <a:srgbClr val="000000"/>
              </a:solidFill>
            </a:rPr>
            <a:t>90 Mix</a:t>
          </a:r>
        </a:p>
        <a:p>
          <a:pPr algn="l"/>
          <a:endParaRPr lang="en-US" sz="1200" kern="1200">
            <a:solidFill>
              <a:srgbClr val="000000"/>
            </a:solidFill>
          </a:endParaRPr>
        </a:p>
        <a:p>
          <a:pPr algn="l"/>
          <a:r>
            <a:rPr lang="en-US" sz="1200" kern="1200">
              <a:solidFill>
                <a:srgbClr val="000000"/>
              </a:solidFill>
            </a:rPr>
            <a:t>1.6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10/19 - 11/02</a:t>
          </a:r>
        </a:p>
        <a:p>
          <a:pPr algn="l"/>
          <a:r>
            <a:rPr lang="en-US" sz="1200" kern="1200">
              <a:solidFill>
                <a:srgbClr val="000000"/>
              </a:solidFill>
            </a:rPr>
            <a:t> 1.5'</a:t>
          </a:r>
        </a:p>
        <a:p>
          <a:pPr algn="l"/>
          <a:r>
            <a:rPr lang="en-US" sz="1200" kern="1200">
              <a:solidFill>
                <a:srgbClr val="000000"/>
              </a:solidFill>
            </a:rPr>
            <a:t>None</a:t>
          </a:r>
        </a:p>
      </xdr:txBody>
    </xdr:sp>
    <xdr:clientData/>
  </xdr:twoCellAnchor>
  <xdr:twoCellAnchor>
    <xdr:from>
      <xdr:col>34</xdr:col>
      <xdr:colOff>9523</xdr:colOff>
      <xdr:row>42</xdr:row>
      <xdr:rowOff>198851</xdr:rowOff>
    </xdr:from>
    <xdr:to>
      <xdr:col>34</xdr:col>
      <xdr:colOff>500061</xdr:colOff>
      <xdr:row>45</xdr:row>
      <xdr:rowOff>541751</xdr:rowOff>
    </xdr:to>
    <xdr:sp macro="" textlink="">
      <xdr:nvSpPr>
        <xdr:cNvPr id="49" name="RAD452">
          <a:extLst>
            <a:ext uri="{FF2B5EF4-FFF2-40B4-BE49-F238E27FC236}">
              <a16:creationId xmlns:a16="http://schemas.microsoft.com/office/drawing/2014/main" id="{114CB59C-D5BE-11CB-CE7B-B3E39CD805DB}"/>
            </a:ext>
          </a:extLst>
        </xdr:cNvPr>
        <xdr:cNvSpPr/>
      </xdr:nvSpPr>
      <xdr:spPr>
        <a:xfrm>
          <a:off x="36233098" y="23068376"/>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RAD452</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08/22 - 09/12</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34</xdr:col>
      <xdr:colOff>521151</xdr:colOff>
      <xdr:row>42</xdr:row>
      <xdr:rowOff>198851</xdr:rowOff>
    </xdr:from>
    <xdr:to>
      <xdr:col>35</xdr:col>
      <xdr:colOff>30614</xdr:colOff>
      <xdr:row>46</xdr:row>
      <xdr:rowOff>8351</xdr:rowOff>
    </xdr:to>
    <xdr:sp macro="" textlink="">
      <xdr:nvSpPr>
        <xdr:cNvPr id="46" name="TUR528">
          <a:extLst>
            <a:ext uri="{FF2B5EF4-FFF2-40B4-BE49-F238E27FC236}">
              <a16:creationId xmlns:a16="http://schemas.microsoft.com/office/drawing/2014/main" id="{11CCC9F7-D6E4-E62B-80F5-2317D88E58DD}"/>
            </a:ext>
            <a:ext uri="{147F2762-F138-4A5C-976F-8EAC2B608ADB}">
              <a16:predDERef xmlns:a16="http://schemas.microsoft.com/office/drawing/2014/main" pred="{B8F81947-CFDB-B735-62D6-C0BF7E435585}"/>
            </a:ext>
          </a:extLst>
        </xdr:cNvPr>
        <xdr:cNvSpPr/>
      </xdr:nvSpPr>
      <xdr:spPr>
        <a:xfrm>
          <a:off x="36744726" y="23068376"/>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TUR528</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08/30 - 09/13</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75</xdr:col>
      <xdr:colOff>14064</xdr:colOff>
      <xdr:row>42</xdr:row>
      <xdr:rowOff>386741</xdr:rowOff>
    </xdr:from>
    <xdr:to>
      <xdr:col>77</xdr:col>
      <xdr:colOff>14064</xdr:colOff>
      <xdr:row>48</xdr:row>
      <xdr:rowOff>43841</xdr:rowOff>
    </xdr:to>
    <xdr:sp macro="" textlink="">
      <xdr:nvSpPr>
        <xdr:cNvPr id="2627" name="BEE002">
          <a:extLst>
            <a:ext uri="{FF2B5EF4-FFF2-40B4-BE49-F238E27FC236}">
              <a16:creationId xmlns:a16="http://schemas.microsoft.com/office/drawing/2014/main" id="{0C514413-916F-4616-573F-25D4A9D4AE05}"/>
            </a:ext>
          </a:extLst>
        </xdr:cNvPr>
        <xdr:cNvSpPr/>
      </xdr:nvSpPr>
      <xdr:spPr>
        <a:xfrm>
          <a:off x="76461714" y="23256266"/>
          <a:ext cx="1962150" cy="3086100"/>
        </a:xfrm>
        <a:prstGeom prst="rect">
          <a:avLst/>
        </a:prstGeom>
        <a:gradFill flip="none" rotWithShape="1">
          <a:gsLst>
            <a:gs pos="0">
              <a:srgbClr val="FF0000">
                <a:alpha val="75000"/>
              </a:srgbClr>
            </a:gs>
            <a:gs pos="56250">
              <a:srgbClr val="FF0000">
                <a:alpha val="75000"/>
              </a:srgbClr>
            </a:gs>
            <a:gs pos="56250">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Beet</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BEE002</a:t>
          </a:r>
        </a:p>
        <a:p>
          <a:pPr algn="l"/>
          <a:r>
            <a:rPr lang="en-US" sz="1200" kern="1200">
              <a:solidFill>
                <a:srgbClr val="000000"/>
              </a:solidFill>
            </a:rPr>
            <a:t>$800</a:t>
          </a:r>
        </a:p>
        <a:p>
          <a:pPr algn="l"/>
          <a:r>
            <a:rPr lang="en-US" sz="1200" kern="1200">
              <a:solidFill>
                <a:srgbClr val="000000"/>
              </a:solidFill>
            </a:rPr>
            <a:t>Beet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09/09 - 10/14</a:t>
          </a:r>
        </a:p>
        <a:p>
          <a:pPr algn="l"/>
          <a:r>
            <a:rPr lang="en-US" sz="1200" kern="1200">
              <a:solidFill>
                <a:srgbClr val="000000"/>
              </a:solidFill>
            </a:rPr>
            <a:t> 1'</a:t>
          </a:r>
        </a:p>
        <a:p>
          <a:pPr algn="l"/>
          <a:r>
            <a:rPr lang="en-US" sz="1200" kern="1200">
              <a:solidFill>
                <a:srgbClr val="000000"/>
              </a:solidFill>
            </a:rPr>
            <a:t>Late</a:t>
          </a:r>
        </a:p>
      </xdr:txBody>
    </xdr:sp>
    <xdr:clientData/>
  </xdr:twoCellAnchor>
  <xdr:twoCellAnchor>
    <xdr:from>
      <xdr:col>47</xdr:col>
      <xdr:colOff>0</xdr:colOff>
      <xdr:row>42</xdr:row>
      <xdr:rowOff>386741</xdr:rowOff>
    </xdr:from>
    <xdr:to>
      <xdr:col>48</xdr:col>
      <xdr:colOff>0</xdr:colOff>
      <xdr:row>49</xdr:row>
      <xdr:rowOff>462941</xdr:rowOff>
    </xdr:to>
    <xdr:sp macro="" textlink="">
      <xdr:nvSpPr>
        <xdr:cNvPr id="21" name="CAB001">
          <a:extLst>
            <a:ext uri="{FF2B5EF4-FFF2-40B4-BE49-F238E27FC236}">
              <a16:creationId xmlns:a16="http://schemas.microsoft.com/office/drawing/2014/main" id="{3290B7D9-9E40-87A1-D9C4-EEABAADDF757}"/>
            </a:ext>
          </a:extLst>
        </xdr:cNvPr>
        <xdr:cNvSpPr/>
      </xdr:nvSpPr>
      <xdr:spPr>
        <a:xfrm>
          <a:off x="48977550" y="23256266"/>
          <a:ext cx="981075" cy="4076700"/>
        </a:xfrm>
        <a:prstGeom prst="rect">
          <a:avLst/>
        </a:prstGeom>
        <a:gradFill flip="none" rotWithShape="1">
          <a:gsLst>
            <a:gs pos="0">
              <a:srgbClr val="00B050">
                <a:alpha val="75000"/>
              </a:srgbClr>
            </a:gs>
            <a:gs pos="80189">
              <a:srgbClr val="00B050">
                <a:alpha val="75000"/>
              </a:srgbClr>
            </a:gs>
            <a:gs pos="8018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CAB001</a:t>
          </a:r>
        </a:p>
        <a:p>
          <a:pPr algn="l"/>
          <a:r>
            <a:rPr lang="en-US" sz="1200" kern="1200">
              <a:solidFill>
                <a:srgbClr val="000000"/>
              </a:solidFill>
            </a:rPr>
            <a:t>$587</a:t>
          </a:r>
        </a:p>
        <a:p>
          <a:pPr algn="l"/>
          <a:r>
            <a:rPr lang="en-US" sz="1200" kern="1200">
              <a:solidFill>
                <a:srgbClr val="000000"/>
              </a:solidFill>
            </a:rPr>
            <a:t>Cabbage Fall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10/19 - 11/09</a:t>
          </a:r>
        </a:p>
        <a:p>
          <a:pPr algn="l"/>
          <a:r>
            <a:rPr lang="en-US" sz="1200" kern="1200">
              <a:solidFill>
                <a:srgbClr val="000000"/>
              </a:solidFill>
            </a:rPr>
            <a:t> 1.5'</a:t>
          </a:r>
        </a:p>
        <a:p>
          <a:pPr algn="l"/>
          <a:r>
            <a:rPr lang="en-US" sz="1200" kern="1200">
              <a:solidFill>
                <a:srgbClr val="000000"/>
              </a:solidFill>
            </a:rPr>
            <a:t>AMAP</a:t>
          </a:r>
        </a:p>
      </xdr:txBody>
    </xdr:sp>
    <xdr:clientData/>
  </xdr:twoCellAnchor>
  <xdr:twoCellAnchor>
    <xdr:from>
      <xdr:col>46</xdr:col>
      <xdr:colOff>680</xdr:colOff>
      <xdr:row>42</xdr:row>
      <xdr:rowOff>386741</xdr:rowOff>
    </xdr:from>
    <xdr:to>
      <xdr:col>47</xdr:col>
      <xdr:colOff>680</xdr:colOff>
      <xdr:row>49</xdr:row>
      <xdr:rowOff>462941</xdr:rowOff>
    </xdr:to>
    <xdr:sp macro="" textlink="">
      <xdr:nvSpPr>
        <xdr:cNvPr id="2610" name="CAU001">
          <a:extLst>
            <a:ext uri="{FF2B5EF4-FFF2-40B4-BE49-F238E27FC236}">
              <a16:creationId xmlns:a16="http://schemas.microsoft.com/office/drawing/2014/main" id="{1A2E7B75-3593-2B04-BB49-A38F64E5EE76}"/>
            </a:ext>
          </a:extLst>
        </xdr:cNvPr>
        <xdr:cNvSpPr/>
      </xdr:nvSpPr>
      <xdr:spPr>
        <a:xfrm>
          <a:off x="47997155" y="23256266"/>
          <a:ext cx="981075" cy="4076700"/>
        </a:xfrm>
        <a:prstGeom prst="rect">
          <a:avLst/>
        </a:prstGeom>
        <a:gradFill flip="none" rotWithShape="1">
          <a:gsLst>
            <a:gs pos="0">
              <a:srgbClr val="00B050">
                <a:alpha val="75000"/>
              </a:srgbClr>
            </a:gs>
            <a:gs pos="80189">
              <a:srgbClr val="00B050">
                <a:alpha val="75000"/>
              </a:srgbClr>
            </a:gs>
            <a:gs pos="8018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Cauliflower</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CAU001</a:t>
          </a:r>
        </a:p>
        <a:p>
          <a:pPr algn="l"/>
          <a:r>
            <a:rPr lang="en-US" sz="1200" kern="1200">
              <a:solidFill>
                <a:srgbClr val="000000"/>
              </a:solidFill>
            </a:rPr>
            <a:t>$514</a:t>
          </a:r>
        </a:p>
        <a:p>
          <a:pPr algn="l"/>
          <a:r>
            <a:rPr lang="en-US" sz="1200" kern="1200">
              <a:solidFill>
                <a:srgbClr val="000000"/>
              </a:solidFill>
            </a:rPr>
            <a:t>Fall Cauliflower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21"</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10/19 - 11/09</a:t>
          </a:r>
        </a:p>
        <a:p>
          <a:pPr algn="l"/>
          <a:r>
            <a:rPr lang="en-US" sz="1200" kern="1200">
              <a:solidFill>
                <a:srgbClr val="000000"/>
              </a:solidFill>
            </a:rPr>
            <a:t> 1.5'</a:t>
          </a:r>
        </a:p>
        <a:p>
          <a:pPr algn="l"/>
          <a:r>
            <a:rPr lang="en-US" sz="1200" kern="1200">
              <a:solidFill>
                <a:srgbClr val="000000"/>
              </a:solidFill>
            </a:rPr>
            <a:t>AMAP</a:t>
          </a:r>
        </a:p>
      </xdr:txBody>
    </xdr:sp>
    <xdr:clientData/>
  </xdr:twoCellAnchor>
  <xdr:twoCellAnchor>
    <xdr:from>
      <xdr:col>3</xdr:col>
      <xdr:colOff>1820</xdr:colOff>
      <xdr:row>42</xdr:row>
      <xdr:rowOff>461897</xdr:rowOff>
    </xdr:from>
    <xdr:to>
      <xdr:col>4</xdr:col>
      <xdr:colOff>1820</xdr:colOff>
      <xdr:row>47</xdr:row>
      <xdr:rowOff>4697</xdr:rowOff>
    </xdr:to>
    <xdr:sp macro="" textlink="">
      <xdr:nvSpPr>
        <xdr:cNvPr id="2587" name="KOH002">
          <a:extLst>
            <a:ext uri="{FF2B5EF4-FFF2-40B4-BE49-F238E27FC236}">
              <a16:creationId xmlns:a16="http://schemas.microsoft.com/office/drawing/2014/main" id="{A631A1C7-75A2-A0F0-3173-4923C7F0CAC8}"/>
            </a:ext>
          </a:extLst>
        </xdr:cNvPr>
        <xdr:cNvSpPr/>
      </xdr:nvSpPr>
      <xdr:spPr>
        <a:xfrm>
          <a:off x="6650644" y="9576015"/>
          <a:ext cx="1120588" cy="2381623"/>
        </a:xfrm>
        <a:prstGeom prst="rect">
          <a:avLst/>
        </a:prstGeom>
        <a:gradFill flip="none" rotWithShape="1">
          <a:gsLst>
            <a:gs pos="0">
              <a:srgbClr val="00B050">
                <a:alpha val="75000"/>
              </a:srgbClr>
            </a:gs>
            <a:gs pos="77419">
              <a:srgbClr val="00B050">
                <a:alpha val="75000"/>
              </a:srgbClr>
            </a:gs>
            <a:gs pos="7741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Kohlrabi</a:t>
          </a:r>
        </a:p>
        <a:p>
          <a:pPr algn="l"/>
          <a:r>
            <a:rPr lang="en-US" sz="1200" kern="1200">
              <a:solidFill>
                <a:srgbClr val="000000"/>
              </a:solidFill>
            </a:rPr>
            <a:t>Sm</a:t>
          </a:r>
        </a:p>
        <a:p>
          <a:pPr algn="l"/>
          <a:r>
            <a:rPr lang="en-US" sz="1200" kern="1200">
              <a:solidFill>
                <a:srgbClr val="000000"/>
              </a:solidFill>
            </a:rPr>
            <a:t>Field</a:t>
          </a:r>
        </a:p>
        <a:p>
          <a:pPr algn="l"/>
          <a:r>
            <a:rPr lang="en-US" sz="1200" kern="1200">
              <a:solidFill>
                <a:srgbClr val="000000"/>
              </a:solidFill>
            </a:rPr>
            <a:t>KOH002</a:t>
          </a:r>
        </a:p>
        <a:p>
          <a:pPr algn="l"/>
          <a:r>
            <a:rPr lang="en-US" sz="1200" kern="1200">
              <a:solidFill>
                <a:srgbClr val="000000"/>
              </a:solidFill>
            </a:rPr>
            <a:t>$600</a:t>
          </a:r>
        </a:p>
        <a:p>
          <a:pPr algn="l"/>
          <a:r>
            <a:rPr lang="en-US" sz="1200" kern="1200">
              <a:solidFill>
                <a:srgbClr val="000000"/>
              </a:solidFill>
            </a:rPr>
            <a:t>Fresh Kholrabi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09/14 - 09/28</a:t>
          </a:r>
        </a:p>
        <a:p>
          <a:pPr algn="l"/>
          <a:r>
            <a:rPr lang="en-US" sz="1200" kern="1200">
              <a:solidFill>
                <a:srgbClr val="000000"/>
              </a:solidFill>
            </a:rPr>
            <a:t> 2'</a:t>
          </a:r>
        </a:p>
        <a:p>
          <a:pPr algn="l"/>
          <a:r>
            <a:rPr lang="en-US" sz="1200" kern="1200">
              <a:solidFill>
                <a:srgbClr val="000000"/>
              </a:solidFill>
            </a:rPr>
            <a:t>AMAP</a:t>
          </a:r>
        </a:p>
      </xdr:txBody>
    </xdr:sp>
    <xdr:clientData/>
  </xdr:twoCellAnchor>
  <xdr:twoCellAnchor>
    <xdr:from>
      <xdr:col>74</xdr:col>
      <xdr:colOff>908</xdr:colOff>
      <xdr:row>43</xdr:row>
      <xdr:rowOff>3132</xdr:rowOff>
    </xdr:from>
    <xdr:to>
      <xdr:col>75</xdr:col>
      <xdr:colOff>908</xdr:colOff>
      <xdr:row>47</xdr:row>
      <xdr:rowOff>193632</xdr:rowOff>
    </xdr:to>
    <xdr:sp macro="" textlink="">
      <xdr:nvSpPr>
        <xdr:cNvPr id="2503" name="CAB010">
          <a:extLst>
            <a:ext uri="{FF2B5EF4-FFF2-40B4-BE49-F238E27FC236}">
              <a16:creationId xmlns:a16="http://schemas.microsoft.com/office/drawing/2014/main" id="{B8F81947-CFDB-B735-62D6-C0BF7E435585}"/>
            </a:ext>
          </a:extLst>
        </xdr:cNvPr>
        <xdr:cNvSpPr/>
      </xdr:nvSpPr>
      <xdr:spPr>
        <a:xfrm>
          <a:off x="86211496" y="9685014"/>
          <a:ext cx="1120588" cy="2461559"/>
        </a:xfrm>
        <a:prstGeom prst="rect">
          <a:avLst/>
        </a:prstGeom>
        <a:gradFill flip="none" rotWithShape="1">
          <a:gsLst>
            <a:gs pos="0">
              <a:srgbClr val="00B050">
                <a:alpha val="75000"/>
              </a:srgbClr>
            </a:gs>
            <a:gs pos="78125">
              <a:srgbClr val="00B050">
                <a:alpha val="75000"/>
              </a:srgbClr>
            </a:gs>
            <a:gs pos="78125">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Cabbage</a:t>
          </a:r>
        </a:p>
        <a:p>
          <a:pPr algn="l"/>
          <a:r>
            <a:rPr lang="en-US" sz="1200">
              <a:solidFill>
                <a:srgbClr val="000000"/>
              </a:solidFill>
            </a:rPr>
            <a:t>Chinese</a:t>
          </a:r>
        </a:p>
        <a:p>
          <a:pPr algn="l"/>
          <a:r>
            <a:rPr lang="en-US" sz="1200">
              <a:solidFill>
                <a:srgbClr val="000000"/>
              </a:solidFill>
            </a:rPr>
            <a:t>Field</a:t>
          </a:r>
        </a:p>
        <a:p>
          <a:pPr algn="l"/>
          <a:r>
            <a:rPr lang="en-US" sz="1200">
              <a:solidFill>
                <a:srgbClr val="000000"/>
              </a:solidFill>
            </a:rPr>
            <a:t>CAB010</a:t>
          </a:r>
        </a:p>
        <a:p>
          <a:pPr algn="l"/>
          <a:r>
            <a:rPr lang="en-US" sz="1200">
              <a:solidFill>
                <a:srgbClr val="000000"/>
              </a:solidFill>
            </a:rPr>
            <a:t>$600</a:t>
          </a:r>
        </a:p>
        <a:p>
          <a:pPr algn="l"/>
          <a:r>
            <a:rPr lang="en-US" sz="1200">
              <a:solidFill>
                <a:srgbClr val="000000"/>
              </a:solidFill>
            </a:rPr>
            <a:t>Mini Chinese Cabbage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3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09/19 - 10/03</a:t>
          </a:r>
        </a:p>
        <a:p>
          <a:pPr algn="l"/>
          <a:r>
            <a:rPr lang="en-US" sz="1200">
              <a:solidFill>
                <a:srgbClr val="000000"/>
              </a:solidFill>
            </a:rPr>
            <a:t> 2'</a:t>
          </a:r>
        </a:p>
        <a:p>
          <a:pPr algn="l"/>
          <a:r>
            <a:rPr lang="en-US" sz="1200">
              <a:solidFill>
                <a:srgbClr val="000000"/>
              </a:solidFill>
            </a:rPr>
            <a:t>AMAP</a:t>
          </a:r>
        </a:p>
      </xdr:txBody>
    </xdr:sp>
    <xdr:clientData/>
  </xdr:twoCellAnchor>
  <xdr:twoCellAnchor>
    <xdr:from>
      <xdr:col>57</xdr:col>
      <xdr:colOff>23815</xdr:colOff>
      <xdr:row>43</xdr:row>
      <xdr:rowOff>3132</xdr:rowOff>
    </xdr:from>
    <xdr:to>
      <xdr:col>58</xdr:col>
      <xdr:colOff>23815</xdr:colOff>
      <xdr:row>47</xdr:row>
      <xdr:rowOff>307932</xdr:rowOff>
    </xdr:to>
    <xdr:sp macro="" textlink="">
      <xdr:nvSpPr>
        <xdr:cNvPr id="59" name="LET021">
          <a:extLst>
            <a:ext uri="{FF2B5EF4-FFF2-40B4-BE49-F238E27FC236}">
              <a16:creationId xmlns:a16="http://schemas.microsoft.com/office/drawing/2014/main" id="{7D2138B2-C894-FA5E-0784-56A3DA82E64C}"/>
            </a:ext>
          </a:extLst>
        </xdr:cNvPr>
        <xdr:cNvSpPr/>
      </xdr:nvSpPr>
      <xdr:spPr>
        <a:xfrm>
          <a:off x="67184403" y="9685014"/>
          <a:ext cx="1120588" cy="2575859"/>
        </a:xfrm>
        <a:prstGeom prst="rect">
          <a:avLst/>
        </a:prstGeom>
        <a:gradFill flip="none" rotWithShape="1">
          <a:gsLst>
            <a:gs pos="0">
              <a:srgbClr val="92D050">
                <a:alpha val="75000"/>
              </a:srgbClr>
            </a:gs>
            <a:gs pos="59701">
              <a:srgbClr val="92D050">
                <a:alpha val="75000"/>
              </a:srgbClr>
            </a:gs>
            <a:gs pos="59701">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LET021</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09/09 - 10/06</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41</xdr:col>
      <xdr:colOff>9526</xdr:colOff>
      <xdr:row>43</xdr:row>
      <xdr:rowOff>3132</xdr:rowOff>
    </xdr:from>
    <xdr:to>
      <xdr:col>42</xdr:col>
      <xdr:colOff>9525</xdr:colOff>
      <xdr:row>46</xdr:row>
      <xdr:rowOff>384132</xdr:rowOff>
    </xdr:to>
    <xdr:sp macro="" textlink="">
      <xdr:nvSpPr>
        <xdr:cNvPr id="2499" name="LET024">
          <a:extLst>
            <a:ext uri="{FF2B5EF4-FFF2-40B4-BE49-F238E27FC236}">
              <a16:creationId xmlns:a16="http://schemas.microsoft.com/office/drawing/2014/main" id="{8599CA97-6BEE-A2EC-C836-A1BB93E11121}"/>
            </a:ext>
          </a:extLst>
        </xdr:cNvPr>
        <xdr:cNvSpPr/>
      </xdr:nvSpPr>
      <xdr:spPr>
        <a:xfrm>
          <a:off x="49240702" y="9685014"/>
          <a:ext cx="1120588" cy="2084294"/>
        </a:xfrm>
        <a:prstGeom prst="rect">
          <a:avLst/>
        </a:prstGeom>
        <a:gradFill flip="none" rotWithShape="1">
          <a:gsLst>
            <a:gs pos="0">
              <a:srgbClr val="92D050">
                <a:alpha val="75000"/>
              </a:srgbClr>
            </a:gs>
            <a:gs pos="74074">
              <a:srgbClr val="92D050">
                <a:alpha val="75000"/>
              </a:srgbClr>
            </a:gs>
            <a:gs pos="74074">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4x9</a:t>
          </a:r>
        </a:p>
        <a:p>
          <a:pPr algn="l"/>
          <a:r>
            <a:rPr lang="en-US" sz="1200">
              <a:solidFill>
                <a:srgbClr val="000000"/>
              </a:solidFill>
            </a:rPr>
            <a:t>Field</a:t>
          </a:r>
        </a:p>
        <a:p>
          <a:pPr algn="l"/>
          <a:r>
            <a:rPr lang="en-US" sz="1200">
              <a:solidFill>
                <a:srgbClr val="000000"/>
              </a:solidFill>
            </a:rPr>
            <a:t>LET024</a:t>
          </a:r>
        </a:p>
        <a:p>
          <a:pPr algn="l"/>
          <a:r>
            <a:rPr lang="en-US" sz="1200">
              <a:solidFill>
                <a:srgbClr val="000000"/>
              </a:solidFill>
            </a:rPr>
            <a:t>$427</a:t>
          </a:r>
        </a:p>
        <a:p>
          <a:pPr algn="l"/>
          <a:r>
            <a:rPr lang="en-US" sz="1200">
              <a:solidFill>
                <a:srgbClr val="000000"/>
              </a:solidFill>
            </a:rPr>
            <a:t>Summertime</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09/09 - 09/23</a:t>
          </a:r>
        </a:p>
        <a:p>
          <a:pPr algn="l"/>
          <a:r>
            <a:rPr lang="en-US" sz="1200">
              <a:solidFill>
                <a:srgbClr val="000000"/>
              </a:solidFill>
            </a:rPr>
            <a:t> 1'</a:t>
          </a:r>
        </a:p>
        <a:p>
          <a:pPr algn="l"/>
          <a:r>
            <a:rPr lang="en-US" sz="1200">
              <a:solidFill>
                <a:srgbClr val="000000"/>
              </a:solidFill>
            </a:rPr>
            <a:t>None</a:t>
          </a:r>
        </a:p>
      </xdr:txBody>
    </xdr:sp>
    <xdr:clientData/>
  </xdr:twoCellAnchor>
  <xdr:twoCellAnchor>
    <xdr:from>
      <xdr:col>10</xdr:col>
      <xdr:colOff>1114523</xdr:colOff>
      <xdr:row>43</xdr:row>
      <xdr:rowOff>565518</xdr:rowOff>
    </xdr:from>
    <xdr:to>
      <xdr:col>11</xdr:col>
      <xdr:colOff>1114527</xdr:colOff>
      <xdr:row>50</xdr:row>
      <xdr:rowOff>73953</xdr:rowOff>
    </xdr:to>
    <xdr:sp macro="" textlink="">
      <xdr:nvSpPr>
        <xdr:cNvPr id="56" name="CAR008">
          <a:extLst>
            <a:ext uri="{FF2B5EF4-FFF2-40B4-BE49-F238E27FC236}">
              <a16:creationId xmlns:a16="http://schemas.microsoft.com/office/drawing/2014/main" id="{9C971D6A-A761-C991-B68D-2E1621F51624}"/>
            </a:ext>
            <a:ext uri="{147F2762-F138-4A5C-976F-8EAC2B608ADB}">
              <a16:predDERef xmlns:a16="http://schemas.microsoft.com/office/drawing/2014/main" pred="{8599CA97-6BEE-A2EC-C836-A1BB93E11121}"/>
            </a:ext>
          </a:extLst>
        </xdr:cNvPr>
        <xdr:cNvSpPr/>
      </xdr:nvSpPr>
      <xdr:spPr>
        <a:xfrm>
          <a:off x="15607464" y="10247400"/>
          <a:ext cx="1120592" cy="3482788"/>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Carrot</a:t>
          </a:r>
        </a:p>
        <a:p>
          <a:pPr algn="l"/>
          <a:r>
            <a:rPr lang="en-US" sz="1200">
              <a:solidFill>
                <a:srgbClr val="000000"/>
              </a:solidFill>
            </a:rPr>
            <a:t>Early</a:t>
          </a:r>
        </a:p>
        <a:p>
          <a:pPr algn="l"/>
          <a:r>
            <a:rPr lang="en-US" sz="1200">
              <a:solidFill>
                <a:srgbClr val="000000"/>
              </a:solidFill>
            </a:rPr>
            <a:t>Field</a:t>
          </a:r>
        </a:p>
        <a:p>
          <a:pPr algn="l"/>
          <a:r>
            <a:rPr lang="en-US" sz="1200">
              <a:solidFill>
                <a:srgbClr val="000000"/>
              </a:solidFill>
            </a:rPr>
            <a:t>CAR008</a:t>
          </a:r>
        </a:p>
        <a:p>
          <a:pPr algn="l"/>
          <a:r>
            <a:rPr lang="en-US" sz="1200">
              <a:solidFill>
                <a:srgbClr val="000000"/>
              </a:solidFill>
            </a:rPr>
            <a:t>$557</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0"</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10/10 - 10/31</a:t>
          </a:r>
        </a:p>
        <a:p>
          <a:pPr algn="l"/>
          <a:r>
            <a:rPr lang="en-US" sz="1200">
              <a:solidFill>
                <a:srgbClr val="000000"/>
              </a:solidFill>
            </a:rPr>
            <a:t>OH 1'</a:t>
          </a:r>
        </a:p>
        <a:p>
          <a:pPr algn="l"/>
          <a:r>
            <a:rPr lang="en-US" sz="1200">
              <a:solidFill>
                <a:srgbClr val="000000"/>
              </a:solidFill>
            </a:rPr>
            <a:t>AMAP</a:t>
          </a:r>
        </a:p>
      </xdr:txBody>
    </xdr:sp>
    <xdr:clientData/>
  </xdr:twoCellAnchor>
  <xdr:twoCellAnchor>
    <xdr:from>
      <xdr:col>29</xdr:col>
      <xdr:colOff>54882</xdr:colOff>
      <xdr:row>43</xdr:row>
      <xdr:rowOff>40709</xdr:rowOff>
    </xdr:from>
    <xdr:to>
      <xdr:col>29</xdr:col>
      <xdr:colOff>545420</xdr:colOff>
      <xdr:row>46</xdr:row>
      <xdr:rowOff>383609</xdr:rowOff>
    </xdr:to>
    <xdr:sp macro="" textlink="">
      <xdr:nvSpPr>
        <xdr:cNvPr id="40" name="RAD456">
          <a:extLst>
            <a:ext uri="{FF2B5EF4-FFF2-40B4-BE49-F238E27FC236}">
              <a16:creationId xmlns:a16="http://schemas.microsoft.com/office/drawing/2014/main" id="{E6217E00-5DDC-43F0-8C7F-D5DB6057BE40}"/>
            </a:ext>
          </a:extLst>
        </xdr:cNvPr>
        <xdr:cNvSpPr/>
      </xdr:nvSpPr>
      <xdr:spPr>
        <a:xfrm>
          <a:off x="31373082" y="23481734"/>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Radish</a:t>
          </a:r>
        </a:p>
        <a:p>
          <a:pPr algn="l"/>
          <a:r>
            <a:rPr lang="en-US" sz="800">
              <a:solidFill>
                <a:srgbClr val="000000"/>
              </a:solidFill>
            </a:rPr>
            <a:t>6r</a:t>
          </a:r>
        </a:p>
        <a:p>
          <a:pPr algn="l"/>
          <a:r>
            <a:rPr lang="en-US" sz="800">
              <a:solidFill>
                <a:srgbClr val="000000"/>
              </a:solidFill>
            </a:rPr>
            <a:t>Field</a:t>
          </a:r>
        </a:p>
        <a:p>
          <a:pPr algn="l"/>
          <a:r>
            <a:rPr lang="en-US" sz="800">
              <a:solidFill>
                <a:srgbClr val="000000"/>
              </a:solidFill>
            </a:rPr>
            <a:t>RAD456</a:t>
          </a:r>
        </a:p>
        <a:p>
          <a:pPr algn="l"/>
          <a:r>
            <a:rPr lang="en-US" sz="800">
              <a:solidFill>
                <a:srgbClr val="000000"/>
              </a:solidFill>
            </a:rPr>
            <a:t>$188</a:t>
          </a:r>
        </a:p>
        <a:p>
          <a:pPr algn="l"/>
          <a:r>
            <a:rPr lang="en-US" sz="800">
              <a:solidFill>
                <a:srgbClr val="000000"/>
              </a:solidFill>
            </a:rPr>
            <a:t>Radish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1"</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09/02 - 09/23</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29</xdr:col>
      <xdr:colOff>545420</xdr:colOff>
      <xdr:row>43</xdr:row>
      <xdr:rowOff>40709</xdr:rowOff>
    </xdr:from>
    <xdr:to>
      <xdr:col>30</xdr:col>
      <xdr:colOff>54883</xdr:colOff>
      <xdr:row>46</xdr:row>
      <xdr:rowOff>421709</xdr:rowOff>
    </xdr:to>
    <xdr:sp macro="" textlink="">
      <xdr:nvSpPr>
        <xdr:cNvPr id="8" name="TUR531">
          <a:extLst>
            <a:ext uri="{FF2B5EF4-FFF2-40B4-BE49-F238E27FC236}">
              <a16:creationId xmlns:a16="http://schemas.microsoft.com/office/drawing/2014/main" id="{FEDE5974-F789-FE24-55DE-92C5411AEA75}"/>
            </a:ext>
          </a:extLst>
        </xdr:cNvPr>
        <xdr:cNvSpPr/>
      </xdr:nvSpPr>
      <xdr:spPr>
        <a:xfrm>
          <a:off x="31863620" y="23481734"/>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Turnip</a:t>
          </a:r>
        </a:p>
        <a:p>
          <a:pPr algn="l"/>
          <a:r>
            <a:rPr lang="en-US" sz="800">
              <a:solidFill>
                <a:srgbClr val="000000"/>
              </a:solidFill>
            </a:rPr>
            <a:t>Tokyo</a:t>
          </a:r>
        </a:p>
        <a:p>
          <a:pPr algn="l"/>
          <a:r>
            <a:rPr lang="en-US" sz="800">
              <a:solidFill>
                <a:srgbClr val="000000"/>
              </a:solidFill>
            </a:rPr>
            <a:t>Field</a:t>
          </a:r>
        </a:p>
        <a:p>
          <a:pPr algn="l"/>
          <a:r>
            <a:rPr lang="en-US" sz="800">
              <a:solidFill>
                <a:srgbClr val="000000"/>
              </a:solidFill>
            </a:rPr>
            <a:t>TUR531</a:t>
          </a:r>
        </a:p>
        <a:p>
          <a:pPr algn="l"/>
          <a:r>
            <a:rPr lang="en-US" sz="800">
              <a:solidFill>
                <a:srgbClr val="000000"/>
              </a:solidFill>
            </a:rPr>
            <a:t>$138</a:t>
          </a:r>
        </a:p>
        <a:p>
          <a:pPr algn="l"/>
          <a:r>
            <a:rPr lang="en-US" sz="800">
              <a:solidFill>
                <a:srgbClr val="000000"/>
              </a:solidFill>
            </a:rPr>
            <a:t>Hakurei</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2"</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09/10 - 09/24</a:t>
          </a:r>
        </a:p>
        <a:p>
          <a:pPr algn="l"/>
          <a:r>
            <a:rPr lang="en-US" sz="800">
              <a:solidFill>
                <a:srgbClr val="000000"/>
              </a:solidFill>
            </a:rPr>
            <a:t> 2'</a:t>
          </a:r>
        </a:p>
        <a:p>
          <a:pPr algn="l"/>
          <a:r>
            <a:rPr lang="en-US" sz="800">
              <a:solidFill>
                <a:srgbClr val="000000"/>
              </a:solidFill>
            </a:rPr>
            <a:t>0</a:t>
          </a:r>
        </a:p>
      </xdr:txBody>
    </xdr:sp>
    <xdr:clientData/>
  </xdr:twoCellAnchor>
  <xdr:twoCellAnchor>
    <xdr:from>
      <xdr:col>69</xdr:col>
      <xdr:colOff>23132</xdr:colOff>
      <xdr:row>43</xdr:row>
      <xdr:rowOff>191022</xdr:rowOff>
    </xdr:from>
    <xdr:to>
      <xdr:col>70</xdr:col>
      <xdr:colOff>23132</xdr:colOff>
      <xdr:row>47</xdr:row>
      <xdr:rowOff>343422</xdr:rowOff>
    </xdr:to>
    <xdr:sp macro="" textlink="">
      <xdr:nvSpPr>
        <xdr:cNvPr id="2504" name="CAU002">
          <a:extLst>
            <a:ext uri="{FF2B5EF4-FFF2-40B4-BE49-F238E27FC236}">
              <a16:creationId xmlns:a16="http://schemas.microsoft.com/office/drawing/2014/main" id="{5ACEBC75-AF32-3566-D27A-6A37E1CC3035}"/>
            </a:ext>
          </a:extLst>
        </xdr:cNvPr>
        <xdr:cNvSpPr/>
      </xdr:nvSpPr>
      <xdr:spPr>
        <a:xfrm>
          <a:off x="70584332" y="23632047"/>
          <a:ext cx="981075" cy="2438400"/>
        </a:xfrm>
        <a:prstGeom prst="rect">
          <a:avLst/>
        </a:prstGeom>
        <a:gradFill flip="none" rotWithShape="1">
          <a:gsLst>
            <a:gs pos="0">
              <a:srgbClr val="00B050">
                <a:alpha val="75000"/>
              </a:srgbClr>
            </a:gs>
            <a:gs pos="66667">
              <a:srgbClr val="00B050">
                <a:alpha val="75000"/>
              </a:srgbClr>
            </a:gs>
            <a:gs pos="66667">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Cauliflower</a:t>
          </a:r>
        </a:p>
        <a:p>
          <a:pPr algn="l"/>
          <a:r>
            <a:rPr lang="en-US" sz="1200">
              <a:solidFill>
                <a:srgbClr val="000000"/>
              </a:solidFill>
            </a:rPr>
            <a:t>Green-Stem</a:t>
          </a:r>
        </a:p>
        <a:p>
          <a:pPr algn="l"/>
          <a:r>
            <a:rPr lang="en-US" sz="1200">
              <a:solidFill>
                <a:srgbClr val="000000"/>
              </a:solidFill>
            </a:rPr>
            <a:t>Field</a:t>
          </a:r>
        </a:p>
        <a:p>
          <a:pPr algn="l"/>
          <a:r>
            <a:rPr lang="en-US" sz="1200">
              <a:solidFill>
                <a:srgbClr val="000000"/>
              </a:solidFill>
            </a:rPr>
            <a:t>CAU002</a:t>
          </a:r>
        </a:p>
        <a:p>
          <a:pPr algn="l"/>
          <a:r>
            <a:rPr lang="en-US" sz="1200">
              <a:solidFill>
                <a:srgbClr val="000000"/>
              </a:solidFill>
            </a:rPr>
            <a:t>$514</a:t>
          </a:r>
        </a:p>
        <a:p>
          <a:pPr algn="l"/>
          <a:r>
            <a:rPr lang="en-US" sz="1200">
              <a:solidFill>
                <a:srgbClr val="000000"/>
              </a:solidFill>
            </a:rPr>
            <a:t>Song TJS-65</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2 R @ 21"</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09/16 - 10/07</a:t>
          </a:r>
        </a:p>
        <a:p>
          <a:pPr algn="l"/>
          <a:r>
            <a:rPr lang="en-US" sz="1200">
              <a:solidFill>
                <a:srgbClr val="000000"/>
              </a:solidFill>
            </a:rPr>
            <a:t> 1.5'</a:t>
          </a:r>
        </a:p>
        <a:p>
          <a:pPr algn="l"/>
          <a:r>
            <a:rPr lang="en-US" sz="1200">
              <a:solidFill>
                <a:srgbClr val="000000"/>
              </a:solidFill>
            </a:rPr>
            <a:t>AMAP</a:t>
          </a:r>
        </a:p>
      </xdr:txBody>
    </xdr:sp>
    <xdr:clientData/>
  </xdr:twoCellAnchor>
  <xdr:twoCellAnchor>
    <xdr:from>
      <xdr:col>1</xdr:col>
      <xdr:colOff>776942</xdr:colOff>
      <xdr:row>43</xdr:row>
      <xdr:rowOff>266178</xdr:rowOff>
    </xdr:from>
    <xdr:to>
      <xdr:col>1</xdr:col>
      <xdr:colOff>1897530</xdr:colOff>
      <xdr:row>47</xdr:row>
      <xdr:rowOff>532878</xdr:rowOff>
    </xdr:to>
    <xdr:sp macro="" textlink="">
      <xdr:nvSpPr>
        <xdr:cNvPr id="2496" name="BRO002">
          <a:extLst>
            <a:ext uri="{FF2B5EF4-FFF2-40B4-BE49-F238E27FC236}">
              <a16:creationId xmlns:a16="http://schemas.microsoft.com/office/drawing/2014/main" id="{1B03E331-FF70-7DF6-C2E8-A18F1150AE58}"/>
            </a:ext>
          </a:extLst>
        </xdr:cNvPr>
        <xdr:cNvSpPr/>
      </xdr:nvSpPr>
      <xdr:spPr>
        <a:xfrm>
          <a:off x="1479177" y="9948060"/>
          <a:ext cx="1120588" cy="2537759"/>
        </a:xfrm>
        <a:prstGeom prst="rect">
          <a:avLst/>
        </a:prstGeom>
        <a:gradFill flip="none" rotWithShape="1">
          <a:gsLst>
            <a:gs pos="0">
              <a:srgbClr val="00B050">
                <a:alpha val="75000"/>
              </a:srgbClr>
            </a:gs>
            <a:gs pos="68182">
              <a:srgbClr val="00B050">
                <a:alpha val="75000"/>
              </a:srgbClr>
            </a:gs>
            <a:gs pos="6818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Broccoli</a:t>
          </a:r>
        </a:p>
        <a:p>
          <a:pPr algn="l"/>
          <a:r>
            <a:rPr lang="en-US" sz="1200">
              <a:solidFill>
                <a:srgbClr val="000000"/>
              </a:solidFill>
            </a:rPr>
            <a:t>Sprouting</a:t>
          </a:r>
        </a:p>
        <a:p>
          <a:pPr algn="l"/>
          <a:r>
            <a:rPr lang="en-US" sz="1200">
              <a:solidFill>
                <a:srgbClr val="000000"/>
              </a:solidFill>
            </a:rPr>
            <a:t>Field</a:t>
          </a:r>
        </a:p>
        <a:p>
          <a:pPr algn="l"/>
          <a:r>
            <a:rPr lang="en-US" sz="1200">
              <a:solidFill>
                <a:srgbClr val="000000"/>
              </a:solidFill>
            </a:rPr>
            <a:t>BRO002</a:t>
          </a:r>
        </a:p>
        <a:p>
          <a:pPr algn="l"/>
          <a:r>
            <a:rPr lang="en-US" sz="1200">
              <a:solidFill>
                <a:srgbClr val="000000"/>
              </a:solidFill>
            </a:rPr>
            <a:t>$320</a:t>
          </a:r>
        </a:p>
        <a:p>
          <a:pPr algn="l"/>
          <a:r>
            <a:rPr lang="en-US" sz="1200">
              <a:solidFill>
                <a:srgbClr val="000000"/>
              </a:solidFill>
            </a:rPr>
            <a:t>Sprouting Broccoli Mix</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09/21 - 10/12</a:t>
          </a:r>
        </a:p>
        <a:p>
          <a:pPr algn="l"/>
          <a:r>
            <a:rPr lang="en-US" sz="1200">
              <a:solidFill>
                <a:srgbClr val="000000"/>
              </a:solidFill>
            </a:rPr>
            <a:t> 2'</a:t>
          </a:r>
        </a:p>
        <a:p>
          <a:pPr algn="l"/>
          <a:r>
            <a:rPr lang="en-US" sz="1200">
              <a:solidFill>
                <a:srgbClr val="000000"/>
              </a:solidFill>
            </a:rPr>
            <a:t>AMAP</a:t>
          </a:r>
        </a:p>
      </xdr:txBody>
    </xdr:sp>
    <xdr:clientData/>
  </xdr:twoCellAnchor>
  <xdr:twoCellAnchor>
    <xdr:from>
      <xdr:col>26</xdr:col>
      <xdr:colOff>18038</xdr:colOff>
      <xdr:row>43</xdr:row>
      <xdr:rowOff>266178</xdr:rowOff>
    </xdr:from>
    <xdr:to>
      <xdr:col>27</xdr:col>
      <xdr:colOff>18039</xdr:colOff>
      <xdr:row>47</xdr:row>
      <xdr:rowOff>113778</xdr:rowOff>
    </xdr:to>
    <xdr:sp macro="" textlink="">
      <xdr:nvSpPr>
        <xdr:cNvPr id="55" name="CHO002">
          <a:extLst>
            <a:ext uri="{FF2B5EF4-FFF2-40B4-BE49-F238E27FC236}">
              <a16:creationId xmlns:a16="http://schemas.microsoft.com/office/drawing/2014/main" id="{F8A7C339-64D3-301B-947C-3494EA838D30}"/>
            </a:ext>
          </a:extLst>
        </xdr:cNvPr>
        <xdr:cNvSpPr/>
      </xdr:nvSpPr>
      <xdr:spPr>
        <a:xfrm>
          <a:off x="32440391" y="9948060"/>
          <a:ext cx="1120589" cy="2118659"/>
        </a:xfrm>
        <a:prstGeom prst="rect">
          <a:avLst/>
        </a:prstGeom>
        <a:gradFill flip="none" rotWithShape="1">
          <a:gsLst>
            <a:gs pos="0">
              <a:srgbClr val="00B050">
                <a:alpha val="75000"/>
              </a:srgbClr>
            </a:gs>
            <a:gs pos="49091">
              <a:srgbClr val="00B050">
                <a:alpha val="75000"/>
              </a:srgbClr>
            </a:gs>
            <a:gs pos="49091">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Choi Sum</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CHO002</a:t>
          </a:r>
        </a:p>
        <a:p>
          <a:pPr algn="l"/>
          <a:r>
            <a:rPr lang="en-US" sz="1200">
              <a:solidFill>
                <a:srgbClr val="000000"/>
              </a:solidFill>
            </a:rPr>
            <a:t>$533</a:t>
          </a:r>
        </a:p>
        <a:p>
          <a:pPr algn="l"/>
          <a:r>
            <a:rPr lang="en-US" sz="1200">
              <a:solidFill>
                <a:srgbClr val="000000"/>
              </a:solidFill>
            </a:rPr>
            <a:t>Green 70 D</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09/03 - 10/01</a:t>
          </a:r>
        </a:p>
        <a:p>
          <a:pPr algn="l"/>
          <a:r>
            <a:rPr lang="en-US" sz="1200">
              <a:solidFill>
                <a:srgbClr val="000000"/>
              </a:solidFill>
            </a:rPr>
            <a:t> 1.5'</a:t>
          </a:r>
        </a:p>
        <a:p>
          <a:pPr algn="l"/>
          <a:r>
            <a:rPr lang="en-US" sz="1200">
              <a:solidFill>
                <a:srgbClr val="000000"/>
              </a:solidFill>
            </a:rPr>
            <a:t>AMAP</a:t>
          </a:r>
        </a:p>
      </xdr:txBody>
    </xdr:sp>
    <xdr:clientData/>
  </xdr:twoCellAnchor>
  <xdr:twoCellAnchor>
    <xdr:from>
      <xdr:col>56</xdr:col>
      <xdr:colOff>5698</xdr:colOff>
      <xdr:row>43</xdr:row>
      <xdr:rowOff>529225</xdr:rowOff>
    </xdr:from>
    <xdr:to>
      <xdr:col>57</xdr:col>
      <xdr:colOff>5698</xdr:colOff>
      <xdr:row>48</xdr:row>
      <xdr:rowOff>262525</xdr:rowOff>
    </xdr:to>
    <xdr:sp macro="" textlink="">
      <xdr:nvSpPr>
        <xdr:cNvPr id="63" name="LET023">
          <a:extLst>
            <a:ext uri="{FF2B5EF4-FFF2-40B4-BE49-F238E27FC236}">
              <a16:creationId xmlns:a16="http://schemas.microsoft.com/office/drawing/2014/main" id="{6BFEEB16-5453-8796-A20A-82F1F5FC132C}"/>
            </a:ext>
          </a:extLst>
        </xdr:cNvPr>
        <xdr:cNvSpPr/>
      </xdr:nvSpPr>
      <xdr:spPr>
        <a:xfrm>
          <a:off x="66045698" y="10211107"/>
          <a:ext cx="1120588" cy="2572124"/>
        </a:xfrm>
        <a:prstGeom prst="rect">
          <a:avLst/>
        </a:prstGeom>
        <a:gradFill flip="none" rotWithShape="1">
          <a:gsLst>
            <a:gs pos="0">
              <a:srgbClr val="92D050">
                <a:alpha val="75000"/>
              </a:srgbClr>
            </a:gs>
            <a:gs pos="59701">
              <a:srgbClr val="92D050">
                <a:alpha val="75000"/>
              </a:srgbClr>
            </a:gs>
            <a:gs pos="59701">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LET023</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09/23 - 10/20</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4</xdr:col>
      <xdr:colOff>12368</xdr:colOff>
      <xdr:row>43</xdr:row>
      <xdr:rowOff>566803</xdr:rowOff>
    </xdr:from>
    <xdr:to>
      <xdr:col>5</xdr:col>
      <xdr:colOff>12368</xdr:colOff>
      <xdr:row>47</xdr:row>
      <xdr:rowOff>262003</xdr:rowOff>
    </xdr:to>
    <xdr:sp macro="" textlink="">
      <xdr:nvSpPr>
        <xdr:cNvPr id="2498" name="ASI002">
          <a:extLst>
            <a:ext uri="{FF2B5EF4-FFF2-40B4-BE49-F238E27FC236}">
              <a16:creationId xmlns:a16="http://schemas.microsoft.com/office/drawing/2014/main" id="{5EC79B95-5600-A43C-9D62-8A7A66EABF13}"/>
            </a:ext>
          </a:extLst>
        </xdr:cNvPr>
        <xdr:cNvSpPr/>
      </xdr:nvSpPr>
      <xdr:spPr>
        <a:xfrm>
          <a:off x="7781780" y="10248685"/>
          <a:ext cx="1120588" cy="1966259"/>
        </a:xfrm>
        <a:prstGeom prst="rect">
          <a:avLst/>
        </a:prstGeom>
        <a:gradFill flip="none" rotWithShape="1">
          <a:gsLst>
            <a:gs pos="0">
              <a:srgbClr val="00B050">
                <a:alpha val="75000"/>
              </a:srgbClr>
            </a:gs>
            <a:gs pos="72549">
              <a:srgbClr val="00B050">
                <a:alpha val="75000"/>
              </a:srgbClr>
            </a:gs>
            <a:gs pos="7254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Asian Greens</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ASI002</a:t>
          </a:r>
        </a:p>
        <a:p>
          <a:pPr algn="l"/>
          <a:r>
            <a:rPr lang="en-US" sz="1200">
              <a:solidFill>
                <a:srgbClr val="000000"/>
              </a:solidFill>
            </a:rPr>
            <a:t>(!) Asian Greens</a:t>
          </a:r>
        </a:p>
        <a:p>
          <a:pPr algn="l"/>
          <a:r>
            <a:rPr lang="en-US" sz="1200">
              <a:solidFill>
                <a:srgbClr val="000000"/>
              </a:solidFill>
            </a:rPr>
            <a:t>$533</a:t>
          </a:r>
        </a:p>
        <a:p>
          <a:pPr algn="l"/>
          <a:r>
            <a:rPr lang="en-US" sz="1200">
              <a:solidFill>
                <a:srgbClr val="000000"/>
              </a:solidFill>
            </a:rPr>
            <a:t>Asian Green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09/21 - 10/05</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9</xdr:col>
      <xdr:colOff>1090705</xdr:colOff>
      <xdr:row>43</xdr:row>
      <xdr:rowOff>432332</xdr:rowOff>
    </xdr:from>
    <xdr:to>
      <xdr:col>10</xdr:col>
      <xdr:colOff>1090705</xdr:colOff>
      <xdr:row>49</xdr:row>
      <xdr:rowOff>89432</xdr:rowOff>
    </xdr:to>
    <xdr:sp macro="" textlink="">
      <xdr:nvSpPr>
        <xdr:cNvPr id="2509" name="BEE003">
          <a:extLst>
            <a:ext uri="{FF2B5EF4-FFF2-40B4-BE49-F238E27FC236}">
              <a16:creationId xmlns:a16="http://schemas.microsoft.com/office/drawing/2014/main" id="{56A6D68E-B8F8-6E27-9832-1FA4B428C9F0}"/>
            </a:ext>
          </a:extLst>
        </xdr:cNvPr>
        <xdr:cNvSpPr/>
      </xdr:nvSpPr>
      <xdr:spPr>
        <a:xfrm>
          <a:off x="14463058" y="10114214"/>
          <a:ext cx="1120588" cy="3063689"/>
        </a:xfrm>
        <a:prstGeom prst="rect">
          <a:avLst/>
        </a:prstGeom>
        <a:gradFill flip="none" rotWithShape="1">
          <a:gsLst>
            <a:gs pos="0">
              <a:srgbClr val="FF0000">
                <a:alpha val="75000"/>
              </a:srgbClr>
            </a:gs>
            <a:gs pos="56250">
              <a:srgbClr val="FF0000">
                <a:alpha val="75000"/>
              </a:srgbClr>
            </a:gs>
            <a:gs pos="56250">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Beet</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BEE003</a:t>
          </a:r>
        </a:p>
        <a:p>
          <a:pPr algn="l"/>
          <a:r>
            <a:rPr lang="en-US" sz="1200">
              <a:solidFill>
                <a:srgbClr val="000000"/>
              </a:solidFill>
            </a:rPr>
            <a:t>$400</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3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09/29 - 11/03</a:t>
          </a:r>
        </a:p>
        <a:p>
          <a:pPr algn="l"/>
          <a:r>
            <a:rPr lang="en-US" sz="1200">
              <a:solidFill>
                <a:srgbClr val="000000"/>
              </a:solidFill>
            </a:rPr>
            <a:t> 1'</a:t>
          </a:r>
        </a:p>
        <a:p>
          <a:pPr algn="l"/>
          <a:r>
            <a:rPr lang="en-US" sz="1200">
              <a:solidFill>
                <a:srgbClr val="000000"/>
              </a:solidFill>
            </a:rPr>
            <a:t>Late</a:t>
          </a:r>
        </a:p>
      </xdr:txBody>
    </xdr:sp>
    <xdr:clientData/>
  </xdr:twoCellAnchor>
  <xdr:twoCellAnchor>
    <xdr:from>
      <xdr:col>31</xdr:col>
      <xdr:colOff>19477</xdr:colOff>
      <xdr:row>43</xdr:row>
      <xdr:rowOff>566803</xdr:rowOff>
    </xdr:from>
    <xdr:to>
      <xdr:col>31</xdr:col>
      <xdr:colOff>510015</xdr:colOff>
      <xdr:row>48</xdr:row>
      <xdr:rowOff>185803</xdr:rowOff>
    </xdr:to>
    <xdr:sp macro="" textlink="">
      <xdr:nvSpPr>
        <xdr:cNvPr id="32" name="CIL012">
          <a:extLst>
            <a:ext uri="{FF2B5EF4-FFF2-40B4-BE49-F238E27FC236}">
              <a16:creationId xmlns:a16="http://schemas.microsoft.com/office/drawing/2014/main" id="{B6A1BD2E-FF44-5599-F064-96633E3D2D20}"/>
            </a:ext>
          </a:extLst>
        </xdr:cNvPr>
        <xdr:cNvSpPr/>
      </xdr:nvSpPr>
      <xdr:spPr>
        <a:xfrm>
          <a:off x="33299827" y="24007828"/>
          <a:ext cx="490538" cy="2476500"/>
        </a:xfrm>
        <a:prstGeom prst="rect">
          <a:avLst/>
        </a:prstGeom>
        <a:gradFill flip="none" rotWithShape="1">
          <a:gsLst>
            <a:gs pos="0">
              <a:srgbClr val="FFE699">
                <a:alpha val="75000"/>
              </a:srgbClr>
            </a:gs>
            <a:gs pos="78125">
              <a:srgbClr val="FFE699">
                <a:alpha val="75000"/>
              </a:srgbClr>
            </a:gs>
            <a:gs pos="7812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CIL012</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10/04 - 10/18</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42</xdr:col>
      <xdr:colOff>7937</xdr:colOff>
      <xdr:row>43</xdr:row>
      <xdr:rowOff>566803</xdr:rowOff>
    </xdr:from>
    <xdr:to>
      <xdr:col>43</xdr:col>
      <xdr:colOff>7938</xdr:colOff>
      <xdr:row>47</xdr:row>
      <xdr:rowOff>376303</xdr:rowOff>
    </xdr:to>
    <xdr:sp macro="" textlink="">
      <xdr:nvSpPr>
        <xdr:cNvPr id="2497" name="LET026">
          <a:extLst>
            <a:ext uri="{FF2B5EF4-FFF2-40B4-BE49-F238E27FC236}">
              <a16:creationId xmlns:a16="http://schemas.microsoft.com/office/drawing/2014/main" id="{F32871A7-2432-A00B-1141-A9BB62D5D507}"/>
            </a:ext>
          </a:extLst>
        </xdr:cNvPr>
        <xdr:cNvSpPr/>
      </xdr:nvSpPr>
      <xdr:spPr>
        <a:xfrm>
          <a:off x="50359702" y="10248685"/>
          <a:ext cx="1120589" cy="2080559"/>
        </a:xfrm>
        <a:prstGeom prst="rect">
          <a:avLst/>
        </a:prstGeom>
        <a:gradFill flip="none" rotWithShape="1">
          <a:gsLst>
            <a:gs pos="0">
              <a:srgbClr val="92D050">
                <a:alpha val="75000"/>
              </a:srgbClr>
            </a:gs>
            <a:gs pos="74074">
              <a:srgbClr val="92D050">
                <a:alpha val="75000"/>
              </a:srgbClr>
            </a:gs>
            <a:gs pos="74074">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4x9</a:t>
          </a:r>
        </a:p>
        <a:p>
          <a:pPr algn="l"/>
          <a:r>
            <a:rPr lang="en-US" sz="1200">
              <a:solidFill>
                <a:srgbClr val="000000"/>
              </a:solidFill>
            </a:rPr>
            <a:t>Field</a:t>
          </a:r>
        </a:p>
        <a:p>
          <a:pPr algn="l"/>
          <a:r>
            <a:rPr lang="en-US" sz="1200">
              <a:solidFill>
                <a:srgbClr val="000000"/>
              </a:solidFill>
            </a:rPr>
            <a:t>LET026</a:t>
          </a:r>
        </a:p>
        <a:p>
          <a:pPr algn="l"/>
          <a:r>
            <a:rPr lang="en-US" sz="1200">
              <a:solidFill>
                <a:srgbClr val="000000"/>
              </a:solidFill>
            </a:rPr>
            <a:t>$427</a:t>
          </a:r>
        </a:p>
        <a:p>
          <a:pPr algn="l"/>
          <a:r>
            <a:rPr lang="en-US" sz="1200">
              <a:solidFill>
                <a:srgbClr val="000000"/>
              </a:solidFill>
            </a:rPr>
            <a:t>Lovelock</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09/24 - 10/08</a:t>
          </a:r>
        </a:p>
        <a:p>
          <a:pPr algn="l"/>
          <a:r>
            <a:rPr lang="en-US" sz="1200">
              <a:solidFill>
                <a:srgbClr val="000000"/>
              </a:solidFill>
            </a:rPr>
            <a:t> 1'</a:t>
          </a:r>
        </a:p>
        <a:p>
          <a:pPr algn="l"/>
          <a:r>
            <a:rPr lang="en-US" sz="1200">
              <a:solidFill>
                <a:srgbClr val="000000"/>
              </a:solidFill>
            </a:rPr>
            <a:t>None</a:t>
          </a:r>
        </a:p>
      </xdr:txBody>
    </xdr:sp>
    <xdr:clientData/>
  </xdr:twoCellAnchor>
  <xdr:twoCellAnchor>
    <xdr:from>
      <xdr:col>48</xdr:col>
      <xdr:colOff>1814</xdr:colOff>
      <xdr:row>43</xdr:row>
      <xdr:rowOff>566803</xdr:rowOff>
    </xdr:from>
    <xdr:to>
      <xdr:col>50</xdr:col>
      <xdr:colOff>1814</xdr:colOff>
      <xdr:row>51</xdr:row>
      <xdr:rowOff>338203</xdr:rowOff>
    </xdr:to>
    <xdr:sp macro="" textlink="">
      <xdr:nvSpPr>
        <xdr:cNvPr id="37" name="RUT001">
          <a:extLst>
            <a:ext uri="{FF2B5EF4-FFF2-40B4-BE49-F238E27FC236}">
              <a16:creationId xmlns:a16="http://schemas.microsoft.com/office/drawing/2014/main" id="{54E55257-6640-A30E-FEEC-57730A6F512D}"/>
            </a:ext>
          </a:extLst>
        </xdr:cNvPr>
        <xdr:cNvSpPr/>
      </xdr:nvSpPr>
      <xdr:spPr>
        <a:xfrm>
          <a:off x="49960439" y="24007828"/>
          <a:ext cx="1962150" cy="4343400"/>
        </a:xfrm>
        <a:prstGeom prst="rect">
          <a:avLst/>
        </a:prstGeom>
        <a:gradFill flip="none" rotWithShape="1">
          <a:gsLst>
            <a:gs pos="0">
              <a:srgbClr val="00B050">
                <a:alpha val="75000"/>
              </a:srgbClr>
            </a:gs>
            <a:gs pos="81416">
              <a:srgbClr val="00B050">
                <a:alpha val="75000"/>
              </a:srgbClr>
            </a:gs>
            <a:gs pos="81416">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Rutabaga</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RUT001</a:t>
          </a:r>
        </a:p>
        <a:p>
          <a:pPr algn="l"/>
          <a:r>
            <a:rPr lang="en-US" sz="1200">
              <a:solidFill>
                <a:srgbClr val="000000"/>
              </a:solidFill>
            </a:rPr>
            <a:t>$1,050</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2 beds</a:t>
          </a:r>
        </a:p>
        <a:p>
          <a:pPr algn="l"/>
          <a:r>
            <a:rPr lang="en-US" sz="1200">
              <a:solidFill>
                <a:srgbClr val="000000"/>
              </a:solidFill>
            </a:rPr>
            <a:t>3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11/15 - 12/06</a:t>
          </a:r>
        </a:p>
        <a:p>
          <a:pPr algn="l"/>
          <a:r>
            <a:rPr lang="en-US" sz="1200">
              <a:solidFill>
                <a:srgbClr val="000000"/>
              </a:solidFill>
            </a:rPr>
            <a:t> 0'</a:t>
          </a:r>
        </a:p>
        <a:p>
          <a:pPr algn="l"/>
          <a:r>
            <a:rPr lang="en-US" sz="1200">
              <a:solidFill>
                <a:srgbClr val="000000"/>
              </a:solidFill>
            </a:rPr>
            <a:t>AMAP</a:t>
          </a:r>
        </a:p>
      </xdr:txBody>
    </xdr:sp>
    <xdr:clientData/>
  </xdr:twoCellAnchor>
  <xdr:twoCellAnchor>
    <xdr:from>
      <xdr:col>21</xdr:col>
      <xdr:colOff>624754</xdr:colOff>
      <xdr:row>43</xdr:row>
      <xdr:rowOff>566803</xdr:rowOff>
    </xdr:from>
    <xdr:to>
      <xdr:col>21</xdr:col>
      <xdr:colOff>1115292</xdr:colOff>
      <xdr:row>50</xdr:row>
      <xdr:rowOff>71503</xdr:rowOff>
    </xdr:to>
    <xdr:sp macro="" textlink="">
      <xdr:nvSpPr>
        <xdr:cNvPr id="36" name="SCA636">
          <a:extLst>
            <a:ext uri="{FF2B5EF4-FFF2-40B4-BE49-F238E27FC236}">
              <a16:creationId xmlns:a16="http://schemas.microsoft.com/office/drawing/2014/main" id="{DC6A788F-7F05-9451-1997-B793700BA9C2}"/>
            </a:ext>
          </a:extLst>
        </xdr:cNvPr>
        <xdr:cNvSpPr/>
      </xdr:nvSpPr>
      <xdr:spPr>
        <a:xfrm>
          <a:off x="27444166" y="10248685"/>
          <a:ext cx="490538" cy="3479053"/>
        </a:xfrm>
        <a:prstGeom prst="rect">
          <a:avLst/>
        </a:prstGeom>
        <a:gradFill flip="none" rotWithShape="1">
          <a:gsLst>
            <a:gs pos="0">
              <a:srgbClr val="BFBFBF">
                <a:alpha val="75000"/>
              </a:srgbClr>
            </a:gs>
            <a:gs pos="84615">
              <a:srgbClr val="BFBFBF">
                <a:alpha val="75000"/>
              </a:srgbClr>
            </a:gs>
            <a:gs pos="8461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Scallion</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SCA636</a:t>
          </a:r>
        </a:p>
        <a:p>
          <a:pPr algn="l"/>
          <a:r>
            <a:rPr lang="en-US" sz="800">
              <a:solidFill>
                <a:srgbClr val="000000"/>
              </a:solidFill>
            </a:rPr>
            <a:t>$167</a:t>
          </a:r>
        </a:p>
        <a:p>
          <a:pPr algn="l"/>
          <a:endParaRPr lang="en-US" sz="800">
            <a:solidFill>
              <a:srgbClr val="000000"/>
            </a:solidFill>
          </a:endParaRP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6"</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10/31 - 11/14</a:t>
          </a:r>
        </a:p>
        <a:p>
          <a:pPr algn="l"/>
          <a:r>
            <a:rPr lang="en-US" sz="800">
              <a:solidFill>
                <a:srgbClr val="000000"/>
              </a:solidFill>
            </a:rPr>
            <a:t> 1.5'</a:t>
          </a:r>
        </a:p>
        <a:p>
          <a:pPr algn="l"/>
          <a:r>
            <a:rPr lang="en-US" sz="800">
              <a:solidFill>
                <a:srgbClr val="000000"/>
              </a:solidFill>
            </a:rPr>
            <a:t>None</a:t>
          </a:r>
        </a:p>
      </xdr:txBody>
    </xdr:sp>
    <xdr:clientData/>
  </xdr:twoCellAnchor>
  <xdr:twoCellAnchor>
    <xdr:from>
      <xdr:col>27</xdr:col>
      <xdr:colOff>60216</xdr:colOff>
      <xdr:row>44</xdr:row>
      <xdr:rowOff>183193</xdr:rowOff>
    </xdr:from>
    <xdr:to>
      <xdr:col>27</xdr:col>
      <xdr:colOff>538769</xdr:colOff>
      <xdr:row>47</xdr:row>
      <xdr:rowOff>526093</xdr:rowOff>
    </xdr:to>
    <xdr:sp macro="" textlink="">
      <xdr:nvSpPr>
        <xdr:cNvPr id="39" name="RAD457">
          <a:extLst>
            <a:ext uri="{FF2B5EF4-FFF2-40B4-BE49-F238E27FC236}">
              <a16:creationId xmlns:a16="http://schemas.microsoft.com/office/drawing/2014/main" id="{09844EFD-4E97-D04C-3496-DF12D4704BB9}"/>
            </a:ext>
          </a:extLst>
        </xdr:cNvPr>
        <xdr:cNvSpPr/>
      </xdr:nvSpPr>
      <xdr:spPr>
        <a:xfrm>
          <a:off x="33603157" y="10432840"/>
          <a:ext cx="478553" cy="2046194"/>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Radish</a:t>
          </a:r>
        </a:p>
        <a:p>
          <a:pPr algn="l"/>
          <a:r>
            <a:rPr lang="en-US" sz="800">
              <a:solidFill>
                <a:srgbClr val="000000"/>
              </a:solidFill>
            </a:rPr>
            <a:t>6r</a:t>
          </a:r>
        </a:p>
        <a:p>
          <a:pPr algn="l"/>
          <a:r>
            <a:rPr lang="en-US" sz="800">
              <a:solidFill>
                <a:srgbClr val="000000"/>
              </a:solidFill>
            </a:rPr>
            <a:t>Field</a:t>
          </a:r>
        </a:p>
        <a:p>
          <a:pPr algn="l"/>
          <a:r>
            <a:rPr lang="en-US" sz="800">
              <a:solidFill>
                <a:srgbClr val="000000"/>
              </a:solidFill>
            </a:rPr>
            <a:t>RAD457</a:t>
          </a:r>
        </a:p>
        <a:p>
          <a:pPr algn="l"/>
          <a:r>
            <a:rPr lang="en-US" sz="800">
              <a:solidFill>
                <a:srgbClr val="000000"/>
              </a:solidFill>
            </a:rPr>
            <a:t>$188</a:t>
          </a:r>
        </a:p>
        <a:p>
          <a:pPr algn="l"/>
          <a:r>
            <a:rPr lang="en-US" sz="800">
              <a:solidFill>
                <a:srgbClr val="000000"/>
              </a:solidFill>
            </a:rPr>
            <a:t>Radish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1"</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09/21 - 10/12</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49</xdr:col>
      <xdr:colOff>505932</xdr:colOff>
      <xdr:row>44</xdr:row>
      <xdr:rowOff>198134</xdr:rowOff>
    </xdr:from>
    <xdr:to>
      <xdr:col>50</xdr:col>
      <xdr:colOff>1</xdr:colOff>
      <xdr:row>48</xdr:row>
      <xdr:rowOff>11369</xdr:rowOff>
    </xdr:to>
    <xdr:sp macro="" textlink="">
      <xdr:nvSpPr>
        <xdr:cNvPr id="3" name="TUR532">
          <a:extLst>
            <a:ext uri="{FF2B5EF4-FFF2-40B4-BE49-F238E27FC236}">
              <a16:creationId xmlns:a16="http://schemas.microsoft.com/office/drawing/2014/main" id="{BC28183C-A74E-34E5-FD5E-43C95E30016A}"/>
            </a:ext>
          </a:extLst>
        </xdr:cNvPr>
        <xdr:cNvSpPr/>
      </xdr:nvSpPr>
      <xdr:spPr>
        <a:xfrm>
          <a:off x="58701814" y="10447781"/>
          <a:ext cx="614658" cy="2084294"/>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Turnip</a:t>
          </a:r>
        </a:p>
        <a:p>
          <a:pPr algn="l"/>
          <a:r>
            <a:rPr lang="en-US" sz="800">
              <a:solidFill>
                <a:srgbClr val="000000"/>
              </a:solidFill>
            </a:rPr>
            <a:t>Tokyo</a:t>
          </a:r>
        </a:p>
        <a:p>
          <a:pPr algn="l"/>
          <a:r>
            <a:rPr lang="en-US" sz="800">
              <a:solidFill>
                <a:srgbClr val="000000"/>
              </a:solidFill>
            </a:rPr>
            <a:t>Field</a:t>
          </a:r>
        </a:p>
        <a:p>
          <a:pPr algn="l"/>
          <a:r>
            <a:rPr lang="en-US" sz="800">
              <a:solidFill>
                <a:srgbClr val="000000"/>
              </a:solidFill>
            </a:rPr>
            <a:t>TUR532</a:t>
          </a:r>
        </a:p>
        <a:p>
          <a:pPr algn="l"/>
          <a:r>
            <a:rPr lang="en-US" sz="800">
              <a:solidFill>
                <a:srgbClr val="000000"/>
              </a:solidFill>
            </a:rPr>
            <a:t>$138</a:t>
          </a:r>
        </a:p>
        <a:p>
          <a:pPr algn="l"/>
          <a:r>
            <a:rPr lang="en-US" sz="800">
              <a:solidFill>
                <a:srgbClr val="000000"/>
              </a:solidFill>
            </a:rPr>
            <a:t>Hakurei</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2"</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09/29 - 10/13</a:t>
          </a:r>
        </a:p>
        <a:p>
          <a:pPr algn="l"/>
          <a:r>
            <a:rPr lang="en-US" sz="800">
              <a:solidFill>
                <a:srgbClr val="000000"/>
              </a:solidFill>
            </a:rPr>
            <a:t> 2'</a:t>
          </a:r>
        </a:p>
        <a:p>
          <a:pPr algn="l"/>
          <a:r>
            <a:rPr lang="en-US" sz="800">
              <a:solidFill>
                <a:srgbClr val="000000"/>
              </a:solidFill>
            </a:rPr>
            <a:t>0</a:t>
          </a:r>
        </a:p>
      </xdr:txBody>
    </xdr:sp>
    <xdr:clientData/>
  </xdr:twoCellAnchor>
  <xdr:twoCellAnchor>
    <xdr:from>
      <xdr:col>33</xdr:col>
      <xdr:colOff>34017</xdr:colOff>
      <xdr:row>44</xdr:row>
      <xdr:rowOff>371084</xdr:rowOff>
    </xdr:from>
    <xdr:to>
      <xdr:col>33</xdr:col>
      <xdr:colOff>524555</xdr:colOff>
      <xdr:row>48</xdr:row>
      <xdr:rowOff>142484</xdr:rowOff>
    </xdr:to>
    <xdr:sp macro="" textlink="">
      <xdr:nvSpPr>
        <xdr:cNvPr id="53" name="RAD453">
          <a:extLst>
            <a:ext uri="{FF2B5EF4-FFF2-40B4-BE49-F238E27FC236}">
              <a16:creationId xmlns:a16="http://schemas.microsoft.com/office/drawing/2014/main" id="{DB46A619-A54A-8ADD-C265-7960FA4CC342}"/>
            </a:ext>
          </a:extLst>
        </xdr:cNvPr>
        <xdr:cNvSpPr/>
      </xdr:nvSpPr>
      <xdr:spPr>
        <a:xfrm>
          <a:off x="35276517" y="24383609"/>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RAD453</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09/26 - 10/17</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33</xdr:col>
      <xdr:colOff>531131</xdr:colOff>
      <xdr:row>44</xdr:row>
      <xdr:rowOff>371084</xdr:rowOff>
    </xdr:from>
    <xdr:to>
      <xdr:col>34</xdr:col>
      <xdr:colOff>40594</xdr:colOff>
      <xdr:row>48</xdr:row>
      <xdr:rowOff>180584</xdr:rowOff>
    </xdr:to>
    <xdr:sp macro="" textlink="">
      <xdr:nvSpPr>
        <xdr:cNvPr id="48" name="TUR529">
          <a:extLst>
            <a:ext uri="{FF2B5EF4-FFF2-40B4-BE49-F238E27FC236}">
              <a16:creationId xmlns:a16="http://schemas.microsoft.com/office/drawing/2014/main" id="{08FA6F74-4625-A422-3CC8-510F748FF2D2}"/>
            </a:ext>
          </a:extLst>
        </xdr:cNvPr>
        <xdr:cNvSpPr/>
      </xdr:nvSpPr>
      <xdr:spPr>
        <a:xfrm>
          <a:off x="35773631" y="24383609"/>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TUR529</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10/04 - 10/18</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34</xdr:col>
      <xdr:colOff>9977</xdr:colOff>
      <xdr:row>44</xdr:row>
      <xdr:rowOff>521396</xdr:rowOff>
    </xdr:from>
    <xdr:to>
      <xdr:col>34</xdr:col>
      <xdr:colOff>552823</xdr:colOff>
      <xdr:row>48</xdr:row>
      <xdr:rowOff>292796</xdr:rowOff>
    </xdr:to>
    <xdr:sp macro="" textlink="">
      <xdr:nvSpPr>
        <xdr:cNvPr id="54" name="RAD454">
          <a:extLst>
            <a:ext uri="{FF2B5EF4-FFF2-40B4-BE49-F238E27FC236}">
              <a16:creationId xmlns:a16="http://schemas.microsoft.com/office/drawing/2014/main" id="{36AE16FA-FD42-5CFB-42BF-799BA97B5D04}"/>
            </a:ext>
          </a:extLst>
        </xdr:cNvPr>
        <xdr:cNvSpPr/>
      </xdr:nvSpPr>
      <xdr:spPr>
        <a:xfrm>
          <a:off x="41397036" y="10771043"/>
          <a:ext cx="542846" cy="2042459"/>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RAD454</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09/30 - 10/21</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34</xdr:col>
      <xdr:colOff>586706</xdr:colOff>
      <xdr:row>45</xdr:row>
      <xdr:rowOff>288099</xdr:rowOff>
    </xdr:from>
    <xdr:to>
      <xdr:col>34</xdr:col>
      <xdr:colOff>1077244</xdr:colOff>
      <xdr:row>49</xdr:row>
      <xdr:rowOff>97599</xdr:rowOff>
    </xdr:to>
    <xdr:sp macro="" textlink="">
      <xdr:nvSpPr>
        <xdr:cNvPr id="47" name="TUR530">
          <a:extLst>
            <a:ext uri="{FF2B5EF4-FFF2-40B4-BE49-F238E27FC236}">
              <a16:creationId xmlns:a16="http://schemas.microsoft.com/office/drawing/2014/main" id="{607714D4-0D7E-8FF2-4360-A8F26375751C}"/>
            </a:ext>
          </a:extLst>
        </xdr:cNvPr>
        <xdr:cNvSpPr/>
      </xdr:nvSpPr>
      <xdr:spPr>
        <a:xfrm>
          <a:off x="41973765" y="11105511"/>
          <a:ext cx="490538" cy="2080559"/>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TUR530</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10/17 - 10/31</a:t>
          </a:r>
        </a:p>
        <a:p>
          <a:pPr algn="l"/>
          <a:r>
            <a:rPr lang="en-US" sz="800" kern="1200">
              <a:solidFill>
                <a:srgbClr val="000000"/>
              </a:solidFill>
            </a:rPr>
            <a:t> 2'</a:t>
          </a:r>
        </a:p>
        <a:p>
          <a:pPr algn="l"/>
          <a:r>
            <a:rPr lang="en-US" sz="800" kern="1200">
              <a:solidFill>
                <a:srgbClr val="000000"/>
              </a:solidFill>
            </a:rPr>
            <a:t>0</a:t>
          </a:r>
        </a:p>
      </xdr:txBody>
    </xdr:sp>
    <xdr:clientData/>
  </xdr:twoCellAnchor>
  <mc:AlternateContent xmlns:mc="http://schemas.openxmlformats.org/markup-compatibility/2006">
    <mc:Choice xmlns:a14="http://schemas.microsoft.com/office/drawing/2010/main" Requires="a14">
      <xdr:twoCellAnchor>
        <xdr:from>
          <xdr:col>1</xdr:col>
          <xdr:colOff>88900</xdr:colOff>
          <xdr:row>4</xdr:row>
          <xdr:rowOff>63500</xdr:rowOff>
        </xdr:from>
        <xdr:to>
          <xdr:col>1</xdr:col>
          <xdr:colOff>647700</xdr:colOff>
          <xdr:row>4</xdr:row>
          <xdr:rowOff>355600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Update Crops</a:t>
              </a:r>
            </a:p>
          </xdr:txBody>
        </xdr:sp>
        <xdr:clientData fPrintsWithSheet="0"/>
      </xdr:twoCellAnchor>
    </mc:Choice>
    <mc:Fallback/>
  </mc:AlternateContent>
  <xdr:twoCellAnchor>
    <xdr:from>
      <xdr:col>1</xdr:col>
      <xdr:colOff>2126771</xdr:colOff>
      <xdr:row>43</xdr:row>
      <xdr:rowOff>566803</xdr:rowOff>
    </xdr:from>
    <xdr:to>
      <xdr:col>1</xdr:col>
      <xdr:colOff>2617309</xdr:colOff>
      <xdr:row>48</xdr:row>
      <xdr:rowOff>185803</xdr:rowOff>
    </xdr:to>
    <xdr:sp macro="" textlink="">
      <xdr:nvSpPr>
        <xdr:cNvPr id="2516" name="BOK002">
          <a:extLst>
            <a:ext uri="{FF2B5EF4-FFF2-40B4-BE49-F238E27FC236}">
              <a16:creationId xmlns:a16="http://schemas.microsoft.com/office/drawing/2014/main" id="{837C5BBE-B720-6333-0ABD-BD9307404BC5}"/>
            </a:ext>
          </a:extLst>
        </xdr:cNvPr>
        <xdr:cNvSpPr/>
      </xdr:nvSpPr>
      <xdr:spPr>
        <a:xfrm>
          <a:off x="2829006" y="10248685"/>
          <a:ext cx="490538" cy="2457824"/>
        </a:xfrm>
        <a:prstGeom prst="rect">
          <a:avLst/>
        </a:prstGeom>
        <a:gradFill flip="none" rotWithShape="1">
          <a:gsLst>
            <a:gs pos="0">
              <a:srgbClr val="548235">
                <a:alpha val="75000"/>
              </a:srgbClr>
            </a:gs>
            <a:gs pos="78125">
              <a:srgbClr val="548235">
                <a:alpha val="75000"/>
              </a:srgbClr>
            </a:gs>
            <a:gs pos="78125">
              <a:srgbClr val="548235">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FFFFFF"/>
              </a:solidFill>
            </a:rPr>
            <a:t>Bok Choy</a:t>
          </a:r>
        </a:p>
        <a:p>
          <a:pPr algn="l"/>
          <a:r>
            <a:rPr lang="en-US" sz="800">
              <a:solidFill>
                <a:srgbClr val="FFFFFF"/>
              </a:solidFill>
            </a:rPr>
            <a:t>General</a:t>
          </a:r>
        </a:p>
        <a:p>
          <a:pPr algn="l"/>
          <a:r>
            <a:rPr lang="en-US" sz="800">
              <a:solidFill>
                <a:srgbClr val="FFFFFF"/>
              </a:solidFill>
            </a:rPr>
            <a:t>Field</a:t>
          </a:r>
        </a:p>
        <a:p>
          <a:pPr algn="l"/>
          <a:r>
            <a:rPr lang="en-US" sz="800">
              <a:solidFill>
                <a:srgbClr val="FFFFFF"/>
              </a:solidFill>
            </a:rPr>
            <a:t>BOK002</a:t>
          </a:r>
        </a:p>
        <a:p>
          <a:pPr algn="l"/>
          <a:r>
            <a:rPr lang="en-US" sz="800">
              <a:solidFill>
                <a:srgbClr val="FFFFFF"/>
              </a:solidFill>
            </a:rPr>
            <a:t>$333</a:t>
          </a:r>
        </a:p>
        <a:p>
          <a:pPr algn="l"/>
          <a:endParaRPr lang="en-US" sz="800">
            <a:solidFill>
              <a:srgbClr val="FFFFFF"/>
            </a:solidFill>
          </a:endParaRPr>
        </a:p>
        <a:p>
          <a:pPr algn="l"/>
          <a:endParaRPr lang="en-US" sz="800">
            <a:solidFill>
              <a:srgbClr val="FFFFFF"/>
            </a:solidFill>
          </a:endParaRPr>
        </a:p>
        <a:p>
          <a:pPr algn="l"/>
          <a:r>
            <a:rPr lang="en-US" sz="800">
              <a:solidFill>
                <a:srgbClr val="FFFFFF"/>
              </a:solidFill>
            </a:rPr>
            <a:t>0.5 beds</a:t>
          </a:r>
        </a:p>
        <a:p>
          <a:pPr algn="l"/>
          <a:r>
            <a:rPr lang="en-US" sz="800">
              <a:solidFill>
                <a:srgbClr val="FFFFFF"/>
              </a:solidFill>
            </a:rPr>
            <a:t>4 R @ 9"</a:t>
          </a:r>
        </a:p>
        <a:p>
          <a:pPr algn="l"/>
          <a:endParaRPr lang="en-US" sz="800">
            <a:solidFill>
              <a:srgbClr val="FFFFFF"/>
            </a:solidFill>
          </a:endParaRPr>
        </a:p>
        <a:p>
          <a:pPr algn="l"/>
          <a:r>
            <a:rPr lang="en-US" sz="800">
              <a:solidFill>
                <a:srgbClr val="FFFFFF"/>
              </a:solidFill>
            </a:rPr>
            <a:t>Harvest</a:t>
          </a:r>
        </a:p>
        <a:p>
          <a:pPr algn="l"/>
          <a:r>
            <a:rPr lang="en-US" sz="800">
              <a:solidFill>
                <a:srgbClr val="FFFFFF"/>
              </a:solidFill>
            </a:rPr>
            <a:t>10/04 - 10/18</a:t>
          </a:r>
        </a:p>
        <a:p>
          <a:pPr algn="l"/>
          <a:r>
            <a:rPr lang="en-US" sz="800">
              <a:solidFill>
                <a:srgbClr val="FFFFFF"/>
              </a:solidFill>
            </a:rPr>
            <a:t> 0'</a:t>
          </a:r>
        </a:p>
        <a:p>
          <a:pPr algn="l"/>
          <a:r>
            <a:rPr lang="en-US" sz="800">
              <a:solidFill>
                <a:srgbClr val="FFFFFF"/>
              </a:solidFill>
            </a:rPr>
            <a:t>0</a:t>
          </a:r>
        </a:p>
      </xdr:txBody>
    </xdr:sp>
    <xdr:clientData/>
  </xdr:twoCellAnchor>
  <xdr:twoCellAnchor>
    <xdr:from>
      <xdr:col>31</xdr:col>
      <xdr:colOff>504264</xdr:colOff>
      <xdr:row>43</xdr:row>
      <xdr:rowOff>566803</xdr:rowOff>
    </xdr:from>
    <xdr:to>
      <xdr:col>32</xdr:col>
      <xdr:colOff>13727</xdr:colOff>
      <xdr:row>47</xdr:row>
      <xdr:rowOff>185803</xdr:rowOff>
    </xdr:to>
    <xdr:sp macro="" textlink="">
      <xdr:nvSpPr>
        <xdr:cNvPr id="23" name="ARU005">
          <a:extLst>
            <a:ext uri="{FF2B5EF4-FFF2-40B4-BE49-F238E27FC236}">
              <a16:creationId xmlns:a16="http://schemas.microsoft.com/office/drawing/2014/main" id="{28E78AD0-C98D-4BF8-EF0E-F89D7B48AC15}"/>
            </a:ext>
          </a:extLst>
        </xdr:cNvPr>
        <xdr:cNvSpPr/>
      </xdr:nvSpPr>
      <xdr:spPr>
        <a:xfrm>
          <a:off x="33784614" y="24007828"/>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Arugula</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ARU005</a:t>
          </a:r>
        </a:p>
        <a:p>
          <a:pPr algn="l"/>
          <a:r>
            <a:rPr lang="en-US" sz="800">
              <a:solidFill>
                <a:srgbClr val="000000"/>
              </a:solidFill>
            </a:rPr>
            <a:t>$113</a:t>
          </a:r>
        </a:p>
        <a:p>
          <a:pPr algn="l"/>
          <a:r>
            <a:rPr lang="en-US" sz="800">
              <a:solidFill>
                <a:srgbClr val="000000"/>
              </a:solidFill>
            </a:rPr>
            <a:t>Arugala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09/15 - 10/03</a:t>
          </a:r>
        </a:p>
        <a:p>
          <a:pPr algn="l"/>
          <a:r>
            <a:rPr lang="en-US" sz="800">
              <a:solidFill>
                <a:srgbClr val="000000"/>
              </a:solidFill>
            </a:rPr>
            <a:t>OH 1'</a:t>
          </a:r>
        </a:p>
        <a:p>
          <a:pPr algn="l"/>
          <a:r>
            <a:rPr lang="en-US" sz="800">
              <a:solidFill>
                <a:srgbClr val="000000"/>
              </a:solidFill>
            </a:rPr>
            <a:t>None</a:t>
          </a:r>
        </a:p>
      </xdr:txBody>
    </xdr:sp>
    <xdr:clientData/>
  </xdr:twoCellAnchor>
  <xdr:twoCellAnchor>
    <xdr:from>
      <xdr:col>16</xdr:col>
      <xdr:colOff>59766</xdr:colOff>
      <xdr:row>42</xdr:row>
      <xdr:rowOff>493060</xdr:rowOff>
    </xdr:from>
    <xdr:to>
      <xdr:col>16</xdr:col>
      <xdr:colOff>1096934</xdr:colOff>
      <xdr:row>47</xdr:row>
      <xdr:rowOff>365564</xdr:rowOff>
    </xdr:to>
    <xdr:sp macro="" textlink="">
      <xdr:nvSpPr>
        <xdr:cNvPr id="34" name="RAD005">
          <a:extLst>
            <a:ext uri="{FF2B5EF4-FFF2-40B4-BE49-F238E27FC236}">
              <a16:creationId xmlns:a16="http://schemas.microsoft.com/office/drawing/2014/main" id="{566319FF-C7BD-E44E-A283-B0B2B2DDF3B0}"/>
            </a:ext>
            <a:ext uri="{147F2762-F138-4A5C-976F-8EAC2B608ADB}">
              <a16:predDERef xmlns:a16="http://schemas.microsoft.com/office/drawing/2014/main" pred="{28E78AD0-C98D-4BF8-EF0E-F89D7B48AC15}"/>
            </a:ext>
          </a:extLst>
        </xdr:cNvPr>
        <xdr:cNvSpPr/>
      </xdr:nvSpPr>
      <xdr:spPr>
        <a:xfrm>
          <a:off x="21276237" y="9607178"/>
          <a:ext cx="1037168" cy="2711327"/>
        </a:xfrm>
        <a:prstGeom prst="rect">
          <a:avLst/>
        </a:prstGeom>
        <a:gradFill flip="none" rotWithShape="1">
          <a:gsLst>
            <a:gs pos="0">
              <a:srgbClr val="00B050">
                <a:alpha val="75000"/>
              </a:srgbClr>
            </a:gs>
            <a:gs pos="70423">
              <a:srgbClr val="00B050">
                <a:alpha val="75000"/>
              </a:srgbClr>
            </a:gs>
            <a:gs pos="70423">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Radish</a:t>
          </a:r>
        </a:p>
        <a:p>
          <a:pPr algn="l"/>
          <a:r>
            <a:rPr lang="en-US" sz="1200" kern="1200">
              <a:solidFill>
                <a:srgbClr val="000000"/>
              </a:solidFill>
            </a:rPr>
            <a:t>Daikon</a:t>
          </a:r>
        </a:p>
        <a:p>
          <a:pPr algn="l"/>
          <a:r>
            <a:rPr lang="en-US" sz="1200" kern="1200">
              <a:solidFill>
                <a:srgbClr val="000000"/>
              </a:solidFill>
            </a:rPr>
            <a:t>Field</a:t>
          </a:r>
        </a:p>
        <a:p>
          <a:pPr algn="l"/>
          <a:r>
            <a:rPr lang="en-US" sz="1200" kern="1200">
              <a:solidFill>
                <a:srgbClr val="000000"/>
              </a:solidFill>
            </a:rPr>
            <a:t>RAD005</a:t>
          </a:r>
        </a:p>
        <a:p>
          <a:pPr algn="l"/>
          <a:r>
            <a:rPr lang="en-US" sz="1200" kern="1200">
              <a:solidFill>
                <a:srgbClr val="000000"/>
              </a:solidFill>
            </a:rPr>
            <a:t>$1,200</a:t>
          </a:r>
        </a:p>
        <a:p>
          <a:pPr algn="l"/>
          <a:r>
            <a:rPr lang="en-US" sz="1200" kern="1200">
              <a:solidFill>
                <a:srgbClr val="000000"/>
              </a:solidFill>
            </a:rPr>
            <a:t>Winter Radish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09/14 - 10/05</a:t>
          </a:r>
        </a:p>
        <a:p>
          <a:pPr algn="l"/>
          <a:r>
            <a:rPr lang="en-US" sz="1200" kern="1200">
              <a:solidFill>
                <a:srgbClr val="000000"/>
              </a:solidFill>
            </a:rPr>
            <a:t>OH 2'</a:t>
          </a:r>
        </a:p>
        <a:p>
          <a:pPr algn="l"/>
          <a:r>
            <a:rPr lang="en-US" sz="1200" kern="1200">
              <a:solidFill>
                <a:srgbClr val="000000"/>
              </a:solidFill>
            </a:rPr>
            <a:t>AMAP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0</xdr:row>
      <xdr:rowOff>127000</xdr:rowOff>
    </xdr:from>
    <xdr:to>
      <xdr:col>17</xdr:col>
      <xdr:colOff>419100</xdr:colOff>
      <xdr:row>36</xdr:row>
      <xdr:rowOff>25400</xdr:rowOff>
    </xdr:to>
    <xdr:graphicFrame macro="">
      <xdr:nvGraphicFramePr>
        <xdr:cNvPr id="3" name="Chart 2">
          <a:extLst>
            <a:ext uri="{FF2B5EF4-FFF2-40B4-BE49-F238E27FC236}">
              <a16:creationId xmlns:a16="http://schemas.microsoft.com/office/drawing/2014/main" id="{7F67D0FC-CB73-A74B-82BE-0E0FAED653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27</xdr:col>
      <xdr:colOff>114298</xdr:colOff>
      <xdr:row>20</xdr:row>
      <xdr:rowOff>4761</xdr:rowOff>
    </xdr:from>
    <xdr:to>
      <xdr:col>44</xdr:col>
      <xdr:colOff>381000</xdr:colOff>
      <xdr:row>52</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Tyler Morgan" id="{773B4B0E-8FC5-4B17-BF99-C3D791A36A6C}" userId="bcd4436b35d1e100" providerId="Windows Live"/>
  <person displayName="Tyler Morgan" id="{00E5A401-CBFE-47F4-9DB1-B8F5A0A12003}" userId="c643e3385d77cb78"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407408" createdVersion="8" refreshedVersion="8" minRefreshableVersion="3" recordCount="134" xr:uid="{C176B7BF-A31B-4023-B305-37DA8DA60C03}">
  <cacheSource type="worksheet">
    <worksheetSource name="BedPlan"/>
  </cacheSource>
  <cacheFields count="139">
    <cacheField name="Crop" numFmtId="0">
      <sharedItems count="320">
        <s v="Sorrel - Mature Leaf 3X | Field TP "/>
        <s v="Choi Sum - Mature Head 1X | Field TP "/>
        <s v="Celery - Loose Rib 1X | Field TP SpSu"/>
        <s v="Pepper (Bell) - Ripe Fruit Large 1X | Greenhouse TP "/>
        <s v="Pepper (Hot) - Ripe Fruit Small 1X | Greenhouse TP "/>
        <s v="Onion (Salad Early) - Young Bulb 10X | Field TP Sp"/>
        <s v="Lettuce (Salanova) - Loose Leaf 1X | Tunnel TP Sp"/>
        <s v="Cabbage (Fast Early 9&quot;) - Large Head 1X | Field TP Sp"/>
        <s v="Peas (Snap) - Young Pod 3X | Field TP SpSu"/>
        <s v="Scallion - Mature Stalk 6X | Field TP Sp"/>
        <s v="Kohlrabi (Sm) - Storage Bulb 1X | Field TP Sp"/>
        <s v="Onion - Mature Bulb 6X | Field TP SpSu"/>
        <s v="Fennel - Mini Bulb 1X | Field TP Sp"/>
        <s v="Tomato (Beefsteak) - Ripe Fruit Large 1X | Greenhouse TP Su"/>
        <s v="Tomato (Cherry) - Ripe Fruit Small 1X | Greenhouse TP Su"/>
        <s v="Pepper (Bell) - Ripe Fruit Large 1X | Field TP "/>
        <s v="Pepper (Hot) - Ripe Fruit Small 1X | Field TP "/>
        <s v="Dill - Mature Leaf 4X | Field TP Su"/>
        <s v="Cilantro - Loose Leaf 3X | Field TP Su"/>
        <s v="Lettuce (Salanova) - Loose Leaf 1X | Field TP Sp"/>
        <s v="Lettuce (4x9) - Mature Head 1X | Field TP Sp"/>
        <s v="Cabbage (Fast Mid 9&quot;) - Large Head 1X | Field TP Sp"/>
        <s v="Tomato (Beefsteak) - Ripe Fruit Large 1X | Field TP Su"/>
        <s v="Tomato (Medium) - Ripe Fruit Medium 1X | Field TP Su"/>
        <s v="Tomato (Beefsteak Det) - Ripe Fruit Large 1X | Field TP Su"/>
        <s v="Onion (Salad Late) - Young Bulb 10X | Field TP Sp"/>
        <s v="Kale - Mature Leaf 2X | Field TP Sp"/>
        <s v="Parsley - Mature Leaf 3X | Field TP Sp"/>
        <s v="Lemongrass - Mature Stalks 1X | Field TP SpSu"/>
        <s v="Tomatillo - Ripe Fruit 1X | Field TP "/>
        <s v="Beet - Mature Root 3X | Field TP Sp"/>
        <s v="Asian Greens - Mature Head 1X | Field TP "/>
        <s v="Summer Squash (Long Season) - Ripe Fruit 1X | Field TP Su"/>
        <s v="Summer Squash (Short Season) - Ripe Fruit 1X | Field TP Su"/>
        <s v="Lettuce (Salanova) - Loose Leaf 1X | Field TP SuFa"/>
        <s v="Cucumber (Asian Long) - Large Fruit 1X | Greenhouse TP "/>
        <s v="Cucumber (Lebanese) - Small Fruit 1X | Greenhouse TP "/>
        <s v="Basil (Interplant) - Mature Leaf 1X | Tunnel TP SpSuOw"/>
        <s v="Gooseberry (Cape) - Mature Berry 1X | Field TP "/>
        <s v="Leek - Mature Stalk 5X | Field TP Su"/>
        <s v="Tomato (Cherry Det) - Ripe Fruit Small 1X | Field TP Su"/>
        <s v="Tomato (Medium Det) - Ripe Fruit Medium 1X | Field TP Su"/>
        <s v="Tomato (Beefsteak) - Ripe Fruit Large 1X | Large Tunnel TP Su"/>
        <s v="Dill - Mature Leaf 4X | Field TP Sp"/>
        <s v="Squash (Delicata) - Storage 1X | Field TP "/>
        <s v="Squash (Kuri) - Storage 1X | Field TP "/>
        <s v="Cucumber (Asian Long) - Ripe Fruit 1X | Field TP "/>
        <s v="Cucumber (Slicer) - Ripe Fruit 1X | Field TP "/>
        <s v="Basil (Tulsi) - Mature Leaf 1X | Field TP "/>
        <s v="Melon - Ripe Fruit 1X | Field TP "/>
        <s v="Swiss Chard - Mature Leaf 1X | Field TP SpSuFa"/>
        <s v="Bean (Pole) - Young Pod 3X | Field TP SuFa"/>
        <s v="Basil (Italian) - Mature Leaf 1X | Tunnel TP SpSuOw"/>
        <s v="Radicchio (90 Day) - Forced Head 1X | Field TP Su"/>
        <s v="Beet - Mature Root 3X | Field TP SuFa"/>
        <s v="Lettuce (4x9) - Mature Head 1X | Field TP SuFa"/>
        <s v="Cabbage (Chinese) - Large Head 1X | Field TP Wi"/>
        <s v="Cabbage (Chinese) - Small Head 1X | Field TP Fa"/>
        <s v="Broccoli (Sprouting) - Loose Florets 1X | Field TP SuFa"/>
        <s v="Cabbage - Large Head 1X | Field TP Fa"/>
        <s v="Cauliflower - Mature Head 1X | Field TP Fa"/>
        <s v="Kohlrabi (Sm) - Storage Bulb 1X | Field TP Fa"/>
        <s v="Fennel - Mini Bulb 1X | Field TP Fa"/>
        <s v="Radish (Daikon) - Storage Root 1X | Field TP FaWi"/>
        <s v="Cauliflower (Green-Stem) - Mature Head 1X | Field TP Su"/>
        <s v="Lovage (Perennial) - Mature Leaf 1X | Field DS "/>
        <s v="Garlic (Hardneck) - Storage Bulb 1X | Field DS Ow"/>
        <s v="Garlic (Softneck) - Storage Bulb 1X | Field DS Ow"/>
        <s v="Fava Bean - Mature Pod 1X | Field DS Sp"/>
        <s v="Radish (6r) - Mature Root 1X | Field DS Sp"/>
        <s v="Magenta Spreen - Young Stem 1X |  DS Sp"/>
        <s v="Carrot (Early) - Mature Root 1X | Field DS Sp"/>
        <s v="Chrysanthemum Greens - Mature Leaf 1X | Field DS Ow"/>
        <s v="Potato (Early) - Mature Root 1X | Field DS "/>
        <s v="Turnip (Tokyo) - Mature Root 1X | Field DS Sp"/>
        <s v="Arugula - Baby Leaf 1X | Field DS Sp"/>
        <s v="Asian Greens - Young Leaf 1X | Field DS "/>
        <s v="Radish (6r) - Mature Root 1X | Field DS Su"/>
        <s v="Potato (Main Crop) - Storage Root 1X | Field DS "/>
        <s v="Carrot (Maincrop) - Storage Root 1X | Field DS FaWi"/>
        <s v="Parsnip (4r) - Mature Root 1X | Field DS Fa"/>
        <s v="Turnip (Tokyo) - Mature Root 1X | Field DS SuFa"/>
        <s v="Corn  (Sweet Early) - Mature Cob 2X | Field DS "/>
        <s v="Radish (Munchen Bier) - Storage Root 1X | Field DS "/>
        <s v="Garlic (Green) - Young Bulb 1X | Field DS Ow"/>
        <s v="Basil (Tulsi) - Mature Stem 1X | Field TP " u="1"/>
        <s v="Bean (Pole) - Young Pod 3X | Field DS SuFa" u="1"/>
        <s v="Bok Choy - Mature Head 1X | Field DS SpFaWiOw" u="1"/>
        <s v="Cabbage (Savoy) - Large Head 1X | Field TP Ow" u="1"/>
        <s v="Fennel - Mature Bulb 1X | Field DS Fa" u="1"/>
        <s v="Gooseberry (Cape) - Mature Berry 1X | Field DS " u="1"/>
        <s v="Leek - Mature Stalk 5X | Field DS Su" u="1"/>
        <s v="Lettuce (4x9) - Mature Head 1X | Tunnel TP Sp" u="1"/>
        <s v="Scallion - Mature Stalk 6X | Field DS Sp" u="1"/>
        <s v="Tomato (Beefsteak Field) - Ripe Fruit Large 1X | Field TP Su" u="1"/>
        <s v="Tomato (Cherry Field) - Ripe Fruit Small 1X | Field TP Su" u="1"/>
        <s v="Tomato (Medium Field) - Ripe Fruit Medium 1X | Field TP Su" u="1"/>
        <s v="Amaranth - Mature Leaf 3X | Field DS Su" u="1"/>
        <s v="Anise Hysopp - Mature Stem 2X | Field TP Su" u="1"/>
        <s v="Asian Greens (Mixed) - Loose Leaf 1.5X | Field TP Ow" u="1"/>
        <s v="Atriplex - Mature Stem 1X | Field TP SpSu" u="1"/>
        <s v="Basil (Tulsi Reseed) - Mature Leaf 1X | Field DS SpSu" u="1"/>
        <s v="Beans (Runner Bean) - Flowering Tendril 1X | Field TP " u="1"/>
        <s v="Borage (1r) - Edible Bloom 1X | Field DS " u="1"/>
        <s v="Buckwheat (Floral) - Flowering Stem 1X | Field DS Su" u="1"/>
        <s v="Bupleurum - Mature Stem 1X | Field DS Sp" u="1"/>
        <s v="Cabbage (Large) - Mature Leaf 1X | Field TP Ow" u="1"/>
        <s v="Cabbage (Chinese) - Mature Head 1X | Field TP Wi" u="1"/>
        <s v="Cabbage (Large) - Mature Head 1X | Field TP Ow" u="1"/>
        <s v="Cabbage - Mature Head 1X | Field TP Fa" u="1"/>
        <s v="Cabbage (Fast Mid 9&quot;) - Mature Head 1X | Field TP Su" u="1"/>
        <s v="Cabbage (Lg) - Mature Head 1X | Field TP Wi" u="1"/>
        <s v="Cabbage (Sm) - Mature Head 1X | Field TP Wi" u="1"/>
        <s v="Cabbage (Fast Mid 12&quot;) - Mature Head 1X | Field TP Su" u="1"/>
        <s v="Carrot (Early) - Mature Root 1X | Field DS Su" u="1"/>
        <s v="Catnip - Mature Stem 3X | Field TP Su" u="1"/>
        <s v="Cauliflower - Mature Head 1X | Field TP Ow" u="1"/>
        <s v="Celosia - Cut Flower 1X | Field TP Sp" u="1"/>
        <s v="Chervil - Mature Stem 2X | Field TP Su" u="1"/>
        <s v="Cilantro - Loose Leaf 3X | Field TP Sp" u="1"/>
        <s v="Cilantro - Loose Leaf 3X | Field TP FaWi" u="1"/>
        <s v="Cilantro - Loose Leaf 3X | Field DS Sp" u="1"/>
        <s v="Cilantro - Loose Leaf 3X | Field DS FaWi" u="1"/>
        <s v="Corn Salad (Reseed) - Mature Head 1X | Field DS Sp" u="1"/>
        <s v="Corn Salad - Mature Head 3X | Field TP Sp" u="1"/>
        <s v="Corn  (Sweet Early) - Mature Cob 1X | Field TP " u="1"/>
        <s v="Cosmos - Cut Flower 3X | Field DS " u="1"/>
        <s v="Cress (Ornamental) - Mature Stems 1X | Field DS SpFa" u="1"/>
        <s v="Cucumber (Asian Long) - Ripe Fruit 1X | Greenhouse TP " u="1"/>
        <s v="Dahlias (Tuber) - Mature Stem 1X | Field DS " u="1"/>
        <s v="Dill - Mature Leaf 4X | Field DS " u="1"/>
        <s v="Dill - Mature Leaf 4X | Field TP " u="1"/>
        <s v="Dill (White dill) - Mature Stem 3X | Field DS " u="1"/>
        <s v="Dropmore (Perennial) - Mature Stem 1X | Field DS " u="1"/>
        <s v="Eggplant - Ripe Fruit 1X | Greenhouse TP " u="1"/>
        <s v="Epazote - Mature Stem 3X | Field TP Su" u="1"/>
        <s v="Everlasting - Mature Stem 1X | Field TP Sp" u="1"/>
        <s v="Fava Beans - Mature Pod 2X | Field DS Sp" u="1"/>
        <s v="Fava Beans - Mature Pod 2X | Field DS Ow" u="1"/>
        <s v="Flax - Flowering Stalks 1X | Field DS " u="1"/>
        <s v="Garlic (Green) - Storage Bulb 1X | Field DS Ow" u="1"/>
        <s v="Grass (Frosted Explosion) - Mature Stalks 1X | Field TP " u="1"/>
        <s v="Ground Cherry - Mature Fruit 1X | Field TP " u="1"/>
        <s v="Hibiscus (Mahagony Splendor) - Mature Stem 1X | Field TP SuFa" u="1"/>
        <s v="Kaibroc - Loose Florets 1X | Field TP Wi" u="1"/>
        <s v="Kale - Mature Leaf 2X | Field TP Ow" u="1"/>
        <s v="Kale - Mature Leaf 2X | Field TP Fa" u="1"/>
        <s v="Kohlrabi (Lg) - Storage Bulb 1X | Field TP Fa" u="1"/>
        <s v="Komatsuna - Mature Leaf 4X | Field DS Su" u="1"/>
        <s v="Leek - Mature Stalk 5X | Field TP Ow" u="1"/>
        <s v="Lemon Balm - Mature Stem 1X | Field TP Su" u="1"/>
        <s v="Lettuce (9&quot;) - Mature Head 1X | Field TP Sp" u="1"/>
        <s v="Lettuce (4x8) - Mature Head 1X | Field TP SuFa" u="1"/>
        <s v="Lettuce (6&quot;) - Mini Head 1X | Field TP Sp" u="1"/>
        <s v="Lettuce (9&quot;) - Mature Head 1X | Tunnel TP Wi" u="1"/>
        <s v="Lettuce (6&quot;) - Mini Head 1X | Tunnel TP Wi" u="1"/>
        <s v="Lettuce (6&quot;) - Mini Head 1X | Field TP SuFa" u="1"/>
        <s v="Lettuce (9&quot;) - Mature Head 1X | Tunnel TP Sp" u="1"/>
        <s v="Magenta Spreen - Flowering Stalks 1X |  TP Sp" u="1"/>
        <s v="Malabar Spinach - Young Buds 1X | Field TP " u="1"/>
        <s v="Malabar Spinach - Mature Leaf 1X | Tunnel TP " u="1"/>
        <s v="Marigolds (Gem) - Mature Stem 1X | Field TP " u="1"/>
        <s v="Marigolds (African) - Mature Stem 1X | Field TP " u="1"/>
        <s v="Marjoram - Mature Stem 2X | Field TP Su" u="1"/>
        <s v="Milkweed - Mature Stem 1X | Field TP Sp" u="1"/>
        <s v="Mint - Mature Sprigs 4X | Pot TP " u="1"/>
        <s v="Onion - Mature Bulb 6X | Field TP Ow" u="1"/>
        <s v="Oregano - Mature Stem 2X | Field TP Su" u="1"/>
        <s v="Pansy and Violas (Reseed) - Mature Stem 1X | Field DS Sp" u="1"/>
        <s v="Pansy and Violas - Mature Stem 1X | Field TP Sp" u="1"/>
        <s v="Pansy and Violas - Mature Stem 1X | Tunnel TP Ow" u="1"/>
        <s v="Parsley - Mature Leaf 3X | Field TP Su" u="1"/>
        <s v="Pea Tendril - Young Shoots 1X | Field DS Sp" u="1"/>
        <s v="Pepper (Hot) - Ripe Fruit 1X | Field TP " u="1"/>
        <s v="Pepper (Bell) - Ripe Fruit 1X | Field TP " u="1"/>
        <s v="Pepper (Bell) - Ripe Fruit 1X | Greenhouse TP " u="1"/>
        <s v="Pepper (Hot) - Ripe Fruit 1X | Greenhouse TP " u="1"/>
        <s v="Potato (Mid Season) - Mid Season 1X | Field DS " u="1"/>
        <s v="Queen Anne's Lace - Mature Stem 1X | Field DS " u="1"/>
        <s v="Radicchio (110 Day) - Forced Head 1X | Field TP Su" u="1"/>
        <s v="Rat Tail Radish - Mature Pod 1X | Field TP SpSuFa" u="1"/>
        <s v="Rosemary - Mature Sprigs 6X | Pot TP " u="1"/>
        <s v="Roselle - Mature Leaf 1X | Field TP Su" u="1"/>
        <s v="Rubeckia (Perennial) - Mature Stem 1X | Field PE " u="1"/>
        <s v="Rubeckia (Annual) - Mature Stem 1X | Field TP " u="1"/>
        <s v="Rutabaga - Mature Root 2X | Field TP Ow" u="1"/>
        <s v="Sage - Mature Sprigs 4X | Pot TP " u="1"/>
        <s v="Salsola (Saltwort) - Mature Leaf 1X | Field TP " u="1"/>
        <s v="Scallion (Interplant) - Mature Stalk 6X | Field TP Sp" u="1"/>
        <s v="Scabiosa - Mature Stem 1X | Field DS Sp" u="1"/>
        <s v="Scallion - Mature Stalk 6X | Field TP Ow" u="1"/>
        <s v="Shallots - Mature Bulb 4X | Field TP Ow" u="1"/>
        <s v="Shallots - Mature Bulb 4X | Field TP SpSu" u="1"/>
        <s v="Snapdragons - Mature Stem 1X | Field TP " u="1"/>
        <s v="Snapdragons - Mature Stem 1X | Tunnel TP Ow" u="1"/>
        <s v="Spinach - Mature Leaf 1X | Field DS FaOw" u="1"/>
        <s v="Squash (Butternut) - Storage 1X | Field TP " u="1"/>
        <s v="Strawflower" u="1"/>
        <s v="Sunflowers (Anarchy Mix) - Mature Stem 2X | Field DS " u="1"/>
        <s v="Swiss Chard - Mature Leaf 1X | Field TP Ow" u="1"/>
        <s v="Talinum - Mature Stem 1X | Field TP SpSu" u="1"/>
        <s v="Tarp - Clear Ground 0X | Field DS SpSuFaWi" u="1"/>
        <s v="Thyme - Mature Sprigs 4X | Pot TP " u="1"/>
        <s v="Tomato (Cherry) - Ripe Fruit 1X | Greenhouse TP Su" u="1"/>
        <s v="Tomato (Medium) - Ripe Fruit 1X | Greenhouse TP Su" u="1"/>
        <s v="Tomato (Beefsteak) - Ripe Fruit 1X | Greenhouse TP Su" u="1"/>
        <s v="Tomato (Medium) - Ripe Fruit 1X | Field TP Su" u="1"/>
        <s v="Tomato (Beefsteak) - Ripe Fruit 1X | Field TP Su" u="1"/>
        <s v="Turnip (Late) - Mature Root 1X | Field DS Sp" u="1"/>
        <s v="Turnip (Fall) - Mature Root 1X | Field DS SuFa" u="1"/>
        <s v="Yarrow - Mature Stems 1X | Field TP " u="1"/>
        <s v="Chrysanthemum Greens - Mature Leaf 1X | Tunnel DS Ow" u="1"/>
        <s v="Beet - Mature Root 3X | Tunnel TP Ow" u="1"/>
        <s v="Komatsuna - Loose Leaf 1.5X | Tunnel TP Ow" u="1"/>
        <s v="Zinnia - Mature Stem 1X | Field DS Su" u="1"/>
        <s v="Eggplant - Ripe Fruit 1X | Field TP " u="1"/>
        <s v="Lettuce (9&quot;) - Mature Head 1X | Field TP SuFa" u="1"/>
        <s v="Salsola (Saltwort) - Mature Leaf 1X | Field DS " u="1"/>
        <s v="Summer Squash (Long Season) - Ripe Fruit 1X | Field DS Su" u="1"/>
        <s v="Bean (Pole) - Young Pod 5X | Field DS SuFa" u="1"/>
        <s v="Beans (Scarlet Runner Beans) - Flowering Tendril 1X | Field TP " u="1"/>
        <s v="Cabbage - Mature Head 1X | Field TP Wi" u="1"/>
        <s v="Cauliflower - Mature Head 1X | Field TP Su" u="1"/>
        <s v="Corn  (Sweet Early) - Mature Cob 1X | Field DS " u="1"/>
        <s v="Kale - Mature Leaf 3X | Field TP Ow" u="1"/>
        <s v="Kale - Mature Leaf 3X | Field TP Fa" u="1"/>
        <s v="Kale - Mature Leaf 3X | Field TP Sp" u="1"/>
        <s v="Kohlrabi - Storage Bulb 1X | Field TP Fa" u="1"/>
        <s v="Radish (Winter) - Storage Root 1X | Field TP FaWi" u="1"/>
        <s v="Shallots - Mature Bulb 6X | Field TP Ow" u="1"/>
        <s v="Shallots - Mature Bulb 6X | Field TP SpSu" u="1"/>
        <s v="Spinach - Mature Leaf 3X | Field DS FaOw" u="1"/>
        <s v="Squash (Honeynut) - Storage 1X | Field TP " u="1"/>
        <s v="Cucumber (Slicer) - Ripe Fruit 1X | Greenhouse TP " u="1"/>
        <s v="Lettuce (12&quot;) - Mature Head 1X | Field TP Sp" u="1"/>
        <s v="Lettuce (12&quot;) - Mature Head 1X | Field TP SuFa" u="1"/>
        <s v="Lettuce (12&quot;) - Mature Head 1X | Tunnel TP Wi" u="1"/>
        <s v="Lettuce (12&quot;) - Mature Head 1X | Tunnel TP Sp" u="1"/>
        <s v="Amaranth - Mature Stem 2X | Field TP " u="1"/>
        <s v="Atriplex - Mature Stem 1X | Field DS SpSu" u="1"/>
        <s v="Magenta Spreen - Flowering Stalks 1X |  DS Sp" u="1"/>
        <s v="Buckwheater (Floral) - Flowering Stem 1X | Field DS Su" u="1"/>
        <s v="Onion - Mature Bulb 6X | Field TP Sp" u="1"/>
        <s v="Onion (Salad Early) - Young Bulb 10X | Field DS Sp" u="1"/>
        <s v="Chijimisai - Mature Head 2X | Field TP Ow" u="1"/>
        <s v="Carrot (Early) - Mature Root 1X | Field DS SpSuFa" u="1"/>
        <s v="Fennel - Mini Bulb 1X | Field TP " u="1"/>
        <s v="Lettuce - Mature Head 1X | Field TP Sp" u="1"/>
        <s v="Lettuce - Mini Head 1X | Field TP Sp" u="1"/>
        <s v="Spinach - Mature Leaf 3X | Field TP Sp" u="1"/>
        <s v="Garlic - Storage Bulb 1X | Field DS Ow" u="1"/>
        <s v="Shallots (French Grey) - Mature Bulb 1X | Field DS Ow" u="1"/>
        <s v="Fava Beans (Late Winter) - Mature Pods 1X | Field DS Wi" u="1"/>
        <s v="Corn Salad - Mature Head 1X | Field DS Sp" u="1"/>
        <s v="Komatsuna - Mature Leaf 2X | Field TP " u="1"/>
        <s v="Pea Tendril - Young Shoots 3X | Field TP " u="1"/>
        <s v="Pea Tendril - Young Shoots 3X | Greenhouse TP " u="1"/>
        <s v="Radish - Mature Root 5X | Field TP SpFaWi" u="1"/>
        <s v="Radish - Mature Root 1X | Field DS SpFaWi" u="1"/>
        <s v="Beet - Mature Root 3X | Field TP SpSuFaWi" u="1"/>
        <s v="Parsley - Mature Leaf 3X | Field TP " u="1"/>
        <s v="Bean (Bush) - Yound Pod 1X | Field TP SpSu" u="1"/>
        <s v="Stock (Antique Pink) - Mature Stem 1X | Field TP " u="1"/>
        <s v="Lovage - Mature Leaf 1X | Field TP SpFa" u="1"/>
        <s v="Beans (Ruby Moon Beans) - Flowering Tendril 1X | Field TP " u="1"/>
        <s v="Beans (Winged) - Flowering Tendril 1X | Field TP " u="1"/>
        <s v="Bachellor's Button - Mature Stem 2X | Field DS " u="1"/>
        <s v="Borage (Blue Borage) - Mature Stem 1X | Field DS " u="1"/>
        <s v="Chrysanthemum - Mature Stem 1X | Field DS " u="1"/>
        <s v="Potato (Early) - Young Root 1X | Field DS " u="1"/>
        <s v="Salsola - Mature Leaf 1X | Field DS " u="1"/>
        <s v="Nigella - Mature Stalk X | Field DS Sp" u="1"/>
        <s v="Petunia - Mature Stem 1X | Field TP " u="1"/>
        <s v="Cilantro - Loose Leaf 3X | Field TP SpSuFaWi" u="1"/>
        <s v="Basil (Italian) - Mature Leaf 1X | Field TP SpSuOw" u="1"/>
        <s v="Basil (Purple Basil) - Mature Stem 1X | Field TP " u="1"/>
        <s v="Basil (Tulsi Basil) - Mature Stem 1X | Field TP " u="1"/>
        <s v="Dianthus - Mature Stem 1X | Field TP " u="1"/>
        <s v="Dropmore - Mature Stem 1X | Field TP " u="1"/>
        <s v="Marigolds - Mature Stem 1X | Field TP " u="1"/>
        <s v="Lettuce - Mature Head 1X | Field TP SuFa" u="1"/>
        <s v="Borage (White Borage) - Mature Stem 1X | Field DS " u="1"/>
        <s v="Rubeckia - Mature Stem 1X | Field TP " u="1"/>
        <s v="Nausturtium - Mature Stem 2X | Field TP " u="1"/>
        <s v="Malabar Spinach (Malabar Spinach) - Young Buds 1X | Field TP " u="1"/>
        <s v="Cucumber (Lebanese) - Ripe Fruit 1X | Field TP " u="1"/>
        <s v="Corn  (Squash Interplant) - Mature Cob 1X | Field TP " u="1"/>
        <s v="Summer Squash - Ripe Fruit 1X | Field DS Su" u="1"/>
        <s v="Squash - Storage 1X | Field TP " u="1"/>
        <s v="Summer Squash - Ripe Fruit 1X | Field TP Su" u="1"/>
        <s v="Butterfly Flowers - Flowering Tendril 1X | Field TP " u="1"/>
        <s v="Lettuce - Mini Head 1X | Field TP SuFa" u="1"/>
        <s v="Tomato (Cherry) - Ripe Fruit 1X | Field TP Su" u="1"/>
        <s v="Kale - Mature Leaf 1X | Field TP Ow" u="1"/>
        <s v="Cilantro - Loose Leaf 3X | Field DS SpSuFaWi" u="1"/>
        <s v="Beet - Mature Root 3X | Field TP Fa" u="1"/>
        <s v="Komatsuna - Loose Leaf 1.5X | Field TP Ow" u="1"/>
        <s v="Scallion - Mature Stalk 6X | Field TP Fa" u="1"/>
        <s v="Corn Salad - Mature Head 3X | Field TP Ow" u="1"/>
        <s v="Arugula - Mature Leaf 3X | Greenhouse TP Wi" u="1"/>
        <s v="Lettuce - Mature Head 1X | Tunnel TP Wi" u="1"/>
        <s v="Lettuce - Mini Head 1X | Tunnel TP Wi" u="1"/>
        <s v="Fava Beans - Mature Pod 4X | Field DS Ow" u="1"/>
        <s v="Shallots - Mature Bulb 5X | Field TP Ow" u="1"/>
        <s v="Komatsuna - Mature Leaf 1X | Field TP " u="1"/>
        <s v="Dill (White dill) - Mature Stem 1X | Field DS " u="1"/>
        <s v="Dill (White dill) - Mature Stem 1X | Field TP " u="1"/>
        <s v="Shallots - Mature Bulb 1X | Field DS Ow" u="1"/>
        <s v="Komatsuna - Loose Leaf 1X | Field TP Ow" u="1"/>
        <s v="Cabbage - Mature Head 1X | Field TP Ow" u="1"/>
        <s v="Cabbage - Mature Leaf 1X | Field TP Ow" u="1"/>
        <s v="Nigella - Mature Stem 1X | Tunnel TP Ow" u="1"/>
        <s v="Scallion - Mature Stalk 6X | Field DS Ow" u="1"/>
        <s v="Lettuce - Mature Head X | Tunnel TP Wi" u="1"/>
        <s v="Lettuce - Mini Head X | Tunnel TP Wi" u="1"/>
        <s v="Spinach - Mature Leaf 3X | Field TP FaOw" u="1"/>
        <s v="Nigella - Mature Stem 1X | Field DS " u="1"/>
        <s v="Pansy and Violas - Mature Stem 1X | Field TP " u="1"/>
        <s v="Corn Salad (Golden) - Mature Head 3X | Field TP Ow" u="1"/>
        <s v="Arugula - Baby Leaf 1X | Field DS SpSuFa" u="1"/>
      </sharedItems>
    </cacheField>
    <cacheField name="Identifier" numFmtId="0">
      <sharedItems count="547">
        <s v="SOR485"/>
        <s v="CHO001"/>
        <s v="CEL001"/>
        <s v="PEP002"/>
        <s v="PEP004"/>
        <s v="ONI004"/>
        <s v="LET013"/>
        <s v="CAB003"/>
        <s v="PEA001"/>
        <s v="SCA633"/>
        <s v="KOH003"/>
        <s v="ONI003"/>
        <s v="FEN003"/>
        <s v="TOM003"/>
        <s v="TOM004"/>
        <s v="PEP001"/>
        <s v="PEP003"/>
        <s v="PEP005"/>
        <s v="DIL001"/>
        <s v="DIL002"/>
        <s v="CIL002"/>
        <s v="LET012"/>
        <s v="LET014"/>
        <s v="CIL003"/>
        <s v="CAB004"/>
        <s v="TOM002"/>
        <s v="TOM005"/>
        <s v="TOM006"/>
        <s v="TOM010"/>
        <s v="ONI005"/>
        <s v="KAL003"/>
        <s v="PAR001"/>
        <s v="LEM001"/>
        <s v="TOM001"/>
        <s v="BEE001"/>
        <s v="SCA634"/>
        <s v="CIL004"/>
        <s v="BOK001"/>
        <s v="SUM001"/>
        <s v="SUM002"/>
        <s v="LET018"/>
        <s v="CUC001"/>
        <s v="CUC002"/>
        <s v="BAS001"/>
        <s v="GOO001"/>
        <s v="LEE001"/>
        <s v="LET015"/>
        <s v="TOM007"/>
        <s v="TOM011"/>
        <s v="TOM008"/>
        <s v="TOM012"/>
        <s v="TOM009"/>
        <s v="DIL004"/>
        <s v="CIL005"/>
        <s v="SQU002"/>
        <s v="SQU004"/>
        <s v="CUC003"/>
        <s v="CUC004"/>
        <s v="BAS003"/>
        <s v="SCA635"/>
        <s v="MEL001"/>
        <s v="SWI002"/>
        <s v="LET019"/>
        <s v="DIL005"/>
        <s v="CIL006"/>
        <s v="LET016"/>
        <s v="LET030"/>
        <s v="BEA001"/>
        <s v="BEA002"/>
        <s v="BAS002"/>
        <s v="DIL006"/>
        <s v="CIL007"/>
        <s v="LET020"/>
        <s v="LET017"/>
        <s v="SCA637"/>
        <s v="RAD002"/>
        <s v="BEE002"/>
        <s v="LET021"/>
        <s v="LET024"/>
        <s v="CAB002"/>
        <s v="CAB010"/>
        <s v="BRO001"/>
        <s v="CAB001"/>
        <s v="CAU001"/>
        <s v="KOH002"/>
        <s v="FEN002"/>
        <s v="DIL009"/>
        <s v="CIL010"/>
        <s v="RAD005"/>
        <s v="LET022"/>
        <s v="LET025"/>
        <s v="CAU002"/>
        <s v="DIL010"/>
        <s v="CIL011"/>
        <s v="LET023"/>
        <s v="CIL012"/>
        <s v="LET026"/>
        <s v="LOV366"/>
        <s v="GAR533"/>
        <s v="GAR534"/>
        <s v="FAV001"/>
        <s v="RAD003"/>
        <s v="MAG001"/>
        <s v="CAR001"/>
        <s v="CHR001"/>
        <s v="POT001"/>
        <s v="RAD449"/>
        <s v="TUR001"/>
        <s v="TUR003"/>
        <s v="ARU002"/>
        <s v="ARU003"/>
        <s v="ASI001"/>
        <s v="RAD455"/>
        <s v="ARU001"/>
        <s v="CAR002"/>
        <s v="POT002"/>
        <s v="CAR004"/>
        <s v="CAR005"/>
        <s v="CAR003"/>
        <s v="RAD451"/>
        <s v="PAR003"/>
        <s v="TUR002"/>
        <s v="ARU004"/>
        <s v="COR001"/>
        <s v="CAR006"/>
        <s v="RAD006"/>
        <s v="RAD452"/>
        <s v="CAR007"/>
        <s v="TUR528"/>
        <s v="RAD453"/>
        <s v="TUR529"/>
        <s v="GAR535"/>
        <s v="RAD454"/>
        <s v="TUR530"/>
        <s v="CAB009" u="1"/>
        <s v="CIL008" u="1"/>
        <s v="CIL009" u="1"/>
        <s v="DIL003" u="1"/>
        <s v="DIL007" u="1"/>
        <s v="DIL008" u="1"/>
        <s v="LET010" u="1"/>
        <s v="RAD450" u="1"/>
        <s v="SCA001" u="1"/>
        <s v="SCA636" u="1"/>
        <s v="SQU003" u="1"/>
        <s v="TUR527" u="1"/>
        <s v="AMA367" u="1"/>
        <s v="ANI615" u="1"/>
        <s v="ARU617" u="1"/>
        <s v="ASI361" u="1"/>
        <s v="ASI536" u="1"/>
        <s v="ATR589" u="1"/>
        <s v="BAS364" u="1"/>
        <s v="BAS370" u="1"/>
        <s v="BAS372" u="1"/>
        <s v="BEA375" u="1"/>
        <s v="BEA596" u="1"/>
        <s v="BEE195" u="1"/>
        <s v="BEE349" u="1"/>
        <s v="BEE350" u="1"/>
        <s v="BEE377" u="1"/>
        <s v="BEE378" u="1"/>
        <s v="BEE561" u="1"/>
        <s v="BEE619" u="1"/>
        <s v="BOR380" u="1"/>
        <s v="BUC591" u="1"/>
        <s v="BUP577" u="1"/>
        <s v="CAB208" u="1"/>
        <s v="CAB218" u="1"/>
        <s v="CAB313" u="1"/>
        <s v="CAB351" u="1"/>
        <s v="CAB537" u="1"/>
        <s v="CAB538" u="1"/>
        <s v="CAB540" u="1"/>
        <s v="CAB603" u="1"/>
        <s v="CAB604" u="1"/>
        <s v="CAB605" u="1"/>
        <s v="CAB606" u="1"/>
        <s v="CAR386" u="1"/>
        <s v="CAR387" u="1"/>
        <s v="CAR501" u="1"/>
        <s v="CAR541" u="1"/>
        <s v="CAT613" u="1"/>
        <s v="CAU219" u="1"/>
        <s v="CAU317" u="1"/>
        <s v="CAU388" u="1"/>
        <s v="CEL390" u="1"/>
        <s v="CEL576" u="1"/>
        <s v="CHE612" u="1"/>
        <s v="CHR362" u="1"/>
        <s v="CIL393" u="1"/>
        <s v="CIL528" u="1"/>
        <s v="CIL574" u="1"/>
        <s v="CIL575" u="1"/>
        <s v="COR213" u="1"/>
        <s v="COR395" u="1"/>
        <s v="COR398" u="1"/>
        <s v="COR572" u="1"/>
        <s v="COS400" u="1"/>
        <s v="CRE586" u="1"/>
        <s v="CUC401" u="1"/>
        <s v="CUC490" u="1"/>
        <s v="DAH403" u="1"/>
        <s v="DIL406" u="1"/>
        <s v="DIL407" u="1"/>
        <s v="DIL555" u="1"/>
        <s v="DIL556" u="1"/>
        <s v="DIL557" u="1"/>
        <s v="DIL583" u="1"/>
        <s v="DRO365" u="1"/>
        <s v="EGG409" u="1"/>
        <s v="EPA616" u="1"/>
        <s v="EVE581" u="1"/>
        <s v="FAV322" u="1"/>
        <s v="FAV601" u="1"/>
        <s v="FEN412" u="1"/>
        <s v="FEN516" u="1"/>
        <s v="FEN517" u="1"/>
        <s v="FEN518" u="1"/>
        <s v="FLA588" u="1"/>
        <s v="GAR356" u="1"/>
        <s v="GAR357" u="1"/>
        <s v="GAR358" u="1"/>
        <s v="GAR359" u="1"/>
        <s v="GAR360" u="1"/>
        <s v="GRA590" u="1"/>
        <s v="GRO414" u="1"/>
        <s v="HIB585" u="1"/>
        <s v="KAI202" u="1"/>
        <s v="KAL325" u="1"/>
        <s v="KAL416" u="1"/>
        <s v="KAL417" u="1"/>
        <s v="KAL418" u="1"/>
        <s v="KOH529" u="1"/>
        <s v="KOH607" u="1"/>
        <s v="KOM621" u="1"/>
        <s v="LEE201" u="1"/>
        <s v="LEM420" u="1"/>
        <s v="LEM610" u="1"/>
        <s v="LET421" u="1"/>
        <s v="LET422" u="1"/>
        <s v="LET423" u="1"/>
        <s v="LET424" u="1"/>
        <s v="LET425" u="1"/>
        <s v="LET426" u="1"/>
        <s v="LET495" u="1"/>
        <s v="LET497" u="1"/>
        <s v="LET506" u="1"/>
        <s v="LET507" u="1"/>
        <s v="LET622" u="1"/>
        <s v="LET508" u="1"/>
        <s v="LET623" u="1"/>
        <s v="LET509" u="1"/>
        <s v="LET510" u="1"/>
        <s v="LET511" u="1"/>
        <s v="LET600" u="1"/>
        <s v="MAG593" u="1"/>
        <s v="MAL428" u="1"/>
        <s v="MAL520" u="1"/>
        <s v="MAR429" u="1"/>
        <s v="MAR543" u="1"/>
        <s v="MAR614" u="1"/>
        <s v="MEL430" u="1"/>
        <s v="MIL595" u="1"/>
        <s v="MIN487" u="1"/>
        <s v="ONI480" u="1"/>
        <s v="ONI481" u="1"/>
        <s v="ONI494" u="1"/>
        <s v="ORE611" u="1"/>
        <s v="PAN304" u="1"/>
        <s v="PAN500" u="1"/>
        <s v="PAN609" u="1"/>
        <s v="PAR43" u="1"/>
        <s v="PAR437" u="1"/>
        <s v="PAR559" u="1"/>
        <s v="PEA618" u="1"/>
        <s v="PEP440" u="1"/>
        <s v="PEP441" u="1"/>
        <s v="PEP488" u="1"/>
        <s v="PEP489" u="1"/>
        <s v="POT443" u="1"/>
        <s v="POT572" u="1"/>
        <s v="POT573" u="1"/>
        <s v="QUE444" u="1"/>
        <s v="RAD198" u="1"/>
        <s v="RAD297" u="1"/>
        <s v="RAD298" u="1"/>
        <s v="RAD445" u="1"/>
        <s v="RAD446" u="1"/>
        <s v="RAD448" u="1"/>
        <s v="RAD521" u="1"/>
        <s v="RAD608" u="1"/>
        <s v="RAT450" u="1"/>
        <s v="RAT558" u="1"/>
        <s v="ROS485" u="1"/>
        <s v="ROS516" u="1"/>
        <s v="RUB363" u="1"/>
        <s v="RUB451" u="1"/>
        <s v="RUT527" u="1"/>
        <s v="SAG484" u="1"/>
        <s v="SAL530" u="1"/>
        <s v="SCA482" u="1"/>
        <s v="SCA580" u="1"/>
        <s v="SCA598" u="1"/>
        <s v="SHA532" u="1"/>
        <s v="SHA541" u="1"/>
        <s v="SNA457" u="1"/>
        <s v="SNA492" u="1"/>
        <s v="SNA499" u="1"/>
        <s v="SPI460" u="1"/>
        <s v="SQU461" u="1"/>
        <s v="SQU462" u="1"/>
        <s v="SQU463" u="1"/>
        <s v="STR493" u="1"/>
        <s v="SUM463" u="1"/>
        <s v="SUM464" u="1"/>
        <s v="SUN465" u="1"/>
        <s v="SUN499" u="1"/>
        <s v="SWI348" u="1"/>
        <s v="SWI466" u="1"/>
        <s v="SWI478" u="1"/>
        <s v="TAL592" u="1"/>
        <s v="TAR352" u="1"/>
        <s v="TAR353" u="1"/>
        <s v="TAR355" u="1"/>
        <s v="TAR476" u="1"/>
        <s v="TAR483" u="1"/>
        <s v="THY486" u="1"/>
        <s v="TOM468" u="1"/>
        <s v="TOM469" u="1"/>
        <s v="TOM470" u="1"/>
        <s v="TOM473" u="1"/>
        <s v="TOM568" u="1"/>
        <s v="TOM599" u="1"/>
        <s v="TOM602" u="1"/>
        <s v="TUR524" u="1"/>
        <s v="TUR525" u="1"/>
        <s v="YAR587" u="1"/>
        <s v="SCA624" u="1"/>
        <s v="CHR625" u="1"/>
        <s v="BEE626" u="1"/>
        <s v="KOM627" u="1"/>
        <s v="ZIN579" u="1"/>
        <s v="CAB594" u="1"/>
        <s v="DIL544" u="1"/>
        <s v="RAD522" u="1"/>
        <s v="CAU597" u="1"/>
        <s v="RAD22" u="1"/>
        <s v="CUC402" u="1"/>
        <s v="CUC491" u="1"/>
        <s v="ONI482" u="1"/>
        <s v="CHI255" u="1"/>
        <s v="CAR261" u="1"/>
        <s v="FEN89" u="1"/>
        <s v="LET256" u="1"/>
        <s v="KAI260" u="1"/>
        <s v="LET269" u="1"/>
        <s v="LET271" u="1"/>
        <s v="LET264" u="1"/>
        <s v="LET265" u="1"/>
        <s v="LET266" u="1"/>
        <s v="LET267" u="1"/>
        <s v="LET268" u="1"/>
        <s v="LET270" u="1"/>
        <s v="FEN90" u="1"/>
        <s v="LET262" u="1"/>
        <s v="LET263" u="1"/>
        <s v="SCA68" u="1"/>
        <s v="SCA67" u="1"/>
        <s v="SPI258" u="1"/>
        <s v="SPI259" u="1"/>
        <s v="TAR87" u="1"/>
        <s v="KAI257" u="1"/>
        <s v="TAR88" u="1"/>
        <s v="GAR83" u="1"/>
        <s v="SHA84" u="1"/>
        <s v="FAV32" u="1"/>
        <s v="COR302" u="1"/>
        <s v="KOM21" u="1"/>
        <s v="SPI102" u="1"/>
        <s v="PEA214" u="1"/>
        <s v="PEA216" u="1"/>
        <s v="RAD272" u="1"/>
        <s v="COR100" u="1"/>
        <s v="COR300" u="1"/>
        <s v="RAD299" u="1"/>
        <s v="BEE53" u="1"/>
        <s v="LET227" u="1"/>
        <s v="LET243" u="1"/>
        <s v="LET239" u="1"/>
        <s v="PAN108" u="1"/>
        <s v="ONI70" u="1"/>
        <s v="FEN36" u="1"/>
        <s v="LET247" u="1"/>
        <s v="RAT10" u="1"/>
        <s v="RAT359" u="1"/>
        <s v="LET235" u="1"/>
        <s v="LET251" u="1"/>
        <s v="BEA57" u="1"/>
        <s v="BEA45" u="1"/>
        <s v="LET26" u="1"/>
        <s v="STO61" u="1"/>
        <s v="LOV30" u="1"/>
        <s v="BEA42" u="1"/>
        <s v="BEA76" u="1"/>
        <s v="BAC78" u="1"/>
        <s v="BOR4" u="1"/>
        <s v="CHR16" u="1"/>
        <s v="COS62" u="1"/>
        <s v="DAH20" u="1"/>
        <s v="DIL72" u="1"/>
        <s v="POT44" u="1"/>
        <s v="QUE34" u="1"/>
        <s v="SAL40" u="1"/>
        <s v="SUN2" u="1"/>
        <s v="NIG49" u="1"/>
        <s v="PET3" u="1"/>
        <s v="CIL77" u="1"/>
        <s v="BAS81" u="1"/>
        <s v="BAS79" u="1"/>
        <s v="BAS80" u="1"/>
        <s v="DIA50" u="1"/>
        <s v="CEL41" u="1"/>
        <s v="DRO56" u="1"/>
        <s v="LEM217" u="1"/>
        <s v="AMA5" u="1"/>
        <s v="MAR18" u="1"/>
        <s v="LET233" u="1"/>
        <s v="BOR115" u="1"/>
        <s v="CAR73" u="1"/>
        <s v="CAR74" u="1"/>
        <s v="SUN112" u="1"/>
        <s v="DIL64" u="1"/>
        <s v="EGG65" u="1"/>
        <s v="RUB66" u="1"/>
        <s v="SNA11" u="1"/>
        <s v="NAU305" u="1"/>
        <s v="NAU31" u="1"/>
        <s v="LET306" u="1"/>
        <s v="MAL59" u="1"/>
        <s v="KOM184" u="1"/>
        <s v="CUC94" u="1"/>
        <s v="CUC39" u="1"/>
        <s v="CUC17" u="1"/>
        <s v="CUC48" u="1"/>
        <s v="MEL33" u="1"/>
        <s v="COR98" u="1"/>
        <s v="COR96" u="1"/>
        <s v="MEL82" u="1"/>
        <s v="SUM52" u="1"/>
        <s v="SQU71" u="1"/>
        <s v="SUM307" u="1"/>
        <s v="SUM51" u="1"/>
        <s v="PEP54" u="1"/>
        <s v="PEP46" u="1"/>
        <s v="BUT25" u="1"/>
        <s v="GRO75" u="1"/>
        <s v="TOM14" u="1"/>
        <s v="TOM15" u="1"/>
        <s v="TOM12" u="1"/>
        <s v="TOM13" u="1"/>
        <s v="LET240" u="1"/>
        <s v="TOM95" u="1"/>
        <s v="TOM23" u="1"/>
        <s v="TOM224" u="1"/>
        <s v="TOM225" u="1"/>
        <s v="TOM24" u="1"/>
        <s v="LET27" u="1"/>
        <s v="DIL171" u="1"/>
        <s v="LET252" u="1"/>
        <s v="LET248" u="1"/>
        <s v="LET236" u="1"/>
        <s v="LET228" u="1"/>
        <s v="LET244" u="1"/>
        <s v="LET308" u="1"/>
        <s v="LET309" u="1"/>
        <s v="BEE194" u="1"/>
        <s v="SPI303" u="1"/>
        <s v="CIL167" u="1"/>
        <s v="CAR177" u="1"/>
        <s v="DIL170" u="1"/>
        <s v="BAS159" u="1"/>
        <s v="DIL172" u="1"/>
        <s v="SUN111" u="1"/>
        <s v="FEN161" u="1"/>
        <s v="KOM328" u="1"/>
        <s v="CAR176" u="1"/>
        <s v="CHR196" u="1"/>
        <s v="SCA342" u="1"/>
        <s v="LET237" u="1"/>
        <s v="LET242" u="1"/>
        <s v="LET358" u="1"/>
        <s v="LET229" u="1"/>
        <s v="LET245" u="1"/>
        <s v="CIL357" u="1"/>
        <s v="LET253" u="1"/>
        <s v="LET249" u="1"/>
        <s v="ONI334" u="1"/>
        <s v="LET28" u="1"/>
        <s v="ARU212" u="1"/>
        <s v="LET330" u="1"/>
        <s v="LET332" u="1"/>
        <s v="SNA346" u="1"/>
        <s v="PAN335" u="1"/>
        <s v="SCA343" u="1"/>
        <s v="GAR323" u="1"/>
        <s v="SHA345" u="1"/>
        <s v="SHA360" u="1"/>
        <s v="STO110" u="1"/>
        <s v="SCA356" u="1"/>
        <s v="AMA104" u="1"/>
        <s v="NIG333" u="1"/>
        <s v="NIG107" u="1"/>
        <s v="CHO180" u="1"/>
        <s v="CAU221" u="1"/>
        <s v="LET92" u="1"/>
        <s v="LET241" u="1"/>
        <s v="FEN162" u="1"/>
        <s v="KOM186" u="1"/>
        <s v="CHO178" u="1"/>
        <s v="DIL173" u="1"/>
        <s v="ARU191" u="1"/>
        <s v="LET232" u="1"/>
        <s v="BAS160" u="1"/>
        <s v="CHO182" u="1"/>
        <s v="KOM185" u="1"/>
        <s v="CIL168" u="1"/>
        <s v="ARU47" u="1"/>
        <s v="COR214" u="1"/>
        <s v="LET307" u="1"/>
        <s v="CAB209" u="1"/>
        <s v="ARU190" u="1"/>
        <s v="NAU106" u="1"/>
        <s v="PAR164" u="1"/>
        <s v="LET246" u="1"/>
        <s v="BAC114" u="1"/>
        <s v="BEA175" u="1"/>
        <s v="CHO181" u="1"/>
        <s v="CAB210" u="1"/>
        <s v="FEN163" u="1"/>
        <s v="KOM187" u="1"/>
        <s v="KOM256" u="1"/>
        <s v="CHO179" u="1"/>
        <s v="DIL174" u="1"/>
        <s v="CHO19" u="1"/>
        <s v="LET230" u="1"/>
        <s v="ARU192" u="1"/>
      </sharedItems>
    </cacheField>
    <cacheField name="Bed" numFmtId="0">
      <sharedItems containsBlank="1"/>
    </cacheField>
    <cacheField name="CSA Portions Per Week" numFmtId="0">
      <sharedItems containsMixedTypes="1" containsNumber="1" minValue="3.125" maxValue="799.99999999999989"/>
    </cacheField>
    <cacheField name="CSA Portions" numFmtId="0">
      <sharedItems containsMixedTypes="1" containsNumber="1" minValue="22.5" maxValue="5400"/>
    </cacheField>
    <cacheField name="Code" numFmtId="0">
      <sharedItems/>
    </cacheField>
    <cacheField name="Notes" numFmtId="0">
      <sharedItems containsBlank="1"/>
    </cacheField>
    <cacheField name="Name" numFmtId="0">
      <sharedItems count="109">
        <s v="Sorrel"/>
        <s v="Choi Sum"/>
        <s v="Celery"/>
        <s v="Pepper"/>
        <s v="Onion"/>
        <s v="Lettuce"/>
        <s v="Cabbage"/>
        <s v="Peas"/>
        <s v="Scallion"/>
        <s v="Kohlrabi"/>
        <s v="Fennel"/>
        <s v="Tomato"/>
        <s v="Dill"/>
        <s v="Cilantro"/>
        <s v="Kale"/>
        <s v="Parsley"/>
        <s v="Lemongrass"/>
        <s v="Tomatillo"/>
        <s v="Beet"/>
        <s v="Asian Greens"/>
        <s v="Summer Squash"/>
        <s v="Cucumber"/>
        <s v="Basil"/>
        <s v="Gooseberry"/>
        <s v="Leek"/>
        <s v="Squash"/>
        <s v="Melon"/>
        <s v="Swiss Chard"/>
        <s v="Bean"/>
        <s v="Radicchio"/>
        <s v="Broccoli"/>
        <s v="Cauliflower"/>
        <s v="Radish"/>
        <s v="Lovage"/>
        <s v="Garlic"/>
        <s v="Fava Bean"/>
        <s v="Magenta Spreen"/>
        <s v="Carrot"/>
        <s v="Chrysanthemum Greens"/>
        <s v="Potato"/>
        <s v="Turnip"/>
        <s v="Arugula"/>
        <s v="Parsnip"/>
        <s v="Corn "/>
        <s v="Bok Choy" u="1"/>
        <s v="Amaranth" u="1"/>
        <s v="Anise Hysopp" u="1"/>
        <s v="Atriplex" u="1"/>
        <s v="Beans" u="1"/>
        <s v="Borage" u="1"/>
        <s v="Buckwheat" u="1"/>
        <s v="Bupleurum" u="1"/>
        <s v="Catnip" u="1"/>
        <s v="Celosia" u="1"/>
        <s v="Chervil" u="1"/>
        <s v="Corn Salad" u="1"/>
        <s v="Cosmos" u="1"/>
        <s v="Cress" u="1"/>
        <s v="Dahlias" u="1"/>
        <s v="Dropmore" u="1"/>
        <s v="Eggplant" u="1"/>
        <s v="Epazote" u="1"/>
        <s v="Everlasting" u="1"/>
        <s v="Fava Beans" u="1"/>
        <s v="Flax" u="1"/>
        <s v="Grass" u="1"/>
        <s v="Ground Cherry" u="1"/>
        <s v="Hibiscus" u="1"/>
        <s v="Kaibroc" u="1"/>
        <s v="Komatsuna" u="1"/>
        <s v="Lemon Balm" u="1"/>
        <s v="Malabar Spinach" u="1"/>
        <s v="Marigolds" u="1"/>
        <s v="Marjoram" u="1"/>
        <s v="Milkweed" u="1"/>
        <s v="Mint" u="1"/>
        <s v="Oregano" u="1"/>
        <s v="Pansy and Violas" u="1"/>
        <s v="Pea Tendril" u="1"/>
        <s v="Queen Anne's Lace" u="1"/>
        <s v="Rat Tail Radish" u="1"/>
        <s v="Rosemary" u="1"/>
        <s v="Roselle" u="1"/>
        <s v="Rubeckia" u="1"/>
        <s v="Rutabaga" u="1"/>
        <s v="Sage" u="1"/>
        <s v="Salsola" u="1"/>
        <s v="Scabiosa" u="1"/>
        <s v="Shallots" u="1"/>
        <s v="Snapdragons" u="1"/>
        <s v="Spinach" u="1"/>
        <s v="Strawflower" u="1"/>
        <s v="Sunflowers" u="1"/>
        <s v="Talinum" u="1"/>
        <s v="Tarp" u="1"/>
        <s v="Thyme" u="1"/>
        <s v="Yarrow" u="1"/>
        <s v="Zinnia" u="1"/>
        <s v="Buckwheater" u="1"/>
        <e v="#N/A" u="1"/>
        <s v="Chijimisai" u="1"/>
        <s v="Stock" u="1"/>
        <s v="Bachellor's Button" u="1"/>
        <s v="Chrysanthemum" u="1"/>
        <s v="Nigella" u="1"/>
        <s v="Petunia" u="1"/>
        <s v="Dianthus" u="1"/>
        <s v="Nausturtium" u="1"/>
        <s v="Butterfly Flowers" u="1"/>
      </sharedItems>
    </cacheField>
    <cacheField name="Variety" numFmtId="0">
      <sharedItems containsBlank="1" count="263">
        <s v="Sorrel Mix"/>
        <s v="Green 70 D"/>
        <s v="Celery Mix"/>
        <s v="Sweet Pepper Mix"/>
        <s v="Rot Resistant Onions Mix"/>
        <s v="Salanova Mix"/>
        <s v="Mini Cabbage Mix"/>
        <s v="Snap Pea Mix"/>
        <s v="Scallion Mix"/>
        <s v="Fresh Kholrabi Mix"/>
        <s v="Fennel Mix"/>
        <s v="Large Tomato Mix"/>
        <s v="Cherry Tomato Mix"/>
        <s v="Shishito"/>
        <s v="Hot Pepper Mix"/>
        <s v="Dill Mix"/>
        <s v="Cilantro Mix"/>
        <s v="Brown Goldring"/>
        <s v="Farao"/>
        <s v="Medium Tomato Mix"/>
        <s v="Determinate Beefsteak Mix"/>
        <s v="Warm Kale Mix"/>
        <s v="Parsley Mix"/>
        <s v="East Indian Lemongrass"/>
        <s v="Tomatillo Mix"/>
        <s v="Beet Mix"/>
        <s v="Asian Green Mix"/>
        <s v="Centercut"/>
        <s v="Summer Squash Mix"/>
        <s v="Asian Cucumber Mix"/>
        <s v="Lebanese Cucumber Mix"/>
        <s v="Basil Mix"/>
        <s v="Peruvian Ground Cherry"/>
        <s v="Summer Leek Mix"/>
        <s v="Rouge D'Hiver"/>
        <s v="Determinate Cherry Mix"/>
        <s v="Determinate Medium Mix"/>
        <s v="Specialty Heirloom Mix"/>
        <s v="Delicata Mix"/>
        <s v="Winter Squash Mix"/>
        <s v="Slicing Cucumber Mix"/>
        <s v="Tulsi"/>
        <s v="Melon Mix"/>
        <s v="Swiss Chard Mix"/>
        <s v="Jester"/>
        <s v="Cool Lettuce Mix"/>
        <s v="Pole Bean Mix"/>
        <s v="Truchas - Pelleted"/>
        <s v="90 Mix"/>
        <s v="Summertime"/>
        <s v="Chinese Cabbage Mix"/>
        <s v="Mini Chinese Cabbage Mix"/>
        <s v="Sprouting Broccoli Mix"/>
        <s v="Cabbage Fall Mix"/>
        <s v="Fall Cauliflower Mix"/>
        <s v="Winter Radish Mix"/>
        <s v="Muir"/>
        <s v="Song TJS-65"/>
        <s v="Lovelock"/>
        <s v="Perennial"/>
        <s v="Saved Seed"/>
        <s v="Aquadulce"/>
        <s v="Radish Mix"/>
        <s v="Magenta Spreen"/>
        <s v="Early Carrot Mix"/>
        <s v="Shungiku, Komi"/>
        <s v="Early Potato Mix"/>
        <s v="Hakurei"/>
        <s v="Arugala Mix"/>
        <m/>
        <s v="Main Potato Mix"/>
        <s v="Maincrop Carrot Mix"/>
        <s v="Parsnip Mix"/>
        <s v="Corn Mix"/>
        <s v="Schwarzer Runder"/>
        <s v="Bopak" u="1"/>
        <s v="2024 Plan" u="1"/>
        <s v="Amaranth Mix" u="1"/>
        <s v="Blue Fortune" u="1"/>
        <s v="Astro" u="1"/>
        <s v="Atriplex Mix" u="1"/>
        <s v="Runner Bean Mix" u="1"/>
        <s v="Green Yardlong Bean" u="1"/>
        <s v="Badger Flame" u="1"/>
        <s v="Borage Mix" u="1"/>
        <s v="Japanese" u="1"/>
        <s v="Bupleurum Mix" u="1"/>
        <s v="FILDERKRAUT" u="1"/>
        <s v="Michihili" u="1"/>
        <s v="Cabbage Overwinter Mix" u="1"/>
        <s v="Spring Cabbage Mix" u="1"/>
        <s v="Winter Cabbage Large Mix" u="1"/>
        <s v="Famosa F1" u="1"/>
        <s v="Catnip" u="1"/>
        <s v="Mardi F1" u="1"/>
        <s v="All the Year Round" u="1"/>
        <s v="Celosia Mix" u="1"/>
        <s v="Fine Curled" u="1"/>
        <s v="Gelber Nüssler" u="1"/>
        <s v="Corn Salad Mix" u="1"/>
        <s v="Cosmos Mix" u="1"/>
        <s v="Cress Mix" u="1"/>
        <s v="Cucumber Mix" u="1"/>
        <s v="Saved Tubers" u="1"/>
        <s v="Reseed" u="1"/>
        <s v="Eggplant Mix" u="1"/>
        <s v="Epazote" u="1"/>
        <s v="Winged Everlasting" u="1"/>
        <s v="Fava Mix" u="1"/>
        <s v="Foster" u="1"/>
        <s v="Red Chesnok, Zemo" u="1"/>
        <s v="Music, Red Chesnok" u="1"/>
        <s v="Music Mix" u="1"/>
        <s v="Inchelium Red" u="1"/>
        <s v="Nootka Rose Song Bird, Killarney Red Song Bird" u="1"/>
        <s v="TBD" u="1"/>
        <s v="Frosted Explosion Grass" u="1"/>
        <s v="Ground Cherry Mix" u="1"/>
        <s v="Mahogany Splendor" u="1"/>
        <s v="Apollo" u="1"/>
        <s v="Overwinter Kale Mix" u="1"/>
        <s v="Kossak F1" u="1"/>
        <s v="King Richard" u="1"/>
        <s v="Lemon Balm" u="1"/>
        <s v="Cool 9&quot; Lettuce Mix" u="1"/>
        <s v="Hot 9&quot; Lettuce Mix" u="1"/>
        <s v="Cool 6&quot; Lettuce Mix" u="1"/>
        <s v="Hot 6&quot; Lettuce Mix" u="1"/>
        <s v="Malabar Spinach Mix" u="1"/>
        <s v="Gem Marigold Mix" u="1"/>
        <s v="African Marigold Mix" u="1"/>
        <s v="Sweet Marjoram" u="1"/>
        <s v="Milkweed Mix" u="1"/>
        <s v="Overwinter Onion Mix" u="1"/>
        <s v="Storage Onion Mix" u="1"/>
        <s v="Salad Onion Mix" u="1"/>
        <s v="Greek Oregano" u="1"/>
        <s v="Pansy &amp; Viola Mix" u="1"/>
        <s v="Overwinter Viola Mix" u="1"/>
        <s v="Einfache Schnitt 3" u="1"/>
        <s v="Mid Potato Mix" u="1"/>
        <s v="Dara" u="1"/>
        <s v="110 Mix" u="1"/>
        <s v="Incantadore" u="1"/>
        <s v="Purple" u="1"/>
        <s v="BBQ" u="1"/>
        <s v="Roselle" u="1"/>
        <s v="Rubeckia Mix" u="1"/>
        <s v="Major Dunne" u="1"/>
        <s v="Sage" u="1"/>
        <s v="Saltwort" u="1"/>
        <s v="Scabiosa Mix" u="1"/>
        <s v="Shallot Mix" u="1"/>
        <s v="Snapdragon Mix" u="1"/>
        <s v="Overwinter Snapdragon Mix" u="1"/>
        <s v="Overwinter Spinach Mix" u="1"/>
        <s v="Butternut Mix" u="1"/>
        <s v="Strawflower Mix" u="1"/>
        <s v="Sunflowers Mix" u="1"/>
        <s v="Jewels of Opar" u="1"/>
        <s v="Thyme" u="1"/>
        <s v="Queen of Mallinalco" u="1"/>
        <s v="Paste Tomato Mix" u="1"/>
        <s v="Spring Turnip Mix" u="1"/>
        <s v="Fall Turnip Mix" u="1"/>
        <s v="Yarrow Mix" u="1"/>
        <s v="Johnny's" u="1"/>
        <s v="Zinnia Mix" u="1"/>
        <s v="Floral Dill Mix" u="1"/>
        <s v="Amaranth Mix " u="1"/>
        <s v="Scarlet Runner" u="1"/>
        <s v="Misome" u="1"/>
        <s v="Napoli F1" u="1"/>
        <s v="Perfection" u="1"/>
        <s v="Outredgeous" u="1"/>
        <s v="Rapini" u="1"/>
        <s v="Dubya Dapple Density" u="1"/>
        <s v="Yedikule" u="1"/>
        <s v="MERVEILLE DES QUATRE SAISONS" u="1"/>
        <s v="Muir - Pelleted" u="1"/>
        <s v="Little Gem" u="1"/>
        <s v="Barnwood Gem" u="1"/>
        <s v="White Spear" u="1"/>
        <s v="Winter Giant" u="1"/>
        <s v="Verdil" u="1"/>
        <s v="Polish White" u="1"/>
        <s v="French Grey" u="1"/>
        <s v="Vit Mache" u="1"/>
        <s v="Tokyo Bekana" u="1"/>
        <s v="Austrian Winter Pea" u="1"/>
        <s v="Tendril Pea" u="1"/>
        <s v="Rudi" u="1"/>
        <s v="Lettuce - 9 in - Spring Mix 1" u="1"/>
        <s v="Lettuce - 6 in - Spring Mix 1" u="1"/>
        <s v="Bulb Onion Mix" u="1"/>
        <s v="N.P. TRUCHAS - Pelleted" u="1"/>
        <s v="Rat Tail Mix" u="1"/>
        <s v="Cupidon" u="1"/>
        <s v="Stock Mix" u="1"/>
        <s v="Magnus" u="1"/>
        <s v="Ruby Moon" u="1"/>
        <s v="Winged" u="1"/>
        <s v="Bachellor's Button Mix" u="1"/>
        <s v="White" u="1"/>
        <s v="Variety" u="1"/>
        <s v="Green Mist" u="1"/>
        <s v="Potato Mix" u="1"/>
        <s v="Salsola Mix" u="1"/>
        <s v="Red Hedge" u="1"/>
        <s v="Nigella Mix" u="1"/>
        <s v="Petunia Mix" u="1"/>
        <s v="Deep Purple Basil" u="1"/>
        <s v="Holy Basil" u="1"/>
        <s v="Dianthus Mix" u="1"/>
        <s v="Tango" u="1"/>
        <s v="Dropmore" u="1"/>
        <s v="East Indian" u="1"/>
        <s v="Marigold Mix" u="1"/>
        <s v="Blue" u="1"/>
        <s v="Reds" u="1"/>
        <s v="Ambrosia" u="1"/>
        <s v="Nasturtium Mix" u="1"/>
        <s v="Red" u="1"/>
        <s v="Komatsuna" u="1"/>
        <s v="Unagi" u="1"/>
        <s v="Tasty Green F1" u="1"/>
        <s v="Lebanese Mix" u="1"/>
        <s v="Mini Melon Mix" u="1"/>
        <s v="Tuxana" u="1"/>
        <s v="Farthest North Mix" u="1"/>
        <s v="Squash Mix" u="1"/>
        <s v="Butterfly Flower Mix" u="1"/>
        <s v="AUNT MOLLY'S" u="1"/>
        <s v="Beefsteak Mix" u="1"/>
        <s v="Cherry Mix" u="1"/>
        <s v="Medium Mix" u="1"/>
        <s v="Green Incised, Sweet Crisp" u="1"/>
        <s v="Queen of Malinalco" u="1"/>
        <s v="Brown Goldring, Merveille des Quatres Saisons" u="1"/>
        <s v="MERVEILLE DES QUATRE SAISONS, Intercut" u="1"/>
        <s v="Truchas, Bauer, Outredgeous" u="1"/>
        <s v="Bauer, Fristina" u="1"/>
        <s v="Jester, Brown Goldring" u="1"/>
        <s v="Intercut" u="1"/>
        <s v="Bauer, Rouge d'Hiver" u="1"/>
        <s v="Bengala F1" u="1"/>
        <s v="White Dill" u="1"/>
        <s v="Procut White Lite" u="1"/>
        <s v="Solaris F1" u="1"/>
        <s v="BAUER LETTUCE - Pelleted" u="1"/>
        <s v="Bauer, Truchas" u="1"/>
        <s v="Barnwood Gem, Dubya Dapple Density" u="1"/>
        <s v="Eruption" u="1"/>
        <s v="Salanova - Sweet Crisp" u="1"/>
        <s v="Jester, Fristina" u="1"/>
        <s v="Piedmont" u="1"/>
        <s v="Eruption, Little Gem" u="1"/>
        <s v="VERZA MORETTA DI VERONELLA" u="1"/>
        <s v="Merlot, Outredgeous" u="1"/>
        <s v="Cicilian" u="1"/>
        <s v="January King" u="1"/>
        <s v="Green Sleeves" u="1"/>
        <s v="Salanova - Green Incised" u="1"/>
      </sharedItems>
    </cacheField>
    <cacheField name="Company" numFmtId="0">
      <sharedItems containsBlank="1"/>
    </cacheField>
    <cacheField name="Mix Constituents" numFmtId="0">
      <sharedItems containsBlank="1" longText="1"/>
    </cacheField>
    <cacheField name="Seeds" numFmtId="165">
      <sharedItems containsSemiMixedTypes="0" containsString="0" containsNumber="1" minValue="0" maxValue="18720"/>
    </cacheField>
    <cacheField name="Seed Bought" numFmtId="0">
      <sharedItems containsNonDate="0" containsString="0" containsBlank="1"/>
    </cacheField>
    <cacheField name="# Of Beds" numFmtId="0">
      <sharedItems containsSemiMixedTypes="0" containsString="0" containsNumber="1" minValue="0.25" maxValue="16"/>
    </cacheField>
    <cacheField name="Display Width" numFmtId="0">
      <sharedItems containsSemiMixedTypes="0" containsString="0" containsNumber="1" minValue="0.5" maxValue="4"/>
    </cacheField>
    <cacheField name="Start Date" numFmtId="164">
      <sharedItems containsSemiMixedTypes="0" containsNonDate="0" containsDate="1" containsString="0" minDate="2014-12-21T00:00:00" maxDate="2025-09-08T00:00:00"/>
    </cacheField>
    <cacheField name="Planned Greenhouse Start Date" numFmtId="164">
      <sharedItems containsDate="1" containsMixedTypes="1" minDate="2024-04-01T00:00:00" maxDate="2025-07-17T00:00:00"/>
    </cacheField>
    <cacheField name="Actual Greenhouse Date" numFmtId="164">
      <sharedItems containsNonDate="0" containsDate="1" containsString="0" containsBlank="1" minDate="2024-01-01T00:00:00" maxDate="2025-05-20T00:00:00"/>
    </cacheField>
    <cacheField name="Greenhouse Start Date" numFmtId="164">
      <sharedItems containsDate="1" containsMixedTypes="1" minDate="2024-01-01T00:00:00" maxDate="2025-07-17T00:00:00"/>
    </cacheField>
    <cacheField name="Fixed Field Start Date" numFmtId="164">
      <sharedItems containsSemiMixedTypes="0" containsNonDate="0" containsDate="1" containsString="0" minDate="2024-01-27T00:00:00" maxDate="2025-09-08T00:00:00"/>
    </cacheField>
    <cacheField name="Follows Crop" numFmtId="0">
      <sharedItems containsNonDate="0" containsString="0" containsBlank="1"/>
    </cacheField>
    <cacheField name="Follow Offset" numFmtId="0">
      <sharedItems containsNonDate="0" containsString="0" containsBlank="1"/>
    </cacheField>
    <cacheField name="Planned TP or DS Date" numFmtId="164">
      <sharedItems containsSemiMixedTypes="0" containsNonDate="0" containsDate="1" containsString="0" minDate="2024-01-01T00:00:00" maxDate="2025-09-08T00:00:00"/>
    </cacheField>
    <cacheField name="Actual TP or DS Date" numFmtId="164">
      <sharedItems containsDate="1" containsBlank="1" containsMixedTypes="1" minDate="2024-01-01T00:00:00" maxDate="2025-06-14T00:00:00"/>
    </cacheField>
    <cacheField name="In Ground Days Late" numFmtId="1">
      <sharedItems containsMixedTypes="1" containsNumber="1" containsInteger="1" minValue="-45907" maxValue="124"/>
    </cacheField>
    <cacheField name="TP or DS Date" numFmtId="164">
      <sharedItems containsSemiMixedTypes="0" containsNonDate="0" containsDate="1" containsString="0" minDate="2023-04-12T00:00:00" maxDate="2025-09-08T00:00:00" count="222">
        <d v="2024-04-26T00:00:00"/>
        <d v="2025-04-23T00:00:00"/>
        <d v="2025-06-05T00:00:00"/>
        <d v="2025-06-19T00:00:00"/>
        <d v="2025-04-20T00:00:00"/>
        <d v="2025-04-28T00:00:00"/>
        <d v="2025-05-05T00:00:00"/>
        <d v="2025-04-02T00:00:00"/>
        <d v="2025-03-12T00:00:00"/>
        <d v="2025-05-04T00:00:00"/>
        <d v="2025-05-30T00:00:00"/>
        <d v="2025-06-30T00:00:00"/>
        <d v="2025-05-08T00:00:00"/>
        <d v="2025-05-10T00:00:00"/>
        <d v="2025-05-01T00:00:00"/>
        <d v="2025-05-31T00:00:00"/>
        <d v="2025-06-13T00:00:00"/>
        <d v="2025-06-07T00:00:00"/>
        <d v="2025-04-22T00:00:00"/>
        <d v="2025-05-27T00:00:00"/>
        <d v="2025-06-22T00:00:00"/>
        <d v="2025-06-25T00:00:00"/>
        <d v="2025-05-07T00:00:00"/>
        <d v="2025-05-19T00:00:00"/>
        <d v="2025-05-23T00:00:00"/>
        <d v="2025-05-12T00:00:00"/>
        <d v="2025-05-26T00:00:00"/>
        <d v="2025-01-01T00:00:00"/>
        <d v="2025-06-14T00:00:00"/>
        <d v="2025-06-11T00:00:00"/>
        <d v="2025-05-18T00:00:00"/>
        <d v="2025-06-04T00:00:00"/>
        <d v="2025-06-06T00:00:00"/>
        <d v="2025-06-18T00:00:00"/>
        <d v="2025-06-28T00:00:00"/>
        <d v="2025-06-09T00:00:00"/>
        <d v="2025-07-05T00:00:00"/>
        <d v="2025-07-03T00:00:00"/>
        <d v="2025-07-04T00:00:00"/>
        <d v="2025-07-07T00:00:00"/>
        <d v="2025-07-08T00:00:00"/>
        <d v="2025-07-15T00:00:00"/>
        <d v="2025-07-10T00:00:00"/>
        <d v="2025-07-14T00:00:00"/>
        <d v="2025-07-18T00:00:00"/>
        <d v="2025-07-24T00:00:00"/>
        <d v="2025-07-25T00:00:00"/>
        <d v="2025-08-01T00:00:00"/>
        <d v="2025-07-28T00:00:00"/>
        <d v="2025-08-14T00:00:00"/>
        <d v="2025-08-15T00:00:00"/>
        <d v="2024-01-01T00:00:00"/>
        <d v="2024-12-21T00:00:00"/>
        <d v="2025-01-31T00:00:00"/>
        <d v="2025-03-25T00:00:00"/>
        <d v="2025-04-05T00:00:00"/>
        <d v="2025-04-18T00:00:00"/>
        <d v="2025-04-30T00:00:00"/>
        <d v="2025-04-07T00:00:00"/>
        <d v="2025-04-06T00:00:00"/>
        <d v="2025-04-24T00:00:00"/>
        <d v="2025-05-29T00:00:00"/>
        <d v="2025-06-15T00:00:00"/>
        <d v="2025-07-01T00:00:00"/>
        <d v="2025-07-30T00:00:00"/>
        <d v="2025-08-07T00:00:00"/>
        <d v="2025-08-29T00:00:00"/>
        <d v="2025-09-07T00:00:00"/>
        <d v="2025-05-11T00:00:00" u="1"/>
        <d v="2025-05-21T00:00:00" u="1"/>
        <d v="2025-05-06T00:00:00" u="1"/>
        <d v="2025-04-26T00:00:00" u="1"/>
        <d v="2025-04-01T00:00:00" u="1"/>
        <d v="2025-04-21T00:00:00" u="1"/>
        <d v="2025-05-13T00:00:00" u="1"/>
        <d v="2025-03-27T00:00:00" u="1"/>
        <d v="2025-04-17T00:00:00" u="1"/>
        <d v="2025-03-22T00:00:00" u="1"/>
        <d v="2025-04-11T00:00:00" u="1"/>
        <d v="2025-04-12T00:00:00" u="1"/>
        <d v="2025-04-25T00:00:00" u="1"/>
        <d v="2025-05-09T00:00:00" u="1"/>
        <d v="2025-06-20T00:00:00" u="1"/>
        <d v="2025-05-16T00:00:00" u="1"/>
        <d v="2025-06-02T00:00:00" u="1"/>
        <d v="2025-06-16T00:00:00" u="1"/>
        <d v="2025-05-22T00:00:00" u="1"/>
        <d v="2025-06-12T00:00:00" u="1"/>
        <d v="2025-05-02T00:00:00" u="1"/>
        <d v="2025-03-17T00:00:00" u="1"/>
        <d v="2025-04-13T00:00:00" u="1"/>
        <d v="2025-04-19T00:00:00" u="1"/>
        <d v="2025-03-23T00:00:00" u="1"/>
        <d v="2025-04-29T00:00:00" u="1"/>
        <d v="2025-05-15T00:00:00" u="1"/>
        <d v="2025-05-17T00:00:00" u="1"/>
        <d v="2024-04-22T00:00:00" u="1"/>
        <d v="2024-05-02T00:00:00" u="1"/>
        <d v="2024-04-12T00:00:00" u="1"/>
        <d v="2023-09-06T00:00:00" u="1"/>
        <d v="2024-09-16T00:00:00" u="1"/>
        <d v="2024-04-28T00:00:00" u="1"/>
        <d v="2024-05-27T00:00:00" u="1"/>
        <d v="2024-05-26T00:00:00" u="1"/>
        <d v="2024-05-31T00:00:00" u="1"/>
        <d v="2024-05-20T00:00:00" u="1"/>
        <d v="2023-08-20T00:00:00" u="1"/>
        <d v="2024-04-21T00:00:00" u="1"/>
        <d v="2024-07-29T00:00:00" u="1"/>
        <d v="2024-06-12T00:00:00" u="1"/>
        <d v="2024-05-03T00:00:00" u="1"/>
        <d v="2023-07-31T00:00:00" u="1"/>
        <d v="2023-07-24T00:00:00" u="1"/>
        <d v="2023-10-05T00:00:00" u="1"/>
        <d v="2024-07-22T00:00:00" u="1"/>
        <d v="2024-04-20T00:00:00" u="1"/>
        <d v="2024-04-14T00:00:00" u="1"/>
        <d v="2024-07-04T00:00:00" u="1"/>
        <d v="2024-07-07T00:00:00" u="1"/>
        <d v="2023-09-12T00:00:00" u="1"/>
        <d v="2023-07-23T00:00:00" u="1"/>
        <d v="2024-04-25T00:00:00" u="1"/>
        <d v="2024-04-04T00:00:00" u="1"/>
        <d v="2024-09-04T00:00:00" u="1"/>
        <d v="2024-08-05T00:00:00" u="1"/>
        <d v="2024-05-06T00:00:00" u="1"/>
        <d v="2024-06-06T00:00:00" u="1"/>
        <d v="2024-03-28T00:00:00" u="1"/>
        <d v="2024-06-08T00:00:00" u="1"/>
        <d v="2024-05-25T00:00:00" u="1"/>
        <d v="2024-03-17T00:00:00" u="1"/>
        <d v="2024-06-04T00:00:00" u="1"/>
        <d v="2024-07-25T00:00:00" u="1"/>
        <d v="2024-08-20T00:00:00" u="1"/>
        <d v="2024-04-01T00:00:00" u="1"/>
        <d v="2024-05-12T00:00:00" u="1"/>
        <d v="2024-04-29T00:00:00" u="1"/>
        <d v="2024-03-21T00:00:00" u="1"/>
        <d v="2024-11-04T00:00:00" u="1"/>
        <d v="2024-04-06T00:00:00" u="1"/>
        <d v="2024-08-14T00:00:00" u="1"/>
        <d v="2023-11-03T00:00:00" u="1"/>
        <d v="2023-10-29T00:00:00" u="1"/>
        <d v="2023-12-17T00:00:00" u="1"/>
        <d v="2024-10-14T00:00:00" u="1"/>
        <d v="2023-08-13T00:00:00" u="1"/>
        <d v="2024-04-23T00:00:00" u="1"/>
        <d v="2024-08-09T00:00:00" u="1"/>
        <d v="2024-06-11T00:00:00" u="1"/>
        <d v="2023-07-09T00:00:00" u="1"/>
        <d v="2024-04-18T00:00:00" u="1"/>
        <d v="2024-06-09T00:00:00" u="1"/>
        <d v="2024-08-02T00:00:00" u="1"/>
        <d v="2024-07-30T00:00:00" u="1"/>
        <d v="2024-10-09T00:00:00" u="1"/>
        <d v="2024-04-27T00:00:00" u="1"/>
        <d v="2024-07-09T00:00:00" u="1"/>
        <d v="2024-08-01T00:00:00" u="1"/>
        <d v="2024-08-26T00:00:00" u="1"/>
        <d v="2024-09-03T00:00:00" u="1"/>
        <d v="2024-04-02T00:00:00" u="1"/>
        <d v="2024-04-09T00:00:00" u="1"/>
        <d v="2024-05-21T00:00:00" u="1"/>
        <d v="2024-05-18T00:00:00" u="1"/>
        <d v="2024-04-15T00:00:00" u="1"/>
        <d v="2024-09-23T00:00:00" u="1"/>
        <d v="2024-04-05T00:00:00" u="1"/>
        <d v="2024-10-05T00:00:00" u="1"/>
        <d v="2023-04-12T00:00:00" u="1"/>
        <d v="2024-07-15T00:00:00" u="1"/>
        <d v="2024-05-24T00:00:00" u="1"/>
        <d v="2024-04-16T00:00:00" u="1"/>
        <d v="2023-07-26T00:00:00" u="1"/>
        <d v="2024-07-24T00:00:00" u="1"/>
        <d v="2024-08-16T00:00:00" u="1"/>
        <d v="2024-08-17T00:00:00" u="1"/>
        <d v="2024-06-29T00:00:00" u="1"/>
        <d v="2024-06-01T00:00:00" u="1"/>
        <d v="2024-07-08T00:00:00" u="1"/>
        <d v="2024-05-29T00:00:00" u="1"/>
        <d v="2024-04-07T00:00:00" u="1"/>
        <d v="2024-10-07T00:00:00" u="1"/>
        <d v="2024-05-30T00:00:00" u="1"/>
        <d v="2024-05-14T00:00:00" u="1"/>
        <d v="2024-05-11T00:00:00" u="1"/>
        <d v="2023-09-22T00:00:00" u="1"/>
        <d v="2024-08-08T00:00:00" u="1"/>
        <d v="2024-01-08T00:00:00" u="1"/>
        <d v="2024-05-15T00:00:00" u="1"/>
        <d v="2024-08-12T00:00:00" u="1"/>
        <d v="2024-09-30T00:00:00" u="1"/>
        <d v="2024-04-08T00:00:00" u="1"/>
        <d v="2024-05-04T00:00:00" u="1"/>
        <d v="2023-08-15T00:00:00" u="1"/>
        <d v="2023-08-23T00:00:00" u="1"/>
        <d v="2024-06-03T00:00:00" u="1"/>
        <d v="2024-05-07T00:00:00" u="1"/>
        <d v="2024-04-03T00:00:00" u="1"/>
        <d v="2024-03-04T00:00:00" u="1"/>
        <d v="2024-04-17T00:00:00" u="1"/>
        <d v="2024-03-18T00:00:00" u="1"/>
        <d v="2024-03-30T00:00:00" u="1"/>
        <d v="2024-05-01T00:00:00" u="1"/>
        <d v="2024-03-27T00:00:00" u="1"/>
        <d v="2024-04-25T12:00:00" u="1"/>
        <d v="2024-05-19T00:00:00" u="1"/>
        <d v="2023-08-22T00:00:00" u="1"/>
        <d v="2024-07-16T00:00:00" u="1"/>
        <d v="2024-07-13T00:00:00" u="1"/>
        <d v="2024-06-26T00:00:00" u="1"/>
        <d v="2024-08-21T00:00:00" u="1"/>
        <d v="2024-06-23T00:00:00" u="1"/>
        <d v="2024-05-13T00:00:00" u="1"/>
        <d v="2024-03-16T00:00:00" u="1"/>
        <d v="2024-05-05T00:00:00" u="1"/>
        <d v="2024-06-10T00:00:00" u="1"/>
        <d v="2024-05-23T00:00:00" u="1"/>
        <d v="2023-08-07T00:00:00" u="1"/>
        <d v="2023-07-21T00:00:00" u="1"/>
        <d v="2024-06-02T00:00:00" u="1"/>
        <d v="2024-03-11T00:00:00" u="1"/>
        <d v="2024-03-25T00:00:00" u="1"/>
      </sharedItems>
    </cacheField>
    <cacheField name="Additional Days In Field" numFmtId="0">
      <sharedItems containsString="0" containsBlank="1" containsNumber="1" containsInteger="1" minValue="-21" maxValue="7"/>
    </cacheField>
    <cacheField name="Expected Beginning of Harvest" numFmtId="164">
      <sharedItems containsSemiMixedTypes="0" containsNonDate="0" containsDate="1" containsString="0" minDate="2024-05-05T00:00:00" maxDate="2025-10-18T00:00:00"/>
    </cacheField>
    <cacheField name="Actual Beginning of Harvest" numFmtId="164">
      <sharedItems containsNonDate="0" containsDate="1" containsString="0" containsBlank="1" minDate="2024-04-10T00:00:00" maxDate="2024-04-11T00:00:00"/>
    </cacheField>
    <cacheField name="Beginning of Harvest" numFmtId="164">
      <sharedItems containsSemiMixedTypes="0" containsNonDate="0" containsDate="1" containsString="0" minDate="2024-04-10T00:00:00" maxDate="2025-10-18T00:00:00"/>
    </cacheField>
    <cacheField name="Expected End of Harvest" numFmtId="164">
      <sharedItems containsSemiMixedTypes="0" containsNonDate="0" containsDate="1" containsString="0" minDate="2025-01-11T00:00:00" maxDate="2025-12-23T00:00:00"/>
    </cacheField>
    <cacheField name="Actual End of Harvest" numFmtId="164">
      <sharedItems containsNonDate="0" containsDate="1" containsString="0" containsBlank="1" minDate="2025-01-31T00:00:00" maxDate="2025-02-01T00:00:00"/>
    </cacheField>
    <cacheField name="Additional Days of Harvest" numFmtId="164">
      <sharedItems containsNonDate="0" containsDate="1" containsString="0" containsBlank="1" minDate="1900-04-08T00:00:00" maxDate="1900-04-09T00:00:00"/>
    </cacheField>
    <cacheField name="August Harvest" numFmtId="0">
      <sharedItems/>
    </cacheField>
    <cacheField name="Failed" numFmtId="164">
      <sharedItems containsNonDate="0" containsString="0" containsBlank="1"/>
    </cacheField>
    <cacheField name="End of Harvest" numFmtId="164">
      <sharedItems containsSemiMixedTypes="0" containsNonDate="0" containsDate="1" containsString="0" minDate="2025-01-20T00:00:00" maxDate="2025-12-23T00:00:00"/>
    </cacheField>
    <cacheField name="Seeding Done" numFmtId="0">
      <sharedItems/>
    </cacheField>
    <cacheField name="Transplant Done" numFmtId="0">
      <sharedItems/>
    </cacheField>
    <cacheField name="Harvest Done" numFmtId="0">
      <sharedItems/>
    </cacheField>
    <cacheField name="Crop Done" numFmtId="0">
      <sharedItems/>
    </cacheField>
    <cacheField name="Revenue" numFmtId="166">
      <sharedItems containsSemiMixedTypes="0" containsString="0" containsNumber="1" minValue="56.25" maxValue="27000"/>
    </cacheField>
    <cacheField name="Revenue Per Bed Day" numFmtId="166">
      <sharedItems containsSemiMixedTypes="0" containsString="0" containsNumber="1" minValue="0.78125" maxValue="182.43243243243245"/>
    </cacheField>
    <cacheField name="DTM" numFmtId="0">
      <sharedItems containsSemiMixedTypes="0" containsString="0" containsNumber="1" containsInteger="1" minValue="31" maxValue="270"/>
    </cacheField>
    <cacheField name="Additional Days in Cells" numFmtId="0">
      <sharedItems containsNonDate="0" containsString="0" containsBlank="1"/>
    </cacheField>
    <cacheField name="Harvest Window" numFmtId="0">
      <sharedItems containsSemiMixedTypes="0" containsString="0" containsNumber="1" containsInteger="1" minValue="7" maxValue="224"/>
    </cacheField>
    <cacheField name="DS/TP" numFmtId="0">
      <sharedItems/>
    </cacheField>
    <cacheField name="Full Bed Equivalent" numFmtId="0">
      <sharedItems containsSemiMixedTypes="0" containsString="0" containsNumber="1" minValue="0.25" maxValue="16"/>
    </cacheField>
    <cacheField name="Days in Cells" numFmtId="0">
      <sharedItems containsSemiMixedTypes="0" containsString="0" containsNumber="1" containsInteger="1" minValue="0" maxValue="90"/>
    </cacheField>
    <cacheField name="Rows" numFmtId="0">
      <sharedItems containsSemiMixedTypes="0" containsString="0" containsNumber="1" containsInteger="1" minValue="1" maxValue="6"/>
    </cacheField>
    <cacheField name="Spacing" numFmtId="0">
      <sharedItems containsSemiMixedTypes="0" containsString="0" containsNumber="1" minValue="0.25" maxValue="36"/>
    </cacheField>
    <cacheField name="Seeds Per Planting" numFmtId="0">
      <sharedItems containsSemiMixedTypes="0" containsString="0" containsNumber="1" containsInteger="1" minValue="1" maxValue="10"/>
    </cacheField>
    <cacheField name="Plantings" numFmtId="1">
      <sharedItems containsSemiMixedTypes="0" containsString="0" containsNumber="1" minValue="10" maxValue="14400"/>
    </cacheField>
    <cacheField name="Irrigation" numFmtId="0">
      <sharedItems/>
    </cacheField>
    <cacheField name="Chart Index" numFmtId="0">
      <sharedItems containsSemiMixedTypes="0" containsString="0" containsNumber="1" containsInteger="1" minValue="6" maxValue="335"/>
    </cacheField>
    <cacheField name="Variant" numFmtId="0">
      <sharedItems/>
    </cacheField>
    <cacheField name="Seasons" numFmtId="0">
      <sharedItems containsMixedTypes="1" containsNumber="1" containsInteger="1" minValue="0" maxValue="0"/>
    </cacheField>
    <cacheField name="Days Until Harvest" numFmtId="1">
      <sharedItems containsSemiMixedTypes="0" containsString="0" containsNumber="1" containsInteger="1" minValue="490" maxValue="1020"/>
    </cacheField>
    <cacheField name="True Harvest Window" numFmtId="0">
      <sharedItems containsSemiMixedTypes="0" containsString="0" containsNumber="1" containsInteger="1" minValue="7" maxValue="260"/>
    </cacheField>
    <cacheField name="Category" numFmtId="0">
      <sharedItems containsMixedTypes="1" containsNumber="1" containsInteger="1" minValue="0" maxValue="0"/>
    </cacheField>
    <cacheField name="Height" numFmtId="0">
      <sharedItems containsSemiMixedTypes="0" containsString="0" containsNumber="1" minValue="0" maxValue="24"/>
    </cacheField>
    <cacheField name="Cover" numFmtId="0">
      <sharedItems containsMixedTypes="1" containsNumber="1" containsInteger="1" minValue="0" maxValue="0"/>
    </cacheField>
    <cacheField name="Tray 1 Size" numFmtId="0">
      <sharedItems containsSemiMixedTypes="0" containsString="0" containsNumber="1" containsInteger="1" minValue="0" maxValue="400"/>
    </cacheField>
    <cacheField name="Tray 1 Days" numFmtId="0">
      <sharedItems containsSemiMixedTypes="0" containsString="0" containsNumber="1" containsInteger="1" minValue="0" maxValue="60"/>
    </cacheField>
    <cacheField name="Tray 1 Count" numFmtId="170">
      <sharedItems containsMixedTypes="1" containsNumber="1" minValue="0" maxValue="9.75"/>
    </cacheField>
    <cacheField name="Tray 2 Size" numFmtId="0">
      <sharedItems containsSemiMixedTypes="0" containsString="0" containsNumber="1" containsInteger="1" minValue="0" maxValue="128"/>
    </cacheField>
    <cacheField name="Tray 2 Days" numFmtId="0">
      <sharedItems containsSemiMixedTypes="0" containsString="0" containsNumber="1" containsInteger="1" minValue="0" maxValue="62"/>
    </cacheField>
    <cacheField name="Tray 2 Count" numFmtId="170">
      <sharedItems containsMixedTypes="1" containsNumber="1" minValue="0" maxValue="39"/>
    </cacheField>
    <cacheField name="Tray 3 Size" numFmtId="0">
      <sharedItems containsSemiMixedTypes="0" containsString="0" containsNumber="1" containsInteger="1" minValue="0" maxValue="9"/>
    </cacheField>
    <cacheField name="Tray 3 Days" numFmtId="0">
      <sharedItems containsSemiMixedTypes="0" containsString="0" containsNumber="1" containsInteger="1" minValue="0" maxValue="14"/>
    </cacheField>
    <cacheField name="Tray 3 Count" numFmtId="170">
      <sharedItems containsMixedTypes="1" containsNumber="1" minValue="1.4444444444444446" maxValue="78"/>
    </cacheField>
    <cacheField name="Safety Factor" numFmtId="0">
      <sharedItems containsSemiMixedTypes="0" containsString="0" containsNumber="1" minValue="0" maxValue="1.3"/>
    </cacheField>
    <cacheField name="DTG" numFmtId="0">
      <sharedItems containsSemiMixedTypes="0" containsString="0" containsNumber="1" containsInteger="1" minValue="0" maxValue="24"/>
    </cacheField>
    <cacheField name="Growing Structure" numFmtId="0">
      <sharedItems containsMixedTypes="1" containsNumber="1" containsInteger="1" minValue="0" maxValue="0"/>
    </cacheField>
    <cacheField name=" " numFmtId="0">
      <sharedItems/>
    </cacheField>
    <cacheField name="Harvest Days January 2025" numFmtId="1">
      <sharedItems containsSemiMixedTypes="0" containsString="0" containsNumber="1" containsInteger="1" minValue="0" maxValue="20"/>
    </cacheField>
    <cacheField name="Harvest Days February 2025" numFmtId="0">
      <sharedItems containsSemiMixedTypes="0" containsString="0" containsNumber="1" containsInteger="1" minValue="0" maxValue="0"/>
    </cacheField>
    <cacheField name="Harvest Days March 2025" numFmtId="0">
      <sharedItems containsSemiMixedTypes="0" containsString="0" containsNumber="1" containsInteger="1" minValue="0" maxValue="0"/>
    </cacheField>
    <cacheField name="Harvest Days April 2025" numFmtId="0">
      <sharedItems containsSemiMixedTypes="0" containsString="0" containsNumber="1" containsInteger="1" minValue="0" maxValue="6"/>
    </cacheField>
    <cacheField name="Harvest Days May 2025" numFmtId="0">
      <sharedItems containsSemiMixedTypes="0" containsString="0" containsNumber="1" containsInteger="1" minValue="0" maxValue="31"/>
    </cacheField>
    <cacheField name="Harvest Days June 2025" numFmtId="0">
      <sharedItems containsSemiMixedTypes="0" containsString="0" containsNumber="1" containsInteger="1" minValue="0" maxValue="28"/>
    </cacheField>
    <cacheField name="Harvest Days July 2025" numFmtId="0">
      <sharedItems containsSemiMixedTypes="0" containsString="0" containsNumber="1" containsInteger="1" minValue="0" maxValue="31"/>
    </cacheField>
    <cacheField name="Harvest Days August 2025" numFmtId="0">
      <sharedItems containsSemiMixedTypes="0" containsString="0" containsNumber="1" containsInteger="1" minValue="0" maxValue="31"/>
    </cacheField>
    <cacheField name="Harvest Days September 2025" numFmtId="0">
      <sharedItems containsSemiMixedTypes="0" containsString="0" containsNumber="1" containsInteger="1" minValue="0" maxValue="30"/>
    </cacheField>
    <cacheField name="Harvest Days October 2025" numFmtId="0">
      <sharedItems containsSemiMixedTypes="0" containsString="0" containsNumber="1" containsInteger="1" minValue="0" maxValue="31"/>
    </cacheField>
    <cacheField name="Harvest Days November 2025" numFmtId="0">
      <sharedItems containsSemiMixedTypes="0" containsString="0" containsNumber="1" containsInteger="1" minValue="0" maxValue="30"/>
    </cacheField>
    <cacheField name="Harvest Days December 2025" numFmtId="0">
      <sharedItems containsSemiMixedTypes="0" containsString="0" containsNumber="1" containsInteger="1" minValue="0" maxValue="22"/>
    </cacheField>
    <cacheField name="Harvest Days January 2026" numFmtId="0">
      <sharedItems containsSemiMixedTypes="0" containsString="0" containsNumber="1" containsInteger="1" minValue="0" maxValue="0"/>
    </cacheField>
    <cacheField name="Harvest Days February 2026" numFmtId="0">
      <sharedItems containsSemiMixedTypes="0" containsString="0" containsNumber="1" containsInteger="1" minValue="0" maxValue="0"/>
    </cacheField>
    <cacheField name="Harvest Days March 2026" numFmtId="0">
      <sharedItems containsSemiMixedTypes="0" containsString="0" containsNumber="1" containsInteger="1" minValue="0" maxValue="0"/>
    </cacheField>
    <cacheField name="Harvest Days April 2026" numFmtId="0">
      <sharedItems containsSemiMixedTypes="0" containsString="0" containsNumber="1" containsInteger="1" minValue="0" maxValue="0"/>
    </cacheField>
    <cacheField name="Harvest Days May 2026" numFmtId="0">
      <sharedItems containsSemiMixedTypes="0" containsString="0" containsNumber="1" containsInteger="1" minValue="0" maxValue="0"/>
    </cacheField>
    <cacheField name="Harvest Days June 2026" numFmtId="0">
      <sharedItems containsSemiMixedTypes="0" containsString="0" containsNumber="1" containsInteger="1" minValue="0" maxValue="0"/>
    </cacheField>
    <cacheField name="Harvest Days July 2026" numFmtId="0">
      <sharedItems containsSemiMixedTypes="0" containsString="0" containsNumber="1" containsInteger="1" minValue="0" maxValue="0"/>
    </cacheField>
    <cacheField name="Harvest Days August 2026" numFmtId="0">
      <sharedItems containsSemiMixedTypes="0" containsString="0" containsNumber="1" containsInteger="1" minValue="0" maxValue="0"/>
    </cacheField>
    <cacheField name="Harvest Days September 2026" numFmtId="0">
      <sharedItems containsSemiMixedTypes="0" containsString="0" containsNumber="1" containsInteger="1" minValue="0" maxValue="0"/>
    </cacheField>
    <cacheField name="Harvest Days October 2026" numFmtId="0">
      <sharedItems containsSemiMixedTypes="0" containsString="0" containsNumber="1" containsInteger="1" minValue="0" maxValue="0"/>
    </cacheField>
    <cacheField name="Harvest Days November 2026" numFmtId="0">
      <sharedItems containsSemiMixedTypes="0" containsString="0" containsNumber="1" containsInteger="1" minValue="0" maxValue="0"/>
    </cacheField>
    <cacheField name="Harvest Days December 2026" numFmtId="0">
      <sharedItems containsSemiMixedTypes="0" containsString="0" containsNumber="1" containsInteger="1" minValue="0" maxValue="0"/>
    </cacheField>
    <cacheField name="Revenue January 2025" numFmtId="166">
      <sharedItems containsSemiMixedTypes="0" containsString="0" containsNumber="1" minValue="0" maxValue="822.85714285714278"/>
    </cacheField>
    <cacheField name="Revenue February 2025" numFmtId="166">
      <sharedItems containsSemiMixedTypes="0" containsString="0" containsNumber="1" containsInteger="1" minValue="0" maxValue="0"/>
    </cacheField>
    <cacheField name="Revenue March 2025" numFmtId="166">
      <sharedItems containsSemiMixedTypes="0" containsString="0" containsNumber="1" containsInteger="1" minValue="0" maxValue="0"/>
    </cacheField>
    <cacheField name="Revenue April 2025" numFmtId="166">
      <sharedItems containsSemiMixedTypes="0" containsString="0" containsNumber="1" minValue="0" maxValue="21.30681818181818"/>
    </cacheField>
    <cacheField name="Revenue May 2025" numFmtId="166">
      <sharedItems containsSemiMixedTypes="0" containsString="0" containsNumber="1" minValue="0" maxValue="642.85714285714289"/>
    </cacheField>
    <cacheField name="Revenue June 2025" numFmtId="166">
      <sharedItems containsSemiMixedTypes="0" containsString="0" containsNumber="1" minValue="0" maxValue="1908.333333333333"/>
    </cacheField>
    <cacheField name="Revenue July 2025" numFmtId="166">
      <sharedItems containsSemiMixedTypes="0" containsString="0" containsNumber="1" minValue="0" maxValue="1245.0595238095236"/>
    </cacheField>
    <cacheField name="Revenue August 2025" numFmtId="166">
      <sharedItems containsSemiMixedTypes="0" containsString="0" containsNumber="1" minValue="0" maxValue="5717.6470588235297"/>
    </cacheField>
    <cacheField name="Revenue September 2025" numFmtId="166">
      <sharedItems containsSemiMixedTypes="0" containsString="0" containsNumber="1" minValue="0" maxValue="9529.4117647058829"/>
    </cacheField>
    <cacheField name="Revenue October 2025" numFmtId="166">
      <sharedItems containsSemiMixedTypes="0" containsString="0" containsNumber="1" minValue="0" maxValue="9847.0588235294108"/>
    </cacheField>
    <cacheField name="Revenue November 2025" numFmtId="166">
      <sharedItems containsSemiMixedTypes="0" containsString="0" containsNumber="1" minValue="0" maxValue="4289.5622895622901"/>
    </cacheField>
    <cacheField name="Revenue December 2025" numFmtId="166">
      <sharedItems containsSemiMixedTypes="0" containsString="0" containsNumber="1" minValue="0" maxValue="416.56003937007875"/>
    </cacheField>
    <cacheField name="Revenue January 2026" numFmtId="166">
      <sharedItems containsSemiMixedTypes="0" containsString="0" containsNumber="1" containsInteger="1" minValue="0" maxValue="0"/>
    </cacheField>
    <cacheField name="Revenue February 2026" numFmtId="166">
      <sharedItems containsSemiMixedTypes="0" containsString="0" containsNumber="1" containsInteger="1" minValue="0" maxValue="0"/>
    </cacheField>
    <cacheField name="Revenue March 2026" numFmtId="166">
      <sharedItems containsSemiMixedTypes="0" containsString="0" containsNumber="1" containsInteger="1" minValue="0" maxValue="0"/>
    </cacheField>
    <cacheField name="Revenue April 2026" numFmtId="166">
      <sharedItems containsSemiMixedTypes="0" containsString="0" containsNumber="1" containsInteger="1" minValue="0" maxValue="0"/>
    </cacheField>
    <cacheField name="Revenue May 2026" numFmtId="0">
      <sharedItems containsSemiMixedTypes="0" containsString="0" containsNumber="1" containsInteger="1" minValue="0" maxValue="0"/>
    </cacheField>
    <cacheField name="Revenue June 2026" numFmtId="0">
      <sharedItems containsSemiMixedTypes="0" containsString="0" containsNumber="1" containsInteger="1" minValue="0" maxValue="0"/>
    </cacheField>
    <cacheField name="Revenue July 2026" numFmtId="0">
      <sharedItems containsSemiMixedTypes="0" containsString="0" containsNumber="1" containsInteger="1" minValue="0" maxValue="0"/>
    </cacheField>
    <cacheField name="Revenue August 2026" numFmtId="0">
      <sharedItems containsSemiMixedTypes="0" containsString="0" containsNumber="1" containsInteger="1" minValue="0" maxValue="0"/>
    </cacheField>
    <cacheField name="Revenue September 2026" numFmtId="0">
      <sharedItems containsSemiMixedTypes="0" containsString="0" containsNumber="1" containsInteger="1" minValue="0" maxValue="0"/>
    </cacheField>
    <cacheField name="Revenue October 2026" numFmtId="0">
      <sharedItems containsSemiMixedTypes="0" containsString="0" containsNumber="1" containsInteger="1" minValue="0" maxValue="0"/>
    </cacheField>
    <cacheField name="Revenue November 2026" numFmtId="0">
      <sharedItems containsSemiMixedTypes="0" containsString="0" containsNumber="1" containsInteger="1" minValue="0" maxValue="0"/>
    </cacheField>
    <cacheField name="Revenue December 2026" numFmtId="0">
      <sharedItems containsSemiMixedTypes="0" containsString="0" containsNumber="1" containsInteger="1" minValue="0" maxValue="0"/>
    </cacheField>
    <cacheField name="Revenue Check" numFmtId="0">
      <sharedItems/>
    </cacheField>
    <cacheField name="Yield" numFmtId="0">
      <sharedItems containsSemiMixedTypes="0" containsString="0" containsNumber="1" minValue="5.625" maxValue="5400"/>
    </cacheField>
    <cacheField name="Unit" numFmtId="0">
      <sharedItems/>
    </cacheField>
    <cacheField name="Product" numFmtId="0">
      <sharedItems/>
    </cacheField>
    <cacheField name="Compound Product" numFmtId="0">
      <sharedItems/>
    </cacheField>
    <cacheField name="Yield January 2025" numFmtId="165">
      <sharedItems containsSemiMixedTypes="0" containsString="0" containsNumber="1" minValue="0" maxValue="274.28571428571428"/>
    </cacheField>
    <cacheField name="Yield February 2025" numFmtId="165">
      <sharedItems containsSemiMixedTypes="0" containsString="0" containsNumber="1" containsInteger="1" minValue="0" maxValue="0"/>
    </cacheField>
    <cacheField name="Yield March 2025" numFmtId="165">
      <sharedItems containsSemiMixedTypes="0" containsString="0" containsNumber="1" containsInteger="1" minValue="0" maxValue="0"/>
    </cacheField>
    <cacheField name="Yield April 2025" numFmtId="165">
      <sharedItems containsSemiMixedTypes="0" containsString="0" containsNumber="1" minValue="0" maxValue="7.1022727272727266"/>
    </cacheField>
    <cacheField name="Yield May 2025" numFmtId="165">
      <sharedItems containsSemiMixedTypes="0" containsString="0" containsNumber="1" minValue="0" maxValue="260"/>
    </cacheField>
    <cacheField name="Yield June 2025" numFmtId="165">
      <sharedItems containsSemiMixedTypes="0" containsString="0" containsNumber="1" minValue="0" maxValue="400"/>
    </cacheField>
    <cacheField name="Yield July 2025" numFmtId="165">
      <sharedItems containsSemiMixedTypes="0" containsString="0" containsNumber="1" minValue="0" maxValue="316.2162162162162"/>
    </cacheField>
    <cacheField name="Yield August 2025" numFmtId="165">
      <sharedItems containsSemiMixedTypes="0" containsString="0" containsNumber="1" minValue="0" maxValue="2399.9999999999995"/>
    </cacheField>
    <cacheField name="Yield September 2025" numFmtId="165">
      <sharedItems containsSemiMixedTypes="0" containsString="0" containsNumber="1" minValue="0" maxValue="1905.8823529411766"/>
    </cacheField>
    <cacheField name="Yield October 2025" numFmtId="165">
      <sharedItems containsSemiMixedTypes="0" containsString="0" containsNumber="1" minValue="0" maxValue="1969.4117647058822"/>
    </cacheField>
    <cacheField name="Yield November 2025" numFmtId="165">
      <sharedItems containsSemiMixedTypes="0" containsString="0" containsNumber="1" minValue="0" maxValue="612.79461279461293"/>
    </cacheField>
    <cacheField name="Yield December 2025" numFmtId="165">
      <sharedItems containsSemiMixedTypes="0" containsString="0" containsNumber="1" minValue="0" maxValue="87.69685039370078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523147" createdVersion="8" refreshedVersion="8" minRefreshableVersion="3" recordCount="57" xr:uid="{589E0985-4D4C-4197-B9C3-D7DFD836AA23}">
  <cacheSource type="worksheet">
    <worksheetSource name="SeedOrder"/>
  </cacheSource>
  <cacheFields count="26">
    <cacheField name="Id" numFmtId="0">
      <sharedItems/>
    </cacheField>
    <cacheField name="Crop" numFmtId="0">
      <sharedItems count="79">
        <s v="Tomato"/>
        <s v="Beet"/>
        <s v="Corn "/>
        <s v="Carrot"/>
        <s v="Cabbage"/>
        <s v="Melon"/>
        <s v="Summer Squash"/>
        <s v="Squash"/>
        <s v="Magenta Spreen" u="1"/>
        <s v="Parsley" u="1"/>
        <s v="Lettuce" u="1"/>
        <s v="Choi Sum" u="1"/>
        <s v="Basil" u="1"/>
        <s v="Kale" u="1"/>
        <s v="Chrysanthemum Greens" u="1"/>
        <s v="Scallion" u="1"/>
        <s v="Gooseberry" u="1"/>
        <s v="Bean" u="1"/>
        <s v="Cucumber" u="1"/>
        <s v="Dill" u="1"/>
        <s v="Fava Bean" u="1"/>
        <s v="Onion" u="1"/>
        <s v="Parsnip" u="1"/>
        <s v="Swiss Chard" u="1"/>
        <s v="Potato" u="1"/>
        <s v="Turnip" u="1"/>
        <s v="Celery" u="1"/>
        <s v="Radish" u="1"/>
        <s v="Tomatillo" u="1"/>
        <s v="Leek" u="1"/>
        <s v="Radicchio" u="1"/>
        <s v="Cilantro" u="1"/>
        <s v="Arugula" u="1"/>
        <s v="Pepper" u="1"/>
        <s v="Bok Choy" u="1"/>
        <s v="Broccoli" u="1"/>
        <s v="Cauliflower" u="1"/>
        <s v="Kohlrabi" u="1"/>
        <s v="Lemongrass" u="1"/>
        <s v="Peas" u="1"/>
        <s v="Fennel" u="1"/>
        <s v="Flax" u="1"/>
        <s v="Borage" u="1"/>
        <s v="Rutabaga" u="1"/>
        <s v="Corn Salad" u="1"/>
        <s v="Cosmos" u="1"/>
        <s v="Eggplant" u="1"/>
        <s v="Strawflower" u="1"/>
        <s v="Atriplex" u="1"/>
        <s v="Marigolds" u="1"/>
        <s v="Snapdragons" u="1"/>
        <s v="Spinach" u="1"/>
        <s v="Everlasting" u="1"/>
        <s v="Pansy and Violas" u="1"/>
        <s v="Zinnia" u="1"/>
        <s v="Ground Cherry" u="1"/>
        <s v="Talinum" u="1"/>
        <s v="Shallots" u="1"/>
        <s v="Sunflowers" u="1"/>
        <s v="Asian Greens" u="1"/>
        <s v="Sorrel" u="1"/>
        <s v="Amaranth" u="1"/>
        <s v="Celosia" u="1"/>
        <s v="Hibiscus" u="1"/>
        <s v="Cress" u="1"/>
        <s v="Salsola" u="1"/>
        <s v="Beans" u="1"/>
        <s v="Milkweed" u="1"/>
        <s v="Malabar Spinach" u="1"/>
        <s v="Buckwheat" u="1"/>
        <s v="Roselle" u="1"/>
        <s v="Rubeckia" u="1"/>
        <s v="Fava Beans" u="1"/>
        <s v="Rat Tail Radish" u="1"/>
        <s v="Grass" u="1"/>
        <s v="Bupleurum" u="1"/>
        <s v="Queen Anne's Lace" u="1"/>
        <s v="Yarrow" u="1"/>
        <s v="Scabiosa" u="1"/>
      </sharedItems>
    </cacheField>
    <cacheField name="Company" numFmtId="0">
      <sharedItems/>
    </cacheField>
    <cacheField name="Variety" numFmtId="0">
      <sharedItems/>
    </cacheField>
    <cacheField name="Order" numFmtId="0">
      <sharedItems containsBlank="1"/>
    </cacheField>
    <cacheField name="Is In Cart" numFmtId="0">
      <sharedItems containsBlank="1"/>
    </cacheField>
    <cacheField name="Density" numFmtId="165">
      <sharedItems containsMixedTypes="1" containsNumber="1" containsInteger="1" minValue="0" maxValue="250400"/>
    </cacheField>
    <cacheField name="Density Per" numFmtId="165">
      <sharedItems containsMixedTypes="1" containsNumber="1" containsInteger="1" minValue="0" maxValue="0"/>
    </cacheField>
    <cacheField name="Link" numFmtId="165">
      <sharedItems/>
    </cacheField>
    <cacheField name="Needed" numFmtId="165">
      <sharedItems containsMixedTypes="1" containsNumber="1" minValue="58.666666666666664" maxValue="3120"/>
    </cacheField>
    <cacheField name="Product Weight" numFmtId="0">
      <sharedItems containsString="0" containsBlank="1" containsNumber="1" minValue="0.25" maxValue="10000"/>
    </cacheField>
    <cacheField name="Weight Unit" numFmtId="0">
      <sharedItems containsBlank="1"/>
    </cacheField>
    <cacheField name="Product Cost" numFmtId="0">
      <sharedItems containsString="0" containsBlank="1" containsNumber="1" minValue="1" maxValue="99.5"/>
    </cacheField>
    <cacheField name="Product Quantity" numFmtId="0">
      <sharedItems containsString="0" containsBlank="1" containsNumber="1" containsInteger="1" minValue="1" maxValue="2"/>
    </cacheField>
    <cacheField name="Already Have" numFmtId="0">
      <sharedItems containsBlank="1"/>
    </cacheField>
    <cacheField name="Order Weight" numFmtId="0">
      <sharedItems containsSemiMixedTypes="0" containsString="0" containsNumber="1" minValue="0" maxValue="10000"/>
    </cacheField>
    <cacheField name="Needed (g)" numFmtId="168">
      <sharedItems containsMixedTypes="1" containsNumber="1" minValue="0.19007680266666666" maxValue="86.716188382352939"/>
    </cacheField>
    <cacheField name="Needed (ozm)" numFmtId="168">
      <sharedItems containsMixedTypes="1" containsNumber="1" minValue="6.7047619047619043E-3" maxValue="3.0588235294117645"/>
    </cacheField>
    <cacheField name="Needed (lbm)" numFmtId="168">
      <sharedItems containsMixedTypes="1" containsNumber="1" minValue="4.1904761904761902E-4" maxValue="0.19117647058823528"/>
    </cacheField>
    <cacheField name="Is Enough?" numFmtId="9">
      <sharedItems containsMixedTypes="1" containsNumber="1" minValue="3.0769230769230762" maxValue="15.151515151515152"/>
    </cacheField>
    <cacheField name="Order Cost" numFmtId="166">
      <sharedItems containsSemiMixedTypes="0" containsString="0" containsNumber="1" minValue="0" maxValue="99.5"/>
    </cacheField>
    <cacheField name="Notes" numFmtId="0">
      <sharedItems containsBlank="1"/>
    </cacheField>
    <cacheField name="Work Needed" numFmtId="0">
      <sharedItems containsNonDate="0" containsString="0" containsBlank="1"/>
    </cacheField>
    <cacheField name="Is duplicate" numFmtId="1">
      <sharedItems/>
    </cacheField>
    <cacheField name="Organic" numFmtId="165">
      <sharedItems/>
    </cacheField>
    <cacheField name="OG Search"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754632" createdVersion="8" refreshedVersion="8" minRefreshableVersion="3" recordCount="399" xr:uid="{EC021CF4-3AD0-4456-A68E-1DBB6F99D4AC}">
  <cacheSource type="worksheet">
    <worksheetSource name="SeedMixes"/>
  </cacheSource>
  <cacheFields count="7">
    <cacheField name="Percent" numFmtId="9">
      <sharedItems containsSemiMixedTypes="0" containsString="0" containsNumber="1" minValue="0.05" maxValue="1"/>
    </cacheField>
    <cacheField name="Name" numFmtId="0">
      <sharedItems count="126">
        <s v="Amaranth Mix"/>
        <s v="Arugala Mix"/>
        <s v="Atriplex Mix"/>
        <s v="Bachellor's Button Mix"/>
        <s v="Basil Mix"/>
        <s v="Pole Bean Mix"/>
        <s v="Beet Mix"/>
        <s v="Borage Mix"/>
        <s v="Sprouting Broccoli Mix"/>
        <s v="Buckwheat Mix"/>
        <s v="Bupleurum Mix"/>
        <s v="Butterfly Flower Mix"/>
        <s v="Cabbage Fall Mix"/>
        <s v="Cabbage Overwinter Mix"/>
        <s v="Fast Cabbage Mix"/>
        <s v="Mini Cabbage Mix"/>
        <s v="Mini Chinese Cabbage Mix"/>
        <s v="Winter Cabbage Large Mix"/>
        <s v="Chinese Cabbage Mix"/>
        <s v="Early Carrot Mix"/>
        <s v="Maincrop Carrot Mix"/>
        <s v="Fall Cauliflower Mix"/>
        <s v="Celery Mix"/>
        <s v="Celosia Mix"/>
        <s v="Cilantro Mix"/>
        <s v="Corn Mix"/>
        <s v="Corn Salad Mix"/>
        <s v="Cosmos Mix"/>
        <s v="Cress Mix"/>
        <s v="Asian Cucumber Mix"/>
        <s v="Lebanese Cucumber Mix"/>
        <s v="Slicing Cucumber Mix"/>
        <s v="Dahlias Mix"/>
        <s v="Dianthus Mix"/>
        <s v="Dill Mix"/>
        <s v="Floral Dill Mix"/>
        <s v="Eggplant Mix"/>
        <s v="Everlasting Mix"/>
        <s v="Fava Mix"/>
        <s v="Fennel Mix"/>
        <s v="Flax Mix"/>
        <s v="Hardneck Garlic Mix"/>
        <s v="Softneck Garlic Mix"/>
        <s v="Ground Cherry Mix"/>
        <s v="Hibiscus Mix"/>
        <s v="Overwinter Kale Mix"/>
        <s v="Warm Kale Mix"/>
        <s v="Fresh Kholrabi Mix"/>
        <s v="Asian Green Mix"/>
        <s v="Summer Leek Mix"/>
        <s v="Cool 6&quot; Lettuce Mix"/>
        <s v="Cool 9&quot; Lettuce Mix"/>
        <s v="Cool Lettuce Mix"/>
        <s v="Hot 6&quot; Lettuce Mix"/>
        <s v="Hot 9&quot; Lettuce Mix"/>
        <s v="Hot Lettuce Mix"/>
        <s v="Salanova Mix"/>
        <s v="Magenta Spreen Mix"/>
        <s v="Malabar Spinach Mix"/>
        <s v="African Marigold Mix"/>
        <s v="Gem Marigold Mix"/>
        <s v="Marigold Mix"/>
        <s v="Melon Mix"/>
        <s v="Milkweed Mix"/>
        <s v="Nasturtium Mix"/>
        <s v="Nigella Mix"/>
        <s v="Overwinter Onion Mix"/>
        <s v="Rot Resistant Onions Mix"/>
        <s v="Salad Onion Mix"/>
        <s v="Storage Onion Mix"/>
        <s v="Overwinter Viola Mix"/>
        <s v="Overwinter Violas"/>
        <s v="Pansy &amp; Viola Mix"/>
        <s v="Parsley Mix"/>
        <s v="Parsnip Mix"/>
        <s v="Snap Pea Mix"/>
        <s v="Tendril Pea Mix"/>
        <s v="Hot Pepper Mix"/>
        <s v="Shishito Mix"/>
        <s v="Sweet Pepper Mix"/>
        <s v="Petunia Mix"/>
        <s v="Early Potato Mix"/>
        <s v="Main Potato Mix"/>
        <s v="Mid Potato Mix"/>
        <s v="Potato Mix"/>
        <s v="Queen Anne's Lace Mix"/>
        <s v="110 Mix"/>
        <s v="90 Mix"/>
        <s v="Radish Mix"/>
        <s v="Winter Radish Mix"/>
        <s v="Rat Tail Mix"/>
        <s v="Rubeckia Mix"/>
        <s v="Salsola Mix"/>
        <s v="Scabiosa Mix"/>
        <s v="Scallion Mix"/>
        <s v="Shallot Mix"/>
        <s v="Overwinter Snapdragon Mix"/>
        <s v="Snapdragon Mix"/>
        <s v="Sorrel Mix"/>
        <s v="Overwinter Spinach Mix"/>
        <s v="Summer Squash Mix"/>
        <s v="Butternut Mix"/>
        <s v="Delicata Mix"/>
        <s v="Winter Squash Mix"/>
        <s v="Stock Mix"/>
        <s v="Strawflower Mix"/>
        <s v="Sunflower Mix"/>
        <s v="Swiss Chard Mix"/>
        <s v="Tomatillo Mix"/>
        <s v="Cherry Tomato Mix"/>
        <s v="Determinate Beefsteak Mix"/>
        <s v="Determinate Cherry Mix"/>
        <s v="Determinate Medium Mix"/>
        <s v="Large Tomato Mix"/>
        <s v="Medium Tomato Mix"/>
        <s v="Paste Tomato Mix"/>
        <s v="Specialty Heirloom Mix"/>
        <s v="Fall Turnip Mix"/>
        <s v="Spring Turnip Mix"/>
        <s v="Watermelon Mix"/>
        <s v="Yarrow Mix"/>
        <s v="Zinnia Mix"/>
        <s v="Sunflowers Mix" u="1"/>
        <s v="Runner Bean Mix" u="1"/>
        <s v="Spring Cabbage Mix" u="1"/>
        <s v="Cucumber Mix" u="1"/>
      </sharedItems>
    </cacheField>
    <cacheField name="Crop" numFmtId="0">
      <sharedItems/>
    </cacheField>
    <cacheField name="Variety" numFmtId="0">
      <sharedItems/>
    </cacheField>
    <cacheField name="Company" numFmtId="0">
      <sharedItems containsBlank="1"/>
    </cacheField>
    <cacheField name="Variety &amp; Company" numFmtId="0">
      <sharedItems/>
    </cacheField>
    <cacheField name="Label"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754632" createdVersion="8" refreshedVersion="8" minRefreshableVersion="3" recordCount="97" xr:uid="{15FB48EB-B0F4-4D49-B521-859AB0E6905C}">
  <cacheSource type="worksheet">
    <worksheetSource name="Start_Seedlings_Detailed"/>
  </cacheSource>
  <cacheFields count="22">
    <cacheField name="Done" numFmtId="0">
      <sharedItems count="2">
        <b v="1"/>
        <b v="0"/>
      </sharedItems>
    </cacheField>
    <cacheField name="Date" numFmtId="171">
      <sharedItems containsSemiMixedTypes="0" containsNonDate="0" containsDate="1" containsString="0" minDate="2024-03-23T00:00:00" maxDate="2025-07-17T00:00:00" count="28">
        <d v="2024-03-23T00:00:00"/>
        <d v="2025-03-21T00:00:00"/>
        <d v="2025-03-25T00:00:00"/>
        <d v="2025-03-28T00:00:00"/>
        <d v="2025-03-30T00:00:00"/>
        <d v="2025-04-01T00:00:00"/>
        <d v="2025-04-14T00:00:00"/>
        <d v="2025-04-15T00:00:00"/>
        <d v="2025-04-16T00:00:00"/>
        <d v="2025-04-20T00:00:00"/>
        <d v="2025-04-24T00:00:00"/>
        <d v="2025-05-14T00:00:00"/>
        <d v="2025-05-18T00:00:00"/>
        <d v="2025-05-19T00:00:00"/>
        <d v="2025-05-31T00:00:00"/>
        <d v="2025-06-03T00:00:00"/>
        <d v="2025-06-04T00:00:00"/>
        <d v="2025-06-09T00:00:00"/>
        <d v="2025-06-10T00:00:00"/>
        <d v="2025-06-15T00:00:00"/>
        <d v="2025-06-18T00:00:00"/>
        <d v="2025-06-20T00:00:00"/>
        <d v="2025-06-24T00:00:00"/>
        <d v="2025-06-25T00:00:00"/>
        <d v="2025-06-27T00:00:00"/>
        <d v="2025-07-02T00:00:00"/>
        <d v="2025-07-15T00:00:00"/>
        <d v="2025-07-16T00:00:00"/>
      </sharedItems>
      <fieldGroup base="1">
        <rangePr groupBy="days" startDate="2024-03-23T00:00:00" endDate="2025-07-17T00:00:00" groupInterval="7"/>
        <groupItems count="71">
          <s v="&lt;3/23/2024"/>
          <s v="3/23/2024 - 3/29/2024"/>
          <s v="3/30/2024 - 4/5/2024"/>
          <s v="4/6/2024 - 4/12/2024"/>
          <s v="4/13/2024 - 4/19/2024"/>
          <s v="4/20/2024 - 4/26/2024"/>
          <s v="4/27/2024 - 5/3/2024"/>
          <s v="5/4/2024 - 5/10/2024"/>
          <s v="5/11/2024 - 5/17/2024"/>
          <s v="5/18/2024 - 5/24/2024"/>
          <s v="5/25/2024 - 5/31/2024"/>
          <s v="6/1/2024 - 6/7/2024"/>
          <s v="6/8/2024 - 6/14/2024"/>
          <s v="6/15/2024 - 6/21/2024"/>
          <s v="6/22/2024 - 6/28/2024"/>
          <s v="6/29/2024 - 7/5/2024"/>
          <s v="7/6/2024 - 7/12/2024"/>
          <s v="7/13/2024 - 7/19/2024"/>
          <s v="7/20/2024 - 7/26/2024"/>
          <s v="7/27/2024 - 8/2/2024"/>
          <s v="8/3/2024 - 8/9/2024"/>
          <s v="8/10/2024 - 8/16/2024"/>
          <s v="8/17/2024 - 8/23/2024"/>
          <s v="8/24/2024 - 8/30/2024"/>
          <s v="8/31/2024 - 9/6/2024"/>
          <s v="9/7/2024 - 9/13/2024"/>
          <s v="9/14/2024 - 9/20/2024"/>
          <s v="9/21/2024 - 9/27/2024"/>
          <s v="9/28/2024 - 10/4/2024"/>
          <s v="10/5/2024 - 10/11/2024"/>
          <s v="10/12/2024 - 10/18/2024"/>
          <s v="10/19/2024 - 10/25/2024"/>
          <s v="10/26/2024 - 11/1/2024"/>
          <s v="11/2/2024 - 11/8/2024"/>
          <s v="11/9/2024 - 11/15/2024"/>
          <s v="11/16/2024 - 11/22/2024"/>
          <s v="11/23/2024 - 11/29/2024"/>
          <s v="11/30/2024 - 12/6/2024"/>
          <s v="12/7/2024 - 12/13/2024"/>
          <s v="12/14/2024 - 12/20/2024"/>
          <s v="12/21/2024 - 12/27/2024"/>
          <s v="12/28/2024 - 1/3/2025"/>
          <s v="1/4/2025 - 1/10/2025"/>
          <s v="1/11/2025 - 1/17/2025"/>
          <s v="1/18/2025 - 1/24/2025"/>
          <s v="1/25/2025 - 1/31/2025"/>
          <s v="2/1/2025 - 2/7/2025"/>
          <s v="2/8/2025 - 2/14/2025"/>
          <s v="2/15/2025 - 2/21/2025"/>
          <s v="2/22/2025 - 2/28/2025"/>
          <s v="3/1/2025 - 3/7/2025"/>
          <s v="3/8/2025 - 3/14/2025"/>
          <s v="3/15/2025 - 3/21/2025"/>
          <s v="3/22/2025 - 3/28/2025"/>
          <s v="3/29/2025 - 4/4/2025"/>
          <s v="4/5/2025 - 4/11/2025"/>
          <s v="4/12/2025 - 4/18/2025"/>
          <s v="4/19/2025 - 4/25/2025"/>
          <s v="4/26/2025 - 5/2/2025"/>
          <s v="5/3/2025 - 5/9/2025"/>
          <s v="5/10/2025 - 5/16/2025"/>
          <s v="5/17/2025 - 5/23/2025"/>
          <s v="5/24/2025 - 5/30/2025"/>
          <s v="5/31/2025 - 6/6/2025"/>
          <s v="6/7/2025 - 6/13/2025"/>
          <s v="6/14/2025 - 6/20/2025"/>
          <s v="6/21/2025 - 6/27/2025"/>
          <s v="6/28/2025 - 7/4/2025"/>
          <s v="7/5/2025 - 7/11/2025"/>
          <s v="7/12/2025 - 7/17/2025"/>
          <s v="&gt;7/17/2025"/>
        </groupItems>
      </fieldGroup>
    </cacheField>
    <cacheField name="Identifier" numFmtId="0">
      <sharedItems/>
    </cacheField>
    <cacheField name="Bed" numFmtId="0">
      <sharedItems/>
    </cacheField>
    <cacheField name="Name" numFmtId="0">
      <sharedItems/>
    </cacheField>
    <cacheField name="Variety" numFmtId="0">
      <sharedItems/>
    </cacheField>
    <cacheField name="Company" numFmtId="0">
      <sharedItems containsBlank="1"/>
    </cacheField>
    <cacheField name="Tray 1 Size" numFmtId="0">
      <sharedItems containsSemiMixedTypes="0" containsString="0" containsNumber="1" containsInteger="1" minValue="18" maxValue="400"/>
    </cacheField>
    <cacheField name="Tray 1 Days" numFmtId="0">
      <sharedItems containsSemiMixedTypes="0" containsString="0" containsNumber="1" containsInteger="1" minValue="7" maxValue="60"/>
    </cacheField>
    <cacheField name="Tray 1 Count" numFmtId="170">
      <sharedItems containsSemiMixedTypes="0" containsString="0" containsNumber="1" minValue="0.14285714285714285" maxValue="9.75"/>
    </cacheField>
    <cacheField name="Tray 2 Size" numFmtId="0">
      <sharedItems containsSemiMixedTypes="0" containsString="0" containsNumber="1" containsInteger="1" minValue="0" maxValue="128"/>
    </cacheField>
    <cacheField name="Tray 2 Days" numFmtId="0">
      <sharedItems containsSemiMixedTypes="0" containsString="0" containsNumber="1" containsInteger="1" minValue="0" maxValue="62"/>
    </cacheField>
    <cacheField name="Tray 2 Count" numFmtId="170">
      <sharedItems containsMixedTypes="1" containsNumber="1" minValue="0" maxValue="39"/>
    </cacheField>
    <cacheField name="Tray 3 Size" numFmtId="0">
      <sharedItems containsSemiMixedTypes="0" containsString="0" containsNumber="1" containsInteger="1" minValue="0" maxValue="9"/>
    </cacheField>
    <cacheField name="Tray 3 Days" numFmtId="0">
      <sharedItems containsSemiMixedTypes="0" containsString="0" containsNumber="1" containsInteger="1" minValue="0" maxValue="14"/>
    </cacheField>
    <cacheField name="Tray 3 Count" numFmtId="170">
      <sharedItems containsMixedTypes="1" containsNumber="1" minValue="1.4444444444444446" maxValue="78"/>
    </cacheField>
    <cacheField name="Seeds Per Planting" numFmtId="0">
      <sharedItems containsSemiMixedTypes="0" containsString="0" containsNumber="1" containsInteger="1" minValue="1" maxValue="10"/>
    </cacheField>
    <cacheField name="# Of Beds" numFmtId="0">
      <sharedItems containsSemiMixedTypes="0" containsString="0" containsNumber="1" minValue="0.25" maxValue="16"/>
    </cacheField>
    <cacheField name="Safety Factor" numFmtId="0">
      <sharedItems containsSemiMixedTypes="0" containsString="0" containsNumber="1" minValue="1" maxValue="1.3"/>
    </cacheField>
    <cacheField name="DTG" numFmtId="0">
      <sharedItems containsSemiMixedTypes="0" containsString="0" containsNumber="1" containsInteger="1" minValue="0" maxValue="24"/>
    </cacheField>
    <cacheField name="Cells" numFmtId="1">
      <sharedItems containsSemiMixedTypes="0" containsString="0" containsNumber="1" minValue="13.000000000000002" maxValue="768"/>
    </cacheField>
    <cacheField name="Unsafe Cells" numFmtId="1">
      <sharedItems containsSemiMixedTypes="0" containsString="0" containsNumber="1" minValue="10.000000000000002" maxValue="698.18181818181813"/>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7140497685" backgroundQuery="1" createdVersion="8" refreshedVersion="8" minRefreshableVersion="3" recordCount="412" xr:uid="{D96A6992-53A4-4026-A741-A8C71644993D}">
  <cacheSource type="external" connectionId="5"/>
  <cacheFields count="50">
    <cacheField name="Identifier" numFmtId="0">
      <sharedItems/>
    </cacheField>
    <cacheField name="Variety" numFmtId="0">
      <sharedItems containsBlank="1" count="532">
        <s v="Aquadulce"/>
        <s v="Brown Goldring"/>
        <s v="Centercut"/>
        <s v="East Indian Lemongrass"/>
        <s v="Farao F1"/>
        <s v="Green 70 D"/>
        <s v="Hakurei"/>
        <s v="Jester"/>
        <s v="Lovelock"/>
        <s v="Magenta Spreen"/>
        <s v="Muir"/>
        <s v="Peruvian Ground Cherry"/>
        <s v="Rouge D'Hiver"/>
        <s v="Schwarzer Runder"/>
        <s v="Shishito"/>
        <s v="Shungiku, Komi"/>
        <s v="Song TJS-65"/>
        <s v="Summertime"/>
        <s v="Truchas - Pelleted"/>
        <s v="Tulsi"/>
        <m/>
        <s v="Saved Seed"/>
        <s v="Perennial"/>
        <s v="Esmee"/>
        <s v="42-Day"/>
        <s v="Astro"/>
        <s v="Golden Mountain Sweet Thai"/>
        <s v="Ambrosia"/>
        <s v="Italian Large Leaf"/>
        <s v="Fortex"/>
        <s v="Dragon Langerie"/>
        <s v="Badger Flame"/>
        <s v="Boro F1"/>
        <s v="Chiogga"/>
        <s v="Carlton F1"/>
        <s v="Komatsuna"/>
        <s v="Banana Legs"/>
        <s v="Bopak"/>
        <s v="Burgundy"/>
        <s v="Bronco F1"/>
        <s v="Bilko F1"/>
        <s v="Emiko F1"/>
        <s v="Bastan F1"/>
        <s v="Katarina F1"/>
        <s v="Beatrice"/>
        <s v="Beauty King"/>
        <s v="Cosmic Purple"/>
        <s v="Beefy Purple"/>
        <s v="Benevento"/>
        <s v="Bengala F1"/>
        <s v="Bolero F1"/>
        <s v="Dolciva F1"/>
        <s v="Black Cherry OG"/>
        <s v="Black Jack F1"/>
        <s v="Black Magic F1"/>
        <s v="Black Sea Man"/>
        <s v="Blush"/>
        <s v="Cruiser"/>
        <s v="Calypso"/>
        <s v="Bouquet OG"/>
        <s v="Brad's Atomic Grape"/>
        <s v="Brandywine"/>
        <s v="Enchanted F1"/>
        <s v="Manny"/>
        <s v="Katrina"/>
        <s v="Cascadia OG"/>
        <s v="Corinto"/>
        <s v="Green Sleeves"/>
        <s v="Cherry Falls"/>
        <s v="Chinook OG"/>
        <s v="Chocolate Sprinkles"/>
        <s v="Cipolla's Pride"/>
        <s v="Cortland F1"/>
        <s v="Dazzling Blue"/>
        <s v="Kolibri F1"/>
        <s v="Konan F1"/>
        <s v="King Richard"/>
        <s v="Costata Romanesco"/>
        <s v="Lancia"/>
        <s v="Green Sweet Crisp"/>
        <s v="Intercut"/>
        <s v="Cream Sausage"/>
        <s v="Daikon"/>
        <s v="De Milpa"/>
        <s v="Divergent F1"/>
        <s v="Dunja F1"/>
        <s v="Dwarf Purple Heart"/>
        <s v="Dynamite Delight"/>
        <s v="Early Cherry"/>
        <s v="Einfache Schnitt 3"/>
        <s v="Elba"/>
        <s v="Elephant's Ear"/>
        <s v="Giant of Italy"/>
        <s v="Emerald Flame"/>
        <s v="Laica"/>
        <s v="Forest Green"/>
        <s v="Halblange"/>
        <s v="Hungarian Hot Wax"/>
        <s v="Helios F1"/>
        <s v="Fordhook Giant"/>
        <s v="German Butterball"/>
        <s v="French Breakfast"/>
        <s v="Garden Sorrel"/>
        <s v="German Johnson"/>
        <s v="Geronimo"/>
        <s v="Gin Fizz"/>
        <s v="Golden Hour"/>
        <s v="Ishikura Long Winter"/>
        <s v="Honey Boat"/>
        <s v="Mambo"/>
        <s v="Janet's Jacinth Jewel"/>
        <s v="Limelight"/>
        <s v="Margold"/>
        <s v="Marbonne"/>
        <s v="Large Barred Boar"/>
        <s v="Marketmore"/>
        <s v="Marnero"/>
        <s v="Marvel of Venice"/>
        <s v="Merlot"/>
        <s v="Merrengo F1 - Pelleted"/>
        <s v="Minivento"/>
        <s v="Minuet"/>
        <s v="Mokum"/>
        <s v="Montebello"/>
        <s v="Mortgage Lifter"/>
        <s v="Moss Curled"/>
        <s v="Napoli F1"/>
        <s v="Narvik"/>
        <s v="Neon"/>
        <s v="New Mama Super Sweet"/>
        <s v="Northeaster"/>
        <s v="Okhura Winter Queen Daikon"/>
        <s v="Olly F1"/>
        <s v="Orange You Glad"/>
        <s v="Panorama F1"/>
        <s v="Parade"/>
        <s v="Patricia"/>
        <s v="Pearl"/>
        <s v="Perfection"/>
        <s v="Piccolima F1"/>
        <s v="Pink Jazz"/>
        <s v="Pinky"/>
        <s v="Pokey Joe"/>
        <s v="Pork Chop"/>
        <s v="Prospera F1"/>
        <s v="Prospera® Active Thai-Thai F1 Basil"/>
        <s v="Purple Viking"/>
        <s v="Queen of Mallinalco"/>
        <s v="Rattlesnake"/>
        <s v="Red Cloud F1"/>
        <s v="Red Deuce"/>
        <s v="Red Kuri"/>
        <s v="Red Norland"/>
        <s v="Red Racer"/>
        <s v="Red Russian"/>
        <s v="Red Spring"/>
        <s v="Red Sweet Crisp"/>
        <s v="Red Veined Sorrel"/>
        <s v="Regina Rossa"/>
        <s v="Rhubard Supreme"/>
        <s v="Ruby Red"/>
        <s v="Sakura OG"/>
        <s v="Salanova Red Oak Leaf"/>
        <s v="Salvaterra's Select"/>
        <s v="Sean's Yellow Dwarf"/>
        <s v="Sedona F1"/>
        <s v="Shintokiwa"/>
        <s v="Skywalker F1"/>
        <s v="Solar Flare"/>
        <s v="Solaris F1"/>
        <s v="Sora"/>
        <s v="Spring King"/>
        <s v="SS 141"/>
        <s v="Sugar Dumpling F1"/>
        <s v="Sun Dipper"/>
        <s v="Sunburst"/>
        <s v="Sungold F1"/>
        <s v="Sunset Chard"/>
        <s v="Sunshine"/>
        <s v="Super Sugar Snap"/>
        <s v="Sweet Million"/>
        <s v="Tango"/>
        <s v="Tasty Green"/>
        <s v="Tessaury F1"/>
        <s v="Thalia OG"/>
        <s v="Tiffen Mennonite"/>
        <s v="Toma Verde"/>
        <s v="Triton"/>
        <s v="True Love"/>
        <s v="Ventura"/>
        <s v="Wa Wa Tsai F1"/>
        <s v="Washington Cherry"/>
        <s v="White Spear"/>
        <s v="Woodstock"/>
        <s v="Xalbadora"/>
        <s v="Yellow Crookneck"/>
        <s v="Yellowstone"/>
        <s v="Y-Star"/>
        <s v="Zanzico"/>
        <s v="Zephyr"/>
        <s v="Farao" u="1"/>
        <s v="Mini Love" u="1"/>
        <s v="Blacktail Mountain" u="1"/>
        <s v="Cream of the Crop" u="1"/>
        <s v="Marnerro" u="1"/>
        <s v="Tiffin Mennonite" u="1"/>
        <s v="Watermelon" u="1"/>
        <s v="Test" u="1"/>
        <s v="Primero Red F1" u="1"/>
        <s v="Bright Lights" u="1"/>
        <s v="Song TSJ-65 F1" u="1"/>
        <s v="Cosmic Mountain Sunset" u="1"/>
        <s v="Shungiku Komi" u="1"/>
        <s v="Piccomila F1" u="1"/>
        <s v="Cortina" u="1"/>
        <s v="Douquet OG" u="1"/>
        <s v="Red Oak Leaf" u="1"/>
        <s v="2024 Plan" u="1"/>
        <s v="Green Yardlong Bean" u="1"/>
        <s v="Famosa F1" u="1"/>
        <s v="Kossak F1" u="1"/>
        <s v="Major Dunne" u="1"/>
        <s v="Purple" u="1"/>
        <s v="Blue Fortune" u="1"/>
        <s v="Epazote" u="1"/>
        <s v="TBD" u="1"/>
        <s v="BBQ" u="1"/>
        <s v="Johnny's" u="1"/>
        <s v="Rak Tamachat" u="1"/>
        <s v="Aprovecho Hardy" u="1"/>
        <s v="Cilician" u="1"/>
        <s v="Brush Strokes" u="1"/>
        <s v="Celestial Blue Pansy" u="1"/>
        <s v="Tiger Laeta" u="1"/>
        <s v="Orange Wonder" u="1"/>
        <s v="Shawo Fruit" u="1"/>
        <s v="Tokyo Market" u="1"/>
        <s v="Verdil" u="1"/>
        <s v="Merlox Red Oak" u="1"/>
        <s v="Ailsa Craig" u="1"/>
        <s v="Arun F1" u="1"/>
        <s v="Black Seeded Simpson" u="1"/>
        <s v="Darkibor" u="1"/>
        <s v="Deadon F1" u="1"/>
        <s v="Dragon" u="1"/>
        <s v="Expect F1" u="1"/>
        <s v="Goldy Double" u="1"/>
        <s v="Klimaro F1" u="1"/>
        <s v="LION'S MOUTH BLEND" u="1"/>
        <s v="Passat F1" u="1"/>
        <s v="Reaction F1" u="1"/>
        <s v="Regiment F1" u="1"/>
        <s v="Stanton F1" u="1"/>
        <s v="Talon F1" u="1"/>
        <s v="White Russian" u="1"/>
        <s v="Bauer" u="1"/>
        <s v="Conservor F1" u="1"/>
        <s v="Crème Brulee" u="1"/>
        <s v="Deep Purple F1" u="1"/>
        <s v="Frizzle Sizzle Mini tapestry" u="1"/>
        <s v="Green Incised" u="1"/>
        <s v="Madam Butterfly Mix" u="1"/>
        <s v="Procut Peach" u="1"/>
        <s v="Purple Moon F1" u="1"/>
        <s v="Red Hedge" u="1"/>
        <s v="Scarlet Runner" u="1"/>
        <s v="Shock-O-Lat" u="1"/>
        <s v="Sorbet Formula Mix" u="1"/>
        <s v="Strawberry Blonde" u="1"/>
        <s v="Summer Breeze Mix" u="1"/>
        <s v="Chantilly Cream Yellow" u="1"/>
        <s v="Frizzle Sizzle Lemonberry" u="1"/>
        <s v="Romance F1" u="1"/>
        <s v="Garden Anarchy Mix" u="1"/>
        <s v="Lentiginni" u="1"/>
        <s v="Pacifico" u="1"/>
        <s v="Royal Bride" u="1"/>
        <s v="Outredgeous" u="1"/>
        <s v="Saved Fava" u="1"/>
        <s v="Burbank" u="1"/>
        <s v="Jelly" u="1"/>
        <s v="Foster" u="1"/>
        <s v="Winged Everlasting" u="1"/>
        <s v="Frosted Explosion Grass" u="1"/>
        <s v="Mahogany Splendor" u="1"/>
        <s v="Saltwort" u="1"/>
        <s v="Japanese" u="1"/>
        <s v="Roselle" u="1"/>
        <s v="Dara" u="1"/>
        <s v="Jewels of Opar" u="1"/>
        <s v="Saved Tubers" u="1"/>
        <s v="Red Spike" u="1"/>
        <s v="Emerald Tassels" u="1"/>
        <s v="Copper Plume" u="1"/>
        <s v="Orach, Red Flash" u="1"/>
        <s v="Blue" u="1"/>
        <s v="White" u="1"/>
        <s v="Green Gold" u="1"/>
        <s v="Integro F1" u="1"/>
        <s v="Red Express" u="1"/>
        <s v="Sunday Mix" u="1"/>
        <s v="Flamingo Purple" u="1"/>
        <s v="Gelber Nüssler" u="1"/>
        <s v="Piedmont" u="1"/>
        <s v="Vit Mache" u="1"/>
        <s v="Daydream" u="1"/>
        <s v="Persian Cress" u="1"/>
        <s v="Suyo Long" u="1"/>
        <s v="Poamoho Dark Long" u="1"/>
        <s v="Annina F1" u="1"/>
        <s v="Traviata F1" u="1"/>
        <s v="Ildkongen" u="1"/>
        <s v="Peruvian" u="1"/>
        <s v="Monstrosum Mix" u="1"/>
        <s v="Rose de Roscoff" u="1"/>
        <s v="Rudi" u="1"/>
        <s v="Tangerine Gem" u="1"/>
        <s v="Black Devil Pansy" u="1"/>
        <s v="Amber" u="1"/>
        <s v="Bush Delicata" u="1"/>
        <s v="Butterscotch PMR F1" u="1"/>
        <s v="Cherokee Purple" u="1"/>
        <s v="Honeynut" u="1"/>
        <s v="Nutterbutter" u="1"/>
        <s v="Red Carpet  F1" u="1"/>
        <s v="Red Long of Florence" u="1"/>
        <s v="Roggli Riesen" u="1"/>
        <s v="Red Malabar Spinach" u="1"/>
        <s v="Green Vines Supreme" u="1"/>
        <s v="Big Round Leaf" u="1"/>
        <s v="Waltham" u="1"/>
        <s v="Giant Yellow" u="1"/>
        <s v="Giant Orange" u="1"/>
        <s v="Coco Gold F1" u="1"/>
        <s v="Red Gem" u="1"/>
        <s v="Benary's Giant Mix" u="1"/>
        <s v="Swamp Milkweed" u="1"/>
        <s v="Butterfingers" u="1"/>
        <s v="Carmen F1" u="1"/>
        <s v="Frizzle Sizzle Yellow Blue Swirl" u="1"/>
        <s v="Triloba Macau" u="1"/>
        <s v="Tempest" u="1"/>
        <s v="Tetsukabuto" u="1"/>
        <s v="Vintage White" u="1"/>
        <s v="West Virginia '63" u="1"/>
        <s v="Lemon Gem" u="1"/>
        <s v="Umberto" u="1"/>
        <s v="AUNT MOLLY'S" u="1"/>
        <s v="Autum Sunset" u="1"/>
        <s v="Callaloo" u="1"/>
        <s v="Cengelkoy" u="1"/>
        <s v="Love Lies Bleeding" u="1"/>
        <s v="Opopeo" u="1"/>
        <s v="Prescott Fond Blanc" u="1"/>
        <s v="Sahara" u="1"/>
        <s v="Anemones" u="1"/>
        <s v="Apricotta" u="1"/>
        <s v="Bicolor Violet" u="1"/>
        <s v="Double click Snowpuff" u="1"/>
        <s v="Gloriosa Double Daisy" u="1"/>
        <s v="Green Mist" u="1"/>
        <s v="Heavenly Blue" u="1"/>
        <s v="Native Northwest" u="1"/>
        <s v="Noblessa" u="1"/>
        <s v="Pampas Plume" u="1"/>
        <s v="Persian Broadleaf" u="1"/>
        <s v="Picotee Pincushion Mix" u="1"/>
        <s v="Silky Gold" u="1"/>
        <s v="Silky Red" u="1"/>
        <s v="Starflower" u="1"/>
        <s v="Summer Berries" u="1"/>
        <s v="Summer Pastels" u="1"/>
        <s v="Tall Triloba" u="1"/>
        <s v="Thoroughwax" u="1"/>
        <s v="UV Bee Mix" u="1"/>
        <s v="White Dill" u="1"/>
        <s v="White Immortelle" u="1"/>
        <s v="Wild Garden Zinnia Mix" u="1"/>
        <s v="Limon" u="1"/>
        <s v="Helenor" u="1"/>
        <s v="Salvaterra's Select Tomato" u="1"/>
        <s v="Touchstone Gold" u="1"/>
        <s v="Cipolla's  Pride" u="1"/>
        <s v="Sooyow Nishiki" u="1"/>
        <s v="Pork Chop Osborne" u="1"/>
        <s v="Hot Streak" u="1"/>
        <s v="Rudbeckia hirta" u="1"/>
        <s v="Walla Wallla" u="1"/>
        <s v="Truchas" u="1"/>
        <s v="Gaudi F1" u="1"/>
        <s v="Natural Bright XR F1" u="1"/>
        <s v="Allure F1" u="1"/>
        <s v="Merrengo F1" u="1"/>
        <s v="Red Cloud" u="1"/>
        <s v="Deep Purple" u="1"/>
        <s v="Bolero" u="1"/>
        <s v="Romance" u="1"/>
        <s v="Napoli" u="1"/>
        <s v="Prospera" u="1"/>
        <s v="Adaptive" u="1"/>
        <s v="Cicilian Parsley" u="1"/>
        <s v="Xaldabora" u="1"/>
        <s v="Black Magic" u="1"/>
        <s v="Double click mix" u="1"/>
        <s v="Tweedia" u="1"/>
        <s v="Carleton F1" u="1"/>
        <s v="Preludio or Solaris?" u="1"/>
        <s v="Black Jack" u="1"/>
        <s v="Amaranth Mix " u="1"/>
        <s v="Pole Bean Mix" u="1"/>
        <s v="Swiss Chard Mix" u="1"/>
        <s v="Green Zines Supreme" u="1"/>
        <s v="Big Round Lead" u="1"/>
        <s v="Famosa" u="1"/>
        <s v="Ruby Moon" u="1"/>
        <s v="Winged" u="1"/>
        <s v="Deep Purple Basil" u="1"/>
        <s v="Holy Basil" u="1"/>
        <s v="Cupidon" u="1"/>
        <s v="Tuxana" u="1"/>
        <s v="Tasty Green F1" u="1"/>
        <s v="Unagi" u="1"/>
        <s v="All The Year Round" u="1"/>
        <s v="Michihili" u="1"/>
        <s v="FILDERKRAUT" u="1"/>
        <s v="January King" u="1"/>
        <s v="VERZA MORETTA DI VERONELLA" u="1"/>
        <s v="Mardi F1" u="1"/>
        <s v="Dropmore" u="1"/>
        <s v="Apollo" u="1"/>
        <s v="East Indian" u="1"/>
        <s v="Barnwood Gem" u="1"/>
        <s v="BAUER LETTUCE - Pelleted" u="1"/>
        <s v="Dubya Dapple Density" u="1"/>
        <s v="Eruption" u="1"/>
        <s v="Little Gem" u="1"/>
        <s v="MERVEILLE DES QUATRE SAISONS" u="1"/>
        <s v="Muir - Pelleted" u="1"/>
        <s v="N.P. TRUCHAS - Pelleted" u="1"/>
        <s v="Red" u="1"/>
        <s v="Farthest North Mix" u="1"/>
        <s v="Cicilian" u="1"/>
        <s v="Incantadore" u="1"/>
        <s v="Procut White Lite" u="1"/>
        <s v="Reds" u="1"/>
        <s v="Queen of Malinalco" u="1"/>
        <s v="Variety" u="1"/>
        <s v="Petch Siam" u="1"/>
        <s v="Diamond" u="1"/>
        <s v="BASKET FLOWER, 'ALOHA BLANCA'" u="1"/>
        <s v="Black Button" u="1"/>
        <s v="Classic Magic (purple, black)" u="1"/>
        <s v="Classic Romantic (reds, pinks, white)" u="1"/>
        <s v="Polka dot (mix)" u="1"/>
        <s v="Tall Boy Blue" u="1"/>
        <s v="Crackerjack" u="1"/>
        <s v="Coco" u="1"/>
        <s v="Shades of Gold Mix" u="1"/>
        <s v="Burpee's Golden" u="1"/>
        <s v="White Queen" u="1"/>
        <s v="Blue Queen" u="1"/>
        <s v="Lavender Queen" u="1"/>
        <s v="Velvet 'n Lace'" u="1"/>
        <s v="Volcano Mix" u="1"/>
        <s v="SPOOKY MIX DIANTHUS" u="1"/>
        <s v="Hollandia Purple Crown Mix" u="1"/>
        <s v="ÇENGELKÖY'" u="1"/>
        <s v="Diva" u="1"/>
        <s v="White Swan" u="1"/>
        <s v="Kajari Melon" u="1"/>
        <s v="Empress of India" u="1"/>
        <s v="Orchid Cream" u="1"/>
        <s v="Salmon Baby" u="1"/>
        <s v="Tip Top Rose Nasturtium" u="1"/>
        <s v="Cramer's Plum" u="1"/>
        <s v="Love-in-a-Mist" u="1"/>
        <s v="Biquinho Red" u="1"/>
        <s v="Biquinho Yellow" u="1"/>
        <s v="Peace Bell" u="1"/>
        <s v="Superbissima Cerny's Triumph" u="1"/>
        <s v="Superbissima Cosmic Cherry" u="1"/>
        <s v="Superbissima Giant Alba" u="1"/>
        <s v="Superbissima Giant Rose" u="1"/>
        <s v="Allred" u="1"/>
        <s v="OG Viking Purple Potato" u="1"/>
        <s v="LENTIGGINI" u="1"/>
        <s v="SCHWARZER RUNDER RADISH" u="1"/>
        <s v="Shawo Fruit/ Pusa Gulabi" u="1"/>
        <s v="Rat Tail" u="1"/>
        <s v="Rat Tail Purple" u="1"/>
        <s v="Chim Chiminee" u="1"/>
        <s v="Agretti Roscano Saltwort" u="1"/>
        <s v="Salsola komarovii" u="1"/>
        <s v="Honeypatch" u="1"/>
        <s v="Robin's Koginut" u="1"/>
        <s v="Antique Pink" u="1"/>
        <s v="Iron Pastel Mix" u="1"/>
        <s v="Katz Formula Mix" u="1"/>
        <s v="COCOZELLE" u="1"/>
        <s v="COSTATA ROMANESCO ZUCCHINI" u="1"/>
        <s v="Green Giant" u="1"/>
        <s v="Hugh's" u="1"/>
        <s v="Mary Reynold's" u="1"/>
        <s v="Mortgage Lifter, Radiator Charlie's" u="1"/>
        <s v="Nepal" u="1"/>
        <s v="PIENNOLO ROSSO" u="1"/>
        <s v="Sungella" u="1"/>
        <s v="SWEET ORANGE II" u="1"/>
        <s v="Yellow Bell" u="1"/>
        <s v="Leftovers" u="1"/>
        <s v="Winter Giant" u="1"/>
        <s v="Polish White" u="1"/>
        <s v="Imperial Antique Shades" u="1"/>
        <s v="Red Ace" u="1"/>
        <s v="Magnus" u="1"/>
        <s v="Berlin F1 Berlicum" u="1"/>
        <s v="MUIR LETTUCE - PELLETED" u="1"/>
        <s v="Nature Mulberry shades" u="1"/>
        <s v="Lovage" u="1"/>
        <s v="Minnesota Midget" u="1"/>
        <s v="Windsor" u="1"/>
        <s v="Austrian Winter Pea" u="1"/>
        <s v="MARY REYNOLD'S ORANGE TOMATO" u="1"/>
        <s v="FROG ISLAND NATION" u="1"/>
        <s v="Prescott Font Blanc" u="1"/>
        <s v="Tendril Pea" u="1"/>
        <s v="STUTTGARTER RIESEN" u="1"/>
        <s v="Sweet™ Purple White Bicolor (pelleted)" u="1"/>
        <s v="Cilantro Mix" u="1"/>
        <s v="Rose de Roscoff Keravel" u="1"/>
        <s v="Italian Large Leaf, Zanzico, Thai Basil" u="1"/>
        <s v="100 Incantadore" u="1"/>
      </sharedItems>
    </cacheField>
    <cacheField name="Company" numFmtId="0">
      <sharedItems containsBlank="1" count="62">
        <s v="Sustainable Seed Company"/>
        <s v="Wild Garden"/>
        <s v="Row 7"/>
        <s v="Johnny's"/>
        <s v="High Mowing"/>
        <s v="Adaptive"/>
        <s v="Garden Hoard"/>
        <s v="Osborne"/>
        <s v="Uprising"/>
        <m/>
        <s v="A H Whaley"/>
        <s v="Tomato Fest"/>
        <s v="A P Whaley"/>
        <s v="Bene"/>
        <s v="Seed Savers"/>
        <s v="Territorial"/>
        <s v="Wild Board Farm"/>
        <s v="Seedway"/>
        <s v="Harris"/>
        <s v="Johnnys"/>
        <s v="Siskiyou"/>
        <s v="Adapative" u="1"/>
        <s v="Blacktail Mountain" u="1"/>
        <s v="Test" u="1"/>
        <s v="AH Whaley" u="1"/>
        <s v="Wild Mountain" u="1"/>
        <s v="Wild Garden Seeds" u="1"/>
        <s v="Siskiyou Seeds" u="1"/>
        <s v="Beene" u="1"/>
        <s v="Everwilde" u="1"/>
        <s v="Sky Nursery" u="1"/>
        <s v="Baker Creek" u="1"/>
        <s v="Fedco" u="1"/>
        <s v="Blue Glass Farm" u="1"/>
        <s v="Irish Eyes" u="1"/>
        <s v="Kitazawa" u="1"/>
        <s v="Rare Seeds" u="1"/>
        <s v="Strictly Medicinal" u="1"/>
        <s v="Southern Exposure" u="1"/>
        <s v="Totally Tomatoes" u="1"/>
        <s v="Whitman Organics" u="1"/>
        <s v="Seed Saver's Exchange" u="1"/>
        <s v="Saved Seed" u="1"/>
        <s v="Magenta Spreen" u="1"/>
        <s v="Uprising Seeds" u="1"/>
        <s v="Adaptive Seeds" u="1"/>
        <s v="Swallowtail Garden" u="1"/>
        <s v="Variety" u="1"/>
        <s v="Weston" u="1"/>
        <s v="True Love" u="1"/>
        <s v="Apative" u="1"/>
        <s v="Johnny's Seeds" u="1"/>
        <s v="Incantadore" u="1"/>
        <s v="Uprisng" u="1"/>
        <s v="Grow Artisan" u="1"/>
        <s v="Prairie Road Organic" u="1"/>
        <s v="Park Seed" u="1"/>
        <s v="Apaptive" u="1"/>
        <s v="Uprising, Wild Garden" u="1"/>
        <s v="Osborne Seeds" u="1"/>
        <s v="Weston Seeds" u="1"/>
        <s v="Swallowtail Garden seeds" u="1"/>
      </sharedItems>
    </cacheField>
    <cacheField name="Seeds" numFmtId="0">
      <sharedItems containsString="0" containsBlank="1" containsNumber="1" minValue="0" maxValue="9360"/>
    </cacheField>
    <cacheField name="Crop" numFmtId="0">
      <sharedItems/>
    </cacheField>
    <cacheField name="Notes" numFmtId="0">
      <sharedItems containsBlank="1" count="6">
        <m/>
        <s v="Green garlic in I8. Was all of our saved runts. I7 is softneck . Sofneck was just polish. Might have done a spacing experiement."/>
        <s v="Zemo. Red Chesnok and Adaptive Music. Zemo from Viva was abolsutely massive. Even bigger than our current. Might have done a spacing experiement."/>
        <s v="Perennial"/>
        <s v="Asian Greens"/>
        <s v="Blood sorrel takes fuckin ages. Like a month to start. Grows really slow. Green sorrel grew like a weed. Cut back the flowering stalk and it it bounded well. Something at it in late summer."/>
      </sharedItems>
    </cacheField>
    <cacheField name="Name" numFmtId="0">
      <sharedItems containsBlank="1" count="104">
        <s v="Fava Bean"/>
        <s v="Lettuce"/>
        <s v="Summer Squash"/>
        <s v="Lemongrass"/>
        <s v="Cabbage"/>
        <s v="Choi Sum"/>
        <s v="Turnip"/>
        <s v="Magenta Spreen"/>
        <s v="Gooseberry"/>
        <s v="Radish"/>
        <s v="Pepper"/>
        <s v="Chrysanthemum Greens"/>
        <s v="Cauliflower"/>
        <s v="Basil"/>
        <s v="Asian Greens"/>
        <s v="Garlic"/>
        <s v="Lovage"/>
        <s v="Arugula"/>
        <s v="Tomato"/>
        <s v="Dill"/>
        <s v="Bean"/>
        <s v="Beet"/>
        <s v="Broccoli"/>
        <s v="Radicchio"/>
        <s v="Carrot"/>
        <s v="Kale"/>
        <s v="Cilantro"/>
        <s v="Corn "/>
        <s v="Cucumber"/>
        <s v="Peas"/>
        <s v="Leek"/>
        <s v="Onion"/>
        <s v="Kohlrabi"/>
        <s v="Tomatillo"/>
        <s v="Melon"/>
        <s v="Parsley"/>
        <s v="Potato"/>
        <s v="Parsnip"/>
        <s v="Swiss Chard"/>
        <s v="Sorrel"/>
        <s v="Scallion"/>
        <s v="Squash"/>
        <s v="Celery"/>
        <s v="Fennel"/>
        <s v="Bok Choy" u="1"/>
        <s v="Parsnip Mix" u="1"/>
        <m u="1"/>
        <s v="Rutabaga" u="1"/>
        <s v="Rat Tail Radish" u="1"/>
        <s v="Anise Hysopp" u="1"/>
        <s v="Epazote" u="1"/>
        <s v="Mint" u="1"/>
        <s v="Komatsuna" u="1"/>
        <s v="Rosemary" u="1"/>
        <s v="Pansy and Violas" u="1"/>
        <s v="Snapdragons" u="1"/>
        <s v="Spinach" u="1"/>
        <s v="Sunflowers" u="1"/>
        <s v="Shallots" u="1"/>
        <s v="Beans" u="1"/>
        <s v="Fava Beans" u="1"/>
        <s v="Flax" u="1"/>
        <s v="Everlasting" u="1"/>
        <s v="Grass" u="1"/>
        <s v="Hibiscus" u="1"/>
        <s v="Salsola" u="1"/>
        <s v="Buckwheat" u="1"/>
        <s v="Roselle" u="1"/>
        <s v="Queen Anne's Lace" u="1"/>
        <s v="Talinum" u="1"/>
        <s v="Dahlias" u="1"/>
        <s v="Sage" u="1"/>
        <s v="Thyme" u="1"/>
        <s v="Amaranth" u="1"/>
        <s v="Atriplex" u="1"/>
        <s v="Borage" u="1"/>
        <s v="Bupleurum" u="1"/>
        <s v="Celosia" u="1"/>
        <s v="Corn Salad" u="1"/>
        <s v="Cosmos" u="1"/>
        <s v="Cress" u="1"/>
        <s v="Eggplant" u="1"/>
        <s v="Marigolds" u="1"/>
        <s v="Ground Cherry" u="1"/>
        <s v="Strawflower" u="1"/>
        <s v="Malabar Spinach" u="1"/>
        <s v="Zinnia" u="1"/>
        <s v="Milkweed" u="1"/>
        <s v="Rubeckia" u="1"/>
        <s v="Yarrow" u="1"/>
        <s v="Scabiosa" u="1"/>
        <s v="Chrysanthemum" u="1"/>
        <s v="Dropmore" u="1"/>
        <s v="Kaibroc" u="1"/>
        <s v="Bachellor's Button" u="1"/>
        <s v="Butterfly Flowers" u="1"/>
        <s v="Dianthus" u="1"/>
        <s v="Nausturtium" u="1"/>
        <s v="Nigella" u="1"/>
        <s v="Petunia" u="1"/>
        <s v="Stock" u="1"/>
        <s v="Pea Tentril" u="1"/>
        <s v="Pea Tendril" u="1"/>
        <s v="Tarp" u="1"/>
      </sharedItems>
    </cacheField>
    <cacheField name="Seed Bought" numFmtId="0">
      <sharedItems containsString="0" containsBlank="1" count="1">
        <m/>
      </sharedItems>
    </cacheField>
    <cacheField name="# Of Beds" numFmtId="0">
      <sharedItems containsSemiMixedTypes="0" containsString="0" containsNumber="1" minValue="0.25" maxValue="16" count="12">
        <n v="1"/>
        <n v="0.4"/>
        <n v="0.5"/>
        <n v="0.25"/>
        <n v="2"/>
        <n v="8"/>
        <n v="1.6"/>
        <n v="0.8"/>
        <n v="10.8"/>
        <n v="6"/>
        <n v="16"/>
        <n v="0.75"/>
      </sharedItems>
    </cacheField>
    <cacheField name="Display Width" numFmtId="0">
      <sharedItems containsSemiMixedTypes="0" containsString="0" containsNumber="1" minValue="0.5" maxValue="4" count="4">
        <n v="1"/>
        <n v="0.5"/>
        <n v="2"/>
        <n v="4"/>
      </sharedItems>
    </cacheField>
    <cacheField name="Repeat ID" numFmtId="0">
      <sharedItems containsString="0" containsBlank="1" count="1">
        <m/>
      </sharedItems>
    </cacheField>
    <cacheField name="Code" numFmtId="0">
      <sharedItems/>
    </cacheField>
    <cacheField name="Generation" numFmtId="0">
      <sharedItems containsString="0" containsBlank="1" count="1">
        <m/>
      </sharedItems>
    </cacheField>
    <cacheField name="Greenhouse Start Date" numFmtId="0">
      <sharedItems containsDate="1" containsMixedTypes="1" minDate="2024-01-01T00:00:00" maxDate="2025-07-17T00:00:00" count="30">
        <s v=""/>
        <d v="2025-04-01T00:00:00"/>
        <d v="2025-04-16T00:00:00"/>
        <d v="2025-03-21T00:00:00"/>
        <d v="2025-04-24T00:00:00"/>
        <d v="2025-07-16T00:00:00"/>
        <d v="2025-06-25T00:00:00"/>
        <d v="2025-06-27T00:00:00"/>
        <d v="2025-06-04T00:00:00"/>
        <d v="2025-05-14T00:00:00"/>
        <d v="2024-01-01T00:00:00"/>
        <d v="2025-05-19T00:00:00"/>
        <d v="2025-03-25T00:00:00"/>
        <d v="2025-04-20T00:00:00"/>
        <d v="2025-06-18T00:00:00"/>
        <d v="2025-07-02T00:00:00"/>
        <d v="2025-05-18T00:00:00"/>
        <d v="2025-05-31T00:00:00"/>
        <d v="2025-04-14T00:00:00"/>
        <d v="2025-06-10T00:00:00"/>
        <d v="2025-06-09T00:00:00"/>
        <d v="2025-03-28T00:00:00"/>
        <d v="2025-04-15T00:00:00"/>
        <d v="2025-06-15T00:00:00"/>
        <d v="2025-03-30T00:00:00"/>
        <d v="2025-06-03T00:00:00"/>
        <d v="2025-06-24T00:00:00"/>
        <d v="2025-07-15T00:00:00"/>
        <d v="2025-06-20T00:00:00"/>
        <d v="2024-03-23T00:00:00"/>
      </sharedItems>
    </cacheField>
    <cacheField name="Fixed Field Start Date" numFmtId="0">
      <sharedItems containsSemiMixedTypes="0" containsDate="1" containsString="0" minDate="2024-01-27T00:00:00" maxDate="2025-09-08T00:00:00"/>
    </cacheField>
    <cacheField name="Follows Crop" numFmtId="0">
      <sharedItems containsString="0" containsBlank="1" count="1">
        <m/>
      </sharedItems>
    </cacheField>
    <cacheField name="TP or DS Date" numFmtId="0">
      <sharedItems containsSemiMixedTypes="0" containsDate="1" containsString="0" minDate="2024-01-01T00:00:00" maxDate="2025-09-08T00:00:00"/>
    </cacheField>
    <cacheField name="Beginning of Harvest" numFmtId="0">
      <sharedItems containsSemiMixedTypes="0" containsDate="1" containsString="0" minDate="2024-04-10T00:00:00" maxDate="2025-10-18T00:00:00"/>
    </cacheField>
    <cacheField name="End of Harvest" numFmtId="0">
      <sharedItems containsSemiMixedTypes="0" containsDate="1" containsString="0" minDate="2025-01-20T00:00:00" maxDate="2025-12-23T00:00:00"/>
    </cacheField>
    <cacheField name="Seeding Done" numFmtId="0">
      <sharedItems count="2">
        <b v="1"/>
        <b v="0"/>
      </sharedItems>
    </cacheField>
    <cacheField name="Transplant Done" numFmtId="0">
      <sharedItems count="3">
        <s v="-"/>
        <b v="1"/>
        <b v="0"/>
      </sharedItems>
    </cacheField>
    <cacheField name="Harvest Done" numFmtId="0">
      <sharedItems count="1">
        <b v="0"/>
      </sharedItems>
    </cacheField>
    <cacheField name="Crop Done" numFmtId="0">
      <sharedItems count="1">
        <b v="0"/>
      </sharedItems>
    </cacheField>
    <cacheField name="Revenue" numFmtId="0">
      <sharedItems containsSemiMixedTypes="0" containsString="0" containsNumber="1" minValue="56.25" maxValue="27000"/>
    </cacheField>
    <cacheField name="Revenue Per Bed Day" numFmtId="0">
      <sharedItems containsSemiMixedTypes="0" containsString="0" containsNumber="1" minValue="0.78120000000000001" maxValue="182.4324"/>
    </cacheField>
    <cacheField name="DTM" numFmtId="0">
      <sharedItems containsSemiMixedTypes="0" containsString="0" containsNumber="1" containsInteger="1" minValue="31" maxValue="270"/>
    </cacheField>
    <cacheField name="Additional Days in Cells" numFmtId="0">
      <sharedItems containsString="0" containsBlank="1" count="1">
        <m/>
      </sharedItems>
    </cacheField>
    <cacheField name="Additional Days In Field" numFmtId="0">
      <sharedItems containsString="0" containsBlank="1" containsNumber="1" containsInteger="1" minValue="-21" maxValue="7" count="5">
        <m/>
        <n v="-14"/>
        <n v="-7"/>
        <n v="-21"/>
        <n v="7"/>
      </sharedItems>
    </cacheField>
    <cacheField name="Additional Days of Harvest" numFmtId="0">
      <sharedItems containsDate="1" containsString="0" containsBlank="1" minDate="1900-04-08T00:00:00" maxDate="1900-04-09T00:00:00" count="2">
        <m/>
        <d v="1900-04-08T00:00:00"/>
      </sharedItems>
    </cacheField>
    <cacheField name="Harvest Window" numFmtId="0">
      <sharedItems containsSemiMixedTypes="0" containsString="0" containsNumber="1" containsInteger="1" minValue="7" maxValue="224" count="27">
        <n v="21"/>
        <n v="14"/>
        <n v="95"/>
        <n v="63"/>
        <n v="7"/>
        <n v="35"/>
        <n v="98"/>
        <n v="70"/>
        <n v="56"/>
        <n v="112"/>
        <n v="161"/>
        <n v="18"/>
        <n v="49"/>
        <n v="17"/>
        <n v="43"/>
        <n v="84"/>
        <n v="105"/>
        <n v="33"/>
        <n v="77"/>
        <n v="28"/>
        <n v="47"/>
        <n v="27"/>
        <n v="119"/>
        <n v="126"/>
        <n v="87"/>
        <n v="224"/>
        <n v="147"/>
      </sharedItems>
    </cacheField>
    <cacheField name="DS/TP" numFmtId="0">
      <sharedItems count="2">
        <s v="DS"/>
        <s v="TP"/>
      </sharedItems>
    </cacheField>
    <cacheField name="100 Foot Bed Equivalent" numFmtId="0">
      <sharedItems containsString="0" containsBlank="1" count="1">
        <m/>
      </sharedItems>
    </cacheField>
    <cacheField name="Tray" numFmtId="0">
      <sharedItems containsString="0" containsBlank="1" count="1">
        <m/>
      </sharedItems>
    </cacheField>
    <cacheField name="Tray Count" numFmtId="0">
      <sharedItems containsString="0" containsBlank="1" count="1">
        <m/>
      </sharedItems>
    </cacheField>
    <cacheField name="Days in Cells" numFmtId="0">
      <sharedItems containsSemiMixedTypes="0" containsString="0" containsNumber="1" containsInteger="1" minValue="0" maxValue="90" count="16">
        <n v="0"/>
        <n v="30"/>
        <n v="28"/>
        <n v="40"/>
        <n v="35"/>
        <n v="53"/>
        <n v="90"/>
        <n v="56"/>
        <n v="26"/>
        <n v="14"/>
        <n v="21"/>
        <n v="60"/>
        <n v="42"/>
        <n v="25"/>
        <n v="24"/>
        <n v="69"/>
      </sharedItems>
    </cacheField>
    <cacheField name="Rows" numFmtId="0">
      <sharedItems containsSemiMixedTypes="0" containsString="0" containsNumber="1" containsInteger="1" minValue="1" maxValue="6" count="6">
        <n v="2"/>
        <n v="4"/>
        <n v="1"/>
        <n v="3"/>
        <n v="6"/>
        <n v="5"/>
      </sharedItems>
    </cacheField>
    <cacheField name="Spacing" numFmtId="0">
      <sharedItems containsSemiMixedTypes="0" containsString="0" containsNumber="1" minValue="0.25" maxValue="36" count="17">
        <n v="9"/>
        <n v="24"/>
        <n v="12"/>
        <n v="1.5"/>
        <n v="2"/>
        <n v="30"/>
        <n v="3"/>
        <n v="0.8"/>
        <n v="21"/>
        <n v="0.5"/>
        <n v="6"/>
        <n v="18"/>
        <n v="0.25"/>
        <n v="15"/>
        <n v="4"/>
        <n v="1"/>
        <n v="36"/>
      </sharedItems>
    </cacheField>
    <cacheField name="Irrigation" numFmtId="0">
      <sharedItems count="3">
        <s v=""/>
        <s v="DR"/>
        <s v="OH"/>
      </sharedItems>
    </cacheField>
    <cacheField name="Chart Index" numFmtId="0">
      <sharedItems containsSemiMixedTypes="0" containsString="0" containsNumber="1" containsInteger="1" minValue="6" maxValue="335"/>
    </cacheField>
    <cacheField name="Seasons" numFmtId="0">
      <sharedItems containsMixedTypes="1" containsNumber="1" containsInteger="1" minValue="0" maxValue="0" count="12">
        <s v="Sp"/>
        <s v="Su"/>
        <s v="SpSu"/>
        <s v=""/>
        <s v="SuFa"/>
        <s v="Ow"/>
        <n v="0"/>
        <s v="SpSuOw"/>
        <s v="Fa"/>
        <s v="Wi"/>
        <s v="FaWi"/>
        <s v="SpSuFa"/>
      </sharedItems>
    </cacheField>
    <cacheField name="Days Until Harvest" numFmtId="0">
      <sharedItems containsSemiMixedTypes="0" containsString="0" containsNumber="1" containsInteger="1" minValue="490" maxValue="1020"/>
    </cacheField>
    <cacheField name="True Harvest Window" numFmtId="0">
      <sharedItems containsSemiMixedTypes="0" containsString="0" containsNumber="1" containsInteger="1" minValue="7" maxValue="260"/>
    </cacheField>
    <cacheField name="Category" numFmtId="0">
      <sharedItems containsMixedTypes="1" containsNumber="1" containsInteger="1" minValue="0" maxValue="0" count="19">
        <s v="Fava Bean"/>
        <s v="Green"/>
        <s v="Summer Squash"/>
        <s v="Herb"/>
        <s v="Brassica"/>
        <s v="Root"/>
        <s v="Flower"/>
        <n v="0"/>
        <s v="Pepper"/>
        <s v="Garlic"/>
        <s v="Tomato"/>
        <s v="Beans"/>
        <s v="Corn"/>
        <s v="Cucumber"/>
        <s v="Onion"/>
        <s v="Melon"/>
        <s v="Winter Squash"/>
        <s v="Celery"/>
        <s v="Fennel"/>
      </sharedItems>
    </cacheField>
    <cacheField name="Height" numFmtId="0">
      <sharedItems containsSemiMixedTypes="0" containsString="0" containsNumber="1" minValue="0" maxValue="24" count="13">
        <n v="3.5"/>
        <n v="1"/>
        <n v="3"/>
        <n v="4"/>
        <n v="0"/>
        <n v="1.5"/>
        <n v="2"/>
        <n v="7"/>
        <n v="6"/>
        <n v="5"/>
        <n v="24"/>
        <n v="18"/>
        <n v="2.5"/>
      </sharedItems>
    </cacheField>
    <cacheField name="Cover" numFmtId="0">
      <sharedItems containsMixedTypes="1" containsNumber="1" containsInteger="1" minValue="0" maxValue="0" count="6">
        <n v="0"/>
        <s v="None"/>
        <s v="AMAP"/>
        <s v="Young"/>
        <s v="Early"/>
        <s v="Late"/>
      </sharedItems>
    </cacheField>
    <cacheField name="Varieties.Organic" numFmtId="0">
      <sharedItems containsBlank="1" count="3">
        <s v="true"/>
        <s v="false"/>
        <m/>
      </sharedItems>
    </cacheField>
    <cacheField name="Varieties.No Organic" numFmtId="0">
      <sharedItems containsString="0" containsBlank="1" count="1">
        <m/>
      </sharedItems>
    </cacheField>
    <cacheField name="Varieties.Already Own" numFmtId="0">
      <sharedItems containsBlank="1" count="2">
        <m/>
        <b v="1" u="1"/>
      </sharedItems>
    </cacheField>
    <cacheField name="Varieties.Notes" numFmtId="0">
      <sharedItems containsBlank="1" count="18" longText="1">
        <m/>
        <s v="A new chapter for the heirloom tromboncino, and an answer to ho-hum zucchini. Young green squash were selected for their sweet, nutty flavor and meaty texture. 70 days to harvest._x000a__x000a__x000a__x000a_Each Centercut seed sold supports public plant breeding research at Cornell University. The creation of this variety was funded in part by a USDA-NIFA grant. All products are certified NOP but not US-COR (Canadian Organic) Compliant._x000a__x000a_"/>
        <s v="The slowest to bolt in our summer trials. Technically a Batavian type, the light green, extra-wavy leaves form dense heads at a small size and can be harvested as a mini or left to bulk up into large, heavy, full-size heads. The leaves are crisp and have excellent flavor. Suitable for hydroponic systems. Utility Patent granted. High resistance to downy mildew races EU 16–26, 28, 32; US 5–9, Nasonovia nibisnigri aphid, and tomato bushy stunt virus (lettuce dieback complex); intermediate resistance to lettuce mosaic virus. MT0-30. Also available with NOP-compliant pelleting. USDA Certified Organic. Avg. 25,200 seeds/oz. Packet: 500 seeds."/>
        <s v="A unique oblong golden beet cultivar developed with flavor-first chefs and consumers in mind._x000a__x000a_This fascinating cultivar was developed to have a low amount of geosmin, the compound that gives beets their earthy flavor. this makes for a perfectly mild and sweet golden beet that is delightful when eaten raw. After 9 years of pursuing this variety, we are finally able to share it. This one-of-a-kind variety comes to us from renowned plant breeder Irwin Goldman of the University of Wisconsin. A portion of the sales of this variety is paid to the breeder - learn more here._x000a__x000a_Easy to process_x000a_Delicious raw or cooked_x000a_1.5” wide and 4” long roots_x000a_BR_x000a_Open-Pollinated"/>
        <s v="One of the sweetest beets we’ve tasted!_x000a__x000a_Superb flavor and the ability to stay tender support a wide range of uses. Juicy roots can be harvested baby and beyond 3&quot; with good quality up to 6&quot;. Tops regenerate quickly for clean, healthy leaves all season. Deep red color with minimal zoning. Precision sized._x000a__x000a_Stores well_x000a_Baby or full sized_x000a_2-6&quot; roots_x000a_Hybrid"/>
        <s v="Beta vulgaris. Round Pink/White Rings. 65 days._x000a_In our days as market growers, Chioggia beets were by far our customers’ favorite, and we loved them too. Dark pink on the outside, the inside features concentric rings of pink and white. The candy cane like appearance is as pretty as it is fun. But Chioggia charms the palate, too – much sweeter than red beets, with less of the “earthy” flavor that turns some people off from this nutritious root vegetable. Winter Chioggia beets are just about as sweet as candy. Plus, they don’t bleed as much as red beets when cooked, although the stripes do fade. Very good simply roasted with a little olive oil and salt. Green leaves. Heirloom originally from Chioggia, Italy, that has been in the US since the 1860s."/>
        <s v="Beautiful and uniform roots with delicious flavor and strong att achment to long, sturdy stems._x000a__x000a_Excellent main season carrot with erect, vigorous foliage and good field holding quality. Exceptional storage makes it a great candidate for winter sales. Cylindrical roots have smooth skin and a medium core. Excellent flavor raw or cooked._x000a__x000a_Long storage_x000a_7-9&quot; Nantes-type_x000a_Hybrid"/>
        <s v="(aka Red Brandywine) The original Brandywine introduced by Johnson and Stokes in 1889 from seeds they received from a customer in Ohio. Named after Brandywine Creek in Chester County, Pennsylvania. Large vines produce deep red 8-12 ounce fruits. Excellent flavor. Very productive. Indeterminate, 80 days from transplant. ±8,900 seeds/oz."/>
        <s v="Remarkable earliness and size._x000a__x000a_Beautiful full-sized leeks. In favorable soil and culture, the white shanks are over a foot long to the first leaf. Medium-green leaves with full habit. For baby leeks, plant closely (40 seeds/ft.) and harvest at finger size. While not hardy enough for overwintering, they will withstand medium-heavy frost (32° to 20°F/0° to -7°C) without losing their healthy appearance. USDA Certified Organic. Avg. 9,500 seeds/oz. Packet: 250 seeds."/>
        <s v="Translates from German as ‘easy cut,’ which proves to be very true. Incredibly flavorful and hardy, the dark green, flat leaves grow upright allowing for easy harvest and built-in rot resistance. High quality, marketable appearance and healthy year-round, even in the dead of winter. Several local organic growers have sung the praises of Einfache Schnitt 3 and we too relied on it all season long. Originally sourced from Bingenheimer Saatgut, the German biodynamic seed company."/>
        <s v="Classic stump-rooted daikon style radish with mild flavor. White, cylindrical roots can grow to 5 lbs and 16” long but taste best when harvested smaller. Excellent pickled, shredded on salad, or added to soups or stirfry. An outstanding storage crop, in the field or root cellar. Many daikon varieties hold a lot of their root above ground; Okhura Winter Queen keeps the above-ground portion small, contributing to increased winter hardiness. In addition to being a tasty and nutritious vegetable, daikons are also frequently grown as a forage and fodder crop, and as a cover crop to break through soil hard pan. Best for any use when fall planted. We thank Peace Seeds for introducing us to this variety."/>
        <s v="Attained! A really superior “bulbing” fennel, better than the European standard ‘Zefa Fino.’ Larger and more uniform than any OP finocchio we’ve ever seen. Very bolt resistant. Came in 2nd right behind F1 Orion in the 2007 OSA Fennel Trials for overall performance, and got 1st place for real flavor."/>
        <s v="medium cherry, large trusses, good vine storage, no spliting"/>
        <s v="Teardrop-shaped, striking red-orange squash from Japan._x000a__x000a_Also known as Baby Red Hubbard or Orange Hokkaido, this variety has smooth, sweet, dry orange flesh. Reliable yields even in cool climates with short growing seasons. Improved HMOS strain with greater uniformity than others._x000a__x000a_Reliable in short seasons_x000a_3-4 lbs_x000a_Vining habit_x000a_Open-Pollinated"/>
        <s v="3.8 SeedLinked. Winner of our 2017 Tomato Tasting - Paste/ Sauce division. The great meaty texture is paired with tangy, sweet flavor that make it an ideal sauce tomato. Fruits measure 2½-3¾&quot;. At Seed Savers Exchange (zone 4B), it was a bit later maturing but had above average productivity. Grown by Charles Salvaterra since the early 1980s, this heirloom tomato has been shared within the Hazleton, Pennsylvania community since the 1950s. Indeterminate, 70-80 days from transplant."/>
        <s v="Intense fruity flavor._x000a__x000a_Exceptionally sweet, bright tangerine-orange cherry tomatoes leave everyone begging for more. Vigorous plants start yielding early and bear right through the season. Tendency to split precludes shipping, making these an exclusively fresh-market treat. The taste can't be beat. 15–20 gm. fruits. High resistance to Fusarium wilt and tobacco mosaic virus. Indeterminate. Avg. 15,950 seeds/oz. Packet: 40 seeds."/>
        <s v="NEW FOR 2023! ‘Zanzico’ comes from a cross of 'Opalescent X Classico', a 4th generation family with large thick leaves up to 2 x 4” in size, convexly rounded, slightly savoyed with broadly toothed margins, somewhat bronzed in color, with light lilac flowers. The East African flavors of ‘Mrihani’ (the seed parent of ‘Opalescent,’ from Zanzibar) meld with sweet Italian ‘Classico’ in this large framed plant. The scent and vigor of this one suggests tea, cooking, and fragrant floral arrangements. Expect some variation for flower color, leaf size, and flavor between plants. There is also a possibility of resistance to downy mildew, thanks to that Zanzibar heritage. ‘Mrihani’ is the source of resistance in many of the new downy mildew resistant varieties, but its flavor has been bred away in favor of the pure sweet Italian profile. Here, the ‘Mrihani’ comes through in combination with the sweet Italian from ‘Classico.’"/>
        <s v="Distinctive, slender fruits are yellow with faint white stripes and light-green blossom ends. Harvest young at 4-6&quot; for unusually delicious, nutty flavor and firm texture. Vigorous, high-yielding plants. NOTE: Under certain stressful situations, such as hot weather, Zephyr fruits can show some variability in the amount of green at the blossom ends. In addition, sometimes the first one or two fruits produced can be green-striped._x000a__x000a_• Edible Flowers: Blossoms bear a mild, squash-like flavor and are great stuffed and fried, or sliced for use in soups, omelets, salads, and pasta dishes._x000a__x000a_Avg. 4,600 seeds/lb. Packet: 30 seeds."/>
      </sharedItems>
    </cacheField>
    <cacheField name="Varieties.Website"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93.55844270833" backgroundQuery="1" createdVersion="8" refreshedVersion="8" minRefreshableVersion="3" recordCount="366" xr:uid="{E0A40BA6-8FD3-4BBA-8D7E-7EE786A7D0D8}">
  <cacheSource type="external" connectionId="2"/>
  <cacheFields count="50">
    <cacheField name="Done" numFmtId="0">
      <sharedItems count="2">
        <b v="1"/>
        <b v="0"/>
      </sharedItems>
    </cacheField>
    <cacheField name="Date" numFmtId="0">
      <sharedItems containsSemiMixedTypes="0" containsNonDate="0" containsDate="1" containsString="0" minDate="1900-06-28T00:00:00" maxDate="2025-11-16T00:00:00" count="444">
        <d v="2025-04-07T00:00:00"/>
        <d v="2025-05-04T00:00:00"/>
        <d v="2025-03-25T00:00:00"/>
        <d v="2025-06-30T00:00:00"/>
        <d v="2025-08-15T00:00:00"/>
        <d v="2025-04-05T00:00:00"/>
        <d v="2025-04-30T00:00:00"/>
        <d v="2025-06-29T00:00:00"/>
        <d v="2025-08-01T00:00:00"/>
        <d v="2025-07-01T00:00:00"/>
        <d v="2025-06-20T00:00:00"/>
        <d v="2025-04-01T00:00:00"/>
        <d v="2025-01-31T00:00:00"/>
        <d v="2024-12-21T00:00:00"/>
        <d v="2024-01-01T00:00:00"/>
        <d v="2025-04-18T00:00:00"/>
        <d v="2025-04-24T00:00:00"/>
        <d v="2025-04-06T00:00:00"/>
        <d v="2025-07-21T00:00:00"/>
        <d v="2025-08-25T00:00:00"/>
        <d v="2025-08-20T00:00:00"/>
        <d v="2025-08-29T00:00:00"/>
        <d v="2025-06-25T00:00:00"/>
        <d v="2025-05-07T00:00:00"/>
        <d v="2025-05-26T00:00:00"/>
        <d v="2025-06-28T00:00:00"/>
        <d v="2025-06-04T00:00:00"/>
        <d v="2025-06-05T00:00:00"/>
        <d v="2025-05-02T00:00:00"/>
        <d v="2025-07-26T00:00:00"/>
        <d v="2025-07-19T00:00:00"/>
        <d v="2025-08-07T00:00:00"/>
        <d v="2025-07-31T00:00:00"/>
        <d v="2025-05-05T00:00:00"/>
        <d v="2025-05-01T00:00:00"/>
        <d v="2025-08-05T00:00:00"/>
        <d v="2025-04-23T00:00:00"/>
        <d v="2025-04-20T00:00:00"/>
        <d v="2025-05-18T00:00:00"/>
        <d v="2025-06-13T00:00:00"/>
        <d v="2025-05-30T00:00:00"/>
        <d v="2025-06-09T00:00:00"/>
        <d v="2025-01-01T00:00:00"/>
        <d v="2025-04-28T00:00:00"/>
        <d v="2025-07-28T00:00:00"/>
        <d v="2025-05-31T00:00:00"/>
        <d v="2025-05-10T00:00:00"/>
        <d v="2025-06-06T00:00:00"/>
        <d v="2025-06-18T00:00:00"/>
        <d v="2025-05-08T00:00:00"/>
        <d v="2025-05-12T00:00:00"/>
        <d v="2025-08-14T00:00:00"/>
        <d v="2025-05-27T00:00:00"/>
        <d v="2025-04-22T00:00:00"/>
        <d v="2025-04-02T00:00:00"/>
        <d v="2025-03-12T00:00:00"/>
        <d v="2024-04-26T00:00:00"/>
        <d v="2025-05-19T00:00:00"/>
        <d v="2025-05-23T00:00:00"/>
        <d v="2025-06-15T00:00:00"/>
        <d v="2025-06-07T00:00:00"/>
        <d v="2025-04-25T00:00:00"/>
        <d v="2025-09-15T00:00:00"/>
        <d v="2025-09-21T00:00:00"/>
        <d v="2025-07-20T00:00:00"/>
        <d v="2025-08-22T00:00:00"/>
        <d v="2025-07-25T00:00:00"/>
        <d v="2025-08-17T00:00:00"/>
        <d v="2025-06-27T00:00:00"/>
        <d v="2025-09-09T00:00:00"/>
        <d v="2025-09-29T00:00:00"/>
        <d v="2025-10-04T00:00:00"/>
        <d v="2025-09-02T00:00:00"/>
        <d v="2025-10-19T00:00:00"/>
        <d v="2025-09-14T00:00:00"/>
        <d v="2025-09-19T00:00:00"/>
        <d v="2025-07-11T00:00:00"/>
        <d v="2025-06-14T00:00:00"/>
        <d v="2025-07-09T00:00:00"/>
        <d v="2025-09-07T00:00:00"/>
        <d v="2025-10-10T00:00:00"/>
        <d v="2025-09-23T00:00:00"/>
        <d v="2025-09-16T00:00:00"/>
        <d v="2025-07-06T00:00:00"/>
        <d v="2025-05-17T00:00:00"/>
        <d v="2025-09-03T00:00:00"/>
        <d v="2025-06-16T00:00:00"/>
        <d v="2025-06-23T00:00:00"/>
        <d v="2025-07-12T00:00:00"/>
        <d v="2025-08-02T00:00:00"/>
        <d v="2025-09-28T00:00:00"/>
        <d v="2025-07-05T00:00:00"/>
        <d v="2025-07-13T00:00:00"/>
        <d v="2025-07-18T00:00:00"/>
        <d v="2025-07-29T00:00:00"/>
        <d v="2025-06-01T00:00:00"/>
        <d v="2025-09-06T00:00:00"/>
        <d v="2025-09-04T00:00:00"/>
        <d v="2025-07-30T00:00:00"/>
        <d v="2025-07-14T00:00:00"/>
        <d v="2025-07-27T00:00:00"/>
        <d v="2025-09-24T00:00:00"/>
        <d v="2025-06-21T00:00:00"/>
        <d v="2024-04-10T00:00:00"/>
        <d v="2025-05-24T00:00:00"/>
        <d v="2025-08-03T00:00:00"/>
        <d v="2025-06-19T00:00:00"/>
        <d v="2025-06-26T00:00:00"/>
        <d v="2025-08-18T00:00:00"/>
        <d v="2025-06-17T00:00:00"/>
        <d v="2025-04-26T00:00:00"/>
        <d v="2025-09-26T00:00:00"/>
        <d v="2025-09-30T00:00:00"/>
        <d v="2025-08-19T00:00:00"/>
        <d v="2025-11-15T00:00:00"/>
        <d v="2025-09-10T00:00:00"/>
        <d v="2025-10-31T00:00:00"/>
        <d v="2025-07-15T00:00:00"/>
        <d v="2024-06-01T00:00:00"/>
        <d v="2025-06-22T00:00:00"/>
        <d v="2025-08-09T00:00:00"/>
        <d v="2025-08-30T00:00:00"/>
        <d v="2025-04-14T00:00:00"/>
        <d v="2025-04-16T00:00:00"/>
        <d v="2025-03-28T00:00:00"/>
        <d v="2025-07-10T00:00:00"/>
        <d v="2025-07-03T00:00:00"/>
        <d v="2025-03-21T00:00:00"/>
        <d v="2025-07-08T00:00:00"/>
        <d v="2025-05-14T00:00:00"/>
        <d v="2025-07-16T00:00:00"/>
        <d v="2025-04-15T00:00:00"/>
        <d v="2025-03-30T00:00:00"/>
        <d v="2024-03-23T00:00:00"/>
        <d v="2025-10-24T00:00:00" u="1"/>
        <d v="2025-09-01T00:00:00" u="1"/>
        <d v="2025-08-21T00:00:00" u="1"/>
        <d v="2025-07-23T00:00:00" u="1"/>
        <d v="2025-10-02T00:00:00" u="1"/>
        <d v="2025-10-05T00:00:00" u="1"/>
        <d v="2025-08-11T00:00:00" u="1"/>
        <d v="2025-05-29T00:00:00" u="1"/>
        <d v="2025-07-07T00:00:00" u="1"/>
        <d v="2025-07-24T00:00:00" u="1"/>
        <d v="2025-07-04T00:00:00" u="1"/>
        <d v="2025-06-11T00:00:00" u="1"/>
        <d v="2025-10-08T00:00:00" u="1"/>
        <d v="2025-08-26T00:00:00" u="1"/>
        <d v="2025-08-23T00:00:00" u="1"/>
        <d v="2025-08-28T00:00:00" u="1"/>
        <d v="2025-09-12T00:00:00" u="1"/>
        <d v="2025-09-20T00:00:00" u="1"/>
        <d v="2025-08-10T00:00:00" u="1"/>
        <d v="2025-08-27T00:00:00" u="1"/>
        <d v="2025-08-12T00:00:00" u="1"/>
        <d v="2025-08-13T00:00:00" u="1"/>
        <d v="2025-07-02T00:00:00" u="1"/>
        <d v="2025-08-31T00:00:00" u="1"/>
        <d v="2025-08-16T00:00:00" u="1"/>
        <d v="2025-06-10T00:00:00" u="1"/>
        <d v="2025-06-03T00:00:00" u="1"/>
        <d v="2025-06-24T00:00:00" u="1"/>
        <d v="2025-03-27T00:00:00" u="1"/>
        <d v="2025-04-17T00:00:00" u="1"/>
        <d v="2025-05-16T00:00:00" u="1"/>
        <d v="2025-03-17T00:00:00" u="1"/>
        <d v="2025-05-21T00:00:00" u="1"/>
        <d v="2025-04-21T00:00:00" u="1"/>
        <d v="2025-05-11T00:00:00" u="1"/>
        <d v="2025-05-20T00:00:00" u="1"/>
        <d v="2025-04-29T00:00:00" u="1"/>
        <d v="2025-05-13T00:00:00" u="1"/>
        <d v="2025-04-27T00:00:00" u="1"/>
        <d v="2025-04-12T00:00:00" u="1"/>
        <d v="2025-05-09T00:00:00" u="1"/>
        <d v="2025-05-06T00:00:00" u="1"/>
        <d v="2025-06-02T00:00:00" u="1"/>
        <d v="2025-04-19T00:00:00" u="1"/>
        <d v="2025-04-11T00:00:00" u="1"/>
        <d v="2025-05-22T00:00:00" u="1"/>
        <d v="2025-06-12T00:00:00" u="1"/>
        <d v="2025-05-15T00:00:00" u="1"/>
        <d v="2025-08-04T00:00:00" u="1"/>
        <d v="2025-09-08T00:00:00" u="1"/>
        <d v="2025-07-17T00:00:00" u="1"/>
        <d v="2025-05-03T00:00:00" u="1"/>
        <d v="2025-06-08T00:00:00" u="1"/>
        <d v="2025-08-24T00:00:00" u="1"/>
        <d v="2025-07-22T00:00:00" u="1"/>
        <d v="2025-04-13T00:00:00" u="1"/>
        <d v="2025-05-28T00:00:00" u="1"/>
        <d v="2025-03-22T00:00:00" u="1"/>
        <d v="2025-04-08T00:00:00" u="1"/>
        <d v="2025-03-13T00:00:00" u="1"/>
        <d v="2025-03-26T00:00:00" u="1"/>
        <d v="2025-04-09T00:00:00" u="1"/>
        <d v="2025-02-25T00:00:00" u="1"/>
        <d v="2025-03-07T00:00:00" u="1"/>
        <d v="2025-03-23T00:00:00" u="1"/>
        <d v="2025-10-17T00:00:00" u="1"/>
        <d v="2025-02-20T00:00:00" u="1"/>
        <d v="2025-03-02T00:00:00" u="1"/>
        <d v="2024-04-22T00:00:00" u="1"/>
        <d v="2024-04-12T00:00:00" u="1"/>
        <d v="2024-05-27T00:00:00" u="1"/>
        <d v="2024-05-20T00:00:00" u="1"/>
        <d v="2024-05-03T00:00:00" u="1"/>
        <d v="2024-04-14T00:00:00" u="1"/>
        <d v="2024-07-04T00:00:00" u="1"/>
        <d v="2024-07-07T00:00:00" u="1"/>
        <d v="2024-04-04T00:00:00" u="1"/>
        <d v="2024-08-05T00:00:00" u="1"/>
        <d v="2024-06-06T00:00:00" u="1"/>
        <d v="2024-03-28T00:00:00" u="1"/>
        <d v="2024-03-17T00:00:00" u="1"/>
        <d v="2024-07-25T00:00:00" u="1"/>
        <d v="2024-04-01T00:00:00" u="1"/>
        <d v="2024-03-21T00:00:00" u="1"/>
        <d v="2024-11-04T00:00:00" u="1"/>
        <d v="2023-11-03T00:00:00" u="1"/>
        <d v="2023-10-29T00:00:00" u="1"/>
        <d v="2023-12-17T00:00:00" u="1"/>
        <d v="2024-10-14T00:00:00" u="1"/>
        <d v="2024-06-11T00:00:00" u="1"/>
        <d v="2024-04-16T00:00:00" u="1"/>
        <d v="2024-04-29T00:00:00" u="1"/>
        <d v="2024-08-17T00:00:00" u="1"/>
        <d v="2024-07-22T00:00:00" u="1"/>
        <d v="2024-08-12T00:00:00" u="1"/>
        <d v="2024-09-30T00:00:00" u="1"/>
        <d v="2024-05-02T00:00:00" u="1"/>
        <d v="2023-09-06T00:00:00" u="1"/>
        <d v="2024-09-16T00:00:00" u="1"/>
        <d v="2024-04-28T00:00:00" u="1"/>
        <d v="2024-05-26T00:00:00" u="1"/>
        <d v="2024-05-31T00:00:00" u="1"/>
        <d v="2023-08-20T00:00:00" u="1"/>
        <d v="2024-04-21T00:00:00" u="1"/>
        <d v="2024-07-29T00:00:00" u="1"/>
        <d v="2024-06-12T00:00:00" u="1"/>
        <d v="2023-07-31T00:00:00" u="1"/>
        <d v="2023-07-24T00:00:00" u="1"/>
        <d v="2023-10-05T00:00:00" u="1"/>
        <d v="2024-04-20T00:00:00" u="1"/>
        <d v="2023-09-12T00:00:00" u="1"/>
        <d v="2023-07-23T00:00:00" u="1"/>
        <d v="2024-04-25T00:00:00" u="1"/>
        <d v="2024-09-04T00:00:00" u="1"/>
        <d v="2024-05-06T00:00:00" u="1"/>
        <d v="2024-06-08T00:00:00" u="1"/>
        <d v="2024-05-25T00:00:00" u="1"/>
        <d v="2024-06-04T00:00:00" u="1"/>
        <d v="2024-08-20T00:00:00" u="1"/>
        <d v="2024-05-12T00:00:00" u="1"/>
        <d v="2024-04-06T00:00:00" u="1"/>
        <d v="2024-08-14T00:00:00" u="1"/>
        <d v="2023-08-13T00:00:00" u="1"/>
        <d v="2024-04-23T00:00:00" u="1"/>
        <d v="2024-08-09T00:00:00" u="1"/>
        <d v="2023-07-09T00:00:00" u="1"/>
        <d v="2024-04-18T00:00:00" u="1"/>
        <d v="2024-06-09T00:00:00" u="1"/>
        <d v="2024-08-02T00:00:00" u="1"/>
        <d v="2024-07-30T00:00:00" u="1"/>
        <d v="2024-10-09T00:00:00" u="1"/>
        <d v="2024-04-27T00:00:00" u="1"/>
        <d v="2024-07-09T00:00:00" u="1"/>
        <d v="2024-08-01T00:00:00" u="1"/>
        <d v="2024-08-26T00:00:00" u="1"/>
        <d v="2024-09-03T00:00:00" u="1"/>
        <d v="2024-04-02T00:00:00" u="1"/>
        <d v="2024-04-09T00:00:00" u="1"/>
        <d v="2024-05-21T00:00:00" u="1"/>
        <d v="2024-05-18T00:00:00" u="1"/>
        <d v="2024-04-15T00:00:00" u="1"/>
        <d v="2024-09-23T00:00:00" u="1"/>
        <d v="2024-04-05T00:00:00" u="1"/>
        <d v="2024-10-05T00:00:00" u="1"/>
        <d v="2023-04-12T00:00:00" u="1"/>
        <d v="2024-07-15T00:00:00" u="1"/>
        <d v="2024-05-24T00:00:00" u="1"/>
        <d v="2023-07-26T00:00:00" u="1"/>
        <d v="2024-07-24T00:00:00" u="1"/>
        <d v="2024-08-16T00:00:00" u="1"/>
        <d v="2024-06-29T00:00:00" u="1"/>
        <d v="2024-07-08T00:00:00" u="1"/>
        <d v="2024-05-29T00:00:00" u="1"/>
        <d v="2024-04-07T00:00:00" u="1"/>
        <d v="2024-10-07T00:00:00" u="1"/>
        <d v="2024-05-30T00:00:00" u="1"/>
        <d v="2024-05-14T00:00:00" u="1"/>
        <d v="2024-05-11T00:00:00" u="1"/>
        <d v="2023-09-22T00:00:00" u="1"/>
        <d v="2024-08-08T00:00:00" u="1"/>
        <d v="2024-05-15T00:00:00" u="1"/>
        <d v="2024-07-21T00:00:00" u="1"/>
        <d v="2024-07-18T00:00:00" u="1"/>
        <d v="2024-05-17T00:00:00" u="1"/>
        <d v="2024-03-02T00:00:00" u="1"/>
        <d v="2024-11-24T00:00:00" u="1"/>
        <d v="2024-06-27T00:00:00" u="1"/>
        <d v="2024-07-01T00:00:00" u="1"/>
        <d v="2024-08-31T00:00:00" u="1"/>
        <d v="2024-08-18T00:00:00" u="1"/>
        <d v="2024-03-15T00:00:00" u="1"/>
        <d v="2024-06-18T00:00:00" u="1"/>
        <d v="2024-09-12T00:00:00" u="1"/>
        <d v="2024-07-27T00:00:00" u="1"/>
        <d v="2024-06-26T00:00:00" u="1"/>
        <d v="2024-06-10T00:00:00" u="1"/>
        <d v="2023-09-14T00:00:00" u="1"/>
        <d v="2023-09-19T00:00:00" u="1"/>
        <d v="2023-11-08T00:00:00" u="1"/>
        <d v="2024-09-05T00:00:00" u="1"/>
        <d v="2024-09-17T00:00:00" u="1"/>
        <d v="2024-10-31T00:00:00" u="1"/>
        <d v="2024-06-19T00:00:00" u="1"/>
        <d v="2024-11-06T00:00:00" u="1"/>
        <d v="2024-06-23T00:00:00" u="1"/>
        <d v="2024-09-26T00:00:00" u="1"/>
        <d v="2024-09-29T00:00:00" u="1"/>
        <d v="2024-03-12T00:00:00" u="1"/>
        <d v="2024-10-22T00:00:00" u="1"/>
        <d v="2024-06-25T00:00:00" u="1"/>
        <d v="2024-02-07T00:00:00" u="1"/>
        <d v="2024-10-29T00:00:00" u="1"/>
        <d v="2024-10-19T00:00:00" u="1"/>
        <d v="2024-06-21T00:00:00" u="1"/>
        <d v="2024-09-14T00:00:00" u="1"/>
        <d v="2024-05-23T00:00:00" u="1"/>
        <d v="2024-09-08T00:00:00" u="1"/>
        <d v="1900-06-28T00:00:00" u="1"/>
        <d v="2024-06-20T00:00:00" u="1"/>
        <d v="2024-09-09T00:00:00" u="1"/>
        <d v="2024-07-19T00:00:00" u="1"/>
        <d v="2024-08-11T00:00:00" u="1"/>
        <d v="2023-09-29T00:00:00" u="1"/>
        <d v="2024-10-18T00:00:00" u="1"/>
        <d v="2024-09-11T00:00:00" u="1"/>
        <d v="2025-01-07T00:00:00" u="1"/>
        <d v="2024-06-13T00:00:00" u="1"/>
        <d v="2024-06-16T00:00:00" u="1"/>
        <d v="2024-10-06T00:00:00" u="1"/>
        <d v="2024-08-19T00:00:00" u="1"/>
        <d v="2024-07-03T00:00:00" u="1"/>
        <d v="2024-06-28T00:00:00" u="1"/>
        <d v="2024-07-28T00:00:00" u="1"/>
        <d v="2024-08-07T00:00:00" u="1"/>
        <d v="2024-07-16T00:00:00" u="1"/>
        <d v="2024-07-26T00:00:00" u="1"/>
        <d v="2025-01-05T00:00:00" u="1"/>
        <d v="2023-07-11T00:00:00" u="1"/>
        <d v="2024-05-10T00:00:00" u="1"/>
        <d v="2024-07-31T00:00:00" u="1"/>
        <d v="2024-06-15T00:00:00" u="1"/>
        <d v="2024-08-27T00:00:00" u="1"/>
        <d v="2023-10-24T00:00:00" u="1"/>
        <d v="2023-11-13T00:00:00" u="1"/>
        <d v="2024-11-11T00:00:00" u="1"/>
        <d v="2024-08-23T00:00:00" u="1"/>
        <d v="2024-08-28T00:00:00" u="1"/>
        <d v="2024-08-22T00:00:00" u="1"/>
        <d v="2024-06-03T00:00:00" u="1"/>
        <d v="2024-09-01T00:00:00" u="1"/>
        <d v="2025-03-31T00:00:00" u="1"/>
        <d v="2024-07-11T00:00:00" u="1"/>
        <d v="2024-09-15T00:00:00" u="1"/>
        <d v="2024-08-06T00:00:00" u="1"/>
        <d v="2024-07-13T00:00:00" u="1"/>
        <d v="2024-06-22T00:00:00" u="1"/>
        <d v="2024-08-10T00:00:00" u="1"/>
        <d v="2025-03-01T00:00:00" u="1"/>
        <d v="2024-03-18T00:00:00" u="1"/>
        <d v="2023-08-06T00:00:00" u="1"/>
        <d v="2024-03-24T00:00:00" u="1"/>
        <d v="2024-05-13T00:00:00" u="1"/>
        <d v="2023-07-16T00:00:00" u="1"/>
        <d v="2024-03-19T00:00:00" u="1"/>
        <d v="2024-06-24T00:00:00" u="1"/>
        <d v="2024-05-08T00:00:00" u="1"/>
        <d v="2023-06-26T00:00:00" u="1"/>
        <d v="2024-03-11T00:00:00" u="1"/>
        <d v="2024-02-29T00:00:00" u="1"/>
        <d v="2024-02-28T00:00:00" u="1"/>
        <d v="2024-03-03T00:00:00" u="1"/>
        <d v="2024-05-09T00:00:00" u="1"/>
        <d v="2024-06-17T00:00:00" u="1"/>
        <d v="2023-04-10T00:00:00" u="1"/>
        <d v="2024-04-24T00:00:00" u="1"/>
        <d v="2024-06-30T00:00:00" u="1"/>
        <d v="2024-07-02T00:00:00" u="1"/>
        <d v="2024-08-04T00:00:00" u="1"/>
        <d v="2024-03-25T00:00:00" u="1"/>
        <d v="2024-02-19T00:00:00" u="1"/>
        <d v="2023-02-20T00:00:00" u="1"/>
        <d v="2024-06-07T00:00:00" u="1"/>
        <d v="2024-09-02T00:00:00" u="1"/>
        <d v="2024-08-24T00:00:00" u="1"/>
        <d v="2024-04-08T00:00:00" u="1"/>
        <d v="2024-05-01T00:00:00" u="1"/>
        <d v="2024-04-30T12:00:00" u="1"/>
        <d v="2024-05-04T00:00:00" u="1"/>
        <d v="2024-05-07T00:00:00" u="1"/>
        <d v="2024-06-02T00:00:00" u="1"/>
        <d v="2024-03-20T00:00:00" u="1"/>
        <d v="2023-09-13T00:00:00" u="1"/>
        <d v="2023-10-14T00:00:00" u="1"/>
        <d v="2023-11-04T00:00:00" u="1"/>
        <d v="2024-05-19T00:00:00" u="1"/>
        <d v="2024-05-16T00:00:00" u="1"/>
        <d v="2024-07-12T00:00:00" u="1"/>
        <d v="2024-05-22T00:00:00" u="1"/>
        <d v="2024-07-14T00:00:00" u="1"/>
        <d v="2024-07-06T00:00:00" u="1"/>
        <d v="2024-06-14T00:00:00" u="1"/>
        <d v="2024-08-29T00:00:00" u="1"/>
        <d v="2024-09-06T00:00:00" u="1"/>
        <d v="2024-10-13T00:00:00" u="1"/>
        <d v="2024-07-23T00:00:00" u="1"/>
        <d v="2024-03-04T00:00:00" u="1"/>
        <d v="2024-01-08T00:00:00" u="1"/>
        <d v="2023-08-15T00:00:00" u="1"/>
        <d v="2023-08-23T00:00:00" u="1"/>
        <d v="2024-04-03T00:00:00" u="1"/>
        <d v="2024-04-17T00:00:00" u="1"/>
        <d v="2024-03-30T00:00:00" u="1"/>
        <d v="2024-03-27T00:00:00" u="1"/>
        <d v="2024-04-25T12:00:00" u="1"/>
        <d v="2023-08-22T00:00:00" u="1"/>
        <d v="2024-08-21T00:00:00" u="1"/>
        <d v="2024-03-16T00:00:00" u="1"/>
        <d v="2024-05-05T00:00:00" u="1"/>
        <d v="2023-10-15T00:00:00" u="1"/>
        <d v="2024-03-31T00:00:00" u="1"/>
        <d v="2024-08-13T00:00:00" u="1"/>
        <d v="2024-10-01T00:00:00" u="1"/>
        <d v="2024-10-08T00:00:00" u="1"/>
        <d v="2024-07-10T00:00:00" u="1"/>
        <d v="2024-04-11T00:00:00" u="1"/>
        <d v="2024-02-26T00:00:00" u="1"/>
        <d v="2024-05-28T00:00:00" u="1"/>
        <d v="2024-07-05T00:00:00" u="1"/>
        <d v="2024-02-05T00:00:00" u="1"/>
        <d v="2024-01-22T00:00:00" u="1"/>
      </sharedItems>
    </cacheField>
    <cacheField name="Identifier" numFmtId="0">
      <sharedItems count="571">
        <s v="ARU002"/>
        <s v="ARU003"/>
        <s v="ARU001"/>
        <s v="ARU004"/>
        <s v="ARU005"/>
        <s v="ASI001"/>
        <s v="CAR001"/>
        <s v="CAR002"/>
        <s v="CAR004"/>
        <s v="CAR005"/>
        <s v="CAR006"/>
        <s v="CAR008"/>
        <s v="CAR003"/>
        <s v="CAR007"/>
        <s v="CHR001"/>
        <s v="COR001"/>
        <s v="DAH001"/>
        <s v="FAV001"/>
        <s v="GAR535"/>
        <s v="GAR533"/>
        <s v="GAR534"/>
        <s v="LOV366"/>
        <s v="MAG001"/>
        <s v="POT001"/>
        <s v="POT002"/>
        <s v="RAD003"/>
        <s v="RAD449"/>
        <s v="RAD455"/>
        <s v="RAD451"/>
        <s v="RAD452"/>
        <s v="RAD453"/>
        <s v="RAD456"/>
        <s v="RAD457"/>
        <s v="RAD454"/>
        <s v="RAD006"/>
        <s v="SCA638"/>
        <s v="SCA636"/>
        <s v="TUR001"/>
        <s v="TUR003"/>
        <s v="TUR002"/>
        <s v="TUR528"/>
        <s v="TUR531"/>
        <s v="TUR529"/>
        <s v="TUR532"/>
        <s v="BOK001"/>
        <s v="ASI002"/>
        <s v="BAS001"/>
        <s v="BAS002"/>
        <s v="BAS003"/>
        <s v="BEA001"/>
        <s v="BEA002"/>
        <s v="BEE001"/>
        <s v="BEE002"/>
        <s v="BEE003"/>
        <s v="BOK002"/>
        <s v="BRO001"/>
        <s v="BRO002"/>
        <s v="CAB001"/>
        <s v="CAB002"/>
        <s v="CAB010"/>
        <s v="CAB003"/>
        <s v="CAB004"/>
        <s v="CAU001"/>
        <s v="CAU002"/>
        <s v="CEL001"/>
        <s v="CHO001"/>
        <s v="CHO002"/>
        <s v="CIL002"/>
        <s v="CIL003"/>
        <s v="CIL004"/>
        <s v="CIL005"/>
        <s v="CIL006"/>
        <s v="CIL007"/>
        <s v="CIL012"/>
        <s v="CUC001"/>
        <s v="CUC003"/>
        <s v="CUC002"/>
        <s v="CUC004"/>
        <s v="DIL004"/>
        <s v="DIL001"/>
        <s v="DIL002"/>
        <s v="DIL005"/>
        <s v="DIL006"/>
        <s v="FEN003"/>
        <s v="GOO001"/>
        <s v="KAL003"/>
        <s v="KOH002"/>
        <s v="KOH003"/>
        <s v="LEE001"/>
        <s v="LEM001"/>
        <s v="LET014"/>
        <s v="LET015"/>
        <s v="LET016"/>
        <s v="LET030"/>
        <s v="LET017"/>
        <s v="LET024"/>
        <s v="LET026"/>
        <s v="LET012"/>
        <s v="LET018"/>
        <s v="LET019"/>
        <s v="LET021"/>
        <s v="LET023"/>
        <s v="LET013"/>
        <s v="MEL001"/>
        <s v="ONI003"/>
        <s v="ONI004"/>
        <s v="ONI005"/>
        <s v="PAR001"/>
        <s v="PEA001"/>
        <s v="PEP001"/>
        <s v="PEP002"/>
        <s v="PEP003"/>
        <s v="PEP005"/>
        <s v="PEP004"/>
        <s v="RAD002"/>
        <s v="RAD005"/>
        <s v="RUT001"/>
        <s v="SCA633"/>
        <s v="SCA634"/>
        <s v="SCA635"/>
        <s v="SOR485"/>
        <s v="SQU002"/>
        <s v="SQU004"/>
        <s v="SUM001"/>
        <s v="SUM002"/>
        <s v="SWI002"/>
        <s v="TOM001"/>
        <s v="TOM006"/>
        <s v="TOM010"/>
        <s v="TOM002"/>
        <s v="TOM003"/>
        <s v="TOM007"/>
        <s v="TOM011"/>
        <s v="TOM004"/>
        <s v="TOM008"/>
        <s v="TOM012"/>
        <s v="TOM005"/>
        <s v="SUD001" u="1"/>
        <s v="CHR002" u="1"/>
        <s v="PAR003" u="1"/>
        <s v="LET020" u="1"/>
        <s v="SPI001" u="1"/>
        <s v="CIL010" u="1"/>
        <s v="CIL011" u="1"/>
        <s v="DIL009" u="1"/>
        <s v="DIL010" u="1"/>
        <s v="FEN002" u="1"/>
        <s v="LET022" u="1"/>
        <s v="LET025" u="1"/>
        <s v="SCA637" u="1"/>
        <s v="TOM009" u="1"/>
        <s v="CAR009" u="1"/>
        <s v="CAR010" u="1"/>
        <s v="COR002" u="1"/>
        <s v="RAD450" u="1"/>
        <s v="SCA001" u="1"/>
        <s v="SUN001" u="1"/>
        <s v="TUR527" u="1"/>
        <s v="CAB009" u="1"/>
        <s v="CAB011" u="1"/>
        <s v="CAB012" u="1"/>
        <s v="CAB013" u="1"/>
        <s v="CAB014" u="1"/>
        <s v="CAB015" u="1"/>
        <s v="CIL008" u="1"/>
        <s v="CIL009" u="1"/>
        <s v="DIL003" u="1"/>
        <s v="DIL007" u="1"/>
        <s v="DIL008" u="1"/>
        <s v="LET010" u="1"/>
        <s v="LET027" u="1"/>
        <s v="LET028" u="1"/>
        <s v="LET029" u="1"/>
        <s v="MEL002" u="1"/>
        <s v="SQU003" u="1"/>
        <s v="SUM003" u="1"/>
        <s v="TUR530" u="1"/>
        <s v="AMA367" u="1"/>
        <s v="ARU617" u="1"/>
        <s v="BAS364" u="1"/>
        <s v="BEA596" u="1"/>
        <s v="BOR380" u="1"/>
        <s v="BUC591" u="1"/>
        <s v="BUP577" u="1"/>
        <s v="CAR386" u="1"/>
        <s v="CAR387" u="1"/>
        <s v="CAR501" u="1"/>
        <s v="CAR541" u="1"/>
        <s v="CHR362" u="1"/>
        <s v="CIL574" u="1"/>
        <s v="CIL575" u="1"/>
        <s v="COR213" u="1"/>
        <s v="COR572" u="1"/>
        <s v="COS400" u="1"/>
        <s v="CRE586" u="1"/>
        <s v="DAH403" u="1"/>
        <s v="DIL406" u="1"/>
        <s v="DIL556" u="1"/>
        <s v="DIL583" u="1"/>
        <s v="DRO365" u="1"/>
        <s v="FAV322" u="1"/>
        <s v="FAV601" u="1"/>
        <s v="FLA588" u="1"/>
        <s v="GAR356" u="1"/>
        <s v="GAR357" u="1"/>
        <s v="GAR358" u="1"/>
        <s v="GAR359" u="1"/>
        <s v="GAR360" u="1"/>
        <s v="KOM621" u="1"/>
        <s v="PAN304" u="1"/>
        <s v="PEA618" u="1"/>
        <s v="POT443" u="1"/>
        <s v="POT572" u="1"/>
        <s v="POT573" u="1"/>
        <s v="QUE444" u="1"/>
        <s v="RAD521" u="1"/>
        <s v="RAD608" u="1"/>
        <s v="RUB363" u="1"/>
        <s v="SCA580" u="1"/>
        <s v="SPI460" u="1"/>
        <s v="SUN465" u="1"/>
        <s v="SUN499" u="1"/>
        <s v="TUR524" u="1"/>
        <s v="TUR525" u="1"/>
        <s v="CHR625" u="1"/>
        <s v="ANI615" u="1"/>
        <s v="ASI361" u="1"/>
        <s v="ASI536" u="1"/>
        <s v="ATR589" u="1"/>
        <s v="BAS370" u="1"/>
        <s v="BAS372" u="1"/>
        <s v="BEA375" u="1"/>
        <s v="BEE195" u="1"/>
        <s v="BEE349" u="1"/>
        <s v="BEE350" u="1"/>
        <s v="BEE377" u="1"/>
        <s v="BEE378" u="1"/>
        <s v="BEE561" u="1"/>
        <s v="BEE619" u="1"/>
        <s v="CAB208" u="1"/>
        <s v="CAB218" u="1"/>
        <s v="CAB313" u="1"/>
        <s v="CAB351" u="1"/>
        <s v="CAB537" u="1"/>
        <s v="CAB538" u="1"/>
        <s v="CAB540" u="1"/>
        <s v="CAB603" u="1"/>
        <s v="CAB604" u="1"/>
        <s v="CAB605" u="1"/>
        <s v="CAB606" u="1"/>
        <s v="CAT613" u="1"/>
        <s v="CAU219" u="1"/>
        <s v="CAU317" u="1"/>
        <s v="CAU388" u="1"/>
        <s v="CEL390" u="1"/>
        <s v="CEL576" u="1"/>
        <s v="CHE612" u="1"/>
        <s v="CIL393" u="1"/>
        <s v="CIL528" u="1"/>
        <s v="COR395" u="1"/>
        <s v="COR398" u="1"/>
        <s v="CUC401" u="1"/>
        <s v="CUC490" u="1"/>
        <s v="DIL407" u="1"/>
        <s v="DIL555" u="1"/>
        <s v="DIL557" u="1"/>
        <s v="EGG409" u="1"/>
        <s v="EPA616" u="1"/>
        <s v="EVE581" u="1"/>
        <s v="FEN412" u="1"/>
        <s v="FEN516" u="1"/>
        <s v="FEN517" u="1"/>
        <s v="FEN518" u="1"/>
        <s v="GRA590" u="1"/>
        <s v="GRO414" u="1"/>
        <s v="HIB585" u="1"/>
        <s v="KAI202" u="1"/>
        <s v="KAL325" u="1"/>
        <s v="KAL416" u="1"/>
        <s v="KAL417" u="1"/>
        <s v="KAL418" u="1"/>
        <s v="KOH529" u="1"/>
        <s v="KOH607" u="1"/>
        <s v="LEE201" u="1"/>
        <s v="LEM420" u="1"/>
        <s v="LEM610" u="1"/>
        <s v="LET421" u="1"/>
        <s v="LET422" u="1"/>
        <s v="LET423" u="1"/>
        <s v="LET424" u="1"/>
        <s v="LET425" u="1"/>
        <s v="LET426" u="1"/>
        <s v="LET495" u="1"/>
        <s v="LET497" u="1"/>
        <s v="LET506" u="1"/>
        <s v="LET507" u="1"/>
        <s v="LET622" u="1"/>
        <s v="LET508" u="1"/>
        <s v="LET623" u="1"/>
        <s v="LET509" u="1"/>
        <s v="LET510" u="1"/>
        <s v="LET511" u="1"/>
        <s v="LET600" u="1"/>
        <s v="MAG593" u="1"/>
        <s v="MAL428" u="1"/>
        <s v="MAL520" u="1"/>
        <s v="MAR429" u="1"/>
        <s v="MAR543" u="1"/>
        <s v="MAR614" u="1"/>
        <s v="MEL430" u="1"/>
        <s v="MIL595" u="1"/>
        <s v="MIN487" u="1"/>
        <s v="ONI480" u="1"/>
        <s v="ONI481" u="1"/>
        <s v="ONI494" u="1"/>
        <s v="ORE611" u="1"/>
        <s v="PAN500" u="1"/>
        <s v="PAN609" u="1"/>
        <s v="PAR43" u="1"/>
        <s v="PAR437" u="1"/>
        <s v="PAR559" u="1"/>
        <s v="PEP440" u="1"/>
        <s v="PEP441" u="1"/>
        <s v="PEP488" u="1"/>
        <s v="PEP489" u="1"/>
        <s v="RAD198" u="1"/>
        <s v="RAD297" u="1"/>
        <s v="RAD298" u="1"/>
        <s v="RAD445" u="1"/>
        <s v="RAD446" u="1"/>
        <s v="RAD448" u="1"/>
        <s v="RAT450" u="1"/>
        <s v="RAT558" u="1"/>
        <s v="ROS485" u="1"/>
        <s v="ROS516" u="1"/>
        <s v="RUB451" u="1"/>
        <s v="RUT527" u="1"/>
        <s v="SAG484" u="1"/>
        <s v="SAL530" u="1"/>
        <s v="SCA482" u="1"/>
        <s v="SCA598" u="1"/>
        <s v="SHA532" u="1"/>
        <s v="SHA541" u="1"/>
        <s v="SNA457" u="1"/>
        <s v="SNA492" u="1"/>
        <s v="SNA499" u="1"/>
        <s v="SQU461" u="1"/>
        <s v="SQU462" u="1"/>
        <s v="SQU463" u="1"/>
        <s v="STR493" u="1"/>
        <s v="SUM463" u="1"/>
        <s v="SUM464" u="1"/>
        <s v="SWI348" u="1"/>
        <s v="SWI466" u="1"/>
        <s v="SWI478" u="1"/>
        <s v="TAL592" u="1"/>
        <s v="THY486" u="1"/>
        <s v="TOM468" u="1"/>
        <s v="TOM469" u="1"/>
        <s v="TOM470" u="1"/>
        <s v="TOM473" u="1"/>
        <s v="TOM568" u="1"/>
        <s v="TOM599" u="1"/>
        <s v="TOM602" u="1"/>
        <s v="YAR587" u="1"/>
        <s v="SCA624" u="1"/>
        <s v="BEE626" u="1"/>
        <s v="KOM627" u="1"/>
        <s v="ZIN579" u="1"/>
        <s v="DIL544" u="1"/>
        <s v="RAD522" u="1"/>
        <s v="CAB594" u="1"/>
        <s v="CAR261" u="1"/>
        <s v="GAR83" u="1"/>
        <s v="SHA84" u="1"/>
        <s v="FAV32" u="1"/>
        <s v="COR302" u="1"/>
        <s v="RAD299" u="1"/>
        <s v="BAC78" u="1"/>
        <s v="BOR4" u="1"/>
        <s v="CHR16" u="1"/>
        <s v="COS62" u="1"/>
        <s v="DAH20" u="1"/>
        <s v="DIL72" u="1"/>
        <s v="POT44" u="1"/>
        <s v="QUE34" u="1"/>
        <s v="SAL40" u="1"/>
        <s v="SUN2" u="1"/>
        <s v="NIG49" u="1"/>
        <s v="BOR115" u="1"/>
        <s v="CAR73" u="1"/>
        <s v="CAR74" u="1"/>
        <s v="SUN112" u="1"/>
        <s v="SUM52" u="1"/>
        <s v="DIL171" u="1"/>
        <s v="SPI303" u="1"/>
        <s v="CIL167" u="1"/>
        <s v="CAR177" u="1"/>
        <s v="DIL170" u="1"/>
        <s v="SUN111" u="1"/>
        <s v="CAR176" u="1"/>
        <s v="CHR196" u="1"/>
        <s v="GAR323" u="1"/>
        <s v="SHA345" u="1"/>
        <s v="CHI255" u="1"/>
        <s v="FEN89" u="1"/>
        <s v="LET256" u="1"/>
        <s v="KAI260" u="1"/>
        <s v="LET269" u="1"/>
        <s v="LET271" u="1"/>
        <s v="LET264" u="1"/>
        <s v="LET265" u="1"/>
        <s v="LET266" u="1"/>
        <s v="LET267" u="1"/>
        <s v="LET268" u="1"/>
        <s v="LET270" u="1"/>
        <s v="FEN90" u="1"/>
        <s v="LET262" u="1"/>
        <s v="LET263" u="1"/>
        <s v="SCA68" u="1"/>
        <s v="SCA67" u="1"/>
        <s v="SPI258" u="1"/>
        <s v="SPI259" u="1"/>
        <s v="KAI257" u="1"/>
        <s v="KOM21" u="1"/>
        <s v="SPI102" u="1"/>
        <s v="PEA214" u="1"/>
        <s v="PEA216" u="1"/>
        <s v="RAD272" u="1"/>
        <s v="COR100" u="1"/>
        <s v="COR300" u="1"/>
        <s v="BEE53" u="1"/>
        <s v="LET227" u="1"/>
        <s v="LET243" u="1"/>
        <s v="LET239" u="1"/>
        <s v="PAN108" u="1"/>
        <s v="ONI70" u="1"/>
        <s v="FEN36" u="1"/>
        <s v="LET247" u="1"/>
        <s v="RAT10" u="1"/>
        <s v="RAT359" u="1"/>
        <s v="LET235" u="1"/>
        <s v="LET251" u="1"/>
        <s v="BEA57" u="1"/>
        <s v="BEA45" u="1"/>
        <s v="LET26" u="1"/>
        <s v="STO61" u="1"/>
        <s v="LOV30" u="1"/>
        <s v="BEA42" u="1"/>
        <s v="BEA76" u="1"/>
        <s v="PET3" u="1"/>
        <s v="CIL77" u="1"/>
        <s v="BAS81" u="1"/>
        <s v="BAS79" u="1"/>
        <s v="BAS80" u="1"/>
        <s v="DIA50" u="1"/>
        <s v="CEL41" u="1"/>
        <s v="DRO56" u="1"/>
        <s v="LEM217" u="1"/>
        <s v="AMA5" u="1"/>
        <s v="MAR18" u="1"/>
        <s v="LET233" u="1"/>
        <s v="DIL64" u="1"/>
        <s v="EGG65" u="1"/>
        <s v="RUB66" u="1"/>
        <s v="SNA11" u="1"/>
        <s v="NAU305" u="1"/>
        <s v="NAU31" u="1"/>
        <s v="LET306" u="1"/>
        <s v="MAL59" u="1"/>
        <s v="KOM184" u="1"/>
        <s v="CUC94" u="1"/>
        <s v="CUC39" u="1"/>
        <s v="CUC17" u="1"/>
        <s v="CUC48" u="1"/>
        <s v="MEL33" u="1"/>
        <s v="COR98" u="1"/>
        <s v="COR96" u="1"/>
        <s v="MEL82" u="1"/>
        <s v="SQU71" u="1"/>
        <s v="SUM307" u="1"/>
        <s v="SUM51" u="1"/>
        <s v="PEP54" u="1"/>
        <s v="PEP46" u="1"/>
        <s v="BUT25" u="1"/>
        <s v="GRO75" u="1"/>
        <s v="TOM14" u="1"/>
        <s v="TOM15" u="1"/>
        <s v="TOM12" u="1"/>
        <s v="TOM13" u="1"/>
        <s v="LET240" u="1"/>
        <s v="TOM95" u="1"/>
        <s v="TOM23" u="1"/>
        <s v="TOM224" u="1"/>
        <s v="TOM225" u="1"/>
        <s v="TOM24" u="1"/>
        <s v="LET27" u="1"/>
        <s v="LET252" u="1"/>
        <s v="LET248" u="1"/>
        <s v="LET236" u="1"/>
        <s v="LET228" u="1"/>
        <s v="LET244" u="1"/>
        <s v="LET308" u="1"/>
        <s v="LET309" u="1"/>
        <s v="BEE194" u="1"/>
        <s v="RAD22" u="1"/>
        <s v="BAS159" u="1"/>
        <s v="DIL172" u="1"/>
        <s v="FEN161" u="1"/>
        <s v="KOM328" u="1"/>
        <s v="SCA342" u="1"/>
        <s v="LET237" u="1"/>
        <s v="LET242" u="1"/>
        <s v="LET358" u="1"/>
        <s v="LET229" u="1"/>
        <s v="LET245" u="1"/>
        <s v="CIL357" u="1"/>
        <s v="LET253" u="1"/>
        <s v="LET249" u="1"/>
        <s v="ONI334" u="1"/>
        <s v="LET28" u="1"/>
        <s v="ARU212" u="1"/>
        <s v="LET330" u="1"/>
        <s v="LET332" u="1"/>
        <s v="SNA346" u="1"/>
        <s v="PAN335" u="1"/>
        <s v="SCA343" u="1"/>
        <s v="SHA360" u="1"/>
        <s v="STO110" u="1"/>
        <s v="SCA356" u="1"/>
        <s v="AMA104" u="1"/>
        <s v="NIG333" u="1"/>
        <s v="NIG107" u="1"/>
        <s v="CHO180" u="1"/>
        <s v="CAU221" u="1"/>
        <s v="LET92" u="1"/>
        <s v="LET241" u="1"/>
        <s v="FEN162" u="1"/>
        <s v="KOM186" u="1"/>
        <s v="CHO178" u="1"/>
        <s v="DIL173" u="1"/>
        <s v="ARU191" u="1"/>
        <s v="LET232" u="1"/>
        <s v="BAS160" u="1"/>
        <s v="TAR88" u="1"/>
        <s v="CHO182" u="1"/>
        <s v="KOM185" u="1"/>
        <s v="CIL168" u="1"/>
        <s v="ARU47" u="1"/>
        <s v="COR214" u="1"/>
        <s v="LET307" u="1"/>
        <s v="CAB209" u="1"/>
        <s v="ARU190" u="1"/>
        <s v="NAU106" u="1"/>
        <s v="BEE310" u="1"/>
        <s v="PAR164" u="1"/>
        <s v="LET246" u="1"/>
        <s v="LET231" u="1"/>
        <s v="BAC114" u="1"/>
        <s v="BEA175" u="1"/>
        <s v="CHO181" u="1"/>
        <s v="CAB210" u="1"/>
        <s v="FEN163" u="1"/>
        <s v="KOM187" u="1"/>
        <s v="KOM256" u="1"/>
        <s v="CHO179" u="1"/>
        <s v="TAR87" u="1"/>
        <s v="DIL174" u="1"/>
        <s v="CHO19" u="1"/>
        <s v="LET230" u="1"/>
        <s v="ARU192" u="1"/>
      </sharedItems>
    </cacheField>
    <cacheField name="Bed" numFmtId="0">
      <sharedItems containsBlank="1" count="104">
        <s v="X2"/>
        <s v="H8"/>
        <s v="A5"/>
        <s v="D5"/>
        <s v="A1"/>
        <s v="D3"/>
        <s v="D4"/>
        <s v="B1"/>
        <s v="D6"/>
        <s v="D2"/>
        <s v="C1"/>
        <s v="U"/>
        <s v="I8"/>
        <s v="I5"/>
        <s v="I7"/>
        <s v="J8"/>
        <s v="A4"/>
        <s v="F3"/>
        <s v="C5"/>
        <s v="B6"/>
        <s v="X1"/>
        <s v="D7"/>
        <s v="D8"/>
        <s v="D1"/>
        <s v="B5"/>
        <s v="C3"/>
        <s v="F6"/>
        <s v="E3"/>
        <s v="A2"/>
        <s v="A6"/>
        <s v="J1"/>
        <s v="G6"/>
        <s v="I3"/>
        <s v="C7"/>
        <s v="A8"/>
        <m/>
        <s v="I2"/>
        <s v="F4"/>
        <s v="I6"/>
        <s v="E7"/>
        <s v="I1"/>
        <s v="G1"/>
        <s v="A3"/>
        <s v="C8"/>
        <s v="B2"/>
        <s v="F0"/>
        <s v="F1"/>
        <s v="B3"/>
        <s v="G2"/>
        <s v="H5"/>
        <s v="E2"/>
        <s v="E1"/>
        <s v="E6"/>
        <s v="H7"/>
        <s v="E8"/>
        <s v="F5"/>
        <s v="G4"/>
        <s v="G5"/>
        <s v="B7"/>
        <s v="F2"/>
        <s v="C4"/>
        <s v="G0"/>
        <s v="J3"/>
        <s v="J5"/>
        <s v="J2"/>
        <s v="G8"/>
        <s v="F7"/>
        <s v="I4"/>
        <s v="A7"/>
        <s v="H1"/>
        <s v="X4"/>
        <s v="H3"/>
        <s v="E4" u="1"/>
        <s v="E5" u="1"/>
        <s v="X3" u="1"/>
        <s v="U1" u="1"/>
        <s v="U5" u="1"/>
        <s v="U4" u="1"/>
        <s v="U2" u="1"/>
        <s v="U3" u="1"/>
        <s v="G7" u="1"/>
        <s v="G3" u="1"/>
        <s v="H2" u="1"/>
        <s v="B4" u="1"/>
        <s v="H4" u="1"/>
        <s v="C2" u="1"/>
        <s v="J4" u="1"/>
        <s v="H6" u="1"/>
        <s v="B8" u="1"/>
        <s v="P7" u="1"/>
        <s v="C6" u="1"/>
        <s v="P10" u="1"/>
        <s v="P12" u="1"/>
        <s v="P6" u="1"/>
        <s v="P4" u="1"/>
        <s v="P8" u="1"/>
        <s v="F8" u="1"/>
        <s v="P9" u="1"/>
        <s v="P1" u="1"/>
        <s v="P11" u="1"/>
        <s v="P5" u="1"/>
        <s v="J6" u="1"/>
        <s v="P3" u="1"/>
        <s v="J7" u="1"/>
      </sharedItems>
    </cacheField>
    <cacheField name="Task" numFmtId="0">
      <sharedItems count="4">
        <s v="Direct Seed"/>
        <s v="Transplant"/>
        <s v="Harvest"/>
        <s v="Start Seedlings"/>
      </sharedItems>
    </cacheField>
    <cacheField name="BedPlan.Crop" numFmtId="0">
      <sharedItems/>
    </cacheField>
    <cacheField name="BedPlan.Identifier" numFmtId="0">
      <sharedItems/>
    </cacheField>
    <cacheField name="BedPlan.Notes" numFmtId="0">
      <sharedItems containsBlank="1" count="6">
        <m/>
        <s v="Green garlic in I8. Was all of our saved runts. I7 is softneck . Sofneck was just polish. Might have done a spacing experiement."/>
        <s v="Zemo. Red Chesnok and Adaptive Music. Zemo from Viva was abolsutely massive. Even bigger than our current. Might have done a spacing experiement."/>
        <s v="Perennial"/>
        <s v="Asian Greens"/>
        <s v="Blood sorrel takes fuckin ages. Like a month to start. Grows really slow. Green sorrel grew like a weed. Cut back the flowering stalk and it it bounded well. Something at it in late summer."/>
      </sharedItems>
    </cacheField>
    <cacheField name="BedPlan.Name" numFmtId="0">
      <sharedItems count="109">
        <s v="Arugula"/>
        <s v="Asian Greens"/>
        <s v="Carrot"/>
        <s v="Chrysanthemum Greens"/>
        <s v="Corn "/>
        <s v="Dahlia"/>
        <s v="Fava Bean"/>
        <s v="Garlic"/>
        <s v="Lovage"/>
        <s v="Magenta Spreen"/>
        <s v="Potato"/>
        <s v="Radish"/>
        <s v="Scallion"/>
        <s v="Turnip"/>
        <s v="Basil"/>
        <s v="Bean"/>
        <s v="Beet"/>
        <s v="Bok Choy"/>
        <s v="Broccoli"/>
        <s v="Cabbage"/>
        <s v="Cauliflower"/>
        <s v="Celery"/>
        <s v="Choi Sum"/>
        <s v="Cilantro"/>
        <s v="Cucumber"/>
        <s v="Dill"/>
        <s v="Fennel"/>
        <s v="Gooseberry"/>
        <s v="Kale"/>
        <s v="Kohlrabi"/>
        <s v="Leek"/>
        <s v="Lemongrass"/>
        <s v="Lettuce"/>
        <s v="Melon"/>
        <s v="Onion"/>
        <s v="Parsley"/>
        <s v="Peas"/>
        <s v="Pepper"/>
        <s v="Radicchio"/>
        <s v="Rutabaga"/>
        <s v="Sorrel"/>
        <s v="Squash"/>
        <s v="Summer Squash"/>
        <s v="Swiss Chard"/>
        <s v="Tomatillo"/>
        <s v="Tomato"/>
        <s v="Sudangrass" u="1"/>
        <s v="Parsnip" u="1"/>
        <s v="Spinach" u="1"/>
        <s v="Sunflower" u="1"/>
        <s v="Amaranth" u="1"/>
        <s v="Borage" u="1"/>
        <s v="Buckwheat" u="1"/>
        <s v="Bupleurum" u="1"/>
        <s v="Corn Salad" u="1"/>
        <s v="Cosmos" u="1"/>
        <s v="Cress" u="1"/>
        <s v="Dahlias" u="1"/>
        <s v="Dropmore" u="1"/>
        <s v="Fava Beans" u="1"/>
        <s v="Flax" u="1"/>
        <s v="Komatsuna" u="1"/>
        <s v="Pansy and Violas" u="1"/>
        <s v="Pea Tendril" u="1"/>
        <s v="Queen Anne's Lace" u="1"/>
        <s v="Rubeckia" u="1"/>
        <s v="Scabiosa" u="1"/>
        <s v="Sunflowers" u="1"/>
        <s v="Anise Hysopp" u="1"/>
        <s v="Atriplex" u="1"/>
        <s v="Beans" u="1"/>
        <s v="Catnip" u="1"/>
        <s v="Celosia" u="1"/>
        <s v="Chervil" u="1"/>
        <s v="Eggplant" u="1"/>
        <s v="Epazote" u="1"/>
        <s v="Everlasting" u="1"/>
        <s v="Grass" u="1"/>
        <s v="Ground Cherry" u="1"/>
        <s v="Hibiscus" u="1"/>
        <s v="Kaibroc" u="1"/>
        <s v="Lemon Balm" u="1"/>
        <s v="Malabar Spinach" u="1"/>
        <s v="Marigolds" u="1"/>
        <s v="Marjoram" u="1"/>
        <s v="Milkweed" u="1"/>
        <s v="Mint" u="1"/>
        <s v="Oregano" u="1"/>
        <s v="Rat Tail Radish" u="1"/>
        <s v="Rosemary" u="1"/>
        <s v="Roselle" u="1"/>
        <s v="Sage" u="1"/>
        <s v="Salsola" u="1"/>
        <s v="Shallots" u="1"/>
        <s v="Snapdragons" u="1"/>
        <s v="Strawflower" u="1"/>
        <s v="Talinum" u="1"/>
        <s v="Thyme" u="1"/>
        <s v="Yarrow" u="1"/>
        <s v="Zinnia" u="1"/>
        <s v="Bachellor's Button" u="1"/>
        <s v="Chrysanthemum" u="1"/>
        <s v="Nigella" u="1"/>
        <s v="Chijimisai" u="1"/>
        <s v="Stock" u="1"/>
        <s v="Petunia" u="1"/>
        <s v="Dianthus" u="1"/>
        <s v="Nausturtium" u="1"/>
        <s v="Butterfly Flowers" u="1"/>
      </sharedItems>
    </cacheField>
    <cacheField name="BedPlan.Variety" numFmtId="0">
      <sharedItems containsBlank="1" count="268">
        <s v="Arugala Mix"/>
        <s v="Spring Asian Greens Mix"/>
        <s v="Early Carrot Mix"/>
        <m/>
        <s v="Maincrop Carrot Mix"/>
        <s v="Shungiku, Komi"/>
        <s v="Corn Mix"/>
        <s v="Aquadulce"/>
        <s v="Saved Seed"/>
        <s v="Perennial"/>
        <s v="Magenta Spreen"/>
        <s v="Early Potato Mix"/>
        <s v="Main Potato Mix"/>
        <s v="Radish Mix"/>
        <s v="Schwarzer Runder"/>
        <s v="Hakurei"/>
        <s v="Asian Green Mix"/>
        <s v="Basil Mix"/>
        <s v="Tulsi"/>
        <s v="Pole Bean Mix"/>
        <s v="Beet Mix"/>
        <s v="Sprouting Broccoli Mix"/>
        <s v="Cabbage Fall Mix"/>
        <s v="Chinese Cabbage Mix"/>
        <s v="Mini Chinese Cabbage Mix"/>
        <s v="Mini Cabbage Mix"/>
        <s v="Farao F1"/>
        <s v="Fall Cauliflower Mix"/>
        <s v="Song TJS-65"/>
        <s v="Celery Mix"/>
        <s v="Green 70 D"/>
        <s v="Cilantro Mix"/>
        <s v="Asian Cucumber Mix"/>
        <s v="Lebanese Cucumber Mix"/>
        <s v="Slicing Cucumber Mix"/>
        <s v="Dill Mix"/>
        <s v="Fennel Mix"/>
        <s v="Peruvian Ground Cherry"/>
        <s v="Warm Kale Mix"/>
        <s v="Fresh Kholrabi Mix"/>
        <s v="Summer Leek Mix"/>
        <s v="East Indian Lemongrass"/>
        <s v="Brown Goldring"/>
        <s v="Rouge D'Hiver"/>
        <s v="Jester"/>
        <s v="Cool Lettuce Mix"/>
        <s v="Truchas - Pelleted"/>
        <s v="Summertime"/>
        <s v="Lovelock"/>
        <s v="Salanova Mix"/>
        <s v="Melon Mix"/>
        <s v="Rot Resistant Onions Mix"/>
        <s v="Parsley Mix"/>
        <s v="Snap Pea Mix"/>
        <s v="Shishito"/>
        <s v="Sweet Pepper Mix"/>
        <s v="Hot Pepper Mix"/>
        <s v="90 Mix"/>
        <s v="Winter Radish Mix"/>
        <s v="Scallion Mix"/>
        <s v="Sorrel Mix"/>
        <s v="Delicata Mix"/>
        <s v="Winter Squash Mix"/>
        <s v="Centercut"/>
        <s v="Summer Squash Mix"/>
        <s v="Swiss Chard Mix"/>
        <s v="Tomatillo Mix"/>
        <s v="Determinate Beefsteak Mix"/>
        <s v="Large Tomato Mix"/>
        <s v="Determinate Cherry Mix"/>
        <s v="Cherry Tomato Mix"/>
        <s v="Determinate Medium Mix"/>
        <s v="Medium Tomato Mix"/>
        <s v="Parsnip Mix" u="1"/>
        <s v="Muir" u="1"/>
        <s v="Specialty Heirloom Mix" u="1"/>
        <s v="Farao" u="1"/>
        <s v="Sunflower Mix" u="1"/>
        <s v="Bopak" u="1"/>
        <s v="2024 Plan" u="1"/>
        <s v="Bronco F1" u="1"/>
        <s v="Watermelon Mix" u="1"/>
        <s v="Amaranth Mix" u="1"/>
        <s v="Astro" u="1"/>
        <s v="Green Yardlong Bean" u="1"/>
        <s v="Borage Mix" u="1"/>
        <s v="Japanese" u="1"/>
        <s v="Bupleurum Mix" u="1"/>
        <s v="Gelber Nüssler" u="1"/>
        <s v="Cosmos Mix" u="1"/>
        <s v="Cress Mix" u="1"/>
        <s v="Saved Tubers" u="1"/>
        <s v="Reseed" u="1"/>
        <s v="Fava Mix" u="1"/>
        <s v="Foster" u="1"/>
        <s v="Red Chesnok, Zemo" u="1"/>
        <s v="Music, Red Chesnok" u="1"/>
        <s v="Music Mix" u="1"/>
        <s v="Inchelium Red" u="1"/>
        <s v="Nootka Rose Song Bird, Killarney Red Song Bird" u="1"/>
        <s v="TBD" u="1"/>
        <s v="Pansy &amp; Viola Mix" u="1"/>
        <s v="Mid Potato Mix" u="1"/>
        <s v="Dara" u="1"/>
        <s v="Scabiosa Mix" u="1"/>
        <s v="Overwinter Spinach Mix" u="1"/>
        <s v="Sunflowers Mix" u="1"/>
        <s v="Spring Turnip Mix" u="1"/>
        <s v="Fall Turnip Mix" u="1"/>
        <s v="Johnny's" u="1"/>
        <s v="Blue Fortune" u="1"/>
        <s v="Atriplex Mix" u="1"/>
        <s v="Runner Bean Mix" u="1"/>
        <s v="Badger Flame" u="1"/>
        <s v="FILDERKRAUT" u="1"/>
        <s v="Michihili" u="1"/>
        <s v="Cabbage Overwinter Mix" u="1"/>
        <s v="Spring Cabbage Mix" u="1"/>
        <s v="Winter Cabbage Large Mix" u="1"/>
        <s v="Famosa F1" u="1"/>
        <s v="Catnip" u="1"/>
        <s v="Mardi F1" u="1"/>
        <s v="All the Year Round" u="1"/>
        <s v="Celosia Mix" u="1"/>
        <s v="Fine Curled" u="1"/>
        <s v="Corn Salad Mix" u="1"/>
        <s v="Cucumber Mix" u="1"/>
        <s v="Eggplant Mix" u="1"/>
        <s v="Epazote" u="1"/>
        <s v="Winged Everlasting" u="1"/>
        <s v="Frosted Explosion Grass" u="1"/>
        <s v="Ground Cherry Mix" u="1"/>
        <s v="Mahogany Splendor" u="1"/>
        <s v="Apollo" u="1"/>
        <s v="Overwinter Kale Mix" u="1"/>
        <s v="Kossak F1" u="1"/>
        <s v="King Richard" u="1"/>
        <s v="Lemon Balm" u="1"/>
        <s v="Cool 9&quot; Lettuce Mix" u="1"/>
        <s v="Hot 9&quot; Lettuce Mix" u="1"/>
        <s v="Cool 6&quot; Lettuce Mix" u="1"/>
        <s v="Hot 6&quot; Lettuce Mix" u="1"/>
        <s v="Malabar Spinach Mix" u="1"/>
        <s v="Gem Marigold Mix" u="1"/>
        <s v="African Marigold Mix" u="1"/>
        <s v="Sweet Marjoram" u="1"/>
        <s v="Milkweed Mix" u="1"/>
        <s v="Overwinter Onion Mix" u="1"/>
        <s v="Storage Onion Mix" u="1"/>
        <s v="Salad Onion Mix" u="1"/>
        <s v="Greek Oregano" u="1"/>
        <s v="Overwinter Viola Mix" u="1"/>
        <s v="Einfache Schnitt 3" u="1"/>
        <s v="110 Mix" u="1"/>
        <s v="Incantadore" u="1"/>
        <s v="Purple" u="1"/>
        <s v="BBQ" u="1"/>
        <s v="Roselle" u="1"/>
        <s v="Rubeckia Mix" u="1"/>
        <s v="Major Dunne" u="1"/>
        <s v="Sage" u="1"/>
        <s v="Saltwort" u="1"/>
        <s v="Shallot Mix" u="1"/>
        <s v="Snapdragon Mix" u="1"/>
        <s v="Overwinter Snapdragon Mix" u="1"/>
        <s v="Butternut Mix" u="1"/>
        <s v="Strawflower Mix" u="1"/>
        <s v="Jewels of Opar" u="1"/>
        <s v="Thyme" u="1"/>
        <s v="Queen of Mallinalco" u="1"/>
        <s v="Paste Tomato Mix" u="1"/>
        <s v="Yarrow Mix" u="1"/>
        <s v="Zinnia Mix" u="1"/>
        <s v="Floral Dill Mix" u="1"/>
        <s v="Napoli F1" u="1"/>
        <s v="Polish White" u="1"/>
        <s v="French Grey" u="1"/>
        <s v="Vit Mache" u="1"/>
        <s v="Rudi" u="1"/>
        <s v="Bachellor's Button Mix" u="1"/>
        <s v="White" u="1"/>
        <s v="Variety" u="1"/>
        <s v="Green Mist" u="1"/>
        <s v="Potato Mix" u="1"/>
        <s v="Salsola Mix" u="1"/>
        <s v="Red Hedge" u="1"/>
        <s v="Nigella Mix" u="1"/>
        <s v="Blue" u="1"/>
        <s v="Reds" u="1"/>
        <s v="Ambrosia" u="1"/>
        <s v="Verdil" u="1"/>
        <s v="Bengala F1" u="1"/>
        <s v="White Dill" u="1"/>
        <s v="Procut White Lite" u="1"/>
        <s v="Misome" u="1"/>
        <s v="Perfection" u="1"/>
        <s v="Outredgeous" u="1"/>
        <s v="Rapini" u="1"/>
        <s v="Dubya Dapple Density" u="1"/>
        <s v="Yedikule" u="1"/>
        <s v="MERVEILLE DES QUATRE SAISONS" u="1"/>
        <s v="Muir - Pelleted" u="1"/>
        <s v="Little Gem" u="1"/>
        <s v="Barnwood Gem" u="1"/>
        <s v="White Spear" u="1"/>
        <s v="Winter Giant" u="1"/>
        <s v="Tokyo Bekana" u="1"/>
        <s v="Austrian Winter Pea" u="1"/>
        <s v="Tendril Pea" u="1"/>
        <s v="Lettuce - 9 in - Spring Mix 1" u="1"/>
        <s v="Lettuce - 6 in - Spring Mix 1" u="1"/>
        <s v="Bulb Onion Mix" u="1"/>
        <s v="N.P. TRUCHAS - Pelleted" u="1"/>
        <s v="Rat Tail Mix" u="1"/>
        <s v="Scarlet Runner" u="1"/>
        <s v="Cupidon" u="1"/>
        <s v="Stock Mix" u="1"/>
        <s v="Magnus" u="1"/>
        <s v="Ruby Moon" u="1"/>
        <s v="Winged" u="1"/>
        <s v="Petunia Mix" u="1"/>
        <s v="Deep Purple Basil" u="1"/>
        <s v="Holy Basil" u="1"/>
        <s v="Dianthus Mix" u="1"/>
        <s v="Tango" u="1"/>
        <s v="Dropmore" u="1"/>
        <s v="East Indian" u="1"/>
        <s v="Marigold Mix" u="1"/>
        <s v="Nasturtium Mix" u="1"/>
        <s v="Red" u="1"/>
        <s v="Komatsuna" u="1"/>
        <s v="Unagi" u="1"/>
        <s v="Tasty Green F1" u="1"/>
        <s v="Lebanese Mix" u="1"/>
        <s v="Mini Melon Mix" u="1"/>
        <s v="Tuxana" u="1"/>
        <s v="Farthest North Mix" u="1"/>
        <s v="Squash Mix" u="1"/>
        <s v="Butterfly Flower Mix" u="1"/>
        <s v="AUNT MOLLY'S" u="1"/>
        <s v="Beefsteak Mix" u="1"/>
        <s v="Cherry Mix" u="1"/>
        <s v="Medium Mix" u="1"/>
        <s v="Green Incised, Sweet Crisp" u="1"/>
        <s v="Queen of Malinalco" u="1"/>
        <s v="Brown Goldring, Merveille des Quatres Saisons" u="1"/>
        <s v="MERVEILLE DES QUATRE SAISONS, Intercut" u="1"/>
        <s v="Truchas, Bauer, Outredgeous" u="1"/>
        <s v="Bauer, Fristina" u="1"/>
        <s v="Jester, Brown Goldring" u="1"/>
        <s v="Intercut" u="1"/>
        <s v="Bauer, Rouge d'Hiver" u="1"/>
        <s v="Solaris F1" u="1"/>
        <s v="BAUER LETTUCE - Pelleted" u="1"/>
        <s v="Bauer, Truchas" u="1"/>
        <s v="Barnwood Gem, Dubya Dapple Density" u="1"/>
        <s v="Eruption" u="1"/>
        <s v="Salanova - Sweet Crisp" u="1"/>
        <s v="Jester, Fristina" u="1"/>
        <s v="Piedmont" u="1"/>
        <s v="Eruption, Little Gem" u="1"/>
        <s v="VERZA MORETTA DI VERONELLA" u="1"/>
        <s v="Merlot, Outredgeous" u="1"/>
        <s v="Sora" u="1"/>
        <s v="Cicilian" u="1"/>
        <s v="January King" u="1"/>
        <s v="Green Sleeves" u="1"/>
        <s v="Salanova - Green Incised" u="1"/>
      </sharedItems>
    </cacheField>
    <cacheField name="BedPlan.Company" numFmtId="0">
      <sharedItems containsBlank="1" count="25">
        <m/>
        <s v="Adaptive"/>
        <s v="Sustainable Seed Company"/>
        <s v="High Mowing"/>
        <s v="Johnny's"/>
        <s v="Uprising"/>
        <s v="Garden Hoard"/>
        <s v="Wild Garden"/>
        <s v="Osborne"/>
        <s v="Row 7"/>
        <s v="Test" u="1"/>
        <s v="Everwilde" u="1"/>
        <s v="Kitazawa" u="1"/>
        <s v="Variety" u="1"/>
        <s v="Adaptive, Irish Eyes, Viva" u="1"/>
        <s v="Territorial" u="1"/>
        <s v="Seed Savers" u="1"/>
        <s v="Sky Nursery" u="1"/>
        <s v="Fedco" u="1"/>
        <s v="Baker Creek" u="1"/>
        <s v="Uprising, Wild Garden" u="1"/>
        <s v="Swallowtail Garden" u="1"/>
        <s v="Strictly Medicinal" u="1"/>
        <s v="Prairie Road Organic" u="1"/>
        <s v="Mix" u="1"/>
      </sharedItems>
    </cacheField>
    <cacheField name="BedPlan.Seeds" numFmtId="0">
      <sharedItems containsSemiMixedTypes="0" containsString="0" containsNumber="1" minValue="0" maxValue="18720"/>
    </cacheField>
    <cacheField name="BedPlan.Seed Bought" numFmtId="0">
      <sharedItems containsString="0" containsBlank="1" count="1">
        <m/>
      </sharedItems>
    </cacheField>
    <cacheField name="BedPlan.# Of Beds" numFmtId="0">
      <sharedItems containsSemiMixedTypes="0" containsString="0" containsNumber="1" minValue="0.25" maxValue="16" count="12">
        <n v="0.5"/>
        <n v="1"/>
        <n v="0.25"/>
        <n v="2"/>
        <n v="4"/>
        <n v="0.4"/>
        <n v="1.6"/>
        <n v="0.75"/>
        <n v="0.8"/>
        <n v="16"/>
        <n v="6"/>
        <n v="8"/>
      </sharedItems>
    </cacheField>
    <cacheField name="BedPlan.Display Width" numFmtId="0">
      <sharedItems containsSemiMixedTypes="0" containsString="0" containsNumber="1" minValue="0.5" maxValue="4" count="4">
        <n v="0.5"/>
        <n v="1"/>
        <n v="2"/>
        <n v="4"/>
      </sharedItems>
    </cacheField>
    <cacheField name="BedPlan.Repeat ID" numFmtId="0">
      <sharedItems containsString="0" containsBlank="1" count="1">
        <m/>
      </sharedItems>
    </cacheField>
    <cacheField name="BedPlan.Code" numFmtId="0">
      <sharedItems/>
    </cacheField>
    <cacheField name="BedPlan.Generation" numFmtId="0">
      <sharedItems containsString="0" containsBlank="1" count="1">
        <m/>
      </sharedItems>
    </cacheField>
    <cacheField name="BedPlan.Greenhouse Start Date" numFmtId="0">
      <sharedItems containsDate="1" containsMixedTypes="1" minDate="2024-01-01T00:00:00" maxDate="2025-07-19T00:00:00" count="24">
        <s v=""/>
        <d v="2024-01-01T00:00:00"/>
        <d v="2025-04-14T00:00:00"/>
        <d v="2025-07-18T00:00:00"/>
        <d v="2025-04-16T00:00:00"/>
        <d v="2025-05-19T00:00:00"/>
        <d v="2025-03-28T00:00:00"/>
        <d v="2025-06-21T00:00:00"/>
        <d v="2025-07-11T00:00:00"/>
        <d v="2025-07-10T00:00:00"/>
        <d v="2025-07-03T00:00:00"/>
        <d v="2025-04-01T00:00:00"/>
        <d v="2025-07-01T00:00:00"/>
        <d v="2025-03-21T00:00:00"/>
        <d v="2025-07-08T00:00:00"/>
        <d v="2025-04-20T00:00:00"/>
        <d v="2025-05-14T00:00:00"/>
        <d v="2025-07-16T00:00:00"/>
        <d v="2025-03-25T00:00:00"/>
        <d v="2025-04-15T00:00:00"/>
        <d v="2025-04-24T00:00:00"/>
        <d v="2025-03-30T00:00:00"/>
        <d v="2025-07-15T00:00:00"/>
        <d v="2024-03-23T00:00:00"/>
      </sharedItems>
    </cacheField>
    <cacheField name="BedPlan.Fixed Field Start Date" numFmtId="0">
      <sharedItems containsSemiMixedTypes="0" containsDate="1" containsString="0" minDate="2024-01-27T00:00:00" maxDate="2025-08-30T00:00:00"/>
    </cacheField>
    <cacheField name="BedPlan.Follows Crop" numFmtId="0">
      <sharedItems containsString="0" containsBlank="1" count="1">
        <m/>
      </sharedItems>
    </cacheField>
    <cacheField name="BedPlan.TP or DS Date" numFmtId="0">
      <sharedItems containsSemiMixedTypes="0" containsDate="1" containsString="0" minDate="2024-01-01T00:00:00" maxDate="2025-08-30T00:00:00"/>
    </cacheField>
    <cacheField name="BedPlan.Beginning of Harvest" numFmtId="0">
      <sharedItems containsSemiMixedTypes="0" containsDate="1" containsString="0" minDate="2024-04-10T00:00:00" maxDate="2025-11-16T00:00:00"/>
    </cacheField>
    <cacheField name="BedPlan.End of Harvest" numFmtId="0">
      <sharedItems containsSemiMixedTypes="0" containsDate="1" containsString="0" minDate="2025-01-20T00:00:00" maxDate="2025-12-23T00:00:00"/>
    </cacheField>
    <cacheField name="BedPlan.Seeding Done" numFmtId="0">
      <sharedItems count="2">
        <b v="1"/>
        <b v="0"/>
      </sharedItems>
    </cacheField>
    <cacheField name="BedPlan.Transplant Done" numFmtId="0">
      <sharedItems count="3">
        <s v="-"/>
        <b v="1"/>
        <b v="0"/>
      </sharedItems>
    </cacheField>
    <cacheField name="BedPlan.Harvest Done" numFmtId="0">
      <sharedItems count="1">
        <b v="0"/>
      </sharedItems>
    </cacheField>
    <cacheField name="BedPlan.Crop Done" numFmtId="0">
      <sharedItems count="1">
        <b v="0"/>
      </sharedItems>
    </cacheField>
    <cacheField name="BedPlan.Revenue" numFmtId="0">
      <sharedItems containsSemiMixedTypes="0" containsString="0" containsNumber="1" minValue="0" maxValue="16800"/>
    </cacheField>
    <cacheField name="BedPlan.Revenue Per Bed Day" numFmtId="0">
      <sharedItems containsSemiMixedTypes="0" containsString="0" containsNumber="1" minValue="0" maxValue="109.8039"/>
    </cacheField>
    <cacheField name="BedPlan.DTM" numFmtId="0">
      <sharedItems containsSemiMixedTypes="0" containsString="0" containsNumber="1" containsInteger="1" minValue="31" maxValue="270"/>
    </cacheField>
    <cacheField name="BedPlan.Additional Days in Cells" numFmtId="0">
      <sharedItems containsString="0" containsBlank="1" count="1">
        <m/>
      </sharedItems>
    </cacheField>
    <cacheField name="BedPlan.Additional Days In Field" numFmtId="0">
      <sharedItems containsString="0" containsBlank="1" containsNumber="1" containsInteger="1" minValue="-40" maxValue="7" count="6">
        <m/>
        <n v="-40"/>
        <n v="7"/>
        <n v="-7"/>
        <n v="-14"/>
        <n v="-21"/>
      </sharedItems>
    </cacheField>
    <cacheField name="BedPlan.Additional Days of Harvest" numFmtId="0">
      <sharedItems containsDate="1" containsString="0" containsBlank="1" minDate="1900-01-28T00:00:00" maxDate="1900-04-09T00:00:00" count="3">
        <m/>
        <d v="1900-04-08T00:00:00"/>
        <d v="1900-01-28T00:00:00"/>
      </sharedItems>
    </cacheField>
    <cacheField name="BedPlan.Harvest Window" numFmtId="0">
      <sharedItems containsSemiMixedTypes="0" containsString="0" containsNumber="1" containsInteger="1" minValue="7" maxValue="224" count="27">
        <n v="18"/>
        <n v="14"/>
        <n v="21"/>
        <n v="56"/>
        <n v="7"/>
        <n v="161"/>
        <n v="35"/>
        <n v="49"/>
        <n v="112"/>
        <n v="43"/>
        <n v="147"/>
        <n v="28"/>
        <n v="105"/>
        <n v="77"/>
        <n v="17"/>
        <n v="98"/>
        <n v="63"/>
        <n v="27"/>
        <n v="47"/>
        <n v="119"/>
        <n v="33"/>
        <n v="70"/>
        <n v="126"/>
        <n v="224"/>
        <n v="95"/>
        <n v="87"/>
        <n v="84"/>
      </sharedItems>
    </cacheField>
    <cacheField name="BedPlan.DS/TP" numFmtId="0">
      <sharedItems count="2">
        <s v="DS"/>
        <s v="TP"/>
      </sharedItems>
    </cacheField>
    <cacheField name="BedPlan.100 Foot Bed Equivalent" numFmtId="0">
      <sharedItems containsString="0" containsBlank="1" count="1">
        <m/>
      </sharedItems>
    </cacheField>
    <cacheField name="BedPlan.Tray" numFmtId="0">
      <sharedItems containsString="0" containsBlank="1" count="1">
        <m/>
      </sharedItems>
    </cacheField>
    <cacheField name="BedPlan.Tray Count" numFmtId="0">
      <sharedItems containsString="0" containsBlank="1" count="1">
        <m/>
      </sharedItems>
    </cacheField>
    <cacheField name="BedPlan.Days in Cells" numFmtId="0">
      <sharedItems containsSemiMixedTypes="0" containsString="0" containsNumber="1" containsInteger="1" minValue="0" maxValue="90" count="16">
        <n v="0"/>
        <n v="28"/>
        <n v="40"/>
        <n v="14"/>
        <n v="35"/>
        <n v="69"/>
        <n v="30"/>
        <n v="26"/>
        <n v="53"/>
        <n v="25"/>
        <n v="60"/>
        <n v="21"/>
        <n v="42"/>
        <n v="90"/>
        <n v="24"/>
        <n v="56"/>
      </sharedItems>
    </cacheField>
    <cacheField name="BedPlan.Rows" numFmtId="0">
      <sharedItems containsSemiMixedTypes="0" containsString="0" containsNumber="1" containsInteger="1" minValue="1" maxValue="6" count="6">
        <n v="6"/>
        <n v="4"/>
        <n v="3"/>
        <n v="2"/>
        <n v="1"/>
        <n v="5"/>
      </sharedItems>
    </cacheField>
    <cacheField name="BedPlan.Spacing" numFmtId="0">
      <sharedItems containsSemiMixedTypes="0" containsString="0" containsNumber="1" minValue="0.25" maxValue="36" count="17">
        <n v="0.25"/>
        <n v="0.5"/>
        <n v="0.8"/>
        <n v="9"/>
        <n v="12"/>
        <n v="2"/>
        <n v="6"/>
        <n v="18"/>
        <n v="24"/>
        <n v="1"/>
        <n v="3"/>
        <n v="1.5"/>
        <n v="15"/>
        <n v="21"/>
        <n v="30"/>
        <n v="4"/>
        <n v="36"/>
      </sharedItems>
    </cacheField>
    <cacheField name="BedPlan.Irrigation" numFmtId="0">
      <sharedItems count="3">
        <s v="OH"/>
        <s v=""/>
        <s v="DR"/>
      </sharedItems>
    </cacheField>
    <cacheField name="BedPlan.Chart Index" numFmtId="0">
      <sharedItems containsSemiMixedTypes="0" containsString="0" containsNumber="1" containsInteger="1" minValue="6" maxValue="337"/>
    </cacheField>
    <cacheField name="BedPlan.Seasons" numFmtId="0">
      <sharedItems containsMixedTypes="1" containsNumber="1" containsInteger="1" minValue="0" maxValue="0" count="13">
        <s v="Sp"/>
        <s v=""/>
        <s v="Su"/>
        <s v="FaWi"/>
        <s v="Ow"/>
        <n v="0"/>
        <s v="Fa"/>
        <s v="SuFa"/>
        <s v="SpSuOw"/>
        <s v="SpFaWiOw"/>
        <s v="Wi"/>
        <s v="SpSu"/>
        <s v="SpSuFa"/>
      </sharedItems>
    </cacheField>
    <cacheField name="BedPlan.Days Until Harvest" numFmtId="0">
      <sharedItems containsSemiMixedTypes="0" containsString="0" containsNumber="1" containsInteger="1" minValue="490" maxValue="1049"/>
    </cacheField>
    <cacheField name="BedPlan.True Harvest Window" numFmtId="0">
      <sharedItems containsSemiMixedTypes="0" containsString="0" containsNumber="1" containsInteger="1" minValue="7" maxValue="260" count="30">
        <n v="18"/>
        <n v="14"/>
        <n v="21"/>
        <n v="56"/>
        <n v="7"/>
        <n v="29"/>
        <n v="10"/>
        <n v="260"/>
        <n v="35"/>
        <n v="49"/>
        <n v="112"/>
        <n v="43"/>
        <n v="147"/>
        <n v="28"/>
        <n v="105"/>
        <n v="77"/>
        <n v="17"/>
        <n v="98"/>
        <n v="63"/>
        <n v="11"/>
        <n v="27"/>
        <n v="13"/>
        <n v="119"/>
        <n v="33"/>
        <n v="70"/>
        <n v="126"/>
        <n v="224"/>
        <n v="95"/>
        <n v="87"/>
        <n v="84"/>
      </sharedItems>
    </cacheField>
    <cacheField name="BedPlan.Category" numFmtId="0">
      <sharedItems containsMixedTypes="1" containsNumber="1" containsInteger="1" minValue="0" maxValue="0" count="19">
        <s v="Green"/>
        <n v="0"/>
        <s v="Root"/>
        <s v="Brassica"/>
        <s v="Corn"/>
        <s v="Fava Bean"/>
        <s v="Garlic"/>
        <s v="Herb"/>
        <s v="Flower"/>
        <s v="Onion"/>
        <s v="Beans"/>
        <s v="Celery"/>
        <s v="Cucumber"/>
        <s v="Fennel"/>
        <s v="Melon"/>
        <s v="Pepper"/>
        <s v="Winter Squash"/>
        <s v="Summer Squash"/>
        <s v="Tomato"/>
      </sharedItems>
    </cacheField>
    <cacheField name="BedPlan.Height" numFmtId="0">
      <sharedItems containsSemiMixedTypes="0" containsString="0" containsNumber="1" minValue="0" maxValue="24" count="12">
        <n v="1"/>
        <n v="0"/>
        <n v="2"/>
        <n v="4"/>
        <n v="3.5"/>
        <n v="6"/>
        <n v="7"/>
        <n v="3"/>
        <n v="1.5"/>
        <n v="2.5"/>
        <n v="24"/>
        <n v="5"/>
      </sharedItems>
    </cacheField>
    <cacheField name="BedPlan.Cover" numFmtId="0">
      <sharedItems containsMixedTypes="1" containsNumber="1" containsInteger="1" minValue="0" maxValue="0" count="6">
        <s v="None"/>
        <n v="0"/>
        <s v="AMAP"/>
        <s v="Early"/>
        <s v="Late"/>
        <s v="You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s v="J2"/>
    <e v="#DIV/0!"/>
    <e v="#DIV/0!"/>
    <s v="SOR"/>
    <s v="Blood sorrel takes fuckin ages. Like a month to start. Grows really slow. Green sorrel grew like a weed. Cut back the flowering stalk and it it bounded well. Something at it in late summer."/>
    <x v="0"/>
    <x v="0"/>
    <m/>
    <s v="Garden Sorrel Wild Garden, Red Veined Sorrel High Mowing"/>
    <n v="117"/>
    <m/>
    <n v="0.4"/>
    <n v="0.5"/>
    <d v="2024-03-23T00:00:00"/>
    <d v="2024-04-01T00:00:00"/>
    <d v="2024-03-23T00:00:00"/>
    <d v="2024-03-23T00:00:00"/>
    <d v="2024-04-29T00:00:00"/>
    <m/>
    <m/>
    <d v="2024-04-20T00:00:00"/>
    <d v="2024-04-26T00:00:00"/>
    <n v="6"/>
    <x v="0"/>
    <m/>
    <d v="2024-06-01T00:00:00"/>
    <m/>
    <d v="2024-06-01T00:00:00"/>
    <d v="2025-01-11T00:00:00"/>
    <d v="2025-01-31T00:00:00"/>
    <m/>
    <b v="0"/>
    <m/>
    <d v="2025-01-31T00:00:00"/>
    <b v="1"/>
    <b v="1"/>
    <b v="0"/>
    <b v="0"/>
    <n v="822.85714285714278"/>
    <n v="3.0934479054779804"/>
    <n v="70"/>
    <m/>
    <n v="224"/>
    <s v="TP"/>
    <n v="0.4"/>
    <n v="28"/>
    <n v="3"/>
    <n v="12"/>
    <n v="3"/>
    <n v="60"/>
    <s v=""/>
    <n v="291"/>
    <s v="General"/>
    <s v=""/>
    <n v="517"/>
    <n v="224"/>
    <s v="Green"/>
    <n v="1.5"/>
    <n v="0"/>
    <n v="128"/>
    <n v="28"/>
    <n v="0.609375"/>
    <n v="0"/>
    <n v="0"/>
    <s v=""/>
    <n v="0"/>
    <n v="0"/>
    <s v=""/>
    <n v="1.3"/>
    <n v="0"/>
    <s v="Field"/>
    <s v="Sorrel_x000a_Sorrel Mix_x000a_"/>
    <n v="11"/>
    <n v="0"/>
    <n v="0"/>
    <n v="0"/>
    <n v="0"/>
    <n v="0"/>
    <n v="0"/>
    <n v="0"/>
    <n v="0"/>
    <n v="0"/>
    <n v="0"/>
    <n v="0"/>
    <n v="0"/>
    <n v="0"/>
    <n v="0"/>
    <n v="0"/>
    <n v="0"/>
    <n v="0"/>
    <n v="0"/>
    <n v="0"/>
    <n v="0"/>
    <n v="0"/>
    <n v="0"/>
    <n v="0"/>
    <n v="822.85714285714278"/>
    <n v="0"/>
    <n v="0"/>
    <n v="0"/>
    <n v="0"/>
    <n v="0"/>
    <n v="0"/>
    <n v="0"/>
    <n v="0"/>
    <n v="0"/>
    <n v="0"/>
    <n v="0"/>
    <n v="0"/>
    <n v="0"/>
    <n v="0"/>
    <n v="0"/>
    <n v="0"/>
    <n v="0"/>
    <n v="0"/>
    <n v="0"/>
    <n v="0"/>
    <n v="0"/>
    <n v="0"/>
    <n v="0"/>
    <b v="1"/>
    <n v="274.28571428571428"/>
    <s v="Bunch"/>
    <s v="Mature Leaf"/>
    <s v="Sorrel Mature Leaf - Bunch"/>
    <n v="274.28571428571428"/>
    <n v="0"/>
    <n v="0"/>
    <n v="0"/>
    <n v="0"/>
    <n v="0"/>
    <n v="0"/>
    <n v="0"/>
    <n v="0"/>
    <n v="0"/>
    <n v="0"/>
    <n v="0"/>
  </r>
  <r>
    <x v="1"/>
    <x v="1"/>
    <s v="F0"/>
    <n v="12.5"/>
    <n v="25"/>
    <s v="CHO"/>
    <m/>
    <x v="1"/>
    <x v="1"/>
    <s v="Johnny's"/>
    <s v=""/>
    <n v="195"/>
    <m/>
    <n v="1"/>
    <n v="1"/>
    <d v="2025-02-20T00:00:00"/>
    <d v="2025-02-20T00:00:00"/>
    <d v="2025-03-21T00:00:00"/>
    <d v="2025-03-21T00:00:00"/>
    <d v="2025-03-22T00:00:00"/>
    <m/>
    <m/>
    <d v="2025-04-20T00:00:00"/>
    <d v="2025-04-23T00:00:00"/>
    <n v="3"/>
    <x v="1"/>
    <m/>
    <d v="2025-05-17T00:00:00"/>
    <m/>
    <d v="2025-05-17T00:00:00"/>
    <d v="2025-05-31T00:00:00"/>
    <m/>
    <m/>
    <b v="0"/>
    <m/>
    <d v="2025-05-31T00:00:00"/>
    <b v="1"/>
    <b v="1"/>
    <b v="0"/>
    <b v="0"/>
    <n v="87.5"/>
    <n v="2.1341463414634148"/>
    <n v="57"/>
    <m/>
    <n v="14"/>
    <s v="TP"/>
    <n v="1"/>
    <n v="30"/>
    <n v="3"/>
    <n v="12"/>
    <n v="1"/>
    <n v="150"/>
    <s v=""/>
    <n v="79"/>
    <s v="General"/>
    <s v=""/>
    <n v="867"/>
    <n v="14"/>
    <s v="Brassica"/>
    <n v="1.5"/>
    <s v="AMAP"/>
    <n v="128"/>
    <n v="30"/>
    <n v="1.5234375"/>
    <n v="0"/>
    <n v="0"/>
    <s v=""/>
    <n v="0"/>
    <n v="0"/>
    <s v=""/>
    <n v="1.3"/>
    <n v="0"/>
    <s v="Field"/>
    <s v="Choi Sum_x000a_Green 70 D_x000a_Johnny's"/>
    <n v="0"/>
    <n v="0"/>
    <n v="0"/>
    <n v="0"/>
    <n v="15"/>
    <n v="0"/>
    <n v="0"/>
    <n v="0"/>
    <n v="0"/>
    <n v="0"/>
    <n v="0"/>
    <n v="0"/>
    <n v="0"/>
    <n v="0"/>
    <n v="0"/>
    <n v="0"/>
    <n v="0"/>
    <n v="0"/>
    <n v="0"/>
    <n v="0"/>
    <n v="0"/>
    <n v="0"/>
    <n v="0"/>
    <n v="0"/>
    <n v="0"/>
    <n v="0"/>
    <n v="0"/>
    <n v="0"/>
    <n v="87.5"/>
    <n v="0"/>
    <n v="0"/>
    <n v="0"/>
    <n v="0"/>
    <n v="0"/>
    <n v="0"/>
    <n v="0"/>
    <n v="0"/>
    <n v="0"/>
    <n v="0"/>
    <n v="0"/>
    <n v="0"/>
    <n v="0"/>
    <n v="0"/>
    <n v="0"/>
    <n v="0"/>
    <n v="0"/>
    <n v="0"/>
    <n v="0"/>
    <b v="1"/>
    <n v="25"/>
    <s v="Bunch"/>
    <s v="Mature Head"/>
    <s v="Choi Sum Mature Head - Bunch"/>
    <n v="0"/>
    <n v="0"/>
    <n v="0"/>
    <n v="0"/>
    <n v="25"/>
    <n v="0"/>
    <n v="0"/>
    <n v="0"/>
    <n v="0"/>
    <n v="0"/>
    <n v="0"/>
    <n v="0"/>
  </r>
  <r>
    <x v="2"/>
    <x v="2"/>
    <s v="G1"/>
    <n v="85.714285714285708"/>
    <n v="1799.9999999999998"/>
    <s v="CEL"/>
    <m/>
    <x v="2"/>
    <x v="2"/>
    <m/>
    <s v="Merrengo F1 - Pelleted High Mowing, Tango High Mowing, Ventura Adaptive"/>
    <n v="195"/>
    <m/>
    <n v="1"/>
    <n v="1"/>
    <d v="2025-02-20T00:00:00"/>
    <d v="2025-02-20T00:00:00"/>
    <d v="2025-03-28T00:00:00"/>
    <d v="2025-03-28T00:00:00"/>
    <d v="2025-04-30T00:00:00"/>
    <m/>
    <m/>
    <d v="2025-06-05T00:00:00"/>
    <d v="2025-06-05T00:00:00"/>
    <n v="0"/>
    <x v="2"/>
    <m/>
    <d v="2025-07-06T00:00:00"/>
    <m/>
    <d v="2025-07-06T00:00:00"/>
    <d v="2025-11-30T00:00:00"/>
    <m/>
    <m/>
    <b v="1"/>
    <m/>
    <d v="2025-11-30T00:00:00"/>
    <b v="1"/>
    <b v="1"/>
    <b v="0"/>
    <b v="0"/>
    <n v="4949.9999999999991"/>
    <n v="27.80898876404494"/>
    <n v="100"/>
    <m/>
    <n v="147"/>
    <s v="TP"/>
    <n v="1"/>
    <n v="69"/>
    <n v="3"/>
    <n v="12"/>
    <n v="1"/>
    <n v="150"/>
    <s v=""/>
    <n v="70"/>
    <s v="General"/>
    <s v="SpSu"/>
    <n v="917"/>
    <n v="147"/>
    <s v="Celery"/>
    <n v="2"/>
    <s v="None"/>
    <n v="400"/>
    <n v="21"/>
    <n v="0.48750000000000004"/>
    <n v="128"/>
    <n v="48"/>
    <n v="1.5234375"/>
    <n v="0"/>
    <n v="0"/>
    <s v=""/>
    <n v="1.3"/>
    <n v="0"/>
    <s v="Field"/>
    <s v="Celery_x000a_Celery Mix_x000a_"/>
    <n v="0"/>
    <n v="0"/>
    <n v="0"/>
    <n v="0"/>
    <n v="0"/>
    <n v="0"/>
    <n v="26"/>
    <n v="31"/>
    <n v="30"/>
    <n v="31"/>
    <n v="30"/>
    <n v="0"/>
    <n v="0"/>
    <n v="0"/>
    <n v="0"/>
    <n v="0"/>
    <n v="0"/>
    <n v="0"/>
    <n v="0"/>
    <n v="0"/>
    <n v="0"/>
    <n v="0"/>
    <n v="0"/>
    <n v="0"/>
    <n v="0"/>
    <n v="0"/>
    <n v="0"/>
    <n v="0"/>
    <n v="0"/>
    <n v="0"/>
    <n v="869.59459459459447"/>
    <n v="1036.8243243243242"/>
    <n v="1003.3783783783782"/>
    <n v="1036.8243243243242"/>
    <n v="1003.3783783783782"/>
    <n v="0"/>
    <n v="0"/>
    <n v="0"/>
    <n v="0"/>
    <n v="0"/>
    <n v="0"/>
    <n v="0"/>
    <n v="0"/>
    <n v="0"/>
    <n v="0"/>
    <n v="0"/>
    <n v="0"/>
    <n v="0"/>
    <b v="1"/>
    <n v="1799.9999999999998"/>
    <s v="Bunch"/>
    <s v="Loose Rib"/>
    <s v="Celery Loose Rib - Bunch"/>
    <n v="0"/>
    <n v="0"/>
    <n v="0"/>
    <n v="0"/>
    <n v="0"/>
    <n v="0"/>
    <n v="316.2162162162162"/>
    <n v="377.02702702702697"/>
    <n v="364.86486486486484"/>
    <n v="377.02702702702697"/>
    <n v="364.86486486486484"/>
    <n v="0"/>
  </r>
  <r>
    <x v="3"/>
    <x v="3"/>
    <s v="A3"/>
    <n v="28.125000000000004"/>
    <n v="506.25"/>
    <s v="PEP"/>
    <m/>
    <x v="3"/>
    <x v="3"/>
    <m/>
    <s v="Elephant's Ear Uprising, Olly F1 Johnny's"/>
    <n v="65"/>
    <m/>
    <n v="0.5"/>
    <n v="0.5"/>
    <d v="2025-02-20T00:00:00"/>
    <d v="2025-02-20T00:00:00"/>
    <d v="2025-03-21T00:00:00"/>
    <d v="2025-03-21T00:00:00"/>
    <d v="2025-05-21T00:00:00"/>
    <m/>
    <m/>
    <d v="2025-06-19T00:00:00"/>
    <s v="X"/>
    <e v="#VALUE!"/>
    <x v="3"/>
    <m/>
    <d v="2025-08-18T00:00:00"/>
    <m/>
    <d v="2025-08-18T00:00:00"/>
    <d v="2025-12-22T00:00:00"/>
    <m/>
    <m/>
    <b v="1"/>
    <m/>
    <d v="2025-12-22T00:00:00"/>
    <b v="1"/>
    <b v="0"/>
    <b v="0"/>
    <b v="0"/>
    <n v="2404.6875"/>
    <n v="12.928427419354838"/>
    <n v="150"/>
    <m/>
    <n v="126"/>
    <s v="TP"/>
    <n v="0.5"/>
    <n v="90"/>
    <n v="2"/>
    <n v="12"/>
    <n v="1"/>
    <n v="50"/>
    <s v=""/>
    <n v="242"/>
    <s v="Bell"/>
    <s v=""/>
    <n v="960"/>
    <n v="126"/>
    <s v="Pepper"/>
    <n v="4"/>
    <n v="0"/>
    <n v="128"/>
    <n v="28"/>
    <n v="0.5078125"/>
    <n v="18"/>
    <n v="62"/>
    <n v="3.6111111111111112"/>
    <n v="0"/>
    <n v="0"/>
    <s v=""/>
    <n v="1.3"/>
    <n v="0"/>
    <s v="Greenhouse"/>
    <s v="Pepper_x000a_Sweet Pepper Mix_x000a_"/>
    <n v="0"/>
    <n v="0"/>
    <n v="0"/>
    <n v="0"/>
    <n v="0"/>
    <n v="0"/>
    <n v="0"/>
    <n v="14"/>
    <n v="30"/>
    <n v="31"/>
    <n v="30"/>
    <n v="22"/>
    <n v="0"/>
    <n v="0"/>
    <n v="0"/>
    <n v="0"/>
    <n v="0"/>
    <n v="0"/>
    <n v="0"/>
    <n v="0"/>
    <n v="0"/>
    <n v="0"/>
    <n v="0"/>
    <n v="0"/>
    <n v="0"/>
    <n v="0"/>
    <n v="0"/>
    <n v="0"/>
    <n v="0"/>
    <n v="0"/>
    <n v="0"/>
    <n v="265.08366141732284"/>
    <n v="568.03641732283461"/>
    <n v="586.97096456692918"/>
    <n v="568.03641732283461"/>
    <n v="416.56003937007875"/>
    <n v="0"/>
    <n v="0"/>
    <n v="0"/>
    <n v="0"/>
    <n v="0"/>
    <n v="0"/>
    <n v="0"/>
    <n v="0"/>
    <n v="0"/>
    <n v="0"/>
    <n v="0"/>
    <n v="0"/>
    <b v="1"/>
    <n v="506.25"/>
    <s v="Lb"/>
    <s v="Ripe Fruit Large"/>
    <s v="Pepper Ripe Fruit Large - Lb"/>
    <n v="0"/>
    <n v="0"/>
    <n v="0"/>
    <n v="0"/>
    <n v="0"/>
    <n v="0"/>
    <n v="0"/>
    <n v="55.80708661417323"/>
    <n v="119.58661417322834"/>
    <n v="123.5728346456693"/>
    <n v="119.58661417322834"/>
    <n v="87.696850393700785"/>
  </r>
  <r>
    <x v="4"/>
    <x v="4"/>
    <s v="A3"/>
    <n v="28.125000000000004"/>
    <n v="506.25"/>
    <s v="PEP"/>
    <m/>
    <x v="3"/>
    <x v="3"/>
    <m/>
    <s v="Elephant's Ear Uprising, Olly F1 Johnny's"/>
    <n v="65"/>
    <m/>
    <n v="0.5"/>
    <n v="0.5"/>
    <d v="2025-02-20T00:00:00"/>
    <d v="2025-02-20T00:00:00"/>
    <d v="2025-03-21T00:00:00"/>
    <d v="2025-03-21T00:00:00"/>
    <d v="2025-05-21T00:00:00"/>
    <m/>
    <m/>
    <d v="2025-06-19T00:00:00"/>
    <s v="X"/>
    <e v="#VALUE!"/>
    <x v="3"/>
    <m/>
    <d v="2025-08-18T00:00:00"/>
    <m/>
    <d v="2025-08-18T00:00:00"/>
    <d v="2025-12-22T00:00:00"/>
    <m/>
    <m/>
    <b v="1"/>
    <m/>
    <d v="2025-12-22T00:00:00"/>
    <b v="1"/>
    <b v="0"/>
    <b v="0"/>
    <b v="0"/>
    <n v="1012.5"/>
    <n v="5.443548387096774"/>
    <n v="150"/>
    <m/>
    <n v="126"/>
    <s v="TP"/>
    <n v="0.5"/>
    <n v="90"/>
    <n v="2"/>
    <n v="12"/>
    <n v="1"/>
    <n v="50"/>
    <s v=""/>
    <n v="244"/>
    <s v="Hot"/>
    <s v=""/>
    <n v="960"/>
    <n v="126"/>
    <s v="Pepper"/>
    <n v="4"/>
    <n v="0"/>
    <n v="128"/>
    <n v="28"/>
    <n v="0.5078125"/>
    <n v="18"/>
    <n v="62"/>
    <n v="3.6111111111111112"/>
    <n v="0"/>
    <n v="0"/>
    <s v=""/>
    <n v="1.3"/>
    <n v="0"/>
    <s v="Greenhouse"/>
    <s v="Pepper_x000a_Sweet Pepper Mix_x000a_"/>
    <n v="0"/>
    <n v="0"/>
    <n v="0"/>
    <n v="0"/>
    <n v="0"/>
    <n v="0"/>
    <n v="0"/>
    <n v="14"/>
    <n v="30"/>
    <n v="31"/>
    <n v="30"/>
    <n v="22"/>
    <n v="0"/>
    <n v="0"/>
    <n v="0"/>
    <n v="0"/>
    <n v="0"/>
    <n v="0"/>
    <n v="0"/>
    <n v="0"/>
    <n v="0"/>
    <n v="0"/>
    <n v="0"/>
    <n v="0"/>
    <n v="0"/>
    <n v="0"/>
    <n v="0"/>
    <n v="0"/>
    <n v="0"/>
    <n v="0"/>
    <n v="0"/>
    <n v="111.61417322834646"/>
    <n v="239.17322834645668"/>
    <n v="247.14566929133861"/>
    <n v="239.17322834645668"/>
    <n v="175.39370078740157"/>
    <n v="0"/>
    <n v="0"/>
    <n v="0"/>
    <n v="0"/>
    <n v="0"/>
    <n v="0"/>
    <n v="0"/>
    <n v="0"/>
    <n v="0"/>
    <n v="0"/>
    <n v="0"/>
    <n v="0"/>
    <b v="1"/>
    <n v="126.5625"/>
    <s v="Lb"/>
    <s v="Ripe Fruit Small"/>
    <s v="Pepper Ripe Fruit Small - Lb"/>
    <n v="0"/>
    <n v="0"/>
    <n v="0"/>
    <n v="0"/>
    <n v="0"/>
    <n v="0"/>
    <n v="0"/>
    <n v="13.951771653543307"/>
    <n v="29.896653543307085"/>
    <n v="30.893208661417326"/>
    <n v="29.896653543307085"/>
    <n v="21.924212598425196"/>
  </r>
  <r>
    <x v="5"/>
    <x v="5"/>
    <s v="A8"/>
    <n v="18.75"/>
    <n v="150"/>
    <s v="ONI"/>
    <m/>
    <x v="4"/>
    <x v="4"/>
    <m/>
    <s v="Cortland F1 High Mowing, Sedona F1 High Mowing, Red Spring Johnny's"/>
    <n v="1650.0000000000002"/>
    <m/>
    <n v="1"/>
    <n v="1"/>
    <d v="2025-02-25T00:00:00"/>
    <d v="2025-02-25T00:00:00"/>
    <d v="2025-03-21T00:00:00"/>
    <d v="2025-03-21T00:00:00"/>
    <d v="2025-03-25T00:00:00"/>
    <m/>
    <m/>
    <d v="2025-04-18T00:00:00"/>
    <d v="2025-04-20T00:00:00"/>
    <n v="2"/>
    <x v="4"/>
    <m/>
    <d v="2025-06-19T00:00:00"/>
    <m/>
    <d v="2025-06-19T00:00:00"/>
    <d v="2025-08-14T00:00:00"/>
    <m/>
    <m/>
    <b v="1"/>
    <m/>
    <d v="2025-08-14T00:00:00"/>
    <b v="1"/>
    <b v="1"/>
    <b v="0"/>
    <b v="0"/>
    <n v="600"/>
    <n v="5.0847457627118642"/>
    <n v="90"/>
    <m/>
    <n v="56"/>
    <s v="TP"/>
    <n v="1"/>
    <n v="28"/>
    <n v="3"/>
    <n v="12"/>
    <n v="10"/>
    <n v="150"/>
    <s v=""/>
    <n v="224"/>
    <s v="Salad Early"/>
    <s v="Sp"/>
    <n v="900"/>
    <n v="56"/>
    <s v="Onion"/>
    <n v="2"/>
    <s v="None"/>
    <n v="128"/>
    <n v="28"/>
    <n v="1.2890625"/>
    <n v="0"/>
    <n v="0"/>
    <s v=""/>
    <n v="0"/>
    <n v="0"/>
    <s v=""/>
    <n v="1.1000000000000001"/>
    <n v="0"/>
    <s v="Field"/>
    <s v="Onion_x000a_Rot Resistant Onions Mix_x000a_"/>
    <n v="0"/>
    <n v="0"/>
    <n v="0"/>
    <n v="0"/>
    <n v="0"/>
    <n v="12"/>
    <n v="31"/>
    <n v="14"/>
    <n v="0"/>
    <n v="0"/>
    <n v="0"/>
    <n v="0"/>
    <n v="0"/>
    <n v="0"/>
    <n v="0"/>
    <n v="0"/>
    <n v="0"/>
    <n v="0"/>
    <n v="0"/>
    <n v="0"/>
    <n v="0"/>
    <n v="0"/>
    <n v="0"/>
    <n v="0"/>
    <n v="0"/>
    <n v="0"/>
    <n v="0"/>
    <n v="0"/>
    <n v="0"/>
    <n v="126.31578947368421"/>
    <n v="326.31578947368422"/>
    <n v="147.36842105263156"/>
    <n v="0"/>
    <n v="0"/>
    <n v="0"/>
    <n v="0"/>
    <n v="0"/>
    <n v="0"/>
    <n v="0"/>
    <n v="0"/>
    <n v="0"/>
    <n v="0"/>
    <n v="0"/>
    <n v="0"/>
    <n v="0"/>
    <n v="0"/>
    <n v="0"/>
    <n v="0"/>
    <b v="1"/>
    <n v="150"/>
    <s v="Bunch"/>
    <s v="Young Bulb"/>
    <s v="Onion Young Bulb - Bunch"/>
    <n v="0"/>
    <n v="0"/>
    <n v="0"/>
    <n v="0"/>
    <n v="0"/>
    <n v="31.578947368421051"/>
    <n v="81.578947368421055"/>
    <n v="36.84210526315789"/>
    <n v="0"/>
    <n v="0"/>
    <n v="0"/>
    <n v="0"/>
  </r>
  <r>
    <x v="6"/>
    <x v="6"/>
    <s v="A6"/>
    <n v="49.871111111111098"/>
    <n v="356.22222222222217"/>
    <s v="LET"/>
    <m/>
    <x v="5"/>
    <x v="5"/>
    <m/>
    <s v="Green Sweet Crisp Johnny's, Intercut Johnny's, Red Sweet Crisp Johnny's, Salanova Red Oak Leaf Johnny's"/>
    <n v="450.66666666666663"/>
    <m/>
    <n v="1"/>
    <n v="1"/>
    <d v="2025-02-25T00:00:00"/>
    <d v="2025-02-25T00:00:00"/>
    <d v="2025-03-28T00:00:00"/>
    <d v="2025-03-28T00:00:00"/>
    <d v="2025-03-27T00:00:00"/>
    <m/>
    <m/>
    <d v="2025-04-27T00:00:00"/>
    <d v="2025-04-28T00:00:00"/>
    <n v="1"/>
    <x v="5"/>
    <m/>
    <d v="2025-06-21T00:00:00"/>
    <m/>
    <d v="2025-06-21T00:00:00"/>
    <d v="2025-07-04T00:00:00"/>
    <m/>
    <m/>
    <b v="0"/>
    <m/>
    <d v="2025-07-04T00:00:00"/>
    <b v="1"/>
    <b v="1"/>
    <b v="0"/>
    <b v="0"/>
    <n v="2671.6666666666661"/>
    <n v="26.192810457516334"/>
    <n v="85"/>
    <m/>
    <n v="47"/>
    <s v="TP"/>
    <n v="1"/>
    <n v="30"/>
    <n v="4"/>
    <n v="9"/>
    <n v="1"/>
    <n v="266.66666666666663"/>
    <s v=""/>
    <n v="193"/>
    <s v="Salanova"/>
    <s v="Sp"/>
    <n v="902"/>
    <n v="13"/>
    <n v="0"/>
    <n v="0"/>
    <n v="0"/>
    <n v="128"/>
    <n v="30"/>
    <n v="2.708333333333333"/>
    <n v="0"/>
    <n v="0"/>
    <s v=""/>
    <n v="0"/>
    <n v="0"/>
    <s v=""/>
    <n v="1.3"/>
    <n v="0"/>
    <s v="Tunnel"/>
    <s v="Lettuce_x000a_Salanova Mix_x000a_"/>
    <n v="0"/>
    <n v="0"/>
    <n v="0"/>
    <n v="0"/>
    <n v="0"/>
    <n v="10"/>
    <n v="4"/>
    <n v="0"/>
    <n v="0"/>
    <n v="0"/>
    <n v="0"/>
    <n v="0"/>
    <n v="0"/>
    <n v="0"/>
    <n v="0"/>
    <n v="0"/>
    <n v="0"/>
    <n v="0"/>
    <n v="0"/>
    <n v="0"/>
    <n v="0"/>
    <n v="0"/>
    <n v="0"/>
    <n v="0"/>
    <n v="0"/>
    <n v="0"/>
    <n v="0"/>
    <n v="0"/>
    <n v="0"/>
    <n v="1908.333333333333"/>
    <n v="763.33333333333314"/>
    <n v="0"/>
    <n v="0"/>
    <n v="0"/>
    <n v="0"/>
    <n v="0"/>
    <n v="0"/>
    <n v="0"/>
    <n v="0"/>
    <n v="0"/>
    <n v="0"/>
    <n v="0"/>
    <n v="0"/>
    <n v="0"/>
    <n v="0"/>
    <n v="0"/>
    <n v="0"/>
    <n v="0"/>
    <b v="1"/>
    <n v="267.16666666666663"/>
    <s v="Lb"/>
    <s v="Loose Leaf"/>
    <s v="Lettuce Loose Leaf - Lb"/>
    <n v="0"/>
    <n v="0"/>
    <n v="0"/>
    <n v="0"/>
    <n v="0"/>
    <n v="190.83333333333331"/>
    <n v="76.333333333333314"/>
    <n v="0"/>
    <n v="0"/>
    <n v="0"/>
    <n v="0"/>
    <n v="0"/>
  </r>
  <r>
    <x v="7"/>
    <x v="7"/>
    <s v="E7"/>
    <n v="80"/>
    <n v="80"/>
    <s v="CAB"/>
    <m/>
    <x v="6"/>
    <x v="6"/>
    <m/>
    <s v="Piccolima F1 Osborne, Katarina F1 Osborne"/>
    <n v="176.00000000000003"/>
    <m/>
    <n v="0.4"/>
    <n v="1"/>
    <d v="2025-02-25T00:00:00"/>
    <d v="2025-02-25T00:00:00"/>
    <d v="2025-03-28T00:00:00"/>
    <d v="2025-03-28T00:00:00"/>
    <d v="2025-04-01T00:00:00"/>
    <m/>
    <m/>
    <d v="2025-05-02T00:00:00"/>
    <d v="2025-05-05T00:00:00"/>
    <n v="3"/>
    <x v="6"/>
    <m/>
    <d v="2025-07-11T00:00:00"/>
    <m/>
    <d v="2025-07-11T00:00:00"/>
    <d v="2025-07-18T00:00:00"/>
    <m/>
    <m/>
    <b v="0"/>
    <m/>
    <d v="2025-07-18T00:00:00"/>
    <b v="1"/>
    <b v="1"/>
    <b v="0"/>
    <b v="0"/>
    <n v="264"/>
    <n v="3.4285714285714288"/>
    <n v="105"/>
    <m/>
    <n v="7"/>
    <s v="TP"/>
    <n v="0.4"/>
    <n v="35"/>
    <n v="3"/>
    <n v="9"/>
    <n v="1"/>
    <n v="80"/>
    <s v=""/>
    <n v="50"/>
    <s v="Fast Early 9&quot;"/>
    <s v="Sp"/>
    <n v="922"/>
    <n v="7"/>
    <s v="Brassica"/>
    <n v="0"/>
    <n v="0"/>
    <n v="400"/>
    <n v="7"/>
    <n v="0.22000000000000003"/>
    <n v="72"/>
    <n v="28"/>
    <n v="1.2222222222222223"/>
    <n v="0"/>
    <n v="0"/>
    <s v=""/>
    <n v="1.1000000000000001"/>
    <n v="0"/>
    <s v="Field"/>
    <s v="Cabbage_x000a_Mini Cabbage Mix_x000a_"/>
    <n v="0"/>
    <n v="0"/>
    <n v="0"/>
    <n v="0"/>
    <n v="0"/>
    <n v="0"/>
    <n v="8"/>
    <n v="0"/>
    <n v="0"/>
    <n v="0"/>
    <n v="0"/>
    <n v="0"/>
    <n v="0"/>
    <n v="0"/>
    <n v="0"/>
    <n v="0"/>
    <n v="0"/>
    <n v="0"/>
    <n v="0"/>
    <n v="0"/>
    <n v="0"/>
    <n v="0"/>
    <n v="0"/>
    <n v="0"/>
    <n v="0"/>
    <n v="0"/>
    <n v="0"/>
    <n v="0"/>
    <n v="0"/>
    <n v="0"/>
    <n v="264"/>
    <n v="0"/>
    <n v="0"/>
    <n v="0"/>
    <n v="0"/>
    <n v="0"/>
    <n v="0"/>
    <n v="0"/>
    <n v="0"/>
    <n v="0"/>
    <n v="0"/>
    <n v="0"/>
    <n v="0"/>
    <n v="0"/>
    <n v="0"/>
    <n v="0"/>
    <n v="0"/>
    <n v="0"/>
    <b v="1"/>
    <n v="80"/>
    <s v="Head"/>
    <s v="Large Head"/>
    <s v="Cabbage Large Head - Head"/>
    <n v="0"/>
    <n v="0"/>
    <n v="0"/>
    <n v="0"/>
    <n v="0"/>
    <n v="0"/>
    <n v="80"/>
    <n v="0"/>
    <n v="0"/>
    <n v="0"/>
    <n v="0"/>
    <n v="0"/>
  </r>
  <r>
    <x v="8"/>
    <x v="8"/>
    <s v="I1"/>
    <n v="25"/>
    <n v="100"/>
    <s v="PEA"/>
    <m/>
    <x v="7"/>
    <x v="7"/>
    <m/>
    <s v="Super Sugar Snap Johnny's, Cascadia OG Territorial, SS 141 Osborne"/>
    <n v="1040"/>
    <m/>
    <n v="2"/>
    <n v="2"/>
    <d v="2025-03-02T00:00:00"/>
    <d v="2025-03-02T00:00:00"/>
    <d v="2025-03-21T00:00:00"/>
    <d v="2025-03-21T00:00:00"/>
    <d v="2025-03-23T00:00:00"/>
    <m/>
    <m/>
    <d v="2025-04-11T00:00:00"/>
    <d v="2025-04-02T00:00:00"/>
    <n v="-9"/>
    <x v="7"/>
    <m/>
    <d v="2025-06-09T00:00:00"/>
    <m/>
    <d v="2025-06-09T00:00:00"/>
    <d v="2025-07-12T00:00:00"/>
    <m/>
    <m/>
    <b v="0"/>
    <m/>
    <d v="2025-07-12T00:00:00"/>
    <b v="1"/>
    <b v="1"/>
    <b v="0"/>
    <b v="0"/>
    <n v="475"/>
    <n v="5.1630434782608692"/>
    <n v="80"/>
    <m/>
    <n v="33"/>
    <s v="TP"/>
    <n v="2"/>
    <n v="21"/>
    <n v="2"/>
    <n v="9"/>
    <n v="3"/>
    <n v="266.66666666666663"/>
    <s v=""/>
    <n v="238"/>
    <s v="Snap"/>
    <s v="SpSu"/>
    <n v="890"/>
    <n v="33"/>
    <n v="0"/>
    <n v="0"/>
    <n v="0"/>
    <n v="128"/>
    <n v="21"/>
    <n v="2.708333333333333"/>
    <n v="0"/>
    <n v="0"/>
    <s v=""/>
    <n v="0"/>
    <n v="0"/>
    <s v=""/>
    <n v="1.3"/>
    <n v="0"/>
    <s v="Field"/>
    <s v="Peas_x000a_Snap Pea Mix_x000a_"/>
    <n v="0"/>
    <n v="0"/>
    <n v="0"/>
    <n v="0"/>
    <n v="0"/>
    <n v="22"/>
    <n v="12"/>
    <n v="0"/>
    <n v="0"/>
    <n v="0"/>
    <n v="0"/>
    <n v="0"/>
    <n v="0"/>
    <n v="0"/>
    <n v="0"/>
    <n v="0"/>
    <n v="0"/>
    <n v="0"/>
    <n v="0"/>
    <n v="0"/>
    <n v="0"/>
    <n v="0"/>
    <n v="0"/>
    <n v="0"/>
    <n v="0"/>
    <n v="0"/>
    <n v="0"/>
    <n v="0"/>
    <n v="0"/>
    <n v="307.35294117647061"/>
    <n v="167.64705882352942"/>
    <n v="0"/>
    <n v="0"/>
    <n v="0"/>
    <n v="0"/>
    <n v="0"/>
    <n v="0"/>
    <n v="0"/>
    <n v="0"/>
    <n v="0"/>
    <n v="0"/>
    <n v="0"/>
    <n v="0"/>
    <n v="0"/>
    <n v="0"/>
    <n v="0"/>
    <n v="0"/>
    <n v="0"/>
    <b v="1"/>
    <n v="50"/>
    <s v="Lb"/>
    <s v="Young Pod"/>
    <s v="Peas Young Pod - Lb"/>
    <n v="0"/>
    <n v="0"/>
    <n v="0"/>
    <n v="0"/>
    <n v="0"/>
    <n v="32.352941176470587"/>
    <n v="17.647058823529413"/>
    <n v="0"/>
    <n v="0"/>
    <n v="0"/>
    <n v="0"/>
    <n v="0"/>
  </r>
  <r>
    <x v="9"/>
    <x v="9"/>
    <s v="A4"/>
    <n v="25"/>
    <n v="50"/>
    <s v="SCA"/>
    <m/>
    <x v="8"/>
    <x v="8"/>
    <m/>
    <s v="Ishikura Long Winter Uprising, Parade High Mowing, White Spear Adaptive"/>
    <n v="660"/>
    <m/>
    <n v="0.25"/>
    <n v="0.5"/>
    <d v="2025-03-02T00:00:00"/>
    <d v="2025-03-02T00:00:00"/>
    <d v="2025-03-25T00:00:00"/>
    <d v="2025-03-25T00:00:00"/>
    <d v="2025-04-13T00:00:00"/>
    <m/>
    <m/>
    <d v="2025-05-06T00:00:00"/>
    <d v="2025-03-25T00:00:00"/>
    <n v="-42"/>
    <x v="8"/>
    <m/>
    <d v="2025-06-25T00:00:00"/>
    <m/>
    <d v="2025-06-25T00:00:00"/>
    <d v="2025-07-09T00:00:00"/>
    <m/>
    <m/>
    <b v="0"/>
    <m/>
    <d v="2025-07-09T00:00:00"/>
    <b v="1"/>
    <b v="1"/>
    <b v="0"/>
    <b v="0"/>
    <n v="125"/>
    <n v="1.953125"/>
    <n v="92"/>
    <m/>
    <n v="14"/>
    <s v="TP"/>
    <n v="0.25"/>
    <n v="42"/>
    <n v="4"/>
    <n v="6"/>
    <n v="6"/>
    <n v="100"/>
    <s v=""/>
    <n v="282"/>
    <s v="General"/>
    <s v="Sp"/>
    <n v="906"/>
    <n v="14"/>
    <s v="Onion"/>
    <n v="1.5"/>
    <s v="None"/>
    <n v="128"/>
    <n v="42"/>
    <n v="0.85937500000000011"/>
    <n v="0"/>
    <n v="0"/>
    <s v=""/>
    <n v="0"/>
    <n v="0"/>
    <s v=""/>
    <n v="1.1000000000000001"/>
    <n v="17"/>
    <s v="Field"/>
    <s v="Scallion_x000a_Scallion Mix_x000a_"/>
    <n v="0"/>
    <n v="0"/>
    <n v="0"/>
    <n v="0"/>
    <n v="0"/>
    <n v="6"/>
    <n v="9"/>
    <n v="0"/>
    <n v="0"/>
    <n v="0"/>
    <n v="0"/>
    <n v="0"/>
    <n v="0"/>
    <n v="0"/>
    <n v="0"/>
    <n v="0"/>
    <n v="0"/>
    <n v="0"/>
    <n v="0"/>
    <n v="0"/>
    <n v="0"/>
    <n v="0"/>
    <n v="0"/>
    <n v="0"/>
    <n v="0"/>
    <n v="0"/>
    <n v="0"/>
    <n v="0"/>
    <n v="0"/>
    <n v="50"/>
    <n v="75"/>
    <n v="0"/>
    <n v="0"/>
    <n v="0"/>
    <n v="0"/>
    <n v="0"/>
    <n v="0"/>
    <n v="0"/>
    <n v="0"/>
    <n v="0"/>
    <n v="0"/>
    <n v="0"/>
    <n v="0"/>
    <n v="0"/>
    <n v="0"/>
    <n v="0"/>
    <n v="0"/>
    <n v="0"/>
    <b v="1"/>
    <n v="50"/>
    <s v="Bunch"/>
    <s v="Mature Stalk"/>
    <s v="Scallion Mature Stalk - Bunch"/>
    <n v="0"/>
    <n v="0"/>
    <n v="0"/>
    <n v="0"/>
    <n v="0"/>
    <n v="20"/>
    <n v="30"/>
    <n v="0"/>
    <n v="0"/>
    <n v="0"/>
    <n v="0"/>
    <n v="0"/>
  </r>
  <r>
    <x v="10"/>
    <x v="10"/>
    <s v="A2"/>
    <n v="150"/>
    <n v="300"/>
    <s v="KOH"/>
    <m/>
    <x v="9"/>
    <x v="9"/>
    <m/>
    <s v="Kolibri F1 Johnny's, Konan F1 Johnny's"/>
    <n v="390"/>
    <m/>
    <n v="1"/>
    <n v="1"/>
    <d v="2025-03-02T00:00:00"/>
    <d v="2025-03-02T00:00:00"/>
    <d v="2025-03-25T00:00:00"/>
    <d v="2025-03-25T00:00:00"/>
    <d v="2025-03-27T00:00:00"/>
    <m/>
    <m/>
    <d v="2025-04-19T00:00:00"/>
    <d v="2025-04-20T00:00:00"/>
    <n v="1"/>
    <x v="4"/>
    <m/>
    <d v="2025-05-19T00:00:00"/>
    <m/>
    <d v="2025-05-19T00:00:00"/>
    <d v="2025-06-02T00:00:00"/>
    <m/>
    <m/>
    <b v="0"/>
    <m/>
    <d v="2025-06-02T00:00:00"/>
    <b v="1"/>
    <b v="1"/>
    <b v="0"/>
    <b v="0"/>
    <n v="600"/>
    <n v="13.636363636363637"/>
    <n v="55"/>
    <m/>
    <n v="14"/>
    <s v="TP"/>
    <n v="1"/>
    <n v="25"/>
    <n v="2"/>
    <n v="4"/>
    <n v="1"/>
    <n v="300"/>
    <s v=""/>
    <n v="158"/>
    <s v="Sm"/>
    <s v="Sp"/>
    <n v="869"/>
    <n v="14"/>
    <n v="0"/>
    <n v="0"/>
    <s v="AMAP"/>
    <n v="128"/>
    <n v="25"/>
    <n v="3.046875"/>
    <n v="0"/>
    <n v="0"/>
    <s v=""/>
    <n v="0"/>
    <n v="0"/>
    <s v=""/>
    <n v="1.3"/>
    <n v="0"/>
    <s v="Field"/>
    <s v="Kohlrabi_x000a_Fresh Kholrabi Mix_x000a_"/>
    <n v="0"/>
    <n v="0"/>
    <n v="0"/>
    <n v="0"/>
    <n v="13"/>
    <n v="2"/>
    <n v="0"/>
    <n v="0"/>
    <n v="0"/>
    <n v="0"/>
    <n v="0"/>
    <n v="0"/>
    <n v="0"/>
    <n v="0"/>
    <n v="0"/>
    <n v="0"/>
    <n v="0"/>
    <n v="0"/>
    <n v="0"/>
    <n v="0"/>
    <n v="0"/>
    <n v="0"/>
    <n v="0"/>
    <n v="0"/>
    <n v="0"/>
    <n v="0"/>
    <n v="0"/>
    <n v="0"/>
    <n v="520"/>
    <n v="80"/>
    <n v="0"/>
    <n v="0"/>
    <n v="0"/>
    <n v="0"/>
    <n v="0"/>
    <n v="0"/>
    <n v="0"/>
    <n v="0"/>
    <n v="0"/>
    <n v="0"/>
    <n v="0"/>
    <n v="0"/>
    <n v="0"/>
    <n v="0"/>
    <n v="0"/>
    <n v="0"/>
    <n v="0"/>
    <n v="0"/>
    <b v="1"/>
    <n v="300"/>
    <s v="Bulb"/>
    <s v="Storage Bulb"/>
    <s v="Kohlrabi Storage Bulb - Bulb"/>
    <n v="0"/>
    <n v="0"/>
    <n v="0"/>
    <n v="0"/>
    <n v="260"/>
    <n v="40"/>
    <n v="0"/>
    <n v="0"/>
    <n v="0"/>
    <n v="0"/>
    <n v="0"/>
    <n v="0"/>
  </r>
  <r>
    <x v="11"/>
    <x v="11"/>
    <s v="F2"/>
    <n v="103.125"/>
    <n v="206.25"/>
    <s v="ONI"/>
    <m/>
    <x v="4"/>
    <x v="4"/>
    <m/>
    <s v="Cortland F1 High Mowing, Sedona F1 High Mowing, Red Spring Johnny's"/>
    <n v="990.00000000000011"/>
    <m/>
    <n v="1"/>
    <n v="1"/>
    <d v="2025-03-02T00:00:00"/>
    <d v="2025-03-02T00:00:00"/>
    <d v="2025-03-21T00:00:00"/>
    <d v="2025-03-21T00:00:00"/>
    <d v="2025-04-13T00:00:00"/>
    <m/>
    <m/>
    <d v="2025-05-02T00:00:00"/>
    <d v="2025-05-05T00:00:00"/>
    <n v="3"/>
    <x v="6"/>
    <m/>
    <d v="2025-08-03T00:00:00"/>
    <m/>
    <d v="2025-08-03T00:00:00"/>
    <d v="2025-08-17T00:00:00"/>
    <m/>
    <m/>
    <b v="1"/>
    <m/>
    <d v="2025-08-17T00:00:00"/>
    <b v="1"/>
    <b v="1"/>
    <b v="0"/>
    <b v="0"/>
    <n v="618.75"/>
    <n v="5.7827102803738315"/>
    <n v="135"/>
    <m/>
    <n v="14"/>
    <s v="TP"/>
    <n v="1"/>
    <n v="42"/>
    <n v="3"/>
    <n v="12"/>
    <n v="6"/>
    <n v="150"/>
    <s v=""/>
    <n v="223"/>
    <s v="General"/>
    <s v="SpSu"/>
    <n v="945"/>
    <n v="14"/>
    <s v="Onion"/>
    <n v="0"/>
    <n v="0"/>
    <n v="128"/>
    <n v="42"/>
    <n v="1.2890625"/>
    <n v="0"/>
    <n v="0"/>
    <s v=""/>
    <n v="0"/>
    <n v="0"/>
    <s v=""/>
    <n v="1.1000000000000001"/>
    <n v="0"/>
    <s v="Field"/>
    <s v="Onion_x000a_Rot Resistant Onions Mix_x000a_"/>
    <n v="0"/>
    <n v="0"/>
    <n v="0"/>
    <n v="0"/>
    <n v="0"/>
    <n v="0"/>
    <n v="0"/>
    <n v="15"/>
    <n v="0"/>
    <n v="0"/>
    <n v="0"/>
    <n v="0"/>
    <n v="0"/>
    <n v="0"/>
    <n v="0"/>
    <n v="0"/>
    <n v="0"/>
    <n v="0"/>
    <n v="0"/>
    <n v="0"/>
    <n v="0"/>
    <n v="0"/>
    <n v="0"/>
    <n v="0"/>
    <n v="0"/>
    <n v="0"/>
    <n v="0"/>
    <n v="0"/>
    <n v="0"/>
    <n v="0"/>
    <n v="0"/>
    <n v="618.75"/>
    <n v="0"/>
    <n v="0"/>
    <n v="0"/>
    <n v="0"/>
    <n v="0"/>
    <n v="0"/>
    <n v="0"/>
    <n v="0"/>
    <n v="0"/>
    <n v="0"/>
    <n v="0"/>
    <n v="0"/>
    <n v="0"/>
    <n v="0"/>
    <n v="0"/>
    <n v="0"/>
    <b v="1"/>
    <n v="206.25"/>
    <s v="Lb"/>
    <s v="Mature Bulb"/>
    <s v="Onion Mature Bulb - Lb"/>
    <n v="0"/>
    <n v="0"/>
    <n v="0"/>
    <n v="0"/>
    <n v="0"/>
    <n v="0"/>
    <n v="0"/>
    <n v="206.25"/>
    <n v="0"/>
    <n v="0"/>
    <n v="0"/>
    <n v="0"/>
  </r>
  <r>
    <x v="12"/>
    <x v="12"/>
    <s v="D3"/>
    <e v="#DIV/0!"/>
    <e v="#DIV/0!"/>
    <s v="FEN"/>
    <m/>
    <x v="10"/>
    <x v="10"/>
    <m/>
    <s v="Perfection Wild Garden, Solaris F1 High Mowing"/>
    <n v="520"/>
    <m/>
    <n v="1"/>
    <n v="1"/>
    <d v="2025-03-07T00:00:00"/>
    <d v="2025-03-07T00:00:00"/>
    <d v="2025-03-21T00:00:00"/>
    <d v="2025-03-21T00:00:00"/>
    <d v="2025-04-06T00:00:00"/>
    <m/>
    <m/>
    <d v="2025-04-20T00:00:00"/>
    <d v="2025-05-04T00:00:00"/>
    <n v="14"/>
    <x v="9"/>
    <m/>
    <d v="2025-06-06T00:00:00"/>
    <m/>
    <d v="2025-06-06T00:00:00"/>
    <d v="2025-06-20T00:00:00"/>
    <m/>
    <m/>
    <b v="0"/>
    <m/>
    <d v="2025-06-20T00:00:00"/>
    <b v="1"/>
    <b v="1"/>
    <b v="0"/>
    <b v="0"/>
    <n v="666.66666666666674"/>
    <n v="10.928961748633881"/>
    <n v="77"/>
    <m/>
    <n v="14"/>
    <s v="TP"/>
    <n v="1"/>
    <n v="30"/>
    <n v="4"/>
    <n v="6"/>
    <n v="1"/>
    <n v="400"/>
    <s v=""/>
    <n v="131"/>
    <s v="General"/>
    <s v="Sp"/>
    <n v="887"/>
    <n v="14"/>
    <s v="Fennel"/>
    <n v="2.5"/>
    <s v="None"/>
    <n v="128"/>
    <n v="30"/>
    <n v="4.0625"/>
    <n v="0"/>
    <n v="0"/>
    <s v=""/>
    <n v="0"/>
    <n v="0"/>
    <s v=""/>
    <n v="1.3"/>
    <n v="10"/>
    <s v="Field"/>
    <s v="Fennel_x000a_Fennel Mix_x000a_"/>
    <n v="0"/>
    <n v="0"/>
    <n v="0"/>
    <n v="0"/>
    <n v="0"/>
    <n v="15"/>
    <n v="0"/>
    <n v="0"/>
    <n v="0"/>
    <n v="0"/>
    <n v="0"/>
    <n v="0"/>
    <n v="0"/>
    <n v="0"/>
    <n v="0"/>
    <n v="0"/>
    <n v="0"/>
    <n v="0"/>
    <n v="0"/>
    <n v="0"/>
    <n v="0"/>
    <n v="0"/>
    <n v="0"/>
    <n v="0"/>
    <n v="0"/>
    <n v="0"/>
    <n v="0"/>
    <n v="0"/>
    <n v="0"/>
    <n v="666.66666666666674"/>
    <n v="0"/>
    <n v="0"/>
    <n v="0"/>
    <n v="0"/>
    <n v="0"/>
    <n v="0"/>
    <n v="0"/>
    <n v="0"/>
    <n v="0"/>
    <n v="0"/>
    <n v="0"/>
    <n v="0"/>
    <n v="0"/>
    <n v="0"/>
    <n v="0"/>
    <n v="0"/>
    <n v="0"/>
    <n v="0"/>
    <b v="1"/>
    <n v="400"/>
    <s v="Bulb"/>
    <s v="Mini Bulb"/>
    <s v="Fennel Mini Bulb - Bulb"/>
    <n v="0"/>
    <n v="0"/>
    <n v="0"/>
    <n v="0"/>
    <n v="0"/>
    <n v="400"/>
    <n v="0"/>
    <n v="0"/>
    <n v="0"/>
    <n v="0"/>
    <n v="0"/>
    <n v="0"/>
  </r>
  <r>
    <x v="13"/>
    <x v="13"/>
    <s v="A5"/>
    <n v="20.833333333333332"/>
    <n v="250"/>
    <s v="TOM"/>
    <m/>
    <x v="11"/>
    <x v="11"/>
    <m/>
    <s v="Brandywine Seed Savers, Mortgage Lifter Territorial, Pork Chop Osborne, Tiffen Mennonite Adaptive, Geronimo Johnny's, Benevento Bene, Cipolla's Pride Johnny's, Salvaterra's Select Seed Savers"/>
    <n v="21.666666666666664"/>
    <m/>
    <n v="0.5"/>
    <n v="0.5"/>
    <d v="2025-03-07T00:00:00"/>
    <d v="2025-03-07T00:00:00"/>
    <d v="2025-04-01T00:00:00"/>
    <d v="2025-04-01T00:00:00"/>
    <d v="2025-05-02T00:00:00"/>
    <m/>
    <m/>
    <d v="2025-05-27T00:00:00"/>
    <d v="2025-05-30T00:00:00"/>
    <n v="3"/>
    <x v="10"/>
    <m/>
    <d v="2025-07-30T00:00:00"/>
    <m/>
    <d v="2025-07-30T00:00:00"/>
    <d v="2025-10-22T00:00:00"/>
    <m/>
    <m/>
    <b v="1"/>
    <m/>
    <d v="2025-10-22T00:00:00"/>
    <b v="1"/>
    <b v="1"/>
    <b v="0"/>
    <b v="0"/>
    <n v="1250"/>
    <n v="8.4459459459459456"/>
    <n v="120"/>
    <m/>
    <n v="84"/>
    <s v="TP"/>
    <n v="0.5"/>
    <n v="56"/>
    <n v="1"/>
    <n v="18"/>
    <n v="1"/>
    <n v="16.666666666666664"/>
    <s v="DR"/>
    <n v="323"/>
    <s v="Beefsteak"/>
    <s v="Su"/>
    <n v="941"/>
    <n v="84"/>
    <s v="Tomato"/>
    <n v="7"/>
    <s v="Young"/>
    <n v="72"/>
    <n v="21"/>
    <n v="0.30092592592592587"/>
    <n v="18"/>
    <n v="21"/>
    <n v="1.2037037037037035"/>
    <n v="9"/>
    <n v="14"/>
    <n v="2.407407407407407"/>
    <n v="1.3"/>
    <n v="0"/>
    <s v="Greenhouse"/>
    <s v="Tomato_x000a_Large Tomato Mix_x000a_"/>
    <n v="0"/>
    <n v="0"/>
    <n v="0"/>
    <n v="0"/>
    <n v="0"/>
    <n v="0"/>
    <n v="2"/>
    <n v="31"/>
    <n v="30"/>
    <n v="22"/>
    <n v="0"/>
    <n v="0"/>
    <n v="0"/>
    <n v="0"/>
    <n v="0"/>
    <n v="0"/>
    <n v="0"/>
    <n v="0"/>
    <n v="0"/>
    <n v="0"/>
    <n v="0"/>
    <n v="0"/>
    <n v="0"/>
    <n v="0"/>
    <n v="0"/>
    <n v="0"/>
    <n v="0"/>
    <n v="0"/>
    <n v="0"/>
    <n v="0"/>
    <n v="29.411764705882351"/>
    <n v="455.88235294117646"/>
    <n v="441.1764705882353"/>
    <n v="323.52941176470591"/>
    <n v="0"/>
    <n v="0"/>
    <n v="0"/>
    <n v="0"/>
    <n v="0"/>
    <n v="0"/>
    <n v="0"/>
    <n v="0"/>
    <n v="0"/>
    <n v="0"/>
    <n v="0"/>
    <n v="0"/>
    <n v="0"/>
    <n v="0"/>
    <b v="1"/>
    <n v="250"/>
    <s v="Lb"/>
    <s v="Ripe Fruit Large"/>
    <s v="Tomato Ripe Fruit Large - Lb"/>
    <n v="0"/>
    <n v="0"/>
    <n v="0"/>
    <n v="0"/>
    <n v="0"/>
    <n v="0"/>
    <n v="5.8823529411764701"/>
    <n v="91.17647058823529"/>
    <n v="88.235294117647058"/>
    <n v="64.705882352941188"/>
    <n v="0"/>
    <n v="0"/>
  </r>
  <r>
    <x v="14"/>
    <x v="14"/>
    <s v="A4"/>
    <n v="13.888888888888888"/>
    <n v="222.2222222222222"/>
    <s v="TOM"/>
    <m/>
    <x v="11"/>
    <x v="12"/>
    <m/>
    <s v="Sungold F1 Johnny's, Sweet Million Territorial, Sakura OG Johnny's, Black Cherry OG Johnny's"/>
    <n v="21.666666666666664"/>
    <m/>
    <n v="0.5"/>
    <n v="0.5"/>
    <d v="2025-03-07T00:00:00"/>
    <d v="2025-03-07T00:00:00"/>
    <d v="2025-04-01T00:00:00"/>
    <d v="2025-04-01T00:00:00"/>
    <d v="2025-05-02T00:00:00"/>
    <m/>
    <m/>
    <d v="2025-05-27T00:00:00"/>
    <d v="2025-05-30T00:00:00"/>
    <n v="3"/>
    <x v="10"/>
    <m/>
    <d v="2025-06-30T00:00:00"/>
    <m/>
    <d v="2025-06-30T00:00:00"/>
    <d v="2025-10-20T00:00:00"/>
    <m/>
    <m/>
    <b v="1"/>
    <m/>
    <d v="2025-10-20T00:00:00"/>
    <b v="1"/>
    <b v="1"/>
    <b v="0"/>
    <b v="0"/>
    <n v="1166.6666666666665"/>
    <n v="7.9908675799086746"/>
    <n v="90"/>
    <m/>
    <n v="112"/>
    <s v="TP"/>
    <n v="0.5"/>
    <n v="56"/>
    <n v="1"/>
    <n v="18"/>
    <n v="1"/>
    <n v="16.666666666666664"/>
    <s v="DR"/>
    <n v="327"/>
    <s v="Cherry"/>
    <s v="Su"/>
    <n v="911"/>
    <n v="112"/>
    <s v="Tomato"/>
    <n v="7"/>
    <s v="Young"/>
    <n v="72"/>
    <n v="21"/>
    <n v="0.30092592592592587"/>
    <n v="18"/>
    <n v="21"/>
    <n v="1.2037037037037035"/>
    <n v="9"/>
    <n v="14"/>
    <n v="2.407407407407407"/>
    <n v="1.3"/>
    <n v="0"/>
    <s v="Greenhouse"/>
    <s v="Tomato_x000a_Cherry Tomato Mix_x000a_"/>
    <n v="0"/>
    <n v="0"/>
    <n v="0"/>
    <n v="0"/>
    <n v="0"/>
    <n v="1"/>
    <n v="31"/>
    <n v="31"/>
    <n v="30"/>
    <n v="20"/>
    <n v="0"/>
    <n v="0"/>
    <n v="0"/>
    <n v="0"/>
    <n v="0"/>
    <n v="0"/>
    <n v="0"/>
    <n v="0"/>
    <n v="0"/>
    <n v="0"/>
    <n v="0"/>
    <n v="0"/>
    <n v="0"/>
    <n v="0"/>
    <n v="0"/>
    <n v="0"/>
    <n v="0"/>
    <n v="0"/>
    <n v="0"/>
    <n v="10.324483775811208"/>
    <n v="320.05899705014741"/>
    <n v="320.05899705014741"/>
    <n v="309.73451327433628"/>
    <n v="206.48967551622417"/>
    <n v="0"/>
    <n v="0"/>
    <n v="0"/>
    <n v="0"/>
    <n v="0"/>
    <n v="0"/>
    <n v="0"/>
    <n v="0"/>
    <n v="0"/>
    <n v="0"/>
    <n v="0"/>
    <n v="0"/>
    <n v="0"/>
    <n v="0"/>
    <b v="1"/>
    <n v="166.66666666666666"/>
    <s v="Lb"/>
    <s v="Ripe Fruit Small"/>
    <s v="Tomato Ripe Fruit Small - Lb"/>
    <n v="0"/>
    <n v="0"/>
    <n v="0"/>
    <n v="0"/>
    <n v="0"/>
    <n v="1.4749262536873156"/>
    <n v="45.722713864306776"/>
    <n v="45.722713864306776"/>
    <n v="44.247787610619469"/>
    <n v="29.498525073746311"/>
    <n v="0"/>
    <n v="0"/>
  </r>
  <r>
    <x v="15"/>
    <x v="15"/>
    <s v="H8"/>
    <n v="14.062500000000002"/>
    <n v="140.625"/>
    <s v="PEP"/>
    <m/>
    <x v="3"/>
    <x v="13"/>
    <s v="Osborne"/>
    <s v=""/>
    <n v="65"/>
    <m/>
    <n v="0.5"/>
    <n v="0.5"/>
    <d v="2025-03-07T00:00:00"/>
    <d v="2025-03-07T00:00:00"/>
    <d v="2025-03-21T00:00:00"/>
    <d v="2025-03-21T00:00:00"/>
    <d v="2025-06-05T00:00:00"/>
    <m/>
    <m/>
    <d v="2025-06-19T00:00:00"/>
    <s v="X"/>
    <e v="#VALUE!"/>
    <x v="3"/>
    <m/>
    <d v="2025-08-18T00:00:00"/>
    <m/>
    <d v="2025-08-18T00:00:00"/>
    <d v="2025-10-27T00:00:00"/>
    <m/>
    <m/>
    <b v="1"/>
    <m/>
    <d v="2025-10-27T00:00:00"/>
    <b v="1"/>
    <b v="0"/>
    <b v="0"/>
    <b v="0"/>
    <n v="667.96875"/>
    <n v="5.1382211538461542"/>
    <n v="150"/>
    <m/>
    <n v="70"/>
    <s v="TP"/>
    <n v="0.5"/>
    <n v="90"/>
    <n v="2"/>
    <n v="12"/>
    <n v="1"/>
    <n v="50"/>
    <s v="DR"/>
    <n v="241"/>
    <s v="Bell"/>
    <s v=""/>
    <n v="960"/>
    <n v="70"/>
    <s v="Pepper"/>
    <n v="4"/>
    <s v="None"/>
    <n v="128"/>
    <n v="28"/>
    <n v="0.5078125"/>
    <n v="18"/>
    <n v="62"/>
    <n v="3.6111111111111112"/>
    <n v="0"/>
    <n v="0"/>
    <s v=""/>
    <n v="1.3"/>
    <n v="0"/>
    <s v="Field"/>
    <s v="Pepper_x000a_Shishito_x000a_Osborne"/>
    <n v="0"/>
    <n v="0"/>
    <n v="0"/>
    <n v="0"/>
    <n v="0"/>
    <n v="0"/>
    <n v="0"/>
    <n v="14"/>
    <n v="30"/>
    <n v="27"/>
    <n v="0"/>
    <n v="0"/>
    <n v="0"/>
    <n v="0"/>
    <n v="0"/>
    <n v="0"/>
    <n v="0"/>
    <n v="0"/>
    <n v="0"/>
    <n v="0"/>
    <n v="0"/>
    <n v="0"/>
    <n v="0"/>
    <n v="0"/>
    <n v="0"/>
    <n v="0"/>
    <n v="0"/>
    <n v="0"/>
    <n v="0"/>
    <n v="0"/>
    <n v="0"/>
    <n v="131.71214788732394"/>
    <n v="282.24031690140845"/>
    <n v="254.01628521126761"/>
    <n v="0"/>
    <n v="0"/>
    <n v="0"/>
    <n v="0"/>
    <n v="0"/>
    <n v="0"/>
    <n v="0"/>
    <n v="0"/>
    <n v="0"/>
    <n v="0"/>
    <n v="0"/>
    <n v="0"/>
    <n v="0"/>
    <n v="0"/>
    <b v="1"/>
    <n v="140.625"/>
    <s v="Lb"/>
    <s v="Ripe Fruit Large"/>
    <s v="Pepper Ripe Fruit Large - Lb"/>
    <n v="0"/>
    <n v="0"/>
    <n v="0"/>
    <n v="0"/>
    <n v="0"/>
    <n v="0"/>
    <n v="0"/>
    <n v="27.728873239436616"/>
    <n v="59.41901408450704"/>
    <n v="53.477112676056336"/>
    <n v="0"/>
    <n v="0"/>
  </r>
  <r>
    <x v="16"/>
    <x v="16"/>
    <s v="H8"/>
    <n v="28.125000000000004"/>
    <n v="281.25"/>
    <s v="PEP"/>
    <m/>
    <x v="3"/>
    <x v="13"/>
    <s v="Osborne"/>
    <s v=""/>
    <n v="65"/>
    <m/>
    <n v="0.5"/>
    <n v="0.5"/>
    <d v="2025-03-07T00:00:00"/>
    <d v="2025-03-07T00:00:00"/>
    <d v="2025-03-21T00:00:00"/>
    <d v="2025-03-21T00:00:00"/>
    <d v="2025-06-05T00:00:00"/>
    <m/>
    <m/>
    <d v="2025-06-19T00:00:00"/>
    <s v="X"/>
    <e v="#VALUE!"/>
    <x v="3"/>
    <m/>
    <d v="2025-08-18T00:00:00"/>
    <m/>
    <d v="2025-08-18T00:00:00"/>
    <d v="2025-10-27T00:00:00"/>
    <m/>
    <m/>
    <b v="1"/>
    <m/>
    <d v="2025-10-27T00:00:00"/>
    <b v="1"/>
    <b v="0"/>
    <b v="0"/>
    <b v="0"/>
    <n v="562.5"/>
    <n v="4.3269230769230766"/>
    <n v="150"/>
    <m/>
    <n v="70"/>
    <s v="TP"/>
    <n v="0.5"/>
    <n v="90"/>
    <n v="2"/>
    <n v="12"/>
    <n v="1"/>
    <n v="50"/>
    <s v="DR"/>
    <n v="243"/>
    <s v="Hot"/>
    <s v=""/>
    <n v="960"/>
    <n v="70"/>
    <s v="Pepper"/>
    <n v="4"/>
    <s v="None"/>
    <n v="128"/>
    <n v="28"/>
    <n v="0.5078125"/>
    <n v="18"/>
    <n v="62"/>
    <n v="3.6111111111111112"/>
    <n v="0"/>
    <n v="0"/>
    <s v=""/>
    <n v="1.3"/>
    <n v="0"/>
    <s v="Field"/>
    <s v="Pepper_x000a_Shishito_x000a_Osborne"/>
    <n v="0"/>
    <n v="0"/>
    <n v="0"/>
    <n v="0"/>
    <n v="0"/>
    <n v="0"/>
    <n v="0"/>
    <n v="14"/>
    <n v="30"/>
    <n v="27"/>
    <n v="0"/>
    <n v="0"/>
    <n v="0"/>
    <n v="0"/>
    <n v="0"/>
    <n v="0"/>
    <n v="0"/>
    <n v="0"/>
    <n v="0"/>
    <n v="0"/>
    <n v="0"/>
    <n v="0"/>
    <n v="0"/>
    <n v="0"/>
    <n v="0"/>
    <n v="0"/>
    <n v="0"/>
    <n v="0"/>
    <n v="0"/>
    <n v="0"/>
    <n v="0"/>
    <n v="110.91549295774647"/>
    <n v="237.67605633802816"/>
    <n v="213.90845070422534"/>
    <n v="0"/>
    <n v="0"/>
    <n v="0"/>
    <n v="0"/>
    <n v="0"/>
    <n v="0"/>
    <n v="0"/>
    <n v="0"/>
    <n v="0"/>
    <n v="0"/>
    <n v="0"/>
    <n v="0"/>
    <n v="0"/>
    <n v="0"/>
    <b v="1"/>
    <n v="70.3125"/>
    <s v="Lb"/>
    <s v="Ripe Fruit Small"/>
    <s v="Pepper Ripe Fruit Small - Lb"/>
    <n v="0"/>
    <n v="0"/>
    <n v="0"/>
    <n v="0"/>
    <n v="0"/>
    <n v="0"/>
    <n v="0"/>
    <n v="13.864436619718308"/>
    <n v="29.70950704225352"/>
    <n v="26.738556338028168"/>
    <n v="0"/>
    <n v="0"/>
  </r>
  <r>
    <x v="16"/>
    <x v="17"/>
    <s v="J3"/>
    <n v="22.500000000000004"/>
    <n v="225"/>
    <s v="PEP"/>
    <m/>
    <x v="3"/>
    <x v="14"/>
    <m/>
    <s v="Bastan F1 Johnny's, Black Magic F1 Johnny's, Hungarian Hot Wax Osborne, Helios F1 Johnny's"/>
    <n v="52"/>
    <m/>
    <n v="0.4"/>
    <n v="1"/>
    <d v="2025-03-07T00:00:00"/>
    <d v="2025-03-07T00:00:00"/>
    <d v="2025-04-01T00:00:00"/>
    <d v="2025-04-01T00:00:00"/>
    <d v="2025-06-05T00:00:00"/>
    <m/>
    <m/>
    <d v="2025-06-30T00:00:00"/>
    <m/>
    <n v="-45838"/>
    <x v="11"/>
    <m/>
    <d v="2025-08-29T00:00:00"/>
    <m/>
    <d v="2025-08-29T00:00:00"/>
    <d v="2025-11-07T00:00:00"/>
    <m/>
    <m/>
    <b v="1"/>
    <m/>
    <d v="2025-11-07T00:00:00"/>
    <b v="1"/>
    <b v="0"/>
    <b v="0"/>
    <b v="0"/>
    <n v="450"/>
    <n v="3.4615384615384617"/>
    <n v="150"/>
    <m/>
    <n v="70"/>
    <s v="TP"/>
    <n v="0.4"/>
    <n v="90"/>
    <n v="2"/>
    <n v="12"/>
    <n v="1"/>
    <n v="40"/>
    <s v="DR"/>
    <n v="243"/>
    <s v="Hot"/>
    <s v=""/>
    <n v="971"/>
    <n v="70"/>
    <s v="Pepper"/>
    <n v="4"/>
    <s v="None"/>
    <n v="128"/>
    <n v="28"/>
    <n v="0.40625"/>
    <n v="18"/>
    <n v="62"/>
    <n v="2.8888888888888893"/>
    <n v="0"/>
    <n v="0"/>
    <s v=""/>
    <n v="1.3"/>
    <n v="0"/>
    <s v="Field"/>
    <s v="Pepper_x000a_Hot Pepper Mix_x000a_"/>
    <n v="0"/>
    <n v="0"/>
    <n v="0"/>
    <n v="0"/>
    <n v="0"/>
    <n v="0"/>
    <n v="0"/>
    <n v="3"/>
    <n v="30"/>
    <n v="31"/>
    <n v="7"/>
    <n v="0"/>
    <n v="0"/>
    <n v="0"/>
    <n v="0"/>
    <n v="0"/>
    <n v="0"/>
    <n v="0"/>
    <n v="0"/>
    <n v="0"/>
    <n v="0"/>
    <n v="0"/>
    <n v="0"/>
    <n v="0"/>
    <n v="0"/>
    <n v="0"/>
    <n v="0"/>
    <n v="0"/>
    <n v="0"/>
    <n v="0"/>
    <n v="0"/>
    <n v="19.014084507042252"/>
    <n v="190.14084507042253"/>
    <n v="196.47887323943661"/>
    <n v="44.366197183098592"/>
    <n v="0"/>
    <n v="0"/>
    <n v="0"/>
    <n v="0"/>
    <n v="0"/>
    <n v="0"/>
    <n v="0"/>
    <n v="0"/>
    <n v="0"/>
    <n v="0"/>
    <n v="0"/>
    <n v="0"/>
    <n v="0"/>
    <b v="1"/>
    <n v="56.25"/>
    <s v="Lb"/>
    <s v="Ripe Fruit Small"/>
    <s v="Pepper Ripe Fruit Small - Lb"/>
    <n v="0"/>
    <n v="0"/>
    <n v="0"/>
    <n v="0"/>
    <n v="0"/>
    <n v="0"/>
    <n v="0"/>
    <n v="2.3767605633802815"/>
    <n v="23.767605633802816"/>
    <n v="24.559859154929576"/>
    <n v="5.545774647887324"/>
    <n v="0"/>
  </r>
  <r>
    <x v="17"/>
    <x v="18"/>
    <s v="A4"/>
    <n v="56"/>
    <n v="160"/>
    <s v="DIL"/>
    <m/>
    <x v="12"/>
    <x v="15"/>
    <m/>
    <s v="Thalia OG Johnny's, Bouquet OG Osborne, Ambrosia Adaptive, Green Sleeves High Mowing"/>
    <n v="880.00000000000011"/>
    <m/>
    <n v="0.25"/>
    <n v="0.5"/>
    <d v="2025-03-12T00:00:00"/>
    <d v="2025-03-12T00:00:00"/>
    <d v="2025-03-25T00:00:00"/>
    <d v="2025-03-25T00:00:00"/>
    <d v="2025-04-07T00:00:00"/>
    <m/>
    <m/>
    <d v="2025-04-20T00:00:00"/>
    <d v="2025-04-20T00:00:00"/>
    <n v="0"/>
    <x v="4"/>
    <m/>
    <d v="2025-06-09T00:00:00"/>
    <m/>
    <d v="2025-06-09T00:00:00"/>
    <d v="2025-06-26T00:00:00"/>
    <m/>
    <m/>
    <b v="0"/>
    <m/>
    <d v="2025-06-26T00:00:00"/>
    <b v="1"/>
    <b v="1"/>
    <b v="0"/>
    <b v="0"/>
    <n v="320"/>
    <n v="4.7761194029850742"/>
    <n v="76"/>
    <m/>
    <n v="17"/>
    <s v="TP"/>
    <n v="0.25"/>
    <n v="26"/>
    <n v="4"/>
    <n v="3"/>
    <n v="4"/>
    <n v="200"/>
    <s v=""/>
    <n v="118"/>
    <s v="General"/>
    <s v="Su"/>
    <n v="890"/>
    <n v="17"/>
    <s v="Herb"/>
    <n v="4"/>
    <s v="None"/>
    <n v="128"/>
    <n v="26"/>
    <n v="1.7187500000000002"/>
    <n v="0"/>
    <n v="0"/>
    <s v=""/>
    <n v="0"/>
    <n v="0"/>
    <s v=""/>
    <n v="1.1000000000000001"/>
    <n v="0"/>
    <s v="Field"/>
    <s v="Dill_x000a_Dill Mix_x000a_"/>
    <n v="0"/>
    <n v="0"/>
    <n v="0"/>
    <n v="0"/>
    <n v="0"/>
    <n v="18"/>
    <n v="0"/>
    <n v="0"/>
    <n v="0"/>
    <n v="0"/>
    <n v="0"/>
    <n v="0"/>
    <n v="0"/>
    <n v="0"/>
    <n v="0"/>
    <n v="0"/>
    <n v="0"/>
    <n v="0"/>
    <n v="0"/>
    <n v="0"/>
    <n v="0"/>
    <n v="0"/>
    <n v="0"/>
    <n v="0"/>
    <n v="0"/>
    <n v="0"/>
    <n v="0"/>
    <n v="0"/>
    <n v="0"/>
    <n v="320"/>
    <n v="0"/>
    <n v="0"/>
    <n v="0"/>
    <n v="0"/>
    <n v="0"/>
    <n v="0"/>
    <n v="0"/>
    <n v="0"/>
    <n v="0"/>
    <n v="0"/>
    <n v="0"/>
    <n v="0"/>
    <n v="0"/>
    <n v="0"/>
    <n v="0"/>
    <n v="0"/>
    <n v="0"/>
    <n v="0"/>
    <b v="1"/>
    <n v="160"/>
    <s v="Bunch"/>
    <s v="Mature Leaf"/>
    <s v="Dill Mature Leaf - Bunch"/>
    <n v="0"/>
    <n v="0"/>
    <n v="0"/>
    <n v="0"/>
    <n v="0"/>
    <n v="160"/>
    <n v="0"/>
    <n v="0"/>
    <n v="0"/>
    <n v="0"/>
    <n v="0"/>
    <n v="0"/>
  </r>
  <r>
    <x v="17"/>
    <x v="19"/>
    <s v="B2"/>
    <n v="56"/>
    <n v="160"/>
    <s v="DIL"/>
    <m/>
    <x v="12"/>
    <x v="15"/>
    <m/>
    <s v="Thalia OG Johnny's, Bouquet OG Osborne, Ambrosia Adaptive, Green Sleeves High Mowing"/>
    <n v="880.00000000000011"/>
    <m/>
    <n v="0.25"/>
    <n v="0.5"/>
    <d v="2025-03-12T00:00:00"/>
    <d v="2025-03-12T00:00:00"/>
    <d v="2025-03-25T00:00:00"/>
    <d v="2025-03-25T00:00:00"/>
    <d v="2025-04-07T00:00:00"/>
    <m/>
    <m/>
    <d v="2025-04-20T00:00:00"/>
    <d v="2025-04-20T00:00:00"/>
    <n v="0"/>
    <x v="4"/>
    <n v="7"/>
    <d v="2025-06-16T00:00:00"/>
    <m/>
    <d v="2025-06-16T00:00:00"/>
    <d v="2025-07-03T00:00:00"/>
    <m/>
    <m/>
    <b v="0"/>
    <m/>
    <d v="2025-07-03T00:00:00"/>
    <b v="1"/>
    <b v="1"/>
    <b v="0"/>
    <b v="0"/>
    <n v="320"/>
    <n v="4.7761194029850742"/>
    <n v="83"/>
    <m/>
    <n v="17"/>
    <s v="TP"/>
    <n v="0.25"/>
    <n v="26"/>
    <n v="4"/>
    <n v="3"/>
    <n v="4"/>
    <n v="200"/>
    <s v=""/>
    <n v="118"/>
    <s v="General"/>
    <s v="Su"/>
    <n v="897"/>
    <n v="17"/>
    <s v="Herb"/>
    <n v="4"/>
    <s v="None"/>
    <n v="128"/>
    <n v="26"/>
    <n v="1.7187500000000002"/>
    <n v="0"/>
    <n v="0"/>
    <s v=""/>
    <n v="0"/>
    <n v="0"/>
    <s v=""/>
    <n v="1.1000000000000001"/>
    <n v="0"/>
    <s v="Field"/>
    <s v="Dill_x000a_Dill Mix_x000a_"/>
    <n v="0"/>
    <n v="0"/>
    <n v="0"/>
    <n v="0"/>
    <n v="0"/>
    <n v="15"/>
    <n v="3"/>
    <n v="0"/>
    <n v="0"/>
    <n v="0"/>
    <n v="0"/>
    <n v="0"/>
    <n v="0"/>
    <n v="0"/>
    <n v="0"/>
    <n v="0"/>
    <n v="0"/>
    <n v="0"/>
    <n v="0"/>
    <n v="0"/>
    <n v="0"/>
    <n v="0"/>
    <n v="0"/>
    <n v="0"/>
    <n v="0"/>
    <n v="0"/>
    <n v="0"/>
    <n v="0"/>
    <n v="0"/>
    <n v="266.66666666666669"/>
    <n v="53.333333333333329"/>
    <n v="0"/>
    <n v="0"/>
    <n v="0"/>
    <n v="0"/>
    <n v="0"/>
    <n v="0"/>
    <n v="0"/>
    <n v="0"/>
    <n v="0"/>
    <n v="0"/>
    <n v="0"/>
    <n v="0"/>
    <n v="0"/>
    <n v="0"/>
    <n v="0"/>
    <n v="0"/>
    <n v="0"/>
    <b v="1"/>
    <n v="160"/>
    <s v="Bunch"/>
    <s v="Mature Leaf"/>
    <s v="Dill Mature Leaf - Bunch"/>
    <n v="0"/>
    <n v="0"/>
    <n v="0"/>
    <n v="0"/>
    <n v="0"/>
    <n v="133.33333333333334"/>
    <n v="26.666666666666664"/>
    <n v="0"/>
    <n v="0"/>
    <n v="0"/>
    <n v="0"/>
    <n v="0"/>
  </r>
  <r>
    <x v="18"/>
    <x v="20"/>
    <s v="A4"/>
    <n v="50"/>
    <n v="100"/>
    <s v="CIL"/>
    <m/>
    <x v="13"/>
    <x v="16"/>
    <m/>
    <s v="Cruiser High Mowing, Pokey Joe Uprising, Calypso Johnny's"/>
    <n v="412.50000000000006"/>
    <m/>
    <n v="0.25"/>
    <n v="0.5"/>
    <d v="2025-03-12T00:00:00"/>
    <d v="2025-03-12T00:00:00"/>
    <d v="2025-03-28T00:00:00"/>
    <d v="2025-03-28T00:00:00"/>
    <d v="2025-04-11T00:00:00"/>
    <m/>
    <m/>
    <d v="2025-04-27T00:00:00"/>
    <d v="2025-04-20T00:00:00"/>
    <n v="-7"/>
    <x v="4"/>
    <m/>
    <d v="2025-06-16T00:00:00"/>
    <m/>
    <d v="2025-06-16T00:00:00"/>
    <d v="2025-06-30T00:00:00"/>
    <m/>
    <m/>
    <b v="0"/>
    <m/>
    <d v="2025-06-30T00:00:00"/>
    <b v="1"/>
    <b v="1"/>
    <b v="0"/>
    <b v="0"/>
    <n v="300"/>
    <n v="4.6875"/>
    <n v="80"/>
    <m/>
    <n v="14"/>
    <s v="TP"/>
    <n v="0.25"/>
    <n v="30"/>
    <n v="5"/>
    <n v="6"/>
    <n v="3"/>
    <n v="125"/>
    <s v=""/>
    <n v="88"/>
    <s v="General"/>
    <s v="Su"/>
    <n v="897"/>
    <n v="14"/>
    <s v="Herb"/>
    <n v="1"/>
    <s v="None"/>
    <n v="128"/>
    <n v="30"/>
    <n v="1.07421875"/>
    <n v="0"/>
    <n v="0"/>
    <s v=""/>
    <n v="0"/>
    <n v="0"/>
    <s v=""/>
    <n v="1.1000000000000001"/>
    <n v="0"/>
    <s v="Field"/>
    <s v="Cilantro_x000a_Cilantro Mix_x000a_"/>
    <n v="0"/>
    <n v="0"/>
    <n v="0"/>
    <n v="0"/>
    <n v="0"/>
    <n v="15"/>
    <n v="0"/>
    <n v="0"/>
    <n v="0"/>
    <n v="0"/>
    <n v="0"/>
    <n v="0"/>
    <n v="0"/>
    <n v="0"/>
    <n v="0"/>
    <n v="0"/>
    <n v="0"/>
    <n v="0"/>
    <n v="0"/>
    <n v="0"/>
    <n v="0"/>
    <n v="0"/>
    <n v="0"/>
    <n v="0"/>
    <n v="0"/>
    <n v="0"/>
    <n v="0"/>
    <n v="0"/>
    <n v="0"/>
    <n v="300"/>
    <n v="0"/>
    <n v="0"/>
    <n v="0"/>
    <n v="0"/>
    <n v="0"/>
    <n v="0"/>
    <n v="0"/>
    <n v="0"/>
    <n v="0"/>
    <n v="0"/>
    <n v="0"/>
    <n v="0"/>
    <n v="0"/>
    <n v="0"/>
    <n v="0"/>
    <n v="0"/>
    <n v="0"/>
    <n v="0"/>
    <b v="1"/>
    <n v="100"/>
    <s v="Bunch"/>
    <s v="Loose Leaf"/>
    <s v="Cilantro Loose Leaf - Bunch"/>
    <n v="0"/>
    <n v="0"/>
    <n v="0"/>
    <n v="0"/>
    <n v="0"/>
    <n v="100"/>
    <n v="0"/>
    <n v="0"/>
    <n v="0"/>
    <n v="0"/>
    <n v="0"/>
    <n v="0"/>
  </r>
  <r>
    <x v="19"/>
    <x v="21"/>
    <s v="F5"/>
    <n v="83.274074074074065"/>
    <n v="356.88888888888886"/>
    <s v="LET"/>
    <m/>
    <x v="5"/>
    <x v="5"/>
    <m/>
    <s v="Green Sweet Crisp Johnny's, Intercut Johnny's, Red Sweet Crisp Johnny's, Salanova Red Oak Leaf Johnny's"/>
    <n v="901.33333333333326"/>
    <m/>
    <n v="2"/>
    <n v="2"/>
    <d v="2025-03-12T00:00:00"/>
    <d v="2025-03-12T00:00:00"/>
    <d v="2025-03-30T00:00:00"/>
    <d v="2025-03-30T00:00:00"/>
    <d v="2025-04-11T00:00:00"/>
    <m/>
    <m/>
    <d v="2025-04-29T00:00:00"/>
    <d v="2025-05-08T00:00:00"/>
    <n v="9"/>
    <x v="12"/>
    <m/>
    <d v="2025-06-23T00:00:00"/>
    <m/>
    <d v="2025-06-23T00:00:00"/>
    <d v="2025-07-04T00:00:00"/>
    <m/>
    <m/>
    <b v="0"/>
    <m/>
    <d v="2025-07-04T00:00:00"/>
    <b v="1"/>
    <b v="1"/>
    <b v="0"/>
    <b v="0"/>
    <n v="2676.6666666666661"/>
    <n v="32.642276422764219"/>
    <n v="85"/>
    <m/>
    <n v="27"/>
    <s v="TP"/>
    <n v="2"/>
    <n v="30"/>
    <n v="4"/>
    <n v="9"/>
    <n v="1"/>
    <n v="533.33333333333326"/>
    <s v=""/>
    <n v="191"/>
    <s v="Salanova"/>
    <s v="Sp"/>
    <n v="904"/>
    <n v="11"/>
    <n v="0"/>
    <n v="0"/>
    <n v="0"/>
    <n v="128"/>
    <n v="30"/>
    <n v="5.4166666666666661"/>
    <n v="0"/>
    <n v="0"/>
    <s v=""/>
    <n v="0"/>
    <n v="0"/>
    <s v=""/>
    <n v="1.3"/>
    <n v="0"/>
    <s v="Field"/>
    <s v="Lettuce_x000a_Salanova Mix_x000a_"/>
    <n v="0"/>
    <n v="0"/>
    <n v="0"/>
    <n v="0"/>
    <n v="0"/>
    <n v="8"/>
    <n v="4"/>
    <n v="0"/>
    <n v="0"/>
    <n v="0"/>
    <n v="0"/>
    <n v="0"/>
    <n v="0"/>
    <n v="0"/>
    <n v="0"/>
    <n v="0"/>
    <n v="0"/>
    <n v="0"/>
    <n v="0"/>
    <n v="0"/>
    <n v="0"/>
    <n v="0"/>
    <n v="0"/>
    <n v="0"/>
    <n v="0"/>
    <n v="0"/>
    <n v="0"/>
    <n v="0"/>
    <n v="0"/>
    <n v="1784.4444444444439"/>
    <n v="892.22222222222194"/>
    <n v="0"/>
    <n v="0"/>
    <n v="0"/>
    <n v="0"/>
    <n v="0"/>
    <n v="0"/>
    <n v="0"/>
    <n v="0"/>
    <n v="0"/>
    <n v="0"/>
    <n v="0"/>
    <n v="0"/>
    <n v="0"/>
    <n v="0"/>
    <n v="0"/>
    <n v="0"/>
    <n v="0"/>
    <b v="1"/>
    <n v="267.66666666666663"/>
    <s v="Lb"/>
    <s v="Loose Leaf"/>
    <s v="Lettuce Loose Leaf - Lb"/>
    <n v="0"/>
    <n v="0"/>
    <n v="0"/>
    <n v="0"/>
    <n v="0"/>
    <n v="178.4444444444444"/>
    <n v="89.2222222222222"/>
    <n v="0"/>
    <n v="0"/>
    <n v="0"/>
    <n v="0"/>
    <n v="0"/>
  </r>
  <r>
    <x v="20"/>
    <x v="22"/>
    <s v="E2"/>
    <n v="53.333333333333329"/>
    <n v="106.66666666666666"/>
    <s v="LET"/>
    <m/>
    <x v="5"/>
    <x v="17"/>
    <s v="Wild Garden"/>
    <s v=""/>
    <n v="180.26666666666665"/>
    <m/>
    <n v="0.4"/>
    <n v="1"/>
    <d v="2025-03-12T00:00:00"/>
    <d v="2025-03-12T00:00:00"/>
    <d v="2025-04-01T00:00:00"/>
    <d v="2025-04-01T00:00:00"/>
    <d v="2025-04-11T00:00:00"/>
    <m/>
    <m/>
    <d v="2025-05-01T00:00:00"/>
    <d v="2025-05-10T00:00:00"/>
    <n v="9"/>
    <x v="13"/>
    <m/>
    <d v="2025-07-05T00:00:00"/>
    <m/>
    <d v="2025-07-05T00:00:00"/>
    <d v="2025-07-19T00:00:00"/>
    <m/>
    <m/>
    <b v="0"/>
    <m/>
    <d v="2025-07-19T00:00:00"/>
    <b v="1"/>
    <b v="1"/>
    <b v="0"/>
    <b v="0"/>
    <n v="426.66666666666663"/>
    <n v="5.4008438818565399"/>
    <n v="95"/>
    <m/>
    <n v="14"/>
    <s v="TP"/>
    <n v="0.4"/>
    <n v="30"/>
    <n v="4"/>
    <n v="9"/>
    <n v="1"/>
    <n v="106.66666666666666"/>
    <s v=""/>
    <n v="174"/>
    <s v="4x9"/>
    <s v="Sp"/>
    <n v="916"/>
    <n v="14"/>
    <s v="Green"/>
    <n v="1"/>
    <s v="None"/>
    <n v="128"/>
    <n v="30"/>
    <n v="1.0833333333333333"/>
    <n v="0"/>
    <n v="0"/>
    <s v=""/>
    <n v="0"/>
    <n v="0"/>
    <s v=""/>
    <n v="1.3"/>
    <n v="0"/>
    <s v="Field"/>
    <s v="Lettuce_x000a_Brown Goldring_x000a_Wild Garden"/>
    <n v="0"/>
    <n v="0"/>
    <n v="0"/>
    <n v="0"/>
    <n v="0"/>
    <n v="0"/>
    <n v="15"/>
    <n v="0"/>
    <n v="0"/>
    <n v="0"/>
    <n v="0"/>
    <n v="0"/>
    <n v="0"/>
    <n v="0"/>
    <n v="0"/>
    <n v="0"/>
    <n v="0"/>
    <n v="0"/>
    <n v="0"/>
    <n v="0"/>
    <n v="0"/>
    <n v="0"/>
    <n v="0"/>
    <n v="0"/>
    <n v="0"/>
    <n v="0"/>
    <n v="0"/>
    <n v="0"/>
    <n v="0"/>
    <n v="0"/>
    <n v="426.66666666666663"/>
    <n v="0"/>
    <n v="0"/>
    <n v="0"/>
    <n v="0"/>
    <n v="0"/>
    <n v="0"/>
    <n v="0"/>
    <n v="0"/>
    <n v="0"/>
    <n v="0"/>
    <n v="0"/>
    <n v="0"/>
    <n v="0"/>
    <n v="0"/>
    <n v="0"/>
    <n v="0"/>
    <n v="0"/>
    <b v="1"/>
    <n v="106.66666666666666"/>
    <s v="Head"/>
    <s v="Mature Head"/>
    <s v="Lettuce Mature Head - Head"/>
    <n v="0"/>
    <n v="0"/>
    <n v="0"/>
    <n v="0"/>
    <n v="0"/>
    <n v="0"/>
    <n v="106.66666666666666"/>
    <n v="0"/>
    <n v="0"/>
    <n v="0"/>
    <n v="0"/>
    <n v="0"/>
  </r>
  <r>
    <x v="18"/>
    <x v="23"/>
    <s v="B2"/>
    <n v="50"/>
    <n v="100"/>
    <s v="CIL"/>
    <m/>
    <x v="13"/>
    <x v="16"/>
    <m/>
    <s v="Cruiser High Mowing, Pokey Joe Uprising, Calypso Johnny's"/>
    <n v="412.50000000000006"/>
    <m/>
    <n v="0.25"/>
    <n v="0.5"/>
    <d v="2025-03-13T00:00:00"/>
    <d v="2025-03-13T00:00:00"/>
    <d v="2025-03-28T00:00:00"/>
    <d v="2025-03-28T00:00:00"/>
    <d v="2025-04-12T00:00:00"/>
    <m/>
    <m/>
    <d v="2025-04-27T00:00:00"/>
    <d v="2025-04-20T00:00:00"/>
    <n v="-7"/>
    <x v="4"/>
    <n v="7"/>
    <d v="2025-06-23T00:00:00"/>
    <m/>
    <d v="2025-06-23T00:00:00"/>
    <d v="2025-07-07T00:00:00"/>
    <m/>
    <m/>
    <b v="0"/>
    <m/>
    <d v="2025-07-07T00:00:00"/>
    <b v="1"/>
    <b v="1"/>
    <b v="0"/>
    <b v="0"/>
    <n v="300"/>
    <n v="4.6875"/>
    <n v="87"/>
    <m/>
    <n v="14"/>
    <s v="TP"/>
    <n v="0.25"/>
    <n v="30"/>
    <n v="5"/>
    <n v="6"/>
    <n v="3"/>
    <n v="125"/>
    <s v=""/>
    <n v="88"/>
    <s v="General"/>
    <s v="Su"/>
    <n v="904"/>
    <n v="14"/>
    <s v="Herb"/>
    <n v="1"/>
    <s v="None"/>
    <n v="128"/>
    <n v="30"/>
    <n v="1.07421875"/>
    <n v="0"/>
    <n v="0"/>
    <s v=""/>
    <n v="0"/>
    <n v="0"/>
    <s v=""/>
    <n v="1.1000000000000001"/>
    <n v="0"/>
    <s v="Field"/>
    <s v="Cilantro_x000a_Cilantro Mix_x000a_"/>
    <n v="0"/>
    <n v="0"/>
    <n v="0"/>
    <n v="0"/>
    <n v="0"/>
    <n v="8"/>
    <n v="7"/>
    <n v="0"/>
    <n v="0"/>
    <n v="0"/>
    <n v="0"/>
    <n v="0"/>
    <n v="0"/>
    <n v="0"/>
    <n v="0"/>
    <n v="0"/>
    <n v="0"/>
    <n v="0"/>
    <n v="0"/>
    <n v="0"/>
    <n v="0"/>
    <n v="0"/>
    <n v="0"/>
    <n v="0"/>
    <n v="0"/>
    <n v="0"/>
    <n v="0"/>
    <n v="0"/>
    <n v="0"/>
    <n v="160"/>
    <n v="140"/>
    <n v="0"/>
    <n v="0"/>
    <n v="0"/>
    <n v="0"/>
    <n v="0"/>
    <n v="0"/>
    <n v="0"/>
    <n v="0"/>
    <n v="0"/>
    <n v="0"/>
    <n v="0"/>
    <n v="0"/>
    <n v="0"/>
    <n v="0"/>
    <n v="0"/>
    <n v="0"/>
    <n v="0"/>
    <b v="1"/>
    <n v="100"/>
    <s v="Bunch"/>
    <s v="Loose Leaf"/>
    <s v="Cilantro Loose Leaf - Bunch"/>
    <n v="0"/>
    <n v="0"/>
    <n v="0"/>
    <n v="0"/>
    <n v="0"/>
    <n v="53.333333333333336"/>
    <n v="46.666666666666664"/>
    <n v="0"/>
    <n v="0"/>
    <n v="0"/>
    <n v="0"/>
    <n v="0"/>
  </r>
  <r>
    <x v="21"/>
    <x v="24"/>
    <s v="D1"/>
    <n v="200"/>
    <n v="200"/>
    <s v="CAB"/>
    <m/>
    <x v="6"/>
    <x v="18"/>
    <s v="High Mowing"/>
    <s v=""/>
    <n v="440.00000000000006"/>
    <m/>
    <n v="1"/>
    <n v="1"/>
    <d v="2025-03-17T00:00:00"/>
    <d v="2025-03-17T00:00:00"/>
    <d v="2025-04-01T00:00:00"/>
    <d v="2025-04-01T00:00:00"/>
    <d v="2025-04-21T00:00:00"/>
    <m/>
    <m/>
    <d v="2025-05-06T00:00:00"/>
    <d v="2025-05-01T00:00:00"/>
    <n v="-5"/>
    <x v="14"/>
    <m/>
    <d v="2025-06-30T00:00:00"/>
    <m/>
    <d v="2025-06-30T00:00:00"/>
    <d v="2025-07-07T00:00:00"/>
    <m/>
    <m/>
    <b v="0"/>
    <m/>
    <d v="2025-07-07T00:00:00"/>
    <b v="1"/>
    <b v="1"/>
    <b v="0"/>
    <b v="0"/>
    <n v="660"/>
    <n v="10.64516129032258"/>
    <n v="90"/>
    <m/>
    <n v="7"/>
    <s v="TP"/>
    <n v="1"/>
    <n v="35"/>
    <n v="3"/>
    <n v="9"/>
    <n v="1"/>
    <n v="200"/>
    <s v=""/>
    <n v="53"/>
    <s v="Fast Mid 9&quot;"/>
    <s v="Sp"/>
    <n v="911"/>
    <n v="7"/>
    <s v="Brassica"/>
    <n v="0"/>
    <n v="0"/>
    <n v="400"/>
    <n v="7"/>
    <n v="0.55000000000000004"/>
    <n v="72"/>
    <n v="28"/>
    <n v="3.0555555555555558"/>
    <n v="0"/>
    <n v="0"/>
    <s v=""/>
    <n v="1.1000000000000001"/>
    <n v="0"/>
    <s v="Field"/>
    <s v="Cabbage_x000a_Farao_x000a_High Mowing"/>
    <n v="0"/>
    <n v="0"/>
    <n v="0"/>
    <n v="0"/>
    <n v="0"/>
    <n v="1"/>
    <n v="7"/>
    <n v="0"/>
    <n v="0"/>
    <n v="0"/>
    <n v="0"/>
    <n v="0"/>
    <n v="0"/>
    <n v="0"/>
    <n v="0"/>
    <n v="0"/>
    <n v="0"/>
    <n v="0"/>
    <n v="0"/>
    <n v="0"/>
    <n v="0"/>
    <n v="0"/>
    <n v="0"/>
    <n v="0"/>
    <n v="0"/>
    <n v="0"/>
    <n v="0"/>
    <n v="0"/>
    <n v="0"/>
    <n v="82.5"/>
    <n v="577.5"/>
    <n v="0"/>
    <n v="0"/>
    <n v="0"/>
    <n v="0"/>
    <n v="0"/>
    <n v="0"/>
    <n v="0"/>
    <n v="0"/>
    <n v="0"/>
    <n v="0"/>
    <n v="0"/>
    <n v="0"/>
    <n v="0"/>
    <n v="0"/>
    <n v="0"/>
    <n v="0"/>
    <n v="0"/>
    <b v="1"/>
    <n v="200"/>
    <s v="Head"/>
    <s v="Large Head"/>
    <s v="Cabbage Large Head - Head"/>
    <n v="0"/>
    <n v="0"/>
    <n v="0"/>
    <n v="0"/>
    <n v="0"/>
    <n v="25"/>
    <n v="175"/>
    <n v="0"/>
    <n v="0"/>
    <n v="0"/>
    <n v="0"/>
    <n v="0"/>
  </r>
  <r>
    <x v="22"/>
    <x v="25"/>
    <s v="H1"/>
    <n v="83.333333333333329"/>
    <n v="750"/>
    <s v="TOM"/>
    <m/>
    <x v="11"/>
    <x v="11"/>
    <m/>
    <s v="Brandywine Seed Savers, Mortgage Lifter Territorial, Pork Chop Osborne, Tiffen Mennonite Adaptive, Geronimo Johnny's, Benevento Bene, Cipolla's Pride Johnny's, Salvaterra's Select Seed Savers"/>
    <n v="86.666666666666657"/>
    <m/>
    <n v="2"/>
    <n v="2"/>
    <d v="2025-03-17T00:00:00"/>
    <d v="2025-03-17T00:00:00"/>
    <d v="2025-04-01T00:00:00"/>
    <d v="2025-04-01T00:00:00"/>
    <d v="2025-05-12T00:00:00"/>
    <m/>
    <m/>
    <d v="2025-05-27T00:00:00"/>
    <d v="2025-05-31T00:00:00"/>
    <n v="4"/>
    <x v="15"/>
    <m/>
    <d v="2025-08-14T00:00:00"/>
    <m/>
    <d v="2025-08-14T00:00:00"/>
    <d v="2025-10-16T00:00:00"/>
    <m/>
    <m/>
    <b v="1"/>
    <m/>
    <d v="2025-10-16T00:00:00"/>
    <b v="1"/>
    <b v="1"/>
    <b v="0"/>
    <b v="0"/>
    <n v="3750"/>
    <n v="26.408450704225352"/>
    <n v="135"/>
    <m/>
    <n v="63"/>
    <s v="TP"/>
    <n v="2"/>
    <n v="56"/>
    <n v="1"/>
    <n v="18"/>
    <n v="1"/>
    <n v="66.666666666666657"/>
    <s v="DR"/>
    <n v="322"/>
    <s v="Beefsteak"/>
    <s v="Su"/>
    <n v="956"/>
    <n v="63"/>
    <s v="Tomato"/>
    <n v="7"/>
    <s v="Young"/>
    <n v="72"/>
    <n v="21"/>
    <n v="1.2037037037037035"/>
    <n v="18"/>
    <n v="21"/>
    <n v="4.814814814814814"/>
    <n v="9"/>
    <n v="14"/>
    <n v="9.629629629629628"/>
    <n v="1.3"/>
    <n v="0"/>
    <s v="Field"/>
    <s v="Tomato_x000a_Large Tomato Mix_x000a_"/>
    <n v="0"/>
    <n v="0"/>
    <n v="0"/>
    <n v="0"/>
    <n v="0"/>
    <n v="0"/>
    <n v="0"/>
    <n v="18"/>
    <n v="30"/>
    <n v="16"/>
    <n v="0"/>
    <n v="0"/>
    <n v="0"/>
    <n v="0"/>
    <n v="0"/>
    <n v="0"/>
    <n v="0"/>
    <n v="0"/>
    <n v="0"/>
    <n v="0"/>
    <n v="0"/>
    <n v="0"/>
    <n v="0"/>
    <n v="0"/>
    <n v="0"/>
    <n v="0"/>
    <n v="0"/>
    <n v="0"/>
    <n v="0"/>
    <n v="0"/>
    <n v="0"/>
    <n v="1054.6875"/>
    <n v="1757.8125"/>
    <n v="937.5"/>
    <n v="0"/>
    <n v="0"/>
    <n v="0"/>
    <n v="0"/>
    <n v="0"/>
    <n v="0"/>
    <n v="0"/>
    <n v="0"/>
    <n v="0"/>
    <n v="0"/>
    <n v="0"/>
    <n v="0"/>
    <n v="0"/>
    <n v="0"/>
    <b v="1"/>
    <n v="750"/>
    <s v="Lb"/>
    <s v="Ripe Fruit Large"/>
    <s v="Tomato Ripe Fruit Large - Lb"/>
    <n v="0"/>
    <n v="0"/>
    <n v="0"/>
    <n v="0"/>
    <n v="0"/>
    <n v="0"/>
    <n v="0"/>
    <n v="210.9375"/>
    <n v="351.5625"/>
    <n v="187.5"/>
    <n v="0"/>
    <n v="0"/>
  </r>
  <r>
    <x v="23"/>
    <x v="26"/>
    <s v="H3"/>
    <n v="88.8888888888889"/>
    <n v="800"/>
    <s v="TOM"/>
    <m/>
    <x v="11"/>
    <x v="19"/>
    <m/>
    <s v="Blush Johnny's, Brad's Atomic Grape Garden Hoard, Pinky Uprising, Sun Dipper Osborne, Chocolate Sprinkles Osborne, Minivento Bene"/>
    <n v="86.666666666666657"/>
    <m/>
    <n v="2"/>
    <n v="2"/>
    <d v="2025-03-17T00:00:00"/>
    <d v="2025-03-17T00:00:00"/>
    <d v="2025-04-01T00:00:00"/>
    <d v="2025-04-01T00:00:00"/>
    <d v="2025-05-12T00:00:00"/>
    <m/>
    <m/>
    <d v="2025-05-27T00:00:00"/>
    <d v="2025-05-31T00:00:00"/>
    <n v="4"/>
    <x v="15"/>
    <m/>
    <d v="2025-08-14T00:00:00"/>
    <m/>
    <d v="2025-08-14T00:00:00"/>
    <d v="2025-10-16T00:00:00"/>
    <m/>
    <m/>
    <b v="1"/>
    <m/>
    <d v="2025-10-16T00:00:00"/>
    <b v="1"/>
    <b v="1"/>
    <b v="0"/>
    <b v="0"/>
    <n v="4200"/>
    <n v="29.577464788732396"/>
    <n v="135"/>
    <m/>
    <n v="63"/>
    <s v="TP"/>
    <n v="2"/>
    <n v="56"/>
    <n v="1"/>
    <n v="18"/>
    <n v="1"/>
    <n v="66.666666666666657"/>
    <s v="DR"/>
    <n v="329"/>
    <s v="Medium"/>
    <s v="Su"/>
    <n v="956"/>
    <n v="63"/>
    <s v="Tomato"/>
    <n v="5"/>
    <s v="Young"/>
    <n v="72"/>
    <n v="21"/>
    <n v="1.2037037037037035"/>
    <n v="18"/>
    <n v="21"/>
    <n v="4.814814814814814"/>
    <n v="9"/>
    <n v="14"/>
    <n v="9.629629629629628"/>
    <n v="1.3"/>
    <n v="0"/>
    <s v="Field"/>
    <s v="Tomato_x000a_Medium Tomato Mix_x000a_"/>
    <n v="0"/>
    <n v="0"/>
    <n v="0"/>
    <n v="0"/>
    <n v="0"/>
    <n v="0"/>
    <n v="0"/>
    <n v="18"/>
    <n v="30"/>
    <n v="16"/>
    <n v="0"/>
    <n v="0"/>
    <n v="0"/>
    <n v="0"/>
    <n v="0"/>
    <n v="0"/>
    <n v="0"/>
    <n v="0"/>
    <n v="0"/>
    <n v="0"/>
    <n v="0"/>
    <n v="0"/>
    <n v="0"/>
    <n v="0"/>
    <n v="0"/>
    <n v="0"/>
    <n v="0"/>
    <n v="0"/>
    <n v="0"/>
    <n v="0"/>
    <n v="0"/>
    <n v="1181.25"/>
    <n v="1968.75"/>
    <n v="1050"/>
    <n v="0"/>
    <n v="0"/>
    <n v="0"/>
    <n v="0"/>
    <n v="0"/>
    <n v="0"/>
    <n v="0"/>
    <n v="0"/>
    <n v="0"/>
    <n v="0"/>
    <n v="0"/>
    <n v="0"/>
    <n v="0"/>
    <n v="0"/>
    <b v="1"/>
    <n v="600"/>
    <s v="Lb"/>
    <s v="Ripe Fruit Medium"/>
    <s v="Tomato Ripe Fruit Medium - Lb"/>
    <n v="0"/>
    <n v="0"/>
    <n v="0"/>
    <n v="0"/>
    <n v="0"/>
    <n v="0"/>
    <n v="0"/>
    <n v="168.75"/>
    <n v="281.25"/>
    <n v="150"/>
    <n v="0"/>
    <n v="0"/>
  </r>
  <r>
    <x v="24"/>
    <x v="27"/>
    <s v="U5"/>
    <n v="250"/>
    <n v="2250"/>
    <s v="TOM"/>
    <m/>
    <x v="11"/>
    <x v="20"/>
    <m/>
    <s v="Spring King Adaptive, Red Deuce Seedway, Beefy Purple A P Whaley, Black Sea Man Tomato Fest, Dwarf Purple Heart Tomato Fest"/>
    <n v="195"/>
    <m/>
    <n v="6"/>
    <n v="1"/>
    <d v="2025-03-20T00:00:00"/>
    <d v="2025-03-20T00:00:00"/>
    <d v="2025-04-16T00:00:00"/>
    <d v="2025-04-16T00:00:00"/>
    <d v="2025-05-15T00:00:00"/>
    <m/>
    <m/>
    <d v="2025-06-11T00:00:00"/>
    <d v="2025-06-13T00:00:00"/>
    <n v="2"/>
    <x v="16"/>
    <m/>
    <d v="2025-08-05T00:00:00"/>
    <m/>
    <d v="2025-08-05T00:00:00"/>
    <d v="2025-10-07T00:00:00"/>
    <m/>
    <m/>
    <b v="1"/>
    <m/>
    <d v="2025-10-07T00:00:00"/>
    <b v="1"/>
    <b v="1"/>
    <b v="0"/>
    <b v="0"/>
    <n v="11250"/>
    <n v="95.33898305084746"/>
    <n v="111"/>
    <m/>
    <n v="63"/>
    <s v="TP"/>
    <n v="6"/>
    <n v="56"/>
    <n v="1"/>
    <n v="24"/>
    <n v="1"/>
    <n v="150"/>
    <s v="DR"/>
    <n v="321"/>
    <s v="Beefsteak Det"/>
    <s v="Su"/>
    <n v="947"/>
    <n v="63"/>
    <s v="Tomato"/>
    <n v="7"/>
    <s v="Young"/>
    <n v="72"/>
    <n v="21"/>
    <n v="2.7083333333333335"/>
    <n v="18"/>
    <n v="21"/>
    <n v="10.833333333333334"/>
    <n v="9"/>
    <n v="14"/>
    <n v="21.666666666666668"/>
    <n v="1.3"/>
    <n v="0"/>
    <s v="Field"/>
    <s v="Tomato_x000a_Determinate Beefsteak Mix_x000a_"/>
    <n v="0"/>
    <n v="0"/>
    <n v="0"/>
    <n v="0"/>
    <n v="0"/>
    <n v="0"/>
    <n v="0"/>
    <n v="27"/>
    <n v="30"/>
    <n v="7"/>
    <n v="0"/>
    <n v="0"/>
    <n v="0"/>
    <n v="0"/>
    <n v="0"/>
    <n v="0"/>
    <n v="0"/>
    <n v="0"/>
    <n v="0"/>
    <n v="0"/>
    <n v="0"/>
    <n v="0"/>
    <n v="0"/>
    <n v="0"/>
    <n v="0"/>
    <n v="0"/>
    <n v="0"/>
    <n v="0"/>
    <n v="0"/>
    <n v="0"/>
    <n v="0"/>
    <n v="4746.09375"/>
    <n v="5273.4375"/>
    <n v="1230.46875"/>
    <n v="0"/>
    <n v="0"/>
    <n v="0"/>
    <n v="0"/>
    <n v="0"/>
    <n v="0"/>
    <n v="0"/>
    <n v="0"/>
    <n v="0"/>
    <n v="0"/>
    <n v="0"/>
    <n v="0"/>
    <n v="0"/>
    <n v="0"/>
    <b v="1"/>
    <n v="2250"/>
    <s v="Lb"/>
    <s v="Ripe Fruit Large"/>
    <s v="Tomato Ripe Fruit Large - Lb"/>
    <n v="0"/>
    <n v="0"/>
    <n v="0"/>
    <n v="0"/>
    <n v="0"/>
    <n v="0"/>
    <n v="0"/>
    <n v="949.21875"/>
    <n v="1054.6875"/>
    <n v="246.09375"/>
    <n v="0"/>
    <n v="0"/>
  </r>
  <r>
    <x v="24"/>
    <x v="28"/>
    <s v="A2"/>
    <n v="83.333333333333329"/>
    <n v="750"/>
    <s v="TOM"/>
    <m/>
    <x v="11"/>
    <x v="20"/>
    <m/>
    <s v="Spring King Adaptive, Red Deuce Seedway, Beefy Purple A P Whaley, Black Sea Man Tomato Fest, Dwarf Purple Heart Tomato Fest"/>
    <n v="65"/>
    <m/>
    <n v="2"/>
    <n v="2"/>
    <d v="2025-03-20T00:00:00"/>
    <d v="2025-03-20T00:00:00"/>
    <d v="2025-04-16T00:00:00"/>
    <d v="2025-04-16T00:00:00"/>
    <d v="2025-05-15T00:00:00"/>
    <m/>
    <m/>
    <d v="2025-06-11T00:00:00"/>
    <d v="2025-06-07T00:00:00"/>
    <n v="-4"/>
    <x v="17"/>
    <m/>
    <d v="2025-08-05T00:00:00"/>
    <m/>
    <d v="2025-08-05T00:00:00"/>
    <d v="2025-10-07T00:00:00"/>
    <m/>
    <m/>
    <b v="1"/>
    <m/>
    <d v="2025-10-07T00:00:00"/>
    <b v="1"/>
    <b v="1"/>
    <b v="0"/>
    <b v="0"/>
    <n v="3750"/>
    <n v="31.779661016949152"/>
    <n v="111"/>
    <m/>
    <n v="63"/>
    <s v="TP"/>
    <n v="2"/>
    <n v="56"/>
    <n v="1"/>
    <n v="24"/>
    <n v="1"/>
    <n v="50"/>
    <s v="DR"/>
    <n v="321"/>
    <s v="Beefsteak Det"/>
    <s v="Su"/>
    <n v="947"/>
    <n v="63"/>
    <s v="Tomato"/>
    <n v="7"/>
    <s v="Young"/>
    <n v="72"/>
    <n v="21"/>
    <n v="0.90277777777777779"/>
    <n v="18"/>
    <n v="21"/>
    <n v="3.6111111111111112"/>
    <n v="9"/>
    <n v="14"/>
    <n v="7.2222222222222223"/>
    <n v="1.3"/>
    <n v="0"/>
    <s v="Field"/>
    <s v="Tomato_x000a_Determinate Beefsteak Mix_x000a_"/>
    <n v="0"/>
    <n v="0"/>
    <n v="0"/>
    <n v="0"/>
    <n v="0"/>
    <n v="0"/>
    <n v="0"/>
    <n v="27"/>
    <n v="30"/>
    <n v="7"/>
    <n v="0"/>
    <n v="0"/>
    <n v="0"/>
    <n v="0"/>
    <n v="0"/>
    <n v="0"/>
    <n v="0"/>
    <n v="0"/>
    <n v="0"/>
    <n v="0"/>
    <n v="0"/>
    <n v="0"/>
    <n v="0"/>
    <n v="0"/>
    <n v="0"/>
    <n v="0"/>
    <n v="0"/>
    <n v="0"/>
    <n v="0"/>
    <n v="0"/>
    <n v="0"/>
    <n v="1582.03125"/>
    <n v="1757.8125"/>
    <n v="410.15625"/>
    <n v="0"/>
    <n v="0"/>
    <n v="0"/>
    <n v="0"/>
    <n v="0"/>
    <n v="0"/>
    <n v="0"/>
    <n v="0"/>
    <n v="0"/>
    <n v="0"/>
    <n v="0"/>
    <n v="0"/>
    <n v="0"/>
    <n v="0"/>
    <b v="1"/>
    <n v="750"/>
    <s v="Lb"/>
    <s v="Ripe Fruit Large"/>
    <s v="Tomato Ripe Fruit Large - Lb"/>
    <n v="0"/>
    <n v="0"/>
    <n v="0"/>
    <n v="0"/>
    <n v="0"/>
    <n v="0"/>
    <n v="0"/>
    <n v="316.40625"/>
    <n v="351.5625"/>
    <n v="82.03125"/>
    <n v="0"/>
    <n v="0"/>
  </r>
  <r>
    <x v="25"/>
    <x v="29"/>
    <s v="C4"/>
    <n v="18.75"/>
    <n v="150"/>
    <s v="ONI"/>
    <m/>
    <x v="4"/>
    <x v="4"/>
    <m/>
    <s v="Cortland F1 High Mowing, Sedona F1 High Mowing, Red Spring Johnny's"/>
    <n v="1650.0000000000002"/>
    <m/>
    <n v="1"/>
    <n v="1"/>
    <d v="2025-03-22T00:00:00"/>
    <d v="2025-03-22T00:00:00"/>
    <d v="2025-03-28T00:00:00"/>
    <d v="2025-03-28T00:00:00"/>
    <d v="2025-04-19T00:00:00"/>
    <m/>
    <m/>
    <d v="2025-04-25T00:00:00"/>
    <d v="2025-04-22T00:00:00"/>
    <n v="-3"/>
    <x v="18"/>
    <m/>
    <d v="2025-06-26T00:00:00"/>
    <m/>
    <d v="2025-06-26T00:00:00"/>
    <d v="2025-08-21T00:00:00"/>
    <m/>
    <m/>
    <b v="1"/>
    <m/>
    <d v="2025-08-21T00:00:00"/>
    <b v="1"/>
    <b v="1"/>
    <b v="0"/>
    <b v="0"/>
    <n v="600"/>
    <n v="5.0847457627118642"/>
    <n v="90"/>
    <m/>
    <n v="56"/>
    <s v="TP"/>
    <n v="1"/>
    <n v="28"/>
    <n v="3"/>
    <n v="12"/>
    <n v="10"/>
    <n v="150"/>
    <s v=""/>
    <n v="225"/>
    <s v="Salad Late"/>
    <s v="Sp"/>
    <n v="907"/>
    <n v="56"/>
    <s v="Onion"/>
    <n v="2"/>
    <s v="None"/>
    <n v="128"/>
    <n v="28"/>
    <n v="1.2890625"/>
    <n v="0"/>
    <n v="0"/>
    <s v=""/>
    <n v="0"/>
    <n v="0"/>
    <s v=""/>
    <n v="1.1000000000000001"/>
    <n v="0"/>
    <s v="Field"/>
    <s v="Onion_x000a_Rot Resistant Onions Mix_x000a_"/>
    <n v="0"/>
    <n v="0"/>
    <n v="0"/>
    <n v="0"/>
    <n v="0"/>
    <n v="5"/>
    <n v="31"/>
    <n v="21"/>
    <n v="0"/>
    <n v="0"/>
    <n v="0"/>
    <n v="0"/>
    <n v="0"/>
    <n v="0"/>
    <n v="0"/>
    <n v="0"/>
    <n v="0"/>
    <n v="0"/>
    <n v="0"/>
    <n v="0"/>
    <n v="0"/>
    <n v="0"/>
    <n v="0"/>
    <n v="0"/>
    <n v="0"/>
    <n v="0"/>
    <n v="0"/>
    <n v="0"/>
    <n v="0"/>
    <n v="52.631578947368418"/>
    <n v="326.31578947368422"/>
    <n v="221.05263157894737"/>
    <n v="0"/>
    <n v="0"/>
    <n v="0"/>
    <n v="0"/>
    <n v="0"/>
    <n v="0"/>
    <n v="0"/>
    <n v="0"/>
    <n v="0"/>
    <n v="0"/>
    <n v="0"/>
    <n v="0"/>
    <n v="0"/>
    <n v="0"/>
    <n v="0"/>
    <n v="0"/>
    <b v="1"/>
    <n v="150"/>
    <s v="Bunch"/>
    <s v="Young Bulb"/>
    <s v="Onion Young Bulb - Bunch"/>
    <n v="0"/>
    <n v="0"/>
    <n v="0"/>
    <n v="0"/>
    <n v="0"/>
    <n v="13.157894736842104"/>
    <n v="81.578947368421055"/>
    <n v="55.263157894736842"/>
    <n v="0"/>
    <n v="0"/>
    <n v="0"/>
    <n v="0"/>
  </r>
  <r>
    <x v="26"/>
    <x v="30"/>
    <s v="B3"/>
    <n v="66.666666666666657"/>
    <n v="533.33333333333326"/>
    <s v="KAL"/>
    <m/>
    <x v="14"/>
    <x v="21"/>
    <m/>
    <s v="Black Jack F1 High Mowing, Dazzling Blue High Mowing, Red Russian High Mowing"/>
    <n v="293.33333333333331"/>
    <m/>
    <n v="2"/>
    <n v="2"/>
    <d v="2025-03-22T00:00:00"/>
    <d v="2025-03-22T00:00:00"/>
    <d v="2025-04-01T00:00:00"/>
    <d v="2025-04-01T00:00:00"/>
    <d v="2025-04-26T00:00:00"/>
    <m/>
    <m/>
    <d v="2025-05-06T00:00:00"/>
    <d v="2025-04-28T00:00:00"/>
    <n v="-8"/>
    <x v="5"/>
    <m/>
    <d v="2025-06-30T00:00:00"/>
    <m/>
    <d v="2025-06-30T00:00:00"/>
    <d v="2025-08-25T00:00:00"/>
    <m/>
    <m/>
    <b v="1"/>
    <m/>
    <d v="2025-08-25T00:00:00"/>
    <b v="1"/>
    <b v="1"/>
    <b v="0"/>
    <b v="0"/>
    <n v="1599.9999999999998"/>
    <n v="14.414414414414413"/>
    <n v="90"/>
    <m/>
    <n v="56"/>
    <s v="TP"/>
    <n v="2"/>
    <n v="35"/>
    <n v="2"/>
    <n v="18"/>
    <n v="2"/>
    <n v="133.33333333333331"/>
    <s v=""/>
    <n v="155"/>
    <s v="General"/>
    <s v="Sp"/>
    <n v="911"/>
    <n v="56"/>
    <s v="Brassica"/>
    <n v="3"/>
    <s v="AMAP"/>
    <n v="72"/>
    <n v="35"/>
    <n v="2.0370370370370368"/>
    <n v="0"/>
    <n v="0"/>
    <s v=""/>
    <n v="0"/>
    <n v="0"/>
    <s v=""/>
    <n v="1.1000000000000001"/>
    <n v="0"/>
    <s v="Field"/>
    <s v="Kale_x000a_Warm Kale Mix_x000a_"/>
    <n v="0"/>
    <n v="0"/>
    <n v="0"/>
    <n v="0"/>
    <n v="0"/>
    <n v="1"/>
    <n v="31"/>
    <n v="25"/>
    <n v="0"/>
    <n v="0"/>
    <n v="0"/>
    <n v="0"/>
    <n v="0"/>
    <n v="0"/>
    <n v="0"/>
    <n v="0"/>
    <n v="0"/>
    <n v="0"/>
    <n v="0"/>
    <n v="0"/>
    <n v="0"/>
    <n v="0"/>
    <n v="0"/>
    <n v="0"/>
    <n v="0"/>
    <n v="0"/>
    <n v="0"/>
    <n v="0"/>
    <n v="0"/>
    <n v="28.070175438596486"/>
    <n v="870.17543859649118"/>
    <n v="701.7543859649121"/>
    <n v="0"/>
    <n v="0"/>
    <n v="0"/>
    <n v="0"/>
    <n v="0"/>
    <n v="0"/>
    <n v="0"/>
    <n v="0"/>
    <n v="0"/>
    <n v="0"/>
    <n v="0"/>
    <n v="0"/>
    <n v="0"/>
    <n v="0"/>
    <n v="0"/>
    <n v="0"/>
    <b v="1"/>
    <n v="533.33333333333326"/>
    <s v="Bunch"/>
    <s v="Mature Leaf"/>
    <s v="Kale Mature Leaf - Bunch"/>
    <n v="0"/>
    <n v="0"/>
    <n v="0"/>
    <n v="0"/>
    <n v="0"/>
    <n v="9.3567251461988281"/>
    <n v="290.05847953216369"/>
    <n v="233.9181286549707"/>
    <n v="0"/>
    <n v="0"/>
    <n v="0"/>
    <n v="0"/>
  </r>
  <r>
    <x v="27"/>
    <x v="31"/>
    <s v="G0"/>
    <n v="50"/>
    <n v="900"/>
    <s v="PAR"/>
    <m/>
    <x v="15"/>
    <x v="22"/>
    <m/>
    <s v="Einfache Schnitt 3 Adaptive, Giant of Italy Johnny's, Laica High Mowing, Moss Curled Wild Garden, Forest Green Adaptive"/>
    <n v="780"/>
    <m/>
    <n v="1"/>
    <n v="1"/>
    <d v="2025-03-22T00:00:00"/>
    <d v="2025-03-22T00:00:00"/>
    <d v="2025-04-01T00:00:00"/>
    <d v="2025-04-01T00:00:00"/>
    <d v="2025-04-26T00:00:00"/>
    <m/>
    <m/>
    <d v="2025-05-06T00:00:00"/>
    <d v="2025-06-05T00:00:00"/>
    <n v="30"/>
    <x v="2"/>
    <m/>
    <d v="2025-06-15T00:00:00"/>
    <m/>
    <d v="2025-06-15T00:00:00"/>
    <d v="2025-10-12T00:00:00"/>
    <m/>
    <m/>
    <b v="1"/>
    <m/>
    <d v="2025-10-12T00:00:00"/>
    <b v="1"/>
    <b v="1"/>
    <b v="0"/>
    <b v="0"/>
    <n v="2250"/>
    <n v="14.150943396226415"/>
    <n v="75"/>
    <m/>
    <n v="119"/>
    <s v="TP"/>
    <n v="1"/>
    <n v="35"/>
    <n v="3"/>
    <n v="9"/>
    <n v="3"/>
    <n v="200"/>
    <s v=""/>
    <n v="230"/>
    <s v="General"/>
    <s v="Sp"/>
    <n v="896"/>
    <n v="119"/>
    <s v="Herb"/>
    <n v="24"/>
    <s v="None"/>
    <n v="128"/>
    <n v="35"/>
    <n v="2.03125"/>
    <n v="0"/>
    <n v="0"/>
    <n v="0"/>
    <n v="0"/>
    <n v="0"/>
    <s v=""/>
    <n v="1.3"/>
    <n v="24"/>
    <s v="Field"/>
    <s v="Parsley_x000a_Parsley Mix_x000a_"/>
    <n v="0"/>
    <n v="0"/>
    <n v="0"/>
    <n v="0"/>
    <n v="0"/>
    <n v="16"/>
    <n v="31"/>
    <n v="31"/>
    <n v="30"/>
    <n v="12"/>
    <n v="0"/>
    <n v="0"/>
    <n v="0"/>
    <n v="0"/>
    <n v="0"/>
    <n v="0"/>
    <n v="0"/>
    <n v="0"/>
    <n v="0"/>
    <n v="0"/>
    <n v="0"/>
    <n v="0"/>
    <n v="0"/>
    <n v="0"/>
    <n v="0"/>
    <n v="0"/>
    <n v="0"/>
    <n v="0"/>
    <n v="0"/>
    <n v="300"/>
    <n v="581.25000000000011"/>
    <n v="581.25000000000011"/>
    <n v="562.5"/>
    <n v="225"/>
    <n v="0"/>
    <n v="0"/>
    <n v="0"/>
    <n v="0"/>
    <n v="0"/>
    <n v="0"/>
    <n v="0"/>
    <n v="0"/>
    <n v="0"/>
    <n v="0"/>
    <n v="0"/>
    <n v="0"/>
    <n v="0"/>
    <n v="0"/>
    <b v="1"/>
    <n v="900"/>
    <s v="Bunch"/>
    <s v="Mature Leaf"/>
    <s v="Parsley Mature Leaf - Bunch"/>
    <n v="0"/>
    <n v="0"/>
    <n v="0"/>
    <n v="0"/>
    <n v="0"/>
    <n v="120"/>
    <n v="232.50000000000003"/>
    <n v="232.50000000000003"/>
    <n v="225"/>
    <n v="90"/>
    <n v="0"/>
    <n v="0"/>
  </r>
  <r>
    <x v="28"/>
    <x v="32"/>
    <s v="H5"/>
    <n v="80"/>
    <n v="800"/>
    <s v="LEM"/>
    <m/>
    <x v="16"/>
    <x v="23"/>
    <s v="Johnny's"/>
    <s v=""/>
    <n v="130"/>
    <m/>
    <n v="1"/>
    <n v="1"/>
    <d v="2025-03-22T00:00:00"/>
    <d v="2025-03-22T00:00:00"/>
    <d v="2025-04-01T00:00:00"/>
    <d v="2025-04-01T00:00:00"/>
    <d v="2025-05-01T00:00:00"/>
    <m/>
    <m/>
    <d v="2025-05-11T00:00:00"/>
    <d v="2025-05-31T00:00:00"/>
    <n v="20"/>
    <x v="15"/>
    <m/>
    <d v="2025-07-30T00:00:00"/>
    <m/>
    <d v="2025-07-30T00:00:00"/>
    <d v="2025-10-01T00:00:00"/>
    <m/>
    <m/>
    <b v="1"/>
    <m/>
    <d v="2025-10-01T00:00:00"/>
    <b v="1"/>
    <b v="1"/>
    <b v="0"/>
    <b v="0"/>
    <n v="2400"/>
    <n v="16.783216783216783"/>
    <n v="120"/>
    <m/>
    <n v="63"/>
    <s v="TP"/>
    <n v="1"/>
    <n v="40"/>
    <n v="2"/>
    <n v="12"/>
    <n v="1"/>
    <n v="100"/>
    <s v=""/>
    <n v="171"/>
    <s v="General"/>
    <s v="SpSu"/>
    <n v="941"/>
    <n v="63"/>
    <s v="Herb"/>
    <n v="4"/>
    <s v="None"/>
    <n v="72"/>
    <n v="40"/>
    <n v="1.8055555555555556"/>
    <n v="0"/>
    <n v="0"/>
    <s v=""/>
    <n v="0"/>
    <n v="0"/>
    <s v=""/>
    <n v="1.3"/>
    <n v="10"/>
    <s v="Field"/>
    <s v="Lemongrass_x000a_East Indian Lemongrass_x000a_Johnny's"/>
    <n v="0"/>
    <n v="0"/>
    <n v="0"/>
    <n v="0"/>
    <n v="0"/>
    <n v="0"/>
    <n v="2"/>
    <n v="31"/>
    <n v="30"/>
    <n v="1"/>
    <n v="0"/>
    <n v="0"/>
    <n v="0"/>
    <n v="0"/>
    <n v="0"/>
    <n v="0"/>
    <n v="0"/>
    <n v="0"/>
    <n v="0"/>
    <n v="0"/>
    <n v="0"/>
    <n v="0"/>
    <n v="0"/>
    <n v="0"/>
    <n v="0"/>
    <n v="0"/>
    <n v="0"/>
    <n v="0"/>
    <n v="0"/>
    <n v="0"/>
    <n v="75"/>
    <n v="1162.5"/>
    <n v="1125"/>
    <n v="37.5"/>
    <n v="0"/>
    <n v="0"/>
    <n v="0"/>
    <n v="0"/>
    <n v="0"/>
    <n v="0"/>
    <n v="0"/>
    <n v="0"/>
    <n v="0"/>
    <n v="0"/>
    <n v="0"/>
    <n v="0"/>
    <n v="0"/>
    <n v="0"/>
    <b v="1"/>
    <n v="800"/>
    <s v="Bunch"/>
    <s v="Mature Stalks"/>
    <s v="Lemongrass Mature Stalks - Bunch"/>
    <n v="0"/>
    <n v="0"/>
    <n v="0"/>
    <n v="0"/>
    <n v="0"/>
    <n v="0"/>
    <n v="25"/>
    <n v="387.5"/>
    <n v="375"/>
    <n v="12.5"/>
    <n v="0"/>
    <n v="0"/>
  </r>
  <r>
    <x v="29"/>
    <x v="33"/>
    <s v="A7"/>
    <n v="34.567901234567898"/>
    <n v="355.55555555555549"/>
    <s v="TOM"/>
    <m/>
    <x v="17"/>
    <x v="24"/>
    <m/>
    <s v="Queen of Mallinalco Uprising, De Milpa Johnny's, Toma Verde High Mowing"/>
    <n v="43.333333333333329"/>
    <m/>
    <n v="1"/>
    <n v="1"/>
    <d v="2025-03-22T00:00:00"/>
    <d v="2025-03-22T00:00:00"/>
    <d v="2025-04-01T00:00:00"/>
    <d v="2025-04-01T00:00:00"/>
    <d v="2025-05-17T00:00:00"/>
    <m/>
    <m/>
    <d v="2025-05-27T00:00:00"/>
    <s v="X"/>
    <e v="#VALUE!"/>
    <x v="19"/>
    <m/>
    <d v="2025-06-30T00:00:00"/>
    <m/>
    <d v="2025-06-30T00:00:00"/>
    <d v="2025-09-08T00:00:00"/>
    <m/>
    <m/>
    <b v="1"/>
    <m/>
    <d v="2025-09-08T00:00:00"/>
    <b v="1"/>
    <b v="0"/>
    <b v="0"/>
    <b v="0"/>
    <n v="1599.9999999999998"/>
    <n v="15.384615384615383"/>
    <n v="90"/>
    <m/>
    <n v="70"/>
    <s v="TP"/>
    <n v="1"/>
    <n v="56"/>
    <n v="1"/>
    <n v="18"/>
    <n v="1"/>
    <n v="33.333333333333329"/>
    <s v="DR"/>
    <n v="320"/>
    <s v="General"/>
    <s v=""/>
    <n v="911"/>
    <n v="70"/>
    <s v="Tomato"/>
    <n v="5"/>
    <s v="Young"/>
    <n v="72"/>
    <n v="21"/>
    <n v="0.60185185185185175"/>
    <n v="18"/>
    <n v="21"/>
    <n v="2.407407407407407"/>
    <n v="9"/>
    <n v="14"/>
    <n v="4.814814814814814"/>
    <n v="1.3"/>
    <n v="10"/>
    <s v="Field"/>
    <s v="Tomatillo_x000a_Tomatillo Mix_x000a_"/>
    <n v="0"/>
    <n v="0"/>
    <n v="0"/>
    <n v="0"/>
    <n v="0"/>
    <n v="1"/>
    <n v="31"/>
    <n v="31"/>
    <n v="8"/>
    <n v="0"/>
    <n v="0"/>
    <n v="0"/>
    <n v="0"/>
    <n v="0"/>
    <n v="0"/>
    <n v="0"/>
    <n v="0"/>
    <n v="0"/>
    <n v="0"/>
    <n v="0"/>
    <n v="0"/>
    <n v="0"/>
    <n v="0"/>
    <n v="0"/>
    <n v="0"/>
    <n v="0"/>
    <n v="0"/>
    <n v="0"/>
    <n v="0"/>
    <n v="22.535211267605632"/>
    <n v="698.59154929577448"/>
    <n v="698.59154929577448"/>
    <n v="180.28169014084506"/>
    <n v="0"/>
    <n v="0"/>
    <n v="0"/>
    <n v="0"/>
    <n v="0"/>
    <n v="0"/>
    <n v="0"/>
    <n v="0"/>
    <n v="0"/>
    <n v="0"/>
    <n v="0"/>
    <n v="0"/>
    <n v="0"/>
    <n v="0"/>
    <n v="0"/>
    <b v="1"/>
    <n v="266.66666666666663"/>
    <s v="Lb"/>
    <s v="Ripe Fruit"/>
    <s v="Tomatillo Ripe Fruit - Lb"/>
    <n v="0"/>
    <n v="0"/>
    <n v="0"/>
    <n v="0"/>
    <n v="0"/>
    <n v="3.7558685446009386"/>
    <n v="116.43192488262909"/>
    <n v="116.43192488262909"/>
    <n v="30.046948356807508"/>
    <n v="0"/>
    <n v="0"/>
    <n v="0"/>
  </r>
  <r>
    <x v="30"/>
    <x v="34"/>
    <s v="C7"/>
    <n v="33.333333333333336"/>
    <n v="200"/>
    <s v="BEE"/>
    <m/>
    <x v="18"/>
    <x v="25"/>
    <m/>
    <s v="Badger Flame High Mowing, Boro F1 High Mowing, Chiogga Adaptive"/>
    <n v="990.00000000000011"/>
    <m/>
    <n v="2"/>
    <n v="2"/>
    <d v="2025-03-22T00:00:00"/>
    <d v="2025-03-22T00:00:00"/>
    <d v="2025-05-18T00:00:00"/>
    <d v="2025-05-18T00:00:00"/>
    <d v="2025-04-26T00:00:00"/>
    <m/>
    <m/>
    <d v="2025-06-22T00:00:00"/>
    <m/>
    <n v="-45830"/>
    <x v="20"/>
    <m/>
    <d v="2025-08-17T00:00:00"/>
    <m/>
    <d v="2025-08-17T00:00:00"/>
    <d v="2025-09-21T00:00:00"/>
    <m/>
    <m/>
    <b v="1"/>
    <m/>
    <d v="2025-09-21T00:00:00"/>
    <b v="1"/>
    <b v="0"/>
    <b v="0"/>
    <b v="0"/>
    <n v="800"/>
    <n v="8.791208791208792"/>
    <n v="91"/>
    <m/>
    <n v="35"/>
    <s v="TP"/>
    <n v="2"/>
    <n v="35"/>
    <n v="3"/>
    <n v="12"/>
    <n v="3"/>
    <n v="300"/>
    <s v=""/>
    <n v="32"/>
    <s v="General"/>
    <s v="Sp"/>
    <n v="959"/>
    <n v="35"/>
    <s v="Root"/>
    <n v="1"/>
    <s v="None"/>
    <n v="128"/>
    <n v="35"/>
    <n v="2.578125"/>
    <n v="0"/>
    <n v="0"/>
    <s v=""/>
    <n v="0"/>
    <n v="0"/>
    <s v=""/>
    <n v="1.1000000000000001"/>
    <n v="0"/>
    <s v="Field"/>
    <s v="Beet_x000a_Beet Mix_x000a_"/>
    <n v="0"/>
    <n v="0"/>
    <n v="0"/>
    <n v="0"/>
    <n v="0"/>
    <n v="0"/>
    <n v="0"/>
    <n v="15"/>
    <n v="21"/>
    <n v="0"/>
    <n v="0"/>
    <n v="0"/>
    <n v="0"/>
    <n v="0"/>
    <n v="0"/>
    <n v="0"/>
    <n v="0"/>
    <n v="0"/>
    <n v="0"/>
    <n v="0"/>
    <n v="0"/>
    <n v="0"/>
    <n v="0"/>
    <n v="0"/>
    <n v="0"/>
    <n v="0"/>
    <n v="0"/>
    <n v="0"/>
    <n v="0"/>
    <n v="0"/>
    <n v="0"/>
    <n v="333.33333333333337"/>
    <n v="466.66666666666669"/>
    <n v="0"/>
    <n v="0"/>
    <n v="0"/>
    <n v="0"/>
    <n v="0"/>
    <n v="0"/>
    <n v="0"/>
    <n v="0"/>
    <n v="0"/>
    <n v="0"/>
    <n v="0"/>
    <n v="0"/>
    <n v="0"/>
    <n v="0"/>
    <n v="0"/>
    <b v="1"/>
    <n v="200"/>
    <s v="Bunch"/>
    <s v="Mature Root"/>
    <s v="Beet Mature Root - Bunch"/>
    <n v="0"/>
    <n v="0"/>
    <n v="0"/>
    <n v="0"/>
    <n v="0"/>
    <n v="0"/>
    <n v="0"/>
    <n v="83.333333333333343"/>
    <n v="116.66666666666667"/>
    <n v="0"/>
    <n v="0"/>
    <n v="0"/>
  </r>
  <r>
    <x v="9"/>
    <x v="35"/>
    <s v="C3"/>
    <n v="50"/>
    <n v="100"/>
    <s v="SCA"/>
    <m/>
    <x v="8"/>
    <x v="8"/>
    <m/>
    <s v="Ishikura Long Winter Uprising, Parade High Mowing, White Spear Adaptive"/>
    <n v="1320"/>
    <m/>
    <n v="0.5"/>
    <n v="0.5"/>
    <d v="2025-03-23T00:00:00"/>
    <d v="2025-03-23T00:00:00"/>
    <d v="2025-05-14T00:00:00"/>
    <d v="2025-05-14T00:00:00"/>
    <d v="2025-05-04T00:00:00"/>
    <m/>
    <m/>
    <d v="2025-06-25T00:00:00"/>
    <m/>
    <n v="-45833"/>
    <x v="21"/>
    <m/>
    <d v="2025-08-14T00:00:00"/>
    <m/>
    <d v="2025-08-14T00:00:00"/>
    <d v="2025-08-28T00:00:00"/>
    <m/>
    <m/>
    <b v="1"/>
    <m/>
    <d v="2025-08-28T00:00:00"/>
    <b v="1"/>
    <b v="0"/>
    <b v="0"/>
    <b v="0"/>
    <n v="250"/>
    <n v="3.90625"/>
    <n v="92"/>
    <m/>
    <n v="14"/>
    <s v="TP"/>
    <n v="0.5"/>
    <n v="42"/>
    <n v="4"/>
    <n v="6"/>
    <n v="6"/>
    <n v="200"/>
    <s v=""/>
    <n v="282"/>
    <s v="General"/>
    <s v="Sp"/>
    <n v="956"/>
    <n v="14"/>
    <s v="Onion"/>
    <n v="1.5"/>
    <s v="None"/>
    <n v="128"/>
    <n v="42"/>
    <n v="1.7187500000000002"/>
    <n v="0"/>
    <n v="0"/>
    <s v=""/>
    <n v="0"/>
    <n v="0"/>
    <s v=""/>
    <n v="1.1000000000000001"/>
    <n v="17"/>
    <s v="Field"/>
    <s v="Scallion_x000a_Scallion Mix_x000a_"/>
    <n v="0"/>
    <n v="0"/>
    <n v="0"/>
    <n v="0"/>
    <n v="0"/>
    <n v="0"/>
    <n v="0"/>
    <n v="15"/>
    <n v="0"/>
    <n v="0"/>
    <n v="0"/>
    <n v="0"/>
    <n v="0"/>
    <n v="0"/>
    <n v="0"/>
    <n v="0"/>
    <n v="0"/>
    <n v="0"/>
    <n v="0"/>
    <n v="0"/>
    <n v="0"/>
    <n v="0"/>
    <n v="0"/>
    <n v="0"/>
    <n v="0"/>
    <n v="0"/>
    <n v="0"/>
    <n v="0"/>
    <n v="0"/>
    <n v="0"/>
    <n v="0"/>
    <n v="250"/>
    <n v="0"/>
    <n v="0"/>
    <n v="0"/>
    <n v="0"/>
    <n v="0"/>
    <n v="0"/>
    <n v="0"/>
    <n v="0"/>
    <n v="0"/>
    <n v="0"/>
    <n v="0"/>
    <n v="0"/>
    <n v="0"/>
    <n v="0"/>
    <n v="0"/>
    <n v="0"/>
    <b v="1"/>
    <n v="100"/>
    <s v="Bunch"/>
    <s v="Mature Stalk"/>
    <s v="Scallion Mature Stalk - Bunch"/>
    <n v="0"/>
    <n v="0"/>
    <n v="0"/>
    <n v="0"/>
    <n v="0"/>
    <n v="0"/>
    <n v="0"/>
    <n v="100"/>
    <n v="0"/>
    <n v="0"/>
    <n v="0"/>
    <n v="0"/>
  </r>
  <r>
    <x v="18"/>
    <x v="36"/>
    <s v="B2"/>
    <n v="50"/>
    <n v="100"/>
    <s v="CIL"/>
    <m/>
    <x v="13"/>
    <x v="16"/>
    <m/>
    <s v="Cruiser High Mowing, Pokey Joe Uprising, Calypso Johnny's"/>
    <n v="412.50000000000006"/>
    <m/>
    <n v="0.25"/>
    <n v="0.5"/>
    <d v="2025-03-26T00:00:00"/>
    <d v="2025-03-26T00:00:00"/>
    <d v="2025-03-28T00:00:00"/>
    <d v="2025-03-28T00:00:00"/>
    <d v="2025-04-25T00:00:00"/>
    <m/>
    <m/>
    <d v="2025-04-27T00:00:00"/>
    <d v="2025-04-20T00:00:00"/>
    <n v="-7"/>
    <x v="4"/>
    <n v="7"/>
    <d v="2025-06-23T00:00:00"/>
    <m/>
    <d v="2025-06-23T00:00:00"/>
    <d v="2025-07-07T00:00:00"/>
    <m/>
    <m/>
    <b v="0"/>
    <m/>
    <d v="2025-07-07T00:00:00"/>
    <b v="1"/>
    <b v="1"/>
    <b v="0"/>
    <b v="0"/>
    <n v="300"/>
    <n v="4.6875"/>
    <n v="87"/>
    <m/>
    <n v="14"/>
    <s v="TP"/>
    <n v="0.25"/>
    <n v="30"/>
    <n v="5"/>
    <n v="6"/>
    <n v="3"/>
    <n v="125"/>
    <s v=""/>
    <n v="88"/>
    <s v="General"/>
    <s v="Su"/>
    <n v="904"/>
    <n v="14"/>
    <s v="Herb"/>
    <n v="1"/>
    <s v="None"/>
    <n v="128"/>
    <n v="30"/>
    <n v="1.07421875"/>
    <n v="0"/>
    <n v="0"/>
    <s v=""/>
    <n v="0"/>
    <n v="0"/>
    <s v=""/>
    <n v="1.1000000000000001"/>
    <n v="0"/>
    <s v="Field"/>
    <s v="Cilantro_x000a_Cilantro Mix_x000a_"/>
    <n v="0"/>
    <n v="0"/>
    <n v="0"/>
    <n v="0"/>
    <n v="0"/>
    <n v="8"/>
    <n v="7"/>
    <n v="0"/>
    <n v="0"/>
    <n v="0"/>
    <n v="0"/>
    <n v="0"/>
    <n v="0"/>
    <n v="0"/>
    <n v="0"/>
    <n v="0"/>
    <n v="0"/>
    <n v="0"/>
    <n v="0"/>
    <n v="0"/>
    <n v="0"/>
    <n v="0"/>
    <n v="0"/>
    <n v="0"/>
    <n v="0"/>
    <n v="0"/>
    <n v="0"/>
    <n v="0"/>
    <n v="0"/>
    <n v="160"/>
    <n v="140"/>
    <n v="0"/>
    <n v="0"/>
    <n v="0"/>
    <n v="0"/>
    <n v="0"/>
    <n v="0"/>
    <n v="0"/>
    <n v="0"/>
    <n v="0"/>
    <n v="0"/>
    <n v="0"/>
    <n v="0"/>
    <n v="0"/>
    <n v="0"/>
    <n v="0"/>
    <n v="0"/>
    <n v="0"/>
    <b v="1"/>
    <n v="100"/>
    <s v="Bunch"/>
    <s v="Loose Leaf"/>
    <s v="Cilantro Loose Leaf - Bunch"/>
    <n v="0"/>
    <n v="0"/>
    <n v="0"/>
    <n v="0"/>
    <n v="0"/>
    <n v="53.333333333333336"/>
    <n v="46.666666666666664"/>
    <n v="0"/>
    <n v="0"/>
    <n v="0"/>
    <n v="0"/>
    <n v="0"/>
  </r>
  <r>
    <x v="31"/>
    <x v="37"/>
    <s v="E3"/>
    <e v="#N/A"/>
    <e v="#N/A"/>
    <s v="ASI"/>
    <s v="Asian Greens"/>
    <x v="19"/>
    <x v="26"/>
    <m/>
    <s v="Carlton F1 Johnny's, Komatsuna High Mowing, Bopak Johnny's, Red Cloud F1 Johnny's"/>
    <n v="554.66666666666663"/>
    <m/>
    <n v="1.6"/>
    <n v="4"/>
    <d v="2025-04-01T00:00:00"/>
    <d v="2025-04-01T00:00:00"/>
    <d v="2025-04-14T00:00:00"/>
    <d v="2025-04-14T00:00:00"/>
    <d v="2025-04-29T00:00:00"/>
    <m/>
    <m/>
    <d v="2025-05-12T00:00:00"/>
    <d v="2025-05-07T00:00:00"/>
    <n v="-5"/>
    <x v="22"/>
    <m/>
    <d v="2025-06-18T00:00:00"/>
    <m/>
    <d v="2025-06-18T00:00:00"/>
    <d v="2025-07-02T00:00:00"/>
    <m/>
    <m/>
    <b v="0"/>
    <m/>
    <d v="2025-07-02T00:00:00"/>
    <b v="1"/>
    <b v="1"/>
    <b v="0"/>
    <b v="0"/>
    <n v="853.33333333333326"/>
    <n v="16.732026143790847"/>
    <n v="65"/>
    <m/>
    <n v="14"/>
    <s v="TP"/>
    <n v="1.6"/>
    <n v="28"/>
    <n v="4"/>
    <n v="9"/>
    <n v="1"/>
    <n v="426.66666666666663"/>
    <s v=""/>
    <n v="10"/>
    <s v="General"/>
    <s v=""/>
    <n v="899"/>
    <n v="14"/>
    <n v="0"/>
    <n v="0"/>
    <n v="0"/>
    <n v="128"/>
    <n v="28"/>
    <n v="4.333333333333333"/>
    <n v="0"/>
    <n v="0"/>
    <s v=""/>
    <n v="0"/>
    <n v="0"/>
    <s v=""/>
    <n v="1.3"/>
    <n v="0"/>
    <s v="Field"/>
    <s v="Asian Greens_x000a_Asian Green Mix_x000a_"/>
    <n v="0"/>
    <n v="0"/>
    <n v="0"/>
    <n v="0"/>
    <n v="0"/>
    <n v="13"/>
    <n v="2"/>
    <n v="0"/>
    <n v="0"/>
    <n v="0"/>
    <n v="0"/>
    <n v="0"/>
    <n v="0"/>
    <n v="0"/>
    <n v="0"/>
    <n v="0"/>
    <n v="0"/>
    <n v="0"/>
    <n v="0"/>
    <n v="0"/>
    <n v="0"/>
    <n v="0"/>
    <n v="0"/>
    <n v="0"/>
    <n v="0"/>
    <n v="0"/>
    <n v="0"/>
    <n v="0"/>
    <n v="0"/>
    <n v="739.55555555555554"/>
    <n v="113.77777777777777"/>
    <n v="0"/>
    <n v="0"/>
    <n v="0"/>
    <n v="0"/>
    <n v="0"/>
    <n v="0"/>
    <n v="0"/>
    <n v="0"/>
    <n v="0"/>
    <n v="0"/>
    <n v="0"/>
    <n v="0"/>
    <n v="0"/>
    <n v="0"/>
    <n v="0"/>
    <n v="0"/>
    <n v="0"/>
    <b v="1"/>
    <n v="213.33333333333331"/>
    <s v="Head"/>
    <s v="Mature Head"/>
    <s v="Asian Greens Mature Head - Head"/>
    <n v="0"/>
    <n v="0"/>
    <n v="0"/>
    <n v="0"/>
    <n v="0"/>
    <n v="184.88888888888889"/>
    <n v="28.444444444444443"/>
    <n v="0"/>
    <n v="0"/>
    <n v="0"/>
    <n v="0"/>
    <n v="0"/>
  </r>
  <r>
    <x v="32"/>
    <x v="38"/>
    <s v="G8"/>
    <n v="25"/>
    <n v="321.42857142857144"/>
    <s v="SUM"/>
    <m/>
    <x v="20"/>
    <x v="27"/>
    <s v="Row 7"/>
    <s v=""/>
    <n v="32.5"/>
    <m/>
    <n v="1"/>
    <n v="1"/>
    <d v="2025-04-01T00:00:00"/>
    <d v="2025-04-01T00:00:00"/>
    <d v="2025-04-16T00:00:00"/>
    <d v="2025-04-16T00:00:00"/>
    <d v="2025-04-29T00:00:00"/>
    <m/>
    <m/>
    <d v="2025-05-14T00:00:00"/>
    <d v="2025-05-19T00:00:00"/>
    <n v="5"/>
    <x v="23"/>
    <m/>
    <d v="2025-06-15T00:00:00"/>
    <m/>
    <d v="2025-06-15T00:00:00"/>
    <d v="2025-09-18T00:00:00"/>
    <m/>
    <m/>
    <b v="1"/>
    <m/>
    <d v="2025-09-18T00:00:00"/>
    <b v="1"/>
    <b v="1"/>
    <b v="0"/>
    <b v="0"/>
    <n v="642.85714285714289"/>
    <n v="5.0618672665916762"/>
    <n v="60"/>
    <m/>
    <n v="95"/>
    <s v="TP"/>
    <n v="1"/>
    <n v="28"/>
    <n v="1"/>
    <n v="24"/>
    <n v="1"/>
    <n v="25"/>
    <s v=""/>
    <n v="307"/>
    <s v="Long Season"/>
    <s v="Su"/>
    <n v="896"/>
    <n v="95"/>
    <s v="Summer Squash"/>
    <n v="3"/>
    <s v="None"/>
    <n v="50"/>
    <n v="28"/>
    <n v="0.65"/>
    <n v="0"/>
    <n v="0"/>
    <s v=""/>
    <n v="0"/>
    <n v="0"/>
    <s v=""/>
    <n v="1.3"/>
    <n v="0"/>
    <s v="Field"/>
    <s v="Summer Squash_x000a_Centercut_x000a_Row 7"/>
    <n v="0"/>
    <n v="0"/>
    <n v="0"/>
    <n v="0"/>
    <n v="0"/>
    <n v="16"/>
    <n v="31"/>
    <n v="31"/>
    <n v="18"/>
    <n v="0"/>
    <n v="0"/>
    <n v="0"/>
    <n v="0"/>
    <n v="0"/>
    <n v="0"/>
    <n v="0"/>
    <n v="0"/>
    <n v="0"/>
    <n v="0"/>
    <n v="0"/>
    <n v="0"/>
    <n v="0"/>
    <n v="0"/>
    <n v="0"/>
    <n v="0"/>
    <n v="0"/>
    <n v="0"/>
    <n v="0"/>
    <n v="0"/>
    <n v="107.14285714285714"/>
    <n v="207.58928571428575"/>
    <n v="207.58928571428575"/>
    <n v="120.53571428571429"/>
    <n v="0"/>
    <n v="0"/>
    <n v="0"/>
    <n v="0"/>
    <n v="0"/>
    <n v="0"/>
    <n v="0"/>
    <n v="0"/>
    <n v="0"/>
    <n v="0"/>
    <n v="0"/>
    <n v="0"/>
    <n v="0"/>
    <n v="0"/>
    <n v="0"/>
    <b v="1"/>
    <n v="321.42857142857144"/>
    <s v="Lb"/>
    <s v="Ripe Fruit"/>
    <s v="Summer Squash Ripe Fruit - Lb"/>
    <n v="0"/>
    <n v="0"/>
    <n v="0"/>
    <n v="0"/>
    <n v="0"/>
    <n v="53.571428571428569"/>
    <n v="103.79464285714288"/>
    <n v="103.79464285714288"/>
    <n v="60.267857142857146"/>
    <n v="0"/>
    <n v="0"/>
    <n v="0"/>
  </r>
  <r>
    <x v="33"/>
    <x v="39"/>
    <s v="F7"/>
    <n v="62.5"/>
    <n v="375"/>
    <s v="SUM"/>
    <m/>
    <x v="20"/>
    <x v="28"/>
    <m/>
    <s v="Costata Romanesco High Mowing, Dunja F1 High Mowing, Zephyr Johnny's, Sunburst Territorial, Y-Star Johnny's, Yellow Crookneck Siskiyou"/>
    <n v="65"/>
    <m/>
    <n v="2"/>
    <n v="2"/>
    <d v="2025-04-01T00:00:00"/>
    <d v="2025-04-01T00:00:00"/>
    <d v="2025-04-16T00:00:00"/>
    <d v="2025-04-16T00:00:00"/>
    <d v="2025-04-29T00:00:00"/>
    <m/>
    <m/>
    <d v="2025-05-14T00:00:00"/>
    <d v="2025-05-23T00:00:00"/>
    <n v="9"/>
    <x v="24"/>
    <m/>
    <d v="2025-06-15T00:00:00"/>
    <m/>
    <d v="2025-06-15T00:00:00"/>
    <d v="2025-08-01T00:00:00"/>
    <m/>
    <m/>
    <b v="1"/>
    <m/>
    <d v="2025-08-01T00:00:00"/>
    <b v="1"/>
    <b v="1"/>
    <b v="0"/>
    <b v="0"/>
    <n v="750"/>
    <n v="9.4936708860759502"/>
    <n v="60"/>
    <m/>
    <n v="47"/>
    <s v="TP"/>
    <n v="2"/>
    <n v="28"/>
    <n v="1"/>
    <n v="24"/>
    <n v="1"/>
    <n v="50"/>
    <s v=""/>
    <n v="309"/>
    <s v="Short Season"/>
    <s v="Su"/>
    <n v="896"/>
    <n v="47"/>
    <s v="Summer Squash"/>
    <n v="3"/>
    <s v="None"/>
    <n v="50"/>
    <n v="28"/>
    <n v="1.3"/>
    <n v="0"/>
    <n v="0"/>
    <s v=""/>
    <n v="0"/>
    <n v="0"/>
    <s v=""/>
    <n v="1.3"/>
    <n v="0"/>
    <s v="Field"/>
    <s v="Summer Squash_x000a_Summer Squash Mix_x000a_"/>
    <n v="0"/>
    <n v="0"/>
    <n v="0"/>
    <n v="0"/>
    <n v="0"/>
    <n v="16"/>
    <n v="31"/>
    <n v="1"/>
    <n v="0"/>
    <n v="0"/>
    <n v="0"/>
    <n v="0"/>
    <n v="0"/>
    <n v="0"/>
    <n v="0"/>
    <n v="0"/>
    <n v="0"/>
    <n v="0"/>
    <n v="0"/>
    <n v="0"/>
    <n v="0"/>
    <n v="0"/>
    <n v="0"/>
    <n v="0"/>
    <n v="0"/>
    <n v="0"/>
    <n v="0"/>
    <n v="0"/>
    <n v="0"/>
    <n v="250"/>
    <n v="484.375"/>
    <n v="15.625"/>
    <n v="0"/>
    <n v="0"/>
    <n v="0"/>
    <n v="0"/>
    <n v="0"/>
    <n v="0"/>
    <n v="0"/>
    <n v="0"/>
    <n v="0"/>
    <n v="0"/>
    <n v="0"/>
    <n v="0"/>
    <n v="0"/>
    <n v="0"/>
    <n v="0"/>
    <n v="0"/>
    <b v="1"/>
    <n v="375"/>
    <s v="Lb"/>
    <s v="Ripe Fruit"/>
    <s v="Summer Squash Ripe Fruit - Lb"/>
    <n v="0"/>
    <n v="0"/>
    <n v="0"/>
    <n v="0"/>
    <n v="0"/>
    <n v="125"/>
    <n v="242.1875"/>
    <n v="7.8125"/>
    <n v="0"/>
    <n v="0"/>
    <n v="0"/>
    <n v="0"/>
  </r>
  <r>
    <x v="34"/>
    <x v="40"/>
    <s v="G4"/>
    <n v="41.714814814814808"/>
    <n v="178.77777777777774"/>
    <s v="LET"/>
    <m/>
    <x v="5"/>
    <x v="5"/>
    <m/>
    <s v="Green Sweet Crisp Johnny's, Intercut Johnny's, Red Sweet Crisp Johnny's, Salanova Red Oak Leaf Johnny's"/>
    <n v="450.66666666666663"/>
    <m/>
    <n v="1"/>
    <n v="1"/>
    <d v="2025-04-01T00:00:00"/>
    <d v="2025-04-01T00:00:00"/>
    <d v="2025-04-16T00:00:00"/>
    <d v="2025-04-16T00:00:00"/>
    <d v="2025-05-01T00:00:00"/>
    <m/>
    <m/>
    <d v="2025-05-16T00:00:00"/>
    <d v="2025-05-12T00:00:00"/>
    <n v="-4"/>
    <x v="25"/>
    <m/>
    <d v="2025-06-25T00:00:00"/>
    <m/>
    <d v="2025-06-25T00:00:00"/>
    <d v="2025-07-22T00:00:00"/>
    <m/>
    <m/>
    <b v="0"/>
    <m/>
    <d v="2025-07-22T00:00:00"/>
    <b v="1"/>
    <b v="1"/>
    <b v="0"/>
    <b v="0"/>
    <n v="1340.833333333333"/>
    <n v="20.012437810945269"/>
    <n v="70"/>
    <m/>
    <n v="27"/>
    <s v="TP"/>
    <n v="1"/>
    <n v="30"/>
    <n v="4"/>
    <n v="9"/>
    <n v="1"/>
    <n v="266.66666666666663"/>
    <s v=""/>
    <n v="192"/>
    <s v="Salanova"/>
    <s v="SuFa"/>
    <n v="906"/>
    <n v="27"/>
    <n v="0"/>
    <n v="0"/>
    <n v="0"/>
    <n v="128"/>
    <n v="30"/>
    <n v="2.708333333333333"/>
    <n v="0"/>
    <n v="0"/>
    <s v=""/>
    <n v="0"/>
    <n v="0"/>
    <s v=""/>
    <n v="1.3"/>
    <n v="0"/>
    <s v="Field"/>
    <s v="Lettuce_x000a_Salanova Mix_x000a_"/>
    <n v="0"/>
    <n v="0"/>
    <n v="0"/>
    <n v="0"/>
    <n v="0"/>
    <n v="6"/>
    <n v="22"/>
    <n v="0"/>
    <n v="0"/>
    <n v="0"/>
    <n v="0"/>
    <n v="0"/>
    <n v="0"/>
    <n v="0"/>
    <n v="0"/>
    <n v="0"/>
    <n v="0"/>
    <n v="0"/>
    <n v="0"/>
    <n v="0"/>
    <n v="0"/>
    <n v="0"/>
    <n v="0"/>
    <n v="0"/>
    <n v="0"/>
    <n v="0"/>
    <n v="0"/>
    <n v="0"/>
    <n v="0"/>
    <n v="287.3214285714285"/>
    <n v="1053.5119047619046"/>
    <n v="0"/>
    <n v="0"/>
    <n v="0"/>
    <n v="0"/>
    <n v="0"/>
    <n v="0"/>
    <n v="0"/>
    <n v="0"/>
    <n v="0"/>
    <n v="0"/>
    <n v="0"/>
    <n v="0"/>
    <n v="0"/>
    <n v="0"/>
    <n v="0"/>
    <n v="0"/>
    <n v="0"/>
    <b v="1"/>
    <n v="134.08333333333331"/>
    <s v="Lb"/>
    <s v="Loose Leaf"/>
    <s v="Lettuce Loose Leaf - Lb"/>
    <n v="0"/>
    <n v="0"/>
    <n v="0"/>
    <n v="0"/>
    <n v="0"/>
    <n v="28.732142857142851"/>
    <n v="105.35119047619045"/>
    <n v="0"/>
    <n v="0"/>
    <n v="0"/>
    <n v="0"/>
    <n v="0"/>
  </r>
  <r>
    <x v="35"/>
    <x v="41"/>
    <s v="A5"/>
    <n v="24.999999999999996"/>
    <n v="357.14285714285705"/>
    <s v="CUC"/>
    <m/>
    <x v="21"/>
    <x v="29"/>
    <m/>
    <s v="Tasty Green High Mowing, Shintokiwa High Mowing"/>
    <n v="32.5"/>
    <m/>
    <n v="0.75"/>
    <n v="0.5"/>
    <d v="2025-04-01T00:00:00"/>
    <d v="2025-04-01T00:00:00"/>
    <d v="2025-04-16T00:00:00"/>
    <d v="2025-04-16T00:00:00"/>
    <d v="2025-05-06T00:00:00"/>
    <m/>
    <m/>
    <d v="2025-05-21T00:00:00"/>
    <d v="2025-05-30T00:00:00"/>
    <n v="9"/>
    <x v="10"/>
    <m/>
    <d v="2025-06-25T00:00:00"/>
    <m/>
    <d v="2025-06-25T00:00:00"/>
    <d v="2025-10-08T00:00:00"/>
    <m/>
    <m/>
    <b v="1"/>
    <m/>
    <d v="2025-10-08T00:00:00"/>
    <b v="1"/>
    <b v="1"/>
    <b v="0"/>
    <b v="0"/>
    <n v="1607.1428571428567"/>
    <n v="11.479591836734691"/>
    <n v="70"/>
    <m/>
    <n v="105"/>
    <s v="TP"/>
    <n v="0.75"/>
    <n v="35"/>
    <n v="1"/>
    <n v="18"/>
    <n v="1"/>
    <n v="24.999999999999996"/>
    <s v=""/>
    <n v="106"/>
    <s v="Asian Long"/>
    <s v=""/>
    <n v="906"/>
    <n v="105"/>
    <s v="Cucumber"/>
    <n v="6"/>
    <n v="0"/>
    <n v="18"/>
    <n v="35"/>
    <n v="1.8055555555555554"/>
    <n v="0"/>
    <n v="0"/>
    <s v=""/>
    <n v="0"/>
    <n v="0"/>
    <s v=""/>
    <n v="1.3"/>
    <n v="0"/>
    <s v="Greenhouse"/>
    <s v="Cucumber_x000a_Asian Cucumber Mix_x000a_"/>
    <n v="0"/>
    <n v="0"/>
    <n v="0"/>
    <n v="0"/>
    <n v="0"/>
    <n v="6"/>
    <n v="31"/>
    <n v="31"/>
    <n v="30"/>
    <n v="8"/>
    <n v="0"/>
    <n v="0"/>
    <n v="0"/>
    <n v="0"/>
    <n v="0"/>
    <n v="0"/>
    <n v="0"/>
    <n v="0"/>
    <n v="0"/>
    <n v="0"/>
    <n v="0"/>
    <n v="0"/>
    <n v="0"/>
    <n v="0"/>
    <n v="0"/>
    <n v="0"/>
    <n v="0"/>
    <n v="0"/>
    <n v="0"/>
    <n v="90.97035040431264"/>
    <n v="470.0134770889486"/>
    <n v="470.0134770889486"/>
    <n v="454.85175202156319"/>
    <n v="121.29380053908352"/>
    <n v="0"/>
    <n v="0"/>
    <n v="0"/>
    <n v="0"/>
    <n v="0"/>
    <n v="0"/>
    <n v="0"/>
    <n v="0"/>
    <n v="0"/>
    <n v="0"/>
    <n v="0"/>
    <n v="0"/>
    <n v="0"/>
    <n v="0"/>
    <b v="1"/>
    <n v="714.28571428571411"/>
    <s v="Fruit"/>
    <s v="Large Fruit"/>
    <s v="Cucumber Large Fruit - Fruit"/>
    <n v="0"/>
    <n v="0"/>
    <n v="0"/>
    <n v="0"/>
    <n v="0"/>
    <n v="40.431266846361176"/>
    <n v="208.89487870619939"/>
    <n v="208.89487870619939"/>
    <n v="202.15633423180589"/>
    <n v="53.908355795148232"/>
    <n v="0"/>
    <n v="0"/>
  </r>
  <r>
    <x v="36"/>
    <x v="42"/>
    <s v="A4"/>
    <n v="12.5"/>
    <n v="178.57142857142856"/>
    <s v="CUC"/>
    <m/>
    <x v="21"/>
    <x v="30"/>
    <m/>
    <s v="Manny High Mowing, Katrina Osborne"/>
    <n v="16.25"/>
    <m/>
    <n v="0.25"/>
    <n v="0.5"/>
    <d v="2025-04-01T00:00:00"/>
    <d v="2025-04-01T00:00:00"/>
    <d v="2025-04-16T00:00:00"/>
    <d v="2025-04-16T00:00:00"/>
    <d v="2025-05-06T00:00:00"/>
    <m/>
    <m/>
    <d v="2025-05-21T00:00:00"/>
    <d v="2025-05-30T00:00:00"/>
    <n v="9"/>
    <x v="10"/>
    <m/>
    <d v="2025-06-25T00:00:00"/>
    <m/>
    <d v="2025-06-25T00:00:00"/>
    <d v="2025-10-08T00:00:00"/>
    <m/>
    <m/>
    <b v="1"/>
    <m/>
    <d v="2025-10-08T00:00:00"/>
    <b v="1"/>
    <b v="1"/>
    <b v="0"/>
    <b v="0"/>
    <n v="714.28571428571422"/>
    <n v="5.1020408163265305"/>
    <n v="70"/>
    <m/>
    <n v="105"/>
    <s v="TP"/>
    <n v="0.25"/>
    <n v="35"/>
    <n v="1"/>
    <n v="12"/>
    <n v="1"/>
    <n v="12.5"/>
    <s v=""/>
    <n v="109"/>
    <s v="Lebanese"/>
    <s v=""/>
    <n v="906"/>
    <n v="105"/>
    <n v="0"/>
    <n v="0"/>
    <n v="0"/>
    <n v="18"/>
    <n v="35"/>
    <n v="0.90277777777777779"/>
    <n v="0"/>
    <n v="0"/>
    <s v=""/>
    <n v="0"/>
    <n v="0"/>
    <s v=""/>
    <n v="1.3"/>
    <n v="0"/>
    <s v="Greenhouse"/>
    <s v="Cucumber_x000a_Lebanese Cucumber Mix_x000a_"/>
    <n v="0"/>
    <n v="0"/>
    <n v="0"/>
    <n v="0"/>
    <n v="0"/>
    <n v="6"/>
    <n v="31"/>
    <n v="31"/>
    <n v="30"/>
    <n v="8"/>
    <n v="0"/>
    <n v="0"/>
    <n v="0"/>
    <n v="0"/>
    <n v="0"/>
    <n v="0"/>
    <n v="0"/>
    <n v="0"/>
    <n v="0"/>
    <n v="0"/>
    <n v="0"/>
    <n v="0"/>
    <n v="0"/>
    <n v="0"/>
    <n v="0"/>
    <n v="0"/>
    <n v="0"/>
    <n v="0"/>
    <n v="0"/>
    <n v="40.431266846361183"/>
    <n v="208.89487870619942"/>
    <n v="208.89487870619942"/>
    <n v="202.15633423180591"/>
    <n v="53.908355795148239"/>
    <n v="0"/>
    <n v="0"/>
    <n v="0"/>
    <n v="0"/>
    <n v="0"/>
    <n v="0"/>
    <n v="0"/>
    <n v="0"/>
    <n v="0"/>
    <n v="0"/>
    <n v="0"/>
    <n v="0"/>
    <n v="0"/>
    <n v="0"/>
    <b v="1"/>
    <n v="714.28571428571422"/>
    <s v="Fruit"/>
    <s v="Small Fruit"/>
    <s v="Cucumber Small Fruit - Fruit"/>
    <n v="0"/>
    <n v="0"/>
    <n v="0"/>
    <n v="0"/>
    <n v="0"/>
    <n v="40.431266846361183"/>
    <n v="208.89487870619942"/>
    <n v="208.89487870619942"/>
    <n v="202.15633423180591"/>
    <n v="53.908355795148239"/>
    <n v="0"/>
    <n v="0"/>
  </r>
  <r>
    <x v="37"/>
    <x v="43"/>
    <s v="A4"/>
    <n v="3.125"/>
    <n v="25"/>
    <s v="BAS"/>
    <m/>
    <x v="22"/>
    <x v="31"/>
    <m/>
    <s v="Prospera® Active Thai-Thai F1 Basil Johnny's, Golden Mountain Sweet Thai Adaptive, Italian Large Leaf Uprising, Prospera F1 High Mowing, Zanzico Wild Garden"/>
    <n v="65"/>
    <m/>
    <n v="1"/>
    <n v="1"/>
    <d v="2025-04-01T00:00:00"/>
    <d v="2025-04-01T00:00:00"/>
    <d v="2025-04-16T00:00:00"/>
    <d v="2025-04-16T00:00:00"/>
    <d v="2025-05-11T00:00:00"/>
    <m/>
    <m/>
    <d v="2025-05-26T00:00:00"/>
    <s v="X"/>
    <e v="#VALUE!"/>
    <x v="26"/>
    <m/>
    <d v="2025-07-20T00:00:00"/>
    <m/>
    <d v="2025-07-20T00:00:00"/>
    <d v="2025-09-07T00:00:00"/>
    <m/>
    <m/>
    <b v="1"/>
    <m/>
    <d v="2025-09-07T00:00:00"/>
    <b v="1"/>
    <b v="0"/>
    <b v="0"/>
    <b v="0"/>
    <n v="81.25"/>
    <n v="0.78125"/>
    <n v="95"/>
    <m/>
    <n v="49"/>
    <s v="TP"/>
    <n v="1"/>
    <n v="40"/>
    <n v="1"/>
    <n v="12"/>
    <n v="1"/>
    <n v="50"/>
    <s v=""/>
    <n v="16"/>
    <s v="Interplant"/>
    <s v="SpSuOw"/>
    <n v="931"/>
    <n v="49"/>
    <s v="Herb"/>
    <n v="2"/>
    <s v="None"/>
    <n v="128"/>
    <n v="40"/>
    <n v="0.5078125"/>
    <n v="0"/>
    <n v="0"/>
    <s v=""/>
    <n v="0"/>
    <n v="0"/>
    <s v=""/>
    <n v="1.3"/>
    <n v="10"/>
    <s v="Tunnel"/>
    <s v="Basil_x000a_Basil Mix_x000a_"/>
    <n v="0"/>
    <n v="0"/>
    <n v="0"/>
    <n v="0"/>
    <n v="0"/>
    <n v="0"/>
    <n v="12"/>
    <n v="31"/>
    <n v="7"/>
    <n v="0"/>
    <n v="0"/>
    <n v="0"/>
    <n v="0"/>
    <n v="0"/>
    <n v="0"/>
    <n v="0"/>
    <n v="0"/>
    <n v="0"/>
    <n v="0"/>
    <n v="0"/>
    <n v="0"/>
    <n v="0"/>
    <n v="0"/>
    <n v="0"/>
    <n v="0"/>
    <n v="0"/>
    <n v="0"/>
    <n v="0"/>
    <n v="0"/>
    <n v="0"/>
    <n v="19.5"/>
    <n v="50.375"/>
    <n v="11.375000000000002"/>
    <n v="0"/>
    <n v="0"/>
    <n v="0"/>
    <n v="0"/>
    <n v="0"/>
    <n v="0"/>
    <n v="0"/>
    <n v="0"/>
    <n v="0"/>
    <n v="0"/>
    <n v="0"/>
    <n v="0"/>
    <n v="0"/>
    <n v="0"/>
    <n v="0"/>
    <b v="1"/>
    <n v="25"/>
    <s v="Bunch"/>
    <s v="Mature Leaf"/>
    <s v="Basil Mature Leaf - Bunch"/>
    <n v="0"/>
    <n v="0"/>
    <n v="0"/>
    <n v="0"/>
    <n v="0"/>
    <n v="0"/>
    <n v="6"/>
    <n v="15.5"/>
    <n v="3.5000000000000004"/>
    <n v="0"/>
    <n v="0"/>
    <n v="0"/>
  </r>
  <r>
    <x v="38"/>
    <x v="44"/>
    <s v="A6"/>
    <n v="11.428571428571429"/>
    <n v="160"/>
    <s v="GOO"/>
    <m/>
    <x v="23"/>
    <x v="32"/>
    <s v="Garden Hoard"/>
    <s v=""/>
    <n v="13"/>
    <m/>
    <n v="0.5"/>
    <n v="0.5"/>
    <d v="2025-04-01T00:00:00"/>
    <d v="2025-04-01T00:00:00"/>
    <m/>
    <d v="2025-04-01T00:00:00"/>
    <d v="2025-05-24T00:00:00"/>
    <m/>
    <m/>
    <d v="2025-05-24T00:00:00"/>
    <d v="2025-01-01T00:00:00"/>
    <n v="-143"/>
    <x v="27"/>
    <m/>
    <d v="2025-09-06T00:00:00"/>
    <m/>
    <d v="2025-09-06T00:00:00"/>
    <d v="2025-12-13T00:00:00"/>
    <m/>
    <m/>
    <b v="0"/>
    <m/>
    <d v="2025-12-13T00:00:00"/>
    <b v="1"/>
    <b v="1"/>
    <b v="0"/>
    <b v="0"/>
    <n v="640"/>
    <n v="3.1527093596059115"/>
    <n v="158"/>
    <m/>
    <n v="98"/>
    <s v="TP"/>
    <n v="0.5"/>
    <n v="53"/>
    <n v="1"/>
    <n v="30"/>
    <n v="1"/>
    <n v="10"/>
    <s v=""/>
    <n v="140"/>
    <s v="Cape"/>
    <s v=""/>
    <n v="979"/>
    <n v="98"/>
    <n v="0"/>
    <n v="0"/>
    <n v="0"/>
    <n v="72"/>
    <n v="21"/>
    <n v="0.18055555555555558"/>
    <n v="21"/>
    <n v="18"/>
    <n v="0.61904761904761907"/>
    <n v="9"/>
    <n v="14"/>
    <n v="1.4444444444444446"/>
    <n v="1.3"/>
    <n v="0"/>
    <s v="Field"/>
    <s v="Gooseberry_x000a_Peruvian Ground Cherry_x000a_Garden Hoard"/>
    <n v="0"/>
    <n v="0"/>
    <n v="0"/>
    <n v="0"/>
    <n v="0"/>
    <n v="0"/>
    <n v="0"/>
    <n v="0"/>
    <n v="25"/>
    <n v="31"/>
    <n v="30"/>
    <n v="13"/>
    <n v="0"/>
    <n v="0"/>
    <n v="0"/>
    <n v="0"/>
    <n v="0"/>
    <n v="0"/>
    <n v="0"/>
    <n v="0"/>
    <n v="0"/>
    <n v="0"/>
    <n v="0"/>
    <n v="0"/>
    <n v="0"/>
    <n v="0"/>
    <n v="0"/>
    <n v="0"/>
    <n v="0"/>
    <n v="0"/>
    <n v="0"/>
    <n v="0"/>
    <n v="161.61616161616163"/>
    <n v="200.40404040404042"/>
    <n v="193.93939393939394"/>
    <n v="84.040404040404042"/>
    <n v="0"/>
    <n v="0"/>
    <n v="0"/>
    <n v="0"/>
    <n v="0"/>
    <n v="0"/>
    <n v="0"/>
    <n v="0"/>
    <n v="0"/>
    <n v="0"/>
    <n v="0"/>
    <n v="0"/>
    <b v="1"/>
    <n v="80"/>
    <s v="Pint"/>
    <s v="Mature Berry"/>
    <s v="Gooseberry Mature Berry - Pint"/>
    <n v="0"/>
    <n v="0"/>
    <n v="0"/>
    <n v="0"/>
    <n v="0"/>
    <n v="0"/>
    <n v="0"/>
    <n v="0"/>
    <n v="20.202020202020204"/>
    <n v="25.050505050505052"/>
    <n v="24.242424242424242"/>
    <n v="10.505050505050505"/>
  </r>
  <r>
    <x v="39"/>
    <x v="45"/>
    <s v="G2"/>
    <n v="133.33333333333331"/>
    <n v="533.33333333333326"/>
    <s v="LEE"/>
    <m/>
    <x v="24"/>
    <x v="33"/>
    <m/>
    <s v="King Richard Johnny's, Lancia Osborne, Chinook OG Territorial"/>
    <n v="3466.6666666666661"/>
    <m/>
    <n v="2"/>
    <n v="2"/>
    <d v="2025-04-01T00:00:00"/>
    <d v="2025-04-01T00:00:00"/>
    <d v="2025-04-15T00:00:00"/>
    <d v="2025-04-15T00:00:00"/>
    <d v="2025-05-31T00:00:00"/>
    <m/>
    <m/>
    <d v="2025-06-14T00:00:00"/>
    <s v="X"/>
    <e v="#VALUE!"/>
    <x v="28"/>
    <m/>
    <d v="2025-09-04T00:00:00"/>
    <m/>
    <d v="2025-09-04T00:00:00"/>
    <d v="2025-10-02T00:00:00"/>
    <m/>
    <m/>
    <b v="0"/>
    <m/>
    <d v="2025-10-02T00:00:00"/>
    <b v="1"/>
    <b v="0"/>
    <b v="0"/>
    <b v="0"/>
    <n v="2666.6666666666661"/>
    <n v="24.242424242424239"/>
    <n v="142"/>
    <m/>
    <n v="28"/>
    <s v="TP"/>
    <n v="2"/>
    <n v="60"/>
    <n v="4"/>
    <n v="9"/>
    <n v="5"/>
    <n v="533.33333333333326"/>
    <s v=""/>
    <n v="169"/>
    <s v="General"/>
    <s v="Su"/>
    <n v="977"/>
    <n v="28"/>
    <n v="0"/>
    <n v="0"/>
    <n v="0"/>
    <n v="400"/>
    <n v="60"/>
    <n v="1.7333333333333329"/>
    <n v="0"/>
    <n v="0"/>
    <s v=""/>
    <n v="0"/>
    <n v="0"/>
    <s v=""/>
    <n v="1.3"/>
    <n v="0"/>
    <s v="Field"/>
    <s v="Leek_x000a_Summer Leek Mix_x000a_"/>
    <n v="0"/>
    <n v="0"/>
    <n v="0"/>
    <n v="0"/>
    <n v="0"/>
    <n v="0"/>
    <n v="0"/>
    <n v="0"/>
    <n v="27"/>
    <n v="2"/>
    <n v="0"/>
    <n v="0"/>
    <n v="0"/>
    <n v="0"/>
    <n v="0"/>
    <n v="0"/>
    <n v="0"/>
    <n v="0"/>
    <n v="0"/>
    <n v="0"/>
    <n v="0"/>
    <n v="0"/>
    <n v="0"/>
    <n v="0"/>
    <n v="0"/>
    <n v="0"/>
    <n v="0"/>
    <n v="0"/>
    <n v="0"/>
    <n v="0"/>
    <n v="0"/>
    <n v="0"/>
    <n v="2482.7586206896544"/>
    <n v="183.90804597701145"/>
    <n v="0"/>
    <n v="0"/>
    <n v="0"/>
    <n v="0"/>
    <n v="0"/>
    <n v="0"/>
    <n v="0"/>
    <n v="0"/>
    <n v="0"/>
    <n v="0"/>
    <n v="0"/>
    <n v="0"/>
    <n v="0"/>
    <n v="0"/>
    <b v="1"/>
    <n v="533.33333333333326"/>
    <s v="Bunch"/>
    <s v="Mature Stalk"/>
    <s v="Leek Mature Stalk - Bunch"/>
    <n v="0"/>
    <n v="0"/>
    <n v="0"/>
    <n v="0"/>
    <n v="0"/>
    <n v="0"/>
    <n v="0"/>
    <n v="0"/>
    <n v="496.55172413793093"/>
    <n v="36.781609195402297"/>
    <n v="0"/>
    <n v="0"/>
  </r>
  <r>
    <x v="20"/>
    <x v="46"/>
    <s v="E1"/>
    <n v="53.333333333333329"/>
    <n v="106.66666666666666"/>
    <s v="LET"/>
    <m/>
    <x v="5"/>
    <x v="34"/>
    <s v="High Mowing"/>
    <s v=""/>
    <n v="180.26666666666665"/>
    <m/>
    <n v="0.4"/>
    <n v="1"/>
    <d v="2025-04-02T00:00:00"/>
    <d v="2025-04-02T00:00:00"/>
    <d v="2025-04-16T00:00:00"/>
    <d v="2025-04-16T00:00:00"/>
    <d v="2025-05-02T00:00:00"/>
    <m/>
    <m/>
    <d v="2025-05-16T00:00:00"/>
    <d v="2025-05-10T00:00:00"/>
    <n v="-6"/>
    <x v="13"/>
    <n v="-7"/>
    <d v="2025-07-13T00:00:00"/>
    <m/>
    <d v="2025-07-13T00:00:00"/>
    <d v="2025-07-27T00:00:00"/>
    <m/>
    <m/>
    <b v="0"/>
    <m/>
    <d v="2025-07-27T00:00:00"/>
    <b v="1"/>
    <b v="1"/>
    <b v="0"/>
    <b v="0"/>
    <n v="426.66666666666663"/>
    <n v="5.4008438818565399"/>
    <n v="88"/>
    <m/>
    <n v="14"/>
    <s v="TP"/>
    <n v="0.4"/>
    <n v="30"/>
    <n v="4"/>
    <n v="9"/>
    <n v="1"/>
    <n v="106.66666666666666"/>
    <s v=""/>
    <n v="174"/>
    <s v="4x9"/>
    <s v="Sp"/>
    <n v="924"/>
    <n v="14"/>
    <s v="Green"/>
    <n v="1"/>
    <s v="None"/>
    <n v="128"/>
    <n v="30"/>
    <n v="1.0833333333333333"/>
    <n v="0"/>
    <n v="0"/>
    <s v=""/>
    <n v="0"/>
    <n v="0"/>
    <s v=""/>
    <n v="1.3"/>
    <n v="0"/>
    <s v="Field"/>
    <s v="Lettuce_x000a_Rouge D'Hiver_x000a_High Mowing"/>
    <n v="0"/>
    <n v="0"/>
    <n v="0"/>
    <n v="0"/>
    <n v="0"/>
    <n v="0"/>
    <n v="15"/>
    <n v="0"/>
    <n v="0"/>
    <n v="0"/>
    <n v="0"/>
    <n v="0"/>
    <n v="0"/>
    <n v="0"/>
    <n v="0"/>
    <n v="0"/>
    <n v="0"/>
    <n v="0"/>
    <n v="0"/>
    <n v="0"/>
    <n v="0"/>
    <n v="0"/>
    <n v="0"/>
    <n v="0"/>
    <n v="0"/>
    <n v="0"/>
    <n v="0"/>
    <n v="0"/>
    <n v="0"/>
    <n v="0"/>
    <n v="426.66666666666663"/>
    <n v="0"/>
    <n v="0"/>
    <n v="0"/>
    <n v="0"/>
    <n v="0"/>
    <n v="0"/>
    <n v="0"/>
    <n v="0"/>
    <n v="0"/>
    <n v="0"/>
    <n v="0"/>
    <n v="0"/>
    <n v="0"/>
    <n v="0"/>
    <n v="0"/>
    <n v="0"/>
    <n v="0"/>
    <b v="1"/>
    <n v="106.66666666666666"/>
    <s v="Head"/>
    <s v="Mature Head"/>
    <s v="Lettuce Mature Head - Head"/>
    <n v="0"/>
    <n v="0"/>
    <n v="0"/>
    <n v="0"/>
    <n v="0"/>
    <n v="0"/>
    <n v="106.66666666666666"/>
    <n v="0"/>
    <n v="0"/>
    <n v="0"/>
    <n v="0"/>
    <n v="0"/>
  </r>
  <r>
    <x v="40"/>
    <x v="47"/>
    <s v="U3"/>
    <n v="222.22222222222226"/>
    <n v="3111.1111111111113"/>
    <s v="TOM"/>
    <m/>
    <x v="11"/>
    <x v="35"/>
    <m/>
    <s v="42-Day A H Whaley, Early Cherry Territorial, Cherry Falls A P Whaley, Washington Cherry Johnny's, Dynamite Delight Wild Board Farm, Emerald Flame Wild Board Farm, Limelight Wild Board Farm, Golden Hour Wild Board Farm"/>
    <n v="260"/>
    <m/>
    <n v="8"/>
    <n v="1"/>
    <d v="2025-04-05T00:00:00"/>
    <d v="2025-04-05T00:00:00"/>
    <d v="2025-04-16T00:00:00"/>
    <d v="2025-04-16T00:00:00"/>
    <d v="2025-05-31T00:00:00"/>
    <m/>
    <m/>
    <d v="2025-06-11T00:00:00"/>
    <s v="X"/>
    <e v="#VALUE!"/>
    <x v="29"/>
    <m/>
    <d v="2025-08-20T00:00:00"/>
    <m/>
    <d v="2025-08-20T00:00:00"/>
    <d v="2025-11-26T00:00:00"/>
    <m/>
    <m/>
    <b v="1"/>
    <m/>
    <d v="2025-11-26T00:00:00"/>
    <b v="1"/>
    <b v="0"/>
    <b v="0"/>
    <b v="0"/>
    <n v="16333.333333333334"/>
    <n v="97.222222222222229"/>
    <n v="126"/>
    <m/>
    <n v="98"/>
    <s v="TP"/>
    <n v="8"/>
    <n v="56"/>
    <n v="1"/>
    <n v="24"/>
    <n v="1"/>
    <n v="200"/>
    <s v="DR"/>
    <n v="325"/>
    <s v="Cherry Det"/>
    <s v="Su"/>
    <n v="962"/>
    <n v="98"/>
    <s v="Tomato"/>
    <n v="5"/>
    <s v="Young"/>
    <n v="72"/>
    <n v="21"/>
    <n v="3.6111111111111112"/>
    <n v="18"/>
    <n v="21"/>
    <n v="14.444444444444445"/>
    <n v="9"/>
    <n v="14"/>
    <n v="28.888888888888889"/>
    <n v="1.3"/>
    <n v="0"/>
    <s v="Field"/>
    <s v="Tomato_x000a_Determinate Cherry Mix_x000a_"/>
    <n v="0"/>
    <n v="0"/>
    <n v="0"/>
    <n v="0"/>
    <n v="0"/>
    <n v="0"/>
    <n v="0"/>
    <n v="12"/>
    <n v="30"/>
    <n v="31"/>
    <n v="26"/>
    <n v="0"/>
    <n v="0"/>
    <n v="0"/>
    <n v="0"/>
    <n v="0"/>
    <n v="0"/>
    <n v="0"/>
    <n v="0"/>
    <n v="0"/>
    <n v="0"/>
    <n v="0"/>
    <n v="0"/>
    <n v="0"/>
    <n v="0"/>
    <n v="0"/>
    <n v="0"/>
    <n v="0"/>
    <n v="0"/>
    <n v="0"/>
    <n v="0"/>
    <n v="1979.7979797979799"/>
    <n v="4949.4949494949497"/>
    <n v="5114.4781144781145"/>
    <n v="4289.5622895622901"/>
    <n v="0"/>
    <n v="0"/>
    <n v="0"/>
    <n v="0"/>
    <n v="0"/>
    <n v="0"/>
    <n v="0"/>
    <n v="0"/>
    <n v="0"/>
    <n v="0"/>
    <n v="0"/>
    <n v="0"/>
    <n v="0"/>
    <b v="1"/>
    <n v="2333.3333333333335"/>
    <s v="Lb"/>
    <s v="Ripe Fruit Small"/>
    <s v="Tomato Ripe Fruit Small - Lb"/>
    <n v="0"/>
    <n v="0"/>
    <n v="0"/>
    <n v="0"/>
    <n v="0"/>
    <n v="0"/>
    <n v="0"/>
    <n v="282.82828282828285"/>
    <n v="707.07070707070716"/>
    <n v="730.63973063973071"/>
    <n v="612.79461279461293"/>
    <n v="0"/>
  </r>
  <r>
    <x v="40"/>
    <x v="48"/>
    <s v="X1"/>
    <n v="27.777777777777782"/>
    <n v="388.88888888888891"/>
    <s v="TOM"/>
    <m/>
    <x v="11"/>
    <x v="35"/>
    <m/>
    <s v="42-Day A H Whaley, Early Cherry Territorial, Cherry Falls A P Whaley, Washington Cherry Johnny's, Dynamite Delight Wild Board Farm, Emerald Flame Wild Board Farm, Limelight Wild Board Farm, Golden Hour Wild Board Farm"/>
    <n v="32.5"/>
    <m/>
    <n v="1"/>
    <n v="1"/>
    <d v="2025-04-05T00:00:00"/>
    <d v="2025-04-05T00:00:00"/>
    <d v="2025-04-16T00:00:00"/>
    <d v="2025-04-16T00:00:00"/>
    <d v="2025-05-31T00:00:00"/>
    <m/>
    <m/>
    <d v="2025-06-11T00:00:00"/>
    <d v="2025-06-07T00:00:00"/>
    <n v="-4"/>
    <x v="17"/>
    <m/>
    <d v="2025-08-20T00:00:00"/>
    <m/>
    <d v="2025-08-20T00:00:00"/>
    <d v="2025-11-26T00:00:00"/>
    <m/>
    <m/>
    <b v="1"/>
    <m/>
    <d v="2025-11-26T00:00:00"/>
    <b v="1"/>
    <b v="1"/>
    <b v="0"/>
    <b v="0"/>
    <n v="2041.6666666666667"/>
    <n v="12.152777777777779"/>
    <n v="126"/>
    <m/>
    <n v="98"/>
    <s v="TP"/>
    <n v="1"/>
    <n v="56"/>
    <n v="1"/>
    <n v="24"/>
    <n v="1"/>
    <n v="25"/>
    <s v="DR"/>
    <n v="325"/>
    <s v="Cherry Det"/>
    <s v="Su"/>
    <n v="962"/>
    <n v="98"/>
    <s v="Tomato"/>
    <n v="5"/>
    <s v="Young"/>
    <n v="72"/>
    <n v="21"/>
    <n v="0.4513888888888889"/>
    <n v="18"/>
    <n v="21"/>
    <n v="1.8055555555555556"/>
    <n v="9"/>
    <n v="14"/>
    <n v="3.6111111111111112"/>
    <n v="1.3"/>
    <n v="0"/>
    <s v="Field"/>
    <s v="Tomato_x000a_Determinate Cherry Mix_x000a_"/>
    <n v="0"/>
    <n v="0"/>
    <n v="0"/>
    <n v="0"/>
    <n v="0"/>
    <n v="0"/>
    <n v="0"/>
    <n v="12"/>
    <n v="30"/>
    <n v="31"/>
    <n v="26"/>
    <n v="0"/>
    <n v="0"/>
    <n v="0"/>
    <n v="0"/>
    <n v="0"/>
    <n v="0"/>
    <n v="0"/>
    <n v="0"/>
    <n v="0"/>
    <n v="0"/>
    <n v="0"/>
    <n v="0"/>
    <n v="0"/>
    <n v="0"/>
    <n v="0"/>
    <n v="0"/>
    <n v="0"/>
    <n v="0"/>
    <n v="0"/>
    <n v="0"/>
    <n v="247.47474747474749"/>
    <n v="618.68686868686871"/>
    <n v="639.30976430976432"/>
    <n v="536.19528619528626"/>
    <n v="0"/>
    <n v="0"/>
    <n v="0"/>
    <n v="0"/>
    <n v="0"/>
    <n v="0"/>
    <n v="0"/>
    <n v="0"/>
    <n v="0"/>
    <n v="0"/>
    <n v="0"/>
    <n v="0"/>
    <n v="0"/>
    <b v="1"/>
    <n v="291.66666666666669"/>
    <s v="Lb"/>
    <s v="Ripe Fruit Small"/>
    <s v="Tomato Ripe Fruit Small - Lb"/>
    <n v="0"/>
    <n v="0"/>
    <n v="0"/>
    <n v="0"/>
    <n v="0"/>
    <n v="0"/>
    <n v="0"/>
    <n v="35.353535353535356"/>
    <n v="88.383838383838395"/>
    <n v="91.329966329966339"/>
    <n v="76.599326599326616"/>
    <n v="0"/>
  </r>
  <r>
    <x v="41"/>
    <x v="49"/>
    <s v="U4"/>
    <n v="355.5555555555556"/>
    <n v="3200"/>
    <s v="TOM"/>
    <m/>
    <x v="11"/>
    <x v="36"/>
    <m/>
    <s v="Red Racer Harris, Orange You Glad Adaptive, Banana Legs Tomato Fest, Cream Sausage Tomato Fest, Sean's Yellow Dwarf Tomato Fest"/>
    <n v="260"/>
    <m/>
    <n v="8"/>
    <n v="1"/>
    <d v="2025-04-05T00:00:00"/>
    <d v="2025-04-05T00:00:00"/>
    <d v="2025-04-16T00:00:00"/>
    <d v="2025-04-16T00:00:00"/>
    <d v="2025-05-31T00:00:00"/>
    <m/>
    <m/>
    <d v="2025-06-11T00:00:00"/>
    <s v="X"/>
    <e v="#VALUE!"/>
    <x v="29"/>
    <m/>
    <d v="2025-09-09T00:00:00"/>
    <m/>
    <d v="2025-09-09T00:00:00"/>
    <d v="2025-11-11T00:00:00"/>
    <m/>
    <m/>
    <b v="0"/>
    <m/>
    <d v="2025-11-11T00:00:00"/>
    <b v="1"/>
    <b v="0"/>
    <b v="0"/>
    <b v="0"/>
    <n v="16800"/>
    <n v="109.80392156862744"/>
    <n v="146"/>
    <m/>
    <n v="63"/>
    <s v="TP"/>
    <n v="8"/>
    <n v="56"/>
    <n v="1"/>
    <n v="24"/>
    <n v="1"/>
    <n v="200"/>
    <s v="DR"/>
    <n v="328"/>
    <s v="Medium Det"/>
    <s v="Su"/>
    <n v="982"/>
    <n v="63"/>
    <s v="Tomato"/>
    <n v="5"/>
    <s v="Young"/>
    <n v="72"/>
    <n v="21"/>
    <n v="3.6111111111111112"/>
    <n v="18"/>
    <n v="21"/>
    <n v="14.444444444444445"/>
    <n v="9"/>
    <n v="14"/>
    <n v="28.888888888888889"/>
    <n v="1.3"/>
    <n v="0"/>
    <s v="Field"/>
    <s v="Tomato_x000a_Determinate Medium Mix_x000a_"/>
    <n v="0"/>
    <n v="0"/>
    <n v="0"/>
    <n v="0"/>
    <n v="0"/>
    <n v="0"/>
    <n v="0"/>
    <n v="0"/>
    <n v="22"/>
    <n v="31"/>
    <n v="11"/>
    <n v="0"/>
    <n v="0"/>
    <n v="0"/>
    <n v="0"/>
    <n v="0"/>
    <n v="0"/>
    <n v="0"/>
    <n v="0"/>
    <n v="0"/>
    <n v="0"/>
    <n v="0"/>
    <n v="0"/>
    <n v="0"/>
    <n v="0"/>
    <n v="0"/>
    <n v="0"/>
    <n v="0"/>
    <n v="0"/>
    <n v="0"/>
    <n v="0"/>
    <n v="0"/>
    <n v="5775"/>
    <n v="8137.5"/>
    <n v="2887.5"/>
    <n v="0"/>
    <n v="0"/>
    <n v="0"/>
    <n v="0"/>
    <n v="0"/>
    <n v="0"/>
    <n v="0"/>
    <n v="0"/>
    <n v="0"/>
    <n v="0"/>
    <n v="0"/>
    <n v="0"/>
    <n v="0"/>
    <b v="1"/>
    <n v="2400"/>
    <s v="Lb"/>
    <s v="Ripe Fruit Medium"/>
    <s v="Tomato Ripe Fruit Medium - Lb"/>
    <n v="0"/>
    <n v="0"/>
    <n v="0"/>
    <n v="0"/>
    <n v="0"/>
    <n v="0"/>
    <n v="0"/>
    <n v="0"/>
    <n v="825"/>
    <n v="1162.5"/>
    <n v="412.5"/>
    <n v="0"/>
  </r>
  <r>
    <x v="41"/>
    <x v="50"/>
    <s v="X4"/>
    <n v="44.44444444444445"/>
    <n v="400"/>
    <s v="TOM"/>
    <m/>
    <x v="11"/>
    <x v="36"/>
    <m/>
    <s v="Red Racer Harris, Orange You Glad Adaptive, Banana Legs Tomato Fest, Cream Sausage Tomato Fest, Sean's Yellow Dwarf Tomato Fest"/>
    <n v="32.5"/>
    <m/>
    <n v="1"/>
    <n v="1"/>
    <d v="2025-04-05T00:00:00"/>
    <d v="2025-04-05T00:00:00"/>
    <d v="2025-04-16T00:00:00"/>
    <d v="2025-04-16T00:00:00"/>
    <d v="2025-05-31T00:00:00"/>
    <m/>
    <m/>
    <d v="2025-06-11T00:00:00"/>
    <d v="2025-06-07T00:00:00"/>
    <n v="-4"/>
    <x v="17"/>
    <m/>
    <d v="2025-09-09T00:00:00"/>
    <m/>
    <d v="2025-09-09T00:00:00"/>
    <d v="2025-11-11T00:00:00"/>
    <m/>
    <m/>
    <b v="0"/>
    <m/>
    <d v="2025-11-11T00:00:00"/>
    <b v="1"/>
    <b v="1"/>
    <b v="0"/>
    <b v="0"/>
    <n v="2100"/>
    <n v="13.725490196078431"/>
    <n v="146"/>
    <m/>
    <n v="63"/>
    <s v="TP"/>
    <n v="1"/>
    <n v="56"/>
    <n v="1"/>
    <n v="24"/>
    <n v="1"/>
    <n v="25"/>
    <s v="DR"/>
    <n v="328"/>
    <s v="Medium Det"/>
    <s v="Su"/>
    <n v="982"/>
    <n v="63"/>
    <s v="Tomato"/>
    <n v="5"/>
    <s v="Young"/>
    <n v="72"/>
    <n v="21"/>
    <n v="0.4513888888888889"/>
    <n v="18"/>
    <n v="21"/>
    <n v="1.8055555555555556"/>
    <n v="9"/>
    <n v="14"/>
    <n v="3.6111111111111112"/>
    <n v="1.3"/>
    <n v="0"/>
    <s v="Field"/>
    <s v="Tomato_x000a_Determinate Medium Mix_x000a_"/>
    <n v="0"/>
    <n v="0"/>
    <n v="0"/>
    <n v="0"/>
    <n v="0"/>
    <n v="0"/>
    <n v="0"/>
    <n v="0"/>
    <n v="22"/>
    <n v="31"/>
    <n v="11"/>
    <n v="0"/>
    <n v="0"/>
    <n v="0"/>
    <n v="0"/>
    <n v="0"/>
    <n v="0"/>
    <n v="0"/>
    <n v="0"/>
    <n v="0"/>
    <n v="0"/>
    <n v="0"/>
    <n v="0"/>
    <n v="0"/>
    <n v="0"/>
    <n v="0"/>
    <n v="0"/>
    <n v="0"/>
    <n v="0"/>
    <n v="0"/>
    <n v="0"/>
    <n v="0"/>
    <n v="721.875"/>
    <n v="1017.1875"/>
    <n v="360.9375"/>
    <n v="0"/>
    <n v="0"/>
    <n v="0"/>
    <n v="0"/>
    <n v="0"/>
    <n v="0"/>
    <n v="0"/>
    <n v="0"/>
    <n v="0"/>
    <n v="0"/>
    <n v="0"/>
    <n v="0"/>
    <n v="0"/>
    <b v="1"/>
    <n v="300"/>
    <s v="Lb"/>
    <s v="Ripe Fruit Medium"/>
    <s v="Tomato Ripe Fruit Medium - Lb"/>
    <n v="0"/>
    <n v="0"/>
    <n v="0"/>
    <n v="0"/>
    <n v="0"/>
    <n v="0"/>
    <n v="0"/>
    <n v="0"/>
    <n v="103.125"/>
    <n v="145.3125"/>
    <n v="51.5625"/>
    <n v="0"/>
  </r>
  <r>
    <x v="42"/>
    <x v="51"/>
    <s v="U2"/>
    <n v="450"/>
    <n v="5400"/>
    <s v="TOM"/>
    <m/>
    <x v="11"/>
    <x v="37"/>
    <s v="Test"/>
    <s v="Marnero Johnny's, Margold Johnny's, Marbonne Johnny's, Tiffen Mennonite Adaptive, Brandywine Seed Savers, German Johnson Johnny's, Janet's Jacinth Jewel A P Whaley, Large Barred Boar A P Whaley, Beauty King A P Whaley, Solar Flare Osborne, Woodstock Johnnys, Pink Jazz A P Whaley, Pork Chop Osborne, Gin Fizz Johnny's"/>
    <n v="702"/>
    <m/>
    <n v="10.8"/>
    <n v="1"/>
    <d v="2025-04-07T00:00:00"/>
    <d v="2025-04-07T00:00:00"/>
    <d v="2025-04-16T00:00:00"/>
    <d v="2025-04-16T00:00:00"/>
    <d v="2025-06-02T00:00:00"/>
    <m/>
    <m/>
    <d v="2025-06-11T00:00:00"/>
    <s v="X"/>
    <e v="#VALUE!"/>
    <x v="29"/>
    <m/>
    <d v="2025-08-14T00:00:00"/>
    <m/>
    <d v="2025-08-14T00:00:00"/>
    <d v="2025-11-06T00:00:00"/>
    <m/>
    <m/>
    <b v="1"/>
    <m/>
    <d v="2025-11-06T00:00:00"/>
    <b v="1"/>
    <b v="0"/>
    <b v="0"/>
    <b v="0"/>
    <n v="27000"/>
    <n v="182.43243243243245"/>
    <n v="120"/>
    <m/>
    <n v="84"/>
    <s v="TP"/>
    <n v="10.8"/>
    <n v="56"/>
    <n v="1"/>
    <n v="12"/>
    <n v="1"/>
    <n v="540"/>
    <s v="DR"/>
    <n v="324"/>
    <s v="Beefsteak"/>
    <s v="Su"/>
    <n v="956"/>
    <n v="84"/>
    <s v="Tomato"/>
    <n v="7"/>
    <s v="Young"/>
    <n v="72"/>
    <n v="21"/>
    <n v="9.75"/>
    <n v="18"/>
    <n v="21"/>
    <n v="39"/>
    <n v="9"/>
    <n v="14"/>
    <n v="78"/>
    <n v="1.3"/>
    <n v="0"/>
    <s v="Large Tunnel"/>
    <s v="Tomato_x000a_Specialty Heirloom Mix_x000a_Test"/>
    <n v="0"/>
    <n v="0"/>
    <n v="0"/>
    <n v="0"/>
    <n v="0"/>
    <n v="0"/>
    <n v="0"/>
    <n v="18"/>
    <n v="30"/>
    <n v="31"/>
    <n v="6"/>
    <n v="0"/>
    <n v="0"/>
    <n v="0"/>
    <n v="0"/>
    <n v="0"/>
    <n v="0"/>
    <n v="0"/>
    <n v="0"/>
    <n v="0"/>
    <n v="0"/>
    <n v="0"/>
    <n v="0"/>
    <n v="0"/>
    <n v="0"/>
    <n v="0"/>
    <n v="0"/>
    <n v="0"/>
    <n v="0"/>
    <n v="0"/>
    <n v="0"/>
    <n v="5717.6470588235297"/>
    <n v="9529.4117647058829"/>
    <n v="9847.0588235294108"/>
    <n v="1905.8823529411764"/>
    <n v="0"/>
    <n v="0"/>
    <n v="0"/>
    <n v="0"/>
    <n v="0"/>
    <n v="0"/>
    <n v="0"/>
    <n v="0"/>
    <n v="0"/>
    <n v="0"/>
    <n v="0"/>
    <n v="0"/>
    <n v="0"/>
    <b v="1"/>
    <n v="5400"/>
    <s v="Lb"/>
    <s v="Ripe Fruit Large"/>
    <s v="Tomato Ripe Fruit Large - Lb"/>
    <n v="0"/>
    <n v="0"/>
    <n v="0"/>
    <n v="0"/>
    <n v="0"/>
    <n v="0"/>
    <n v="0"/>
    <n v="1143.5294117647059"/>
    <n v="1905.8823529411766"/>
    <n v="1969.4117647058822"/>
    <n v="381.1764705882353"/>
    <n v="0"/>
  </r>
  <r>
    <x v="43"/>
    <x v="52"/>
    <s v="B2"/>
    <n v="56"/>
    <n v="160"/>
    <s v="DIL"/>
    <m/>
    <x v="12"/>
    <x v="15"/>
    <m/>
    <s v="Thalia OG Johnny's, Bouquet OG Osborne, Ambrosia Adaptive, Green Sleeves High Mowing"/>
    <n v="880.00000000000011"/>
    <m/>
    <n v="0.25"/>
    <n v="0.5"/>
    <d v="2025-04-09T00:00:00"/>
    <d v="2025-04-09T00:00:00"/>
    <d v="2025-04-16T00:00:00"/>
    <d v="2025-04-16T00:00:00"/>
    <d v="2025-05-05T00:00:00"/>
    <m/>
    <m/>
    <d v="2025-05-12T00:00:00"/>
    <d v="2025-05-18T00:00:00"/>
    <n v="6"/>
    <x v="30"/>
    <n v="7"/>
    <d v="2025-07-18T00:00:00"/>
    <m/>
    <d v="2025-07-18T00:00:00"/>
    <d v="2025-08-04T00:00:00"/>
    <m/>
    <m/>
    <b v="1"/>
    <m/>
    <d v="2025-08-04T00:00:00"/>
    <b v="1"/>
    <b v="1"/>
    <b v="0"/>
    <b v="0"/>
    <n v="320"/>
    <n v="4.1558441558441555"/>
    <n v="93"/>
    <m/>
    <n v="17"/>
    <s v="TP"/>
    <n v="0.25"/>
    <n v="26"/>
    <n v="4"/>
    <n v="3"/>
    <n v="4"/>
    <n v="200"/>
    <s v=""/>
    <n v="117"/>
    <s v="General"/>
    <s v="Sp"/>
    <n v="929"/>
    <n v="17"/>
    <s v="Herb"/>
    <n v="4"/>
    <s v="None"/>
    <n v="128"/>
    <n v="26"/>
    <n v="1.7187500000000002"/>
    <n v="0"/>
    <n v="0"/>
    <s v=""/>
    <n v="0"/>
    <n v="0"/>
    <s v=""/>
    <n v="1.1000000000000001"/>
    <n v="0"/>
    <s v="Field"/>
    <s v="Dill_x000a_Dill Mix_x000a_"/>
    <n v="0"/>
    <n v="0"/>
    <n v="0"/>
    <n v="0"/>
    <n v="0"/>
    <n v="0"/>
    <n v="14"/>
    <n v="4"/>
    <n v="0"/>
    <n v="0"/>
    <n v="0"/>
    <n v="0"/>
    <n v="0"/>
    <n v="0"/>
    <n v="0"/>
    <n v="0"/>
    <n v="0"/>
    <n v="0"/>
    <n v="0"/>
    <n v="0"/>
    <n v="0"/>
    <n v="0"/>
    <n v="0"/>
    <n v="0"/>
    <n v="0"/>
    <n v="0"/>
    <n v="0"/>
    <n v="0"/>
    <n v="0"/>
    <n v="0"/>
    <n v="248.88888888888889"/>
    <n v="71.111111111111114"/>
    <n v="0"/>
    <n v="0"/>
    <n v="0"/>
    <n v="0"/>
    <n v="0"/>
    <n v="0"/>
    <n v="0"/>
    <n v="0"/>
    <n v="0"/>
    <n v="0"/>
    <n v="0"/>
    <n v="0"/>
    <n v="0"/>
    <n v="0"/>
    <n v="0"/>
    <n v="0"/>
    <b v="1"/>
    <n v="160"/>
    <s v="Bunch"/>
    <s v="Mature Leaf"/>
    <s v="Dill Mature Leaf - Bunch"/>
    <n v="0"/>
    <n v="0"/>
    <n v="0"/>
    <n v="0"/>
    <n v="0"/>
    <n v="0"/>
    <n v="124.44444444444444"/>
    <n v="35.555555555555557"/>
    <n v="0"/>
    <n v="0"/>
    <n v="0"/>
    <n v="0"/>
  </r>
  <r>
    <x v="18"/>
    <x v="53"/>
    <s v="B2"/>
    <n v="50"/>
    <n v="100"/>
    <s v="CIL"/>
    <m/>
    <x v="13"/>
    <x v="16"/>
    <m/>
    <s v="Cruiser High Mowing, Pokey Joe Uprising, Calypso Johnny's"/>
    <n v="412.50000000000006"/>
    <m/>
    <n v="0.25"/>
    <n v="0.5"/>
    <d v="2025-04-09T00:00:00"/>
    <d v="2025-04-09T00:00:00"/>
    <d v="2025-04-16T00:00:00"/>
    <d v="2025-04-16T00:00:00"/>
    <d v="2025-05-09T00:00:00"/>
    <m/>
    <m/>
    <d v="2025-05-16T00:00:00"/>
    <d v="2025-05-18T00:00:00"/>
    <n v="2"/>
    <x v="30"/>
    <n v="7"/>
    <d v="2025-07-12T00:00:00"/>
    <m/>
    <d v="2025-07-12T00:00:00"/>
    <d v="2025-07-26T00:00:00"/>
    <m/>
    <m/>
    <b v="0"/>
    <m/>
    <d v="2025-07-26T00:00:00"/>
    <b v="1"/>
    <b v="1"/>
    <b v="0"/>
    <b v="0"/>
    <n v="300"/>
    <n v="4.6875"/>
    <n v="87"/>
    <m/>
    <n v="14"/>
    <s v="TP"/>
    <n v="0.25"/>
    <n v="30"/>
    <n v="5"/>
    <n v="6"/>
    <n v="3"/>
    <n v="125"/>
    <s v=""/>
    <n v="88"/>
    <s v="General"/>
    <s v="Su"/>
    <n v="923"/>
    <n v="14"/>
    <s v="Herb"/>
    <n v="1"/>
    <s v="None"/>
    <n v="128"/>
    <n v="30"/>
    <n v="1.07421875"/>
    <n v="0"/>
    <n v="0"/>
    <s v=""/>
    <n v="0"/>
    <n v="0"/>
    <s v=""/>
    <n v="1.1000000000000001"/>
    <n v="0"/>
    <s v="Field"/>
    <s v="Cilantro_x000a_Cilantro Mix_x000a_"/>
    <n v="0"/>
    <n v="0"/>
    <n v="0"/>
    <n v="0"/>
    <n v="0"/>
    <n v="0"/>
    <n v="15"/>
    <n v="0"/>
    <n v="0"/>
    <n v="0"/>
    <n v="0"/>
    <n v="0"/>
    <n v="0"/>
    <n v="0"/>
    <n v="0"/>
    <n v="0"/>
    <n v="0"/>
    <n v="0"/>
    <n v="0"/>
    <n v="0"/>
    <n v="0"/>
    <n v="0"/>
    <n v="0"/>
    <n v="0"/>
    <n v="0"/>
    <n v="0"/>
    <n v="0"/>
    <n v="0"/>
    <n v="0"/>
    <n v="0"/>
    <n v="300"/>
    <n v="0"/>
    <n v="0"/>
    <n v="0"/>
    <n v="0"/>
    <n v="0"/>
    <n v="0"/>
    <n v="0"/>
    <n v="0"/>
    <n v="0"/>
    <n v="0"/>
    <n v="0"/>
    <n v="0"/>
    <n v="0"/>
    <n v="0"/>
    <n v="0"/>
    <n v="0"/>
    <n v="0"/>
    <b v="1"/>
    <n v="100"/>
    <s v="Bunch"/>
    <s v="Loose Leaf"/>
    <s v="Cilantro Loose Leaf - Bunch"/>
    <n v="0"/>
    <n v="0"/>
    <n v="0"/>
    <n v="0"/>
    <n v="0"/>
    <n v="0"/>
    <n v="100"/>
    <n v="0"/>
    <n v="0"/>
    <n v="0"/>
    <n v="0"/>
    <n v="0"/>
  </r>
  <r>
    <x v="44"/>
    <x v="54"/>
    <s v="B2"/>
    <n v="33.333333333333336"/>
    <n v="33.333333333333336"/>
    <s v="SQU"/>
    <m/>
    <x v="25"/>
    <x v="38"/>
    <m/>
    <s v="Honey Boat High Mowing, Sugar Dumpling F1 High Mowing"/>
    <n v="21.666666666666664"/>
    <m/>
    <n v="1"/>
    <n v="1"/>
    <d v="2025-04-11T00:00:00"/>
    <d v="2025-04-11T00:00:00"/>
    <d v="2025-04-16T00:00:00"/>
    <d v="2025-04-16T00:00:00"/>
    <d v="2025-05-09T00:00:00"/>
    <m/>
    <m/>
    <d v="2025-05-14T00:00:00"/>
    <d v="2025-06-04T00:00:00"/>
    <n v="21"/>
    <x v="31"/>
    <m/>
    <d v="2025-08-22T00:00:00"/>
    <m/>
    <d v="2025-08-22T00:00:00"/>
    <d v="2025-08-29T00:00:00"/>
    <m/>
    <m/>
    <b v="1"/>
    <m/>
    <d v="2025-08-29T00:00:00"/>
    <b v="1"/>
    <b v="1"/>
    <b v="0"/>
    <b v="0"/>
    <n v="225"/>
    <n v="2.1028037383177569"/>
    <n v="128"/>
    <m/>
    <n v="7"/>
    <s v="TP"/>
    <n v="1"/>
    <n v="28"/>
    <n v="1"/>
    <n v="36"/>
    <n v="1"/>
    <n v="16.666666666666664"/>
    <s v=""/>
    <n v="299"/>
    <s v="Delicata"/>
    <s v=""/>
    <n v="964"/>
    <n v="7"/>
    <s v="Winter Squash"/>
    <n v="3"/>
    <s v="None"/>
    <n v="50"/>
    <n v="28"/>
    <n v="0.43333333333333324"/>
    <n v="0"/>
    <n v="0"/>
    <s v=""/>
    <n v="0"/>
    <n v="0"/>
    <s v=""/>
    <n v="1.3"/>
    <n v="0"/>
    <s v="Field"/>
    <s v="Squash_x000a_Delicata Mix_x000a_"/>
    <n v="0"/>
    <n v="0"/>
    <n v="0"/>
    <n v="0"/>
    <n v="0"/>
    <n v="0"/>
    <n v="0"/>
    <n v="8"/>
    <n v="0"/>
    <n v="0"/>
    <n v="0"/>
    <n v="0"/>
    <n v="0"/>
    <n v="0"/>
    <n v="0"/>
    <n v="0"/>
    <n v="0"/>
    <n v="0"/>
    <n v="0"/>
    <n v="0"/>
    <n v="0"/>
    <n v="0"/>
    <n v="0"/>
    <n v="0"/>
    <n v="0"/>
    <n v="0"/>
    <n v="0"/>
    <n v="0"/>
    <n v="0"/>
    <n v="0"/>
    <n v="0"/>
    <n v="225"/>
    <n v="0"/>
    <n v="0"/>
    <n v="0"/>
    <n v="0"/>
    <n v="0"/>
    <n v="0"/>
    <n v="0"/>
    <n v="0"/>
    <n v="0"/>
    <n v="0"/>
    <n v="0"/>
    <n v="0"/>
    <n v="0"/>
    <n v="0"/>
    <n v="0"/>
    <n v="0"/>
    <b v="1"/>
    <n v="100"/>
    <s v="Lb"/>
    <s v="Storage"/>
    <s v="Squash Storage - Lb"/>
    <n v="0"/>
    <n v="0"/>
    <n v="0"/>
    <n v="0"/>
    <n v="0"/>
    <n v="0"/>
    <n v="0"/>
    <n v="100"/>
    <n v="0"/>
    <n v="0"/>
    <n v="0"/>
    <n v="0"/>
  </r>
  <r>
    <x v="45"/>
    <x v="55"/>
    <s v="U4"/>
    <n v="799.99999999999989"/>
    <n v="799.99999999999989"/>
    <s v="SQU"/>
    <m/>
    <x v="25"/>
    <x v="39"/>
    <m/>
    <s v="Red Kuri High Mowing, Sunshine Johnny's, Mambo Johnny's, Neon Territorial"/>
    <n v="346.66666666666663"/>
    <m/>
    <n v="16"/>
    <n v="1"/>
    <d v="2025-04-11T00:00:00"/>
    <d v="2025-04-11T00:00:00"/>
    <d v="2025-04-16T00:00:00"/>
    <d v="2025-04-16T00:00:00"/>
    <d v="2025-05-09T00:00:00"/>
    <m/>
    <m/>
    <d v="2025-05-14T00:00:00"/>
    <d v="2025-06-04T00:00:00"/>
    <n v="21"/>
    <x v="31"/>
    <m/>
    <d v="2025-08-22T00:00:00"/>
    <m/>
    <d v="2025-08-22T00:00:00"/>
    <d v="2025-08-29T00:00:00"/>
    <m/>
    <m/>
    <b v="1"/>
    <m/>
    <d v="2025-08-29T00:00:00"/>
    <b v="1"/>
    <b v="1"/>
    <b v="0"/>
    <b v="0"/>
    <n v="5399.9999999999991"/>
    <n v="50.467289719626159"/>
    <n v="128"/>
    <m/>
    <n v="7"/>
    <s v="TP"/>
    <n v="16"/>
    <n v="28"/>
    <n v="1"/>
    <n v="36"/>
    <n v="1"/>
    <n v="266.66666666666663"/>
    <s v=""/>
    <n v="300"/>
    <s v="Kuri"/>
    <s v=""/>
    <n v="964"/>
    <n v="7"/>
    <s v="Winter Squash"/>
    <n v="3"/>
    <s v="None"/>
    <n v="50"/>
    <n v="28"/>
    <n v="6.9333333333333318"/>
    <n v="0"/>
    <n v="0"/>
    <s v=""/>
    <n v="0"/>
    <n v="0"/>
    <s v=""/>
    <n v="1.3"/>
    <n v="0"/>
    <s v="Field"/>
    <s v="Squash_x000a_Winter Squash Mix_x000a_"/>
    <n v="0"/>
    <n v="0"/>
    <n v="0"/>
    <n v="0"/>
    <n v="0"/>
    <n v="0"/>
    <n v="0"/>
    <n v="8"/>
    <n v="0"/>
    <n v="0"/>
    <n v="0"/>
    <n v="0"/>
    <n v="0"/>
    <n v="0"/>
    <n v="0"/>
    <n v="0"/>
    <n v="0"/>
    <n v="0"/>
    <n v="0"/>
    <n v="0"/>
    <n v="0"/>
    <n v="0"/>
    <n v="0"/>
    <n v="0"/>
    <n v="0"/>
    <n v="0"/>
    <n v="0"/>
    <n v="0"/>
    <n v="0"/>
    <n v="0"/>
    <n v="0"/>
    <n v="5399.9999999999991"/>
    <n v="0"/>
    <n v="0"/>
    <n v="0"/>
    <n v="0"/>
    <n v="0"/>
    <n v="0"/>
    <n v="0"/>
    <n v="0"/>
    <n v="0"/>
    <n v="0"/>
    <n v="0"/>
    <n v="0"/>
    <n v="0"/>
    <n v="0"/>
    <n v="0"/>
    <n v="0"/>
    <b v="1"/>
    <n v="2399.9999999999995"/>
    <s v="Lb"/>
    <s v="Storage"/>
    <s v="Squash Storage - Lb"/>
    <n v="0"/>
    <n v="0"/>
    <n v="0"/>
    <n v="0"/>
    <n v="0"/>
    <n v="0"/>
    <n v="0"/>
    <n v="2399.9999999999995"/>
    <n v="0"/>
    <n v="0"/>
    <n v="0"/>
    <n v="0"/>
  </r>
  <r>
    <x v="46"/>
    <x v="56"/>
    <s v="F0"/>
    <n v="17.5"/>
    <n v="180"/>
    <s v="CUC"/>
    <m/>
    <x v="21"/>
    <x v="29"/>
    <m/>
    <s v="Tasty Green High Mowing, Shintokiwa High Mowing"/>
    <n v="65"/>
    <m/>
    <n v="1"/>
    <n v="1"/>
    <d v="2025-04-11T00:00:00"/>
    <d v="2025-04-11T00:00:00"/>
    <d v="2025-04-16T00:00:00"/>
    <d v="2025-04-16T00:00:00"/>
    <d v="2025-05-16T00:00:00"/>
    <m/>
    <m/>
    <d v="2025-05-21T00:00:00"/>
    <d v="2025-05-26T00:00:00"/>
    <n v="5"/>
    <x v="26"/>
    <m/>
    <d v="2025-07-05T00:00:00"/>
    <m/>
    <d v="2025-07-05T00:00:00"/>
    <d v="2025-09-20T00:00:00"/>
    <m/>
    <m/>
    <b v="1"/>
    <m/>
    <d v="2025-09-20T00:00:00"/>
    <b v="1"/>
    <b v="1"/>
    <b v="0"/>
    <b v="0"/>
    <n v="1080"/>
    <n v="8.8524590163934427"/>
    <n v="80"/>
    <m/>
    <n v="77"/>
    <s v="TP"/>
    <n v="1"/>
    <n v="35"/>
    <n v="1"/>
    <n v="12"/>
    <n v="1"/>
    <n v="50"/>
    <s v="DR"/>
    <n v="107"/>
    <s v="Asian Long"/>
    <s v=""/>
    <n v="916"/>
    <n v="77"/>
    <s v="Cucumber"/>
    <n v="6"/>
    <s v="None"/>
    <n v="18"/>
    <n v="35"/>
    <n v="3.6111111111111112"/>
    <n v="0"/>
    <n v="0"/>
    <s v=""/>
    <n v="0"/>
    <n v="0"/>
    <s v=""/>
    <n v="1.3"/>
    <n v="0"/>
    <s v="Field"/>
    <s v="Cucumber_x000a_Asian Cucumber Mix_x000a_"/>
    <n v="0"/>
    <n v="0"/>
    <n v="0"/>
    <n v="0"/>
    <n v="0"/>
    <n v="0"/>
    <n v="27"/>
    <n v="31"/>
    <n v="20"/>
    <n v="0"/>
    <n v="0"/>
    <n v="0"/>
    <n v="0"/>
    <n v="0"/>
    <n v="0"/>
    <n v="0"/>
    <n v="0"/>
    <n v="0"/>
    <n v="0"/>
    <n v="0"/>
    <n v="0"/>
    <n v="0"/>
    <n v="0"/>
    <n v="0"/>
    <n v="0"/>
    <n v="0"/>
    <n v="0"/>
    <n v="0"/>
    <n v="0"/>
    <n v="0"/>
    <n v="373.84615384615381"/>
    <n v="429.23076923076923"/>
    <n v="276.92307692307691"/>
    <n v="0"/>
    <n v="0"/>
    <n v="0"/>
    <n v="0"/>
    <n v="0"/>
    <n v="0"/>
    <n v="0"/>
    <n v="0"/>
    <n v="0"/>
    <n v="0"/>
    <n v="0"/>
    <n v="0"/>
    <n v="0"/>
    <n v="0"/>
    <n v="0"/>
    <b v="1"/>
    <n v="360"/>
    <s v="Lb"/>
    <s v="Ripe Fruit"/>
    <s v="Cucumber Ripe Fruit - Lb"/>
    <n v="0"/>
    <n v="0"/>
    <n v="0"/>
    <n v="0"/>
    <n v="0"/>
    <n v="0"/>
    <n v="124.61538461538461"/>
    <n v="143.07692307692307"/>
    <n v="92.307692307692292"/>
    <n v="0"/>
    <n v="0"/>
    <n v="0"/>
  </r>
  <r>
    <x v="47"/>
    <x v="57"/>
    <s v="F1"/>
    <n v="17.5"/>
    <n v="180"/>
    <s v="CUC"/>
    <m/>
    <x v="21"/>
    <x v="40"/>
    <m/>
    <s v="Marketmore High Mowing, Corinto Johnny's"/>
    <n v="65"/>
    <m/>
    <n v="1"/>
    <n v="1"/>
    <d v="2025-04-11T00:00:00"/>
    <d v="2025-04-11T00:00:00"/>
    <d v="2025-04-16T00:00:00"/>
    <d v="2025-04-16T00:00:00"/>
    <d v="2025-05-16T00:00:00"/>
    <m/>
    <m/>
    <d v="2025-05-21T00:00:00"/>
    <d v="2025-05-26T00:00:00"/>
    <n v="5"/>
    <x v="26"/>
    <m/>
    <d v="2025-07-05T00:00:00"/>
    <m/>
    <d v="2025-07-05T00:00:00"/>
    <d v="2025-09-20T00:00:00"/>
    <m/>
    <m/>
    <b v="1"/>
    <m/>
    <d v="2025-09-20T00:00:00"/>
    <b v="1"/>
    <b v="1"/>
    <b v="0"/>
    <b v="0"/>
    <n v="1080"/>
    <n v="8.8524590163934427"/>
    <n v="80"/>
    <m/>
    <n v="77"/>
    <s v="TP"/>
    <n v="1"/>
    <n v="35"/>
    <n v="1"/>
    <n v="12"/>
    <n v="1"/>
    <n v="50"/>
    <s v="DR"/>
    <n v="111"/>
    <s v="Slicer"/>
    <s v=""/>
    <n v="916"/>
    <n v="77"/>
    <s v="Cucumber"/>
    <n v="6"/>
    <s v="None"/>
    <n v="18"/>
    <n v="35"/>
    <n v="3.6111111111111112"/>
    <n v="0"/>
    <n v="0"/>
    <s v=""/>
    <n v="0"/>
    <n v="0"/>
    <s v=""/>
    <n v="1.3"/>
    <n v="0"/>
    <s v="Field"/>
    <s v="Cucumber_x000a_Slicing Cucumber Mix_x000a_"/>
    <n v="0"/>
    <n v="0"/>
    <n v="0"/>
    <n v="0"/>
    <n v="0"/>
    <n v="0"/>
    <n v="27"/>
    <n v="31"/>
    <n v="20"/>
    <n v="0"/>
    <n v="0"/>
    <n v="0"/>
    <n v="0"/>
    <n v="0"/>
    <n v="0"/>
    <n v="0"/>
    <n v="0"/>
    <n v="0"/>
    <n v="0"/>
    <n v="0"/>
    <n v="0"/>
    <n v="0"/>
    <n v="0"/>
    <n v="0"/>
    <n v="0"/>
    <n v="0"/>
    <n v="0"/>
    <n v="0"/>
    <n v="0"/>
    <n v="0"/>
    <n v="373.84615384615381"/>
    <n v="429.23076923076923"/>
    <n v="276.92307692307691"/>
    <n v="0"/>
    <n v="0"/>
    <n v="0"/>
    <n v="0"/>
    <n v="0"/>
    <n v="0"/>
    <n v="0"/>
    <n v="0"/>
    <n v="0"/>
    <n v="0"/>
    <n v="0"/>
    <n v="0"/>
    <n v="0"/>
    <n v="0"/>
    <n v="0"/>
    <b v="1"/>
    <n v="360"/>
    <s v="Lb"/>
    <s v="Ripe Fruit"/>
    <s v="Cucumber Ripe Fruit - Lb"/>
    <n v="0"/>
    <n v="0"/>
    <n v="0"/>
    <n v="0"/>
    <n v="0"/>
    <n v="0"/>
    <n v="124.61538461538461"/>
    <n v="143.07692307692307"/>
    <n v="92.307692307692292"/>
    <n v="0"/>
    <n v="0"/>
    <n v="0"/>
  </r>
  <r>
    <x v="48"/>
    <x v="58"/>
    <s v="J1"/>
    <e v="#N/A"/>
    <e v="#N/A"/>
    <s v="BAS"/>
    <m/>
    <x v="22"/>
    <x v="41"/>
    <s v="Uprising"/>
    <s v=""/>
    <n v="52"/>
    <m/>
    <n v="0.4"/>
    <n v="1"/>
    <d v="2025-04-11T00:00:00"/>
    <d v="2025-04-11T00:00:00"/>
    <d v="2025-04-16T00:00:00"/>
    <d v="2025-04-16T00:00:00"/>
    <d v="2025-05-21T00:00:00"/>
    <m/>
    <m/>
    <d v="2025-05-26T00:00:00"/>
    <d v="2025-06-04T00:00:00"/>
    <n v="9"/>
    <x v="31"/>
    <m/>
    <d v="2025-07-25T00:00:00"/>
    <m/>
    <d v="2025-07-25T00:00:00"/>
    <d v="2025-11-14T00:00:00"/>
    <m/>
    <m/>
    <b v="1"/>
    <m/>
    <d v="2025-11-14T00:00:00"/>
    <b v="1"/>
    <b v="1"/>
    <b v="0"/>
    <b v="0"/>
    <n v="420"/>
    <n v="2.4418604651162794"/>
    <n v="100"/>
    <m/>
    <n v="112"/>
    <s v="TP"/>
    <n v="0.4"/>
    <n v="40"/>
    <n v="2"/>
    <n v="12"/>
    <n v="1"/>
    <n v="40"/>
    <s v=""/>
    <n v="21"/>
    <s v="Tulsi"/>
    <s v=""/>
    <n v="936"/>
    <n v="112"/>
    <s v="Herb"/>
    <n v="2"/>
    <s v="None"/>
    <n v="128"/>
    <n v="40"/>
    <n v="0.40625"/>
    <n v="0"/>
    <n v="0"/>
    <s v=""/>
    <n v="0"/>
    <n v="0"/>
    <s v=""/>
    <n v="1.3"/>
    <n v="10"/>
    <s v="Field"/>
    <s v="Basil_x000a_Tulsi_x000a_Uprising"/>
    <n v="0"/>
    <n v="0"/>
    <n v="0"/>
    <n v="0"/>
    <n v="0"/>
    <n v="0"/>
    <n v="7"/>
    <n v="31"/>
    <n v="30"/>
    <n v="31"/>
    <n v="14"/>
    <n v="0"/>
    <n v="0"/>
    <n v="0"/>
    <n v="0"/>
    <n v="0"/>
    <n v="0"/>
    <n v="0"/>
    <n v="0"/>
    <n v="0"/>
    <n v="0"/>
    <n v="0"/>
    <n v="0"/>
    <n v="0"/>
    <n v="0"/>
    <n v="0"/>
    <n v="0"/>
    <n v="0"/>
    <n v="0"/>
    <n v="0"/>
    <n v="26.017699115044248"/>
    <n v="115.22123893805309"/>
    <n v="111.50442477876108"/>
    <n v="115.22123893805309"/>
    <n v="52.035398230088497"/>
    <n v="0"/>
    <n v="0"/>
    <n v="0"/>
    <n v="0"/>
    <n v="0"/>
    <n v="0"/>
    <n v="0"/>
    <n v="0"/>
    <n v="0"/>
    <n v="0"/>
    <n v="0"/>
    <n v="0"/>
    <n v="0"/>
    <b v="1"/>
    <n v="60"/>
    <s v="Lb"/>
    <s v="Mature Leaf"/>
    <s v="Basil Mature Leaf - Lb"/>
    <n v="0"/>
    <n v="0"/>
    <n v="0"/>
    <n v="0"/>
    <n v="0"/>
    <n v="0"/>
    <n v="3.7168141592920354"/>
    <n v="16.460176991150441"/>
    <n v="15.929203539823011"/>
    <n v="16.460176991150441"/>
    <n v="7.4336283185840708"/>
    <n v="0"/>
  </r>
  <r>
    <x v="9"/>
    <x v="59"/>
    <s v="C3"/>
    <n v="50"/>
    <n v="100"/>
    <s v="SCA"/>
    <m/>
    <x v="8"/>
    <x v="8"/>
    <m/>
    <s v="Ishikura Long Winter Uprising, Parade High Mowing, White Spear Adaptive"/>
    <n v="1320"/>
    <m/>
    <n v="0.5"/>
    <n v="0.5"/>
    <d v="2025-04-13T00:00:00"/>
    <d v="2025-04-13T00:00:00"/>
    <d v="2025-04-14T00:00:00"/>
    <d v="2025-04-14T00:00:00"/>
    <d v="2025-05-25T00:00:00"/>
    <m/>
    <m/>
    <d v="2025-05-26T00:00:00"/>
    <d v="2025-05-18T00:00:00"/>
    <n v="-8"/>
    <x v="30"/>
    <m/>
    <d v="2025-07-15T00:00:00"/>
    <m/>
    <d v="2025-07-15T00:00:00"/>
    <d v="2025-07-29T00:00:00"/>
    <m/>
    <m/>
    <b v="0"/>
    <m/>
    <d v="2025-07-29T00:00:00"/>
    <b v="1"/>
    <b v="1"/>
    <b v="0"/>
    <b v="0"/>
    <n v="250"/>
    <n v="3.90625"/>
    <n v="92"/>
    <m/>
    <n v="14"/>
    <s v="TP"/>
    <n v="0.5"/>
    <n v="42"/>
    <n v="4"/>
    <n v="6"/>
    <n v="6"/>
    <n v="200"/>
    <s v=""/>
    <n v="282"/>
    <s v="General"/>
    <s v="Sp"/>
    <n v="926"/>
    <n v="14"/>
    <s v="Onion"/>
    <n v="1.5"/>
    <s v="None"/>
    <n v="128"/>
    <n v="42"/>
    <n v="1.7187500000000002"/>
    <n v="0"/>
    <n v="0"/>
    <s v=""/>
    <n v="0"/>
    <n v="0"/>
    <s v=""/>
    <n v="1.1000000000000001"/>
    <n v="17"/>
    <s v="Field"/>
    <s v="Scallion_x000a_Scallion Mix_x000a_"/>
    <n v="0"/>
    <n v="0"/>
    <n v="0"/>
    <n v="0"/>
    <n v="0"/>
    <n v="0"/>
    <n v="15"/>
    <n v="0"/>
    <n v="0"/>
    <n v="0"/>
    <n v="0"/>
    <n v="0"/>
    <n v="0"/>
    <n v="0"/>
    <n v="0"/>
    <n v="0"/>
    <n v="0"/>
    <n v="0"/>
    <n v="0"/>
    <n v="0"/>
    <n v="0"/>
    <n v="0"/>
    <n v="0"/>
    <n v="0"/>
    <n v="0"/>
    <n v="0"/>
    <n v="0"/>
    <n v="0"/>
    <n v="0"/>
    <n v="0"/>
    <n v="250"/>
    <n v="0"/>
    <n v="0"/>
    <n v="0"/>
    <n v="0"/>
    <n v="0"/>
    <n v="0"/>
    <n v="0"/>
    <n v="0"/>
    <n v="0"/>
    <n v="0"/>
    <n v="0"/>
    <n v="0"/>
    <n v="0"/>
    <n v="0"/>
    <n v="0"/>
    <n v="0"/>
    <n v="0"/>
    <b v="1"/>
    <n v="100"/>
    <s v="Bunch"/>
    <s v="Mature Stalk"/>
    <s v="Scallion Mature Stalk - Bunch"/>
    <n v="0"/>
    <n v="0"/>
    <n v="0"/>
    <n v="0"/>
    <n v="0"/>
    <n v="0"/>
    <n v="100"/>
    <n v="0"/>
    <n v="0"/>
    <n v="0"/>
    <n v="0"/>
    <n v="0"/>
  </r>
  <r>
    <x v="49"/>
    <x v="60"/>
    <s v="B7"/>
    <n v="66.666666666666671"/>
    <n v="200"/>
    <s v="MEL"/>
    <m/>
    <x v="26"/>
    <x v="42"/>
    <m/>
    <s v="Divergent F1 Johnny's, True Love High Mowing, Triton Johnny's, Divergent F1 Osborne"/>
    <n v="65"/>
    <m/>
    <n v="2"/>
    <n v="2"/>
    <d v="2025-04-16T00:00:00"/>
    <d v="2025-04-16T00:00:00"/>
    <d v="2025-04-16T00:00:00"/>
    <d v="2025-04-16T00:00:00"/>
    <d v="2025-05-07T00:00:00"/>
    <m/>
    <m/>
    <d v="2025-05-07T00:00:00"/>
    <d v="2025-05-27T00:00:00"/>
    <n v="20"/>
    <x v="19"/>
    <m/>
    <d v="2025-08-05T00:00:00"/>
    <m/>
    <d v="2025-08-05T00:00:00"/>
    <d v="2025-08-26T00:00:00"/>
    <m/>
    <m/>
    <b v="1"/>
    <m/>
    <d v="2025-08-26T00:00:00"/>
    <b v="1"/>
    <b v="1"/>
    <b v="0"/>
    <b v="0"/>
    <n v="900"/>
    <n v="8.1081081081081088"/>
    <n v="111"/>
    <m/>
    <n v="21"/>
    <s v="TP"/>
    <n v="2"/>
    <n v="21"/>
    <n v="1"/>
    <n v="24"/>
    <n v="1"/>
    <n v="50"/>
    <s v="DR"/>
    <n v="210"/>
    <s v="General"/>
    <s v=""/>
    <n v="947"/>
    <n v="21"/>
    <s v="Melon"/>
    <n v="2"/>
    <s v="None"/>
    <n v="50"/>
    <n v="21"/>
    <n v="1.3"/>
    <n v="0"/>
    <n v="0"/>
    <s v=""/>
    <n v="0"/>
    <n v="0"/>
    <s v=""/>
    <n v="1.3"/>
    <n v="7"/>
    <s v="Field"/>
    <s v="Melon_x000a_Melon Mix_x000a_"/>
    <n v="0"/>
    <n v="0"/>
    <n v="0"/>
    <n v="0"/>
    <n v="0"/>
    <n v="0"/>
    <n v="0"/>
    <n v="22"/>
    <n v="0"/>
    <n v="0"/>
    <n v="0"/>
    <n v="0"/>
    <n v="0"/>
    <n v="0"/>
    <n v="0"/>
    <n v="0"/>
    <n v="0"/>
    <n v="0"/>
    <n v="0"/>
    <n v="0"/>
    <n v="0"/>
    <n v="0"/>
    <n v="0"/>
    <n v="0"/>
    <n v="0"/>
    <n v="0"/>
    <n v="0"/>
    <n v="0"/>
    <n v="0"/>
    <n v="0"/>
    <n v="0"/>
    <n v="900"/>
    <n v="0"/>
    <n v="0"/>
    <n v="0"/>
    <n v="0"/>
    <n v="0"/>
    <n v="0"/>
    <n v="0"/>
    <n v="0"/>
    <n v="0"/>
    <n v="0"/>
    <n v="0"/>
    <n v="0"/>
    <n v="0"/>
    <n v="0"/>
    <n v="0"/>
    <n v="0"/>
    <b v="1"/>
    <n v="600"/>
    <s v="Lb"/>
    <s v="Ripe Fruit"/>
    <s v="Melon Ripe Fruit - Lb"/>
    <n v="0"/>
    <n v="0"/>
    <n v="0"/>
    <n v="0"/>
    <n v="0"/>
    <n v="0"/>
    <n v="0"/>
    <n v="600"/>
    <n v="0"/>
    <n v="0"/>
    <n v="0"/>
    <n v="0"/>
  </r>
  <r>
    <x v="50"/>
    <x v="61"/>
    <s v="I4"/>
    <n v="29.166666666666664"/>
    <n v="349.99999999999994"/>
    <s v="SWI"/>
    <m/>
    <x v="27"/>
    <x v="43"/>
    <m/>
    <s v="Sunset Chard High Mowing, Ruby Red High Mowing, Rhubard Supreme High Mowing, Fordhook Giant High Mowing"/>
    <n v="73.333333333333329"/>
    <m/>
    <n v="1"/>
    <n v="1"/>
    <d v="2025-04-21T00:00:00"/>
    <d v="2025-04-21T00:00:00"/>
    <d v="2025-04-20T00:00:00"/>
    <d v="2025-04-20T00:00:00"/>
    <d v="2025-05-15T00:00:00"/>
    <m/>
    <m/>
    <d v="2025-05-14T00:00:00"/>
    <d v="2025-06-05T00:00:00"/>
    <n v="22"/>
    <x v="2"/>
    <m/>
    <d v="2025-06-22T00:00:00"/>
    <m/>
    <d v="2025-06-22T00:00:00"/>
    <d v="2025-09-17T00:00:00"/>
    <m/>
    <m/>
    <b v="1"/>
    <m/>
    <d v="2025-09-17T00:00:00"/>
    <b v="1"/>
    <b v="1"/>
    <b v="0"/>
    <b v="0"/>
    <n v="1049.9999999999998"/>
    <n v="8.3333333333333321"/>
    <n v="63"/>
    <m/>
    <n v="87"/>
    <s v="TP"/>
    <n v="1"/>
    <n v="24"/>
    <n v="2"/>
    <n v="18"/>
    <n v="1"/>
    <n v="66.666666666666657"/>
    <s v=""/>
    <n v="316"/>
    <s v="General"/>
    <s v="SpSuFa"/>
    <n v="903"/>
    <n v="87"/>
    <s v="Green"/>
    <n v="2.5"/>
    <n v="0"/>
    <n v="128"/>
    <n v="24"/>
    <n v="0.57291666666666663"/>
    <n v="0"/>
    <n v="0"/>
    <s v=""/>
    <n v="0"/>
    <n v="0"/>
    <s v=""/>
    <n v="1.1000000000000001"/>
    <n v="0"/>
    <s v="Field"/>
    <s v="Swiss Chard_x000a_Swiss Chard Mix_x000a_"/>
    <n v="0"/>
    <n v="0"/>
    <n v="0"/>
    <n v="0"/>
    <n v="0"/>
    <n v="9"/>
    <n v="31"/>
    <n v="31"/>
    <n v="17"/>
    <n v="0"/>
    <n v="0"/>
    <n v="0"/>
    <n v="0"/>
    <n v="0"/>
    <n v="0"/>
    <n v="0"/>
    <n v="0"/>
    <n v="0"/>
    <n v="0"/>
    <n v="0"/>
    <n v="0"/>
    <n v="0"/>
    <n v="0"/>
    <n v="0"/>
    <n v="0"/>
    <n v="0"/>
    <n v="0"/>
    <n v="0"/>
    <n v="0"/>
    <n v="107.38636363636363"/>
    <n v="369.88636363636357"/>
    <n v="369.88636363636357"/>
    <n v="202.84090909090904"/>
    <n v="0"/>
    <n v="0"/>
    <n v="0"/>
    <n v="0"/>
    <n v="0"/>
    <n v="0"/>
    <n v="0"/>
    <n v="0"/>
    <n v="0"/>
    <n v="0"/>
    <n v="0"/>
    <n v="0"/>
    <n v="0"/>
    <n v="0"/>
    <n v="0"/>
    <b v="1"/>
    <n v="349.99999999999994"/>
    <s v="Bunch"/>
    <s v="Mature Leaf"/>
    <s v="Swiss Chard Mature Leaf - Bunch"/>
    <n v="0"/>
    <n v="0"/>
    <n v="0"/>
    <n v="0"/>
    <n v="0"/>
    <n v="35.79545454545454"/>
    <n v="123.29545454545453"/>
    <n v="123.29545454545453"/>
    <n v="67.613636363636346"/>
    <n v="0"/>
    <n v="0"/>
    <n v="0"/>
  </r>
  <r>
    <x v="34"/>
    <x v="62"/>
    <s v="G5"/>
    <n v="41.714814814814808"/>
    <n v="178.77777777777774"/>
    <s v="LET"/>
    <m/>
    <x v="5"/>
    <x v="5"/>
    <m/>
    <s v="Green Sweet Crisp Johnny's, Intercut Johnny's, Red Sweet Crisp Johnny's, Salanova Red Oak Leaf Johnny's"/>
    <n v="450.66666666666663"/>
    <m/>
    <n v="1"/>
    <n v="1"/>
    <d v="2025-04-22T00:00:00"/>
    <d v="2025-04-22T00:00:00"/>
    <d v="2025-04-20T00:00:00"/>
    <d v="2025-04-20T00:00:00"/>
    <d v="2025-05-22T00:00:00"/>
    <m/>
    <m/>
    <d v="2025-05-20T00:00:00"/>
    <d v="2025-05-18T00:00:00"/>
    <n v="-2"/>
    <x v="30"/>
    <m/>
    <d v="2025-06-29T00:00:00"/>
    <m/>
    <d v="2025-06-29T00:00:00"/>
    <d v="2025-07-26T00:00:00"/>
    <m/>
    <m/>
    <b v="0"/>
    <m/>
    <d v="2025-07-26T00:00:00"/>
    <b v="1"/>
    <b v="1"/>
    <b v="0"/>
    <b v="0"/>
    <n v="1340.833333333333"/>
    <n v="20.012437810945269"/>
    <n v="70"/>
    <m/>
    <n v="27"/>
    <s v="TP"/>
    <n v="1"/>
    <n v="30"/>
    <n v="4"/>
    <n v="9"/>
    <n v="1"/>
    <n v="266.66666666666663"/>
    <s v=""/>
    <n v="192"/>
    <s v="Salanova"/>
    <s v="SuFa"/>
    <n v="910"/>
    <n v="27"/>
    <n v="0"/>
    <n v="0"/>
    <n v="0"/>
    <n v="128"/>
    <n v="30"/>
    <n v="2.708333333333333"/>
    <n v="0"/>
    <n v="0"/>
    <s v=""/>
    <n v="0"/>
    <n v="0"/>
    <s v=""/>
    <n v="1.3"/>
    <n v="0"/>
    <s v="Field"/>
    <s v="Lettuce_x000a_Salanova Mix_x000a_"/>
    <n v="0"/>
    <n v="0"/>
    <n v="0"/>
    <n v="0"/>
    <n v="0"/>
    <n v="2"/>
    <n v="26"/>
    <n v="0"/>
    <n v="0"/>
    <n v="0"/>
    <n v="0"/>
    <n v="0"/>
    <n v="0"/>
    <n v="0"/>
    <n v="0"/>
    <n v="0"/>
    <n v="0"/>
    <n v="0"/>
    <n v="0"/>
    <n v="0"/>
    <n v="0"/>
    <n v="0"/>
    <n v="0"/>
    <n v="0"/>
    <n v="0"/>
    <n v="0"/>
    <n v="0"/>
    <n v="0"/>
    <n v="0"/>
    <n v="95.77380952380949"/>
    <n v="1245.0595238095236"/>
    <n v="0"/>
    <n v="0"/>
    <n v="0"/>
    <n v="0"/>
    <n v="0"/>
    <n v="0"/>
    <n v="0"/>
    <n v="0"/>
    <n v="0"/>
    <n v="0"/>
    <n v="0"/>
    <n v="0"/>
    <n v="0"/>
    <n v="0"/>
    <n v="0"/>
    <n v="0"/>
    <n v="0"/>
    <b v="1"/>
    <n v="134.08333333333331"/>
    <s v="Lb"/>
    <s v="Loose Leaf"/>
    <s v="Lettuce Loose Leaf - Lb"/>
    <n v="0"/>
    <n v="0"/>
    <n v="0"/>
    <n v="0"/>
    <n v="0"/>
    <n v="9.5773809523809508"/>
    <n v="124.50595238095237"/>
    <n v="0"/>
    <n v="0"/>
    <n v="0"/>
    <n v="0"/>
    <n v="0"/>
  </r>
  <r>
    <x v="17"/>
    <x v="63"/>
    <s v="B2"/>
    <n v="56"/>
    <n v="160"/>
    <s v="DIL"/>
    <m/>
    <x v="12"/>
    <x v="15"/>
    <m/>
    <s v="Thalia OG Johnny's, Bouquet OG Osborne, Ambrosia Adaptive, Green Sleeves High Mowing"/>
    <n v="880.00000000000011"/>
    <m/>
    <n v="0.25"/>
    <n v="0.5"/>
    <d v="2025-04-23T00:00:00"/>
    <d v="2025-04-23T00:00:00"/>
    <d v="2025-04-20T00:00:00"/>
    <d v="2025-04-20T00:00:00"/>
    <d v="2025-05-19T00:00:00"/>
    <m/>
    <m/>
    <d v="2025-05-16T00:00:00"/>
    <d v="2025-05-18T00:00:00"/>
    <n v="2"/>
    <x v="30"/>
    <m/>
    <d v="2025-07-05T00:00:00"/>
    <m/>
    <d v="2025-07-05T00:00:00"/>
    <d v="2025-07-22T00:00:00"/>
    <m/>
    <m/>
    <b v="0"/>
    <m/>
    <d v="2025-07-22T00:00:00"/>
    <b v="1"/>
    <b v="1"/>
    <b v="0"/>
    <b v="0"/>
    <n v="320"/>
    <n v="4.7761194029850742"/>
    <n v="76"/>
    <m/>
    <n v="17"/>
    <s v="TP"/>
    <n v="0.25"/>
    <n v="26"/>
    <n v="4"/>
    <n v="3"/>
    <n v="4"/>
    <n v="200"/>
    <s v=""/>
    <n v="118"/>
    <s v="General"/>
    <s v="Su"/>
    <n v="916"/>
    <n v="17"/>
    <s v="Herb"/>
    <n v="4"/>
    <s v="None"/>
    <n v="128"/>
    <n v="26"/>
    <n v="1.7187500000000002"/>
    <n v="0"/>
    <n v="0"/>
    <s v=""/>
    <n v="0"/>
    <n v="0"/>
    <s v=""/>
    <n v="1.1000000000000001"/>
    <n v="0"/>
    <s v="Field"/>
    <s v="Dill_x000a_Dill Mix_x000a_"/>
    <n v="0"/>
    <n v="0"/>
    <n v="0"/>
    <n v="0"/>
    <n v="0"/>
    <n v="0"/>
    <n v="18"/>
    <n v="0"/>
    <n v="0"/>
    <n v="0"/>
    <n v="0"/>
    <n v="0"/>
    <n v="0"/>
    <n v="0"/>
    <n v="0"/>
    <n v="0"/>
    <n v="0"/>
    <n v="0"/>
    <n v="0"/>
    <n v="0"/>
    <n v="0"/>
    <n v="0"/>
    <n v="0"/>
    <n v="0"/>
    <n v="0"/>
    <n v="0"/>
    <n v="0"/>
    <n v="0"/>
    <n v="0"/>
    <n v="0"/>
    <n v="320"/>
    <n v="0"/>
    <n v="0"/>
    <n v="0"/>
    <n v="0"/>
    <n v="0"/>
    <n v="0"/>
    <n v="0"/>
    <n v="0"/>
    <n v="0"/>
    <n v="0"/>
    <n v="0"/>
    <n v="0"/>
    <n v="0"/>
    <n v="0"/>
    <n v="0"/>
    <n v="0"/>
    <n v="0"/>
    <b v="1"/>
    <n v="160"/>
    <s v="Bunch"/>
    <s v="Mature Leaf"/>
    <s v="Dill Mature Leaf - Bunch"/>
    <n v="0"/>
    <n v="0"/>
    <n v="0"/>
    <n v="0"/>
    <n v="0"/>
    <n v="0"/>
    <n v="160"/>
    <n v="0"/>
    <n v="0"/>
    <n v="0"/>
    <n v="0"/>
    <n v="0"/>
  </r>
  <r>
    <x v="18"/>
    <x v="64"/>
    <s v="B2"/>
    <n v="50"/>
    <n v="100"/>
    <s v="CIL"/>
    <m/>
    <x v="13"/>
    <x v="16"/>
    <m/>
    <s v="Cruiser High Mowing, Pokey Joe Uprising, Calypso Johnny's"/>
    <n v="412.50000000000006"/>
    <m/>
    <n v="0.25"/>
    <n v="0.5"/>
    <d v="2025-04-23T00:00:00"/>
    <d v="2025-04-23T00:00:00"/>
    <d v="2025-04-20T00:00:00"/>
    <d v="2025-04-20T00:00:00"/>
    <d v="2025-05-23T00:00:00"/>
    <m/>
    <m/>
    <d v="2025-05-20T00:00:00"/>
    <d v="2025-05-18T00:00:00"/>
    <n v="-2"/>
    <x v="30"/>
    <m/>
    <d v="2025-07-09T00:00:00"/>
    <m/>
    <d v="2025-07-09T00:00:00"/>
    <d v="2025-07-23T00:00:00"/>
    <m/>
    <m/>
    <b v="0"/>
    <m/>
    <d v="2025-07-23T00:00:00"/>
    <b v="1"/>
    <b v="1"/>
    <b v="0"/>
    <b v="0"/>
    <n v="300"/>
    <n v="4.6875"/>
    <n v="80"/>
    <m/>
    <n v="14"/>
    <s v="TP"/>
    <n v="0.25"/>
    <n v="30"/>
    <n v="5"/>
    <n v="6"/>
    <n v="3"/>
    <n v="125"/>
    <s v=""/>
    <n v="88"/>
    <s v="General"/>
    <s v="Su"/>
    <n v="920"/>
    <n v="14"/>
    <s v="Herb"/>
    <n v="1"/>
    <s v="None"/>
    <n v="128"/>
    <n v="30"/>
    <n v="1.07421875"/>
    <n v="0"/>
    <n v="0"/>
    <s v=""/>
    <n v="0"/>
    <n v="0"/>
    <s v=""/>
    <n v="1.1000000000000001"/>
    <n v="0"/>
    <s v="Field"/>
    <s v="Cilantro_x000a_Cilantro Mix_x000a_"/>
    <n v="0"/>
    <n v="0"/>
    <n v="0"/>
    <n v="0"/>
    <n v="0"/>
    <n v="0"/>
    <n v="15"/>
    <n v="0"/>
    <n v="0"/>
    <n v="0"/>
    <n v="0"/>
    <n v="0"/>
    <n v="0"/>
    <n v="0"/>
    <n v="0"/>
    <n v="0"/>
    <n v="0"/>
    <n v="0"/>
    <n v="0"/>
    <n v="0"/>
    <n v="0"/>
    <n v="0"/>
    <n v="0"/>
    <n v="0"/>
    <n v="0"/>
    <n v="0"/>
    <n v="0"/>
    <n v="0"/>
    <n v="0"/>
    <n v="0"/>
    <n v="300"/>
    <n v="0"/>
    <n v="0"/>
    <n v="0"/>
    <n v="0"/>
    <n v="0"/>
    <n v="0"/>
    <n v="0"/>
    <n v="0"/>
    <n v="0"/>
    <n v="0"/>
    <n v="0"/>
    <n v="0"/>
    <n v="0"/>
    <n v="0"/>
    <n v="0"/>
    <n v="0"/>
    <n v="0"/>
    <b v="1"/>
    <n v="100"/>
    <s v="Bunch"/>
    <s v="Loose Leaf"/>
    <s v="Cilantro Loose Leaf - Bunch"/>
    <n v="0"/>
    <n v="0"/>
    <n v="0"/>
    <n v="0"/>
    <n v="0"/>
    <n v="0"/>
    <n v="100"/>
    <n v="0"/>
    <n v="0"/>
    <n v="0"/>
    <n v="0"/>
    <n v="0"/>
  </r>
  <r>
    <x v="20"/>
    <x v="65"/>
    <s v="E6"/>
    <n v="53.333333333333329"/>
    <n v="106.66666666666666"/>
    <s v="LET"/>
    <m/>
    <x v="5"/>
    <x v="44"/>
    <s v="Wild Garden"/>
    <s v=""/>
    <n v="180.26666666666665"/>
    <m/>
    <n v="0.4"/>
    <n v="1"/>
    <d v="2025-04-23T00:00:00"/>
    <d v="2025-04-23T00:00:00"/>
    <d v="2025-04-24T00:00:00"/>
    <d v="2025-04-24T00:00:00"/>
    <d v="2025-05-23T00:00:00"/>
    <m/>
    <m/>
    <d v="2025-05-24T00:00:00"/>
    <d v="2025-06-06T00:00:00"/>
    <n v="13"/>
    <x v="32"/>
    <n v="-14"/>
    <d v="2025-07-14T00:00:00"/>
    <m/>
    <d v="2025-07-14T00:00:00"/>
    <d v="2025-07-28T00:00:00"/>
    <m/>
    <m/>
    <b v="0"/>
    <m/>
    <d v="2025-07-28T00:00:00"/>
    <b v="1"/>
    <b v="1"/>
    <b v="0"/>
    <b v="0"/>
    <n v="426.66666666666663"/>
    <n v="5.4008438818565399"/>
    <n v="81"/>
    <m/>
    <n v="14"/>
    <s v="TP"/>
    <n v="0.4"/>
    <n v="30"/>
    <n v="4"/>
    <n v="9"/>
    <n v="1"/>
    <n v="106.66666666666666"/>
    <s v=""/>
    <n v="174"/>
    <s v="4x9"/>
    <s v="Sp"/>
    <n v="925"/>
    <n v="14"/>
    <s v="Green"/>
    <n v="1"/>
    <s v="None"/>
    <n v="128"/>
    <n v="30"/>
    <n v="1.0833333333333333"/>
    <n v="0"/>
    <n v="0"/>
    <s v=""/>
    <n v="0"/>
    <n v="0"/>
    <s v=""/>
    <n v="1.3"/>
    <n v="0"/>
    <s v="Field"/>
    <s v="Lettuce_x000a_Jester_x000a_Wild Garden"/>
    <n v="0"/>
    <n v="0"/>
    <n v="0"/>
    <n v="0"/>
    <n v="0"/>
    <n v="0"/>
    <n v="15"/>
    <n v="0"/>
    <n v="0"/>
    <n v="0"/>
    <n v="0"/>
    <n v="0"/>
    <n v="0"/>
    <n v="0"/>
    <n v="0"/>
    <n v="0"/>
    <n v="0"/>
    <n v="0"/>
    <n v="0"/>
    <n v="0"/>
    <n v="0"/>
    <n v="0"/>
    <n v="0"/>
    <n v="0"/>
    <n v="0"/>
    <n v="0"/>
    <n v="0"/>
    <n v="0"/>
    <n v="0"/>
    <n v="0"/>
    <n v="426.66666666666663"/>
    <n v="0"/>
    <n v="0"/>
    <n v="0"/>
    <n v="0"/>
    <n v="0"/>
    <n v="0"/>
    <n v="0"/>
    <n v="0"/>
    <n v="0"/>
    <n v="0"/>
    <n v="0"/>
    <n v="0"/>
    <n v="0"/>
    <n v="0"/>
    <n v="0"/>
    <n v="0"/>
    <n v="0"/>
    <b v="1"/>
    <n v="106.66666666666666"/>
    <s v="Head"/>
    <s v="Mature Head"/>
    <s v="Lettuce Mature Head - Head"/>
    <n v="0"/>
    <n v="0"/>
    <n v="0"/>
    <n v="0"/>
    <n v="0"/>
    <n v="0"/>
    <n v="106.66666666666666"/>
    <n v="0"/>
    <n v="0"/>
    <n v="0"/>
    <n v="0"/>
    <n v="0"/>
  </r>
  <r>
    <x v="20"/>
    <x v="66"/>
    <s v="H7"/>
    <n v="133.33333333333331"/>
    <n v="266.66666666666663"/>
    <s v="LET"/>
    <m/>
    <x v="5"/>
    <x v="45"/>
    <m/>
    <s v="Jester Wild Garden, Rouge D'Hiver High Mowing, Brown Goldring Wild Garden, Truchas - Pelleted Osborne, Xalbadora Johnny's"/>
    <n v="450.66666666666663"/>
    <m/>
    <n v="1"/>
    <n v="1"/>
    <d v="2025-05-02T00:00:00"/>
    <d v="2025-05-02T00:00:00"/>
    <d v="2025-05-19T00:00:00"/>
    <d v="2025-05-19T00:00:00"/>
    <d v="2025-06-01T00:00:00"/>
    <m/>
    <m/>
    <d v="2025-06-18T00:00:00"/>
    <m/>
    <n v="-45826"/>
    <x v="33"/>
    <n v="-21"/>
    <d v="2025-08-01T00:00:00"/>
    <m/>
    <d v="2025-08-01T00:00:00"/>
    <d v="2025-08-15T00:00:00"/>
    <m/>
    <m/>
    <b v="1"/>
    <m/>
    <d v="2025-08-15T00:00:00"/>
    <b v="1"/>
    <b v="0"/>
    <b v="0"/>
    <b v="0"/>
    <n v="1066.6666666666665"/>
    <n v="13.502109704641349"/>
    <n v="74"/>
    <m/>
    <n v="14"/>
    <s v="TP"/>
    <n v="1"/>
    <n v="30"/>
    <n v="4"/>
    <n v="9"/>
    <n v="1"/>
    <n v="266.66666666666663"/>
    <s v=""/>
    <n v="174"/>
    <s v="4x9"/>
    <s v="Sp"/>
    <n v="943"/>
    <n v="14"/>
    <s v="Green"/>
    <n v="1"/>
    <s v="None"/>
    <n v="128"/>
    <n v="30"/>
    <n v="2.708333333333333"/>
    <n v="0"/>
    <n v="0"/>
    <s v=""/>
    <n v="0"/>
    <n v="0"/>
    <s v=""/>
    <n v="1.3"/>
    <n v="0"/>
    <s v="Field"/>
    <s v="Lettuce_x000a_Cool Lettuce Mix_x000a_"/>
    <n v="0"/>
    <n v="0"/>
    <n v="0"/>
    <n v="0"/>
    <n v="0"/>
    <n v="0"/>
    <n v="0"/>
    <n v="15"/>
    <n v="0"/>
    <n v="0"/>
    <n v="0"/>
    <n v="0"/>
    <n v="0"/>
    <n v="0"/>
    <n v="0"/>
    <n v="0"/>
    <n v="0"/>
    <n v="0"/>
    <n v="0"/>
    <n v="0"/>
    <n v="0"/>
    <n v="0"/>
    <n v="0"/>
    <n v="0"/>
    <n v="0"/>
    <n v="0"/>
    <n v="0"/>
    <n v="0"/>
    <n v="0"/>
    <n v="0"/>
    <n v="0"/>
    <n v="1066.6666666666665"/>
    <n v="0"/>
    <n v="0"/>
    <n v="0"/>
    <n v="0"/>
    <n v="0"/>
    <n v="0"/>
    <n v="0"/>
    <n v="0"/>
    <n v="0"/>
    <n v="0"/>
    <n v="0"/>
    <n v="0"/>
    <n v="0"/>
    <n v="0"/>
    <n v="0"/>
    <n v="0"/>
    <b v="1"/>
    <n v="266.66666666666663"/>
    <s v="Head"/>
    <s v="Mature Head"/>
    <s v="Lettuce Mature Head - Head"/>
    <n v="0"/>
    <n v="0"/>
    <n v="0"/>
    <n v="0"/>
    <n v="0"/>
    <n v="0"/>
    <n v="0"/>
    <n v="266.66666666666663"/>
    <n v="0"/>
    <n v="0"/>
    <n v="0"/>
    <n v="0"/>
  </r>
  <r>
    <x v="51"/>
    <x v="67"/>
    <s v="G6"/>
    <n v="93.333333333333343"/>
    <n v="520"/>
    <s v="BEA"/>
    <m/>
    <x v="28"/>
    <x v="46"/>
    <m/>
    <s v="Marvel of Venice Uprising, Fortex Uprising, Northeaster Johnny's, Dragon Langerie High Mowing, Rattlesnake High Mowing"/>
    <n v="600"/>
    <m/>
    <n v="2"/>
    <n v="2"/>
    <d v="2025-05-06T00:00:00"/>
    <d v="2025-05-06T00:00:00"/>
    <d v="2025-05-19T00:00:00"/>
    <d v="2025-05-19T00:00:00"/>
    <d v="2025-05-20T00:00:00"/>
    <m/>
    <m/>
    <d v="2025-06-02T00:00:00"/>
    <d v="2025-06-05T00:00:00"/>
    <n v="3"/>
    <x v="2"/>
    <m/>
    <d v="2025-08-17T00:00:00"/>
    <m/>
    <d v="2025-08-17T00:00:00"/>
    <d v="2025-09-29T00:00:00"/>
    <m/>
    <m/>
    <b v="1"/>
    <m/>
    <d v="2025-09-29T00:00:00"/>
    <b v="1"/>
    <b v="1"/>
    <b v="0"/>
    <b v="0"/>
    <n v="2080"/>
    <n v="17.478991596638654"/>
    <n v="90"/>
    <m/>
    <n v="43"/>
    <s v="TP"/>
    <n v="2"/>
    <n v="14"/>
    <n v="1"/>
    <n v="6"/>
    <n v="3"/>
    <n v="200"/>
    <s v=""/>
    <n v="23"/>
    <s v="Pole"/>
    <s v="SuFa"/>
    <n v="959"/>
    <n v="43"/>
    <s v="Beans"/>
    <n v="6"/>
    <s v="Early"/>
    <n v="128"/>
    <n v="14"/>
    <n v="1.5625"/>
    <n v="0"/>
    <n v="0"/>
    <s v=""/>
    <n v="0"/>
    <n v="0"/>
    <s v=""/>
    <n v="1"/>
    <n v="0"/>
    <s v="Field"/>
    <s v="Bean_x000a_Pole Bean Mix_x000a_"/>
    <n v="0"/>
    <n v="0"/>
    <n v="0"/>
    <n v="0"/>
    <n v="0"/>
    <n v="0"/>
    <n v="0"/>
    <n v="15"/>
    <n v="29"/>
    <n v="0"/>
    <n v="0"/>
    <n v="0"/>
    <n v="0"/>
    <n v="0"/>
    <n v="0"/>
    <n v="0"/>
    <n v="0"/>
    <n v="0"/>
    <n v="0"/>
    <n v="0"/>
    <n v="0"/>
    <n v="0"/>
    <n v="0"/>
    <n v="0"/>
    <n v="0"/>
    <n v="0"/>
    <n v="0"/>
    <n v="0"/>
    <n v="0"/>
    <n v="0"/>
    <n v="0"/>
    <n v="709.09090909090901"/>
    <n v="1370.9090909090908"/>
    <n v="0"/>
    <n v="0"/>
    <n v="0"/>
    <n v="0"/>
    <n v="0"/>
    <n v="0"/>
    <n v="0"/>
    <n v="0"/>
    <n v="0"/>
    <n v="0"/>
    <n v="0"/>
    <n v="0"/>
    <n v="0"/>
    <n v="0"/>
    <n v="0"/>
    <b v="1"/>
    <n v="260"/>
    <s v="Lb"/>
    <s v="Young Pod"/>
    <s v="Bean Young Pod - Lb"/>
    <n v="0"/>
    <n v="0"/>
    <n v="0"/>
    <n v="0"/>
    <n v="0"/>
    <n v="0"/>
    <n v="0"/>
    <n v="88.636363636363626"/>
    <n v="171.36363636363635"/>
    <n v="0"/>
    <n v="0"/>
    <n v="0"/>
  </r>
  <r>
    <x v="51"/>
    <x v="68"/>
    <s v="I3"/>
    <n v="46.666666666666671"/>
    <n v="260"/>
    <s v="BEA"/>
    <m/>
    <x v="28"/>
    <x v="46"/>
    <m/>
    <s v="Marvel of Venice Uprising, Fortex Uprising, Northeaster Johnny's, Dragon Langerie High Mowing, Rattlesnake High Mowing"/>
    <n v="300"/>
    <m/>
    <n v="1"/>
    <n v="1"/>
    <d v="2025-05-06T00:00:00"/>
    <d v="2025-05-06T00:00:00"/>
    <d v="2025-05-19T00:00:00"/>
    <d v="2025-05-19T00:00:00"/>
    <d v="2025-05-20T00:00:00"/>
    <m/>
    <m/>
    <d v="2025-06-02T00:00:00"/>
    <d v="2025-06-05T00:00:00"/>
    <n v="3"/>
    <x v="2"/>
    <m/>
    <d v="2025-08-17T00:00:00"/>
    <m/>
    <d v="2025-08-17T00:00:00"/>
    <d v="2025-09-29T00:00:00"/>
    <m/>
    <m/>
    <b v="1"/>
    <m/>
    <d v="2025-09-29T00:00:00"/>
    <b v="1"/>
    <b v="1"/>
    <b v="0"/>
    <b v="0"/>
    <n v="1040"/>
    <n v="8.7394957983193269"/>
    <n v="90"/>
    <m/>
    <n v="43"/>
    <s v="TP"/>
    <n v="1"/>
    <n v="14"/>
    <n v="1"/>
    <n v="6"/>
    <n v="3"/>
    <n v="100"/>
    <s v=""/>
    <n v="23"/>
    <s v="Pole"/>
    <s v="SuFa"/>
    <n v="959"/>
    <n v="43"/>
    <s v="Beans"/>
    <n v="6"/>
    <s v="Early"/>
    <n v="128"/>
    <n v="14"/>
    <n v="0.78125"/>
    <n v="0"/>
    <n v="0"/>
    <s v=""/>
    <n v="0"/>
    <n v="0"/>
    <s v=""/>
    <n v="1"/>
    <n v="0"/>
    <s v="Field"/>
    <s v="Bean_x000a_Pole Bean Mix_x000a_"/>
    <n v="0"/>
    <n v="0"/>
    <n v="0"/>
    <n v="0"/>
    <n v="0"/>
    <n v="0"/>
    <n v="0"/>
    <n v="15"/>
    <n v="29"/>
    <n v="0"/>
    <n v="0"/>
    <n v="0"/>
    <n v="0"/>
    <n v="0"/>
    <n v="0"/>
    <n v="0"/>
    <n v="0"/>
    <n v="0"/>
    <n v="0"/>
    <n v="0"/>
    <n v="0"/>
    <n v="0"/>
    <n v="0"/>
    <n v="0"/>
    <n v="0"/>
    <n v="0"/>
    <n v="0"/>
    <n v="0"/>
    <n v="0"/>
    <n v="0"/>
    <n v="0"/>
    <n v="354.5454545454545"/>
    <n v="685.45454545454538"/>
    <n v="0"/>
    <n v="0"/>
    <n v="0"/>
    <n v="0"/>
    <n v="0"/>
    <n v="0"/>
    <n v="0"/>
    <n v="0"/>
    <n v="0"/>
    <n v="0"/>
    <n v="0"/>
    <n v="0"/>
    <n v="0"/>
    <n v="0"/>
    <n v="0"/>
    <b v="1"/>
    <n v="130"/>
    <s v="Lb"/>
    <s v="Young Pod"/>
    <s v="Bean Young Pod - Lb"/>
    <n v="0"/>
    <n v="0"/>
    <n v="0"/>
    <n v="0"/>
    <n v="0"/>
    <n v="0"/>
    <n v="0"/>
    <n v="44.318181818181813"/>
    <n v="85.681818181818173"/>
    <n v="0"/>
    <n v="0"/>
    <n v="0"/>
  </r>
  <r>
    <x v="52"/>
    <x v="69"/>
    <s v="A6"/>
    <n v="12.5"/>
    <n v="100"/>
    <s v="BAS"/>
    <m/>
    <x v="22"/>
    <x v="31"/>
    <m/>
    <s v="Prospera® Active Thai-Thai F1 Basil Johnny's, Golden Mountain Sweet Thai Adaptive, Italian Large Leaf Uprising, Prospera F1 High Mowing, Zanzico Wild Garden"/>
    <n v="260"/>
    <m/>
    <n v="1"/>
    <n v="1"/>
    <d v="2025-05-06T00:00:00"/>
    <d v="2025-05-06T00:00:00"/>
    <d v="2025-05-19T00:00:00"/>
    <d v="2025-05-19T00:00:00"/>
    <d v="2025-06-15T00:00:00"/>
    <m/>
    <m/>
    <d v="2025-06-28T00:00:00"/>
    <m/>
    <n v="-45836"/>
    <x v="34"/>
    <m/>
    <d v="2025-08-22T00:00:00"/>
    <m/>
    <d v="2025-08-22T00:00:00"/>
    <d v="2025-10-10T00:00:00"/>
    <m/>
    <m/>
    <b v="1"/>
    <m/>
    <d v="2025-10-10T00:00:00"/>
    <b v="1"/>
    <b v="0"/>
    <b v="0"/>
    <b v="0"/>
    <n v="325"/>
    <n v="3.125"/>
    <n v="95"/>
    <m/>
    <n v="49"/>
    <s v="TP"/>
    <n v="1"/>
    <n v="40"/>
    <n v="4"/>
    <n v="12"/>
    <n v="1"/>
    <n v="200"/>
    <s v=""/>
    <n v="17"/>
    <s v="Italian"/>
    <s v="SpSuOw"/>
    <n v="964"/>
    <n v="49"/>
    <s v="Herb"/>
    <n v="2"/>
    <s v="None"/>
    <n v="128"/>
    <n v="40"/>
    <n v="2.03125"/>
    <n v="0"/>
    <n v="0"/>
    <s v=""/>
    <n v="0"/>
    <n v="0"/>
    <s v=""/>
    <n v="1.3"/>
    <n v="10"/>
    <s v="Tunnel"/>
    <s v="Basil_x000a_Basil Mix_x000a_"/>
    <n v="0"/>
    <n v="0"/>
    <n v="0"/>
    <n v="0"/>
    <n v="0"/>
    <n v="0"/>
    <n v="0"/>
    <n v="10"/>
    <n v="30"/>
    <n v="10"/>
    <n v="0"/>
    <n v="0"/>
    <n v="0"/>
    <n v="0"/>
    <n v="0"/>
    <n v="0"/>
    <n v="0"/>
    <n v="0"/>
    <n v="0"/>
    <n v="0"/>
    <n v="0"/>
    <n v="0"/>
    <n v="0"/>
    <n v="0"/>
    <n v="0"/>
    <n v="0"/>
    <n v="0"/>
    <n v="0"/>
    <n v="0"/>
    <n v="0"/>
    <n v="0"/>
    <n v="65"/>
    <n v="195"/>
    <n v="65"/>
    <n v="0"/>
    <n v="0"/>
    <n v="0"/>
    <n v="0"/>
    <n v="0"/>
    <n v="0"/>
    <n v="0"/>
    <n v="0"/>
    <n v="0"/>
    <n v="0"/>
    <n v="0"/>
    <n v="0"/>
    <n v="0"/>
    <n v="0"/>
    <b v="1"/>
    <n v="100"/>
    <s v="Bunch"/>
    <s v="Mature Leaf"/>
    <s v="Basil Mature Leaf - Bunch"/>
    <n v="0"/>
    <n v="0"/>
    <n v="0"/>
    <n v="0"/>
    <n v="0"/>
    <n v="0"/>
    <n v="0"/>
    <n v="20"/>
    <n v="60"/>
    <n v="20"/>
    <n v="0"/>
    <n v="0"/>
  </r>
  <r>
    <x v="17"/>
    <x v="70"/>
    <s v="B2"/>
    <n v="56"/>
    <n v="160"/>
    <s v="DIL"/>
    <m/>
    <x v="12"/>
    <x v="15"/>
    <m/>
    <s v="Thalia OG Johnny's, Bouquet OG Osborne, Ambrosia Adaptive, Green Sleeves High Mowing"/>
    <n v="880.00000000000011"/>
    <m/>
    <n v="0.25"/>
    <n v="0.5"/>
    <d v="2025-05-07T00:00:00"/>
    <d v="2025-05-07T00:00:00"/>
    <d v="2025-05-14T00:00:00"/>
    <d v="2025-05-14T00:00:00"/>
    <d v="2025-06-02T00:00:00"/>
    <m/>
    <m/>
    <d v="2025-06-09T00:00:00"/>
    <s v="X"/>
    <e v="#VALUE!"/>
    <x v="35"/>
    <m/>
    <d v="2025-07-29T00:00:00"/>
    <m/>
    <d v="2025-07-29T00:00:00"/>
    <d v="2025-08-15T00:00:00"/>
    <m/>
    <m/>
    <b v="1"/>
    <m/>
    <d v="2025-08-15T00:00:00"/>
    <b v="1"/>
    <b v="0"/>
    <b v="0"/>
    <b v="0"/>
    <n v="320"/>
    <n v="4.7761194029850742"/>
    <n v="76"/>
    <m/>
    <n v="17"/>
    <s v="TP"/>
    <n v="0.25"/>
    <n v="26"/>
    <n v="4"/>
    <n v="3"/>
    <n v="4"/>
    <n v="200"/>
    <s v=""/>
    <n v="118"/>
    <s v="General"/>
    <s v="Su"/>
    <n v="940"/>
    <n v="17"/>
    <s v="Herb"/>
    <n v="4"/>
    <s v="None"/>
    <n v="128"/>
    <n v="26"/>
    <n v="1.7187500000000002"/>
    <n v="0"/>
    <n v="0"/>
    <s v=""/>
    <n v="0"/>
    <n v="0"/>
    <s v=""/>
    <n v="1.1000000000000001"/>
    <n v="0"/>
    <s v="Field"/>
    <s v="Dill_x000a_Dill Mix_x000a_"/>
    <n v="0"/>
    <n v="0"/>
    <n v="0"/>
    <n v="0"/>
    <n v="0"/>
    <n v="0"/>
    <n v="3"/>
    <n v="15"/>
    <n v="0"/>
    <n v="0"/>
    <n v="0"/>
    <n v="0"/>
    <n v="0"/>
    <n v="0"/>
    <n v="0"/>
    <n v="0"/>
    <n v="0"/>
    <n v="0"/>
    <n v="0"/>
    <n v="0"/>
    <n v="0"/>
    <n v="0"/>
    <n v="0"/>
    <n v="0"/>
    <n v="0"/>
    <n v="0"/>
    <n v="0"/>
    <n v="0"/>
    <n v="0"/>
    <n v="0"/>
    <n v="53.333333333333329"/>
    <n v="266.66666666666669"/>
    <n v="0"/>
    <n v="0"/>
    <n v="0"/>
    <n v="0"/>
    <n v="0"/>
    <n v="0"/>
    <n v="0"/>
    <n v="0"/>
    <n v="0"/>
    <n v="0"/>
    <n v="0"/>
    <n v="0"/>
    <n v="0"/>
    <n v="0"/>
    <n v="0"/>
    <n v="0"/>
    <b v="1"/>
    <n v="160"/>
    <s v="Bunch"/>
    <s v="Mature Leaf"/>
    <s v="Dill Mature Leaf - Bunch"/>
    <n v="0"/>
    <n v="0"/>
    <n v="0"/>
    <n v="0"/>
    <n v="0"/>
    <n v="0"/>
    <n v="26.666666666666664"/>
    <n v="133.33333333333334"/>
    <n v="0"/>
    <n v="0"/>
    <n v="0"/>
    <n v="0"/>
  </r>
  <r>
    <x v="18"/>
    <x v="71"/>
    <s v="B2"/>
    <n v="50"/>
    <n v="100"/>
    <s v="CIL"/>
    <m/>
    <x v="13"/>
    <x v="16"/>
    <m/>
    <s v="Cruiser High Mowing, Pokey Joe Uprising, Calypso Johnny's"/>
    <n v="412.50000000000006"/>
    <m/>
    <n v="0.25"/>
    <n v="0.5"/>
    <d v="2025-05-07T00:00:00"/>
    <d v="2025-05-07T00:00:00"/>
    <d v="2025-05-14T00:00:00"/>
    <d v="2025-05-14T00:00:00"/>
    <d v="2025-06-06T00:00:00"/>
    <m/>
    <m/>
    <d v="2025-06-13T00:00:00"/>
    <s v="X"/>
    <e v="#VALUE!"/>
    <x v="16"/>
    <m/>
    <d v="2025-08-02T00:00:00"/>
    <m/>
    <d v="2025-08-02T00:00:00"/>
    <d v="2025-08-16T00:00:00"/>
    <m/>
    <m/>
    <b v="1"/>
    <m/>
    <d v="2025-08-16T00:00:00"/>
    <b v="1"/>
    <b v="0"/>
    <b v="0"/>
    <b v="0"/>
    <n v="300"/>
    <n v="4.6875"/>
    <n v="80"/>
    <m/>
    <n v="14"/>
    <s v="TP"/>
    <n v="0.25"/>
    <n v="30"/>
    <n v="5"/>
    <n v="6"/>
    <n v="3"/>
    <n v="125"/>
    <s v=""/>
    <n v="88"/>
    <s v="General"/>
    <s v="Su"/>
    <n v="944"/>
    <n v="14"/>
    <s v="Herb"/>
    <n v="1"/>
    <s v="None"/>
    <n v="128"/>
    <n v="30"/>
    <n v="1.07421875"/>
    <n v="0"/>
    <n v="0"/>
    <s v=""/>
    <n v="0"/>
    <n v="0"/>
    <s v=""/>
    <n v="1.1000000000000001"/>
    <n v="0"/>
    <s v="Field"/>
    <s v="Cilantro_x000a_Cilantro Mix_x000a_"/>
    <n v="0"/>
    <n v="0"/>
    <n v="0"/>
    <n v="0"/>
    <n v="0"/>
    <n v="0"/>
    <n v="0"/>
    <n v="15"/>
    <n v="0"/>
    <n v="0"/>
    <n v="0"/>
    <n v="0"/>
    <n v="0"/>
    <n v="0"/>
    <n v="0"/>
    <n v="0"/>
    <n v="0"/>
    <n v="0"/>
    <n v="0"/>
    <n v="0"/>
    <n v="0"/>
    <n v="0"/>
    <n v="0"/>
    <n v="0"/>
    <n v="0"/>
    <n v="0"/>
    <n v="0"/>
    <n v="0"/>
    <n v="0"/>
    <n v="0"/>
    <n v="0"/>
    <n v="300"/>
    <n v="0"/>
    <n v="0"/>
    <n v="0"/>
    <n v="0"/>
    <n v="0"/>
    <n v="0"/>
    <n v="0"/>
    <n v="0"/>
    <n v="0"/>
    <n v="0"/>
    <n v="0"/>
    <n v="0"/>
    <n v="0"/>
    <n v="0"/>
    <n v="0"/>
    <n v="0"/>
    <b v="1"/>
    <n v="100"/>
    <s v="Bunch"/>
    <s v="Loose Leaf"/>
    <s v="Cilantro Loose Leaf - Bunch"/>
    <n v="0"/>
    <n v="0"/>
    <n v="0"/>
    <n v="0"/>
    <n v="0"/>
    <n v="0"/>
    <n v="0"/>
    <n v="100"/>
    <n v="0"/>
    <n v="0"/>
    <n v="0"/>
    <n v="0"/>
  </r>
  <r>
    <x v="34"/>
    <x v="72"/>
    <s v="I5"/>
    <n v="41.714814814814808"/>
    <n v="178.77777777777774"/>
    <s v="LET"/>
    <m/>
    <x v="5"/>
    <x v="5"/>
    <m/>
    <s v="Green Sweet Crisp Johnny's, Intercut Johnny's, Red Sweet Crisp Johnny's, Salanova Red Oak Leaf Johnny's"/>
    <n v="450.66666666666663"/>
    <m/>
    <n v="1"/>
    <n v="1"/>
    <d v="2025-05-13T00:00:00"/>
    <d v="2025-05-13T00:00:00"/>
    <d v="2025-05-14T00:00:00"/>
    <d v="2025-05-14T00:00:00"/>
    <d v="2025-06-12T00:00:00"/>
    <m/>
    <m/>
    <d v="2025-06-13T00:00:00"/>
    <s v="X"/>
    <e v="#VALUE!"/>
    <x v="16"/>
    <m/>
    <d v="2025-07-23T00:00:00"/>
    <m/>
    <d v="2025-07-23T00:00:00"/>
    <d v="2025-08-19T00:00:00"/>
    <m/>
    <m/>
    <b v="1"/>
    <m/>
    <d v="2025-08-19T00:00:00"/>
    <b v="1"/>
    <b v="0"/>
    <b v="0"/>
    <b v="0"/>
    <n v="1340.833333333333"/>
    <n v="20.012437810945269"/>
    <n v="70"/>
    <m/>
    <n v="27"/>
    <s v="TP"/>
    <n v="1"/>
    <n v="30"/>
    <n v="4"/>
    <n v="9"/>
    <n v="1"/>
    <n v="266.66666666666663"/>
    <s v=""/>
    <n v="192"/>
    <s v="Salanova"/>
    <s v="SuFa"/>
    <n v="934"/>
    <n v="27"/>
    <n v="0"/>
    <n v="0"/>
    <n v="0"/>
    <n v="128"/>
    <n v="30"/>
    <n v="2.708333333333333"/>
    <n v="0"/>
    <n v="0"/>
    <s v=""/>
    <n v="0"/>
    <n v="0"/>
    <s v=""/>
    <n v="1.3"/>
    <n v="0"/>
    <s v="Field"/>
    <s v="Lettuce_x000a_Salanova Mix_x000a_"/>
    <n v="0"/>
    <n v="0"/>
    <n v="0"/>
    <n v="0"/>
    <n v="0"/>
    <n v="0"/>
    <n v="9"/>
    <n v="19"/>
    <n v="0"/>
    <n v="0"/>
    <n v="0"/>
    <n v="0"/>
    <n v="0"/>
    <n v="0"/>
    <n v="0"/>
    <n v="0"/>
    <n v="0"/>
    <n v="0"/>
    <n v="0"/>
    <n v="0"/>
    <n v="0"/>
    <n v="0"/>
    <n v="0"/>
    <n v="0"/>
    <n v="0"/>
    <n v="0"/>
    <n v="0"/>
    <n v="0"/>
    <n v="0"/>
    <n v="0"/>
    <n v="430.98214285714278"/>
    <n v="909.85119047619037"/>
    <n v="0"/>
    <n v="0"/>
    <n v="0"/>
    <n v="0"/>
    <n v="0"/>
    <n v="0"/>
    <n v="0"/>
    <n v="0"/>
    <n v="0"/>
    <n v="0"/>
    <n v="0"/>
    <n v="0"/>
    <n v="0"/>
    <n v="0"/>
    <n v="0"/>
    <n v="0"/>
    <b v="1"/>
    <n v="134.08333333333331"/>
    <s v="Lb"/>
    <s v="Loose Leaf"/>
    <s v="Lettuce Loose Leaf - Lb"/>
    <n v="0"/>
    <n v="0"/>
    <n v="0"/>
    <n v="0"/>
    <n v="0"/>
    <n v="0"/>
    <n v="43.098214285714285"/>
    <n v="90.985119047619037"/>
    <n v="0"/>
    <n v="0"/>
    <n v="0"/>
    <n v="0"/>
  </r>
  <r>
    <x v="20"/>
    <x v="73"/>
    <s v="E8"/>
    <n v="53.333333333333329"/>
    <n v="106.66666666666666"/>
    <s v="LET"/>
    <m/>
    <x v="5"/>
    <x v="47"/>
    <s v="Osborne"/>
    <s v=""/>
    <n v="180.26666666666665"/>
    <m/>
    <n v="0.4"/>
    <n v="1"/>
    <d v="2025-05-14T00:00:00"/>
    <d v="2025-05-14T00:00:00"/>
    <d v="2025-05-14T00:00:00"/>
    <d v="2025-05-14T00:00:00"/>
    <d v="2025-06-13T00:00:00"/>
    <m/>
    <m/>
    <d v="2025-06-13T00:00:00"/>
    <s v="X"/>
    <e v="#VALUE!"/>
    <x v="16"/>
    <n v="-21"/>
    <d v="2025-07-27T00:00:00"/>
    <m/>
    <d v="2025-07-27T00:00:00"/>
    <d v="2025-08-10T00:00:00"/>
    <m/>
    <m/>
    <b v="1"/>
    <m/>
    <d v="2025-08-10T00:00:00"/>
    <b v="1"/>
    <b v="0"/>
    <b v="0"/>
    <b v="0"/>
    <n v="426.66666666666663"/>
    <n v="5.4008438818565399"/>
    <n v="74"/>
    <m/>
    <n v="14"/>
    <s v="TP"/>
    <n v="0.4"/>
    <n v="30"/>
    <n v="4"/>
    <n v="9"/>
    <n v="1"/>
    <n v="106.66666666666666"/>
    <s v=""/>
    <n v="174"/>
    <s v="4x9"/>
    <s v="Sp"/>
    <n v="938"/>
    <n v="14"/>
    <s v="Green"/>
    <n v="1"/>
    <s v="None"/>
    <n v="128"/>
    <n v="30"/>
    <n v="1.0833333333333333"/>
    <n v="0"/>
    <n v="0"/>
    <s v=""/>
    <n v="0"/>
    <n v="0"/>
    <s v=""/>
    <n v="1.3"/>
    <n v="0"/>
    <s v="Field"/>
    <s v="Lettuce_x000a_Truchas - Pelleted_x000a_Osborne"/>
    <n v="0"/>
    <n v="0"/>
    <n v="0"/>
    <n v="0"/>
    <n v="0"/>
    <n v="0"/>
    <n v="5"/>
    <n v="10"/>
    <n v="0"/>
    <n v="0"/>
    <n v="0"/>
    <n v="0"/>
    <n v="0"/>
    <n v="0"/>
    <n v="0"/>
    <n v="0"/>
    <n v="0"/>
    <n v="0"/>
    <n v="0"/>
    <n v="0"/>
    <n v="0"/>
    <n v="0"/>
    <n v="0"/>
    <n v="0"/>
    <n v="0"/>
    <n v="0"/>
    <n v="0"/>
    <n v="0"/>
    <n v="0"/>
    <n v="0"/>
    <n v="142.2222222222222"/>
    <n v="284.4444444444444"/>
    <n v="0"/>
    <n v="0"/>
    <n v="0"/>
    <n v="0"/>
    <n v="0"/>
    <n v="0"/>
    <n v="0"/>
    <n v="0"/>
    <n v="0"/>
    <n v="0"/>
    <n v="0"/>
    <n v="0"/>
    <n v="0"/>
    <n v="0"/>
    <n v="0"/>
    <n v="0"/>
    <b v="1"/>
    <n v="106.66666666666666"/>
    <s v="Head"/>
    <s v="Mature Head"/>
    <s v="Lettuce Mature Head - Head"/>
    <n v="0"/>
    <n v="0"/>
    <n v="0"/>
    <n v="0"/>
    <n v="0"/>
    <n v="0"/>
    <n v="35.55555555555555"/>
    <n v="71.1111111111111"/>
    <n v="0"/>
    <n v="0"/>
    <n v="0"/>
    <n v="0"/>
  </r>
  <r>
    <x v="9"/>
    <x v="74"/>
    <s v="I2"/>
    <n v="50"/>
    <n v="100"/>
    <s v="SCA"/>
    <m/>
    <x v="8"/>
    <x v="8"/>
    <m/>
    <s v="Ishikura Long Winter Uprising, Parade High Mowing, White Spear Adaptive"/>
    <n v="1320"/>
    <m/>
    <n v="0.5"/>
    <n v="0.5"/>
    <d v="2025-05-25T00:00:00"/>
    <d v="2025-05-25T00:00:00"/>
    <d v="2025-05-19T00:00:00"/>
    <d v="2025-05-19T00:00:00"/>
    <d v="2025-07-06T00:00:00"/>
    <m/>
    <m/>
    <d v="2025-06-30T00:00:00"/>
    <m/>
    <n v="-45838"/>
    <x v="11"/>
    <m/>
    <d v="2025-08-19T00:00:00"/>
    <m/>
    <d v="2025-08-19T00:00:00"/>
    <d v="2025-09-02T00:00:00"/>
    <m/>
    <m/>
    <b v="1"/>
    <m/>
    <d v="2025-09-02T00:00:00"/>
    <b v="1"/>
    <b v="0"/>
    <b v="0"/>
    <b v="0"/>
    <n v="250"/>
    <n v="3.90625"/>
    <n v="92"/>
    <m/>
    <n v="14"/>
    <s v="TP"/>
    <n v="0.5"/>
    <n v="42"/>
    <n v="4"/>
    <n v="6"/>
    <n v="6"/>
    <n v="200"/>
    <s v=""/>
    <n v="282"/>
    <s v="General"/>
    <s v="Sp"/>
    <n v="961"/>
    <n v="14"/>
    <s v="Onion"/>
    <n v="1.5"/>
    <s v="None"/>
    <n v="128"/>
    <n v="42"/>
    <n v="1.7187500000000002"/>
    <n v="0"/>
    <n v="0"/>
    <s v=""/>
    <n v="0"/>
    <n v="0"/>
    <s v=""/>
    <n v="1.1000000000000001"/>
    <n v="17"/>
    <s v="Field"/>
    <s v="Scallion_x000a_Scallion Mix_x000a_"/>
    <n v="0"/>
    <n v="0"/>
    <n v="0"/>
    <n v="0"/>
    <n v="0"/>
    <n v="0"/>
    <n v="0"/>
    <n v="13"/>
    <n v="2"/>
    <n v="0"/>
    <n v="0"/>
    <n v="0"/>
    <n v="0"/>
    <n v="0"/>
    <n v="0"/>
    <n v="0"/>
    <n v="0"/>
    <n v="0"/>
    <n v="0"/>
    <n v="0"/>
    <n v="0"/>
    <n v="0"/>
    <n v="0"/>
    <n v="0"/>
    <n v="0"/>
    <n v="0"/>
    <n v="0"/>
    <n v="0"/>
    <n v="0"/>
    <n v="0"/>
    <n v="0"/>
    <n v="216.66666666666669"/>
    <n v="33.333333333333336"/>
    <n v="0"/>
    <n v="0"/>
    <n v="0"/>
    <n v="0"/>
    <n v="0"/>
    <n v="0"/>
    <n v="0"/>
    <n v="0"/>
    <n v="0"/>
    <n v="0"/>
    <n v="0"/>
    <n v="0"/>
    <n v="0"/>
    <n v="0"/>
    <n v="0"/>
    <b v="1"/>
    <n v="100"/>
    <s v="Bunch"/>
    <s v="Mature Stalk"/>
    <s v="Scallion Mature Stalk - Bunch"/>
    <n v="0"/>
    <n v="0"/>
    <n v="0"/>
    <n v="0"/>
    <n v="0"/>
    <n v="0"/>
    <n v="0"/>
    <n v="86.666666666666671"/>
    <n v="13.333333333333334"/>
    <n v="0"/>
    <n v="0"/>
    <n v="0"/>
  </r>
  <r>
    <x v="53"/>
    <x v="75"/>
    <s v="E1"/>
    <n v="120"/>
    <n v="240"/>
    <s v="RAD"/>
    <m/>
    <x v="29"/>
    <x v="48"/>
    <m/>
    <s v="Beatrice Uprising, Regina Rossa Uprising"/>
    <n v="312"/>
    <m/>
    <n v="1.6"/>
    <n v="4"/>
    <d v="2025-05-31T00:00:00"/>
    <d v="2025-05-31T00:00:00"/>
    <m/>
    <d v="2025-05-31T00:00:00"/>
    <d v="2025-06-30T00:00:00"/>
    <m/>
    <m/>
    <d v="2025-06-30T00:00:00"/>
    <m/>
    <n v="-45838"/>
    <x v="11"/>
    <m/>
    <d v="2025-09-28T00:00:00"/>
    <m/>
    <d v="2025-09-28T00:00:00"/>
    <d v="2025-10-12T00:00:00"/>
    <m/>
    <m/>
    <b v="0"/>
    <m/>
    <d v="2025-10-12T00:00:00"/>
    <b v="0"/>
    <b v="0"/>
    <b v="0"/>
    <b v="0"/>
    <n v="1440"/>
    <n v="13.846153846153847"/>
    <n v="120"/>
    <m/>
    <n v="14"/>
    <s v="TP"/>
    <n v="1.6"/>
    <n v="30"/>
    <n v="3"/>
    <n v="12"/>
    <n v="1"/>
    <n v="240"/>
    <s v=""/>
    <n v="251"/>
    <s v="90 Day"/>
    <s v="Su"/>
    <n v="1001"/>
    <n v="14"/>
    <s v="Green"/>
    <n v="1.5"/>
    <s v="None"/>
    <n v="72"/>
    <n v="30"/>
    <n v="4.3333333333333339"/>
    <n v="0"/>
    <n v="0"/>
    <s v=""/>
    <n v="0"/>
    <n v="0"/>
    <s v=""/>
    <n v="1.3"/>
    <n v="0"/>
    <s v="Field"/>
    <s v="Radicchio_x000a_90 Mix_x000a_"/>
    <n v="0"/>
    <n v="0"/>
    <n v="0"/>
    <n v="0"/>
    <n v="0"/>
    <n v="0"/>
    <n v="0"/>
    <n v="0"/>
    <n v="3"/>
    <n v="12"/>
    <n v="0"/>
    <n v="0"/>
    <n v="0"/>
    <n v="0"/>
    <n v="0"/>
    <n v="0"/>
    <n v="0"/>
    <n v="0"/>
    <n v="0"/>
    <n v="0"/>
    <n v="0"/>
    <n v="0"/>
    <n v="0"/>
    <n v="0"/>
    <n v="0"/>
    <n v="0"/>
    <n v="0"/>
    <n v="0"/>
    <n v="0"/>
    <n v="0"/>
    <n v="0"/>
    <n v="0"/>
    <n v="288"/>
    <n v="1152"/>
    <n v="0"/>
    <n v="0"/>
    <n v="0"/>
    <n v="0"/>
    <n v="0"/>
    <n v="0"/>
    <n v="0"/>
    <n v="0"/>
    <n v="0"/>
    <n v="0"/>
    <n v="0"/>
    <n v="0"/>
    <n v="0"/>
    <n v="0"/>
    <b v="1"/>
    <n v="240"/>
    <s v="Head"/>
    <s v="Forced Head"/>
    <s v="Radicchio Forced Head - Head"/>
    <n v="0"/>
    <n v="0"/>
    <n v="0"/>
    <n v="0"/>
    <n v="0"/>
    <n v="0"/>
    <n v="0"/>
    <n v="0"/>
    <n v="48"/>
    <n v="192"/>
    <n v="0"/>
    <n v="0"/>
  </r>
  <r>
    <x v="54"/>
    <x v="76"/>
    <s v="I7"/>
    <n v="33.333333333333336"/>
    <n v="200"/>
    <s v="BEE"/>
    <m/>
    <x v="18"/>
    <x v="25"/>
    <m/>
    <s v="Badger Flame High Mowing, Boro F1 High Mowing, Chiogga Adaptive"/>
    <n v="990.00000000000011"/>
    <m/>
    <n v="2"/>
    <n v="2"/>
    <d v="2025-05-31T00:00:00"/>
    <d v="2025-05-31T00:00:00"/>
    <m/>
    <d v="2025-05-31T00:00:00"/>
    <d v="2025-07-05T00:00:00"/>
    <m/>
    <m/>
    <d v="2025-07-05T00:00:00"/>
    <m/>
    <n v="-45843"/>
    <x v="36"/>
    <m/>
    <d v="2025-08-19T00:00:00"/>
    <m/>
    <d v="2025-08-19T00:00:00"/>
    <d v="2025-09-23T00:00:00"/>
    <m/>
    <m/>
    <b v="1"/>
    <m/>
    <d v="2025-09-23T00:00:00"/>
    <b v="0"/>
    <b v="0"/>
    <b v="0"/>
    <b v="0"/>
    <n v="800"/>
    <n v="10"/>
    <n v="80"/>
    <m/>
    <n v="35"/>
    <s v="TP"/>
    <n v="2"/>
    <n v="35"/>
    <n v="3"/>
    <n v="12"/>
    <n v="3"/>
    <n v="300"/>
    <s v=""/>
    <n v="33"/>
    <s v="General"/>
    <s v="SuFa"/>
    <n v="961"/>
    <n v="35"/>
    <s v="Root"/>
    <n v="1"/>
    <s v="Late"/>
    <n v="128"/>
    <n v="35"/>
    <n v="6"/>
    <n v="0"/>
    <n v="0"/>
    <s v=""/>
    <n v="0"/>
    <n v="0"/>
    <s v=""/>
    <n v="1.1000000000000001"/>
    <n v="0"/>
    <s v="Field"/>
    <s v="Beet_x000a_Beet Mix_x000a_"/>
    <n v="0"/>
    <n v="0"/>
    <n v="0"/>
    <n v="0"/>
    <n v="0"/>
    <n v="0"/>
    <n v="0"/>
    <n v="13"/>
    <n v="23"/>
    <n v="0"/>
    <n v="0"/>
    <n v="0"/>
    <n v="0"/>
    <n v="0"/>
    <n v="0"/>
    <n v="0"/>
    <n v="0"/>
    <n v="0"/>
    <n v="0"/>
    <n v="0"/>
    <n v="0"/>
    <n v="0"/>
    <n v="0"/>
    <n v="0"/>
    <n v="0"/>
    <n v="0"/>
    <n v="0"/>
    <n v="0"/>
    <n v="0"/>
    <n v="0"/>
    <n v="0"/>
    <n v="288.88888888888886"/>
    <n v="511.11111111111109"/>
    <n v="0"/>
    <n v="0"/>
    <n v="0"/>
    <n v="0"/>
    <n v="0"/>
    <n v="0"/>
    <n v="0"/>
    <n v="0"/>
    <n v="0"/>
    <n v="0"/>
    <n v="0"/>
    <n v="0"/>
    <n v="0"/>
    <n v="0"/>
    <n v="0"/>
    <b v="1"/>
    <n v="200"/>
    <s v="Bunch"/>
    <s v="Mature Root"/>
    <s v="Beet Mature Root - Bunch"/>
    <n v="0"/>
    <n v="0"/>
    <n v="0"/>
    <n v="0"/>
    <n v="0"/>
    <n v="0"/>
    <n v="0"/>
    <n v="72.222222222222214"/>
    <n v="127.77777777777777"/>
    <n v="0"/>
    <n v="0"/>
    <n v="0"/>
  </r>
  <r>
    <x v="34"/>
    <x v="77"/>
    <s v="I6"/>
    <n v="41.714814814814808"/>
    <n v="178.77777777777774"/>
    <s v="LET"/>
    <m/>
    <x v="5"/>
    <x v="5"/>
    <m/>
    <s v="Green Sweet Crisp Johnny's, Intercut Johnny's, Red Sweet Crisp Johnny's, Salanova Red Oak Leaf Johnny's"/>
    <n v="450.66666666666663"/>
    <m/>
    <n v="1"/>
    <n v="1"/>
    <d v="2025-06-03T00:00:00"/>
    <d v="2025-06-03T00:00:00"/>
    <m/>
    <d v="2025-06-03T00:00:00"/>
    <d v="2025-07-03T00:00:00"/>
    <m/>
    <m/>
    <d v="2025-07-03T00:00:00"/>
    <m/>
    <n v="-45841"/>
    <x v="37"/>
    <m/>
    <d v="2025-08-12T00:00:00"/>
    <m/>
    <d v="2025-08-12T00:00:00"/>
    <d v="2025-09-08T00:00:00"/>
    <m/>
    <m/>
    <b v="1"/>
    <m/>
    <d v="2025-09-08T00:00:00"/>
    <b v="0"/>
    <b v="0"/>
    <b v="0"/>
    <b v="0"/>
    <n v="1340.833333333333"/>
    <n v="20.012437810945269"/>
    <n v="70"/>
    <m/>
    <n v="27"/>
    <s v="TP"/>
    <n v="1"/>
    <n v="30"/>
    <n v="4"/>
    <n v="9"/>
    <n v="1"/>
    <n v="266.66666666666663"/>
    <s v=""/>
    <n v="192"/>
    <s v="Salanova"/>
    <s v="SuFa"/>
    <n v="954"/>
    <n v="27"/>
    <n v="0"/>
    <n v="0"/>
    <n v="0"/>
    <n v="128"/>
    <n v="30"/>
    <n v="2.708333333333333"/>
    <n v="0"/>
    <n v="0"/>
    <s v=""/>
    <n v="0"/>
    <n v="0"/>
    <s v=""/>
    <n v="1.3"/>
    <n v="0"/>
    <s v="Field"/>
    <s v="Lettuce_x000a_Salanova Mix_x000a_"/>
    <n v="0"/>
    <n v="0"/>
    <n v="0"/>
    <n v="0"/>
    <n v="0"/>
    <n v="0"/>
    <n v="0"/>
    <n v="20"/>
    <n v="8"/>
    <n v="0"/>
    <n v="0"/>
    <n v="0"/>
    <n v="0"/>
    <n v="0"/>
    <n v="0"/>
    <n v="0"/>
    <n v="0"/>
    <n v="0"/>
    <n v="0"/>
    <n v="0"/>
    <n v="0"/>
    <n v="0"/>
    <n v="0"/>
    <n v="0"/>
    <n v="0"/>
    <n v="0"/>
    <n v="0"/>
    <n v="0"/>
    <n v="0"/>
    <n v="0"/>
    <n v="0"/>
    <n v="957.73809523809507"/>
    <n v="383.09523809523796"/>
    <n v="0"/>
    <n v="0"/>
    <n v="0"/>
    <n v="0"/>
    <n v="0"/>
    <n v="0"/>
    <n v="0"/>
    <n v="0"/>
    <n v="0"/>
    <n v="0"/>
    <n v="0"/>
    <n v="0"/>
    <n v="0"/>
    <n v="0"/>
    <n v="0"/>
    <b v="1"/>
    <n v="134.08333333333331"/>
    <s v="Lb"/>
    <s v="Loose Leaf"/>
    <s v="Lettuce Loose Leaf - Lb"/>
    <n v="0"/>
    <n v="0"/>
    <n v="0"/>
    <n v="0"/>
    <n v="0"/>
    <n v="0"/>
    <n v="0"/>
    <n v="95.773809523809518"/>
    <n v="38.309523809523803"/>
    <n v="0"/>
    <n v="0"/>
    <n v="0"/>
  </r>
  <r>
    <x v="55"/>
    <x v="78"/>
    <s v="E5"/>
    <n v="53.333333333333329"/>
    <n v="106.66666666666666"/>
    <s v="LET"/>
    <m/>
    <x v="5"/>
    <x v="49"/>
    <s v="Uprising"/>
    <s v=""/>
    <n v="180.26666666666665"/>
    <m/>
    <n v="0.4"/>
    <n v="1"/>
    <d v="2025-06-04T00:00:00"/>
    <d v="2025-06-04T00:00:00"/>
    <m/>
    <d v="2025-06-04T00:00:00"/>
    <d v="2025-07-04T00:00:00"/>
    <m/>
    <m/>
    <d v="2025-07-04T00:00:00"/>
    <m/>
    <n v="-45842"/>
    <x v="38"/>
    <m/>
    <d v="2025-08-13T00:00:00"/>
    <m/>
    <d v="2025-08-13T00:00:00"/>
    <d v="2025-08-27T00:00:00"/>
    <m/>
    <m/>
    <b v="1"/>
    <m/>
    <d v="2025-08-27T00:00:00"/>
    <b v="0"/>
    <b v="0"/>
    <b v="0"/>
    <b v="0"/>
    <n v="426.66666666666663"/>
    <n v="7.9012345679012341"/>
    <n v="70"/>
    <m/>
    <n v="14"/>
    <s v="TP"/>
    <n v="0.4"/>
    <n v="30"/>
    <n v="4"/>
    <n v="9"/>
    <n v="1"/>
    <n v="106.66666666666666"/>
    <s v=""/>
    <n v="175"/>
    <s v="4x9"/>
    <s v="SuFa"/>
    <n v="955"/>
    <n v="14"/>
    <s v="Green"/>
    <n v="1"/>
    <s v="None"/>
    <n v="128"/>
    <n v="30"/>
    <n v="1.0833333333333333"/>
    <n v="0"/>
    <n v="0"/>
    <s v=""/>
    <n v="0"/>
    <n v="0"/>
    <s v=""/>
    <n v="1.3"/>
    <n v="0"/>
    <s v="Field"/>
    <s v="Lettuce_x000a_Summertime_x000a_Uprising"/>
    <n v="0"/>
    <n v="0"/>
    <n v="0"/>
    <n v="0"/>
    <n v="0"/>
    <n v="0"/>
    <n v="0"/>
    <n v="15"/>
    <n v="0"/>
    <n v="0"/>
    <n v="0"/>
    <n v="0"/>
    <n v="0"/>
    <n v="0"/>
    <n v="0"/>
    <n v="0"/>
    <n v="0"/>
    <n v="0"/>
    <n v="0"/>
    <n v="0"/>
    <n v="0"/>
    <n v="0"/>
    <n v="0"/>
    <n v="0"/>
    <n v="0"/>
    <n v="0"/>
    <n v="0"/>
    <n v="0"/>
    <n v="0"/>
    <n v="0"/>
    <n v="0"/>
    <n v="426.66666666666663"/>
    <n v="0"/>
    <n v="0"/>
    <n v="0"/>
    <n v="0"/>
    <n v="0"/>
    <n v="0"/>
    <n v="0"/>
    <n v="0"/>
    <n v="0"/>
    <n v="0"/>
    <n v="0"/>
    <n v="0"/>
    <n v="0"/>
    <n v="0"/>
    <n v="0"/>
    <n v="0"/>
    <b v="1"/>
    <n v="106.66666666666666"/>
    <s v="Head"/>
    <s v="Mature Head"/>
    <s v="Lettuce Mature Head - Head"/>
    <n v="0"/>
    <n v="0"/>
    <n v="0"/>
    <n v="0"/>
    <n v="0"/>
    <n v="0"/>
    <n v="0"/>
    <n v="106.66666666666666"/>
    <n v="0"/>
    <n v="0"/>
    <n v="0"/>
    <n v="0"/>
  </r>
  <r>
    <x v="56"/>
    <x v="79"/>
    <s v="F5"/>
    <n v="40"/>
    <n v="80"/>
    <s v="CAB"/>
    <m/>
    <x v="6"/>
    <x v="50"/>
    <m/>
    <s v="Bilko F1 High Mowing, Emiko F1 High Mowing, Merlot Johnny's"/>
    <n v="176"/>
    <m/>
    <n v="1"/>
    <n v="1"/>
    <d v="2025-06-09T00:00:00"/>
    <d v="2025-06-09T00:00:00"/>
    <m/>
    <d v="2025-06-09T00:00:00"/>
    <d v="2025-07-07T00:00:00"/>
    <m/>
    <m/>
    <d v="2025-07-07T00:00:00"/>
    <m/>
    <n v="-45845"/>
    <x v="39"/>
    <m/>
    <d v="2025-09-02T00:00:00"/>
    <m/>
    <d v="2025-09-02T00:00:00"/>
    <d v="2025-09-16T00:00:00"/>
    <m/>
    <m/>
    <b v="0"/>
    <m/>
    <d v="2025-09-16T00:00:00"/>
    <b v="0"/>
    <b v="0"/>
    <b v="0"/>
    <b v="0"/>
    <n v="360"/>
    <n v="5.070422535211268"/>
    <n v="85"/>
    <m/>
    <n v="14"/>
    <s v="TP"/>
    <n v="1"/>
    <n v="28"/>
    <n v="2"/>
    <n v="15"/>
    <n v="1"/>
    <n v="80"/>
    <s v=""/>
    <n v="48"/>
    <s v="Chinese"/>
    <s v="Wi"/>
    <n v="975"/>
    <n v="14"/>
    <s v="Brassica"/>
    <n v="2"/>
    <s v="AMAP"/>
    <n v="400"/>
    <n v="7"/>
    <n v="0.22000000000000003"/>
    <n v="72"/>
    <n v="21"/>
    <n v="1.2222222222222223"/>
    <n v="0"/>
    <n v="0"/>
    <s v=""/>
    <n v="1.1000000000000001"/>
    <n v="0"/>
    <s v="Field"/>
    <s v="Cabbage_x000a_Chinese Cabbage Mix_x000a_"/>
    <n v="0"/>
    <n v="0"/>
    <n v="0"/>
    <n v="0"/>
    <n v="0"/>
    <n v="0"/>
    <n v="0"/>
    <n v="0"/>
    <n v="15"/>
    <n v="0"/>
    <n v="0"/>
    <n v="0"/>
    <n v="0"/>
    <n v="0"/>
    <n v="0"/>
    <n v="0"/>
    <n v="0"/>
    <n v="0"/>
    <n v="0"/>
    <n v="0"/>
    <n v="0"/>
    <n v="0"/>
    <n v="0"/>
    <n v="0"/>
    <n v="0"/>
    <n v="0"/>
    <n v="0"/>
    <n v="0"/>
    <n v="0"/>
    <n v="0"/>
    <n v="0"/>
    <n v="0"/>
    <n v="360"/>
    <n v="0"/>
    <n v="0"/>
    <n v="0"/>
    <n v="0"/>
    <n v="0"/>
    <n v="0"/>
    <n v="0"/>
    <n v="0"/>
    <n v="0"/>
    <n v="0"/>
    <n v="0"/>
    <n v="0"/>
    <n v="0"/>
    <n v="0"/>
    <n v="0"/>
    <b v="1"/>
    <n v="80"/>
    <s v="Head"/>
    <s v="Large Head"/>
    <s v="Cabbage Large Head - Head"/>
    <n v="0"/>
    <n v="0"/>
    <n v="0"/>
    <n v="0"/>
    <n v="0"/>
    <n v="0"/>
    <n v="0"/>
    <n v="0"/>
    <n v="80"/>
    <n v="0"/>
    <n v="0"/>
    <n v="0"/>
  </r>
  <r>
    <x v="57"/>
    <x v="80"/>
    <s v="F6"/>
    <n v="75"/>
    <n v="150"/>
    <s v="CAB"/>
    <m/>
    <x v="6"/>
    <x v="51"/>
    <m/>
    <s v="Minuet Johnny's, Wa Wa Tsai F1 Osborne"/>
    <n v="330"/>
    <m/>
    <n v="1"/>
    <n v="1"/>
    <d v="2025-06-09T00:00:00"/>
    <d v="2025-06-09T00:00:00"/>
    <m/>
    <d v="2025-06-09T00:00:00"/>
    <d v="2025-07-07T00:00:00"/>
    <m/>
    <m/>
    <d v="2025-07-07T00:00:00"/>
    <m/>
    <n v="-45845"/>
    <x v="39"/>
    <m/>
    <d v="2025-08-26T00:00:00"/>
    <m/>
    <d v="2025-08-26T00:00:00"/>
    <d v="2025-09-09T00:00:00"/>
    <m/>
    <m/>
    <b v="1"/>
    <m/>
    <d v="2025-09-09T00:00:00"/>
    <b v="0"/>
    <b v="0"/>
    <b v="0"/>
    <b v="0"/>
    <n v="600"/>
    <n v="9.375"/>
    <n v="78"/>
    <m/>
    <n v="14"/>
    <s v="TP"/>
    <n v="1"/>
    <n v="28"/>
    <n v="3"/>
    <n v="12"/>
    <n v="1"/>
    <n v="150"/>
    <s v=""/>
    <n v="49"/>
    <s v="Chinese"/>
    <s v="Fa"/>
    <n v="968"/>
    <n v="14"/>
    <s v="Brassica"/>
    <n v="2"/>
    <s v="AMAP"/>
    <n v="400"/>
    <n v="7"/>
    <n v="0.41250000000000003"/>
    <n v="72"/>
    <n v="21"/>
    <n v="2.291666666666667"/>
    <n v="0"/>
    <n v="0"/>
    <s v=""/>
    <n v="1.1000000000000001"/>
    <n v="0"/>
    <s v="Field"/>
    <s v="Cabbage_x000a_Mini Chinese Cabbage Mix_x000a_"/>
    <n v="0"/>
    <n v="0"/>
    <n v="0"/>
    <n v="0"/>
    <n v="0"/>
    <n v="0"/>
    <n v="0"/>
    <n v="6"/>
    <n v="9"/>
    <n v="0"/>
    <n v="0"/>
    <n v="0"/>
    <n v="0"/>
    <n v="0"/>
    <n v="0"/>
    <n v="0"/>
    <n v="0"/>
    <n v="0"/>
    <n v="0"/>
    <n v="0"/>
    <n v="0"/>
    <n v="0"/>
    <n v="0"/>
    <n v="0"/>
    <n v="0"/>
    <n v="0"/>
    <n v="0"/>
    <n v="0"/>
    <n v="0"/>
    <n v="0"/>
    <n v="0"/>
    <n v="240"/>
    <n v="360"/>
    <n v="0"/>
    <n v="0"/>
    <n v="0"/>
    <n v="0"/>
    <n v="0"/>
    <n v="0"/>
    <n v="0"/>
    <n v="0"/>
    <n v="0"/>
    <n v="0"/>
    <n v="0"/>
    <n v="0"/>
    <n v="0"/>
    <n v="0"/>
    <n v="0"/>
    <b v="1"/>
    <n v="150"/>
    <s v="Head"/>
    <s v="Small Head"/>
    <s v="Cabbage Small Head - Head"/>
    <n v="0"/>
    <n v="0"/>
    <n v="0"/>
    <n v="0"/>
    <n v="0"/>
    <n v="0"/>
    <n v="0"/>
    <n v="60"/>
    <n v="90"/>
    <n v="0"/>
    <n v="0"/>
    <n v="0"/>
  </r>
  <r>
    <x v="58"/>
    <x v="81"/>
    <s v="J5"/>
    <n v="26.666666666666664"/>
    <n v="106.66666666666666"/>
    <s v="BRO"/>
    <m/>
    <x v="30"/>
    <x v="52"/>
    <m/>
    <s v="Montebello Osborne, Burgundy Johnny's"/>
    <n v="138.66666666666666"/>
    <m/>
    <n v="0.8"/>
    <n v="2"/>
    <d v="2025-06-10T00:00:00"/>
    <d v="2025-06-10T00:00:00"/>
    <m/>
    <d v="2025-06-10T00:00:00"/>
    <d v="2025-07-08T00:00:00"/>
    <m/>
    <m/>
    <d v="2025-07-08T00:00:00"/>
    <m/>
    <n v="-45846"/>
    <x v="40"/>
    <m/>
    <d v="2025-08-22T00:00:00"/>
    <m/>
    <d v="2025-08-22T00:00:00"/>
    <d v="2025-09-12T00:00:00"/>
    <m/>
    <m/>
    <b v="1"/>
    <m/>
    <d v="2025-09-12T00:00:00"/>
    <b v="0"/>
    <b v="0"/>
    <b v="0"/>
    <b v="0"/>
    <n v="426.66666666666663"/>
    <n v="6.4646464646464636"/>
    <n v="73"/>
    <m/>
    <n v="21"/>
    <s v="TP"/>
    <n v="0.8"/>
    <n v="28"/>
    <n v="2"/>
    <n v="18"/>
    <n v="1"/>
    <n v="53.333333333333329"/>
    <s v=""/>
    <n v="41"/>
    <s v="Sprouting"/>
    <s v="SuFa"/>
    <n v="964"/>
    <n v="21"/>
    <s v="Brassica"/>
    <n v="2"/>
    <s v="AMAP"/>
    <n v="72"/>
    <n v="28"/>
    <n v="0.9629629629629628"/>
    <n v="0"/>
    <n v="0"/>
    <s v=""/>
    <n v="0"/>
    <n v="0"/>
    <s v=""/>
    <n v="1.3"/>
    <n v="0"/>
    <s v="Field"/>
    <s v="Broccoli_x000a_Sprouting Broccoli Mix_x000a_"/>
    <n v="0"/>
    <n v="0"/>
    <n v="0"/>
    <n v="0"/>
    <n v="0"/>
    <n v="0"/>
    <n v="0"/>
    <n v="10"/>
    <n v="12"/>
    <n v="0"/>
    <n v="0"/>
    <n v="0"/>
    <n v="0"/>
    <n v="0"/>
    <n v="0"/>
    <n v="0"/>
    <n v="0"/>
    <n v="0"/>
    <n v="0"/>
    <n v="0"/>
    <n v="0"/>
    <n v="0"/>
    <n v="0"/>
    <n v="0"/>
    <n v="0"/>
    <n v="0"/>
    <n v="0"/>
    <n v="0"/>
    <n v="0"/>
    <n v="0"/>
    <n v="0"/>
    <n v="193.93939393939391"/>
    <n v="232.72727272727269"/>
    <n v="0"/>
    <n v="0"/>
    <n v="0"/>
    <n v="0"/>
    <n v="0"/>
    <n v="0"/>
    <n v="0"/>
    <n v="0"/>
    <n v="0"/>
    <n v="0"/>
    <n v="0"/>
    <n v="0"/>
    <n v="0"/>
    <n v="0"/>
    <n v="0"/>
    <b v="1"/>
    <n v="106.66666666666666"/>
    <s v="Bunch"/>
    <s v="Loose Florets"/>
    <s v="Broccoli Loose Florets - Bunch"/>
    <n v="0"/>
    <n v="0"/>
    <n v="0"/>
    <n v="0"/>
    <n v="0"/>
    <n v="0"/>
    <n v="0"/>
    <n v="48.484848484848477"/>
    <n v="58.181818181818173"/>
    <n v="0"/>
    <n v="0"/>
    <n v="0"/>
  </r>
  <r>
    <x v="59"/>
    <x v="82"/>
    <s v="F4"/>
    <n v="16.666666666666664"/>
    <n v="66.666666666666657"/>
    <s v="CAB"/>
    <m/>
    <x v="6"/>
    <x v="53"/>
    <m/>
    <s v="Bronco F1 High Mowing"/>
    <n v="146.66666666666666"/>
    <m/>
    <n v="1"/>
    <n v="1"/>
    <d v="2025-06-10T00:00:00"/>
    <d v="2025-06-10T00:00:00"/>
    <m/>
    <d v="2025-06-10T00:00:00"/>
    <d v="2025-07-15T00:00:00"/>
    <m/>
    <m/>
    <d v="2025-07-15T00:00:00"/>
    <m/>
    <n v="-45853"/>
    <x v="41"/>
    <m/>
    <d v="2025-10-08T00:00:00"/>
    <m/>
    <d v="2025-10-08T00:00:00"/>
    <d v="2025-10-29T00:00:00"/>
    <m/>
    <m/>
    <b v="0"/>
    <m/>
    <d v="2025-10-29T00:00:00"/>
    <b v="0"/>
    <b v="0"/>
    <b v="0"/>
    <b v="0"/>
    <n v="586.66666666666663"/>
    <n v="5.5345911949685531"/>
    <n v="120"/>
    <m/>
    <n v="21"/>
    <s v="TP"/>
    <n v="1"/>
    <n v="35"/>
    <n v="2"/>
    <n v="18"/>
    <n v="1"/>
    <n v="66.666666666666657"/>
    <s v=""/>
    <n v="47"/>
    <s v="General"/>
    <s v="Fa"/>
    <n v="1011"/>
    <n v="21"/>
    <s v="Brassica"/>
    <n v="1.5"/>
    <s v="AMAP"/>
    <n v="400"/>
    <n v="7"/>
    <n v="0.18333333333333332"/>
    <n v="72"/>
    <n v="28"/>
    <n v="1.0185185185185184"/>
    <n v="0"/>
    <n v="0"/>
    <s v=""/>
    <n v="1.1000000000000001"/>
    <n v="0"/>
    <s v="Field"/>
    <s v="Cabbage_x000a_Cabbage Fall Mix_x000a_"/>
    <n v="0"/>
    <n v="0"/>
    <n v="0"/>
    <n v="0"/>
    <n v="0"/>
    <n v="0"/>
    <n v="0"/>
    <n v="0"/>
    <n v="0"/>
    <n v="22"/>
    <n v="0"/>
    <n v="0"/>
    <n v="0"/>
    <n v="0"/>
    <n v="0"/>
    <n v="0"/>
    <n v="0"/>
    <n v="0"/>
    <n v="0"/>
    <n v="0"/>
    <n v="0"/>
    <n v="0"/>
    <n v="0"/>
    <n v="0"/>
    <n v="0"/>
    <n v="0"/>
    <n v="0"/>
    <n v="0"/>
    <n v="0"/>
    <n v="0"/>
    <n v="0"/>
    <n v="0"/>
    <n v="0"/>
    <n v="586.66666666666663"/>
    <n v="0"/>
    <n v="0"/>
    <n v="0"/>
    <n v="0"/>
    <n v="0"/>
    <n v="0"/>
    <n v="0"/>
    <n v="0"/>
    <n v="0"/>
    <n v="0"/>
    <n v="0"/>
    <n v="0"/>
    <n v="0"/>
    <n v="0"/>
    <b v="1"/>
    <n v="66.666666666666657"/>
    <s v="Head"/>
    <s v="Large Head"/>
    <s v="Cabbage Large Head - Head"/>
    <n v="0"/>
    <n v="0"/>
    <n v="0"/>
    <n v="0"/>
    <n v="0"/>
    <n v="0"/>
    <n v="0"/>
    <n v="0"/>
    <n v="0"/>
    <n v="66.666666666666657"/>
    <n v="0"/>
    <n v="0"/>
  </r>
  <r>
    <x v="60"/>
    <x v="83"/>
    <s v="F3"/>
    <n v="14.285714285714286"/>
    <n v="57.142857142857139"/>
    <s v="CAU"/>
    <m/>
    <x v="31"/>
    <x v="54"/>
    <m/>
    <s v="Tessaury F1 Johnny's, Skywalker F1 Johnny's"/>
    <n v="85.714285714285708"/>
    <m/>
    <n v="1"/>
    <n v="1"/>
    <d v="2025-06-10T00:00:00"/>
    <d v="2025-06-10T00:00:00"/>
    <m/>
    <d v="2025-06-10T00:00:00"/>
    <d v="2025-07-15T00:00:00"/>
    <m/>
    <m/>
    <d v="2025-07-15T00:00:00"/>
    <m/>
    <n v="-45853"/>
    <x v="41"/>
    <m/>
    <d v="2025-10-08T00:00:00"/>
    <m/>
    <d v="2025-10-08T00:00:00"/>
    <d v="2025-10-29T00:00:00"/>
    <m/>
    <m/>
    <b v="0"/>
    <m/>
    <d v="2025-10-29T00:00:00"/>
    <b v="0"/>
    <b v="0"/>
    <b v="0"/>
    <b v="0"/>
    <n v="514.28571428571422"/>
    <n v="4.8517520215633416"/>
    <n v="120"/>
    <m/>
    <n v="21"/>
    <s v="TP"/>
    <n v="1"/>
    <n v="35"/>
    <n v="2"/>
    <n v="21"/>
    <n v="1"/>
    <n v="57.142857142857139"/>
    <s v=""/>
    <n v="66"/>
    <s v="General"/>
    <s v="Fa"/>
    <n v="1011"/>
    <n v="21"/>
    <s v="Brassica"/>
    <n v="1.5"/>
    <s v="AMAP"/>
    <n v="400"/>
    <n v="7"/>
    <n v="0.14285714285714285"/>
    <n v="128"/>
    <n v="28"/>
    <n v="0.4464285714285714"/>
    <n v="0"/>
    <n v="0"/>
    <s v=""/>
    <n v="1"/>
    <n v="0"/>
    <s v="Field"/>
    <s v="Cauliflower_x000a_Fall Cauliflower Mix_x000a_"/>
    <n v="0"/>
    <n v="0"/>
    <n v="0"/>
    <n v="0"/>
    <n v="0"/>
    <n v="0"/>
    <n v="0"/>
    <n v="0"/>
    <n v="0"/>
    <n v="22"/>
    <n v="0"/>
    <n v="0"/>
    <n v="0"/>
    <n v="0"/>
    <n v="0"/>
    <n v="0"/>
    <n v="0"/>
    <n v="0"/>
    <n v="0"/>
    <n v="0"/>
    <n v="0"/>
    <n v="0"/>
    <n v="0"/>
    <n v="0"/>
    <n v="0"/>
    <n v="0"/>
    <n v="0"/>
    <n v="0"/>
    <n v="0"/>
    <n v="0"/>
    <n v="0"/>
    <n v="0"/>
    <n v="0"/>
    <n v="514.28571428571422"/>
    <n v="0"/>
    <n v="0"/>
    <n v="0"/>
    <n v="0"/>
    <n v="0"/>
    <n v="0"/>
    <n v="0"/>
    <n v="0"/>
    <n v="0"/>
    <n v="0"/>
    <n v="0"/>
    <n v="0"/>
    <n v="0"/>
    <n v="0"/>
    <b v="1"/>
    <n v="57.142857142857139"/>
    <s v="Head"/>
    <s v="Mature Head"/>
    <s v="Cauliflower Mature Head - Head"/>
    <n v="0"/>
    <n v="0"/>
    <n v="0"/>
    <n v="0"/>
    <n v="0"/>
    <n v="0"/>
    <n v="0"/>
    <n v="0"/>
    <n v="0"/>
    <n v="57.142857142857139"/>
    <n v="0"/>
    <n v="0"/>
  </r>
  <r>
    <x v="61"/>
    <x v="84"/>
    <s v="A1"/>
    <n v="150"/>
    <n v="300"/>
    <s v="KOH"/>
    <m/>
    <x v="9"/>
    <x v="9"/>
    <m/>
    <s v="Kolibri F1 Johnny's, Konan F1 Johnny's"/>
    <n v="390"/>
    <m/>
    <n v="1"/>
    <n v="1"/>
    <d v="2025-06-15T00:00:00"/>
    <d v="2025-06-15T00:00:00"/>
    <m/>
    <d v="2025-06-15T00:00:00"/>
    <d v="2025-07-10T00:00:00"/>
    <m/>
    <m/>
    <d v="2025-07-10T00:00:00"/>
    <m/>
    <n v="-45848"/>
    <x v="42"/>
    <m/>
    <d v="2025-08-27T00:00:00"/>
    <m/>
    <d v="2025-08-27T00:00:00"/>
    <d v="2025-09-10T00:00:00"/>
    <m/>
    <m/>
    <b v="1"/>
    <m/>
    <d v="2025-09-10T00:00:00"/>
    <b v="0"/>
    <b v="0"/>
    <b v="0"/>
    <b v="0"/>
    <n v="600"/>
    <n v="9.67741935483871"/>
    <n v="73"/>
    <m/>
    <n v="14"/>
    <s v="TP"/>
    <n v="1"/>
    <n v="25"/>
    <n v="2"/>
    <n v="4"/>
    <n v="1"/>
    <n v="300"/>
    <s v=""/>
    <n v="157"/>
    <s v="Sm"/>
    <s v="Fa"/>
    <n v="969"/>
    <n v="14"/>
    <s v="Brassica"/>
    <n v="2"/>
    <s v="AMAP"/>
    <n v="128"/>
    <n v="25"/>
    <n v="3.046875"/>
    <n v="0"/>
    <n v="0"/>
    <s v=""/>
    <n v="0"/>
    <n v="0"/>
    <s v=""/>
    <n v="1.3"/>
    <n v="0"/>
    <s v="Field"/>
    <s v="Kohlrabi_x000a_Fresh Kholrabi Mix_x000a_"/>
    <n v="0"/>
    <n v="0"/>
    <n v="0"/>
    <n v="0"/>
    <n v="0"/>
    <n v="0"/>
    <n v="0"/>
    <n v="5"/>
    <n v="10"/>
    <n v="0"/>
    <n v="0"/>
    <n v="0"/>
    <n v="0"/>
    <n v="0"/>
    <n v="0"/>
    <n v="0"/>
    <n v="0"/>
    <n v="0"/>
    <n v="0"/>
    <n v="0"/>
    <n v="0"/>
    <n v="0"/>
    <n v="0"/>
    <n v="0"/>
    <n v="0"/>
    <n v="0"/>
    <n v="0"/>
    <n v="0"/>
    <n v="0"/>
    <n v="0"/>
    <n v="0"/>
    <n v="200"/>
    <n v="400"/>
    <n v="0"/>
    <n v="0"/>
    <n v="0"/>
    <n v="0"/>
    <n v="0"/>
    <n v="0"/>
    <n v="0"/>
    <n v="0"/>
    <n v="0"/>
    <n v="0"/>
    <n v="0"/>
    <n v="0"/>
    <n v="0"/>
    <n v="0"/>
    <n v="0"/>
    <b v="1"/>
    <n v="300"/>
    <s v="Bulb"/>
    <s v="Storage Bulb"/>
    <s v="Kohlrabi Storage Bulb - Bulb"/>
    <n v="0"/>
    <n v="0"/>
    <n v="0"/>
    <n v="0"/>
    <n v="0"/>
    <n v="0"/>
    <n v="0"/>
    <n v="100"/>
    <n v="200"/>
    <n v="0"/>
    <n v="0"/>
    <n v="0"/>
  </r>
  <r>
    <x v="62"/>
    <x v="85"/>
    <s v="I1"/>
    <e v="#DIV/0!"/>
    <e v="#DIV/0!"/>
    <s v="FEN"/>
    <m/>
    <x v="10"/>
    <x v="10"/>
    <m/>
    <s v="Perfection Wild Garden, Solaris F1 High Mowing"/>
    <n v="520"/>
    <m/>
    <n v="1"/>
    <n v="1"/>
    <d v="2025-06-15T00:00:00"/>
    <d v="2025-06-15T00:00:00"/>
    <m/>
    <d v="2025-06-15T00:00:00"/>
    <d v="2025-07-15T00:00:00"/>
    <m/>
    <m/>
    <d v="2025-07-15T00:00:00"/>
    <m/>
    <n v="-45853"/>
    <x v="41"/>
    <m/>
    <d v="2025-08-10T00:00:00"/>
    <m/>
    <d v="2025-08-10T00:00:00"/>
    <d v="2025-08-24T00:00:00"/>
    <m/>
    <m/>
    <b v="1"/>
    <m/>
    <d v="2025-08-24T00:00:00"/>
    <b v="0"/>
    <b v="0"/>
    <b v="0"/>
    <b v="0"/>
    <n v="666.66666666666674"/>
    <n v="16.666666666666668"/>
    <n v="56"/>
    <m/>
    <n v="14"/>
    <s v="TP"/>
    <n v="1"/>
    <n v="30"/>
    <n v="4"/>
    <n v="6"/>
    <n v="1"/>
    <n v="400"/>
    <s v=""/>
    <n v="130"/>
    <s v="General"/>
    <s v="Fa"/>
    <n v="952"/>
    <n v="14"/>
    <s v="Fennel"/>
    <n v="2.5"/>
    <s v="None"/>
    <n v="128"/>
    <n v="30"/>
    <n v="4.0625"/>
    <n v="0"/>
    <n v="0"/>
    <s v=""/>
    <n v="0"/>
    <n v="0"/>
    <s v=""/>
    <n v="1.3"/>
    <n v="10"/>
    <s v="Field"/>
    <s v="Fennel_x000a_Fennel Mix_x000a_"/>
    <n v="0"/>
    <n v="0"/>
    <n v="0"/>
    <n v="0"/>
    <n v="0"/>
    <n v="0"/>
    <n v="0"/>
    <n v="15"/>
    <n v="0"/>
    <n v="0"/>
    <n v="0"/>
    <n v="0"/>
    <n v="0"/>
    <n v="0"/>
    <n v="0"/>
    <n v="0"/>
    <n v="0"/>
    <n v="0"/>
    <n v="0"/>
    <n v="0"/>
    <n v="0"/>
    <n v="0"/>
    <n v="0"/>
    <n v="0"/>
    <n v="0"/>
    <n v="0"/>
    <n v="0"/>
    <n v="0"/>
    <n v="0"/>
    <n v="0"/>
    <n v="0"/>
    <n v="666.66666666666674"/>
    <n v="0"/>
    <n v="0"/>
    <n v="0"/>
    <n v="0"/>
    <n v="0"/>
    <n v="0"/>
    <n v="0"/>
    <n v="0"/>
    <n v="0"/>
    <n v="0"/>
    <n v="0"/>
    <n v="0"/>
    <n v="0"/>
    <n v="0"/>
    <n v="0"/>
    <n v="0"/>
    <b v="1"/>
    <n v="400"/>
    <s v="Bulb"/>
    <s v="Mini Bulb"/>
    <s v="Fennel Mini Bulb - Bulb"/>
    <n v="0"/>
    <n v="0"/>
    <n v="0"/>
    <n v="0"/>
    <n v="0"/>
    <n v="0"/>
    <n v="0"/>
    <n v="400"/>
    <n v="0"/>
    <n v="0"/>
    <n v="0"/>
    <n v="0"/>
  </r>
  <r>
    <x v="17"/>
    <x v="86"/>
    <s v="B2"/>
    <n v="56"/>
    <n v="160"/>
    <s v="DIL"/>
    <m/>
    <x v="12"/>
    <x v="15"/>
    <m/>
    <s v="Thalia OG Johnny's, Bouquet OG Osborne, Ambrosia Adaptive, Green Sleeves High Mowing"/>
    <n v="880.00000000000011"/>
    <m/>
    <n v="0.25"/>
    <n v="0.5"/>
    <d v="2025-06-18T00:00:00"/>
    <d v="2025-06-18T00:00:00"/>
    <m/>
    <d v="2025-06-18T00:00:00"/>
    <d v="2025-07-14T00:00:00"/>
    <m/>
    <m/>
    <d v="2025-07-14T00:00:00"/>
    <m/>
    <n v="-45852"/>
    <x v="43"/>
    <m/>
    <d v="2025-09-02T00:00:00"/>
    <m/>
    <d v="2025-09-02T00:00:00"/>
    <d v="2025-09-19T00:00:00"/>
    <m/>
    <m/>
    <b v="0"/>
    <m/>
    <d v="2025-09-19T00:00:00"/>
    <b v="0"/>
    <b v="0"/>
    <b v="0"/>
    <b v="0"/>
    <n v="320"/>
    <n v="4.7761194029850742"/>
    <n v="76"/>
    <m/>
    <n v="17"/>
    <s v="TP"/>
    <n v="0.25"/>
    <n v="26"/>
    <n v="4"/>
    <n v="3"/>
    <n v="4"/>
    <n v="200"/>
    <s v=""/>
    <n v="118"/>
    <s v="General"/>
    <s v="Su"/>
    <n v="975"/>
    <n v="17"/>
    <s v="Herb"/>
    <n v="4"/>
    <s v="None"/>
    <n v="128"/>
    <n v="26"/>
    <n v="1.7187500000000002"/>
    <n v="0"/>
    <n v="0"/>
    <s v=""/>
    <n v="0"/>
    <n v="0"/>
    <s v=""/>
    <n v="1.1000000000000001"/>
    <n v="0"/>
    <s v="Field"/>
    <s v="Dill_x000a_Dill Mix_x000a_"/>
    <n v="0"/>
    <n v="0"/>
    <n v="0"/>
    <n v="0"/>
    <n v="0"/>
    <n v="0"/>
    <n v="0"/>
    <n v="0"/>
    <n v="18"/>
    <n v="0"/>
    <n v="0"/>
    <n v="0"/>
    <n v="0"/>
    <n v="0"/>
    <n v="0"/>
    <n v="0"/>
    <n v="0"/>
    <n v="0"/>
    <n v="0"/>
    <n v="0"/>
    <n v="0"/>
    <n v="0"/>
    <n v="0"/>
    <n v="0"/>
    <n v="0"/>
    <n v="0"/>
    <n v="0"/>
    <n v="0"/>
    <n v="0"/>
    <n v="0"/>
    <n v="0"/>
    <n v="0"/>
    <n v="320"/>
    <n v="0"/>
    <n v="0"/>
    <n v="0"/>
    <n v="0"/>
    <n v="0"/>
    <n v="0"/>
    <n v="0"/>
    <n v="0"/>
    <n v="0"/>
    <n v="0"/>
    <n v="0"/>
    <n v="0"/>
    <n v="0"/>
    <n v="0"/>
    <n v="0"/>
    <b v="1"/>
    <n v="160"/>
    <s v="Bunch"/>
    <s v="Mature Leaf"/>
    <s v="Dill Mature Leaf - Bunch"/>
    <n v="0"/>
    <n v="0"/>
    <n v="0"/>
    <n v="0"/>
    <n v="0"/>
    <n v="0"/>
    <n v="0"/>
    <n v="0"/>
    <n v="160"/>
    <n v="0"/>
    <n v="0"/>
    <n v="0"/>
  </r>
  <r>
    <x v="18"/>
    <x v="87"/>
    <s v="B2"/>
    <n v="50"/>
    <n v="100"/>
    <s v="CIL"/>
    <m/>
    <x v="13"/>
    <x v="16"/>
    <m/>
    <s v="Cruiser High Mowing, Pokey Joe Uprising, Calypso Johnny's"/>
    <n v="412.50000000000006"/>
    <m/>
    <n v="0.25"/>
    <n v="0.5"/>
    <d v="2025-06-18T00:00:00"/>
    <d v="2025-06-18T00:00:00"/>
    <m/>
    <d v="2025-06-18T00:00:00"/>
    <d v="2025-07-18T00:00:00"/>
    <m/>
    <m/>
    <d v="2025-07-18T00:00:00"/>
    <m/>
    <n v="-45856"/>
    <x v="44"/>
    <m/>
    <d v="2025-09-06T00:00:00"/>
    <m/>
    <d v="2025-09-06T00:00:00"/>
    <d v="2025-09-20T00:00:00"/>
    <m/>
    <m/>
    <b v="0"/>
    <m/>
    <d v="2025-09-20T00:00:00"/>
    <b v="0"/>
    <b v="0"/>
    <b v="0"/>
    <b v="0"/>
    <n v="300"/>
    <n v="4.6875"/>
    <n v="80"/>
    <m/>
    <n v="14"/>
    <s v="TP"/>
    <n v="0.25"/>
    <n v="30"/>
    <n v="5"/>
    <n v="6"/>
    <n v="3"/>
    <n v="125"/>
    <s v=""/>
    <n v="88"/>
    <s v="General"/>
    <s v="Su"/>
    <n v="979"/>
    <n v="14"/>
    <s v="Herb"/>
    <n v="1"/>
    <s v="None"/>
    <n v="128"/>
    <n v="30"/>
    <n v="1.07421875"/>
    <n v="0"/>
    <n v="0"/>
    <s v=""/>
    <n v="0"/>
    <n v="0"/>
    <s v=""/>
    <n v="1.1000000000000001"/>
    <n v="0"/>
    <s v="Field"/>
    <s v="Cilantro_x000a_Cilantro Mix_x000a_"/>
    <n v="0"/>
    <n v="0"/>
    <n v="0"/>
    <n v="0"/>
    <n v="0"/>
    <n v="0"/>
    <n v="0"/>
    <n v="0"/>
    <n v="15"/>
    <n v="0"/>
    <n v="0"/>
    <n v="0"/>
    <n v="0"/>
    <n v="0"/>
    <n v="0"/>
    <n v="0"/>
    <n v="0"/>
    <n v="0"/>
    <n v="0"/>
    <n v="0"/>
    <n v="0"/>
    <n v="0"/>
    <n v="0"/>
    <n v="0"/>
    <n v="0"/>
    <n v="0"/>
    <n v="0"/>
    <n v="0"/>
    <n v="0"/>
    <n v="0"/>
    <n v="0"/>
    <n v="0"/>
    <n v="300"/>
    <n v="0"/>
    <n v="0"/>
    <n v="0"/>
    <n v="0"/>
    <n v="0"/>
    <n v="0"/>
    <n v="0"/>
    <n v="0"/>
    <n v="0"/>
    <n v="0"/>
    <n v="0"/>
    <n v="0"/>
    <n v="0"/>
    <n v="0"/>
    <n v="0"/>
    <b v="1"/>
    <n v="100"/>
    <s v="Bunch"/>
    <s v="Loose Leaf"/>
    <s v="Cilantro Loose Leaf - Bunch"/>
    <n v="0"/>
    <n v="0"/>
    <n v="0"/>
    <n v="0"/>
    <n v="0"/>
    <n v="0"/>
    <n v="0"/>
    <n v="0"/>
    <n v="100"/>
    <n v="0"/>
    <n v="0"/>
    <n v="0"/>
  </r>
  <r>
    <x v="63"/>
    <x v="88"/>
    <s v="D3"/>
    <n v="75"/>
    <n v="300"/>
    <s v="RAD"/>
    <m/>
    <x v="32"/>
    <x v="55"/>
    <m/>
    <s v="Daikon High Mowing, Okhura Winter Queen Daikon Adaptive"/>
    <n v="260"/>
    <m/>
    <n v="1"/>
    <n v="1"/>
    <d v="2025-06-20T00:00:00"/>
    <d v="2025-06-20T00:00:00"/>
    <m/>
    <d v="2025-06-20T00:00:00"/>
    <d v="2025-07-15T00:00:00"/>
    <m/>
    <m/>
    <d v="2025-07-15T00:00:00"/>
    <m/>
    <n v="-45853"/>
    <x v="41"/>
    <m/>
    <d v="2025-09-03T00:00:00"/>
    <m/>
    <d v="2025-09-03T00:00:00"/>
    <d v="2025-09-24T00:00:00"/>
    <m/>
    <m/>
    <b v="0"/>
    <m/>
    <d v="2025-09-24T00:00:00"/>
    <b v="0"/>
    <b v="0"/>
    <b v="0"/>
    <b v="0"/>
    <n v="1200"/>
    <n v="16.901408450704224"/>
    <n v="75"/>
    <m/>
    <n v="21"/>
    <s v="TP"/>
    <n v="1"/>
    <n v="25"/>
    <n v="3"/>
    <n v="9"/>
    <n v="1"/>
    <n v="200"/>
    <s v="OH"/>
    <n v="258"/>
    <s v="Daikon"/>
    <s v="FaWi"/>
    <n v="976"/>
    <n v="21"/>
    <s v="Root"/>
    <n v="2"/>
    <s v="AMAP"/>
    <n v="128"/>
    <n v="25"/>
    <n v="2.03125"/>
    <n v="0"/>
    <n v="0"/>
    <s v=""/>
    <n v="0"/>
    <n v="0"/>
    <s v=""/>
    <n v="1.3"/>
    <n v="7"/>
    <s v="Field"/>
    <s v="Radish_x000a_Winter Radish Mix_x000a_"/>
    <n v="0"/>
    <n v="0"/>
    <n v="0"/>
    <n v="0"/>
    <n v="0"/>
    <n v="0"/>
    <n v="0"/>
    <n v="0"/>
    <n v="22"/>
    <n v="0"/>
    <n v="0"/>
    <n v="0"/>
    <n v="0"/>
    <n v="0"/>
    <n v="0"/>
    <n v="0"/>
    <n v="0"/>
    <n v="0"/>
    <n v="0"/>
    <n v="0"/>
    <n v="0"/>
    <n v="0"/>
    <n v="0"/>
    <n v="0"/>
    <n v="0"/>
    <n v="0"/>
    <n v="0"/>
    <n v="0"/>
    <n v="0"/>
    <n v="0"/>
    <n v="0"/>
    <n v="0"/>
    <n v="1200"/>
    <n v="0"/>
    <n v="0"/>
    <n v="0"/>
    <n v="0"/>
    <n v="0"/>
    <n v="0"/>
    <n v="0"/>
    <n v="0"/>
    <n v="0"/>
    <n v="0"/>
    <n v="0"/>
    <n v="0"/>
    <n v="0"/>
    <n v="0"/>
    <n v="0"/>
    <b v="1"/>
    <n v="600"/>
    <s v="Lb"/>
    <s v="Storage Root"/>
    <s v="Radish Storage Root - Lb"/>
    <n v="0"/>
    <n v="0"/>
    <n v="0"/>
    <n v="0"/>
    <n v="0"/>
    <n v="0"/>
    <n v="0"/>
    <n v="0"/>
    <n v="600"/>
    <n v="0"/>
    <n v="0"/>
    <n v="0"/>
  </r>
  <r>
    <x v="34"/>
    <x v="89"/>
    <s v="H7"/>
    <n v="41.714814814814808"/>
    <n v="178.77777777777774"/>
    <s v="LET"/>
    <m/>
    <x v="5"/>
    <x v="5"/>
    <m/>
    <s v="Green Sweet Crisp Johnny's, Intercut Johnny's, Red Sweet Crisp Johnny's, Salanova Red Oak Leaf Johnny's"/>
    <n v="450.66666666666663"/>
    <m/>
    <n v="1"/>
    <n v="1"/>
    <d v="2025-06-24T00:00:00"/>
    <d v="2025-06-24T00:00:00"/>
    <m/>
    <d v="2025-06-24T00:00:00"/>
    <d v="2025-07-24T00:00:00"/>
    <m/>
    <m/>
    <d v="2025-07-24T00:00:00"/>
    <m/>
    <n v="-45862"/>
    <x v="45"/>
    <m/>
    <d v="2025-09-02T00:00:00"/>
    <m/>
    <d v="2025-09-02T00:00:00"/>
    <d v="2025-09-29T00:00:00"/>
    <m/>
    <m/>
    <b v="0"/>
    <m/>
    <d v="2025-09-29T00:00:00"/>
    <b v="0"/>
    <b v="0"/>
    <b v="0"/>
    <b v="0"/>
    <n v="1340.833333333333"/>
    <n v="20.012437810945269"/>
    <n v="70"/>
    <m/>
    <n v="27"/>
    <s v="TP"/>
    <n v="1"/>
    <n v="30"/>
    <n v="4"/>
    <n v="9"/>
    <n v="1"/>
    <n v="266.66666666666663"/>
    <s v=""/>
    <n v="192"/>
    <s v="Salanova"/>
    <s v="SuFa"/>
    <n v="975"/>
    <n v="27"/>
    <n v="0"/>
    <n v="0"/>
    <n v="0"/>
    <n v="128"/>
    <n v="30"/>
    <n v="2.708333333333333"/>
    <n v="0"/>
    <n v="0"/>
    <s v=""/>
    <n v="0"/>
    <n v="0"/>
    <s v=""/>
    <n v="1.3"/>
    <n v="0"/>
    <s v="Field"/>
    <s v="Lettuce_x000a_Salanova Mix_x000a_"/>
    <n v="0"/>
    <n v="0"/>
    <n v="0"/>
    <n v="0"/>
    <n v="0"/>
    <n v="0"/>
    <n v="0"/>
    <n v="0"/>
    <n v="28"/>
    <n v="0"/>
    <n v="0"/>
    <n v="0"/>
    <n v="0"/>
    <n v="0"/>
    <n v="0"/>
    <n v="0"/>
    <n v="0"/>
    <n v="0"/>
    <n v="0"/>
    <n v="0"/>
    <n v="0"/>
    <n v="0"/>
    <n v="0"/>
    <n v="0"/>
    <n v="0"/>
    <n v="0"/>
    <n v="0"/>
    <n v="0"/>
    <n v="0"/>
    <n v="0"/>
    <n v="0"/>
    <n v="0"/>
    <n v="1340.833333333333"/>
    <n v="0"/>
    <n v="0"/>
    <n v="0"/>
    <n v="0"/>
    <n v="0"/>
    <n v="0"/>
    <n v="0"/>
    <n v="0"/>
    <n v="0"/>
    <n v="0"/>
    <n v="0"/>
    <n v="0"/>
    <n v="0"/>
    <n v="0"/>
    <n v="0"/>
    <b v="1"/>
    <n v="134.08333333333331"/>
    <s v="Lb"/>
    <s v="Loose Leaf"/>
    <s v="Lettuce Loose Leaf - Lb"/>
    <n v="0"/>
    <n v="0"/>
    <n v="0"/>
    <n v="0"/>
    <n v="0"/>
    <n v="0"/>
    <n v="0"/>
    <n v="0"/>
    <n v="134.08333333333331"/>
    <n v="0"/>
    <n v="0"/>
    <n v="0"/>
  </r>
  <r>
    <x v="55"/>
    <x v="90"/>
    <s v="E6"/>
    <n v="53.333333333333329"/>
    <n v="106.66666666666666"/>
    <s v="LET"/>
    <m/>
    <x v="5"/>
    <x v="56"/>
    <s v="Johnny's"/>
    <s v=""/>
    <n v="180.26666666666665"/>
    <m/>
    <n v="0.4"/>
    <n v="1"/>
    <d v="2025-06-25T00:00:00"/>
    <d v="2025-06-25T00:00:00"/>
    <m/>
    <d v="2025-06-25T00:00:00"/>
    <d v="2025-07-25T00:00:00"/>
    <m/>
    <m/>
    <d v="2025-07-25T00:00:00"/>
    <m/>
    <n v="-45863"/>
    <x v="46"/>
    <m/>
    <d v="2025-09-03T00:00:00"/>
    <m/>
    <d v="2025-09-03T00:00:00"/>
    <d v="2025-09-17T00:00:00"/>
    <m/>
    <m/>
    <b v="0"/>
    <m/>
    <d v="2025-09-17T00:00:00"/>
    <b v="0"/>
    <b v="0"/>
    <b v="0"/>
    <b v="0"/>
    <n v="426.66666666666663"/>
    <n v="7.9012345679012341"/>
    <n v="70"/>
    <m/>
    <n v="14"/>
    <s v="TP"/>
    <n v="0.4"/>
    <n v="30"/>
    <n v="4"/>
    <n v="9"/>
    <n v="1"/>
    <n v="106.66666666666666"/>
    <s v=""/>
    <n v="175"/>
    <s v="4x9"/>
    <s v="SuFa"/>
    <n v="976"/>
    <n v="14"/>
    <s v="Green"/>
    <n v="1"/>
    <s v="None"/>
    <n v="128"/>
    <n v="30"/>
    <n v="1.0833333333333333"/>
    <n v="0"/>
    <n v="0"/>
    <s v=""/>
    <n v="0"/>
    <n v="0"/>
    <s v=""/>
    <n v="1.3"/>
    <n v="0"/>
    <s v="Field"/>
    <s v="Lettuce_x000a_Muir_x000a_Johnny's"/>
    <n v="0"/>
    <n v="0"/>
    <n v="0"/>
    <n v="0"/>
    <n v="0"/>
    <n v="0"/>
    <n v="0"/>
    <n v="0"/>
    <n v="15"/>
    <n v="0"/>
    <n v="0"/>
    <n v="0"/>
    <n v="0"/>
    <n v="0"/>
    <n v="0"/>
    <n v="0"/>
    <n v="0"/>
    <n v="0"/>
    <n v="0"/>
    <n v="0"/>
    <n v="0"/>
    <n v="0"/>
    <n v="0"/>
    <n v="0"/>
    <n v="0"/>
    <n v="0"/>
    <n v="0"/>
    <n v="0"/>
    <n v="0"/>
    <n v="0"/>
    <n v="0"/>
    <n v="0"/>
    <n v="426.66666666666663"/>
    <n v="0"/>
    <n v="0"/>
    <n v="0"/>
    <n v="0"/>
    <n v="0"/>
    <n v="0"/>
    <n v="0"/>
    <n v="0"/>
    <n v="0"/>
    <n v="0"/>
    <n v="0"/>
    <n v="0"/>
    <n v="0"/>
    <n v="0"/>
    <n v="0"/>
    <b v="1"/>
    <n v="106.66666666666666"/>
    <s v="Head"/>
    <s v="Mature Head"/>
    <s v="Lettuce Mature Head - Head"/>
    <n v="0"/>
    <n v="0"/>
    <n v="0"/>
    <n v="0"/>
    <n v="0"/>
    <n v="0"/>
    <n v="0"/>
    <n v="0"/>
    <n v="106.66666666666666"/>
    <n v="0"/>
    <n v="0"/>
    <n v="0"/>
  </r>
  <r>
    <x v="64"/>
    <x v="91"/>
    <s v="C7"/>
    <n v="14.285714285714286"/>
    <n v="57.142857142857139"/>
    <s v="CAU"/>
    <m/>
    <x v="31"/>
    <x v="57"/>
    <s v="Johnny's"/>
    <s v=""/>
    <n v="85.714285714285708"/>
    <m/>
    <n v="1"/>
    <n v="1"/>
    <d v="2025-06-27T00:00:00"/>
    <d v="2025-06-27T00:00:00"/>
    <m/>
    <d v="2025-06-27T00:00:00"/>
    <d v="2025-08-01T00:00:00"/>
    <m/>
    <m/>
    <d v="2025-08-01T00:00:00"/>
    <m/>
    <n v="-45870"/>
    <x v="47"/>
    <m/>
    <d v="2025-09-12T00:00:00"/>
    <m/>
    <d v="2025-09-12T00:00:00"/>
    <d v="2025-10-03T00:00:00"/>
    <m/>
    <m/>
    <b v="0"/>
    <m/>
    <d v="2025-10-03T00:00:00"/>
    <b v="0"/>
    <b v="0"/>
    <b v="0"/>
    <b v="0"/>
    <n v="514.28571428571422"/>
    <n v="8.1632653061224474"/>
    <n v="77"/>
    <m/>
    <n v="21"/>
    <s v="TP"/>
    <n v="1"/>
    <n v="35"/>
    <n v="2"/>
    <n v="21"/>
    <n v="1"/>
    <n v="57.142857142857139"/>
    <s v=""/>
    <n v="69"/>
    <s v="Green-Stem"/>
    <s v="Su"/>
    <n v="985"/>
    <n v="21"/>
    <s v="Brassica"/>
    <n v="1.5"/>
    <s v="AMAP"/>
    <n v="400"/>
    <n v="7"/>
    <n v="0.14285714285714285"/>
    <n v="128"/>
    <n v="28"/>
    <n v="0.4464285714285714"/>
    <n v="0"/>
    <n v="0"/>
    <s v=""/>
    <n v="1"/>
    <n v="0"/>
    <s v="Field"/>
    <s v="Cauliflower_x000a_Song TJS-65_x000a_Johnny's"/>
    <n v="0"/>
    <n v="0"/>
    <n v="0"/>
    <n v="0"/>
    <n v="0"/>
    <n v="0"/>
    <n v="0"/>
    <n v="0"/>
    <n v="19"/>
    <n v="3"/>
    <n v="0"/>
    <n v="0"/>
    <n v="0"/>
    <n v="0"/>
    <n v="0"/>
    <n v="0"/>
    <n v="0"/>
    <n v="0"/>
    <n v="0"/>
    <n v="0"/>
    <n v="0"/>
    <n v="0"/>
    <n v="0"/>
    <n v="0"/>
    <n v="0"/>
    <n v="0"/>
    <n v="0"/>
    <n v="0"/>
    <n v="0"/>
    <n v="0"/>
    <n v="0"/>
    <n v="0"/>
    <n v="444.15584415584408"/>
    <n v="70.129870129870113"/>
    <n v="0"/>
    <n v="0"/>
    <n v="0"/>
    <n v="0"/>
    <n v="0"/>
    <n v="0"/>
    <n v="0"/>
    <n v="0"/>
    <n v="0"/>
    <n v="0"/>
    <n v="0"/>
    <n v="0"/>
    <n v="0"/>
    <n v="0"/>
    <b v="1"/>
    <n v="57.142857142857139"/>
    <s v="Head"/>
    <s v="Mature Head"/>
    <s v="Cauliflower Mature Head - Head"/>
    <n v="0"/>
    <n v="0"/>
    <n v="0"/>
    <n v="0"/>
    <n v="0"/>
    <n v="0"/>
    <n v="0"/>
    <n v="0"/>
    <n v="49.350649350649348"/>
    <n v="7.7922077922077913"/>
    <n v="0"/>
    <n v="0"/>
  </r>
  <r>
    <x v="17"/>
    <x v="92"/>
    <s v="B2"/>
    <n v="56"/>
    <n v="160"/>
    <s v="DIL"/>
    <m/>
    <x v="12"/>
    <x v="15"/>
    <m/>
    <s v="Thalia OG Johnny's, Bouquet OG Osborne, Ambrosia Adaptive, Green Sleeves High Mowing"/>
    <n v="880.00000000000011"/>
    <m/>
    <n v="0.25"/>
    <n v="0.5"/>
    <d v="2025-07-02T00:00:00"/>
    <d v="2025-07-02T00:00:00"/>
    <m/>
    <d v="2025-07-02T00:00:00"/>
    <d v="2025-07-28T00:00:00"/>
    <m/>
    <m/>
    <d v="2025-07-28T00:00:00"/>
    <m/>
    <n v="-45866"/>
    <x v="48"/>
    <m/>
    <d v="2025-09-16T00:00:00"/>
    <m/>
    <d v="2025-09-16T00:00:00"/>
    <d v="2025-10-03T00:00:00"/>
    <m/>
    <m/>
    <b v="0"/>
    <m/>
    <d v="2025-10-03T00:00:00"/>
    <b v="0"/>
    <b v="0"/>
    <b v="0"/>
    <b v="0"/>
    <n v="320"/>
    <n v="4.7761194029850742"/>
    <n v="76"/>
    <m/>
    <n v="17"/>
    <s v="TP"/>
    <n v="0.25"/>
    <n v="26"/>
    <n v="4"/>
    <n v="3"/>
    <n v="4"/>
    <n v="200"/>
    <s v=""/>
    <n v="118"/>
    <s v="General"/>
    <s v="Su"/>
    <n v="989"/>
    <n v="17"/>
    <s v="Herb"/>
    <n v="4"/>
    <s v="None"/>
    <n v="128"/>
    <n v="26"/>
    <n v="1.7187500000000002"/>
    <n v="0"/>
    <n v="0"/>
    <s v=""/>
    <n v="0"/>
    <n v="0"/>
    <s v=""/>
    <n v="1.1000000000000001"/>
    <n v="0"/>
    <s v="Field"/>
    <s v="Dill_x000a_Dill Mix_x000a_"/>
    <n v="0"/>
    <n v="0"/>
    <n v="0"/>
    <n v="0"/>
    <n v="0"/>
    <n v="0"/>
    <n v="0"/>
    <n v="0"/>
    <n v="15"/>
    <n v="3"/>
    <n v="0"/>
    <n v="0"/>
    <n v="0"/>
    <n v="0"/>
    <n v="0"/>
    <n v="0"/>
    <n v="0"/>
    <n v="0"/>
    <n v="0"/>
    <n v="0"/>
    <n v="0"/>
    <n v="0"/>
    <n v="0"/>
    <n v="0"/>
    <n v="0"/>
    <n v="0"/>
    <n v="0"/>
    <n v="0"/>
    <n v="0"/>
    <n v="0"/>
    <n v="0"/>
    <n v="0"/>
    <n v="266.66666666666669"/>
    <n v="53.333333333333329"/>
    <n v="0"/>
    <n v="0"/>
    <n v="0"/>
    <n v="0"/>
    <n v="0"/>
    <n v="0"/>
    <n v="0"/>
    <n v="0"/>
    <n v="0"/>
    <n v="0"/>
    <n v="0"/>
    <n v="0"/>
    <n v="0"/>
    <n v="0"/>
    <b v="1"/>
    <n v="160"/>
    <s v="Bunch"/>
    <s v="Mature Leaf"/>
    <s v="Dill Mature Leaf - Bunch"/>
    <n v="0"/>
    <n v="0"/>
    <n v="0"/>
    <n v="0"/>
    <n v="0"/>
    <n v="0"/>
    <n v="0"/>
    <n v="0"/>
    <n v="133.33333333333334"/>
    <n v="26.666666666666664"/>
    <n v="0"/>
    <n v="0"/>
  </r>
  <r>
    <x v="18"/>
    <x v="93"/>
    <s v="B2"/>
    <n v="50"/>
    <n v="100"/>
    <s v="CIL"/>
    <m/>
    <x v="13"/>
    <x v="16"/>
    <m/>
    <s v="Cruiser High Mowing, Pokey Joe Uprising, Calypso Johnny's"/>
    <n v="412.50000000000006"/>
    <m/>
    <n v="0.25"/>
    <n v="0.5"/>
    <d v="2025-07-02T00:00:00"/>
    <d v="2025-07-02T00:00:00"/>
    <m/>
    <d v="2025-07-02T00:00:00"/>
    <d v="2025-08-01T00:00:00"/>
    <m/>
    <m/>
    <d v="2025-08-01T00:00:00"/>
    <m/>
    <n v="-45870"/>
    <x v="47"/>
    <m/>
    <d v="2025-09-20T00:00:00"/>
    <m/>
    <d v="2025-09-20T00:00:00"/>
    <d v="2025-10-04T00:00:00"/>
    <m/>
    <m/>
    <b v="0"/>
    <m/>
    <d v="2025-10-04T00:00:00"/>
    <b v="0"/>
    <b v="0"/>
    <b v="0"/>
    <b v="0"/>
    <n v="300"/>
    <n v="4.6875"/>
    <n v="80"/>
    <m/>
    <n v="14"/>
    <s v="TP"/>
    <n v="0.25"/>
    <n v="30"/>
    <n v="5"/>
    <n v="6"/>
    <n v="3"/>
    <n v="125"/>
    <s v=""/>
    <n v="88"/>
    <s v="General"/>
    <s v="Su"/>
    <n v="993"/>
    <n v="14"/>
    <s v="Herb"/>
    <n v="1"/>
    <s v="None"/>
    <n v="128"/>
    <n v="30"/>
    <n v="1.07421875"/>
    <n v="0"/>
    <n v="0"/>
    <s v=""/>
    <n v="0"/>
    <n v="0"/>
    <s v=""/>
    <n v="1.1000000000000001"/>
    <n v="0"/>
    <s v="Field"/>
    <s v="Cilantro_x000a_Cilantro Mix_x000a_"/>
    <n v="0"/>
    <n v="0"/>
    <n v="0"/>
    <n v="0"/>
    <n v="0"/>
    <n v="0"/>
    <n v="0"/>
    <n v="0"/>
    <n v="11"/>
    <n v="4"/>
    <n v="0"/>
    <n v="0"/>
    <n v="0"/>
    <n v="0"/>
    <n v="0"/>
    <n v="0"/>
    <n v="0"/>
    <n v="0"/>
    <n v="0"/>
    <n v="0"/>
    <n v="0"/>
    <n v="0"/>
    <n v="0"/>
    <n v="0"/>
    <n v="0"/>
    <n v="0"/>
    <n v="0"/>
    <n v="0"/>
    <n v="0"/>
    <n v="0"/>
    <n v="0"/>
    <n v="0"/>
    <n v="219.99999999999997"/>
    <n v="80"/>
    <n v="0"/>
    <n v="0"/>
    <n v="0"/>
    <n v="0"/>
    <n v="0"/>
    <n v="0"/>
    <n v="0"/>
    <n v="0"/>
    <n v="0"/>
    <n v="0"/>
    <n v="0"/>
    <n v="0"/>
    <n v="0"/>
    <n v="0"/>
    <b v="1"/>
    <n v="100"/>
    <s v="Bunch"/>
    <s v="Loose Leaf"/>
    <s v="Cilantro Loose Leaf - Bunch"/>
    <n v="0"/>
    <n v="0"/>
    <n v="0"/>
    <n v="0"/>
    <n v="0"/>
    <n v="0"/>
    <n v="0"/>
    <n v="0"/>
    <n v="73.333333333333329"/>
    <n v="26.666666666666668"/>
    <n v="0"/>
    <n v="0"/>
  </r>
  <r>
    <x v="34"/>
    <x v="94"/>
    <s v="I5"/>
    <n v="41.714814814814808"/>
    <n v="178.77777777777774"/>
    <s v="LET"/>
    <m/>
    <x v="5"/>
    <x v="5"/>
    <m/>
    <s v="Green Sweet Crisp Johnny's, Intercut Johnny's, Red Sweet Crisp Johnny's, Salanova Red Oak Leaf Johnny's"/>
    <n v="450.66666666666663"/>
    <m/>
    <n v="1"/>
    <n v="1"/>
    <d v="2025-07-15T00:00:00"/>
    <d v="2025-07-15T00:00:00"/>
    <m/>
    <d v="2025-07-15T00:00:00"/>
    <d v="2025-08-14T00:00:00"/>
    <m/>
    <m/>
    <d v="2025-08-14T00:00:00"/>
    <m/>
    <n v="-45883"/>
    <x v="49"/>
    <m/>
    <d v="2025-09-23T00:00:00"/>
    <m/>
    <d v="2025-09-23T00:00:00"/>
    <d v="2025-10-20T00:00:00"/>
    <m/>
    <m/>
    <b v="0"/>
    <m/>
    <d v="2025-10-20T00:00:00"/>
    <b v="0"/>
    <b v="0"/>
    <b v="0"/>
    <b v="0"/>
    <n v="1340.833333333333"/>
    <n v="20.012437810945269"/>
    <n v="70"/>
    <m/>
    <n v="27"/>
    <s v="TP"/>
    <n v="1"/>
    <n v="30"/>
    <n v="4"/>
    <n v="9"/>
    <n v="1"/>
    <n v="266.66666666666663"/>
    <s v=""/>
    <n v="192"/>
    <s v="Salanova"/>
    <s v="SuFa"/>
    <n v="996"/>
    <n v="27"/>
    <n v="0"/>
    <n v="0"/>
    <n v="0"/>
    <n v="128"/>
    <n v="30"/>
    <n v="2.708333333333333"/>
    <n v="0"/>
    <n v="0"/>
    <s v=""/>
    <n v="0"/>
    <n v="0"/>
    <s v=""/>
    <n v="1.3"/>
    <n v="0"/>
    <s v="Field"/>
    <s v="Lettuce_x000a_Salanova Mix_x000a_"/>
    <n v="0"/>
    <n v="0"/>
    <n v="0"/>
    <n v="0"/>
    <n v="0"/>
    <n v="0"/>
    <n v="0"/>
    <n v="0"/>
    <n v="8"/>
    <n v="20"/>
    <n v="0"/>
    <n v="0"/>
    <n v="0"/>
    <n v="0"/>
    <n v="0"/>
    <n v="0"/>
    <n v="0"/>
    <n v="0"/>
    <n v="0"/>
    <n v="0"/>
    <n v="0"/>
    <n v="0"/>
    <n v="0"/>
    <n v="0"/>
    <n v="0"/>
    <n v="0"/>
    <n v="0"/>
    <n v="0"/>
    <n v="0"/>
    <n v="0"/>
    <n v="0"/>
    <n v="0"/>
    <n v="383.09523809523796"/>
    <n v="957.73809523809507"/>
    <n v="0"/>
    <n v="0"/>
    <n v="0"/>
    <n v="0"/>
    <n v="0"/>
    <n v="0"/>
    <n v="0"/>
    <n v="0"/>
    <n v="0"/>
    <n v="0"/>
    <n v="0"/>
    <n v="0"/>
    <n v="0"/>
    <n v="0"/>
    <b v="1"/>
    <n v="134.08333333333331"/>
    <s v="Lb"/>
    <s v="Loose Leaf"/>
    <s v="Lettuce Loose Leaf - Lb"/>
    <n v="0"/>
    <n v="0"/>
    <n v="0"/>
    <n v="0"/>
    <n v="0"/>
    <n v="0"/>
    <n v="0"/>
    <n v="0"/>
    <n v="38.309523809523803"/>
    <n v="95.773809523809518"/>
    <n v="0"/>
    <n v="0"/>
  </r>
  <r>
    <x v="18"/>
    <x v="95"/>
    <s v="B2"/>
    <n v="50"/>
    <n v="100"/>
    <s v="CIL"/>
    <m/>
    <x v="13"/>
    <x v="16"/>
    <m/>
    <s v="Cruiser High Mowing, Pokey Joe Uprising, Calypso Johnny's"/>
    <n v="412.50000000000006"/>
    <m/>
    <n v="0.25"/>
    <n v="0.5"/>
    <d v="2025-07-16T00:00:00"/>
    <d v="2025-07-16T00:00:00"/>
    <m/>
    <d v="2025-07-16T00:00:00"/>
    <d v="2025-08-15T00:00:00"/>
    <m/>
    <m/>
    <d v="2025-08-15T00:00:00"/>
    <m/>
    <n v="-45884"/>
    <x v="50"/>
    <m/>
    <d v="2025-10-04T00:00:00"/>
    <m/>
    <d v="2025-10-04T00:00:00"/>
    <d v="2025-10-18T00:00:00"/>
    <m/>
    <m/>
    <b v="0"/>
    <m/>
    <d v="2025-10-18T00:00:00"/>
    <b v="0"/>
    <b v="0"/>
    <b v="0"/>
    <b v="0"/>
    <n v="300"/>
    <n v="4.6875"/>
    <n v="80"/>
    <m/>
    <n v="14"/>
    <s v="TP"/>
    <n v="0.25"/>
    <n v="30"/>
    <n v="5"/>
    <n v="6"/>
    <n v="3"/>
    <n v="125"/>
    <s v=""/>
    <n v="88"/>
    <s v="General"/>
    <s v="Su"/>
    <n v="1007"/>
    <n v="14"/>
    <s v="Herb"/>
    <n v="1"/>
    <s v="None"/>
    <n v="128"/>
    <n v="30"/>
    <n v="1.07421875"/>
    <n v="0"/>
    <n v="0"/>
    <s v=""/>
    <n v="0"/>
    <n v="0"/>
    <s v=""/>
    <n v="1.1000000000000001"/>
    <n v="0"/>
    <s v="Field"/>
    <s v="Cilantro_x000a_Cilantro Mix_x000a_"/>
    <n v="0"/>
    <n v="0"/>
    <n v="0"/>
    <n v="0"/>
    <n v="0"/>
    <n v="0"/>
    <n v="0"/>
    <n v="0"/>
    <n v="0"/>
    <n v="15"/>
    <n v="0"/>
    <n v="0"/>
    <n v="0"/>
    <n v="0"/>
    <n v="0"/>
    <n v="0"/>
    <n v="0"/>
    <n v="0"/>
    <n v="0"/>
    <n v="0"/>
    <n v="0"/>
    <n v="0"/>
    <n v="0"/>
    <n v="0"/>
    <n v="0"/>
    <n v="0"/>
    <n v="0"/>
    <n v="0"/>
    <n v="0"/>
    <n v="0"/>
    <n v="0"/>
    <n v="0"/>
    <n v="0"/>
    <n v="300"/>
    <n v="0"/>
    <n v="0"/>
    <n v="0"/>
    <n v="0"/>
    <n v="0"/>
    <n v="0"/>
    <n v="0"/>
    <n v="0"/>
    <n v="0"/>
    <n v="0"/>
    <n v="0"/>
    <n v="0"/>
    <n v="0"/>
    <n v="0"/>
    <b v="1"/>
    <n v="100"/>
    <s v="Bunch"/>
    <s v="Loose Leaf"/>
    <s v="Cilantro Loose Leaf - Bunch"/>
    <n v="0"/>
    <n v="0"/>
    <n v="0"/>
    <n v="0"/>
    <n v="0"/>
    <n v="0"/>
    <n v="0"/>
    <n v="0"/>
    <n v="0"/>
    <n v="100"/>
    <n v="0"/>
    <n v="0"/>
  </r>
  <r>
    <x v="55"/>
    <x v="96"/>
    <s v="E7"/>
    <n v="53.333333333333329"/>
    <n v="106.66666666666666"/>
    <s v="LET"/>
    <m/>
    <x v="5"/>
    <x v="58"/>
    <s v="High Mowing"/>
    <s v=""/>
    <n v="180.26666666666665"/>
    <m/>
    <n v="0.4"/>
    <n v="1"/>
    <d v="2025-07-16T00:00:00"/>
    <d v="2025-07-16T00:00:00"/>
    <m/>
    <d v="2025-07-16T00:00:00"/>
    <d v="2025-08-15T00:00:00"/>
    <m/>
    <m/>
    <d v="2025-08-15T00:00:00"/>
    <m/>
    <n v="-45884"/>
    <x v="50"/>
    <m/>
    <d v="2025-09-24T00:00:00"/>
    <m/>
    <d v="2025-09-24T00:00:00"/>
    <d v="2025-10-08T00:00:00"/>
    <m/>
    <m/>
    <b v="0"/>
    <m/>
    <d v="2025-10-08T00:00:00"/>
    <b v="0"/>
    <b v="0"/>
    <b v="0"/>
    <b v="0"/>
    <n v="426.66666666666663"/>
    <n v="7.9012345679012341"/>
    <n v="70"/>
    <m/>
    <n v="14"/>
    <s v="TP"/>
    <n v="0.4"/>
    <n v="30"/>
    <n v="4"/>
    <n v="9"/>
    <n v="1"/>
    <n v="106.66666666666666"/>
    <s v=""/>
    <n v="175"/>
    <s v="4x9"/>
    <s v="SuFa"/>
    <n v="997"/>
    <n v="14"/>
    <s v="Green"/>
    <n v="1"/>
    <s v="None"/>
    <n v="128"/>
    <n v="30"/>
    <n v="1.0833333333333333"/>
    <n v="0"/>
    <n v="0"/>
    <s v=""/>
    <n v="0"/>
    <n v="0"/>
    <s v=""/>
    <n v="1.3"/>
    <n v="0"/>
    <s v="Field"/>
    <s v="Lettuce_x000a_Lovelock_x000a_High Mowing"/>
    <n v="0"/>
    <n v="0"/>
    <n v="0"/>
    <n v="0"/>
    <n v="0"/>
    <n v="0"/>
    <n v="0"/>
    <n v="0"/>
    <n v="7"/>
    <n v="8"/>
    <n v="0"/>
    <n v="0"/>
    <n v="0"/>
    <n v="0"/>
    <n v="0"/>
    <n v="0"/>
    <n v="0"/>
    <n v="0"/>
    <n v="0"/>
    <n v="0"/>
    <n v="0"/>
    <n v="0"/>
    <n v="0"/>
    <n v="0"/>
    <n v="0"/>
    <n v="0"/>
    <n v="0"/>
    <n v="0"/>
    <n v="0"/>
    <n v="0"/>
    <n v="0"/>
    <n v="0"/>
    <n v="199.11111111111109"/>
    <n v="227.55555555555554"/>
    <n v="0"/>
    <n v="0"/>
    <n v="0"/>
    <n v="0"/>
    <n v="0"/>
    <n v="0"/>
    <n v="0"/>
    <n v="0"/>
    <n v="0"/>
    <n v="0"/>
    <n v="0"/>
    <n v="0"/>
    <n v="0"/>
    <n v="0"/>
    <b v="1"/>
    <n v="106.66666666666666"/>
    <s v="Head"/>
    <s v="Mature Head"/>
    <s v="Lettuce Mature Head - Head"/>
    <n v="0"/>
    <n v="0"/>
    <n v="0"/>
    <n v="0"/>
    <n v="0"/>
    <n v="0"/>
    <n v="0"/>
    <n v="0"/>
    <n v="49.777777777777771"/>
    <n v="56.888888888888886"/>
    <n v="0"/>
    <n v="0"/>
  </r>
  <r>
    <x v="65"/>
    <x v="97"/>
    <s v="J8"/>
    <e v="#DIV/0!"/>
    <e v="#DIV/0!"/>
    <s v="LOV"/>
    <s v="Perennial"/>
    <x v="33"/>
    <x v="59"/>
    <m/>
    <s v=""/>
    <n v="0"/>
    <m/>
    <n v="0.4"/>
    <n v="0.5"/>
    <d v="2024-01-01T00:00:00"/>
    <s v=""/>
    <d v="2024-01-01T00:00:00"/>
    <d v="2024-01-01T00:00:00"/>
    <d v="2024-01-27T00:00:00"/>
    <m/>
    <m/>
    <d v="2024-01-01T00:00:00"/>
    <d v="2024-01-01T00:00:00"/>
    <n v="0"/>
    <x v="51"/>
    <m/>
    <d v="2024-05-05T00:00:00"/>
    <d v="2024-04-10T00:00:00"/>
    <d v="2024-04-10T00:00:00"/>
    <d v="2025-01-20T00:00:00"/>
    <m/>
    <d v="1900-04-08T00:00:00"/>
    <b v="0"/>
    <m/>
    <d v="2025-01-20T00:00:00"/>
    <b v="1"/>
    <b v="1"/>
    <b v="0"/>
    <b v="0"/>
    <n v="479.99999999999994"/>
    <n v="1.6783216783216781"/>
    <n v="125"/>
    <m/>
    <n v="161"/>
    <s v="DS"/>
    <n v="0.4"/>
    <n v="0"/>
    <n v="1"/>
    <n v="18"/>
    <n v="1"/>
    <n v="13.333333333333332"/>
    <s v=""/>
    <n v="196"/>
    <s v="Perennial"/>
    <n v="0"/>
    <n v="490"/>
    <n v="260"/>
    <s v="Herb"/>
    <n v="6"/>
    <s v="None"/>
    <n v="0"/>
    <n v="0"/>
    <s v=""/>
    <n v="0"/>
    <n v="0"/>
    <s v=""/>
    <n v="0"/>
    <n v="0"/>
    <s v=""/>
    <n v="0"/>
    <n v="0"/>
    <s v="Field"/>
    <s v="Lovage_x000a_Perennial_x000a_"/>
    <n v="20"/>
    <n v="0"/>
    <n v="0"/>
    <n v="0"/>
    <n v="0"/>
    <n v="0"/>
    <n v="0"/>
    <n v="0"/>
    <n v="0"/>
    <n v="0"/>
    <n v="0"/>
    <n v="0"/>
    <n v="0"/>
    <n v="0"/>
    <n v="0"/>
    <n v="0"/>
    <n v="0"/>
    <n v="0"/>
    <n v="0"/>
    <n v="0"/>
    <n v="0"/>
    <n v="0"/>
    <n v="0"/>
    <n v="0"/>
    <n v="479.99999999999994"/>
    <n v="0"/>
    <n v="0"/>
    <n v="0"/>
    <n v="0"/>
    <n v="0"/>
    <n v="0"/>
    <n v="0"/>
    <n v="0"/>
    <n v="0"/>
    <n v="0"/>
    <n v="0"/>
    <n v="0"/>
    <n v="0"/>
    <n v="0"/>
    <n v="0"/>
    <n v="0"/>
    <n v="0"/>
    <n v="0"/>
    <n v="0"/>
    <n v="0"/>
    <n v="0"/>
    <n v="0"/>
    <n v="0"/>
    <b v="1"/>
    <n v="160"/>
    <s v="Bunch"/>
    <s v="Mature Leaf"/>
    <s v="Lovage Mature Leaf - Bunch"/>
    <n v="160"/>
    <n v="0"/>
    <n v="0"/>
    <n v="0"/>
    <n v="0"/>
    <n v="0"/>
    <n v="0"/>
    <n v="0"/>
    <n v="0"/>
    <n v="0"/>
    <n v="0"/>
    <n v="0"/>
  </r>
  <r>
    <x v="66"/>
    <x v="98"/>
    <s v="I5"/>
    <n v="85.714285714285708"/>
    <n v="85.714285714285708"/>
    <s v="GAR"/>
    <s v="Green garlic in I8. Was all of our saved runts. I7 is softneck . Sofneck was just polish. Might have done a spacing experiement."/>
    <x v="34"/>
    <x v="60"/>
    <m/>
    <s v=""/>
    <n v="300"/>
    <m/>
    <n v="2"/>
    <n v="2"/>
    <d v="2024-12-21T00:00:00"/>
    <s v=""/>
    <m/>
    <s v=""/>
    <d v="2024-08-19T00:00:00"/>
    <m/>
    <m/>
    <d v="2024-08-19T00:00:00"/>
    <d v="2024-12-21T00:00:00"/>
    <n v="124"/>
    <x v="52"/>
    <m/>
    <d v="2025-06-01T00:00:00"/>
    <m/>
    <d v="2025-06-01T00:00:00"/>
    <d v="2025-06-15T00:00:00"/>
    <m/>
    <m/>
    <b v="0"/>
    <m/>
    <d v="2025-06-15T00:00:00"/>
    <b v="0"/>
    <s v="-"/>
    <b v="0"/>
    <b v="0"/>
    <n v="1542.8571428571427"/>
    <n v="5.5698813821557493"/>
    <n v="270"/>
    <m/>
    <n v="7"/>
    <s v="DS"/>
    <n v="2"/>
    <n v="0"/>
    <n v="3"/>
    <n v="6"/>
    <n v="1"/>
    <n v="600"/>
    <s v=""/>
    <n v="136"/>
    <s v="Hardneck"/>
    <s v="Ow"/>
    <n v="882"/>
    <n v="14"/>
    <s v="Garlic"/>
    <n v="2"/>
    <s v="None"/>
    <n v="0"/>
    <n v="0"/>
    <s v=""/>
    <n v="0"/>
    <n v="0"/>
    <s v=""/>
    <n v="0"/>
    <n v="0"/>
    <s v=""/>
    <n v="1"/>
    <n v="0"/>
    <s v="Field"/>
    <s v="Garlic_x000a_Saved Seed_x000a_"/>
    <n v="0"/>
    <n v="0"/>
    <n v="0"/>
    <n v="0"/>
    <n v="0"/>
    <n v="15"/>
    <n v="0"/>
    <n v="0"/>
    <n v="0"/>
    <n v="0"/>
    <n v="0"/>
    <n v="0"/>
    <n v="0"/>
    <n v="0"/>
    <n v="0"/>
    <n v="0"/>
    <n v="0"/>
    <n v="0"/>
    <n v="0"/>
    <n v="0"/>
    <n v="0"/>
    <n v="0"/>
    <n v="0"/>
    <n v="0"/>
    <n v="0"/>
    <n v="0"/>
    <n v="0"/>
    <n v="0"/>
    <n v="0"/>
    <n v="1542.8571428571427"/>
    <n v="0"/>
    <n v="0"/>
    <n v="0"/>
    <n v="0"/>
    <n v="0"/>
    <n v="0"/>
    <n v="0"/>
    <n v="0"/>
    <n v="0"/>
    <n v="0"/>
    <n v="0"/>
    <n v="0"/>
    <n v="0"/>
    <n v="0"/>
    <n v="0"/>
    <n v="0"/>
    <n v="0"/>
    <n v="0"/>
    <b v="1"/>
    <n v="85.714285714285708"/>
    <s v="Lb"/>
    <s v="Storage Bulb"/>
    <s v="Garlic Storage Bulb - Lb"/>
    <n v="0"/>
    <n v="0"/>
    <n v="0"/>
    <n v="0"/>
    <n v="0"/>
    <n v="85.714285714285708"/>
    <n v="0"/>
    <n v="0"/>
    <n v="0"/>
    <n v="0"/>
    <n v="0"/>
    <n v="0"/>
  </r>
  <r>
    <x v="67"/>
    <x v="99"/>
    <s v="I7"/>
    <n v="42.857142857142854"/>
    <n v="42.857142857142854"/>
    <s v="GAR"/>
    <s v="Zemo. Red Chesnok and Adaptive Music. Zemo from Viva was abolsutely massive. Even bigger than our current. Might have done a spacing experiement."/>
    <x v="34"/>
    <x v="60"/>
    <m/>
    <s v=""/>
    <n v="300"/>
    <m/>
    <n v="1"/>
    <n v="1"/>
    <d v="2024-12-21T00:00:00"/>
    <s v=""/>
    <m/>
    <s v=""/>
    <d v="2024-08-19T00:00:00"/>
    <m/>
    <m/>
    <d v="2024-08-19T00:00:00"/>
    <d v="2024-12-21T00:00:00"/>
    <n v="124"/>
    <x v="52"/>
    <m/>
    <d v="2025-06-15T00:00:00"/>
    <m/>
    <d v="2025-06-15T00:00:00"/>
    <d v="2025-06-25T00:00:00"/>
    <m/>
    <m/>
    <b v="0"/>
    <m/>
    <d v="2025-06-25T00:00:00"/>
    <b v="0"/>
    <s v="-"/>
    <b v="0"/>
    <b v="0"/>
    <n v="771.42857142857133"/>
    <n v="3.1231925968768071"/>
    <n v="240"/>
    <m/>
    <n v="7"/>
    <s v="DS"/>
    <n v="1"/>
    <n v="0"/>
    <n v="3"/>
    <n v="6"/>
    <n v="1"/>
    <n v="300"/>
    <s v=""/>
    <n v="137"/>
    <s v="Softneck"/>
    <s v="Ow"/>
    <n v="896"/>
    <n v="10"/>
    <s v="Garlic"/>
    <n v="2"/>
    <s v="None"/>
    <n v="0"/>
    <n v="0"/>
    <s v=""/>
    <n v="0"/>
    <n v="0"/>
    <s v=""/>
    <n v="0"/>
    <n v="0"/>
    <s v=""/>
    <n v="1"/>
    <n v="0"/>
    <s v="Field"/>
    <s v="Garlic_x000a_Saved Seed_x000a_"/>
    <n v="0"/>
    <n v="0"/>
    <n v="0"/>
    <n v="0"/>
    <n v="0"/>
    <n v="11"/>
    <n v="0"/>
    <n v="0"/>
    <n v="0"/>
    <n v="0"/>
    <n v="0"/>
    <n v="0"/>
    <n v="0"/>
    <n v="0"/>
    <n v="0"/>
    <n v="0"/>
    <n v="0"/>
    <n v="0"/>
    <n v="0"/>
    <n v="0"/>
    <n v="0"/>
    <n v="0"/>
    <n v="0"/>
    <n v="0"/>
    <n v="0"/>
    <n v="0"/>
    <n v="0"/>
    <n v="0"/>
    <n v="0"/>
    <n v="771.42857142857133"/>
    <n v="0"/>
    <n v="0"/>
    <n v="0"/>
    <n v="0"/>
    <n v="0"/>
    <n v="0"/>
    <n v="0"/>
    <n v="0"/>
    <n v="0"/>
    <n v="0"/>
    <n v="0"/>
    <n v="0"/>
    <n v="0"/>
    <n v="0"/>
    <n v="0"/>
    <n v="0"/>
    <n v="0"/>
    <n v="0"/>
    <b v="1"/>
    <n v="42.857142857142854"/>
    <s v="Lb"/>
    <s v="Storage Bulb"/>
    <s v="Garlic Storage Bulb - Lb"/>
    <n v="0"/>
    <n v="0"/>
    <n v="0"/>
    <n v="0"/>
    <n v="0"/>
    <n v="42.857142857142854"/>
    <n v="0"/>
    <n v="0"/>
    <n v="0"/>
    <n v="0"/>
    <n v="0"/>
    <n v="0"/>
  </r>
  <r>
    <x v="68"/>
    <x v="100"/>
    <s v="B1"/>
    <n v="44.44444444444445"/>
    <n v="133.33333333333334"/>
    <s v="FAV"/>
    <m/>
    <x v="35"/>
    <x v="61"/>
    <s v="Sustainable Seed Company"/>
    <s v=""/>
    <n v="173.33333333333331"/>
    <m/>
    <n v="1"/>
    <n v="1"/>
    <d v="2025-01-31T00:00:00"/>
    <s v=""/>
    <m/>
    <s v=""/>
    <d v="2025-01-31T00:00:00"/>
    <m/>
    <m/>
    <d v="2025-01-31T00:00:00"/>
    <d v="2025-01-31T00:00:00"/>
    <n v="0"/>
    <x v="53"/>
    <m/>
    <d v="2025-07-30T00:00:00"/>
    <m/>
    <d v="2025-07-30T00:00:00"/>
    <d v="2025-08-20T00:00:00"/>
    <m/>
    <m/>
    <b v="1"/>
    <m/>
    <d v="2025-08-20T00:00:00"/>
    <b v="1"/>
    <s v="-"/>
    <b v="0"/>
    <b v="0"/>
    <n v="600"/>
    <n v="2.9850746268656718"/>
    <n v="180"/>
    <m/>
    <n v="21"/>
    <s v="DS"/>
    <n v="1"/>
    <n v="0"/>
    <n v="2"/>
    <n v="9"/>
    <n v="1"/>
    <n v="133.33333333333331"/>
    <s v=""/>
    <n v="126"/>
    <s v="General"/>
    <s v="Sp"/>
    <n v="941"/>
    <n v="21"/>
    <s v="Fava Bean"/>
    <n v="3.5"/>
    <n v="0"/>
    <n v="0"/>
    <n v="0"/>
    <s v=""/>
    <n v="0"/>
    <n v="0"/>
    <s v=""/>
    <n v="0"/>
    <n v="0"/>
    <s v=""/>
    <n v="1"/>
    <n v="0"/>
    <s v="Field"/>
    <s v="Fava Bean_x000a_Aquadulce_x000a_Sustainable Seed Company"/>
    <n v="0"/>
    <n v="0"/>
    <n v="0"/>
    <n v="0"/>
    <n v="0"/>
    <n v="0"/>
    <n v="2"/>
    <n v="20"/>
    <n v="0"/>
    <n v="0"/>
    <n v="0"/>
    <n v="0"/>
    <n v="0"/>
    <n v="0"/>
    <n v="0"/>
    <n v="0"/>
    <n v="0"/>
    <n v="0"/>
    <n v="0"/>
    <n v="0"/>
    <n v="0"/>
    <n v="0"/>
    <n v="0"/>
    <n v="0"/>
    <n v="0"/>
    <n v="0"/>
    <n v="0"/>
    <n v="0"/>
    <n v="0"/>
    <n v="0"/>
    <n v="54.545454545454547"/>
    <n v="545.45454545454538"/>
    <n v="0"/>
    <n v="0"/>
    <n v="0"/>
    <n v="0"/>
    <n v="0"/>
    <n v="0"/>
    <n v="0"/>
    <n v="0"/>
    <n v="0"/>
    <n v="0"/>
    <n v="0"/>
    <n v="0"/>
    <n v="0"/>
    <n v="0"/>
    <n v="0"/>
    <n v="0"/>
    <b v="1"/>
    <n v="100"/>
    <s v="Lb"/>
    <s v="Mature Pod"/>
    <s v="Fava Bean Mature Pod - Lb"/>
    <n v="0"/>
    <n v="0"/>
    <n v="0"/>
    <n v="0"/>
    <n v="0"/>
    <n v="0"/>
    <n v="9.0909090909090917"/>
    <n v="90.909090909090907"/>
    <n v="0"/>
    <n v="0"/>
    <n v="0"/>
    <n v="0"/>
  </r>
  <r>
    <x v="69"/>
    <x v="101"/>
    <s v="A5"/>
    <n v="7.8125"/>
    <n v="31.25"/>
    <s v="RAD"/>
    <m/>
    <x v="32"/>
    <x v="62"/>
    <m/>
    <s v="French Breakfast High Mowing, Pearl Johnny's, Sora High Mowing, Patricia High Mowing"/>
    <n v="1170"/>
    <m/>
    <n v="0.25"/>
    <n v="0.5"/>
    <d v="2025-03-12T00:00:00"/>
    <s v=""/>
    <m/>
    <s v=""/>
    <d v="2025-03-12T00:00:00"/>
    <m/>
    <m/>
    <d v="2025-03-12T00:00:00"/>
    <d v="2025-03-25T00:00:00"/>
    <n v="13"/>
    <x v="54"/>
    <m/>
    <d v="2025-04-26T00:00:00"/>
    <m/>
    <d v="2025-04-26T00:00:00"/>
    <d v="2025-05-17T00:00:00"/>
    <m/>
    <m/>
    <b v="0"/>
    <m/>
    <d v="2025-05-17T00:00:00"/>
    <b v="1"/>
    <s v="-"/>
    <b v="0"/>
    <b v="0"/>
    <n v="93.75"/>
    <n v="1.7688679245283019"/>
    <n v="32"/>
    <m/>
    <n v="21"/>
    <s v="DS"/>
    <n v="0.25"/>
    <n v="0"/>
    <n v="6"/>
    <n v="1"/>
    <n v="1"/>
    <n v="900"/>
    <s v="OH"/>
    <n v="254"/>
    <s v="6r"/>
    <s v="Sp"/>
    <n v="846"/>
    <n v="21"/>
    <s v="Root"/>
    <n v="1"/>
    <s v="AMAP"/>
    <n v="0"/>
    <n v="0"/>
    <s v=""/>
    <n v="0"/>
    <n v="0"/>
    <s v=""/>
    <n v="0"/>
    <n v="0"/>
    <s v=""/>
    <n v="1.3"/>
    <n v="7"/>
    <s v="Field"/>
    <s v="Radish_x000a_Radish Mix_x000a_"/>
    <n v="0"/>
    <n v="0"/>
    <n v="0"/>
    <n v="5"/>
    <n v="17"/>
    <n v="0"/>
    <n v="0"/>
    <n v="0"/>
    <n v="0"/>
    <n v="0"/>
    <n v="0"/>
    <n v="0"/>
    <n v="0"/>
    <n v="0"/>
    <n v="0"/>
    <n v="0"/>
    <n v="0"/>
    <n v="0"/>
    <n v="0"/>
    <n v="0"/>
    <n v="0"/>
    <n v="0"/>
    <n v="0"/>
    <n v="0"/>
    <n v="0"/>
    <n v="0"/>
    <n v="0"/>
    <n v="21.30681818181818"/>
    <n v="72.443181818181813"/>
    <n v="0"/>
    <n v="0"/>
    <n v="0"/>
    <n v="0"/>
    <n v="0"/>
    <n v="0"/>
    <n v="0"/>
    <n v="0"/>
    <n v="0"/>
    <n v="0"/>
    <n v="0"/>
    <n v="0"/>
    <n v="0"/>
    <n v="0"/>
    <n v="0"/>
    <n v="0"/>
    <n v="0"/>
    <n v="0"/>
    <n v="0"/>
    <b v="1"/>
    <n v="31.25"/>
    <s v="Bunch"/>
    <s v="Mature Root"/>
    <s v="Radish Mature Root - Bunch"/>
    <n v="0"/>
    <n v="0"/>
    <n v="0"/>
    <n v="7.1022727272727266"/>
    <n v="24.147727272727273"/>
    <n v="0"/>
    <n v="0"/>
    <n v="0"/>
    <n v="0"/>
    <n v="0"/>
    <n v="0"/>
    <n v="0"/>
  </r>
  <r>
    <x v="70"/>
    <x v="102"/>
    <s v="A4"/>
    <n v="18.75"/>
    <n v="112.5"/>
    <s v="MAG"/>
    <m/>
    <x v="36"/>
    <x v="63"/>
    <s v="Adaptive"/>
    <s v=""/>
    <n v="390"/>
    <m/>
    <n v="0.25"/>
    <n v="0.5"/>
    <d v="2025-03-17T00:00:00"/>
    <s v=""/>
    <m/>
    <s v=""/>
    <d v="2025-03-17T00:00:00"/>
    <m/>
    <m/>
    <d v="2025-03-17T00:00:00"/>
    <d v="2025-03-25T00:00:00"/>
    <n v="8"/>
    <x v="54"/>
    <m/>
    <d v="2025-05-24T00:00:00"/>
    <m/>
    <d v="2025-05-24T00:00:00"/>
    <d v="2025-06-28T00:00:00"/>
    <m/>
    <m/>
    <b v="0"/>
    <m/>
    <d v="2025-06-28T00:00:00"/>
    <b v="1"/>
    <s v="-"/>
    <b v="0"/>
    <b v="0"/>
    <n v="337.5"/>
    <n v="3.5526315789473686"/>
    <n v="60"/>
    <m/>
    <n v="35"/>
    <s v="DS"/>
    <n v="0.25"/>
    <n v="0"/>
    <n v="4"/>
    <n v="2"/>
    <n v="1"/>
    <n v="300"/>
    <s v=""/>
    <n v="199"/>
    <s v="General"/>
    <s v="Sp"/>
    <n v="874"/>
    <n v="35"/>
    <s v="Flower"/>
    <n v="7"/>
    <n v="0"/>
    <n v="0"/>
    <n v="0"/>
    <n v="0"/>
    <n v="0"/>
    <n v="0"/>
    <s v=""/>
    <n v="0"/>
    <n v="0"/>
    <s v=""/>
    <n v="1.3"/>
    <n v="0"/>
    <n v="0"/>
    <s v="Magenta Spreen_x000a_Magenta Spreen_x000a_Adaptive"/>
    <n v="0"/>
    <n v="0"/>
    <n v="0"/>
    <n v="0"/>
    <n v="8"/>
    <n v="28"/>
    <n v="0"/>
    <n v="0"/>
    <n v="0"/>
    <n v="0"/>
    <n v="0"/>
    <n v="0"/>
    <n v="0"/>
    <n v="0"/>
    <n v="0"/>
    <n v="0"/>
    <n v="0"/>
    <n v="0"/>
    <n v="0"/>
    <n v="0"/>
    <n v="0"/>
    <n v="0"/>
    <n v="0"/>
    <n v="0"/>
    <n v="0"/>
    <n v="0"/>
    <n v="0"/>
    <n v="0"/>
    <n v="75"/>
    <n v="262.5"/>
    <n v="0"/>
    <n v="0"/>
    <n v="0"/>
    <n v="0"/>
    <n v="0"/>
    <n v="0"/>
    <n v="0"/>
    <n v="0"/>
    <n v="0"/>
    <n v="0"/>
    <n v="0"/>
    <n v="0"/>
    <n v="0"/>
    <n v="0"/>
    <n v="0"/>
    <n v="0"/>
    <n v="0"/>
    <n v="0"/>
    <b v="1"/>
    <n v="112.5"/>
    <s v="Bunch"/>
    <s v="Young Stem"/>
    <s v="Magenta Spreen Young Stem - Bunch"/>
    <n v="0"/>
    <n v="0"/>
    <n v="0"/>
    <n v="0"/>
    <n v="25"/>
    <n v="87.5"/>
    <n v="0"/>
    <n v="0"/>
    <n v="0"/>
    <n v="0"/>
    <n v="0"/>
    <n v="0"/>
  </r>
  <r>
    <x v="71"/>
    <x v="103"/>
    <s v="A1"/>
    <n v="42.857142857142854"/>
    <n v="171.42857142857142"/>
    <s v="CAR"/>
    <m/>
    <x v="37"/>
    <x v="64"/>
    <m/>
    <s v="Yellowstone Johnny's, Cosmic Purple High Mowing, Napoli F1 Osborne, Mokum Johnny's"/>
    <n v="6240"/>
    <m/>
    <n v="1"/>
    <n v="1"/>
    <d v="2025-03-27T00:00:00"/>
    <s v=""/>
    <m/>
    <s v=""/>
    <d v="2025-03-27T00:00:00"/>
    <m/>
    <m/>
    <d v="2025-03-27T00:00:00"/>
    <d v="2025-04-05T00:00:00"/>
    <n v="9"/>
    <x v="55"/>
    <m/>
    <d v="2025-06-14T00:00:00"/>
    <m/>
    <d v="2025-06-14T00:00:00"/>
    <d v="2025-07-05T00:00:00"/>
    <m/>
    <m/>
    <b v="0"/>
    <m/>
    <d v="2025-07-05T00:00:00"/>
    <b v="1"/>
    <s v="-"/>
    <b v="0"/>
    <b v="0"/>
    <n v="557.14285714285711"/>
    <n v="6.1224489795918364"/>
    <n v="70"/>
    <m/>
    <n v="21"/>
    <s v="DS"/>
    <n v="1"/>
    <n v="0"/>
    <n v="4"/>
    <n v="0.5"/>
    <n v="1"/>
    <n v="4800"/>
    <s v="OH"/>
    <n v="61"/>
    <s v="Early"/>
    <s v="Sp"/>
    <n v="895"/>
    <n v="21"/>
    <s v="Root"/>
    <n v="1"/>
    <s v="AMAP"/>
    <n v="0"/>
    <n v="0"/>
    <s v=""/>
    <n v="0"/>
    <n v="0"/>
    <s v=""/>
    <n v="0"/>
    <n v="0"/>
    <s v=""/>
    <n v="1.3"/>
    <n v="0"/>
    <s v="Field"/>
    <s v="Carrot_x000a_Early Carrot Mix_x000a_"/>
    <n v="0"/>
    <n v="0"/>
    <n v="0"/>
    <n v="0"/>
    <n v="0"/>
    <n v="17"/>
    <n v="5"/>
    <n v="0"/>
    <n v="0"/>
    <n v="0"/>
    <n v="0"/>
    <n v="0"/>
    <n v="0"/>
    <n v="0"/>
    <n v="0"/>
    <n v="0"/>
    <n v="0"/>
    <n v="0"/>
    <n v="0"/>
    <n v="0"/>
    <n v="0"/>
    <n v="0"/>
    <n v="0"/>
    <n v="0"/>
    <n v="0"/>
    <n v="0"/>
    <n v="0"/>
    <n v="0"/>
    <n v="0"/>
    <n v="430.51948051948051"/>
    <n v="126.62337662337661"/>
    <n v="0"/>
    <n v="0"/>
    <n v="0"/>
    <n v="0"/>
    <n v="0"/>
    <n v="0"/>
    <n v="0"/>
    <n v="0"/>
    <n v="0"/>
    <n v="0"/>
    <n v="0"/>
    <n v="0"/>
    <n v="0"/>
    <n v="0"/>
    <n v="0"/>
    <n v="0"/>
    <n v="0"/>
    <b v="1"/>
    <n v="171.42857142857142"/>
    <s v="Bunch"/>
    <s v="Mature Root"/>
    <s v="Carrot Mature Root - Bunch"/>
    <n v="0"/>
    <n v="0"/>
    <n v="0"/>
    <n v="0"/>
    <n v="0"/>
    <n v="132.46753246753246"/>
    <n v="38.961038961038959"/>
    <n v="0"/>
    <n v="0"/>
    <n v="0"/>
    <n v="0"/>
    <n v="0"/>
  </r>
  <r>
    <x v="72"/>
    <x v="104"/>
    <s v="A5"/>
    <n v="18.75"/>
    <n v="150"/>
    <s v="CHR"/>
    <m/>
    <x v="38"/>
    <x v="65"/>
    <s v="Adaptive"/>
    <s v=""/>
    <n v="731.25"/>
    <m/>
    <n v="0.25"/>
    <n v="0.5"/>
    <d v="2025-03-27T00:00:00"/>
    <s v=""/>
    <m/>
    <s v=""/>
    <d v="2025-03-27T00:00:00"/>
    <m/>
    <m/>
    <d v="2025-03-27T00:00:00"/>
    <d v="2025-03-25T00:00:00"/>
    <n v="-2"/>
    <x v="54"/>
    <m/>
    <d v="2025-05-01T00:00:00"/>
    <m/>
    <d v="2025-05-01T00:00:00"/>
    <d v="2025-06-26T00:00:00"/>
    <m/>
    <m/>
    <b v="0"/>
    <m/>
    <d v="2025-06-26T00:00:00"/>
    <b v="1"/>
    <s v="-"/>
    <b v="0"/>
    <b v="0"/>
    <n v="600"/>
    <n v="6.4516129032258061"/>
    <n v="37"/>
    <m/>
    <n v="56"/>
    <s v="DS"/>
    <n v="0.25"/>
    <n v="0"/>
    <n v="3"/>
    <n v="0.8"/>
    <n v="1"/>
    <n v="562.5"/>
    <s v="OH"/>
    <n v="82"/>
    <s v="General"/>
    <s v="Ow"/>
    <n v="851"/>
    <n v="56"/>
    <s v="Brassica"/>
    <n v="2"/>
    <s v="AMAP"/>
    <n v="0"/>
    <n v="0"/>
    <s v=""/>
    <n v="0"/>
    <n v="0"/>
    <s v=""/>
    <n v="0"/>
    <n v="0"/>
    <s v=""/>
    <n v="1.3"/>
    <n v="0"/>
    <s v="Field"/>
    <s v="Chrysanthemum Greens_x000a_Shungiku, Komi_x000a_Adaptive"/>
    <n v="0"/>
    <n v="0"/>
    <n v="0"/>
    <n v="0"/>
    <n v="31"/>
    <n v="26"/>
    <n v="0"/>
    <n v="0"/>
    <n v="0"/>
    <n v="0"/>
    <n v="0"/>
    <n v="0"/>
    <n v="0"/>
    <n v="0"/>
    <n v="0"/>
    <n v="0"/>
    <n v="0"/>
    <n v="0"/>
    <n v="0"/>
    <n v="0"/>
    <n v="0"/>
    <n v="0"/>
    <n v="0"/>
    <n v="0"/>
    <n v="0"/>
    <n v="0"/>
    <n v="0"/>
    <n v="0"/>
    <n v="326.31578947368422"/>
    <n v="273.68421052631578"/>
    <n v="0"/>
    <n v="0"/>
    <n v="0"/>
    <n v="0"/>
    <n v="0"/>
    <n v="0"/>
    <n v="0"/>
    <n v="0"/>
    <n v="0"/>
    <n v="0"/>
    <n v="0"/>
    <n v="0"/>
    <n v="0"/>
    <n v="0"/>
    <n v="0"/>
    <n v="0"/>
    <n v="0"/>
    <n v="0"/>
    <b v="1"/>
    <n v="150"/>
    <s v="Bunch"/>
    <s v="Mature Leaf"/>
    <s v="Chrysanthemum Greens Mature Leaf - Bunch"/>
    <n v="0"/>
    <n v="0"/>
    <n v="0"/>
    <n v="0"/>
    <n v="81.578947368421055"/>
    <n v="68.421052631578945"/>
    <n v="0"/>
    <n v="0"/>
    <n v="0"/>
    <n v="0"/>
    <n v="0"/>
    <n v="0"/>
  </r>
  <r>
    <x v="73"/>
    <x v="105"/>
    <s v="F3"/>
    <n v="186.66666666666663"/>
    <n v="186.66666666666663"/>
    <s v="POT"/>
    <m/>
    <x v="39"/>
    <x v="66"/>
    <m/>
    <s v="Purple Viking Johnny's, Red Norland Johnny's"/>
    <n v="173.33333333333331"/>
    <m/>
    <n v="2"/>
    <n v="2"/>
    <d v="2025-04-01T00:00:00"/>
    <s v=""/>
    <m/>
    <s v=""/>
    <d v="2025-04-01T00:00:00"/>
    <m/>
    <m/>
    <d v="2025-04-01T00:00:00"/>
    <d v="2025-04-18T00:00:00"/>
    <n v="17"/>
    <x v="56"/>
    <m/>
    <d v="2025-06-17T00:00:00"/>
    <m/>
    <d v="2025-06-17T00:00:00"/>
    <d v="2025-06-24T00:00:00"/>
    <m/>
    <m/>
    <b v="0"/>
    <m/>
    <d v="2025-06-24T00:00:00"/>
    <b v="1"/>
    <s v="-"/>
    <b v="0"/>
    <b v="0"/>
    <n v="559.99999999999989"/>
    <n v="8.3582089552238781"/>
    <n v="60"/>
    <m/>
    <n v="7"/>
    <s v="DS"/>
    <n v="2"/>
    <n v="0"/>
    <n v="2"/>
    <n v="18"/>
    <n v="1"/>
    <n v="133.33333333333331"/>
    <s v=""/>
    <n v="246"/>
    <s v="Early"/>
    <s v=""/>
    <n v="898"/>
    <n v="7"/>
    <s v="Root"/>
    <n v="3"/>
    <s v="None"/>
    <n v="0"/>
    <n v="0"/>
    <s v=""/>
    <n v="0"/>
    <n v="0"/>
    <s v=""/>
    <n v="0"/>
    <n v="0"/>
    <s v=""/>
    <n v="1.3"/>
    <n v="0"/>
    <s v="Field"/>
    <s v="Potato_x000a_Early Potato Mix_x000a_"/>
    <n v="0"/>
    <n v="0"/>
    <n v="0"/>
    <n v="0"/>
    <n v="0"/>
    <n v="8"/>
    <n v="0"/>
    <n v="0"/>
    <n v="0"/>
    <n v="0"/>
    <n v="0"/>
    <n v="0"/>
    <n v="0"/>
    <n v="0"/>
    <n v="0"/>
    <n v="0"/>
    <n v="0"/>
    <n v="0"/>
    <n v="0"/>
    <n v="0"/>
    <n v="0"/>
    <n v="0"/>
    <n v="0"/>
    <n v="0"/>
    <n v="0"/>
    <n v="0"/>
    <n v="0"/>
    <n v="0"/>
    <n v="0"/>
    <n v="559.99999999999989"/>
    <n v="0"/>
    <n v="0"/>
    <n v="0"/>
    <n v="0"/>
    <n v="0"/>
    <n v="0"/>
    <n v="0"/>
    <n v="0"/>
    <n v="0"/>
    <n v="0"/>
    <n v="0"/>
    <n v="0"/>
    <n v="0"/>
    <n v="0"/>
    <n v="0"/>
    <n v="0"/>
    <n v="0"/>
    <n v="0"/>
    <b v="1"/>
    <n v="186.66666666666663"/>
    <s v="Lb"/>
    <s v="Mature Root"/>
    <s v="Potato Mature Root - Lb"/>
    <n v="0"/>
    <n v="0"/>
    <n v="0"/>
    <n v="0"/>
    <n v="0"/>
    <n v="186.66666666666663"/>
    <n v="0"/>
    <n v="0"/>
    <n v="0"/>
    <n v="0"/>
    <n v="0"/>
    <n v="0"/>
  </r>
  <r>
    <x v="69"/>
    <x v="106"/>
    <s v="B6"/>
    <n v="15.625"/>
    <n v="62.5"/>
    <s v="RAD"/>
    <m/>
    <x v="32"/>
    <x v="62"/>
    <m/>
    <s v="French Breakfast High Mowing, Pearl Johnny's, Sora High Mowing, Patricia High Mowing"/>
    <n v="2340"/>
    <m/>
    <n v="0.5"/>
    <n v="0.5"/>
    <d v="2025-04-01T00:00:00"/>
    <s v=""/>
    <m/>
    <s v=""/>
    <d v="2025-04-01T00:00:00"/>
    <m/>
    <m/>
    <d v="2025-04-01T00:00:00"/>
    <d v="2025-04-30T00:00:00"/>
    <n v="29"/>
    <x v="57"/>
    <m/>
    <d v="2025-06-01T00:00:00"/>
    <m/>
    <d v="2025-06-01T00:00:00"/>
    <d v="2025-06-22T00:00:00"/>
    <m/>
    <m/>
    <b v="0"/>
    <m/>
    <d v="2025-06-22T00:00:00"/>
    <b v="1"/>
    <s v="-"/>
    <b v="0"/>
    <b v="0"/>
    <n v="187.5"/>
    <n v="3.5377358490566038"/>
    <n v="32"/>
    <m/>
    <n v="21"/>
    <s v="DS"/>
    <n v="0.5"/>
    <n v="0"/>
    <n v="6"/>
    <n v="1"/>
    <n v="1"/>
    <n v="1800"/>
    <s v="OH"/>
    <n v="254"/>
    <s v="6r"/>
    <s v="Sp"/>
    <n v="882"/>
    <n v="21"/>
    <s v="Root"/>
    <n v="1"/>
    <s v="AMAP"/>
    <n v="0"/>
    <n v="0"/>
    <s v=""/>
    <n v="0"/>
    <n v="0"/>
    <s v=""/>
    <n v="0"/>
    <n v="0"/>
    <s v=""/>
    <n v="1.3"/>
    <n v="7"/>
    <s v="Field"/>
    <s v="Radish_x000a_Radish Mix_x000a_"/>
    <n v="0"/>
    <n v="0"/>
    <n v="0"/>
    <n v="0"/>
    <n v="0"/>
    <n v="22"/>
    <n v="0"/>
    <n v="0"/>
    <n v="0"/>
    <n v="0"/>
    <n v="0"/>
    <n v="0"/>
    <n v="0"/>
    <n v="0"/>
    <n v="0"/>
    <n v="0"/>
    <n v="0"/>
    <n v="0"/>
    <n v="0"/>
    <n v="0"/>
    <n v="0"/>
    <n v="0"/>
    <n v="0"/>
    <n v="0"/>
    <n v="0"/>
    <n v="0"/>
    <n v="0"/>
    <n v="0"/>
    <n v="0"/>
    <n v="187.5"/>
    <n v="0"/>
    <n v="0"/>
    <n v="0"/>
    <n v="0"/>
    <n v="0"/>
    <n v="0"/>
    <n v="0"/>
    <n v="0"/>
    <n v="0"/>
    <n v="0"/>
    <n v="0"/>
    <n v="0"/>
    <n v="0"/>
    <n v="0"/>
    <n v="0"/>
    <n v="0"/>
    <n v="0"/>
    <n v="0"/>
    <b v="1"/>
    <n v="62.5"/>
    <s v="Bunch"/>
    <s v="Mature Root"/>
    <s v="Radish Mature Root - Bunch"/>
    <n v="0"/>
    <n v="0"/>
    <n v="0"/>
    <n v="0"/>
    <n v="0"/>
    <n v="62.5"/>
    <n v="0"/>
    <n v="0"/>
    <n v="0"/>
    <n v="0"/>
    <n v="0"/>
    <n v="0"/>
  </r>
  <r>
    <x v="74"/>
    <x v="107"/>
    <s v="B6"/>
    <n v="12.5"/>
    <n v="50"/>
    <s v="TUR"/>
    <m/>
    <x v="40"/>
    <x v="67"/>
    <s v="Johnny's"/>
    <s v=""/>
    <n v="1040"/>
    <m/>
    <n v="0.5"/>
    <n v="0.5"/>
    <d v="2025-04-01T00:00:00"/>
    <s v=""/>
    <m/>
    <s v=""/>
    <d v="2025-04-01T00:00:00"/>
    <m/>
    <m/>
    <d v="2025-04-01T00:00:00"/>
    <d v="2025-04-30T00:00:00"/>
    <n v="29"/>
    <x v="57"/>
    <m/>
    <d v="2025-06-09T00:00:00"/>
    <m/>
    <d v="2025-06-09T00:00:00"/>
    <d v="2025-06-23T00:00:00"/>
    <m/>
    <m/>
    <b v="0"/>
    <m/>
    <d v="2025-06-23T00:00:00"/>
    <b v="1"/>
    <s v="-"/>
    <b v="0"/>
    <b v="0"/>
    <n v="137.5"/>
    <n v="2.5462962962962963"/>
    <n v="40"/>
    <m/>
    <n v="14"/>
    <s v="DS"/>
    <n v="0.5"/>
    <n v="0"/>
    <n v="4"/>
    <n v="1.5"/>
    <n v="1"/>
    <n v="800"/>
    <s v=""/>
    <n v="333"/>
    <s v="Tokyo"/>
    <s v="Sp"/>
    <n v="890"/>
    <n v="14"/>
    <s v="Root"/>
    <n v="2"/>
    <n v="0"/>
    <n v="0"/>
    <n v="0"/>
    <s v=""/>
    <n v="0"/>
    <n v="0"/>
    <s v=""/>
    <n v="0"/>
    <n v="0"/>
    <s v=""/>
    <n v="1.3"/>
    <n v="0"/>
    <s v="Field"/>
    <s v="Turnip_x000a_Hakurei_x000a_Johnny's"/>
    <n v="0"/>
    <n v="0"/>
    <n v="0"/>
    <n v="0"/>
    <n v="0"/>
    <n v="15"/>
    <n v="0"/>
    <n v="0"/>
    <n v="0"/>
    <n v="0"/>
    <n v="0"/>
    <n v="0"/>
    <n v="0"/>
    <n v="0"/>
    <n v="0"/>
    <n v="0"/>
    <n v="0"/>
    <n v="0"/>
    <n v="0"/>
    <n v="0"/>
    <n v="0"/>
    <n v="0"/>
    <n v="0"/>
    <n v="0"/>
    <n v="0"/>
    <n v="0"/>
    <n v="0"/>
    <n v="0"/>
    <n v="0"/>
    <n v="137.5"/>
    <n v="0"/>
    <n v="0"/>
    <n v="0"/>
    <n v="0"/>
    <n v="0"/>
    <n v="0"/>
    <n v="0"/>
    <n v="0"/>
    <n v="0"/>
    <n v="0"/>
    <n v="0"/>
    <n v="0"/>
    <n v="0"/>
    <n v="0"/>
    <n v="0"/>
    <n v="0"/>
    <n v="0"/>
    <n v="0"/>
    <b v="1"/>
    <n v="50"/>
    <s v="Bunch"/>
    <s v="Mature Root"/>
    <s v="Turnip Mature Root - Bunch"/>
    <n v="0"/>
    <n v="0"/>
    <n v="0"/>
    <n v="0"/>
    <n v="0"/>
    <n v="50"/>
    <n v="0"/>
    <n v="0"/>
    <n v="0"/>
    <n v="0"/>
    <n v="0"/>
    <n v="0"/>
  </r>
  <r>
    <x v="74"/>
    <x v="108"/>
    <s v="A5"/>
    <n v="6.25"/>
    <n v="25"/>
    <s v="TUR"/>
    <m/>
    <x v="40"/>
    <x v="67"/>
    <s v="Johnny's"/>
    <s v=""/>
    <n v="520"/>
    <m/>
    <n v="0.25"/>
    <n v="0.5"/>
    <d v="2025-04-01T00:00:00"/>
    <s v=""/>
    <m/>
    <s v=""/>
    <d v="2025-04-01T00:00:00"/>
    <m/>
    <m/>
    <d v="2025-04-01T00:00:00"/>
    <d v="2025-03-25T00:00:00"/>
    <n v="-7"/>
    <x v="54"/>
    <m/>
    <d v="2025-05-04T00:00:00"/>
    <m/>
    <d v="2025-05-04T00:00:00"/>
    <d v="2025-05-18T00:00:00"/>
    <m/>
    <m/>
    <b v="0"/>
    <m/>
    <d v="2025-05-18T00:00:00"/>
    <b v="1"/>
    <s v="-"/>
    <b v="0"/>
    <b v="0"/>
    <n v="68.75"/>
    <n v="1.2731481481481481"/>
    <n v="40"/>
    <m/>
    <n v="14"/>
    <s v="DS"/>
    <n v="0.25"/>
    <n v="0"/>
    <n v="4"/>
    <n v="1.5"/>
    <n v="1"/>
    <n v="400"/>
    <s v=""/>
    <n v="333"/>
    <s v="Tokyo"/>
    <s v="Sp"/>
    <n v="854"/>
    <n v="14"/>
    <s v="Root"/>
    <n v="2"/>
    <n v="0"/>
    <n v="0"/>
    <n v="0"/>
    <s v=""/>
    <n v="0"/>
    <n v="0"/>
    <s v=""/>
    <n v="0"/>
    <n v="0"/>
    <s v=""/>
    <n v="1.3"/>
    <n v="0"/>
    <s v="Field"/>
    <s v="Turnip_x000a_Hakurei_x000a_Johnny's"/>
    <n v="0"/>
    <n v="0"/>
    <n v="0"/>
    <n v="0"/>
    <n v="15"/>
    <n v="0"/>
    <n v="0"/>
    <n v="0"/>
    <n v="0"/>
    <n v="0"/>
    <n v="0"/>
    <n v="0"/>
    <n v="0"/>
    <n v="0"/>
    <n v="0"/>
    <n v="0"/>
    <n v="0"/>
    <n v="0"/>
    <n v="0"/>
    <n v="0"/>
    <n v="0"/>
    <n v="0"/>
    <n v="0"/>
    <n v="0"/>
    <n v="0"/>
    <n v="0"/>
    <n v="0"/>
    <n v="0"/>
    <n v="68.75"/>
    <n v="0"/>
    <n v="0"/>
    <n v="0"/>
    <n v="0"/>
    <n v="0"/>
    <n v="0"/>
    <n v="0"/>
    <n v="0"/>
    <n v="0"/>
    <n v="0"/>
    <n v="0"/>
    <n v="0"/>
    <n v="0"/>
    <n v="0"/>
    <n v="0"/>
    <n v="0"/>
    <n v="0"/>
    <n v="0"/>
    <n v="0"/>
    <b v="1"/>
    <n v="25"/>
    <s v="Bunch"/>
    <s v="Mature Root"/>
    <s v="Turnip Mature Root - Bunch"/>
    <n v="0"/>
    <n v="0"/>
    <n v="0"/>
    <n v="0"/>
    <n v="25"/>
    <n v="0"/>
    <n v="0"/>
    <n v="0"/>
    <n v="0"/>
    <n v="0"/>
    <n v="0"/>
    <n v="0"/>
  </r>
  <r>
    <x v="75"/>
    <x v="109"/>
    <s v="X2"/>
    <n v="15"/>
    <n v="45"/>
    <s v="ARU"/>
    <m/>
    <x v="41"/>
    <x v="68"/>
    <m/>
    <s v="Esmee Johnny's, Astro High Mowing"/>
    <n v="9360"/>
    <m/>
    <n v="0.5"/>
    <n v="0.5"/>
    <d v="2025-04-07T00:00:00"/>
    <s v=""/>
    <m/>
    <s v=""/>
    <d v="2025-04-07T00:00:00"/>
    <m/>
    <m/>
    <d v="2025-04-07T00:00:00"/>
    <d v="2025-04-07T00:00:00"/>
    <n v="0"/>
    <x v="58"/>
    <m/>
    <d v="2025-05-08T00:00:00"/>
    <m/>
    <d v="2025-05-08T00:00:00"/>
    <d v="2025-05-26T00:00:00"/>
    <m/>
    <m/>
    <b v="0"/>
    <m/>
    <d v="2025-05-26T00:00:00"/>
    <b v="1"/>
    <s v="-"/>
    <b v="0"/>
    <b v="0"/>
    <n v="112.5"/>
    <n v="2.295918367346939"/>
    <n v="31"/>
    <m/>
    <n v="18"/>
    <s v="DS"/>
    <n v="0.5"/>
    <n v="0"/>
    <n v="6"/>
    <n v="0.25"/>
    <n v="1"/>
    <n v="7200"/>
    <s v="OH"/>
    <n v="6"/>
    <s v="General"/>
    <s v="Sp"/>
    <n v="858"/>
    <n v="18"/>
    <s v="Green"/>
    <n v="1"/>
    <s v="None"/>
    <n v="0"/>
    <n v="0"/>
    <s v=""/>
    <n v="0"/>
    <n v="0"/>
    <s v=""/>
    <n v="0"/>
    <n v="0"/>
    <s v=""/>
    <n v="1.3"/>
    <n v="6"/>
    <s v="Field"/>
    <s v="Arugula_x000a_Arugala Mix_x000a_"/>
    <n v="0"/>
    <n v="0"/>
    <n v="0"/>
    <n v="0"/>
    <n v="19"/>
    <n v="0"/>
    <n v="0"/>
    <n v="0"/>
    <n v="0"/>
    <n v="0"/>
    <n v="0"/>
    <n v="0"/>
    <n v="0"/>
    <n v="0"/>
    <n v="0"/>
    <n v="0"/>
    <n v="0"/>
    <n v="0"/>
    <n v="0"/>
    <n v="0"/>
    <n v="0"/>
    <n v="0"/>
    <n v="0"/>
    <n v="0"/>
    <n v="0"/>
    <n v="0"/>
    <n v="0"/>
    <n v="0"/>
    <n v="112.5"/>
    <n v="0"/>
    <n v="0"/>
    <n v="0"/>
    <n v="0"/>
    <n v="0"/>
    <n v="0"/>
    <n v="0"/>
    <n v="0"/>
    <n v="0"/>
    <n v="0"/>
    <n v="0"/>
    <n v="0"/>
    <n v="0"/>
    <n v="0"/>
    <n v="0"/>
    <n v="0"/>
    <n v="0"/>
    <n v="0"/>
    <n v="0"/>
    <b v="1"/>
    <n v="11.25"/>
    <s v="Lb"/>
    <s v="Baby Leaf"/>
    <s v="Arugula Baby Leaf - Lb"/>
    <n v="0"/>
    <n v="0"/>
    <n v="0"/>
    <n v="0"/>
    <n v="11.25"/>
    <n v="0"/>
    <n v="0"/>
    <n v="0"/>
    <n v="0"/>
    <n v="0"/>
    <n v="0"/>
    <n v="0"/>
  </r>
  <r>
    <x v="75"/>
    <x v="110"/>
    <s v="H8"/>
    <n v="30"/>
    <n v="90"/>
    <s v="ARU"/>
    <m/>
    <x v="41"/>
    <x v="68"/>
    <m/>
    <s v="Esmee Johnny's, Astro High Mowing"/>
    <n v="18720"/>
    <m/>
    <n v="1"/>
    <n v="1"/>
    <d v="2025-04-07T00:00:00"/>
    <s v=""/>
    <m/>
    <s v=""/>
    <d v="2025-04-07T00:00:00"/>
    <m/>
    <m/>
    <d v="2025-04-07T00:00:00"/>
    <d v="2025-05-04T00:00:00"/>
    <n v="27"/>
    <x v="9"/>
    <m/>
    <d v="2025-06-04T00:00:00"/>
    <m/>
    <d v="2025-06-04T00:00:00"/>
    <d v="2025-06-22T00:00:00"/>
    <m/>
    <m/>
    <b v="0"/>
    <m/>
    <d v="2025-06-22T00:00:00"/>
    <b v="1"/>
    <s v="-"/>
    <b v="0"/>
    <b v="0"/>
    <n v="225"/>
    <n v="4.591836734693878"/>
    <n v="31"/>
    <m/>
    <n v="18"/>
    <s v="DS"/>
    <n v="1"/>
    <n v="0"/>
    <n v="6"/>
    <n v="0.25"/>
    <n v="1"/>
    <n v="14400"/>
    <s v="OH"/>
    <n v="6"/>
    <s v="General"/>
    <s v="Sp"/>
    <n v="885"/>
    <n v="18"/>
    <s v="Green"/>
    <n v="1"/>
    <s v="None"/>
    <n v="0"/>
    <n v="0"/>
    <s v=""/>
    <n v="0"/>
    <n v="0"/>
    <s v=""/>
    <n v="0"/>
    <n v="0"/>
    <s v=""/>
    <n v="1.3"/>
    <n v="6"/>
    <s v="Field"/>
    <s v="Arugula_x000a_Arugala Mix_x000a_"/>
    <n v="0"/>
    <n v="0"/>
    <n v="0"/>
    <n v="0"/>
    <n v="0"/>
    <n v="19"/>
    <n v="0"/>
    <n v="0"/>
    <n v="0"/>
    <n v="0"/>
    <n v="0"/>
    <n v="0"/>
    <n v="0"/>
    <n v="0"/>
    <n v="0"/>
    <n v="0"/>
    <n v="0"/>
    <n v="0"/>
    <n v="0"/>
    <n v="0"/>
    <n v="0"/>
    <n v="0"/>
    <n v="0"/>
    <n v="0"/>
    <n v="0"/>
    <n v="0"/>
    <n v="0"/>
    <n v="0"/>
    <n v="0"/>
    <n v="225"/>
    <n v="0"/>
    <n v="0"/>
    <n v="0"/>
    <n v="0"/>
    <n v="0"/>
    <n v="0"/>
    <n v="0"/>
    <n v="0"/>
    <n v="0"/>
    <n v="0"/>
    <n v="0"/>
    <n v="0"/>
    <n v="0"/>
    <n v="0"/>
    <n v="0"/>
    <n v="0"/>
    <n v="0"/>
    <n v="0"/>
    <b v="1"/>
    <n v="22.5"/>
    <s v="Lb"/>
    <s v="Baby Leaf"/>
    <s v="Arugula Baby Leaf - Lb"/>
    <n v="0"/>
    <n v="0"/>
    <n v="0"/>
    <n v="0"/>
    <n v="0"/>
    <n v="22.5"/>
    <n v="0"/>
    <n v="0"/>
    <n v="0"/>
    <n v="0"/>
    <n v="0"/>
    <n v="0"/>
  </r>
  <r>
    <x v="76"/>
    <x v="111"/>
    <s v="X2"/>
    <e v="#N/A"/>
    <e v="#N/A"/>
    <s v="ASI"/>
    <m/>
    <x v="19"/>
    <x v="69"/>
    <m/>
    <m/>
    <n v="3120"/>
    <m/>
    <n v="0.5"/>
    <n v="0.5"/>
    <d v="2025-04-07T00:00:00"/>
    <s v=""/>
    <m/>
    <s v=""/>
    <d v="2025-04-07T00:00:00"/>
    <m/>
    <m/>
    <d v="2025-04-07T00:00:00"/>
    <d v="2025-04-07T00:00:00"/>
    <n v="0"/>
    <x v="58"/>
    <m/>
    <d v="2025-05-27T00:00:00"/>
    <m/>
    <d v="2025-05-27T00:00:00"/>
    <d v="2025-06-10T00:00:00"/>
    <m/>
    <m/>
    <b v="0"/>
    <m/>
    <d v="2025-06-10T00:00:00"/>
    <b v="1"/>
    <s v="-"/>
    <b v="0"/>
    <b v="0"/>
    <n v="250"/>
    <n v="3.90625"/>
    <n v="50"/>
    <m/>
    <n v="14"/>
    <s v="DS"/>
    <n v="0.5"/>
    <n v="0"/>
    <n v="4"/>
    <n v="0.5"/>
    <n v="1"/>
    <n v="2400"/>
    <s v=""/>
    <n v="11"/>
    <s v="General"/>
    <s v=""/>
    <n v="877"/>
    <n v="14"/>
    <n v="0"/>
    <n v="0"/>
    <n v="0"/>
    <n v="0"/>
    <n v="0"/>
    <n v="0"/>
    <n v="0"/>
    <n v="0"/>
    <s v=""/>
    <n v="0"/>
    <n v="0"/>
    <s v=""/>
    <n v="1.3"/>
    <n v="0"/>
    <s v="Field"/>
    <s v="Asian Greens_x000a__x000a_"/>
    <n v="0"/>
    <n v="0"/>
    <n v="0"/>
    <n v="0"/>
    <n v="5"/>
    <n v="10"/>
    <n v="0"/>
    <n v="0"/>
    <n v="0"/>
    <n v="0"/>
    <n v="0"/>
    <n v="0"/>
    <n v="0"/>
    <n v="0"/>
    <n v="0"/>
    <n v="0"/>
    <n v="0"/>
    <n v="0"/>
    <n v="0"/>
    <n v="0"/>
    <n v="0"/>
    <n v="0"/>
    <n v="0"/>
    <n v="0"/>
    <n v="0"/>
    <n v="0"/>
    <n v="0"/>
    <n v="0"/>
    <n v="83.333333333333329"/>
    <n v="166.66666666666666"/>
    <n v="0"/>
    <n v="0"/>
    <n v="0"/>
    <n v="0"/>
    <n v="0"/>
    <n v="0"/>
    <n v="0"/>
    <n v="0"/>
    <n v="0"/>
    <n v="0"/>
    <n v="0"/>
    <n v="0"/>
    <n v="0"/>
    <n v="0"/>
    <n v="0"/>
    <n v="0"/>
    <n v="0"/>
    <n v="0"/>
    <b v="1"/>
    <n v="25"/>
    <s v="Lb"/>
    <s v="Young Leaf"/>
    <s v="Asian Greens Young Leaf - Lb"/>
    <n v="0"/>
    <n v="0"/>
    <n v="0"/>
    <n v="0"/>
    <n v="8.3333333333333321"/>
    <n v="16.666666666666664"/>
    <n v="0"/>
    <n v="0"/>
    <n v="0"/>
    <n v="0"/>
    <n v="0"/>
    <n v="0"/>
  </r>
  <r>
    <x v="77"/>
    <x v="112"/>
    <s v="X1"/>
    <n v="31.25"/>
    <n v="125"/>
    <s v="RAD"/>
    <m/>
    <x v="32"/>
    <x v="62"/>
    <m/>
    <s v="French Breakfast High Mowing, Pearl Johnny's, Sora High Mowing, Patricia High Mowing"/>
    <n v="4680"/>
    <m/>
    <n v="1"/>
    <n v="1"/>
    <d v="2025-04-07T00:00:00"/>
    <s v=""/>
    <m/>
    <s v=""/>
    <d v="2025-04-07T00:00:00"/>
    <m/>
    <m/>
    <d v="2025-04-07T00:00:00"/>
    <d v="2025-04-06T00:00:00"/>
    <n v="-1"/>
    <x v="59"/>
    <m/>
    <d v="2025-05-08T00:00:00"/>
    <m/>
    <d v="2025-05-08T00:00:00"/>
    <d v="2025-05-29T00:00:00"/>
    <m/>
    <m/>
    <b v="0"/>
    <m/>
    <d v="2025-05-29T00:00:00"/>
    <b v="1"/>
    <s v="-"/>
    <b v="0"/>
    <b v="0"/>
    <n v="375"/>
    <n v="7.0754716981132075"/>
    <n v="32"/>
    <m/>
    <n v="21"/>
    <s v="DS"/>
    <n v="1"/>
    <n v="0"/>
    <n v="6"/>
    <n v="1"/>
    <n v="1"/>
    <n v="3600"/>
    <s v="OH"/>
    <n v="255"/>
    <s v="6r"/>
    <s v="Su"/>
    <n v="858"/>
    <n v="21"/>
    <s v="Root"/>
    <n v="1"/>
    <s v="AMAP"/>
    <n v="0"/>
    <n v="0"/>
    <s v=""/>
    <n v="0"/>
    <n v="0"/>
    <s v=""/>
    <n v="0"/>
    <n v="0"/>
    <s v=""/>
    <n v="1.3"/>
    <n v="7"/>
    <s v="Field"/>
    <s v="Radish_x000a_Radish Mix_x000a_"/>
    <n v="0"/>
    <n v="0"/>
    <n v="0"/>
    <n v="0"/>
    <n v="22"/>
    <n v="0"/>
    <n v="0"/>
    <n v="0"/>
    <n v="0"/>
    <n v="0"/>
    <n v="0"/>
    <n v="0"/>
    <n v="0"/>
    <n v="0"/>
    <n v="0"/>
    <n v="0"/>
    <n v="0"/>
    <n v="0"/>
    <n v="0"/>
    <n v="0"/>
    <n v="0"/>
    <n v="0"/>
    <n v="0"/>
    <n v="0"/>
    <n v="0"/>
    <n v="0"/>
    <n v="0"/>
    <n v="0"/>
    <n v="375"/>
    <n v="0"/>
    <n v="0"/>
    <n v="0"/>
    <n v="0"/>
    <n v="0"/>
    <n v="0"/>
    <n v="0"/>
    <n v="0"/>
    <n v="0"/>
    <n v="0"/>
    <n v="0"/>
    <n v="0"/>
    <n v="0"/>
    <n v="0"/>
    <n v="0"/>
    <n v="0"/>
    <n v="0"/>
    <n v="0"/>
    <n v="0"/>
    <b v="1"/>
    <n v="125"/>
    <s v="Bunch"/>
    <s v="Mature Root"/>
    <s v="Radish Mature Root - Bunch"/>
    <n v="0"/>
    <n v="0"/>
    <n v="0"/>
    <n v="0"/>
    <n v="125"/>
    <n v="0"/>
    <n v="0"/>
    <n v="0"/>
    <n v="0"/>
    <n v="0"/>
    <n v="0"/>
    <n v="0"/>
  </r>
  <r>
    <x v="75"/>
    <x v="113"/>
    <s v="A5"/>
    <n v="7.5"/>
    <n v="22.5"/>
    <s v="ARU"/>
    <m/>
    <x v="41"/>
    <x v="68"/>
    <m/>
    <s v="Esmee Johnny's, Astro High Mowing"/>
    <n v="4680"/>
    <m/>
    <n v="0.25"/>
    <n v="0.5"/>
    <d v="2025-04-11T00:00:00"/>
    <s v=""/>
    <m/>
    <s v=""/>
    <d v="2025-04-11T00:00:00"/>
    <m/>
    <m/>
    <d v="2025-04-11T00:00:00"/>
    <d v="2025-03-25T00:00:00"/>
    <n v="-17"/>
    <x v="54"/>
    <m/>
    <d v="2025-04-25T00:00:00"/>
    <m/>
    <d v="2025-04-25T00:00:00"/>
    <d v="2025-05-13T00:00:00"/>
    <m/>
    <m/>
    <b v="0"/>
    <m/>
    <d v="2025-05-13T00:00:00"/>
    <b v="1"/>
    <s v="-"/>
    <b v="0"/>
    <b v="0"/>
    <n v="56.25"/>
    <n v="1.1479591836734695"/>
    <n v="31"/>
    <m/>
    <n v="18"/>
    <s v="DS"/>
    <n v="0.25"/>
    <n v="0"/>
    <n v="6"/>
    <n v="0.25"/>
    <n v="1"/>
    <n v="3600"/>
    <s v="OH"/>
    <n v="6"/>
    <s v="General"/>
    <s v="Sp"/>
    <n v="845"/>
    <n v="18"/>
    <s v="Green"/>
    <n v="1"/>
    <s v="None"/>
    <n v="0"/>
    <n v="0"/>
    <s v=""/>
    <n v="0"/>
    <n v="0"/>
    <s v=""/>
    <n v="0"/>
    <n v="0"/>
    <s v=""/>
    <n v="1.3"/>
    <n v="6"/>
    <s v="Field"/>
    <s v="Arugula_x000a_Arugala Mix_x000a_"/>
    <n v="0"/>
    <n v="0"/>
    <n v="0"/>
    <n v="6"/>
    <n v="13"/>
    <n v="0"/>
    <n v="0"/>
    <n v="0"/>
    <n v="0"/>
    <n v="0"/>
    <n v="0"/>
    <n v="0"/>
    <n v="0"/>
    <n v="0"/>
    <n v="0"/>
    <n v="0"/>
    <n v="0"/>
    <n v="0"/>
    <n v="0"/>
    <n v="0"/>
    <n v="0"/>
    <n v="0"/>
    <n v="0"/>
    <n v="0"/>
    <n v="0"/>
    <n v="0"/>
    <n v="0"/>
    <n v="17.763157894736842"/>
    <n v="38.486842105263158"/>
    <n v="0"/>
    <n v="0"/>
    <n v="0"/>
    <n v="0"/>
    <n v="0"/>
    <n v="0"/>
    <n v="0"/>
    <n v="0"/>
    <n v="0"/>
    <n v="0"/>
    <n v="0"/>
    <n v="0"/>
    <n v="0"/>
    <n v="0"/>
    <n v="0"/>
    <n v="0"/>
    <n v="0"/>
    <n v="0"/>
    <n v="0"/>
    <b v="1"/>
    <n v="5.625"/>
    <s v="Lb"/>
    <s v="Baby Leaf"/>
    <s v="Arugula Baby Leaf - Lb"/>
    <n v="0"/>
    <n v="0"/>
    <n v="0"/>
    <n v="1.7763157894736841"/>
    <n v="3.8486842105263159"/>
    <n v="0"/>
    <n v="0"/>
    <n v="0"/>
    <n v="0"/>
    <n v="0"/>
    <n v="0"/>
    <n v="0"/>
  </r>
  <r>
    <x v="71"/>
    <x v="114"/>
    <s v="D2"/>
    <n v="21.428571428571427"/>
    <n v="85.714285714285708"/>
    <s v="CAR"/>
    <m/>
    <x v="37"/>
    <x v="64"/>
    <m/>
    <s v="Yellowstone Johnny's, Cosmic Purple High Mowing, Napoli F1 Osborne, Mokum Johnny's"/>
    <n v="3120"/>
    <m/>
    <n v="0.5"/>
    <n v="0.5"/>
    <d v="2025-04-17T00:00:00"/>
    <s v=""/>
    <m/>
    <s v=""/>
    <d v="2025-04-17T00:00:00"/>
    <m/>
    <m/>
    <d v="2025-04-17T00:00:00"/>
    <d v="2025-04-30T00:00:00"/>
    <n v="13"/>
    <x v="57"/>
    <m/>
    <d v="2025-07-09T00:00:00"/>
    <m/>
    <d v="2025-07-09T00:00:00"/>
    <d v="2025-07-30T00:00:00"/>
    <m/>
    <m/>
    <b v="0"/>
    <m/>
    <d v="2025-07-30T00:00:00"/>
    <b v="1"/>
    <s v="-"/>
    <b v="0"/>
    <b v="0"/>
    <n v="278.57142857142856"/>
    <n v="3.0612244897959182"/>
    <n v="70"/>
    <m/>
    <n v="21"/>
    <s v="DS"/>
    <n v="0.5"/>
    <n v="0"/>
    <n v="4"/>
    <n v="0.5"/>
    <n v="1"/>
    <n v="2400"/>
    <s v="OH"/>
    <n v="61"/>
    <s v="Early"/>
    <s v="Sp"/>
    <n v="920"/>
    <n v="21"/>
    <s v="Root"/>
    <n v="1"/>
    <s v="AMAP"/>
    <n v="0"/>
    <n v="0"/>
    <s v=""/>
    <n v="0"/>
    <n v="0"/>
    <s v=""/>
    <n v="0"/>
    <n v="0"/>
    <s v=""/>
    <n v="1.3"/>
    <n v="0"/>
    <s v="Field"/>
    <s v="Carrot_x000a_Early Carrot Mix_x000a_"/>
    <n v="0"/>
    <n v="0"/>
    <n v="0"/>
    <n v="0"/>
    <n v="0"/>
    <n v="0"/>
    <n v="22"/>
    <n v="0"/>
    <n v="0"/>
    <n v="0"/>
    <n v="0"/>
    <n v="0"/>
    <n v="0"/>
    <n v="0"/>
    <n v="0"/>
    <n v="0"/>
    <n v="0"/>
    <n v="0"/>
    <n v="0"/>
    <n v="0"/>
    <n v="0"/>
    <n v="0"/>
    <n v="0"/>
    <n v="0"/>
    <n v="0"/>
    <n v="0"/>
    <n v="0"/>
    <n v="0"/>
    <n v="0"/>
    <n v="0"/>
    <n v="278.57142857142856"/>
    <n v="0"/>
    <n v="0"/>
    <n v="0"/>
    <n v="0"/>
    <n v="0"/>
    <n v="0"/>
    <n v="0"/>
    <n v="0"/>
    <n v="0"/>
    <n v="0"/>
    <n v="0"/>
    <n v="0"/>
    <n v="0"/>
    <n v="0"/>
    <n v="0"/>
    <n v="0"/>
    <n v="0"/>
    <b v="1"/>
    <n v="85.714285714285708"/>
    <s v="Bunch"/>
    <s v="Mature Root"/>
    <s v="Carrot Mature Root - Bunch"/>
    <n v="0"/>
    <n v="0"/>
    <n v="0"/>
    <n v="0"/>
    <n v="0"/>
    <n v="0"/>
    <n v="85.714285714285708"/>
    <n v="0"/>
    <n v="0"/>
    <n v="0"/>
    <n v="0"/>
    <n v="0"/>
  </r>
  <r>
    <x v="78"/>
    <x v="115"/>
    <s v="C5"/>
    <n v="175"/>
    <n v="175"/>
    <s v="POT"/>
    <m/>
    <x v="39"/>
    <x v="70"/>
    <m/>
    <s v="Elba High Mowing, German Butterball High Mowing"/>
    <n v="130"/>
    <m/>
    <n v="2"/>
    <n v="2"/>
    <d v="2025-04-21T00:00:00"/>
    <s v=""/>
    <m/>
    <s v=""/>
    <d v="2025-04-21T00:00:00"/>
    <m/>
    <m/>
    <d v="2025-04-21T00:00:00"/>
    <d v="2025-04-24T00:00:00"/>
    <n v="3"/>
    <x v="60"/>
    <m/>
    <d v="2025-08-22T00:00:00"/>
    <m/>
    <d v="2025-08-22T00:00:00"/>
    <d v="2025-08-29T00:00:00"/>
    <m/>
    <m/>
    <b v="1"/>
    <m/>
    <d v="2025-08-29T00:00:00"/>
    <b v="1"/>
    <s v="-"/>
    <b v="0"/>
    <b v="0"/>
    <n v="393.75"/>
    <n v="3.1003937007874014"/>
    <n v="120"/>
    <m/>
    <n v="7"/>
    <s v="DS"/>
    <n v="2"/>
    <n v="0"/>
    <n v="2"/>
    <n v="24"/>
    <n v="1"/>
    <n v="100"/>
    <s v=""/>
    <n v="247"/>
    <s v="Main Crop"/>
    <s v=""/>
    <n v="964"/>
    <n v="7"/>
    <s v="Root"/>
    <n v="3"/>
    <n v="0"/>
    <n v="0"/>
    <n v="0"/>
    <s v=""/>
    <n v="0"/>
    <n v="0"/>
    <s v=""/>
    <n v="0"/>
    <n v="0"/>
    <s v=""/>
    <n v="1.3"/>
    <n v="0"/>
    <s v="Field"/>
    <s v="Potato_x000a_Main Potato Mix_x000a_"/>
    <n v="0"/>
    <n v="0"/>
    <n v="0"/>
    <n v="0"/>
    <n v="0"/>
    <n v="0"/>
    <n v="0"/>
    <n v="8"/>
    <n v="0"/>
    <n v="0"/>
    <n v="0"/>
    <n v="0"/>
    <n v="0"/>
    <n v="0"/>
    <n v="0"/>
    <n v="0"/>
    <n v="0"/>
    <n v="0"/>
    <n v="0"/>
    <n v="0"/>
    <n v="0"/>
    <n v="0"/>
    <n v="0"/>
    <n v="0"/>
    <n v="0"/>
    <n v="0"/>
    <n v="0"/>
    <n v="0"/>
    <n v="0"/>
    <n v="0"/>
    <n v="0"/>
    <n v="393.75"/>
    <n v="0"/>
    <n v="0"/>
    <n v="0"/>
    <n v="0"/>
    <n v="0"/>
    <n v="0"/>
    <n v="0"/>
    <n v="0"/>
    <n v="0"/>
    <n v="0"/>
    <n v="0"/>
    <n v="0"/>
    <n v="0"/>
    <n v="0"/>
    <n v="0"/>
    <n v="0"/>
    <b v="1"/>
    <n v="175"/>
    <s v="Lb"/>
    <s v="Storage Root"/>
    <s v="Potato Storage Root - Lb"/>
    <n v="0"/>
    <n v="0"/>
    <n v="0"/>
    <n v="0"/>
    <n v="0"/>
    <n v="0"/>
    <n v="0"/>
    <n v="175"/>
    <n v="0"/>
    <n v="0"/>
    <n v="0"/>
    <n v="0"/>
  </r>
  <r>
    <x v="71"/>
    <x v="116"/>
    <s v="D2"/>
    <n v="21.428571428571427"/>
    <n v="85.714285714285708"/>
    <s v="CAR"/>
    <m/>
    <x v="37"/>
    <x v="64"/>
    <m/>
    <s v="Yellowstone Johnny's, Cosmic Purple High Mowing, Napoli F1 Osborne, Mokum Johnny's"/>
    <n v="3120"/>
    <m/>
    <n v="0.5"/>
    <n v="0.5"/>
    <d v="2025-05-08T00:00:00"/>
    <s v=""/>
    <m/>
    <s v=""/>
    <d v="2025-05-08T00:00:00"/>
    <m/>
    <m/>
    <d v="2025-05-08T00:00:00"/>
    <d v="2025-04-30T00:00:00"/>
    <n v="-8"/>
    <x v="57"/>
    <m/>
    <d v="2025-07-09T00:00:00"/>
    <m/>
    <d v="2025-07-09T00:00:00"/>
    <d v="2025-07-30T00:00:00"/>
    <m/>
    <m/>
    <b v="0"/>
    <m/>
    <d v="2025-07-30T00:00:00"/>
    <b v="1"/>
    <s v="-"/>
    <b v="0"/>
    <b v="0"/>
    <n v="278.57142857142856"/>
    <n v="3.0612244897959182"/>
    <n v="70"/>
    <m/>
    <n v="21"/>
    <s v="DS"/>
    <n v="0.5"/>
    <n v="0"/>
    <n v="4"/>
    <n v="0.5"/>
    <n v="1"/>
    <n v="2400"/>
    <s v="OH"/>
    <n v="61"/>
    <s v="Early"/>
    <s v="Sp"/>
    <n v="920"/>
    <n v="21"/>
    <s v="Root"/>
    <n v="1"/>
    <s v="AMAP"/>
    <n v="0"/>
    <n v="0"/>
    <s v=""/>
    <n v="0"/>
    <n v="0"/>
    <s v=""/>
    <n v="0"/>
    <n v="0"/>
    <s v=""/>
    <n v="1.3"/>
    <n v="0"/>
    <s v="Field"/>
    <s v="Carrot_x000a_Early Carrot Mix_x000a_"/>
    <n v="0"/>
    <n v="0"/>
    <n v="0"/>
    <n v="0"/>
    <n v="0"/>
    <n v="0"/>
    <n v="22"/>
    <n v="0"/>
    <n v="0"/>
    <n v="0"/>
    <n v="0"/>
    <n v="0"/>
    <n v="0"/>
    <n v="0"/>
    <n v="0"/>
    <n v="0"/>
    <n v="0"/>
    <n v="0"/>
    <n v="0"/>
    <n v="0"/>
    <n v="0"/>
    <n v="0"/>
    <n v="0"/>
    <n v="0"/>
    <n v="0"/>
    <n v="0"/>
    <n v="0"/>
    <n v="0"/>
    <n v="0"/>
    <n v="0"/>
    <n v="278.57142857142856"/>
    <n v="0"/>
    <n v="0"/>
    <n v="0"/>
    <n v="0"/>
    <n v="0"/>
    <n v="0"/>
    <n v="0"/>
    <n v="0"/>
    <n v="0"/>
    <n v="0"/>
    <n v="0"/>
    <n v="0"/>
    <n v="0"/>
    <n v="0"/>
    <n v="0"/>
    <n v="0"/>
    <n v="0"/>
    <b v="1"/>
    <n v="85.714285714285708"/>
    <s v="Bunch"/>
    <s v="Mature Root"/>
    <s v="Carrot Mature Root - Bunch"/>
    <n v="0"/>
    <n v="0"/>
    <n v="0"/>
    <n v="0"/>
    <n v="0"/>
    <n v="0"/>
    <n v="85.714285714285708"/>
    <n v="0"/>
    <n v="0"/>
    <n v="0"/>
    <n v="0"/>
    <n v="0"/>
  </r>
  <r>
    <x v="71"/>
    <x v="117"/>
    <s v="D4"/>
    <n v="21.428571428571427"/>
    <n v="85.714285714285708"/>
    <s v="CAR"/>
    <m/>
    <x v="37"/>
    <x v="64"/>
    <m/>
    <s v="Yellowstone Johnny's, Cosmic Purple High Mowing, Napoli F1 Osborne, Mokum Johnny's"/>
    <n v="3120"/>
    <m/>
    <n v="0.5"/>
    <n v="0.5"/>
    <d v="2025-05-29T00:00:00"/>
    <s v=""/>
    <m/>
    <s v=""/>
    <d v="2025-05-29T00:00:00"/>
    <m/>
    <m/>
    <d v="2025-05-29T00:00:00"/>
    <s v="X"/>
    <e v="#VALUE!"/>
    <x v="61"/>
    <m/>
    <d v="2025-08-07T00:00:00"/>
    <m/>
    <d v="2025-08-07T00:00:00"/>
    <d v="2025-08-28T00:00:00"/>
    <m/>
    <m/>
    <b v="1"/>
    <m/>
    <d v="2025-08-28T00:00:00"/>
    <b v="0"/>
    <s v="-"/>
    <b v="0"/>
    <b v="0"/>
    <n v="278.57142857142856"/>
    <n v="3.0612244897959182"/>
    <n v="70"/>
    <m/>
    <n v="21"/>
    <s v="DS"/>
    <n v="0.5"/>
    <n v="0"/>
    <n v="4"/>
    <n v="0.5"/>
    <n v="1"/>
    <n v="2400"/>
    <s v="OH"/>
    <n v="61"/>
    <s v="Early"/>
    <s v="Sp"/>
    <n v="949"/>
    <n v="21"/>
    <s v="Root"/>
    <n v="1"/>
    <s v="AMAP"/>
    <n v="0"/>
    <n v="0"/>
    <s v=""/>
    <n v="0"/>
    <n v="0"/>
    <s v=""/>
    <n v="0"/>
    <n v="0"/>
    <s v=""/>
    <n v="1.3"/>
    <n v="0"/>
    <s v="Field"/>
    <s v="Carrot_x000a_Early Carrot Mix_x000a_"/>
    <n v="0"/>
    <n v="0"/>
    <n v="0"/>
    <n v="0"/>
    <n v="0"/>
    <n v="0"/>
    <n v="0"/>
    <n v="22"/>
    <n v="0"/>
    <n v="0"/>
    <n v="0"/>
    <n v="0"/>
    <n v="0"/>
    <n v="0"/>
    <n v="0"/>
    <n v="0"/>
    <n v="0"/>
    <n v="0"/>
    <n v="0"/>
    <n v="0"/>
    <n v="0"/>
    <n v="0"/>
    <n v="0"/>
    <n v="0"/>
    <n v="0"/>
    <n v="0"/>
    <n v="0"/>
    <n v="0"/>
    <n v="0"/>
    <n v="0"/>
    <n v="0"/>
    <n v="278.57142857142856"/>
    <n v="0"/>
    <n v="0"/>
    <n v="0"/>
    <n v="0"/>
    <n v="0"/>
    <n v="0"/>
    <n v="0"/>
    <n v="0"/>
    <n v="0"/>
    <n v="0"/>
    <n v="0"/>
    <n v="0"/>
    <n v="0"/>
    <n v="0"/>
    <n v="0"/>
    <n v="0"/>
    <b v="1"/>
    <n v="85.714285714285708"/>
    <s v="Bunch"/>
    <s v="Mature Root"/>
    <s v="Carrot Mature Root - Bunch"/>
    <n v="0"/>
    <n v="0"/>
    <n v="0"/>
    <n v="0"/>
    <n v="0"/>
    <n v="0"/>
    <n v="0"/>
    <n v="85.714285714285708"/>
    <n v="0"/>
    <n v="0"/>
    <n v="0"/>
    <n v="0"/>
  </r>
  <r>
    <x v="79"/>
    <x v="118"/>
    <s v="A2"/>
    <n v="45"/>
    <n v="180"/>
    <s v="CAR"/>
    <m/>
    <x v="37"/>
    <x v="71"/>
    <m/>
    <s v="Bolero F1 Johnny's, Bengala F1 High Mowing, Dolciva F1 High Mowing, Narvik High Mowing"/>
    <n v="6240"/>
    <m/>
    <n v="1"/>
    <n v="1"/>
    <d v="2025-05-31T00:00:00"/>
    <s v=""/>
    <m/>
    <s v=""/>
    <d v="2025-05-31T00:00:00"/>
    <m/>
    <m/>
    <d v="2025-05-31T00:00:00"/>
    <s v="X"/>
    <e v="#VALUE!"/>
    <x v="15"/>
    <m/>
    <d v="2025-08-23T00:00:00"/>
    <m/>
    <d v="2025-08-23T00:00:00"/>
    <d v="2025-09-13T00:00:00"/>
    <m/>
    <m/>
    <b v="1"/>
    <m/>
    <d v="2025-09-13T00:00:00"/>
    <b v="0"/>
    <s v="-"/>
    <b v="0"/>
    <b v="0"/>
    <n v="630"/>
    <n v="6"/>
    <n v="84"/>
    <m/>
    <n v="21"/>
    <s v="DS"/>
    <n v="1"/>
    <n v="0"/>
    <n v="4"/>
    <n v="0.5"/>
    <n v="1"/>
    <n v="4800"/>
    <s v="OH"/>
    <n v="63"/>
    <s v="Maincrop"/>
    <s v="FaWi"/>
    <n v="965"/>
    <n v="21"/>
    <s v="Root"/>
    <n v="1"/>
    <s v="AMAP"/>
    <n v="0"/>
    <n v="0"/>
    <s v=""/>
    <n v="0"/>
    <n v="0"/>
    <s v=""/>
    <n v="0"/>
    <n v="0"/>
    <s v=""/>
    <n v="1.3"/>
    <n v="0"/>
    <s v="Field"/>
    <s v="Carrot_x000a_Maincrop Carrot Mix_x000a_"/>
    <n v="0"/>
    <n v="0"/>
    <n v="0"/>
    <n v="0"/>
    <n v="0"/>
    <n v="0"/>
    <n v="0"/>
    <n v="9"/>
    <n v="13"/>
    <n v="0"/>
    <n v="0"/>
    <n v="0"/>
    <n v="0"/>
    <n v="0"/>
    <n v="0"/>
    <n v="0"/>
    <n v="0"/>
    <n v="0"/>
    <n v="0"/>
    <n v="0"/>
    <n v="0"/>
    <n v="0"/>
    <n v="0"/>
    <n v="0"/>
    <n v="0"/>
    <n v="0"/>
    <n v="0"/>
    <n v="0"/>
    <n v="0"/>
    <n v="0"/>
    <n v="0"/>
    <n v="257.72727272727275"/>
    <n v="372.27272727272731"/>
    <n v="0"/>
    <n v="0"/>
    <n v="0"/>
    <n v="0"/>
    <n v="0"/>
    <n v="0"/>
    <n v="0"/>
    <n v="0"/>
    <n v="0"/>
    <n v="0"/>
    <n v="0"/>
    <n v="0"/>
    <n v="0"/>
    <n v="0"/>
    <n v="0"/>
    <b v="1"/>
    <n v="180"/>
    <s v="Lb"/>
    <s v="Storage Root"/>
    <s v="Carrot Storage Root - Lb"/>
    <n v="0"/>
    <n v="0"/>
    <n v="0"/>
    <n v="0"/>
    <n v="0"/>
    <n v="0"/>
    <n v="0"/>
    <n v="73.63636363636364"/>
    <n v="106.36363636363637"/>
    <n v="0"/>
    <n v="0"/>
    <n v="0"/>
  </r>
  <r>
    <x v="77"/>
    <x v="119"/>
    <s v="D7"/>
    <n v="15.625"/>
    <n v="62.5"/>
    <s v="RAD"/>
    <m/>
    <x v="32"/>
    <x v="62"/>
    <m/>
    <s v="French Breakfast High Mowing, Pearl Johnny's, Sora High Mowing, Patricia High Mowing"/>
    <n v="2340"/>
    <m/>
    <n v="0.5"/>
    <n v="0.5"/>
    <d v="2025-05-31T00:00:00"/>
    <s v=""/>
    <m/>
    <s v=""/>
    <d v="2025-05-31T00:00:00"/>
    <m/>
    <m/>
    <d v="2025-05-31T00:00:00"/>
    <s v="X"/>
    <e v="#VALUE!"/>
    <x v="15"/>
    <m/>
    <d v="2025-07-02T00:00:00"/>
    <m/>
    <d v="2025-07-02T00:00:00"/>
    <d v="2025-07-23T00:00:00"/>
    <m/>
    <m/>
    <b v="0"/>
    <m/>
    <d v="2025-07-23T00:00:00"/>
    <b v="0"/>
    <s v="-"/>
    <b v="0"/>
    <b v="0"/>
    <n v="187.5"/>
    <n v="3.5377358490566038"/>
    <n v="32"/>
    <m/>
    <n v="21"/>
    <s v="DS"/>
    <n v="0.5"/>
    <n v="0"/>
    <n v="6"/>
    <n v="1"/>
    <n v="1"/>
    <n v="1800"/>
    <s v="OH"/>
    <n v="255"/>
    <s v="6r"/>
    <s v="Su"/>
    <n v="913"/>
    <n v="21"/>
    <s v="Root"/>
    <n v="1"/>
    <s v="AMAP"/>
    <n v="0"/>
    <n v="0"/>
    <s v=""/>
    <n v="0"/>
    <n v="0"/>
    <s v=""/>
    <n v="0"/>
    <n v="0"/>
    <s v=""/>
    <n v="1.3"/>
    <n v="7"/>
    <s v="Field"/>
    <s v="Radish_x000a_Radish Mix_x000a_"/>
    <n v="0"/>
    <n v="0"/>
    <n v="0"/>
    <n v="0"/>
    <n v="0"/>
    <n v="0"/>
    <n v="22"/>
    <n v="0"/>
    <n v="0"/>
    <n v="0"/>
    <n v="0"/>
    <n v="0"/>
    <n v="0"/>
    <n v="0"/>
    <n v="0"/>
    <n v="0"/>
    <n v="0"/>
    <n v="0"/>
    <n v="0"/>
    <n v="0"/>
    <n v="0"/>
    <n v="0"/>
    <n v="0"/>
    <n v="0"/>
    <n v="0"/>
    <n v="0"/>
    <n v="0"/>
    <n v="0"/>
    <n v="0"/>
    <n v="0"/>
    <n v="187.5"/>
    <n v="0"/>
    <n v="0"/>
    <n v="0"/>
    <n v="0"/>
    <n v="0"/>
    <n v="0"/>
    <n v="0"/>
    <n v="0"/>
    <n v="0"/>
    <n v="0"/>
    <n v="0"/>
    <n v="0"/>
    <n v="0"/>
    <n v="0"/>
    <n v="0"/>
    <n v="0"/>
    <n v="0"/>
    <b v="1"/>
    <n v="62.5"/>
    <s v="Bunch"/>
    <s v="Mature Root"/>
    <s v="Radish Mature Root - Bunch"/>
    <n v="0"/>
    <n v="0"/>
    <n v="0"/>
    <n v="0"/>
    <n v="0"/>
    <n v="0"/>
    <n v="62.5"/>
    <n v="0"/>
    <n v="0"/>
    <n v="0"/>
    <n v="0"/>
    <n v="0"/>
  </r>
  <r>
    <x v="80"/>
    <x v="120"/>
    <s v="D5"/>
    <n v="100"/>
    <n v="200"/>
    <s v="PAR"/>
    <m/>
    <x v="42"/>
    <x v="72"/>
    <m/>
    <s v="Panorama F1 High Mowing, Halblange High Mowing"/>
    <n v="6240"/>
    <m/>
    <n v="1"/>
    <n v="1"/>
    <d v="2025-06-14T00:00:00"/>
    <s v=""/>
    <m/>
    <s v=""/>
    <d v="2025-06-14T00:00:00"/>
    <m/>
    <m/>
    <d v="2025-06-14T00:00:00"/>
    <s v="X"/>
    <e v="#VALUE!"/>
    <x v="28"/>
    <m/>
    <d v="2025-10-02T00:00:00"/>
    <m/>
    <d v="2025-10-02T00:00:00"/>
    <d v="2025-10-16T00:00:00"/>
    <m/>
    <m/>
    <b v="0"/>
    <m/>
    <d v="2025-10-16T00:00:00"/>
    <b v="0"/>
    <s v="-"/>
    <b v="0"/>
    <b v="0"/>
    <n v="800"/>
    <n v="6.4516129032258061"/>
    <n v="110"/>
    <m/>
    <n v="14"/>
    <s v="DS"/>
    <n v="1"/>
    <n v="0"/>
    <n v="4"/>
    <n v="0.5"/>
    <n v="1"/>
    <n v="4800"/>
    <s v=""/>
    <n v="233"/>
    <s v="4r"/>
    <s v="Fa"/>
    <n v="1005"/>
    <n v="14"/>
    <s v="Root"/>
    <n v="18"/>
    <s v="Late"/>
    <n v="0"/>
    <n v="0"/>
    <s v=""/>
    <n v="0"/>
    <n v="0"/>
    <s v=""/>
    <n v="0"/>
    <n v="0"/>
    <s v=""/>
    <n v="1.3"/>
    <n v="0"/>
    <s v="Field"/>
    <s v="Parsnip_x000a_Parsnip Mix_x000a_"/>
    <n v="0"/>
    <n v="0"/>
    <n v="0"/>
    <n v="0"/>
    <n v="0"/>
    <n v="0"/>
    <n v="0"/>
    <n v="0"/>
    <n v="0"/>
    <n v="15"/>
    <n v="0"/>
    <n v="0"/>
    <n v="0"/>
    <n v="0"/>
    <n v="0"/>
    <n v="0"/>
    <n v="0"/>
    <n v="0"/>
    <n v="0"/>
    <n v="0"/>
    <n v="0"/>
    <n v="0"/>
    <n v="0"/>
    <n v="0"/>
    <n v="0"/>
    <n v="0"/>
    <n v="0"/>
    <n v="0"/>
    <n v="0"/>
    <n v="0"/>
    <n v="0"/>
    <n v="0"/>
    <n v="0"/>
    <n v="800"/>
    <n v="0"/>
    <n v="0"/>
    <n v="0"/>
    <n v="0"/>
    <n v="0"/>
    <n v="0"/>
    <n v="0"/>
    <n v="0"/>
    <n v="0"/>
    <n v="0"/>
    <n v="0"/>
    <n v="0"/>
    <n v="0"/>
    <n v="0"/>
    <b v="1"/>
    <n v="200"/>
    <s v="Bunch"/>
    <s v="Mature Root"/>
    <s v="Parsnip Mature Root - Bunch"/>
    <n v="0"/>
    <n v="0"/>
    <n v="0"/>
    <n v="0"/>
    <n v="0"/>
    <n v="0"/>
    <n v="0"/>
    <n v="0"/>
    <n v="0"/>
    <n v="200"/>
    <n v="0"/>
    <n v="0"/>
  </r>
  <r>
    <x v="81"/>
    <x v="121"/>
    <s v="D6"/>
    <n v="12.5"/>
    <n v="50"/>
    <s v="TUR"/>
    <m/>
    <x v="40"/>
    <x v="67"/>
    <s v="Johnny's"/>
    <s v=""/>
    <n v="1040"/>
    <m/>
    <n v="0.5"/>
    <n v="0.5"/>
    <d v="2025-06-14T00:00:00"/>
    <s v=""/>
    <m/>
    <s v=""/>
    <d v="2025-06-14T00:00:00"/>
    <m/>
    <m/>
    <d v="2025-06-14T00:00:00"/>
    <m/>
    <n v="-45822"/>
    <x v="28"/>
    <m/>
    <d v="2025-07-24T00:00:00"/>
    <m/>
    <d v="2025-07-24T00:00:00"/>
    <d v="2025-08-07T00:00:00"/>
    <m/>
    <m/>
    <b v="1"/>
    <m/>
    <d v="2025-08-07T00:00:00"/>
    <b v="0"/>
    <s v="-"/>
    <b v="0"/>
    <b v="0"/>
    <n v="137.5"/>
    <n v="2.5462962962962963"/>
    <n v="40"/>
    <m/>
    <n v="14"/>
    <s v="DS"/>
    <n v="0.5"/>
    <n v="0"/>
    <n v="4"/>
    <n v="1.5"/>
    <n v="1"/>
    <n v="800"/>
    <s v=""/>
    <n v="335"/>
    <s v="Tokyo"/>
    <s v="SuFa"/>
    <n v="935"/>
    <n v="14"/>
    <s v="Root"/>
    <n v="2"/>
    <n v="0"/>
    <n v="0"/>
    <n v="0"/>
    <s v=""/>
    <n v="0"/>
    <n v="0"/>
    <s v=""/>
    <n v="0"/>
    <n v="0"/>
    <s v=""/>
    <n v="1.3"/>
    <n v="0"/>
    <s v="Field"/>
    <s v="Turnip_x000a_Hakurei_x000a_Johnny's"/>
    <n v="0"/>
    <n v="0"/>
    <n v="0"/>
    <n v="0"/>
    <n v="0"/>
    <n v="0"/>
    <n v="8"/>
    <n v="7"/>
    <n v="0"/>
    <n v="0"/>
    <n v="0"/>
    <n v="0"/>
    <n v="0"/>
    <n v="0"/>
    <n v="0"/>
    <n v="0"/>
    <n v="0"/>
    <n v="0"/>
    <n v="0"/>
    <n v="0"/>
    <n v="0"/>
    <n v="0"/>
    <n v="0"/>
    <n v="0"/>
    <n v="0"/>
    <n v="0"/>
    <n v="0"/>
    <n v="0"/>
    <n v="0"/>
    <n v="0"/>
    <n v="73.333333333333329"/>
    <n v="64.166666666666671"/>
    <n v="0"/>
    <n v="0"/>
    <n v="0"/>
    <n v="0"/>
    <n v="0"/>
    <n v="0"/>
    <n v="0"/>
    <n v="0"/>
    <n v="0"/>
    <n v="0"/>
    <n v="0"/>
    <n v="0"/>
    <n v="0"/>
    <n v="0"/>
    <n v="0"/>
    <n v="0"/>
    <b v="1"/>
    <n v="50"/>
    <s v="Bunch"/>
    <s v="Mature Root"/>
    <s v="Turnip Mature Root - Bunch"/>
    <n v="0"/>
    <n v="0"/>
    <n v="0"/>
    <n v="0"/>
    <n v="0"/>
    <n v="0"/>
    <n v="26.666666666666668"/>
    <n v="23.333333333333332"/>
    <n v="0"/>
    <n v="0"/>
    <n v="0"/>
    <n v="0"/>
  </r>
  <r>
    <x v="75"/>
    <x v="122"/>
    <s v="D8"/>
    <n v="15"/>
    <n v="45"/>
    <s v="ARU"/>
    <m/>
    <x v="41"/>
    <x v="68"/>
    <m/>
    <s v="Esmee Johnny's, Astro High Mowing"/>
    <n v="9360"/>
    <m/>
    <n v="0.5"/>
    <n v="0.5"/>
    <d v="2025-06-15T00:00:00"/>
    <s v=""/>
    <m/>
    <s v=""/>
    <d v="2025-06-15T00:00:00"/>
    <m/>
    <m/>
    <d v="2025-06-15T00:00:00"/>
    <m/>
    <n v="-45823"/>
    <x v="62"/>
    <m/>
    <d v="2025-07-16T00:00:00"/>
    <m/>
    <d v="2025-07-16T00:00:00"/>
    <d v="2025-08-03T00:00:00"/>
    <m/>
    <m/>
    <b v="1"/>
    <m/>
    <d v="2025-08-03T00:00:00"/>
    <b v="0"/>
    <s v="-"/>
    <b v="0"/>
    <b v="0"/>
    <n v="112.5"/>
    <n v="2.295918367346939"/>
    <n v="31"/>
    <m/>
    <n v="18"/>
    <s v="DS"/>
    <n v="0.5"/>
    <n v="0"/>
    <n v="6"/>
    <n v="0.25"/>
    <n v="1"/>
    <n v="7200"/>
    <s v="OH"/>
    <n v="6"/>
    <s v="General"/>
    <s v="Sp"/>
    <n v="927"/>
    <n v="18"/>
    <s v="Green"/>
    <n v="1"/>
    <s v="None"/>
    <n v="0"/>
    <n v="0"/>
    <s v=""/>
    <n v="0"/>
    <n v="0"/>
    <s v=""/>
    <n v="0"/>
    <n v="0"/>
    <s v=""/>
    <n v="1.3"/>
    <n v="6"/>
    <s v="Field"/>
    <s v="Arugula_x000a_Arugala Mix_x000a_"/>
    <n v="0"/>
    <n v="0"/>
    <n v="0"/>
    <n v="0"/>
    <n v="0"/>
    <n v="0"/>
    <n v="16"/>
    <n v="3"/>
    <n v="0"/>
    <n v="0"/>
    <n v="0"/>
    <n v="0"/>
    <n v="0"/>
    <n v="0"/>
    <n v="0"/>
    <n v="0"/>
    <n v="0"/>
    <n v="0"/>
    <n v="0"/>
    <n v="0"/>
    <n v="0"/>
    <n v="0"/>
    <n v="0"/>
    <n v="0"/>
    <n v="0"/>
    <n v="0"/>
    <n v="0"/>
    <n v="0"/>
    <n v="0"/>
    <n v="0"/>
    <n v="94.73684210526315"/>
    <n v="17.763157894736842"/>
    <n v="0"/>
    <n v="0"/>
    <n v="0"/>
    <n v="0"/>
    <n v="0"/>
    <n v="0"/>
    <n v="0"/>
    <n v="0"/>
    <n v="0"/>
    <n v="0"/>
    <n v="0"/>
    <n v="0"/>
    <n v="0"/>
    <n v="0"/>
    <n v="0"/>
    <n v="0"/>
    <b v="1"/>
    <n v="11.25"/>
    <s v="Lb"/>
    <s v="Baby Leaf"/>
    <s v="Arugula Baby Leaf - Lb"/>
    <n v="0"/>
    <n v="0"/>
    <n v="0"/>
    <n v="0"/>
    <n v="0"/>
    <n v="0"/>
    <n v="9.473684210526315"/>
    <n v="1.7763157894736841"/>
    <n v="0"/>
    <n v="0"/>
    <n v="0"/>
    <n v="0"/>
  </r>
  <r>
    <x v="82"/>
    <x v="123"/>
    <s v="C1"/>
    <n v="100"/>
    <n v="200"/>
    <s v="COR"/>
    <m/>
    <x v="43"/>
    <x v="73"/>
    <m/>
    <s v="Enchanted F1 High Mowing, New Mama Super Sweet Adaptive"/>
    <n v="1040"/>
    <m/>
    <n v="2"/>
    <n v="2"/>
    <d v="2025-06-15T00:00:00"/>
    <s v=""/>
    <m/>
    <s v=""/>
    <d v="2025-06-15T00:00:00"/>
    <m/>
    <m/>
    <d v="2025-06-15T00:00:00"/>
    <s v="X"/>
    <e v="#VALUE!"/>
    <x v="62"/>
    <m/>
    <d v="2025-09-23T00:00:00"/>
    <m/>
    <d v="2025-09-23T00:00:00"/>
    <d v="2025-10-07T00:00:00"/>
    <m/>
    <m/>
    <b v="0"/>
    <m/>
    <d v="2025-10-07T00:00:00"/>
    <b v="0"/>
    <s v="-"/>
    <b v="0"/>
    <b v="0"/>
    <n v="800"/>
    <n v="7.0175438596491224"/>
    <n v="100"/>
    <m/>
    <n v="14"/>
    <s v="DS"/>
    <n v="2"/>
    <n v="0"/>
    <n v="3"/>
    <n v="9"/>
    <n v="2"/>
    <n v="400"/>
    <s v="DR"/>
    <n v="94"/>
    <s v="Sweet Early"/>
    <s v=""/>
    <n v="996"/>
    <n v="14"/>
    <s v="Corn"/>
    <n v="4"/>
    <s v="None"/>
    <n v="0"/>
    <n v="0"/>
    <s v=""/>
    <n v="0"/>
    <n v="0"/>
    <s v=""/>
    <n v="0"/>
    <n v="0"/>
    <s v=""/>
    <n v="1.3"/>
    <n v="0"/>
    <s v="Field"/>
    <s v="Corn _x000a_Corn Mix_x000a_"/>
    <n v="0"/>
    <n v="0"/>
    <n v="0"/>
    <n v="0"/>
    <n v="0"/>
    <n v="0"/>
    <n v="0"/>
    <n v="0"/>
    <n v="8"/>
    <n v="7"/>
    <n v="0"/>
    <n v="0"/>
    <n v="0"/>
    <n v="0"/>
    <n v="0"/>
    <n v="0"/>
    <n v="0"/>
    <n v="0"/>
    <n v="0"/>
    <n v="0"/>
    <n v="0"/>
    <n v="0"/>
    <n v="0"/>
    <n v="0"/>
    <n v="0"/>
    <n v="0"/>
    <n v="0"/>
    <n v="0"/>
    <n v="0"/>
    <n v="0"/>
    <n v="0"/>
    <n v="0"/>
    <n v="426.66666666666669"/>
    <n v="373.33333333333331"/>
    <n v="0"/>
    <n v="0"/>
    <n v="0"/>
    <n v="0"/>
    <n v="0"/>
    <n v="0"/>
    <n v="0"/>
    <n v="0"/>
    <n v="0"/>
    <n v="0"/>
    <n v="0"/>
    <n v="0"/>
    <n v="0"/>
    <n v="0"/>
    <b v="1"/>
    <n v="400"/>
    <s v="Cobs"/>
    <s v="Mature Cob"/>
    <s v="Corn  Mature Cob - Cobs"/>
    <n v="0"/>
    <n v="0"/>
    <n v="0"/>
    <n v="0"/>
    <n v="0"/>
    <n v="0"/>
    <n v="0"/>
    <n v="0"/>
    <n v="213.33333333333334"/>
    <n v="186.66666666666666"/>
    <n v="0"/>
    <n v="0"/>
  </r>
  <r>
    <x v="71"/>
    <x v="124"/>
    <s v="D4"/>
    <n v="21.428571428571427"/>
    <n v="85.714285714285708"/>
    <s v="CAR"/>
    <m/>
    <x v="37"/>
    <x v="64"/>
    <m/>
    <s v="Yellowstone Johnny's, Cosmic Purple High Mowing, Napoli F1 Osborne, Mokum Johnny's"/>
    <n v="3120"/>
    <m/>
    <n v="0.5"/>
    <n v="0.5"/>
    <d v="2025-06-19T00:00:00"/>
    <s v=""/>
    <m/>
    <s v=""/>
    <d v="2025-06-19T00:00:00"/>
    <m/>
    <m/>
    <d v="2025-06-19T00:00:00"/>
    <m/>
    <n v="-45827"/>
    <x v="3"/>
    <m/>
    <d v="2025-08-28T00:00:00"/>
    <m/>
    <d v="2025-08-28T00:00:00"/>
    <d v="2025-09-18T00:00:00"/>
    <m/>
    <m/>
    <b v="1"/>
    <m/>
    <d v="2025-09-18T00:00:00"/>
    <b v="0"/>
    <s v="-"/>
    <b v="0"/>
    <b v="0"/>
    <n v="278.57142857142856"/>
    <n v="3.0612244897959182"/>
    <n v="70"/>
    <m/>
    <n v="21"/>
    <s v="DS"/>
    <n v="0.5"/>
    <n v="0"/>
    <n v="4"/>
    <n v="0.5"/>
    <n v="1"/>
    <n v="2400"/>
    <s v="OH"/>
    <n v="61"/>
    <s v="Early"/>
    <s v="Sp"/>
    <n v="970"/>
    <n v="21"/>
    <s v="Root"/>
    <n v="1"/>
    <s v="AMAP"/>
    <n v="0"/>
    <n v="0"/>
    <s v=""/>
    <n v="0"/>
    <n v="0"/>
    <s v=""/>
    <n v="0"/>
    <n v="0"/>
    <s v=""/>
    <n v="1.3"/>
    <n v="0"/>
    <s v="Field"/>
    <s v="Carrot_x000a_Early Carrot Mix_x000a_"/>
    <n v="0"/>
    <n v="0"/>
    <n v="0"/>
    <n v="0"/>
    <n v="0"/>
    <n v="0"/>
    <n v="0"/>
    <n v="4"/>
    <n v="18"/>
    <n v="0"/>
    <n v="0"/>
    <n v="0"/>
    <n v="0"/>
    <n v="0"/>
    <n v="0"/>
    <n v="0"/>
    <n v="0"/>
    <n v="0"/>
    <n v="0"/>
    <n v="0"/>
    <n v="0"/>
    <n v="0"/>
    <n v="0"/>
    <n v="0"/>
    <n v="0"/>
    <n v="0"/>
    <n v="0"/>
    <n v="0"/>
    <n v="0"/>
    <n v="0"/>
    <n v="0"/>
    <n v="50.649350649350644"/>
    <n v="227.92207792207793"/>
    <n v="0"/>
    <n v="0"/>
    <n v="0"/>
    <n v="0"/>
    <n v="0"/>
    <n v="0"/>
    <n v="0"/>
    <n v="0"/>
    <n v="0"/>
    <n v="0"/>
    <n v="0"/>
    <n v="0"/>
    <n v="0"/>
    <n v="0"/>
    <n v="0"/>
    <b v="1"/>
    <n v="85.714285714285708"/>
    <s v="Bunch"/>
    <s v="Mature Root"/>
    <s v="Carrot Mature Root - Bunch"/>
    <n v="0"/>
    <n v="0"/>
    <n v="0"/>
    <n v="0"/>
    <n v="0"/>
    <n v="0"/>
    <n v="0"/>
    <n v="15.584415584415584"/>
    <n v="70.129870129870127"/>
    <n v="0"/>
    <n v="0"/>
    <n v="0"/>
  </r>
  <r>
    <x v="83"/>
    <x v="125"/>
    <s v="B5"/>
    <n v="21.428571428571427"/>
    <n v="85.714285714285708"/>
    <s v="RAD"/>
    <m/>
    <x v="32"/>
    <x v="74"/>
    <s v="High Mowing"/>
    <s v=""/>
    <n v="1560"/>
    <m/>
    <n v="1"/>
    <n v="1"/>
    <d v="2025-06-30T00:00:00"/>
    <s v=""/>
    <m/>
    <s v=""/>
    <d v="2025-06-30T00:00:00"/>
    <m/>
    <m/>
    <d v="2025-06-30T00:00:00"/>
    <m/>
    <n v="-45838"/>
    <x v="11"/>
    <m/>
    <d v="2025-08-19T00:00:00"/>
    <m/>
    <d v="2025-08-19T00:00:00"/>
    <d v="2025-09-09T00:00:00"/>
    <m/>
    <m/>
    <b v="1"/>
    <m/>
    <d v="2025-09-09T00:00:00"/>
    <b v="0"/>
    <s v="-"/>
    <b v="0"/>
    <b v="0"/>
    <n v="514.28571428571422"/>
    <n v="7.2434607645875246"/>
    <n v="50"/>
    <m/>
    <n v="21"/>
    <s v="DS"/>
    <n v="1"/>
    <n v="0"/>
    <n v="6"/>
    <n v="3"/>
    <n v="1"/>
    <n v="1200"/>
    <s v=""/>
    <n v="259"/>
    <s v="Munchen Bier"/>
    <s v=""/>
    <n v="961"/>
    <n v="21"/>
    <s v="Root"/>
    <n v="0"/>
    <n v="0"/>
    <n v="0"/>
    <n v="0"/>
    <s v=""/>
    <n v="0"/>
    <n v="0"/>
    <s v=""/>
    <n v="0"/>
    <n v="0"/>
    <s v=""/>
    <n v="1.3"/>
    <n v="0"/>
    <s v="Field"/>
    <s v="Radish_x000a_Schwarzer Runder_x000a_High Mowing"/>
    <n v="0"/>
    <n v="0"/>
    <n v="0"/>
    <n v="0"/>
    <n v="0"/>
    <n v="0"/>
    <n v="0"/>
    <n v="13"/>
    <n v="9"/>
    <n v="0"/>
    <n v="0"/>
    <n v="0"/>
    <n v="0"/>
    <n v="0"/>
    <n v="0"/>
    <n v="0"/>
    <n v="0"/>
    <n v="0"/>
    <n v="0"/>
    <n v="0"/>
    <n v="0"/>
    <n v="0"/>
    <n v="0"/>
    <n v="0"/>
    <n v="0"/>
    <n v="0"/>
    <n v="0"/>
    <n v="0"/>
    <n v="0"/>
    <n v="0"/>
    <n v="0"/>
    <n v="303.89610389610385"/>
    <n v="210.38961038961037"/>
    <n v="0"/>
    <n v="0"/>
    <n v="0"/>
    <n v="0"/>
    <n v="0"/>
    <n v="0"/>
    <n v="0"/>
    <n v="0"/>
    <n v="0"/>
    <n v="0"/>
    <n v="0"/>
    <n v="0"/>
    <n v="0"/>
    <n v="0"/>
    <n v="0"/>
    <b v="1"/>
    <n v="171.42857142857142"/>
    <s v="Lb"/>
    <s v="Storage Root"/>
    <s v="Radish Storage Root - Lb"/>
    <n v="0"/>
    <n v="0"/>
    <n v="0"/>
    <n v="0"/>
    <n v="0"/>
    <n v="0"/>
    <n v="0"/>
    <n v="101.2987012987013"/>
    <n v="70.129870129870127"/>
    <n v="0"/>
    <n v="0"/>
    <n v="0"/>
  </r>
  <r>
    <x v="77"/>
    <x v="126"/>
    <s v="D7"/>
    <n v="15.625"/>
    <n v="62.5"/>
    <s v="RAD"/>
    <m/>
    <x v="32"/>
    <x v="62"/>
    <m/>
    <s v="French Breakfast High Mowing, Pearl Johnny's, Sora High Mowing, Patricia High Mowing"/>
    <n v="2340"/>
    <m/>
    <n v="0.5"/>
    <n v="0.5"/>
    <d v="2025-06-30T00:00:00"/>
    <s v=""/>
    <m/>
    <s v=""/>
    <d v="2025-06-30T00:00:00"/>
    <m/>
    <m/>
    <d v="2025-06-30T00:00:00"/>
    <m/>
    <n v="-45838"/>
    <x v="11"/>
    <m/>
    <d v="2025-08-01T00:00:00"/>
    <m/>
    <d v="2025-08-01T00:00:00"/>
    <d v="2025-08-22T00:00:00"/>
    <m/>
    <m/>
    <b v="1"/>
    <m/>
    <d v="2025-08-22T00:00:00"/>
    <b v="0"/>
    <s v="-"/>
    <b v="0"/>
    <b v="0"/>
    <n v="187.5"/>
    <n v="3.5377358490566038"/>
    <n v="32"/>
    <m/>
    <n v="21"/>
    <s v="DS"/>
    <n v="0.5"/>
    <n v="0"/>
    <n v="6"/>
    <n v="1"/>
    <n v="1"/>
    <n v="1800"/>
    <s v="OH"/>
    <n v="255"/>
    <s v="6r"/>
    <s v="Su"/>
    <n v="943"/>
    <n v="21"/>
    <s v="Root"/>
    <n v="1"/>
    <s v="AMAP"/>
    <n v="0"/>
    <n v="0"/>
    <s v=""/>
    <n v="0"/>
    <n v="0"/>
    <s v=""/>
    <n v="0"/>
    <n v="0"/>
    <s v=""/>
    <n v="1.3"/>
    <n v="7"/>
    <s v="Field"/>
    <s v="Radish_x000a_Radish Mix_x000a_"/>
    <n v="0"/>
    <n v="0"/>
    <n v="0"/>
    <n v="0"/>
    <n v="0"/>
    <n v="0"/>
    <n v="0"/>
    <n v="22"/>
    <n v="0"/>
    <n v="0"/>
    <n v="0"/>
    <n v="0"/>
    <n v="0"/>
    <n v="0"/>
    <n v="0"/>
    <n v="0"/>
    <n v="0"/>
    <n v="0"/>
    <n v="0"/>
    <n v="0"/>
    <n v="0"/>
    <n v="0"/>
    <n v="0"/>
    <n v="0"/>
    <n v="0"/>
    <n v="0"/>
    <n v="0"/>
    <n v="0"/>
    <n v="0"/>
    <n v="0"/>
    <n v="0"/>
    <n v="187.5"/>
    <n v="0"/>
    <n v="0"/>
    <n v="0"/>
    <n v="0"/>
    <n v="0"/>
    <n v="0"/>
    <n v="0"/>
    <n v="0"/>
    <n v="0"/>
    <n v="0"/>
    <n v="0"/>
    <n v="0"/>
    <n v="0"/>
    <n v="0"/>
    <n v="0"/>
    <n v="0"/>
    <b v="1"/>
    <n v="62.5"/>
    <s v="Bunch"/>
    <s v="Mature Root"/>
    <s v="Radish Mature Root - Bunch"/>
    <n v="0"/>
    <n v="0"/>
    <n v="0"/>
    <n v="0"/>
    <n v="0"/>
    <n v="0"/>
    <n v="0"/>
    <n v="62.5"/>
    <n v="0"/>
    <n v="0"/>
    <n v="0"/>
    <n v="0"/>
  </r>
  <r>
    <x v="79"/>
    <x v="127"/>
    <m/>
    <n v="45"/>
    <n v="180"/>
    <s v="CAR"/>
    <m/>
    <x v="37"/>
    <x v="71"/>
    <m/>
    <s v="Bolero F1 Johnny's, Bengala F1 High Mowing, Dolciva F1 High Mowing, Narvik High Mowing"/>
    <n v="6240"/>
    <m/>
    <n v="1"/>
    <n v="1"/>
    <d v="2025-07-01T00:00:00"/>
    <s v=""/>
    <m/>
    <s v=""/>
    <d v="2025-07-01T00:00:00"/>
    <m/>
    <m/>
    <d v="2025-07-01T00:00:00"/>
    <m/>
    <n v="-45839"/>
    <x v="63"/>
    <m/>
    <d v="2025-09-23T00:00:00"/>
    <m/>
    <d v="2025-09-23T00:00:00"/>
    <d v="2025-10-14T00:00:00"/>
    <m/>
    <m/>
    <b v="0"/>
    <m/>
    <d v="2025-10-14T00:00:00"/>
    <b v="0"/>
    <s v="-"/>
    <b v="0"/>
    <b v="0"/>
    <n v="630"/>
    <n v="6"/>
    <n v="84"/>
    <m/>
    <n v="21"/>
    <s v="DS"/>
    <n v="1"/>
    <n v="0"/>
    <n v="4"/>
    <n v="0.5"/>
    <n v="1"/>
    <n v="4800"/>
    <s v="OH"/>
    <n v="63"/>
    <s v="Maincrop"/>
    <s v="FaWi"/>
    <n v="996"/>
    <n v="21"/>
    <s v="Root"/>
    <n v="1"/>
    <s v="AMAP"/>
    <n v="0"/>
    <n v="0"/>
    <s v=""/>
    <n v="0"/>
    <n v="0"/>
    <s v=""/>
    <n v="0"/>
    <n v="0"/>
    <s v=""/>
    <n v="1.3"/>
    <n v="0"/>
    <s v="Field"/>
    <s v="Carrot_x000a_Maincrop Carrot Mix_x000a_"/>
    <n v="0"/>
    <n v="0"/>
    <n v="0"/>
    <n v="0"/>
    <n v="0"/>
    <n v="0"/>
    <n v="0"/>
    <n v="0"/>
    <n v="8"/>
    <n v="14"/>
    <n v="0"/>
    <n v="0"/>
    <n v="0"/>
    <n v="0"/>
    <n v="0"/>
    <n v="0"/>
    <n v="0"/>
    <n v="0"/>
    <n v="0"/>
    <n v="0"/>
    <n v="0"/>
    <n v="0"/>
    <n v="0"/>
    <n v="0"/>
    <n v="0"/>
    <n v="0"/>
    <n v="0"/>
    <n v="0"/>
    <n v="0"/>
    <n v="0"/>
    <n v="0"/>
    <n v="0"/>
    <n v="229.09090909090909"/>
    <n v="400.90909090909088"/>
    <n v="0"/>
    <n v="0"/>
    <n v="0"/>
    <n v="0"/>
    <n v="0"/>
    <n v="0"/>
    <n v="0"/>
    <n v="0"/>
    <n v="0"/>
    <n v="0"/>
    <n v="0"/>
    <n v="0"/>
    <n v="0"/>
    <n v="0"/>
    <b v="1"/>
    <n v="180"/>
    <s v="Lb"/>
    <s v="Storage Root"/>
    <s v="Carrot Storage Root - Lb"/>
    <n v="0"/>
    <n v="0"/>
    <n v="0"/>
    <n v="0"/>
    <n v="0"/>
    <n v="0"/>
    <n v="0"/>
    <n v="0"/>
    <n v="65.454545454545453"/>
    <n v="114.54545454545455"/>
    <n v="0"/>
    <n v="0"/>
  </r>
  <r>
    <x v="81"/>
    <x v="128"/>
    <s v="D6"/>
    <n v="12.5"/>
    <n v="50"/>
    <s v="TUR"/>
    <m/>
    <x v="40"/>
    <x v="67"/>
    <s v="Johnny's"/>
    <s v=""/>
    <n v="1040"/>
    <m/>
    <n v="0.5"/>
    <n v="0.5"/>
    <d v="2025-07-07T00:00:00"/>
    <s v=""/>
    <m/>
    <s v=""/>
    <d v="2025-07-07T00:00:00"/>
    <m/>
    <m/>
    <d v="2025-07-07T00:00:00"/>
    <m/>
    <n v="-45845"/>
    <x v="39"/>
    <m/>
    <d v="2025-08-16T00:00:00"/>
    <m/>
    <d v="2025-08-16T00:00:00"/>
    <d v="2025-08-30T00:00:00"/>
    <m/>
    <m/>
    <b v="1"/>
    <m/>
    <d v="2025-08-30T00:00:00"/>
    <b v="0"/>
    <s v="-"/>
    <b v="0"/>
    <b v="0"/>
    <n v="137.5"/>
    <n v="2.5462962962962963"/>
    <n v="40"/>
    <m/>
    <n v="14"/>
    <s v="DS"/>
    <n v="0.5"/>
    <n v="0"/>
    <n v="4"/>
    <n v="1.5"/>
    <n v="1"/>
    <n v="800"/>
    <s v=""/>
    <n v="335"/>
    <s v="Tokyo"/>
    <s v="SuFa"/>
    <n v="958"/>
    <n v="14"/>
    <s v="Root"/>
    <n v="2"/>
    <n v="0"/>
    <n v="0"/>
    <n v="0"/>
    <s v=""/>
    <n v="0"/>
    <n v="0"/>
    <s v=""/>
    <n v="0"/>
    <n v="0"/>
    <s v=""/>
    <n v="1.3"/>
    <n v="0"/>
    <s v="Field"/>
    <s v="Turnip_x000a_Hakurei_x000a_Johnny's"/>
    <n v="0"/>
    <n v="0"/>
    <n v="0"/>
    <n v="0"/>
    <n v="0"/>
    <n v="0"/>
    <n v="0"/>
    <n v="15"/>
    <n v="0"/>
    <n v="0"/>
    <n v="0"/>
    <n v="0"/>
    <n v="0"/>
    <n v="0"/>
    <n v="0"/>
    <n v="0"/>
    <n v="0"/>
    <n v="0"/>
    <n v="0"/>
    <n v="0"/>
    <n v="0"/>
    <n v="0"/>
    <n v="0"/>
    <n v="0"/>
    <n v="0"/>
    <n v="0"/>
    <n v="0"/>
    <n v="0"/>
    <n v="0"/>
    <n v="0"/>
    <n v="0"/>
    <n v="137.5"/>
    <n v="0"/>
    <n v="0"/>
    <n v="0"/>
    <n v="0"/>
    <n v="0"/>
    <n v="0"/>
    <n v="0"/>
    <n v="0"/>
    <n v="0"/>
    <n v="0"/>
    <n v="0"/>
    <n v="0"/>
    <n v="0"/>
    <n v="0"/>
    <n v="0"/>
    <n v="0"/>
    <b v="1"/>
    <n v="50"/>
    <s v="Bunch"/>
    <s v="Mature Root"/>
    <s v="Turnip Mature Root - Bunch"/>
    <n v="0"/>
    <n v="0"/>
    <n v="0"/>
    <n v="0"/>
    <n v="0"/>
    <n v="0"/>
    <n v="0"/>
    <n v="50"/>
    <n v="0"/>
    <n v="0"/>
    <n v="0"/>
    <n v="0"/>
  </r>
  <r>
    <x v="77"/>
    <x v="129"/>
    <s v="D7"/>
    <n v="15.625"/>
    <n v="62.5"/>
    <s v="RAD"/>
    <m/>
    <x v="32"/>
    <x v="62"/>
    <m/>
    <s v="French Breakfast High Mowing, Pearl Johnny's, Sora High Mowing, Patricia High Mowing"/>
    <n v="2340"/>
    <m/>
    <n v="0.5"/>
    <n v="0.5"/>
    <d v="2025-07-30T00:00:00"/>
    <s v=""/>
    <m/>
    <s v=""/>
    <d v="2025-07-30T00:00:00"/>
    <m/>
    <m/>
    <d v="2025-07-30T00:00:00"/>
    <m/>
    <n v="-45868"/>
    <x v="64"/>
    <m/>
    <d v="2025-08-31T00:00:00"/>
    <m/>
    <d v="2025-08-31T00:00:00"/>
    <d v="2025-09-21T00:00:00"/>
    <m/>
    <m/>
    <b v="1"/>
    <m/>
    <d v="2025-09-21T00:00:00"/>
    <b v="0"/>
    <s v="-"/>
    <b v="0"/>
    <b v="0"/>
    <n v="187.5"/>
    <n v="3.5377358490566038"/>
    <n v="32"/>
    <m/>
    <n v="21"/>
    <s v="DS"/>
    <n v="0.5"/>
    <n v="0"/>
    <n v="6"/>
    <n v="1"/>
    <n v="1"/>
    <n v="1800"/>
    <s v="OH"/>
    <n v="255"/>
    <s v="6r"/>
    <s v="Su"/>
    <n v="973"/>
    <n v="21"/>
    <s v="Root"/>
    <n v="1"/>
    <s v="AMAP"/>
    <n v="0"/>
    <n v="0"/>
    <s v=""/>
    <n v="0"/>
    <n v="0"/>
    <s v=""/>
    <n v="0"/>
    <n v="0"/>
    <s v=""/>
    <n v="1.3"/>
    <n v="7"/>
    <s v="Field"/>
    <s v="Radish_x000a_Radish Mix_x000a_"/>
    <n v="0"/>
    <n v="0"/>
    <n v="0"/>
    <n v="0"/>
    <n v="0"/>
    <n v="0"/>
    <n v="0"/>
    <n v="1"/>
    <n v="21"/>
    <n v="0"/>
    <n v="0"/>
    <n v="0"/>
    <n v="0"/>
    <n v="0"/>
    <n v="0"/>
    <n v="0"/>
    <n v="0"/>
    <n v="0"/>
    <n v="0"/>
    <n v="0"/>
    <n v="0"/>
    <n v="0"/>
    <n v="0"/>
    <n v="0"/>
    <n v="0"/>
    <n v="0"/>
    <n v="0"/>
    <n v="0"/>
    <n v="0"/>
    <n v="0"/>
    <n v="0"/>
    <n v="8.5227272727272734"/>
    <n v="178.97727272727275"/>
    <n v="0"/>
    <n v="0"/>
    <n v="0"/>
    <n v="0"/>
    <n v="0"/>
    <n v="0"/>
    <n v="0"/>
    <n v="0"/>
    <n v="0"/>
    <n v="0"/>
    <n v="0"/>
    <n v="0"/>
    <n v="0"/>
    <n v="0"/>
    <n v="0"/>
    <b v="1"/>
    <n v="62.5"/>
    <s v="Bunch"/>
    <s v="Mature Root"/>
    <s v="Radish Mature Root - Bunch"/>
    <n v="0"/>
    <n v="0"/>
    <n v="0"/>
    <n v="0"/>
    <n v="0"/>
    <n v="0"/>
    <n v="0"/>
    <n v="2.8409090909090908"/>
    <n v="59.659090909090914"/>
    <n v="0"/>
    <n v="0"/>
    <n v="0"/>
  </r>
  <r>
    <x v="81"/>
    <x v="130"/>
    <s v="D6"/>
    <n v="12.5"/>
    <n v="50"/>
    <s v="TUR"/>
    <m/>
    <x v="40"/>
    <x v="67"/>
    <s v="Johnny's"/>
    <s v=""/>
    <n v="1040"/>
    <m/>
    <n v="0.5"/>
    <n v="0.5"/>
    <d v="2025-08-07T00:00:00"/>
    <s v=""/>
    <m/>
    <s v=""/>
    <d v="2025-08-07T00:00:00"/>
    <m/>
    <m/>
    <d v="2025-08-07T00:00:00"/>
    <m/>
    <n v="-45876"/>
    <x v="65"/>
    <m/>
    <d v="2025-09-16T00:00:00"/>
    <m/>
    <d v="2025-09-16T00:00:00"/>
    <d v="2025-09-30T00:00:00"/>
    <m/>
    <m/>
    <b v="0"/>
    <m/>
    <d v="2025-09-30T00:00:00"/>
    <b v="0"/>
    <s v="-"/>
    <b v="0"/>
    <b v="0"/>
    <n v="137.5"/>
    <n v="2.5462962962962963"/>
    <n v="40"/>
    <m/>
    <n v="14"/>
    <s v="DS"/>
    <n v="0.5"/>
    <n v="0"/>
    <n v="4"/>
    <n v="1.5"/>
    <n v="1"/>
    <n v="800"/>
    <s v=""/>
    <n v="335"/>
    <s v="Tokyo"/>
    <s v="SuFa"/>
    <n v="989"/>
    <n v="14"/>
    <s v="Root"/>
    <n v="2"/>
    <n v="0"/>
    <n v="0"/>
    <n v="0"/>
    <s v=""/>
    <n v="0"/>
    <n v="0"/>
    <s v=""/>
    <n v="0"/>
    <n v="0"/>
    <s v=""/>
    <n v="1.3"/>
    <n v="0"/>
    <s v="Field"/>
    <s v="Turnip_x000a_Hakurei_x000a_Johnny's"/>
    <n v="0"/>
    <n v="0"/>
    <n v="0"/>
    <n v="0"/>
    <n v="0"/>
    <n v="0"/>
    <n v="0"/>
    <n v="0"/>
    <n v="15"/>
    <n v="0"/>
    <n v="0"/>
    <n v="0"/>
    <n v="0"/>
    <n v="0"/>
    <n v="0"/>
    <n v="0"/>
    <n v="0"/>
    <n v="0"/>
    <n v="0"/>
    <n v="0"/>
    <n v="0"/>
    <n v="0"/>
    <n v="0"/>
    <n v="0"/>
    <n v="0"/>
    <n v="0"/>
    <n v="0"/>
    <n v="0"/>
    <n v="0"/>
    <n v="0"/>
    <n v="0"/>
    <n v="0"/>
    <n v="137.5"/>
    <n v="0"/>
    <n v="0"/>
    <n v="0"/>
    <n v="0"/>
    <n v="0"/>
    <n v="0"/>
    <n v="0"/>
    <n v="0"/>
    <n v="0"/>
    <n v="0"/>
    <n v="0"/>
    <n v="0"/>
    <n v="0"/>
    <n v="0"/>
    <n v="0"/>
    <b v="1"/>
    <n v="50"/>
    <s v="Bunch"/>
    <s v="Mature Root"/>
    <s v="Turnip Mature Root - Bunch"/>
    <n v="0"/>
    <n v="0"/>
    <n v="0"/>
    <n v="0"/>
    <n v="0"/>
    <n v="0"/>
    <n v="0"/>
    <n v="0"/>
    <n v="50"/>
    <n v="0"/>
    <n v="0"/>
    <n v="0"/>
  </r>
  <r>
    <x v="84"/>
    <x v="131"/>
    <s v="I8"/>
    <e v="#DIV/0!"/>
    <n v="128.57142857142858"/>
    <s v="GAR"/>
    <m/>
    <x v="34"/>
    <x v="60"/>
    <m/>
    <s v=""/>
    <n v="900"/>
    <m/>
    <n v="1"/>
    <n v="1"/>
    <d v="2014-12-21T00:00:00"/>
    <s v=""/>
    <m/>
    <s v=""/>
    <d v="2025-08-19T00:00:00"/>
    <m/>
    <m/>
    <d v="2025-08-19T00:00:00"/>
    <d v="2024-12-21T00:00:00"/>
    <n v="-241"/>
    <x v="52"/>
    <m/>
    <d v="2025-05-01T00:00:00"/>
    <m/>
    <d v="2025-05-01T00:00:00"/>
    <d v="2025-05-30T00:00:00"/>
    <m/>
    <m/>
    <b v="0"/>
    <m/>
    <d v="2025-05-30T00:00:00"/>
    <b v="1"/>
    <s v="-"/>
    <b v="0"/>
    <b v="0"/>
    <n v="642.85714285714289"/>
    <n v="2.6026604973973395"/>
    <n v="240"/>
    <m/>
    <n v="7"/>
    <s v="DS"/>
    <n v="1"/>
    <n v="0"/>
    <n v="3"/>
    <n v="2"/>
    <n v="1"/>
    <n v="900"/>
    <s v=""/>
    <n v="135"/>
    <s v="Green"/>
    <s v="Ow"/>
    <n v="851"/>
    <n v="29"/>
    <s v="Garlic"/>
    <n v="2"/>
    <s v="None"/>
    <n v="0"/>
    <n v="0"/>
    <s v=""/>
    <n v="0"/>
    <n v="0"/>
    <s v=""/>
    <n v="0"/>
    <n v="0"/>
    <s v=""/>
    <n v="1"/>
    <n v="0"/>
    <s v="Field"/>
    <s v="Garlic_x000a_Saved Seed_x000a_"/>
    <n v="0"/>
    <n v="0"/>
    <n v="0"/>
    <n v="0"/>
    <n v="30"/>
    <n v="0"/>
    <n v="0"/>
    <n v="0"/>
    <n v="0"/>
    <n v="0"/>
    <n v="0"/>
    <n v="0"/>
    <n v="0"/>
    <n v="0"/>
    <n v="0"/>
    <n v="0"/>
    <n v="0"/>
    <n v="0"/>
    <n v="0"/>
    <n v="0"/>
    <n v="0"/>
    <n v="0"/>
    <n v="0"/>
    <n v="0"/>
    <n v="0"/>
    <n v="0"/>
    <n v="0"/>
    <n v="0"/>
    <n v="642.85714285714289"/>
    <n v="0"/>
    <n v="0"/>
    <n v="0"/>
    <n v="0"/>
    <n v="0"/>
    <n v="0"/>
    <n v="0"/>
    <n v="0"/>
    <n v="0"/>
    <n v="0"/>
    <n v="0"/>
    <n v="0"/>
    <n v="0"/>
    <n v="0"/>
    <n v="0"/>
    <n v="0"/>
    <n v="0"/>
    <n v="0"/>
    <n v="0"/>
    <b v="1"/>
    <n v="128.57142857142858"/>
    <s v="Bunch"/>
    <s v="Young Bulb"/>
    <s v="Garlic Young Bulb - Bunch"/>
    <n v="0"/>
    <n v="0"/>
    <n v="0"/>
    <n v="0"/>
    <n v="128.57142857142858"/>
    <n v="0"/>
    <n v="0"/>
    <n v="0"/>
    <n v="0"/>
    <n v="0"/>
    <n v="0"/>
    <n v="0"/>
  </r>
  <r>
    <x v="77"/>
    <x v="132"/>
    <s v="D8"/>
    <n v="15.625"/>
    <n v="62.5"/>
    <s v="RAD"/>
    <m/>
    <x v="32"/>
    <x v="62"/>
    <m/>
    <s v="French Breakfast High Mowing, Pearl Johnny's, Sora High Mowing, Patricia High Mowing"/>
    <n v="2340"/>
    <m/>
    <n v="0.5"/>
    <n v="0.5"/>
    <d v="2025-08-29T00:00:00"/>
    <s v=""/>
    <m/>
    <s v=""/>
    <d v="2025-08-29T00:00:00"/>
    <m/>
    <m/>
    <d v="2025-08-29T00:00:00"/>
    <m/>
    <n v="-45898"/>
    <x v="66"/>
    <m/>
    <d v="2025-09-30T00:00:00"/>
    <m/>
    <d v="2025-09-30T00:00:00"/>
    <d v="2025-10-21T00:00:00"/>
    <m/>
    <m/>
    <b v="0"/>
    <m/>
    <d v="2025-10-21T00:00:00"/>
    <b v="0"/>
    <s v="-"/>
    <b v="0"/>
    <b v="0"/>
    <n v="187.5"/>
    <n v="3.5377358490566038"/>
    <n v="32"/>
    <m/>
    <n v="21"/>
    <s v="DS"/>
    <n v="0.5"/>
    <n v="0"/>
    <n v="6"/>
    <n v="1"/>
    <n v="1"/>
    <n v="1800"/>
    <s v="OH"/>
    <n v="255"/>
    <s v="6r"/>
    <s v="Su"/>
    <n v="1003"/>
    <n v="21"/>
    <s v="Root"/>
    <n v="1"/>
    <s v="AMAP"/>
    <n v="0"/>
    <n v="0"/>
    <s v=""/>
    <n v="0"/>
    <n v="0"/>
    <s v=""/>
    <n v="0"/>
    <n v="0"/>
    <s v=""/>
    <n v="1.3"/>
    <n v="7"/>
    <s v="Field"/>
    <s v="Radish_x000a_Radish Mix_x000a_"/>
    <n v="0"/>
    <n v="0"/>
    <n v="0"/>
    <n v="0"/>
    <n v="0"/>
    <n v="0"/>
    <n v="0"/>
    <n v="0"/>
    <n v="1"/>
    <n v="21"/>
    <n v="0"/>
    <n v="0"/>
    <n v="0"/>
    <n v="0"/>
    <n v="0"/>
    <n v="0"/>
    <n v="0"/>
    <n v="0"/>
    <n v="0"/>
    <n v="0"/>
    <n v="0"/>
    <n v="0"/>
    <n v="0"/>
    <n v="0"/>
    <n v="0"/>
    <n v="0"/>
    <n v="0"/>
    <n v="0"/>
    <n v="0"/>
    <n v="0"/>
    <n v="0"/>
    <n v="0"/>
    <n v="8.5227272727272734"/>
    <n v="178.97727272727275"/>
    <n v="0"/>
    <n v="0"/>
    <n v="0"/>
    <n v="0"/>
    <n v="0"/>
    <n v="0"/>
    <n v="0"/>
    <n v="0"/>
    <n v="0"/>
    <n v="0"/>
    <n v="0"/>
    <n v="0"/>
    <n v="0"/>
    <n v="0"/>
    <b v="1"/>
    <n v="62.5"/>
    <s v="Bunch"/>
    <s v="Mature Root"/>
    <s v="Radish Mature Root - Bunch"/>
    <n v="0"/>
    <n v="0"/>
    <n v="0"/>
    <n v="0"/>
    <n v="0"/>
    <n v="0"/>
    <n v="0"/>
    <n v="0"/>
    <n v="2.8409090909090908"/>
    <n v="59.659090909090914"/>
    <n v="0"/>
    <n v="0"/>
  </r>
  <r>
    <x v="81"/>
    <x v="133"/>
    <s v="D7"/>
    <n v="12.5"/>
    <n v="50"/>
    <s v="TUR"/>
    <m/>
    <x v="40"/>
    <x v="67"/>
    <s v="Johnny's"/>
    <s v=""/>
    <n v="1040"/>
    <m/>
    <n v="0.5"/>
    <n v="0.5"/>
    <d v="2025-09-07T00:00:00"/>
    <s v=""/>
    <m/>
    <s v=""/>
    <d v="2025-09-07T00:00:00"/>
    <m/>
    <m/>
    <d v="2025-09-07T00:00:00"/>
    <m/>
    <n v="-45907"/>
    <x v="67"/>
    <m/>
    <d v="2025-10-17T00:00:00"/>
    <m/>
    <d v="2025-10-17T00:00:00"/>
    <d v="2025-10-31T00:00:00"/>
    <m/>
    <m/>
    <b v="0"/>
    <m/>
    <d v="2025-10-31T00:00:00"/>
    <b v="0"/>
    <s v="-"/>
    <b v="0"/>
    <b v="0"/>
    <n v="137.5"/>
    <n v="2.5462962962962963"/>
    <n v="40"/>
    <m/>
    <n v="14"/>
    <s v="DS"/>
    <n v="0.5"/>
    <n v="0"/>
    <n v="4"/>
    <n v="1.5"/>
    <n v="1"/>
    <n v="800"/>
    <s v=""/>
    <n v="335"/>
    <s v="Tokyo"/>
    <s v="SuFa"/>
    <n v="1020"/>
    <n v="14"/>
    <s v="Root"/>
    <n v="2"/>
    <n v="0"/>
    <n v="0"/>
    <n v="0"/>
    <s v=""/>
    <n v="0"/>
    <n v="0"/>
    <s v=""/>
    <n v="0"/>
    <n v="0"/>
    <s v=""/>
    <n v="1.3"/>
    <n v="0"/>
    <s v="Field"/>
    <s v="Turnip_x000a_Hakurei_x000a_Johnny's"/>
    <n v="0"/>
    <n v="0"/>
    <n v="0"/>
    <n v="0"/>
    <n v="0"/>
    <n v="0"/>
    <n v="0"/>
    <n v="0"/>
    <n v="0"/>
    <n v="15"/>
    <n v="0"/>
    <n v="0"/>
    <n v="0"/>
    <n v="0"/>
    <n v="0"/>
    <n v="0"/>
    <n v="0"/>
    <n v="0"/>
    <n v="0"/>
    <n v="0"/>
    <n v="0"/>
    <n v="0"/>
    <n v="0"/>
    <n v="0"/>
    <n v="0"/>
    <n v="0"/>
    <n v="0"/>
    <n v="0"/>
    <n v="0"/>
    <n v="0"/>
    <n v="0"/>
    <n v="0"/>
    <n v="0"/>
    <n v="137.5"/>
    <n v="0"/>
    <n v="0"/>
    <n v="0"/>
    <n v="0"/>
    <n v="0"/>
    <n v="0"/>
    <n v="0"/>
    <n v="0"/>
    <n v="0"/>
    <n v="0"/>
    <n v="0"/>
    <n v="0"/>
    <n v="0"/>
    <n v="0"/>
    <b v="1"/>
    <n v="50"/>
    <s v="Bunch"/>
    <s v="Mature Root"/>
    <s v="Turnip Mature Root - Bunch"/>
    <n v="0"/>
    <n v="0"/>
    <n v="0"/>
    <n v="0"/>
    <n v="0"/>
    <n v="0"/>
    <n v="0"/>
    <n v="0"/>
    <n v="0"/>
    <n v="5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s v="A H Whaley 42-Day"/>
    <x v="0"/>
    <s v="A H Whaley"/>
    <s v="42-Day"/>
    <s v="x"/>
    <s v="x"/>
    <s v="By Count"/>
    <n v="0"/>
    <s v="Link"/>
    <e v="#REF!"/>
    <n v="100"/>
    <s v="ct"/>
    <n v="5.5"/>
    <n v="1"/>
    <m/>
    <n v="100"/>
    <s v=""/>
    <s v=""/>
    <s v=""/>
    <s v=""/>
    <n v="5.5"/>
    <m/>
    <m/>
    <b v="0"/>
    <b v="0"/>
    <s v="Yes"/>
  </r>
  <r>
    <s v="A P Whaley Beauty King"/>
    <x v="0"/>
    <s v="A P Whaley"/>
    <s v="Beauty King"/>
    <s v="x"/>
    <s v="x"/>
    <s v="By Count"/>
    <n v="0"/>
    <s v="Link"/>
    <e v="#REF!"/>
    <n v="100"/>
    <s v="ct"/>
    <n v="7.25"/>
    <n v="1"/>
    <m/>
    <n v="100"/>
    <s v=""/>
    <s v=""/>
    <s v=""/>
    <s v=""/>
    <n v="7.25"/>
    <m/>
    <m/>
    <b v="0"/>
    <b v="1"/>
    <m/>
  </r>
  <r>
    <s v="A P Whaley Beefy Purple"/>
    <x v="0"/>
    <s v="A P Whaley"/>
    <s v="Beefy Purple"/>
    <s v="x"/>
    <s v="x"/>
    <s v="By Count"/>
    <n v="0"/>
    <s v="Link"/>
    <e v="#REF!"/>
    <n v="100"/>
    <s v="ct"/>
    <n v="8"/>
    <n v="1"/>
    <m/>
    <n v="100"/>
    <s v=""/>
    <s v=""/>
    <s v=""/>
    <s v=""/>
    <n v="8"/>
    <m/>
    <m/>
    <b v="0"/>
    <b v="1"/>
    <m/>
  </r>
  <r>
    <s v="A P Whaley Cherry Falls"/>
    <x v="0"/>
    <s v="A P Whaley"/>
    <s v="Cherry Falls"/>
    <s v="x"/>
    <s v="x"/>
    <s v="By Count"/>
    <n v="0"/>
    <s v="Link"/>
    <e v="#REF!"/>
    <n v="100"/>
    <s v="ct"/>
    <n v="6.25"/>
    <n v="1"/>
    <m/>
    <n v="100"/>
    <s v=""/>
    <s v=""/>
    <s v=""/>
    <s v=""/>
    <n v="6.25"/>
    <m/>
    <m/>
    <b v="0"/>
    <b v="1"/>
    <m/>
  </r>
  <r>
    <s v="A P Whaley Janet's Jacinth Jewel"/>
    <x v="0"/>
    <s v="A P Whaley"/>
    <s v="Janet's Jacinth Jewel"/>
    <s v="x"/>
    <s v="x"/>
    <s v="By Count"/>
    <n v="0"/>
    <s v="Link"/>
    <e v="#REF!"/>
    <n v="25"/>
    <s v="ct"/>
    <n v="4.5"/>
    <n v="1"/>
    <m/>
    <n v="25"/>
    <s v=""/>
    <s v=""/>
    <s v=""/>
    <s v=""/>
    <n v="4.5"/>
    <m/>
    <m/>
    <b v="0"/>
    <b v="1"/>
    <m/>
  </r>
  <r>
    <s v="A P Whaley Large Barred Boar"/>
    <x v="0"/>
    <s v="A P Whaley"/>
    <s v="Large Barred Boar"/>
    <s v="x"/>
    <s v="x"/>
    <s v="By Count"/>
    <n v="0"/>
    <s v="Link"/>
    <e v="#REF!"/>
    <n v="100"/>
    <s v="ct"/>
    <n v="7.25"/>
    <n v="1"/>
    <m/>
    <n v="100"/>
    <s v=""/>
    <s v=""/>
    <s v=""/>
    <s v=""/>
    <n v="7.25"/>
    <m/>
    <m/>
    <b v="0"/>
    <b v="1"/>
    <m/>
  </r>
  <r>
    <s v="A P Whaley Pink Jazz"/>
    <x v="0"/>
    <s v="A P Whaley"/>
    <s v="Pink Jazz"/>
    <s v="x"/>
    <s v="x"/>
    <s v="By Count"/>
    <n v="0"/>
    <s v="Link"/>
    <e v="#REF!"/>
    <n v="25"/>
    <s v="ct"/>
    <n v="4.5"/>
    <n v="1"/>
    <m/>
    <n v="25"/>
    <s v=""/>
    <s v=""/>
    <s v=""/>
    <s v=""/>
    <n v="4.5"/>
    <m/>
    <m/>
    <b v="0"/>
    <b v="1"/>
    <m/>
  </r>
  <r>
    <s v="Adaptive Orange You Glad"/>
    <x v="0"/>
    <s v="Adaptive"/>
    <s v="Orange You Glad"/>
    <s v="x"/>
    <s v="x"/>
    <n v="300"/>
    <s v="g"/>
    <s v="Link"/>
    <e v="#REF!"/>
    <n v="0.5"/>
    <s v="g"/>
    <n v="8.6999999999999993"/>
    <n v="1"/>
    <m/>
    <n v="0.5"/>
    <s v=""/>
    <s v=""/>
    <s v=""/>
    <s v=""/>
    <n v="8.6999999999999993"/>
    <m/>
    <m/>
    <b v="0"/>
    <b v="1"/>
    <m/>
  </r>
  <r>
    <s v="Adaptive Spring King"/>
    <x v="0"/>
    <s v="Adaptive"/>
    <s v="Spring King"/>
    <s v="x"/>
    <s v="x"/>
    <n v="300"/>
    <s v="g"/>
    <s v="Link"/>
    <e v="#REF!"/>
    <n v="0.5"/>
    <s v="g"/>
    <n v="8.6999999999999993"/>
    <n v="1"/>
    <m/>
    <n v="0.5"/>
    <s v=""/>
    <s v=""/>
    <s v=""/>
    <s v=""/>
    <n v="8.6999999999999993"/>
    <m/>
    <m/>
    <b v="0"/>
    <b v="1"/>
    <m/>
  </r>
  <r>
    <s v="Adaptive Chiogga"/>
    <x v="1"/>
    <s v="Adaptive"/>
    <s v="Chiogga"/>
    <s v="x"/>
    <s v="x"/>
    <n v="80"/>
    <s v="g"/>
    <s v="Link"/>
    <n v="330"/>
    <n v="1"/>
    <s v="ozm"/>
    <n v="16"/>
    <n v="1"/>
    <m/>
    <n v="1"/>
    <n v="4.125"/>
    <n v="0.1455050930420192"/>
    <n v="9.0940683151261997E-3"/>
    <n v="6.8726116666666668"/>
    <n v="16"/>
    <m/>
    <m/>
    <b v="0"/>
    <b v="1"/>
    <m/>
  </r>
  <r>
    <s v="Adaptive New Mama Super Sweet"/>
    <x v="2"/>
    <s v="Adaptive"/>
    <s v="New Mama Super Sweet"/>
    <s v="x"/>
    <s v="x"/>
    <n v="200"/>
    <s v="ozm"/>
    <s v="Link"/>
    <n v="520"/>
    <n v="4"/>
    <s v="ozm"/>
    <n v="12"/>
    <n v="2"/>
    <m/>
    <n v="8"/>
    <n v="73.708760125000012"/>
    <n v="2.6000000000000005"/>
    <n v="0.16250000000000003"/>
    <n v="3.0769230769230762"/>
    <n v="24"/>
    <m/>
    <m/>
    <b v="0"/>
    <b v="1"/>
    <m/>
  </r>
  <r>
    <s v="Adaptive Tiffen Mennonite"/>
    <x v="0"/>
    <s v="Adaptive"/>
    <s v="Tiffen Mennonite"/>
    <s v="x"/>
    <s v="x"/>
    <n v="200"/>
    <s v="g"/>
    <s v="Link"/>
    <e v="#REF!"/>
    <n v="0.5"/>
    <s v="g"/>
    <n v="9.57"/>
    <n v="1"/>
    <m/>
    <n v="0.5"/>
    <s v=""/>
    <s v=""/>
    <s v=""/>
    <s v=""/>
    <n v="9.57"/>
    <m/>
    <m/>
    <b v="0"/>
    <b v="1"/>
    <m/>
  </r>
  <r>
    <s v="Harris Red Racer"/>
    <x v="0"/>
    <s v="Harris"/>
    <s v="Red Racer"/>
    <s v="x"/>
    <s v="x"/>
    <s v="By Count"/>
    <n v="0"/>
    <s v="Link"/>
    <e v="#REF!"/>
    <n v="100"/>
    <s v="ct"/>
    <n v="13.93"/>
    <n v="1"/>
    <m/>
    <n v="100"/>
    <s v=""/>
    <s v=""/>
    <s v=""/>
    <s v=""/>
    <n v="13.93"/>
    <m/>
    <m/>
    <b v="0"/>
    <b v="1"/>
    <m/>
  </r>
  <r>
    <s v="High Mowing Badger Flame"/>
    <x v="1"/>
    <s v="High Mowing"/>
    <s v="Badger Flame"/>
    <m/>
    <m/>
    <n v="1500"/>
    <s v="ozm"/>
    <s v="Link"/>
    <n v="330"/>
    <m/>
    <m/>
    <m/>
    <m/>
    <b v="1"/>
    <n v="0"/>
    <n v="6.2368950875000007"/>
    <n v="0.22000000000000003"/>
    <n v="1.3750000000000002E-2"/>
    <s v=""/>
    <n v="0"/>
    <m/>
    <m/>
    <b v="0"/>
    <b v="1"/>
    <m/>
  </r>
  <r>
    <s v="High Mowing Bengala F1"/>
    <x v="3"/>
    <s v="High Mowing"/>
    <s v="Bengala F1"/>
    <m/>
    <m/>
    <n v="11000"/>
    <s v="ozm"/>
    <s v="Link"/>
    <n v="3120"/>
    <m/>
    <m/>
    <m/>
    <m/>
    <m/>
    <n v="0"/>
    <n v="8.0409556500000008"/>
    <n v="0.28363636363636363"/>
    <n v="1.7727272727272727E-2"/>
    <s v=""/>
    <n v="0"/>
    <s v="Skip"/>
    <m/>
    <b v="0"/>
    <b v="1"/>
    <m/>
  </r>
  <r>
    <s v="High Mowing Bilko F1"/>
    <x v="4"/>
    <s v="High Mowing"/>
    <s v="Bilko F1"/>
    <s v="x"/>
    <s v="x"/>
    <n v="4800"/>
    <s v="ozm"/>
    <s v="Link"/>
    <n v="58.666666666666664"/>
    <n v="500"/>
    <s v="ct"/>
    <n v="12"/>
    <n v="1"/>
    <m/>
    <n v="500"/>
    <n v="0.34649417152777778"/>
    <n v="1.2222222222222221E-2"/>
    <n v="7.6388888888888882E-4"/>
    <n v="8.5227272727272734"/>
    <n v="12"/>
    <s v="Bought from Osborne"/>
    <m/>
    <b v="0"/>
    <b v="1"/>
    <m/>
  </r>
  <r>
    <s v="High Mowing Blacktail Mountain"/>
    <x v="5"/>
    <s v="High Mowing"/>
    <s v="Blacktail Mountain"/>
    <s v="x"/>
    <s v="x"/>
    <n v="500"/>
    <s v="ozm"/>
    <s v="Link"/>
    <e v="#REF!"/>
    <n v="0.25"/>
    <s v="ozm"/>
    <n v="12.55"/>
    <n v="1"/>
    <m/>
    <n v="0.25"/>
    <s v=""/>
    <s v=""/>
    <s v=""/>
    <s v=""/>
    <n v="12.55"/>
    <m/>
    <m/>
    <b v="0"/>
    <b v="1"/>
    <m/>
  </r>
  <r>
    <s v="High Mowing Boro F1"/>
    <x v="1"/>
    <s v="High Mowing"/>
    <s v="Boro F1"/>
    <s v="x"/>
    <s v="x"/>
    <n v="2000"/>
    <s v="ozm"/>
    <s v="Link"/>
    <n v="330"/>
    <n v="5000"/>
    <s v="ct"/>
    <n v="23.15"/>
    <n v="1"/>
    <m/>
    <n v="5000"/>
    <n v="4.677671315625"/>
    <n v="0.16500000000000001"/>
    <n v="1.03125E-2"/>
    <n v="15.151515151515152"/>
    <n v="23.15"/>
    <s v="Bought from Osborne"/>
    <m/>
    <b v="0"/>
    <b v="1"/>
    <m/>
  </r>
  <r>
    <s v="High Mowing Bronco F1"/>
    <x v="4"/>
    <s v="High Mowing"/>
    <s v="Bronco F1"/>
    <s v="x"/>
    <s v="x"/>
    <n v="4800"/>
    <s v="ozm"/>
    <s v="Link"/>
    <n v="146.66666666666666"/>
    <n v="500"/>
    <s v="ct"/>
    <n v="18.899999999999999"/>
    <n v="1"/>
    <m/>
    <n v="500"/>
    <n v="0.86623542881944449"/>
    <n v="3.0555555555555555E-2"/>
    <n v="1.9097222222222222E-3"/>
    <n v="3.4090909090909092"/>
    <n v="18.899999999999999"/>
    <m/>
    <m/>
    <b v="0"/>
    <b v="1"/>
    <m/>
  </r>
  <r>
    <s v="High Mowing Costata Romanesco"/>
    <x v="6"/>
    <s v="High Mowing"/>
    <s v="Costata Romanesco"/>
    <s v="x"/>
    <s v="x"/>
    <n v="185"/>
    <s v="ozm"/>
    <s v="Link"/>
    <e v="#REF!"/>
    <n v="0.5"/>
    <s v="ozm"/>
    <n v="1"/>
    <n v="1"/>
    <m/>
    <n v="0.5"/>
    <s v=""/>
    <s v=""/>
    <s v=""/>
    <s v=""/>
    <n v="1"/>
    <m/>
    <m/>
    <b v="0"/>
    <b v="1"/>
    <m/>
  </r>
  <r>
    <s v="High Mowing Dolciva F1"/>
    <x v="3"/>
    <s v="High Mowing"/>
    <s v="Dolciva F1"/>
    <m/>
    <m/>
    <n v="20000"/>
    <s v="lbm"/>
    <s v="Link"/>
    <n v="3120"/>
    <m/>
    <m/>
    <m/>
    <m/>
    <m/>
    <n v="0"/>
    <n v="70.760409719999998"/>
    <n v="2.496"/>
    <n v="0.156"/>
    <s v=""/>
    <n v="0"/>
    <s v="Skip"/>
    <m/>
    <b v="0"/>
    <b v="1"/>
    <m/>
  </r>
  <r>
    <s v="High Mowing Dunja F1"/>
    <x v="6"/>
    <s v="High Mowing"/>
    <s v="Dunja F1"/>
    <m/>
    <m/>
    <n v="3950"/>
    <s v="lbm"/>
    <s v="Link"/>
    <e v="#REF!"/>
    <m/>
    <m/>
    <m/>
    <n v="1"/>
    <m/>
    <n v="0"/>
    <s v=""/>
    <s v=""/>
    <s v=""/>
    <s v=""/>
    <n v="0"/>
    <s v="Skip"/>
    <m/>
    <b v="0"/>
    <b v="1"/>
    <m/>
  </r>
  <r>
    <s v="High Mowing Emiko F1"/>
    <x v="4"/>
    <s v="High Mowing"/>
    <s v="Emiko F1"/>
    <s v="x"/>
    <s v="x"/>
    <n v="4800"/>
    <s v="ozm"/>
    <s v="Link"/>
    <n v="58.666666666666664"/>
    <n v="500"/>
    <s v="ct"/>
    <n v="12"/>
    <n v="1"/>
    <m/>
    <n v="500"/>
    <n v="0.34649417152777778"/>
    <n v="1.2222222222222221E-2"/>
    <n v="7.6388888888888882E-4"/>
    <n v="8.5227272727272734"/>
    <n v="12"/>
    <m/>
    <m/>
    <b v="0"/>
    <b v="1"/>
    <m/>
  </r>
  <r>
    <s v="High Mowing Enchanted F1"/>
    <x v="2"/>
    <s v="High Mowing"/>
    <s v="Enchanted F1"/>
    <s v="x"/>
    <s v="x"/>
    <n v="170"/>
    <s v="ozm"/>
    <s v="Link"/>
    <n v="520"/>
    <n v="1000"/>
    <s v="ct"/>
    <n v="30"/>
    <n v="2"/>
    <m/>
    <n v="2000"/>
    <n v="86.716188382352939"/>
    <n v="3.0588235294117645"/>
    <n v="0.19117647058823528"/>
    <n v="3.8461538461538463"/>
    <n v="60"/>
    <m/>
    <m/>
    <b v="0"/>
    <b v="1"/>
    <m/>
  </r>
  <r>
    <s v="High Mowing Narvik"/>
    <x v="3"/>
    <s v="High Mowing"/>
    <s v="Narvik"/>
    <s v="x"/>
    <s v="x"/>
    <n v="20000"/>
    <s v="lbm"/>
    <s v="Link"/>
    <n v="3120"/>
    <n v="10000"/>
    <s v="ct"/>
    <n v="34.450000000000003"/>
    <n v="1"/>
    <m/>
    <n v="10000"/>
    <n v="70.760409719999998"/>
    <n v="2.496"/>
    <n v="0.156"/>
    <n v="3.2051282051282053"/>
    <n v="34.450000000000003"/>
    <m/>
    <m/>
    <b v="0"/>
    <b v="1"/>
    <m/>
  </r>
  <r>
    <s v="High Mowing Red Kuri"/>
    <x v="7"/>
    <s v="High Mowing"/>
    <s v="Red Kuri"/>
    <s v="x"/>
    <s v="x"/>
    <n v="90"/>
    <s v="ozm"/>
    <s v="Link"/>
    <e v="#REF!"/>
    <n v="2"/>
    <s v="ozm"/>
    <n v="20.25"/>
    <n v="1"/>
    <m/>
    <n v="2"/>
    <s v=""/>
    <s v=""/>
    <s v=""/>
    <s v=""/>
    <n v="20.25"/>
    <s v="Bought from Osborne"/>
    <m/>
    <b v="0"/>
    <b v="1"/>
    <m/>
  </r>
  <r>
    <s v="Johnnys Woodstock"/>
    <x v="0"/>
    <s v="Johnnys"/>
    <s v="Woodstock"/>
    <s v="x"/>
    <s v="x"/>
    <n v="118300"/>
    <s v="lbm"/>
    <s v="Link"/>
    <e v="#REF!"/>
    <n v="15"/>
    <s v="ct"/>
    <n v="6.75"/>
    <n v="1"/>
    <m/>
    <n v="15"/>
    <s v=""/>
    <s v=""/>
    <s v=""/>
    <s v=""/>
    <n v="6.75"/>
    <m/>
    <m/>
    <b v="0"/>
    <b v="1"/>
    <m/>
  </r>
  <r>
    <s v="Johnny's Bolero F1"/>
    <x v="3"/>
    <s v="Johnny's"/>
    <s v="Bolero F1"/>
    <s v="x"/>
    <s v="x"/>
    <n v="250400"/>
    <s v="lbm"/>
    <s v="Link"/>
    <n v="3120"/>
    <n v="5000"/>
    <s v="ct"/>
    <n v="9.4"/>
    <n v="2"/>
    <m/>
    <n v="10000"/>
    <n v="5.6517899137380194"/>
    <n v="0.19936102236421727"/>
    <n v="1.2460063897763579E-2"/>
    <n v="3.2051282051282053"/>
    <n v="18.8"/>
    <m/>
    <m/>
    <b v="0"/>
    <b v="0"/>
    <s v="Yes"/>
  </r>
  <r>
    <s v="Johnny's German Johnson"/>
    <x v="0"/>
    <s v="Johnny's"/>
    <s v="German Johnson"/>
    <s v="x"/>
    <s v="x"/>
    <n v="12100"/>
    <s v="ozm"/>
    <s v="Link"/>
    <e v="#REF!"/>
    <n v="250"/>
    <s v="ct"/>
    <n v="9.0500000000000007"/>
    <n v="1"/>
    <m/>
    <n v="250"/>
    <s v=""/>
    <s v=""/>
    <s v=""/>
    <s v=""/>
    <n v="9.0500000000000007"/>
    <m/>
    <m/>
    <b v="0"/>
    <b v="1"/>
    <m/>
  </r>
  <r>
    <s v="Johnny's Gin Fizz"/>
    <x v="0"/>
    <s v="Johnny's"/>
    <s v="Gin Fizz"/>
    <s v="x"/>
    <s v="x"/>
    <n v="139600"/>
    <s v="lbm"/>
    <s v="Link"/>
    <e v="#REF!"/>
    <n v="50"/>
    <s v="ct"/>
    <n v="48.15"/>
    <n v="1"/>
    <m/>
    <n v="50"/>
    <s v=""/>
    <s v=""/>
    <s v=""/>
    <s v=""/>
    <n v="48.15"/>
    <m/>
    <m/>
    <b v="0"/>
    <b v="1"/>
    <m/>
  </r>
  <r>
    <s v="Johnny's Mambo"/>
    <x v="7"/>
    <s v="Johnny's"/>
    <s v="Mambo"/>
    <s v="x"/>
    <s v="x"/>
    <n v="2100"/>
    <s v="lbm"/>
    <s v="Link"/>
    <e v="#REF!"/>
    <n v="100"/>
    <s v="ct"/>
    <n v="19.45"/>
    <n v="1"/>
    <m/>
    <n v="100"/>
    <s v=""/>
    <s v=""/>
    <s v=""/>
    <s v=""/>
    <n v="19.45"/>
    <m/>
    <m/>
    <b v="0"/>
    <b v="1"/>
    <m/>
  </r>
  <r>
    <s v="Johnny's Marbonne"/>
    <x v="0"/>
    <s v="Johnny's"/>
    <s v="Marbonne"/>
    <s v="x"/>
    <s v="x"/>
    <n v="8900"/>
    <s v="ozm"/>
    <s v="Link"/>
    <e v="#REF!"/>
    <n v="100"/>
    <s v="ct"/>
    <n v="99.5"/>
    <n v="1"/>
    <m/>
    <n v="100"/>
    <s v=""/>
    <s v=""/>
    <s v=""/>
    <s v=""/>
    <n v="99.5"/>
    <m/>
    <m/>
    <b v="0"/>
    <b v="0"/>
    <s v="Yes"/>
  </r>
  <r>
    <s v="Johnny's Margold"/>
    <x v="0"/>
    <s v="Johnny's"/>
    <s v="Margold"/>
    <s v="x"/>
    <s v="x"/>
    <n v="9200"/>
    <s v="ozm"/>
    <s v="Link"/>
    <e v="#REF!"/>
    <n v="50"/>
    <s v="ct"/>
    <n v="74"/>
    <n v="1"/>
    <m/>
    <n v="50"/>
    <s v=""/>
    <s v=""/>
    <s v=""/>
    <s v=""/>
    <n v="74"/>
    <m/>
    <m/>
    <b v="0"/>
    <b v="0"/>
    <s v="Yes"/>
  </r>
  <r>
    <s v="Johnny's Marnero"/>
    <x v="0"/>
    <s v="Johnny's"/>
    <s v="Marnero"/>
    <m/>
    <m/>
    <n v="13100"/>
    <s v="ozm"/>
    <s v="Link"/>
    <e v="#REF!"/>
    <m/>
    <m/>
    <m/>
    <n v="1"/>
    <m/>
    <n v="0"/>
    <s v=""/>
    <s v=""/>
    <s v=""/>
    <s v=""/>
    <n v="0"/>
    <m/>
    <m/>
    <b v="0"/>
    <b v="0"/>
    <s v="Yes"/>
  </r>
  <r>
    <s v="Johnny's Merlot"/>
    <x v="4"/>
    <s v="Johnny's"/>
    <s v="Merlot"/>
    <m/>
    <m/>
    <n v="140000"/>
    <s v="lbm"/>
    <s v="Link"/>
    <n v="58.666666666666664"/>
    <m/>
    <m/>
    <m/>
    <m/>
    <m/>
    <n v="0"/>
    <n v="0.19007680266666666"/>
    <n v="6.7047619047619043E-3"/>
    <n v="4.1904761904761902E-4"/>
    <s v=""/>
    <n v="0"/>
    <s v="Skip"/>
    <m/>
    <b v="0"/>
    <b v="0"/>
    <s v="Yes"/>
  </r>
  <r>
    <s v="Johnny's Mini Love"/>
    <x v="5"/>
    <s v="Johnny's"/>
    <s v="Mini Love"/>
    <s v="x"/>
    <s v="x"/>
    <n v="6800"/>
    <s v="lbm"/>
    <s v="Link"/>
    <e v="#REF!"/>
    <n v="100"/>
    <s v="ct"/>
    <n v="38"/>
    <n v="1"/>
    <m/>
    <n v="100"/>
    <s v=""/>
    <s v=""/>
    <s v=""/>
    <s v=""/>
    <n v="38"/>
    <m/>
    <m/>
    <b v="0"/>
    <b v="1"/>
    <m/>
  </r>
  <r>
    <s v="Johnny's Sunshine"/>
    <x v="7"/>
    <s v="Johnny's"/>
    <s v="Sunshine"/>
    <s v="x"/>
    <s v="x"/>
    <n v="3000"/>
    <s v="lbm"/>
    <s v="Link"/>
    <e v="#REF!"/>
    <n v="100"/>
    <s v="ct"/>
    <n v="22.25"/>
    <n v="1"/>
    <m/>
    <n v="100"/>
    <s v=""/>
    <s v=""/>
    <s v=""/>
    <s v=""/>
    <n v="22.25"/>
    <m/>
    <m/>
    <b v="0"/>
    <b v="1"/>
    <m/>
  </r>
  <r>
    <s v="Johnny's Washington Cherry"/>
    <x v="0"/>
    <s v="Johnny's"/>
    <s v="Washington Cherry"/>
    <s v="x"/>
    <s v="x"/>
    <n v="15250"/>
    <s v="ozm"/>
    <s v="Link"/>
    <e v="#REF!"/>
    <n v="250"/>
    <s v="ct"/>
    <n v="9.0500000000000007"/>
    <n v="1"/>
    <m/>
    <n v="250"/>
    <s v=""/>
    <s v=""/>
    <s v=""/>
    <s v=""/>
    <n v="9.0500000000000007"/>
    <m/>
    <m/>
    <b v="0"/>
    <b v="1"/>
    <m/>
  </r>
  <r>
    <s v="Johnny's Y-Star"/>
    <x v="6"/>
    <s v="Johnny's"/>
    <s v="Y-Star"/>
    <m/>
    <m/>
    <n v="5700"/>
    <s v="lbm"/>
    <s v="Link"/>
    <e v="#REF!"/>
    <m/>
    <m/>
    <m/>
    <n v="1"/>
    <m/>
    <n v="0"/>
    <s v=""/>
    <s v=""/>
    <s v=""/>
    <s v=""/>
    <n v="0"/>
    <s v="Skip"/>
    <m/>
    <b v="0"/>
    <b v="1"/>
    <m/>
  </r>
  <r>
    <s v="Johnny's Zephyr"/>
    <x v="6"/>
    <s v="Johnny's"/>
    <s v="Zephyr"/>
    <m/>
    <m/>
    <n v="4600"/>
    <s v="lbm"/>
    <s v="Link"/>
    <e v="#REF!"/>
    <m/>
    <m/>
    <m/>
    <n v="1"/>
    <m/>
    <n v="0"/>
    <s v=""/>
    <s v=""/>
    <s v=""/>
    <s v=""/>
    <n v="0"/>
    <s v="Skip"/>
    <m/>
    <b v="0"/>
    <b v="0"/>
    <s v="Yes"/>
  </r>
  <r>
    <s v="Osborne Pork Chop"/>
    <x v="0"/>
    <s v="Osborne"/>
    <s v="Pork Chop"/>
    <m/>
    <m/>
    <n v="147000"/>
    <s v="lbm"/>
    <s v="Link"/>
    <e v="#REF!"/>
    <m/>
    <m/>
    <m/>
    <n v="1"/>
    <b v="1"/>
    <n v="0"/>
    <s v=""/>
    <s v=""/>
    <s v=""/>
    <s v=""/>
    <n v="0"/>
    <m/>
    <m/>
    <b v="0"/>
    <b v="1"/>
    <m/>
  </r>
  <r>
    <s v="Osborne Solar Flare"/>
    <x v="0"/>
    <s v="Osborne"/>
    <s v="Solar Flare"/>
    <m/>
    <m/>
    <s v="By Count"/>
    <e v="#N/A"/>
    <s v="Link"/>
    <e v="#REF!"/>
    <m/>
    <m/>
    <m/>
    <n v="1"/>
    <b v="1"/>
    <n v="0"/>
    <s v=""/>
    <s v=""/>
    <s v=""/>
    <s v=""/>
    <n v="0"/>
    <m/>
    <m/>
    <b v="0"/>
    <b v="1"/>
    <m/>
  </r>
  <r>
    <s v="Seed Savers Brandywine"/>
    <x v="0"/>
    <s v="Seed Savers"/>
    <s v="Brandywine"/>
    <m/>
    <m/>
    <n v="0"/>
    <n v="0"/>
    <s v="Link"/>
    <e v="#REF!"/>
    <m/>
    <m/>
    <m/>
    <n v="1"/>
    <b v="1"/>
    <n v="0"/>
    <s v=""/>
    <s v=""/>
    <s v=""/>
    <s v=""/>
    <n v="0"/>
    <m/>
    <m/>
    <b v="0"/>
    <b v="1"/>
    <m/>
  </r>
  <r>
    <s v="Seedway Red Deuce"/>
    <x v="0"/>
    <s v="Seedway"/>
    <s v="Red Deuce"/>
    <s v="x"/>
    <s v="x"/>
    <s v="By Count"/>
    <n v="0"/>
    <s v="Link"/>
    <e v="#REF!"/>
    <n v="100"/>
    <s v="ct"/>
    <n v="15.62"/>
    <n v="1"/>
    <m/>
    <n v="100"/>
    <s v=""/>
    <s v=""/>
    <s v=""/>
    <s v=""/>
    <n v="15.62"/>
    <m/>
    <m/>
    <b v="0"/>
    <b v="0"/>
    <s v="Yes"/>
  </r>
  <r>
    <s v="Siskiyou Yellow Crookneck"/>
    <x v="6"/>
    <s v="Siskiyou"/>
    <s v="Yellow Crookneck"/>
    <m/>
    <m/>
    <n v="250"/>
    <s v="ozm"/>
    <s v="Link"/>
    <e v="#REF!"/>
    <m/>
    <m/>
    <m/>
    <n v="1"/>
    <m/>
    <n v="0"/>
    <s v=""/>
    <s v=""/>
    <s v=""/>
    <s v=""/>
    <n v="0"/>
    <s v="Skip"/>
    <m/>
    <b v="0"/>
    <b v="1"/>
    <m/>
  </r>
  <r>
    <s v="Territorial Early Cherry"/>
    <x v="0"/>
    <s v="Territorial"/>
    <s v="Early Cherry"/>
    <s v="x"/>
    <s v="x"/>
    <n v="300"/>
    <s v="g"/>
    <s v="Link"/>
    <e v="#REF!"/>
    <n v="1"/>
    <s v="g"/>
    <n v="10.95"/>
    <n v="1"/>
    <m/>
    <n v="1"/>
    <s v=""/>
    <s v=""/>
    <s v=""/>
    <s v=""/>
    <n v="10.95"/>
    <m/>
    <m/>
    <b v="0"/>
    <b v="1"/>
    <m/>
  </r>
  <r>
    <s v="Territorial Neon"/>
    <x v="7"/>
    <s v="Territorial"/>
    <s v="Neon"/>
    <s v="x"/>
    <s v="x"/>
    <n v="5"/>
    <s v="g"/>
    <s v="Link"/>
    <e v="#REF!"/>
    <n v="7"/>
    <s v="g"/>
    <n v="8.9499999999999993"/>
    <n v="1"/>
    <m/>
    <n v="7"/>
    <s v=""/>
    <s v=""/>
    <s v=""/>
    <s v=""/>
    <n v="8.9499999999999993"/>
    <s v="Skip"/>
    <m/>
    <b v="0"/>
    <b v="0"/>
    <s v="Yes"/>
  </r>
  <r>
    <s v="Territorial Sunburst"/>
    <x v="6"/>
    <s v="Territorial"/>
    <s v="Sunburst"/>
    <m/>
    <m/>
    <n v="7"/>
    <s v="g"/>
    <s v="Link"/>
    <e v="#REF!"/>
    <n v="7"/>
    <s v="g"/>
    <n v="8.9499999999999993"/>
    <n v="1"/>
    <m/>
    <n v="7"/>
    <s v=""/>
    <s v=""/>
    <s v=""/>
    <s v=""/>
    <n v="8.9499999999999993"/>
    <s v="Skip"/>
    <m/>
    <b v="0"/>
    <b v="0"/>
    <s v="Yes"/>
  </r>
  <r>
    <s v="Tomato Fest Banana Legs"/>
    <x v="0"/>
    <s v="Tomato Fest"/>
    <s v="Banana Legs"/>
    <s v="x"/>
    <s v="x"/>
    <s v="By Count"/>
    <n v="0"/>
    <s v="Link"/>
    <e v="#REF!"/>
    <n v="15"/>
    <s v="ct"/>
    <n v="4.5"/>
    <n v="2"/>
    <m/>
    <n v="30"/>
    <s v=""/>
    <s v=""/>
    <s v=""/>
    <s v=""/>
    <n v="9"/>
    <m/>
    <m/>
    <b v="0"/>
    <b v="1"/>
    <m/>
  </r>
  <r>
    <s v="Tomato Fest Black Sea Man"/>
    <x v="0"/>
    <s v="Tomato Fest"/>
    <s v="Black Sea Man"/>
    <s v="x"/>
    <s v="x"/>
    <s v="By Count"/>
    <n v="0"/>
    <s v="Link"/>
    <e v="#REF!"/>
    <n v="15"/>
    <s v="ct"/>
    <n v="4.5"/>
    <n v="2"/>
    <m/>
    <n v="30"/>
    <s v=""/>
    <s v=""/>
    <s v=""/>
    <s v=""/>
    <n v="9"/>
    <m/>
    <m/>
    <b v="0"/>
    <b v="1"/>
    <m/>
  </r>
  <r>
    <s v="Tomato Fest Cream Sausage"/>
    <x v="0"/>
    <s v="Tomato Fest"/>
    <s v="Cream Sausage"/>
    <s v="x"/>
    <s v="x"/>
    <s v="By Count"/>
    <n v="0"/>
    <s v="Link"/>
    <e v="#REF!"/>
    <n v="15"/>
    <s v="ct"/>
    <n v="4.5"/>
    <n v="2"/>
    <m/>
    <n v="30"/>
    <s v=""/>
    <s v=""/>
    <s v=""/>
    <s v=""/>
    <n v="9"/>
    <m/>
    <m/>
    <b v="0"/>
    <b v="1"/>
    <m/>
  </r>
  <r>
    <s v="Tomato Fest Dwarf Purple Heart"/>
    <x v="0"/>
    <s v="Tomato Fest"/>
    <s v="Dwarf Purple Heart"/>
    <s v="x"/>
    <s v="x"/>
    <s v="By Count"/>
    <n v="0"/>
    <s v="Link"/>
    <e v="#REF!"/>
    <n v="15"/>
    <s v="ct"/>
    <n v="5.5"/>
    <n v="2"/>
    <m/>
    <n v="30"/>
    <s v=""/>
    <s v=""/>
    <s v=""/>
    <s v=""/>
    <n v="11"/>
    <m/>
    <m/>
    <b v="0"/>
    <b v="1"/>
    <m/>
  </r>
  <r>
    <s v="Tomato Fest Sean's Yellow Dwarf"/>
    <x v="0"/>
    <s v="Tomato Fest"/>
    <s v="Sean's Yellow Dwarf"/>
    <s v="x"/>
    <s v="x"/>
    <s v="By Count"/>
    <n v="0"/>
    <s v="Link"/>
    <e v="#REF!"/>
    <n v="15"/>
    <s v="ct"/>
    <n v="4.5"/>
    <n v="2"/>
    <m/>
    <n v="30"/>
    <s v=""/>
    <s v=""/>
    <s v=""/>
    <s v=""/>
    <n v="9"/>
    <m/>
    <m/>
    <b v="0"/>
    <b v="1"/>
    <m/>
  </r>
  <r>
    <s v="Wild Board Farm Dynamite Delight"/>
    <x v="0"/>
    <s v="Wild Board Farm"/>
    <s v="Dynamite Delight"/>
    <s v="x"/>
    <s v="x"/>
    <s v="By Count"/>
    <n v="0"/>
    <s v="Link"/>
    <e v="#REF!"/>
    <n v="15"/>
    <s v="ct"/>
    <n v="5.99"/>
    <n v="1"/>
    <m/>
    <n v="15"/>
    <s v=""/>
    <s v=""/>
    <s v=""/>
    <s v=""/>
    <n v="5.99"/>
    <m/>
    <m/>
    <b v="0"/>
    <b v="0"/>
    <s v="Yes"/>
  </r>
  <r>
    <s v="Wild Board Farm Emerald Flame"/>
    <x v="0"/>
    <s v="Wild Board Farm"/>
    <s v="Emerald Flame"/>
    <s v="x"/>
    <s v="x"/>
    <s v="By Count"/>
    <n v="0"/>
    <s v="Link"/>
    <e v="#REF!"/>
    <n v="15"/>
    <s v="ct"/>
    <n v="5.99"/>
    <n v="1"/>
    <m/>
    <n v="15"/>
    <s v=""/>
    <s v=""/>
    <s v=""/>
    <s v=""/>
    <n v="5.99"/>
    <m/>
    <m/>
    <b v="0"/>
    <b v="0"/>
    <s v="Yes"/>
  </r>
  <r>
    <s v="Wild Board Farm Golden Hour"/>
    <x v="0"/>
    <s v="Wild Board Farm"/>
    <s v="Golden Hour"/>
    <s v="x"/>
    <s v="x"/>
    <s v="By Count"/>
    <n v="0"/>
    <s v="Link"/>
    <e v="#REF!"/>
    <n v="15"/>
    <s v="ct"/>
    <n v="5.99"/>
    <n v="1"/>
    <m/>
    <n v="15"/>
    <s v=""/>
    <s v=""/>
    <s v=""/>
    <s v=""/>
    <n v="5.99"/>
    <m/>
    <m/>
    <b v="0"/>
    <b v="0"/>
    <s v="Yes"/>
  </r>
  <r>
    <s v="Wild Board Farm Limelight"/>
    <x v="0"/>
    <s v="Wild Board Farm"/>
    <s v="Limelight"/>
    <s v="x"/>
    <s v="x"/>
    <s v="By Count"/>
    <n v="0"/>
    <s v="Link"/>
    <e v="#REF!"/>
    <n v="15"/>
    <s v="ct"/>
    <n v="5.99"/>
    <n v="1"/>
    <m/>
    <n v="15"/>
    <s v=""/>
    <s v=""/>
    <s v=""/>
    <s v=""/>
    <n v="5.99"/>
    <m/>
    <m/>
    <b v="0"/>
    <b v="0"/>
    <s v="Yes"/>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9">
  <r>
    <n v="0.2"/>
    <x v="0"/>
    <s v="Amaranth"/>
    <s v="Callaloo"/>
    <s v="Uprising"/>
    <s v="Callaloo Uprising"/>
    <s v="Amaranth_x000a_Callaloo_x000a_Uprising"/>
  </r>
  <r>
    <n v="0.2"/>
    <x v="0"/>
    <s v="Amaranth"/>
    <s v="Emerald Tassels"/>
    <s v="Johnny's"/>
    <s v="Emerald Tassels Johnny's"/>
    <s v="Amaranth_x000a_Emerald Tassels_x000a_Johnny's"/>
  </r>
  <r>
    <n v="0.2"/>
    <x v="0"/>
    <s v="Amaranth"/>
    <s v="Love Lies Bleeding"/>
    <s v="Uprising"/>
    <s v="Love Lies Bleeding Uprising"/>
    <s v="Amaranth_x000a_Love Lies Bleeding_x000a_Uprising"/>
  </r>
  <r>
    <n v="0.2"/>
    <x v="0"/>
    <s v="Amaranth"/>
    <s v="Opopeo"/>
    <s v="Uprising"/>
    <s v="Opopeo Uprising"/>
    <s v="Amaranth_x000a_Opopeo_x000a_Uprising"/>
  </r>
  <r>
    <n v="0.2"/>
    <x v="0"/>
    <s v="Amaranth"/>
    <s v="Red Spike"/>
    <s v="Johnny's"/>
    <s v="Red Spike Johnny's"/>
    <s v="Amaranth_x000a_Red Spike_x000a_Johnny's"/>
  </r>
  <r>
    <n v="0.5"/>
    <x v="1"/>
    <s v="Arugala"/>
    <s v="Esmee"/>
    <s v="Johnny's"/>
    <s v="Esmee Johnny's"/>
    <s v="Arugala_x000a_Esmee_x000a_Johnny's"/>
  </r>
  <r>
    <n v="0.5"/>
    <x v="1"/>
    <s v="Arugala"/>
    <s v="Astro"/>
    <s v="High Mowing"/>
    <s v="Astro High Mowing"/>
    <s v="Arugala_x000a_Astro_x000a_High Mowing"/>
  </r>
  <r>
    <n v="0.5"/>
    <x v="2"/>
    <s v="Atriplex"/>
    <s v="Copper Plume"/>
    <s v="Johnny's"/>
    <s v="Copper Plume Johnny's"/>
    <s v="Atriplex_x000a_Copper Plume_x000a_Johnny's"/>
  </r>
  <r>
    <n v="0.5"/>
    <x v="2"/>
    <s v="Atriplex"/>
    <s v="Orach, Red Flash"/>
    <s v="Adaptive"/>
    <s v="Orach, Red Flash Adaptive"/>
    <s v="Atriplex_x000a_Orach, Red Flash_x000a_Adaptive"/>
  </r>
  <r>
    <n v="0.16666666666666666"/>
    <x v="3"/>
    <s v="Bachellor's Button"/>
    <s v="Black Button"/>
    <s v="Johnny's"/>
    <s v="Black Button Johnny's"/>
    <s v="Bachellor's Button_x000a_Black Button_x000a_Johnny's"/>
  </r>
  <r>
    <n v="0.16666666666666666"/>
    <x v="3"/>
    <s v="Bachellor's Button"/>
    <s v="Blanca"/>
    <s v="Uprising"/>
    <s v="Blanca Uprising"/>
    <s v="Bachellor's Button_x000a_Blanca_x000a_Uprising"/>
  </r>
  <r>
    <n v="0.16666666666666666"/>
    <x v="3"/>
    <s v="Bachellor's Button"/>
    <s v="Classic Magic (purple, black)"/>
    <s v="Johnny's"/>
    <s v="Classic Magic (purple, black) Johnny's"/>
    <s v="Bachellor's Button_x000a_Classic Magic (purple, black)_x000a_Johnny's"/>
  </r>
  <r>
    <n v="0.16666666666666666"/>
    <x v="3"/>
    <s v="Bachellor's Button"/>
    <s v="Classic Romantic (reds, pinks, white)"/>
    <s v="Johnny's"/>
    <s v="Classic Romantic (reds, pinks, white) Johnny's"/>
    <s v="Bachellor's Button_x000a_Classic Romantic (reds, pinks, white)_x000a_Johnny's"/>
  </r>
  <r>
    <n v="0.16666666666666666"/>
    <x v="3"/>
    <s v="Bachellor's Button"/>
    <s v="Polka dot (mix)"/>
    <s v="High Mowing"/>
    <s v="Polka dot (mix) High Mowing"/>
    <s v="Bachellor's Button_x000a_Polka dot (mix)_x000a_High Mowing"/>
  </r>
  <r>
    <n v="0.16666666666666666"/>
    <x v="3"/>
    <s v="Bachellor's Button"/>
    <s v="Tall Boy Blue"/>
    <s v="Johnny's"/>
    <s v="Tall Boy Blue Johnny's"/>
    <s v="Bachellor's Button_x000a_Tall Boy Blue_x000a_Johnny's"/>
  </r>
  <r>
    <n v="0.125"/>
    <x v="4"/>
    <s v="Basil"/>
    <s v="Prospera® Active Thai-Thai F1 Basil"/>
    <s v="Johnny's"/>
    <s v="Prospera® Active Thai-Thai F1 Basil Johnny's"/>
    <s v="Basil_x000a_Prospera® Active Thai-Thai F1 Basil_x000a_Johnny's"/>
  </r>
  <r>
    <n v="0.25"/>
    <x v="4"/>
    <s v="Basil"/>
    <s v="Golden Mountain Sweet Thai"/>
    <s v="Adaptive"/>
    <s v="Golden Mountain Sweet Thai Adaptive"/>
    <s v="Basil_x000a_Golden Mountain Sweet Thai_x000a_Adaptive"/>
  </r>
  <r>
    <n v="0.25"/>
    <x v="4"/>
    <s v="Basil"/>
    <s v="Italian Large Leaf"/>
    <s v="Uprising"/>
    <s v="Italian Large Leaf Uprising"/>
    <s v="Basil_x000a_Italian Large Leaf_x000a_Uprising"/>
  </r>
  <r>
    <n v="0.25"/>
    <x v="4"/>
    <s v="Basil"/>
    <s v="Prospera F1"/>
    <s v="High Mowing"/>
    <s v="Prospera F1 High Mowing"/>
    <s v="Basil_x000a_Prospera F1_x000a_High Mowing"/>
  </r>
  <r>
    <n v="0.125"/>
    <x v="4"/>
    <s v="Basil"/>
    <s v="Zanzico"/>
    <s v="Wild Garden"/>
    <s v="Zanzico Wild Garden"/>
    <s v="Basil_x000a_Zanzico_x000a_Wild Garden"/>
  </r>
  <r>
    <n v="0.2"/>
    <x v="5"/>
    <s v="Bean"/>
    <s v="Marvel of Venice"/>
    <s v="Uprising"/>
    <s v="Marvel of Venice Uprising"/>
    <s v="Bean_x000a_Marvel of Venice_x000a_Uprising"/>
  </r>
  <r>
    <n v="0.2"/>
    <x v="5"/>
    <s v="Bean"/>
    <s v="Fortex"/>
    <s v="Uprising"/>
    <s v="Fortex Uprising"/>
    <s v="Bean_x000a_Fortex_x000a_Uprising"/>
  </r>
  <r>
    <n v="0.2"/>
    <x v="5"/>
    <s v="Bean"/>
    <s v="Northeaster"/>
    <s v="Johnny's"/>
    <s v="Northeaster Johnny's"/>
    <s v="Bean_x000a_Northeaster_x000a_Johnny's"/>
  </r>
  <r>
    <n v="0.2"/>
    <x v="5"/>
    <s v="Bean"/>
    <s v="Dragon Langerie"/>
    <s v="High Mowing"/>
    <s v="Dragon Langerie High Mowing"/>
    <s v="Bean_x000a_Dragon Langerie_x000a_High Mowing"/>
  </r>
  <r>
    <n v="0.2"/>
    <x v="5"/>
    <s v="Bean"/>
    <s v="Rattlesnake"/>
    <s v="High Mowing"/>
    <s v="Rattlesnake High Mowing"/>
    <s v="Bean_x000a_Rattlesnake_x000a_High Mowing"/>
  </r>
  <r>
    <n v="0.33333333333333331"/>
    <x v="6"/>
    <s v="Beet"/>
    <s v="Badger Flame"/>
    <s v="High Mowing"/>
    <s v="Badger Flame High Mowing"/>
    <s v="Beet_x000a_Badger Flame_x000a_High Mowing"/>
  </r>
  <r>
    <n v="0.33333333333333331"/>
    <x v="6"/>
    <s v="Beet"/>
    <s v="Boro F1"/>
    <s v="High Mowing"/>
    <s v="Boro F1 High Mowing"/>
    <s v="Beet_x000a_Boro F1_x000a_High Mowing"/>
  </r>
  <r>
    <n v="0.33333333333333331"/>
    <x v="6"/>
    <s v="Beet"/>
    <s v="Chiogga"/>
    <s v="Adaptive"/>
    <s v="Chiogga Adaptive"/>
    <s v="Beet_x000a_Chiogga_x000a_Adaptive"/>
  </r>
  <r>
    <n v="0.5"/>
    <x v="7"/>
    <s v="Borage"/>
    <s v="Blue"/>
    <s v="Adaptive"/>
    <s v="Blue Adaptive"/>
    <s v="Borage_x000a_Blue_x000a_Adaptive"/>
  </r>
  <r>
    <n v="0.5"/>
    <x v="7"/>
    <s v="Borage"/>
    <s v="White"/>
    <s v="Baker Creek"/>
    <s v="White Baker Creek"/>
    <s v="Borage_x000a_White_x000a_Baker Creek"/>
  </r>
  <r>
    <n v="0.5"/>
    <x v="8"/>
    <s v="Broccoli"/>
    <s v="Montebello"/>
    <s v="Osborne"/>
    <s v="Montebello Osborne"/>
    <s v="Broccoli_x000a_Montebello_x000a_Osborne"/>
  </r>
  <r>
    <n v="0.5"/>
    <x v="8"/>
    <s v="Broccoli"/>
    <s v="Burgundy"/>
    <s v="Johnny's"/>
    <s v="Burgundy Johnny's"/>
    <s v="Broccoli_x000a_Burgundy_x000a_Johnny's"/>
  </r>
  <r>
    <n v="1"/>
    <x v="9"/>
    <s v="Buckwheat"/>
    <s v="Japanese"/>
    <s v="True Leaf"/>
    <s v="Japanese True Leaf"/>
    <s v="Buckwheat_x000a_Japanese_x000a_True Leaf"/>
  </r>
  <r>
    <n v="0.5"/>
    <x v="10"/>
    <s v="Bupleurum"/>
    <s v="Green Gold"/>
    <s v="Uprising"/>
    <s v="Green Gold Uprising"/>
    <s v="Bupleurum_x000a_Green Gold_x000a_Uprising"/>
  </r>
  <r>
    <n v="0.5"/>
    <x v="10"/>
    <s v="Bupleurum"/>
    <s v="Thoroughwax"/>
    <s v="Wild Garden"/>
    <s v="Thoroughwax Wild Garden"/>
    <s v="Bupleurum_x000a_Thoroughwax_x000a_Wild Garden"/>
  </r>
  <r>
    <n v="0.33333333333333331"/>
    <x v="11"/>
    <s v="Butterfly Flower"/>
    <s v="Blue Queen"/>
    <s v="Baker Creek"/>
    <s v="Blue Queen Baker Creek"/>
    <s v="Butterfly Flower_x000a_Blue Queen_x000a_Baker Creek"/>
  </r>
  <r>
    <n v="0.33333333333333331"/>
    <x v="11"/>
    <s v="Butterfly Flower"/>
    <s v="Lavender Queen"/>
    <s v="Baker Creek"/>
    <s v="Lavender Queen Baker Creek"/>
    <s v="Butterfly Flower_x000a_Lavender Queen_x000a_Baker Creek"/>
  </r>
  <r>
    <n v="0.33333333333333331"/>
    <x v="11"/>
    <s v="Butterfly Flower"/>
    <s v="White Queen"/>
    <s v="Baker Creek"/>
    <s v="White Queen Baker Creek"/>
    <s v="Butterfly Flower_x000a_White Queen_x000a_Baker Creek"/>
  </r>
  <r>
    <n v="1"/>
    <x v="12"/>
    <s v="Cabbage"/>
    <s v="Bronco F1"/>
    <s v="High Mowing"/>
    <s v="Bronco F1 High Mowing"/>
    <s v="Cabbage_x000a_Bronco F1_x000a_High Mowing"/>
  </r>
  <r>
    <n v="0.85"/>
    <x v="13"/>
    <s v="Cabbage"/>
    <s v="Deadon F1"/>
    <s v="High Mowing"/>
    <s v="Deadon F1 High Mowing"/>
    <s v="Cabbage_x000a_Deadon F1_x000a_High Mowing"/>
  </r>
  <r>
    <n v="0.05"/>
    <x v="13"/>
    <s v="Cabbage"/>
    <s v="Klimaro F1"/>
    <s v="High Mowing"/>
    <s v="Klimaro F1 High Mowing"/>
    <s v="Cabbage_x000a_Klimaro F1_x000a_High Mowing"/>
  </r>
  <r>
    <n v="0.05"/>
    <x v="13"/>
    <s v="Cabbage"/>
    <s v="Reaction F1"/>
    <s v="High Mowing"/>
    <s v="Reaction F1 High Mowing"/>
    <s v="Cabbage_x000a_Reaction F1_x000a_High Mowing"/>
  </r>
  <r>
    <n v="0.05"/>
    <x v="13"/>
    <s v="Cabbage"/>
    <s v="Stanton F1"/>
    <s v="High Mowing"/>
    <s v="Stanton F1 High Mowing"/>
    <s v="Cabbage_x000a_Stanton F1_x000a_High Mowing"/>
  </r>
  <r>
    <n v="0.5"/>
    <x v="14"/>
    <s v="Cabbage"/>
    <s v="Farao F1"/>
    <s v="High Mowing"/>
    <s v="Farao F1 High Mowing"/>
    <s v="Cabbage_x000a_Farao F1_x000a_High Mowing"/>
  </r>
  <r>
    <n v="0.5"/>
    <x v="14"/>
    <s v="Cabbage"/>
    <s v="Primero F1"/>
    <s v="High Mowing"/>
    <s v="Primero F1 High Mowing"/>
    <s v="Cabbage_x000a_Primero F1_x000a_High Mowing"/>
  </r>
  <r>
    <n v="0.5"/>
    <x v="15"/>
    <s v="Cabbage"/>
    <s v="Piccolima F1"/>
    <s v="Osborne"/>
    <s v="Piccolima F1 Osborne"/>
    <s v="Cabbage_x000a_Piccolima F1_x000a_Osborne"/>
  </r>
  <r>
    <n v="0.5"/>
    <x v="15"/>
    <s v="Cabbage"/>
    <s v="Katarina F1"/>
    <s v="Osborne"/>
    <s v="Katarina F1 Osborne"/>
    <s v="Cabbage_x000a_Katarina F1_x000a_Osborne"/>
  </r>
  <r>
    <n v="0.5"/>
    <x v="16"/>
    <s v="Cabbage"/>
    <s v="Minuet"/>
    <s v="Johnny's"/>
    <s v="Minuet Johnny's"/>
    <s v="Cabbage_x000a_Minuet_x000a_Johnny's"/>
  </r>
  <r>
    <n v="0.5"/>
    <x v="16"/>
    <s v="Cabbage"/>
    <s v="Wa Wa Tsai F1"/>
    <s v="Osborne"/>
    <s v="Wa Wa Tsai F1 Osborne"/>
    <s v="Cabbage_x000a_Wa Wa Tsai F1_x000a_Osborne"/>
  </r>
  <r>
    <n v="0.5"/>
    <x v="17"/>
    <s v="Cabbage"/>
    <s v="Expect F1"/>
    <s v="High Mowing"/>
    <s v="Expect F1 High Mowing"/>
    <s v="Cabbage_x000a_Expect F1_x000a_High Mowing"/>
  </r>
  <r>
    <n v="0.5"/>
    <x v="17"/>
    <s v="Cabbage"/>
    <s v="Passat F1"/>
    <s v="High Mowing"/>
    <s v="Passat F1 High Mowing"/>
    <s v="Cabbage_x000a_Passat F1_x000a_High Mowing"/>
  </r>
  <r>
    <n v="0.33333333333333331"/>
    <x v="18"/>
    <s v="Cabbage - Chinese"/>
    <s v="Bilko F1"/>
    <s v="High Mowing"/>
    <s v="Bilko F1 High Mowing"/>
    <s v="Cabbage - Chinese_x000a_Bilko F1_x000a_High Mowing"/>
  </r>
  <r>
    <n v="0.33333333333333331"/>
    <x v="18"/>
    <s v="Cabbage - Chinese"/>
    <s v="Emiko F1"/>
    <s v="High Mowing"/>
    <s v="Emiko F1 High Mowing"/>
    <s v="Cabbage - Chinese_x000a_Emiko F1_x000a_High Mowing"/>
  </r>
  <r>
    <n v="0.33333333333333331"/>
    <x v="18"/>
    <s v="Cabbage - Chinese"/>
    <s v="Merlot"/>
    <s v="Johnny's"/>
    <s v="Merlot Johnny's"/>
    <s v="Cabbage - Chinese_x000a_Merlot_x000a_Johnny's"/>
  </r>
  <r>
    <n v="0.25"/>
    <x v="19"/>
    <s v="Carrot"/>
    <s v="Yellowstone"/>
    <s v="Johnny's"/>
    <s v="Yellowstone Johnny's"/>
    <s v="Carrot_x000a_Yellowstone_x000a_Johnny's"/>
  </r>
  <r>
    <n v="0.25"/>
    <x v="19"/>
    <s v="Carrot"/>
    <s v="Cosmic Purple"/>
    <s v="High Mowing"/>
    <s v="Cosmic Purple High Mowing"/>
    <s v="Carrot_x000a_Cosmic Purple_x000a_High Mowing"/>
  </r>
  <r>
    <n v="0.25"/>
    <x v="19"/>
    <s v="Carrot"/>
    <s v="Napoli F1"/>
    <s v="Osborne"/>
    <s v="Napoli F1 Osborne"/>
    <s v="Carrot_x000a_Napoli F1_x000a_Osborne"/>
  </r>
  <r>
    <n v="0.25"/>
    <x v="19"/>
    <s v="Carrot"/>
    <s v="Mokum"/>
    <s v="Johnny's"/>
    <s v="Mokum Johnny's"/>
    <s v="Carrot_x000a_Mokum_x000a_Johnny's"/>
  </r>
  <r>
    <n v="0.25"/>
    <x v="20"/>
    <s v="Carrot"/>
    <s v="Bolero F1"/>
    <s v="Johnny's"/>
    <s v="Bolero F1 Johnny's"/>
    <s v="Carrot_x000a_Bolero F1_x000a_Johnny's"/>
  </r>
  <r>
    <n v="0.25"/>
    <x v="20"/>
    <s v="Carrot"/>
    <s v="Bengala F1"/>
    <s v="High Mowing"/>
    <s v="Bengala F1 High Mowing"/>
    <s v="Carrot_x000a_Bengala F1_x000a_High Mowing"/>
  </r>
  <r>
    <n v="0.25"/>
    <x v="20"/>
    <s v="Carrot"/>
    <s v="Dolciva F1"/>
    <s v="High Mowing"/>
    <s v="Dolciva F1 High Mowing"/>
    <s v="Carrot_x000a_Dolciva F1_x000a_High Mowing"/>
  </r>
  <r>
    <n v="0.25"/>
    <x v="20"/>
    <s v="Carrot"/>
    <s v="Narvik"/>
    <s v="High Mowing"/>
    <s v="Narvik High Mowing"/>
    <s v="Carrot_x000a_Narvik_x000a_High Mowing"/>
  </r>
  <r>
    <n v="0.5"/>
    <x v="21"/>
    <s v="Cauliflower"/>
    <s v="Tessaury F1"/>
    <s v="Johnny's"/>
    <s v="Tessaury F1 Johnny's"/>
    <s v="Cauliflower_x000a_Tessaury F1_x000a_Johnny's"/>
  </r>
  <r>
    <n v="0.5"/>
    <x v="21"/>
    <s v="Cauliflower"/>
    <s v="Skywalker F1"/>
    <s v="Johnny's"/>
    <s v="Skywalker F1 Johnny's"/>
    <s v="Cauliflower_x000a_Skywalker F1_x000a_Johnny's"/>
  </r>
  <r>
    <n v="0.33333333333333331"/>
    <x v="22"/>
    <s v="Celery"/>
    <s v="Merrengo F1 - Pelleted"/>
    <s v="High Mowing"/>
    <s v="Merrengo F1 - Pelleted High Mowing"/>
    <s v="Celery_x000a_Merrengo F1 - Pelleted_x000a_High Mowing"/>
  </r>
  <r>
    <n v="0.33333333333333331"/>
    <x v="22"/>
    <s v="Celery"/>
    <s v="Tango"/>
    <s v="High Mowing"/>
    <s v="Tango High Mowing"/>
    <s v="Celery_x000a_Tango_x000a_High Mowing"/>
  </r>
  <r>
    <n v="0.33333333333333331"/>
    <x v="22"/>
    <s v="Celery"/>
    <s v="Ventura"/>
    <s v="Adaptive"/>
    <s v="Ventura Adaptive"/>
    <s v="Celery_x000a_Ventura_x000a_Adaptive"/>
  </r>
  <r>
    <n v="0.33333333333333331"/>
    <x v="23"/>
    <s v="Celosia"/>
    <s v="Flamingo Purple"/>
    <s v="Johnny's"/>
    <s v="Flamingo Purple Johnny's"/>
    <s v="Celosia_x000a_Flamingo Purple_x000a_Johnny's"/>
  </r>
  <r>
    <n v="0.33333333333333331"/>
    <x v="23"/>
    <s v="Celosia"/>
    <s v="Pampas Plume"/>
    <s v="Wild Garden"/>
    <s v="Pampas Plume Wild Garden"/>
    <s v="Celosia_x000a_Pampas Plume_x000a_Wild Garden"/>
  </r>
  <r>
    <n v="0.33333333333333331"/>
    <x v="23"/>
    <s v="Celosia"/>
    <s v="Sunday Mix"/>
    <s v="Johnny's"/>
    <s v="Sunday Mix Johnny's"/>
    <s v="Celosia_x000a_Sunday Mix_x000a_Johnny's"/>
  </r>
  <r>
    <n v="0.5"/>
    <x v="24"/>
    <s v="Cilantro"/>
    <s v="Cruiser"/>
    <s v="High Mowing"/>
    <s v="Cruiser High Mowing"/>
    <s v="Cilantro_x000a_Cruiser_x000a_High Mowing"/>
  </r>
  <r>
    <n v="0.25"/>
    <x v="24"/>
    <s v="Cilantro"/>
    <s v="Pokey Joe"/>
    <s v="Uprising"/>
    <s v="Pokey Joe Uprising"/>
    <s v="Cilantro_x000a_Pokey Joe_x000a_Uprising"/>
  </r>
  <r>
    <n v="0.25"/>
    <x v="24"/>
    <s v="Cilantro"/>
    <s v="Calypso"/>
    <s v="Johnny's"/>
    <s v="Calypso Johnny's"/>
    <s v="Cilantro_x000a_Calypso_x000a_Johnny's"/>
  </r>
  <r>
    <n v="0.5"/>
    <x v="25"/>
    <s v="Corn"/>
    <s v="Enchanted F1"/>
    <s v="High Mowing"/>
    <s v="Enchanted F1 High Mowing"/>
    <s v="Corn_x000a_Enchanted F1_x000a_High Mowing"/>
  </r>
  <r>
    <n v="0.5"/>
    <x v="25"/>
    <s v="Corn"/>
    <s v="New Mama Super Sweet"/>
    <s v="Adaptive"/>
    <s v="New Mama Super Sweet Adaptive"/>
    <s v="Corn_x000a_New Mama Super Sweet_x000a_Adaptive"/>
  </r>
  <r>
    <n v="0.5"/>
    <x v="26"/>
    <s v="Corn Salad"/>
    <s v="Gelber Nüssler"/>
    <s v="Adaptive"/>
    <s v="Gelber Nüssler Adaptive"/>
    <s v="Corn Salad_x000a_Gelber Nüssler_x000a_Adaptive"/>
  </r>
  <r>
    <n v="0.25"/>
    <x v="26"/>
    <s v="Corn Salad"/>
    <s v="Piedmont"/>
    <s v="Adaptive"/>
    <s v="Piedmont Adaptive"/>
    <s v="Corn Salad_x000a_Piedmont_x000a_Adaptive"/>
  </r>
  <r>
    <n v="0.25"/>
    <x v="26"/>
    <s v="Corn Salad"/>
    <s v="Vit Mache"/>
    <s v="High Mowing"/>
    <s v="Vit Mache High Mowing"/>
    <s v="Corn Salad_x000a_Vit Mache_x000a_High Mowing"/>
  </r>
  <r>
    <n v="0.25"/>
    <x v="27"/>
    <s v="Cosmos"/>
    <s v="Apricotta"/>
    <s v="Wild Garden"/>
    <s v="Apricotta Wild Garden"/>
    <s v="Cosmos_x000a_Apricotta_x000a_Wild Garden"/>
  </r>
  <r>
    <n v="0.25"/>
    <x v="27"/>
    <s v="Cosmos"/>
    <s v="Bicolor Violet"/>
    <s v="Wild Garden"/>
    <s v="Bicolor Violet Wild Garden"/>
    <s v="Cosmos_x000a_Bicolor Violet_x000a_Wild Garden"/>
  </r>
  <r>
    <n v="0.25"/>
    <x v="27"/>
    <s v="Cosmos"/>
    <s v="Daydream"/>
    <s v="Adaptive"/>
    <s v="Daydream Adaptive"/>
    <s v="Cosmos_x000a_Daydream_x000a_Adaptive"/>
  </r>
  <r>
    <n v="0.25"/>
    <x v="27"/>
    <s v="Cosmos"/>
    <s v="Double click Snowpuff"/>
    <s v="Wild Garden"/>
    <s v="Double click Snowpuff Wild Garden"/>
    <s v="Cosmos_x000a_Double click Snowpuff_x000a_Wild Garden"/>
  </r>
  <r>
    <n v="0.25"/>
    <x v="28"/>
    <s v="Cress"/>
    <s v="Persian Broadleaf"/>
    <s v="Wild Garden"/>
    <s v="Persian Broadleaf Wild Garden"/>
    <s v="Cress_x000a_Persian Broadleaf_x000a_Wild Garden"/>
  </r>
  <r>
    <n v="0.75"/>
    <x v="28"/>
    <s v="Cress"/>
    <s v="Persian Cress"/>
    <s v="Johnny's"/>
    <s v="Persian Cress Johnny's"/>
    <s v="Cress_x000a_Persian Cress_x000a_Johnny's"/>
  </r>
  <r>
    <n v="0.75"/>
    <x v="29"/>
    <s v="Cucumber"/>
    <s v="Tasty Green"/>
    <s v="High Mowing"/>
    <s v="Tasty Green High Mowing"/>
    <s v="Cucumber_x000a_Tasty Green_x000a_High Mowing"/>
  </r>
  <r>
    <n v="0.25"/>
    <x v="29"/>
    <s v="Cucumber"/>
    <s v="Shintokiwa"/>
    <s v="High Mowing"/>
    <s v="Shintokiwa High Mowing"/>
    <s v="Cucumber_x000a_Shintokiwa_x000a_High Mowing"/>
  </r>
  <r>
    <n v="0.5"/>
    <x v="30"/>
    <s v="Cucumber"/>
    <s v="Manny"/>
    <s v="High Mowing"/>
    <s v="Manny High Mowing"/>
    <s v="Cucumber_x000a_Manny_x000a_High Mowing"/>
  </r>
  <r>
    <n v="0.5"/>
    <x v="30"/>
    <s v="Cucumber"/>
    <s v="Katrina"/>
    <s v="Osborne"/>
    <s v="Katrina Osborne"/>
    <s v="Cucumber_x000a_Katrina_x000a_Osborne"/>
  </r>
  <r>
    <n v="0.75"/>
    <x v="31"/>
    <s v="Cucumber"/>
    <s v="Marketmore"/>
    <s v="High Mowing"/>
    <s v="Marketmore High Mowing"/>
    <s v="Cucumber_x000a_Marketmore_x000a_High Mowing"/>
  </r>
  <r>
    <n v="0.25"/>
    <x v="31"/>
    <s v="Cucumber"/>
    <s v="Corinto"/>
    <s v="Johnny's"/>
    <s v="Corinto Johnny's"/>
    <s v="Cucumber_x000a_Corinto_x000a_Johnny's"/>
  </r>
  <r>
    <n v="1"/>
    <x v="32"/>
    <s v="Dahlias"/>
    <s v="Star Gazer"/>
    <s v="Wild Garden"/>
    <s v="Star Gazer Wild Garden"/>
    <s v="Dahlias_x000a_Star Gazer_x000a_Wild Garden"/>
  </r>
  <r>
    <n v="0.25"/>
    <x v="33"/>
    <s v="Dianthus"/>
    <s v="Hollandia Purple Crown Mix"/>
    <s v="Adaptive"/>
    <s v="Hollandia Purple Crown Mix Adaptive"/>
    <s v="Dianthus_x000a_Hollandia Purple Crown Mix_x000a_Adaptive"/>
  </r>
  <r>
    <n v="0.25"/>
    <x v="33"/>
    <s v="Dianthus"/>
    <s v="Spooky Mix"/>
    <s v="Baker Creek"/>
    <s v="Spooky Mix Baker Creek"/>
    <s v="Dianthus_x000a_Spooky Mix_x000a_Baker Creek"/>
  </r>
  <r>
    <n v="0.25"/>
    <x v="33"/>
    <s v="Dianthus"/>
    <s v="Velvet 'n Lace'"/>
    <s v="Wild Garden"/>
    <s v="Velvet 'n Lace' Wild Garden"/>
    <s v="Dianthus_x000a_Velvet 'n Lace'_x000a_Wild Garden"/>
  </r>
  <r>
    <n v="0.25"/>
    <x v="33"/>
    <s v="Dianthus"/>
    <s v="Volcano Mix"/>
    <s v="Johnny's"/>
    <s v="Volcano Mix Johnny's"/>
    <s v="Dianthus_x000a_Volcano Mix_x000a_Johnny's"/>
  </r>
  <r>
    <n v="0.25"/>
    <x v="34"/>
    <s v="Dill"/>
    <s v="Thalia OG"/>
    <s v="Johnny's"/>
    <s v="Thalia OG Johnny's"/>
    <s v="Dill_x000a_Thalia OG_x000a_Johnny's"/>
  </r>
  <r>
    <n v="0.25"/>
    <x v="34"/>
    <s v="Dill"/>
    <s v="Bouquet OG"/>
    <s v="Osborne"/>
    <s v="Bouquet OG Osborne"/>
    <s v="Dill_x000a_Bouquet OG_x000a_Osborne"/>
  </r>
  <r>
    <n v="0.25"/>
    <x v="34"/>
    <s v="Dill"/>
    <s v="Ambrosia"/>
    <s v="Adaptive"/>
    <s v="Ambrosia Adaptive"/>
    <s v="Dill_x000a_Ambrosia_x000a_Adaptive"/>
  </r>
  <r>
    <n v="0.25"/>
    <x v="34"/>
    <s v="Dill"/>
    <s v="Green Sleeves"/>
    <s v="High Mowing"/>
    <s v="Green Sleeves High Mowing"/>
    <s v="Dill_x000a_Green Sleeves_x000a_High Mowing"/>
  </r>
  <r>
    <n v="0.5"/>
    <x v="35"/>
    <s v="Dill"/>
    <s v="Green Mist"/>
    <s v="Wild Garden"/>
    <s v="Green Mist Wild Garden"/>
    <s v="Dill_x000a_Green Mist_x000a_Wild Garden"/>
  </r>
  <r>
    <n v="0.5"/>
    <x v="35"/>
    <s v="Dill"/>
    <s v="White Dill"/>
    <s v="Wild Garden"/>
    <s v="White Dill Wild Garden"/>
    <s v="Dill_x000a_White Dill_x000a_Wild Garden"/>
  </r>
  <r>
    <n v="0.5"/>
    <x v="36"/>
    <s v="Eggplant"/>
    <s v="Annina F1"/>
    <s v="High Mowing"/>
    <s v="Annina F1 High Mowing"/>
    <s v="Eggplant_x000a_Annina F1_x000a_High Mowing"/>
  </r>
  <r>
    <n v="0.25"/>
    <x v="36"/>
    <s v="Eggplant"/>
    <s v="Poamoho Dark Long"/>
    <s v="Adaptive"/>
    <s v="Poamoho Dark Long Adaptive"/>
    <s v="Eggplant_x000a_Poamoho Dark Long_x000a_Adaptive"/>
  </r>
  <r>
    <n v="0.25"/>
    <x v="36"/>
    <s v="Eggplant"/>
    <s v="Traviata F1"/>
    <s v="Johnny's"/>
    <s v="Traviata F1 Johnny's"/>
    <s v="Eggplant_x000a_Traviata F1_x000a_Johnny's"/>
  </r>
  <r>
    <n v="1"/>
    <x v="37"/>
    <s v="Everlasting"/>
    <s v="Winged Everlasting"/>
    <s v="Adaptive"/>
    <s v="Winged Everlasting Adaptive"/>
    <s v="Everlasting_x000a_Winged Everlasting_x000a_Adaptive"/>
  </r>
  <r>
    <n v="1"/>
    <x v="38"/>
    <s v="Fava Beans"/>
    <s v="Aquadulce"/>
    <s v="Sustainable Seed Company"/>
    <s v="Aquadulce Sustainable Seed Company"/>
    <s v="Fava Beans_x000a_Aquadulce_x000a_Sustainable Seed Company"/>
  </r>
  <r>
    <n v="0.25"/>
    <x v="39"/>
    <s v="Fennel "/>
    <s v="Perfection"/>
    <s v="Wild Garden"/>
    <s v="Perfection Wild Garden"/>
    <s v="Fennel _x000a_Perfection_x000a_Wild Garden"/>
  </r>
  <r>
    <n v="0.75"/>
    <x v="39"/>
    <s v="Fennel "/>
    <s v="Solaris F1"/>
    <s v="High Mowing"/>
    <s v="Solaris F1 High Mowing"/>
    <s v="Fennel _x000a_Solaris F1_x000a_High Mowing"/>
  </r>
  <r>
    <n v="1"/>
    <x v="40"/>
    <s v="Flax"/>
    <s v="Foster"/>
    <s v="Adaptive"/>
    <s v="Foster Adaptive"/>
    <s v="Flax_x000a_Foster_x000a_Adaptive"/>
  </r>
  <r>
    <n v="1"/>
    <x v="41"/>
    <s v="Garlic"/>
    <s v="TBD"/>
    <m/>
    <s v="TBD "/>
    <s v="Garlic_x000a_TBD_x000a_"/>
  </r>
  <r>
    <n v="1"/>
    <x v="42"/>
    <s v="Garlic"/>
    <s v="TBD"/>
    <m/>
    <s v="TBD "/>
    <s v="Garlic_x000a_TBD_x000a_"/>
  </r>
  <r>
    <n v="0.5"/>
    <x v="43"/>
    <s v="Ground Cherry"/>
    <s v="AUNT MOLLY'S"/>
    <s v="Uprising"/>
    <s v="AUNT MOLLY'S Uprising"/>
    <s v="Ground Cherry_x000a_AUNT MOLLY'S_x000a_Uprising"/>
  </r>
  <r>
    <n v="0.5"/>
    <x v="43"/>
    <s v="Ground Cherry"/>
    <s v="Peruvian"/>
    <s v="Garden Hoard"/>
    <s v="Peruvian Garden Hoard"/>
    <s v="Ground Cherry_x000a_Peruvian_x000a_Garden Hoard"/>
  </r>
  <r>
    <n v="1"/>
    <x v="44"/>
    <s v="Hibiscus"/>
    <s v="Mahogany Splendor"/>
    <s v="Johnny's"/>
    <s v="Mahogany Splendor Johnny's"/>
    <s v="Hibiscus_x000a_Mahogany Splendor_x000a_Johnny's"/>
  </r>
  <r>
    <n v="0.25"/>
    <x v="45"/>
    <s v="Kale"/>
    <s v="Arun F1"/>
    <s v="High Mowing"/>
    <s v="Arun F1 High Mowing"/>
    <s v="Kale_x000a_Arun F1_x000a_High Mowing"/>
  </r>
  <r>
    <n v="0.25"/>
    <x v="45"/>
    <s v="Kale"/>
    <s v="Red Russian"/>
    <s v="High Mowing"/>
    <s v="Red Russian High Mowing"/>
    <s v="Kale_x000a_Red Russian_x000a_High Mowing"/>
  </r>
  <r>
    <n v="0.25"/>
    <x v="45"/>
    <s v="Kale"/>
    <s v="White Russian"/>
    <s v="High Mowing"/>
    <s v="White Russian High Mowing"/>
    <s v="Kale_x000a_White Russian_x000a_High Mowing"/>
  </r>
  <r>
    <n v="0.25"/>
    <x v="45"/>
    <s v="Kale"/>
    <s v="Dazzling Blue"/>
    <s v="High Mowing"/>
    <s v="Dazzling Blue High Mowing"/>
    <s v="Kale_x000a_Dazzling Blue_x000a_High Mowing"/>
  </r>
  <r>
    <n v="0.33333333333333331"/>
    <x v="46"/>
    <s v="Kale"/>
    <s v="Black Jack F1"/>
    <s v="High Mowing"/>
    <s v="Black Jack F1 High Mowing"/>
    <s v="Kale_x000a_Black Jack F1_x000a_High Mowing"/>
  </r>
  <r>
    <n v="0.33333333333333331"/>
    <x v="46"/>
    <s v="Kale"/>
    <s v="Dazzling Blue"/>
    <s v="High Mowing"/>
    <s v="Dazzling Blue High Mowing"/>
    <s v="Kale_x000a_Dazzling Blue_x000a_High Mowing"/>
  </r>
  <r>
    <n v="0.33333333333333331"/>
    <x v="46"/>
    <s v="Kale"/>
    <s v="Red Russian"/>
    <s v="High Mowing"/>
    <s v="Red Russian High Mowing"/>
    <s v="Kale_x000a_Red Russian_x000a_High Mowing"/>
  </r>
  <r>
    <n v="0.5"/>
    <x v="47"/>
    <s v="Kholrabi"/>
    <s v="Kolibri F1"/>
    <s v="Johnny's"/>
    <s v="Kolibri F1 Johnny's"/>
    <s v="Kholrabi_x000a_Kolibri F1_x000a_Johnny's"/>
  </r>
  <r>
    <n v="0.5"/>
    <x v="47"/>
    <s v="Kholrabi"/>
    <s v="Konan F1"/>
    <s v="Johnny's"/>
    <s v="Konan F1 Johnny's"/>
    <s v="Kholrabi_x000a_Konan F1_x000a_Johnny's"/>
  </r>
  <r>
    <n v="0.25"/>
    <x v="48"/>
    <s v="Komatsuna"/>
    <s v="Carlton F1"/>
    <s v="Johnny's"/>
    <s v="Carlton F1 Johnny's"/>
    <s v="Komatsuna_x000a_Carlton F1_x000a_Johnny's"/>
  </r>
  <r>
    <n v="0.25"/>
    <x v="48"/>
    <s v="Komatsuna"/>
    <s v="Komatsuna"/>
    <s v="High Mowing"/>
    <s v="Komatsuna High Mowing"/>
    <s v="Komatsuna_x000a_Komatsuna_x000a_High Mowing"/>
  </r>
  <r>
    <n v="0.33333333333333331"/>
    <x v="49"/>
    <s v="Leek"/>
    <s v="King Richard"/>
    <s v="Johnny's"/>
    <s v="King Richard Johnny's"/>
    <s v="Leek_x000a_King Richard_x000a_Johnny's"/>
  </r>
  <r>
    <n v="0.33333333333333331"/>
    <x v="49"/>
    <s v="Leek"/>
    <s v="Lancia"/>
    <s v="Osborne"/>
    <s v="Lancia Osborne"/>
    <s v="Leek_x000a_Lancia_x000a_Osborne"/>
  </r>
  <r>
    <n v="0.33333333333333331"/>
    <x v="49"/>
    <s v="Leek"/>
    <s v="Chinook OG"/>
    <s v="Territorial"/>
    <s v="Chinook OG Territorial"/>
    <s v="Leek_x000a_Chinook OG_x000a_Territorial"/>
  </r>
  <r>
    <n v="0.2"/>
    <x v="50"/>
    <s v="Lettuce"/>
    <s v="Brown Goldring"/>
    <s v="Wild Garden"/>
    <s v="Brown Goldring Wild Garden"/>
    <s v="Lettuce_x000a_Brown Goldring_x000a_Wild Garden"/>
  </r>
  <r>
    <n v="0.2"/>
    <x v="50"/>
    <s v="Lettuce"/>
    <s v="Merlox Red Oak"/>
    <s v="Fedco"/>
    <s v="Merlox Red Oak Fedco"/>
    <s v="Lettuce_x000a_Merlox Red Oak_x000a_Fedco"/>
  </r>
  <r>
    <n v="0.2"/>
    <x v="50"/>
    <s v="Lettuce"/>
    <s v="Rouge D'Hiver"/>
    <s v="High Mowing"/>
    <s v="Rouge D'Hiver High Mowing"/>
    <s v="Lettuce_x000a_Rouge D'Hiver_x000a_High Mowing"/>
  </r>
  <r>
    <n v="0.2"/>
    <x v="50"/>
    <s v="Lettuce"/>
    <s v="Truchas - Pelleted"/>
    <s v="Osborne"/>
    <s v="Truchas - Pelleted Osborne"/>
    <s v="Lettuce_x000a_Truchas - Pelleted_x000a_Osborne"/>
  </r>
  <r>
    <n v="0.2"/>
    <x v="50"/>
    <s v="Lettuce"/>
    <s v="Xalbadora"/>
    <s v="Johnny's"/>
    <s v="Xalbadora Johnny's"/>
    <s v="Lettuce_x000a_Xalbadora_x000a_Johnny's"/>
  </r>
  <r>
    <n v="0.16666666666666666"/>
    <x v="51"/>
    <s v="Lettuce"/>
    <s v="Bauer"/>
    <s v="Johnny's"/>
    <s v="Bauer Johnny's"/>
    <s v="Lettuce_x000a_Bauer_x000a_Johnny's"/>
  </r>
  <r>
    <n v="0.16666666666666666"/>
    <x v="51"/>
    <s v="Lettuce"/>
    <s v="Brown Goldring"/>
    <s v="Wild Garden"/>
    <s v="Brown Goldring Wild Garden"/>
    <s v="Lettuce_x000a_Brown Goldring_x000a_Wild Garden"/>
  </r>
  <r>
    <n v="0.16666666666666666"/>
    <x v="51"/>
    <s v="Lettuce"/>
    <s v="Jester"/>
    <s v="Wild Garden"/>
    <s v="Jester Wild Garden"/>
    <s v="Lettuce_x000a_Jester_x000a_Wild Garden"/>
  </r>
  <r>
    <n v="0.16666666666666666"/>
    <x v="51"/>
    <s v="Lettuce"/>
    <s v="Lovelock"/>
    <s v="High Mowing"/>
    <s v="Lovelock High Mowing"/>
    <s v="Lettuce_x000a_Lovelock_x000a_High Mowing"/>
  </r>
  <r>
    <n v="0.16666666666666666"/>
    <x v="51"/>
    <s v="Lettuce"/>
    <s v="Red Sweet Crisp"/>
    <s v="Johnny's"/>
    <s v="Red Sweet Crisp Johnny's"/>
    <s v="Lettuce_x000a_Red Sweet Crisp_x000a_Johnny's"/>
  </r>
  <r>
    <n v="0.16666666666666666"/>
    <x v="51"/>
    <s v="Lettuce"/>
    <s v="Rouge D'Hiver"/>
    <s v="High Mowing"/>
    <s v="Rouge D'Hiver High Mowing"/>
    <s v="Lettuce_x000a_Rouge D'Hiver_x000a_High Mowing"/>
  </r>
  <r>
    <n v="0.2"/>
    <x v="52"/>
    <s v="Lettuce"/>
    <s v="Jester"/>
    <s v="Wild Garden"/>
    <s v="Jester Wild Garden"/>
    <s v="Lettuce_x000a_Jester_x000a_Wild Garden"/>
  </r>
  <r>
    <n v="0.2"/>
    <x v="52"/>
    <s v="Lettuce"/>
    <s v="Rouge D'Hiver"/>
    <s v="High Mowing"/>
    <s v="Rouge D'Hiver High Mowing"/>
    <s v="Lettuce_x000a_Rouge D'Hiver_x000a_High Mowing"/>
  </r>
  <r>
    <n v="0.2"/>
    <x v="52"/>
    <s v="Lettuce"/>
    <s v="Brown Goldring"/>
    <s v="Wild Garden"/>
    <s v="Brown Goldring Wild Garden"/>
    <s v="Lettuce_x000a_Brown Goldring_x000a_Wild Garden"/>
  </r>
  <r>
    <n v="0.2"/>
    <x v="52"/>
    <s v="Lettuce"/>
    <s v="Truchas - Pelleted"/>
    <s v="Osborne"/>
    <s v="Truchas - Pelleted Osborne"/>
    <s v="Lettuce_x000a_Truchas - Pelleted_x000a_Osborne"/>
  </r>
  <r>
    <n v="0.2"/>
    <x v="52"/>
    <s v="Lettuce"/>
    <s v="Xalbadora"/>
    <s v="Johnny's"/>
    <s v="Xalbadora Johnny's"/>
    <s v="Lettuce_x000a_Xalbadora_x000a_Johnny's"/>
  </r>
  <r>
    <n v="0.33333333333333331"/>
    <x v="53"/>
    <s v="Lettuce"/>
    <s v="Salanova Red Oak Leaf"/>
    <s v="Johnny's"/>
    <s v="Salanova Red Oak Leaf Johnny's"/>
    <s v="Lettuce_x000a_Salanova Red Oak Leaf_x000a_Johnny's"/>
  </r>
  <r>
    <n v="0.33333333333333331"/>
    <x v="53"/>
    <s v="Lettuce"/>
    <s v="Truchas - Pelleted"/>
    <s v="Osborne"/>
    <s v="Truchas - Pelleted Osborne"/>
    <s v="Lettuce_x000a_Truchas - Pelleted_x000a_Osborne"/>
  </r>
  <r>
    <n v="0.33333333333333331"/>
    <x v="53"/>
    <s v="Lettuce"/>
    <s v="Xalbadora"/>
    <s v="Johnny's"/>
    <s v="Xalbadora Johnny's"/>
    <s v="Lettuce_x000a_Xalbadora_x000a_Johnny's"/>
  </r>
  <r>
    <n v="0.33333333333333331"/>
    <x v="54"/>
    <s v="Lettuce"/>
    <s v="Bauer"/>
    <s v="Johnny's"/>
    <s v="Bauer Johnny's"/>
    <s v="Lettuce_x000a_Bauer_x000a_Johnny's"/>
  </r>
  <r>
    <n v="0.33333333333333331"/>
    <x v="54"/>
    <s v="Lettuce"/>
    <s v="Lovelock"/>
    <s v="High Mowing"/>
    <s v="Lovelock High Mowing"/>
    <s v="Lettuce_x000a_Lovelock_x000a_High Mowing"/>
  </r>
  <r>
    <n v="0.33333333333333331"/>
    <x v="54"/>
    <s v="Lettuce"/>
    <s v="Muir"/>
    <s v="Johnny's"/>
    <s v="Muir Johnny's"/>
    <s v="Lettuce_x000a_Muir_x000a_Johnny's"/>
  </r>
  <r>
    <n v="0.16666666666666666"/>
    <x v="55"/>
    <s v="Lettuce"/>
    <s v="Bauer"/>
    <s v="Johnny's"/>
    <s v="Bauer Johnny's"/>
    <s v="Lettuce_x000a_Bauer_x000a_Johnny's"/>
  </r>
  <r>
    <n v="0.16666666666666666"/>
    <x v="55"/>
    <s v="Lettuce"/>
    <s v="Lovelock"/>
    <s v="High Mowing"/>
    <s v="Lovelock High Mowing"/>
    <s v="Lettuce_x000a_Lovelock_x000a_High Mowing"/>
  </r>
  <r>
    <n v="0.16666666666666666"/>
    <x v="55"/>
    <s v="Lettuce"/>
    <s v="Muir"/>
    <s v="Johnny's"/>
    <s v="Muir Johnny's"/>
    <s v="Lettuce_x000a_Muir_x000a_Johnny's"/>
  </r>
  <r>
    <n v="0.16666666666666666"/>
    <x v="55"/>
    <s v="Lettuce"/>
    <s v="Summertime"/>
    <s v="Uprising"/>
    <s v="Summertime Uprising"/>
    <s v="Lettuce_x000a_Summertime_x000a_Uprising"/>
  </r>
  <r>
    <n v="0.16666666666666666"/>
    <x v="55"/>
    <s v="Lettuce"/>
    <s v="Truchas - Pelleted"/>
    <s v="Osborne"/>
    <s v="Truchas - Pelleted Osborne"/>
    <s v="Lettuce_x000a_Truchas - Pelleted_x000a_Osborne"/>
  </r>
  <r>
    <n v="0.16666666666666666"/>
    <x v="55"/>
    <s v="Lettuce"/>
    <s v="Xalbadora"/>
    <s v="Johnny's"/>
    <s v="Xalbadora Johnny's"/>
    <s v="Lettuce_x000a_Xalbadora_x000a_Johnny's"/>
  </r>
  <r>
    <n v="0.5"/>
    <x v="56"/>
    <s v="Lettuce"/>
    <s v="Green Sweet Crisp"/>
    <s v="Johnny's"/>
    <s v="Green Sweet Crisp Johnny's"/>
    <s v="Lettuce_x000a_Green Sweet Crisp_x000a_Johnny's"/>
  </r>
  <r>
    <n v="0.25"/>
    <x v="56"/>
    <s v="Lettuce"/>
    <s v="Intercut"/>
    <s v="Johnny's"/>
    <s v="Intercut Johnny's"/>
    <s v="Lettuce_x000a_Intercut_x000a_Johnny's"/>
  </r>
  <r>
    <n v="0.125"/>
    <x v="56"/>
    <s v="Lettuce"/>
    <s v="Red Sweet Crisp"/>
    <s v="Johnny's"/>
    <s v="Red Sweet Crisp Johnny's"/>
    <s v="Lettuce_x000a_Red Sweet Crisp_x000a_Johnny's"/>
  </r>
  <r>
    <n v="0.125"/>
    <x v="56"/>
    <s v="Lettuce"/>
    <s v="Salanova Red Oak Leaf"/>
    <s v="Johnny's"/>
    <s v="Salanova Red Oak Leaf Johnny's"/>
    <s v="Lettuce_x000a_Salanova Red Oak Leaf_x000a_Johnny's"/>
  </r>
  <r>
    <n v="1"/>
    <x v="57"/>
    <s v="Magenta Spreen"/>
    <s v="Magenta Spreen"/>
    <s v="Adaptive"/>
    <s v="Magenta Spreen Adaptive"/>
    <s v="Magenta Spreen_x000a_Magenta Spreen_x000a_Adaptive"/>
  </r>
  <r>
    <n v="0.33333333333333331"/>
    <x v="58"/>
    <s v="Malabar Spinach Mix"/>
    <s v="Big Round Leaf"/>
    <s v="Kitazawa"/>
    <s v="Big Round Leaf Kitazawa"/>
    <s v="Malabar Spinach Mix_x000a_Big Round Leaf_x000a_Kitazawa"/>
  </r>
  <r>
    <n v="0.33333333333333331"/>
    <x v="58"/>
    <s v="Malabar Spinach Mix"/>
    <s v="Green Vines Supreme"/>
    <s v="Kitazawa"/>
    <s v="Green Vines Supreme Kitazawa"/>
    <s v="Malabar Spinach Mix_x000a_Green Vines Supreme_x000a_Kitazawa"/>
  </r>
  <r>
    <n v="0.33333333333333331"/>
    <x v="58"/>
    <s v="Malabar Spinach Mix"/>
    <s v="Red Malabar Spinach"/>
    <s v="Strictly Medicinal"/>
    <s v="Red Malabar Spinach Strictly Medicinal"/>
    <s v="Malabar Spinach Mix_x000a_Red Malabar Spinach_x000a_Strictly Medicinal"/>
  </r>
  <r>
    <n v="0.33333333333333331"/>
    <x v="59"/>
    <s v="Marigold"/>
    <s v="Coco Gold F1"/>
    <s v="Johnny's"/>
    <s v="Coco Gold F1 Johnny's"/>
    <s v="Marigold_x000a_Coco Gold F1_x000a_Johnny's"/>
  </r>
  <r>
    <n v="0.33333333333333331"/>
    <x v="59"/>
    <s v="Marigold"/>
    <s v="Giant Orange"/>
    <s v="Johnny's"/>
    <s v="Giant Orange Johnny's"/>
    <s v="Marigold_x000a_Giant Orange_x000a_Johnny's"/>
  </r>
  <r>
    <n v="0.33333333333333331"/>
    <x v="59"/>
    <s v="Marigold"/>
    <s v="Giant Yellow"/>
    <s v="Johnny's"/>
    <s v="Giant Yellow Johnny's"/>
    <s v="Marigold_x000a_Giant Yellow_x000a_Johnny's"/>
  </r>
  <r>
    <n v="0.25"/>
    <x v="60"/>
    <s v="Marigold"/>
    <s v="Ildkongen"/>
    <s v="Adaptive"/>
    <s v="Ildkongen Adaptive"/>
    <s v="Marigold_x000a_Ildkongen_x000a_Adaptive"/>
  </r>
  <r>
    <n v="0.25"/>
    <x v="60"/>
    <s v="Marigold"/>
    <s v="Lemon Gem"/>
    <s v="Territorial"/>
    <s v="Lemon Gem Territorial"/>
    <s v="Marigold_x000a_Lemon Gem_x000a_Territorial"/>
  </r>
  <r>
    <n v="0.25"/>
    <x v="60"/>
    <s v="Marigold"/>
    <s v="Red Gem"/>
    <s v="Johnny's"/>
    <s v="Red Gem Johnny's"/>
    <s v="Marigold_x000a_Red Gem_x000a_Johnny's"/>
  </r>
  <r>
    <n v="0.25"/>
    <x v="60"/>
    <s v="Marigold"/>
    <s v="Tangerine Gem"/>
    <s v="Adaptive"/>
    <s v="Tangerine Gem Adaptive"/>
    <s v="Marigold_x000a_Tangerine Gem_x000a_Adaptive"/>
  </r>
  <r>
    <n v="0.1111111111111111"/>
    <x v="61"/>
    <s v="Marigold"/>
    <s v="Coco"/>
    <s v="Johnny's"/>
    <s v="Coco Johnny's"/>
    <s v="Marigold_x000a_Coco_x000a_Johnny's"/>
  </r>
  <r>
    <n v="0.1111111111111111"/>
    <x v="61"/>
    <s v="Marigold"/>
    <s v="Coco Gold F1"/>
    <s v="Johnny's"/>
    <s v="Coco Gold F1 Johnny's"/>
    <s v="Marigold_x000a_Coco Gold F1_x000a_Johnny's"/>
  </r>
  <r>
    <n v="0.1111111111111111"/>
    <x v="61"/>
    <s v="Marigold"/>
    <s v="Crackerjack"/>
    <s v="Osborne"/>
    <s v="Crackerjack Osborne"/>
    <s v="Marigold_x000a_Crackerjack_x000a_Osborne"/>
  </r>
  <r>
    <n v="0.1111111111111111"/>
    <x v="61"/>
    <s v="Marigold"/>
    <s v="Giant Orange"/>
    <s v="Johnny's"/>
    <s v="Giant Orange Johnny's"/>
    <s v="Marigold_x000a_Giant Orange_x000a_Johnny's"/>
  </r>
  <r>
    <n v="0.1111111111111111"/>
    <x v="61"/>
    <s v="Marigold"/>
    <s v="Giant Yellow"/>
    <s v="Johnny's"/>
    <s v="Giant Yellow Johnny's"/>
    <s v="Marigold_x000a_Giant Yellow_x000a_Johnny's"/>
  </r>
  <r>
    <n v="0.1111111111111111"/>
    <x v="61"/>
    <s v="Marigold"/>
    <s v="Ildkongen"/>
    <s v="Adaptive"/>
    <s v="Ildkongen Adaptive"/>
    <s v="Marigold_x000a_Ildkongen_x000a_Adaptive"/>
  </r>
  <r>
    <n v="0.1111111111111111"/>
    <x v="61"/>
    <s v="Marigold"/>
    <s v="Shades of Gold Mix"/>
    <s v="Wild Garden"/>
    <s v="Shades of Gold Mix Wild Garden"/>
    <s v="Marigold_x000a_Shades of Gold Mix_x000a_Wild Garden"/>
  </r>
  <r>
    <n v="0.1111111111111111"/>
    <x v="61"/>
    <s v="Marigold"/>
    <s v="Tangerine Gem"/>
    <s v="Adaptive"/>
    <s v="Tangerine Gem Adaptive"/>
    <s v="Marigold_x000a_Tangerine Gem_x000a_Adaptive"/>
  </r>
  <r>
    <n v="0.1111111111111111"/>
    <x v="61"/>
    <s v="Marigold"/>
    <s v="White Swan"/>
    <s v="Johnny's"/>
    <s v="White Swan Johnny's"/>
    <s v="Marigold_x000a_White Swan_x000a_Johnny's"/>
  </r>
  <r>
    <n v="0.25"/>
    <x v="62"/>
    <s v="Melon"/>
    <s v="Divergent F1"/>
    <s v="Johnny's"/>
    <s v="Divergent F1 Johnny's"/>
    <s v="Melon_x000a_Divergent F1_x000a_Johnny's"/>
  </r>
  <r>
    <n v="0.25"/>
    <x v="62"/>
    <s v="Melon"/>
    <s v="True Love"/>
    <s v="High Mowing"/>
    <s v="True Love High Mowing"/>
    <s v="Melon_x000a_True Love_x000a_High Mowing"/>
  </r>
  <r>
    <n v="0.25"/>
    <x v="62"/>
    <s v="Melon"/>
    <s v="Triton"/>
    <s v="Johnny's"/>
    <s v="Triton Johnny's"/>
    <s v="Melon_x000a_Triton_x000a_Johnny's"/>
  </r>
  <r>
    <n v="0.25"/>
    <x v="62"/>
    <s v="Melon"/>
    <s v="Divergent F1"/>
    <s v="Osborne"/>
    <s v="Divergent F1 Osborne"/>
    <s v="Melon_x000a_Divergent F1_x000a_Osborne"/>
  </r>
  <r>
    <n v="0.2"/>
    <x v="63"/>
    <s v="Milkweed"/>
    <s v="Heavenly Blue"/>
    <s v="Wild Garden"/>
    <s v="Heavenly Blue Wild Garden"/>
    <s v="Milkweed_x000a_Heavenly Blue_x000a_Wild Garden"/>
  </r>
  <r>
    <n v="0.2"/>
    <x v="63"/>
    <s v="Milkweed"/>
    <s v="Native Northwest"/>
    <s v="Wild Garden"/>
    <s v="Native Northwest Wild Garden"/>
    <s v="Milkweed_x000a_Native Northwest_x000a_Wild Garden"/>
  </r>
  <r>
    <n v="0.2"/>
    <x v="63"/>
    <s v="Milkweed"/>
    <s v="Silky Gold"/>
    <s v="Wild Garden"/>
    <s v="Silky Gold Wild Garden"/>
    <s v="Milkweed_x000a_Silky Gold_x000a_Wild Garden"/>
  </r>
  <r>
    <n v="0.2"/>
    <x v="63"/>
    <s v="Milkweed"/>
    <s v="Silky Red"/>
    <s v="Wild Garden"/>
    <s v="Silky Red Wild Garden"/>
    <s v="Milkweed_x000a_Silky Red_x000a_Wild Garden"/>
  </r>
  <r>
    <n v="0.2"/>
    <x v="63"/>
    <s v="Milkweed"/>
    <s v="Swamp Milkweed"/>
    <s v="Johnny's"/>
    <s v="Swamp Milkweed Johnny's"/>
    <s v="Milkweed_x000a_Swamp Milkweed_x000a_Johnny's"/>
  </r>
  <r>
    <n v="0.25"/>
    <x v="64"/>
    <s v="Nasturtium"/>
    <s v="Empress of India"/>
    <s v="Johnny's"/>
    <s v="Empress of India Johnny's"/>
    <s v="Nasturtium_x000a_Empress of India_x000a_Johnny's"/>
  </r>
  <r>
    <n v="0.25"/>
    <x v="64"/>
    <s v="Nasturtium"/>
    <s v="Orchid Cream"/>
    <s v="Baker Creek"/>
    <s v="Orchid Cream Baker Creek"/>
    <s v="Nasturtium_x000a_Orchid Cream_x000a_Baker Creek"/>
  </r>
  <r>
    <n v="0.25"/>
    <x v="64"/>
    <s v="Nasturtium"/>
    <s v="Salmon Baby"/>
    <s v="Osborne"/>
    <s v="Salmon Baby Osborne"/>
    <s v="Nasturtium_x000a_Salmon Baby_x000a_Osborne"/>
  </r>
  <r>
    <n v="0.25"/>
    <x v="64"/>
    <s v="Nasturtium"/>
    <s v="Tip Top Rose Nasturtium"/>
    <s v="Baker Creek"/>
    <s v="Tip Top Rose Nasturtium Baker Creek"/>
    <s v="Nasturtium_x000a_Tip Top Rose Nasturtium_x000a_Baker Creek"/>
  </r>
  <r>
    <n v="0.33333333333333331"/>
    <x v="65"/>
    <s v="Nigella"/>
    <s v="Blue"/>
    <s v="High Mowing"/>
    <s v="Blue High Mowing"/>
    <s v="Nigella_x000a_Blue_x000a_High Mowing"/>
  </r>
  <r>
    <n v="0.33333333333333331"/>
    <x v="65"/>
    <s v="Nigella"/>
    <s v="Cramer's Plum"/>
    <s v="High Mowing"/>
    <s v="Cramer's Plum High Mowing"/>
    <s v="Nigella_x000a_Cramer's Plum_x000a_High Mowing"/>
  </r>
  <r>
    <n v="0.33333333333333331"/>
    <x v="65"/>
    <s v="Nigella"/>
    <s v="Love-in-a-Mist"/>
    <s v="Adaptive"/>
    <s v="Love-in-a-Mist Adaptive"/>
    <s v="Nigella_x000a_Love-in-a-Mist_x000a_Adaptive"/>
  </r>
  <r>
    <n v="0.5"/>
    <x v="66"/>
    <s v="Onion"/>
    <s v="Ailsa Craig"/>
    <s v="High Mowing"/>
    <s v="Ailsa Craig High Mowing"/>
    <s v="Onion_x000a_Ailsa Craig_x000a_High Mowing"/>
  </r>
  <r>
    <n v="0.5"/>
    <x v="66"/>
    <s v="Onion"/>
    <s v="Talon F1"/>
    <s v="High Mowing"/>
    <s v="Talon F1 High Mowing"/>
    <s v="Onion_x000a_Talon F1_x000a_High Mowing"/>
  </r>
  <r>
    <n v="0.33333333333333331"/>
    <x v="67"/>
    <s v="Onion"/>
    <s v="Cortland F1"/>
    <s v="High Mowing"/>
    <s v="Cortland F1 High Mowing"/>
    <s v="Onion_x000a_Cortland F1_x000a_High Mowing"/>
  </r>
  <r>
    <n v="0.33333333333333331"/>
    <x v="67"/>
    <s v="Onion"/>
    <s v="Sedona F1"/>
    <s v="High Mowing"/>
    <s v="Sedona F1 High Mowing"/>
    <s v="Onion_x000a_Sedona F1_x000a_High Mowing"/>
  </r>
  <r>
    <n v="0.33333333333333331"/>
    <x v="67"/>
    <s v="Onion"/>
    <s v="Red Spring"/>
    <s v="Johnny's"/>
    <s v="Red Spring Johnny's"/>
    <s v="Onion_x000a_Red Spring_x000a_Johnny's"/>
  </r>
  <r>
    <n v="0.33333333333333331"/>
    <x v="68"/>
    <s v="Onion"/>
    <s v="Amber"/>
    <s v="High Mowing"/>
    <s v="Amber High Mowing"/>
    <s v="Onion_x000a_Amber_x000a_High Mowing"/>
  </r>
  <r>
    <n v="0.33333333333333331"/>
    <x v="68"/>
    <s v="Onion"/>
    <s v="Red Long of Florence"/>
    <s v="High Mowing"/>
    <s v="Red Long of Florence High Mowing"/>
    <s v="Onion_x000a_Red Long of Florence_x000a_High Mowing"/>
  </r>
  <r>
    <n v="0.33333333333333331"/>
    <x v="68"/>
    <s v="Onion"/>
    <s v="Rose de Roscoff"/>
    <s v="Adaptive"/>
    <s v="Rose de Roscoff Adaptive"/>
    <s v="Onion_x000a_Rose de Roscoff_x000a_Adaptive"/>
  </r>
  <r>
    <n v="0.25"/>
    <x v="69"/>
    <s v="Onion"/>
    <s v="Cortland F1"/>
    <s v="High Mowing"/>
    <s v="Cortland F1 High Mowing"/>
    <s v="Onion_x000a_Cortland F1_x000a_High Mowing"/>
  </r>
  <r>
    <n v="0.25"/>
    <x v="69"/>
    <s v="Onion"/>
    <s v="Red Carpet  F1"/>
    <s v="High Mowing"/>
    <s v="Red Carpet  F1 High Mowing"/>
    <s v="Onion_x000a_Red Carpet  F1_x000a_High Mowing"/>
  </r>
  <r>
    <n v="0.25"/>
    <x v="69"/>
    <s v="Onion"/>
    <s v="Rose de Roscoff"/>
    <s v="Adaptive"/>
    <s v="Rose de Roscoff Adaptive"/>
    <s v="Onion_x000a_Rose de Roscoff_x000a_Adaptive"/>
  </r>
  <r>
    <n v="0.25"/>
    <x v="69"/>
    <s v="Onion"/>
    <s v="Talon F1"/>
    <s v="High Mowing"/>
    <s v="Talon F1 High Mowing"/>
    <s v="Onion_x000a_Talon F1_x000a_High Mowing"/>
  </r>
  <r>
    <n v="0.25"/>
    <x v="48"/>
    <s v="Pac Choi"/>
    <s v="Bopak"/>
    <s v="Johnny's"/>
    <s v="Bopak Johnny's"/>
    <s v="Pac Choi_x000a_Bopak_x000a_Johnny's"/>
  </r>
  <r>
    <n v="0.16666666666666666"/>
    <x v="70"/>
    <s v="Pansy &amp; Viola"/>
    <s v="Brush Strokes"/>
    <s v="Baker Creek"/>
    <s v="Brush Strokes Baker Creek"/>
    <s v="Pansy &amp; Viola_x000a_Brush Strokes_x000a_Baker Creek"/>
  </r>
  <r>
    <n v="0.16666666666666666"/>
    <x v="70"/>
    <s v="Pansy &amp; Viola"/>
    <s v="Celestial Blue Pansy"/>
    <s v="Baker Creek"/>
    <s v="Celestial Blue Pansy Baker Creek"/>
    <s v="Pansy &amp; Viola_x000a_Celestial Blue Pansy_x000a_Baker Creek"/>
  </r>
  <r>
    <n v="0.16666666666666666"/>
    <x v="70"/>
    <s v="Pansy &amp; Viola"/>
    <s v="Frizzle Sizzle Lemonberry"/>
    <s v="Osborne"/>
    <s v="Frizzle Sizzle Lemonberry Osborne"/>
    <s v="Pansy &amp; Viola_x000a_Frizzle Sizzle Lemonberry_x000a_Osborne"/>
  </r>
  <r>
    <n v="0.16666666666666666"/>
    <x v="70"/>
    <s v="Pansy &amp; Viola"/>
    <s v="Frizzle Sizzle Mini tapestry"/>
    <s v="Johnny's"/>
    <s v="Frizzle Sizzle Mini tapestry Johnny's"/>
    <s v="Pansy &amp; Viola_x000a_Frizzle Sizzle Mini tapestry_x000a_Johnny's"/>
  </r>
  <r>
    <n v="0.16666666666666666"/>
    <x v="70"/>
    <s v="Pansy &amp; Viola"/>
    <s v="Sorbet Formula Mix"/>
    <s v="Johnny's"/>
    <s v="Sorbet Formula Mix Johnny's"/>
    <s v="Pansy &amp; Viola_x000a_Sorbet Formula Mix_x000a_Johnny's"/>
  </r>
  <r>
    <n v="0.16666666666666666"/>
    <x v="70"/>
    <s v="Pansy &amp; Viola"/>
    <s v="Tiger Laeta"/>
    <s v="Baker Creek"/>
    <s v="Tiger Laeta Baker Creek"/>
    <s v="Pansy &amp; Viola_x000a_Tiger Laeta_x000a_Baker Creek"/>
  </r>
  <r>
    <n v="1"/>
    <x v="71"/>
    <s v="Pansy &amp; Viola"/>
    <s v="Frizzle Sizzle Yellow Blue Swirl"/>
    <s v="Johnny's"/>
    <s v="Frizzle Sizzle Yellow Blue Swirl Johnny's"/>
    <s v="Pansy &amp; Viola_x000a_Frizzle Sizzle Yellow Blue Swirl_x000a_Johnny's"/>
  </r>
  <r>
    <n v="0.14285714285714285"/>
    <x v="72"/>
    <s v="Pansy &amp; Viola"/>
    <s v="Black Devil Pansy"/>
    <s v="Baker Creek"/>
    <s v="Black Devil Pansy Baker Creek"/>
    <s v="Pansy &amp; Viola_x000a_Black Devil Pansy_x000a_Baker Creek"/>
  </r>
  <r>
    <n v="0.14285714285714285"/>
    <x v="72"/>
    <s v="Pansy &amp; Viola"/>
    <s v="Brush Strokes"/>
    <s v="Baker Creek"/>
    <s v="Brush Strokes Baker Creek"/>
    <s v="Pansy &amp; Viola_x000a_Brush Strokes_x000a_Baker Creek"/>
  </r>
  <r>
    <n v="0.14285714285714285"/>
    <x v="72"/>
    <s v="Pansy &amp; Viola"/>
    <s v="Celestial Blue Pansy"/>
    <s v="Baker Creek"/>
    <s v="Celestial Blue Pansy Baker Creek"/>
    <s v="Pansy &amp; Viola_x000a_Celestial Blue Pansy_x000a_Baker Creek"/>
  </r>
  <r>
    <n v="0.14285714285714285"/>
    <x v="72"/>
    <s v="Pansy &amp; Viola"/>
    <s v="Frizzle Sizzle Lemonberry"/>
    <s v="Osborne"/>
    <s v="Frizzle Sizzle Lemonberry Osborne"/>
    <s v="Pansy &amp; Viola_x000a_Frizzle Sizzle Lemonberry_x000a_Osborne"/>
  </r>
  <r>
    <n v="0.14285714285714285"/>
    <x v="72"/>
    <s v="Pansy &amp; Viola"/>
    <s v="Frizzle Sizzle Mini tapestry"/>
    <s v="Johnny's"/>
    <s v="Frizzle Sizzle Mini tapestry Johnny's"/>
    <s v="Pansy &amp; Viola_x000a_Frizzle Sizzle Mini tapestry_x000a_Johnny's"/>
  </r>
  <r>
    <n v="0.14285714285714285"/>
    <x v="72"/>
    <s v="Pansy &amp; Viola"/>
    <s v="Frizzle Sizzle Yellow Blue Swirl"/>
    <s v="Johnny's"/>
    <s v="Frizzle Sizzle Yellow Blue Swirl Johnny's"/>
    <s v="Pansy &amp; Viola_x000a_Frizzle Sizzle Yellow Blue Swirl_x000a_Johnny's"/>
  </r>
  <r>
    <n v="0.14285714285714285"/>
    <x v="72"/>
    <s v="Pansy &amp; Viola"/>
    <s v="Tiger Laeta"/>
    <s v="Baker Creek"/>
    <s v="Tiger Laeta Baker Creek"/>
    <s v="Pansy &amp; Viola_x000a_Tiger Laeta_x000a_Baker Creek"/>
  </r>
  <r>
    <n v="0.125"/>
    <x v="73"/>
    <s v="Parsley"/>
    <s v="Einfache Schnitt 3"/>
    <s v="Adaptive"/>
    <s v="Einfache Schnitt 3 Adaptive"/>
    <s v="Parsley_x000a_Einfache Schnitt 3_x000a_Adaptive"/>
  </r>
  <r>
    <n v="0.5"/>
    <x v="73"/>
    <s v="Parsley"/>
    <s v="Giant of Italy"/>
    <s v="Johnny's"/>
    <s v="Giant of Italy Johnny's"/>
    <s v="Parsley_x000a_Giant of Italy_x000a_Johnny's"/>
  </r>
  <r>
    <n v="0.125"/>
    <x v="73"/>
    <s v="Parsley"/>
    <s v="Laica"/>
    <s v="High Mowing"/>
    <s v="Laica High Mowing"/>
    <s v="Parsley_x000a_Laica_x000a_High Mowing"/>
  </r>
  <r>
    <n v="0.125"/>
    <x v="73"/>
    <s v="Parsley"/>
    <s v="Moss Curled"/>
    <s v="Wild Garden"/>
    <s v="Moss Curled Wild Garden"/>
    <s v="Parsley_x000a_Moss Curled_x000a_Wild Garden"/>
  </r>
  <r>
    <n v="0.125"/>
    <x v="73"/>
    <s v="Parsley"/>
    <s v="Forest Green"/>
    <s v="Adaptive"/>
    <s v="Forest Green Adaptive"/>
    <s v="Parsley_x000a_Forest Green_x000a_Adaptive"/>
  </r>
  <r>
    <n v="0.5"/>
    <x v="74"/>
    <s v="Parsnip"/>
    <s v="Panorama F1"/>
    <s v="High Mowing"/>
    <s v="Panorama F1 High Mowing"/>
    <s v="Parsnip_x000a_Panorama F1_x000a_High Mowing"/>
  </r>
  <r>
    <n v="0.5"/>
    <x v="74"/>
    <s v="Parsnip"/>
    <s v="Halblange"/>
    <s v="High Mowing"/>
    <s v="Halblange High Mowing"/>
    <s v="Parsnip_x000a_Halblange_x000a_High Mowing"/>
  </r>
  <r>
    <n v="0.33333333333333331"/>
    <x v="75"/>
    <s v="Pea"/>
    <s v="Super Sugar Snap"/>
    <s v="Johnny's"/>
    <s v="Super Sugar Snap Johnny's"/>
    <s v="Pea_x000a_Super Sugar Snap_x000a_Johnny's"/>
  </r>
  <r>
    <n v="0.33333333333333331"/>
    <x v="75"/>
    <s v="Pea"/>
    <s v="Cascadia OG"/>
    <s v="Territorial"/>
    <s v="Cascadia OG Territorial"/>
    <s v="Pea_x000a_Cascadia OG_x000a_Territorial"/>
  </r>
  <r>
    <n v="0.33333333333333331"/>
    <x v="75"/>
    <s v="Pea"/>
    <s v="SS 141"/>
    <s v="Osborne"/>
    <s v="SS 141 Osborne"/>
    <s v="Pea_x000a_SS 141_x000a_Osborne"/>
  </r>
  <r>
    <n v="0.5"/>
    <x v="76"/>
    <s v="Pea"/>
    <s v="Austrian Winter Pea"/>
    <s v="Osborne"/>
    <s v="Austrian Winter Pea Osborne"/>
    <s v="Pea_x000a_Austrian Winter Pea_x000a_Osborne"/>
  </r>
  <r>
    <n v="0.5"/>
    <x v="76"/>
    <s v="Pea"/>
    <s v="Tendril Pea"/>
    <s v="Johnny's"/>
    <s v="Tendril Pea Johnny's"/>
    <s v="Pea_x000a_Tendril Pea_x000a_Johnny's"/>
  </r>
  <r>
    <n v="0.3"/>
    <x v="77"/>
    <s v="Pepper - Hot"/>
    <s v="Bastan F1"/>
    <s v="Johnny's"/>
    <s v="Bastan F1 Johnny's"/>
    <s v="Pepper - Hot_x000a_Bastan F1_x000a_Johnny's"/>
  </r>
  <r>
    <n v="0.4"/>
    <x v="77"/>
    <s v="Pepper - Hot"/>
    <s v="Black Magic F1"/>
    <s v="Johnny's"/>
    <s v="Black Magic F1 Johnny's"/>
    <s v="Pepper - Hot_x000a_Black Magic F1_x000a_Johnny's"/>
  </r>
  <r>
    <n v="0.2"/>
    <x v="77"/>
    <s v="Pepper - Hot"/>
    <s v="Hungarian Hot Wax"/>
    <s v="Osborne"/>
    <s v="Hungarian Hot Wax Osborne"/>
    <s v="Pepper - Hot_x000a_Hungarian Hot Wax_x000a_Osborne"/>
  </r>
  <r>
    <n v="0.1"/>
    <x v="77"/>
    <s v="Pepper - Hot"/>
    <s v="Helios F1"/>
    <s v="Johnny's"/>
    <s v="Helios F1 Johnny's"/>
    <s v="Pepper - Hot_x000a_Helios F1_x000a_Johnny's"/>
  </r>
  <r>
    <n v="0.5"/>
    <x v="78"/>
    <s v="Pepper - Shishito"/>
    <s v="Katana"/>
    <s v="High Mowing"/>
    <s v="Katana High Mowing"/>
    <s v="Pepper - Shishito_x000a_Katana_x000a_High Mowing"/>
  </r>
  <r>
    <n v="0.5"/>
    <x v="78"/>
    <s v="Pepper - Shishito"/>
    <s v="Shishito"/>
    <s v="Osborne"/>
    <s v="Shishito Osborne"/>
    <s v="Pepper - Shishito_x000a_Shishito_x000a_Osborne"/>
  </r>
  <r>
    <n v="0.5"/>
    <x v="79"/>
    <s v="Pepper - Sweet"/>
    <s v="Elephant's Ear"/>
    <s v="Uprising"/>
    <s v="Elephant's Ear Uprising"/>
    <s v="Pepper - Sweet_x000a_Elephant's Ear_x000a_Uprising"/>
  </r>
  <r>
    <n v="0.5"/>
    <x v="79"/>
    <s v="Pepper - Sweet"/>
    <s v="Olly F1"/>
    <s v="Johnny's"/>
    <s v="Olly F1 Johnny's"/>
    <s v="Pepper - Sweet_x000a_Olly F1_x000a_Johnny's"/>
  </r>
  <r>
    <n v="0.25"/>
    <x v="80"/>
    <s v="Petunia"/>
    <s v="Superbissima Cerny's Triumph"/>
    <s v="Baker Creek"/>
    <s v="Superbissima Cerny's Triumph Baker Creek"/>
    <s v="Petunia_x000a_Superbissima Cerny's Triumph_x000a_Baker Creek"/>
  </r>
  <r>
    <n v="0.25"/>
    <x v="80"/>
    <s v="Petunia"/>
    <s v="Superbissima Cosmic Cherry"/>
    <s v="Baker Creek"/>
    <s v="Superbissima Cosmic Cherry Baker Creek"/>
    <s v="Petunia_x000a_Superbissima Cosmic Cherry_x000a_Baker Creek"/>
  </r>
  <r>
    <n v="0.25"/>
    <x v="80"/>
    <s v="Petunia"/>
    <s v="Superbissima Giant Alba"/>
    <s v="Baker Creek"/>
    <s v="Superbissima Giant Alba Baker Creek"/>
    <s v="Petunia_x000a_Superbissima Giant Alba_x000a_Baker Creek"/>
  </r>
  <r>
    <n v="0.25"/>
    <x v="80"/>
    <s v="Petunia"/>
    <s v="Superbissima Giant Rose"/>
    <s v="Baker Creek"/>
    <s v="Superbissima Giant Rose Baker Creek"/>
    <s v="Petunia_x000a_Superbissima Giant Rose_x000a_Baker Creek"/>
  </r>
  <r>
    <n v="0.5"/>
    <x v="81"/>
    <s v="Potato"/>
    <s v="Purple Viking"/>
    <s v="Johnny's"/>
    <s v="Purple Viking Johnny's"/>
    <s v="Potato_x000a_Purple Viking_x000a_Johnny's"/>
  </r>
  <r>
    <n v="0.5"/>
    <x v="81"/>
    <s v="Potato"/>
    <s v="Red Norland"/>
    <s v="Johnny's"/>
    <s v="Red Norland Johnny's"/>
    <s v="Potato_x000a_Red Norland_x000a_Johnny's"/>
  </r>
  <r>
    <n v="0.5"/>
    <x v="82"/>
    <s v="Potato"/>
    <s v="Elba"/>
    <s v="High Mowing"/>
    <s v="Elba High Mowing"/>
    <s v="Potato_x000a_Elba_x000a_High Mowing"/>
  </r>
  <r>
    <n v="0.5"/>
    <x v="82"/>
    <s v="Potato"/>
    <s v="German Butterball"/>
    <s v="High Mowing"/>
    <s v="German Butterball High Mowing"/>
    <s v="Potato_x000a_German Butterball_x000a_High Mowing"/>
  </r>
  <r>
    <n v="0.5"/>
    <x v="83"/>
    <s v="Potato"/>
    <s v="Yukon Gold"/>
    <s v="Irish Eyes"/>
    <s v="Yukon Gold Irish Eyes"/>
    <s v="Potato_x000a_Yukon Gold_x000a_Irish Eyes"/>
  </r>
  <r>
    <n v="0.5"/>
    <x v="83"/>
    <s v="Potato"/>
    <s v="Yukon Gem"/>
    <s v="Irish Eyes"/>
    <s v="Yukon Gem Irish Eyes"/>
    <s v="Potato_x000a_Yukon Gem_x000a_Irish Eyes"/>
  </r>
  <r>
    <n v="0.5"/>
    <x v="84"/>
    <s v="Potato"/>
    <s v="Allred"/>
    <s v="Irish Eyes"/>
    <s v="Allred Irish Eyes"/>
    <s v="Potato_x000a_Allred_x000a_Irish Eyes"/>
  </r>
  <r>
    <n v="0.5"/>
    <x v="84"/>
    <s v="Potato"/>
    <s v="OG Viking Purple Potato"/>
    <s v="Irish Eyes"/>
    <s v="OG Viking Purple Potato Irish Eyes"/>
    <s v="Potato_x000a_OG Viking Purple Potato_x000a_Irish Eyes"/>
  </r>
  <r>
    <n v="1"/>
    <x v="85"/>
    <s v="Queen Anne's Lace"/>
    <s v="Dara"/>
    <s v="Wild Garden"/>
    <s v="Dara Wild Garden"/>
    <s v="Queen Anne's Lace_x000a_Dara_x000a_Wild Garden"/>
  </r>
  <r>
    <n v="0.5"/>
    <x v="86"/>
    <s v="Radicchio"/>
    <s v="Lentiginni"/>
    <s v="Uprising"/>
    <s v="Lentiginni Uprising"/>
    <s v="Radicchio_x000a_Lentiginni_x000a_Uprising"/>
  </r>
  <r>
    <n v="0.5"/>
    <x v="86"/>
    <s v="Radicchio"/>
    <s v="Pacifico"/>
    <s v="Uprising"/>
    <s v="Pacifico Uprising"/>
    <s v="Radicchio_x000a_Pacifico_x000a_Uprising"/>
  </r>
  <r>
    <n v="0.5"/>
    <x v="87"/>
    <s v="Radicchio"/>
    <s v="Beatrice"/>
    <s v="Uprising"/>
    <s v="Beatrice Uprising"/>
    <s v="Radicchio_x000a_Beatrice_x000a_Uprising"/>
  </r>
  <r>
    <n v="0.5"/>
    <x v="87"/>
    <s v="Radicchio"/>
    <s v="Regina Rossa"/>
    <s v="Uprising"/>
    <s v="Regina Rossa Uprising"/>
    <s v="Radicchio_x000a_Regina Rossa_x000a_Uprising"/>
  </r>
  <r>
    <n v="0.25"/>
    <x v="88"/>
    <s v="Radish"/>
    <s v="French Breakfast"/>
    <s v="High Mowing"/>
    <s v="French Breakfast High Mowing"/>
    <s v="Radish_x000a_French Breakfast_x000a_High Mowing"/>
  </r>
  <r>
    <n v="0.25"/>
    <x v="88"/>
    <s v="Radish"/>
    <s v="Pearl"/>
    <s v="Johnny's"/>
    <s v="Pearl Johnny's"/>
    <s v="Radish_x000a_Pearl_x000a_Johnny's"/>
  </r>
  <r>
    <n v="0.25"/>
    <x v="88"/>
    <s v="Radish"/>
    <s v="Sora"/>
    <s v="High Mowing"/>
    <s v="Sora High Mowing"/>
    <s v="Radish_x000a_Sora_x000a_High Mowing"/>
  </r>
  <r>
    <n v="0.25"/>
    <x v="88"/>
    <s v="Radish"/>
    <s v="Patricia"/>
    <s v="High Mowing"/>
    <s v="Patricia High Mowing"/>
    <s v="Radish_x000a_Patricia_x000a_High Mowing"/>
  </r>
  <r>
    <n v="0.5"/>
    <x v="89"/>
    <s v="Radish- Winter"/>
    <s v="Daikon"/>
    <s v="High Mowing"/>
    <s v="Daikon High Mowing"/>
    <s v="Radish- Winter_x000a_Daikon_x000a_High Mowing"/>
  </r>
  <r>
    <n v="0.5"/>
    <x v="89"/>
    <s v="Radish- Winter"/>
    <s v="Okhura Winter Queen Daikon"/>
    <s v="Adaptive"/>
    <s v="Okhura Winter Queen Daikon Adaptive"/>
    <s v="Radish- Winter_x000a_Okhura Winter Queen Daikon_x000a_Adaptive"/>
  </r>
  <r>
    <n v="0.5"/>
    <x v="90"/>
    <s v="Rat Tail Radish"/>
    <s v="Rat Tail"/>
    <s v="Seed Savers"/>
    <s v="Rat Tail Seed Savers"/>
    <s v="Rat Tail Radish_x000a_Rat Tail_x000a_Seed Savers"/>
  </r>
  <r>
    <n v="0.5"/>
    <x v="90"/>
    <s v="Rat Tail Radish"/>
    <s v="Rat Tail Purple"/>
    <s v="Seed Savers"/>
    <s v="Rat Tail Purple Seed Savers"/>
    <s v="Rat Tail Radish_x000a_Rat Tail Purple_x000a_Seed Savers"/>
  </r>
  <r>
    <n v="0.16666666666666666"/>
    <x v="91"/>
    <s v="Rubeckia"/>
    <s v="Anemones"/>
    <s v="Wild Garden"/>
    <s v="Anemones Wild Garden"/>
    <s v="Rubeckia_x000a_Anemones_x000a_Wild Garden"/>
  </r>
  <r>
    <n v="0.16666666666666666"/>
    <x v="91"/>
    <s v="Rubeckia"/>
    <s v="Autum Sunset"/>
    <s v="Uprising"/>
    <s v="Autum Sunset Uprising"/>
    <s v="Rubeckia_x000a_Autum Sunset_x000a_Uprising"/>
  </r>
  <r>
    <n v="0.16666666666666666"/>
    <x v="91"/>
    <s v="Rubeckia"/>
    <s v="Gloriosa Double Daisy"/>
    <s v="Wild Garden"/>
    <s v="Gloriosa Double Daisy Wild Garden"/>
    <s v="Rubeckia_x000a_Gloriosa Double Daisy_x000a_Wild Garden"/>
  </r>
  <r>
    <n v="0.16666666666666666"/>
    <x v="91"/>
    <s v="Rubeckia"/>
    <s v="Sahara"/>
    <s v="Uprising"/>
    <s v="Sahara Uprising"/>
    <s v="Rubeckia_x000a_Sahara_x000a_Uprising"/>
  </r>
  <r>
    <n v="0.16666666666666666"/>
    <x v="91"/>
    <s v="Rubeckia"/>
    <s v="Tall Triloba"/>
    <s v="Wild Garden"/>
    <s v="Tall Triloba Wild Garden"/>
    <s v="Rubeckia_x000a_Tall Triloba_x000a_Wild Garden"/>
  </r>
  <r>
    <n v="0.16666666666666666"/>
    <x v="91"/>
    <s v="Rubeckia"/>
    <s v="Triloba Macau"/>
    <s v="Osborne"/>
    <s v="Triloba Macau Osborne"/>
    <s v="Rubeckia_x000a_Triloba Macau_x000a_Osborne"/>
  </r>
  <r>
    <n v="0.5"/>
    <x v="92"/>
    <s v="Salsola"/>
    <s v="Agretti Roscano Saltwort"/>
    <s v="Weston"/>
    <s v="Agretti Roscano Saltwort Weston"/>
    <s v="Salsola_x000a_Agretti Roscano Saltwort_x000a_Weston"/>
  </r>
  <r>
    <n v="0.5"/>
    <x v="92"/>
    <s v="Salsola"/>
    <s v="Salsola komarovii"/>
    <s v="Johnny's"/>
    <s v="Salsola komarovii Johnny's"/>
    <s v="Salsola_x000a_Salsola komarovii_x000a_Johnny's"/>
  </r>
  <r>
    <n v="0.5"/>
    <x v="93"/>
    <s v="Scabiosa"/>
    <s v="Picotee Pincushion Mix"/>
    <s v="Wild Garden"/>
    <s v="Picotee Pincushion Mix Wild Garden"/>
    <s v="Scabiosa_x000a_Picotee Pincushion Mix_x000a_Wild Garden"/>
  </r>
  <r>
    <n v="0.5"/>
    <x v="93"/>
    <s v="Scabiosa"/>
    <s v="Starflower"/>
    <s v="Wild Garden"/>
    <s v="Starflower Wild Garden"/>
    <s v="Scabiosa_x000a_Starflower_x000a_Wild Garden"/>
  </r>
  <r>
    <n v="0.33333333333333331"/>
    <x v="94"/>
    <s v="Scallion"/>
    <s v="Ishikura Long Winter"/>
    <s v="Uprising"/>
    <s v="Ishikura Long Winter Uprising"/>
    <s v="Scallion_x000a_Ishikura Long Winter_x000a_Uprising"/>
  </r>
  <r>
    <n v="0.33333333333333331"/>
    <x v="94"/>
    <s v="Scallion"/>
    <s v="Parade"/>
    <s v="High Mowing"/>
    <s v="Parade High Mowing"/>
    <s v="Scallion_x000a_Parade_x000a_High Mowing"/>
  </r>
  <r>
    <n v="0.33333333333333331"/>
    <x v="94"/>
    <s v="Scallion"/>
    <s v="White Spear"/>
    <s v="Adaptive"/>
    <s v="White Spear Adaptive"/>
    <s v="Scallion_x000a_White Spear_x000a_Adaptive"/>
  </r>
  <r>
    <n v="0.5"/>
    <x v="95"/>
    <s v="Shallot"/>
    <s v="Conservor F1"/>
    <s v="High Mowing"/>
    <s v="Conservor F1 High Mowing"/>
    <s v="Shallot_x000a_Conservor F1_x000a_High Mowing"/>
  </r>
  <r>
    <n v="0.5"/>
    <x v="95"/>
    <s v="Shallot"/>
    <s v="Crème Brulee"/>
    <s v="Johnny's"/>
    <s v="Crème Brulee Johnny's"/>
    <s v="Shallot_x000a_Crème Brulee_x000a_Johnny's"/>
  </r>
  <r>
    <n v="0.2"/>
    <x v="96"/>
    <s v="Snapdragon"/>
    <s v="Chantilly Cream Yellow"/>
    <s v="Osborne"/>
    <s v="Chantilly Cream Yellow Osborne"/>
    <s v="Snapdragon_x000a_Chantilly Cream Yellow_x000a_Osborne"/>
  </r>
  <r>
    <n v="0.2"/>
    <x v="96"/>
    <s v="Snapdragon"/>
    <s v="LION'S MOUTH BLEND"/>
    <s v="High Mowing"/>
    <s v="LION'S MOUTH BLEND High Mowing"/>
    <s v="Snapdragon_x000a_LION'S MOUTH BLEND_x000a_High Mowing"/>
  </r>
  <r>
    <n v="0.2"/>
    <x v="96"/>
    <s v="Snapdragon"/>
    <s v="Madam Butterfly Mix"/>
    <s v="Johnny's"/>
    <s v="Madam Butterfly Mix Johnny's"/>
    <s v="Snapdragon_x000a_Madam Butterfly Mix_x000a_Johnny's"/>
  </r>
  <r>
    <n v="0.2"/>
    <x v="96"/>
    <s v="Snapdragon"/>
    <s v="Orange Wonder"/>
    <s v="Adaptive"/>
    <s v="Orange Wonder Adaptive"/>
    <s v="Snapdragon_x000a_Orange Wonder_x000a_Adaptive"/>
  </r>
  <r>
    <n v="0.2"/>
    <x v="96"/>
    <s v="Snapdragon"/>
    <s v="Royal Bride"/>
    <s v="Uprising"/>
    <s v="Royal Bride Uprising"/>
    <s v="Snapdragon_x000a_Royal Bride_x000a_Uprising"/>
  </r>
  <r>
    <n v="0.25"/>
    <x v="97"/>
    <s v="Snapdragon"/>
    <s v="LION'S MOUTH BLEND"/>
    <s v="High Mowing"/>
    <s v="LION'S MOUTH BLEND High Mowing"/>
    <s v="Snapdragon_x000a_LION'S MOUTH BLEND_x000a_High Mowing"/>
  </r>
  <r>
    <n v="0.25"/>
    <x v="97"/>
    <s v="Snapdragon"/>
    <s v="Madam Butterfly Mix"/>
    <s v="Johnny's"/>
    <s v="Madam Butterfly Mix Johnny's"/>
    <s v="Snapdragon_x000a_Madam Butterfly Mix_x000a_Johnny's"/>
  </r>
  <r>
    <n v="0.25"/>
    <x v="97"/>
    <s v="Snapdragon"/>
    <s v="Orange Wonder"/>
    <s v="Adaptive"/>
    <s v="Orange Wonder Adaptive"/>
    <s v="Snapdragon_x000a_Orange Wonder_x000a_Adaptive"/>
  </r>
  <r>
    <n v="0.25"/>
    <x v="97"/>
    <s v="Snapdragon"/>
    <s v="Royal Bride"/>
    <s v="Uprising"/>
    <s v="Royal Bride Uprising"/>
    <s v="Snapdragon_x000a_Royal Bride_x000a_Uprising"/>
  </r>
  <r>
    <n v="0.5"/>
    <x v="98"/>
    <s v="Sorrel"/>
    <s v="Garden Sorrel"/>
    <s v="Wild Garden"/>
    <s v="Garden Sorrel Wild Garden"/>
    <s v="Sorrel_x000a_Garden Sorrel_x000a_Wild Garden"/>
  </r>
  <r>
    <n v="0.5"/>
    <x v="98"/>
    <s v="Sorrel"/>
    <s v="Red Veined Sorrel"/>
    <s v="High Mowing"/>
    <s v="Red Veined Sorrel High Mowing"/>
    <s v="Sorrel_x000a_Red Veined Sorrel_x000a_High Mowing"/>
  </r>
  <r>
    <n v="0.5"/>
    <x v="99"/>
    <s v="Spinach"/>
    <s v="Regiment F1"/>
    <s v="High Mowing"/>
    <s v="Regiment F1 High Mowing"/>
    <s v="Spinach_x000a_Regiment F1_x000a_High Mowing"/>
  </r>
  <r>
    <n v="0.5"/>
    <x v="99"/>
    <s v="Spinach"/>
    <s v="Verdil"/>
    <s v="Adaptive"/>
    <s v="Verdil Adaptive"/>
    <s v="Spinach_x000a_Verdil_x000a_Adaptive"/>
  </r>
  <r>
    <n v="0.16666666666666666"/>
    <x v="100"/>
    <s v="Squash - Summer"/>
    <s v="Costata Romanesco"/>
    <s v="High Mowing"/>
    <s v="Costata Romanesco High Mowing"/>
    <s v="Squash - Summer_x000a_Costata Romanesco_x000a_High Mowing"/>
  </r>
  <r>
    <n v="0.16666666666666666"/>
    <x v="100"/>
    <s v="Squash - Summer"/>
    <s v="Dunja F1"/>
    <s v="High Mowing"/>
    <s v="Dunja F1 High Mowing"/>
    <s v="Squash - Summer_x000a_Dunja F1_x000a_High Mowing"/>
  </r>
  <r>
    <n v="0.16666666666666666"/>
    <x v="100"/>
    <s v="Squash - Summer"/>
    <s v="Zephyr"/>
    <s v="Johnny's"/>
    <s v="Zephyr Johnny's"/>
    <s v="Squash - Summer_x000a_Zephyr_x000a_Johnny's"/>
  </r>
  <r>
    <n v="0.16666666666666666"/>
    <x v="100"/>
    <s v="Squash - Summer"/>
    <s v="Sunburst"/>
    <s v="Territorial"/>
    <s v="Sunburst Territorial"/>
    <s v="Squash - Summer_x000a_Sunburst_x000a_Territorial"/>
  </r>
  <r>
    <n v="0.16666666666666666"/>
    <x v="100"/>
    <s v="Squash - Summer"/>
    <s v="Y-Star"/>
    <s v="Johnny's"/>
    <s v="Y-Star Johnny's"/>
    <s v="Squash - Summer_x000a_Y-Star_x000a_Johnny's"/>
  </r>
  <r>
    <n v="0.16666666666666666"/>
    <x v="100"/>
    <s v="Squash - Summer"/>
    <s v="Yellow Crookneck"/>
    <s v="Siskiyou"/>
    <s v="Yellow Crookneck Siskiyou"/>
    <s v="Squash - Summer_x000a_Yellow Crookneck_x000a_Siskiyou"/>
  </r>
  <r>
    <n v="0.25"/>
    <x v="101"/>
    <s v="Squash - Winter"/>
    <s v="Butterscotch PMR F1"/>
    <s v="High Mowing"/>
    <s v="Butterscotch PMR F1 High Mowing"/>
    <s v="Squash - Winter_x000a_Butterscotch PMR F1_x000a_High Mowing"/>
  </r>
  <r>
    <n v="0.25"/>
    <x v="101"/>
    <s v="Squash - Winter"/>
    <s v="Honeynut"/>
    <s v="High Mowing"/>
    <s v="Honeynut High Mowing"/>
    <s v="Squash - Winter_x000a_Honeynut_x000a_High Mowing"/>
  </r>
  <r>
    <n v="0.25"/>
    <x v="101"/>
    <s v="Squash - Winter"/>
    <s v="Nutterbutter"/>
    <s v="High Mowing"/>
    <s v="Nutterbutter High Mowing"/>
    <s v="Squash - Winter_x000a_Nutterbutter_x000a_High Mowing"/>
  </r>
  <r>
    <n v="0.25"/>
    <x v="101"/>
    <s v="Squash - Winter"/>
    <s v="Waltham"/>
    <s v="High Mowing"/>
    <s v="Waltham High Mowing"/>
    <s v="Squash - Winter_x000a_Waltham_x000a_High Mowing"/>
  </r>
  <r>
    <n v="0.5"/>
    <x v="102"/>
    <s v="Squash - Winter"/>
    <s v="Honey Boat"/>
    <s v="High Mowing"/>
    <s v="Honey Boat High Mowing"/>
    <s v="Squash - Winter_x000a_Honey Boat_x000a_High Mowing"/>
  </r>
  <r>
    <n v="0.5"/>
    <x v="102"/>
    <s v="Squash - Winter"/>
    <s v="Sugar Dumpling F1"/>
    <s v="High Mowing"/>
    <s v="Sugar Dumpling F1 High Mowing"/>
    <s v="Squash - Winter_x000a_Sugar Dumpling F1_x000a_High Mowing"/>
  </r>
  <r>
    <n v="0.25"/>
    <x v="103"/>
    <s v="Squash - Winter"/>
    <s v="Red Kuri"/>
    <s v="High Mowing"/>
    <s v="Red Kuri High Mowing"/>
    <s v="Squash - Winter_x000a_Red Kuri_x000a_High Mowing"/>
  </r>
  <r>
    <n v="0.25"/>
    <x v="103"/>
    <s v="Squash - Winter"/>
    <s v="Sunshine"/>
    <s v="Johnny's"/>
    <s v="Sunshine Johnny's"/>
    <s v="Squash - Winter_x000a_Sunshine_x000a_Johnny's"/>
  </r>
  <r>
    <n v="0.25"/>
    <x v="103"/>
    <s v="Squash - Winter"/>
    <s v="Mambo"/>
    <s v="Johnny's"/>
    <s v="Mambo Johnny's"/>
    <s v="Squash - Winter_x000a_Mambo_x000a_Johnny's"/>
  </r>
  <r>
    <n v="0.25"/>
    <x v="103"/>
    <s v="Squash - Winter"/>
    <s v="Neon"/>
    <s v="Territorial"/>
    <s v="Neon Territorial"/>
    <s v="Squash - Winter_x000a_Neon_x000a_Territorial"/>
  </r>
  <r>
    <n v="0.25"/>
    <x v="104"/>
    <s v="Stock"/>
    <s v="Antique Pink"/>
    <s v="Johnny's"/>
    <s v="Antique Pink Johnny's"/>
    <s v="Stock_x000a_Antique Pink_x000a_Johnny's"/>
  </r>
  <r>
    <n v="0.25"/>
    <x v="104"/>
    <s v="Stock"/>
    <s v="Iron Pastel Mix"/>
    <s v="Johnny's"/>
    <s v="Iron Pastel Mix Johnny's"/>
    <s v="Stock_x000a_Iron Pastel Mix_x000a_Johnny's"/>
  </r>
  <r>
    <n v="0.25"/>
    <x v="104"/>
    <s v="Stock"/>
    <s v="Katz Formula Mix"/>
    <s v="Johnny's"/>
    <s v="Katz Formula Mix Johnny's"/>
    <s v="Stock_x000a_Katz Formula Mix_x000a_Johnny's"/>
  </r>
  <r>
    <n v="0.25"/>
    <x v="104"/>
    <s v="Stock"/>
    <s v="Katz Formula Mix"/>
    <s v="Johnny's"/>
    <s v="Katz Formula Mix Johnny's"/>
    <s v="Stock_x000a_Katz Formula Mix_x000a_Johnny's"/>
  </r>
  <r>
    <n v="0.25"/>
    <x v="105"/>
    <s v="Strawflower"/>
    <s v="Monstrosum Mix"/>
    <s v="Adaptive"/>
    <s v="Monstrosum Mix Adaptive"/>
    <s v="Strawflower_x000a_Monstrosum Mix_x000a_Adaptive"/>
  </r>
  <r>
    <n v="0.25"/>
    <x v="105"/>
    <s v="Strawflower"/>
    <s v="Roggli Riesen"/>
    <s v="High Mowing"/>
    <s v="Roggli Riesen High Mowing"/>
    <s v="Strawflower_x000a_Roggli Riesen_x000a_High Mowing"/>
  </r>
  <r>
    <n v="0.25"/>
    <x v="105"/>
    <s v="Strawflower"/>
    <s v="Vintage White"/>
    <s v="Johnny's"/>
    <s v="Vintage White Johnny's"/>
    <s v="Strawflower_x000a_Vintage White_x000a_Johnny's"/>
  </r>
  <r>
    <n v="0.25"/>
    <x v="105"/>
    <s v="Strawflower"/>
    <s v="White Immortelle"/>
    <s v="Wild Garden"/>
    <s v="White Immortelle Wild Garden"/>
    <s v="Strawflower_x000a_White Immortelle_x000a_Wild Garden"/>
  </r>
  <r>
    <n v="0.14285714285714285"/>
    <x v="106"/>
    <s v="Sunflowers"/>
    <s v="Garden Anarchy Mix"/>
    <s v="Uprising"/>
    <s v="Garden Anarchy Mix Uprising"/>
    <s v="Sunflowers_x000a_Garden Anarchy Mix_x000a_Uprising"/>
  </r>
  <r>
    <n v="0.14285714285714285"/>
    <x v="106"/>
    <s v="Sunflowers"/>
    <s v="Goldy Double"/>
    <s v="High Mowing"/>
    <s v="Goldy Double High Mowing"/>
    <s v="Sunflowers_x000a_Goldy Double_x000a_High Mowing"/>
  </r>
  <r>
    <n v="0.14285714285714285"/>
    <x v="106"/>
    <s v="Sunflowers"/>
    <s v="Procut Peach"/>
    <s v="Johnny's"/>
    <s v="Procut Peach Johnny's"/>
    <s v="Sunflowers_x000a_Procut Peach_x000a_Johnny's"/>
  </r>
  <r>
    <n v="0.14285714285714285"/>
    <x v="106"/>
    <s v="Sunflowers"/>
    <s v="Red Hedge"/>
    <s v="Johnny's"/>
    <s v="Red Hedge Johnny's"/>
    <s v="Sunflowers_x000a_Red Hedge_x000a_Johnny's"/>
  </r>
  <r>
    <n v="0.14285714285714285"/>
    <x v="106"/>
    <s v="Sunflowers"/>
    <s v="Shock-O-Lat"/>
    <s v="Johnny's"/>
    <s v="Shock-O-Lat Johnny's"/>
    <s v="Sunflowers_x000a_Shock-O-Lat_x000a_Johnny's"/>
  </r>
  <r>
    <n v="0.14285714285714285"/>
    <x v="106"/>
    <s v="Sunflowers"/>
    <s v="Strawberry Blonde"/>
    <s v="Johnny's"/>
    <s v="Strawberry Blonde Johnny's"/>
    <s v="Sunflowers_x000a_Strawberry Blonde_x000a_Johnny's"/>
  </r>
  <r>
    <n v="0.14285714285714285"/>
    <x v="106"/>
    <s v="Sunflowers"/>
    <s v="Summer Breeze Mix"/>
    <s v="Johnny's"/>
    <s v="Summer Breeze Mix Johnny's"/>
    <s v="Sunflowers_x000a_Summer Breeze Mix_x000a_Johnny's"/>
  </r>
  <r>
    <n v="0.25"/>
    <x v="107"/>
    <s v="Swiss Chard"/>
    <s v="Sunset Chard"/>
    <s v="High Mowing"/>
    <s v="Sunset Chard High Mowing"/>
    <s v="Swiss Chard_x000a_Sunset Chard_x000a_High Mowing"/>
  </r>
  <r>
    <n v="0.25"/>
    <x v="107"/>
    <s v="Swiss Chard"/>
    <s v="Ruby Red"/>
    <s v="High Mowing"/>
    <s v="Ruby Red High Mowing"/>
    <s v="Swiss Chard_x000a_Ruby Red_x000a_High Mowing"/>
  </r>
  <r>
    <n v="0.25"/>
    <x v="107"/>
    <s v="Swiss Chard"/>
    <s v="Rhubard Supreme"/>
    <s v="High Mowing"/>
    <s v="Rhubard Supreme High Mowing"/>
    <s v="Swiss Chard_x000a_Rhubard Supreme_x000a_High Mowing"/>
  </r>
  <r>
    <n v="0.25"/>
    <x v="107"/>
    <s v="Swiss Chard"/>
    <s v="Fordhook Giant"/>
    <s v="High Mowing"/>
    <s v="Fordhook Giant High Mowing"/>
    <s v="Swiss Chard_x000a_Fordhook Giant_x000a_High Mowing"/>
  </r>
  <r>
    <n v="0.25"/>
    <x v="48"/>
    <s v="Tat Soi"/>
    <s v="Red Cloud F1"/>
    <s v="Johnny's"/>
    <s v="Red Cloud F1 Johnny's"/>
    <s v="Tat Soi_x000a_Red Cloud F1_x000a_Johnny's"/>
  </r>
  <r>
    <n v="0.25"/>
    <x v="108"/>
    <s v="Tomatillo"/>
    <s v="Queen of Mallinalco"/>
    <s v="Uprising"/>
    <s v="Queen of Mallinalco Uprising"/>
    <s v="Tomatillo_x000a_Queen of Mallinalco_x000a_Uprising"/>
  </r>
  <r>
    <n v="0.25"/>
    <x v="108"/>
    <s v="Tomatillo"/>
    <s v="De Milpa"/>
    <s v="Johnny's"/>
    <s v="De Milpa Johnny's"/>
    <s v="Tomatillo_x000a_De Milpa_x000a_Johnny's"/>
  </r>
  <r>
    <n v="0.5"/>
    <x v="108"/>
    <s v="Tomatillo"/>
    <s v="Toma Verde"/>
    <s v="High Mowing"/>
    <s v="Toma Verde High Mowing"/>
    <s v="Tomatillo_x000a_Toma Verde_x000a_High Mowing"/>
  </r>
  <r>
    <n v="0.25"/>
    <x v="109"/>
    <s v="Tomato"/>
    <s v="Sungold F1"/>
    <s v="Johnny's"/>
    <s v="Sungold F1 Johnny's"/>
    <s v="Tomato_x000a_Sungold F1_x000a_Johnny's"/>
  </r>
  <r>
    <n v="0.25"/>
    <x v="109"/>
    <s v="Tomato"/>
    <s v="Sweet Million"/>
    <s v="Territorial"/>
    <s v="Sweet Million Territorial"/>
    <s v="Tomato_x000a_Sweet Million_x000a_Territorial"/>
  </r>
  <r>
    <n v="0.25"/>
    <x v="109"/>
    <s v="Tomato"/>
    <s v="Sakura OG"/>
    <s v="Johnny's"/>
    <s v="Sakura OG Johnny's"/>
    <s v="Tomato_x000a_Sakura OG_x000a_Johnny's"/>
  </r>
  <r>
    <n v="0.25"/>
    <x v="109"/>
    <s v="Tomato"/>
    <s v="Black Cherry OG"/>
    <s v="Johnny's"/>
    <s v="Black Cherry OG Johnny's"/>
    <s v="Tomato_x000a_Black Cherry OG_x000a_Johnny's"/>
  </r>
  <r>
    <n v="0.2"/>
    <x v="110"/>
    <s v="Tomato"/>
    <s v="Spring King"/>
    <s v="Adaptive"/>
    <s v="Spring King Adaptive"/>
    <s v="Tomato_x000a_Spring King_x000a_Adaptive"/>
  </r>
  <r>
    <n v="0.2"/>
    <x v="110"/>
    <s v="Tomato"/>
    <s v="Red Deuce"/>
    <s v="Seedway"/>
    <s v="Red Deuce Seedway"/>
    <s v="Tomato_x000a_Red Deuce_x000a_Seedway"/>
  </r>
  <r>
    <n v="0.2"/>
    <x v="110"/>
    <s v="Tomato"/>
    <s v="Beefy Purple"/>
    <s v="A P Whaley"/>
    <s v="Beefy Purple A P Whaley"/>
    <s v="Tomato_x000a_Beefy Purple_x000a_A P Whaley"/>
  </r>
  <r>
    <n v="0.2"/>
    <x v="110"/>
    <s v="Tomato"/>
    <s v="Black Sea Man"/>
    <s v="Tomato Fest"/>
    <s v="Black Sea Man Tomato Fest"/>
    <s v="Tomato_x000a_Black Sea Man_x000a_Tomato Fest"/>
  </r>
  <r>
    <n v="0.2"/>
    <x v="110"/>
    <s v="Tomato"/>
    <s v="Dwarf Purple Heart"/>
    <s v="Tomato Fest"/>
    <s v="Dwarf Purple Heart Tomato Fest"/>
    <s v="Tomato_x000a_Dwarf Purple Heart_x000a_Tomato Fest"/>
  </r>
  <r>
    <n v="0.125"/>
    <x v="111"/>
    <s v="Tomato"/>
    <s v="42-Day"/>
    <s v="A H Whaley"/>
    <s v="42-Day A H Whaley"/>
    <s v="Tomato_x000a_42-Day_x000a_A H Whaley"/>
  </r>
  <r>
    <n v="0.125"/>
    <x v="111"/>
    <s v="Tomato"/>
    <s v="Early Cherry"/>
    <s v="Territorial"/>
    <s v="Early Cherry Territorial"/>
    <s v="Tomato_x000a_Early Cherry_x000a_Territorial"/>
  </r>
  <r>
    <n v="0.125"/>
    <x v="111"/>
    <s v="Tomato"/>
    <s v="Cherry Falls"/>
    <s v="A P Whaley"/>
    <s v="Cherry Falls A P Whaley"/>
    <s v="Tomato_x000a_Cherry Falls_x000a_A P Whaley"/>
  </r>
  <r>
    <n v="0.125"/>
    <x v="111"/>
    <s v="Tomato"/>
    <s v="Washington Cherry"/>
    <s v="Johnny's"/>
    <s v="Washington Cherry Johnny's"/>
    <s v="Tomato_x000a_Washington Cherry_x000a_Johnny's"/>
  </r>
  <r>
    <n v="0.125"/>
    <x v="111"/>
    <s v="Tomato"/>
    <s v="Dynamite Delight"/>
    <s v="Wild Board Farm"/>
    <s v="Dynamite Delight Wild Board Farm"/>
    <s v="Tomato_x000a_Dynamite Delight_x000a_Wild Board Farm"/>
  </r>
  <r>
    <n v="0.125"/>
    <x v="111"/>
    <s v="Tomato"/>
    <s v="Emerald Flame"/>
    <s v="Wild Board Farm"/>
    <s v="Emerald Flame Wild Board Farm"/>
    <s v="Tomato_x000a_Emerald Flame_x000a_Wild Board Farm"/>
  </r>
  <r>
    <n v="0.125"/>
    <x v="111"/>
    <s v="Tomato"/>
    <s v="Limelight"/>
    <s v="Wild Board Farm"/>
    <s v="Limelight Wild Board Farm"/>
    <s v="Tomato_x000a_Limelight_x000a_Wild Board Farm"/>
  </r>
  <r>
    <n v="0.125"/>
    <x v="111"/>
    <s v="Tomato"/>
    <s v="Golden Hour"/>
    <s v="Wild Board Farm"/>
    <s v="Golden Hour Wild Board Farm"/>
    <s v="Tomato_x000a_Golden Hour_x000a_Wild Board Farm"/>
  </r>
  <r>
    <n v="0.2"/>
    <x v="112"/>
    <s v="Tomato"/>
    <s v="Red Racer"/>
    <s v="Harris"/>
    <s v="Red Racer Harris"/>
    <s v="Tomato_x000a_Red Racer_x000a_Harris"/>
  </r>
  <r>
    <n v="0.2"/>
    <x v="112"/>
    <s v="Tomato"/>
    <s v="Orange You Glad"/>
    <s v="Adaptive"/>
    <s v="Orange You Glad Adaptive"/>
    <s v="Tomato_x000a_Orange You Glad_x000a_Adaptive"/>
  </r>
  <r>
    <n v="0.2"/>
    <x v="112"/>
    <s v="Tomato"/>
    <s v="Banana Legs"/>
    <s v="Tomato Fest"/>
    <s v="Banana Legs Tomato Fest"/>
    <s v="Tomato_x000a_Banana Legs_x000a_Tomato Fest"/>
  </r>
  <r>
    <n v="0.2"/>
    <x v="112"/>
    <s v="Tomato"/>
    <s v="Cream Sausage"/>
    <s v="Tomato Fest"/>
    <s v="Cream Sausage Tomato Fest"/>
    <s v="Tomato_x000a_Cream Sausage_x000a_Tomato Fest"/>
  </r>
  <r>
    <n v="0.2"/>
    <x v="112"/>
    <s v="Tomato"/>
    <s v="Sean's Yellow Dwarf"/>
    <s v="Tomato Fest"/>
    <s v="Sean's Yellow Dwarf Tomato Fest"/>
    <s v="Tomato_x000a_Sean's Yellow Dwarf_x000a_Tomato Fest"/>
  </r>
  <r>
    <n v="0.125"/>
    <x v="113"/>
    <s v="Tomato"/>
    <s v="Brandywine"/>
    <s v="Seed Savers"/>
    <s v="Brandywine Seed Savers"/>
    <s v="Tomato_x000a_Brandywine_x000a_Seed Savers"/>
  </r>
  <r>
    <n v="0.125"/>
    <x v="113"/>
    <s v="Tomato"/>
    <s v="Mortgage Lifter"/>
    <s v="Territorial"/>
    <s v="Mortgage Lifter Territorial"/>
    <s v="Tomato_x000a_Mortgage Lifter_x000a_Territorial"/>
  </r>
  <r>
    <n v="0.125"/>
    <x v="113"/>
    <s v="Tomato"/>
    <s v="Pork Chop"/>
    <s v="Osborne"/>
    <s v="Pork Chop Osborne"/>
    <s v="Tomato_x000a_Pork Chop_x000a_Osborne"/>
  </r>
  <r>
    <n v="0.125"/>
    <x v="113"/>
    <s v="Tomato"/>
    <s v="Tiffen Mennonite"/>
    <s v="Adaptive"/>
    <s v="Tiffen Mennonite Adaptive"/>
    <s v="Tomato_x000a_Tiffen Mennonite_x000a_Adaptive"/>
  </r>
  <r>
    <n v="0.125"/>
    <x v="113"/>
    <s v="Tomato"/>
    <s v="Geronimo"/>
    <s v="Johnny's"/>
    <s v="Geronimo Johnny's"/>
    <s v="Tomato_x000a_Geronimo_x000a_Johnny's"/>
  </r>
  <r>
    <n v="0.125"/>
    <x v="113"/>
    <s v="Tomato"/>
    <s v="Benevento"/>
    <s v="Bene"/>
    <s v="Benevento Bene"/>
    <s v="Tomato_x000a_Benevento_x000a_Bene"/>
  </r>
  <r>
    <n v="0.125"/>
    <x v="113"/>
    <s v="Tomato"/>
    <s v="Cipolla's Pride"/>
    <s v="Johnny's"/>
    <s v="Cipolla's Pride Johnny's"/>
    <s v="Tomato_x000a_Cipolla's Pride_x000a_Johnny's"/>
  </r>
  <r>
    <n v="0.125"/>
    <x v="113"/>
    <s v="Tomato"/>
    <s v="Salvaterra's Select"/>
    <s v="Seed Savers"/>
    <s v="Salvaterra's Select Seed Savers"/>
    <s v="Tomato_x000a_Salvaterra's Select_x000a_Seed Savers"/>
  </r>
  <r>
    <n v="0.16666666666666666"/>
    <x v="114"/>
    <s v="Tomato"/>
    <s v="Blush"/>
    <s v="Johnny's"/>
    <s v="Blush Johnny's"/>
    <s v="Tomato_x000a_Blush_x000a_Johnny's"/>
  </r>
  <r>
    <n v="0.16666666666666666"/>
    <x v="114"/>
    <s v="Tomato"/>
    <s v="Brad's Atomic Grape"/>
    <s v="Garden Hoard"/>
    <s v="Brad's Atomic Grape Garden Hoard"/>
    <s v="Tomato_x000a_Brad's Atomic Grape_x000a_Garden Hoard"/>
  </r>
  <r>
    <n v="0.16666666666666666"/>
    <x v="114"/>
    <s v="Tomato"/>
    <s v="Pinky"/>
    <s v="Uprising"/>
    <s v="Pinky Uprising"/>
    <s v="Tomato_x000a_Pinky_x000a_Uprising"/>
  </r>
  <r>
    <n v="0.16666666666666666"/>
    <x v="114"/>
    <s v="Tomato"/>
    <s v="Sun Dipper"/>
    <s v="Osborne"/>
    <s v="Sun Dipper Osborne"/>
    <s v="Tomato_x000a_Sun Dipper_x000a_Osborne"/>
  </r>
  <r>
    <n v="0.16666666666666666"/>
    <x v="114"/>
    <s v="Tomato"/>
    <s v="Chocolate Sprinkles"/>
    <s v="Osborne"/>
    <s v="Chocolate Sprinkles Osborne"/>
    <s v="Tomato_x000a_Chocolate Sprinkles_x000a_Osborne"/>
  </r>
  <r>
    <n v="0.16666666666666666"/>
    <x v="114"/>
    <s v="Tomato"/>
    <s v="Minivento"/>
    <s v="Bene"/>
    <s v="Minivento Bene"/>
    <s v="Tomato_x000a_Minivento_x000a_Bene"/>
  </r>
  <r>
    <n v="0.5"/>
    <x v="115"/>
    <s v="Tomato"/>
    <s v="Cipolla's Pride"/>
    <s v="Johnny's"/>
    <s v="Cipolla's Pride Johnny's"/>
    <s v="Tomato_x000a_Cipolla's Pride_x000a_Johnny's"/>
  </r>
  <r>
    <n v="0.5"/>
    <x v="115"/>
    <s v="Tomato"/>
    <s v="Salvaterra's Select"/>
    <s v="Seed Savers"/>
    <s v="Salvaterra's Select Seed Savers"/>
    <s v="Tomato_x000a_Salvaterra's Select_x000a_Seed Savers"/>
  </r>
  <r>
    <n v="0.15"/>
    <x v="116"/>
    <s v="Tomato"/>
    <s v="Marnero"/>
    <s v="Johnny's"/>
    <s v="Marnero Johnny's"/>
    <s v="Tomato_x000a_Marnero_x000a_Johnny's"/>
  </r>
  <r>
    <n v="0.15"/>
    <x v="116"/>
    <s v="Tomato"/>
    <s v="Margold"/>
    <s v="Johnny's"/>
    <s v="Margold Johnny's"/>
    <s v="Tomato_x000a_Margold_x000a_Johnny's"/>
  </r>
  <r>
    <n v="0.15"/>
    <x v="116"/>
    <s v="Tomato"/>
    <s v="Marbonne"/>
    <s v="Johnny's"/>
    <s v="Marbonne Johnny's"/>
    <s v="Tomato_x000a_Marbonne_x000a_Johnny's"/>
  </r>
  <r>
    <n v="0.05"/>
    <x v="116"/>
    <s v="Tomato"/>
    <s v="Tiffen Mennonite"/>
    <s v="Adaptive"/>
    <s v="Tiffen Mennonite Adaptive"/>
    <s v="Tomato_x000a_Tiffen Mennonite_x000a_Adaptive"/>
  </r>
  <r>
    <n v="0.05"/>
    <x v="116"/>
    <s v="Tomato"/>
    <s v="Brandywine"/>
    <s v="Seed Savers"/>
    <s v="Brandywine Seed Savers"/>
    <s v="Tomato_x000a_Brandywine_x000a_Seed Savers"/>
  </r>
  <r>
    <n v="0.05"/>
    <x v="116"/>
    <s v="Tomato"/>
    <s v="German Johnson"/>
    <s v="Johnny's"/>
    <s v="German Johnson Johnny's"/>
    <s v="Tomato_x000a_German Johnson_x000a_Johnny's"/>
  </r>
  <r>
    <n v="0.05"/>
    <x v="116"/>
    <s v="Tomato"/>
    <s v="Janet's Jacinth Jewel"/>
    <s v="A P Whaley"/>
    <s v="Janet's Jacinth Jewel A P Whaley"/>
    <s v="Tomato_x000a_Janet's Jacinth Jewel_x000a_A P Whaley"/>
  </r>
  <r>
    <n v="0.05"/>
    <x v="116"/>
    <s v="Tomato"/>
    <s v="Large Barred Boar"/>
    <s v="A P Whaley"/>
    <s v="Large Barred Boar A P Whaley"/>
    <s v="Tomato_x000a_Large Barred Boar_x000a_A P Whaley"/>
  </r>
  <r>
    <n v="0.05"/>
    <x v="116"/>
    <s v="Tomato"/>
    <s v="Beauty King"/>
    <s v="A P Whaley"/>
    <s v="Beauty King A P Whaley"/>
    <s v="Tomato_x000a_Beauty King_x000a_A P Whaley"/>
  </r>
  <r>
    <n v="0.05"/>
    <x v="116"/>
    <s v="Tomato"/>
    <s v="Solar Flare"/>
    <s v="Osborne"/>
    <s v="Solar Flare Osborne"/>
    <s v="Tomato_x000a_Solar Flare_x000a_Osborne"/>
  </r>
  <r>
    <n v="0.05"/>
    <x v="116"/>
    <s v="Tomato"/>
    <s v="Woodstock"/>
    <s v="Johnnys"/>
    <s v="Woodstock Johnnys"/>
    <s v="Tomato_x000a_Woodstock_x000a_Johnnys"/>
  </r>
  <r>
    <n v="0.05"/>
    <x v="116"/>
    <s v="Tomato"/>
    <s v="Pink Jazz"/>
    <s v="A P Whaley"/>
    <s v="Pink Jazz A P Whaley"/>
    <s v="Tomato_x000a_Pink Jazz_x000a_A P Whaley"/>
  </r>
  <r>
    <n v="0.05"/>
    <x v="116"/>
    <s v="Tomato"/>
    <s v="Pork Chop"/>
    <s v="Osborne"/>
    <s v="Pork Chop Osborne"/>
    <s v="Tomato_x000a_Pork Chop_x000a_Osborne"/>
  </r>
  <r>
    <n v="0.05"/>
    <x v="116"/>
    <s v="Tomato"/>
    <s v="Gin Fizz"/>
    <s v="Johnny's"/>
    <s v="Gin Fizz Johnny's"/>
    <s v="Tomato_x000a_Gin Fizz_x000a_Johnny's"/>
  </r>
  <r>
    <n v="0.5"/>
    <x v="117"/>
    <s v="Turnip"/>
    <s v="Aprovecho Hardy"/>
    <s v="Adaptive"/>
    <s v="Aprovecho Hardy Adaptive"/>
    <s v="Turnip_x000a_Aprovecho Hardy_x000a_Adaptive"/>
  </r>
  <r>
    <n v="0.5"/>
    <x v="117"/>
    <s v="Turnip"/>
    <s v="Hakurei"/>
    <s v="High Mowing"/>
    <s v="Hakurei High Mowing"/>
    <s v="Turnip_x000a_Hakurei_x000a_High Mowing"/>
  </r>
  <r>
    <n v="0.5"/>
    <x v="118"/>
    <s v="Turnip"/>
    <s v="Hakurei"/>
    <s v="Johnny's"/>
    <s v="Hakurei Johnny's"/>
    <s v="Turnip_x000a_Hakurei_x000a_Johnny's"/>
  </r>
  <r>
    <n v="0.5"/>
    <x v="118"/>
    <s v="Turnip"/>
    <s v="Tokyo Market"/>
    <s v="Adaptive"/>
    <s v="Tokyo Market Adaptive"/>
    <s v="Turnip_x000a_Tokyo Market_x000a_Adaptive"/>
  </r>
  <r>
    <n v="0.5"/>
    <x v="119"/>
    <s v="Watermelon"/>
    <s v="Mini Love"/>
    <s v="Johnny's"/>
    <s v="Mini Love"/>
    <s v="Watermelon_x000a_Mini Love_x000a_Johnny's"/>
  </r>
  <r>
    <n v="0.5"/>
    <x v="119"/>
    <s v="Watermelon"/>
    <s v="Blacktail Mountain"/>
    <s v="High Mowing"/>
    <s v="Blacktail Mountain High Mowing"/>
    <s v="Watermelon_x000a_Blacktail Mountain_x000a_High Mowing"/>
  </r>
  <r>
    <n v="0.33333333333333331"/>
    <x v="120"/>
    <s v="Yarrow"/>
    <s v="Noblessa"/>
    <s v="Wild Garden"/>
    <s v="Noblessa Wild Garden"/>
    <s v="Yarrow_x000a_Noblessa_x000a_Wild Garden"/>
  </r>
  <r>
    <n v="0.33333333333333331"/>
    <x v="120"/>
    <s v="Yarrow"/>
    <s v="Summer Berries"/>
    <s v="Wild Garden"/>
    <s v="Summer Berries Wild Garden"/>
    <s v="Yarrow_x000a_Summer Berries_x000a_Wild Garden"/>
  </r>
  <r>
    <n v="0.33333333333333331"/>
    <x v="120"/>
    <s v="Yarrow"/>
    <s v="Summer Pastels"/>
    <s v="Wild Garden"/>
    <s v="Summer Pastels Wild Garden"/>
    <s v="Yarrow_x000a_Summer Pastels_x000a_Wild Garden"/>
  </r>
  <r>
    <n v="0.33333333333333331"/>
    <x v="121"/>
    <s v="Zinnia"/>
    <s v="Benary's Giant Mix"/>
    <s v="Fedco"/>
    <s v="Benary's Giant Mix Fedco"/>
    <s v="Zinnia_x000a_Benary's Giant Mix_x000a_Fedco"/>
  </r>
  <r>
    <n v="0.33333333333333331"/>
    <x v="121"/>
    <s v="Zinnia"/>
    <s v="UV Bee Mix"/>
    <s v="Wild Garden"/>
    <s v="UV Bee Mix Wild Garden"/>
    <s v="Zinnia_x000a_UV Bee Mix_x000a_Wild Garden"/>
  </r>
  <r>
    <n v="0.33333333333333331"/>
    <x v="121"/>
    <s v="Zinnia"/>
    <s v="Wild Garden Zinnia Mix"/>
    <s v="Wild Garden"/>
    <s v="Wild Garden Zinnia Mix Wild Garden"/>
    <s v="Zinnia_x000a_Wild Garden Zinnia Mix_x000a_Wild Garden"/>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x v="0"/>
    <x v="0"/>
    <s v="SOR485"/>
    <s v="J2"/>
    <s v="Sorrel"/>
    <s v="Sorrel Mix"/>
    <m/>
    <n v="128"/>
    <n v="28"/>
    <n v="0.609375"/>
    <n v="0"/>
    <n v="0"/>
    <s v=""/>
    <n v="0"/>
    <n v="0"/>
    <s v=""/>
    <n v="3"/>
    <n v="0.4"/>
    <n v="1.3"/>
    <n v="0"/>
    <n v="78"/>
    <n v="60"/>
  </r>
  <r>
    <x v="0"/>
    <x v="1"/>
    <s v="CHO001"/>
    <s v="F0"/>
    <s v="Choi Sum"/>
    <s v="Green 70 D"/>
    <s v="Johnny's"/>
    <n v="128"/>
    <n v="30"/>
    <n v="1.5234375"/>
    <n v="0"/>
    <n v="0"/>
    <s v=""/>
    <n v="0"/>
    <n v="0"/>
    <s v=""/>
    <n v="1"/>
    <n v="1"/>
    <n v="1.3"/>
    <n v="0"/>
    <n v="195"/>
    <n v="150"/>
  </r>
  <r>
    <x v="0"/>
    <x v="1"/>
    <s v="PEP002"/>
    <s v="A3"/>
    <s v="Pepper"/>
    <s v="Sweet Pepper Mix"/>
    <m/>
    <n v="128"/>
    <n v="28"/>
    <n v="0.5078125"/>
    <n v="18"/>
    <n v="62"/>
    <n v="3.6111111111111112"/>
    <n v="0"/>
    <n v="0"/>
    <s v=""/>
    <n v="1"/>
    <n v="0.5"/>
    <n v="1.3"/>
    <n v="0"/>
    <n v="65"/>
    <n v="50"/>
  </r>
  <r>
    <x v="0"/>
    <x v="1"/>
    <s v="PEP004"/>
    <s v="A3"/>
    <s v="Pepper"/>
    <s v="Sweet Pepper Mix"/>
    <m/>
    <n v="128"/>
    <n v="28"/>
    <n v="0.5078125"/>
    <n v="18"/>
    <n v="62"/>
    <n v="3.6111111111111112"/>
    <n v="0"/>
    <n v="0"/>
    <s v=""/>
    <n v="1"/>
    <n v="0.5"/>
    <n v="1.3"/>
    <n v="0"/>
    <n v="65"/>
    <n v="50"/>
  </r>
  <r>
    <x v="0"/>
    <x v="1"/>
    <s v="ONI004"/>
    <s v="A8"/>
    <s v="Onion"/>
    <s v="Rot Resistant Onions Mix"/>
    <m/>
    <n v="128"/>
    <n v="28"/>
    <n v="1.2890625"/>
    <n v="0"/>
    <n v="0"/>
    <s v=""/>
    <n v="0"/>
    <n v="0"/>
    <s v=""/>
    <n v="10"/>
    <n v="1"/>
    <n v="1.1000000000000001"/>
    <n v="0"/>
    <n v="165"/>
    <n v="150"/>
  </r>
  <r>
    <x v="0"/>
    <x v="1"/>
    <s v="PEA001"/>
    <s v="I1"/>
    <s v="Peas"/>
    <s v="Snap Pea Mix"/>
    <m/>
    <n v="128"/>
    <n v="21"/>
    <n v="2.708333333333333"/>
    <n v="0"/>
    <n v="0"/>
    <s v=""/>
    <n v="0"/>
    <n v="0"/>
    <s v=""/>
    <n v="3"/>
    <n v="2"/>
    <n v="1.3"/>
    <n v="0"/>
    <n v="346.66666666666663"/>
    <n v="266.66666666666663"/>
  </r>
  <r>
    <x v="0"/>
    <x v="1"/>
    <s v="ONI003"/>
    <s v="F2"/>
    <s v="Onion"/>
    <s v="Rot Resistant Onions Mix"/>
    <m/>
    <n v="128"/>
    <n v="42"/>
    <n v="1.2890625"/>
    <n v="0"/>
    <n v="0"/>
    <s v=""/>
    <n v="0"/>
    <n v="0"/>
    <s v=""/>
    <n v="6"/>
    <n v="1"/>
    <n v="1.1000000000000001"/>
    <n v="0"/>
    <n v="165"/>
    <n v="150"/>
  </r>
  <r>
    <x v="0"/>
    <x v="1"/>
    <s v="FEN003"/>
    <s v="D3"/>
    <s v="Fennel"/>
    <s v="Fennel Mix"/>
    <m/>
    <n v="128"/>
    <n v="30"/>
    <n v="4.0625"/>
    <n v="0"/>
    <n v="0"/>
    <s v=""/>
    <n v="0"/>
    <n v="0"/>
    <s v=""/>
    <n v="1"/>
    <n v="1"/>
    <n v="1.3"/>
    <n v="10"/>
    <n v="520"/>
    <n v="400"/>
  </r>
  <r>
    <x v="0"/>
    <x v="1"/>
    <s v="PEP001"/>
    <s v="H8"/>
    <s v="Pepper"/>
    <s v="Shishito"/>
    <s v="Osborne"/>
    <n v="128"/>
    <n v="28"/>
    <n v="0.5078125"/>
    <n v="18"/>
    <n v="62"/>
    <n v="3.6111111111111112"/>
    <n v="0"/>
    <n v="0"/>
    <s v=""/>
    <n v="1"/>
    <n v="0.5"/>
    <n v="1.3"/>
    <n v="0"/>
    <n v="65"/>
    <n v="50"/>
  </r>
  <r>
    <x v="0"/>
    <x v="1"/>
    <s v="PEP003"/>
    <s v="H8"/>
    <s v="Pepper"/>
    <s v="Shishito"/>
    <s v="Osborne"/>
    <n v="128"/>
    <n v="28"/>
    <n v="0.5078125"/>
    <n v="18"/>
    <n v="62"/>
    <n v="3.6111111111111112"/>
    <n v="0"/>
    <n v="0"/>
    <s v=""/>
    <n v="1"/>
    <n v="0.5"/>
    <n v="1.3"/>
    <n v="0"/>
    <n v="65"/>
    <n v="50"/>
  </r>
  <r>
    <x v="0"/>
    <x v="2"/>
    <s v="SCA633"/>
    <s v="A4"/>
    <s v="Scallion"/>
    <s v="Scallion Mix"/>
    <m/>
    <n v="128"/>
    <n v="42"/>
    <n v="0.85937500000000011"/>
    <n v="0"/>
    <n v="0"/>
    <s v=""/>
    <n v="0"/>
    <n v="0"/>
    <s v=""/>
    <n v="6"/>
    <n v="0.25"/>
    <n v="1.1000000000000001"/>
    <n v="17"/>
    <n v="110.00000000000001"/>
    <n v="100"/>
  </r>
  <r>
    <x v="0"/>
    <x v="2"/>
    <s v="KOH003"/>
    <s v="A2"/>
    <s v="Kohlrabi"/>
    <s v="Fresh Kholrabi Mix"/>
    <m/>
    <n v="128"/>
    <n v="25"/>
    <n v="3.046875"/>
    <n v="0"/>
    <n v="0"/>
    <s v=""/>
    <n v="0"/>
    <n v="0"/>
    <s v=""/>
    <n v="1"/>
    <n v="1"/>
    <n v="1.3"/>
    <n v="0"/>
    <n v="390"/>
    <n v="300"/>
  </r>
  <r>
    <x v="0"/>
    <x v="2"/>
    <s v="DIL001"/>
    <s v="A4"/>
    <s v="Dill"/>
    <s v="Dill Mix"/>
    <m/>
    <n v="128"/>
    <n v="26"/>
    <n v="1.7187500000000002"/>
    <n v="0"/>
    <n v="0"/>
    <s v=""/>
    <n v="0"/>
    <n v="0"/>
    <s v=""/>
    <n v="4"/>
    <n v="0.25"/>
    <n v="1.1000000000000001"/>
    <n v="0"/>
    <n v="220.00000000000003"/>
    <n v="200"/>
  </r>
  <r>
    <x v="0"/>
    <x v="2"/>
    <s v="DIL002"/>
    <s v="B2"/>
    <s v="Dill"/>
    <s v="Dill Mix"/>
    <m/>
    <n v="128"/>
    <n v="26"/>
    <n v="1.7187500000000002"/>
    <n v="0"/>
    <n v="0"/>
    <s v=""/>
    <n v="0"/>
    <n v="0"/>
    <s v=""/>
    <n v="4"/>
    <n v="0.25"/>
    <n v="1.1000000000000001"/>
    <n v="0"/>
    <n v="220.00000000000003"/>
    <n v="200"/>
  </r>
  <r>
    <x v="0"/>
    <x v="3"/>
    <s v="CEL001"/>
    <s v="G1"/>
    <s v="Celery"/>
    <s v="Celery Mix"/>
    <m/>
    <n v="400"/>
    <n v="21"/>
    <n v="0.48750000000000004"/>
    <n v="128"/>
    <n v="48"/>
    <n v="1.5234375"/>
    <n v="0"/>
    <n v="0"/>
    <s v=""/>
    <n v="1"/>
    <n v="1"/>
    <n v="1.3"/>
    <n v="0"/>
    <n v="195.00000000000003"/>
    <n v="150.00000000000003"/>
  </r>
  <r>
    <x v="0"/>
    <x v="3"/>
    <s v="LET013"/>
    <s v="A6"/>
    <s v="Lettuce"/>
    <s v="Salanova Mix"/>
    <m/>
    <n v="128"/>
    <n v="30"/>
    <n v="2.708333333333333"/>
    <n v="0"/>
    <n v="0"/>
    <s v=""/>
    <n v="0"/>
    <n v="0"/>
    <s v=""/>
    <n v="1"/>
    <n v="1"/>
    <n v="1.3"/>
    <n v="0"/>
    <n v="346.66666666666663"/>
    <n v="266.66666666666663"/>
  </r>
  <r>
    <x v="0"/>
    <x v="3"/>
    <s v="CAB003"/>
    <s v="E7"/>
    <s v="Cabbage"/>
    <s v="Mini Cabbage Mix"/>
    <m/>
    <n v="400"/>
    <n v="7"/>
    <n v="0.22000000000000003"/>
    <n v="72"/>
    <n v="28"/>
    <n v="1.2222222222222223"/>
    <n v="0"/>
    <n v="0"/>
    <s v=""/>
    <n v="1"/>
    <n v="0.4"/>
    <n v="1.1000000000000001"/>
    <n v="0"/>
    <n v="88.000000000000014"/>
    <n v="80"/>
  </r>
  <r>
    <x v="0"/>
    <x v="3"/>
    <s v="CIL002"/>
    <s v="A4"/>
    <s v="Cilantro"/>
    <s v="Cilantro Mix"/>
    <m/>
    <n v="128"/>
    <n v="30"/>
    <n v="1.07421875"/>
    <n v="0"/>
    <n v="0"/>
    <s v=""/>
    <n v="0"/>
    <n v="0"/>
    <s v=""/>
    <n v="3"/>
    <n v="0.25"/>
    <n v="1.1000000000000001"/>
    <n v="0"/>
    <n v="137.5"/>
    <n v="124.99999999999999"/>
  </r>
  <r>
    <x v="0"/>
    <x v="3"/>
    <s v="CIL003"/>
    <s v="B2"/>
    <s v="Cilantro"/>
    <s v="Cilantro Mix"/>
    <m/>
    <n v="128"/>
    <n v="30"/>
    <n v="1.07421875"/>
    <n v="0"/>
    <n v="0"/>
    <s v=""/>
    <n v="0"/>
    <n v="0"/>
    <s v=""/>
    <n v="3"/>
    <n v="0.25"/>
    <n v="1.1000000000000001"/>
    <n v="0"/>
    <n v="137.5"/>
    <n v="124.99999999999999"/>
  </r>
  <r>
    <x v="0"/>
    <x v="3"/>
    <s v="ONI005"/>
    <s v="C4"/>
    <s v="Onion"/>
    <s v="Rot Resistant Onions Mix"/>
    <m/>
    <n v="128"/>
    <n v="28"/>
    <n v="1.2890625"/>
    <n v="0"/>
    <n v="0"/>
    <s v=""/>
    <n v="0"/>
    <n v="0"/>
    <s v=""/>
    <n v="10"/>
    <n v="1"/>
    <n v="1.1000000000000001"/>
    <n v="0"/>
    <n v="165"/>
    <n v="150"/>
  </r>
  <r>
    <x v="0"/>
    <x v="3"/>
    <s v="CIL004"/>
    <s v="B2"/>
    <s v="Cilantro"/>
    <s v="Cilantro Mix"/>
    <m/>
    <n v="128"/>
    <n v="30"/>
    <n v="1.07421875"/>
    <n v="0"/>
    <n v="0"/>
    <s v=""/>
    <n v="0"/>
    <n v="0"/>
    <s v=""/>
    <n v="3"/>
    <n v="0.25"/>
    <n v="1.1000000000000001"/>
    <n v="0"/>
    <n v="137.5"/>
    <n v="124.99999999999999"/>
  </r>
  <r>
    <x v="0"/>
    <x v="4"/>
    <s v="LET012"/>
    <s v="F5"/>
    <s v="Lettuce"/>
    <s v="Salanova Mix"/>
    <m/>
    <n v="128"/>
    <n v="30"/>
    <n v="5.4166666666666661"/>
    <n v="0"/>
    <n v="0"/>
    <s v=""/>
    <n v="0"/>
    <n v="0"/>
    <s v=""/>
    <n v="1"/>
    <n v="2"/>
    <n v="1.3"/>
    <n v="0"/>
    <n v="693.33333333333326"/>
    <n v="533.33333333333326"/>
  </r>
  <r>
    <x v="0"/>
    <x v="5"/>
    <s v="TOM003"/>
    <s v="A5"/>
    <s v="Tomato"/>
    <s v="Large Tomato Mix"/>
    <m/>
    <n v="72"/>
    <n v="21"/>
    <n v="0.30092592592592587"/>
    <n v="18"/>
    <n v="21"/>
    <n v="1.2037037037037035"/>
    <n v="9"/>
    <n v="14"/>
    <n v="2.407407407407407"/>
    <n v="1"/>
    <n v="0.5"/>
    <n v="1.3"/>
    <n v="0"/>
    <n v="21.666666666666664"/>
    <n v="16.666666666666664"/>
  </r>
  <r>
    <x v="0"/>
    <x v="5"/>
    <s v="TOM004"/>
    <s v="A4"/>
    <s v="Tomato"/>
    <s v="Cherry Tomato Mix"/>
    <m/>
    <n v="72"/>
    <n v="21"/>
    <n v="0.30092592592592587"/>
    <n v="18"/>
    <n v="21"/>
    <n v="1.2037037037037035"/>
    <n v="9"/>
    <n v="14"/>
    <n v="2.407407407407407"/>
    <n v="1"/>
    <n v="0.5"/>
    <n v="1.3"/>
    <n v="0"/>
    <n v="21.666666666666664"/>
    <n v="16.666666666666664"/>
  </r>
  <r>
    <x v="0"/>
    <x v="5"/>
    <s v="PEP005"/>
    <s v="J3"/>
    <s v="Pepper"/>
    <s v="Hot Pepper Mix"/>
    <m/>
    <n v="128"/>
    <n v="28"/>
    <n v="0.40625"/>
    <n v="18"/>
    <n v="62"/>
    <n v="2.8888888888888893"/>
    <n v="0"/>
    <n v="0"/>
    <s v=""/>
    <n v="1"/>
    <n v="0.4"/>
    <n v="1.3"/>
    <n v="0"/>
    <n v="52"/>
    <n v="40"/>
  </r>
  <r>
    <x v="0"/>
    <x v="5"/>
    <s v="LET014"/>
    <s v="E2"/>
    <s v="Lettuce"/>
    <s v="Brown Goldring"/>
    <s v="Wild Garden"/>
    <n v="128"/>
    <n v="30"/>
    <n v="1.0833333333333333"/>
    <n v="0"/>
    <n v="0"/>
    <s v=""/>
    <n v="0"/>
    <n v="0"/>
    <s v=""/>
    <n v="1"/>
    <n v="0.4"/>
    <n v="1.3"/>
    <n v="0"/>
    <n v="138.66666666666666"/>
    <n v="106.66666666666666"/>
  </r>
  <r>
    <x v="0"/>
    <x v="5"/>
    <s v="CAB004"/>
    <s v="D1"/>
    <s v="Cabbage"/>
    <s v="Farao"/>
    <s v="High Mowing"/>
    <n v="400"/>
    <n v="7"/>
    <n v="0.55000000000000004"/>
    <n v="72"/>
    <n v="28"/>
    <n v="3.0555555555555558"/>
    <n v="0"/>
    <n v="0"/>
    <s v=""/>
    <n v="1"/>
    <n v="1"/>
    <n v="1.1000000000000001"/>
    <n v="0"/>
    <n v="220.00000000000003"/>
    <n v="200"/>
  </r>
  <r>
    <x v="0"/>
    <x v="5"/>
    <s v="TOM002"/>
    <s v="H1"/>
    <s v="Tomato"/>
    <s v="Large Tomato Mix"/>
    <m/>
    <n v="72"/>
    <n v="21"/>
    <n v="1.2037037037037035"/>
    <n v="18"/>
    <n v="21"/>
    <n v="4.814814814814814"/>
    <n v="9"/>
    <n v="14"/>
    <n v="9.629629629629628"/>
    <n v="1"/>
    <n v="2"/>
    <n v="1.3"/>
    <n v="0"/>
    <n v="86.666666666666657"/>
    <n v="66.666666666666657"/>
  </r>
  <r>
    <x v="0"/>
    <x v="5"/>
    <s v="TOM005"/>
    <s v="H3"/>
    <s v="Tomato"/>
    <s v="Medium Tomato Mix"/>
    <m/>
    <n v="72"/>
    <n v="21"/>
    <n v="1.2037037037037035"/>
    <n v="18"/>
    <n v="21"/>
    <n v="4.814814814814814"/>
    <n v="9"/>
    <n v="14"/>
    <n v="9.629629629629628"/>
    <n v="1"/>
    <n v="2"/>
    <n v="1.3"/>
    <n v="0"/>
    <n v="86.666666666666657"/>
    <n v="66.666666666666657"/>
  </r>
  <r>
    <x v="0"/>
    <x v="5"/>
    <s v="KAL003"/>
    <s v="B3"/>
    <s v="Kale"/>
    <s v="Warm Kale Mix"/>
    <m/>
    <n v="72"/>
    <n v="35"/>
    <n v="2.0370370370370368"/>
    <n v="0"/>
    <n v="0"/>
    <s v=""/>
    <n v="0"/>
    <n v="0"/>
    <s v=""/>
    <n v="2"/>
    <n v="2"/>
    <n v="1.1000000000000001"/>
    <n v="0"/>
    <n v="146.66666666666666"/>
    <n v="133.33333333333331"/>
  </r>
  <r>
    <x v="0"/>
    <x v="5"/>
    <s v="PAR001"/>
    <s v="G0"/>
    <s v="Parsley"/>
    <s v="Parsley Mix"/>
    <m/>
    <n v="128"/>
    <n v="35"/>
    <n v="2.03125"/>
    <n v="0"/>
    <n v="0"/>
    <n v="0"/>
    <n v="0"/>
    <n v="0"/>
    <s v=""/>
    <n v="3"/>
    <n v="1"/>
    <n v="1.3"/>
    <n v="24"/>
    <n v="260"/>
    <n v="200"/>
  </r>
  <r>
    <x v="0"/>
    <x v="5"/>
    <s v="LEM001"/>
    <s v="H5"/>
    <s v="Lemongrass"/>
    <s v="East Indian Lemongrass"/>
    <s v="Johnny's"/>
    <n v="72"/>
    <n v="40"/>
    <n v="1.8055555555555556"/>
    <n v="0"/>
    <n v="0"/>
    <s v=""/>
    <n v="0"/>
    <n v="0"/>
    <s v=""/>
    <n v="1"/>
    <n v="1"/>
    <n v="1.3"/>
    <n v="10"/>
    <n v="130"/>
    <n v="100"/>
  </r>
  <r>
    <x v="0"/>
    <x v="5"/>
    <s v="TOM001"/>
    <s v="A7"/>
    <s v="Tomatillo"/>
    <s v="Tomatillo Mix"/>
    <m/>
    <n v="72"/>
    <n v="21"/>
    <n v="0.60185185185185175"/>
    <n v="18"/>
    <n v="21"/>
    <n v="2.407407407407407"/>
    <n v="9"/>
    <n v="14"/>
    <n v="4.814814814814814"/>
    <n v="1"/>
    <n v="1"/>
    <n v="1.3"/>
    <n v="10"/>
    <n v="43.333333333333329"/>
    <n v="33.333333333333329"/>
  </r>
  <r>
    <x v="0"/>
    <x v="5"/>
    <s v="GOO001"/>
    <s v="A6"/>
    <s v="Gooseberry"/>
    <s v="Peruvian Ground Cherry"/>
    <s v="Garden Hoard"/>
    <n v="72"/>
    <n v="21"/>
    <n v="0.18055555555555558"/>
    <n v="21"/>
    <n v="18"/>
    <n v="0.61904761904761907"/>
    <n v="9"/>
    <n v="14"/>
    <n v="1.4444444444444446"/>
    <n v="1"/>
    <n v="0.5"/>
    <n v="1.3"/>
    <n v="0"/>
    <n v="13.000000000000002"/>
    <n v="10.000000000000002"/>
  </r>
  <r>
    <x v="0"/>
    <x v="6"/>
    <s v="BOK001"/>
    <s v="E3"/>
    <s v="Asian Greens"/>
    <s v="Asian Green Mix"/>
    <m/>
    <n v="128"/>
    <n v="28"/>
    <n v="4.333333333333333"/>
    <n v="0"/>
    <n v="0"/>
    <s v=""/>
    <n v="0"/>
    <n v="0"/>
    <s v=""/>
    <n v="1"/>
    <n v="1.6"/>
    <n v="1.3"/>
    <n v="0"/>
    <n v="554.66666666666663"/>
    <n v="426.66666666666663"/>
  </r>
  <r>
    <x v="0"/>
    <x v="6"/>
    <s v="SCA635"/>
    <s v="C3"/>
    <s v="Scallion"/>
    <s v="Scallion Mix"/>
    <m/>
    <n v="128"/>
    <n v="42"/>
    <n v="1.7187500000000002"/>
    <n v="0"/>
    <n v="0"/>
    <s v=""/>
    <n v="0"/>
    <n v="0"/>
    <s v=""/>
    <n v="6"/>
    <n v="0.5"/>
    <n v="1.1000000000000001"/>
    <n v="17"/>
    <n v="220.00000000000003"/>
    <n v="200"/>
  </r>
  <r>
    <x v="0"/>
    <x v="7"/>
    <s v="LEE001"/>
    <s v="G2"/>
    <s v="Leek"/>
    <s v="Summer Leek Mix"/>
    <m/>
    <n v="400"/>
    <n v="60"/>
    <n v="1.7333333333333329"/>
    <n v="0"/>
    <n v="0"/>
    <s v=""/>
    <n v="0"/>
    <n v="0"/>
    <s v=""/>
    <n v="5"/>
    <n v="2"/>
    <n v="1.3"/>
    <n v="0"/>
    <n v="693.33333333333314"/>
    <n v="533.33333333333314"/>
  </r>
  <r>
    <x v="0"/>
    <x v="8"/>
    <s v="TOM006"/>
    <s v="U5"/>
    <s v="Tomato"/>
    <s v="Determinate Beefsteak Mix"/>
    <m/>
    <n v="72"/>
    <n v="21"/>
    <n v="2.7083333333333335"/>
    <n v="18"/>
    <n v="21"/>
    <n v="10.833333333333334"/>
    <n v="9"/>
    <n v="14"/>
    <n v="21.666666666666668"/>
    <n v="1"/>
    <n v="6"/>
    <n v="1.3"/>
    <n v="0"/>
    <n v="195"/>
    <n v="150"/>
  </r>
  <r>
    <x v="0"/>
    <x v="8"/>
    <s v="TOM010"/>
    <s v="A2"/>
    <s v="Tomato"/>
    <s v="Determinate Beefsteak Mix"/>
    <m/>
    <n v="72"/>
    <n v="21"/>
    <n v="0.90277777777777779"/>
    <n v="18"/>
    <n v="21"/>
    <n v="3.6111111111111112"/>
    <n v="9"/>
    <n v="14"/>
    <n v="7.2222222222222223"/>
    <n v="1"/>
    <n v="2"/>
    <n v="1.3"/>
    <n v="0"/>
    <n v="65"/>
    <n v="50"/>
  </r>
  <r>
    <x v="0"/>
    <x v="8"/>
    <s v="SUM001"/>
    <s v="G8"/>
    <s v="Summer Squash"/>
    <s v="Centercut"/>
    <s v="Row 7"/>
    <n v="50"/>
    <n v="28"/>
    <n v="0.65"/>
    <n v="0"/>
    <n v="0"/>
    <s v=""/>
    <n v="0"/>
    <n v="0"/>
    <s v=""/>
    <n v="1"/>
    <n v="1"/>
    <n v="1.3"/>
    <n v="0"/>
    <n v="32.5"/>
    <n v="25"/>
  </r>
  <r>
    <x v="0"/>
    <x v="8"/>
    <s v="SUM002"/>
    <s v="F7"/>
    <s v="Summer Squash"/>
    <s v="Summer Squash Mix"/>
    <m/>
    <n v="50"/>
    <n v="28"/>
    <n v="1.3"/>
    <n v="0"/>
    <n v="0"/>
    <s v=""/>
    <n v="0"/>
    <n v="0"/>
    <s v=""/>
    <n v="1"/>
    <n v="2"/>
    <n v="1.3"/>
    <n v="0"/>
    <n v="65"/>
    <n v="50"/>
  </r>
  <r>
    <x v="0"/>
    <x v="8"/>
    <s v="LET018"/>
    <s v="G4"/>
    <s v="Lettuce"/>
    <s v="Salanova Mix"/>
    <m/>
    <n v="128"/>
    <n v="30"/>
    <n v="2.708333333333333"/>
    <n v="0"/>
    <n v="0"/>
    <s v=""/>
    <n v="0"/>
    <n v="0"/>
    <s v=""/>
    <n v="1"/>
    <n v="1"/>
    <n v="1.3"/>
    <n v="0"/>
    <n v="346.66666666666663"/>
    <n v="266.66666666666663"/>
  </r>
  <r>
    <x v="0"/>
    <x v="8"/>
    <s v="CUC001"/>
    <s v="A5"/>
    <s v="Cucumber"/>
    <s v="Asian Cucumber Mix"/>
    <m/>
    <n v="18"/>
    <n v="35"/>
    <n v="1.8055555555555554"/>
    <n v="0"/>
    <n v="0"/>
    <s v=""/>
    <n v="0"/>
    <n v="0"/>
    <s v=""/>
    <n v="1"/>
    <n v="0.75"/>
    <n v="1.3"/>
    <n v="0"/>
    <n v="32.5"/>
    <n v="25"/>
  </r>
  <r>
    <x v="0"/>
    <x v="8"/>
    <s v="CUC002"/>
    <s v="A4"/>
    <s v="Cucumber"/>
    <s v="Lebanese Cucumber Mix"/>
    <m/>
    <n v="18"/>
    <n v="35"/>
    <n v="0.90277777777777779"/>
    <n v="0"/>
    <n v="0"/>
    <s v=""/>
    <n v="0"/>
    <n v="0"/>
    <s v=""/>
    <n v="1"/>
    <n v="0.25"/>
    <n v="1.3"/>
    <n v="0"/>
    <n v="16.25"/>
    <n v="12.5"/>
  </r>
  <r>
    <x v="0"/>
    <x v="8"/>
    <s v="BAS001"/>
    <s v="A4"/>
    <s v="Basil"/>
    <s v="Basil Mix"/>
    <m/>
    <n v="128"/>
    <n v="40"/>
    <n v="0.5078125"/>
    <n v="0"/>
    <n v="0"/>
    <s v=""/>
    <n v="0"/>
    <n v="0"/>
    <s v=""/>
    <n v="1"/>
    <n v="1"/>
    <n v="1.3"/>
    <n v="10"/>
    <n v="65"/>
    <n v="50"/>
  </r>
  <r>
    <x v="0"/>
    <x v="8"/>
    <s v="LET015"/>
    <s v="E1"/>
    <s v="Lettuce"/>
    <s v="Rouge D'Hiver"/>
    <s v="High Mowing"/>
    <n v="128"/>
    <n v="30"/>
    <n v="1.0833333333333333"/>
    <n v="0"/>
    <n v="0"/>
    <s v=""/>
    <n v="0"/>
    <n v="0"/>
    <s v=""/>
    <n v="1"/>
    <n v="0.4"/>
    <n v="1.3"/>
    <n v="0"/>
    <n v="138.66666666666666"/>
    <n v="106.66666666666666"/>
  </r>
  <r>
    <x v="0"/>
    <x v="8"/>
    <s v="TOM007"/>
    <s v="U3"/>
    <s v="Tomato"/>
    <s v="Determinate Cherry Mix"/>
    <m/>
    <n v="72"/>
    <n v="21"/>
    <n v="3.6111111111111112"/>
    <n v="18"/>
    <n v="21"/>
    <n v="14.444444444444445"/>
    <n v="9"/>
    <n v="14"/>
    <n v="28.888888888888889"/>
    <n v="1"/>
    <n v="8"/>
    <n v="1.3"/>
    <n v="0"/>
    <n v="260"/>
    <n v="200"/>
  </r>
  <r>
    <x v="0"/>
    <x v="8"/>
    <s v="TOM011"/>
    <s v="X1"/>
    <s v="Tomato"/>
    <s v="Determinate Cherry Mix"/>
    <m/>
    <n v="72"/>
    <n v="21"/>
    <n v="0.4513888888888889"/>
    <n v="18"/>
    <n v="21"/>
    <n v="1.8055555555555556"/>
    <n v="9"/>
    <n v="14"/>
    <n v="3.6111111111111112"/>
    <n v="1"/>
    <n v="1"/>
    <n v="1.3"/>
    <n v="0"/>
    <n v="32.5"/>
    <n v="25"/>
  </r>
  <r>
    <x v="0"/>
    <x v="8"/>
    <s v="TOM008"/>
    <s v="U4"/>
    <s v="Tomato"/>
    <s v="Determinate Medium Mix"/>
    <m/>
    <n v="72"/>
    <n v="21"/>
    <n v="3.6111111111111112"/>
    <n v="18"/>
    <n v="21"/>
    <n v="14.444444444444445"/>
    <n v="9"/>
    <n v="14"/>
    <n v="28.888888888888889"/>
    <n v="1"/>
    <n v="8"/>
    <n v="1.3"/>
    <n v="0"/>
    <n v="260"/>
    <n v="200"/>
  </r>
  <r>
    <x v="0"/>
    <x v="8"/>
    <s v="TOM012"/>
    <s v="X4"/>
    <s v="Tomato"/>
    <s v="Determinate Medium Mix"/>
    <m/>
    <n v="72"/>
    <n v="21"/>
    <n v="0.4513888888888889"/>
    <n v="18"/>
    <n v="21"/>
    <n v="1.8055555555555556"/>
    <n v="9"/>
    <n v="14"/>
    <n v="3.6111111111111112"/>
    <n v="1"/>
    <n v="1"/>
    <n v="1.3"/>
    <n v="0"/>
    <n v="32.5"/>
    <n v="25"/>
  </r>
  <r>
    <x v="0"/>
    <x v="8"/>
    <s v="TOM009"/>
    <s v="U2"/>
    <s v="Tomato"/>
    <s v="Specialty Heirloom Mix"/>
    <s v="Test"/>
    <n v="72"/>
    <n v="21"/>
    <n v="9.75"/>
    <n v="18"/>
    <n v="21"/>
    <n v="39"/>
    <n v="9"/>
    <n v="14"/>
    <n v="78"/>
    <n v="1"/>
    <n v="10.8"/>
    <n v="1.3"/>
    <n v="0"/>
    <n v="702"/>
    <n v="540"/>
  </r>
  <r>
    <x v="0"/>
    <x v="8"/>
    <s v="DIL004"/>
    <s v="B2"/>
    <s v="Dill"/>
    <s v="Dill Mix"/>
    <m/>
    <n v="128"/>
    <n v="26"/>
    <n v="1.7187500000000002"/>
    <n v="0"/>
    <n v="0"/>
    <s v=""/>
    <n v="0"/>
    <n v="0"/>
    <s v=""/>
    <n v="4"/>
    <n v="0.25"/>
    <n v="1.1000000000000001"/>
    <n v="0"/>
    <n v="220.00000000000003"/>
    <n v="200"/>
  </r>
  <r>
    <x v="0"/>
    <x v="8"/>
    <s v="CIL005"/>
    <s v="B2"/>
    <s v="Cilantro"/>
    <s v="Cilantro Mix"/>
    <m/>
    <n v="128"/>
    <n v="30"/>
    <n v="1.07421875"/>
    <n v="0"/>
    <n v="0"/>
    <s v=""/>
    <n v="0"/>
    <n v="0"/>
    <s v=""/>
    <n v="3"/>
    <n v="0.25"/>
    <n v="1.1000000000000001"/>
    <n v="0"/>
    <n v="137.5"/>
    <n v="124.99999999999999"/>
  </r>
  <r>
    <x v="0"/>
    <x v="8"/>
    <s v="SQU002"/>
    <s v="B2"/>
    <s v="Squash"/>
    <s v="Delicata Mix"/>
    <m/>
    <n v="50"/>
    <n v="28"/>
    <n v="0.43333333333333324"/>
    <n v="0"/>
    <n v="0"/>
    <s v=""/>
    <n v="0"/>
    <n v="0"/>
    <s v=""/>
    <n v="1"/>
    <n v="1"/>
    <n v="1.3"/>
    <n v="0"/>
    <n v="21.666666666666661"/>
    <n v="16.666666666666661"/>
  </r>
  <r>
    <x v="0"/>
    <x v="8"/>
    <s v="SQU004"/>
    <s v="U4"/>
    <s v="Squash"/>
    <s v="Winter Squash Mix"/>
    <m/>
    <n v="50"/>
    <n v="28"/>
    <n v="6.9333333333333318"/>
    <n v="0"/>
    <n v="0"/>
    <s v=""/>
    <n v="0"/>
    <n v="0"/>
    <s v=""/>
    <n v="1"/>
    <n v="16"/>
    <n v="1.3"/>
    <n v="0"/>
    <n v="346.66666666666657"/>
    <n v="266.66666666666657"/>
  </r>
  <r>
    <x v="0"/>
    <x v="8"/>
    <s v="CUC003"/>
    <s v="F0"/>
    <s v="Cucumber"/>
    <s v="Asian Cucumber Mix"/>
    <m/>
    <n v="18"/>
    <n v="35"/>
    <n v="3.6111111111111112"/>
    <n v="0"/>
    <n v="0"/>
    <s v=""/>
    <n v="0"/>
    <n v="0"/>
    <s v=""/>
    <n v="1"/>
    <n v="1"/>
    <n v="1.3"/>
    <n v="0"/>
    <n v="65"/>
    <n v="50"/>
  </r>
  <r>
    <x v="0"/>
    <x v="8"/>
    <s v="CUC004"/>
    <s v="F1"/>
    <s v="Cucumber"/>
    <s v="Slicing Cucumber Mix"/>
    <m/>
    <n v="18"/>
    <n v="35"/>
    <n v="3.6111111111111112"/>
    <n v="0"/>
    <n v="0"/>
    <s v=""/>
    <n v="0"/>
    <n v="0"/>
    <s v=""/>
    <n v="1"/>
    <n v="1"/>
    <n v="1.3"/>
    <n v="0"/>
    <n v="65"/>
    <n v="50"/>
  </r>
  <r>
    <x v="0"/>
    <x v="8"/>
    <s v="BAS003"/>
    <s v="J1"/>
    <s v="Basil"/>
    <s v="Tulsi"/>
    <s v="Uprising"/>
    <n v="128"/>
    <n v="40"/>
    <n v="0.40625"/>
    <n v="0"/>
    <n v="0"/>
    <s v=""/>
    <n v="0"/>
    <n v="0"/>
    <s v=""/>
    <n v="1"/>
    <n v="0.4"/>
    <n v="1.3"/>
    <n v="10"/>
    <n v="52"/>
    <n v="40"/>
  </r>
  <r>
    <x v="0"/>
    <x v="8"/>
    <s v="MEL001"/>
    <s v="B7"/>
    <s v="Melon"/>
    <s v="Melon Mix"/>
    <m/>
    <n v="50"/>
    <n v="21"/>
    <n v="1.3"/>
    <n v="0"/>
    <n v="0"/>
    <s v=""/>
    <n v="0"/>
    <n v="0"/>
    <s v=""/>
    <n v="1"/>
    <n v="2"/>
    <n v="1.3"/>
    <n v="7"/>
    <n v="65"/>
    <n v="50"/>
  </r>
  <r>
    <x v="0"/>
    <x v="9"/>
    <s v="SWI002"/>
    <s v="I4"/>
    <s v="Swiss Chard"/>
    <s v="Swiss Chard Mix"/>
    <m/>
    <n v="128"/>
    <n v="24"/>
    <n v="0.57291666666666663"/>
    <n v="0"/>
    <n v="0"/>
    <s v=""/>
    <n v="0"/>
    <n v="0"/>
    <s v=""/>
    <n v="1"/>
    <n v="1"/>
    <n v="1.1000000000000001"/>
    <n v="0"/>
    <n v="73.333333333333329"/>
    <n v="66.666666666666657"/>
  </r>
  <r>
    <x v="0"/>
    <x v="9"/>
    <s v="LET019"/>
    <s v="G5"/>
    <s v="Lettuce"/>
    <s v="Salanova Mix"/>
    <m/>
    <n v="128"/>
    <n v="30"/>
    <n v="2.708333333333333"/>
    <n v="0"/>
    <n v="0"/>
    <s v=""/>
    <n v="0"/>
    <n v="0"/>
    <s v=""/>
    <n v="1"/>
    <n v="1"/>
    <n v="1.3"/>
    <n v="0"/>
    <n v="346.66666666666663"/>
    <n v="266.66666666666663"/>
  </r>
  <r>
    <x v="0"/>
    <x v="9"/>
    <s v="DIL005"/>
    <s v="B2"/>
    <s v="Dill"/>
    <s v="Dill Mix"/>
    <m/>
    <n v="128"/>
    <n v="26"/>
    <n v="1.7187500000000002"/>
    <n v="0"/>
    <n v="0"/>
    <s v=""/>
    <n v="0"/>
    <n v="0"/>
    <s v=""/>
    <n v="4"/>
    <n v="0.25"/>
    <n v="1.1000000000000001"/>
    <n v="0"/>
    <n v="220.00000000000003"/>
    <n v="200"/>
  </r>
  <r>
    <x v="0"/>
    <x v="9"/>
    <s v="CIL006"/>
    <s v="B2"/>
    <s v="Cilantro"/>
    <s v="Cilantro Mix"/>
    <m/>
    <n v="128"/>
    <n v="30"/>
    <n v="1.07421875"/>
    <n v="0"/>
    <n v="0"/>
    <s v=""/>
    <n v="0"/>
    <n v="0"/>
    <s v=""/>
    <n v="3"/>
    <n v="0.25"/>
    <n v="1.1000000000000001"/>
    <n v="0"/>
    <n v="137.5"/>
    <n v="124.99999999999999"/>
  </r>
  <r>
    <x v="0"/>
    <x v="10"/>
    <s v="LET016"/>
    <s v="E6"/>
    <s v="Lettuce"/>
    <s v="Jester"/>
    <s v="Wild Garden"/>
    <n v="128"/>
    <n v="30"/>
    <n v="1.0833333333333333"/>
    <n v="0"/>
    <n v="0"/>
    <s v=""/>
    <n v="0"/>
    <n v="0"/>
    <s v=""/>
    <n v="1"/>
    <n v="0.4"/>
    <n v="1.3"/>
    <n v="0"/>
    <n v="138.66666666666666"/>
    <n v="106.66666666666666"/>
  </r>
  <r>
    <x v="0"/>
    <x v="11"/>
    <s v="SCA634"/>
    <s v="C3"/>
    <s v="Scallion"/>
    <s v="Scallion Mix"/>
    <m/>
    <n v="128"/>
    <n v="42"/>
    <n v="1.7187500000000002"/>
    <n v="0"/>
    <n v="0"/>
    <s v=""/>
    <n v="0"/>
    <n v="0"/>
    <s v=""/>
    <n v="6"/>
    <n v="0.5"/>
    <n v="1.1000000000000001"/>
    <n v="17"/>
    <n v="220.00000000000003"/>
    <n v="200"/>
  </r>
  <r>
    <x v="0"/>
    <x v="11"/>
    <s v="DIL006"/>
    <s v="B2"/>
    <s v="Dill"/>
    <s v="Dill Mix"/>
    <m/>
    <n v="128"/>
    <n v="26"/>
    <n v="1.7187500000000002"/>
    <n v="0"/>
    <n v="0"/>
    <s v=""/>
    <n v="0"/>
    <n v="0"/>
    <s v=""/>
    <n v="4"/>
    <n v="0.25"/>
    <n v="1.1000000000000001"/>
    <n v="0"/>
    <n v="220.00000000000003"/>
    <n v="200"/>
  </r>
  <r>
    <x v="0"/>
    <x v="11"/>
    <s v="CIL007"/>
    <s v="B2"/>
    <s v="Cilantro"/>
    <s v="Cilantro Mix"/>
    <m/>
    <n v="128"/>
    <n v="30"/>
    <n v="1.07421875"/>
    <n v="0"/>
    <n v="0"/>
    <s v=""/>
    <n v="0"/>
    <n v="0"/>
    <s v=""/>
    <n v="3"/>
    <n v="0.25"/>
    <n v="1.1000000000000001"/>
    <n v="0"/>
    <n v="137.5"/>
    <n v="124.99999999999999"/>
  </r>
  <r>
    <x v="0"/>
    <x v="11"/>
    <s v="LET020"/>
    <s v="I5"/>
    <s v="Lettuce"/>
    <s v="Salanova Mix"/>
    <m/>
    <n v="128"/>
    <n v="30"/>
    <n v="2.708333333333333"/>
    <n v="0"/>
    <n v="0"/>
    <s v=""/>
    <n v="0"/>
    <n v="0"/>
    <s v=""/>
    <n v="1"/>
    <n v="1"/>
    <n v="1.3"/>
    <n v="0"/>
    <n v="346.66666666666663"/>
    <n v="266.66666666666663"/>
  </r>
  <r>
    <x v="0"/>
    <x v="11"/>
    <s v="LET017"/>
    <s v="E8"/>
    <s v="Lettuce"/>
    <s v="Truchas - Pelleted"/>
    <s v="Osborne"/>
    <n v="128"/>
    <n v="30"/>
    <n v="1.0833333333333333"/>
    <n v="0"/>
    <n v="0"/>
    <s v=""/>
    <n v="0"/>
    <n v="0"/>
    <s v=""/>
    <n v="1"/>
    <n v="0.4"/>
    <n v="1.3"/>
    <n v="0"/>
    <n v="138.66666666666666"/>
    <n v="106.66666666666666"/>
  </r>
  <r>
    <x v="0"/>
    <x v="12"/>
    <s v="BEE001"/>
    <s v="C7"/>
    <s v="Beet"/>
    <s v="Beet Mix"/>
    <m/>
    <n v="128"/>
    <n v="35"/>
    <n v="2.578125"/>
    <n v="0"/>
    <n v="0"/>
    <s v=""/>
    <n v="0"/>
    <n v="0"/>
    <s v=""/>
    <n v="3"/>
    <n v="2"/>
    <n v="1.1000000000000001"/>
    <n v="0"/>
    <n v="330"/>
    <n v="300"/>
  </r>
  <r>
    <x v="0"/>
    <x v="13"/>
    <s v="LET030"/>
    <s v="H7"/>
    <s v="Lettuce"/>
    <s v="Cool Lettuce Mix"/>
    <m/>
    <n v="128"/>
    <n v="30"/>
    <n v="2.708333333333333"/>
    <n v="0"/>
    <n v="0"/>
    <s v=""/>
    <n v="0"/>
    <n v="0"/>
    <s v=""/>
    <n v="1"/>
    <n v="1"/>
    <n v="1.3"/>
    <n v="0"/>
    <n v="346.66666666666663"/>
    <n v="266.66666666666663"/>
  </r>
  <r>
    <x v="0"/>
    <x v="13"/>
    <s v="BEA001"/>
    <s v="G6"/>
    <s v="Bean"/>
    <s v="Pole Bean Mix"/>
    <m/>
    <n v="128"/>
    <n v="14"/>
    <n v="1.5625"/>
    <n v="0"/>
    <n v="0"/>
    <s v=""/>
    <n v="0"/>
    <n v="0"/>
    <s v=""/>
    <n v="3"/>
    <n v="2"/>
    <n v="1"/>
    <n v="0"/>
    <n v="200"/>
    <n v="200"/>
  </r>
  <r>
    <x v="0"/>
    <x v="13"/>
    <s v="BEA002"/>
    <s v="I3"/>
    <s v="Bean"/>
    <s v="Pole Bean Mix"/>
    <m/>
    <n v="128"/>
    <n v="14"/>
    <n v="0.78125"/>
    <n v="0"/>
    <n v="0"/>
    <s v=""/>
    <n v="0"/>
    <n v="0"/>
    <s v=""/>
    <n v="3"/>
    <n v="1"/>
    <n v="1"/>
    <n v="0"/>
    <n v="100"/>
    <n v="100"/>
  </r>
  <r>
    <x v="0"/>
    <x v="13"/>
    <s v="BAS002"/>
    <s v="A6"/>
    <s v="Basil"/>
    <s v="Basil Mix"/>
    <m/>
    <n v="128"/>
    <n v="40"/>
    <n v="2.03125"/>
    <n v="0"/>
    <n v="0"/>
    <s v=""/>
    <n v="0"/>
    <n v="0"/>
    <s v=""/>
    <n v="1"/>
    <n v="1"/>
    <n v="1.3"/>
    <n v="10"/>
    <n v="260"/>
    <n v="200"/>
  </r>
  <r>
    <x v="0"/>
    <x v="13"/>
    <s v="SCA637"/>
    <s v="I2"/>
    <s v="Scallion"/>
    <s v="Scallion Mix"/>
    <m/>
    <n v="128"/>
    <n v="42"/>
    <n v="1.7187500000000002"/>
    <n v="0"/>
    <n v="0"/>
    <s v=""/>
    <n v="0"/>
    <n v="0"/>
    <s v=""/>
    <n v="6"/>
    <n v="0.5"/>
    <n v="1.1000000000000001"/>
    <n v="17"/>
    <n v="220.00000000000003"/>
    <n v="200"/>
  </r>
  <r>
    <x v="1"/>
    <x v="14"/>
    <s v="RAD002"/>
    <s v="E1"/>
    <s v="Radicchio"/>
    <s v="90 Mix"/>
    <m/>
    <n v="72"/>
    <n v="30"/>
    <n v="4.3333333333333339"/>
    <n v="0"/>
    <n v="0"/>
    <s v=""/>
    <n v="0"/>
    <n v="0"/>
    <s v=""/>
    <n v="1"/>
    <n v="1.6"/>
    <n v="1.3"/>
    <n v="0"/>
    <n v="312.00000000000006"/>
    <n v="240.00000000000003"/>
  </r>
  <r>
    <x v="1"/>
    <x v="14"/>
    <s v="BEE002"/>
    <s v="I7"/>
    <s v="Beet"/>
    <s v="Beet Mix"/>
    <m/>
    <n v="128"/>
    <n v="35"/>
    <n v="6"/>
    <n v="0"/>
    <n v="0"/>
    <s v=""/>
    <n v="0"/>
    <n v="0"/>
    <s v=""/>
    <n v="3"/>
    <n v="2"/>
    <n v="1.1000000000000001"/>
    <n v="0"/>
    <n v="768"/>
    <n v="698.18181818181813"/>
  </r>
  <r>
    <x v="1"/>
    <x v="15"/>
    <s v="LET021"/>
    <s v="I6"/>
    <s v="Lettuce"/>
    <s v="Salanova Mix"/>
    <m/>
    <n v="128"/>
    <n v="30"/>
    <n v="2.708333333333333"/>
    <n v="0"/>
    <n v="0"/>
    <s v=""/>
    <n v="0"/>
    <n v="0"/>
    <s v=""/>
    <n v="1"/>
    <n v="1"/>
    <n v="1.3"/>
    <n v="0"/>
    <n v="346.66666666666663"/>
    <n v="266.66666666666663"/>
  </r>
  <r>
    <x v="1"/>
    <x v="16"/>
    <s v="LET024"/>
    <s v="E5"/>
    <s v="Lettuce"/>
    <s v="Summertime"/>
    <s v="Uprising"/>
    <n v="128"/>
    <n v="30"/>
    <n v="1.0833333333333333"/>
    <n v="0"/>
    <n v="0"/>
    <s v=""/>
    <n v="0"/>
    <n v="0"/>
    <s v=""/>
    <n v="1"/>
    <n v="0.4"/>
    <n v="1.3"/>
    <n v="0"/>
    <n v="138.66666666666666"/>
    <n v="106.66666666666666"/>
  </r>
  <r>
    <x v="1"/>
    <x v="17"/>
    <s v="CAB002"/>
    <s v="F5"/>
    <s v="Cabbage"/>
    <s v="Chinese Cabbage Mix"/>
    <m/>
    <n v="400"/>
    <n v="7"/>
    <n v="0.22000000000000003"/>
    <n v="72"/>
    <n v="21"/>
    <n v="1.2222222222222223"/>
    <n v="0"/>
    <n v="0"/>
    <s v=""/>
    <n v="1"/>
    <n v="1"/>
    <n v="1.1000000000000001"/>
    <n v="0"/>
    <n v="88.000000000000014"/>
    <n v="80"/>
  </r>
  <r>
    <x v="1"/>
    <x v="17"/>
    <s v="CAB010"/>
    <s v="F6"/>
    <s v="Cabbage"/>
    <s v="Mini Chinese Cabbage Mix"/>
    <m/>
    <n v="400"/>
    <n v="7"/>
    <n v="0.41250000000000003"/>
    <n v="72"/>
    <n v="21"/>
    <n v="2.291666666666667"/>
    <n v="0"/>
    <n v="0"/>
    <s v=""/>
    <n v="1"/>
    <n v="1"/>
    <n v="1.1000000000000001"/>
    <n v="0"/>
    <n v="165"/>
    <n v="150"/>
  </r>
  <r>
    <x v="1"/>
    <x v="18"/>
    <s v="BRO001"/>
    <s v="J5"/>
    <s v="Broccoli"/>
    <s v="Sprouting Broccoli Mix"/>
    <m/>
    <n v="72"/>
    <n v="28"/>
    <n v="0.9629629629629628"/>
    <n v="0"/>
    <n v="0"/>
    <s v=""/>
    <n v="0"/>
    <n v="0"/>
    <s v=""/>
    <n v="1"/>
    <n v="0.8"/>
    <n v="1.3"/>
    <n v="0"/>
    <n v="69.333333333333314"/>
    <n v="53.333333333333314"/>
  </r>
  <r>
    <x v="1"/>
    <x v="18"/>
    <s v="CAB001"/>
    <s v="F4"/>
    <s v="Cabbage"/>
    <s v="Cabbage Fall Mix"/>
    <m/>
    <n v="400"/>
    <n v="7"/>
    <n v="0.18333333333333332"/>
    <n v="72"/>
    <n v="28"/>
    <n v="1.0185185185185184"/>
    <n v="0"/>
    <n v="0"/>
    <s v=""/>
    <n v="1"/>
    <n v="1"/>
    <n v="1.1000000000000001"/>
    <n v="0"/>
    <n v="73.333333333333329"/>
    <n v="66.666666666666657"/>
  </r>
  <r>
    <x v="1"/>
    <x v="18"/>
    <s v="CAU001"/>
    <s v="F3"/>
    <s v="Cauliflower"/>
    <s v="Fall Cauliflower Mix"/>
    <m/>
    <n v="400"/>
    <n v="7"/>
    <n v="0.14285714285714285"/>
    <n v="128"/>
    <n v="28"/>
    <n v="0.4464285714285714"/>
    <n v="0"/>
    <n v="0"/>
    <s v=""/>
    <n v="1"/>
    <n v="1"/>
    <n v="1"/>
    <n v="0"/>
    <n v="57.142857142857139"/>
    <n v="57.142857142857139"/>
  </r>
  <r>
    <x v="1"/>
    <x v="19"/>
    <s v="KOH002"/>
    <s v="A1"/>
    <s v="Kohlrabi"/>
    <s v="Fresh Kholrabi Mix"/>
    <m/>
    <n v="128"/>
    <n v="25"/>
    <n v="3.046875"/>
    <n v="0"/>
    <n v="0"/>
    <s v=""/>
    <n v="0"/>
    <n v="0"/>
    <s v=""/>
    <n v="1"/>
    <n v="1"/>
    <n v="1.3"/>
    <n v="0"/>
    <n v="390"/>
    <n v="300"/>
  </r>
  <r>
    <x v="1"/>
    <x v="19"/>
    <s v="FEN002"/>
    <s v="I1"/>
    <s v="Fennel"/>
    <s v="Fennel Mix"/>
    <m/>
    <n v="128"/>
    <n v="30"/>
    <n v="4.0625"/>
    <n v="0"/>
    <n v="0"/>
    <s v=""/>
    <n v="0"/>
    <n v="0"/>
    <s v=""/>
    <n v="1"/>
    <n v="1"/>
    <n v="1.3"/>
    <n v="10"/>
    <n v="520"/>
    <n v="400"/>
  </r>
  <r>
    <x v="1"/>
    <x v="20"/>
    <s v="DIL009"/>
    <s v="B2"/>
    <s v="Dill"/>
    <s v="Dill Mix"/>
    <m/>
    <n v="128"/>
    <n v="26"/>
    <n v="1.7187500000000002"/>
    <n v="0"/>
    <n v="0"/>
    <s v=""/>
    <n v="0"/>
    <n v="0"/>
    <s v=""/>
    <n v="4"/>
    <n v="0.25"/>
    <n v="1.1000000000000001"/>
    <n v="0"/>
    <n v="220.00000000000003"/>
    <n v="200"/>
  </r>
  <r>
    <x v="1"/>
    <x v="20"/>
    <s v="CIL010"/>
    <s v="B2"/>
    <s v="Cilantro"/>
    <s v="Cilantro Mix"/>
    <m/>
    <n v="128"/>
    <n v="30"/>
    <n v="1.07421875"/>
    <n v="0"/>
    <n v="0"/>
    <s v=""/>
    <n v="0"/>
    <n v="0"/>
    <s v=""/>
    <n v="3"/>
    <n v="0.25"/>
    <n v="1.1000000000000001"/>
    <n v="0"/>
    <n v="137.5"/>
    <n v="124.99999999999999"/>
  </r>
  <r>
    <x v="1"/>
    <x v="21"/>
    <s v="RAD005"/>
    <s v="D3"/>
    <s v="Radish"/>
    <s v="Winter Radish Mix"/>
    <m/>
    <n v="128"/>
    <n v="25"/>
    <n v="2.03125"/>
    <n v="0"/>
    <n v="0"/>
    <s v=""/>
    <n v="0"/>
    <n v="0"/>
    <s v=""/>
    <n v="1"/>
    <n v="1"/>
    <n v="1.3"/>
    <n v="7"/>
    <n v="260"/>
    <n v="200"/>
  </r>
  <r>
    <x v="1"/>
    <x v="22"/>
    <s v="LET022"/>
    <s v="H7"/>
    <s v="Lettuce"/>
    <s v="Salanova Mix"/>
    <m/>
    <n v="128"/>
    <n v="30"/>
    <n v="2.708333333333333"/>
    <n v="0"/>
    <n v="0"/>
    <s v=""/>
    <n v="0"/>
    <n v="0"/>
    <s v=""/>
    <n v="1"/>
    <n v="1"/>
    <n v="1.3"/>
    <n v="0"/>
    <n v="346.66666666666663"/>
    <n v="266.66666666666663"/>
  </r>
  <r>
    <x v="1"/>
    <x v="23"/>
    <s v="LET025"/>
    <s v="E6"/>
    <s v="Lettuce"/>
    <s v="Muir"/>
    <s v="Johnny's"/>
    <n v="128"/>
    <n v="30"/>
    <n v="1.0833333333333333"/>
    <n v="0"/>
    <n v="0"/>
    <s v=""/>
    <n v="0"/>
    <n v="0"/>
    <s v=""/>
    <n v="1"/>
    <n v="0.4"/>
    <n v="1.3"/>
    <n v="0"/>
    <n v="138.66666666666666"/>
    <n v="106.66666666666666"/>
  </r>
  <r>
    <x v="1"/>
    <x v="24"/>
    <s v="CAU002"/>
    <s v="C7"/>
    <s v="Cauliflower"/>
    <s v="Song TJS-65"/>
    <s v="Johnny's"/>
    <n v="400"/>
    <n v="7"/>
    <n v="0.14285714285714285"/>
    <n v="128"/>
    <n v="28"/>
    <n v="0.4464285714285714"/>
    <n v="0"/>
    <n v="0"/>
    <s v=""/>
    <n v="1"/>
    <n v="1"/>
    <n v="1"/>
    <n v="0"/>
    <n v="57.142857142857139"/>
    <n v="57.142857142857139"/>
  </r>
  <r>
    <x v="1"/>
    <x v="25"/>
    <s v="DIL010"/>
    <s v="B2"/>
    <s v="Dill"/>
    <s v="Dill Mix"/>
    <m/>
    <n v="128"/>
    <n v="26"/>
    <n v="1.7187500000000002"/>
    <n v="0"/>
    <n v="0"/>
    <s v=""/>
    <n v="0"/>
    <n v="0"/>
    <s v=""/>
    <n v="4"/>
    <n v="0.25"/>
    <n v="1.1000000000000001"/>
    <n v="0"/>
    <n v="220.00000000000003"/>
    <n v="200"/>
  </r>
  <r>
    <x v="1"/>
    <x v="25"/>
    <s v="CIL011"/>
    <s v="B2"/>
    <s v="Cilantro"/>
    <s v="Cilantro Mix"/>
    <m/>
    <n v="128"/>
    <n v="30"/>
    <n v="1.07421875"/>
    <n v="0"/>
    <n v="0"/>
    <s v=""/>
    <n v="0"/>
    <n v="0"/>
    <s v=""/>
    <n v="3"/>
    <n v="0.25"/>
    <n v="1.1000000000000001"/>
    <n v="0"/>
    <n v="137.5"/>
    <n v="124.99999999999999"/>
  </r>
  <r>
    <x v="1"/>
    <x v="26"/>
    <s v="LET023"/>
    <s v="I5"/>
    <s v="Lettuce"/>
    <s v="Salanova Mix"/>
    <m/>
    <n v="128"/>
    <n v="30"/>
    <n v="2.708333333333333"/>
    <n v="0"/>
    <n v="0"/>
    <s v=""/>
    <n v="0"/>
    <n v="0"/>
    <s v=""/>
    <n v="1"/>
    <n v="1"/>
    <n v="1.3"/>
    <n v="0"/>
    <n v="346.66666666666663"/>
    <n v="266.66666666666663"/>
  </r>
  <r>
    <x v="1"/>
    <x v="27"/>
    <s v="CIL012"/>
    <s v="B2"/>
    <s v="Cilantro"/>
    <s v="Cilantro Mix"/>
    <m/>
    <n v="128"/>
    <n v="30"/>
    <n v="1.07421875"/>
    <n v="0"/>
    <n v="0"/>
    <s v=""/>
    <n v="0"/>
    <n v="0"/>
    <s v=""/>
    <n v="3"/>
    <n v="0.25"/>
    <n v="1.1000000000000001"/>
    <n v="0"/>
    <n v="137.5"/>
    <n v="124.99999999999999"/>
  </r>
  <r>
    <x v="1"/>
    <x v="27"/>
    <s v="LET026"/>
    <s v="E7"/>
    <s v="Lettuce"/>
    <s v="Lovelock"/>
    <s v="High Mowing"/>
    <n v="128"/>
    <n v="30"/>
    <n v="1.0833333333333333"/>
    <n v="0"/>
    <n v="0"/>
    <s v=""/>
    <n v="0"/>
    <n v="0"/>
    <s v=""/>
    <n v="1"/>
    <n v="0.4"/>
    <n v="1.3"/>
    <n v="0"/>
    <n v="138.66666666666666"/>
    <n v="106.6666666666666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2">
  <r>
    <s v="FAV001"/>
    <x v="0"/>
    <x v="0"/>
    <n v="173.33333333333331"/>
    <s v="Fava Bean - Mature Pod 1X | Field DS Sp"/>
    <x v="0"/>
    <x v="0"/>
    <x v="0"/>
    <x v="0"/>
    <x v="0"/>
    <x v="0"/>
    <s v="FAV"/>
    <x v="0"/>
    <x v="0"/>
    <d v="2025-01-31T00:00:00"/>
    <x v="0"/>
    <d v="2025-01-31T00:00:00"/>
    <d v="2025-07-30T00:00:00"/>
    <d v="2025-08-20T00:00:00"/>
    <x v="0"/>
    <x v="0"/>
    <x v="0"/>
    <x v="0"/>
    <n v="600"/>
    <n v="2.9851000000000001"/>
    <n v="180"/>
    <x v="0"/>
    <x v="0"/>
    <x v="0"/>
    <x v="0"/>
    <x v="0"/>
    <x v="0"/>
    <x v="0"/>
    <x v="0"/>
    <x v="0"/>
    <x v="0"/>
    <x v="0"/>
    <x v="0"/>
    <n v="126"/>
    <x v="0"/>
    <n v="941"/>
    <n v="21"/>
    <x v="0"/>
    <x v="0"/>
    <x v="0"/>
    <x v="0"/>
    <x v="0"/>
    <x v="0"/>
    <x v="0"/>
    <s v="https://www.trueleafmarket.com/products/bean-seeds-fava-aquadulce-organic"/>
  </r>
  <r>
    <s v="LET014"/>
    <x v="1"/>
    <x v="1"/>
    <n v="180.26666666666665"/>
    <s v="Lettuce (4x9) - Mature Head 1X | Field TP Sp"/>
    <x v="0"/>
    <x v="1"/>
    <x v="0"/>
    <x v="1"/>
    <x v="0"/>
    <x v="0"/>
    <s v="LET"/>
    <x v="0"/>
    <x v="1"/>
    <d v="2025-04-11T00:00:00"/>
    <x v="0"/>
    <d v="2025-05-10T00:00:00"/>
    <d v="2025-07-05T00:00:00"/>
    <d v="2025-07-19T00:00:00"/>
    <x v="0"/>
    <x v="1"/>
    <x v="0"/>
    <x v="0"/>
    <n v="426.66669999999999"/>
    <n v="5.4008000000000003"/>
    <n v="95"/>
    <x v="0"/>
    <x v="0"/>
    <x v="0"/>
    <x v="1"/>
    <x v="1"/>
    <x v="0"/>
    <x v="0"/>
    <x v="0"/>
    <x v="1"/>
    <x v="1"/>
    <x v="0"/>
    <x v="0"/>
    <n v="174"/>
    <x v="0"/>
    <n v="916"/>
    <n v="14"/>
    <x v="1"/>
    <x v="1"/>
    <x v="1"/>
    <x v="0"/>
    <x v="0"/>
    <x v="0"/>
    <x v="0"/>
    <s v="https://www.wildgardenseed.com/product_info.php?cPath=43_72&amp;products_id=84"/>
  </r>
  <r>
    <s v="SUM001"/>
    <x v="2"/>
    <x v="2"/>
    <n v="32.5"/>
    <s v="Summer Squash (Long Season) - Ripe Fruit 1X | Field TP Su"/>
    <x v="0"/>
    <x v="2"/>
    <x v="0"/>
    <x v="0"/>
    <x v="0"/>
    <x v="0"/>
    <s v="SUM"/>
    <x v="0"/>
    <x v="2"/>
    <d v="2025-04-29T00:00:00"/>
    <x v="0"/>
    <d v="2025-05-19T00:00:00"/>
    <d v="2025-06-15T00:00:00"/>
    <d v="2025-09-18T00:00:00"/>
    <x v="0"/>
    <x v="1"/>
    <x v="0"/>
    <x v="0"/>
    <n v="642.85709999999995"/>
    <n v="5.0618999999999996"/>
    <n v="60"/>
    <x v="0"/>
    <x v="0"/>
    <x v="0"/>
    <x v="2"/>
    <x v="1"/>
    <x v="0"/>
    <x v="0"/>
    <x v="0"/>
    <x v="2"/>
    <x v="2"/>
    <x v="1"/>
    <x v="0"/>
    <n v="307"/>
    <x v="1"/>
    <n v="896"/>
    <n v="95"/>
    <x v="2"/>
    <x v="2"/>
    <x v="1"/>
    <x v="0"/>
    <x v="0"/>
    <x v="0"/>
    <x v="1"/>
    <s v="https://www.row7seeds.com/products/centercut-squash"/>
  </r>
  <r>
    <s v="LEM001"/>
    <x v="3"/>
    <x v="3"/>
    <n v="130"/>
    <s v="Lemongrass - Mature Stalks 1X | Field TP SpSu"/>
    <x v="0"/>
    <x v="3"/>
    <x v="0"/>
    <x v="0"/>
    <x v="0"/>
    <x v="0"/>
    <s v="LEM"/>
    <x v="0"/>
    <x v="1"/>
    <d v="2025-05-01T00:00:00"/>
    <x v="0"/>
    <d v="2025-05-31T00:00:00"/>
    <d v="2025-07-30T00:00:00"/>
    <d v="2025-10-01T00:00:00"/>
    <x v="0"/>
    <x v="1"/>
    <x v="0"/>
    <x v="0"/>
    <n v="2400"/>
    <n v="16.783200000000001"/>
    <n v="120"/>
    <x v="0"/>
    <x v="0"/>
    <x v="0"/>
    <x v="3"/>
    <x v="1"/>
    <x v="0"/>
    <x v="0"/>
    <x v="0"/>
    <x v="3"/>
    <x v="0"/>
    <x v="2"/>
    <x v="0"/>
    <n v="171"/>
    <x v="2"/>
    <n v="941"/>
    <n v="63"/>
    <x v="3"/>
    <x v="3"/>
    <x v="1"/>
    <x v="1"/>
    <x v="0"/>
    <x v="0"/>
    <x v="0"/>
    <s v="https://www.johnnyseeds.com/herbs/lemon-grass/lemon-grass-east-indian-cleaned-seed-lemon-grass-seed-4074.html"/>
  </r>
  <r>
    <s v="CAB004"/>
    <x v="4"/>
    <x v="4"/>
    <n v="440.00000000000006"/>
    <s v="Cabbage (Fast Mid 9&quot;) - Large Head 1X | Field TP Sp"/>
    <x v="0"/>
    <x v="4"/>
    <x v="0"/>
    <x v="0"/>
    <x v="0"/>
    <x v="0"/>
    <s v="CAB"/>
    <x v="0"/>
    <x v="1"/>
    <d v="2025-04-21T00:00:00"/>
    <x v="0"/>
    <d v="2025-05-01T00:00:00"/>
    <d v="2025-06-30T00:00:00"/>
    <d v="2025-07-07T00:00:00"/>
    <x v="0"/>
    <x v="1"/>
    <x v="0"/>
    <x v="0"/>
    <n v="660"/>
    <n v="10.645200000000001"/>
    <n v="90"/>
    <x v="0"/>
    <x v="0"/>
    <x v="0"/>
    <x v="4"/>
    <x v="1"/>
    <x v="0"/>
    <x v="0"/>
    <x v="0"/>
    <x v="4"/>
    <x v="3"/>
    <x v="0"/>
    <x v="0"/>
    <n v="53"/>
    <x v="0"/>
    <n v="911"/>
    <n v="7"/>
    <x v="4"/>
    <x v="4"/>
    <x v="0"/>
    <x v="0"/>
    <x v="0"/>
    <x v="0"/>
    <x v="0"/>
    <s v="https://www.highmowingseeds.com/organic-non-gmo-farao-f1-cabbage.html"/>
  </r>
  <r>
    <s v="CHO001"/>
    <x v="5"/>
    <x v="3"/>
    <n v="195"/>
    <s v="Choi Sum - Mature Head 1X | Field TP "/>
    <x v="0"/>
    <x v="5"/>
    <x v="0"/>
    <x v="0"/>
    <x v="0"/>
    <x v="0"/>
    <s v="CHO"/>
    <x v="0"/>
    <x v="3"/>
    <d v="2025-03-22T00:00:00"/>
    <x v="0"/>
    <d v="2025-04-23T00:00:00"/>
    <d v="2025-05-17T00:00:00"/>
    <d v="2025-05-31T00:00:00"/>
    <x v="0"/>
    <x v="1"/>
    <x v="0"/>
    <x v="0"/>
    <n v="87.5"/>
    <n v="2.1341000000000001"/>
    <n v="57"/>
    <x v="0"/>
    <x v="0"/>
    <x v="0"/>
    <x v="1"/>
    <x v="1"/>
    <x v="0"/>
    <x v="0"/>
    <x v="0"/>
    <x v="1"/>
    <x v="3"/>
    <x v="2"/>
    <x v="0"/>
    <n v="79"/>
    <x v="3"/>
    <n v="867"/>
    <n v="14"/>
    <x v="4"/>
    <x v="5"/>
    <x v="2"/>
    <x v="1"/>
    <x v="0"/>
    <x v="0"/>
    <x v="0"/>
    <s v="https://www.johnnyseeds.com/vegetables/greens/asian-greens/green-70-d-improved-asian-green-seed-4031.html"/>
  </r>
  <r>
    <s v="TUR001"/>
    <x v="6"/>
    <x v="3"/>
    <n v="1040"/>
    <s v="Turnip (Tokyo) - Mature Root 1X | Field DS Sp"/>
    <x v="0"/>
    <x v="6"/>
    <x v="0"/>
    <x v="2"/>
    <x v="1"/>
    <x v="0"/>
    <s v="TUR"/>
    <x v="0"/>
    <x v="0"/>
    <d v="2025-04-01T00:00:00"/>
    <x v="0"/>
    <d v="2025-04-30T00:00:00"/>
    <d v="2025-06-09T00:00:00"/>
    <d v="2025-06-23T00:00:00"/>
    <x v="0"/>
    <x v="0"/>
    <x v="0"/>
    <x v="0"/>
    <n v="137.5"/>
    <n v="2.5463"/>
    <n v="40"/>
    <x v="0"/>
    <x v="0"/>
    <x v="0"/>
    <x v="1"/>
    <x v="0"/>
    <x v="0"/>
    <x v="0"/>
    <x v="0"/>
    <x v="0"/>
    <x v="1"/>
    <x v="3"/>
    <x v="0"/>
    <n v="333"/>
    <x v="0"/>
    <n v="890"/>
    <n v="14"/>
    <x v="5"/>
    <x v="6"/>
    <x v="0"/>
    <x v="1"/>
    <x v="0"/>
    <x v="0"/>
    <x v="0"/>
    <s v="https://www.johnnyseeds.com/vegetables/turnips/hakurei-f1-turnip-seed-706.html"/>
  </r>
  <r>
    <s v="TUR002"/>
    <x v="6"/>
    <x v="3"/>
    <n v="1040"/>
    <s v="Turnip (Tokyo) - Mature Root 1X | Field DS SuFa"/>
    <x v="0"/>
    <x v="6"/>
    <x v="0"/>
    <x v="2"/>
    <x v="1"/>
    <x v="0"/>
    <s v="TUR"/>
    <x v="0"/>
    <x v="0"/>
    <d v="2025-06-14T00:00:00"/>
    <x v="0"/>
    <d v="2025-06-14T00:00:00"/>
    <d v="2025-07-24T00:00:00"/>
    <d v="2025-08-07T00:00:00"/>
    <x v="1"/>
    <x v="0"/>
    <x v="0"/>
    <x v="0"/>
    <n v="137.5"/>
    <n v="2.5463"/>
    <n v="40"/>
    <x v="0"/>
    <x v="0"/>
    <x v="0"/>
    <x v="1"/>
    <x v="0"/>
    <x v="0"/>
    <x v="0"/>
    <x v="0"/>
    <x v="0"/>
    <x v="1"/>
    <x v="3"/>
    <x v="0"/>
    <n v="335"/>
    <x v="4"/>
    <n v="935"/>
    <n v="14"/>
    <x v="5"/>
    <x v="6"/>
    <x v="0"/>
    <x v="1"/>
    <x v="0"/>
    <x v="0"/>
    <x v="0"/>
    <s v="https://www.johnnyseeds.com/vegetables/turnips/hakurei-f1-turnip-seed-706.html"/>
  </r>
  <r>
    <s v="TUR003"/>
    <x v="6"/>
    <x v="3"/>
    <n v="520"/>
    <s v="Turnip (Tokyo) - Mature Root 1X | Field DS Sp"/>
    <x v="0"/>
    <x v="6"/>
    <x v="0"/>
    <x v="3"/>
    <x v="1"/>
    <x v="0"/>
    <s v="TUR"/>
    <x v="0"/>
    <x v="0"/>
    <d v="2025-04-01T00:00:00"/>
    <x v="0"/>
    <d v="2025-03-25T00:00:00"/>
    <d v="2025-05-04T00:00:00"/>
    <d v="2025-05-18T00:00:00"/>
    <x v="0"/>
    <x v="0"/>
    <x v="0"/>
    <x v="0"/>
    <n v="68.75"/>
    <n v="1.2730999999999999"/>
    <n v="40"/>
    <x v="0"/>
    <x v="0"/>
    <x v="0"/>
    <x v="1"/>
    <x v="0"/>
    <x v="0"/>
    <x v="0"/>
    <x v="0"/>
    <x v="0"/>
    <x v="1"/>
    <x v="3"/>
    <x v="0"/>
    <n v="333"/>
    <x v="0"/>
    <n v="854"/>
    <n v="14"/>
    <x v="5"/>
    <x v="6"/>
    <x v="0"/>
    <x v="1"/>
    <x v="0"/>
    <x v="0"/>
    <x v="0"/>
    <s v="https://www.johnnyseeds.com/vegetables/turnips/hakurei-f1-turnip-seed-706.html"/>
  </r>
  <r>
    <s v="TUR528"/>
    <x v="6"/>
    <x v="3"/>
    <n v="1040"/>
    <s v="Turnip (Tokyo) - Mature Root 1X | Field DS SuFa"/>
    <x v="0"/>
    <x v="6"/>
    <x v="0"/>
    <x v="2"/>
    <x v="1"/>
    <x v="0"/>
    <s v="TUR"/>
    <x v="0"/>
    <x v="0"/>
    <d v="2025-07-07T00:00:00"/>
    <x v="0"/>
    <d v="2025-07-07T00:00:00"/>
    <d v="2025-08-16T00:00:00"/>
    <d v="2025-08-30T00:00:00"/>
    <x v="1"/>
    <x v="0"/>
    <x v="0"/>
    <x v="0"/>
    <n v="137.5"/>
    <n v="2.5463"/>
    <n v="40"/>
    <x v="0"/>
    <x v="0"/>
    <x v="0"/>
    <x v="1"/>
    <x v="0"/>
    <x v="0"/>
    <x v="0"/>
    <x v="0"/>
    <x v="0"/>
    <x v="1"/>
    <x v="3"/>
    <x v="0"/>
    <n v="335"/>
    <x v="4"/>
    <n v="958"/>
    <n v="14"/>
    <x v="5"/>
    <x v="6"/>
    <x v="0"/>
    <x v="1"/>
    <x v="0"/>
    <x v="0"/>
    <x v="0"/>
    <s v="https://www.johnnyseeds.com/vegetables/turnips/hakurei-f1-turnip-seed-706.html"/>
  </r>
  <r>
    <s v="TUR529"/>
    <x v="6"/>
    <x v="3"/>
    <n v="1040"/>
    <s v="Turnip (Tokyo) - Mature Root 1X | Field DS SuFa"/>
    <x v="0"/>
    <x v="6"/>
    <x v="0"/>
    <x v="2"/>
    <x v="1"/>
    <x v="0"/>
    <s v="TUR"/>
    <x v="0"/>
    <x v="0"/>
    <d v="2025-08-07T00:00:00"/>
    <x v="0"/>
    <d v="2025-08-07T00:00:00"/>
    <d v="2025-09-16T00:00:00"/>
    <d v="2025-09-30T00:00:00"/>
    <x v="1"/>
    <x v="0"/>
    <x v="0"/>
    <x v="0"/>
    <n v="137.5"/>
    <n v="2.5463"/>
    <n v="40"/>
    <x v="0"/>
    <x v="0"/>
    <x v="0"/>
    <x v="1"/>
    <x v="0"/>
    <x v="0"/>
    <x v="0"/>
    <x v="0"/>
    <x v="0"/>
    <x v="1"/>
    <x v="3"/>
    <x v="0"/>
    <n v="335"/>
    <x v="4"/>
    <n v="989"/>
    <n v="14"/>
    <x v="5"/>
    <x v="6"/>
    <x v="0"/>
    <x v="1"/>
    <x v="0"/>
    <x v="0"/>
    <x v="0"/>
    <s v="https://www.johnnyseeds.com/vegetables/turnips/hakurei-f1-turnip-seed-706.html"/>
  </r>
  <r>
    <s v="TUR530"/>
    <x v="6"/>
    <x v="3"/>
    <n v="1040"/>
    <s v="Turnip (Tokyo) - Mature Root 1X | Field DS SuFa"/>
    <x v="0"/>
    <x v="6"/>
    <x v="0"/>
    <x v="2"/>
    <x v="1"/>
    <x v="0"/>
    <s v="TUR"/>
    <x v="0"/>
    <x v="0"/>
    <d v="2025-09-07T00:00:00"/>
    <x v="0"/>
    <d v="2025-09-07T00:00:00"/>
    <d v="2025-10-17T00:00:00"/>
    <d v="2025-10-31T00:00:00"/>
    <x v="1"/>
    <x v="0"/>
    <x v="0"/>
    <x v="0"/>
    <n v="137.5"/>
    <n v="2.5463"/>
    <n v="40"/>
    <x v="0"/>
    <x v="0"/>
    <x v="0"/>
    <x v="1"/>
    <x v="0"/>
    <x v="0"/>
    <x v="0"/>
    <x v="0"/>
    <x v="0"/>
    <x v="1"/>
    <x v="3"/>
    <x v="0"/>
    <n v="335"/>
    <x v="4"/>
    <n v="1020"/>
    <n v="14"/>
    <x v="5"/>
    <x v="6"/>
    <x v="0"/>
    <x v="1"/>
    <x v="0"/>
    <x v="0"/>
    <x v="0"/>
    <s v="https://www.johnnyseeds.com/vegetables/turnips/hakurei-f1-turnip-seed-706.html"/>
  </r>
  <r>
    <s v="LET016"/>
    <x v="7"/>
    <x v="1"/>
    <n v="180.26666666666665"/>
    <s v="Lettuce (4x9) - Mature Head 1X | Field TP Sp"/>
    <x v="0"/>
    <x v="1"/>
    <x v="0"/>
    <x v="1"/>
    <x v="0"/>
    <x v="0"/>
    <s v="LET"/>
    <x v="0"/>
    <x v="4"/>
    <d v="2025-05-23T00:00:00"/>
    <x v="0"/>
    <d v="2025-06-06T00:00:00"/>
    <d v="2025-07-14T00:00:00"/>
    <d v="2025-07-28T00:00:00"/>
    <x v="0"/>
    <x v="1"/>
    <x v="0"/>
    <x v="0"/>
    <n v="426.66669999999999"/>
    <n v="5.4008000000000003"/>
    <n v="81"/>
    <x v="0"/>
    <x v="1"/>
    <x v="0"/>
    <x v="1"/>
    <x v="1"/>
    <x v="0"/>
    <x v="0"/>
    <x v="0"/>
    <x v="1"/>
    <x v="1"/>
    <x v="0"/>
    <x v="0"/>
    <n v="174"/>
    <x v="0"/>
    <n v="925"/>
    <n v="14"/>
    <x v="1"/>
    <x v="1"/>
    <x v="1"/>
    <x v="0"/>
    <x v="0"/>
    <x v="0"/>
    <x v="0"/>
    <s v="https://www.wildgardenseed.com/product_info.php?cPath=43_74&amp;products_id=251"/>
  </r>
  <r>
    <s v="LET026"/>
    <x v="8"/>
    <x v="4"/>
    <n v="180.26666666666665"/>
    <s v="Lettuce (4x9) - Mature Head 1X | Field TP SuFa"/>
    <x v="0"/>
    <x v="1"/>
    <x v="0"/>
    <x v="1"/>
    <x v="0"/>
    <x v="0"/>
    <s v="LET"/>
    <x v="0"/>
    <x v="5"/>
    <d v="2025-08-15T00:00:00"/>
    <x v="0"/>
    <d v="2025-08-15T00:00:00"/>
    <d v="2025-09-24T00:00:00"/>
    <d v="2025-10-08T00:00:00"/>
    <x v="1"/>
    <x v="2"/>
    <x v="0"/>
    <x v="0"/>
    <n v="426.66669999999999"/>
    <n v="7.9012000000000002"/>
    <n v="70"/>
    <x v="0"/>
    <x v="0"/>
    <x v="0"/>
    <x v="1"/>
    <x v="1"/>
    <x v="0"/>
    <x v="0"/>
    <x v="0"/>
    <x v="1"/>
    <x v="1"/>
    <x v="0"/>
    <x v="0"/>
    <n v="175"/>
    <x v="4"/>
    <n v="997"/>
    <n v="14"/>
    <x v="1"/>
    <x v="1"/>
    <x v="1"/>
    <x v="0"/>
    <x v="0"/>
    <x v="0"/>
    <x v="0"/>
    <s v="https://www.highmowingseeds.com/organic-non-gmo-lovelock-lettuce.html"/>
  </r>
  <r>
    <s v="MAG001"/>
    <x v="9"/>
    <x v="5"/>
    <n v="390"/>
    <s v="Magenta Spreen - Young Stem 1X |  DS Sp"/>
    <x v="0"/>
    <x v="7"/>
    <x v="0"/>
    <x v="3"/>
    <x v="1"/>
    <x v="0"/>
    <s v="MAG"/>
    <x v="0"/>
    <x v="0"/>
    <d v="2025-03-17T00:00:00"/>
    <x v="0"/>
    <d v="2025-03-25T00:00:00"/>
    <d v="2025-05-24T00:00:00"/>
    <d v="2025-06-28T00:00:00"/>
    <x v="0"/>
    <x v="0"/>
    <x v="0"/>
    <x v="0"/>
    <n v="337.5"/>
    <n v="3.5526"/>
    <n v="60"/>
    <x v="0"/>
    <x v="0"/>
    <x v="0"/>
    <x v="5"/>
    <x v="0"/>
    <x v="0"/>
    <x v="0"/>
    <x v="0"/>
    <x v="0"/>
    <x v="1"/>
    <x v="4"/>
    <x v="0"/>
    <n v="199"/>
    <x v="0"/>
    <n v="874"/>
    <n v="35"/>
    <x v="6"/>
    <x v="7"/>
    <x v="0"/>
    <x v="0"/>
    <x v="0"/>
    <x v="0"/>
    <x v="0"/>
    <s v="https://www.adaptiveseeds.com/product/vegetables/greens/lambsquarter-magenta-spreen-organic/"/>
  </r>
  <r>
    <s v="LET025"/>
    <x v="10"/>
    <x v="3"/>
    <n v="180.26666666666665"/>
    <s v="Lettuce (4x9) - Mature Head 1X | Field TP SuFa"/>
    <x v="0"/>
    <x v="1"/>
    <x v="0"/>
    <x v="1"/>
    <x v="0"/>
    <x v="0"/>
    <s v="LET"/>
    <x v="0"/>
    <x v="6"/>
    <d v="2025-07-25T00:00:00"/>
    <x v="0"/>
    <d v="2025-07-25T00:00:00"/>
    <d v="2025-09-03T00:00:00"/>
    <d v="2025-09-17T00:00:00"/>
    <x v="1"/>
    <x v="2"/>
    <x v="0"/>
    <x v="0"/>
    <n v="426.66669999999999"/>
    <n v="7.9012000000000002"/>
    <n v="70"/>
    <x v="0"/>
    <x v="0"/>
    <x v="0"/>
    <x v="1"/>
    <x v="1"/>
    <x v="0"/>
    <x v="0"/>
    <x v="0"/>
    <x v="1"/>
    <x v="1"/>
    <x v="0"/>
    <x v="0"/>
    <n v="175"/>
    <x v="4"/>
    <n v="976"/>
    <n v="14"/>
    <x v="1"/>
    <x v="1"/>
    <x v="1"/>
    <x v="0"/>
    <x v="0"/>
    <x v="0"/>
    <x v="2"/>
    <s v="https://www.johnnyseeds.com/vegetables/lettuce/summer-crisp-lettuce-batavia/muir-organic-lettuce-seed-3881G.html"/>
  </r>
  <r>
    <s v="GOO001"/>
    <x v="11"/>
    <x v="6"/>
    <n v="13"/>
    <s v="Gooseberry (Cape) - Mature Berry 1X | Field TP "/>
    <x v="0"/>
    <x v="8"/>
    <x v="0"/>
    <x v="2"/>
    <x v="1"/>
    <x v="0"/>
    <s v="GOO"/>
    <x v="0"/>
    <x v="1"/>
    <d v="2025-05-24T00:00:00"/>
    <x v="0"/>
    <d v="2025-01-01T00:00:00"/>
    <d v="2025-09-06T00:00:00"/>
    <d v="2025-12-13T00:00:00"/>
    <x v="0"/>
    <x v="1"/>
    <x v="0"/>
    <x v="0"/>
    <n v="640"/>
    <n v="3.1526999999999998"/>
    <n v="158"/>
    <x v="0"/>
    <x v="0"/>
    <x v="0"/>
    <x v="6"/>
    <x v="1"/>
    <x v="0"/>
    <x v="0"/>
    <x v="0"/>
    <x v="5"/>
    <x v="2"/>
    <x v="5"/>
    <x v="0"/>
    <n v="140"/>
    <x v="3"/>
    <n v="979"/>
    <n v="98"/>
    <x v="7"/>
    <x v="4"/>
    <x v="0"/>
    <x v="0"/>
    <x v="0"/>
    <x v="0"/>
    <x v="0"/>
    <s v="https://www.gardenhoard.com/peruvian-ground-cherry-seeds-certified-organic.html"/>
  </r>
  <r>
    <s v="LET015"/>
    <x v="12"/>
    <x v="4"/>
    <n v="180.26666666666665"/>
    <s v="Lettuce (4x9) - Mature Head 1X | Field TP Sp"/>
    <x v="0"/>
    <x v="1"/>
    <x v="0"/>
    <x v="1"/>
    <x v="0"/>
    <x v="0"/>
    <s v="LET"/>
    <x v="0"/>
    <x v="2"/>
    <d v="2025-05-02T00:00:00"/>
    <x v="0"/>
    <d v="2025-05-10T00:00:00"/>
    <d v="2025-07-13T00:00:00"/>
    <d v="2025-07-27T00:00:00"/>
    <x v="0"/>
    <x v="1"/>
    <x v="0"/>
    <x v="0"/>
    <n v="426.66669999999999"/>
    <n v="5.4008000000000003"/>
    <n v="88"/>
    <x v="0"/>
    <x v="2"/>
    <x v="0"/>
    <x v="1"/>
    <x v="1"/>
    <x v="0"/>
    <x v="0"/>
    <x v="0"/>
    <x v="1"/>
    <x v="1"/>
    <x v="0"/>
    <x v="0"/>
    <n v="174"/>
    <x v="0"/>
    <n v="924"/>
    <n v="14"/>
    <x v="1"/>
    <x v="1"/>
    <x v="1"/>
    <x v="0"/>
    <x v="0"/>
    <x v="0"/>
    <x v="0"/>
    <s v="https://www.highmowingseeds.com/organic-non-gmo-rouge-d-hiver-lettuce.html"/>
  </r>
  <r>
    <s v="RAD006"/>
    <x v="13"/>
    <x v="4"/>
    <n v="1560"/>
    <s v="Radish (Munchen Bier) - Storage Root 1X | Field DS "/>
    <x v="0"/>
    <x v="9"/>
    <x v="0"/>
    <x v="0"/>
    <x v="0"/>
    <x v="0"/>
    <s v="RAD"/>
    <x v="0"/>
    <x v="0"/>
    <d v="2025-06-30T00:00:00"/>
    <x v="0"/>
    <d v="2025-06-30T00:00:00"/>
    <d v="2025-08-19T00:00:00"/>
    <d v="2025-09-09T00:00:00"/>
    <x v="1"/>
    <x v="0"/>
    <x v="0"/>
    <x v="0"/>
    <n v="514.28570000000002"/>
    <n v="7.2435"/>
    <n v="50"/>
    <x v="0"/>
    <x v="0"/>
    <x v="0"/>
    <x v="0"/>
    <x v="0"/>
    <x v="0"/>
    <x v="0"/>
    <x v="0"/>
    <x v="0"/>
    <x v="4"/>
    <x v="6"/>
    <x v="0"/>
    <n v="259"/>
    <x v="3"/>
    <n v="961"/>
    <n v="21"/>
    <x v="5"/>
    <x v="4"/>
    <x v="0"/>
    <x v="0"/>
    <x v="0"/>
    <x v="0"/>
    <x v="0"/>
    <s v="https://www.highmowingseeds.com/organic-non-gmo-schwarzer-runder-radish.html"/>
  </r>
  <r>
    <s v="PEP001"/>
    <x v="14"/>
    <x v="7"/>
    <n v="65"/>
    <s v="Pepper (Bell) - Ripe Fruit Large 1X | Field TP "/>
    <x v="0"/>
    <x v="10"/>
    <x v="0"/>
    <x v="2"/>
    <x v="1"/>
    <x v="0"/>
    <s v="PEP"/>
    <x v="0"/>
    <x v="3"/>
    <d v="2025-06-05T00:00:00"/>
    <x v="0"/>
    <d v="2025-06-19T00:00:00"/>
    <d v="2025-08-18T00:00:00"/>
    <d v="2025-10-27T00:00:00"/>
    <x v="0"/>
    <x v="2"/>
    <x v="0"/>
    <x v="0"/>
    <n v="667.96879999999999"/>
    <n v="5.1382000000000003"/>
    <n v="150"/>
    <x v="0"/>
    <x v="0"/>
    <x v="0"/>
    <x v="7"/>
    <x v="1"/>
    <x v="0"/>
    <x v="0"/>
    <x v="0"/>
    <x v="6"/>
    <x v="0"/>
    <x v="2"/>
    <x v="1"/>
    <n v="241"/>
    <x v="3"/>
    <n v="960"/>
    <n v="70"/>
    <x v="8"/>
    <x v="3"/>
    <x v="1"/>
    <x v="0"/>
    <x v="0"/>
    <x v="0"/>
    <x v="0"/>
    <s v="https://www.osborneseed.com/collections/organic-garden-peppers-seed/products/shishito-organic-pepper-seeds"/>
  </r>
  <r>
    <s v="PEP003"/>
    <x v="14"/>
    <x v="7"/>
    <n v="65"/>
    <s v="Pepper (Hot) - Ripe Fruit Small 1X | Field TP "/>
    <x v="0"/>
    <x v="10"/>
    <x v="0"/>
    <x v="2"/>
    <x v="1"/>
    <x v="0"/>
    <s v="PEP"/>
    <x v="0"/>
    <x v="3"/>
    <d v="2025-06-05T00:00:00"/>
    <x v="0"/>
    <d v="2025-06-19T00:00:00"/>
    <d v="2025-08-18T00:00:00"/>
    <d v="2025-10-27T00:00:00"/>
    <x v="0"/>
    <x v="2"/>
    <x v="0"/>
    <x v="0"/>
    <n v="562.5"/>
    <n v="4.3269000000000002"/>
    <n v="150"/>
    <x v="0"/>
    <x v="0"/>
    <x v="0"/>
    <x v="7"/>
    <x v="1"/>
    <x v="0"/>
    <x v="0"/>
    <x v="0"/>
    <x v="6"/>
    <x v="0"/>
    <x v="2"/>
    <x v="1"/>
    <n v="243"/>
    <x v="3"/>
    <n v="960"/>
    <n v="70"/>
    <x v="8"/>
    <x v="3"/>
    <x v="1"/>
    <x v="0"/>
    <x v="0"/>
    <x v="0"/>
    <x v="0"/>
    <s v="https://www.osborneseed.com/collections/organic-garden-peppers-seed/products/shishito-organic-pepper-seeds"/>
  </r>
  <r>
    <s v="CHR001"/>
    <x v="15"/>
    <x v="5"/>
    <n v="731.25"/>
    <s v="Chrysanthemum Greens - Mature Leaf 1X | Field DS Ow"/>
    <x v="0"/>
    <x v="11"/>
    <x v="0"/>
    <x v="3"/>
    <x v="1"/>
    <x v="0"/>
    <s v="CHR"/>
    <x v="0"/>
    <x v="0"/>
    <d v="2025-03-27T00:00:00"/>
    <x v="0"/>
    <d v="2025-03-25T00:00:00"/>
    <d v="2025-05-01T00:00:00"/>
    <d v="2025-06-26T00:00:00"/>
    <x v="0"/>
    <x v="0"/>
    <x v="0"/>
    <x v="0"/>
    <n v="600"/>
    <n v="6.4516"/>
    <n v="37"/>
    <x v="0"/>
    <x v="0"/>
    <x v="0"/>
    <x v="8"/>
    <x v="0"/>
    <x v="0"/>
    <x v="0"/>
    <x v="0"/>
    <x v="0"/>
    <x v="3"/>
    <x v="7"/>
    <x v="2"/>
    <n v="82"/>
    <x v="5"/>
    <n v="851"/>
    <n v="56"/>
    <x v="4"/>
    <x v="6"/>
    <x v="2"/>
    <x v="0"/>
    <x v="0"/>
    <x v="0"/>
    <x v="0"/>
    <s v="https://www.adaptiveseeds.com/product/vegetables/greens/shungiku-komi-organic/"/>
  </r>
  <r>
    <s v="CAU002"/>
    <x v="16"/>
    <x v="3"/>
    <n v="85.714285714285708"/>
    <s v="Cauliflower (Green-Stem) - Mature Head 1X | Field TP Su"/>
    <x v="0"/>
    <x v="12"/>
    <x v="0"/>
    <x v="0"/>
    <x v="0"/>
    <x v="0"/>
    <s v="CAU"/>
    <x v="0"/>
    <x v="7"/>
    <d v="2025-08-01T00:00:00"/>
    <x v="0"/>
    <d v="2025-08-01T00:00:00"/>
    <d v="2025-09-12T00:00:00"/>
    <d v="2025-10-03T00:00:00"/>
    <x v="1"/>
    <x v="2"/>
    <x v="0"/>
    <x v="0"/>
    <n v="514.28570000000002"/>
    <n v="8.1632999999999996"/>
    <n v="77"/>
    <x v="0"/>
    <x v="0"/>
    <x v="0"/>
    <x v="0"/>
    <x v="1"/>
    <x v="0"/>
    <x v="0"/>
    <x v="0"/>
    <x v="4"/>
    <x v="0"/>
    <x v="8"/>
    <x v="0"/>
    <n v="69"/>
    <x v="1"/>
    <n v="985"/>
    <n v="21"/>
    <x v="4"/>
    <x v="5"/>
    <x v="2"/>
    <x v="1"/>
    <x v="0"/>
    <x v="0"/>
    <x v="0"/>
    <s v="https://www.johnnyseeds.com/vegetables/cauliflower/green-stem-cauliflower/song-tjs-65-f1-cauliflower-seed-4131.html"/>
  </r>
  <r>
    <s v="LET024"/>
    <x v="17"/>
    <x v="8"/>
    <n v="180.26666666666665"/>
    <s v="Lettuce (4x9) - Mature Head 1X | Field TP SuFa"/>
    <x v="0"/>
    <x v="1"/>
    <x v="0"/>
    <x v="1"/>
    <x v="0"/>
    <x v="0"/>
    <s v="LET"/>
    <x v="0"/>
    <x v="8"/>
    <d v="2025-07-04T00:00:00"/>
    <x v="0"/>
    <d v="2025-07-04T00:00:00"/>
    <d v="2025-08-13T00:00:00"/>
    <d v="2025-08-27T00:00:00"/>
    <x v="1"/>
    <x v="2"/>
    <x v="0"/>
    <x v="0"/>
    <n v="426.66669999999999"/>
    <n v="7.9012000000000002"/>
    <n v="70"/>
    <x v="0"/>
    <x v="0"/>
    <x v="0"/>
    <x v="1"/>
    <x v="1"/>
    <x v="0"/>
    <x v="0"/>
    <x v="0"/>
    <x v="1"/>
    <x v="1"/>
    <x v="0"/>
    <x v="0"/>
    <n v="175"/>
    <x v="4"/>
    <n v="955"/>
    <n v="14"/>
    <x v="1"/>
    <x v="1"/>
    <x v="1"/>
    <x v="0"/>
    <x v="0"/>
    <x v="0"/>
    <x v="0"/>
    <s v="https://uprisingorganics.com/collections/vegetables/products/lettuce-summertime?_pos=1&amp;_sid=cb387c0e7&amp;_ss=r"/>
  </r>
  <r>
    <s v="LET017"/>
    <x v="18"/>
    <x v="7"/>
    <n v="180.26666666666665"/>
    <s v="Lettuce (4x9) - Mature Head 1X | Field TP Sp"/>
    <x v="0"/>
    <x v="1"/>
    <x v="0"/>
    <x v="1"/>
    <x v="0"/>
    <x v="0"/>
    <s v="LET"/>
    <x v="0"/>
    <x v="9"/>
    <d v="2025-06-13T00:00:00"/>
    <x v="0"/>
    <d v="2025-06-13T00:00:00"/>
    <d v="2025-07-27T00:00:00"/>
    <d v="2025-08-10T00:00:00"/>
    <x v="0"/>
    <x v="2"/>
    <x v="0"/>
    <x v="0"/>
    <n v="426.66669999999999"/>
    <n v="5.4008000000000003"/>
    <n v="74"/>
    <x v="0"/>
    <x v="3"/>
    <x v="0"/>
    <x v="1"/>
    <x v="1"/>
    <x v="0"/>
    <x v="0"/>
    <x v="0"/>
    <x v="1"/>
    <x v="1"/>
    <x v="0"/>
    <x v="0"/>
    <n v="174"/>
    <x v="0"/>
    <n v="938"/>
    <n v="14"/>
    <x v="1"/>
    <x v="1"/>
    <x v="1"/>
    <x v="0"/>
    <x v="0"/>
    <x v="0"/>
    <x v="0"/>
    <s v="https://www.osborneseed.com/products/truchas-organic-nop-compliant-pellet-lettuce-seeds?_pos=1&amp;_sid=5be874f6b&amp;_ss=r&amp;variant=40616662171714"/>
  </r>
  <r>
    <s v="BAS003"/>
    <x v="19"/>
    <x v="8"/>
    <n v="52"/>
    <s v="Basil (Tulsi) - Mature Leaf 1X | Field TP "/>
    <x v="0"/>
    <x v="13"/>
    <x v="0"/>
    <x v="1"/>
    <x v="0"/>
    <x v="0"/>
    <s v="BAS"/>
    <x v="0"/>
    <x v="2"/>
    <d v="2025-05-21T00:00:00"/>
    <x v="0"/>
    <d v="2025-06-04T00:00:00"/>
    <d v="2025-07-25T00:00:00"/>
    <d v="2025-11-14T00:00:00"/>
    <x v="0"/>
    <x v="1"/>
    <x v="0"/>
    <x v="0"/>
    <n v="420"/>
    <n v="2.4419"/>
    <n v="100"/>
    <x v="0"/>
    <x v="0"/>
    <x v="0"/>
    <x v="9"/>
    <x v="1"/>
    <x v="0"/>
    <x v="0"/>
    <x v="0"/>
    <x v="3"/>
    <x v="0"/>
    <x v="2"/>
    <x v="0"/>
    <n v="21"/>
    <x v="3"/>
    <n v="936"/>
    <n v="112"/>
    <x v="3"/>
    <x v="6"/>
    <x v="1"/>
    <x v="0"/>
    <x v="0"/>
    <x v="0"/>
    <x v="0"/>
    <s v="https://uprisingorganics.com/collections/herbs/products/basil-tulsi-sacred-basil-holy-basil?_pos=1&amp;_sid=f9868298f&amp;_ss=r"/>
  </r>
  <r>
    <s v="ASI001"/>
    <x v="20"/>
    <x v="9"/>
    <n v="3120"/>
    <s v="Asian Greens - Young Leaf 1X | Field DS "/>
    <x v="0"/>
    <x v="14"/>
    <x v="0"/>
    <x v="2"/>
    <x v="1"/>
    <x v="0"/>
    <s v="ASI"/>
    <x v="0"/>
    <x v="0"/>
    <d v="2025-04-07T00:00:00"/>
    <x v="0"/>
    <d v="2025-04-07T00:00:00"/>
    <d v="2025-05-27T00:00:00"/>
    <d v="2025-06-10T00:00:00"/>
    <x v="0"/>
    <x v="0"/>
    <x v="0"/>
    <x v="0"/>
    <n v="250"/>
    <n v="3.9062000000000001"/>
    <n v="50"/>
    <x v="0"/>
    <x v="0"/>
    <x v="0"/>
    <x v="1"/>
    <x v="0"/>
    <x v="0"/>
    <x v="0"/>
    <x v="0"/>
    <x v="0"/>
    <x v="1"/>
    <x v="9"/>
    <x v="0"/>
    <n v="11"/>
    <x v="3"/>
    <n v="877"/>
    <n v="14"/>
    <x v="7"/>
    <x v="4"/>
    <x v="0"/>
    <x v="2"/>
    <x v="0"/>
    <x v="0"/>
    <x v="0"/>
    <m/>
  </r>
  <r>
    <s v="GAR533"/>
    <x v="21"/>
    <x v="9"/>
    <n v="300"/>
    <s v="Garlic (Hardneck) - Storage Bulb 1X | Field DS Ow"/>
    <x v="1"/>
    <x v="15"/>
    <x v="0"/>
    <x v="4"/>
    <x v="2"/>
    <x v="0"/>
    <s v="GAR"/>
    <x v="0"/>
    <x v="0"/>
    <d v="2024-08-19T00:00:00"/>
    <x v="0"/>
    <d v="2024-12-21T00:00:00"/>
    <d v="2025-06-01T00:00:00"/>
    <d v="2025-06-15T00:00:00"/>
    <x v="1"/>
    <x v="0"/>
    <x v="0"/>
    <x v="0"/>
    <n v="1542.8570999999999"/>
    <n v="5.5698999999999996"/>
    <n v="270"/>
    <x v="0"/>
    <x v="0"/>
    <x v="0"/>
    <x v="4"/>
    <x v="0"/>
    <x v="0"/>
    <x v="0"/>
    <x v="0"/>
    <x v="0"/>
    <x v="3"/>
    <x v="10"/>
    <x v="0"/>
    <n v="136"/>
    <x v="5"/>
    <n v="882"/>
    <n v="14"/>
    <x v="9"/>
    <x v="6"/>
    <x v="1"/>
    <x v="2"/>
    <x v="0"/>
    <x v="0"/>
    <x v="0"/>
    <m/>
  </r>
  <r>
    <s v="GAR534"/>
    <x v="21"/>
    <x v="9"/>
    <n v="300"/>
    <s v="Garlic (Softneck) - Storage Bulb 1X | Field DS Ow"/>
    <x v="2"/>
    <x v="15"/>
    <x v="0"/>
    <x v="0"/>
    <x v="0"/>
    <x v="0"/>
    <s v="GAR"/>
    <x v="0"/>
    <x v="0"/>
    <d v="2024-08-19T00:00:00"/>
    <x v="0"/>
    <d v="2024-12-21T00:00:00"/>
    <d v="2025-06-15T00:00:00"/>
    <d v="2025-06-25T00:00:00"/>
    <x v="1"/>
    <x v="0"/>
    <x v="0"/>
    <x v="0"/>
    <n v="771.42859999999996"/>
    <n v="3.1232000000000002"/>
    <n v="240"/>
    <x v="0"/>
    <x v="0"/>
    <x v="0"/>
    <x v="4"/>
    <x v="0"/>
    <x v="0"/>
    <x v="0"/>
    <x v="0"/>
    <x v="0"/>
    <x v="3"/>
    <x v="10"/>
    <x v="0"/>
    <n v="137"/>
    <x v="5"/>
    <n v="896"/>
    <n v="10"/>
    <x v="9"/>
    <x v="6"/>
    <x v="1"/>
    <x v="2"/>
    <x v="0"/>
    <x v="0"/>
    <x v="0"/>
    <m/>
  </r>
  <r>
    <s v="GAR535"/>
    <x v="21"/>
    <x v="9"/>
    <n v="900"/>
    <s v="Garlic (Green) - Young Bulb 1X | Field DS Ow"/>
    <x v="0"/>
    <x v="15"/>
    <x v="0"/>
    <x v="0"/>
    <x v="0"/>
    <x v="0"/>
    <s v="GAR"/>
    <x v="0"/>
    <x v="0"/>
    <d v="2025-08-19T00:00:00"/>
    <x v="0"/>
    <d v="2024-12-21T00:00:00"/>
    <d v="2025-05-01T00:00:00"/>
    <d v="2025-05-30T00:00:00"/>
    <x v="0"/>
    <x v="0"/>
    <x v="0"/>
    <x v="0"/>
    <n v="642.85709999999995"/>
    <n v="2.6027"/>
    <n v="240"/>
    <x v="0"/>
    <x v="0"/>
    <x v="0"/>
    <x v="4"/>
    <x v="0"/>
    <x v="0"/>
    <x v="0"/>
    <x v="0"/>
    <x v="0"/>
    <x v="3"/>
    <x v="4"/>
    <x v="0"/>
    <n v="135"/>
    <x v="5"/>
    <n v="851"/>
    <n v="29"/>
    <x v="9"/>
    <x v="6"/>
    <x v="1"/>
    <x v="2"/>
    <x v="0"/>
    <x v="0"/>
    <x v="0"/>
    <m/>
  </r>
  <r>
    <s v="LOV366"/>
    <x v="22"/>
    <x v="9"/>
    <n v="0"/>
    <s v="Lovage (Perennial) - Mature Leaf 1X | Field DS "/>
    <x v="3"/>
    <x v="16"/>
    <x v="0"/>
    <x v="1"/>
    <x v="1"/>
    <x v="0"/>
    <s v="LOV"/>
    <x v="0"/>
    <x v="10"/>
    <d v="2024-01-27T00:00:00"/>
    <x v="0"/>
    <d v="2024-01-01T00:00:00"/>
    <d v="2024-04-10T00:00:00"/>
    <d v="2025-01-20T00:00:00"/>
    <x v="0"/>
    <x v="1"/>
    <x v="0"/>
    <x v="0"/>
    <n v="480"/>
    <n v="1.6782999999999999"/>
    <n v="125"/>
    <x v="0"/>
    <x v="0"/>
    <x v="1"/>
    <x v="10"/>
    <x v="0"/>
    <x v="0"/>
    <x v="0"/>
    <x v="0"/>
    <x v="0"/>
    <x v="2"/>
    <x v="11"/>
    <x v="0"/>
    <n v="196"/>
    <x v="6"/>
    <n v="490"/>
    <n v="260"/>
    <x v="3"/>
    <x v="8"/>
    <x v="1"/>
    <x v="2"/>
    <x v="0"/>
    <x v="0"/>
    <x v="0"/>
    <m/>
  </r>
  <r>
    <s v="ARU001"/>
    <x v="23"/>
    <x v="3"/>
    <n v="2340"/>
    <s v="Arugula - Baby Leaf 1X | Field DS Sp"/>
    <x v="0"/>
    <x v="17"/>
    <x v="0"/>
    <x v="3"/>
    <x v="1"/>
    <x v="0"/>
    <s v="ARU"/>
    <x v="0"/>
    <x v="0"/>
    <d v="2025-04-11T00:00:00"/>
    <x v="0"/>
    <d v="2025-03-25T00:00:00"/>
    <d v="2025-04-25T00:00:00"/>
    <d v="2025-05-13T00:00:00"/>
    <x v="0"/>
    <x v="0"/>
    <x v="0"/>
    <x v="0"/>
    <n v="56.25"/>
    <n v="1.1479999999999999"/>
    <n v="31"/>
    <x v="0"/>
    <x v="0"/>
    <x v="0"/>
    <x v="11"/>
    <x v="0"/>
    <x v="0"/>
    <x v="0"/>
    <x v="0"/>
    <x v="0"/>
    <x v="4"/>
    <x v="12"/>
    <x v="2"/>
    <n v="6"/>
    <x v="0"/>
    <n v="845"/>
    <n v="18"/>
    <x v="1"/>
    <x v="1"/>
    <x v="1"/>
    <x v="0"/>
    <x v="0"/>
    <x v="0"/>
    <x v="0"/>
    <s v="https://www.johnnyseeds.com/vegetables/greens/arugula-roquette/esmee-organic-salad-arugula-seed-3746G.html"/>
  </r>
  <r>
    <s v="ARU002"/>
    <x v="23"/>
    <x v="3"/>
    <n v="4680"/>
    <s v="Arugula - Baby Leaf 1X | Field DS Sp"/>
    <x v="0"/>
    <x v="17"/>
    <x v="0"/>
    <x v="2"/>
    <x v="1"/>
    <x v="0"/>
    <s v="ARU"/>
    <x v="0"/>
    <x v="0"/>
    <d v="2025-04-07T00:00:00"/>
    <x v="0"/>
    <d v="2025-04-07T00:00:00"/>
    <d v="2025-05-08T00:00:00"/>
    <d v="2025-05-26T00:00:00"/>
    <x v="0"/>
    <x v="0"/>
    <x v="0"/>
    <x v="0"/>
    <n v="112.5"/>
    <n v="2.2959000000000001"/>
    <n v="31"/>
    <x v="0"/>
    <x v="0"/>
    <x v="0"/>
    <x v="11"/>
    <x v="0"/>
    <x v="0"/>
    <x v="0"/>
    <x v="0"/>
    <x v="0"/>
    <x v="4"/>
    <x v="12"/>
    <x v="2"/>
    <n v="6"/>
    <x v="0"/>
    <n v="858"/>
    <n v="18"/>
    <x v="1"/>
    <x v="1"/>
    <x v="1"/>
    <x v="0"/>
    <x v="0"/>
    <x v="0"/>
    <x v="0"/>
    <s v="https://www.johnnyseeds.com/vegetables/greens/arugula-roquette/esmee-organic-salad-arugula-seed-3746G.html"/>
  </r>
  <r>
    <s v="ARU003"/>
    <x v="23"/>
    <x v="3"/>
    <n v="9360"/>
    <s v="Arugula - Baby Leaf 1X | Field DS Sp"/>
    <x v="0"/>
    <x v="17"/>
    <x v="0"/>
    <x v="0"/>
    <x v="0"/>
    <x v="0"/>
    <s v="ARU"/>
    <x v="0"/>
    <x v="0"/>
    <d v="2025-04-07T00:00:00"/>
    <x v="0"/>
    <d v="2025-05-04T00:00:00"/>
    <d v="2025-06-04T00:00:00"/>
    <d v="2025-06-22T00:00:00"/>
    <x v="0"/>
    <x v="0"/>
    <x v="0"/>
    <x v="0"/>
    <n v="225"/>
    <n v="4.5918000000000001"/>
    <n v="31"/>
    <x v="0"/>
    <x v="0"/>
    <x v="0"/>
    <x v="11"/>
    <x v="0"/>
    <x v="0"/>
    <x v="0"/>
    <x v="0"/>
    <x v="0"/>
    <x v="4"/>
    <x v="12"/>
    <x v="2"/>
    <n v="6"/>
    <x v="0"/>
    <n v="885"/>
    <n v="18"/>
    <x v="1"/>
    <x v="1"/>
    <x v="1"/>
    <x v="0"/>
    <x v="0"/>
    <x v="0"/>
    <x v="0"/>
    <s v="https://www.johnnyseeds.com/vegetables/greens/arugula-roquette/esmee-organic-salad-arugula-seed-3746G.html"/>
  </r>
  <r>
    <s v="ARU004"/>
    <x v="23"/>
    <x v="3"/>
    <n v="4680"/>
    <s v="Arugula - Baby Leaf 1X | Field DS Sp"/>
    <x v="0"/>
    <x v="17"/>
    <x v="0"/>
    <x v="2"/>
    <x v="1"/>
    <x v="0"/>
    <s v="ARU"/>
    <x v="0"/>
    <x v="0"/>
    <d v="2025-06-15T00:00:00"/>
    <x v="0"/>
    <d v="2025-06-15T00:00:00"/>
    <d v="2025-07-16T00:00:00"/>
    <d v="2025-08-03T00:00:00"/>
    <x v="1"/>
    <x v="0"/>
    <x v="0"/>
    <x v="0"/>
    <n v="112.5"/>
    <n v="2.2959000000000001"/>
    <n v="31"/>
    <x v="0"/>
    <x v="0"/>
    <x v="0"/>
    <x v="11"/>
    <x v="0"/>
    <x v="0"/>
    <x v="0"/>
    <x v="0"/>
    <x v="0"/>
    <x v="4"/>
    <x v="12"/>
    <x v="2"/>
    <n v="6"/>
    <x v="0"/>
    <n v="927"/>
    <n v="18"/>
    <x v="1"/>
    <x v="1"/>
    <x v="1"/>
    <x v="0"/>
    <x v="0"/>
    <x v="0"/>
    <x v="0"/>
    <s v="https://www.johnnyseeds.com/vegetables/greens/arugula-roquette/esmee-organic-salad-arugula-seed-3746G.html"/>
  </r>
  <r>
    <s v="TOM007"/>
    <x v="24"/>
    <x v="10"/>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awhaley.com/product/42-day/"/>
  </r>
  <r>
    <s v="TOM011"/>
    <x v="24"/>
    <x v="10"/>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awhaley.com/product/42-day/"/>
  </r>
  <r>
    <s v="ARU001"/>
    <x v="25"/>
    <x v="4"/>
    <n v="2340"/>
    <s v="Arugula - Baby Leaf 1X | Field DS Sp"/>
    <x v="0"/>
    <x v="17"/>
    <x v="0"/>
    <x v="3"/>
    <x v="1"/>
    <x v="0"/>
    <s v="ARU"/>
    <x v="0"/>
    <x v="0"/>
    <d v="2025-04-11T00:00:00"/>
    <x v="0"/>
    <d v="2025-03-25T00:00:00"/>
    <d v="2025-04-25T00:00:00"/>
    <d v="2025-05-13T00:00:00"/>
    <x v="0"/>
    <x v="0"/>
    <x v="0"/>
    <x v="0"/>
    <n v="56.25"/>
    <n v="1.1479999999999999"/>
    <n v="31"/>
    <x v="0"/>
    <x v="0"/>
    <x v="0"/>
    <x v="11"/>
    <x v="0"/>
    <x v="0"/>
    <x v="0"/>
    <x v="0"/>
    <x v="0"/>
    <x v="4"/>
    <x v="12"/>
    <x v="2"/>
    <n v="6"/>
    <x v="0"/>
    <n v="845"/>
    <n v="18"/>
    <x v="1"/>
    <x v="1"/>
    <x v="1"/>
    <x v="0"/>
    <x v="0"/>
    <x v="0"/>
    <x v="0"/>
    <s v="https://www.highmowingseeds.com/organic-non-gmo-astro-arugula.html"/>
  </r>
  <r>
    <s v="ARU002"/>
    <x v="25"/>
    <x v="4"/>
    <n v="4680"/>
    <s v="Arugula - Baby Leaf 1X | Field DS Sp"/>
    <x v="0"/>
    <x v="17"/>
    <x v="0"/>
    <x v="2"/>
    <x v="1"/>
    <x v="0"/>
    <s v="ARU"/>
    <x v="0"/>
    <x v="0"/>
    <d v="2025-04-07T00:00:00"/>
    <x v="0"/>
    <d v="2025-04-07T00:00:00"/>
    <d v="2025-05-08T00:00:00"/>
    <d v="2025-05-26T00:00:00"/>
    <x v="0"/>
    <x v="0"/>
    <x v="0"/>
    <x v="0"/>
    <n v="112.5"/>
    <n v="2.2959000000000001"/>
    <n v="31"/>
    <x v="0"/>
    <x v="0"/>
    <x v="0"/>
    <x v="11"/>
    <x v="0"/>
    <x v="0"/>
    <x v="0"/>
    <x v="0"/>
    <x v="0"/>
    <x v="4"/>
    <x v="12"/>
    <x v="2"/>
    <n v="6"/>
    <x v="0"/>
    <n v="858"/>
    <n v="18"/>
    <x v="1"/>
    <x v="1"/>
    <x v="1"/>
    <x v="0"/>
    <x v="0"/>
    <x v="0"/>
    <x v="0"/>
    <s v="https://www.highmowingseeds.com/organic-non-gmo-astro-arugula.html"/>
  </r>
  <r>
    <s v="ARU003"/>
    <x v="25"/>
    <x v="4"/>
    <n v="9360"/>
    <s v="Arugula - Baby Leaf 1X | Field DS Sp"/>
    <x v="0"/>
    <x v="17"/>
    <x v="0"/>
    <x v="0"/>
    <x v="0"/>
    <x v="0"/>
    <s v="ARU"/>
    <x v="0"/>
    <x v="0"/>
    <d v="2025-04-07T00:00:00"/>
    <x v="0"/>
    <d v="2025-05-04T00:00:00"/>
    <d v="2025-06-04T00:00:00"/>
    <d v="2025-06-22T00:00:00"/>
    <x v="0"/>
    <x v="0"/>
    <x v="0"/>
    <x v="0"/>
    <n v="225"/>
    <n v="4.5918000000000001"/>
    <n v="31"/>
    <x v="0"/>
    <x v="0"/>
    <x v="0"/>
    <x v="11"/>
    <x v="0"/>
    <x v="0"/>
    <x v="0"/>
    <x v="0"/>
    <x v="0"/>
    <x v="4"/>
    <x v="12"/>
    <x v="2"/>
    <n v="6"/>
    <x v="0"/>
    <n v="885"/>
    <n v="18"/>
    <x v="1"/>
    <x v="1"/>
    <x v="1"/>
    <x v="0"/>
    <x v="0"/>
    <x v="0"/>
    <x v="0"/>
    <s v="https://www.highmowingseeds.com/organic-non-gmo-astro-arugula.html"/>
  </r>
  <r>
    <s v="ARU004"/>
    <x v="25"/>
    <x v="4"/>
    <n v="4680"/>
    <s v="Arugula - Baby Leaf 1X | Field DS Sp"/>
    <x v="0"/>
    <x v="17"/>
    <x v="0"/>
    <x v="2"/>
    <x v="1"/>
    <x v="0"/>
    <s v="ARU"/>
    <x v="0"/>
    <x v="0"/>
    <d v="2025-06-15T00:00:00"/>
    <x v="0"/>
    <d v="2025-06-15T00:00:00"/>
    <d v="2025-07-16T00:00:00"/>
    <d v="2025-08-03T00:00:00"/>
    <x v="1"/>
    <x v="0"/>
    <x v="0"/>
    <x v="0"/>
    <n v="112.5"/>
    <n v="2.2959000000000001"/>
    <n v="31"/>
    <x v="0"/>
    <x v="0"/>
    <x v="0"/>
    <x v="11"/>
    <x v="0"/>
    <x v="0"/>
    <x v="0"/>
    <x v="0"/>
    <x v="0"/>
    <x v="4"/>
    <x v="12"/>
    <x v="2"/>
    <n v="6"/>
    <x v="0"/>
    <n v="927"/>
    <n v="18"/>
    <x v="1"/>
    <x v="1"/>
    <x v="1"/>
    <x v="0"/>
    <x v="0"/>
    <x v="0"/>
    <x v="0"/>
    <s v="https://www.highmowingseeds.com/organic-non-gmo-astro-arugula.html"/>
  </r>
  <r>
    <s v="BAS001"/>
    <x v="26"/>
    <x v="5"/>
    <n v="16.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www.adaptiveseeds.com/product/herbs/basil-golden-mountain-sweet-thai-mix-organic/"/>
  </r>
  <r>
    <s v="BAS002"/>
    <x v="26"/>
    <x v="5"/>
    <n v="6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www.adaptiveseeds.com/product/herbs/basil-golden-mountain-sweet-thai-mix-organic/"/>
  </r>
  <r>
    <s v="DIL001"/>
    <x v="27"/>
    <x v="5"/>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adaptiveseeds.com/product/herbs/dill-ambrosia-organic/"/>
  </r>
  <r>
    <s v="DIL002"/>
    <x v="27"/>
    <x v="5"/>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adaptiveseeds.com/product/herbs/dill-ambrosia-organic/"/>
  </r>
  <r>
    <s v="DIL004"/>
    <x v="27"/>
    <x v="5"/>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adaptiveseeds.com/product/herbs/dill-ambrosia-organic/"/>
  </r>
  <r>
    <s v="DIL005"/>
    <x v="27"/>
    <x v="5"/>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adaptiveseeds.com/product/herbs/dill-ambrosia-organic/"/>
  </r>
  <r>
    <s v="DIL006"/>
    <x v="27"/>
    <x v="5"/>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adaptiveseeds.com/product/herbs/dill-ambrosia-organic/"/>
  </r>
  <r>
    <s v="DIL009"/>
    <x v="27"/>
    <x v="5"/>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adaptiveseeds.com/product/herbs/dill-ambrosia-organic/"/>
  </r>
  <r>
    <s v="DIL010"/>
    <x v="27"/>
    <x v="5"/>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adaptiveseeds.com/product/herbs/dill-ambrosia-organic/"/>
  </r>
  <r>
    <s v="BAS001"/>
    <x v="28"/>
    <x v="8"/>
    <n v="16.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uprisingorganics.com/products/basil-italian-largeleaf?_pos=2&amp;_sid=86892f78d&amp;_ss=r"/>
  </r>
  <r>
    <s v="BAS002"/>
    <x v="28"/>
    <x v="8"/>
    <n v="6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uprisingorganics.com/products/basil-italian-largeleaf?_pos=2&amp;_sid=86892f78d&amp;_ss=r"/>
  </r>
  <r>
    <s v="BEA001"/>
    <x v="29"/>
    <x v="8"/>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uprisingorganics.com/collections/vegetables/products/bean-pole-snap-fortex?_pos=1&amp;_sid=434a3c7d0&amp;_ss=r"/>
  </r>
  <r>
    <s v="BEA002"/>
    <x v="29"/>
    <x v="8"/>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uprisingorganics.com/collections/vegetables/products/bean-pole-snap-fortex?_pos=1&amp;_sid=434a3c7d0&amp;_ss=r"/>
  </r>
  <r>
    <s v="BEA001"/>
    <x v="30"/>
    <x v="4"/>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www.highmowingseeds.com/organic-non-gmo-dragon-langerie-bush-bean.html"/>
  </r>
  <r>
    <s v="BEA002"/>
    <x v="30"/>
    <x v="4"/>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www.highmowingseeds.com/organic-non-gmo-dragon-langerie-bush-bean.html"/>
  </r>
  <r>
    <s v="BEE001"/>
    <x v="31"/>
    <x v="4"/>
    <n v="330"/>
    <s v="Beet - Mature Root 3X | Field TP Sp"/>
    <x v="0"/>
    <x v="21"/>
    <x v="0"/>
    <x v="4"/>
    <x v="2"/>
    <x v="0"/>
    <s v="BEE"/>
    <x v="0"/>
    <x v="16"/>
    <d v="2025-04-26T00:00:00"/>
    <x v="0"/>
    <d v="2025-06-22T00:00:00"/>
    <d v="2025-08-17T00:00:00"/>
    <d v="2025-09-21T00:00:00"/>
    <x v="0"/>
    <x v="2"/>
    <x v="0"/>
    <x v="0"/>
    <n v="800"/>
    <n v="8.7911999999999999"/>
    <n v="91"/>
    <x v="0"/>
    <x v="0"/>
    <x v="0"/>
    <x v="5"/>
    <x v="1"/>
    <x v="0"/>
    <x v="0"/>
    <x v="0"/>
    <x v="4"/>
    <x v="3"/>
    <x v="2"/>
    <x v="0"/>
    <n v="32"/>
    <x v="0"/>
    <n v="959"/>
    <n v="35"/>
    <x v="5"/>
    <x v="1"/>
    <x v="1"/>
    <x v="0"/>
    <x v="0"/>
    <x v="0"/>
    <x v="3"/>
    <s v="https://www.highmowingseeds.com/organic-non-gmo-badger-flame-beet.html"/>
  </r>
  <r>
    <s v="BEE002"/>
    <x v="31"/>
    <x v="4"/>
    <n v="330"/>
    <s v="Beet - Mature Root 3X | Field TP SuFa"/>
    <x v="0"/>
    <x v="21"/>
    <x v="0"/>
    <x v="4"/>
    <x v="2"/>
    <x v="0"/>
    <s v="BEE"/>
    <x v="0"/>
    <x v="17"/>
    <d v="2025-07-05T00:00:00"/>
    <x v="0"/>
    <d v="2025-07-05T00:00:00"/>
    <d v="2025-08-19T00:00:00"/>
    <d v="2025-09-23T00:00:00"/>
    <x v="1"/>
    <x v="2"/>
    <x v="0"/>
    <x v="0"/>
    <n v="800"/>
    <n v="10"/>
    <n v="80"/>
    <x v="0"/>
    <x v="0"/>
    <x v="0"/>
    <x v="5"/>
    <x v="1"/>
    <x v="0"/>
    <x v="0"/>
    <x v="0"/>
    <x v="4"/>
    <x v="3"/>
    <x v="2"/>
    <x v="0"/>
    <n v="33"/>
    <x v="4"/>
    <n v="961"/>
    <n v="35"/>
    <x v="5"/>
    <x v="1"/>
    <x v="5"/>
    <x v="0"/>
    <x v="0"/>
    <x v="0"/>
    <x v="3"/>
    <s v="https://www.highmowingseeds.com/organic-non-gmo-badger-flame-beet.html"/>
  </r>
  <r>
    <s v="BEE001"/>
    <x v="32"/>
    <x v="4"/>
    <n v="330"/>
    <s v="Beet - Mature Root 3X | Field TP Sp"/>
    <x v="0"/>
    <x v="21"/>
    <x v="0"/>
    <x v="4"/>
    <x v="2"/>
    <x v="0"/>
    <s v="BEE"/>
    <x v="0"/>
    <x v="16"/>
    <d v="2025-04-26T00:00:00"/>
    <x v="0"/>
    <d v="2025-06-22T00:00:00"/>
    <d v="2025-08-17T00:00:00"/>
    <d v="2025-09-21T00:00:00"/>
    <x v="0"/>
    <x v="2"/>
    <x v="0"/>
    <x v="0"/>
    <n v="800"/>
    <n v="8.7911999999999999"/>
    <n v="91"/>
    <x v="0"/>
    <x v="0"/>
    <x v="0"/>
    <x v="5"/>
    <x v="1"/>
    <x v="0"/>
    <x v="0"/>
    <x v="0"/>
    <x v="4"/>
    <x v="3"/>
    <x v="2"/>
    <x v="0"/>
    <n v="32"/>
    <x v="0"/>
    <n v="959"/>
    <n v="35"/>
    <x v="5"/>
    <x v="1"/>
    <x v="1"/>
    <x v="0"/>
    <x v="0"/>
    <x v="0"/>
    <x v="4"/>
    <s v="https://www.highmowingseeds.com/organic-non-gmo-boro-f1-beet.html"/>
  </r>
  <r>
    <s v="BEE002"/>
    <x v="32"/>
    <x v="4"/>
    <n v="330"/>
    <s v="Beet - Mature Root 3X | Field TP SuFa"/>
    <x v="0"/>
    <x v="21"/>
    <x v="0"/>
    <x v="4"/>
    <x v="2"/>
    <x v="0"/>
    <s v="BEE"/>
    <x v="0"/>
    <x v="17"/>
    <d v="2025-07-05T00:00:00"/>
    <x v="0"/>
    <d v="2025-07-05T00:00:00"/>
    <d v="2025-08-19T00:00:00"/>
    <d v="2025-09-23T00:00:00"/>
    <x v="1"/>
    <x v="2"/>
    <x v="0"/>
    <x v="0"/>
    <n v="800"/>
    <n v="10"/>
    <n v="80"/>
    <x v="0"/>
    <x v="0"/>
    <x v="0"/>
    <x v="5"/>
    <x v="1"/>
    <x v="0"/>
    <x v="0"/>
    <x v="0"/>
    <x v="4"/>
    <x v="3"/>
    <x v="2"/>
    <x v="0"/>
    <n v="33"/>
    <x v="4"/>
    <n v="961"/>
    <n v="35"/>
    <x v="5"/>
    <x v="1"/>
    <x v="5"/>
    <x v="0"/>
    <x v="0"/>
    <x v="0"/>
    <x v="4"/>
    <s v="https://www.highmowingseeds.com/organic-non-gmo-boro-f1-beet.html"/>
  </r>
  <r>
    <s v="BEE001"/>
    <x v="33"/>
    <x v="5"/>
    <n v="330"/>
    <s v="Beet - Mature Root 3X | Field TP Sp"/>
    <x v="0"/>
    <x v="21"/>
    <x v="0"/>
    <x v="4"/>
    <x v="2"/>
    <x v="0"/>
    <s v="BEE"/>
    <x v="0"/>
    <x v="16"/>
    <d v="2025-04-26T00:00:00"/>
    <x v="0"/>
    <d v="2025-06-22T00:00:00"/>
    <d v="2025-08-17T00:00:00"/>
    <d v="2025-09-21T00:00:00"/>
    <x v="0"/>
    <x v="2"/>
    <x v="0"/>
    <x v="0"/>
    <n v="800"/>
    <n v="8.7911999999999999"/>
    <n v="91"/>
    <x v="0"/>
    <x v="0"/>
    <x v="0"/>
    <x v="5"/>
    <x v="1"/>
    <x v="0"/>
    <x v="0"/>
    <x v="0"/>
    <x v="4"/>
    <x v="3"/>
    <x v="2"/>
    <x v="0"/>
    <n v="32"/>
    <x v="0"/>
    <n v="959"/>
    <n v="35"/>
    <x v="5"/>
    <x v="1"/>
    <x v="1"/>
    <x v="0"/>
    <x v="0"/>
    <x v="0"/>
    <x v="5"/>
    <s v="https://www.adaptiveseeds.com/product/vegetables/beets/beet-chioggia-organic/"/>
  </r>
  <r>
    <s v="BEE002"/>
    <x v="33"/>
    <x v="5"/>
    <n v="330"/>
    <s v="Beet - Mature Root 3X | Field TP SuFa"/>
    <x v="0"/>
    <x v="21"/>
    <x v="0"/>
    <x v="4"/>
    <x v="2"/>
    <x v="0"/>
    <s v="BEE"/>
    <x v="0"/>
    <x v="17"/>
    <d v="2025-07-05T00:00:00"/>
    <x v="0"/>
    <d v="2025-07-05T00:00:00"/>
    <d v="2025-08-19T00:00:00"/>
    <d v="2025-09-23T00:00:00"/>
    <x v="1"/>
    <x v="2"/>
    <x v="0"/>
    <x v="0"/>
    <n v="800"/>
    <n v="10"/>
    <n v="80"/>
    <x v="0"/>
    <x v="0"/>
    <x v="0"/>
    <x v="5"/>
    <x v="1"/>
    <x v="0"/>
    <x v="0"/>
    <x v="0"/>
    <x v="4"/>
    <x v="3"/>
    <x v="2"/>
    <x v="0"/>
    <n v="33"/>
    <x v="4"/>
    <n v="961"/>
    <n v="35"/>
    <x v="5"/>
    <x v="1"/>
    <x v="5"/>
    <x v="0"/>
    <x v="0"/>
    <x v="0"/>
    <x v="5"/>
    <s v="https://www.adaptiveseeds.com/product/vegetables/beets/beet-chioggia-organic/"/>
  </r>
  <r>
    <s v="BOK001"/>
    <x v="34"/>
    <x v="3"/>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1"/>
    <x v="0"/>
    <x v="0"/>
    <x v="0"/>
    <s v="https://www.johnnyseeds.com/vegetables/greens/asian-greens/carlton-f1-asian-green-seed-3872.html"/>
  </r>
  <r>
    <s v="BOK001"/>
    <x v="35"/>
    <x v="4"/>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0"/>
    <x v="0"/>
    <x v="0"/>
    <x v="0"/>
    <s v="https://www.highmowingseeds.com/organic-non-gmo-komatsuna-asian-greens.html"/>
  </r>
  <r>
    <s v="BOK001"/>
    <x v="35"/>
    <x v="4"/>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0"/>
    <x v="0"/>
    <x v="0"/>
    <x v="0"/>
    <s v="https://www.highmowingseeds.com/organic-non-gmo-komatsuna-asian-greens.html"/>
  </r>
  <r>
    <s v="TOM008"/>
    <x v="36"/>
    <x v="11"/>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tomatofest.com/Banana_Legs_p/tf-0039.htm"/>
  </r>
  <r>
    <s v="TOM012"/>
    <x v="36"/>
    <x v="11"/>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tomatofest.com/Banana_Legs_p/tf-0039.htm"/>
  </r>
  <r>
    <s v="BOK001"/>
    <x v="37"/>
    <x v="3"/>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0"/>
    <x v="0"/>
    <x v="0"/>
    <x v="0"/>
    <s v="https://www.johnnyseeds.com/vegetables/greens/pac-choi-bok-choy/bopak-organic-f1-green-seed-4206G.html"/>
  </r>
  <r>
    <s v="BRO001"/>
    <x v="38"/>
    <x v="3"/>
    <n v="69.333333333333329"/>
    <s v="Broccoli (Sprouting) - Loose Florets 1X | Field TP SuFa"/>
    <x v="0"/>
    <x v="22"/>
    <x v="0"/>
    <x v="7"/>
    <x v="2"/>
    <x v="0"/>
    <s v="BRO"/>
    <x v="0"/>
    <x v="19"/>
    <d v="2025-07-08T00:00:00"/>
    <x v="0"/>
    <d v="2025-07-08T00:00:00"/>
    <d v="2025-08-22T00:00:00"/>
    <d v="2025-09-12T00:00:00"/>
    <x v="1"/>
    <x v="2"/>
    <x v="0"/>
    <x v="0"/>
    <n v="426.66669999999999"/>
    <n v="6.4645999999999999"/>
    <n v="73"/>
    <x v="0"/>
    <x v="0"/>
    <x v="0"/>
    <x v="0"/>
    <x v="1"/>
    <x v="0"/>
    <x v="0"/>
    <x v="0"/>
    <x v="2"/>
    <x v="0"/>
    <x v="11"/>
    <x v="0"/>
    <n v="41"/>
    <x v="4"/>
    <n v="964"/>
    <n v="21"/>
    <x v="4"/>
    <x v="6"/>
    <x v="2"/>
    <x v="0"/>
    <x v="0"/>
    <x v="0"/>
    <x v="0"/>
    <s v="https://www.johnnyseeds.com/vegetables/broccoli/mini-broccoli/burgundy-f1-broccoli-seed-3460.html"/>
  </r>
  <r>
    <s v="CAB001"/>
    <x v="39"/>
    <x v="4"/>
    <n v="146.66666666666666"/>
    <s v="Cabbage - Large Head 1X | Field TP Fa"/>
    <x v="0"/>
    <x v="4"/>
    <x v="0"/>
    <x v="0"/>
    <x v="0"/>
    <x v="0"/>
    <s v="CAB"/>
    <x v="0"/>
    <x v="19"/>
    <d v="2025-07-15T00:00:00"/>
    <x v="0"/>
    <d v="2025-07-15T00:00:00"/>
    <d v="2025-10-08T00:00:00"/>
    <d v="2025-10-29T00:00:00"/>
    <x v="1"/>
    <x v="2"/>
    <x v="0"/>
    <x v="0"/>
    <n v="586.66669999999999"/>
    <n v="5.5346000000000002"/>
    <n v="120"/>
    <x v="0"/>
    <x v="0"/>
    <x v="0"/>
    <x v="0"/>
    <x v="1"/>
    <x v="0"/>
    <x v="0"/>
    <x v="0"/>
    <x v="4"/>
    <x v="0"/>
    <x v="11"/>
    <x v="0"/>
    <n v="47"/>
    <x v="8"/>
    <n v="1011"/>
    <n v="21"/>
    <x v="4"/>
    <x v="5"/>
    <x v="2"/>
    <x v="0"/>
    <x v="0"/>
    <x v="0"/>
    <x v="0"/>
    <s v="https://www.highmowingseeds.com/organic-non-gmo-bronco-f1-cabbage.html"/>
  </r>
  <r>
    <s v="CAB002"/>
    <x v="40"/>
    <x v="4"/>
    <n v="58.666666666666664"/>
    <s v="Cabbage (Chinese) - Large Head 1X | Field TP Wi"/>
    <x v="0"/>
    <x v="4"/>
    <x v="0"/>
    <x v="0"/>
    <x v="0"/>
    <x v="0"/>
    <s v="CAB"/>
    <x v="0"/>
    <x v="20"/>
    <d v="2025-07-07T00:00:00"/>
    <x v="0"/>
    <d v="2025-07-07T00:00:00"/>
    <d v="2025-09-02T00:00:00"/>
    <d v="2025-09-16T00:00:00"/>
    <x v="1"/>
    <x v="2"/>
    <x v="0"/>
    <x v="0"/>
    <n v="360"/>
    <n v="5.0704000000000002"/>
    <n v="85"/>
    <x v="0"/>
    <x v="0"/>
    <x v="0"/>
    <x v="1"/>
    <x v="1"/>
    <x v="0"/>
    <x v="0"/>
    <x v="0"/>
    <x v="2"/>
    <x v="0"/>
    <x v="13"/>
    <x v="0"/>
    <n v="48"/>
    <x v="9"/>
    <n v="975"/>
    <n v="14"/>
    <x v="4"/>
    <x v="6"/>
    <x v="2"/>
    <x v="0"/>
    <x v="0"/>
    <x v="0"/>
    <x v="0"/>
    <s v="https://www.highmowingseeds.com/organic-non-gmo-bilko-f1-napa-cabbage.html"/>
  </r>
  <r>
    <s v="CAB002"/>
    <x v="41"/>
    <x v="4"/>
    <n v="58.666666666666664"/>
    <s v="Cabbage (Chinese) - Large Head 1X | Field TP Wi"/>
    <x v="0"/>
    <x v="4"/>
    <x v="0"/>
    <x v="0"/>
    <x v="0"/>
    <x v="0"/>
    <s v="CAB"/>
    <x v="0"/>
    <x v="20"/>
    <d v="2025-07-07T00:00:00"/>
    <x v="0"/>
    <d v="2025-07-07T00:00:00"/>
    <d v="2025-09-02T00:00:00"/>
    <d v="2025-09-16T00:00:00"/>
    <x v="1"/>
    <x v="2"/>
    <x v="0"/>
    <x v="0"/>
    <n v="360"/>
    <n v="5.0704000000000002"/>
    <n v="85"/>
    <x v="0"/>
    <x v="0"/>
    <x v="0"/>
    <x v="1"/>
    <x v="1"/>
    <x v="0"/>
    <x v="0"/>
    <x v="0"/>
    <x v="2"/>
    <x v="0"/>
    <x v="13"/>
    <x v="0"/>
    <n v="48"/>
    <x v="9"/>
    <n v="975"/>
    <n v="14"/>
    <x v="4"/>
    <x v="6"/>
    <x v="2"/>
    <x v="0"/>
    <x v="0"/>
    <x v="0"/>
    <x v="0"/>
    <s v="https://www.highmowingseeds.com/organic-non-gmo-emiko-f1-napa-cabbage.html"/>
  </r>
  <r>
    <s v="PEP005"/>
    <x v="42"/>
    <x v="3"/>
    <n v="15.6"/>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0"/>
    <x v="0"/>
    <x v="0"/>
    <x v="0"/>
    <s v="https://www.johnnyseeds.com/vegetables/peppers/hot-peppers/bastan-organic-f1-poblano-pepper-seed-3274G.html"/>
  </r>
  <r>
    <s v="CAB003"/>
    <x v="43"/>
    <x v="7"/>
    <n v="88.000000000000014"/>
    <s v="Cabbage (Fast Early 9&quot;) - Large Head 1X | Field TP Sp"/>
    <x v="0"/>
    <x v="4"/>
    <x v="0"/>
    <x v="1"/>
    <x v="0"/>
    <x v="0"/>
    <s v="CAB"/>
    <x v="0"/>
    <x v="21"/>
    <d v="2025-04-01T00:00:00"/>
    <x v="0"/>
    <d v="2025-05-05T00:00:00"/>
    <d v="2025-07-11T00:00:00"/>
    <d v="2025-07-18T00:00:00"/>
    <x v="0"/>
    <x v="1"/>
    <x v="0"/>
    <x v="0"/>
    <n v="264"/>
    <n v="3.4285999999999999"/>
    <n v="105"/>
    <x v="0"/>
    <x v="0"/>
    <x v="0"/>
    <x v="4"/>
    <x v="1"/>
    <x v="0"/>
    <x v="0"/>
    <x v="0"/>
    <x v="4"/>
    <x v="3"/>
    <x v="0"/>
    <x v="0"/>
    <n v="50"/>
    <x v="0"/>
    <n v="922"/>
    <n v="7"/>
    <x v="4"/>
    <x v="4"/>
    <x v="0"/>
    <x v="1"/>
    <x v="0"/>
    <x v="0"/>
    <x v="0"/>
    <s v="https://www.osborneseed.com/products/katarina-f1-untreated-cabbage-seeds?_pos=1&amp;_psq=katarina&amp;_ss=e&amp;_v=1.0"/>
  </r>
  <r>
    <s v="RAD002"/>
    <x v="44"/>
    <x v="8"/>
    <n v="156"/>
    <s v="Radicchio (90 Day) - Forced Head 1X | Field TP Su"/>
    <x v="0"/>
    <x v="23"/>
    <x v="0"/>
    <x v="6"/>
    <x v="3"/>
    <x v="0"/>
    <s v="RAD"/>
    <x v="0"/>
    <x v="17"/>
    <d v="2025-06-30T00:00:00"/>
    <x v="0"/>
    <d v="2025-06-30T00:00:00"/>
    <d v="2025-09-28T00:00:00"/>
    <d v="2025-10-12T00:00:00"/>
    <x v="1"/>
    <x v="2"/>
    <x v="0"/>
    <x v="0"/>
    <n v="1440"/>
    <n v="13.8462"/>
    <n v="120"/>
    <x v="0"/>
    <x v="0"/>
    <x v="0"/>
    <x v="1"/>
    <x v="1"/>
    <x v="0"/>
    <x v="0"/>
    <x v="0"/>
    <x v="1"/>
    <x v="3"/>
    <x v="2"/>
    <x v="0"/>
    <n v="251"/>
    <x v="1"/>
    <n v="1001"/>
    <n v="14"/>
    <x v="1"/>
    <x v="5"/>
    <x v="1"/>
    <x v="0"/>
    <x v="0"/>
    <x v="0"/>
    <x v="0"/>
    <s v="https://uprisingorganics.com/collections/vegetables/products/radicchio-castelfranco-4-20?_pos=1&amp;_sid=bcf1dea30&amp;_ss=r"/>
  </r>
  <r>
    <s v="TOM009"/>
    <x v="45"/>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beauty-king/"/>
  </r>
  <r>
    <s v="CAR001"/>
    <x v="46"/>
    <x v="4"/>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0"/>
    <x v="0"/>
    <x v="0"/>
    <x v="0"/>
    <s v="https://www.highmowingseeds.com/organic-non-gmo-cosmic-purple-carrot.html"/>
  </r>
  <r>
    <s v="CAR002"/>
    <x v="46"/>
    <x v="4"/>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0"/>
    <x v="0"/>
    <x v="0"/>
    <x v="0"/>
    <s v="https://www.highmowingseeds.com/organic-non-gmo-cosmic-purple-carrot.html"/>
  </r>
  <r>
    <s v="CAR004"/>
    <x v="46"/>
    <x v="4"/>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0"/>
    <x v="0"/>
    <x v="0"/>
    <x v="0"/>
    <s v="https://www.highmowingseeds.com/organic-non-gmo-cosmic-purple-carrot.html"/>
  </r>
  <r>
    <s v="CAR005"/>
    <x v="46"/>
    <x v="4"/>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0"/>
    <x v="0"/>
    <x v="0"/>
    <x v="0"/>
    <s v="https://www.highmowingseeds.com/organic-non-gmo-cosmic-purple-carrot.html"/>
  </r>
  <r>
    <s v="CAR006"/>
    <x v="46"/>
    <x v="4"/>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0"/>
    <x v="0"/>
    <x v="0"/>
    <x v="0"/>
    <s v="https://www.highmowingseeds.com/organic-non-gmo-cosmic-purple-carrot.html"/>
  </r>
  <r>
    <s v="TOM006"/>
    <x v="47"/>
    <x v="12"/>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awhaley.com/product/cream-of-the-crop-beefy-purple/"/>
  </r>
  <r>
    <s v="TOM010"/>
    <x v="47"/>
    <x v="12"/>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awhaley.com/product/cream-of-the-crop-beefy-purple/"/>
  </r>
  <r>
    <s v="TOM002"/>
    <x v="48"/>
    <x v="13"/>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1"/>
    <x v="0"/>
    <x v="0"/>
    <x v="0"/>
    <s v="https://beneseeds.com/products/benevento-f1"/>
  </r>
  <r>
    <s v="TOM003"/>
    <x v="48"/>
    <x v="13"/>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1"/>
    <x v="0"/>
    <x v="0"/>
    <x v="0"/>
    <s v="https://beneseeds.com/products/benevento-f1"/>
  </r>
  <r>
    <s v="CAR003"/>
    <x v="49"/>
    <x v="4"/>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0"/>
    <x v="0"/>
    <x v="0"/>
    <x v="6"/>
    <s v="https://www.highmowingseeds.com/organic-non-gmo-bengala-f1-carrot.html"/>
  </r>
  <r>
    <s v="CAR007"/>
    <x v="49"/>
    <x v="4"/>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0"/>
    <x v="0"/>
    <x v="0"/>
    <x v="6"/>
    <s v="https://www.highmowingseeds.com/organic-non-gmo-bengala-f1-carrot.html"/>
  </r>
  <r>
    <s v="CAR003"/>
    <x v="50"/>
    <x v="3"/>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1"/>
    <x v="0"/>
    <x v="0"/>
    <x v="0"/>
    <s v="https://www.johnnyseeds.com/vegetables/carrots/storage-carrots/bolero-f1-carrot-seed-216.html"/>
  </r>
  <r>
    <s v="CAR007"/>
    <x v="50"/>
    <x v="3"/>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1"/>
    <x v="0"/>
    <x v="0"/>
    <x v="0"/>
    <s v="https://www.johnnyseeds.com/vegetables/carrots/storage-carrots/bolero-f1-carrot-seed-216.html"/>
  </r>
  <r>
    <s v="CAR003"/>
    <x v="51"/>
    <x v="4"/>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0"/>
    <x v="0"/>
    <x v="0"/>
    <x v="0"/>
    <s v="https://www.highmowingseeds.com/organic-non-gmo-dolciva-carrot.html"/>
  </r>
  <r>
    <s v="CAR007"/>
    <x v="51"/>
    <x v="4"/>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0"/>
    <x v="0"/>
    <x v="0"/>
    <x v="0"/>
    <s v="https://www.highmowingseeds.com/organic-non-gmo-dolciva-carrot.html"/>
  </r>
  <r>
    <s v="TOM004"/>
    <x v="52"/>
    <x v="3"/>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0"/>
    <x v="0"/>
    <x v="0"/>
    <x v="0"/>
    <s v="https://www.johnnyseeds.com/vegetables/tomatoes/cherry-tomatoes/black-cherry-organic-tomato-seed-88G.html"/>
  </r>
  <r>
    <s v="KAL003"/>
    <x v="53"/>
    <x v="4"/>
    <n v="97.777777777777771"/>
    <s v="Kale - Mature Leaf 2X | Field TP Sp"/>
    <x v="0"/>
    <x v="25"/>
    <x v="0"/>
    <x v="4"/>
    <x v="2"/>
    <x v="0"/>
    <s v="KAL"/>
    <x v="0"/>
    <x v="1"/>
    <d v="2025-04-26T00:00:00"/>
    <x v="0"/>
    <d v="2025-04-28T00:00:00"/>
    <d v="2025-06-30T00:00:00"/>
    <d v="2025-08-25T00:00:00"/>
    <x v="0"/>
    <x v="1"/>
    <x v="0"/>
    <x v="0"/>
    <n v="1600"/>
    <n v="14.414400000000001"/>
    <n v="90"/>
    <x v="0"/>
    <x v="0"/>
    <x v="0"/>
    <x v="8"/>
    <x v="1"/>
    <x v="0"/>
    <x v="0"/>
    <x v="0"/>
    <x v="4"/>
    <x v="0"/>
    <x v="11"/>
    <x v="0"/>
    <n v="155"/>
    <x v="0"/>
    <n v="911"/>
    <n v="56"/>
    <x v="4"/>
    <x v="2"/>
    <x v="2"/>
    <x v="0"/>
    <x v="0"/>
    <x v="0"/>
    <x v="0"/>
    <s v="https://www.highmowingseeds.com/organic-non-gmo-black-jack-f1-kale.html"/>
  </r>
  <r>
    <s v="PEP005"/>
    <x v="54"/>
    <x v="3"/>
    <n v="20.8"/>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0"/>
    <x v="0"/>
    <x v="0"/>
    <x v="0"/>
    <s v="https://www.johnnyseeds.com/vegetables/peppers/hot-peppers/black-magic-organic-f1-jalapeno-pepper-seed-4718G.html"/>
  </r>
  <r>
    <s v="TOM006"/>
    <x v="55"/>
    <x v="11"/>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www.tomatofest.com/Black_Sea_Man_Heirloom_Tomato_Seeds_p/tf-0065a.htm"/>
  </r>
  <r>
    <s v="TOM010"/>
    <x v="55"/>
    <x v="11"/>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www.tomatofest.com/Black_Sea_Man_Heirloom_Tomato_Seeds_p/tf-0065a.htm"/>
  </r>
  <r>
    <s v="TOM005"/>
    <x v="56"/>
    <x v="3"/>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0"/>
    <s v="https://www.johnnyseeds.com/vegetables/tomatoes/specialty-tomatoes/blush-organic-tomato-seed-3517G.html"/>
  </r>
  <r>
    <s v="CIL002"/>
    <x v="57"/>
    <x v="4"/>
    <n v="206.25000000000003"/>
    <s v="Cilantro - Loose Leaf 3X | Field TP Su"/>
    <x v="0"/>
    <x v="26"/>
    <x v="0"/>
    <x v="3"/>
    <x v="1"/>
    <x v="0"/>
    <s v="CIL"/>
    <x v="0"/>
    <x v="21"/>
    <d v="2025-04-11T00:00:00"/>
    <x v="0"/>
    <d v="2025-04-20T00:00:00"/>
    <d v="2025-06-16T00:00:00"/>
    <d v="2025-06-30T00:00:00"/>
    <x v="0"/>
    <x v="1"/>
    <x v="0"/>
    <x v="0"/>
    <n v="300"/>
    <n v="4.6875"/>
    <n v="80"/>
    <x v="0"/>
    <x v="0"/>
    <x v="0"/>
    <x v="1"/>
    <x v="1"/>
    <x v="0"/>
    <x v="0"/>
    <x v="0"/>
    <x v="1"/>
    <x v="5"/>
    <x v="10"/>
    <x v="0"/>
    <n v="88"/>
    <x v="1"/>
    <n v="897"/>
    <n v="14"/>
    <x v="3"/>
    <x v="1"/>
    <x v="1"/>
    <x v="0"/>
    <x v="0"/>
    <x v="0"/>
    <x v="0"/>
    <s v="https://www.highmowingseeds.com/organic-non-gmo-cruiser-cilantro.html"/>
  </r>
  <r>
    <s v="CIL003"/>
    <x v="57"/>
    <x v="4"/>
    <n v="206.25000000000003"/>
    <s v="Cilantro - Loose Leaf 3X | Field TP Su"/>
    <x v="0"/>
    <x v="26"/>
    <x v="0"/>
    <x v="3"/>
    <x v="1"/>
    <x v="0"/>
    <s v="CIL"/>
    <x v="0"/>
    <x v="21"/>
    <d v="2025-04-12T00:00:00"/>
    <x v="0"/>
    <d v="2025-04-20T00:00:00"/>
    <d v="2025-06-23T00:00:00"/>
    <d v="2025-07-07T00:00:00"/>
    <x v="0"/>
    <x v="1"/>
    <x v="0"/>
    <x v="0"/>
    <n v="300"/>
    <n v="4.6875"/>
    <n v="87"/>
    <x v="0"/>
    <x v="4"/>
    <x v="0"/>
    <x v="1"/>
    <x v="1"/>
    <x v="0"/>
    <x v="0"/>
    <x v="0"/>
    <x v="1"/>
    <x v="5"/>
    <x v="10"/>
    <x v="0"/>
    <n v="88"/>
    <x v="1"/>
    <n v="904"/>
    <n v="14"/>
    <x v="3"/>
    <x v="1"/>
    <x v="1"/>
    <x v="0"/>
    <x v="0"/>
    <x v="0"/>
    <x v="0"/>
    <s v="https://www.highmowingseeds.com/organic-non-gmo-cruiser-cilantro.html"/>
  </r>
  <r>
    <s v="CIL004"/>
    <x v="57"/>
    <x v="4"/>
    <n v="206.25000000000003"/>
    <s v="Cilantro - Loose Leaf 3X | Field TP Su"/>
    <x v="0"/>
    <x v="26"/>
    <x v="0"/>
    <x v="3"/>
    <x v="1"/>
    <x v="0"/>
    <s v="CIL"/>
    <x v="0"/>
    <x v="21"/>
    <d v="2025-04-25T00:00:00"/>
    <x v="0"/>
    <d v="2025-04-20T00:00:00"/>
    <d v="2025-06-23T00:00:00"/>
    <d v="2025-07-07T00:00:00"/>
    <x v="0"/>
    <x v="1"/>
    <x v="0"/>
    <x v="0"/>
    <n v="300"/>
    <n v="4.6875"/>
    <n v="87"/>
    <x v="0"/>
    <x v="4"/>
    <x v="0"/>
    <x v="1"/>
    <x v="1"/>
    <x v="0"/>
    <x v="0"/>
    <x v="0"/>
    <x v="1"/>
    <x v="5"/>
    <x v="10"/>
    <x v="0"/>
    <n v="88"/>
    <x v="1"/>
    <n v="904"/>
    <n v="14"/>
    <x v="3"/>
    <x v="1"/>
    <x v="1"/>
    <x v="0"/>
    <x v="0"/>
    <x v="0"/>
    <x v="0"/>
    <s v="https://www.highmowingseeds.com/organic-non-gmo-cruiser-cilantro.html"/>
  </r>
  <r>
    <s v="CIL005"/>
    <x v="57"/>
    <x v="4"/>
    <n v="206.25000000000003"/>
    <s v="Cilantro - Loose Leaf 3X | Field TP Su"/>
    <x v="0"/>
    <x v="26"/>
    <x v="0"/>
    <x v="3"/>
    <x v="1"/>
    <x v="0"/>
    <s v="CIL"/>
    <x v="0"/>
    <x v="2"/>
    <d v="2025-05-09T00:00:00"/>
    <x v="0"/>
    <d v="2025-05-18T00:00:00"/>
    <d v="2025-07-12T00:00:00"/>
    <d v="2025-07-26T00:00:00"/>
    <x v="0"/>
    <x v="1"/>
    <x v="0"/>
    <x v="0"/>
    <n v="300"/>
    <n v="4.6875"/>
    <n v="87"/>
    <x v="0"/>
    <x v="4"/>
    <x v="0"/>
    <x v="1"/>
    <x v="1"/>
    <x v="0"/>
    <x v="0"/>
    <x v="0"/>
    <x v="1"/>
    <x v="5"/>
    <x v="10"/>
    <x v="0"/>
    <n v="88"/>
    <x v="1"/>
    <n v="923"/>
    <n v="14"/>
    <x v="3"/>
    <x v="1"/>
    <x v="1"/>
    <x v="0"/>
    <x v="0"/>
    <x v="0"/>
    <x v="0"/>
    <s v="https://www.highmowingseeds.com/organic-non-gmo-cruiser-cilantro.html"/>
  </r>
  <r>
    <s v="CIL006"/>
    <x v="57"/>
    <x v="4"/>
    <n v="206.25000000000003"/>
    <s v="Cilantro - Loose Leaf 3X | Field TP Su"/>
    <x v="0"/>
    <x v="26"/>
    <x v="0"/>
    <x v="3"/>
    <x v="1"/>
    <x v="0"/>
    <s v="CIL"/>
    <x v="0"/>
    <x v="13"/>
    <d v="2025-05-23T00:00:00"/>
    <x v="0"/>
    <d v="2025-05-18T00:00:00"/>
    <d v="2025-07-09T00:00:00"/>
    <d v="2025-07-23T00:00:00"/>
    <x v="0"/>
    <x v="1"/>
    <x v="0"/>
    <x v="0"/>
    <n v="300"/>
    <n v="4.6875"/>
    <n v="80"/>
    <x v="0"/>
    <x v="0"/>
    <x v="0"/>
    <x v="1"/>
    <x v="1"/>
    <x v="0"/>
    <x v="0"/>
    <x v="0"/>
    <x v="1"/>
    <x v="5"/>
    <x v="10"/>
    <x v="0"/>
    <n v="88"/>
    <x v="1"/>
    <n v="920"/>
    <n v="14"/>
    <x v="3"/>
    <x v="1"/>
    <x v="1"/>
    <x v="0"/>
    <x v="0"/>
    <x v="0"/>
    <x v="0"/>
    <s v="https://www.highmowingseeds.com/organic-non-gmo-cruiser-cilantro.html"/>
  </r>
  <r>
    <s v="CIL007"/>
    <x v="57"/>
    <x v="4"/>
    <n v="206.25000000000003"/>
    <s v="Cilantro - Loose Leaf 3X | Field TP Su"/>
    <x v="0"/>
    <x v="26"/>
    <x v="0"/>
    <x v="3"/>
    <x v="1"/>
    <x v="0"/>
    <s v="CIL"/>
    <x v="0"/>
    <x v="9"/>
    <d v="2025-06-06T00:00:00"/>
    <x v="0"/>
    <d v="2025-06-13T00:00:00"/>
    <d v="2025-08-02T00:00:00"/>
    <d v="2025-08-16T00:00:00"/>
    <x v="0"/>
    <x v="2"/>
    <x v="0"/>
    <x v="0"/>
    <n v="300"/>
    <n v="4.6875"/>
    <n v="80"/>
    <x v="0"/>
    <x v="0"/>
    <x v="0"/>
    <x v="1"/>
    <x v="1"/>
    <x v="0"/>
    <x v="0"/>
    <x v="0"/>
    <x v="1"/>
    <x v="5"/>
    <x v="10"/>
    <x v="0"/>
    <n v="88"/>
    <x v="1"/>
    <n v="944"/>
    <n v="14"/>
    <x v="3"/>
    <x v="1"/>
    <x v="1"/>
    <x v="0"/>
    <x v="0"/>
    <x v="0"/>
    <x v="0"/>
    <s v="https://www.highmowingseeds.com/organic-non-gmo-cruiser-cilantro.html"/>
  </r>
  <r>
    <s v="CIL010"/>
    <x v="57"/>
    <x v="4"/>
    <n v="206.25000000000003"/>
    <s v="Cilantro - Loose Leaf 3X | Field TP Su"/>
    <x v="0"/>
    <x v="26"/>
    <x v="0"/>
    <x v="3"/>
    <x v="1"/>
    <x v="0"/>
    <s v="CIL"/>
    <x v="0"/>
    <x v="14"/>
    <d v="2025-07-18T00:00:00"/>
    <x v="0"/>
    <d v="2025-07-18T00:00:00"/>
    <d v="2025-09-06T00:00:00"/>
    <d v="2025-09-20T00:00:00"/>
    <x v="1"/>
    <x v="2"/>
    <x v="0"/>
    <x v="0"/>
    <n v="300"/>
    <n v="4.6875"/>
    <n v="80"/>
    <x v="0"/>
    <x v="0"/>
    <x v="0"/>
    <x v="1"/>
    <x v="1"/>
    <x v="0"/>
    <x v="0"/>
    <x v="0"/>
    <x v="1"/>
    <x v="5"/>
    <x v="10"/>
    <x v="0"/>
    <n v="88"/>
    <x v="1"/>
    <n v="979"/>
    <n v="14"/>
    <x v="3"/>
    <x v="1"/>
    <x v="1"/>
    <x v="0"/>
    <x v="0"/>
    <x v="0"/>
    <x v="0"/>
    <s v="https://www.highmowingseeds.com/organic-non-gmo-cruiser-cilantro.html"/>
  </r>
  <r>
    <s v="CIL011"/>
    <x v="57"/>
    <x v="4"/>
    <n v="206.25000000000003"/>
    <s v="Cilantro - Loose Leaf 3X | Field TP Su"/>
    <x v="0"/>
    <x v="26"/>
    <x v="0"/>
    <x v="3"/>
    <x v="1"/>
    <x v="0"/>
    <s v="CIL"/>
    <x v="0"/>
    <x v="15"/>
    <d v="2025-08-01T00:00:00"/>
    <x v="0"/>
    <d v="2025-08-01T00:00:00"/>
    <d v="2025-09-20T00:00:00"/>
    <d v="2025-10-04T00:00:00"/>
    <x v="1"/>
    <x v="2"/>
    <x v="0"/>
    <x v="0"/>
    <n v="300"/>
    <n v="4.6875"/>
    <n v="80"/>
    <x v="0"/>
    <x v="0"/>
    <x v="0"/>
    <x v="1"/>
    <x v="1"/>
    <x v="0"/>
    <x v="0"/>
    <x v="0"/>
    <x v="1"/>
    <x v="5"/>
    <x v="10"/>
    <x v="0"/>
    <n v="88"/>
    <x v="1"/>
    <n v="993"/>
    <n v="14"/>
    <x v="3"/>
    <x v="1"/>
    <x v="1"/>
    <x v="0"/>
    <x v="0"/>
    <x v="0"/>
    <x v="0"/>
    <s v="https://www.highmowingseeds.com/organic-non-gmo-cruiser-cilantro.html"/>
  </r>
  <r>
    <s v="CIL012"/>
    <x v="57"/>
    <x v="4"/>
    <n v="206.25000000000003"/>
    <s v="Cilantro - Loose Leaf 3X | Field TP Su"/>
    <x v="0"/>
    <x v="26"/>
    <x v="0"/>
    <x v="3"/>
    <x v="1"/>
    <x v="0"/>
    <s v="CIL"/>
    <x v="0"/>
    <x v="5"/>
    <d v="2025-08-15T00:00:00"/>
    <x v="0"/>
    <d v="2025-08-15T00:00:00"/>
    <d v="2025-10-04T00:00:00"/>
    <d v="2025-10-18T00:00:00"/>
    <x v="1"/>
    <x v="2"/>
    <x v="0"/>
    <x v="0"/>
    <n v="300"/>
    <n v="4.6875"/>
    <n v="80"/>
    <x v="0"/>
    <x v="0"/>
    <x v="0"/>
    <x v="1"/>
    <x v="1"/>
    <x v="0"/>
    <x v="0"/>
    <x v="0"/>
    <x v="1"/>
    <x v="5"/>
    <x v="10"/>
    <x v="0"/>
    <n v="88"/>
    <x v="1"/>
    <n v="1007"/>
    <n v="14"/>
    <x v="3"/>
    <x v="1"/>
    <x v="1"/>
    <x v="0"/>
    <x v="0"/>
    <x v="0"/>
    <x v="0"/>
    <s v="https://www.highmowingseeds.com/organic-non-gmo-cruiser-cilantro.html"/>
  </r>
  <r>
    <s v="CIL002"/>
    <x v="58"/>
    <x v="3"/>
    <n v="103.12500000000001"/>
    <s v="Cilantro - Loose Leaf 3X | Field TP Su"/>
    <x v="0"/>
    <x v="26"/>
    <x v="0"/>
    <x v="3"/>
    <x v="1"/>
    <x v="0"/>
    <s v="CIL"/>
    <x v="0"/>
    <x v="21"/>
    <d v="2025-04-11T00:00:00"/>
    <x v="0"/>
    <d v="2025-04-20T00:00:00"/>
    <d v="2025-06-16T00:00:00"/>
    <d v="2025-06-30T00:00:00"/>
    <x v="0"/>
    <x v="1"/>
    <x v="0"/>
    <x v="0"/>
    <n v="300"/>
    <n v="4.6875"/>
    <n v="80"/>
    <x v="0"/>
    <x v="0"/>
    <x v="0"/>
    <x v="1"/>
    <x v="1"/>
    <x v="0"/>
    <x v="0"/>
    <x v="0"/>
    <x v="1"/>
    <x v="5"/>
    <x v="10"/>
    <x v="0"/>
    <n v="88"/>
    <x v="1"/>
    <n v="897"/>
    <n v="14"/>
    <x v="3"/>
    <x v="1"/>
    <x v="1"/>
    <x v="1"/>
    <x v="0"/>
    <x v="0"/>
    <x v="0"/>
    <s v="https://www.johnnyseeds.com/herbs/cilantro-coriander/calypso-cilantro-coriander-seed-3803.html"/>
  </r>
  <r>
    <s v="CIL003"/>
    <x v="58"/>
    <x v="3"/>
    <n v="103.12500000000001"/>
    <s v="Cilantro - Loose Leaf 3X | Field TP Su"/>
    <x v="0"/>
    <x v="26"/>
    <x v="0"/>
    <x v="3"/>
    <x v="1"/>
    <x v="0"/>
    <s v="CIL"/>
    <x v="0"/>
    <x v="21"/>
    <d v="2025-04-12T00:00:00"/>
    <x v="0"/>
    <d v="2025-04-20T00:00:00"/>
    <d v="2025-06-23T00:00:00"/>
    <d v="2025-07-07T00:00:00"/>
    <x v="0"/>
    <x v="1"/>
    <x v="0"/>
    <x v="0"/>
    <n v="300"/>
    <n v="4.6875"/>
    <n v="87"/>
    <x v="0"/>
    <x v="4"/>
    <x v="0"/>
    <x v="1"/>
    <x v="1"/>
    <x v="0"/>
    <x v="0"/>
    <x v="0"/>
    <x v="1"/>
    <x v="5"/>
    <x v="10"/>
    <x v="0"/>
    <n v="88"/>
    <x v="1"/>
    <n v="904"/>
    <n v="14"/>
    <x v="3"/>
    <x v="1"/>
    <x v="1"/>
    <x v="1"/>
    <x v="0"/>
    <x v="0"/>
    <x v="0"/>
    <s v="https://www.johnnyseeds.com/herbs/cilantro-coriander/calypso-cilantro-coriander-seed-3803.html"/>
  </r>
  <r>
    <s v="CIL004"/>
    <x v="58"/>
    <x v="3"/>
    <n v="103.12500000000001"/>
    <s v="Cilantro - Loose Leaf 3X | Field TP Su"/>
    <x v="0"/>
    <x v="26"/>
    <x v="0"/>
    <x v="3"/>
    <x v="1"/>
    <x v="0"/>
    <s v="CIL"/>
    <x v="0"/>
    <x v="21"/>
    <d v="2025-04-25T00:00:00"/>
    <x v="0"/>
    <d v="2025-04-20T00:00:00"/>
    <d v="2025-06-23T00:00:00"/>
    <d v="2025-07-07T00:00:00"/>
    <x v="0"/>
    <x v="1"/>
    <x v="0"/>
    <x v="0"/>
    <n v="300"/>
    <n v="4.6875"/>
    <n v="87"/>
    <x v="0"/>
    <x v="4"/>
    <x v="0"/>
    <x v="1"/>
    <x v="1"/>
    <x v="0"/>
    <x v="0"/>
    <x v="0"/>
    <x v="1"/>
    <x v="5"/>
    <x v="10"/>
    <x v="0"/>
    <n v="88"/>
    <x v="1"/>
    <n v="904"/>
    <n v="14"/>
    <x v="3"/>
    <x v="1"/>
    <x v="1"/>
    <x v="1"/>
    <x v="0"/>
    <x v="0"/>
    <x v="0"/>
    <s v="https://www.johnnyseeds.com/herbs/cilantro-coriander/calypso-cilantro-coriander-seed-3803.html"/>
  </r>
  <r>
    <s v="CIL005"/>
    <x v="58"/>
    <x v="3"/>
    <n v="103.12500000000001"/>
    <s v="Cilantro - Loose Leaf 3X | Field TP Su"/>
    <x v="0"/>
    <x v="26"/>
    <x v="0"/>
    <x v="3"/>
    <x v="1"/>
    <x v="0"/>
    <s v="CIL"/>
    <x v="0"/>
    <x v="2"/>
    <d v="2025-05-09T00:00:00"/>
    <x v="0"/>
    <d v="2025-05-18T00:00:00"/>
    <d v="2025-07-12T00:00:00"/>
    <d v="2025-07-26T00:00:00"/>
    <x v="0"/>
    <x v="1"/>
    <x v="0"/>
    <x v="0"/>
    <n v="300"/>
    <n v="4.6875"/>
    <n v="87"/>
    <x v="0"/>
    <x v="4"/>
    <x v="0"/>
    <x v="1"/>
    <x v="1"/>
    <x v="0"/>
    <x v="0"/>
    <x v="0"/>
    <x v="1"/>
    <x v="5"/>
    <x v="10"/>
    <x v="0"/>
    <n v="88"/>
    <x v="1"/>
    <n v="923"/>
    <n v="14"/>
    <x v="3"/>
    <x v="1"/>
    <x v="1"/>
    <x v="1"/>
    <x v="0"/>
    <x v="0"/>
    <x v="0"/>
    <s v="https://www.johnnyseeds.com/herbs/cilantro-coriander/calypso-cilantro-coriander-seed-3803.html"/>
  </r>
  <r>
    <s v="CIL006"/>
    <x v="58"/>
    <x v="3"/>
    <n v="103.12500000000001"/>
    <s v="Cilantro - Loose Leaf 3X | Field TP Su"/>
    <x v="0"/>
    <x v="26"/>
    <x v="0"/>
    <x v="3"/>
    <x v="1"/>
    <x v="0"/>
    <s v="CIL"/>
    <x v="0"/>
    <x v="13"/>
    <d v="2025-05-23T00:00:00"/>
    <x v="0"/>
    <d v="2025-05-18T00:00:00"/>
    <d v="2025-07-09T00:00:00"/>
    <d v="2025-07-23T00:00:00"/>
    <x v="0"/>
    <x v="1"/>
    <x v="0"/>
    <x v="0"/>
    <n v="300"/>
    <n v="4.6875"/>
    <n v="80"/>
    <x v="0"/>
    <x v="0"/>
    <x v="0"/>
    <x v="1"/>
    <x v="1"/>
    <x v="0"/>
    <x v="0"/>
    <x v="0"/>
    <x v="1"/>
    <x v="5"/>
    <x v="10"/>
    <x v="0"/>
    <n v="88"/>
    <x v="1"/>
    <n v="920"/>
    <n v="14"/>
    <x v="3"/>
    <x v="1"/>
    <x v="1"/>
    <x v="1"/>
    <x v="0"/>
    <x v="0"/>
    <x v="0"/>
    <s v="https://www.johnnyseeds.com/herbs/cilantro-coriander/calypso-cilantro-coriander-seed-3803.html"/>
  </r>
  <r>
    <s v="CIL007"/>
    <x v="58"/>
    <x v="3"/>
    <n v="103.12500000000001"/>
    <s v="Cilantro - Loose Leaf 3X | Field TP Su"/>
    <x v="0"/>
    <x v="26"/>
    <x v="0"/>
    <x v="3"/>
    <x v="1"/>
    <x v="0"/>
    <s v="CIL"/>
    <x v="0"/>
    <x v="9"/>
    <d v="2025-06-06T00:00:00"/>
    <x v="0"/>
    <d v="2025-06-13T00:00:00"/>
    <d v="2025-08-02T00:00:00"/>
    <d v="2025-08-16T00:00:00"/>
    <x v="0"/>
    <x v="2"/>
    <x v="0"/>
    <x v="0"/>
    <n v="300"/>
    <n v="4.6875"/>
    <n v="80"/>
    <x v="0"/>
    <x v="0"/>
    <x v="0"/>
    <x v="1"/>
    <x v="1"/>
    <x v="0"/>
    <x v="0"/>
    <x v="0"/>
    <x v="1"/>
    <x v="5"/>
    <x v="10"/>
    <x v="0"/>
    <n v="88"/>
    <x v="1"/>
    <n v="944"/>
    <n v="14"/>
    <x v="3"/>
    <x v="1"/>
    <x v="1"/>
    <x v="1"/>
    <x v="0"/>
    <x v="0"/>
    <x v="0"/>
    <s v="https://www.johnnyseeds.com/herbs/cilantro-coriander/calypso-cilantro-coriander-seed-3803.html"/>
  </r>
  <r>
    <s v="CIL010"/>
    <x v="58"/>
    <x v="3"/>
    <n v="103.12500000000001"/>
    <s v="Cilantro - Loose Leaf 3X | Field TP Su"/>
    <x v="0"/>
    <x v="26"/>
    <x v="0"/>
    <x v="3"/>
    <x v="1"/>
    <x v="0"/>
    <s v="CIL"/>
    <x v="0"/>
    <x v="14"/>
    <d v="2025-07-18T00:00:00"/>
    <x v="0"/>
    <d v="2025-07-18T00:00:00"/>
    <d v="2025-09-06T00:00:00"/>
    <d v="2025-09-20T00:00:00"/>
    <x v="1"/>
    <x v="2"/>
    <x v="0"/>
    <x v="0"/>
    <n v="300"/>
    <n v="4.6875"/>
    <n v="80"/>
    <x v="0"/>
    <x v="0"/>
    <x v="0"/>
    <x v="1"/>
    <x v="1"/>
    <x v="0"/>
    <x v="0"/>
    <x v="0"/>
    <x v="1"/>
    <x v="5"/>
    <x v="10"/>
    <x v="0"/>
    <n v="88"/>
    <x v="1"/>
    <n v="979"/>
    <n v="14"/>
    <x v="3"/>
    <x v="1"/>
    <x v="1"/>
    <x v="1"/>
    <x v="0"/>
    <x v="0"/>
    <x v="0"/>
    <s v="https://www.johnnyseeds.com/herbs/cilantro-coriander/calypso-cilantro-coriander-seed-3803.html"/>
  </r>
  <r>
    <s v="CIL011"/>
    <x v="58"/>
    <x v="3"/>
    <n v="103.12500000000001"/>
    <s v="Cilantro - Loose Leaf 3X | Field TP Su"/>
    <x v="0"/>
    <x v="26"/>
    <x v="0"/>
    <x v="3"/>
    <x v="1"/>
    <x v="0"/>
    <s v="CIL"/>
    <x v="0"/>
    <x v="15"/>
    <d v="2025-08-01T00:00:00"/>
    <x v="0"/>
    <d v="2025-08-01T00:00:00"/>
    <d v="2025-09-20T00:00:00"/>
    <d v="2025-10-04T00:00:00"/>
    <x v="1"/>
    <x v="2"/>
    <x v="0"/>
    <x v="0"/>
    <n v="300"/>
    <n v="4.6875"/>
    <n v="80"/>
    <x v="0"/>
    <x v="0"/>
    <x v="0"/>
    <x v="1"/>
    <x v="1"/>
    <x v="0"/>
    <x v="0"/>
    <x v="0"/>
    <x v="1"/>
    <x v="5"/>
    <x v="10"/>
    <x v="0"/>
    <n v="88"/>
    <x v="1"/>
    <n v="993"/>
    <n v="14"/>
    <x v="3"/>
    <x v="1"/>
    <x v="1"/>
    <x v="1"/>
    <x v="0"/>
    <x v="0"/>
    <x v="0"/>
    <s v="https://www.johnnyseeds.com/herbs/cilantro-coriander/calypso-cilantro-coriander-seed-3803.html"/>
  </r>
  <r>
    <s v="CIL012"/>
    <x v="58"/>
    <x v="3"/>
    <n v="103.12500000000001"/>
    <s v="Cilantro - Loose Leaf 3X | Field TP Su"/>
    <x v="0"/>
    <x v="26"/>
    <x v="0"/>
    <x v="3"/>
    <x v="1"/>
    <x v="0"/>
    <s v="CIL"/>
    <x v="0"/>
    <x v="5"/>
    <d v="2025-08-15T00:00:00"/>
    <x v="0"/>
    <d v="2025-08-15T00:00:00"/>
    <d v="2025-10-04T00:00:00"/>
    <d v="2025-10-18T00:00:00"/>
    <x v="1"/>
    <x v="2"/>
    <x v="0"/>
    <x v="0"/>
    <n v="300"/>
    <n v="4.6875"/>
    <n v="80"/>
    <x v="0"/>
    <x v="0"/>
    <x v="0"/>
    <x v="1"/>
    <x v="1"/>
    <x v="0"/>
    <x v="0"/>
    <x v="0"/>
    <x v="1"/>
    <x v="5"/>
    <x v="10"/>
    <x v="0"/>
    <n v="88"/>
    <x v="1"/>
    <n v="1007"/>
    <n v="14"/>
    <x v="3"/>
    <x v="1"/>
    <x v="1"/>
    <x v="1"/>
    <x v="0"/>
    <x v="0"/>
    <x v="0"/>
    <s v="https://www.johnnyseeds.com/herbs/cilantro-coriander/calypso-cilantro-coriander-seed-3803.html"/>
  </r>
  <r>
    <s v="DIL001"/>
    <x v="59"/>
    <x v="7"/>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osborneseed.com/products/dill-bouquet-organic-herb-seeds?_pos=2&amp;_psq=bouquet+dill&amp;_ss=e&amp;_v=1.0"/>
  </r>
  <r>
    <s v="DIL002"/>
    <x v="59"/>
    <x v="7"/>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osborneseed.com/products/dill-bouquet-organic-herb-seeds?_pos=2&amp;_psq=bouquet+dill&amp;_ss=e&amp;_v=1.0"/>
  </r>
  <r>
    <s v="DIL004"/>
    <x v="59"/>
    <x v="7"/>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osborneseed.com/products/dill-bouquet-organic-herb-seeds?_pos=2&amp;_psq=bouquet+dill&amp;_ss=e&amp;_v=1.0"/>
  </r>
  <r>
    <s v="DIL005"/>
    <x v="59"/>
    <x v="7"/>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osborneseed.com/products/dill-bouquet-organic-herb-seeds?_pos=2&amp;_psq=bouquet+dill&amp;_ss=e&amp;_v=1.0"/>
  </r>
  <r>
    <s v="DIL006"/>
    <x v="59"/>
    <x v="7"/>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osborneseed.com/products/dill-bouquet-organic-herb-seeds?_pos=2&amp;_psq=bouquet+dill&amp;_ss=e&amp;_v=1.0"/>
  </r>
  <r>
    <s v="DIL009"/>
    <x v="59"/>
    <x v="7"/>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osborneseed.com/products/dill-bouquet-organic-herb-seeds?_pos=2&amp;_psq=bouquet+dill&amp;_ss=e&amp;_v=1.0"/>
  </r>
  <r>
    <s v="DIL010"/>
    <x v="59"/>
    <x v="7"/>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osborneseed.com/products/dill-bouquet-organic-herb-seeds?_pos=2&amp;_psq=bouquet+dill&amp;_ss=e&amp;_v=1.0"/>
  </r>
  <r>
    <s v="TOM005"/>
    <x v="60"/>
    <x v="6"/>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0"/>
    <s v="https://www.gardenhoard.com/tomato-brad-s-atomic-grape-seeds.html "/>
  </r>
  <r>
    <s v="TOM002"/>
    <x v="61"/>
    <x v="14"/>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7"/>
    <s v="https://www.seedsavers.org/brandywine-red-organic-tomato"/>
  </r>
  <r>
    <s v="TOM003"/>
    <x v="61"/>
    <x v="14"/>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7"/>
    <s v="https://www.seedsavers.org/brandywine-red-organic-tomato"/>
  </r>
  <r>
    <s v="TOM009"/>
    <x v="61"/>
    <x v="14"/>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7"/>
    <s v="https://www.seedsavers.org/brandywine-red-organic-tomato"/>
  </r>
  <r>
    <s v="LET030"/>
    <x v="1"/>
    <x v="1"/>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wildgardenseed.com/product_info.php?cPath=43_72&amp;products_id=84"/>
  </r>
  <r>
    <s v="COR001"/>
    <x v="62"/>
    <x v="4"/>
    <n v="520"/>
    <s v="Corn  (Sweet Early) - Mature Cob 2X | Field DS "/>
    <x v="0"/>
    <x v="27"/>
    <x v="0"/>
    <x v="4"/>
    <x v="2"/>
    <x v="0"/>
    <s v="COR"/>
    <x v="0"/>
    <x v="0"/>
    <d v="2025-06-15T00:00:00"/>
    <x v="0"/>
    <d v="2025-06-15T00:00:00"/>
    <d v="2025-09-23T00:00:00"/>
    <d v="2025-10-07T00:00:00"/>
    <x v="1"/>
    <x v="0"/>
    <x v="0"/>
    <x v="0"/>
    <n v="800"/>
    <n v="7.0175000000000001"/>
    <n v="100"/>
    <x v="0"/>
    <x v="0"/>
    <x v="0"/>
    <x v="1"/>
    <x v="0"/>
    <x v="0"/>
    <x v="0"/>
    <x v="0"/>
    <x v="0"/>
    <x v="3"/>
    <x v="0"/>
    <x v="1"/>
    <n v="94"/>
    <x v="3"/>
    <n v="996"/>
    <n v="14"/>
    <x v="12"/>
    <x v="3"/>
    <x v="1"/>
    <x v="0"/>
    <x v="0"/>
    <x v="0"/>
    <x v="0"/>
    <s v="https://www.highmowingseeds.com/organic-non-gmo-enchanted-f1-corn.html"/>
  </r>
  <r>
    <s v="CUC002"/>
    <x v="63"/>
    <x v="4"/>
    <n v="8.125"/>
    <s v="Cucumber (Lebanese) - Small Fruit 1X | Greenhouse TP "/>
    <x v="0"/>
    <x v="28"/>
    <x v="0"/>
    <x v="3"/>
    <x v="1"/>
    <x v="0"/>
    <s v="CUC"/>
    <x v="0"/>
    <x v="2"/>
    <d v="2025-05-06T00:00:00"/>
    <x v="0"/>
    <d v="2025-05-30T00:00:00"/>
    <d v="2025-06-25T00:00:00"/>
    <d v="2025-10-08T00:00:00"/>
    <x v="0"/>
    <x v="1"/>
    <x v="0"/>
    <x v="0"/>
    <n v="714.28570000000002"/>
    <n v="5.1020000000000003"/>
    <n v="70"/>
    <x v="0"/>
    <x v="0"/>
    <x v="0"/>
    <x v="16"/>
    <x v="1"/>
    <x v="0"/>
    <x v="0"/>
    <x v="0"/>
    <x v="4"/>
    <x v="2"/>
    <x v="2"/>
    <x v="0"/>
    <n v="109"/>
    <x v="3"/>
    <n v="906"/>
    <n v="105"/>
    <x v="7"/>
    <x v="4"/>
    <x v="0"/>
    <x v="0"/>
    <x v="0"/>
    <x v="0"/>
    <x v="0"/>
    <s v="https://www.highmowingseeds.com/organic-non-gmo-manny-f1-cucumber.html"/>
  </r>
  <r>
    <s v="CUC002"/>
    <x v="64"/>
    <x v="7"/>
    <n v="8.125"/>
    <s v="Cucumber (Lebanese) - Small Fruit 1X | Greenhouse TP "/>
    <x v="0"/>
    <x v="28"/>
    <x v="0"/>
    <x v="3"/>
    <x v="1"/>
    <x v="0"/>
    <s v="CUC"/>
    <x v="0"/>
    <x v="2"/>
    <d v="2025-05-06T00:00:00"/>
    <x v="0"/>
    <d v="2025-05-30T00:00:00"/>
    <d v="2025-06-25T00:00:00"/>
    <d v="2025-10-08T00:00:00"/>
    <x v="0"/>
    <x v="1"/>
    <x v="0"/>
    <x v="0"/>
    <n v="714.28570000000002"/>
    <n v="5.1020000000000003"/>
    <n v="70"/>
    <x v="0"/>
    <x v="0"/>
    <x v="0"/>
    <x v="16"/>
    <x v="1"/>
    <x v="0"/>
    <x v="0"/>
    <x v="0"/>
    <x v="4"/>
    <x v="2"/>
    <x v="2"/>
    <x v="0"/>
    <n v="109"/>
    <x v="3"/>
    <n v="906"/>
    <n v="105"/>
    <x v="7"/>
    <x v="4"/>
    <x v="0"/>
    <x v="0"/>
    <x v="0"/>
    <x v="0"/>
    <x v="0"/>
    <s v="https://www.osborneseed.com/products/katrina-f1-organic-cucumber-seeds?_pos=1&amp;_sid=cf2f1279b&amp;_ss=r"/>
  </r>
  <r>
    <s v="PEA001"/>
    <x v="65"/>
    <x v="15"/>
    <n v="346.66666666666663"/>
    <s v="Peas (Snap) - Young Pod 3X | Field TP SpSu"/>
    <x v="0"/>
    <x v="29"/>
    <x v="0"/>
    <x v="4"/>
    <x v="2"/>
    <x v="0"/>
    <s v="PEA"/>
    <x v="0"/>
    <x v="3"/>
    <d v="2025-03-23T00:00:00"/>
    <x v="0"/>
    <d v="2025-04-02T00:00:00"/>
    <d v="2025-06-09T00:00:00"/>
    <d v="2025-07-12T00:00:00"/>
    <x v="0"/>
    <x v="1"/>
    <x v="0"/>
    <x v="0"/>
    <n v="475"/>
    <n v="5.1630000000000003"/>
    <n v="80"/>
    <x v="0"/>
    <x v="0"/>
    <x v="0"/>
    <x v="17"/>
    <x v="1"/>
    <x v="0"/>
    <x v="0"/>
    <x v="0"/>
    <x v="10"/>
    <x v="0"/>
    <x v="0"/>
    <x v="0"/>
    <n v="238"/>
    <x v="2"/>
    <n v="890"/>
    <n v="33"/>
    <x v="7"/>
    <x v="4"/>
    <x v="0"/>
    <x v="0"/>
    <x v="0"/>
    <x v="0"/>
    <x v="0"/>
    <s v="https://territorialseed.com/products/pea-cascadia"/>
  </r>
  <r>
    <s v="CUC004"/>
    <x v="66"/>
    <x v="3"/>
    <n v="16.25"/>
    <s v="Cucumber (Slicer) - Ripe Fruit 1X | Field TP "/>
    <x v="0"/>
    <x v="28"/>
    <x v="0"/>
    <x v="0"/>
    <x v="0"/>
    <x v="0"/>
    <s v="CUC"/>
    <x v="0"/>
    <x v="2"/>
    <d v="2025-05-16T00:00:00"/>
    <x v="0"/>
    <d v="2025-05-26T00:00:00"/>
    <d v="2025-07-05T00:00:00"/>
    <d v="2025-09-20T00:00:00"/>
    <x v="0"/>
    <x v="1"/>
    <x v="0"/>
    <x v="0"/>
    <n v="1080"/>
    <n v="8.8524999999999991"/>
    <n v="80"/>
    <x v="0"/>
    <x v="0"/>
    <x v="0"/>
    <x v="18"/>
    <x v="1"/>
    <x v="0"/>
    <x v="0"/>
    <x v="0"/>
    <x v="4"/>
    <x v="2"/>
    <x v="2"/>
    <x v="1"/>
    <n v="111"/>
    <x v="3"/>
    <n v="916"/>
    <n v="77"/>
    <x v="13"/>
    <x v="8"/>
    <x v="1"/>
    <x v="0"/>
    <x v="0"/>
    <x v="0"/>
    <x v="0"/>
    <s v="https://www.johnnyseeds.com/vegetables/cucumbers/slicing-cucumbers/corinto-organic-f1-cucumber-seed-2562G.html"/>
  </r>
  <r>
    <s v="DIL001"/>
    <x v="67"/>
    <x v="4"/>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highmowingseeds.com/organic-non-gmo-greensleeves-dill.html"/>
  </r>
  <r>
    <s v="DIL002"/>
    <x v="67"/>
    <x v="4"/>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highmowingseeds.com/organic-non-gmo-greensleeves-dill.html"/>
  </r>
  <r>
    <s v="DIL004"/>
    <x v="67"/>
    <x v="4"/>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highmowingseeds.com/organic-non-gmo-greensleeves-dill.html"/>
  </r>
  <r>
    <s v="DIL005"/>
    <x v="67"/>
    <x v="4"/>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highmowingseeds.com/organic-non-gmo-greensleeves-dill.html"/>
  </r>
  <r>
    <s v="DIL006"/>
    <x v="67"/>
    <x v="4"/>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highmowingseeds.com/organic-non-gmo-greensleeves-dill.html"/>
  </r>
  <r>
    <s v="DIL009"/>
    <x v="67"/>
    <x v="4"/>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highmowingseeds.com/organic-non-gmo-greensleeves-dill.html"/>
  </r>
  <r>
    <s v="DIL010"/>
    <x v="67"/>
    <x v="4"/>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highmowingseeds.com/organic-non-gmo-greensleeves-dill.html"/>
  </r>
  <r>
    <s v="TOM007"/>
    <x v="68"/>
    <x v="12"/>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0"/>
    <x v="0"/>
    <x v="0"/>
    <x v="0"/>
    <s v="https://awhaley.com/product/cherry-falls/"/>
  </r>
  <r>
    <s v="TOM011"/>
    <x v="68"/>
    <x v="12"/>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0"/>
    <x v="0"/>
    <x v="0"/>
    <x v="0"/>
    <s v="https://awhaley.com/product/cherry-falls/"/>
  </r>
  <r>
    <s v="LEE001"/>
    <x v="69"/>
    <x v="15"/>
    <n v="1155.5555555555552"/>
    <s v="Leek - Mature Stalk 5X | Field TP Su"/>
    <x v="0"/>
    <x v="30"/>
    <x v="0"/>
    <x v="4"/>
    <x v="2"/>
    <x v="0"/>
    <s v="LEE"/>
    <x v="0"/>
    <x v="22"/>
    <d v="2025-05-31T00:00:00"/>
    <x v="0"/>
    <d v="2025-06-14T00:00:00"/>
    <d v="2025-09-04T00:00:00"/>
    <d v="2025-10-02T00:00:00"/>
    <x v="0"/>
    <x v="2"/>
    <x v="0"/>
    <x v="0"/>
    <n v="2666.6667000000002"/>
    <n v="24.2424"/>
    <n v="142"/>
    <x v="0"/>
    <x v="0"/>
    <x v="0"/>
    <x v="19"/>
    <x v="1"/>
    <x v="0"/>
    <x v="0"/>
    <x v="0"/>
    <x v="11"/>
    <x v="1"/>
    <x v="0"/>
    <x v="0"/>
    <n v="169"/>
    <x v="1"/>
    <n v="977"/>
    <n v="28"/>
    <x v="7"/>
    <x v="4"/>
    <x v="0"/>
    <x v="0"/>
    <x v="0"/>
    <x v="0"/>
    <x v="0"/>
    <s v="https://territorialseed.com/products/leek-chinook"/>
  </r>
  <r>
    <s v="TOM005"/>
    <x v="70"/>
    <x v="7"/>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0"/>
    <s v="https://www.osborneseed.com/products/chocolate-sprinkles-f1-organic-tomato-seeds?_pos=1&amp;_psq=chocolate&amp;_ss=e&amp;_v=1.0"/>
  </r>
  <r>
    <s v="TOM002"/>
    <x v="71"/>
    <x v="3"/>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johnnyseeds.com/vegetables/tomatoes/heirloom-tomatoes/cipollas-pride-organic-tomato-seed-4180G.html"/>
  </r>
  <r>
    <s v="TOM003"/>
    <x v="71"/>
    <x v="3"/>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johnnyseeds.com/vegetables/tomatoes/heirloom-tomatoes/cipollas-pride-organic-tomato-seed-4180G.html"/>
  </r>
  <r>
    <s v="ONI003"/>
    <x v="72"/>
    <x v="4"/>
    <n v="330"/>
    <s v="Onion - Mature Bulb 6X | Field TP SpSu"/>
    <x v="0"/>
    <x v="31"/>
    <x v="0"/>
    <x v="0"/>
    <x v="0"/>
    <x v="0"/>
    <s v="ONI"/>
    <x v="0"/>
    <x v="3"/>
    <d v="2025-04-13T00:00:00"/>
    <x v="0"/>
    <d v="2025-05-05T00:00:00"/>
    <d v="2025-08-03T00:00:00"/>
    <d v="2025-08-17T00:00:00"/>
    <x v="0"/>
    <x v="1"/>
    <x v="0"/>
    <x v="0"/>
    <n v="618.75"/>
    <n v="5.7827000000000002"/>
    <n v="135"/>
    <x v="0"/>
    <x v="0"/>
    <x v="0"/>
    <x v="1"/>
    <x v="1"/>
    <x v="0"/>
    <x v="0"/>
    <x v="0"/>
    <x v="12"/>
    <x v="3"/>
    <x v="2"/>
    <x v="0"/>
    <n v="223"/>
    <x v="2"/>
    <n v="945"/>
    <n v="14"/>
    <x v="14"/>
    <x v="4"/>
    <x v="0"/>
    <x v="0"/>
    <x v="0"/>
    <x v="0"/>
    <x v="0"/>
    <s v="https://www.highmowingseeds.com/organic-non-gmo-cortland-f1-onion.html"/>
  </r>
  <r>
    <s v="ONI004"/>
    <x v="72"/>
    <x v="4"/>
    <n v="550"/>
    <s v="Onion (Salad Early) - Young Bulb 10X | Field TP Sp"/>
    <x v="0"/>
    <x v="31"/>
    <x v="0"/>
    <x v="0"/>
    <x v="0"/>
    <x v="0"/>
    <s v="ONI"/>
    <x v="0"/>
    <x v="3"/>
    <d v="2025-03-25T00:00:00"/>
    <x v="0"/>
    <d v="2025-04-20T00:00:00"/>
    <d v="2025-06-19T00:00:00"/>
    <d v="2025-08-14T00:00:00"/>
    <x v="0"/>
    <x v="1"/>
    <x v="0"/>
    <x v="0"/>
    <n v="600"/>
    <n v="5.0846999999999998"/>
    <n v="90"/>
    <x v="0"/>
    <x v="0"/>
    <x v="0"/>
    <x v="8"/>
    <x v="1"/>
    <x v="0"/>
    <x v="0"/>
    <x v="0"/>
    <x v="2"/>
    <x v="3"/>
    <x v="2"/>
    <x v="0"/>
    <n v="224"/>
    <x v="0"/>
    <n v="900"/>
    <n v="56"/>
    <x v="14"/>
    <x v="6"/>
    <x v="1"/>
    <x v="0"/>
    <x v="0"/>
    <x v="0"/>
    <x v="0"/>
    <s v="https://www.highmowingseeds.com/organic-non-gmo-cortland-f1-onion.html"/>
  </r>
  <r>
    <s v="ONI005"/>
    <x v="72"/>
    <x v="4"/>
    <n v="550"/>
    <s v="Onion (Salad Late) - Young Bulb 10X | Field TP Sp"/>
    <x v="0"/>
    <x v="31"/>
    <x v="0"/>
    <x v="0"/>
    <x v="0"/>
    <x v="0"/>
    <s v="ONI"/>
    <x v="0"/>
    <x v="21"/>
    <d v="2025-04-19T00:00:00"/>
    <x v="0"/>
    <d v="2025-04-22T00:00:00"/>
    <d v="2025-06-26T00:00:00"/>
    <d v="2025-08-21T00:00:00"/>
    <x v="0"/>
    <x v="1"/>
    <x v="0"/>
    <x v="0"/>
    <n v="600"/>
    <n v="5.0846999999999998"/>
    <n v="90"/>
    <x v="0"/>
    <x v="0"/>
    <x v="0"/>
    <x v="8"/>
    <x v="1"/>
    <x v="0"/>
    <x v="0"/>
    <x v="0"/>
    <x v="2"/>
    <x v="3"/>
    <x v="2"/>
    <x v="0"/>
    <n v="225"/>
    <x v="0"/>
    <n v="907"/>
    <n v="56"/>
    <x v="14"/>
    <x v="6"/>
    <x v="1"/>
    <x v="0"/>
    <x v="0"/>
    <x v="0"/>
    <x v="0"/>
    <s v="https://www.highmowingseeds.com/organic-non-gmo-cortland-f1-onion.html"/>
  </r>
  <r>
    <s v="KAL003"/>
    <x v="73"/>
    <x v="4"/>
    <n v="97.777777777777771"/>
    <s v="Kale - Mature Leaf 2X | Field TP Sp"/>
    <x v="0"/>
    <x v="25"/>
    <x v="0"/>
    <x v="4"/>
    <x v="2"/>
    <x v="0"/>
    <s v="KAL"/>
    <x v="0"/>
    <x v="1"/>
    <d v="2025-04-26T00:00:00"/>
    <x v="0"/>
    <d v="2025-04-28T00:00:00"/>
    <d v="2025-06-30T00:00:00"/>
    <d v="2025-08-25T00:00:00"/>
    <x v="0"/>
    <x v="1"/>
    <x v="0"/>
    <x v="0"/>
    <n v="1600"/>
    <n v="14.414400000000001"/>
    <n v="90"/>
    <x v="0"/>
    <x v="0"/>
    <x v="0"/>
    <x v="8"/>
    <x v="1"/>
    <x v="0"/>
    <x v="0"/>
    <x v="0"/>
    <x v="4"/>
    <x v="0"/>
    <x v="11"/>
    <x v="0"/>
    <n v="155"/>
    <x v="0"/>
    <n v="911"/>
    <n v="56"/>
    <x v="4"/>
    <x v="2"/>
    <x v="2"/>
    <x v="0"/>
    <x v="0"/>
    <x v="0"/>
    <x v="0"/>
    <s v="https://www.highmowingseeds.com/dazzling-blue-kale.html"/>
  </r>
  <r>
    <s v="KOH002"/>
    <x v="74"/>
    <x v="3"/>
    <n v="195"/>
    <s v="Kohlrabi (Sm) - Storage Bulb 1X | Field TP Fa"/>
    <x v="0"/>
    <x v="32"/>
    <x v="0"/>
    <x v="0"/>
    <x v="0"/>
    <x v="0"/>
    <s v="KOH"/>
    <x v="0"/>
    <x v="23"/>
    <d v="2025-07-10T00:00:00"/>
    <x v="0"/>
    <d v="2025-07-10T00:00:00"/>
    <d v="2025-08-27T00:00:00"/>
    <d v="2025-09-10T00:00:00"/>
    <x v="1"/>
    <x v="2"/>
    <x v="0"/>
    <x v="0"/>
    <n v="600"/>
    <n v="9.6774000000000004"/>
    <n v="73"/>
    <x v="0"/>
    <x v="0"/>
    <x v="0"/>
    <x v="1"/>
    <x v="1"/>
    <x v="0"/>
    <x v="0"/>
    <x v="0"/>
    <x v="13"/>
    <x v="0"/>
    <x v="14"/>
    <x v="0"/>
    <n v="157"/>
    <x v="8"/>
    <n v="969"/>
    <n v="14"/>
    <x v="4"/>
    <x v="6"/>
    <x v="2"/>
    <x v="0"/>
    <x v="0"/>
    <x v="0"/>
    <x v="0"/>
    <s v="https://www.johnnyseeds.com/vegetables/kohlrabi/fresh-market-kohlrabi/kolibri-organic-f1-kohlrabi-seed-320G.html"/>
  </r>
  <r>
    <s v="KOH003"/>
    <x v="74"/>
    <x v="3"/>
    <n v="195"/>
    <s v="Kohlrabi (Sm) - Storage Bulb 1X | Field TP Sp"/>
    <x v="0"/>
    <x v="32"/>
    <x v="0"/>
    <x v="0"/>
    <x v="0"/>
    <x v="0"/>
    <s v="KOH"/>
    <x v="0"/>
    <x v="12"/>
    <d v="2025-03-27T00:00:00"/>
    <x v="0"/>
    <d v="2025-04-20T00:00:00"/>
    <d v="2025-05-19T00:00:00"/>
    <d v="2025-06-02T00:00:00"/>
    <x v="0"/>
    <x v="1"/>
    <x v="0"/>
    <x v="0"/>
    <n v="600"/>
    <n v="13.6364"/>
    <n v="55"/>
    <x v="0"/>
    <x v="0"/>
    <x v="0"/>
    <x v="1"/>
    <x v="1"/>
    <x v="0"/>
    <x v="0"/>
    <x v="0"/>
    <x v="13"/>
    <x v="0"/>
    <x v="14"/>
    <x v="0"/>
    <n v="158"/>
    <x v="0"/>
    <n v="869"/>
    <n v="14"/>
    <x v="7"/>
    <x v="4"/>
    <x v="2"/>
    <x v="0"/>
    <x v="0"/>
    <x v="0"/>
    <x v="0"/>
    <s v="https://www.johnnyseeds.com/vegetables/kohlrabi/fresh-market-kohlrabi/kolibri-organic-f1-kohlrabi-seed-320G.html"/>
  </r>
  <r>
    <s v="KOH002"/>
    <x v="75"/>
    <x v="3"/>
    <n v="195"/>
    <s v="Kohlrabi (Sm) - Storage Bulb 1X | Field TP Fa"/>
    <x v="0"/>
    <x v="32"/>
    <x v="0"/>
    <x v="0"/>
    <x v="0"/>
    <x v="0"/>
    <s v="KOH"/>
    <x v="0"/>
    <x v="23"/>
    <d v="2025-07-10T00:00:00"/>
    <x v="0"/>
    <d v="2025-07-10T00:00:00"/>
    <d v="2025-08-27T00:00:00"/>
    <d v="2025-09-10T00:00:00"/>
    <x v="1"/>
    <x v="2"/>
    <x v="0"/>
    <x v="0"/>
    <n v="600"/>
    <n v="9.6774000000000004"/>
    <n v="73"/>
    <x v="0"/>
    <x v="0"/>
    <x v="0"/>
    <x v="1"/>
    <x v="1"/>
    <x v="0"/>
    <x v="0"/>
    <x v="0"/>
    <x v="13"/>
    <x v="0"/>
    <x v="14"/>
    <x v="0"/>
    <n v="157"/>
    <x v="8"/>
    <n v="969"/>
    <n v="14"/>
    <x v="4"/>
    <x v="6"/>
    <x v="2"/>
    <x v="0"/>
    <x v="0"/>
    <x v="0"/>
    <x v="0"/>
    <s v="https://www.johnnyseeds.com/vegetables/kohlrabi/fresh-market-kohlrabi/konan-organic-f1-kohlrabi-seed-4431G.html"/>
  </r>
  <r>
    <s v="KOH003"/>
    <x v="75"/>
    <x v="3"/>
    <n v="195"/>
    <s v="Kohlrabi (Sm) - Storage Bulb 1X | Field TP Sp"/>
    <x v="0"/>
    <x v="32"/>
    <x v="0"/>
    <x v="0"/>
    <x v="0"/>
    <x v="0"/>
    <s v="KOH"/>
    <x v="0"/>
    <x v="12"/>
    <d v="2025-03-27T00:00:00"/>
    <x v="0"/>
    <d v="2025-04-20T00:00:00"/>
    <d v="2025-05-19T00:00:00"/>
    <d v="2025-06-02T00:00:00"/>
    <x v="0"/>
    <x v="1"/>
    <x v="0"/>
    <x v="0"/>
    <n v="600"/>
    <n v="13.6364"/>
    <n v="55"/>
    <x v="0"/>
    <x v="0"/>
    <x v="0"/>
    <x v="1"/>
    <x v="1"/>
    <x v="0"/>
    <x v="0"/>
    <x v="0"/>
    <x v="13"/>
    <x v="0"/>
    <x v="14"/>
    <x v="0"/>
    <n v="158"/>
    <x v="0"/>
    <n v="869"/>
    <n v="14"/>
    <x v="7"/>
    <x v="4"/>
    <x v="2"/>
    <x v="0"/>
    <x v="0"/>
    <x v="0"/>
    <x v="0"/>
    <s v="https://www.johnnyseeds.com/vegetables/kohlrabi/fresh-market-kohlrabi/konan-organic-f1-kohlrabi-seed-4431G.html"/>
  </r>
  <r>
    <s v="LEE001"/>
    <x v="76"/>
    <x v="3"/>
    <n v="1155.5555555555552"/>
    <s v="Leek - Mature Stalk 5X | Field TP Su"/>
    <x v="0"/>
    <x v="30"/>
    <x v="0"/>
    <x v="4"/>
    <x v="2"/>
    <x v="0"/>
    <s v="LEE"/>
    <x v="0"/>
    <x v="22"/>
    <d v="2025-05-31T00:00:00"/>
    <x v="0"/>
    <d v="2025-06-14T00:00:00"/>
    <d v="2025-09-04T00:00:00"/>
    <d v="2025-10-02T00:00:00"/>
    <x v="0"/>
    <x v="2"/>
    <x v="0"/>
    <x v="0"/>
    <n v="2666.6667000000002"/>
    <n v="24.2424"/>
    <n v="142"/>
    <x v="0"/>
    <x v="0"/>
    <x v="0"/>
    <x v="19"/>
    <x v="1"/>
    <x v="0"/>
    <x v="0"/>
    <x v="0"/>
    <x v="11"/>
    <x v="1"/>
    <x v="0"/>
    <x v="0"/>
    <n v="169"/>
    <x v="1"/>
    <n v="977"/>
    <n v="28"/>
    <x v="7"/>
    <x v="4"/>
    <x v="0"/>
    <x v="0"/>
    <x v="0"/>
    <x v="0"/>
    <x v="8"/>
    <s v="https://www.johnnyseeds.com/vegetables/leeks/king-richard-organic-leek-seed-416G.59.html?source=google_johnny_seeds"/>
  </r>
  <r>
    <s v="SUM002"/>
    <x v="77"/>
    <x v="4"/>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highmowingseeds.com/organic-non-gmo-costata-romanesc-zucchini.html"/>
  </r>
  <r>
    <s v="LEE001"/>
    <x v="78"/>
    <x v="7"/>
    <n v="1155.5555555555552"/>
    <s v="Leek - Mature Stalk 5X | Field TP Su"/>
    <x v="0"/>
    <x v="30"/>
    <x v="0"/>
    <x v="4"/>
    <x v="2"/>
    <x v="0"/>
    <s v="LEE"/>
    <x v="0"/>
    <x v="22"/>
    <d v="2025-05-31T00:00:00"/>
    <x v="0"/>
    <d v="2025-06-14T00:00:00"/>
    <d v="2025-09-04T00:00:00"/>
    <d v="2025-10-02T00:00:00"/>
    <x v="0"/>
    <x v="2"/>
    <x v="0"/>
    <x v="0"/>
    <n v="2666.6667000000002"/>
    <n v="24.2424"/>
    <n v="142"/>
    <x v="0"/>
    <x v="0"/>
    <x v="0"/>
    <x v="19"/>
    <x v="1"/>
    <x v="0"/>
    <x v="0"/>
    <x v="0"/>
    <x v="11"/>
    <x v="1"/>
    <x v="0"/>
    <x v="0"/>
    <n v="169"/>
    <x v="1"/>
    <n v="977"/>
    <n v="28"/>
    <x v="7"/>
    <x v="4"/>
    <x v="0"/>
    <x v="0"/>
    <x v="0"/>
    <x v="0"/>
    <x v="0"/>
    <s v="https://www.osborneseed.com/products/lancia-organic-leek-seeds?_pos=1&amp;_psq=lancia&amp;_ss=e&amp;_v=1.0"/>
  </r>
  <r>
    <s v="LET012"/>
    <x v="79"/>
    <x v="3"/>
    <n v="450.66666666666663"/>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salanova-lettuce/salanova-green-sweet-crisp-pelleted-lettuce-seed-3054JP.html"/>
  </r>
  <r>
    <s v="LET013"/>
    <x v="79"/>
    <x v="3"/>
    <n v="225.33333333333331"/>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salanova-lettuce/salanova-green-sweet-crisp-pelleted-lettuce-seed-3054JP.html"/>
  </r>
  <r>
    <s v="LET018"/>
    <x v="79"/>
    <x v="3"/>
    <n v="225.33333333333331"/>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salanova-lettuce/salanova-green-sweet-crisp-pelleted-lettuce-seed-3054JP.html"/>
  </r>
  <r>
    <s v="LET019"/>
    <x v="79"/>
    <x v="3"/>
    <n v="225.33333333333331"/>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salanova-lettuce/salanova-green-sweet-crisp-pelleted-lettuce-seed-3054JP.html"/>
  </r>
  <r>
    <s v="LET020"/>
    <x v="79"/>
    <x v="3"/>
    <n v="225.33333333333331"/>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salanova-lettuce/salanova-green-sweet-crisp-pelleted-lettuce-seed-3054JP.html"/>
  </r>
  <r>
    <s v="LET021"/>
    <x v="79"/>
    <x v="3"/>
    <n v="225.33333333333331"/>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salanova-lettuce/salanova-green-sweet-crisp-pelleted-lettuce-seed-3054JP.html"/>
  </r>
  <r>
    <s v="LET022"/>
    <x v="79"/>
    <x v="3"/>
    <n v="225.33333333333331"/>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salanova-lettuce/salanova-green-sweet-crisp-pelleted-lettuce-seed-3054JP.html"/>
  </r>
  <r>
    <s v="LET023"/>
    <x v="79"/>
    <x v="3"/>
    <n v="225.33333333333331"/>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salanova-lettuce/salanova-green-sweet-crisp-pelleted-lettuce-seed-3054JP.html"/>
  </r>
  <r>
    <s v="LET012"/>
    <x v="80"/>
    <x v="3"/>
    <n v="225.33333333333331"/>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one-cut-lettuce/intercut-pelleted-lettuce-seed-4460JP.html"/>
  </r>
  <r>
    <s v="LET013"/>
    <x v="80"/>
    <x v="3"/>
    <n v="112.66666666666666"/>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one-cut-lettuce/intercut-pelleted-lettuce-seed-4460JP.html"/>
  </r>
  <r>
    <s v="LET018"/>
    <x v="80"/>
    <x v="3"/>
    <n v="112.66666666666666"/>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one-cut-lettuce/intercut-pelleted-lettuce-seed-4460JP.html"/>
  </r>
  <r>
    <s v="LET019"/>
    <x v="80"/>
    <x v="3"/>
    <n v="112.66666666666666"/>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one-cut-lettuce/intercut-pelleted-lettuce-seed-4460JP.html"/>
  </r>
  <r>
    <s v="LET020"/>
    <x v="80"/>
    <x v="3"/>
    <n v="112.66666666666666"/>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one-cut-lettuce/intercut-pelleted-lettuce-seed-4460JP.html"/>
  </r>
  <r>
    <s v="LET021"/>
    <x v="80"/>
    <x v="3"/>
    <n v="112.66666666666666"/>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one-cut-lettuce/intercut-pelleted-lettuce-seed-4460JP.html"/>
  </r>
  <r>
    <s v="LET022"/>
    <x v="80"/>
    <x v="3"/>
    <n v="112.66666666666666"/>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one-cut-lettuce/intercut-pelleted-lettuce-seed-4460JP.html"/>
  </r>
  <r>
    <s v="LET023"/>
    <x v="80"/>
    <x v="3"/>
    <n v="112.66666666666666"/>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one-cut-lettuce/intercut-pelleted-lettuce-seed-4460JP.html"/>
  </r>
  <r>
    <s v="TOM008"/>
    <x v="81"/>
    <x v="11"/>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tomatofest.com/Cream_Sausage_Tomato_Seeds_p/tf-0128.htm"/>
  </r>
  <r>
    <s v="TOM012"/>
    <x v="81"/>
    <x v="11"/>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tomatofest.com/Cream_Sausage_Tomato_Seeds_p/tf-0128.htm"/>
  </r>
  <r>
    <s v="RAD005"/>
    <x v="82"/>
    <x v="4"/>
    <n v="130"/>
    <s v="Radish (Daikon) - Storage Root 1X | Field TP FaWi"/>
    <x v="0"/>
    <x v="9"/>
    <x v="0"/>
    <x v="0"/>
    <x v="0"/>
    <x v="0"/>
    <s v="RAD"/>
    <x v="0"/>
    <x v="28"/>
    <d v="2025-07-15T00:00:00"/>
    <x v="0"/>
    <d v="2025-07-15T00:00:00"/>
    <d v="2025-09-03T00:00:00"/>
    <d v="2025-09-24T00:00:00"/>
    <x v="1"/>
    <x v="2"/>
    <x v="0"/>
    <x v="0"/>
    <n v="1200"/>
    <n v="16.901399999999999"/>
    <n v="75"/>
    <x v="0"/>
    <x v="0"/>
    <x v="0"/>
    <x v="0"/>
    <x v="1"/>
    <x v="0"/>
    <x v="0"/>
    <x v="0"/>
    <x v="13"/>
    <x v="3"/>
    <x v="0"/>
    <x v="2"/>
    <n v="258"/>
    <x v="10"/>
    <n v="976"/>
    <n v="21"/>
    <x v="5"/>
    <x v="6"/>
    <x v="2"/>
    <x v="0"/>
    <x v="0"/>
    <x v="0"/>
    <x v="0"/>
    <s v="https://www.highmowingseeds.com/organic-non-gmo-daikon.html"/>
  </r>
  <r>
    <s v="TOM001"/>
    <x v="83"/>
    <x v="3"/>
    <n v="10.833333333333332"/>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www.johnnyseeds.com/vegetables/tomatillos/de-milpa-organic-tomatillo-seed-2075.html"/>
  </r>
  <r>
    <s v="MEL001"/>
    <x v="84"/>
    <x v="3"/>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0"/>
    <x v="0"/>
    <x v="0"/>
    <x v="0"/>
    <s v="https://www.johnnyseeds.com/vegetables/melons/cantaloupe-muskmelon/divergent-organic-f1-melon-seed-3760G.html"/>
  </r>
  <r>
    <s v="MEL001"/>
    <x v="84"/>
    <x v="7"/>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0"/>
    <x v="0"/>
    <x v="0"/>
    <x v="0"/>
    <s v="https://www.osborneseed.com/products/divergent-f1-organic-melon-seeds?_pos=1&amp;_psq=divergent&amp;_ss=e&amp;_v=1.0"/>
  </r>
  <r>
    <s v="LET030"/>
    <x v="7"/>
    <x v="1"/>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wildgardenseed.com/product_info.php?cPath=43_74&amp;products_id=251"/>
  </r>
  <r>
    <s v="SUM002"/>
    <x v="85"/>
    <x v="4"/>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highmowingseeds.com/organic-non-gmo-dunja-f1-zucchini.html"/>
  </r>
  <r>
    <s v="TOM006"/>
    <x v="86"/>
    <x v="11"/>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www.tomatofest.com/Dwarf_Purple_Heart_Organic_Tomato_Seeds_p/tf-0153d10.htm"/>
  </r>
  <r>
    <s v="TOM010"/>
    <x v="86"/>
    <x v="11"/>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www.tomatofest.com/Dwarf_Purple_Heart_Organic_Tomato_Seeds_p/tf-0153d10.htm"/>
  </r>
  <r>
    <s v="TOM007"/>
    <x v="87"/>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dynamite-delight/"/>
  </r>
  <r>
    <s v="TOM011"/>
    <x v="87"/>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dynamite-delight/"/>
  </r>
  <r>
    <s v="TOM007"/>
    <x v="88"/>
    <x v="15"/>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0"/>
    <x v="0"/>
    <x v="0"/>
    <x v="0"/>
    <s v="https://territorialseed.com/products/tomato-early-cherry"/>
  </r>
  <r>
    <s v="TOM011"/>
    <x v="88"/>
    <x v="15"/>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0"/>
    <x v="0"/>
    <x v="0"/>
    <x v="0"/>
    <s v="https://territorialseed.com/products/tomato-early-cherry"/>
  </r>
  <r>
    <s v="PAR001"/>
    <x v="89"/>
    <x v="5"/>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9"/>
    <s v="https://www.adaptiveseeds.com/product/herbs/parsley-einfache-schnitt-3-organic/"/>
  </r>
  <r>
    <s v="POT002"/>
    <x v="90"/>
    <x v="4"/>
    <n v="65"/>
    <s v="Potato (Main Crop) - Storage Root 1X | Field DS "/>
    <x v="0"/>
    <x v="36"/>
    <x v="0"/>
    <x v="4"/>
    <x v="2"/>
    <x v="0"/>
    <s v="POT"/>
    <x v="0"/>
    <x v="0"/>
    <d v="2025-04-21T00:00:00"/>
    <x v="0"/>
    <d v="2025-04-24T00:00:00"/>
    <d v="2025-08-22T00:00:00"/>
    <d v="2025-08-29T00:00:00"/>
    <x v="0"/>
    <x v="0"/>
    <x v="0"/>
    <x v="0"/>
    <n v="393.75"/>
    <n v="3.1004"/>
    <n v="120"/>
    <x v="0"/>
    <x v="0"/>
    <x v="0"/>
    <x v="4"/>
    <x v="0"/>
    <x v="0"/>
    <x v="0"/>
    <x v="0"/>
    <x v="0"/>
    <x v="0"/>
    <x v="1"/>
    <x v="0"/>
    <n v="247"/>
    <x v="3"/>
    <n v="964"/>
    <n v="7"/>
    <x v="5"/>
    <x v="2"/>
    <x v="0"/>
    <x v="0"/>
    <x v="0"/>
    <x v="0"/>
    <x v="0"/>
    <s v="https://www.highmowingseeds.com/organic-non-gmo-german-butterball-potato.html"/>
  </r>
  <r>
    <s v="PEP002"/>
    <x v="91"/>
    <x v="8"/>
    <n v="32.5"/>
    <s v="Pepper (Bell) - Ripe Fruit Large 1X | Greenhouse TP "/>
    <x v="0"/>
    <x v="10"/>
    <x v="0"/>
    <x v="2"/>
    <x v="1"/>
    <x v="0"/>
    <s v="PEP"/>
    <x v="0"/>
    <x v="3"/>
    <d v="2025-05-21T00:00:00"/>
    <x v="0"/>
    <d v="2025-06-19T00:00:00"/>
    <d v="2025-08-18T00:00:00"/>
    <d v="2025-12-22T00:00:00"/>
    <x v="0"/>
    <x v="2"/>
    <x v="0"/>
    <x v="0"/>
    <n v="2404.6875"/>
    <n v="12.9284"/>
    <n v="150"/>
    <x v="0"/>
    <x v="0"/>
    <x v="0"/>
    <x v="23"/>
    <x v="1"/>
    <x v="0"/>
    <x v="0"/>
    <x v="0"/>
    <x v="6"/>
    <x v="0"/>
    <x v="2"/>
    <x v="0"/>
    <n v="242"/>
    <x v="3"/>
    <n v="960"/>
    <n v="126"/>
    <x v="8"/>
    <x v="3"/>
    <x v="0"/>
    <x v="0"/>
    <x v="0"/>
    <x v="0"/>
    <x v="0"/>
    <s v="https://uprisingorganics.com/collections/vegetables/products/sweet-pepper-elephants-ear?_pos=1&amp;_sid=8dbb4dc68&amp;_ss=r"/>
  </r>
  <r>
    <s v="PEP004"/>
    <x v="91"/>
    <x v="8"/>
    <n v="32.5"/>
    <s v="Pepper (Hot) - Ripe Fruit Small 1X | Greenhouse TP "/>
    <x v="0"/>
    <x v="10"/>
    <x v="0"/>
    <x v="2"/>
    <x v="1"/>
    <x v="0"/>
    <s v="PEP"/>
    <x v="0"/>
    <x v="3"/>
    <d v="2025-05-21T00:00:00"/>
    <x v="0"/>
    <d v="2025-06-19T00:00:00"/>
    <d v="2025-08-18T00:00:00"/>
    <d v="2025-12-22T00:00:00"/>
    <x v="0"/>
    <x v="2"/>
    <x v="0"/>
    <x v="0"/>
    <n v="1012.5"/>
    <n v="5.4435000000000002"/>
    <n v="150"/>
    <x v="0"/>
    <x v="0"/>
    <x v="0"/>
    <x v="23"/>
    <x v="1"/>
    <x v="0"/>
    <x v="0"/>
    <x v="0"/>
    <x v="6"/>
    <x v="0"/>
    <x v="2"/>
    <x v="0"/>
    <n v="244"/>
    <x v="3"/>
    <n v="960"/>
    <n v="126"/>
    <x v="8"/>
    <x v="3"/>
    <x v="0"/>
    <x v="0"/>
    <x v="0"/>
    <x v="0"/>
    <x v="0"/>
    <s v="https://uprisingorganics.com/collections/vegetables/products/sweet-pepper-elephants-ear?_pos=1&amp;_sid=8dbb4dc68&amp;_ss=r"/>
  </r>
  <r>
    <s v="PAR001"/>
    <x v="92"/>
    <x v="3"/>
    <n v="390"/>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johnnyseeds.com/herbs/parsley/leaf-parsley/giant-of-italy-organic-parsley-seed-2390G.html"/>
  </r>
  <r>
    <s v="TOM007"/>
    <x v="93"/>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emerald-flame/"/>
  </r>
  <r>
    <s v="TOM011"/>
    <x v="93"/>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emerald-flame/"/>
  </r>
  <r>
    <s v="PAR001"/>
    <x v="94"/>
    <x v="4"/>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highmowingseeds.com/organic-non-gmo-laica-parsley.html"/>
  </r>
  <r>
    <s v="PAR001"/>
    <x v="95"/>
    <x v="5"/>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adaptiveseeds.com/product/herbs/parsley-forest-green-organic/"/>
  </r>
  <r>
    <s v="PAR003"/>
    <x v="96"/>
    <x v="4"/>
    <n v="3120"/>
    <s v="Parsnip (4r) - Mature Root 1X | Field DS Fa"/>
    <x v="0"/>
    <x v="37"/>
    <x v="0"/>
    <x v="0"/>
    <x v="0"/>
    <x v="0"/>
    <s v="PAR"/>
    <x v="0"/>
    <x v="0"/>
    <d v="2025-06-14T00:00:00"/>
    <x v="0"/>
    <d v="2025-06-14T00:00:00"/>
    <d v="2025-10-02T00:00:00"/>
    <d v="2025-10-16T00:00:00"/>
    <x v="1"/>
    <x v="0"/>
    <x v="0"/>
    <x v="0"/>
    <n v="800"/>
    <n v="6.4516"/>
    <n v="110"/>
    <x v="0"/>
    <x v="0"/>
    <x v="0"/>
    <x v="1"/>
    <x v="0"/>
    <x v="0"/>
    <x v="0"/>
    <x v="0"/>
    <x v="0"/>
    <x v="1"/>
    <x v="9"/>
    <x v="0"/>
    <n v="233"/>
    <x v="8"/>
    <n v="1005"/>
    <n v="14"/>
    <x v="5"/>
    <x v="11"/>
    <x v="5"/>
    <x v="0"/>
    <x v="0"/>
    <x v="0"/>
    <x v="0"/>
    <s v="https://www.highmowingseeds.com/organic-non-gmo-halblange-parsnip.html"/>
  </r>
  <r>
    <s v="PEP005"/>
    <x v="97"/>
    <x v="7"/>
    <n v="10.4"/>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0"/>
    <x v="0"/>
    <x v="0"/>
    <x v="0"/>
    <s v="https://www.osborneseed.com/products/hungarian-hot-wax-organic-pepper-seeds?_pos=1&amp;_psq=hunga&amp;_ss=e&amp;_v=1.0"/>
  </r>
  <r>
    <s v="PEP005"/>
    <x v="98"/>
    <x v="3"/>
    <n v="5.2"/>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1"/>
    <x v="0"/>
    <x v="0"/>
    <x v="0"/>
    <s v="https://www.johnnyseeds.com/vegetables/peppers/hot-peppers/helios-f1-habanero-pepper-seed-3219.html"/>
  </r>
  <r>
    <s v="SWI002"/>
    <x v="99"/>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fordhook-giant-chard.html"/>
  </r>
  <r>
    <s v="POT002"/>
    <x v="100"/>
    <x v="4"/>
    <n v="65"/>
    <s v="Potato (Main Crop) - Storage Root 1X | Field DS "/>
    <x v="0"/>
    <x v="36"/>
    <x v="0"/>
    <x v="4"/>
    <x v="2"/>
    <x v="0"/>
    <s v="POT"/>
    <x v="0"/>
    <x v="0"/>
    <d v="2025-04-21T00:00:00"/>
    <x v="0"/>
    <d v="2025-04-24T00:00:00"/>
    <d v="2025-08-22T00:00:00"/>
    <d v="2025-08-29T00:00:00"/>
    <x v="0"/>
    <x v="0"/>
    <x v="0"/>
    <x v="0"/>
    <n v="393.75"/>
    <n v="3.1004"/>
    <n v="120"/>
    <x v="0"/>
    <x v="0"/>
    <x v="0"/>
    <x v="4"/>
    <x v="0"/>
    <x v="0"/>
    <x v="0"/>
    <x v="0"/>
    <x v="0"/>
    <x v="0"/>
    <x v="1"/>
    <x v="0"/>
    <n v="247"/>
    <x v="3"/>
    <n v="964"/>
    <n v="7"/>
    <x v="5"/>
    <x v="2"/>
    <x v="0"/>
    <x v="0"/>
    <x v="0"/>
    <x v="0"/>
    <x v="0"/>
    <s v="https://www.highmowingseeds.com/organic-non-gmo-german-butterball-potato.html"/>
  </r>
  <r>
    <s v="RAD003"/>
    <x v="101"/>
    <x v="4"/>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highmowingseeds.com/organic-non-gmo-french-breakfast-radish.html"/>
  </r>
  <r>
    <s v="RAD449"/>
    <x v="101"/>
    <x v="4"/>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highmowingseeds.com/organic-non-gmo-french-breakfast-radish.html"/>
  </r>
  <r>
    <s v="RAD451"/>
    <x v="101"/>
    <x v="4"/>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highmowingseeds.com/organic-non-gmo-french-breakfast-radish.html"/>
  </r>
  <r>
    <s v="RAD452"/>
    <x v="101"/>
    <x v="4"/>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highmowingseeds.com/organic-non-gmo-french-breakfast-radish.html"/>
  </r>
  <r>
    <s v="RAD453"/>
    <x v="101"/>
    <x v="4"/>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highmowingseeds.com/organic-non-gmo-french-breakfast-radish.html"/>
  </r>
  <r>
    <s v="RAD454"/>
    <x v="101"/>
    <x v="4"/>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highmowingseeds.com/organic-non-gmo-french-breakfast-radish.html"/>
  </r>
  <r>
    <s v="RAD455"/>
    <x v="101"/>
    <x v="4"/>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highmowingseeds.com/organic-non-gmo-french-breakfast-radish.html"/>
  </r>
  <r>
    <s v="SOR485"/>
    <x v="102"/>
    <x v="1"/>
    <n v="58.5"/>
    <s v="Sorrel - Mature Leaf 3X | Field TP "/>
    <x v="5"/>
    <x v="39"/>
    <x v="0"/>
    <x v="1"/>
    <x v="1"/>
    <x v="0"/>
    <s v="SOR"/>
    <x v="0"/>
    <x v="29"/>
    <d v="2024-04-29T00:00:00"/>
    <x v="0"/>
    <d v="2024-04-26T00:00:00"/>
    <d v="2024-06-01T00:00:00"/>
    <d v="2025-01-31T00:00:00"/>
    <x v="0"/>
    <x v="1"/>
    <x v="0"/>
    <x v="0"/>
    <n v="822.85709999999995"/>
    <n v="3.0933999999999999"/>
    <n v="70"/>
    <x v="0"/>
    <x v="0"/>
    <x v="0"/>
    <x v="25"/>
    <x v="1"/>
    <x v="0"/>
    <x v="0"/>
    <x v="0"/>
    <x v="2"/>
    <x v="3"/>
    <x v="2"/>
    <x v="0"/>
    <n v="291"/>
    <x v="3"/>
    <n v="517"/>
    <n v="224"/>
    <x v="1"/>
    <x v="5"/>
    <x v="0"/>
    <x v="0"/>
    <x v="0"/>
    <x v="0"/>
    <x v="0"/>
    <s v="https://www.wildgardenseed.com/product_info.php?cPath=62&amp;products_id=163"/>
  </r>
  <r>
    <s v="TOM009"/>
    <x v="103"/>
    <x v="3"/>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johnnyseeds.com/vegetables/tomatoes/heirloom-tomatoes/german-johnson-organic-tomato-seed-3815G.html"/>
  </r>
  <r>
    <s v="TOM002"/>
    <x v="104"/>
    <x v="3"/>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1"/>
    <x v="0"/>
    <x v="0"/>
    <x v="0"/>
    <s v="https://www.johnnyseeds.com/vegetables/tomatoes/beefsteak-tomatoes/geronimo-f1-tomato-seed-2794.html"/>
  </r>
  <r>
    <s v="TOM003"/>
    <x v="104"/>
    <x v="3"/>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1"/>
    <x v="0"/>
    <x v="0"/>
    <x v="0"/>
    <s v="https://www.johnnyseeds.com/vegetables/tomatoes/beefsteak-tomatoes/geronimo-f1-tomato-seed-2794.html"/>
  </r>
  <r>
    <s v="TOM009"/>
    <x v="105"/>
    <x v="3"/>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johnnyseeds.com/vegetables/tomatoes/specialty-tomatoes/ginfiz-organic-f1-tomato-seed-4605G.html"/>
  </r>
  <r>
    <s v="TOM007"/>
    <x v="106"/>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golden-hour/"/>
  </r>
  <r>
    <s v="TOM011"/>
    <x v="106"/>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golden-hour/"/>
  </r>
  <r>
    <s v="SCA633"/>
    <x v="107"/>
    <x v="8"/>
    <n v="220"/>
    <s v="Scallion - Mature Stalk 6X | Field TP Sp"/>
    <x v="0"/>
    <x v="40"/>
    <x v="0"/>
    <x v="3"/>
    <x v="1"/>
    <x v="0"/>
    <s v="SCA"/>
    <x v="0"/>
    <x v="12"/>
    <d v="2025-04-13T00:00:00"/>
    <x v="0"/>
    <d v="2025-03-12T00:00:00"/>
    <d v="2025-06-25T00:00:00"/>
    <d v="2025-07-09T00:00:00"/>
    <x v="0"/>
    <x v="1"/>
    <x v="0"/>
    <x v="0"/>
    <n v="125"/>
    <n v="1.9531000000000001"/>
    <n v="92"/>
    <x v="0"/>
    <x v="0"/>
    <x v="0"/>
    <x v="1"/>
    <x v="1"/>
    <x v="0"/>
    <x v="0"/>
    <x v="0"/>
    <x v="12"/>
    <x v="1"/>
    <x v="10"/>
    <x v="0"/>
    <n v="282"/>
    <x v="0"/>
    <n v="906"/>
    <n v="14"/>
    <x v="14"/>
    <x v="5"/>
    <x v="1"/>
    <x v="0"/>
    <x v="0"/>
    <x v="0"/>
    <x v="0"/>
    <s v="https://uprisingorganics.com/products/scallion-ishikura-long-winter?_pos=1&amp;_sid=04d2ed212&amp;_ss=r"/>
  </r>
  <r>
    <s v="SCA634"/>
    <x v="107"/>
    <x v="8"/>
    <n v="440"/>
    <s v="Scallion - Mature Stalk 6X | Field TP Sp"/>
    <x v="0"/>
    <x v="40"/>
    <x v="0"/>
    <x v="2"/>
    <x v="1"/>
    <x v="0"/>
    <s v="SCA"/>
    <x v="0"/>
    <x v="9"/>
    <d v="2025-05-04T00:00:00"/>
    <x v="0"/>
    <d v="2025-06-25T00:00:00"/>
    <d v="2025-08-14T00:00:00"/>
    <d v="2025-08-28T00:00:00"/>
    <x v="0"/>
    <x v="2"/>
    <x v="0"/>
    <x v="0"/>
    <n v="250"/>
    <n v="3.9062000000000001"/>
    <n v="92"/>
    <x v="0"/>
    <x v="0"/>
    <x v="0"/>
    <x v="1"/>
    <x v="1"/>
    <x v="0"/>
    <x v="0"/>
    <x v="0"/>
    <x v="12"/>
    <x v="1"/>
    <x v="10"/>
    <x v="0"/>
    <n v="282"/>
    <x v="0"/>
    <n v="956"/>
    <n v="14"/>
    <x v="14"/>
    <x v="5"/>
    <x v="1"/>
    <x v="0"/>
    <x v="0"/>
    <x v="0"/>
    <x v="0"/>
    <s v="https://uprisingorganics.com/products/scallion-ishikura-long-winter?_pos=1&amp;_sid=04d2ed212&amp;_ss=r"/>
  </r>
  <r>
    <s v="SCA635"/>
    <x v="107"/>
    <x v="8"/>
    <n v="440"/>
    <s v="Scallion - Mature Stalk 6X | Field TP Sp"/>
    <x v="0"/>
    <x v="40"/>
    <x v="0"/>
    <x v="2"/>
    <x v="1"/>
    <x v="0"/>
    <s v="SCA"/>
    <x v="0"/>
    <x v="18"/>
    <d v="2025-05-25T00:00:00"/>
    <x v="0"/>
    <d v="2025-05-18T00:00:00"/>
    <d v="2025-07-15T00:00:00"/>
    <d v="2025-07-29T00:00:00"/>
    <x v="0"/>
    <x v="1"/>
    <x v="0"/>
    <x v="0"/>
    <n v="250"/>
    <n v="3.9062000000000001"/>
    <n v="92"/>
    <x v="0"/>
    <x v="0"/>
    <x v="0"/>
    <x v="1"/>
    <x v="1"/>
    <x v="0"/>
    <x v="0"/>
    <x v="0"/>
    <x v="12"/>
    <x v="1"/>
    <x v="10"/>
    <x v="0"/>
    <n v="282"/>
    <x v="0"/>
    <n v="926"/>
    <n v="14"/>
    <x v="14"/>
    <x v="5"/>
    <x v="1"/>
    <x v="0"/>
    <x v="0"/>
    <x v="0"/>
    <x v="0"/>
    <s v="https://uprisingorganics.com/products/scallion-ishikura-long-winter?_pos=1&amp;_sid=04d2ed212&amp;_ss=r"/>
  </r>
  <r>
    <s v="SCA637"/>
    <x v="107"/>
    <x v="8"/>
    <n v="440"/>
    <s v="Scallion - Mature Stalk 6X | Field TP Sp"/>
    <x v="0"/>
    <x v="40"/>
    <x v="0"/>
    <x v="2"/>
    <x v="1"/>
    <x v="0"/>
    <s v="SCA"/>
    <x v="0"/>
    <x v="11"/>
    <d v="2025-07-06T00:00:00"/>
    <x v="0"/>
    <d v="2025-06-30T00:00:00"/>
    <d v="2025-08-19T00:00:00"/>
    <d v="2025-09-02T00:00:00"/>
    <x v="0"/>
    <x v="2"/>
    <x v="0"/>
    <x v="0"/>
    <n v="250"/>
    <n v="3.9062000000000001"/>
    <n v="92"/>
    <x v="0"/>
    <x v="0"/>
    <x v="0"/>
    <x v="1"/>
    <x v="1"/>
    <x v="0"/>
    <x v="0"/>
    <x v="0"/>
    <x v="12"/>
    <x v="1"/>
    <x v="10"/>
    <x v="0"/>
    <n v="282"/>
    <x v="0"/>
    <n v="961"/>
    <n v="14"/>
    <x v="14"/>
    <x v="5"/>
    <x v="1"/>
    <x v="0"/>
    <x v="0"/>
    <x v="0"/>
    <x v="0"/>
    <s v="https://uprisingorganics.com/products/scallion-ishikura-long-winter?_pos=1&amp;_sid=04d2ed212&amp;_ss=r"/>
  </r>
  <r>
    <s v="SQU002"/>
    <x v="108"/>
    <x v="4"/>
    <n v="10.833333333333332"/>
    <s v="Squash (Delicata) - Storage 1X | Field TP "/>
    <x v="0"/>
    <x v="41"/>
    <x v="0"/>
    <x v="0"/>
    <x v="0"/>
    <x v="0"/>
    <s v="SQU"/>
    <x v="0"/>
    <x v="2"/>
    <d v="2025-05-09T00:00:00"/>
    <x v="0"/>
    <d v="2025-06-04T00:00:00"/>
    <d v="2025-08-22T00:00:00"/>
    <d v="2025-08-29T00:00:00"/>
    <x v="0"/>
    <x v="1"/>
    <x v="0"/>
    <x v="0"/>
    <n v="225"/>
    <n v="2.1027999999999998"/>
    <n v="128"/>
    <x v="0"/>
    <x v="0"/>
    <x v="0"/>
    <x v="4"/>
    <x v="1"/>
    <x v="0"/>
    <x v="0"/>
    <x v="0"/>
    <x v="2"/>
    <x v="2"/>
    <x v="16"/>
    <x v="0"/>
    <n v="299"/>
    <x v="3"/>
    <n v="964"/>
    <n v="7"/>
    <x v="16"/>
    <x v="2"/>
    <x v="1"/>
    <x v="0"/>
    <x v="0"/>
    <x v="0"/>
    <x v="0"/>
    <s v="https://www.highmowingseeds.com/organic-non-gmo-honey-boat-winter-squash.html"/>
  </r>
  <r>
    <s v="SQU004"/>
    <x v="109"/>
    <x v="3"/>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0"/>
    <x v="0"/>
    <x v="0"/>
    <x v="0"/>
    <s v="https://www.johnnyseeds.com/vegetables/squash/winter-squash/mambo-organic-f1-kabocha-squash-seed-4304G.html"/>
  </r>
  <r>
    <s v="TOM009"/>
    <x v="110"/>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janets-jacinthe-jewel/"/>
  </r>
  <r>
    <s v="TOM007"/>
    <x v="111"/>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limelight/"/>
  </r>
  <r>
    <s v="TOM011"/>
    <x v="111"/>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limelight/"/>
  </r>
  <r>
    <s v="TOM009"/>
    <x v="112"/>
    <x v="3"/>
    <n v="105.3"/>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1"/>
    <x v="0"/>
    <x v="0"/>
    <x v="0"/>
    <s v="https://www.johnnyseeds.com/vegetables/tomatoes/beefsteak-tomatoes/margold-f1-tomato-seed-3177.html"/>
  </r>
  <r>
    <s v="TOM009"/>
    <x v="113"/>
    <x v="3"/>
    <n v="105.3"/>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1"/>
    <x v="0"/>
    <x v="0"/>
    <x v="0"/>
    <s v="https://www.johnnyseeds.com/vegetables/tomatoes/specialty-tomatoes/marbonne-f1-tomato-seed-3225.html"/>
  </r>
  <r>
    <s v="TOM009"/>
    <x v="114"/>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large-barred-boar/"/>
  </r>
  <r>
    <s v="CUC004"/>
    <x v="115"/>
    <x v="4"/>
    <n v="48.75"/>
    <s v="Cucumber (Slicer) - Ripe Fruit 1X | Field TP "/>
    <x v="0"/>
    <x v="28"/>
    <x v="0"/>
    <x v="0"/>
    <x v="0"/>
    <x v="0"/>
    <s v="CUC"/>
    <x v="0"/>
    <x v="2"/>
    <d v="2025-05-16T00:00:00"/>
    <x v="0"/>
    <d v="2025-05-26T00:00:00"/>
    <d v="2025-07-05T00:00:00"/>
    <d v="2025-09-20T00:00:00"/>
    <x v="0"/>
    <x v="1"/>
    <x v="0"/>
    <x v="0"/>
    <n v="1080"/>
    <n v="8.8524999999999991"/>
    <n v="80"/>
    <x v="0"/>
    <x v="0"/>
    <x v="0"/>
    <x v="18"/>
    <x v="1"/>
    <x v="0"/>
    <x v="0"/>
    <x v="0"/>
    <x v="4"/>
    <x v="2"/>
    <x v="2"/>
    <x v="1"/>
    <n v="111"/>
    <x v="3"/>
    <n v="916"/>
    <n v="77"/>
    <x v="13"/>
    <x v="8"/>
    <x v="1"/>
    <x v="0"/>
    <x v="0"/>
    <x v="0"/>
    <x v="0"/>
    <s v="https://www.highmowingseeds.com/organic-non-gmo-marketmore-76-cucumber.html"/>
  </r>
  <r>
    <s v="TOM009"/>
    <x v="116"/>
    <x v="3"/>
    <n v="105.3"/>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1"/>
    <x v="0"/>
    <x v="0"/>
    <x v="0"/>
    <s v="https://www.johnnyseeds.com/vegetables/tomatoes/beefsteak-tomatoes/marnero-f1-tomato-seed-3176.html"/>
  </r>
  <r>
    <s v="BEA001"/>
    <x v="117"/>
    <x v="8"/>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uprisingorganics.com/collections/vegetables/products/bean-pole-snap-marvel-of-venice?_pos=1&amp;_sid=db038fdc9&amp;_ss=r"/>
  </r>
  <r>
    <s v="BEA002"/>
    <x v="117"/>
    <x v="8"/>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uprisingorganics.com/collections/vegetables/products/bean-pole-snap-marvel-of-venice?_pos=1&amp;_sid=db038fdc9&amp;_ss=r"/>
  </r>
  <r>
    <s v="CAB002"/>
    <x v="118"/>
    <x v="3"/>
    <n v="58.666666666666664"/>
    <s v="Cabbage (Chinese) - Large Head 1X | Field TP Wi"/>
    <x v="0"/>
    <x v="4"/>
    <x v="0"/>
    <x v="0"/>
    <x v="0"/>
    <x v="0"/>
    <s v="CAB"/>
    <x v="0"/>
    <x v="20"/>
    <d v="2025-07-07T00:00:00"/>
    <x v="0"/>
    <d v="2025-07-07T00:00:00"/>
    <d v="2025-09-02T00:00:00"/>
    <d v="2025-09-16T00:00:00"/>
    <x v="1"/>
    <x v="2"/>
    <x v="0"/>
    <x v="0"/>
    <n v="360"/>
    <n v="5.0704000000000002"/>
    <n v="85"/>
    <x v="0"/>
    <x v="0"/>
    <x v="0"/>
    <x v="1"/>
    <x v="1"/>
    <x v="0"/>
    <x v="0"/>
    <x v="0"/>
    <x v="2"/>
    <x v="0"/>
    <x v="13"/>
    <x v="0"/>
    <n v="48"/>
    <x v="9"/>
    <n v="975"/>
    <n v="14"/>
    <x v="4"/>
    <x v="6"/>
    <x v="2"/>
    <x v="1"/>
    <x v="0"/>
    <x v="0"/>
    <x v="0"/>
    <s v="https://www.johnnyseeds.com/vegetables/chinese-cabbage/merlot-f1-chinese-cabbage-seed-4171.html"/>
  </r>
  <r>
    <s v="CEL001"/>
    <x v="119"/>
    <x v="4"/>
    <n v="65"/>
    <s v="Celery - Loose Rib 1X | Field TP SpSu"/>
    <x v="0"/>
    <x v="42"/>
    <x v="0"/>
    <x v="0"/>
    <x v="0"/>
    <x v="0"/>
    <s v="CEL"/>
    <x v="0"/>
    <x v="21"/>
    <d v="2025-04-30T00:00:00"/>
    <x v="0"/>
    <d v="2025-06-05T00:00:00"/>
    <d v="2025-07-06T00:00:00"/>
    <d v="2025-11-30T00:00:00"/>
    <x v="0"/>
    <x v="1"/>
    <x v="0"/>
    <x v="0"/>
    <n v="4950"/>
    <n v="27.809000000000001"/>
    <n v="100"/>
    <x v="0"/>
    <x v="0"/>
    <x v="0"/>
    <x v="26"/>
    <x v="1"/>
    <x v="0"/>
    <x v="0"/>
    <x v="0"/>
    <x v="15"/>
    <x v="3"/>
    <x v="2"/>
    <x v="0"/>
    <n v="70"/>
    <x v="2"/>
    <n v="917"/>
    <n v="147"/>
    <x v="17"/>
    <x v="6"/>
    <x v="1"/>
    <x v="0"/>
    <x v="0"/>
    <x v="0"/>
    <x v="0"/>
    <s v="https://www.highmowingseeds.com/organic-non-gmo-merengo-f1-celery.html"/>
  </r>
  <r>
    <s v="TOM005"/>
    <x v="120"/>
    <x v="13"/>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1"/>
    <x v="0"/>
    <x v="0"/>
    <x v="0"/>
    <s v="https://beneseeds.com/products/minivento?_pos=1&amp;_psq=minivento&amp;_ss=e&amp;_v=1.0"/>
  </r>
  <r>
    <s v="CAB010"/>
    <x v="121"/>
    <x v="3"/>
    <n v="165"/>
    <s v="Cabbage (Chinese) - Small Head 1X | Field TP Fa"/>
    <x v="0"/>
    <x v="4"/>
    <x v="0"/>
    <x v="0"/>
    <x v="0"/>
    <x v="0"/>
    <s v="CAB"/>
    <x v="0"/>
    <x v="20"/>
    <d v="2025-07-07T00:00:00"/>
    <x v="0"/>
    <d v="2025-07-07T00:00:00"/>
    <d v="2025-08-26T00:00:00"/>
    <d v="2025-09-09T00:00:00"/>
    <x v="1"/>
    <x v="2"/>
    <x v="0"/>
    <x v="0"/>
    <n v="600"/>
    <n v="9.375"/>
    <n v="78"/>
    <x v="0"/>
    <x v="0"/>
    <x v="0"/>
    <x v="1"/>
    <x v="1"/>
    <x v="0"/>
    <x v="0"/>
    <x v="0"/>
    <x v="2"/>
    <x v="3"/>
    <x v="2"/>
    <x v="0"/>
    <n v="49"/>
    <x v="8"/>
    <n v="968"/>
    <n v="14"/>
    <x v="4"/>
    <x v="6"/>
    <x v="2"/>
    <x v="1"/>
    <x v="0"/>
    <x v="0"/>
    <x v="0"/>
    <s v="https://www.johnnyseeds.com/vegetables/chinese-cabbage/minuet-f1-chinese-cabbage-seed-2901.html"/>
  </r>
  <r>
    <s v="CAR001"/>
    <x v="122"/>
    <x v="3"/>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1"/>
    <x v="0"/>
    <x v="0"/>
    <x v="0"/>
    <s v="https://www.johnnyseeds.com/vegetables/carrots/early-carrots/mokum-f1-carrot-seed-2186.html"/>
  </r>
  <r>
    <s v="CAR002"/>
    <x v="122"/>
    <x v="3"/>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1"/>
    <x v="0"/>
    <x v="0"/>
    <x v="0"/>
    <s v="https://www.johnnyseeds.com/vegetables/carrots/early-carrots/mokum-f1-carrot-seed-2186.html"/>
  </r>
  <r>
    <s v="CAR004"/>
    <x v="122"/>
    <x v="3"/>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1"/>
    <x v="0"/>
    <x v="0"/>
    <x v="0"/>
    <s v="https://www.johnnyseeds.com/vegetables/carrots/early-carrots/mokum-f1-carrot-seed-2186.html"/>
  </r>
  <r>
    <s v="CAR005"/>
    <x v="122"/>
    <x v="3"/>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1"/>
    <x v="0"/>
    <x v="0"/>
    <x v="0"/>
    <s v="https://www.johnnyseeds.com/vegetables/carrots/early-carrots/mokum-f1-carrot-seed-2186.html"/>
  </r>
  <r>
    <s v="CAR006"/>
    <x v="122"/>
    <x v="3"/>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1"/>
    <x v="0"/>
    <x v="0"/>
    <x v="0"/>
    <s v="https://www.johnnyseeds.com/vegetables/carrots/early-carrots/mokum-f1-carrot-seed-2186.html"/>
  </r>
  <r>
    <s v="BRO001"/>
    <x v="123"/>
    <x v="7"/>
    <n v="69.333333333333329"/>
    <s v="Broccoli (Sprouting) - Loose Florets 1X | Field TP SuFa"/>
    <x v="0"/>
    <x v="22"/>
    <x v="0"/>
    <x v="7"/>
    <x v="2"/>
    <x v="0"/>
    <s v="BRO"/>
    <x v="0"/>
    <x v="19"/>
    <d v="2025-07-08T00:00:00"/>
    <x v="0"/>
    <d v="2025-07-08T00:00:00"/>
    <d v="2025-08-22T00:00:00"/>
    <d v="2025-09-12T00:00:00"/>
    <x v="1"/>
    <x v="2"/>
    <x v="0"/>
    <x v="0"/>
    <n v="426.66669999999999"/>
    <n v="6.4645999999999999"/>
    <n v="73"/>
    <x v="0"/>
    <x v="0"/>
    <x v="0"/>
    <x v="0"/>
    <x v="1"/>
    <x v="0"/>
    <x v="0"/>
    <x v="0"/>
    <x v="2"/>
    <x v="0"/>
    <x v="11"/>
    <x v="0"/>
    <n v="41"/>
    <x v="4"/>
    <n v="964"/>
    <n v="21"/>
    <x v="4"/>
    <x v="6"/>
    <x v="2"/>
    <x v="1"/>
    <x v="0"/>
    <x v="0"/>
    <x v="0"/>
    <s v="https://www.osborneseed.com/products/montebello-f1-untreated-broccoli-seeds?_pos=1&amp;_sid=c13cb6bec&amp;_ss=r"/>
  </r>
  <r>
    <s v="TOM002"/>
    <x v="124"/>
    <x v="15"/>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1"/>
    <x v="0"/>
    <x v="0"/>
    <x v="0"/>
    <s v="https://territorialseed.com/products/tomato-mortgage-lifter"/>
  </r>
  <r>
    <s v="TOM003"/>
    <x v="124"/>
    <x v="15"/>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1"/>
    <x v="0"/>
    <x v="0"/>
    <x v="0"/>
    <s v="https://territorialseed.com/products/tomato-mortgage-lifter"/>
  </r>
  <r>
    <s v="PAR001"/>
    <x v="125"/>
    <x v="1"/>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wildgardenseed.com/product_info.php?products_id=131"/>
  </r>
  <r>
    <s v="CAR001"/>
    <x v="126"/>
    <x v="7"/>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0"/>
    <x v="0"/>
    <x v="0"/>
    <x v="0"/>
    <s v="https://www.osborneseed.com/catalog/item-content/77169/napoli-f1/pr_77169/cp_/catalog/seed-form/organic/carrot"/>
  </r>
  <r>
    <s v="CAR002"/>
    <x v="126"/>
    <x v="7"/>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0"/>
    <x v="0"/>
    <x v="0"/>
    <x v="0"/>
    <s v="https://www.osborneseed.com/catalog/item-content/77169/napoli-f1/pr_77169/cp_/catalog/seed-form/organic/carrot"/>
  </r>
  <r>
    <s v="CAR004"/>
    <x v="126"/>
    <x v="7"/>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0"/>
    <x v="0"/>
    <x v="0"/>
    <x v="0"/>
    <s v="https://www.osborneseed.com/catalog/item-content/77169/napoli-f1/pr_77169/cp_/catalog/seed-form/organic/carrot"/>
  </r>
  <r>
    <s v="CAR005"/>
    <x v="126"/>
    <x v="7"/>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0"/>
    <x v="0"/>
    <x v="0"/>
    <x v="0"/>
    <s v="https://www.osborneseed.com/catalog/item-content/77169/napoli-f1/pr_77169/cp_/catalog/seed-form/organic/carrot"/>
  </r>
  <r>
    <s v="CAR006"/>
    <x v="126"/>
    <x v="7"/>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0"/>
    <x v="0"/>
    <x v="0"/>
    <x v="0"/>
    <s v="https://www.osborneseed.com/catalog/item-content/77169/napoli-f1/pr_77169/cp_/catalog/seed-form/organic/carrot"/>
  </r>
  <r>
    <s v="CAR003"/>
    <x v="127"/>
    <x v="4"/>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0"/>
    <x v="0"/>
    <x v="0"/>
    <x v="0"/>
    <s v="https://www.highmowingseeds.com/organic-non-gmo-narvik-f1-carrot.html"/>
  </r>
  <r>
    <s v="CAR007"/>
    <x v="127"/>
    <x v="4"/>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0"/>
    <x v="0"/>
    <x v="0"/>
    <x v="0"/>
    <s v="https://www.highmowingseeds.com/organic-non-gmo-narvik-f1-carrot.html"/>
  </r>
  <r>
    <s v="SQU004"/>
    <x v="128"/>
    <x v="15"/>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1"/>
    <x v="0"/>
    <x v="0"/>
    <x v="0"/>
    <s v="https://territorialseed.com/products/pumpkin-neon"/>
  </r>
  <r>
    <s v="COR001"/>
    <x v="129"/>
    <x v="5"/>
    <n v="520"/>
    <s v="Corn  (Sweet Early) - Mature Cob 2X | Field DS "/>
    <x v="0"/>
    <x v="27"/>
    <x v="0"/>
    <x v="4"/>
    <x v="2"/>
    <x v="0"/>
    <s v="COR"/>
    <x v="0"/>
    <x v="0"/>
    <d v="2025-06-15T00:00:00"/>
    <x v="0"/>
    <d v="2025-06-15T00:00:00"/>
    <d v="2025-09-23T00:00:00"/>
    <d v="2025-10-07T00:00:00"/>
    <x v="1"/>
    <x v="0"/>
    <x v="0"/>
    <x v="0"/>
    <n v="800"/>
    <n v="7.0175000000000001"/>
    <n v="100"/>
    <x v="0"/>
    <x v="0"/>
    <x v="0"/>
    <x v="1"/>
    <x v="0"/>
    <x v="0"/>
    <x v="0"/>
    <x v="0"/>
    <x v="0"/>
    <x v="3"/>
    <x v="0"/>
    <x v="1"/>
    <n v="94"/>
    <x v="3"/>
    <n v="996"/>
    <n v="14"/>
    <x v="12"/>
    <x v="3"/>
    <x v="1"/>
    <x v="0"/>
    <x v="0"/>
    <x v="0"/>
    <x v="0"/>
    <s v="https://www.adaptiveseeds.com/product/vegetables/corn/sweet-corn-new-mama-super-sweet-organic/"/>
  </r>
  <r>
    <s v="BEA001"/>
    <x v="130"/>
    <x v="3"/>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www.johnnyseeds.com/vegetables/beans/pole-beans/northeaster-organic-bean-seed-39G.html"/>
  </r>
  <r>
    <s v="BEA002"/>
    <x v="130"/>
    <x v="3"/>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www.johnnyseeds.com/vegetables/beans/pole-beans/northeaster-organic-bean-seed-39G.html"/>
  </r>
  <r>
    <s v="RAD005"/>
    <x v="131"/>
    <x v="5"/>
    <n v="130"/>
    <s v="Radish (Daikon) - Storage Root 1X | Field TP FaWi"/>
    <x v="0"/>
    <x v="9"/>
    <x v="0"/>
    <x v="0"/>
    <x v="0"/>
    <x v="0"/>
    <s v="RAD"/>
    <x v="0"/>
    <x v="28"/>
    <d v="2025-07-15T00:00:00"/>
    <x v="0"/>
    <d v="2025-07-15T00:00:00"/>
    <d v="2025-09-03T00:00:00"/>
    <d v="2025-09-24T00:00:00"/>
    <x v="1"/>
    <x v="2"/>
    <x v="0"/>
    <x v="0"/>
    <n v="1200"/>
    <n v="16.901399999999999"/>
    <n v="75"/>
    <x v="0"/>
    <x v="0"/>
    <x v="0"/>
    <x v="0"/>
    <x v="1"/>
    <x v="0"/>
    <x v="0"/>
    <x v="0"/>
    <x v="13"/>
    <x v="3"/>
    <x v="0"/>
    <x v="2"/>
    <n v="258"/>
    <x v="10"/>
    <n v="976"/>
    <n v="21"/>
    <x v="5"/>
    <x v="6"/>
    <x v="2"/>
    <x v="0"/>
    <x v="0"/>
    <x v="0"/>
    <x v="0"/>
    <s v="https://www.adaptiveseeds.com/product/vegetables/radishes/radish-okhura-winter-queen-daikon-organic/"/>
  </r>
  <r>
    <s v="RAD005"/>
    <x v="131"/>
    <x v="5"/>
    <n v="130"/>
    <s v="Radish (Daikon) - Storage Root 1X | Field TP FaWi"/>
    <x v="0"/>
    <x v="9"/>
    <x v="0"/>
    <x v="0"/>
    <x v="0"/>
    <x v="0"/>
    <s v="RAD"/>
    <x v="0"/>
    <x v="28"/>
    <d v="2025-07-15T00:00:00"/>
    <x v="0"/>
    <d v="2025-07-15T00:00:00"/>
    <d v="2025-09-03T00:00:00"/>
    <d v="2025-09-24T00:00:00"/>
    <x v="1"/>
    <x v="2"/>
    <x v="0"/>
    <x v="0"/>
    <n v="1200"/>
    <n v="16.901399999999999"/>
    <n v="75"/>
    <x v="0"/>
    <x v="0"/>
    <x v="0"/>
    <x v="0"/>
    <x v="1"/>
    <x v="0"/>
    <x v="0"/>
    <x v="0"/>
    <x v="13"/>
    <x v="3"/>
    <x v="0"/>
    <x v="2"/>
    <n v="258"/>
    <x v="10"/>
    <n v="976"/>
    <n v="21"/>
    <x v="5"/>
    <x v="6"/>
    <x v="2"/>
    <x v="0"/>
    <x v="0"/>
    <x v="0"/>
    <x v="10"/>
    <s v="https://www.adaptiveseeds.com/product/vegetables/radishes/radish-okhura-winter-queen-daikon-organic/"/>
  </r>
  <r>
    <s v="PEP002"/>
    <x v="132"/>
    <x v="3"/>
    <n v="32.5"/>
    <s v="Pepper (Bell) - Ripe Fruit Large 1X | Greenhouse TP "/>
    <x v="0"/>
    <x v="10"/>
    <x v="0"/>
    <x v="2"/>
    <x v="1"/>
    <x v="0"/>
    <s v="PEP"/>
    <x v="0"/>
    <x v="3"/>
    <d v="2025-05-21T00:00:00"/>
    <x v="0"/>
    <d v="2025-06-19T00:00:00"/>
    <d v="2025-08-18T00:00:00"/>
    <d v="2025-12-22T00:00:00"/>
    <x v="0"/>
    <x v="2"/>
    <x v="0"/>
    <x v="0"/>
    <n v="2404.6875"/>
    <n v="12.9284"/>
    <n v="150"/>
    <x v="0"/>
    <x v="0"/>
    <x v="0"/>
    <x v="23"/>
    <x v="1"/>
    <x v="0"/>
    <x v="0"/>
    <x v="0"/>
    <x v="6"/>
    <x v="0"/>
    <x v="2"/>
    <x v="0"/>
    <n v="242"/>
    <x v="3"/>
    <n v="960"/>
    <n v="126"/>
    <x v="8"/>
    <x v="3"/>
    <x v="0"/>
    <x v="0"/>
    <x v="0"/>
    <x v="0"/>
    <x v="0"/>
    <s v="https://www.johnnyseeds.com/vegetables/peppers/sweet-bell-peppers/olly-organic-f1-bell-pepper-seed-4761G.html"/>
  </r>
  <r>
    <s v="PEP004"/>
    <x v="132"/>
    <x v="3"/>
    <n v="32.5"/>
    <s v="Pepper (Hot) - Ripe Fruit Small 1X | Greenhouse TP "/>
    <x v="0"/>
    <x v="10"/>
    <x v="0"/>
    <x v="2"/>
    <x v="1"/>
    <x v="0"/>
    <s v="PEP"/>
    <x v="0"/>
    <x v="3"/>
    <d v="2025-05-21T00:00:00"/>
    <x v="0"/>
    <d v="2025-06-19T00:00:00"/>
    <d v="2025-08-18T00:00:00"/>
    <d v="2025-12-22T00:00:00"/>
    <x v="0"/>
    <x v="2"/>
    <x v="0"/>
    <x v="0"/>
    <n v="1012.5"/>
    <n v="5.4435000000000002"/>
    <n v="150"/>
    <x v="0"/>
    <x v="0"/>
    <x v="0"/>
    <x v="23"/>
    <x v="1"/>
    <x v="0"/>
    <x v="0"/>
    <x v="0"/>
    <x v="6"/>
    <x v="0"/>
    <x v="2"/>
    <x v="0"/>
    <n v="244"/>
    <x v="3"/>
    <n v="960"/>
    <n v="126"/>
    <x v="8"/>
    <x v="3"/>
    <x v="0"/>
    <x v="0"/>
    <x v="0"/>
    <x v="0"/>
    <x v="0"/>
    <s v="https://www.johnnyseeds.com/vegetables/peppers/sweet-bell-peppers/olly-organic-f1-bell-pepper-seed-4761G.html"/>
  </r>
  <r>
    <s v="TOM008"/>
    <x v="133"/>
    <x v="5"/>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adaptiveseeds.com/product/vegetables/tomatoes/tomato-orange-glad-organic/"/>
  </r>
  <r>
    <s v="TOM012"/>
    <x v="133"/>
    <x v="5"/>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adaptiveseeds.com/product/vegetables/tomatoes/tomato-orange-glad-organic/"/>
  </r>
  <r>
    <s v="PAR003"/>
    <x v="134"/>
    <x v="4"/>
    <n v="3120"/>
    <s v="Parsnip (4r) - Mature Root 1X | Field DS Fa"/>
    <x v="0"/>
    <x v="37"/>
    <x v="0"/>
    <x v="0"/>
    <x v="0"/>
    <x v="0"/>
    <s v="PAR"/>
    <x v="0"/>
    <x v="0"/>
    <d v="2025-06-14T00:00:00"/>
    <x v="0"/>
    <d v="2025-06-14T00:00:00"/>
    <d v="2025-10-02T00:00:00"/>
    <d v="2025-10-16T00:00:00"/>
    <x v="1"/>
    <x v="0"/>
    <x v="0"/>
    <x v="0"/>
    <n v="800"/>
    <n v="6.4516"/>
    <n v="110"/>
    <x v="0"/>
    <x v="0"/>
    <x v="0"/>
    <x v="1"/>
    <x v="0"/>
    <x v="0"/>
    <x v="0"/>
    <x v="0"/>
    <x v="0"/>
    <x v="1"/>
    <x v="9"/>
    <x v="0"/>
    <n v="233"/>
    <x v="8"/>
    <n v="1005"/>
    <n v="14"/>
    <x v="5"/>
    <x v="11"/>
    <x v="5"/>
    <x v="0"/>
    <x v="0"/>
    <x v="0"/>
    <x v="0"/>
    <s v="https://www.highmowingseeds.com/organic-non-gmo-panorama-f1-parsnip.html"/>
  </r>
  <r>
    <s v="SCA633"/>
    <x v="135"/>
    <x v="4"/>
    <n v="220"/>
    <s v="Scallion - Mature Stalk 6X | Field TP Sp"/>
    <x v="0"/>
    <x v="40"/>
    <x v="0"/>
    <x v="3"/>
    <x v="1"/>
    <x v="0"/>
    <s v="SCA"/>
    <x v="0"/>
    <x v="12"/>
    <d v="2025-04-13T00:00:00"/>
    <x v="0"/>
    <d v="2025-03-12T00:00:00"/>
    <d v="2025-06-25T00:00:00"/>
    <d v="2025-07-09T00:00:00"/>
    <x v="0"/>
    <x v="1"/>
    <x v="0"/>
    <x v="0"/>
    <n v="125"/>
    <n v="1.9531000000000001"/>
    <n v="92"/>
    <x v="0"/>
    <x v="0"/>
    <x v="0"/>
    <x v="1"/>
    <x v="1"/>
    <x v="0"/>
    <x v="0"/>
    <x v="0"/>
    <x v="12"/>
    <x v="1"/>
    <x v="10"/>
    <x v="0"/>
    <n v="282"/>
    <x v="0"/>
    <n v="906"/>
    <n v="14"/>
    <x v="14"/>
    <x v="5"/>
    <x v="1"/>
    <x v="0"/>
    <x v="0"/>
    <x v="0"/>
    <x v="0"/>
    <s v="https://www.highmowingseeds.com/organic-non-gmo-parade-bunching-onion.html"/>
  </r>
  <r>
    <s v="SCA634"/>
    <x v="135"/>
    <x v="4"/>
    <n v="440"/>
    <s v="Scallion - Mature Stalk 6X | Field TP Sp"/>
    <x v="0"/>
    <x v="40"/>
    <x v="0"/>
    <x v="2"/>
    <x v="1"/>
    <x v="0"/>
    <s v="SCA"/>
    <x v="0"/>
    <x v="9"/>
    <d v="2025-05-04T00:00:00"/>
    <x v="0"/>
    <d v="2025-06-25T00:00:00"/>
    <d v="2025-08-14T00:00:00"/>
    <d v="2025-08-28T00:00:00"/>
    <x v="0"/>
    <x v="2"/>
    <x v="0"/>
    <x v="0"/>
    <n v="250"/>
    <n v="3.9062000000000001"/>
    <n v="92"/>
    <x v="0"/>
    <x v="0"/>
    <x v="0"/>
    <x v="1"/>
    <x v="1"/>
    <x v="0"/>
    <x v="0"/>
    <x v="0"/>
    <x v="12"/>
    <x v="1"/>
    <x v="10"/>
    <x v="0"/>
    <n v="282"/>
    <x v="0"/>
    <n v="956"/>
    <n v="14"/>
    <x v="14"/>
    <x v="5"/>
    <x v="1"/>
    <x v="0"/>
    <x v="0"/>
    <x v="0"/>
    <x v="0"/>
    <s v="https://www.highmowingseeds.com/organic-non-gmo-parade-bunching-onion.html"/>
  </r>
  <r>
    <s v="SCA635"/>
    <x v="135"/>
    <x v="4"/>
    <n v="440"/>
    <s v="Scallion - Mature Stalk 6X | Field TP Sp"/>
    <x v="0"/>
    <x v="40"/>
    <x v="0"/>
    <x v="2"/>
    <x v="1"/>
    <x v="0"/>
    <s v="SCA"/>
    <x v="0"/>
    <x v="18"/>
    <d v="2025-05-25T00:00:00"/>
    <x v="0"/>
    <d v="2025-05-18T00:00:00"/>
    <d v="2025-07-15T00:00:00"/>
    <d v="2025-07-29T00:00:00"/>
    <x v="0"/>
    <x v="1"/>
    <x v="0"/>
    <x v="0"/>
    <n v="250"/>
    <n v="3.9062000000000001"/>
    <n v="92"/>
    <x v="0"/>
    <x v="0"/>
    <x v="0"/>
    <x v="1"/>
    <x v="1"/>
    <x v="0"/>
    <x v="0"/>
    <x v="0"/>
    <x v="12"/>
    <x v="1"/>
    <x v="10"/>
    <x v="0"/>
    <n v="282"/>
    <x v="0"/>
    <n v="926"/>
    <n v="14"/>
    <x v="14"/>
    <x v="5"/>
    <x v="1"/>
    <x v="0"/>
    <x v="0"/>
    <x v="0"/>
    <x v="0"/>
    <s v="https://www.highmowingseeds.com/organic-non-gmo-parade-bunching-onion.html"/>
  </r>
  <r>
    <s v="SCA637"/>
    <x v="135"/>
    <x v="4"/>
    <n v="440"/>
    <s v="Scallion - Mature Stalk 6X | Field TP Sp"/>
    <x v="0"/>
    <x v="40"/>
    <x v="0"/>
    <x v="2"/>
    <x v="1"/>
    <x v="0"/>
    <s v="SCA"/>
    <x v="0"/>
    <x v="11"/>
    <d v="2025-07-06T00:00:00"/>
    <x v="0"/>
    <d v="2025-06-30T00:00:00"/>
    <d v="2025-08-19T00:00:00"/>
    <d v="2025-09-02T00:00:00"/>
    <x v="0"/>
    <x v="2"/>
    <x v="0"/>
    <x v="0"/>
    <n v="250"/>
    <n v="3.9062000000000001"/>
    <n v="92"/>
    <x v="0"/>
    <x v="0"/>
    <x v="0"/>
    <x v="1"/>
    <x v="1"/>
    <x v="0"/>
    <x v="0"/>
    <x v="0"/>
    <x v="12"/>
    <x v="1"/>
    <x v="10"/>
    <x v="0"/>
    <n v="282"/>
    <x v="0"/>
    <n v="961"/>
    <n v="14"/>
    <x v="14"/>
    <x v="5"/>
    <x v="1"/>
    <x v="0"/>
    <x v="0"/>
    <x v="0"/>
    <x v="0"/>
    <s v="https://www.highmowingseeds.com/organic-non-gmo-parade-bunching-onion.html"/>
  </r>
  <r>
    <s v="RAD003"/>
    <x v="136"/>
    <x v="4"/>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highmowingseeds.com/organic-non-gmo-patricia-radish.html"/>
  </r>
  <r>
    <s v="RAD449"/>
    <x v="136"/>
    <x v="4"/>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highmowingseeds.com/organic-non-gmo-patricia-radish.html"/>
  </r>
  <r>
    <s v="RAD451"/>
    <x v="136"/>
    <x v="4"/>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highmowingseeds.com/organic-non-gmo-patricia-radish.html"/>
  </r>
  <r>
    <s v="RAD452"/>
    <x v="136"/>
    <x v="4"/>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highmowingseeds.com/organic-non-gmo-patricia-radish.html"/>
  </r>
  <r>
    <s v="RAD453"/>
    <x v="136"/>
    <x v="4"/>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highmowingseeds.com/organic-non-gmo-patricia-radish.html"/>
  </r>
  <r>
    <s v="RAD454"/>
    <x v="136"/>
    <x v="4"/>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highmowingseeds.com/organic-non-gmo-patricia-radish.html"/>
  </r>
  <r>
    <s v="RAD455"/>
    <x v="136"/>
    <x v="4"/>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highmowingseeds.com/organic-non-gmo-patricia-radish.html"/>
  </r>
  <r>
    <s v="RAD003"/>
    <x v="137"/>
    <x v="3"/>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johnnyseeds.com/vegetables/radishes/round-radishes/pearl-organic-f1-radish-seed-3456G.html"/>
  </r>
  <r>
    <s v="RAD449"/>
    <x v="137"/>
    <x v="3"/>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johnnyseeds.com/vegetables/radishes/round-radishes/pearl-organic-f1-radish-seed-3456G.html"/>
  </r>
  <r>
    <s v="RAD451"/>
    <x v="137"/>
    <x v="3"/>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johnnyseeds.com/vegetables/radishes/round-radishes/pearl-organic-f1-radish-seed-3456G.html"/>
  </r>
  <r>
    <s v="RAD452"/>
    <x v="137"/>
    <x v="3"/>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johnnyseeds.com/vegetables/radishes/round-radishes/pearl-organic-f1-radish-seed-3456G.html"/>
  </r>
  <r>
    <s v="RAD453"/>
    <x v="137"/>
    <x v="3"/>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johnnyseeds.com/vegetables/radishes/round-radishes/pearl-organic-f1-radish-seed-3456G.html"/>
  </r>
  <r>
    <s v="RAD454"/>
    <x v="137"/>
    <x v="3"/>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johnnyseeds.com/vegetables/radishes/round-radishes/pearl-organic-f1-radish-seed-3456G.html"/>
  </r>
  <r>
    <s v="RAD455"/>
    <x v="137"/>
    <x v="3"/>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johnnyseeds.com/vegetables/radishes/round-radishes/pearl-organic-f1-radish-seed-3456G.html"/>
  </r>
  <r>
    <s v="FEN002"/>
    <x v="138"/>
    <x v="1"/>
    <n v="130"/>
    <s v="Fennel - Mini Bulb 1X | Field TP Fa"/>
    <x v="0"/>
    <x v="43"/>
    <x v="0"/>
    <x v="0"/>
    <x v="0"/>
    <x v="0"/>
    <s v="FEN"/>
    <x v="0"/>
    <x v="23"/>
    <d v="2025-07-15T00:00:00"/>
    <x v="0"/>
    <d v="2025-07-15T00:00:00"/>
    <d v="2025-08-10T00:00:00"/>
    <d v="2025-08-24T00:00:00"/>
    <x v="1"/>
    <x v="2"/>
    <x v="0"/>
    <x v="0"/>
    <n v="666.66669999999999"/>
    <n v="16.666699999999999"/>
    <n v="56"/>
    <x v="0"/>
    <x v="0"/>
    <x v="0"/>
    <x v="1"/>
    <x v="1"/>
    <x v="0"/>
    <x v="0"/>
    <x v="0"/>
    <x v="1"/>
    <x v="1"/>
    <x v="10"/>
    <x v="0"/>
    <n v="130"/>
    <x v="8"/>
    <n v="952"/>
    <n v="14"/>
    <x v="18"/>
    <x v="12"/>
    <x v="1"/>
    <x v="0"/>
    <x v="0"/>
    <x v="0"/>
    <x v="11"/>
    <s v="https://www.wildgardenseed.com/product_info.php?cPath=37&amp;products_id=68"/>
  </r>
  <r>
    <s v="FEN003"/>
    <x v="138"/>
    <x v="1"/>
    <n v="130"/>
    <s v="Fennel - Mini Bulb 1X | Field TP Sp"/>
    <x v="0"/>
    <x v="43"/>
    <x v="0"/>
    <x v="0"/>
    <x v="0"/>
    <x v="0"/>
    <s v="FEN"/>
    <x v="0"/>
    <x v="3"/>
    <d v="2025-04-06T00:00:00"/>
    <x v="0"/>
    <d v="2025-05-04T00:00:00"/>
    <d v="2025-06-06T00:00:00"/>
    <d v="2025-06-20T00:00:00"/>
    <x v="0"/>
    <x v="1"/>
    <x v="0"/>
    <x v="0"/>
    <n v="666.66669999999999"/>
    <n v="10.929"/>
    <n v="77"/>
    <x v="0"/>
    <x v="0"/>
    <x v="0"/>
    <x v="1"/>
    <x v="1"/>
    <x v="0"/>
    <x v="0"/>
    <x v="0"/>
    <x v="1"/>
    <x v="1"/>
    <x v="10"/>
    <x v="0"/>
    <n v="131"/>
    <x v="0"/>
    <n v="887"/>
    <n v="14"/>
    <x v="18"/>
    <x v="12"/>
    <x v="1"/>
    <x v="0"/>
    <x v="0"/>
    <x v="0"/>
    <x v="11"/>
    <s v="https://www.wildgardenseed.com/product_info.php?cPath=37&amp;products_id=68"/>
  </r>
  <r>
    <s v="CAB003"/>
    <x v="139"/>
    <x v="7"/>
    <n v="88.000000000000014"/>
    <s v="Cabbage (Fast Early 9&quot;) - Large Head 1X | Field TP Sp"/>
    <x v="0"/>
    <x v="4"/>
    <x v="0"/>
    <x v="1"/>
    <x v="0"/>
    <x v="0"/>
    <s v="CAB"/>
    <x v="0"/>
    <x v="21"/>
    <d v="2025-04-01T00:00:00"/>
    <x v="0"/>
    <d v="2025-05-05T00:00:00"/>
    <d v="2025-07-11T00:00:00"/>
    <d v="2025-07-18T00:00:00"/>
    <x v="0"/>
    <x v="1"/>
    <x v="0"/>
    <x v="0"/>
    <n v="264"/>
    <n v="3.4285999999999999"/>
    <n v="105"/>
    <x v="0"/>
    <x v="0"/>
    <x v="0"/>
    <x v="4"/>
    <x v="1"/>
    <x v="0"/>
    <x v="0"/>
    <x v="0"/>
    <x v="4"/>
    <x v="3"/>
    <x v="0"/>
    <x v="0"/>
    <n v="50"/>
    <x v="0"/>
    <n v="922"/>
    <n v="7"/>
    <x v="4"/>
    <x v="4"/>
    <x v="0"/>
    <x v="1"/>
    <x v="0"/>
    <x v="0"/>
    <x v="0"/>
    <s v="https://www.osborneseed.com/products/piccolima-untreated-cabbage-seeds"/>
  </r>
  <r>
    <s v="TOM009"/>
    <x v="140"/>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artisan-pink-jazz/"/>
  </r>
  <r>
    <s v="TOM005"/>
    <x v="141"/>
    <x v="8"/>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12"/>
    <s v="https://uprisingorganics.com/products/tomato-pinky?_pos=1&amp;_sid=ad1b65c97&amp;_ss=r"/>
  </r>
  <r>
    <s v="CIL002"/>
    <x v="142"/>
    <x v="8"/>
    <n v="103.12500000000001"/>
    <s v="Cilantro - Loose Leaf 3X | Field TP Su"/>
    <x v="0"/>
    <x v="26"/>
    <x v="0"/>
    <x v="3"/>
    <x v="1"/>
    <x v="0"/>
    <s v="CIL"/>
    <x v="0"/>
    <x v="21"/>
    <d v="2025-04-11T00:00:00"/>
    <x v="0"/>
    <d v="2025-04-20T00:00:00"/>
    <d v="2025-06-16T00:00:00"/>
    <d v="2025-06-30T00:00:00"/>
    <x v="0"/>
    <x v="1"/>
    <x v="0"/>
    <x v="0"/>
    <n v="300"/>
    <n v="4.6875"/>
    <n v="80"/>
    <x v="0"/>
    <x v="0"/>
    <x v="0"/>
    <x v="1"/>
    <x v="1"/>
    <x v="0"/>
    <x v="0"/>
    <x v="0"/>
    <x v="1"/>
    <x v="5"/>
    <x v="10"/>
    <x v="0"/>
    <n v="88"/>
    <x v="1"/>
    <n v="897"/>
    <n v="14"/>
    <x v="3"/>
    <x v="1"/>
    <x v="1"/>
    <x v="0"/>
    <x v="0"/>
    <x v="0"/>
    <x v="0"/>
    <s v="https://uprisingorganics.com/collections/herbs/products/cilantro-pokey-joe?_pos=1&amp;_sid=1dfa0d036&amp;_ss=r"/>
  </r>
  <r>
    <s v="CIL003"/>
    <x v="142"/>
    <x v="8"/>
    <n v="103.12500000000001"/>
    <s v="Cilantro - Loose Leaf 3X | Field TP Su"/>
    <x v="0"/>
    <x v="26"/>
    <x v="0"/>
    <x v="3"/>
    <x v="1"/>
    <x v="0"/>
    <s v="CIL"/>
    <x v="0"/>
    <x v="21"/>
    <d v="2025-04-12T00:00:00"/>
    <x v="0"/>
    <d v="2025-04-20T00:00:00"/>
    <d v="2025-06-23T00:00:00"/>
    <d v="2025-07-07T00:00:00"/>
    <x v="0"/>
    <x v="1"/>
    <x v="0"/>
    <x v="0"/>
    <n v="300"/>
    <n v="4.6875"/>
    <n v="87"/>
    <x v="0"/>
    <x v="4"/>
    <x v="0"/>
    <x v="1"/>
    <x v="1"/>
    <x v="0"/>
    <x v="0"/>
    <x v="0"/>
    <x v="1"/>
    <x v="5"/>
    <x v="10"/>
    <x v="0"/>
    <n v="88"/>
    <x v="1"/>
    <n v="904"/>
    <n v="14"/>
    <x v="3"/>
    <x v="1"/>
    <x v="1"/>
    <x v="0"/>
    <x v="0"/>
    <x v="0"/>
    <x v="0"/>
    <s v="https://uprisingorganics.com/collections/herbs/products/cilantro-pokey-joe?_pos=1&amp;_sid=1dfa0d036&amp;_ss=r"/>
  </r>
  <r>
    <s v="CIL004"/>
    <x v="142"/>
    <x v="8"/>
    <n v="103.12500000000001"/>
    <s v="Cilantro - Loose Leaf 3X | Field TP Su"/>
    <x v="0"/>
    <x v="26"/>
    <x v="0"/>
    <x v="3"/>
    <x v="1"/>
    <x v="0"/>
    <s v="CIL"/>
    <x v="0"/>
    <x v="21"/>
    <d v="2025-04-25T00:00:00"/>
    <x v="0"/>
    <d v="2025-04-20T00:00:00"/>
    <d v="2025-06-23T00:00:00"/>
    <d v="2025-07-07T00:00:00"/>
    <x v="0"/>
    <x v="1"/>
    <x v="0"/>
    <x v="0"/>
    <n v="300"/>
    <n v="4.6875"/>
    <n v="87"/>
    <x v="0"/>
    <x v="4"/>
    <x v="0"/>
    <x v="1"/>
    <x v="1"/>
    <x v="0"/>
    <x v="0"/>
    <x v="0"/>
    <x v="1"/>
    <x v="5"/>
    <x v="10"/>
    <x v="0"/>
    <n v="88"/>
    <x v="1"/>
    <n v="904"/>
    <n v="14"/>
    <x v="3"/>
    <x v="1"/>
    <x v="1"/>
    <x v="0"/>
    <x v="0"/>
    <x v="0"/>
    <x v="0"/>
    <s v="https://uprisingorganics.com/collections/herbs/products/cilantro-pokey-joe?_pos=1&amp;_sid=1dfa0d036&amp;_ss=r"/>
  </r>
  <r>
    <s v="CIL005"/>
    <x v="142"/>
    <x v="8"/>
    <n v="103.12500000000001"/>
    <s v="Cilantro - Loose Leaf 3X | Field TP Su"/>
    <x v="0"/>
    <x v="26"/>
    <x v="0"/>
    <x v="3"/>
    <x v="1"/>
    <x v="0"/>
    <s v="CIL"/>
    <x v="0"/>
    <x v="2"/>
    <d v="2025-05-09T00:00:00"/>
    <x v="0"/>
    <d v="2025-05-18T00:00:00"/>
    <d v="2025-07-12T00:00:00"/>
    <d v="2025-07-26T00:00:00"/>
    <x v="0"/>
    <x v="1"/>
    <x v="0"/>
    <x v="0"/>
    <n v="300"/>
    <n v="4.6875"/>
    <n v="87"/>
    <x v="0"/>
    <x v="4"/>
    <x v="0"/>
    <x v="1"/>
    <x v="1"/>
    <x v="0"/>
    <x v="0"/>
    <x v="0"/>
    <x v="1"/>
    <x v="5"/>
    <x v="10"/>
    <x v="0"/>
    <n v="88"/>
    <x v="1"/>
    <n v="923"/>
    <n v="14"/>
    <x v="3"/>
    <x v="1"/>
    <x v="1"/>
    <x v="0"/>
    <x v="0"/>
    <x v="0"/>
    <x v="0"/>
    <s v="https://uprisingorganics.com/collections/herbs/products/cilantro-pokey-joe?_pos=1&amp;_sid=1dfa0d036&amp;_ss=r"/>
  </r>
  <r>
    <s v="CIL006"/>
    <x v="142"/>
    <x v="8"/>
    <n v="103.12500000000001"/>
    <s v="Cilantro - Loose Leaf 3X | Field TP Su"/>
    <x v="0"/>
    <x v="26"/>
    <x v="0"/>
    <x v="3"/>
    <x v="1"/>
    <x v="0"/>
    <s v="CIL"/>
    <x v="0"/>
    <x v="13"/>
    <d v="2025-05-23T00:00:00"/>
    <x v="0"/>
    <d v="2025-05-18T00:00:00"/>
    <d v="2025-07-09T00:00:00"/>
    <d v="2025-07-23T00:00:00"/>
    <x v="0"/>
    <x v="1"/>
    <x v="0"/>
    <x v="0"/>
    <n v="300"/>
    <n v="4.6875"/>
    <n v="80"/>
    <x v="0"/>
    <x v="0"/>
    <x v="0"/>
    <x v="1"/>
    <x v="1"/>
    <x v="0"/>
    <x v="0"/>
    <x v="0"/>
    <x v="1"/>
    <x v="5"/>
    <x v="10"/>
    <x v="0"/>
    <n v="88"/>
    <x v="1"/>
    <n v="920"/>
    <n v="14"/>
    <x v="3"/>
    <x v="1"/>
    <x v="1"/>
    <x v="0"/>
    <x v="0"/>
    <x v="0"/>
    <x v="0"/>
    <s v="https://uprisingorganics.com/collections/herbs/products/cilantro-pokey-joe?_pos=1&amp;_sid=1dfa0d036&amp;_ss=r"/>
  </r>
  <r>
    <s v="CIL007"/>
    <x v="142"/>
    <x v="8"/>
    <n v="103.12500000000001"/>
    <s v="Cilantro - Loose Leaf 3X | Field TP Su"/>
    <x v="0"/>
    <x v="26"/>
    <x v="0"/>
    <x v="3"/>
    <x v="1"/>
    <x v="0"/>
    <s v="CIL"/>
    <x v="0"/>
    <x v="9"/>
    <d v="2025-06-06T00:00:00"/>
    <x v="0"/>
    <d v="2025-06-13T00:00:00"/>
    <d v="2025-08-02T00:00:00"/>
    <d v="2025-08-16T00:00:00"/>
    <x v="0"/>
    <x v="2"/>
    <x v="0"/>
    <x v="0"/>
    <n v="300"/>
    <n v="4.6875"/>
    <n v="80"/>
    <x v="0"/>
    <x v="0"/>
    <x v="0"/>
    <x v="1"/>
    <x v="1"/>
    <x v="0"/>
    <x v="0"/>
    <x v="0"/>
    <x v="1"/>
    <x v="5"/>
    <x v="10"/>
    <x v="0"/>
    <n v="88"/>
    <x v="1"/>
    <n v="944"/>
    <n v="14"/>
    <x v="3"/>
    <x v="1"/>
    <x v="1"/>
    <x v="0"/>
    <x v="0"/>
    <x v="0"/>
    <x v="0"/>
    <s v="https://uprisingorganics.com/collections/herbs/products/cilantro-pokey-joe?_pos=1&amp;_sid=1dfa0d036&amp;_ss=r"/>
  </r>
  <r>
    <s v="CIL010"/>
    <x v="142"/>
    <x v="8"/>
    <n v="103.12500000000001"/>
    <s v="Cilantro - Loose Leaf 3X | Field TP Su"/>
    <x v="0"/>
    <x v="26"/>
    <x v="0"/>
    <x v="3"/>
    <x v="1"/>
    <x v="0"/>
    <s v="CIL"/>
    <x v="0"/>
    <x v="14"/>
    <d v="2025-07-18T00:00:00"/>
    <x v="0"/>
    <d v="2025-07-18T00:00:00"/>
    <d v="2025-09-06T00:00:00"/>
    <d v="2025-09-20T00:00:00"/>
    <x v="1"/>
    <x v="2"/>
    <x v="0"/>
    <x v="0"/>
    <n v="300"/>
    <n v="4.6875"/>
    <n v="80"/>
    <x v="0"/>
    <x v="0"/>
    <x v="0"/>
    <x v="1"/>
    <x v="1"/>
    <x v="0"/>
    <x v="0"/>
    <x v="0"/>
    <x v="1"/>
    <x v="5"/>
    <x v="10"/>
    <x v="0"/>
    <n v="88"/>
    <x v="1"/>
    <n v="979"/>
    <n v="14"/>
    <x v="3"/>
    <x v="1"/>
    <x v="1"/>
    <x v="0"/>
    <x v="0"/>
    <x v="0"/>
    <x v="0"/>
    <s v="https://uprisingorganics.com/collections/herbs/products/cilantro-pokey-joe?_pos=1&amp;_sid=1dfa0d036&amp;_ss=r"/>
  </r>
  <r>
    <s v="CIL011"/>
    <x v="142"/>
    <x v="8"/>
    <n v="103.12500000000001"/>
    <s v="Cilantro - Loose Leaf 3X | Field TP Su"/>
    <x v="0"/>
    <x v="26"/>
    <x v="0"/>
    <x v="3"/>
    <x v="1"/>
    <x v="0"/>
    <s v="CIL"/>
    <x v="0"/>
    <x v="15"/>
    <d v="2025-08-01T00:00:00"/>
    <x v="0"/>
    <d v="2025-08-01T00:00:00"/>
    <d v="2025-09-20T00:00:00"/>
    <d v="2025-10-04T00:00:00"/>
    <x v="1"/>
    <x v="2"/>
    <x v="0"/>
    <x v="0"/>
    <n v="300"/>
    <n v="4.6875"/>
    <n v="80"/>
    <x v="0"/>
    <x v="0"/>
    <x v="0"/>
    <x v="1"/>
    <x v="1"/>
    <x v="0"/>
    <x v="0"/>
    <x v="0"/>
    <x v="1"/>
    <x v="5"/>
    <x v="10"/>
    <x v="0"/>
    <n v="88"/>
    <x v="1"/>
    <n v="993"/>
    <n v="14"/>
    <x v="3"/>
    <x v="1"/>
    <x v="1"/>
    <x v="0"/>
    <x v="0"/>
    <x v="0"/>
    <x v="0"/>
    <s v="https://uprisingorganics.com/collections/herbs/products/cilantro-pokey-joe?_pos=1&amp;_sid=1dfa0d036&amp;_ss=r"/>
  </r>
  <r>
    <s v="CIL012"/>
    <x v="142"/>
    <x v="8"/>
    <n v="103.12500000000001"/>
    <s v="Cilantro - Loose Leaf 3X | Field TP Su"/>
    <x v="0"/>
    <x v="26"/>
    <x v="0"/>
    <x v="3"/>
    <x v="1"/>
    <x v="0"/>
    <s v="CIL"/>
    <x v="0"/>
    <x v="5"/>
    <d v="2025-08-15T00:00:00"/>
    <x v="0"/>
    <d v="2025-08-15T00:00:00"/>
    <d v="2025-10-04T00:00:00"/>
    <d v="2025-10-18T00:00:00"/>
    <x v="1"/>
    <x v="2"/>
    <x v="0"/>
    <x v="0"/>
    <n v="300"/>
    <n v="4.6875"/>
    <n v="80"/>
    <x v="0"/>
    <x v="0"/>
    <x v="0"/>
    <x v="1"/>
    <x v="1"/>
    <x v="0"/>
    <x v="0"/>
    <x v="0"/>
    <x v="1"/>
    <x v="5"/>
    <x v="10"/>
    <x v="0"/>
    <n v="88"/>
    <x v="1"/>
    <n v="1007"/>
    <n v="14"/>
    <x v="3"/>
    <x v="1"/>
    <x v="1"/>
    <x v="0"/>
    <x v="0"/>
    <x v="0"/>
    <x v="0"/>
    <s v="https://uprisingorganics.com/collections/herbs/products/cilantro-pokey-joe?_pos=1&amp;_sid=1dfa0d036&amp;_ss=r"/>
  </r>
  <r>
    <s v="TOM002"/>
    <x v="143"/>
    <x v="7"/>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osborneseed.com/catalog/item-content/78810/pork-chop/pr_78810"/>
  </r>
  <r>
    <s v="TOM003"/>
    <x v="143"/>
    <x v="7"/>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osborneseed.com/catalog/item-content/78810/pork-chop/pr_78810"/>
  </r>
  <r>
    <s v="TOM009"/>
    <x v="143"/>
    <x v="7"/>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osborneseed.com/catalog/item-content/78810/pork-chop/pr_78810"/>
  </r>
  <r>
    <s v="BAS001"/>
    <x v="144"/>
    <x v="4"/>
    <n v="16.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www.highmowingseeds.com/organic-non-gmo-prospera-f1-basil.html"/>
  </r>
  <r>
    <s v="BAS002"/>
    <x v="144"/>
    <x v="4"/>
    <n v="6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www.highmowingseeds.com/organic-non-gmo-prospera-f1-basil.html"/>
  </r>
  <r>
    <s v="BAS001"/>
    <x v="145"/>
    <x v="3"/>
    <n v="8.1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www.johnnyseeds.com/herbs/basil/asian-basil/thai-thai-prospera-active-dmr-organic-basil-seed-4968G.html"/>
  </r>
  <r>
    <s v="BAS002"/>
    <x v="145"/>
    <x v="3"/>
    <n v="32.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www.johnnyseeds.com/herbs/basil/asian-basil/thai-thai-prospera-active-dmr-organic-basil-seed-4968G.html"/>
  </r>
  <r>
    <s v="POT001"/>
    <x v="146"/>
    <x v="3"/>
    <n v="86.666666666666657"/>
    <s v="Potato (Early) - Mature Root 1X | Field DS "/>
    <x v="0"/>
    <x v="36"/>
    <x v="0"/>
    <x v="4"/>
    <x v="2"/>
    <x v="0"/>
    <s v="POT"/>
    <x v="0"/>
    <x v="0"/>
    <d v="2025-04-01T00:00:00"/>
    <x v="0"/>
    <d v="2025-04-18T00:00:00"/>
    <d v="2025-06-17T00:00:00"/>
    <d v="2025-06-24T00:00:00"/>
    <x v="0"/>
    <x v="0"/>
    <x v="0"/>
    <x v="0"/>
    <n v="560"/>
    <n v="8.3582000000000001"/>
    <n v="60"/>
    <x v="0"/>
    <x v="0"/>
    <x v="0"/>
    <x v="4"/>
    <x v="0"/>
    <x v="0"/>
    <x v="0"/>
    <x v="0"/>
    <x v="0"/>
    <x v="0"/>
    <x v="11"/>
    <x v="0"/>
    <n v="246"/>
    <x v="3"/>
    <n v="898"/>
    <n v="7"/>
    <x v="5"/>
    <x v="2"/>
    <x v="1"/>
    <x v="0"/>
    <x v="0"/>
    <x v="0"/>
    <x v="0"/>
    <s v="https://www.johnnyseeds.com/vegetables/potatoes/purple-viking-organic-seed-potatoes-3424G.html"/>
  </r>
  <r>
    <s v="TOM001"/>
    <x v="147"/>
    <x v="8"/>
    <n v="10.833333333333332"/>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uprisingorganics.com/collections/vegetables/products/tomatillo-queen-of-malinalco?_pos=10&amp;_sid=8b390d579&amp;_ss=r"/>
  </r>
  <r>
    <s v="TOM001"/>
    <x v="147"/>
    <x v="8"/>
    <n v="10.833333333333332"/>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uprisingorganics.com/collections/vegetables/products/tomatillo-queen-of-malinalco?_pos=2&amp;_sid=15ce03514&amp;_ss=r"/>
  </r>
  <r>
    <s v="BEA001"/>
    <x v="148"/>
    <x v="4"/>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www.highmowingseeds.com/organic-non-gmo-rattlesnake-bean.html"/>
  </r>
  <r>
    <s v="BEA002"/>
    <x v="148"/>
    <x v="4"/>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www.highmowingseeds.com/organic-non-gmo-rattlesnake-bean.html"/>
  </r>
  <r>
    <s v="BOK001"/>
    <x v="149"/>
    <x v="3"/>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1"/>
    <x v="0"/>
    <x v="0"/>
    <x v="0"/>
    <s v="https://www.johnnyseeds.com/vegetables/greens/asian-greens/red-cloud-f1-asian-green-seed-3341.html"/>
  </r>
  <r>
    <s v="TOM006"/>
    <x v="150"/>
    <x v="17"/>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1"/>
    <x v="0"/>
    <x v="0"/>
    <x v="0"/>
    <s v="https://www.seedway.com/product/red-deuce-tomato-not-treated/"/>
  </r>
  <r>
    <s v="TOM010"/>
    <x v="150"/>
    <x v="17"/>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1"/>
    <x v="0"/>
    <x v="0"/>
    <x v="0"/>
    <s v="https://www.seedway.com/product/red-deuce-tomato-not-treated/"/>
  </r>
  <r>
    <s v="SQU004"/>
    <x v="151"/>
    <x v="4"/>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0"/>
    <x v="0"/>
    <x v="0"/>
    <x v="13"/>
    <s v="https://www.highmowingseeds.com/organic-non-gmo-red-kuri-winter-squash.html"/>
  </r>
  <r>
    <s v="POT001"/>
    <x v="152"/>
    <x v="3"/>
    <n v="86.666666666666657"/>
    <s v="Potato (Early) - Mature Root 1X | Field DS "/>
    <x v="0"/>
    <x v="36"/>
    <x v="0"/>
    <x v="4"/>
    <x v="2"/>
    <x v="0"/>
    <s v="POT"/>
    <x v="0"/>
    <x v="0"/>
    <d v="2025-04-01T00:00:00"/>
    <x v="0"/>
    <d v="2025-04-18T00:00:00"/>
    <d v="2025-06-17T00:00:00"/>
    <d v="2025-06-24T00:00:00"/>
    <x v="0"/>
    <x v="0"/>
    <x v="0"/>
    <x v="0"/>
    <n v="560"/>
    <n v="8.3582000000000001"/>
    <n v="60"/>
    <x v="0"/>
    <x v="0"/>
    <x v="0"/>
    <x v="4"/>
    <x v="0"/>
    <x v="0"/>
    <x v="0"/>
    <x v="0"/>
    <x v="0"/>
    <x v="0"/>
    <x v="11"/>
    <x v="0"/>
    <n v="246"/>
    <x v="3"/>
    <n v="898"/>
    <n v="7"/>
    <x v="5"/>
    <x v="2"/>
    <x v="1"/>
    <x v="0"/>
    <x v="0"/>
    <x v="0"/>
    <x v="0"/>
    <s v="https://www.johnnyseeds.com/vegetables/potatoes/dark-red-norland-organic-seed-potatoes-552G.html"/>
  </r>
  <r>
    <s v="TOM008"/>
    <x v="153"/>
    <x v="18"/>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harrisseeds.com/products/12494-tomato-red-racer-f1?variant=39982906638408"/>
  </r>
  <r>
    <s v="TOM012"/>
    <x v="153"/>
    <x v="18"/>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harrisseeds.com/products/12494-tomato-red-racer-f1?variant=39982906638408"/>
  </r>
  <r>
    <s v="KAL003"/>
    <x v="154"/>
    <x v="4"/>
    <n v="97.777777777777771"/>
    <s v="Kale - Mature Leaf 2X | Field TP Sp"/>
    <x v="0"/>
    <x v="25"/>
    <x v="0"/>
    <x v="4"/>
    <x v="2"/>
    <x v="0"/>
    <s v="KAL"/>
    <x v="0"/>
    <x v="1"/>
    <d v="2025-04-26T00:00:00"/>
    <x v="0"/>
    <d v="2025-04-28T00:00:00"/>
    <d v="2025-06-30T00:00:00"/>
    <d v="2025-08-25T00:00:00"/>
    <x v="0"/>
    <x v="1"/>
    <x v="0"/>
    <x v="0"/>
    <n v="1600"/>
    <n v="14.414400000000001"/>
    <n v="90"/>
    <x v="0"/>
    <x v="0"/>
    <x v="0"/>
    <x v="8"/>
    <x v="1"/>
    <x v="0"/>
    <x v="0"/>
    <x v="0"/>
    <x v="4"/>
    <x v="0"/>
    <x v="11"/>
    <x v="0"/>
    <n v="155"/>
    <x v="0"/>
    <n v="911"/>
    <n v="56"/>
    <x v="4"/>
    <x v="2"/>
    <x v="2"/>
    <x v="0"/>
    <x v="0"/>
    <x v="0"/>
    <x v="0"/>
    <s v="https://www.highmowingseeds.com/organic-non-gmo-red-russian-kale.html"/>
  </r>
  <r>
    <s v="ONI003"/>
    <x v="155"/>
    <x v="3"/>
    <n v="330"/>
    <s v="Onion - Mature Bulb 6X | Field TP SpSu"/>
    <x v="0"/>
    <x v="31"/>
    <x v="0"/>
    <x v="0"/>
    <x v="0"/>
    <x v="0"/>
    <s v="ONI"/>
    <x v="0"/>
    <x v="3"/>
    <d v="2025-04-13T00:00:00"/>
    <x v="0"/>
    <d v="2025-05-05T00:00:00"/>
    <d v="2025-08-03T00:00:00"/>
    <d v="2025-08-17T00:00:00"/>
    <x v="0"/>
    <x v="1"/>
    <x v="0"/>
    <x v="0"/>
    <n v="618.75"/>
    <n v="5.7827000000000002"/>
    <n v="135"/>
    <x v="0"/>
    <x v="0"/>
    <x v="0"/>
    <x v="1"/>
    <x v="1"/>
    <x v="0"/>
    <x v="0"/>
    <x v="0"/>
    <x v="12"/>
    <x v="3"/>
    <x v="2"/>
    <x v="0"/>
    <n v="223"/>
    <x v="2"/>
    <n v="945"/>
    <n v="14"/>
    <x v="14"/>
    <x v="4"/>
    <x v="0"/>
    <x v="1"/>
    <x v="0"/>
    <x v="0"/>
    <x v="0"/>
    <s v="https://www.johnnyseeds.com/vegetables/onions/full-size-onions/red-spring-f1-onion-seed-4815.html"/>
  </r>
  <r>
    <s v="ONI004"/>
    <x v="155"/>
    <x v="3"/>
    <n v="550"/>
    <s v="Onion (Salad Early) - Young Bulb 10X | Field TP Sp"/>
    <x v="0"/>
    <x v="31"/>
    <x v="0"/>
    <x v="0"/>
    <x v="0"/>
    <x v="0"/>
    <s v="ONI"/>
    <x v="0"/>
    <x v="3"/>
    <d v="2025-03-25T00:00:00"/>
    <x v="0"/>
    <d v="2025-04-20T00:00:00"/>
    <d v="2025-06-19T00:00:00"/>
    <d v="2025-08-14T00:00:00"/>
    <x v="0"/>
    <x v="1"/>
    <x v="0"/>
    <x v="0"/>
    <n v="600"/>
    <n v="5.0846999999999998"/>
    <n v="90"/>
    <x v="0"/>
    <x v="0"/>
    <x v="0"/>
    <x v="8"/>
    <x v="1"/>
    <x v="0"/>
    <x v="0"/>
    <x v="0"/>
    <x v="2"/>
    <x v="3"/>
    <x v="2"/>
    <x v="0"/>
    <n v="224"/>
    <x v="0"/>
    <n v="900"/>
    <n v="56"/>
    <x v="14"/>
    <x v="6"/>
    <x v="1"/>
    <x v="1"/>
    <x v="0"/>
    <x v="0"/>
    <x v="0"/>
    <s v="https://www.johnnyseeds.com/vegetables/onions/full-size-onions/red-spring-f1-onion-seed-4815.html"/>
  </r>
  <r>
    <s v="ONI005"/>
    <x v="155"/>
    <x v="3"/>
    <n v="550"/>
    <s v="Onion (Salad Late) - Young Bulb 10X | Field TP Sp"/>
    <x v="0"/>
    <x v="31"/>
    <x v="0"/>
    <x v="0"/>
    <x v="0"/>
    <x v="0"/>
    <s v="ONI"/>
    <x v="0"/>
    <x v="21"/>
    <d v="2025-04-19T00:00:00"/>
    <x v="0"/>
    <d v="2025-04-22T00:00:00"/>
    <d v="2025-06-26T00:00:00"/>
    <d v="2025-08-21T00:00:00"/>
    <x v="0"/>
    <x v="1"/>
    <x v="0"/>
    <x v="0"/>
    <n v="600"/>
    <n v="5.0846999999999998"/>
    <n v="90"/>
    <x v="0"/>
    <x v="0"/>
    <x v="0"/>
    <x v="8"/>
    <x v="1"/>
    <x v="0"/>
    <x v="0"/>
    <x v="0"/>
    <x v="2"/>
    <x v="3"/>
    <x v="2"/>
    <x v="0"/>
    <n v="225"/>
    <x v="0"/>
    <n v="907"/>
    <n v="56"/>
    <x v="14"/>
    <x v="6"/>
    <x v="1"/>
    <x v="1"/>
    <x v="0"/>
    <x v="0"/>
    <x v="0"/>
    <s v="https://www.johnnyseeds.com/vegetables/onions/full-size-onions/red-spring-f1-onion-seed-4815.html"/>
  </r>
  <r>
    <s v="LET012"/>
    <x v="156"/>
    <x v="3"/>
    <n v="112.66666666666666"/>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salanova-lettuce/salanova-red-sweet-crisp-pelleted-lettuce-seed-3055JP.html"/>
  </r>
  <r>
    <s v="LET013"/>
    <x v="156"/>
    <x v="3"/>
    <n v="56.333333333333329"/>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salanova-lettuce/salanova-red-sweet-crisp-pelleted-lettuce-seed-3055JP.html"/>
  </r>
  <r>
    <s v="LET018"/>
    <x v="156"/>
    <x v="3"/>
    <n v="56.333333333333329"/>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salanova-lettuce/salanova-red-sweet-crisp-pelleted-lettuce-seed-3055JP.html"/>
  </r>
  <r>
    <s v="LET019"/>
    <x v="156"/>
    <x v="3"/>
    <n v="56.333333333333329"/>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salanova-lettuce/salanova-red-sweet-crisp-pelleted-lettuce-seed-3055JP.html"/>
  </r>
  <r>
    <s v="LET020"/>
    <x v="156"/>
    <x v="3"/>
    <n v="56.333333333333329"/>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salanova-lettuce/salanova-red-sweet-crisp-pelleted-lettuce-seed-3055JP.html"/>
  </r>
  <r>
    <s v="LET021"/>
    <x v="156"/>
    <x v="3"/>
    <n v="56.333333333333329"/>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salanova-lettuce/salanova-red-sweet-crisp-pelleted-lettuce-seed-3055JP.html"/>
  </r>
  <r>
    <s v="LET022"/>
    <x v="156"/>
    <x v="3"/>
    <n v="56.333333333333329"/>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salanova-lettuce/salanova-red-sweet-crisp-pelleted-lettuce-seed-3055JP.html"/>
  </r>
  <r>
    <s v="LET023"/>
    <x v="156"/>
    <x v="3"/>
    <n v="56.333333333333329"/>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salanova-lettuce/salanova-red-sweet-crisp-pelleted-lettuce-seed-3055JP.html"/>
  </r>
  <r>
    <s v="SOR485"/>
    <x v="157"/>
    <x v="4"/>
    <n v="58.5"/>
    <s v="Sorrel - Mature Leaf 3X | Field TP "/>
    <x v="5"/>
    <x v="39"/>
    <x v="0"/>
    <x v="1"/>
    <x v="1"/>
    <x v="0"/>
    <s v="SOR"/>
    <x v="0"/>
    <x v="29"/>
    <d v="2024-04-29T00:00:00"/>
    <x v="0"/>
    <d v="2024-04-26T00:00:00"/>
    <d v="2024-06-01T00:00:00"/>
    <d v="2025-01-31T00:00:00"/>
    <x v="0"/>
    <x v="1"/>
    <x v="0"/>
    <x v="0"/>
    <n v="822.85709999999995"/>
    <n v="3.0933999999999999"/>
    <n v="70"/>
    <x v="0"/>
    <x v="0"/>
    <x v="0"/>
    <x v="25"/>
    <x v="1"/>
    <x v="0"/>
    <x v="0"/>
    <x v="0"/>
    <x v="2"/>
    <x v="3"/>
    <x v="2"/>
    <x v="0"/>
    <n v="291"/>
    <x v="3"/>
    <n v="517"/>
    <n v="224"/>
    <x v="1"/>
    <x v="5"/>
    <x v="0"/>
    <x v="0"/>
    <x v="0"/>
    <x v="0"/>
    <x v="0"/>
    <s v="https://www.highmowingseeds.com/organic-non-gmo-red-veined-sorrel.html"/>
  </r>
  <r>
    <s v="RAD002"/>
    <x v="158"/>
    <x v="8"/>
    <n v="156"/>
    <s v="Radicchio (90 Day) - Forced Head 1X | Field TP Su"/>
    <x v="0"/>
    <x v="23"/>
    <x v="0"/>
    <x v="6"/>
    <x v="3"/>
    <x v="0"/>
    <s v="RAD"/>
    <x v="0"/>
    <x v="17"/>
    <d v="2025-06-30T00:00:00"/>
    <x v="0"/>
    <d v="2025-06-30T00:00:00"/>
    <d v="2025-09-28T00:00:00"/>
    <d v="2025-10-12T00:00:00"/>
    <x v="1"/>
    <x v="2"/>
    <x v="0"/>
    <x v="0"/>
    <n v="1440"/>
    <n v="13.8462"/>
    <n v="120"/>
    <x v="0"/>
    <x v="0"/>
    <x v="0"/>
    <x v="1"/>
    <x v="1"/>
    <x v="0"/>
    <x v="0"/>
    <x v="0"/>
    <x v="1"/>
    <x v="3"/>
    <x v="2"/>
    <x v="0"/>
    <n v="251"/>
    <x v="1"/>
    <n v="1001"/>
    <n v="14"/>
    <x v="1"/>
    <x v="5"/>
    <x v="1"/>
    <x v="0"/>
    <x v="0"/>
    <x v="0"/>
    <x v="0"/>
    <s v="https://uprisingorganics.com/collections/vegetables/products/radicchio-treviso-precoce-4-10?_pos=1&amp;_sid=a46b80468&amp;_ss=r"/>
  </r>
  <r>
    <s v="SWI002"/>
    <x v="159"/>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ruby-rhubarb-red-chard.html"/>
  </r>
  <r>
    <s v="LET030"/>
    <x v="12"/>
    <x v="4"/>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highmowingseeds.com/organic-non-gmo-rouge-d-hiver-lettuce.html"/>
  </r>
  <r>
    <s v="SWI002"/>
    <x v="160"/>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rhubarb-supreme-chard.html"/>
  </r>
  <r>
    <s v="TOM004"/>
    <x v="161"/>
    <x v="3"/>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0"/>
    <x v="0"/>
    <x v="0"/>
    <x v="0"/>
    <s v="https://www.johnnyseeds.com/vegetables/tomatoes/cherry-tomatoes/sakura-organic-f1-tomato-seed-3853G.html"/>
  </r>
  <r>
    <s v="LET012"/>
    <x v="162"/>
    <x v="3"/>
    <n v="112.66666666666666"/>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salanova-lettuce/salanova-red-oakleaf-pelleted-lettuce-seed-3059JP.html"/>
  </r>
  <r>
    <s v="LET013"/>
    <x v="162"/>
    <x v="3"/>
    <n v="56.333333333333329"/>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salanova-lettuce/salanova-red-oakleaf-pelleted-lettuce-seed-3059JP.html"/>
  </r>
  <r>
    <s v="LET018"/>
    <x v="162"/>
    <x v="3"/>
    <n v="56.333333333333329"/>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salanova-lettuce/salanova-red-oakleaf-pelleted-lettuce-seed-3059JP.html"/>
  </r>
  <r>
    <s v="LET019"/>
    <x v="162"/>
    <x v="3"/>
    <n v="56.333333333333329"/>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salanova-lettuce/salanova-red-oakleaf-pelleted-lettuce-seed-3059JP.html"/>
  </r>
  <r>
    <s v="LET020"/>
    <x v="162"/>
    <x v="3"/>
    <n v="56.333333333333329"/>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salanova-lettuce/salanova-red-oakleaf-pelleted-lettuce-seed-3059JP.html"/>
  </r>
  <r>
    <s v="LET021"/>
    <x v="162"/>
    <x v="3"/>
    <n v="56.333333333333329"/>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salanova-lettuce/salanova-red-oakleaf-pelleted-lettuce-seed-3059JP.html"/>
  </r>
  <r>
    <s v="LET022"/>
    <x v="162"/>
    <x v="3"/>
    <n v="56.333333333333329"/>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salanova-lettuce/salanova-red-oakleaf-pelleted-lettuce-seed-3059JP.html"/>
  </r>
  <r>
    <s v="LET023"/>
    <x v="162"/>
    <x v="3"/>
    <n v="56.333333333333329"/>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salanova-lettuce/salanova-red-oakleaf-pelleted-lettuce-seed-3059JP.html"/>
  </r>
  <r>
    <s v="TOM002"/>
    <x v="163"/>
    <x v="14"/>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14"/>
    <s v="https://www.seedsavers.org/salvaterras-select-organic-tomato"/>
  </r>
  <r>
    <s v="TOM003"/>
    <x v="163"/>
    <x v="14"/>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14"/>
    <s v="https://www.seedsavers.org/salvaterras-select-organic-tomato"/>
  </r>
  <r>
    <s v="TOM008"/>
    <x v="164"/>
    <x v="11"/>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tomatofest.com/Sean_s_Yellow_Dwarf_Organic_Tomato_Seeds_p/tf-0447m.htm"/>
  </r>
  <r>
    <s v="TOM012"/>
    <x v="164"/>
    <x v="11"/>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tomatofest.com/Sean_s_Yellow_Dwarf_Organic_Tomato_Seeds_p/tf-0447m.htm"/>
  </r>
  <r>
    <s v="ONI003"/>
    <x v="165"/>
    <x v="4"/>
    <n v="330"/>
    <s v="Onion - Mature Bulb 6X | Field TP SpSu"/>
    <x v="0"/>
    <x v="31"/>
    <x v="0"/>
    <x v="0"/>
    <x v="0"/>
    <x v="0"/>
    <s v="ONI"/>
    <x v="0"/>
    <x v="3"/>
    <d v="2025-04-13T00:00:00"/>
    <x v="0"/>
    <d v="2025-05-05T00:00:00"/>
    <d v="2025-08-03T00:00:00"/>
    <d v="2025-08-17T00:00:00"/>
    <x v="0"/>
    <x v="1"/>
    <x v="0"/>
    <x v="0"/>
    <n v="618.75"/>
    <n v="5.7827000000000002"/>
    <n v="135"/>
    <x v="0"/>
    <x v="0"/>
    <x v="0"/>
    <x v="1"/>
    <x v="1"/>
    <x v="0"/>
    <x v="0"/>
    <x v="0"/>
    <x v="12"/>
    <x v="3"/>
    <x v="2"/>
    <x v="0"/>
    <n v="223"/>
    <x v="2"/>
    <n v="945"/>
    <n v="14"/>
    <x v="14"/>
    <x v="4"/>
    <x v="0"/>
    <x v="0"/>
    <x v="0"/>
    <x v="0"/>
    <x v="0"/>
    <s v="https://www.highmowingseeds.com/organic-non-gmo-sedona-f1-onion.html"/>
  </r>
  <r>
    <s v="ONI004"/>
    <x v="165"/>
    <x v="4"/>
    <n v="550"/>
    <s v="Onion (Salad Early) - Young Bulb 10X | Field TP Sp"/>
    <x v="0"/>
    <x v="31"/>
    <x v="0"/>
    <x v="0"/>
    <x v="0"/>
    <x v="0"/>
    <s v="ONI"/>
    <x v="0"/>
    <x v="3"/>
    <d v="2025-03-25T00:00:00"/>
    <x v="0"/>
    <d v="2025-04-20T00:00:00"/>
    <d v="2025-06-19T00:00:00"/>
    <d v="2025-08-14T00:00:00"/>
    <x v="0"/>
    <x v="1"/>
    <x v="0"/>
    <x v="0"/>
    <n v="600"/>
    <n v="5.0846999999999998"/>
    <n v="90"/>
    <x v="0"/>
    <x v="0"/>
    <x v="0"/>
    <x v="8"/>
    <x v="1"/>
    <x v="0"/>
    <x v="0"/>
    <x v="0"/>
    <x v="2"/>
    <x v="3"/>
    <x v="2"/>
    <x v="0"/>
    <n v="224"/>
    <x v="0"/>
    <n v="900"/>
    <n v="56"/>
    <x v="14"/>
    <x v="6"/>
    <x v="1"/>
    <x v="0"/>
    <x v="0"/>
    <x v="0"/>
    <x v="0"/>
    <s v="https://www.highmowingseeds.com/organic-non-gmo-sedona-f1-onion.html"/>
  </r>
  <r>
    <s v="ONI005"/>
    <x v="165"/>
    <x v="4"/>
    <n v="550"/>
    <s v="Onion (Salad Late) - Young Bulb 10X | Field TP Sp"/>
    <x v="0"/>
    <x v="31"/>
    <x v="0"/>
    <x v="0"/>
    <x v="0"/>
    <x v="0"/>
    <s v="ONI"/>
    <x v="0"/>
    <x v="21"/>
    <d v="2025-04-19T00:00:00"/>
    <x v="0"/>
    <d v="2025-04-22T00:00:00"/>
    <d v="2025-06-26T00:00:00"/>
    <d v="2025-08-21T00:00:00"/>
    <x v="0"/>
    <x v="1"/>
    <x v="0"/>
    <x v="0"/>
    <n v="600"/>
    <n v="5.0846999999999998"/>
    <n v="90"/>
    <x v="0"/>
    <x v="0"/>
    <x v="0"/>
    <x v="8"/>
    <x v="1"/>
    <x v="0"/>
    <x v="0"/>
    <x v="0"/>
    <x v="2"/>
    <x v="3"/>
    <x v="2"/>
    <x v="0"/>
    <n v="225"/>
    <x v="0"/>
    <n v="907"/>
    <n v="56"/>
    <x v="14"/>
    <x v="6"/>
    <x v="1"/>
    <x v="0"/>
    <x v="0"/>
    <x v="0"/>
    <x v="0"/>
    <s v="https://www.highmowingseeds.com/organic-non-gmo-sedona-f1-onion.html"/>
  </r>
  <r>
    <s v="CUC001"/>
    <x v="166"/>
    <x v="4"/>
    <n v="8.125"/>
    <s v="Cucumber (Asian Long) - Large Fruit 1X | Greenhouse TP "/>
    <x v="0"/>
    <x v="28"/>
    <x v="0"/>
    <x v="11"/>
    <x v="1"/>
    <x v="0"/>
    <s v="CUC"/>
    <x v="0"/>
    <x v="2"/>
    <d v="2025-05-06T00:00:00"/>
    <x v="0"/>
    <d v="2025-05-30T00:00:00"/>
    <d v="2025-06-25T00:00:00"/>
    <d v="2025-10-08T00:00:00"/>
    <x v="0"/>
    <x v="1"/>
    <x v="0"/>
    <x v="0"/>
    <n v="1607.1429000000001"/>
    <n v="11.4796"/>
    <n v="70"/>
    <x v="0"/>
    <x v="0"/>
    <x v="0"/>
    <x v="16"/>
    <x v="1"/>
    <x v="0"/>
    <x v="0"/>
    <x v="0"/>
    <x v="4"/>
    <x v="2"/>
    <x v="11"/>
    <x v="0"/>
    <n v="106"/>
    <x v="3"/>
    <n v="906"/>
    <n v="105"/>
    <x v="13"/>
    <x v="8"/>
    <x v="0"/>
    <x v="0"/>
    <x v="0"/>
    <x v="0"/>
    <x v="0"/>
    <s v="https://www.highmowingseeds.com/organic-non-gmo-shintokiwa-cucumber.html"/>
  </r>
  <r>
    <s v="CUC003"/>
    <x v="166"/>
    <x v="4"/>
    <n v="16.25"/>
    <s v="Cucumber (Asian Long) - Ripe Fruit 1X | Field TP "/>
    <x v="0"/>
    <x v="28"/>
    <x v="0"/>
    <x v="0"/>
    <x v="0"/>
    <x v="0"/>
    <s v="CUC"/>
    <x v="0"/>
    <x v="2"/>
    <d v="2025-05-16T00:00:00"/>
    <x v="0"/>
    <d v="2025-05-26T00:00:00"/>
    <d v="2025-07-05T00:00:00"/>
    <d v="2025-09-20T00:00:00"/>
    <x v="0"/>
    <x v="1"/>
    <x v="0"/>
    <x v="0"/>
    <n v="1080"/>
    <n v="8.8524999999999991"/>
    <n v="80"/>
    <x v="0"/>
    <x v="0"/>
    <x v="0"/>
    <x v="18"/>
    <x v="1"/>
    <x v="0"/>
    <x v="0"/>
    <x v="0"/>
    <x v="4"/>
    <x v="2"/>
    <x v="2"/>
    <x v="1"/>
    <n v="107"/>
    <x v="3"/>
    <n v="916"/>
    <n v="77"/>
    <x v="13"/>
    <x v="8"/>
    <x v="1"/>
    <x v="0"/>
    <x v="0"/>
    <x v="0"/>
    <x v="0"/>
    <s v="https://www.highmowingseeds.com/organic-non-gmo-shintokiwa-cucumber.html"/>
  </r>
  <r>
    <s v="CAU001"/>
    <x v="167"/>
    <x v="3"/>
    <n v="42.857142857142854"/>
    <s v="Cauliflower - Mature Head 1X | Field TP Fa"/>
    <x v="0"/>
    <x v="12"/>
    <x v="0"/>
    <x v="0"/>
    <x v="0"/>
    <x v="0"/>
    <s v="CAU"/>
    <x v="0"/>
    <x v="19"/>
    <d v="2025-07-15T00:00:00"/>
    <x v="0"/>
    <d v="2025-07-15T00:00:00"/>
    <d v="2025-10-08T00:00:00"/>
    <d v="2025-10-29T00:00:00"/>
    <x v="1"/>
    <x v="2"/>
    <x v="0"/>
    <x v="0"/>
    <n v="514.28570000000002"/>
    <n v="4.8517999999999999"/>
    <n v="120"/>
    <x v="0"/>
    <x v="0"/>
    <x v="0"/>
    <x v="0"/>
    <x v="1"/>
    <x v="0"/>
    <x v="0"/>
    <x v="0"/>
    <x v="4"/>
    <x v="0"/>
    <x v="8"/>
    <x v="0"/>
    <n v="66"/>
    <x v="8"/>
    <n v="1011"/>
    <n v="21"/>
    <x v="4"/>
    <x v="5"/>
    <x v="2"/>
    <x v="0"/>
    <x v="0"/>
    <x v="0"/>
    <x v="0"/>
    <s v="https://www.johnnyseeds.com/vegetables/cauliflower/standard-cauliflower/skywalker-organic-f1-cauliflower-seed-2593G.html"/>
  </r>
  <r>
    <s v="TOM009"/>
    <x v="168"/>
    <x v="7"/>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osborneseed.com/catalog/item-content/78813/solar-flare/pr_78813"/>
  </r>
  <r>
    <s v="TOM009"/>
    <x v="168"/>
    <x v="7"/>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osborneseed.com/products/solar-flare-organic-tomato-seeds?_pos=1&amp;_sid=bc34ff08c&amp;_ss=r"/>
  </r>
  <r>
    <s v="FEN002"/>
    <x v="169"/>
    <x v="4"/>
    <n v="390"/>
    <s v="Fennel - Mini Bulb 1X | Field TP Fa"/>
    <x v="0"/>
    <x v="43"/>
    <x v="0"/>
    <x v="0"/>
    <x v="0"/>
    <x v="0"/>
    <s v="FEN"/>
    <x v="0"/>
    <x v="23"/>
    <d v="2025-07-15T00:00:00"/>
    <x v="0"/>
    <d v="2025-07-15T00:00:00"/>
    <d v="2025-08-10T00:00:00"/>
    <d v="2025-08-24T00:00:00"/>
    <x v="1"/>
    <x v="2"/>
    <x v="0"/>
    <x v="0"/>
    <n v="666.66669999999999"/>
    <n v="16.666699999999999"/>
    <n v="56"/>
    <x v="0"/>
    <x v="0"/>
    <x v="0"/>
    <x v="1"/>
    <x v="1"/>
    <x v="0"/>
    <x v="0"/>
    <x v="0"/>
    <x v="1"/>
    <x v="1"/>
    <x v="10"/>
    <x v="0"/>
    <n v="130"/>
    <x v="8"/>
    <n v="952"/>
    <n v="14"/>
    <x v="18"/>
    <x v="12"/>
    <x v="1"/>
    <x v="0"/>
    <x v="0"/>
    <x v="0"/>
    <x v="0"/>
    <s v="https://www.highmowingseeds.com/organic-non-gmo-solaris-f1-fennel.html"/>
  </r>
  <r>
    <s v="FEN003"/>
    <x v="169"/>
    <x v="4"/>
    <n v="390"/>
    <s v="Fennel - Mini Bulb 1X | Field TP Sp"/>
    <x v="0"/>
    <x v="43"/>
    <x v="0"/>
    <x v="0"/>
    <x v="0"/>
    <x v="0"/>
    <s v="FEN"/>
    <x v="0"/>
    <x v="3"/>
    <d v="2025-04-06T00:00:00"/>
    <x v="0"/>
    <d v="2025-05-04T00:00:00"/>
    <d v="2025-06-06T00:00:00"/>
    <d v="2025-06-20T00:00:00"/>
    <x v="0"/>
    <x v="1"/>
    <x v="0"/>
    <x v="0"/>
    <n v="666.66669999999999"/>
    <n v="10.929"/>
    <n v="77"/>
    <x v="0"/>
    <x v="0"/>
    <x v="0"/>
    <x v="1"/>
    <x v="1"/>
    <x v="0"/>
    <x v="0"/>
    <x v="0"/>
    <x v="1"/>
    <x v="1"/>
    <x v="10"/>
    <x v="0"/>
    <n v="131"/>
    <x v="0"/>
    <n v="887"/>
    <n v="14"/>
    <x v="18"/>
    <x v="12"/>
    <x v="1"/>
    <x v="0"/>
    <x v="0"/>
    <x v="0"/>
    <x v="0"/>
    <s v="https://www.highmowingseeds.com/organic-non-gmo-solaris-f1-fennel.html"/>
  </r>
  <r>
    <s v="RAD003"/>
    <x v="170"/>
    <x v="4"/>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highmowingseeds.com/organic-non-gmo-sora-radish.html"/>
  </r>
  <r>
    <s v="RAD449"/>
    <x v="170"/>
    <x v="4"/>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highmowingseeds.com/organic-non-gmo-sora-radish.html"/>
  </r>
  <r>
    <s v="RAD451"/>
    <x v="170"/>
    <x v="4"/>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highmowingseeds.com/organic-non-gmo-sora-radish.html"/>
  </r>
  <r>
    <s v="RAD452"/>
    <x v="170"/>
    <x v="4"/>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highmowingseeds.com/organic-non-gmo-sora-radish.html"/>
  </r>
  <r>
    <s v="RAD453"/>
    <x v="170"/>
    <x v="4"/>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highmowingseeds.com/organic-non-gmo-sora-radish.html"/>
  </r>
  <r>
    <s v="RAD454"/>
    <x v="170"/>
    <x v="4"/>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highmowingseeds.com/organic-non-gmo-sora-radish.html"/>
  </r>
  <r>
    <s v="RAD455"/>
    <x v="170"/>
    <x v="4"/>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highmowingseeds.com/organic-non-gmo-sora-radish.html"/>
  </r>
  <r>
    <s v="TOM006"/>
    <x v="171"/>
    <x v="5"/>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www.adaptiveseeds.com/product/vegetables/tomatoes/tomato-spring-king-organic/"/>
  </r>
  <r>
    <s v="TOM010"/>
    <x v="171"/>
    <x v="5"/>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www.adaptiveseeds.com/product/vegetables/tomatoes/tomato-spring-king-organic/"/>
  </r>
  <r>
    <s v="PEA001"/>
    <x v="172"/>
    <x v="7"/>
    <n v="346.66666666666663"/>
    <s v="Peas (Snap) - Young Pod 3X | Field TP SpSu"/>
    <x v="0"/>
    <x v="29"/>
    <x v="0"/>
    <x v="4"/>
    <x v="2"/>
    <x v="0"/>
    <s v="PEA"/>
    <x v="0"/>
    <x v="3"/>
    <d v="2025-03-23T00:00:00"/>
    <x v="0"/>
    <d v="2025-04-02T00:00:00"/>
    <d v="2025-06-09T00:00:00"/>
    <d v="2025-07-12T00:00:00"/>
    <x v="0"/>
    <x v="1"/>
    <x v="0"/>
    <x v="0"/>
    <n v="475"/>
    <n v="5.1630000000000003"/>
    <n v="80"/>
    <x v="0"/>
    <x v="0"/>
    <x v="0"/>
    <x v="17"/>
    <x v="1"/>
    <x v="0"/>
    <x v="0"/>
    <x v="0"/>
    <x v="10"/>
    <x v="0"/>
    <x v="0"/>
    <x v="0"/>
    <n v="238"/>
    <x v="2"/>
    <n v="890"/>
    <n v="33"/>
    <x v="7"/>
    <x v="4"/>
    <x v="0"/>
    <x v="1"/>
    <x v="0"/>
    <x v="0"/>
    <x v="0"/>
    <s v="https://www.osborneseed.com/products/pea-snap-ss-141-untreated?_pos=1&amp;_psq=ss+141&amp;_ss=e&amp;_v=1.0"/>
  </r>
  <r>
    <s v="SQU002"/>
    <x v="173"/>
    <x v="4"/>
    <n v="10.833333333333332"/>
    <s v="Squash (Delicata) - Storage 1X | Field TP "/>
    <x v="0"/>
    <x v="41"/>
    <x v="0"/>
    <x v="0"/>
    <x v="0"/>
    <x v="0"/>
    <s v="SQU"/>
    <x v="0"/>
    <x v="2"/>
    <d v="2025-05-09T00:00:00"/>
    <x v="0"/>
    <d v="2025-06-04T00:00:00"/>
    <d v="2025-08-22T00:00:00"/>
    <d v="2025-08-29T00:00:00"/>
    <x v="0"/>
    <x v="1"/>
    <x v="0"/>
    <x v="0"/>
    <n v="225"/>
    <n v="2.1027999999999998"/>
    <n v="128"/>
    <x v="0"/>
    <x v="0"/>
    <x v="0"/>
    <x v="4"/>
    <x v="1"/>
    <x v="0"/>
    <x v="0"/>
    <x v="0"/>
    <x v="2"/>
    <x v="2"/>
    <x v="16"/>
    <x v="0"/>
    <n v="299"/>
    <x v="3"/>
    <n v="964"/>
    <n v="7"/>
    <x v="16"/>
    <x v="2"/>
    <x v="1"/>
    <x v="0"/>
    <x v="0"/>
    <x v="0"/>
    <x v="0"/>
    <s v="https://www.highmowingseeds.com/organic-non-gmo-sugar-dumpling-f1-squash.html"/>
  </r>
  <r>
    <s v="TOM005"/>
    <x v="174"/>
    <x v="7"/>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1"/>
    <x v="0"/>
    <x v="0"/>
    <x v="0"/>
    <s v="https://www.osborneseed.com/products/sun-dipper-f1-untreated-tomato-seeds"/>
  </r>
  <r>
    <s v="SUM002"/>
    <x v="175"/>
    <x v="15"/>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1"/>
    <x v="0"/>
    <x v="0"/>
    <x v="0"/>
    <s v="https://territorialseed.com/products/squash-summer-sunburst"/>
  </r>
  <r>
    <s v="TOM004"/>
    <x v="176"/>
    <x v="3"/>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1"/>
    <x v="0"/>
    <x v="0"/>
    <x v="15"/>
    <s v="https://www.johnnyseeds.com/vegetables/tomatoes/cherry-tomatoes/sun-gold-f1-tomato-seed-770.html"/>
  </r>
  <r>
    <s v="SWI002"/>
    <x v="177"/>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sunset-chard.html"/>
  </r>
  <r>
    <s v="SQU004"/>
    <x v="178"/>
    <x v="3"/>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0"/>
    <x v="0"/>
    <x v="0"/>
    <x v="0"/>
    <s v="https://www.johnnyseeds.com/vegetables/squash/winter-squash/sunshine-organic-f1-kabocha-squash-seed-2998G.html"/>
  </r>
  <r>
    <s v="PEA001"/>
    <x v="179"/>
    <x v="3"/>
    <n v="346.66666666666663"/>
    <s v="Peas (Snap) - Young Pod 3X | Field TP SpSu"/>
    <x v="0"/>
    <x v="29"/>
    <x v="0"/>
    <x v="4"/>
    <x v="2"/>
    <x v="0"/>
    <s v="PEA"/>
    <x v="0"/>
    <x v="3"/>
    <d v="2025-03-23T00:00:00"/>
    <x v="0"/>
    <d v="2025-04-02T00:00:00"/>
    <d v="2025-06-09T00:00:00"/>
    <d v="2025-07-12T00:00:00"/>
    <x v="0"/>
    <x v="1"/>
    <x v="0"/>
    <x v="0"/>
    <n v="475"/>
    <n v="5.1630000000000003"/>
    <n v="80"/>
    <x v="0"/>
    <x v="0"/>
    <x v="0"/>
    <x v="17"/>
    <x v="1"/>
    <x v="0"/>
    <x v="0"/>
    <x v="0"/>
    <x v="10"/>
    <x v="0"/>
    <x v="0"/>
    <x v="0"/>
    <n v="238"/>
    <x v="2"/>
    <n v="890"/>
    <n v="33"/>
    <x v="7"/>
    <x v="4"/>
    <x v="0"/>
    <x v="1"/>
    <x v="0"/>
    <x v="0"/>
    <x v="0"/>
    <s v="https://www.johnnyseeds.com/vegetables/peas/snap-peas/super-sugar-snap-pea-seed-2855.html"/>
  </r>
  <r>
    <s v="TOM004"/>
    <x v="180"/>
    <x v="15"/>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1"/>
    <x v="0"/>
    <x v="0"/>
    <x v="0"/>
    <s v="https://territorialseed.com/products/tomato-sweet-million"/>
  </r>
  <r>
    <s v="CEL001"/>
    <x v="181"/>
    <x v="4"/>
    <n v="65"/>
    <s v="Celery - Loose Rib 1X | Field TP SpSu"/>
    <x v="0"/>
    <x v="42"/>
    <x v="0"/>
    <x v="0"/>
    <x v="0"/>
    <x v="0"/>
    <s v="CEL"/>
    <x v="0"/>
    <x v="21"/>
    <d v="2025-04-30T00:00:00"/>
    <x v="0"/>
    <d v="2025-06-05T00:00:00"/>
    <d v="2025-07-06T00:00:00"/>
    <d v="2025-11-30T00:00:00"/>
    <x v="0"/>
    <x v="1"/>
    <x v="0"/>
    <x v="0"/>
    <n v="4950"/>
    <n v="27.809000000000001"/>
    <n v="100"/>
    <x v="0"/>
    <x v="0"/>
    <x v="0"/>
    <x v="26"/>
    <x v="1"/>
    <x v="0"/>
    <x v="0"/>
    <x v="0"/>
    <x v="15"/>
    <x v="3"/>
    <x v="2"/>
    <x v="0"/>
    <n v="70"/>
    <x v="2"/>
    <n v="917"/>
    <n v="147"/>
    <x v="17"/>
    <x v="6"/>
    <x v="1"/>
    <x v="0"/>
    <x v="0"/>
    <x v="0"/>
    <x v="0"/>
    <s v="https://www.highmowingseeds.com/organic-non-gmo-tango-celery.html"/>
  </r>
  <r>
    <s v="CUC001"/>
    <x v="182"/>
    <x v="4"/>
    <n v="24.375"/>
    <s v="Cucumber (Asian Long) - Large Fruit 1X | Greenhouse TP "/>
    <x v="0"/>
    <x v="28"/>
    <x v="0"/>
    <x v="11"/>
    <x v="1"/>
    <x v="0"/>
    <s v="CUC"/>
    <x v="0"/>
    <x v="2"/>
    <d v="2025-05-06T00:00:00"/>
    <x v="0"/>
    <d v="2025-05-30T00:00:00"/>
    <d v="2025-06-25T00:00:00"/>
    <d v="2025-10-08T00:00:00"/>
    <x v="0"/>
    <x v="1"/>
    <x v="0"/>
    <x v="0"/>
    <n v="1607.1429000000001"/>
    <n v="11.4796"/>
    <n v="70"/>
    <x v="0"/>
    <x v="0"/>
    <x v="0"/>
    <x v="16"/>
    <x v="1"/>
    <x v="0"/>
    <x v="0"/>
    <x v="0"/>
    <x v="4"/>
    <x v="2"/>
    <x v="11"/>
    <x v="0"/>
    <n v="106"/>
    <x v="3"/>
    <n v="906"/>
    <n v="105"/>
    <x v="13"/>
    <x v="8"/>
    <x v="0"/>
    <x v="0"/>
    <x v="0"/>
    <x v="0"/>
    <x v="0"/>
    <s v="https://www.highmowingseeds.com/organic-non-gmo-tasty-green-f1-cucumber.html"/>
  </r>
  <r>
    <s v="CUC003"/>
    <x v="182"/>
    <x v="4"/>
    <n v="48.75"/>
    <s v="Cucumber (Asian Long) - Ripe Fruit 1X | Field TP "/>
    <x v="0"/>
    <x v="28"/>
    <x v="0"/>
    <x v="0"/>
    <x v="0"/>
    <x v="0"/>
    <s v="CUC"/>
    <x v="0"/>
    <x v="2"/>
    <d v="2025-05-16T00:00:00"/>
    <x v="0"/>
    <d v="2025-05-26T00:00:00"/>
    <d v="2025-07-05T00:00:00"/>
    <d v="2025-09-20T00:00:00"/>
    <x v="0"/>
    <x v="1"/>
    <x v="0"/>
    <x v="0"/>
    <n v="1080"/>
    <n v="8.8524999999999991"/>
    <n v="80"/>
    <x v="0"/>
    <x v="0"/>
    <x v="0"/>
    <x v="18"/>
    <x v="1"/>
    <x v="0"/>
    <x v="0"/>
    <x v="0"/>
    <x v="4"/>
    <x v="2"/>
    <x v="2"/>
    <x v="1"/>
    <n v="107"/>
    <x v="3"/>
    <n v="916"/>
    <n v="77"/>
    <x v="13"/>
    <x v="8"/>
    <x v="1"/>
    <x v="0"/>
    <x v="0"/>
    <x v="0"/>
    <x v="0"/>
    <s v="https://www.highmowingseeds.com/organic-non-gmo-tasty-green-f1-cucumber.html"/>
  </r>
  <r>
    <s v="CAU001"/>
    <x v="183"/>
    <x v="3"/>
    <n v="42.857142857142854"/>
    <s v="Cauliflower - Mature Head 1X | Field TP Fa"/>
    <x v="0"/>
    <x v="12"/>
    <x v="0"/>
    <x v="0"/>
    <x v="0"/>
    <x v="0"/>
    <s v="CAU"/>
    <x v="0"/>
    <x v="19"/>
    <d v="2025-07-15T00:00:00"/>
    <x v="0"/>
    <d v="2025-07-15T00:00:00"/>
    <d v="2025-10-08T00:00:00"/>
    <d v="2025-10-29T00:00:00"/>
    <x v="1"/>
    <x v="2"/>
    <x v="0"/>
    <x v="0"/>
    <n v="514.28570000000002"/>
    <n v="4.8517999999999999"/>
    <n v="120"/>
    <x v="0"/>
    <x v="0"/>
    <x v="0"/>
    <x v="0"/>
    <x v="1"/>
    <x v="0"/>
    <x v="0"/>
    <x v="0"/>
    <x v="4"/>
    <x v="0"/>
    <x v="8"/>
    <x v="0"/>
    <n v="66"/>
    <x v="8"/>
    <n v="1011"/>
    <n v="21"/>
    <x v="4"/>
    <x v="5"/>
    <x v="2"/>
    <x v="0"/>
    <x v="0"/>
    <x v="0"/>
    <x v="0"/>
    <s v="https://www.johnnyseeds.com/vegetables/cauliflower/standard-cauliflower/tessaury-organic-f1-cauliflower-seed-6042G.html"/>
  </r>
  <r>
    <s v="DIL001"/>
    <x v="184"/>
    <x v="3"/>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johnnyseeds.com/herbs/dill/thalia-organic-dill-seed-4010G.html"/>
  </r>
  <r>
    <s v="DIL002"/>
    <x v="184"/>
    <x v="3"/>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johnnyseeds.com/herbs/dill/thalia-organic-dill-seed-4010G.html"/>
  </r>
  <r>
    <s v="DIL004"/>
    <x v="184"/>
    <x v="3"/>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johnnyseeds.com/herbs/dill/thalia-organic-dill-seed-4010G.html"/>
  </r>
  <r>
    <s v="DIL005"/>
    <x v="184"/>
    <x v="3"/>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johnnyseeds.com/herbs/dill/thalia-organic-dill-seed-4010G.html"/>
  </r>
  <r>
    <s v="DIL006"/>
    <x v="184"/>
    <x v="3"/>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johnnyseeds.com/herbs/dill/thalia-organic-dill-seed-4010G.html"/>
  </r>
  <r>
    <s v="DIL009"/>
    <x v="184"/>
    <x v="3"/>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johnnyseeds.com/herbs/dill/thalia-organic-dill-seed-4010G.html"/>
  </r>
  <r>
    <s v="DIL010"/>
    <x v="184"/>
    <x v="3"/>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johnnyseeds.com/herbs/dill/thalia-organic-dill-seed-4010G.html"/>
  </r>
  <r>
    <s v="TOM002"/>
    <x v="185"/>
    <x v="5"/>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adaptiveseeds.com/product/vegetables/tomatoes/tomato-tiffen-mennonite-organic/"/>
  </r>
  <r>
    <s v="TOM003"/>
    <x v="185"/>
    <x v="5"/>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adaptiveseeds.com/product/vegetables/tomatoes/tomato-tiffen-mennonite-organic/"/>
  </r>
  <r>
    <s v="TOM009"/>
    <x v="185"/>
    <x v="5"/>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adaptiveseeds.com/product/vegetables/tomatoes/tomato-tiffen-mennonite-organic/"/>
  </r>
  <r>
    <s v="TOM002"/>
    <x v="185"/>
    <x v="5"/>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adaptiveseeds.com/product/vegetables/tomatoes/tomato-tiffen-mennonite-organic/"/>
  </r>
  <r>
    <s v="TOM003"/>
    <x v="185"/>
    <x v="5"/>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adaptiveseeds.com/product/vegetables/tomatoes/tomato-tiffen-mennonite-organic/"/>
  </r>
  <r>
    <s v="TOM009"/>
    <x v="185"/>
    <x v="5"/>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adaptiveseeds.com/product/vegetables/tomatoes/tomato-tiffen-mennonite-organic/"/>
  </r>
  <r>
    <s v="TOM001"/>
    <x v="186"/>
    <x v="4"/>
    <n v="21.666666666666664"/>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www.highmowingseeds.com/organic-non-gmo-toma-verde-tomatillo.html"/>
  </r>
  <r>
    <s v="MEL001"/>
    <x v="187"/>
    <x v="3"/>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1"/>
    <x v="0"/>
    <x v="0"/>
    <x v="0"/>
    <s v="https://www.johnnyseeds.com/vegetables/melons/cantaloupe-muskmelon/triton-f1-melon-seed-4182.html"/>
  </r>
  <r>
    <s v="LET030"/>
    <x v="18"/>
    <x v="7"/>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osborneseed.com/products/truchas-organic-nop-compliant-pellet-lettuce-seeds?_pos=1&amp;_sid=5be874f6b&amp;_ss=r&amp;variant=40616662171714"/>
  </r>
  <r>
    <s v="MEL001"/>
    <x v="188"/>
    <x v="4"/>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0"/>
    <x v="0"/>
    <x v="0"/>
    <x v="0"/>
    <s v="https://www.highmowingseeds.com/organic-non-gmo-true-love-f1-melon.html"/>
  </r>
  <r>
    <s v="CEL001"/>
    <x v="189"/>
    <x v="5"/>
    <n v="65"/>
    <s v="Celery - Loose Rib 1X | Field TP SpSu"/>
    <x v="0"/>
    <x v="42"/>
    <x v="0"/>
    <x v="0"/>
    <x v="0"/>
    <x v="0"/>
    <s v="CEL"/>
    <x v="0"/>
    <x v="21"/>
    <d v="2025-04-30T00:00:00"/>
    <x v="0"/>
    <d v="2025-06-05T00:00:00"/>
    <d v="2025-07-06T00:00:00"/>
    <d v="2025-11-30T00:00:00"/>
    <x v="0"/>
    <x v="1"/>
    <x v="0"/>
    <x v="0"/>
    <n v="4950"/>
    <n v="27.809000000000001"/>
    <n v="100"/>
    <x v="0"/>
    <x v="0"/>
    <x v="0"/>
    <x v="26"/>
    <x v="1"/>
    <x v="0"/>
    <x v="0"/>
    <x v="0"/>
    <x v="15"/>
    <x v="3"/>
    <x v="2"/>
    <x v="0"/>
    <n v="70"/>
    <x v="2"/>
    <n v="917"/>
    <n v="147"/>
    <x v="17"/>
    <x v="6"/>
    <x v="1"/>
    <x v="0"/>
    <x v="0"/>
    <x v="0"/>
    <x v="0"/>
    <s v="https://www.adaptiveseeds.com/product/vegetables/celeriac-celery/celery-ventura-organic/"/>
  </r>
  <r>
    <s v="CAB010"/>
    <x v="190"/>
    <x v="7"/>
    <n v="165"/>
    <s v="Cabbage (Chinese) - Small Head 1X | Field TP Fa"/>
    <x v="0"/>
    <x v="4"/>
    <x v="0"/>
    <x v="0"/>
    <x v="0"/>
    <x v="0"/>
    <s v="CAB"/>
    <x v="0"/>
    <x v="20"/>
    <d v="2025-07-07T00:00:00"/>
    <x v="0"/>
    <d v="2025-07-07T00:00:00"/>
    <d v="2025-08-26T00:00:00"/>
    <d v="2025-09-09T00:00:00"/>
    <x v="1"/>
    <x v="2"/>
    <x v="0"/>
    <x v="0"/>
    <n v="600"/>
    <n v="9.375"/>
    <n v="78"/>
    <x v="0"/>
    <x v="0"/>
    <x v="0"/>
    <x v="1"/>
    <x v="1"/>
    <x v="0"/>
    <x v="0"/>
    <x v="0"/>
    <x v="2"/>
    <x v="3"/>
    <x v="2"/>
    <x v="0"/>
    <n v="49"/>
    <x v="8"/>
    <n v="968"/>
    <n v="14"/>
    <x v="4"/>
    <x v="6"/>
    <x v="2"/>
    <x v="1"/>
    <x v="0"/>
    <x v="0"/>
    <x v="0"/>
    <s v="https://www.osborneseed.com/products/wa-wa-tsai-f1-untreated-napa-cabbage-seeds?_pos=1&amp;_psq=wa+wa&amp;_ss=e&amp;_v=1.0"/>
  </r>
  <r>
    <s v="TOM007"/>
    <x v="191"/>
    <x v="3"/>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0"/>
    <x v="0"/>
    <x v="0"/>
    <x v="0"/>
    <s v="https://www.johnnyseeds.com/vegetables/tomatoes/cherry-tomatoes/washington-cherry-organic-tomato-seed-764.html"/>
  </r>
  <r>
    <s v="TOM011"/>
    <x v="191"/>
    <x v="3"/>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0"/>
    <x v="0"/>
    <x v="0"/>
    <x v="0"/>
    <s v="https://www.johnnyseeds.com/vegetables/tomatoes/cherry-tomatoes/washington-cherry-organic-tomato-seed-764.html"/>
  </r>
  <r>
    <s v="SCA633"/>
    <x v="192"/>
    <x v="5"/>
    <n v="220"/>
    <s v="Scallion - Mature Stalk 6X | Field TP Sp"/>
    <x v="0"/>
    <x v="40"/>
    <x v="0"/>
    <x v="3"/>
    <x v="1"/>
    <x v="0"/>
    <s v="SCA"/>
    <x v="0"/>
    <x v="12"/>
    <d v="2025-04-13T00:00:00"/>
    <x v="0"/>
    <d v="2025-03-12T00:00:00"/>
    <d v="2025-06-25T00:00:00"/>
    <d v="2025-07-09T00:00:00"/>
    <x v="0"/>
    <x v="1"/>
    <x v="0"/>
    <x v="0"/>
    <n v="125"/>
    <n v="1.9531000000000001"/>
    <n v="92"/>
    <x v="0"/>
    <x v="0"/>
    <x v="0"/>
    <x v="1"/>
    <x v="1"/>
    <x v="0"/>
    <x v="0"/>
    <x v="0"/>
    <x v="12"/>
    <x v="1"/>
    <x v="10"/>
    <x v="0"/>
    <n v="282"/>
    <x v="0"/>
    <n v="906"/>
    <n v="14"/>
    <x v="14"/>
    <x v="5"/>
    <x v="1"/>
    <x v="0"/>
    <x v="0"/>
    <x v="0"/>
    <x v="0"/>
    <s v="https://www.adaptiveseeds.com/product/vegetables/onions/green-onions-white-spear-organic/"/>
  </r>
  <r>
    <s v="SCA634"/>
    <x v="192"/>
    <x v="5"/>
    <n v="440"/>
    <s v="Scallion - Mature Stalk 6X | Field TP Sp"/>
    <x v="0"/>
    <x v="40"/>
    <x v="0"/>
    <x v="2"/>
    <x v="1"/>
    <x v="0"/>
    <s v="SCA"/>
    <x v="0"/>
    <x v="9"/>
    <d v="2025-05-04T00:00:00"/>
    <x v="0"/>
    <d v="2025-06-25T00:00:00"/>
    <d v="2025-08-14T00:00:00"/>
    <d v="2025-08-28T00:00:00"/>
    <x v="0"/>
    <x v="2"/>
    <x v="0"/>
    <x v="0"/>
    <n v="250"/>
    <n v="3.9062000000000001"/>
    <n v="92"/>
    <x v="0"/>
    <x v="0"/>
    <x v="0"/>
    <x v="1"/>
    <x v="1"/>
    <x v="0"/>
    <x v="0"/>
    <x v="0"/>
    <x v="12"/>
    <x v="1"/>
    <x v="10"/>
    <x v="0"/>
    <n v="282"/>
    <x v="0"/>
    <n v="956"/>
    <n v="14"/>
    <x v="14"/>
    <x v="5"/>
    <x v="1"/>
    <x v="0"/>
    <x v="0"/>
    <x v="0"/>
    <x v="0"/>
    <s v="https://www.adaptiveseeds.com/product/vegetables/onions/green-onions-white-spear-organic/"/>
  </r>
  <r>
    <s v="SCA635"/>
    <x v="192"/>
    <x v="5"/>
    <n v="440"/>
    <s v="Scallion - Mature Stalk 6X | Field TP Sp"/>
    <x v="0"/>
    <x v="40"/>
    <x v="0"/>
    <x v="2"/>
    <x v="1"/>
    <x v="0"/>
    <s v="SCA"/>
    <x v="0"/>
    <x v="18"/>
    <d v="2025-05-25T00:00:00"/>
    <x v="0"/>
    <d v="2025-05-18T00:00:00"/>
    <d v="2025-07-15T00:00:00"/>
    <d v="2025-07-29T00:00:00"/>
    <x v="0"/>
    <x v="1"/>
    <x v="0"/>
    <x v="0"/>
    <n v="250"/>
    <n v="3.9062000000000001"/>
    <n v="92"/>
    <x v="0"/>
    <x v="0"/>
    <x v="0"/>
    <x v="1"/>
    <x v="1"/>
    <x v="0"/>
    <x v="0"/>
    <x v="0"/>
    <x v="12"/>
    <x v="1"/>
    <x v="10"/>
    <x v="0"/>
    <n v="282"/>
    <x v="0"/>
    <n v="926"/>
    <n v="14"/>
    <x v="14"/>
    <x v="5"/>
    <x v="1"/>
    <x v="0"/>
    <x v="0"/>
    <x v="0"/>
    <x v="0"/>
    <s v="https://www.adaptiveseeds.com/product/vegetables/onions/green-onions-white-spear-organic/"/>
  </r>
  <r>
    <s v="SCA637"/>
    <x v="192"/>
    <x v="5"/>
    <n v="440"/>
    <s v="Scallion - Mature Stalk 6X | Field TP Sp"/>
    <x v="0"/>
    <x v="40"/>
    <x v="0"/>
    <x v="2"/>
    <x v="1"/>
    <x v="0"/>
    <s v="SCA"/>
    <x v="0"/>
    <x v="11"/>
    <d v="2025-07-06T00:00:00"/>
    <x v="0"/>
    <d v="2025-06-30T00:00:00"/>
    <d v="2025-08-19T00:00:00"/>
    <d v="2025-09-02T00:00:00"/>
    <x v="0"/>
    <x v="2"/>
    <x v="0"/>
    <x v="0"/>
    <n v="250"/>
    <n v="3.9062000000000001"/>
    <n v="92"/>
    <x v="0"/>
    <x v="0"/>
    <x v="0"/>
    <x v="1"/>
    <x v="1"/>
    <x v="0"/>
    <x v="0"/>
    <x v="0"/>
    <x v="12"/>
    <x v="1"/>
    <x v="10"/>
    <x v="0"/>
    <n v="282"/>
    <x v="0"/>
    <n v="961"/>
    <n v="14"/>
    <x v="14"/>
    <x v="5"/>
    <x v="1"/>
    <x v="0"/>
    <x v="0"/>
    <x v="0"/>
    <x v="0"/>
    <s v="https://www.adaptiveseeds.com/product/vegetables/onions/green-onions-white-spear-organic/"/>
  </r>
  <r>
    <s v="TOM009"/>
    <x v="193"/>
    <x v="19"/>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johnnyseeds.com/vegetables/tomatoes/specialty-tomatoes/woodstock-organic-f1-tomato-seed-4503G.html"/>
  </r>
  <r>
    <s v="LET030"/>
    <x v="194"/>
    <x v="3"/>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johnnyseeds.com/vegetables/lettuce/romaine-lettuce-cos/xalbadora-organic-lettuce-seed-4195G.html"/>
  </r>
  <r>
    <s v="SUM002"/>
    <x v="195"/>
    <x v="20"/>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siskiyouseeds.com/collections/squash-croockneck/products/summer-squash-yellow-crookneck"/>
  </r>
  <r>
    <s v="CAR001"/>
    <x v="196"/>
    <x v="3"/>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0"/>
    <x v="0"/>
    <x v="0"/>
    <x v="0"/>
    <s v="https://www.johnnyseeds.com/vegetables/carrots/colored-carrots/yellowstone-organic-carrot-seed-3333G.html"/>
  </r>
  <r>
    <s v="CAR002"/>
    <x v="196"/>
    <x v="3"/>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0"/>
    <x v="0"/>
    <x v="0"/>
    <x v="0"/>
    <s v="https://www.johnnyseeds.com/vegetables/carrots/colored-carrots/yellowstone-organic-carrot-seed-3333G.html"/>
  </r>
  <r>
    <s v="CAR004"/>
    <x v="196"/>
    <x v="3"/>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0"/>
    <x v="0"/>
    <x v="0"/>
    <x v="0"/>
    <s v="https://www.johnnyseeds.com/vegetables/carrots/colored-carrots/yellowstone-organic-carrot-seed-3333G.html"/>
  </r>
  <r>
    <s v="CAR005"/>
    <x v="196"/>
    <x v="3"/>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0"/>
    <x v="0"/>
    <x v="0"/>
    <x v="0"/>
    <s v="https://www.johnnyseeds.com/vegetables/carrots/colored-carrots/yellowstone-organic-carrot-seed-3333G.html"/>
  </r>
  <r>
    <s v="CAR006"/>
    <x v="196"/>
    <x v="3"/>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0"/>
    <x v="0"/>
    <x v="0"/>
    <x v="0"/>
    <s v="https://www.johnnyseeds.com/vegetables/carrots/colored-carrots/yellowstone-organic-carrot-seed-3333G.html"/>
  </r>
  <r>
    <s v="SUM002"/>
    <x v="197"/>
    <x v="3"/>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johnnyseeds.com/vegetables/squash/summer-squash/y-star-organic-f1-patty-pan-squash-seed-3855G.html"/>
  </r>
  <r>
    <s v="BAS001"/>
    <x v="198"/>
    <x v="1"/>
    <n v="8.1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16"/>
    <s v="https://www.wildgardenseed.com/product_info.php?products_id=744"/>
  </r>
  <r>
    <s v="BAS002"/>
    <x v="198"/>
    <x v="1"/>
    <n v="32.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16"/>
    <s v="https://www.wildgardenseed.com/product_info.php?products_id=744"/>
  </r>
  <r>
    <s v="SUM002"/>
    <x v="199"/>
    <x v="3"/>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1"/>
    <x v="0"/>
    <x v="0"/>
    <x v="17"/>
    <s v="https://www.johnnyseeds.com/vegetables/squash/summer-squash/zephyr-f1-yellow-summer-squash-seed-2217.html"/>
  </r>
  <r>
    <s v="ASI001"/>
    <x v="20"/>
    <x v="9"/>
    <m/>
    <s v="Asian Greens - Young Leaf 1X | Field DS "/>
    <x v="0"/>
    <x v="14"/>
    <x v="0"/>
    <x v="2"/>
    <x v="1"/>
    <x v="0"/>
    <s v="ASI"/>
    <x v="0"/>
    <x v="0"/>
    <d v="2025-04-07T00:00:00"/>
    <x v="0"/>
    <d v="2025-04-07T00:00:00"/>
    <d v="2025-05-27T00:00:00"/>
    <d v="2025-06-10T00:00:00"/>
    <x v="0"/>
    <x v="0"/>
    <x v="0"/>
    <x v="0"/>
    <n v="250"/>
    <n v="3.9062000000000001"/>
    <n v="50"/>
    <x v="0"/>
    <x v="0"/>
    <x v="0"/>
    <x v="1"/>
    <x v="0"/>
    <x v="0"/>
    <x v="0"/>
    <x v="0"/>
    <x v="0"/>
    <x v="1"/>
    <x v="9"/>
    <x v="0"/>
    <n v="11"/>
    <x v="3"/>
    <n v="877"/>
    <n v="14"/>
    <x v="7"/>
    <x v="4"/>
    <x v="0"/>
    <x v="2"/>
    <x v="0"/>
    <x v="0"/>
    <x v="0"/>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6">
  <r>
    <x v="0"/>
    <x v="0"/>
    <x v="0"/>
    <x v="0"/>
    <x v="0"/>
    <s v="Arugula - Baby Leaf 1X | Field DS Sp"/>
    <s v="ARU002"/>
    <x v="0"/>
    <x v="0"/>
    <x v="0"/>
    <x v="0"/>
    <n v="9360"/>
    <x v="0"/>
    <x v="0"/>
    <x v="0"/>
    <x v="0"/>
    <s v="ARU"/>
    <x v="0"/>
    <x v="0"/>
    <d v="2025-04-07T00:00:00"/>
    <x v="0"/>
    <d v="2025-04-07T00:00:00"/>
    <d v="2025-05-08T00:00:00"/>
    <d v="2025-05-26T00:00:00"/>
    <x v="0"/>
    <x v="0"/>
    <x v="0"/>
    <x v="0"/>
    <n v="112.5"/>
    <n v="2.2959000000000001"/>
    <n v="31"/>
    <x v="0"/>
    <x v="0"/>
    <x v="0"/>
    <x v="0"/>
    <x v="0"/>
    <x v="0"/>
    <x v="0"/>
    <x v="0"/>
    <x v="0"/>
    <x v="0"/>
    <x v="0"/>
    <x v="0"/>
    <n v="6"/>
    <x v="0"/>
    <n v="858"/>
    <x v="0"/>
    <x v="0"/>
    <x v="0"/>
    <x v="0"/>
  </r>
  <r>
    <x v="0"/>
    <x v="1"/>
    <x v="1"/>
    <x v="1"/>
    <x v="0"/>
    <s v="Arugula - Baby Leaf 1X | Field DS Sp"/>
    <s v="ARU003"/>
    <x v="0"/>
    <x v="0"/>
    <x v="0"/>
    <x v="0"/>
    <n v="18720"/>
    <x v="0"/>
    <x v="1"/>
    <x v="1"/>
    <x v="0"/>
    <s v="ARU"/>
    <x v="0"/>
    <x v="0"/>
    <d v="2025-04-07T00:00:00"/>
    <x v="0"/>
    <d v="2025-05-04T00:00:00"/>
    <d v="2025-06-04T00:00:00"/>
    <d v="2025-06-22T00:00:00"/>
    <x v="0"/>
    <x v="0"/>
    <x v="0"/>
    <x v="0"/>
    <n v="225"/>
    <n v="4.5918000000000001"/>
    <n v="31"/>
    <x v="0"/>
    <x v="0"/>
    <x v="0"/>
    <x v="0"/>
    <x v="0"/>
    <x v="0"/>
    <x v="0"/>
    <x v="0"/>
    <x v="0"/>
    <x v="0"/>
    <x v="0"/>
    <x v="0"/>
    <n v="6"/>
    <x v="0"/>
    <n v="885"/>
    <x v="0"/>
    <x v="0"/>
    <x v="0"/>
    <x v="0"/>
  </r>
  <r>
    <x v="0"/>
    <x v="2"/>
    <x v="2"/>
    <x v="2"/>
    <x v="0"/>
    <s v="Arugula - Baby Leaf 1X | Field DS Sp"/>
    <s v="ARU001"/>
    <x v="0"/>
    <x v="0"/>
    <x v="0"/>
    <x v="0"/>
    <n v="4680"/>
    <x v="0"/>
    <x v="2"/>
    <x v="0"/>
    <x v="0"/>
    <s v="ARU"/>
    <x v="0"/>
    <x v="0"/>
    <d v="2025-04-11T00:00:00"/>
    <x v="0"/>
    <d v="2025-03-25T00:00:00"/>
    <d v="2025-04-25T00:00:00"/>
    <d v="2025-05-13T00:00:00"/>
    <x v="0"/>
    <x v="0"/>
    <x v="0"/>
    <x v="0"/>
    <n v="56.25"/>
    <n v="1.1479999999999999"/>
    <n v="31"/>
    <x v="0"/>
    <x v="0"/>
    <x v="0"/>
    <x v="0"/>
    <x v="0"/>
    <x v="0"/>
    <x v="0"/>
    <x v="0"/>
    <x v="0"/>
    <x v="0"/>
    <x v="0"/>
    <x v="0"/>
    <n v="6"/>
    <x v="0"/>
    <n v="845"/>
    <x v="0"/>
    <x v="0"/>
    <x v="0"/>
    <x v="0"/>
  </r>
  <r>
    <x v="0"/>
    <x v="3"/>
    <x v="3"/>
    <x v="3"/>
    <x v="0"/>
    <s v="Arugula - Baby Leaf 1X | Field DS Sp"/>
    <s v="ARU004"/>
    <x v="0"/>
    <x v="0"/>
    <x v="0"/>
    <x v="0"/>
    <n v="9360"/>
    <x v="0"/>
    <x v="0"/>
    <x v="0"/>
    <x v="0"/>
    <s v="ARU"/>
    <x v="0"/>
    <x v="0"/>
    <d v="2025-06-15T00:00:00"/>
    <x v="0"/>
    <d v="2025-06-30T00:00:00"/>
    <d v="2025-07-31T00:00:00"/>
    <d v="2025-08-18T00:00:00"/>
    <x v="0"/>
    <x v="0"/>
    <x v="0"/>
    <x v="0"/>
    <n v="112.5"/>
    <n v="2.2959000000000001"/>
    <n v="31"/>
    <x v="0"/>
    <x v="0"/>
    <x v="0"/>
    <x v="0"/>
    <x v="0"/>
    <x v="0"/>
    <x v="0"/>
    <x v="0"/>
    <x v="0"/>
    <x v="0"/>
    <x v="0"/>
    <x v="0"/>
    <n v="6"/>
    <x v="0"/>
    <n v="942"/>
    <x v="0"/>
    <x v="0"/>
    <x v="0"/>
    <x v="0"/>
  </r>
  <r>
    <x v="1"/>
    <x v="4"/>
    <x v="4"/>
    <x v="3"/>
    <x v="0"/>
    <s v="Arugula - Baby Leaf 1X | Field DS Sp"/>
    <s v="ARU005"/>
    <x v="0"/>
    <x v="0"/>
    <x v="0"/>
    <x v="0"/>
    <n v="9360"/>
    <x v="0"/>
    <x v="0"/>
    <x v="0"/>
    <x v="0"/>
    <s v="ARU"/>
    <x v="0"/>
    <x v="0"/>
    <d v="2025-08-15T00:00:00"/>
    <x v="0"/>
    <d v="2025-08-15T00:00:00"/>
    <d v="2025-09-15T00:00:00"/>
    <d v="2025-10-03T00:00:00"/>
    <x v="1"/>
    <x v="0"/>
    <x v="0"/>
    <x v="0"/>
    <n v="112.5"/>
    <n v="2.2959000000000001"/>
    <n v="31"/>
    <x v="0"/>
    <x v="0"/>
    <x v="0"/>
    <x v="0"/>
    <x v="0"/>
    <x v="0"/>
    <x v="0"/>
    <x v="0"/>
    <x v="0"/>
    <x v="0"/>
    <x v="0"/>
    <x v="0"/>
    <n v="6"/>
    <x v="0"/>
    <n v="988"/>
    <x v="0"/>
    <x v="0"/>
    <x v="0"/>
    <x v="0"/>
  </r>
  <r>
    <x v="0"/>
    <x v="0"/>
    <x v="5"/>
    <x v="0"/>
    <x v="0"/>
    <s v="Asian Greens - Young Leaf 1X | Field DS "/>
    <s v="ASI001"/>
    <x v="0"/>
    <x v="1"/>
    <x v="1"/>
    <x v="0"/>
    <n v="3120"/>
    <x v="0"/>
    <x v="0"/>
    <x v="0"/>
    <x v="0"/>
    <s v="ASI"/>
    <x v="0"/>
    <x v="0"/>
    <d v="2025-04-07T00:00:00"/>
    <x v="0"/>
    <d v="2025-04-07T00:00:00"/>
    <d v="2025-05-27T00:00:00"/>
    <d v="2025-06-10T00:00:00"/>
    <x v="0"/>
    <x v="0"/>
    <x v="0"/>
    <x v="0"/>
    <n v="250"/>
    <n v="3.9062000000000001"/>
    <n v="50"/>
    <x v="0"/>
    <x v="0"/>
    <x v="0"/>
    <x v="1"/>
    <x v="0"/>
    <x v="0"/>
    <x v="0"/>
    <x v="0"/>
    <x v="0"/>
    <x v="1"/>
    <x v="1"/>
    <x v="1"/>
    <n v="11"/>
    <x v="1"/>
    <n v="877"/>
    <x v="1"/>
    <x v="1"/>
    <x v="1"/>
    <x v="1"/>
  </r>
  <r>
    <x v="0"/>
    <x v="5"/>
    <x v="6"/>
    <x v="4"/>
    <x v="0"/>
    <s v="Carrot (Early) - Mature Root 1X | Field DS Sp"/>
    <s v="CAR001"/>
    <x v="0"/>
    <x v="2"/>
    <x v="2"/>
    <x v="0"/>
    <n v="6240"/>
    <x v="0"/>
    <x v="1"/>
    <x v="1"/>
    <x v="0"/>
    <s v="CAR"/>
    <x v="0"/>
    <x v="0"/>
    <d v="2025-03-27T00:00:00"/>
    <x v="0"/>
    <d v="2025-04-05T00:00:00"/>
    <d v="2025-06-14T00:00:00"/>
    <d v="2025-07-05T00:00:00"/>
    <x v="0"/>
    <x v="0"/>
    <x v="0"/>
    <x v="0"/>
    <n v="557.14290000000005"/>
    <n v="6.1223999999999998"/>
    <n v="70"/>
    <x v="0"/>
    <x v="0"/>
    <x v="0"/>
    <x v="2"/>
    <x v="0"/>
    <x v="0"/>
    <x v="0"/>
    <x v="0"/>
    <x v="0"/>
    <x v="1"/>
    <x v="1"/>
    <x v="0"/>
    <n v="61"/>
    <x v="0"/>
    <n v="895"/>
    <x v="2"/>
    <x v="2"/>
    <x v="0"/>
    <x v="2"/>
  </r>
  <r>
    <x v="0"/>
    <x v="6"/>
    <x v="7"/>
    <x v="5"/>
    <x v="0"/>
    <s v="Carrot (Early) - Mature Root 1X | Field DS Sp"/>
    <s v="CAR002"/>
    <x v="0"/>
    <x v="2"/>
    <x v="2"/>
    <x v="0"/>
    <n v="3120"/>
    <x v="0"/>
    <x v="0"/>
    <x v="0"/>
    <x v="0"/>
    <s v="CAR"/>
    <x v="0"/>
    <x v="0"/>
    <d v="2025-04-17T00:00:00"/>
    <x v="0"/>
    <d v="2025-04-30T00:00:00"/>
    <d v="2025-07-09T00:00:00"/>
    <d v="2025-07-30T00:00:00"/>
    <x v="0"/>
    <x v="0"/>
    <x v="0"/>
    <x v="0"/>
    <n v="278.57139999999998"/>
    <n v="3.0611999999999999"/>
    <n v="70"/>
    <x v="0"/>
    <x v="0"/>
    <x v="0"/>
    <x v="2"/>
    <x v="0"/>
    <x v="0"/>
    <x v="0"/>
    <x v="0"/>
    <x v="0"/>
    <x v="1"/>
    <x v="1"/>
    <x v="0"/>
    <n v="61"/>
    <x v="0"/>
    <n v="920"/>
    <x v="2"/>
    <x v="2"/>
    <x v="0"/>
    <x v="2"/>
  </r>
  <r>
    <x v="0"/>
    <x v="6"/>
    <x v="8"/>
    <x v="5"/>
    <x v="0"/>
    <s v="Carrot (Early) - Mature Root 1X | Field DS Sp"/>
    <s v="CAR004"/>
    <x v="0"/>
    <x v="2"/>
    <x v="2"/>
    <x v="0"/>
    <n v="3120"/>
    <x v="0"/>
    <x v="0"/>
    <x v="0"/>
    <x v="0"/>
    <s v="CAR"/>
    <x v="0"/>
    <x v="0"/>
    <d v="2025-05-08T00:00:00"/>
    <x v="0"/>
    <d v="2025-04-30T00:00:00"/>
    <d v="2025-07-09T00:00:00"/>
    <d v="2025-07-30T00:00:00"/>
    <x v="0"/>
    <x v="0"/>
    <x v="0"/>
    <x v="0"/>
    <n v="278.57139999999998"/>
    <n v="3.0611999999999999"/>
    <n v="70"/>
    <x v="0"/>
    <x v="0"/>
    <x v="0"/>
    <x v="2"/>
    <x v="0"/>
    <x v="0"/>
    <x v="0"/>
    <x v="0"/>
    <x v="0"/>
    <x v="1"/>
    <x v="1"/>
    <x v="0"/>
    <n v="61"/>
    <x v="0"/>
    <n v="920"/>
    <x v="2"/>
    <x v="2"/>
    <x v="0"/>
    <x v="2"/>
  </r>
  <r>
    <x v="0"/>
    <x v="7"/>
    <x v="9"/>
    <x v="6"/>
    <x v="0"/>
    <s v="Carrot (Early) - Mature Root 1X | Field DS Sp"/>
    <s v="CAR005"/>
    <x v="0"/>
    <x v="2"/>
    <x v="2"/>
    <x v="0"/>
    <n v="3120"/>
    <x v="0"/>
    <x v="0"/>
    <x v="0"/>
    <x v="0"/>
    <s v="CAR"/>
    <x v="0"/>
    <x v="0"/>
    <d v="2025-05-29T00:00:00"/>
    <x v="0"/>
    <d v="2025-06-29T00:00:00"/>
    <d v="2025-09-07T00:00:00"/>
    <d v="2025-09-28T00:00:00"/>
    <x v="0"/>
    <x v="0"/>
    <x v="0"/>
    <x v="0"/>
    <n v="278.57139999999998"/>
    <n v="3.0611999999999999"/>
    <n v="70"/>
    <x v="0"/>
    <x v="0"/>
    <x v="0"/>
    <x v="2"/>
    <x v="0"/>
    <x v="0"/>
    <x v="0"/>
    <x v="0"/>
    <x v="0"/>
    <x v="1"/>
    <x v="1"/>
    <x v="0"/>
    <n v="61"/>
    <x v="0"/>
    <n v="980"/>
    <x v="2"/>
    <x v="2"/>
    <x v="0"/>
    <x v="2"/>
  </r>
  <r>
    <x v="0"/>
    <x v="7"/>
    <x v="10"/>
    <x v="6"/>
    <x v="0"/>
    <s v="Carrot (Early) - Mature Root 1X | Field DS Sp"/>
    <s v="CAR006"/>
    <x v="0"/>
    <x v="2"/>
    <x v="2"/>
    <x v="0"/>
    <n v="3120"/>
    <x v="0"/>
    <x v="0"/>
    <x v="0"/>
    <x v="0"/>
    <s v="CAR"/>
    <x v="0"/>
    <x v="0"/>
    <d v="2025-06-19T00:00:00"/>
    <x v="0"/>
    <d v="2025-06-29T00:00:00"/>
    <d v="2025-09-07T00:00:00"/>
    <d v="2025-09-28T00:00:00"/>
    <x v="0"/>
    <x v="0"/>
    <x v="0"/>
    <x v="0"/>
    <n v="278.57139999999998"/>
    <n v="3.0611999999999999"/>
    <n v="70"/>
    <x v="0"/>
    <x v="0"/>
    <x v="0"/>
    <x v="2"/>
    <x v="0"/>
    <x v="0"/>
    <x v="0"/>
    <x v="0"/>
    <x v="0"/>
    <x v="1"/>
    <x v="1"/>
    <x v="0"/>
    <n v="61"/>
    <x v="0"/>
    <n v="980"/>
    <x v="2"/>
    <x v="2"/>
    <x v="0"/>
    <x v="2"/>
  </r>
  <r>
    <x v="1"/>
    <x v="8"/>
    <x v="11"/>
    <x v="7"/>
    <x v="0"/>
    <s v="Carrot (Early) - Mature Root 1X | Field DS Su"/>
    <s v="CAR008"/>
    <x v="0"/>
    <x v="2"/>
    <x v="3"/>
    <x v="0"/>
    <n v="6240"/>
    <x v="0"/>
    <x v="1"/>
    <x v="1"/>
    <x v="0"/>
    <s v="CAR"/>
    <x v="0"/>
    <x v="0"/>
    <d v="2025-08-01T00:00:00"/>
    <x v="0"/>
    <d v="2025-08-01T00:00:00"/>
    <d v="2025-10-10T00:00:00"/>
    <d v="2025-10-31T00:00:00"/>
    <x v="1"/>
    <x v="0"/>
    <x v="0"/>
    <x v="0"/>
    <n v="557.14290000000005"/>
    <n v="6.1223999999999998"/>
    <n v="70"/>
    <x v="0"/>
    <x v="0"/>
    <x v="0"/>
    <x v="2"/>
    <x v="0"/>
    <x v="0"/>
    <x v="0"/>
    <x v="0"/>
    <x v="0"/>
    <x v="1"/>
    <x v="1"/>
    <x v="0"/>
    <n v="62"/>
    <x v="2"/>
    <n v="1013"/>
    <x v="2"/>
    <x v="2"/>
    <x v="0"/>
    <x v="2"/>
  </r>
  <r>
    <x v="0"/>
    <x v="7"/>
    <x v="12"/>
    <x v="8"/>
    <x v="0"/>
    <s v="Carrot (Maincrop) - Storage Root 1X | Field DS FaWi"/>
    <s v="CAR003"/>
    <x v="0"/>
    <x v="2"/>
    <x v="4"/>
    <x v="0"/>
    <n v="6240"/>
    <x v="0"/>
    <x v="1"/>
    <x v="1"/>
    <x v="0"/>
    <s v="CAR"/>
    <x v="0"/>
    <x v="0"/>
    <d v="2025-05-31T00:00:00"/>
    <x v="0"/>
    <d v="2025-06-29T00:00:00"/>
    <d v="2025-09-21T00:00:00"/>
    <d v="2025-10-12T00:00:00"/>
    <x v="0"/>
    <x v="0"/>
    <x v="0"/>
    <x v="0"/>
    <n v="630"/>
    <n v="6"/>
    <n v="84"/>
    <x v="0"/>
    <x v="0"/>
    <x v="0"/>
    <x v="2"/>
    <x v="0"/>
    <x v="0"/>
    <x v="0"/>
    <x v="0"/>
    <x v="0"/>
    <x v="1"/>
    <x v="1"/>
    <x v="0"/>
    <n v="63"/>
    <x v="3"/>
    <n v="994"/>
    <x v="2"/>
    <x v="2"/>
    <x v="0"/>
    <x v="2"/>
  </r>
  <r>
    <x v="1"/>
    <x v="9"/>
    <x v="13"/>
    <x v="9"/>
    <x v="0"/>
    <s v="Carrot (Maincrop) - Storage Root 1X | Field DS FaWi"/>
    <s v="CAR007"/>
    <x v="0"/>
    <x v="2"/>
    <x v="4"/>
    <x v="0"/>
    <n v="6240"/>
    <x v="0"/>
    <x v="1"/>
    <x v="1"/>
    <x v="0"/>
    <s v="CAR"/>
    <x v="0"/>
    <x v="0"/>
    <d v="2025-07-01T00:00:00"/>
    <x v="0"/>
    <d v="2025-07-01T00:00:00"/>
    <d v="2025-09-23T00:00:00"/>
    <d v="2025-10-14T00:00:00"/>
    <x v="1"/>
    <x v="0"/>
    <x v="0"/>
    <x v="0"/>
    <n v="630"/>
    <n v="6"/>
    <n v="84"/>
    <x v="0"/>
    <x v="0"/>
    <x v="0"/>
    <x v="2"/>
    <x v="0"/>
    <x v="0"/>
    <x v="0"/>
    <x v="0"/>
    <x v="0"/>
    <x v="1"/>
    <x v="1"/>
    <x v="0"/>
    <n v="63"/>
    <x v="3"/>
    <n v="996"/>
    <x v="2"/>
    <x v="2"/>
    <x v="0"/>
    <x v="2"/>
  </r>
  <r>
    <x v="0"/>
    <x v="2"/>
    <x v="14"/>
    <x v="2"/>
    <x v="0"/>
    <s v="Chrysanthemum Greens - Mature Leaf 1X | Field DS Ow"/>
    <s v="CHR001"/>
    <x v="0"/>
    <x v="3"/>
    <x v="5"/>
    <x v="1"/>
    <n v="731.25"/>
    <x v="0"/>
    <x v="2"/>
    <x v="0"/>
    <x v="0"/>
    <s v="CHR"/>
    <x v="0"/>
    <x v="0"/>
    <d v="2025-03-27T00:00:00"/>
    <x v="0"/>
    <d v="2025-03-25T00:00:00"/>
    <d v="2025-05-01T00:00:00"/>
    <d v="2025-06-26T00:00:00"/>
    <x v="0"/>
    <x v="0"/>
    <x v="0"/>
    <x v="0"/>
    <n v="600"/>
    <n v="6.4516"/>
    <n v="37"/>
    <x v="0"/>
    <x v="0"/>
    <x v="0"/>
    <x v="3"/>
    <x v="0"/>
    <x v="0"/>
    <x v="0"/>
    <x v="0"/>
    <x v="0"/>
    <x v="2"/>
    <x v="2"/>
    <x v="0"/>
    <n v="82"/>
    <x v="4"/>
    <n v="851"/>
    <x v="3"/>
    <x v="3"/>
    <x v="2"/>
    <x v="2"/>
  </r>
  <r>
    <x v="0"/>
    <x v="10"/>
    <x v="15"/>
    <x v="10"/>
    <x v="0"/>
    <s v="Corn  (Sweet Early) - Mature Cob 2X | Field DS "/>
    <s v="COR001"/>
    <x v="0"/>
    <x v="4"/>
    <x v="6"/>
    <x v="0"/>
    <n v="1040"/>
    <x v="0"/>
    <x v="3"/>
    <x v="2"/>
    <x v="0"/>
    <s v="COR"/>
    <x v="0"/>
    <x v="0"/>
    <d v="2025-06-15T00:00:00"/>
    <x v="0"/>
    <d v="2025-06-20T00:00:00"/>
    <d v="2025-09-28T00:00:00"/>
    <d v="2025-10-12T00:00:00"/>
    <x v="0"/>
    <x v="0"/>
    <x v="0"/>
    <x v="0"/>
    <n v="800"/>
    <n v="7.0175000000000001"/>
    <n v="100"/>
    <x v="0"/>
    <x v="0"/>
    <x v="0"/>
    <x v="1"/>
    <x v="0"/>
    <x v="0"/>
    <x v="0"/>
    <x v="0"/>
    <x v="0"/>
    <x v="2"/>
    <x v="3"/>
    <x v="2"/>
    <n v="94"/>
    <x v="1"/>
    <n v="1001"/>
    <x v="1"/>
    <x v="4"/>
    <x v="3"/>
    <x v="0"/>
  </r>
  <r>
    <x v="1"/>
    <x v="11"/>
    <x v="16"/>
    <x v="11"/>
    <x v="0"/>
    <s v="Dahlia - Cut Flower 1X | Field DS "/>
    <s v="DAH001"/>
    <x v="0"/>
    <x v="5"/>
    <x v="3"/>
    <x v="0"/>
    <n v="520"/>
    <x v="0"/>
    <x v="4"/>
    <x v="1"/>
    <x v="0"/>
    <s v="DAH"/>
    <x v="0"/>
    <x v="0"/>
    <d v="2025-04-01T00:00:00"/>
    <x v="0"/>
    <d v="2025-04-01T00:00:00"/>
    <d v="2025-07-13T00:00:00"/>
    <d v="2025-07-20T00:00:00"/>
    <x v="1"/>
    <x v="0"/>
    <x v="0"/>
    <x v="0"/>
    <n v="0"/>
    <n v="0"/>
    <n v="103"/>
    <x v="0"/>
    <x v="0"/>
    <x v="0"/>
    <x v="4"/>
    <x v="0"/>
    <x v="0"/>
    <x v="0"/>
    <x v="0"/>
    <x v="0"/>
    <x v="3"/>
    <x v="4"/>
    <x v="1"/>
    <n v="112"/>
    <x v="1"/>
    <n v="924"/>
    <x v="4"/>
    <x v="1"/>
    <x v="1"/>
    <x v="1"/>
  </r>
  <r>
    <x v="0"/>
    <x v="12"/>
    <x v="17"/>
    <x v="7"/>
    <x v="0"/>
    <s v="Fava Bean - Mature Pod 1X | Field DS Sp"/>
    <s v="FAV001"/>
    <x v="0"/>
    <x v="6"/>
    <x v="7"/>
    <x v="2"/>
    <n v="173.33333333333331"/>
    <x v="0"/>
    <x v="1"/>
    <x v="1"/>
    <x v="0"/>
    <s v="FAV"/>
    <x v="0"/>
    <x v="0"/>
    <d v="2025-01-31T00:00:00"/>
    <x v="0"/>
    <d v="2025-01-31T00:00:00"/>
    <d v="2025-06-20T00:00:00"/>
    <d v="2025-07-11T00:00:00"/>
    <x v="0"/>
    <x v="0"/>
    <x v="0"/>
    <x v="0"/>
    <n v="600"/>
    <n v="2.9851000000000001"/>
    <n v="140"/>
    <x v="0"/>
    <x v="1"/>
    <x v="0"/>
    <x v="2"/>
    <x v="0"/>
    <x v="0"/>
    <x v="0"/>
    <x v="0"/>
    <x v="0"/>
    <x v="3"/>
    <x v="3"/>
    <x v="1"/>
    <n v="126"/>
    <x v="0"/>
    <n v="901"/>
    <x v="2"/>
    <x v="5"/>
    <x v="4"/>
    <x v="1"/>
  </r>
  <r>
    <x v="0"/>
    <x v="13"/>
    <x v="18"/>
    <x v="12"/>
    <x v="0"/>
    <s v="Garlic (Green) - Young Bulb 1X | Field DS Ow"/>
    <s v="GAR535"/>
    <x v="0"/>
    <x v="7"/>
    <x v="8"/>
    <x v="0"/>
    <n v="900"/>
    <x v="0"/>
    <x v="1"/>
    <x v="1"/>
    <x v="0"/>
    <s v="GAR"/>
    <x v="0"/>
    <x v="0"/>
    <d v="2025-08-19T00:00:00"/>
    <x v="0"/>
    <d v="2024-12-21T00:00:00"/>
    <d v="2025-05-01T00:00:00"/>
    <d v="2025-05-30T00:00:00"/>
    <x v="0"/>
    <x v="0"/>
    <x v="0"/>
    <x v="0"/>
    <n v="642.85709999999995"/>
    <n v="2.6027"/>
    <n v="240"/>
    <x v="0"/>
    <x v="0"/>
    <x v="0"/>
    <x v="4"/>
    <x v="0"/>
    <x v="0"/>
    <x v="0"/>
    <x v="0"/>
    <x v="0"/>
    <x v="2"/>
    <x v="5"/>
    <x v="1"/>
    <n v="135"/>
    <x v="4"/>
    <n v="851"/>
    <x v="5"/>
    <x v="6"/>
    <x v="2"/>
    <x v="0"/>
  </r>
  <r>
    <x v="1"/>
    <x v="13"/>
    <x v="19"/>
    <x v="13"/>
    <x v="0"/>
    <s v="Garlic (Hardneck) - Storage Bulb 1X | Field DS Ow"/>
    <s v="GAR533"/>
    <x v="1"/>
    <x v="7"/>
    <x v="8"/>
    <x v="0"/>
    <n v="300"/>
    <x v="0"/>
    <x v="3"/>
    <x v="2"/>
    <x v="0"/>
    <s v="GAR"/>
    <x v="0"/>
    <x v="0"/>
    <d v="2024-08-19T00:00:00"/>
    <x v="0"/>
    <d v="2024-12-21T00:00:00"/>
    <d v="2025-06-01T00:00:00"/>
    <d v="2025-06-15T00:00:00"/>
    <x v="1"/>
    <x v="0"/>
    <x v="0"/>
    <x v="0"/>
    <n v="1542.8570999999999"/>
    <n v="5.5698999999999996"/>
    <n v="270"/>
    <x v="0"/>
    <x v="0"/>
    <x v="0"/>
    <x v="4"/>
    <x v="0"/>
    <x v="0"/>
    <x v="0"/>
    <x v="0"/>
    <x v="0"/>
    <x v="2"/>
    <x v="6"/>
    <x v="1"/>
    <n v="136"/>
    <x v="4"/>
    <n v="882"/>
    <x v="1"/>
    <x v="6"/>
    <x v="2"/>
    <x v="0"/>
  </r>
  <r>
    <x v="1"/>
    <x v="13"/>
    <x v="20"/>
    <x v="14"/>
    <x v="0"/>
    <s v="Garlic (Softneck) - Storage Bulb 1X | Field DS Ow"/>
    <s v="GAR534"/>
    <x v="2"/>
    <x v="7"/>
    <x v="8"/>
    <x v="0"/>
    <n v="300"/>
    <x v="0"/>
    <x v="1"/>
    <x v="1"/>
    <x v="0"/>
    <s v="GAR"/>
    <x v="0"/>
    <x v="0"/>
    <d v="2024-08-19T00:00:00"/>
    <x v="0"/>
    <d v="2024-12-21T00:00:00"/>
    <d v="2025-06-15T00:00:00"/>
    <d v="2025-06-25T00:00:00"/>
    <x v="1"/>
    <x v="0"/>
    <x v="0"/>
    <x v="0"/>
    <n v="771.42859999999996"/>
    <n v="3.1232000000000002"/>
    <n v="240"/>
    <x v="0"/>
    <x v="0"/>
    <x v="0"/>
    <x v="4"/>
    <x v="0"/>
    <x v="0"/>
    <x v="0"/>
    <x v="0"/>
    <x v="0"/>
    <x v="2"/>
    <x v="6"/>
    <x v="1"/>
    <n v="137"/>
    <x v="4"/>
    <n v="896"/>
    <x v="6"/>
    <x v="6"/>
    <x v="2"/>
    <x v="0"/>
  </r>
  <r>
    <x v="0"/>
    <x v="14"/>
    <x v="21"/>
    <x v="15"/>
    <x v="0"/>
    <s v="Lovage (Perennial) - Mature Leaf 1X | Field DS "/>
    <s v="LOV366"/>
    <x v="3"/>
    <x v="8"/>
    <x v="9"/>
    <x v="0"/>
    <n v="0"/>
    <x v="0"/>
    <x v="5"/>
    <x v="0"/>
    <x v="0"/>
    <s v="LOV"/>
    <x v="0"/>
    <x v="1"/>
    <d v="2024-01-27T00:00:00"/>
    <x v="0"/>
    <d v="2024-01-01T00:00:00"/>
    <d v="2024-04-10T00:00:00"/>
    <d v="2025-01-20T00:00:00"/>
    <x v="0"/>
    <x v="1"/>
    <x v="0"/>
    <x v="0"/>
    <n v="480"/>
    <n v="1.6782999999999999"/>
    <n v="125"/>
    <x v="0"/>
    <x v="0"/>
    <x v="1"/>
    <x v="5"/>
    <x v="0"/>
    <x v="0"/>
    <x v="0"/>
    <x v="0"/>
    <x v="0"/>
    <x v="4"/>
    <x v="7"/>
    <x v="1"/>
    <n v="196"/>
    <x v="5"/>
    <n v="490"/>
    <x v="7"/>
    <x v="7"/>
    <x v="5"/>
    <x v="0"/>
  </r>
  <r>
    <x v="0"/>
    <x v="2"/>
    <x v="22"/>
    <x v="16"/>
    <x v="0"/>
    <s v="Magenta Spreen - Young Stem 1X |  DS Sp"/>
    <s v="MAG001"/>
    <x v="0"/>
    <x v="9"/>
    <x v="10"/>
    <x v="1"/>
    <n v="390"/>
    <x v="0"/>
    <x v="2"/>
    <x v="0"/>
    <x v="0"/>
    <s v="MAG"/>
    <x v="0"/>
    <x v="0"/>
    <d v="2025-03-17T00:00:00"/>
    <x v="0"/>
    <d v="2025-03-25T00:00:00"/>
    <d v="2025-05-24T00:00:00"/>
    <d v="2025-06-28T00:00:00"/>
    <x v="0"/>
    <x v="0"/>
    <x v="0"/>
    <x v="0"/>
    <n v="337.5"/>
    <n v="3.5526"/>
    <n v="60"/>
    <x v="0"/>
    <x v="0"/>
    <x v="0"/>
    <x v="6"/>
    <x v="0"/>
    <x v="0"/>
    <x v="0"/>
    <x v="0"/>
    <x v="0"/>
    <x v="1"/>
    <x v="5"/>
    <x v="1"/>
    <n v="199"/>
    <x v="0"/>
    <n v="874"/>
    <x v="8"/>
    <x v="8"/>
    <x v="6"/>
    <x v="1"/>
  </r>
  <r>
    <x v="0"/>
    <x v="15"/>
    <x v="23"/>
    <x v="17"/>
    <x v="0"/>
    <s v="Potato (Early) - Mature Root 1X | Field DS "/>
    <s v="POT001"/>
    <x v="0"/>
    <x v="10"/>
    <x v="11"/>
    <x v="0"/>
    <n v="173.33333333333331"/>
    <x v="0"/>
    <x v="3"/>
    <x v="2"/>
    <x v="0"/>
    <s v="POT"/>
    <x v="0"/>
    <x v="0"/>
    <d v="2025-04-01T00:00:00"/>
    <x v="0"/>
    <d v="2025-04-18T00:00:00"/>
    <d v="2025-06-17T00:00:00"/>
    <d v="2025-06-24T00:00:00"/>
    <x v="0"/>
    <x v="0"/>
    <x v="0"/>
    <x v="0"/>
    <n v="560"/>
    <n v="8.3582000000000001"/>
    <n v="60"/>
    <x v="0"/>
    <x v="0"/>
    <x v="0"/>
    <x v="4"/>
    <x v="0"/>
    <x v="0"/>
    <x v="0"/>
    <x v="0"/>
    <x v="0"/>
    <x v="3"/>
    <x v="7"/>
    <x v="1"/>
    <n v="246"/>
    <x v="1"/>
    <n v="898"/>
    <x v="4"/>
    <x v="2"/>
    <x v="7"/>
    <x v="0"/>
  </r>
  <r>
    <x v="0"/>
    <x v="16"/>
    <x v="24"/>
    <x v="18"/>
    <x v="0"/>
    <s v="Potato (Main Crop) - Storage Root 1X | Field DS "/>
    <s v="POT002"/>
    <x v="0"/>
    <x v="10"/>
    <x v="12"/>
    <x v="0"/>
    <n v="130"/>
    <x v="0"/>
    <x v="3"/>
    <x v="2"/>
    <x v="0"/>
    <s v="POT"/>
    <x v="0"/>
    <x v="0"/>
    <d v="2025-04-21T00:00:00"/>
    <x v="0"/>
    <d v="2025-04-24T00:00:00"/>
    <d v="2025-08-22T00:00:00"/>
    <d v="2025-08-29T00:00:00"/>
    <x v="0"/>
    <x v="0"/>
    <x v="0"/>
    <x v="0"/>
    <n v="393.75"/>
    <n v="3.1004"/>
    <n v="120"/>
    <x v="0"/>
    <x v="0"/>
    <x v="0"/>
    <x v="4"/>
    <x v="0"/>
    <x v="0"/>
    <x v="0"/>
    <x v="0"/>
    <x v="0"/>
    <x v="3"/>
    <x v="8"/>
    <x v="1"/>
    <n v="247"/>
    <x v="1"/>
    <n v="964"/>
    <x v="4"/>
    <x v="2"/>
    <x v="7"/>
    <x v="1"/>
  </r>
  <r>
    <x v="0"/>
    <x v="2"/>
    <x v="25"/>
    <x v="2"/>
    <x v="0"/>
    <s v="Radish (6r) - Mature Root 1X | Field DS Sp"/>
    <s v="RAD003"/>
    <x v="0"/>
    <x v="11"/>
    <x v="13"/>
    <x v="0"/>
    <n v="1170"/>
    <x v="0"/>
    <x v="2"/>
    <x v="0"/>
    <x v="0"/>
    <s v="RAD"/>
    <x v="0"/>
    <x v="0"/>
    <d v="2025-03-12T00:00:00"/>
    <x v="0"/>
    <d v="2025-03-25T00:00:00"/>
    <d v="2025-04-26T00:00:00"/>
    <d v="2025-05-17T00:00:00"/>
    <x v="0"/>
    <x v="0"/>
    <x v="0"/>
    <x v="0"/>
    <n v="93.75"/>
    <n v="1.7688999999999999"/>
    <n v="32"/>
    <x v="0"/>
    <x v="0"/>
    <x v="0"/>
    <x v="2"/>
    <x v="0"/>
    <x v="0"/>
    <x v="0"/>
    <x v="0"/>
    <x v="0"/>
    <x v="0"/>
    <x v="9"/>
    <x v="0"/>
    <n v="254"/>
    <x v="0"/>
    <n v="846"/>
    <x v="2"/>
    <x v="2"/>
    <x v="0"/>
    <x v="2"/>
  </r>
  <r>
    <x v="0"/>
    <x v="6"/>
    <x v="26"/>
    <x v="19"/>
    <x v="0"/>
    <s v="Radish (6r) - Mature Root 1X | Field DS Sp"/>
    <s v="RAD449"/>
    <x v="0"/>
    <x v="11"/>
    <x v="13"/>
    <x v="0"/>
    <n v="2340"/>
    <x v="0"/>
    <x v="0"/>
    <x v="0"/>
    <x v="0"/>
    <s v="RAD"/>
    <x v="0"/>
    <x v="0"/>
    <d v="2025-04-01T00:00:00"/>
    <x v="0"/>
    <d v="2025-04-30T00:00:00"/>
    <d v="2025-06-01T00:00:00"/>
    <d v="2025-06-22T00:00:00"/>
    <x v="0"/>
    <x v="0"/>
    <x v="0"/>
    <x v="0"/>
    <n v="187.5"/>
    <n v="3.5377000000000001"/>
    <n v="32"/>
    <x v="0"/>
    <x v="0"/>
    <x v="0"/>
    <x v="2"/>
    <x v="0"/>
    <x v="0"/>
    <x v="0"/>
    <x v="0"/>
    <x v="0"/>
    <x v="0"/>
    <x v="9"/>
    <x v="0"/>
    <n v="254"/>
    <x v="0"/>
    <n v="882"/>
    <x v="2"/>
    <x v="2"/>
    <x v="0"/>
    <x v="2"/>
  </r>
  <r>
    <x v="0"/>
    <x v="17"/>
    <x v="27"/>
    <x v="20"/>
    <x v="0"/>
    <s v="Radish (6r) - Mature Root 1X | Field DS Su"/>
    <s v="RAD455"/>
    <x v="0"/>
    <x v="11"/>
    <x v="13"/>
    <x v="0"/>
    <n v="4680"/>
    <x v="0"/>
    <x v="1"/>
    <x v="1"/>
    <x v="0"/>
    <s v="RAD"/>
    <x v="0"/>
    <x v="0"/>
    <d v="2025-04-07T00:00:00"/>
    <x v="0"/>
    <d v="2025-04-06T00:00:00"/>
    <d v="2025-05-08T00:00:00"/>
    <d v="2025-05-29T00:00:00"/>
    <x v="0"/>
    <x v="0"/>
    <x v="0"/>
    <x v="0"/>
    <n v="375"/>
    <n v="7.0754999999999999"/>
    <n v="32"/>
    <x v="0"/>
    <x v="0"/>
    <x v="0"/>
    <x v="2"/>
    <x v="0"/>
    <x v="0"/>
    <x v="0"/>
    <x v="0"/>
    <x v="0"/>
    <x v="0"/>
    <x v="9"/>
    <x v="0"/>
    <n v="255"/>
    <x v="2"/>
    <n v="858"/>
    <x v="2"/>
    <x v="2"/>
    <x v="0"/>
    <x v="2"/>
  </r>
  <r>
    <x v="0"/>
    <x v="7"/>
    <x v="28"/>
    <x v="21"/>
    <x v="0"/>
    <s v="Radish (6r) - Mature Root 1X | Field DS Su"/>
    <s v="RAD451"/>
    <x v="0"/>
    <x v="11"/>
    <x v="13"/>
    <x v="0"/>
    <n v="2340"/>
    <x v="0"/>
    <x v="0"/>
    <x v="0"/>
    <x v="0"/>
    <s v="RAD"/>
    <x v="0"/>
    <x v="0"/>
    <d v="2025-05-31T00:00:00"/>
    <x v="0"/>
    <d v="2025-06-29T00:00:00"/>
    <d v="2025-07-31T00:00:00"/>
    <d v="2025-08-21T00:00:00"/>
    <x v="0"/>
    <x v="0"/>
    <x v="0"/>
    <x v="0"/>
    <n v="187.5"/>
    <n v="3.5377000000000001"/>
    <n v="32"/>
    <x v="0"/>
    <x v="0"/>
    <x v="0"/>
    <x v="2"/>
    <x v="0"/>
    <x v="0"/>
    <x v="0"/>
    <x v="0"/>
    <x v="0"/>
    <x v="0"/>
    <x v="9"/>
    <x v="0"/>
    <n v="255"/>
    <x v="2"/>
    <n v="942"/>
    <x v="2"/>
    <x v="2"/>
    <x v="0"/>
    <x v="2"/>
  </r>
  <r>
    <x v="0"/>
    <x v="18"/>
    <x v="29"/>
    <x v="22"/>
    <x v="0"/>
    <s v="Radish (6r) - Mature Root 1X | Field DS Su"/>
    <s v="RAD452"/>
    <x v="0"/>
    <x v="11"/>
    <x v="13"/>
    <x v="0"/>
    <n v="2340"/>
    <x v="0"/>
    <x v="0"/>
    <x v="0"/>
    <x v="0"/>
    <s v="RAD"/>
    <x v="0"/>
    <x v="0"/>
    <d v="2025-06-30T00:00:00"/>
    <x v="0"/>
    <d v="2025-07-21T00:00:00"/>
    <d v="2025-08-22T00:00:00"/>
    <d v="2025-09-12T00:00:00"/>
    <x v="0"/>
    <x v="0"/>
    <x v="0"/>
    <x v="0"/>
    <n v="187.5"/>
    <n v="3.5377000000000001"/>
    <n v="32"/>
    <x v="0"/>
    <x v="0"/>
    <x v="0"/>
    <x v="2"/>
    <x v="0"/>
    <x v="0"/>
    <x v="0"/>
    <x v="0"/>
    <x v="0"/>
    <x v="0"/>
    <x v="9"/>
    <x v="0"/>
    <n v="255"/>
    <x v="2"/>
    <n v="964"/>
    <x v="2"/>
    <x v="2"/>
    <x v="0"/>
    <x v="2"/>
  </r>
  <r>
    <x v="0"/>
    <x v="19"/>
    <x v="30"/>
    <x v="21"/>
    <x v="0"/>
    <s v="Radish (6r) - Mature Root 1X | Field DS Su"/>
    <s v="RAD453"/>
    <x v="0"/>
    <x v="11"/>
    <x v="13"/>
    <x v="0"/>
    <n v="2340"/>
    <x v="0"/>
    <x v="0"/>
    <x v="0"/>
    <x v="0"/>
    <s v="RAD"/>
    <x v="0"/>
    <x v="0"/>
    <d v="2025-07-30T00:00:00"/>
    <x v="0"/>
    <d v="2025-08-25T00:00:00"/>
    <d v="2025-09-26T00:00:00"/>
    <d v="2025-10-17T00:00:00"/>
    <x v="0"/>
    <x v="0"/>
    <x v="0"/>
    <x v="0"/>
    <n v="187.5"/>
    <n v="3.5377000000000001"/>
    <n v="32"/>
    <x v="0"/>
    <x v="0"/>
    <x v="0"/>
    <x v="2"/>
    <x v="0"/>
    <x v="0"/>
    <x v="0"/>
    <x v="0"/>
    <x v="0"/>
    <x v="0"/>
    <x v="9"/>
    <x v="0"/>
    <n v="255"/>
    <x v="2"/>
    <n v="999"/>
    <x v="2"/>
    <x v="2"/>
    <x v="0"/>
    <x v="2"/>
  </r>
  <r>
    <x v="1"/>
    <x v="8"/>
    <x v="31"/>
    <x v="5"/>
    <x v="0"/>
    <s v="Radish (6r) - Mature Root 1X | Field DS Su"/>
    <s v="RAD456"/>
    <x v="0"/>
    <x v="11"/>
    <x v="13"/>
    <x v="0"/>
    <n v="2340"/>
    <x v="0"/>
    <x v="0"/>
    <x v="0"/>
    <x v="0"/>
    <s v="RAD"/>
    <x v="0"/>
    <x v="0"/>
    <d v="2025-08-01T00:00:00"/>
    <x v="0"/>
    <d v="2025-08-01T00:00:00"/>
    <d v="2025-09-02T00:00:00"/>
    <d v="2025-09-23T00:00:00"/>
    <x v="1"/>
    <x v="0"/>
    <x v="0"/>
    <x v="0"/>
    <n v="187.5"/>
    <n v="3.5377000000000001"/>
    <n v="32"/>
    <x v="0"/>
    <x v="0"/>
    <x v="0"/>
    <x v="2"/>
    <x v="0"/>
    <x v="0"/>
    <x v="0"/>
    <x v="0"/>
    <x v="0"/>
    <x v="0"/>
    <x v="9"/>
    <x v="0"/>
    <n v="255"/>
    <x v="2"/>
    <n v="975"/>
    <x v="2"/>
    <x v="2"/>
    <x v="0"/>
    <x v="2"/>
  </r>
  <r>
    <x v="1"/>
    <x v="20"/>
    <x v="32"/>
    <x v="23"/>
    <x v="0"/>
    <s v="Radish (6r) - Mature Root 1X | Field DS Su"/>
    <s v="RAD457"/>
    <x v="0"/>
    <x v="11"/>
    <x v="13"/>
    <x v="0"/>
    <n v="2340"/>
    <x v="0"/>
    <x v="0"/>
    <x v="0"/>
    <x v="0"/>
    <s v="RAD"/>
    <x v="0"/>
    <x v="0"/>
    <d v="2025-08-20T00:00:00"/>
    <x v="0"/>
    <d v="2025-08-20T00:00:00"/>
    <d v="2025-09-21T00:00:00"/>
    <d v="2025-10-12T00:00:00"/>
    <x v="1"/>
    <x v="0"/>
    <x v="0"/>
    <x v="0"/>
    <n v="187.5"/>
    <n v="3.5377000000000001"/>
    <n v="32"/>
    <x v="0"/>
    <x v="0"/>
    <x v="0"/>
    <x v="2"/>
    <x v="0"/>
    <x v="0"/>
    <x v="0"/>
    <x v="0"/>
    <x v="0"/>
    <x v="0"/>
    <x v="9"/>
    <x v="0"/>
    <n v="255"/>
    <x v="2"/>
    <n v="994"/>
    <x v="2"/>
    <x v="2"/>
    <x v="0"/>
    <x v="2"/>
  </r>
  <r>
    <x v="1"/>
    <x v="21"/>
    <x v="33"/>
    <x v="22"/>
    <x v="0"/>
    <s v="Radish (6r) - Mature Root 1X | Field DS Su"/>
    <s v="RAD454"/>
    <x v="0"/>
    <x v="11"/>
    <x v="13"/>
    <x v="0"/>
    <n v="2340"/>
    <x v="0"/>
    <x v="0"/>
    <x v="0"/>
    <x v="0"/>
    <s v="RAD"/>
    <x v="0"/>
    <x v="0"/>
    <d v="2025-08-29T00:00:00"/>
    <x v="0"/>
    <d v="2025-08-29T00:00:00"/>
    <d v="2025-09-30T00:00:00"/>
    <d v="2025-10-21T00:00:00"/>
    <x v="1"/>
    <x v="0"/>
    <x v="0"/>
    <x v="0"/>
    <n v="187.5"/>
    <n v="3.5377000000000001"/>
    <n v="32"/>
    <x v="0"/>
    <x v="0"/>
    <x v="0"/>
    <x v="2"/>
    <x v="0"/>
    <x v="0"/>
    <x v="0"/>
    <x v="0"/>
    <x v="0"/>
    <x v="0"/>
    <x v="9"/>
    <x v="0"/>
    <n v="255"/>
    <x v="2"/>
    <n v="1003"/>
    <x v="2"/>
    <x v="2"/>
    <x v="0"/>
    <x v="2"/>
  </r>
  <r>
    <x v="1"/>
    <x v="3"/>
    <x v="34"/>
    <x v="24"/>
    <x v="0"/>
    <s v="Radish (Munchen Bier) - Storage Root 1X | Field DS "/>
    <s v="RAD006"/>
    <x v="0"/>
    <x v="11"/>
    <x v="14"/>
    <x v="3"/>
    <n v="1560"/>
    <x v="0"/>
    <x v="1"/>
    <x v="1"/>
    <x v="0"/>
    <s v="RAD"/>
    <x v="0"/>
    <x v="0"/>
    <d v="2025-06-30T00:00:00"/>
    <x v="0"/>
    <d v="2025-06-30T00:00:00"/>
    <d v="2025-08-19T00:00:00"/>
    <d v="2025-09-09T00:00:00"/>
    <x v="1"/>
    <x v="0"/>
    <x v="0"/>
    <x v="0"/>
    <n v="514.28570000000002"/>
    <n v="7.2435"/>
    <n v="50"/>
    <x v="0"/>
    <x v="0"/>
    <x v="0"/>
    <x v="2"/>
    <x v="0"/>
    <x v="0"/>
    <x v="0"/>
    <x v="0"/>
    <x v="0"/>
    <x v="0"/>
    <x v="10"/>
    <x v="1"/>
    <n v="259"/>
    <x v="1"/>
    <n v="961"/>
    <x v="2"/>
    <x v="2"/>
    <x v="1"/>
    <x v="1"/>
  </r>
  <r>
    <x v="1"/>
    <x v="22"/>
    <x v="35"/>
    <x v="25"/>
    <x v="0"/>
    <s v="Scallion - Mature Stalk 6X | Field DS Fa"/>
    <s v="SCA638"/>
    <x v="0"/>
    <x v="12"/>
    <x v="3"/>
    <x v="0"/>
    <n v="1320"/>
    <x v="0"/>
    <x v="0"/>
    <x v="0"/>
    <x v="0"/>
    <s v="SCA"/>
    <x v="0"/>
    <x v="0"/>
    <d v="2025-06-25T00:00:00"/>
    <x v="0"/>
    <d v="2025-06-25T00:00:00"/>
    <d v="2025-09-10T00:00:00"/>
    <d v="2025-09-24T00:00:00"/>
    <x v="1"/>
    <x v="0"/>
    <x v="0"/>
    <x v="0"/>
    <n v="166.66669999999999"/>
    <n v="1.8314999999999999"/>
    <n v="77"/>
    <x v="0"/>
    <x v="0"/>
    <x v="0"/>
    <x v="1"/>
    <x v="0"/>
    <x v="0"/>
    <x v="0"/>
    <x v="0"/>
    <x v="0"/>
    <x v="1"/>
    <x v="6"/>
    <x v="1"/>
    <n v="277"/>
    <x v="6"/>
    <n v="983"/>
    <x v="1"/>
    <x v="9"/>
    <x v="8"/>
    <x v="0"/>
  </r>
  <r>
    <x v="1"/>
    <x v="4"/>
    <x v="36"/>
    <x v="25"/>
    <x v="0"/>
    <s v="Scallion - Mature Stalk 6X | Field DS Fa"/>
    <s v="SCA636"/>
    <x v="0"/>
    <x v="12"/>
    <x v="3"/>
    <x v="0"/>
    <n v="1320"/>
    <x v="0"/>
    <x v="0"/>
    <x v="0"/>
    <x v="0"/>
    <s v="SCA"/>
    <x v="0"/>
    <x v="0"/>
    <d v="2025-08-15T00:00:00"/>
    <x v="0"/>
    <d v="2025-08-15T00:00:00"/>
    <d v="2025-10-31T00:00:00"/>
    <d v="2025-11-14T00:00:00"/>
    <x v="1"/>
    <x v="0"/>
    <x v="0"/>
    <x v="0"/>
    <n v="166.66669999999999"/>
    <n v="1.8314999999999999"/>
    <n v="77"/>
    <x v="0"/>
    <x v="0"/>
    <x v="0"/>
    <x v="1"/>
    <x v="0"/>
    <x v="0"/>
    <x v="0"/>
    <x v="0"/>
    <x v="0"/>
    <x v="1"/>
    <x v="6"/>
    <x v="1"/>
    <n v="277"/>
    <x v="6"/>
    <n v="1034"/>
    <x v="1"/>
    <x v="9"/>
    <x v="8"/>
    <x v="0"/>
  </r>
  <r>
    <x v="0"/>
    <x v="6"/>
    <x v="37"/>
    <x v="19"/>
    <x v="0"/>
    <s v="Turnip (Tokyo) - Mature Root 1X | Field DS Sp"/>
    <s v="TUR001"/>
    <x v="0"/>
    <x v="13"/>
    <x v="15"/>
    <x v="4"/>
    <n v="1040"/>
    <x v="0"/>
    <x v="0"/>
    <x v="0"/>
    <x v="0"/>
    <s v="TUR"/>
    <x v="0"/>
    <x v="0"/>
    <d v="2025-04-01T00:00:00"/>
    <x v="0"/>
    <d v="2025-04-30T00:00:00"/>
    <d v="2025-06-09T00:00:00"/>
    <d v="2025-06-23T00:00:00"/>
    <x v="0"/>
    <x v="0"/>
    <x v="0"/>
    <x v="0"/>
    <n v="137.5"/>
    <n v="2.5463"/>
    <n v="40"/>
    <x v="0"/>
    <x v="0"/>
    <x v="0"/>
    <x v="1"/>
    <x v="0"/>
    <x v="0"/>
    <x v="0"/>
    <x v="0"/>
    <x v="0"/>
    <x v="1"/>
    <x v="11"/>
    <x v="1"/>
    <n v="335"/>
    <x v="0"/>
    <n v="890"/>
    <x v="1"/>
    <x v="2"/>
    <x v="2"/>
    <x v="1"/>
  </r>
  <r>
    <x v="0"/>
    <x v="2"/>
    <x v="38"/>
    <x v="2"/>
    <x v="0"/>
    <s v="Turnip (Tokyo) - Mature Root 1X | Field DS Sp"/>
    <s v="TUR003"/>
    <x v="0"/>
    <x v="13"/>
    <x v="15"/>
    <x v="4"/>
    <n v="520"/>
    <x v="0"/>
    <x v="2"/>
    <x v="0"/>
    <x v="0"/>
    <s v="TUR"/>
    <x v="0"/>
    <x v="0"/>
    <d v="2025-04-01T00:00:00"/>
    <x v="0"/>
    <d v="2025-03-25T00:00:00"/>
    <d v="2025-05-04T00:00:00"/>
    <d v="2025-05-18T00:00:00"/>
    <x v="0"/>
    <x v="0"/>
    <x v="0"/>
    <x v="0"/>
    <n v="68.75"/>
    <n v="1.2730999999999999"/>
    <n v="40"/>
    <x v="0"/>
    <x v="0"/>
    <x v="0"/>
    <x v="1"/>
    <x v="0"/>
    <x v="0"/>
    <x v="0"/>
    <x v="0"/>
    <x v="0"/>
    <x v="1"/>
    <x v="11"/>
    <x v="1"/>
    <n v="335"/>
    <x v="0"/>
    <n v="854"/>
    <x v="1"/>
    <x v="2"/>
    <x v="2"/>
    <x v="1"/>
  </r>
  <r>
    <x v="0"/>
    <x v="3"/>
    <x v="39"/>
    <x v="21"/>
    <x v="0"/>
    <s v="Turnip (Tokyo) - Mature Root 1X | Field DS SuFa"/>
    <s v="TUR002"/>
    <x v="0"/>
    <x v="13"/>
    <x v="15"/>
    <x v="4"/>
    <n v="1040"/>
    <x v="0"/>
    <x v="0"/>
    <x v="0"/>
    <x v="0"/>
    <s v="TUR"/>
    <x v="0"/>
    <x v="0"/>
    <d v="2025-06-14T00:00:00"/>
    <x v="0"/>
    <d v="2025-06-30T00:00:00"/>
    <d v="2025-08-09T00:00:00"/>
    <d v="2025-08-23T00:00:00"/>
    <x v="0"/>
    <x v="0"/>
    <x v="0"/>
    <x v="0"/>
    <n v="137.5"/>
    <n v="2.5463"/>
    <n v="40"/>
    <x v="0"/>
    <x v="0"/>
    <x v="0"/>
    <x v="1"/>
    <x v="0"/>
    <x v="0"/>
    <x v="0"/>
    <x v="0"/>
    <x v="0"/>
    <x v="1"/>
    <x v="11"/>
    <x v="1"/>
    <n v="337"/>
    <x v="7"/>
    <n v="951"/>
    <x v="1"/>
    <x v="2"/>
    <x v="2"/>
    <x v="1"/>
  </r>
  <r>
    <x v="0"/>
    <x v="18"/>
    <x v="40"/>
    <x v="22"/>
    <x v="0"/>
    <s v="Turnip (Tokyo) - Mature Root 1X | Field DS SuFa"/>
    <s v="TUR528"/>
    <x v="0"/>
    <x v="13"/>
    <x v="15"/>
    <x v="4"/>
    <n v="1040"/>
    <x v="0"/>
    <x v="0"/>
    <x v="0"/>
    <x v="0"/>
    <s v="TUR"/>
    <x v="0"/>
    <x v="0"/>
    <d v="2025-07-07T00:00:00"/>
    <x v="0"/>
    <d v="2025-07-21T00:00:00"/>
    <d v="2025-08-30T00:00:00"/>
    <d v="2025-09-13T00:00:00"/>
    <x v="0"/>
    <x v="0"/>
    <x v="0"/>
    <x v="0"/>
    <n v="137.5"/>
    <n v="2.5463"/>
    <n v="40"/>
    <x v="0"/>
    <x v="0"/>
    <x v="0"/>
    <x v="1"/>
    <x v="0"/>
    <x v="0"/>
    <x v="0"/>
    <x v="0"/>
    <x v="0"/>
    <x v="1"/>
    <x v="11"/>
    <x v="1"/>
    <n v="337"/>
    <x v="7"/>
    <n v="972"/>
    <x v="1"/>
    <x v="2"/>
    <x v="2"/>
    <x v="1"/>
  </r>
  <r>
    <x v="1"/>
    <x v="8"/>
    <x v="41"/>
    <x v="5"/>
    <x v="0"/>
    <s v="Turnip (Tokyo) - Mature Root 1X | Field DS SuFa"/>
    <s v="TUR531"/>
    <x v="0"/>
    <x v="13"/>
    <x v="15"/>
    <x v="4"/>
    <n v="1040"/>
    <x v="0"/>
    <x v="0"/>
    <x v="0"/>
    <x v="0"/>
    <s v="TUR"/>
    <x v="0"/>
    <x v="0"/>
    <d v="2025-08-01T00:00:00"/>
    <x v="0"/>
    <d v="2025-08-01T00:00:00"/>
    <d v="2025-09-10T00:00:00"/>
    <d v="2025-09-24T00:00:00"/>
    <x v="1"/>
    <x v="0"/>
    <x v="0"/>
    <x v="0"/>
    <n v="137.5"/>
    <n v="2.5463"/>
    <n v="40"/>
    <x v="0"/>
    <x v="0"/>
    <x v="0"/>
    <x v="1"/>
    <x v="0"/>
    <x v="0"/>
    <x v="0"/>
    <x v="0"/>
    <x v="0"/>
    <x v="1"/>
    <x v="11"/>
    <x v="1"/>
    <n v="337"/>
    <x v="7"/>
    <n v="983"/>
    <x v="1"/>
    <x v="2"/>
    <x v="2"/>
    <x v="1"/>
  </r>
  <r>
    <x v="0"/>
    <x v="19"/>
    <x v="42"/>
    <x v="21"/>
    <x v="0"/>
    <s v="Turnip (Tokyo) - Mature Root 1X | Field DS SuFa"/>
    <s v="TUR529"/>
    <x v="0"/>
    <x v="13"/>
    <x v="15"/>
    <x v="4"/>
    <n v="1040"/>
    <x v="0"/>
    <x v="0"/>
    <x v="0"/>
    <x v="0"/>
    <s v="TUR"/>
    <x v="0"/>
    <x v="0"/>
    <d v="2025-08-07T00:00:00"/>
    <x v="0"/>
    <d v="2025-08-25T00:00:00"/>
    <d v="2025-10-04T00:00:00"/>
    <d v="2025-10-18T00:00:00"/>
    <x v="0"/>
    <x v="0"/>
    <x v="0"/>
    <x v="0"/>
    <n v="137.5"/>
    <n v="2.5463"/>
    <n v="40"/>
    <x v="0"/>
    <x v="0"/>
    <x v="0"/>
    <x v="1"/>
    <x v="0"/>
    <x v="0"/>
    <x v="0"/>
    <x v="0"/>
    <x v="0"/>
    <x v="1"/>
    <x v="11"/>
    <x v="1"/>
    <n v="337"/>
    <x v="7"/>
    <n v="1007"/>
    <x v="1"/>
    <x v="2"/>
    <x v="2"/>
    <x v="1"/>
  </r>
  <r>
    <x v="1"/>
    <x v="20"/>
    <x v="43"/>
    <x v="26"/>
    <x v="0"/>
    <s v="Turnip (Tokyo) - Mature Root 1X | Field DS SuFa"/>
    <s v="TUR532"/>
    <x v="0"/>
    <x v="13"/>
    <x v="15"/>
    <x v="4"/>
    <n v="1040"/>
    <x v="0"/>
    <x v="0"/>
    <x v="0"/>
    <x v="0"/>
    <s v="TUR"/>
    <x v="0"/>
    <x v="0"/>
    <d v="2025-08-20T00:00:00"/>
    <x v="0"/>
    <d v="2025-08-20T00:00:00"/>
    <d v="2025-09-29T00:00:00"/>
    <d v="2025-10-13T00:00:00"/>
    <x v="1"/>
    <x v="0"/>
    <x v="0"/>
    <x v="0"/>
    <n v="137.5"/>
    <n v="2.5463"/>
    <n v="40"/>
    <x v="0"/>
    <x v="0"/>
    <x v="0"/>
    <x v="1"/>
    <x v="0"/>
    <x v="0"/>
    <x v="0"/>
    <x v="0"/>
    <x v="0"/>
    <x v="1"/>
    <x v="11"/>
    <x v="1"/>
    <n v="337"/>
    <x v="7"/>
    <n v="1002"/>
    <x v="1"/>
    <x v="2"/>
    <x v="2"/>
    <x v="1"/>
  </r>
  <r>
    <x v="0"/>
    <x v="23"/>
    <x v="44"/>
    <x v="27"/>
    <x v="1"/>
    <s v="Asian Greens - Mature Head 1X | Field TP "/>
    <s v="BOK001"/>
    <x v="4"/>
    <x v="1"/>
    <x v="16"/>
    <x v="0"/>
    <n v="554.66666666666663"/>
    <x v="0"/>
    <x v="6"/>
    <x v="3"/>
    <x v="0"/>
    <s v="ASI"/>
    <x v="0"/>
    <x v="2"/>
    <d v="2025-04-29T00:00:00"/>
    <x v="0"/>
    <d v="2025-05-07T00:00:00"/>
    <d v="2025-06-18T00:00:00"/>
    <d v="2025-07-02T00:00:00"/>
    <x v="0"/>
    <x v="1"/>
    <x v="0"/>
    <x v="0"/>
    <n v="853.33330000000001"/>
    <n v="16.731999999999999"/>
    <n v="65"/>
    <x v="0"/>
    <x v="0"/>
    <x v="0"/>
    <x v="1"/>
    <x v="1"/>
    <x v="0"/>
    <x v="0"/>
    <x v="0"/>
    <x v="1"/>
    <x v="1"/>
    <x v="3"/>
    <x v="1"/>
    <n v="10"/>
    <x v="1"/>
    <n v="899"/>
    <x v="1"/>
    <x v="1"/>
    <x v="1"/>
    <x v="1"/>
  </r>
  <r>
    <x v="1"/>
    <x v="4"/>
    <x v="45"/>
    <x v="28"/>
    <x v="1"/>
    <s v="Asian Greens - Mature Head 1X | Field TP "/>
    <s v="ASI002"/>
    <x v="4"/>
    <x v="1"/>
    <x v="16"/>
    <x v="0"/>
    <n v="346.66666666666663"/>
    <x v="0"/>
    <x v="1"/>
    <x v="1"/>
    <x v="0"/>
    <s v="ASI"/>
    <x v="0"/>
    <x v="3"/>
    <d v="2025-08-15T00:00:00"/>
    <x v="0"/>
    <d v="2025-08-15T00:00:00"/>
    <d v="2025-09-21T00:00:00"/>
    <d v="2025-10-05T00:00:00"/>
    <x v="1"/>
    <x v="2"/>
    <x v="0"/>
    <x v="0"/>
    <n v="533.33330000000001"/>
    <n v="10.4575"/>
    <n v="65"/>
    <x v="0"/>
    <x v="0"/>
    <x v="0"/>
    <x v="1"/>
    <x v="1"/>
    <x v="0"/>
    <x v="0"/>
    <x v="0"/>
    <x v="1"/>
    <x v="1"/>
    <x v="3"/>
    <x v="1"/>
    <n v="10"/>
    <x v="1"/>
    <n v="994"/>
    <x v="1"/>
    <x v="1"/>
    <x v="1"/>
    <x v="1"/>
  </r>
  <r>
    <x v="1"/>
    <x v="24"/>
    <x v="46"/>
    <x v="16"/>
    <x v="1"/>
    <s v="Basil (Interplant) - Mature Leaf 1X | Tunnel TP SpSuOw"/>
    <s v="BAS001"/>
    <x v="0"/>
    <x v="14"/>
    <x v="17"/>
    <x v="0"/>
    <n v="65"/>
    <x v="0"/>
    <x v="1"/>
    <x v="1"/>
    <x v="0"/>
    <s v="BAS"/>
    <x v="0"/>
    <x v="4"/>
    <d v="2025-05-11T00:00:00"/>
    <x v="0"/>
    <d v="2025-05-26T00:00:00"/>
    <d v="2025-07-20T00:00:00"/>
    <d v="2025-09-07T00:00:00"/>
    <x v="0"/>
    <x v="2"/>
    <x v="0"/>
    <x v="0"/>
    <n v="81.25"/>
    <n v="0.78120000000000001"/>
    <n v="95"/>
    <x v="0"/>
    <x v="0"/>
    <x v="0"/>
    <x v="7"/>
    <x v="1"/>
    <x v="0"/>
    <x v="0"/>
    <x v="0"/>
    <x v="2"/>
    <x v="4"/>
    <x v="4"/>
    <x v="1"/>
    <n v="16"/>
    <x v="8"/>
    <n v="931"/>
    <x v="9"/>
    <x v="7"/>
    <x v="2"/>
    <x v="0"/>
  </r>
  <r>
    <x v="1"/>
    <x v="25"/>
    <x v="47"/>
    <x v="29"/>
    <x v="1"/>
    <s v="Basil (Italian) - Mature Leaf 1X | Tunnel TP SpSuOw"/>
    <s v="BAS002"/>
    <x v="0"/>
    <x v="14"/>
    <x v="17"/>
    <x v="0"/>
    <n v="260"/>
    <x v="0"/>
    <x v="1"/>
    <x v="1"/>
    <x v="0"/>
    <s v="BAS"/>
    <x v="0"/>
    <x v="5"/>
    <d v="2025-06-15T00:00:00"/>
    <x v="0"/>
    <d v="2025-06-28T00:00:00"/>
    <d v="2025-08-22T00:00:00"/>
    <d v="2025-10-10T00:00:00"/>
    <x v="0"/>
    <x v="2"/>
    <x v="0"/>
    <x v="0"/>
    <n v="325"/>
    <n v="3.125"/>
    <n v="95"/>
    <x v="0"/>
    <x v="0"/>
    <x v="0"/>
    <x v="7"/>
    <x v="1"/>
    <x v="0"/>
    <x v="0"/>
    <x v="0"/>
    <x v="2"/>
    <x v="1"/>
    <x v="4"/>
    <x v="1"/>
    <n v="17"/>
    <x v="8"/>
    <n v="964"/>
    <x v="9"/>
    <x v="7"/>
    <x v="2"/>
    <x v="0"/>
  </r>
  <r>
    <x v="0"/>
    <x v="26"/>
    <x v="48"/>
    <x v="30"/>
    <x v="1"/>
    <s v="Basil (Tulsi) - Mature Leaf 1X | Field TP "/>
    <s v="BAS003"/>
    <x v="0"/>
    <x v="14"/>
    <x v="18"/>
    <x v="5"/>
    <n v="52"/>
    <x v="0"/>
    <x v="5"/>
    <x v="1"/>
    <x v="0"/>
    <s v="BAS"/>
    <x v="0"/>
    <x v="4"/>
    <d v="2025-05-21T00:00:00"/>
    <x v="0"/>
    <d v="2025-06-04T00:00:00"/>
    <d v="2025-07-25T00:00:00"/>
    <d v="2025-11-14T00:00:00"/>
    <x v="0"/>
    <x v="1"/>
    <x v="0"/>
    <x v="0"/>
    <n v="420"/>
    <n v="2.4419"/>
    <n v="100"/>
    <x v="0"/>
    <x v="0"/>
    <x v="0"/>
    <x v="8"/>
    <x v="1"/>
    <x v="0"/>
    <x v="0"/>
    <x v="0"/>
    <x v="2"/>
    <x v="3"/>
    <x v="4"/>
    <x v="1"/>
    <n v="20"/>
    <x v="1"/>
    <n v="936"/>
    <x v="10"/>
    <x v="7"/>
    <x v="2"/>
    <x v="0"/>
  </r>
  <r>
    <x v="0"/>
    <x v="27"/>
    <x v="49"/>
    <x v="31"/>
    <x v="1"/>
    <s v="Bean (Pole) - Young Pod 3X | Field TP SuFa"/>
    <s v="BEA001"/>
    <x v="0"/>
    <x v="15"/>
    <x v="19"/>
    <x v="0"/>
    <n v="600"/>
    <x v="0"/>
    <x v="3"/>
    <x v="2"/>
    <x v="0"/>
    <s v="BEA"/>
    <x v="0"/>
    <x v="5"/>
    <d v="2025-05-20T00:00:00"/>
    <x v="0"/>
    <d v="2025-06-05T00:00:00"/>
    <d v="2025-08-17T00:00:00"/>
    <d v="2025-09-29T00:00:00"/>
    <x v="0"/>
    <x v="1"/>
    <x v="0"/>
    <x v="0"/>
    <n v="2080"/>
    <n v="17.478999999999999"/>
    <n v="90"/>
    <x v="0"/>
    <x v="0"/>
    <x v="0"/>
    <x v="9"/>
    <x v="1"/>
    <x v="0"/>
    <x v="0"/>
    <x v="0"/>
    <x v="3"/>
    <x v="4"/>
    <x v="6"/>
    <x v="1"/>
    <n v="23"/>
    <x v="7"/>
    <n v="959"/>
    <x v="11"/>
    <x v="10"/>
    <x v="5"/>
    <x v="3"/>
  </r>
  <r>
    <x v="0"/>
    <x v="27"/>
    <x v="50"/>
    <x v="32"/>
    <x v="1"/>
    <s v="Bean (Pole) - Young Pod 3X | Field TP SuFa"/>
    <s v="BEA002"/>
    <x v="0"/>
    <x v="15"/>
    <x v="19"/>
    <x v="0"/>
    <n v="300"/>
    <x v="0"/>
    <x v="1"/>
    <x v="1"/>
    <x v="0"/>
    <s v="BEA"/>
    <x v="0"/>
    <x v="5"/>
    <d v="2025-05-20T00:00:00"/>
    <x v="0"/>
    <d v="2025-06-05T00:00:00"/>
    <d v="2025-08-17T00:00:00"/>
    <d v="2025-09-29T00:00:00"/>
    <x v="0"/>
    <x v="1"/>
    <x v="0"/>
    <x v="0"/>
    <n v="1040"/>
    <n v="8.7394999999999996"/>
    <n v="90"/>
    <x v="0"/>
    <x v="0"/>
    <x v="0"/>
    <x v="9"/>
    <x v="1"/>
    <x v="0"/>
    <x v="0"/>
    <x v="0"/>
    <x v="3"/>
    <x v="4"/>
    <x v="6"/>
    <x v="1"/>
    <n v="23"/>
    <x v="7"/>
    <n v="959"/>
    <x v="11"/>
    <x v="10"/>
    <x v="5"/>
    <x v="3"/>
  </r>
  <r>
    <x v="1"/>
    <x v="28"/>
    <x v="51"/>
    <x v="33"/>
    <x v="1"/>
    <s v="Beet - Mature Root 3X | Field TP Sp"/>
    <s v="BEE001"/>
    <x v="0"/>
    <x v="16"/>
    <x v="20"/>
    <x v="0"/>
    <n v="990.00000000000011"/>
    <x v="0"/>
    <x v="3"/>
    <x v="2"/>
    <x v="0"/>
    <s v="BEE"/>
    <x v="0"/>
    <x v="6"/>
    <d v="2025-04-26T00:00:00"/>
    <x v="0"/>
    <d v="2025-05-02T00:00:00"/>
    <d v="2025-06-27T00:00:00"/>
    <d v="2025-08-01T00:00:00"/>
    <x v="0"/>
    <x v="2"/>
    <x v="0"/>
    <x v="0"/>
    <n v="800"/>
    <n v="8.7911999999999999"/>
    <n v="91"/>
    <x v="0"/>
    <x v="0"/>
    <x v="0"/>
    <x v="6"/>
    <x v="1"/>
    <x v="0"/>
    <x v="0"/>
    <x v="0"/>
    <x v="4"/>
    <x v="2"/>
    <x v="4"/>
    <x v="1"/>
    <n v="32"/>
    <x v="0"/>
    <n v="908"/>
    <x v="8"/>
    <x v="2"/>
    <x v="0"/>
    <x v="0"/>
  </r>
  <r>
    <x v="1"/>
    <x v="29"/>
    <x v="52"/>
    <x v="14"/>
    <x v="1"/>
    <s v="Beet - Mature Root 3X | Field TP SuFa"/>
    <s v="BEE002"/>
    <x v="0"/>
    <x v="16"/>
    <x v="20"/>
    <x v="0"/>
    <n v="990.00000000000011"/>
    <x v="0"/>
    <x v="3"/>
    <x v="2"/>
    <x v="0"/>
    <s v="BEE"/>
    <x v="0"/>
    <x v="7"/>
    <d v="2025-07-05T00:00:00"/>
    <x v="0"/>
    <d v="2025-07-26T00:00:00"/>
    <d v="2025-09-09T00:00:00"/>
    <d v="2025-10-14T00:00:00"/>
    <x v="0"/>
    <x v="2"/>
    <x v="0"/>
    <x v="0"/>
    <n v="800"/>
    <n v="10"/>
    <n v="80"/>
    <x v="0"/>
    <x v="0"/>
    <x v="0"/>
    <x v="6"/>
    <x v="1"/>
    <x v="0"/>
    <x v="0"/>
    <x v="0"/>
    <x v="4"/>
    <x v="2"/>
    <x v="4"/>
    <x v="1"/>
    <n v="33"/>
    <x v="7"/>
    <n v="982"/>
    <x v="8"/>
    <x v="2"/>
    <x v="0"/>
    <x v="4"/>
  </r>
  <r>
    <x v="1"/>
    <x v="4"/>
    <x v="53"/>
    <x v="34"/>
    <x v="1"/>
    <s v="Beet - Mature Root 3X | Field TP SuFa"/>
    <s v="BEE003"/>
    <x v="0"/>
    <x v="16"/>
    <x v="3"/>
    <x v="0"/>
    <n v="495.00000000000006"/>
    <x v="0"/>
    <x v="1"/>
    <x v="1"/>
    <x v="0"/>
    <s v="BEE"/>
    <x v="0"/>
    <x v="8"/>
    <d v="2025-08-15T00:00:00"/>
    <x v="0"/>
    <d v="2025-08-15T00:00:00"/>
    <d v="2025-09-29T00:00:00"/>
    <d v="2025-11-03T00:00:00"/>
    <x v="1"/>
    <x v="2"/>
    <x v="0"/>
    <x v="0"/>
    <n v="400"/>
    <n v="5"/>
    <n v="80"/>
    <x v="0"/>
    <x v="0"/>
    <x v="0"/>
    <x v="6"/>
    <x v="1"/>
    <x v="0"/>
    <x v="0"/>
    <x v="0"/>
    <x v="4"/>
    <x v="2"/>
    <x v="4"/>
    <x v="1"/>
    <n v="33"/>
    <x v="7"/>
    <n v="1002"/>
    <x v="8"/>
    <x v="2"/>
    <x v="0"/>
    <x v="4"/>
  </r>
  <r>
    <x v="1"/>
    <x v="4"/>
    <x v="54"/>
    <x v="35"/>
    <x v="1"/>
    <s v="Bok Choy - Mature Head 1X | Field TP SpFaWiOw"/>
    <s v="BOK002"/>
    <x v="0"/>
    <x v="17"/>
    <x v="3"/>
    <x v="0"/>
    <n v="173.33333333333331"/>
    <x v="0"/>
    <x v="0"/>
    <x v="0"/>
    <x v="0"/>
    <s v="BOK"/>
    <x v="0"/>
    <x v="3"/>
    <d v="2025-08-15T00:00:00"/>
    <x v="0"/>
    <d v="2025-08-15T00:00:00"/>
    <d v="2025-10-04T00:00:00"/>
    <d v="2025-10-18T00:00:00"/>
    <x v="1"/>
    <x v="2"/>
    <x v="0"/>
    <x v="0"/>
    <n v="333.33330000000001"/>
    <n v="5.2083000000000004"/>
    <n v="78"/>
    <x v="0"/>
    <x v="0"/>
    <x v="0"/>
    <x v="1"/>
    <x v="1"/>
    <x v="0"/>
    <x v="0"/>
    <x v="0"/>
    <x v="1"/>
    <x v="1"/>
    <x v="3"/>
    <x v="1"/>
    <n v="35"/>
    <x v="9"/>
    <n v="1007"/>
    <x v="1"/>
    <x v="1"/>
    <x v="1"/>
    <x v="1"/>
  </r>
  <r>
    <x v="1"/>
    <x v="30"/>
    <x v="55"/>
    <x v="36"/>
    <x v="1"/>
    <s v="Broccoli (Sprouting) - Loose Florets 1X | Field TP SuFa"/>
    <s v="BRO001"/>
    <x v="0"/>
    <x v="18"/>
    <x v="21"/>
    <x v="0"/>
    <n v="260"/>
    <x v="0"/>
    <x v="1"/>
    <x v="1"/>
    <x v="0"/>
    <s v="BRO"/>
    <x v="0"/>
    <x v="7"/>
    <d v="2025-07-08T00:00:00"/>
    <x v="0"/>
    <d v="2025-07-19T00:00:00"/>
    <d v="2025-09-02T00:00:00"/>
    <d v="2025-09-23T00:00:00"/>
    <x v="0"/>
    <x v="2"/>
    <x v="0"/>
    <x v="0"/>
    <n v="800"/>
    <n v="12.1212"/>
    <n v="73"/>
    <x v="0"/>
    <x v="0"/>
    <x v="0"/>
    <x v="2"/>
    <x v="1"/>
    <x v="0"/>
    <x v="0"/>
    <x v="0"/>
    <x v="1"/>
    <x v="3"/>
    <x v="4"/>
    <x v="1"/>
    <n v="41"/>
    <x v="7"/>
    <n v="975"/>
    <x v="2"/>
    <x v="3"/>
    <x v="2"/>
    <x v="2"/>
  </r>
  <r>
    <x v="1"/>
    <x v="31"/>
    <x v="56"/>
    <x v="35"/>
    <x v="1"/>
    <s v="Broccoli (Sprouting) - Loose Florets 1X | Field TP SuFa"/>
    <s v="BRO002"/>
    <x v="0"/>
    <x v="18"/>
    <x v="21"/>
    <x v="0"/>
    <n v="104"/>
    <x v="0"/>
    <x v="5"/>
    <x v="1"/>
    <x v="0"/>
    <s v="BRO"/>
    <x v="0"/>
    <x v="9"/>
    <d v="2025-08-07T00:00:00"/>
    <x v="0"/>
    <d v="2025-08-07T00:00:00"/>
    <d v="2025-09-21T00:00:00"/>
    <d v="2025-10-12T00:00:00"/>
    <x v="1"/>
    <x v="2"/>
    <x v="0"/>
    <x v="0"/>
    <n v="320"/>
    <n v="4.8484999999999996"/>
    <n v="73"/>
    <x v="0"/>
    <x v="0"/>
    <x v="0"/>
    <x v="2"/>
    <x v="1"/>
    <x v="0"/>
    <x v="0"/>
    <x v="0"/>
    <x v="1"/>
    <x v="3"/>
    <x v="4"/>
    <x v="1"/>
    <n v="41"/>
    <x v="7"/>
    <n v="994"/>
    <x v="2"/>
    <x v="3"/>
    <x v="2"/>
    <x v="2"/>
  </r>
  <r>
    <x v="1"/>
    <x v="29"/>
    <x v="57"/>
    <x v="37"/>
    <x v="1"/>
    <s v="Cabbage - Large Head 1X | Field TP Fa"/>
    <s v="CAB001"/>
    <x v="0"/>
    <x v="19"/>
    <x v="22"/>
    <x v="0"/>
    <n v="146.66666666666666"/>
    <x v="0"/>
    <x v="1"/>
    <x v="1"/>
    <x v="0"/>
    <s v="CAB"/>
    <x v="0"/>
    <x v="7"/>
    <d v="2025-07-15T00:00:00"/>
    <x v="0"/>
    <d v="2025-07-26T00:00:00"/>
    <d v="2025-10-19T00:00:00"/>
    <d v="2025-11-09T00:00:00"/>
    <x v="0"/>
    <x v="2"/>
    <x v="0"/>
    <x v="0"/>
    <n v="586.66669999999999"/>
    <n v="5.5346000000000002"/>
    <n v="120"/>
    <x v="0"/>
    <x v="0"/>
    <x v="0"/>
    <x v="2"/>
    <x v="1"/>
    <x v="0"/>
    <x v="0"/>
    <x v="0"/>
    <x v="4"/>
    <x v="3"/>
    <x v="7"/>
    <x v="1"/>
    <n v="47"/>
    <x v="6"/>
    <n v="1022"/>
    <x v="2"/>
    <x v="3"/>
    <x v="8"/>
    <x v="2"/>
  </r>
  <r>
    <x v="1"/>
    <x v="30"/>
    <x v="58"/>
    <x v="13"/>
    <x v="1"/>
    <s v="Cabbage (Chinese) - Large Head 1X | Field TP Wi"/>
    <s v="CAB002"/>
    <x v="0"/>
    <x v="19"/>
    <x v="23"/>
    <x v="0"/>
    <n v="176"/>
    <x v="0"/>
    <x v="1"/>
    <x v="1"/>
    <x v="0"/>
    <s v="CAB"/>
    <x v="0"/>
    <x v="7"/>
    <d v="2025-07-07T00:00:00"/>
    <x v="0"/>
    <d v="2025-07-19T00:00:00"/>
    <d v="2025-09-14T00:00:00"/>
    <d v="2025-09-28T00:00:00"/>
    <x v="0"/>
    <x v="2"/>
    <x v="0"/>
    <x v="0"/>
    <n v="360"/>
    <n v="5.0704000000000002"/>
    <n v="85"/>
    <x v="0"/>
    <x v="0"/>
    <x v="0"/>
    <x v="1"/>
    <x v="1"/>
    <x v="0"/>
    <x v="0"/>
    <x v="0"/>
    <x v="1"/>
    <x v="3"/>
    <x v="12"/>
    <x v="1"/>
    <n v="48"/>
    <x v="10"/>
    <n v="987"/>
    <x v="1"/>
    <x v="3"/>
    <x v="2"/>
    <x v="2"/>
  </r>
  <r>
    <x v="1"/>
    <x v="32"/>
    <x v="59"/>
    <x v="38"/>
    <x v="1"/>
    <s v="Cabbage (Chinese) - Small Head 1X | Field TP Fa"/>
    <s v="CAB010"/>
    <x v="0"/>
    <x v="19"/>
    <x v="24"/>
    <x v="0"/>
    <n v="330"/>
    <x v="0"/>
    <x v="1"/>
    <x v="1"/>
    <x v="0"/>
    <s v="CAB"/>
    <x v="0"/>
    <x v="10"/>
    <d v="2025-07-07T00:00:00"/>
    <x v="0"/>
    <d v="2025-07-31T00:00:00"/>
    <d v="2025-09-19T00:00:00"/>
    <d v="2025-10-03T00:00:00"/>
    <x v="0"/>
    <x v="2"/>
    <x v="0"/>
    <x v="0"/>
    <n v="600"/>
    <n v="9.375"/>
    <n v="78"/>
    <x v="0"/>
    <x v="0"/>
    <x v="0"/>
    <x v="1"/>
    <x v="1"/>
    <x v="0"/>
    <x v="0"/>
    <x v="0"/>
    <x v="1"/>
    <x v="2"/>
    <x v="4"/>
    <x v="1"/>
    <n v="49"/>
    <x v="6"/>
    <n v="992"/>
    <x v="1"/>
    <x v="3"/>
    <x v="2"/>
    <x v="2"/>
  </r>
  <r>
    <x v="0"/>
    <x v="33"/>
    <x v="60"/>
    <x v="39"/>
    <x v="1"/>
    <s v="Cabbage (Fast Early 9&quot;) - Large Head 1X | Field TP Sp"/>
    <s v="CAB003"/>
    <x v="0"/>
    <x v="19"/>
    <x v="25"/>
    <x v="0"/>
    <n v="176.00000000000003"/>
    <x v="0"/>
    <x v="5"/>
    <x v="1"/>
    <x v="0"/>
    <s v="CAB"/>
    <x v="0"/>
    <x v="6"/>
    <d v="2025-04-01T00:00:00"/>
    <x v="0"/>
    <d v="2025-05-05T00:00:00"/>
    <d v="2025-07-11T00:00:00"/>
    <d v="2025-07-18T00:00:00"/>
    <x v="0"/>
    <x v="1"/>
    <x v="0"/>
    <x v="0"/>
    <n v="264"/>
    <n v="3.4285999999999999"/>
    <n v="105"/>
    <x v="0"/>
    <x v="0"/>
    <x v="0"/>
    <x v="4"/>
    <x v="1"/>
    <x v="0"/>
    <x v="0"/>
    <x v="0"/>
    <x v="4"/>
    <x v="2"/>
    <x v="3"/>
    <x v="1"/>
    <n v="50"/>
    <x v="0"/>
    <n v="922"/>
    <x v="4"/>
    <x v="3"/>
    <x v="1"/>
    <x v="1"/>
  </r>
  <r>
    <x v="0"/>
    <x v="34"/>
    <x v="61"/>
    <x v="23"/>
    <x v="1"/>
    <s v="Cabbage (Fast Mid 9&quot;) - Large Head 1X | Field TP Sp"/>
    <s v="CAB004"/>
    <x v="0"/>
    <x v="19"/>
    <x v="26"/>
    <x v="3"/>
    <n v="440.00000000000006"/>
    <x v="0"/>
    <x v="1"/>
    <x v="1"/>
    <x v="0"/>
    <s v="CAB"/>
    <x v="0"/>
    <x v="11"/>
    <d v="2025-04-21T00:00:00"/>
    <x v="0"/>
    <d v="2025-05-01T00:00:00"/>
    <d v="2025-06-30T00:00:00"/>
    <d v="2025-07-07T00:00:00"/>
    <x v="0"/>
    <x v="1"/>
    <x v="0"/>
    <x v="0"/>
    <n v="660"/>
    <n v="10.645200000000001"/>
    <n v="90"/>
    <x v="0"/>
    <x v="0"/>
    <x v="0"/>
    <x v="4"/>
    <x v="1"/>
    <x v="0"/>
    <x v="0"/>
    <x v="0"/>
    <x v="4"/>
    <x v="2"/>
    <x v="3"/>
    <x v="1"/>
    <n v="53"/>
    <x v="0"/>
    <n v="911"/>
    <x v="4"/>
    <x v="3"/>
    <x v="1"/>
    <x v="1"/>
  </r>
  <r>
    <x v="1"/>
    <x v="29"/>
    <x v="62"/>
    <x v="17"/>
    <x v="1"/>
    <s v="Cauliflower - Mature Head 1X | Field TP Fa"/>
    <s v="CAU001"/>
    <x v="0"/>
    <x v="20"/>
    <x v="27"/>
    <x v="0"/>
    <n v="85.714285714285708"/>
    <x v="0"/>
    <x v="1"/>
    <x v="1"/>
    <x v="0"/>
    <s v="CAU"/>
    <x v="0"/>
    <x v="7"/>
    <d v="2025-07-15T00:00:00"/>
    <x v="0"/>
    <d v="2025-07-26T00:00:00"/>
    <d v="2025-10-19T00:00:00"/>
    <d v="2025-11-09T00:00:00"/>
    <x v="0"/>
    <x v="2"/>
    <x v="0"/>
    <x v="0"/>
    <n v="514.28570000000002"/>
    <n v="4.8517999999999999"/>
    <n v="120"/>
    <x v="0"/>
    <x v="0"/>
    <x v="0"/>
    <x v="2"/>
    <x v="1"/>
    <x v="0"/>
    <x v="0"/>
    <x v="0"/>
    <x v="4"/>
    <x v="3"/>
    <x v="13"/>
    <x v="1"/>
    <n v="66"/>
    <x v="6"/>
    <n v="1022"/>
    <x v="2"/>
    <x v="3"/>
    <x v="8"/>
    <x v="2"/>
  </r>
  <r>
    <x v="1"/>
    <x v="35"/>
    <x v="63"/>
    <x v="40"/>
    <x v="1"/>
    <s v="Cauliflower (Green-Stem) - Mature Head 1X | Field TP Su"/>
    <s v="CAU002"/>
    <x v="0"/>
    <x v="20"/>
    <x v="28"/>
    <x v="4"/>
    <n v="85.714285714285708"/>
    <x v="0"/>
    <x v="1"/>
    <x v="1"/>
    <x v="0"/>
    <s v="CAU"/>
    <x v="0"/>
    <x v="12"/>
    <d v="2025-08-01T00:00:00"/>
    <x v="0"/>
    <d v="2025-08-05T00:00:00"/>
    <d v="2025-09-16T00:00:00"/>
    <d v="2025-10-07T00:00:00"/>
    <x v="0"/>
    <x v="2"/>
    <x v="0"/>
    <x v="0"/>
    <n v="514.28570000000002"/>
    <n v="8.1632999999999996"/>
    <n v="77"/>
    <x v="0"/>
    <x v="0"/>
    <x v="0"/>
    <x v="2"/>
    <x v="1"/>
    <x v="0"/>
    <x v="0"/>
    <x v="0"/>
    <x v="4"/>
    <x v="3"/>
    <x v="13"/>
    <x v="1"/>
    <n v="69"/>
    <x v="2"/>
    <n v="989"/>
    <x v="2"/>
    <x v="3"/>
    <x v="8"/>
    <x v="2"/>
  </r>
  <r>
    <x v="0"/>
    <x v="27"/>
    <x v="64"/>
    <x v="41"/>
    <x v="1"/>
    <s v="Celery - Loose Rib 1X | Field TP SpSu"/>
    <s v="CEL001"/>
    <x v="0"/>
    <x v="21"/>
    <x v="29"/>
    <x v="0"/>
    <n v="195"/>
    <x v="0"/>
    <x v="1"/>
    <x v="1"/>
    <x v="0"/>
    <s v="CEL"/>
    <x v="0"/>
    <x v="6"/>
    <d v="2025-04-30T00:00:00"/>
    <x v="0"/>
    <d v="2025-06-05T00:00:00"/>
    <d v="2025-07-06T00:00:00"/>
    <d v="2025-11-30T00:00:00"/>
    <x v="0"/>
    <x v="1"/>
    <x v="0"/>
    <x v="0"/>
    <n v="4950"/>
    <n v="27.809000000000001"/>
    <n v="100"/>
    <x v="0"/>
    <x v="0"/>
    <x v="0"/>
    <x v="10"/>
    <x v="1"/>
    <x v="0"/>
    <x v="0"/>
    <x v="0"/>
    <x v="5"/>
    <x v="2"/>
    <x v="4"/>
    <x v="1"/>
    <n v="70"/>
    <x v="11"/>
    <n v="917"/>
    <x v="12"/>
    <x v="11"/>
    <x v="2"/>
    <x v="0"/>
  </r>
  <r>
    <x v="0"/>
    <x v="36"/>
    <x v="65"/>
    <x v="42"/>
    <x v="1"/>
    <s v="Choi Sum - Mature Head 1X | Field TP "/>
    <s v="CHO001"/>
    <x v="0"/>
    <x v="22"/>
    <x v="30"/>
    <x v="4"/>
    <n v="520"/>
    <x v="0"/>
    <x v="1"/>
    <x v="1"/>
    <x v="0"/>
    <s v="CHO"/>
    <x v="0"/>
    <x v="13"/>
    <d v="2025-03-22T00:00:00"/>
    <x v="0"/>
    <d v="2025-04-23T00:00:00"/>
    <d v="2025-05-17T00:00:00"/>
    <d v="2025-06-14T00:00:00"/>
    <x v="0"/>
    <x v="1"/>
    <x v="0"/>
    <x v="0"/>
    <n v="533.33330000000001"/>
    <n v="9.6969999999999992"/>
    <n v="57"/>
    <x v="0"/>
    <x v="0"/>
    <x v="0"/>
    <x v="11"/>
    <x v="1"/>
    <x v="0"/>
    <x v="0"/>
    <x v="0"/>
    <x v="6"/>
    <x v="1"/>
    <x v="6"/>
    <x v="1"/>
    <n v="79"/>
    <x v="1"/>
    <n v="867"/>
    <x v="13"/>
    <x v="3"/>
    <x v="8"/>
    <x v="2"/>
  </r>
  <r>
    <x v="1"/>
    <x v="31"/>
    <x v="66"/>
    <x v="43"/>
    <x v="1"/>
    <s v="Choi Sum - Mature Head 1X | Field TP "/>
    <s v="CHO002"/>
    <x v="0"/>
    <x v="22"/>
    <x v="30"/>
    <x v="4"/>
    <n v="520"/>
    <x v="0"/>
    <x v="1"/>
    <x v="1"/>
    <x v="0"/>
    <s v="CHO"/>
    <x v="0"/>
    <x v="14"/>
    <d v="2025-08-07T00:00:00"/>
    <x v="0"/>
    <d v="2025-08-07T00:00:00"/>
    <d v="2025-09-03T00:00:00"/>
    <d v="2025-10-01T00:00:00"/>
    <x v="1"/>
    <x v="2"/>
    <x v="0"/>
    <x v="0"/>
    <n v="533.33330000000001"/>
    <n v="9.6969999999999992"/>
    <n v="57"/>
    <x v="0"/>
    <x v="0"/>
    <x v="0"/>
    <x v="11"/>
    <x v="1"/>
    <x v="0"/>
    <x v="0"/>
    <x v="0"/>
    <x v="6"/>
    <x v="1"/>
    <x v="6"/>
    <x v="1"/>
    <n v="79"/>
    <x v="1"/>
    <n v="976"/>
    <x v="13"/>
    <x v="3"/>
    <x v="8"/>
    <x v="2"/>
  </r>
  <r>
    <x v="0"/>
    <x v="37"/>
    <x v="67"/>
    <x v="16"/>
    <x v="1"/>
    <s v="Cilantro - Loose Leaf 3X | Field TP Su"/>
    <s v="CIL002"/>
    <x v="0"/>
    <x v="23"/>
    <x v="31"/>
    <x v="0"/>
    <n v="412.50000000000006"/>
    <x v="0"/>
    <x v="2"/>
    <x v="0"/>
    <x v="0"/>
    <s v="CIL"/>
    <x v="0"/>
    <x v="6"/>
    <d v="2025-04-11T00:00:00"/>
    <x v="0"/>
    <d v="2025-04-20T00:00:00"/>
    <d v="2025-06-16T00:00:00"/>
    <d v="2025-06-30T00:00:00"/>
    <x v="0"/>
    <x v="1"/>
    <x v="0"/>
    <x v="0"/>
    <n v="300"/>
    <n v="4.6875"/>
    <n v="80"/>
    <x v="0"/>
    <x v="0"/>
    <x v="0"/>
    <x v="1"/>
    <x v="1"/>
    <x v="0"/>
    <x v="0"/>
    <x v="0"/>
    <x v="6"/>
    <x v="5"/>
    <x v="6"/>
    <x v="1"/>
    <n v="88"/>
    <x v="2"/>
    <n v="897"/>
    <x v="1"/>
    <x v="7"/>
    <x v="0"/>
    <x v="0"/>
  </r>
  <r>
    <x v="0"/>
    <x v="37"/>
    <x v="68"/>
    <x v="44"/>
    <x v="1"/>
    <s v="Cilantro - Loose Leaf 3X | Field TP Su"/>
    <s v="CIL003"/>
    <x v="0"/>
    <x v="23"/>
    <x v="31"/>
    <x v="0"/>
    <n v="412.50000000000006"/>
    <x v="0"/>
    <x v="2"/>
    <x v="0"/>
    <x v="0"/>
    <s v="CIL"/>
    <x v="0"/>
    <x v="6"/>
    <d v="2025-04-12T00:00:00"/>
    <x v="0"/>
    <d v="2025-04-20T00:00:00"/>
    <d v="2025-06-23T00:00:00"/>
    <d v="2025-07-07T00:00:00"/>
    <x v="0"/>
    <x v="1"/>
    <x v="0"/>
    <x v="0"/>
    <n v="300"/>
    <n v="4.6875"/>
    <n v="87"/>
    <x v="0"/>
    <x v="2"/>
    <x v="0"/>
    <x v="1"/>
    <x v="1"/>
    <x v="0"/>
    <x v="0"/>
    <x v="0"/>
    <x v="6"/>
    <x v="5"/>
    <x v="6"/>
    <x v="1"/>
    <n v="88"/>
    <x v="2"/>
    <n v="904"/>
    <x v="1"/>
    <x v="7"/>
    <x v="0"/>
    <x v="0"/>
  </r>
  <r>
    <x v="0"/>
    <x v="37"/>
    <x v="69"/>
    <x v="44"/>
    <x v="1"/>
    <s v="Cilantro - Loose Leaf 3X | Field TP Su"/>
    <s v="CIL004"/>
    <x v="0"/>
    <x v="23"/>
    <x v="31"/>
    <x v="0"/>
    <n v="412.50000000000006"/>
    <x v="0"/>
    <x v="2"/>
    <x v="0"/>
    <x v="0"/>
    <s v="CIL"/>
    <x v="0"/>
    <x v="6"/>
    <d v="2025-04-25T00:00:00"/>
    <x v="0"/>
    <d v="2025-04-20T00:00:00"/>
    <d v="2025-06-23T00:00:00"/>
    <d v="2025-07-07T00:00:00"/>
    <x v="0"/>
    <x v="1"/>
    <x v="0"/>
    <x v="0"/>
    <n v="300"/>
    <n v="4.6875"/>
    <n v="87"/>
    <x v="0"/>
    <x v="2"/>
    <x v="0"/>
    <x v="1"/>
    <x v="1"/>
    <x v="0"/>
    <x v="0"/>
    <x v="0"/>
    <x v="6"/>
    <x v="5"/>
    <x v="6"/>
    <x v="1"/>
    <n v="88"/>
    <x v="2"/>
    <n v="904"/>
    <x v="1"/>
    <x v="7"/>
    <x v="0"/>
    <x v="0"/>
  </r>
  <r>
    <x v="0"/>
    <x v="38"/>
    <x v="70"/>
    <x v="44"/>
    <x v="1"/>
    <s v="Cilantro - Loose Leaf 3X | Field TP Su"/>
    <s v="CIL005"/>
    <x v="0"/>
    <x v="23"/>
    <x v="31"/>
    <x v="0"/>
    <n v="412.50000000000006"/>
    <x v="0"/>
    <x v="2"/>
    <x v="0"/>
    <x v="0"/>
    <s v="CIL"/>
    <x v="0"/>
    <x v="4"/>
    <d v="2025-05-09T00:00:00"/>
    <x v="0"/>
    <d v="2025-05-18T00:00:00"/>
    <d v="2025-07-12T00:00:00"/>
    <d v="2025-07-26T00:00:00"/>
    <x v="0"/>
    <x v="1"/>
    <x v="0"/>
    <x v="0"/>
    <n v="300"/>
    <n v="4.6875"/>
    <n v="87"/>
    <x v="0"/>
    <x v="2"/>
    <x v="0"/>
    <x v="1"/>
    <x v="1"/>
    <x v="0"/>
    <x v="0"/>
    <x v="0"/>
    <x v="6"/>
    <x v="5"/>
    <x v="6"/>
    <x v="1"/>
    <n v="88"/>
    <x v="2"/>
    <n v="923"/>
    <x v="1"/>
    <x v="7"/>
    <x v="0"/>
    <x v="0"/>
  </r>
  <r>
    <x v="0"/>
    <x v="38"/>
    <x v="71"/>
    <x v="44"/>
    <x v="1"/>
    <s v="Cilantro - Loose Leaf 3X | Field TP Su"/>
    <s v="CIL006"/>
    <x v="0"/>
    <x v="23"/>
    <x v="31"/>
    <x v="0"/>
    <n v="412.50000000000006"/>
    <x v="0"/>
    <x v="2"/>
    <x v="0"/>
    <x v="0"/>
    <s v="CIL"/>
    <x v="0"/>
    <x v="15"/>
    <d v="2025-05-23T00:00:00"/>
    <x v="0"/>
    <d v="2025-05-18T00:00:00"/>
    <d v="2025-07-09T00:00:00"/>
    <d v="2025-07-23T00:00:00"/>
    <x v="0"/>
    <x v="1"/>
    <x v="0"/>
    <x v="0"/>
    <n v="300"/>
    <n v="4.6875"/>
    <n v="80"/>
    <x v="0"/>
    <x v="0"/>
    <x v="0"/>
    <x v="1"/>
    <x v="1"/>
    <x v="0"/>
    <x v="0"/>
    <x v="0"/>
    <x v="6"/>
    <x v="5"/>
    <x v="6"/>
    <x v="1"/>
    <n v="88"/>
    <x v="2"/>
    <n v="920"/>
    <x v="1"/>
    <x v="7"/>
    <x v="0"/>
    <x v="0"/>
  </r>
  <r>
    <x v="1"/>
    <x v="39"/>
    <x v="72"/>
    <x v="44"/>
    <x v="1"/>
    <s v="Cilantro - Loose Leaf 3X | Field TP Su"/>
    <s v="CIL007"/>
    <x v="0"/>
    <x v="23"/>
    <x v="31"/>
    <x v="0"/>
    <n v="412.50000000000006"/>
    <x v="0"/>
    <x v="2"/>
    <x v="0"/>
    <x v="0"/>
    <s v="CIL"/>
    <x v="0"/>
    <x v="16"/>
    <d v="2025-06-06T00:00:00"/>
    <x v="0"/>
    <d v="2025-06-13T00:00:00"/>
    <d v="2025-08-02T00:00:00"/>
    <d v="2025-08-16T00:00:00"/>
    <x v="0"/>
    <x v="2"/>
    <x v="0"/>
    <x v="0"/>
    <n v="300"/>
    <n v="4.6875"/>
    <n v="80"/>
    <x v="0"/>
    <x v="0"/>
    <x v="0"/>
    <x v="1"/>
    <x v="1"/>
    <x v="0"/>
    <x v="0"/>
    <x v="0"/>
    <x v="6"/>
    <x v="5"/>
    <x v="6"/>
    <x v="1"/>
    <n v="88"/>
    <x v="2"/>
    <n v="944"/>
    <x v="1"/>
    <x v="7"/>
    <x v="0"/>
    <x v="0"/>
  </r>
  <r>
    <x v="1"/>
    <x v="4"/>
    <x v="73"/>
    <x v="3"/>
    <x v="1"/>
    <s v="Cilantro - Loose Leaf 3X | Field TP Su"/>
    <s v="CIL012"/>
    <x v="0"/>
    <x v="23"/>
    <x v="31"/>
    <x v="0"/>
    <n v="412.50000000000006"/>
    <x v="0"/>
    <x v="2"/>
    <x v="0"/>
    <x v="0"/>
    <s v="CIL"/>
    <x v="0"/>
    <x v="17"/>
    <d v="2025-08-15T00:00:00"/>
    <x v="0"/>
    <d v="2025-08-15T00:00:00"/>
    <d v="2025-10-04T00:00:00"/>
    <d v="2025-10-18T00:00:00"/>
    <x v="1"/>
    <x v="2"/>
    <x v="0"/>
    <x v="0"/>
    <n v="300"/>
    <n v="4.6875"/>
    <n v="80"/>
    <x v="0"/>
    <x v="0"/>
    <x v="0"/>
    <x v="1"/>
    <x v="1"/>
    <x v="0"/>
    <x v="0"/>
    <x v="0"/>
    <x v="6"/>
    <x v="5"/>
    <x v="6"/>
    <x v="1"/>
    <n v="88"/>
    <x v="2"/>
    <n v="1007"/>
    <x v="1"/>
    <x v="7"/>
    <x v="0"/>
    <x v="0"/>
  </r>
  <r>
    <x v="0"/>
    <x v="40"/>
    <x v="74"/>
    <x v="2"/>
    <x v="1"/>
    <s v="Cucumber (Asian Long) - Large Fruit 1X | Greenhouse TP "/>
    <s v="CUC001"/>
    <x v="0"/>
    <x v="24"/>
    <x v="32"/>
    <x v="0"/>
    <n v="32.5"/>
    <x v="0"/>
    <x v="7"/>
    <x v="0"/>
    <x v="0"/>
    <s v="CUC"/>
    <x v="0"/>
    <x v="4"/>
    <d v="2025-05-06T00:00:00"/>
    <x v="0"/>
    <d v="2025-05-30T00:00:00"/>
    <d v="2025-06-25T00:00:00"/>
    <d v="2025-10-08T00:00:00"/>
    <x v="0"/>
    <x v="1"/>
    <x v="0"/>
    <x v="0"/>
    <n v="1607.1429000000001"/>
    <n v="11.4796"/>
    <n v="70"/>
    <x v="0"/>
    <x v="0"/>
    <x v="0"/>
    <x v="12"/>
    <x v="1"/>
    <x v="0"/>
    <x v="0"/>
    <x v="0"/>
    <x v="4"/>
    <x v="4"/>
    <x v="7"/>
    <x v="1"/>
    <n v="106"/>
    <x v="1"/>
    <n v="906"/>
    <x v="14"/>
    <x v="12"/>
    <x v="5"/>
    <x v="1"/>
  </r>
  <r>
    <x v="0"/>
    <x v="24"/>
    <x v="75"/>
    <x v="45"/>
    <x v="1"/>
    <s v="Cucumber (Asian Long) - Ripe Fruit 1X | Field TP "/>
    <s v="CUC003"/>
    <x v="0"/>
    <x v="24"/>
    <x v="32"/>
    <x v="0"/>
    <n v="65"/>
    <x v="0"/>
    <x v="1"/>
    <x v="1"/>
    <x v="0"/>
    <s v="CUC"/>
    <x v="0"/>
    <x v="4"/>
    <d v="2025-05-16T00:00:00"/>
    <x v="0"/>
    <d v="2025-05-26T00:00:00"/>
    <d v="2025-07-05T00:00:00"/>
    <d v="2025-09-20T00:00:00"/>
    <x v="0"/>
    <x v="1"/>
    <x v="0"/>
    <x v="0"/>
    <n v="1080"/>
    <n v="8.8524999999999991"/>
    <n v="80"/>
    <x v="0"/>
    <x v="0"/>
    <x v="0"/>
    <x v="13"/>
    <x v="1"/>
    <x v="0"/>
    <x v="0"/>
    <x v="0"/>
    <x v="4"/>
    <x v="4"/>
    <x v="4"/>
    <x v="2"/>
    <n v="107"/>
    <x v="1"/>
    <n v="916"/>
    <x v="15"/>
    <x v="12"/>
    <x v="5"/>
    <x v="0"/>
  </r>
  <r>
    <x v="0"/>
    <x v="40"/>
    <x v="76"/>
    <x v="16"/>
    <x v="1"/>
    <s v="Cucumber (Lebanese) - Small Fruit 1X | Greenhouse TP "/>
    <s v="CUC002"/>
    <x v="0"/>
    <x v="24"/>
    <x v="33"/>
    <x v="0"/>
    <n v="16.25"/>
    <x v="0"/>
    <x v="2"/>
    <x v="0"/>
    <x v="0"/>
    <s v="CUC"/>
    <x v="0"/>
    <x v="4"/>
    <d v="2025-05-06T00:00:00"/>
    <x v="0"/>
    <d v="2025-05-30T00:00:00"/>
    <d v="2025-06-25T00:00:00"/>
    <d v="2025-10-08T00:00:00"/>
    <x v="0"/>
    <x v="1"/>
    <x v="0"/>
    <x v="0"/>
    <n v="714.28570000000002"/>
    <n v="5.1020000000000003"/>
    <n v="70"/>
    <x v="0"/>
    <x v="0"/>
    <x v="0"/>
    <x v="12"/>
    <x v="1"/>
    <x v="0"/>
    <x v="0"/>
    <x v="0"/>
    <x v="4"/>
    <x v="4"/>
    <x v="4"/>
    <x v="1"/>
    <n v="109"/>
    <x v="1"/>
    <n v="906"/>
    <x v="14"/>
    <x v="1"/>
    <x v="1"/>
    <x v="1"/>
  </r>
  <r>
    <x v="0"/>
    <x v="24"/>
    <x v="77"/>
    <x v="46"/>
    <x v="1"/>
    <s v="Cucumber (Slicer) - Ripe Fruit 1X | Field TP "/>
    <s v="CUC004"/>
    <x v="0"/>
    <x v="24"/>
    <x v="34"/>
    <x v="0"/>
    <n v="65"/>
    <x v="0"/>
    <x v="1"/>
    <x v="1"/>
    <x v="0"/>
    <s v="CUC"/>
    <x v="0"/>
    <x v="4"/>
    <d v="2025-05-16T00:00:00"/>
    <x v="0"/>
    <d v="2025-05-26T00:00:00"/>
    <d v="2025-07-05T00:00:00"/>
    <d v="2025-09-20T00:00:00"/>
    <x v="0"/>
    <x v="1"/>
    <x v="0"/>
    <x v="0"/>
    <n v="1080"/>
    <n v="8.8524999999999991"/>
    <n v="80"/>
    <x v="0"/>
    <x v="0"/>
    <x v="0"/>
    <x v="13"/>
    <x v="1"/>
    <x v="0"/>
    <x v="0"/>
    <x v="0"/>
    <x v="4"/>
    <x v="4"/>
    <x v="4"/>
    <x v="2"/>
    <n v="111"/>
    <x v="1"/>
    <n v="916"/>
    <x v="15"/>
    <x v="12"/>
    <x v="5"/>
    <x v="0"/>
  </r>
  <r>
    <x v="0"/>
    <x v="38"/>
    <x v="78"/>
    <x v="44"/>
    <x v="1"/>
    <s v="Dill - Mature Leaf 4X | Field TP Sp"/>
    <s v="DIL004"/>
    <x v="0"/>
    <x v="25"/>
    <x v="35"/>
    <x v="0"/>
    <n v="880.00000000000011"/>
    <x v="0"/>
    <x v="2"/>
    <x v="0"/>
    <x v="0"/>
    <s v="DIL"/>
    <x v="0"/>
    <x v="4"/>
    <d v="2025-05-05T00:00:00"/>
    <x v="0"/>
    <d v="2025-05-18T00:00:00"/>
    <d v="2025-07-18T00:00:00"/>
    <d v="2025-08-04T00:00:00"/>
    <x v="0"/>
    <x v="1"/>
    <x v="0"/>
    <x v="0"/>
    <n v="320"/>
    <n v="4.1558000000000002"/>
    <n v="93"/>
    <x v="0"/>
    <x v="2"/>
    <x v="0"/>
    <x v="14"/>
    <x v="1"/>
    <x v="0"/>
    <x v="0"/>
    <x v="0"/>
    <x v="7"/>
    <x v="1"/>
    <x v="10"/>
    <x v="1"/>
    <n v="117"/>
    <x v="0"/>
    <n v="929"/>
    <x v="16"/>
    <x v="7"/>
    <x v="3"/>
    <x v="0"/>
  </r>
  <r>
    <x v="0"/>
    <x v="37"/>
    <x v="79"/>
    <x v="16"/>
    <x v="1"/>
    <s v="Dill - Mature Leaf 4X | Field TP Su"/>
    <s v="DIL001"/>
    <x v="0"/>
    <x v="25"/>
    <x v="35"/>
    <x v="0"/>
    <n v="880.00000000000011"/>
    <x v="0"/>
    <x v="2"/>
    <x v="0"/>
    <x v="0"/>
    <s v="DIL"/>
    <x v="0"/>
    <x v="18"/>
    <d v="2025-04-07T00:00:00"/>
    <x v="0"/>
    <d v="2025-04-20T00:00:00"/>
    <d v="2025-06-09T00:00:00"/>
    <d v="2025-06-26T00:00:00"/>
    <x v="0"/>
    <x v="1"/>
    <x v="0"/>
    <x v="0"/>
    <n v="320"/>
    <n v="4.7760999999999996"/>
    <n v="76"/>
    <x v="0"/>
    <x v="0"/>
    <x v="0"/>
    <x v="14"/>
    <x v="1"/>
    <x v="0"/>
    <x v="0"/>
    <x v="0"/>
    <x v="7"/>
    <x v="1"/>
    <x v="10"/>
    <x v="1"/>
    <n v="118"/>
    <x v="2"/>
    <n v="890"/>
    <x v="16"/>
    <x v="7"/>
    <x v="3"/>
    <x v="0"/>
  </r>
  <r>
    <x v="0"/>
    <x v="37"/>
    <x v="80"/>
    <x v="44"/>
    <x v="1"/>
    <s v="Dill - Mature Leaf 4X | Field TP Su"/>
    <s v="DIL002"/>
    <x v="0"/>
    <x v="25"/>
    <x v="35"/>
    <x v="0"/>
    <n v="880.00000000000011"/>
    <x v="0"/>
    <x v="2"/>
    <x v="0"/>
    <x v="0"/>
    <s v="DIL"/>
    <x v="0"/>
    <x v="18"/>
    <d v="2025-04-07T00:00:00"/>
    <x v="0"/>
    <d v="2025-04-20T00:00:00"/>
    <d v="2025-06-16T00:00:00"/>
    <d v="2025-07-03T00:00:00"/>
    <x v="0"/>
    <x v="1"/>
    <x v="0"/>
    <x v="0"/>
    <n v="320"/>
    <n v="4.7760999999999996"/>
    <n v="83"/>
    <x v="0"/>
    <x v="2"/>
    <x v="0"/>
    <x v="14"/>
    <x v="1"/>
    <x v="0"/>
    <x v="0"/>
    <x v="0"/>
    <x v="7"/>
    <x v="1"/>
    <x v="10"/>
    <x v="1"/>
    <n v="118"/>
    <x v="2"/>
    <n v="897"/>
    <x v="16"/>
    <x v="7"/>
    <x v="3"/>
    <x v="0"/>
  </r>
  <r>
    <x v="0"/>
    <x v="38"/>
    <x v="81"/>
    <x v="44"/>
    <x v="1"/>
    <s v="Dill - Mature Leaf 4X | Field TP Su"/>
    <s v="DIL005"/>
    <x v="0"/>
    <x v="25"/>
    <x v="35"/>
    <x v="0"/>
    <n v="880.00000000000011"/>
    <x v="0"/>
    <x v="2"/>
    <x v="0"/>
    <x v="0"/>
    <s v="DIL"/>
    <x v="0"/>
    <x v="15"/>
    <d v="2025-05-19T00:00:00"/>
    <x v="0"/>
    <d v="2025-05-18T00:00:00"/>
    <d v="2025-07-05T00:00:00"/>
    <d v="2025-07-22T00:00:00"/>
    <x v="0"/>
    <x v="1"/>
    <x v="0"/>
    <x v="0"/>
    <n v="320"/>
    <n v="4.7760999999999996"/>
    <n v="76"/>
    <x v="0"/>
    <x v="0"/>
    <x v="0"/>
    <x v="14"/>
    <x v="1"/>
    <x v="0"/>
    <x v="0"/>
    <x v="0"/>
    <x v="7"/>
    <x v="1"/>
    <x v="10"/>
    <x v="1"/>
    <n v="118"/>
    <x v="2"/>
    <n v="916"/>
    <x v="16"/>
    <x v="7"/>
    <x v="3"/>
    <x v="0"/>
  </r>
  <r>
    <x v="1"/>
    <x v="41"/>
    <x v="82"/>
    <x v="3"/>
    <x v="1"/>
    <s v="Dill - Mature Leaf 4X | Field TP Su"/>
    <s v="DIL006"/>
    <x v="0"/>
    <x v="25"/>
    <x v="35"/>
    <x v="0"/>
    <n v="880.00000000000011"/>
    <x v="0"/>
    <x v="2"/>
    <x v="0"/>
    <x v="0"/>
    <s v="DIL"/>
    <x v="0"/>
    <x v="16"/>
    <d v="2025-06-02T00:00:00"/>
    <x v="0"/>
    <d v="2025-06-09T00:00:00"/>
    <d v="2025-07-29T00:00:00"/>
    <d v="2025-08-15T00:00:00"/>
    <x v="0"/>
    <x v="2"/>
    <x v="0"/>
    <x v="0"/>
    <n v="320"/>
    <n v="4.7760999999999996"/>
    <n v="76"/>
    <x v="0"/>
    <x v="0"/>
    <x v="0"/>
    <x v="14"/>
    <x v="1"/>
    <x v="0"/>
    <x v="0"/>
    <x v="0"/>
    <x v="7"/>
    <x v="1"/>
    <x v="10"/>
    <x v="1"/>
    <n v="118"/>
    <x v="2"/>
    <n v="940"/>
    <x v="16"/>
    <x v="7"/>
    <x v="3"/>
    <x v="0"/>
  </r>
  <r>
    <x v="0"/>
    <x v="1"/>
    <x v="83"/>
    <x v="9"/>
    <x v="1"/>
    <s v="Fennel - Mini Bulb 1X | Field TP Sp"/>
    <s v="FEN003"/>
    <x v="0"/>
    <x v="26"/>
    <x v="36"/>
    <x v="0"/>
    <n v="520"/>
    <x v="0"/>
    <x v="1"/>
    <x v="1"/>
    <x v="0"/>
    <s v="FEN"/>
    <x v="0"/>
    <x v="13"/>
    <d v="2025-04-06T00:00:00"/>
    <x v="0"/>
    <d v="2025-05-04T00:00:00"/>
    <d v="2025-06-06T00:00:00"/>
    <d v="2025-06-20T00:00:00"/>
    <x v="0"/>
    <x v="1"/>
    <x v="0"/>
    <x v="0"/>
    <n v="666.66669999999999"/>
    <n v="10.929"/>
    <n v="77"/>
    <x v="0"/>
    <x v="0"/>
    <x v="0"/>
    <x v="1"/>
    <x v="1"/>
    <x v="0"/>
    <x v="0"/>
    <x v="0"/>
    <x v="6"/>
    <x v="1"/>
    <x v="6"/>
    <x v="1"/>
    <n v="131"/>
    <x v="0"/>
    <n v="887"/>
    <x v="1"/>
    <x v="13"/>
    <x v="9"/>
    <x v="0"/>
  </r>
  <r>
    <x v="0"/>
    <x v="42"/>
    <x v="84"/>
    <x v="29"/>
    <x v="1"/>
    <s v="Gooseberry (Cape) - Mature Berry 1X | Field TP "/>
    <s v="GOO001"/>
    <x v="0"/>
    <x v="27"/>
    <x v="37"/>
    <x v="6"/>
    <n v="13"/>
    <x v="0"/>
    <x v="0"/>
    <x v="0"/>
    <x v="0"/>
    <s v="GOO"/>
    <x v="0"/>
    <x v="11"/>
    <d v="2025-05-24T00:00:00"/>
    <x v="0"/>
    <d v="2025-01-01T00:00:00"/>
    <d v="2025-09-06T00:00:00"/>
    <d v="2025-12-13T00:00:00"/>
    <x v="0"/>
    <x v="1"/>
    <x v="0"/>
    <x v="0"/>
    <n v="640"/>
    <n v="3.1526999999999998"/>
    <n v="158"/>
    <x v="0"/>
    <x v="0"/>
    <x v="0"/>
    <x v="15"/>
    <x v="1"/>
    <x v="0"/>
    <x v="0"/>
    <x v="0"/>
    <x v="8"/>
    <x v="4"/>
    <x v="14"/>
    <x v="1"/>
    <n v="140"/>
    <x v="1"/>
    <n v="979"/>
    <x v="17"/>
    <x v="1"/>
    <x v="1"/>
    <x v="1"/>
  </r>
  <r>
    <x v="0"/>
    <x v="43"/>
    <x v="85"/>
    <x v="47"/>
    <x v="1"/>
    <s v="Kale - Mature Leaf 2X | Field TP Sp"/>
    <s v="KAL003"/>
    <x v="0"/>
    <x v="28"/>
    <x v="38"/>
    <x v="0"/>
    <n v="293.33333333333331"/>
    <x v="0"/>
    <x v="3"/>
    <x v="2"/>
    <x v="0"/>
    <s v="KAL"/>
    <x v="0"/>
    <x v="11"/>
    <d v="2025-04-26T00:00:00"/>
    <x v="0"/>
    <d v="2025-04-28T00:00:00"/>
    <d v="2025-06-30T00:00:00"/>
    <d v="2025-08-25T00:00:00"/>
    <x v="0"/>
    <x v="1"/>
    <x v="0"/>
    <x v="0"/>
    <n v="1600"/>
    <n v="14.414400000000001"/>
    <n v="90"/>
    <x v="0"/>
    <x v="0"/>
    <x v="0"/>
    <x v="3"/>
    <x v="1"/>
    <x v="0"/>
    <x v="0"/>
    <x v="0"/>
    <x v="4"/>
    <x v="3"/>
    <x v="7"/>
    <x v="1"/>
    <n v="155"/>
    <x v="0"/>
    <n v="911"/>
    <x v="3"/>
    <x v="3"/>
    <x v="7"/>
    <x v="2"/>
  </r>
  <r>
    <x v="1"/>
    <x v="44"/>
    <x v="86"/>
    <x v="4"/>
    <x v="1"/>
    <s v="Kohlrabi (Sm) - Storage Bulb 1X | Field TP Fa"/>
    <s v="KOH002"/>
    <x v="0"/>
    <x v="29"/>
    <x v="39"/>
    <x v="0"/>
    <n v="390"/>
    <x v="0"/>
    <x v="1"/>
    <x v="1"/>
    <x v="0"/>
    <s v="KOH"/>
    <x v="0"/>
    <x v="10"/>
    <d v="2025-07-10T00:00:00"/>
    <x v="0"/>
    <d v="2025-07-28T00:00:00"/>
    <d v="2025-09-14T00:00:00"/>
    <d v="2025-09-28T00:00:00"/>
    <x v="0"/>
    <x v="2"/>
    <x v="0"/>
    <x v="0"/>
    <n v="600"/>
    <n v="9.6774000000000004"/>
    <n v="73"/>
    <x v="0"/>
    <x v="0"/>
    <x v="0"/>
    <x v="1"/>
    <x v="1"/>
    <x v="0"/>
    <x v="0"/>
    <x v="0"/>
    <x v="9"/>
    <x v="3"/>
    <x v="15"/>
    <x v="1"/>
    <n v="157"/>
    <x v="6"/>
    <n v="987"/>
    <x v="1"/>
    <x v="3"/>
    <x v="2"/>
    <x v="2"/>
  </r>
  <r>
    <x v="0"/>
    <x v="37"/>
    <x v="87"/>
    <x v="28"/>
    <x v="1"/>
    <s v="Kohlrabi (Sm) - Storage Bulb 1X | Field TP Sp"/>
    <s v="KOH003"/>
    <x v="0"/>
    <x v="29"/>
    <x v="39"/>
    <x v="0"/>
    <n v="390"/>
    <x v="0"/>
    <x v="1"/>
    <x v="1"/>
    <x v="0"/>
    <s v="KOH"/>
    <x v="0"/>
    <x v="18"/>
    <d v="2025-03-27T00:00:00"/>
    <x v="0"/>
    <d v="2025-04-20T00:00:00"/>
    <d v="2025-05-19T00:00:00"/>
    <d v="2025-06-02T00:00:00"/>
    <x v="0"/>
    <x v="1"/>
    <x v="0"/>
    <x v="0"/>
    <n v="600"/>
    <n v="13.6364"/>
    <n v="55"/>
    <x v="0"/>
    <x v="0"/>
    <x v="0"/>
    <x v="1"/>
    <x v="1"/>
    <x v="0"/>
    <x v="0"/>
    <x v="0"/>
    <x v="9"/>
    <x v="3"/>
    <x v="15"/>
    <x v="1"/>
    <n v="158"/>
    <x v="0"/>
    <n v="869"/>
    <x v="1"/>
    <x v="1"/>
    <x v="1"/>
    <x v="2"/>
  </r>
  <r>
    <x v="0"/>
    <x v="25"/>
    <x v="88"/>
    <x v="48"/>
    <x v="1"/>
    <s v="Leek - Mature Stalk 5X | Field TP Su"/>
    <s v="LEE001"/>
    <x v="0"/>
    <x v="30"/>
    <x v="40"/>
    <x v="0"/>
    <n v="3466.6666666666661"/>
    <x v="0"/>
    <x v="3"/>
    <x v="2"/>
    <x v="0"/>
    <s v="LEE"/>
    <x v="0"/>
    <x v="19"/>
    <d v="2025-05-31T00:00:00"/>
    <x v="0"/>
    <d v="2025-06-28T00:00:00"/>
    <d v="2025-09-04T00:00:00"/>
    <d v="2025-10-02T00:00:00"/>
    <x v="0"/>
    <x v="1"/>
    <x v="0"/>
    <x v="0"/>
    <n v="2666.6667000000002"/>
    <n v="24.2424"/>
    <n v="142"/>
    <x v="0"/>
    <x v="0"/>
    <x v="0"/>
    <x v="11"/>
    <x v="1"/>
    <x v="0"/>
    <x v="0"/>
    <x v="0"/>
    <x v="10"/>
    <x v="1"/>
    <x v="3"/>
    <x v="1"/>
    <n v="169"/>
    <x v="2"/>
    <n v="977"/>
    <x v="13"/>
    <x v="1"/>
    <x v="1"/>
    <x v="1"/>
  </r>
  <r>
    <x v="0"/>
    <x v="45"/>
    <x v="89"/>
    <x v="49"/>
    <x v="1"/>
    <s v="Lemongrass - Mature Stalks 1X | Field TP SpSu"/>
    <s v="LEM001"/>
    <x v="0"/>
    <x v="31"/>
    <x v="41"/>
    <x v="4"/>
    <n v="130"/>
    <x v="0"/>
    <x v="1"/>
    <x v="1"/>
    <x v="0"/>
    <s v="LEM"/>
    <x v="0"/>
    <x v="11"/>
    <d v="2025-05-01T00:00:00"/>
    <x v="0"/>
    <d v="2025-05-31T00:00:00"/>
    <d v="2025-07-30T00:00:00"/>
    <d v="2025-10-01T00:00:00"/>
    <x v="0"/>
    <x v="1"/>
    <x v="0"/>
    <x v="0"/>
    <n v="2400"/>
    <n v="16.783200000000001"/>
    <n v="120"/>
    <x v="0"/>
    <x v="0"/>
    <x v="0"/>
    <x v="16"/>
    <x v="1"/>
    <x v="0"/>
    <x v="0"/>
    <x v="0"/>
    <x v="2"/>
    <x v="3"/>
    <x v="4"/>
    <x v="1"/>
    <n v="171"/>
    <x v="11"/>
    <n v="941"/>
    <x v="18"/>
    <x v="7"/>
    <x v="3"/>
    <x v="0"/>
  </r>
  <r>
    <x v="0"/>
    <x v="46"/>
    <x v="90"/>
    <x v="50"/>
    <x v="1"/>
    <s v="Lettuce (4x9) - Mature Head 1X | Field TP Sp"/>
    <s v="LET014"/>
    <x v="0"/>
    <x v="32"/>
    <x v="42"/>
    <x v="7"/>
    <n v="180.26666666666665"/>
    <x v="0"/>
    <x v="5"/>
    <x v="1"/>
    <x v="0"/>
    <s v="LET"/>
    <x v="0"/>
    <x v="11"/>
    <d v="2025-04-11T00:00:00"/>
    <x v="0"/>
    <d v="2025-05-10T00:00:00"/>
    <d v="2025-07-05T00:00:00"/>
    <d v="2025-07-19T00:00:00"/>
    <x v="0"/>
    <x v="1"/>
    <x v="0"/>
    <x v="0"/>
    <n v="426.66669999999999"/>
    <n v="5.4008000000000003"/>
    <n v="95"/>
    <x v="0"/>
    <x v="0"/>
    <x v="0"/>
    <x v="1"/>
    <x v="1"/>
    <x v="0"/>
    <x v="0"/>
    <x v="0"/>
    <x v="6"/>
    <x v="1"/>
    <x v="3"/>
    <x v="1"/>
    <n v="174"/>
    <x v="0"/>
    <n v="916"/>
    <x v="1"/>
    <x v="0"/>
    <x v="0"/>
    <x v="0"/>
  </r>
  <r>
    <x v="0"/>
    <x v="46"/>
    <x v="91"/>
    <x v="51"/>
    <x v="1"/>
    <s v="Lettuce (4x9) - Mature Head 1X | Field TP Sp"/>
    <s v="LET015"/>
    <x v="0"/>
    <x v="32"/>
    <x v="43"/>
    <x v="3"/>
    <n v="180.26666666666665"/>
    <x v="0"/>
    <x v="5"/>
    <x v="1"/>
    <x v="0"/>
    <s v="LET"/>
    <x v="0"/>
    <x v="4"/>
    <d v="2025-05-02T00:00:00"/>
    <x v="0"/>
    <d v="2025-05-10T00:00:00"/>
    <d v="2025-07-13T00:00:00"/>
    <d v="2025-07-27T00:00:00"/>
    <x v="0"/>
    <x v="1"/>
    <x v="0"/>
    <x v="0"/>
    <n v="426.66669999999999"/>
    <n v="5.4008000000000003"/>
    <n v="88"/>
    <x v="0"/>
    <x v="3"/>
    <x v="0"/>
    <x v="1"/>
    <x v="1"/>
    <x v="0"/>
    <x v="0"/>
    <x v="0"/>
    <x v="6"/>
    <x v="1"/>
    <x v="3"/>
    <x v="1"/>
    <n v="174"/>
    <x v="0"/>
    <n v="924"/>
    <x v="1"/>
    <x v="0"/>
    <x v="0"/>
    <x v="0"/>
  </r>
  <r>
    <x v="0"/>
    <x v="47"/>
    <x v="92"/>
    <x v="52"/>
    <x v="1"/>
    <s v="Lettuce (4x9) - Mature Head 1X | Field TP Sp"/>
    <s v="LET016"/>
    <x v="0"/>
    <x v="32"/>
    <x v="44"/>
    <x v="7"/>
    <n v="180.26666666666665"/>
    <x v="0"/>
    <x v="5"/>
    <x v="1"/>
    <x v="0"/>
    <s v="LET"/>
    <x v="0"/>
    <x v="20"/>
    <d v="2025-05-23T00:00:00"/>
    <x v="0"/>
    <d v="2025-06-06T00:00:00"/>
    <d v="2025-07-14T00:00:00"/>
    <d v="2025-07-28T00:00:00"/>
    <x v="0"/>
    <x v="1"/>
    <x v="0"/>
    <x v="0"/>
    <n v="426.66669999999999"/>
    <n v="5.4008000000000003"/>
    <n v="81"/>
    <x v="0"/>
    <x v="4"/>
    <x v="0"/>
    <x v="1"/>
    <x v="1"/>
    <x v="0"/>
    <x v="0"/>
    <x v="0"/>
    <x v="6"/>
    <x v="1"/>
    <x v="3"/>
    <x v="1"/>
    <n v="174"/>
    <x v="0"/>
    <n v="925"/>
    <x v="1"/>
    <x v="0"/>
    <x v="0"/>
    <x v="0"/>
  </r>
  <r>
    <x v="1"/>
    <x v="48"/>
    <x v="93"/>
    <x v="53"/>
    <x v="1"/>
    <s v="Lettuce (4x9) - Mature Head 1X | Field TP Sp"/>
    <s v="LET030"/>
    <x v="0"/>
    <x v="32"/>
    <x v="45"/>
    <x v="0"/>
    <n v="450.66666666666663"/>
    <x v="0"/>
    <x v="1"/>
    <x v="1"/>
    <x v="0"/>
    <s v="LET"/>
    <x v="0"/>
    <x v="5"/>
    <d v="2025-06-01T00:00:00"/>
    <x v="0"/>
    <d v="2025-06-18T00:00:00"/>
    <d v="2025-08-01T00:00:00"/>
    <d v="2025-08-15T00:00:00"/>
    <x v="0"/>
    <x v="2"/>
    <x v="0"/>
    <x v="0"/>
    <n v="1066.6667"/>
    <n v="13.5021"/>
    <n v="74"/>
    <x v="0"/>
    <x v="5"/>
    <x v="0"/>
    <x v="1"/>
    <x v="1"/>
    <x v="0"/>
    <x v="0"/>
    <x v="0"/>
    <x v="6"/>
    <x v="1"/>
    <x v="3"/>
    <x v="1"/>
    <n v="174"/>
    <x v="0"/>
    <n v="943"/>
    <x v="1"/>
    <x v="0"/>
    <x v="0"/>
    <x v="0"/>
  </r>
  <r>
    <x v="1"/>
    <x v="39"/>
    <x v="94"/>
    <x v="54"/>
    <x v="1"/>
    <s v="Lettuce (4x9) - Mature Head 1X | Field TP Sp"/>
    <s v="LET017"/>
    <x v="0"/>
    <x v="32"/>
    <x v="46"/>
    <x v="8"/>
    <n v="180.26666666666665"/>
    <x v="0"/>
    <x v="5"/>
    <x v="1"/>
    <x v="0"/>
    <s v="LET"/>
    <x v="0"/>
    <x v="16"/>
    <d v="2025-06-13T00:00:00"/>
    <x v="0"/>
    <d v="2025-06-13T00:00:00"/>
    <d v="2025-07-27T00:00:00"/>
    <d v="2025-08-10T00:00:00"/>
    <x v="0"/>
    <x v="2"/>
    <x v="0"/>
    <x v="0"/>
    <n v="426.66669999999999"/>
    <n v="5.4008000000000003"/>
    <n v="74"/>
    <x v="0"/>
    <x v="5"/>
    <x v="0"/>
    <x v="1"/>
    <x v="1"/>
    <x v="0"/>
    <x v="0"/>
    <x v="0"/>
    <x v="6"/>
    <x v="1"/>
    <x v="3"/>
    <x v="1"/>
    <n v="174"/>
    <x v="0"/>
    <n v="938"/>
    <x v="1"/>
    <x v="0"/>
    <x v="0"/>
    <x v="0"/>
  </r>
  <r>
    <x v="1"/>
    <x v="32"/>
    <x v="95"/>
    <x v="39"/>
    <x v="1"/>
    <s v="Lettuce (4x9) - Mature Head 1X | Field TP SuFa"/>
    <s v="LET024"/>
    <x v="0"/>
    <x v="32"/>
    <x v="47"/>
    <x v="5"/>
    <n v="180.26666666666665"/>
    <x v="0"/>
    <x v="5"/>
    <x v="1"/>
    <x v="0"/>
    <s v="LET"/>
    <x v="0"/>
    <x v="12"/>
    <d v="2025-07-04T00:00:00"/>
    <x v="0"/>
    <d v="2025-07-31T00:00:00"/>
    <d v="2025-09-09T00:00:00"/>
    <d v="2025-09-23T00:00:00"/>
    <x v="0"/>
    <x v="2"/>
    <x v="0"/>
    <x v="0"/>
    <n v="426.66669999999999"/>
    <n v="7.9012000000000002"/>
    <n v="70"/>
    <x v="0"/>
    <x v="0"/>
    <x v="0"/>
    <x v="1"/>
    <x v="1"/>
    <x v="0"/>
    <x v="0"/>
    <x v="0"/>
    <x v="6"/>
    <x v="1"/>
    <x v="3"/>
    <x v="1"/>
    <n v="175"/>
    <x v="7"/>
    <n v="982"/>
    <x v="1"/>
    <x v="0"/>
    <x v="0"/>
    <x v="0"/>
  </r>
  <r>
    <x v="1"/>
    <x v="4"/>
    <x v="96"/>
    <x v="54"/>
    <x v="1"/>
    <s v="Lettuce (4x9) - Mature Head 1X | Field TP SuFa"/>
    <s v="LET026"/>
    <x v="0"/>
    <x v="32"/>
    <x v="48"/>
    <x v="3"/>
    <n v="180.26666666666665"/>
    <x v="0"/>
    <x v="5"/>
    <x v="1"/>
    <x v="0"/>
    <s v="LET"/>
    <x v="0"/>
    <x v="17"/>
    <d v="2025-08-15T00:00:00"/>
    <x v="0"/>
    <d v="2025-08-15T00:00:00"/>
    <d v="2025-09-24T00:00:00"/>
    <d v="2025-10-08T00:00:00"/>
    <x v="1"/>
    <x v="2"/>
    <x v="0"/>
    <x v="0"/>
    <n v="426.66669999999999"/>
    <n v="7.9012000000000002"/>
    <n v="70"/>
    <x v="0"/>
    <x v="0"/>
    <x v="0"/>
    <x v="1"/>
    <x v="1"/>
    <x v="0"/>
    <x v="0"/>
    <x v="0"/>
    <x v="6"/>
    <x v="1"/>
    <x v="3"/>
    <x v="1"/>
    <n v="175"/>
    <x v="7"/>
    <n v="997"/>
    <x v="1"/>
    <x v="0"/>
    <x v="0"/>
    <x v="0"/>
  </r>
  <r>
    <x v="0"/>
    <x v="49"/>
    <x v="97"/>
    <x v="55"/>
    <x v="1"/>
    <s v="Lettuce (Salanova) - Loose Leaf 1X | Field TP Sp"/>
    <s v="LET012"/>
    <x v="0"/>
    <x v="32"/>
    <x v="49"/>
    <x v="0"/>
    <n v="901.33333333333326"/>
    <x v="0"/>
    <x v="3"/>
    <x v="2"/>
    <x v="0"/>
    <s v="LET"/>
    <x v="0"/>
    <x v="21"/>
    <d v="2025-04-11T00:00:00"/>
    <x v="0"/>
    <d v="2025-05-08T00:00:00"/>
    <d v="2025-06-23T00:00:00"/>
    <d v="2025-07-04T00:00:00"/>
    <x v="0"/>
    <x v="1"/>
    <x v="0"/>
    <x v="0"/>
    <n v="2676.6667000000002"/>
    <n v="32.642299999999999"/>
    <n v="85"/>
    <x v="0"/>
    <x v="0"/>
    <x v="0"/>
    <x v="17"/>
    <x v="1"/>
    <x v="0"/>
    <x v="0"/>
    <x v="0"/>
    <x v="6"/>
    <x v="1"/>
    <x v="3"/>
    <x v="1"/>
    <n v="191"/>
    <x v="0"/>
    <n v="904"/>
    <x v="19"/>
    <x v="1"/>
    <x v="1"/>
    <x v="1"/>
  </r>
  <r>
    <x v="0"/>
    <x v="50"/>
    <x v="98"/>
    <x v="56"/>
    <x v="1"/>
    <s v="Lettuce (Salanova) - Loose Leaf 1X | Field TP SuFa"/>
    <s v="LET018"/>
    <x v="0"/>
    <x v="32"/>
    <x v="49"/>
    <x v="0"/>
    <n v="450.66666666666663"/>
    <x v="0"/>
    <x v="1"/>
    <x v="1"/>
    <x v="0"/>
    <s v="LET"/>
    <x v="0"/>
    <x v="4"/>
    <d v="2025-05-01T00:00:00"/>
    <x v="0"/>
    <d v="2025-05-12T00:00:00"/>
    <d v="2025-06-25T00:00:00"/>
    <d v="2025-07-22T00:00:00"/>
    <x v="0"/>
    <x v="1"/>
    <x v="0"/>
    <x v="0"/>
    <n v="1340.8333"/>
    <n v="20.0124"/>
    <n v="70"/>
    <x v="0"/>
    <x v="0"/>
    <x v="0"/>
    <x v="17"/>
    <x v="1"/>
    <x v="0"/>
    <x v="0"/>
    <x v="0"/>
    <x v="6"/>
    <x v="1"/>
    <x v="3"/>
    <x v="1"/>
    <n v="192"/>
    <x v="7"/>
    <n v="906"/>
    <x v="20"/>
    <x v="1"/>
    <x v="1"/>
    <x v="1"/>
  </r>
  <r>
    <x v="0"/>
    <x v="38"/>
    <x v="99"/>
    <x v="57"/>
    <x v="1"/>
    <s v="Lettuce (Salanova) - Loose Leaf 1X | Field TP SuFa"/>
    <s v="LET019"/>
    <x v="0"/>
    <x v="32"/>
    <x v="49"/>
    <x v="0"/>
    <n v="450.66666666666663"/>
    <x v="0"/>
    <x v="1"/>
    <x v="1"/>
    <x v="0"/>
    <s v="LET"/>
    <x v="0"/>
    <x v="15"/>
    <d v="2025-05-22T00:00:00"/>
    <x v="0"/>
    <d v="2025-05-18T00:00:00"/>
    <d v="2025-06-29T00:00:00"/>
    <d v="2025-07-26T00:00:00"/>
    <x v="0"/>
    <x v="1"/>
    <x v="0"/>
    <x v="0"/>
    <n v="1340.8333"/>
    <n v="20.0124"/>
    <n v="70"/>
    <x v="0"/>
    <x v="0"/>
    <x v="0"/>
    <x v="17"/>
    <x v="1"/>
    <x v="0"/>
    <x v="0"/>
    <x v="0"/>
    <x v="6"/>
    <x v="1"/>
    <x v="3"/>
    <x v="1"/>
    <n v="192"/>
    <x v="7"/>
    <n v="910"/>
    <x v="20"/>
    <x v="1"/>
    <x v="1"/>
    <x v="1"/>
  </r>
  <r>
    <x v="1"/>
    <x v="32"/>
    <x v="100"/>
    <x v="57"/>
    <x v="1"/>
    <s v="Lettuce (Salanova) - Loose Leaf 1X | Field TP SuFa"/>
    <s v="LET021"/>
    <x v="0"/>
    <x v="32"/>
    <x v="49"/>
    <x v="0"/>
    <n v="450.66666666666663"/>
    <x v="0"/>
    <x v="1"/>
    <x v="1"/>
    <x v="0"/>
    <s v="LET"/>
    <x v="0"/>
    <x v="12"/>
    <d v="2025-07-03T00:00:00"/>
    <x v="0"/>
    <d v="2025-07-31T00:00:00"/>
    <d v="2025-09-09T00:00:00"/>
    <d v="2025-10-06T00:00:00"/>
    <x v="0"/>
    <x v="2"/>
    <x v="0"/>
    <x v="0"/>
    <n v="1340.8333"/>
    <n v="20.0124"/>
    <n v="70"/>
    <x v="0"/>
    <x v="0"/>
    <x v="0"/>
    <x v="17"/>
    <x v="1"/>
    <x v="0"/>
    <x v="0"/>
    <x v="0"/>
    <x v="6"/>
    <x v="1"/>
    <x v="3"/>
    <x v="1"/>
    <n v="192"/>
    <x v="7"/>
    <n v="982"/>
    <x v="20"/>
    <x v="1"/>
    <x v="1"/>
    <x v="1"/>
  </r>
  <r>
    <x v="1"/>
    <x v="51"/>
    <x v="101"/>
    <x v="56"/>
    <x v="1"/>
    <s v="Lettuce (Salanova) - Loose Leaf 1X | Field TP SuFa"/>
    <s v="LET023"/>
    <x v="0"/>
    <x v="32"/>
    <x v="49"/>
    <x v="0"/>
    <n v="450.66666666666663"/>
    <x v="0"/>
    <x v="1"/>
    <x v="1"/>
    <x v="0"/>
    <s v="LET"/>
    <x v="0"/>
    <x v="22"/>
    <d v="2025-08-14T00:00:00"/>
    <x v="0"/>
    <d v="2025-08-14T00:00:00"/>
    <d v="2025-09-23T00:00:00"/>
    <d v="2025-10-20T00:00:00"/>
    <x v="1"/>
    <x v="2"/>
    <x v="0"/>
    <x v="0"/>
    <n v="1340.8333"/>
    <n v="20.0124"/>
    <n v="70"/>
    <x v="0"/>
    <x v="0"/>
    <x v="0"/>
    <x v="17"/>
    <x v="1"/>
    <x v="0"/>
    <x v="0"/>
    <x v="0"/>
    <x v="6"/>
    <x v="1"/>
    <x v="3"/>
    <x v="1"/>
    <n v="192"/>
    <x v="7"/>
    <n v="996"/>
    <x v="20"/>
    <x v="1"/>
    <x v="1"/>
    <x v="1"/>
  </r>
  <r>
    <x v="0"/>
    <x v="43"/>
    <x v="102"/>
    <x v="29"/>
    <x v="1"/>
    <s v="Lettuce (Salanova) - Loose Leaf 1X | Tunnel TP Sp"/>
    <s v="LET013"/>
    <x v="0"/>
    <x v="32"/>
    <x v="49"/>
    <x v="0"/>
    <n v="450.66666666666663"/>
    <x v="0"/>
    <x v="1"/>
    <x v="1"/>
    <x v="0"/>
    <s v="LET"/>
    <x v="0"/>
    <x v="6"/>
    <d v="2025-03-27T00:00:00"/>
    <x v="0"/>
    <d v="2025-04-28T00:00:00"/>
    <d v="2025-06-21T00:00:00"/>
    <d v="2025-07-04T00:00:00"/>
    <x v="0"/>
    <x v="1"/>
    <x v="0"/>
    <x v="0"/>
    <n v="2671.6667000000002"/>
    <n v="26.192799999999998"/>
    <n v="85"/>
    <x v="0"/>
    <x v="0"/>
    <x v="0"/>
    <x v="18"/>
    <x v="1"/>
    <x v="0"/>
    <x v="0"/>
    <x v="0"/>
    <x v="6"/>
    <x v="1"/>
    <x v="3"/>
    <x v="1"/>
    <n v="193"/>
    <x v="0"/>
    <n v="902"/>
    <x v="21"/>
    <x v="1"/>
    <x v="1"/>
    <x v="1"/>
  </r>
  <r>
    <x v="0"/>
    <x v="52"/>
    <x v="103"/>
    <x v="58"/>
    <x v="1"/>
    <s v="Melon - Ripe Fruit 1X | Field TP "/>
    <s v="MEL001"/>
    <x v="0"/>
    <x v="33"/>
    <x v="50"/>
    <x v="0"/>
    <n v="65"/>
    <x v="0"/>
    <x v="3"/>
    <x v="2"/>
    <x v="0"/>
    <s v="MEL"/>
    <x v="0"/>
    <x v="4"/>
    <d v="2025-05-07T00:00:00"/>
    <x v="0"/>
    <d v="2025-05-27T00:00:00"/>
    <d v="2025-08-05T00:00:00"/>
    <d v="2025-08-26T00:00:00"/>
    <x v="0"/>
    <x v="1"/>
    <x v="0"/>
    <x v="0"/>
    <n v="900"/>
    <n v="8.1081000000000003"/>
    <n v="111"/>
    <x v="0"/>
    <x v="0"/>
    <x v="0"/>
    <x v="2"/>
    <x v="1"/>
    <x v="0"/>
    <x v="0"/>
    <x v="0"/>
    <x v="11"/>
    <x v="4"/>
    <x v="8"/>
    <x v="2"/>
    <n v="210"/>
    <x v="1"/>
    <n v="947"/>
    <x v="2"/>
    <x v="14"/>
    <x v="2"/>
    <x v="0"/>
  </r>
  <r>
    <x v="0"/>
    <x v="33"/>
    <x v="104"/>
    <x v="59"/>
    <x v="1"/>
    <s v="Onion - Mature Bulb 6X | Field TP SpSu"/>
    <s v="ONI003"/>
    <x v="0"/>
    <x v="34"/>
    <x v="51"/>
    <x v="0"/>
    <n v="990.00000000000011"/>
    <x v="0"/>
    <x v="1"/>
    <x v="1"/>
    <x v="0"/>
    <s v="ONI"/>
    <x v="0"/>
    <x v="13"/>
    <d v="2025-04-13T00:00:00"/>
    <x v="0"/>
    <d v="2025-05-05T00:00:00"/>
    <d v="2025-08-03T00:00:00"/>
    <d v="2025-08-17T00:00:00"/>
    <x v="0"/>
    <x v="1"/>
    <x v="0"/>
    <x v="0"/>
    <n v="618.75"/>
    <n v="5.7827000000000002"/>
    <n v="135"/>
    <x v="0"/>
    <x v="0"/>
    <x v="0"/>
    <x v="1"/>
    <x v="1"/>
    <x v="0"/>
    <x v="0"/>
    <x v="0"/>
    <x v="12"/>
    <x v="2"/>
    <x v="4"/>
    <x v="1"/>
    <n v="223"/>
    <x v="11"/>
    <n v="945"/>
    <x v="1"/>
    <x v="9"/>
    <x v="1"/>
    <x v="1"/>
  </r>
  <r>
    <x v="0"/>
    <x v="37"/>
    <x v="105"/>
    <x v="34"/>
    <x v="1"/>
    <s v="Onion (Salad Early) - Young Bulb 10X | Field TP Sp"/>
    <s v="ONI004"/>
    <x v="0"/>
    <x v="34"/>
    <x v="51"/>
    <x v="0"/>
    <n v="1650.0000000000002"/>
    <x v="0"/>
    <x v="1"/>
    <x v="1"/>
    <x v="0"/>
    <s v="ONI"/>
    <x v="0"/>
    <x v="13"/>
    <d v="2025-03-25T00:00:00"/>
    <x v="0"/>
    <d v="2025-04-20T00:00:00"/>
    <d v="2025-06-19T00:00:00"/>
    <d v="2025-08-14T00:00:00"/>
    <x v="0"/>
    <x v="1"/>
    <x v="0"/>
    <x v="0"/>
    <n v="600"/>
    <n v="5.0846999999999998"/>
    <n v="90"/>
    <x v="0"/>
    <x v="0"/>
    <x v="0"/>
    <x v="3"/>
    <x v="1"/>
    <x v="0"/>
    <x v="0"/>
    <x v="0"/>
    <x v="1"/>
    <x v="2"/>
    <x v="4"/>
    <x v="1"/>
    <n v="224"/>
    <x v="0"/>
    <n v="900"/>
    <x v="3"/>
    <x v="9"/>
    <x v="2"/>
    <x v="0"/>
  </r>
  <r>
    <x v="0"/>
    <x v="53"/>
    <x v="106"/>
    <x v="60"/>
    <x v="1"/>
    <s v="Onion (Salad Late) - Young Bulb 10X | Field TP Sp"/>
    <s v="ONI005"/>
    <x v="0"/>
    <x v="34"/>
    <x v="51"/>
    <x v="0"/>
    <n v="1650.0000000000002"/>
    <x v="0"/>
    <x v="1"/>
    <x v="1"/>
    <x v="0"/>
    <s v="ONI"/>
    <x v="0"/>
    <x v="6"/>
    <d v="2025-04-19T00:00:00"/>
    <x v="0"/>
    <d v="2025-04-22T00:00:00"/>
    <d v="2025-06-26T00:00:00"/>
    <d v="2025-08-21T00:00:00"/>
    <x v="0"/>
    <x v="1"/>
    <x v="0"/>
    <x v="0"/>
    <n v="600"/>
    <n v="5.0846999999999998"/>
    <n v="90"/>
    <x v="0"/>
    <x v="0"/>
    <x v="0"/>
    <x v="3"/>
    <x v="1"/>
    <x v="0"/>
    <x v="0"/>
    <x v="0"/>
    <x v="1"/>
    <x v="2"/>
    <x v="4"/>
    <x v="1"/>
    <n v="225"/>
    <x v="0"/>
    <n v="907"/>
    <x v="3"/>
    <x v="9"/>
    <x v="2"/>
    <x v="0"/>
  </r>
  <r>
    <x v="0"/>
    <x v="27"/>
    <x v="107"/>
    <x v="61"/>
    <x v="1"/>
    <s v="Parsley - Mature Leaf 3X | Field TP Sp"/>
    <s v="PAR001"/>
    <x v="0"/>
    <x v="35"/>
    <x v="52"/>
    <x v="0"/>
    <n v="780"/>
    <x v="0"/>
    <x v="1"/>
    <x v="1"/>
    <x v="0"/>
    <s v="PAR"/>
    <x v="0"/>
    <x v="11"/>
    <d v="2025-04-26T00:00:00"/>
    <x v="0"/>
    <d v="2025-06-05T00:00:00"/>
    <d v="2025-06-15T00:00:00"/>
    <d v="2025-10-12T00:00:00"/>
    <x v="0"/>
    <x v="1"/>
    <x v="0"/>
    <x v="0"/>
    <n v="2250"/>
    <n v="14.1509"/>
    <n v="75"/>
    <x v="0"/>
    <x v="0"/>
    <x v="0"/>
    <x v="19"/>
    <x v="1"/>
    <x v="0"/>
    <x v="0"/>
    <x v="0"/>
    <x v="4"/>
    <x v="2"/>
    <x v="3"/>
    <x v="1"/>
    <n v="230"/>
    <x v="0"/>
    <n v="896"/>
    <x v="22"/>
    <x v="7"/>
    <x v="10"/>
    <x v="0"/>
  </r>
  <r>
    <x v="0"/>
    <x v="54"/>
    <x v="108"/>
    <x v="40"/>
    <x v="1"/>
    <s v="Peas (Snap) - Young Pod 3X | Field TP SpSu"/>
    <s v="PEA001"/>
    <x v="0"/>
    <x v="36"/>
    <x v="53"/>
    <x v="0"/>
    <n v="1040"/>
    <x v="0"/>
    <x v="3"/>
    <x v="2"/>
    <x v="0"/>
    <s v="PEA"/>
    <x v="0"/>
    <x v="13"/>
    <d v="2025-03-23T00:00:00"/>
    <x v="0"/>
    <d v="2025-04-02T00:00:00"/>
    <d v="2025-06-09T00:00:00"/>
    <d v="2025-07-12T00:00:00"/>
    <x v="0"/>
    <x v="1"/>
    <x v="0"/>
    <x v="0"/>
    <n v="475"/>
    <n v="5.1630000000000003"/>
    <n v="80"/>
    <x v="0"/>
    <x v="0"/>
    <x v="0"/>
    <x v="20"/>
    <x v="1"/>
    <x v="0"/>
    <x v="0"/>
    <x v="0"/>
    <x v="11"/>
    <x v="3"/>
    <x v="3"/>
    <x v="1"/>
    <n v="238"/>
    <x v="11"/>
    <n v="890"/>
    <x v="23"/>
    <x v="1"/>
    <x v="1"/>
    <x v="1"/>
  </r>
  <r>
    <x v="0"/>
    <x v="48"/>
    <x v="109"/>
    <x v="1"/>
    <x v="1"/>
    <s v="Pepper (Bell) - Ripe Fruit Large 1X | Field TP "/>
    <s v="PEP001"/>
    <x v="0"/>
    <x v="37"/>
    <x v="54"/>
    <x v="8"/>
    <n v="65"/>
    <x v="0"/>
    <x v="0"/>
    <x v="0"/>
    <x v="0"/>
    <s v="PEP"/>
    <x v="0"/>
    <x v="13"/>
    <d v="2025-06-05T00:00:00"/>
    <x v="0"/>
    <d v="2025-06-18T00:00:00"/>
    <d v="2025-08-18T00:00:00"/>
    <d v="2025-10-27T00:00:00"/>
    <x v="0"/>
    <x v="1"/>
    <x v="0"/>
    <x v="0"/>
    <n v="667.96879999999999"/>
    <n v="5.1382000000000003"/>
    <n v="150"/>
    <x v="0"/>
    <x v="0"/>
    <x v="0"/>
    <x v="21"/>
    <x v="1"/>
    <x v="0"/>
    <x v="0"/>
    <x v="0"/>
    <x v="13"/>
    <x v="3"/>
    <x v="4"/>
    <x v="2"/>
    <n v="241"/>
    <x v="1"/>
    <n v="960"/>
    <x v="24"/>
    <x v="15"/>
    <x v="3"/>
    <x v="0"/>
  </r>
  <r>
    <x v="0"/>
    <x v="10"/>
    <x v="110"/>
    <x v="42"/>
    <x v="1"/>
    <s v="Pepper (Bell) - Ripe Fruit Large 1X | Greenhouse TP "/>
    <s v="PEP002"/>
    <x v="0"/>
    <x v="37"/>
    <x v="55"/>
    <x v="0"/>
    <n v="65"/>
    <x v="0"/>
    <x v="0"/>
    <x v="0"/>
    <x v="0"/>
    <s v="PEP"/>
    <x v="0"/>
    <x v="13"/>
    <d v="2025-05-21T00:00:00"/>
    <x v="0"/>
    <d v="2025-06-20T00:00:00"/>
    <d v="2025-08-18T00:00:00"/>
    <d v="2025-12-22T00:00:00"/>
    <x v="0"/>
    <x v="1"/>
    <x v="0"/>
    <x v="0"/>
    <n v="2404.6875"/>
    <n v="12.9284"/>
    <n v="150"/>
    <x v="0"/>
    <x v="0"/>
    <x v="0"/>
    <x v="22"/>
    <x v="1"/>
    <x v="0"/>
    <x v="0"/>
    <x v="0"/>
    <x v="13"/>
    <x v="3"/>
    <x v="4"/>
    <x v="1"/>
    <n v="242"/>
    <x v="1"/>
    <n v="960"/>
    <x v="25"/>
    <x v="15"/>
    <x v="3"/>
    <x v="1"/>
  </r>
  <r>
    <x v="0"/>
    <x v="48"/>
    <x v="111"/>
    <x v="1"/>
    <x v="1"/>
    <s v="Pepper (Hot) - Ripe Fruit Small 1X | Field TP "/>
    <s v="PEP003"/>
    <x v="0"/>
    <x v="37"/>
    <x v="54"/>
    <x v="8"/>
    <n v="65"/>
    <x v="0"/>
    <x v="0"/>
    <x v="0"/>
    <x v="0"/>
    <s v="PEP"/>
    <x v="0"/>
    <x v="13"/>
    <d v="2025-06-05T00:00:00"/>
    <x v="0"/>
    <d v="2025-06-18T00:00:00"/>
    <d v="2025-08-18T00:00:00"/>
    <d v="2025-10-27T00:00:00"/>
    <x v="0"/>
    <x v="1"/>
    <x v="0"/>
    <x v="0"/>
    <n v="562.5"/>
    <n v="4.3269000000000002"/>
    <n v="150"/>
    <x v="0"/>
    <x v="0"/>
    <x v="0"/>
    <x v="21"/>
    <x v="1"/>
    <x v="0"/>
    <x v="0"/>
    <x v="0"/>
    <x v="13"/>
    <x v="3"/>
    <x v="4"/>
    <x v="2"/>
    <n v="243"/>
    <x v="1"/>
    <n v="960"/>
    <x v="24"/>
    <x v="15"/>
    <x v="3"/>
    <x v="0"/>
  </r>
  <r>
    <x v="1"/>
    <x v="3"/>
    <x v="112"/>
    <x v="62"/>
    <x v="1"/>
    <s v="Pepper (Hot) - Ripe Fruit Small 1X | Field TP "/>
    <s v="PEP005"/>
    <x v="0"/>
    <x v="37"/>
    <x v="56"/>
    <x v="0"/>
    <n v="52"/>
    <x v="0"/>
    <x v="5"/>
    <x v="1"/>
    <x v="0"/>
    <s v="PEP"/>
    <x v="0"/>
    <x v="11"/>
    <d v="2025-06-05T00:00:00"/>
    <x v="0"/>
    <d v="2025-06-30T00:00:00"/>
    <d v="2025-08-29T00:00:00"/>
    <d v="2025-11-07T00:00:00"/>
    <x v="0"/>
    <x v="2"/>
    <x v="0"/>
    <x v="0"/>
    <n v="450"/>
    <n v="3.4615"/>
    <n v="150"/>
    <x v="0"/>
    <x v="0"/>
    <x v="0"/>
    <x v="21"/>
    <x v="1"/>
    <x v="0"/>
    <x v="0"/>
    <x v="0"/>
    <x v="13"/>
    <x v="3"/>
    <x v="4"/>
    <x v="2"/>
    <n v="243"/>
    <x v="1"/>
    <n v="971"/>
    <x v="24"/>
    <x v="15"/>
    <x v="3"/>
    <x v="0"/>
  </r>
  <r>
    <x v="0"/>
    <x v="10"/>
    <x v="113"/>
    <x v="42"/>
    <x v="1"/>
    <s v="Pepper (Hot) - Ripe Fruit Small 1X | Greenhouse TP "/>
    <s v="PEP004"/>
    <x v="0"/>
    <x v="37"/>
    <x v="55"/>
    <x v="0"/>
    <n v="65"/>
    <x v="0"/>
    <x v="0"/>
    <x v="0"/>
    <x v="0"/>
    <s v="PEP"/>
    <x v="0"/>
    <x v="13"/>
    <d v="2025-05-21T00:00:00"/>
    <x v="0"/>
    <d v="2025-06-20T00:00:00"/>
    <d v="2025-08-18T00:00:00"/>
    <d v="2025-12-22T00:00:00"/>
    <x v="0"/>
    <x v="1"/>
    <x v="0"/>
    <x v="0"/>
    <n v="1012.5"/>
    <n v="5.4435000000000002"/>
    <n v="150"/>
    <x v="0"/>
    <x v="0"/>
    <x v="0"/>
    <x v="22"/>
    <x v="1"/>
    <x v="0"/>
    <x v="0"/>
    <x v="0"/>
    <x v="13"/>
    <x v="3"/>
    <x v="4"/>
    <x v="1"/>
    <n v="244"/>
    <x v="1"/>
    <n v="960"/>
    <x v="25"/>
    <x v="15"/>
    <x v="3"/>
    <x v="1"/>
  </r>
  <r>
    <x v="1"/>
    <x v="18"/>
    <x v="114"/>
    <x v="33"/>
    <x v="1"/>
    <s v="Radicchio (90 Day) - Forced Head 1X | Field TP Su"/>
    <s v="RAD002"/>
    <x v="0"/>
    <x v="38"/>
    <x v="57"/>
    <x v="0"/>
    <n v="312"/>
    <x v="0"/>
    <x v="6"/>
    <x v="3"/>
    <x v="0"/>
    <s v="RAD"/>
    <x v="0"/>
    <x v="7"/>
    <d v="2025-06-30T00:00:00"/>
    <x v="0"/>
    <d v="2025-07-21T00:00:00"/>
    <d v="2025-10-19T00:00:00"/>
    <d v="2025-11-02T00:00:00"/>
    <x v="0"/>
    <x v="2"/>
    <x v="0"/>
    <x v="0"/>
    <n v="1440"/>
    <n v="13.8462"/>
    <n v="120"/>
    <x v="0"/>
    <x v="0"/>
    <x v="0"/>
    <x v="1"/>
    <x v="1"/>
    <x v="0"/>
    <x v="0"/>
    <x v="0"/>
    <x v="6"/>
    <x v="2"/>
    <x v="4"/>
    <x v="1"/>
    <n v="251"/>
    <x v="2"/>
    <n v="1022"/>
    <x v="1"/>
    <x v="0"/>
    <x v="8"/>
    <x v="0"/>
  </r>
  <r>
    <x v="1"/>
    <x v="29"/>
    <x v="115"/>
    <x v="19"/>
    <x v="1"/>
    <s v="Radish (Daikon) - Storage Root 1X | Field TP FaWi"/>
    <s v="RAD005"/>
    <x v="0"/>
    <x v="11"/>
    <x v="58"/>
    <x v="0"/>
    <n v="260"/>
    <x v="0"/>
    <x v="1"/>
    <x v="1"/>
    <x v="0"/>
    <s v="RAD"/>
    <x v="0"/>
    <x v="12"/>
    <d v="2025-07-15T00:00:00"/>
    <x v="0"/>
    <d v="2025-07-26T00:00:00"/>
    <d v="2025-09-14T00:00:00"/>
    <d v="2025-10-05T00:00:00"/>
    <x v="0"/>
    <x v="2"/>
    <x v="0"/>
    <x v="0"/>
    <n v="1200"/>
    <n v="16.901399999999999"/>
    <n v="75"/>
    <x v="0"/>
    <x v="0"/>
    <x v="0"/>
    <x v="2"/>
    <x v="1"/>
    <x v="0"/>
    <x v="0"/>
    <x v="0"/>
    <x v="9"/>
    <x v="2"/>
    <x v="3"/>
    <x v="0"/>
    <n v="258"/>
    <x v="3"/>
    <n v="987"/>
    <x v="2"/>
    <x v="2"/>
    <x v="2"/>
    <x v="2"/>
  </r>
  <r>
    <x v="1"/>
    <x v="4"/>
    <x v="116"/>
    <x v="55"/>
    <x v="1"/>
    <s v="Rutabaga - Mature Root 2X | Field TP Fa"/>
    <s v="RUT001"/>
    <x v="0"/>
    <x v="39"/>
    <x v="3"/>
    <x v="0"/>
    <n v="780"/>
    <x v="0"/>
    <x v="3"/>
    <x v="2"/>
    <x v="0"/>
    <s v="RUT"/>
    <x v="0"/>
    <x v="3"/>
    <d v="2025-08-15T00:00:00"/>
    <x v="0"/>
    <d v="2025-08-15T00:00:00"/>
    <d v="2025-11-15T00:00:00"/>
    <d v="2025-12-06T00:00:00"/>
    <x v="1"/>
    <x v="2"/>
    <x v="0"/>
    <x v="0"/>
    <n v="1050"/>
    <n v="9.2919999999999998"/>
    <n v="120"/>
    <x v="0"/>
    <x v="0"/>
    <x v="0"/>
    <x v="2"/>
    <x v="1"/>
    <x v="0"/>
    <x v="0"/>
    <x v="0"/>
    <x v="1"/>
    <x v="2"/>
    <x v="4"/>
    <x v="1"/>
    <n v="270"/>
    <x v="6"/>
    <n v="1049"/>
    <x v="2"/>
    <x v="1"/>
    <x v="1"/>
    <x v="2"/>
  </r>
  <r>
    <x v="0"/>
    <x v="55"/>
    <x v="117"/>
    <x v="16"/>
    <x v="1"/>
    <s v="Scallion - Mature Stalk 6X | Field TP Sp"/>
    <s v="SCA633"/>
    <x v="0"/>
    <x v="12"/>
    <x v="59"/>
    <x v="0"/>
    <n v="660"/>
    <x v="0"/>
    <x v="2"/>
    <x v="0"/>
    <x v="0"/>
    <s v="SCA"/>
    <x v="0"/>
    <x v="18"/>
    <d v="2025-04-13T00:00:00"/>
    <x v="0"/>
    <d v="2025-03-12T00:00:00"/>
    <d v="2025-06-25T00:00:00"/>
    <d v="2025-07-09T00:00:00"/>
    <x v="0"/>
    <x v="1"/>
    <x v="0"/>
    <x v="0"/>
    <n v="125"/>
    <n v="1.9531000000000001"/>
    <n v="92"/>
    <x v="0"/>
    <x v="0"/>
    <x v="0"/>
    <x v="1"/>
    <x v="1"/>
    <x v="0"/>
    <x v="0"/>
    <x v="0"/>
    <x v="12"/>
    <x v="1"/>
    <x v="6"/>
    <x v="1"/>
    <n v="282"/>
    <x v="0"/>
    <n v="906"/>
    <x v="1"/>
    <x v="9"/>
    <x v="8"/>
    <x v="0"/>
  </r>
  <r>
    <x v="1"/>
    <x v="22"/>
    <x v="118"/>
    <x v="63"/>
    <x v="1"/>
    <s v="Scallion - Mature Stalk 6X | Field TP Sp"/>
    <s v="SCA634"/>
    <x v="0"/>
    <x v="12"/>
    <x v="59"/>
    <x v="0"/>
    <n v="2112"/>
    <x v="0"/>
    <x v="8"/>
    <x v="2"/>
    <x v="0"/>
    <s v="SCA"/>
    <x v="0"/>
    <x v="16"/>
    <d v="2025-05-04T00:00:00"/>
    <x v="0"/>
    <d v="2025-06-25T00:00:00"/>
    <d v="2025-08-14T00:00:00"/>
    <d v="2025-08-28T00:00:00"/>
    <x v="0"/>
    <x v="2"/>
    <x v="0"/>
    <x v="0"/>
    <n v="400"/>
    <n v="6.25"/>
    <n v="92"/>
    <x v="0"/>
    <x v="0"/>
    <x v="0"/>
    <x v="1"/>
    <x v="1"/>
    <x v="0"/>
    <x v="0"/>
    <x v="0"/>
    <x v="12"/>
    <x v="1"/>
    <x v="6"/>
    <x v="1"/>
    <n v="282"/>
    <x v="0"/>
    <n v="956"/>
    <x v="1"/>
    <x v="9"/>
    <x v="8"/>
    <x v="0"/>
  </r>
  <r>
    <x v="0"/>
    <x v="38"/>
    <x v="119"/>
    <x v="25"/>
    <x v="1"/>
    <s v="Scallion - Mature Stalk 6X | Field TP Sp"/>
    <s v="SCA635"/>
    <x v="0"/>
    <x v="12"/>
    <x v="59"/>
    <x v="0"/>
    <n v="1320"/>
    <x v="0"/>
    <x v="0"/>
    <x v="0"/>
    <x v="0"/>
    <s v="SCA"/>
    <x v="0"/>
    <x v="2"/>
    <d v="2025-05-25T00:00:00"/>
    <x v="0"/>
    <d v="2025-05-18T00:00:00"/>
    <d v="2025-07-15T00:00:00"/>
    <d v="2025-07-29T00:00:00"/>
    <x v="0"/>
    <x v="1"/>
    <x v="0"/>
    <x v="0"/>
    <n v="250"/>
    <n v="3.9062000000000001"/>
    <n v="92"/>
    <x v="0"/>
    <x v="0"/>
    <x v="0"/>
    <x v="1"/>
    <x v="1"/>
    <x v="0"/>
    <x v="0"/>
    <x v="0"/>
    <x v="12"/>
    <x v="1"/>
    <x v="6"/>
    <x v="1"/>
    <n v="282"/>
    <x v="0"/>
    <n v="926"/>
    <x v="1"/>
    <x v="9"/>
    <x v="8"/>
    <x v="0"/>
  </r>
  <r>
    <x v="0"/>
    <x v="56"/>
    <x v="120"/>
    <x v="64"/>
    <x v="1"/>
    <s v="Sorrel - Mature Leaf 3X | Field TP "/>
    <s v="SOR485"/>
    <x v="5"/>
    <x v="40"/>
    <x v="60"/>
    <x v="0"/>
    <n v="117"/>
    <x v="0"/>
    <x v="5"/>
    <x v="0"/>
    <x v="0"/>
    <s v="SOR"/>
    <x v="0"/>
    <x v="23"/>
    <d v="2024-04-29T00:00:00"/>
    <x v="0"/>
    <d v="2024-04-26T00:00:00"/>
    <d v="2024-06-01T00:00:00"/>
    <d v="2025-01-31T00:00:00"/>
    <x v="0"/>
    <x v="1"/>
    <x v="0"/>
    <x v="0"/>
    <n v="822.85709999999995"/>
    <n v="3.0933999999999999"/>
    <n v="70"/>
    <x v="0"/>
    <x v="0"/>
    <x v="0"/>
    <x v="23"/>
    <x v="1"/>
    <x v="0"/>
    <x v="0"/>
    <x v="0"/>
    <x v="1"/>
    <x v="2"/>
    <x v="4"/>
    <x v="1"/>
    <n v="291"/>
    <x v="1"/>
    <n v="517"/>
    <x v="26"/>
    <x v="0"/>
    <x v="8"/>
    <x v="1"/>
  </r>
  <r>
    <x v="0"/>
    <x v="26"/>
    <x v="121"/>
    <x v="11"/>
    <x v="1"/>
    <s v="Squash (Delicata) - Storage 1X | Field TP "/>
    <s v="SQU002"/>
    <x v="0"/>
    <x v="41"/>
    <x v="61"/>
    <x v="0"/>
    <n v="21.666666666666664"/>
    <x v="0"/>
    <x v="1"/>
    <x v="1"/>
    <x v="0"/>
    <s v="SQU"/>
    <x v="0"/>
    <x v="4"/>
    <d v="2025-05-09T00:00:00"/>
    <x v="0"/>
    <d v="2025-06-04T00:00:00"/>
    <d v="2025-08-22T00:00:00"/>
    <d v="2025-08-29T00:00:00"/>
    <x v="0"/>
    <x v="1"/>
    <x v="0"/>
    <x v="0"/>
    <n v="225"/>
    <n v="2.1027999999999998"/>
    <n v="128"/>
    <x v="0"/>
    <x v="0"/>
    <x v="0"/>
    <x v="4"/>
    <x v="1"/>
    <x v="0"/>
    <x v="0"/>
    <x v="0"/>
    <x v="1"/>
    <x v="4"/>
    <x v="16"/>
    <x v="1"/>
    <n v="300"/>
    <x v="1"/>
    <n v="964"/>
    <x v="4"/>
    <x v="16"/>
    <x v="7"/>
    <x v="0"/>
  </r>
  <r>
    <x v="0"/>
    <x v="26"/>
    <x v="122"/>
    <x v="11"/>
    <x v="1"/>
    <s v="Squash (Kuri) - Storage 1X | Field TP "/>
    <s v="SQU004"/>
    <x v="0"/>
    <x v="41"/>
    <x v="62"/>
    <x v="0"/>
    <n v="346.66666666666663"/>
    <x v="0"/>
    <x v="9"/>
    <x v="1"/>
    <x v="0"/>
    <s v="SQU"/>
    <x v="0"/>
    <x v="4"/>
    <d v="2025-05-09T00:00:00"/>
    <x v="0"/>
    <d v="2025-06-04T00:00:00"/>
    <d v="2025-08-22T00:00:00"/>
    <d v="2025-08-29T00:00:00"/>
    <x v="0"/>
    <x v="1"/>
    <x v="0"/>
    <x v="0"/>
    <n v="5400"/>
    <n v="50.467300000000002"/>
    <n v="128"/>
    <x v="0"/>
    <x v="0"/>
    <x v="0"/>
    <x v="4"/>
    <x v="1"/>
    <x v="0"/>
    <x v="0"/>
    <x v="0"/>
    <x v="1"/>
    <x v="4"/>
    <x v="16"/>
    <x v="1"/>
    <n v="301"/>
    <x v="1"/>
    <n v="964"/>
    <x v="4"/>
    <x v="16"/>
    <x v="7"/>
    <x v="0"/>
  </r>
  <r>
    <x v="0"/>
    <x v="57"/>
    <x v="123"/>
    <x v="65"/>
    <x v="1"/>
    <s v="Summer Squash (Long Season) - Ripe Fruit 1X | Field TP Su"/>
    <s v="SUM001"/>
    <x v="0"/>
    <x v="42"/>
    <x v="63"/>
    <x v="9"/>
    <n v="32.5"/>
    <x v="0"/>
    <x v="1"/>
    <x v="1"/>
    <x v="0"/>
    <s v="SUM"/>
    <x v="0"/>
    <x v="4"/>
    <d v="2025-04-29T00:00:00"/>
    <x v="0"/>
    <d v="2025-05-19T00:00:00"/>
    <d v="2025-06-15T00:00:00"/>
    <d v="2025-09-18T00:00:00"/>
    <x v="0"/>
    <x v="1"/>
    <x v="0"/>
    <x v="0"/>
    <n v="642.85709999999995"/>
    <n v="5.0618999999999996"/>
    <n v="60"/>
    <x v="0"/>
    <x v="0"/>
    <x v="0"/>
    <x v="24"/>
    <x v="1"/>
    <x v="0"/>
    <x v="0"/>
    <x v="0"/>
    <x v="1"/>
    <x v="4"/>
    <x v="8"/>
    <x v="1"/>
    <n v="309"/>
    <x v="2"/>
    <n v="896"/>
    <x v="27"/>
    <x v="17"/>
    <x v="7"/>
    <x v="0"/>
  </r>
  <r>
    <x v="0"/>
    <x v="58"/>
    <x v="124"/>
    <x v="66"/>
    <x v="1"/>
    <s v="Summer Squash (Short Season) - Ripe Fruit 1X | Field TP Su"/>
    <s v="SUM002"/>
    <x v="0"/>
    <x v="42"/>
    <x v="64"/>
    <x v="0"/>
    <n v="65"/>
    <x v="0"/>
    <x v="3"/>
    <x v="2"/>
    <x v="0"/>
    <s v="SUM"/>
    <x v="0"/>
    <x v="4"/>
    <d v="2025-04-29T00:00:00"/>
    <x v="0"/>
    <d v="2025-05-23T00:00:00"/>
    <d v="2025-06-15T00:00:00"/>
    <d v="2025-08-31T00:00:00"/>
    <x v="0"/>
    <x v="1"/>
    <x v="0"/>
    <x v="0"/>
    <n v="750"/>
    <n v="9.4937000000000005"/>
    <n v="60"/>
    <x v="0"/>
    <x v="0"/>
    <x v="2"/>
    <x v="18"/>
    <x v="1"/>
    <x v="0"/>
    <x v="0"/>
    <x v="0"/>
    <x v="1"/>
    <x v="4"/>
    <x v="8"/>
    <x v="1"/>
    <n v="311"/>
    <x v="2"/>
    <n v="896"/>
    <x v="15"/>
    <x v="17"/>
    <x v="7"/>
    <x v="0"/>
  </r>
  <r>
    <x v="0"/>
    <x v="27"/>
    <x v="125"/>
    <x v="67"/>
    <x v="1"/>
    <s v="Swiss Chard - Mature Leaf 1X | Field TP SpSuFa"/>
    <s v="SWI002"/>
    <x v="0"/>
    <x v="43"/>
    <x v="65"/>
    <x v="0"/>
    <n v="73.333333333333329"/>
    <x v="0"/>
    <x v="1"/>
    <x v="1"/>
    <x v="0"/>
    <s v="SWI"/>
    <x v="0"/>
    <x v="15"/>
    <d v="2025-05-15T00:00:00"/>
    <x v="0"/>
    <d v="2025-06-05T00:00:00"/>
    <d v="2025-06-22T00:00:00"/>
    <d v="2025-09-17T00:00:00"/>
    <x v="0"/>
    <x v="1"/>
    <x v="0"/>
    <x v="0"/>
    <n v="1050"/>
    <n v="8.3332999999999995"/>
    <n v="63"/>
    <x v="0"/>
    <x v="0"/>
    <x v="0"/>
    <x v="25"/>
    <x v="1"/>
    <x v="0"/>
    <x v="0"/>
    <x v="0"/>
    <x v="14"/>
    <x v="3"/>
    <x v="7"/>
    <x v="1"/>
    <n v="318"/>
    <x v="12"/>
    <n v="903"/>
    <x v="28"/>
    <x v="0"/>
    <x v="9"/>
    <x v="1"/>
  </r>
  <r>
    <x v="0"/>
    <x v="59"/>
    <x v="126"/>
    <x v="68"/>
    <x v="1"/>
    <s v="Tomatillo - Ripe Fruit 1X | Field TP "/>
    <s v="TOM001"/>
    <x v="0"/>
    <x v="44"/>
    <x v="66"/>
    <x v="0"/>
    <n v="43.333333333333329"/>
    <x v="0"/>
    <x v="1"/>
    <x v="1"/>
    <x v="0"/>
    <s v="TOM"/>
    <x v="0"/>
    <x v="11"/>
    <d v="2025-05-17T00:00:00"/>
    <x v="0"/>
    <d v="2025-06-15T00:00:00"/>
    <d v="2025-06-30T00:00:00"/>
    <d v="2025-09-08T00:00:00"/>
    <x v="0"/>
    <x v="1"/>
    <x v="0"/>
    <x v="0"/>
    <n v="1600"/>
    <n v="15.384600000000001"/>
    <n v="90"/>
    <x v="0"/>
    <x v="0"/>
    <x v="0"/>
    <x v="21"/>
    <x v="1"/>
    <x v="0"/>
    <x v="0"/>
    <x v="0"/>
    <x v="15"/>
    <x v="4"/>
    <x v="7"/>
    <x v="2"/>
    <n v="322"/>
    <x v="1"/>
    <n v="911"/>
    <x v="24"/>
    <x v="18"/>
    <x v="11"/>
    <x v="5"/>
  </r>
  <r>
    <x v="0"/>
    <x v="39"/>
    <x v="127"/>
    <x v="11"/>
    <x v="1"/>
    <s v="Tomato (Beefsteak Det) - Ripe Fruit Large 1X | Field TP Su"/>
    <s v="TOM006"/>
    <x v="0"/>
    <x v="45"/>
    <x v="67"/>
    <x v="0"/>
    <n v="195"/>
    <x v="0"/>
    <x v="10"/>
    <x v="1"/>
    <x v="0"/>
    <s v="TOM"/>
    <x v="0"/>
    <x v="4"/>
    <d v="2025-05-15T00:00:00"/>
    <x v="0"/>
    <d v="2025-06-13T00:00:00"/>
    <d v="2025-08-05T00:00:00"/>
    <d v="2025-10-07T00:00:00"/>
    <x v="0"/>
    <x v="1"/>
    <x v="0"/>
    <x v="0"/>
    <n v="11250"/>
    <n v="95.338999999999999"/>
    <n v="111"/>
    <x v="0"/>
    <x v="0"/>
    <x v="0"/>
    <x v="16"/>
    <x v="1"/>
    <x v="0"/>
    <x v="0"/>
    <x v="0"/>
    <x v="15"/>
    <x v="4"/>
    <x v="8"/>
    <x v="2"/>
    <n v="323"/>
    <x v="2"/>
    <n v="947"/>
    <x v="18"/>
    <x v="18"/>
    <x v="6"/>
    <x v="5"/>
  </r>
  <r>
    <x v="0"/>
    <x v="60"/>
    <x v="128"/>
    <x v="0"/>
    <x v="1"/>
    <s v="Tomato (Beefsteak Det) - Ripe Fruit Large 1X | Field TP Su"/>
    <s v="TOM010"/>
    <x v="0"/>
    <x v="45"/>
    <x v="67"/>
    <x v="0"/>
    <n v="65"/>
    <x v="0"/>
    <x v="3"/>
    <x v="2"/>
    <x v="0"/>
    <s v="TOM"/>
    <x v="0"/>
    <x v="4"/>
    <d v="2025-05-15T00:00:00"/>
    <x v="0"/>
    <d v="2025-06-07T00:00:00"/>
    <d v="2025-08-05T00:00:00"/>
    <d v="2025-10-07T00:00:00"/>
    <x v="0"/>
    <x v="1"/>
    <x v="0"/>
    <x v="0"/>
    <n v="3750"/>
    <n v="31.779699999999998"/>
    <n v="111"/>
    <x v="0"/>
    <x v="0"/>
    <x v="0"/>
    <x v="16"/>
    <x v="1"/>
    <x v="0"/>
    <x v="0"/>
    <x v="0"/>
    <x v="15"/>
    <x v="4"/>
    <x v="8"/>
    <x v="2"/>
    <n v="323"/>
    <x v="2"/>
    <n v="947"/>
    <x v="18"/>
    <x v="18"/>
    <x v="6"/>
    <x v="5"/>
  </r>
  <r>
    <x v="0"/>
    <x v="45"/>
    <x v="129"/>
    <x v="69"/>
    <x v="1"/>
    <s v="Tomato (Beefsteak) - Ripe Fruit Large 1X | Field TP Su"/>
    <s v="TOM002"/>
    <x v="0"/>
    <x v="45"/>
    <x v="68"/>
    <x v="0"/>
    <n v="86.666666666666657"/>
    <x v="0"/>
    <x v="3"/>
    <x v="2"/>
    <x v="0"/>
    <s v="TOM"/>
    <x v="0"/>
    <x v="11"/>
    <d v="2025-05-12T00:00:00"/>
    <x v="0"/>
    <d v="2025-05-31T00:00:00"/>
    <d v="2025-08-14T00:00:00"/>
    <d v="2025-10-16T00:00:00"/>
    <x v="0"/>
    <x v="1"/>
    <x v="0"/>
    <x v="0"/>
    <n v="3750"/>
    <n v="26.4085"/>
    <n v="135"/>
    <x v="0"/>
    <x v="0"/>
    <x v="0"/>
    <x v="16"/>
    <x v="1"/>
    <x v="0"/>
    <x v="0"/>
    <x v="0"/>
    <x v="15"/>
    <x v="4"/>
    <x v="7"/>
    <x v="2"/>
    <n v="324"/>
    <x v="2"/>
    <n v="956"/>
    <x v="18"/>
    <x v="18"/>
    <x v="6"/>
    <x v="5"/>
  </r>
  <r>
    <x v="0"/>
    <x v="40"/>
    <x v="130"/>
    <x v="2"/>
    <x v="1"/>
    <s v="Tomato (Beefsteak) - Ripe Fruit Large 1X | Greenhouse TP Su"/>
    <s v="TOM003"/>
    <x v="0"/>
    <x v="45"/>
    <x v="68"/>
    <x v="0"/>
    <n v="21.666666666666664"/>
    <x v="0"/>
    <x v="0"/>
    <x v="0"/>
    <x v="0"/>
    <s v="TOM"/>
    <x v="0"/>
    <x v="11"/>
    <d v="2025-05-02T00:00:00"/>
    <x v="0"/>
    <d v="2025-05-30T00:00:00"/>
    <d v="2025-07-30T00:00:00"/>
    <d v="2025-10-22T00:00:00"/>
    <x v="0"/>
    <x v="1"/>
    <x v="0"/>
    <x v="0"/>
    <n v="1250"/>
    <n v="8.4459"/>
    <n v="120"/>
    <x v="0"/>
    <x v="0"/>
    <x v="0"/>
    <x v="26"/>
    <x v="1"/>
    <x v="0"/>
    <x v="0"/>
    <x v="0"/>
    <x v="15"/>
    <x v="4"/>
    <x v="7"/>
    <x v="2"/>
    <n v="325"/>
    <x v="2"/>
    <n v="941"/>
    <x v="29"/>
    <x v="18"/>
    <x v="6"/>
    <x v="5"/>
  </r>
  <r>
    <x v="0"/>
    <x v="59"/>
    <x v="131"/>
    <x v="11"/>
    <x v="1"/>
    <s v="Tomato (Cherry Det) - Ripe Fruit Small 1X | Field TP Su"/>
    <s v="TOM007"/>
    <x v="0"/>
    <x v="45"/>
    <x v="69"/>
    <x v="0"/>
    <n v="260"/>
    <x v="0"/>
    <x v="11"/>
    <x v="1"/>
    <x v="0"/>
    <s v="TOM"/>
    <x v="0"/>
    <x v="4"/>
    <d v="2025-05-31T00:00:00"/>
    <x v="0"/>
    <d v="2025-06-15T00:00:00"/>
    <d v="2025-08-20T00:00:00"/>
    <d v="2025-11-26T00:00:00"/>
    <x v="0"/>
    <x v="1"/>
    <x v="0"/>
    <x v="0"/>
    <n v="16333.3333"/>
    <n v="97.222200000000001"/>
    <n v="126"/>
    <x v="0"/>
    <x v="0"/>
    <x v="0"/>
    <x v="15"/>
    <x v="1"/>
    <x v="0"/>
    <x v="0"/>
    <x v="0"/>
    <x v="15"/>
    <x v="4"/>
    <x v="8"/>
    <x v="2"/>
    <n v="327"/>
    <x v="2"/>
    <n v="962"/>
    <x v="17"/>
    <x v="18"/>
    <x v="11"/>
    <x v="5"/>
  </r>
  <r>
    <x v="0"/>
    <x v="60"/>
    <x v="132"/>
    <x v="70"/>
    <x v="1"/>
    <s v="Tomato (Cherry Det) - Ripe Fruit Small 1X | Field TP Su"/>
    <s v="TOM011"/>
    <x v="0"/>
    <x v="45"/>
    <x v="69"/>
    <x v="0"/>
    <n v="32.5"/>
    <x v="0"/>
    <x v="1"/>
    <x v="1"/>
    <x v="0"/>
    <s v="TOM"/>
    <x v="0"/>
    <x v="4"/>
    <d v="2025-05-31T00:00:00"/>
    <x v="0"/>
    <d v="2025-06-07T00:00:00"/>
    <d v="2025-08-20T00:00:00"/>
    <d v="2025-11-26T00:00:00"/>
    <x v="0"/>
    <x v="1"/>
    <x v="0"/>
    <x v="0"/>
    <n v="2041.6667"/>
    <n v="12.152799999999999"/>
    <n v="126"/>
    <x v="0"/>
    <x v="0"/>
    <x v="0"/>
    <x v="15"/>
    <x v="1"/>
    <x v="0"/>
    <x v="0"/>
    <x v="0"/>
    <x v="15"/>
    <x v="4"/>
    <x v="8"/>
    <x v="2"/>
    <n v="327"/>
    <x v="2"/>
    <n v="962"/>
    <x v="17"/>
    <x v="18"/>
    <x v="11"/>
    <x v="5"/>
  </r>
  <r>
    <x v="0"/>
    <x v="40"/>
    <x v="133"/>
    <x v="16"/>
    <x v="1"/>
    <s v="Tomato (Cherry) - Ripe Fruit Small 1X | Greenhouse TP Su"/>
    <s v="TOM004"/>
    <x v="0"/>
    <x v="45"/>
    <x v="70"/>
    <x v="0"/>
    <n v="21.666666666666664"/>
    <x v="0"/>
    <x v="0"/>
    <x v="0"/>
    <x v="0"/>
    <s v="TOM"/>
    <x v="0"/>
    <x v="11"/>
    <d v="2025-05-02T00:00:00"/>
    <x v="0"/>
    <d v="2025-05-30T00:00:00"/>
    <d v="2025-06-30T00:00:00"/>
    <d v="2025-10-20T00:00:00"/>
    <x v="0"/>
    <x v="1"/>
    <x v="0"/>
    <x v="0"/>
    <n v="1166.6667"/>
    <n v="7.9908999999999999"/>
    <n v="90"/>
    <x v="0"/>
    <x v="0"/>
    <x v="0"/>
    <x v="8"/>
    <x v="1"/>
    <x v="0"/>
    <x v="0"/>
    <x v="0"/>
    <x v="15"/>
    <x v="4"/>
    <x v="7"/>
    <x v="2"/>
    <n v="329"/>
    <x v="2"/>
    <n v="911"/>
    <x v="10"/>
    <x v="18"/>
    <x v="6"/>
    <x v="5"/>
  </r>
  <r>
    <x v="0"/>
    <x v="59"/>
    <x v="134"/>
    <x v="11"/>
    <x v="1"/>
    <s v="Tomato (Medium Det) - Ripe Fruit Medium 1X | Field TP Su"/>
    <s v="TOM008"/>
    <x v="0"/>
    <x v="45"/>
    <x v="71"/>
    <x v="0"/>
    <n v="260"/>
    <x v="0"/>
    <x v="11"/>
    <x v="1"/>
    <x v="0"/>
    <s v="TOM"/>
    <x v="0"/>
    <x v="4"/>
    <d v="2025-05-31T00:00:00"/>
    <x v="0"/>
    <d v="2025-06-15T00:00:00"/>
    <d v="2025-09-09T00:00:00"/>
    <d v="2025-11-11T00:00:00"/>
    <x v="0"/>
    <x v="1"/>
    <x v="0"/>
    <x v="0"/>
    <n v="16800"/>
    <n v="109.8039"/>
    <n v="146"/>
    <x v="0"/>
    <x v="0"/>
    <x v="0"/>
    <x v="16"/>
    <x v="1"/>
    <x v="0"/>
    <x v="0"/>
    <x v="0"/>
    <x v="15"/>
    <x v="4"/>
    <x v="8"/>
    <x v="2"/>
    <n v="330"/>
    <x v="2"/>
    <n v="982"/>
    <x v="18"/>
    <x v="18"/>
    <x v="11"/>
    <x v="5"/>
  </r>
  <r>
    <x v="0"/>
    <x v="60"/>
    <x v="135"/>
    <x v="20"/>
    <x v="1"/>
    <s v="Tomato (Medium Det) - Ripe Fruit Medium 1X | Field TP Su"/>
    <s v="TOM012"/>
    <x v="0"/>
    <x v="45"/>
    <x v="71"/>
    <x v="0"/>
    <n v="32.5"/>
    <x v="0"/>
    <x v="1"/>
    <x v="1"/>
    <x v="0"/>
    <s v="TOM"/>
    <x v="0"/>
    <x v="4"/>
    <d v="2025-05-31T00:00:00"/>
    <x v="0"/>
    <d v="2025-06-07T00:00:00"/>
    <d v="2025-09-09T00:00:00"/>
    <d v="2025-11-11T00:00:00"/>
    <x v="0"/>
    <x v="1"/>
    <x v="0"/>
    <x v="0"/>
    <n v="2100"/>
    <n v="13.7255"/>
    <n v="146"/>
    <x v="0"/>
    <x v="0"/>
    <x v="0"/>
    <x v="16"/>
    <x v="1"/>
    <x v="0"/>
    <x v="0"/>
    <x v="0"/>
    <x v="15"/>
    <x v="4"/>
    <x v="8"/>
    <x v="2"/>
    <n v="330"/>
    <x v="2"/>
    <n v="982"/>
    <x v="18"/>
    <x v="18"/>
    <x v="11"/>
    <x v="5"/>
  </r>
  <r>
    <x v="1"/>
    <x v="49"/>
    <x v="0"/>
    <x v="0"/>
    <x v="2"/>
    <s v="Arugula - Baby Leaf 1X | Field DS Sp"/>
    <s v="ARU002"/>
    <x v="0"/>
    <x v="0"/>
    <x v="0"/>
    <x v="0"/>
    <n v="9360"/>
    <x v="0"/>
    <x v="0"/>
    <x v="0"/>
    <x v="0"/>
    <s v="ARU"/>
    <x v="0"/>
    <x v="0"/>
    <d v="2025-04-07T00:00:00"/>
    <x v="0"/>
    <d v="2025-04-07T00:00:00"/>
    <d v="2025-05-08T00:00:00"/>
    <d v="2025-05-26T00:00:00"/>
    <x v="0"/>
    <x v="0"/>
    <x v="0"/>
    <x v="0"/>
    <n v="112.5"/>
    <n v="2.2959000000000001"/>
    <n v="31"/>
    <x v="0"/>
    <x v="0"/>
    <x v="0"/>
    <x v="0"/>
    <x v="0"/>
    <x v="0"/>
    <x v="0"/>
    <x v="0"/>
    <x v="0"/>
    <x v="0"/>
    <x v="0"/>
    <x v="0"/>
    <n v="6"/>
    <x v="0"/>
    <n v="858"/>
    <x v="0"/>
    <x v="0"/>
    <x v="0"/>
    <x v="0"/>
  </r>
  <r>
    <x v="1"/>
    <x v="26"/>
    <x v="1"/>
    <x v="1"/>
    <x v="2"/>
    <s v="Arugula - Baby Leaf 1X | Field DS Sp"/>
    <s v="ARU003"/>
    <x v="0"/>
    <x v="0"/>
    <x v="0"/>
    <x v="0"/>
    <n v="18720"/>
    <x v="0"/>
    <x v="1"/>
    <x v="1"/>
    <x v="0"/>
    <s v="ARU"/>
    <x v="0"/>
    <x v="0"/>
    <d v="2025-04-07T00:00:00"/>
    <x v="0"/>
    <d v="2025-05-04T00:00:00"/>
    <d v="2025-06-04T00:00:00"/>
    <d v="2025-06-22T00:00:00"/>
    <x v="0"/>
    <x v="0"/>
    <x v="0"/>
    <x v="0"/>
    <n v="225"/>
    <n v="4.5918000000000001"/>
    <n v="31"/>
    <x v="0"/>
    <x v="0"/>
    <x v="0"/>
    <x v="0"/>
    <x v="0"/>
    <x v="0"/>
    <x v="0"/>
    <x v="0"/>
    <x v="0"/>
    <x v="0"/>
    <x v="0"/>
    <x v="0"/>
    <n v="6"/>
    <x v="0"/>
    <n v="885"/>
    <x v="0"/>
    <x v="0"/>
    <x v="0"/>
    <x v="0"/>
  </r>
  <r>
    <x v="1"/>
    <x v="61"/>
    <x v="2"/>
    <x v="2"/>
    <x v="2"/>
    <s v="Arugula - Baby Leaf 1X | Field DS Sp"/>
    <s v="ARU001"/>
    <x v="0"/>
    <x v="0"/>
    <x v="0"/>
    <x v="0"/>
    <n v="4680"/>
    <x v="0"/>
    <x v="2"/>
    <x v="0"/>
    <x v="0"/>
    <s v="ARU"/>
    <x v="0"/>
    <x v="0"/>
    <d v="2025-04-11T00:00:00"/>
    <x v="0"/>
    <d v="2025-03-25T00:00:00"/>
    <d v="2025-04-25T00:00:00"/>
    <d v="2025-05-13T00:00:00"/>
    <x v="0"/>
    <x v="0"/>
    <x v="0"/>
    <x v="0"/>
    <n v="56.25"/>
    <n v="1.1479999999999999"/>
    <n v="31"/>
    <x v="0"/>
    <x v="0"/>
    <x v="0"/>
    <x v="0"/>
    <x v="0"/>
    <x v="0"/>
    <x v="0"/>
    <x v="0"/>
    <x v="0"/>
    <x v="0"/>
    <x v="0"/>
    <x v="0"/>
    <n v="6"/>
    <x v="0"/>
    <n v="845"/>
    <x v="0"/>
    <x v="0"/>
    <x v="0"/>
    <x v="0"/>
  </r>
  <r>
    <x v="1"/>
    <x v="32"/>
    <x v="3"/>
    <x v="3"/>
    <x v="2"/>
    <s v="Arugula - Baby Leaf 1X | Field DS Sp"/>
    <s v="ARU004"/>
    <x v="0"/>
    <x v="0"/>
    <x v="0"/>
    <x v="0"/>
    <n v="9360"/>
    <x v="0"/>
    <x v="0"/>
    <x v="0"/>
    <x v="0"/>
    <s v="ARU"/>
    <x v="0"/>
    <x v="0"/>
    <d v="2025-06-15T00:00:00"/>
    <x v="0"/>
    <d v="2025-06-30T00:00:00"/>
    <d v="2025-07-31T00:00:00"/>
    <d v="2025-08-18T00:00:00"/>
    <x v="0"/>
    <x v="0"/>
    <x v="0"/>
    <x v="0"/>
    <n v="112.5"/>
    <n v="2.2959000000000001"/>
    <n v="31"/>
    <x v="0"/>
    <x v="0"/>
    <x v="0"/>
    <x v="0"/>
    <x v="0"/>
    <x v="0"/>
    <x v="0"/>
    <x v="0"/>
    <x v="0"/>
    <x v="0"/>
    <x v="0"/>
    <x v="0"/>
    <n v="6"/>
    <x v="0"/>
    <n v="942"/>
    <x v="0"/>
    <x v="0"/>
    <x v="0"/>
    <x v="0"/>
  </r>
  <r>
    <x v="1"/>
    <x v="62"/>
    <x v="4"/>
    <x v="3"/>
    <x v="2"/>
    <s v="Arugula - Baby Leaf 1X | Field DS Sp"/>
    <s v="ARU005"/>
    <x v="0"/>
    <x v="0"/>
    <x v="0"/>
    <x v="0"/>
    <n v="9360"/>
    <x v="0"/>
    <x v="0"/>
    <x v="0"/>
    <x v="0"/>
    <s v="ARU"/>
    <x v="0"/>
    <x v="0"/>
    <d v="2025-08-15T00:00:00"/>
    <x v="0"/>
    <d v="2025-08-15T00:00:00"/>
    <d v="2025-09-15T00:00:00"/>
    <d v="2025-10-03T00:00:00"/>
    <x v="1"/>
    <x v="0"/>
    <x v="0"/>
    <x v="0"/>
    <n v="112.5"/>
    <n v="2.2959000000000001"/>
    <n v="31"/>
    <x v="0"/>
    <x v="0"/>
    <x v="0"/>
    <x v="0"/>
    <x v="0"/>
    <x v="0"/>
    <x v="0"/>
    <x v="0"/>
    <x v="0"/>
    <x v="0"/>
    <x v="0"/>
    <x v="0"/>
    <n v="6"/>
    <x v="0"/>
    <n v="988"/>
    <x v="0"/>
    <x v="0"/>
    <x v="0"/>
    <x v="0"/>
  </r>
  <r>
    <x v="1"/>
    <x v="48"/>
    <x v="44"/>
    <x v="27"/>
    <x v="2"/>
    <s v="Asian Greens - Mature Head 1X | Field TP "/>
    <s v="BOK001"/>
    <x v="4"/>
    <x v="1"/>
    <x v="16"/>
    <x v="0"/>
    <n v="554.66666666666663"/>
    <x v="0"/>
    <x v="6"/>
    <x v="3"/>
    <x v="0"/>
    <s v="ASI"/>
    <x v="0"/>
    <x v="2"/>
    <d v="2025-04-29T00:00:00"/>
    <x v="0"/>
    <d v="2025-05-07T00:00:00"/>
    <d v="2025-06-18T00:00:00"/>
    <d v="2025-07-02T00:00:00"/>
    <x v="0"/>
    <x v="1"/>
    <x v="0"/>
    <x v="0"/>
    <n v="853.33330000000001"/>
    <n v="16.731999999999999"/>
    <n v="65"/>
    <x v="0"/>
    <x v="0"/>
    <x v="0"/>
    <x v="1"/>
    <x v="1"/>
    <x v="0"/>
    <x v="0"/>
    <x v="0"/>
    <x v="1"/>
    <x v="1"/>
    <x v="3"/>
    <x v="1"/>
    <n v="10"/>
    <x v="1"/>
    <n v="899"/>
    <x v="1"/>
    <x v="1"/>
    <x v="1"/>
    <x v="1"/>
  </r>
  <r>
    <x v="1"/>
    <x v="63"/>
    <x v="45"/>
    <x v="28"/>
    <x v="2"/>
    <s v="Asian Greens - Mature Head 1X | Field TP "/>
    <s v="ASI002"/>
    <x v="4"/>
    <x v="1"/>
    <x v="16"/>
    <x v="0"/>
    <n v="346.66666666666663"/>
    <x v="0"/>
    <x v="1"/>
    <x v="1"/>
    <x v="0"/>
    <s v="ASI"/>
    <x v="0"/>
    <x v="3"/>
    <d v="2025-08-15T00:00:00"/>
    <x v="0"/>
    <d v="2025-08-15T00:00:00"/>
    <d v="2025-09-21T00:00:00"/>
    <d v="2025-10-05T00:00:00"/>
    <x v="1"/>
    <x v="2"/>
    <x v="0"/>
    <x v="0"/>
    <n v="533.33330000000001"/>
    <n v="10.4575"/>
    <n v="65"/>
    <x v="0"/>
    <x v="0"/>
    <x v="0"/>
    <x v="1"/>
    <x v="1"/>
    <x v="0"/>
    <x v="0"/>
    <x v="0"/>
    <x v="1"/>
    <x v="1"/>
    <x v="3"/>
    <x v="1"/>
    <n v="10"/>
    <x v="1"/>
    <n v="994"/>
    <x v="1"/>
    <x v="1"/>
    <x v="1"/>
    <x v="1"/>
  </r>
  <r>
    <x v="1"/>
    <x v="52"/>
    <x v="5"/>
    <x v="0"/>
    <x v="2"/>
    <s v="Asian Greens - Young Leaf 1X | Field DS "/>
    <s v="ASI001"/>
    <x v="0"/>
    <x v="1"/>
    <x v="1"/>
    <x v="0"/>
    <n v="3120"/>
    <x v="0"/>
    <x v="0"/>
    <x v="0"/>
    <x v="0"/>
    <s v="ASI"/>
    <x v="0"/>
    <x v="0"/>
    <d v="2025-04-07T00:00:00"/>
    <x v="0"/>
    <d v="2025-04-07T00:00:00"/>
    <d v="2025-05-27T00:00:00"/>
    <d v="2025-06-10T00:00:00"/>
    <x v="0"/>
    <x v="0"/>
    <x v="0"/>
    <x v="0"/>
    <n v="250"/>
    <n v="3.9062000000000001"/>
    <n v="50"/>
    <x v="0"/>
    <x v="0"/>
    <x v="0"/>
    <x v="1"/>
    <x v="0"/>
    <x v="0"/>
    <x v="0"/>
    <x v="0"/>
    <x v="0"/>
    <x v="1"/>
    <x v="1"/>
    <x v="1"/>
    <n v="11"/>
    <x v="1"/>
    <n v="877"/>
    <x v="1"/>
    <x v="1"/>
    <x v="1"/>
    <x v="1"/>
  </r>
  <r>
    <x v="1"/>
    <x v="64"/>
    <x v="46"/>
    <x v="16"/>
    <x v="2"/>
    <s v="Basil (Interplant) - Mature Leaf 1X | Tunnel TP SpSuOw"/>
    <s v="BAS001"/>
    <x v="0"/>
    <x v="14"/>
    <x v="17"/>
    <x v="0"/>
    <n v="65"/>
    <x v="0"/>
    <x v="1"/>
    <x v="1"/>
    <x v="0"/>
    <s v="BAS"/>
    <x v="0"/>
    <x v="4"/>
    <d v="2025-05-11T00:00:00"/>
    <x v="0"/>
    <d v="2025-05-26T00:00:00"/>
    <d v="2025-07-20T00:00:00"/>
    <d v="2025-09-07T00:00:00"/>
    <x v="0"/>
    <x v="2"/>
    <x v="0"/>
    <x v="0"/>
    <n v="81.25"/>
    <n v="0.78120000000000001"/>
    <n v="95"/>
    <x v="0"/>
    <x v="0"/>
    <x v="0"/>
    <x v="7"/>
    <x v="1"/>
    <x v="0"/>
    <x v="0"/>
    <x v="0"/>
    <x v="2"/>
    <x v="4"/>
    <x v="4"/>
    <x v="1"/>
    <n v="16"/>
    <x v="8"/>
    <n v="931"/>
    <x v="9"/>
    <x v="7"/>
    <x v="2"/>
    <x v="0"/>
  </r>
  <r>
    <x v="1"/>
    <x v="65"/>
    <x v="47"/>
    <x v="29"/>
    <x v="2"/>
    <s v="Basil (Italian) - Mature Leaf 1X | Tunnel TP SpSuOw"/>
    <s v="BAS002"/>
    <x v="0"/>
    <x v="14"/>
    <x v="17"/>
    <x v="0"/>
    <n v="260"/>
    <x v="0"/>
    <x v="1"/>
    <x v="1"/>
    <x v="0"/>
    <s v="BAS"/>
    <x v="0"/>
    <x v="5"/>
    <d v="2025-06-15T00:00:00"/>
    <x v="0"/>
    <d v="2025-06-28T00:00:00"/>
    <d v="2025-08-22T00:00:00"/>
    <d v="2025-10-10T00:00:00"/>
    <x v="0"/>
    <x v="2"/>
    <x v="0"/>
    <x v="0"/>
    <n v="325"/>
    <n v="3.125"/>
    <n v="95"/>
    <x v="0"/>
    <x v="0"/>
    <x v="0"/>
    <x v="7"/>
    <x v="1"/>
    <x v="0"/>
    <x v="0"/>
    <x v="0"/>
    <x v="2"/>
    <x v="1"/>
    <x v="4"/>
    <x v="1"/>
    <n v="17"/>
    <x v="8"/>
    <n v="964"/>
    <x v="9"/>
    <x v="7"/>
    <x v="2"/>
    <x v="0"/>
  </r>
  <r>
    <x v="1"/>
    <x v="66"/>
    <x v="48"/>
    <x v="30"/>
    <x v="2"/>
    <s v="Basil (Tulsi) - Mature Leaf 1X | Field TP "/>
    <s v="BAS003"/>
    <x v="0"/>
    <x v="14"/>
    <x v="18"/>
    <x v="5"/>
    <n v="52"/>
    <x v="0"/>
    <x v="5"/>
    <x v="1"/>
    <x v="0"/>
    <s v="BAS"/>
    <x v="0"/>
    <x v="4"/>
    <d v="2025-05-21T00:00:00"/>
    <x v="0"/>
    <d v="2025-06-04T00:00:00"/>
    <d v="2025-07-25T00:00:00"/>
    <d v="2025-11-14T00:00:00"/>
    <x v="0"/>
    <x v="1"/>
    <x v="0"/>
    <x v="0"/>
    <n v="420"/>
    <n v="2.4419"/>
    <n v="100"/>
    <x v="0"/>
    <x v="0"/>
    <x v="0"/>
    <x v="8"/>
    <x v="1"/>
    <x v="0"/>
    <x v="0"/>
    <x v="0"/>
    <x v="2"/>
    <x v="3"/>
    <x v="4"/>
    <x v="1"/>
    <n v="20"/>
    <x v="1"/>
    <n v="936"/>
    <x v="10"/>
    <x v="7"/>
    <x v="2"/>
    <x v="0"/>
  </r>
  <r>
    <x v="1"/>
    <x v="67"/>
    <x v="49"/>
    <x v="31"/>
    <x v="2"/>
    <s v="Bean (Pole) - Young Pod 3X | Field TP SuFa"/>
    <s v="BEA001"/>
    <x v="0"/>
    <x v="15"/>
    <x v="19"/>
    <x v="0"/>
    <n v="600"/>
    <x v="0"/>
    <x v="3"/>
    <x v="2"/>
    <x v="0"/>
    <s v="BEA"/>
    <x v="0"/>
    <x v="5"/>
    <d v="2025-05-20T00:00:00"/>
    <x v="0"/>
    <d v="2025-06-05T00:00:00"/>
    <d v="2025-08-17T00:00:00"/>
    <d v="2025-09-29T00:00:00"/>
    <x v="0"/>
    <x v="1"/>
    <x v="0"/>
    <x v="0"/>
    <n v="2080"/>
    <n v="17.478999999999999"/>
    <n v="90"/>
    <x v="0"/>
    <x v="0"/>
    <x v="0"/>
    <x v="9"/>
    <x v="1"/>
    <x v="0"/>
    <x v="0"/>
    <x v="0"/>
    <x v="3"/>
    <x v="4"/>
    <x v="6"/>
    <x v="1"/>
    <n v="23"/>
    <x v="7"/>
    <n v="959"/>
    <x v="11"/>
    <x v="10"/>
    <x v="5"/>
    <x v="3"/>
  </r>
  <r>
    <x v="1"/>
    <x v="67"/>
    <x v="50"/>
    <x v="32"/>
    <x v="2"/>
    <s v="Bean (Pole) - Young Pod 3X | Field TP SuFa"/>
    <s v="BEA002"/>
    <x v="0"/>
    <x v="15"/>
    <x v="19"/>
    <x v="0"/>
    <n v="300"/>
    <x v="0"/>
    <x v="1"/>
    <x v="1"/>
    <x v="0"/>
    <s v="BEA"/>
    <x v="0"/>
    <x v="5"/>
    <d v="2025-05-20T00:00:00"/>
    <x v="0"/>
    <d v="2025-06-05T00:00:00"/>
    <d v="2025-08-17T00:00:00"/>
    <d v="2025-09-29T00:00:00"/>
    <x v="0"/>
    <x v="1"/>
    <x v="0"/>
    <x v="0"/>
    <n v="1040"/>
    <n v="8.7394999999999996"/>
    <n v="90"/>
    <x v="0"/>
    <x v="0"/>
    <x v="0"/>
    <x v="9"/>
    <x v="1"/>
    <x v="0"/>
    <x v="0"/>
    <x v="0"/>
    <x v="3"/>
    <x v="4"/>
    <x v="6"/>
    <x v="1"/>
    <n v="23"/>
    <x v="7"/>
    <n v="959"/>
    <x v="11"/>
    <x v="10"/>
    <x v="5"/>
    <x v="3"/>
  </r>
  <r>
    <x v="1"/>
    <x v="68"/>
    <x v="51"/>
    <x v="33"/>
    <x v="2"/>
    <s v="Beet - Mature Root 3X | Field TP Sp"/>
    <s v="BEE001"/>
    <x v="0"/>
    <x v="16"/>
    <x v="20"/>
    <x v="0"/>
    <n v="990.00000000000011"/>
    <x v="0"/>
    <x v="3"/>
    <x v="2"/>
    <x v="0"/>
    <s v="BEE"/>
    <x v="0"/>
    <x v="6"/>
    <d v="2025-04-26T00:00:00"/>
    <x v="0"/>
    <d v="2025-05-02T00:00:00"/>
    <d v="2025-06-27T00:00:00"/>
    <d v="2025-08-01T00:00:00"/>
    <x v="0"/>
    <x v="2"/>
    <x v="0"/>
    <x v="0"/>
    <n v="800"/>
    <n v="8.7911999999999999"/>
    <n v="91"/>
    <x v="0"/>
    <x v="0"/>
    <x v="0"/>
    <x v="6"/>
    <x v="1"/>
    <x v="0"/>
    <x v="0"/>
    <x v="0"/>
    <x v="4"/>
    <x v="2"/>
    <x v="4"/>
    <x v="1"/>
    <n v="32"/>
    <x v="0"/>
    <n v="908"/>
    <x v="8"/>
    <x v="2"/>
    <x v="0"/>
    <x v="0"/>
  </r>
  <r>
    <x v="1"/>
    <x v="69"/>
    <x v="52"/>
    <x v="14"/>
    <x v="2"/>
    <s v="Beet - Mature Root 3X | Field TP SuFa"/>
    <s v="BEE002"/>
    <x v="0"/>
    <x v="16"/>
    <x v="20"/>
    <x v="0"/>
    <n v="990.00000000000011"/>
    <x v="0"/>
    <x v="3"/>
    <x v="2"/>
    <x v="0"/>
    <s v="BEE"/>
    <x v="0"/>
    <x v="7"/>
    <d v="2025-07-05T00:00:00"/>
    <x v="0"/>
    <d v="2025-07-26T00:00:00"/>
    <d v="2025-09-09T00:00:00"/>
    <d v="2025-10-14T00:00:00"/>
    <x v="0"/>
    <x v="2"/>
    <x v="0"/>
    <x v="0"/>
    <n v="800"/>
    <n v="10"/>
    <n v="80"/>
    <x v="0"/>
    <x v="0"/>
    <x v="0"/>
    <x v="6"/>
    <x v="1"/>
    <x v="0"/>
    <x v="0"/>
    <x v="0"/>
    <x v="4"/>
    <x v="2"/>
    <x v="4"/>
    <x v="1"/>
    <n v="33"/>
    <x v="7"/>
    <n v="982"/>
    <x v="8"/>
    <x v="2"/>
    <x v="0"/>
    <x v="4"/>
  </r>
  <r>
    <x v="1"/>
    <x v="70"/>
    <x v="53"/>
    <x v="34"/>
    <x v="2"/>
    <s v="Beet - Mature Root 3X | Field TP SuFa"/>
    <s v="BEE003"/>
    <x v="0"/>
    <x v="16"/>
    <x v="3"/>
    <x v="0"/>
    <n v="495.00000000000006"/>
    <x v="0"/>
    <x v="1"/>
    <x v="1"/>
    <x v="0"/>
    <s v="BEE"/>
    <x v="0"/>
    <x v="8"/>
    <d v="2025-08-15T00:00:00"/>
    <x v="0"/>
    <d v="2025-08-15T00:00:00"/>
    <d v="2025-09-29T00:00:00"/>
    <d v="2025-11-03T00:00:00"/>
    <x v="1"/>
    <x v="2"/>
    <x v="0"/>
    <x v="0"/>
    <n v="400"/>
    <n v="5"/>
    <n v="80"/>
    <x v="0"/>
    <x v="0"/>
    <x v="0"/>
    <x v="6"/>
    <x v="1"/>
    <x v="0"/>
    <x v="0"/>
    <x v="0"/>
    <x v="4"/>
    <x v="2"/>
    <x v="4"/>
    <x v="1"/>
    <n v="33"/>
    <x v="7"/>
    <n v="1002"/>
    <x v="8"/>
    <x v="2"/>
    <x v="0"/>
    <x v="4"/>
  </r>
  <r>
    <x v="1"/>
    <x v="71"/>
    <x v="54"/>
    <x v="35"/>
    <x v="2"/>
    <s v="Bok Choy - Mature Head 1X | Field TP SpFaWiOw"/>
    <s v="BOK002"/>
    <x v="0"/>
    <x v="17"/>
    <x v="3"/>
    <x v="0"/>
    <n v="173.33333333333331"/>
    <x v="0"/>
    <x v="0"/>
    <x v="0"/>
    <x v="0"/>
    <s v="BOK"/>
    <x v="0"/>
    <x v="3"/>
    <d v="2025-08-15T00:00:00"/>
    <x v="0"/>
    <d v="2025-08-15T00:00:00"/>
    <d v="2025-10-04T00:00:00"/>
    <d v="2025-10-18T00:00:00"/>
    <x v="1"/>
    <x v="2"/>
    <x v="0"/>
    <x v="0"/>
    <n v="333.33330000000001"/>
    <n v="5.2083000000000004"/>
    <n v="78"/>
    <x v="0"/>
    <x v="0"/>
    <x v="0"/>
    <x v="1"/>
    <x v="1"/>
    <x v="0"/>
    <x v="0"/>
    <x v="0"/>
    <x v="1"/>
    <x v="1"/>
    <x v="3"/>
    <x v="1"/>
    <n v="35"/>
    <x v="9"/>
    <n v="1007"/>
    <x v="1"/>
    <x v="1"/>
    <x v="1"/>
    <x v="1"/>
  </r>
  <r>
    <x v="1"/>
    <x v="72"/>
    <x v="55"/>
    <x v="36"/>
    <x v="2"/>
    <s v="Broccoli (Sprouting) - Loose Florets 1X | Field TP SuFa"/>
    <s v="BRO001"/>
    <x v="0"/>
    <x v="18"/>
    <x v="21"/>
    <x v="0"/>
    <n v="260"/>
    <x v="0"/>
    <x v="1"/>
    <x v="1"/>
    <x v="0"/>
    <s v="BRO"/>
    <x v="0"/>
    <x v="7"/>
    <d v="2025-07-08T00:00:00"/>
    <x v="0"/>
    <d v="2025-07-19T00:00:00"/>
    <d v="2025-09-02T00:00:00"/>
    <d v="2025-09-23T00:00:00"/>
    <x v="0"/>
    <x v="2"/>
    <x v="0"/>
    <x v="0"/>
    <n v="800"/>
    <n v="12.1212"/>
    <n v="73"/>
    <x v="0"/>
    <x v="0"/>
    <x v="0"/>
    <x v="2"/>
    <x v="1"/>
    <x v="0"/>
    <x v="0"/>
    <x v="0"/>
    <x v="1"/>
    <x v="3"/>
    <x v="4"/>
    <x v="1"/>
    <n v="41"/>
    <x v="7"/>
    <n v="975"/>
    <x v="2"/>
    <x v="3"/>
    <x v="2"/>
    <x v="2"/>
  </r>
  <r>
    <x v="1"/>
    <x v="63"/>
    <x v="56"/>
    <x v="35"/>
    <x v="2"/>
    <s v="Broccoli (Sprouting) - Loose Florets 1X | Field TP SuFa"/>
    <s v="BRO002"/>
    <x v="0"/>
    <x v="18"/>
    <x v="21"/>
    <x v="0"/>
    <n v="104"/>
    <x v="0"/>
    <x v="5"/>
    <x v="1"/>
    <x v="0"/>
    <s v="BRO"/>
    <x v="0"/>
    <x v="9"/>
    <d v="2025-08-07T00:00:00"/>
    <x v="0"/>
    <d v="2025-08-07T00:00:00"/>
    <d v="2025-09-21T00:00:00"/>
    <d v="2025-10-12T00:00:00"/>
    <x v="1"/>
    <x v="2"/>
    <x v="0"/>
    <x v="0"/>
    <n v="320"/>
    <n v="4.8484999999999996"/>
    <n v="73"/>
    <x v="0"/>
    <x v="0"/>
    <x v="0"/>
    <x v="2"/>
    <x v="1"/>
    <x v="0"/>
    <x v="0"/>
    <x v="0"/>
    <x v="1"/>
    <x v="3"/>
    <x v="4"/>
    <x v="1"/>
    <n v="41"/>
    <x v="7"/>
    <n v="994"/>
    <x v="2"/>
    <x v="3"/>
    <x v="2"/>
    <x v="2"/>
  </r>
  <r>
    <x v="1"/>
    <x v="73"/>
    <x v="57"/>
    <x v="37"/>
    <x v="2"/>
    <s v="Cabbage - Large Head 1X | Field TP Fa"/>
    <s v="CAB001"/>
    <x v="0"/>
    <x v="19"/>
    <x v="22"/>
    <x v="0"/>
    <n v="146.66666666666666"/>
    <x v="0"/>
    <x v="1"/>
    <x v="1"/>
    <x v="0"/>
    <s v="CAB"/>
    <x v="0"/>
    <x v="7"/>
    <d v="2025-07-15T00:00:00"/>
    <x v="0"/>
    <d v="2025-07-26T00:00:00"/>
    <d v="2025-10-19T00:00:00"/>
    <d v="2025-11-09T00:00:00"/>
    <x v="0"/>
    <x v="2"/>
    <x v="0"/>
    <x v="0"/>
    <n v="586.66669999999999"/>
    <n v="5.5346000000000002"/>
    <n v="120"/>
    <x v="0"/>
    <x v="0"/>
    <x v="0"/>
    <x v="2"/>
    <x v="1"/>
    <x v="0"/>
    <x v="0"/>
    <x v="0"/>
    <x v="4"/>
    <x v="3"/>
    <x v="7"/>
    <x v="1"/>
    <n v="47"/>
    <x v="6"/>
    <n v="1022"/>
    <x v="2"/>
    <x v="3"/>
    <x v="8"/>
    <x v="2"/>
  </r>
  <r>
    <x v="1"/>
    <x v="74"/>
    <x v="58"/>
    <x v="13"/>
    <x v="2"/>
    <s v="Cabbage (Chinese) - Large Head 1X | Field TP Wi"/>
    <s v="CAB002"/>
    <x v="0"/>
    <x v="19"/>
    <x v="23"/>
    <x v="0"/>
    <n v="176"/>
    <x v="0"/>
    <x v="1"/>
    <x v="1"/>
    <x v="0"/>
    <s v="CAB"/>
    <x v="0"/>
    <x v="7"/>
    <d v="2025-07-07T00:00:00"/>
    <x v="0"/>
    <d v="2025-07-19T00:00:00"/>
    <d v="2025-09-14T00:00:00"/>
    <d v="2025-09-28T00:00:00"/>
    <x v="0"/>
    <x v="2"/>
    <x v="0"/>
    <x v="0"/>
    <n v="360"/>
    <n v="5.0704000000000002"/>
    <n v="85"/>
    <x v="0"/>
    <x v="0"/>
    <x v="0"/>
    <x v="1"/>
    <x v="1"/>
    <x v="0"/>
    <x v="0"/>
    <x v="0"/>
    <x v="1"/>
    <x v="3"/>
    <x v="12"/>
    <x v="1"/>
    <n v="48"/>
    <x v="10"/>
    <n v="987"/>
    <x v="1"/>
    <x v="3"/>
    <x v="2"/>
    <x v="2"/>
  </r>
  <r>
    <x v="1"/>
    <x v="75"/>
    <x v="59"/>
    <x v="38"/>
    <x v="2"/>
    <s v="Cabbage (Chinese) - Small Head 1X | Field TP Fa"/>
    <s v="CAB010"/>
    <x v="0"/>
    <x v="19"/>
    <x v="24"/>
    <x v="0"/>
    <n v="330"/>
    <x v="0"/>
    <x v="1"/>
    <x v="1"/>
    <x v="0"/>
    <s v="CAB"/>
    <x v="0"/>
    <x v="10"/>
    <d v="2025-07-07T00:00:00"/>
    <x v="0"/>
    <d v="2025-07-31T00:00:00"/>
    <d v="2025-09-19T00:00:00"/>
    <d v="2025-10-03T00:00:00"/>
    <x v="0"/>
    <x v="2"/>
    <x v="0"/>
    <x v="0"/>
    <n v="600"/>
    <n v="9.375"/>
    <n v="78"/>
    <x v="0"/>
    <x v="0"/>
    <x v="0"/>
    <x v="1"/>
    <x v="1"/>
    <x v="0"/>
    <x v="0"/>
    <x v="0"/>
    <x v="1"/>
    <x v="2"/>
    <x v="4"/>
    <x v="1"/>
    <n v="49"/>
    <x v="6"/>
    <n v="992"/>
    <x v="1"/>
    <x v="3"/>
    <x v="2"/>
    <x v="2"/>
  </r>
  <r>
    <x v="1"/>
    <x v="76"/>
    <x v="60"/>
    <x v="39"/>
    <x v="2"/>
    <s v="Cabbage (Fast Early 9&quot;) - Large Head 1X | Field TP Sp"/>
    <s v="CAB003"/>
    <x v="0"/>
    <x v="19"/>
    <x v="25"/>
    <x v="0"/>
    <n v="176.00000000000003"/>
    <x v="0"/>
    <x v="5"/>
    <x v="1"/>
    <x v="0"/>
    <s v="CAB"/>
    <x v="0"/>
    <x v="6"/>
    <d v="2025-04-01T00:00:00"/>
    <x v="0"/>
    <d v="2025-05-05T00:00:00"/>
    <d v="2025-07-11T00:00:00"/>
    <d v="2025-07-18T00:00:00"/>
    <x v="0"/>
    <x v="1"/>
    <x v="0"/>
    <x v="0"/>
    <n v="264"/>
    <n v="3.4285999999999999"/>
    <n v="105"/>
    <x v="0"/>
    <x v="0"/>
    <x v="0"/>
    <x v="4"/>
    <x v="1"/>
    <x v="0"/>
    <x v="0"/>
    <x v="0"/>
    <x v="4"/>
    <x v="2"/>
    <x v="3"/>
    <x v="1"/>
    <n v="50"/>
    <x v="0"/>
    <n v="922"/>
    <x v="4"/>
    <x v="3"/>
    <x v="1"/>
    <x v="1"/>
  </r>
  <r>
    <x v="1"/>
    <x v="3"/>
    <x v="61"/>
    <x v="23"/>
    <x v="2"/>
    <s v="Cabbage (Fast Mid 9&quot;) - Large Head 1X | Field TP Sp"/>
    <s v="CAB004"/>
    <x v="0"/>
    <x v="19"/>
    <x v="26"/>
    <x v="3"/>
    <n v="440.00000000000006"/>
    <x v="0"/>
    <x v="1"/>
    <x v="1"/>
    <x v="0"/>
    <s v="CAB"/>
    <x v="0"/>
    <x v="11"/>
    <d v="2025-04-21T00:00:00"/>
    <x v="0"/>
    <d v="2025-05-01T00:00:00"/>
    <d v="2025-06-30T00:00:00"/>
    <d v="2025-07-07T00:00:00"/>
    <x v="0"/>
    <x v="1"/>
    <x v="0"/>
    <x v="0"/>
    <n v="660"/>
    <n v="10.645200000000001"/>
    <n v="90"/>
    <x v="0"/>
    <x v="0"/>
    <x v="0"/>
    <x v="4"/>
    <x v="1"/>
    <x v="0"/>
    <x v="0"/>
    <x v="0"/>
    <x v="4"/>
    <x v="2"/>
    <x v="3"/>
    <x v="1"/>
    <n v="53"/>
    <x v="0"/>
    <n v="911"/>
    <x v="4"/>
    <x v="3"/>
    <x v="1"/>
    <x v="1"/>
  </r>
  <r>
    <x v="1"/>
    <x v="77"/>
    <x v="6"/>
    <x v="4"/>
    <x v="2"/>
    <s v="Carrot (Early) - Mature Root 1X | Field DS Sp"/>
    <s v="CAR001"/>
    <x v="0"/>
    <x v="2"/>
    <x v="2"/>
    <x v="0"/>
    <n v="6240"/>
    <x v="0"/>
    <x v="1"/>
    <x v="1"/>
    <x v="0"/>
    <s v="CAR"/>
    <x v="0"/>
    <x v="0"/>
    <d v="2025-03-27T00:00:00"/>
    <x v="0"/>
    <d v="2025-04-05T00:00:00"/>
    <d v="2025-06-14T00:00:00"/>
    <d v="2025-07-05T00:00:00"/>
    <x v="0"/>
    <x v="0"/>
    <x v="0"/>
    <x v="0"/>
    <n v="557.14290000000005"/>
    <n v="6.1223999999999998"/>
    <n v="70"/>
    <x v="0"/>
    <x v="0"/>
    <x v="0"/>
    <x v="2"/>
    <x v="0"/>
    <x v="0"/>
    <x v="0"/>
    <x v="0"/>
    <x v="0"/>
    <x v="1"/>
    <x v="1"/>
    <x v="0"/>
    <n v="61"/>
    <x v="0"/>
    <n v="895"/>
    <x v="2"/>
    <x v="2"/>
    <x v="0"/>
    <x v="2"/>
  </r>
  <r>
    <x v="1"/>
    <x v="78"/>
    <x v="7"/>
    <x v="5"/>
    <x v="2"/>
    <s v="Carrot (Early) - Mature Root 1X | Field DS Sp"/>
    <s v="CAR002"/>
    <x v="0"/>
    <x v="2"/>
    <x v="2"/>
    <x v="0"/>
    <n v="3120"/>
    <x v="0"/>
    <x v="0"/>
    <x v="0"/>
    <x v="0"/>
    <s v="CAR"/>
    <x v="0"/>
    <x v="0"/>
    <d v="2025-04-17T00:00:00"/>
    <x v="0"/>
    <d v="2025-04-30T00:00:00"/>
    <d v="2025-07-09T00:00:00"/>
    <d v="2025-07-30T00:00:00"/>
    <x v="0"/>
    <x v="0"/>
    <x v="0"/>
    <x v="0"/>
    <n v="278.57139999999998"/>
    <n v="3.0611999999999999"/>
    <n v="70"/>
    <x v="0"/>
    <x v="0"/>
    <x v="0"/>
    <x v="2"/>
    <x v="0"/>
    <x v="0"/>
    <x v="0"/>
    <x v="0"/>
    <x v="0"/>
    <x v="1"/>
    <x v="1"/>
    <x v="0"/>
    <n v="61"/>
    <x v="0"/>
    <n v="920"/>
    <x v="2"/>
    <x v="2"/>
    <x v="0"/>
    <x v="2"/>
  </r>
  <r>
    <x v="1"/>
    <x v="78"/>
    <x v="8"/>
    <x v="5"/>
    <x v="2"/>
    <s v="Carrot (Early) - Mature Root 1X | Field DS Sp"/>
    <s v="CAR004"/>
    <x v="0"/>
    <x v="2"/>
    <x v="2"/>
    <x v="0"/>
    <n v="3120"/>
    <x v="0"/>
    <x v="0"/>
    <x v="0"/>
    <x v="0"/>
    <s v="CAR"/>
    <x v="0"/>
    <x v="0"/>
    <d v="2025-05-08T00:00:00"/>
    <x v="0"/>
    <d v="2025-04-30T00:00:00"/>
    <d v="2025-07-09T00:00:00"/>
    <d v="2025-07-30T00:00:00"/>
    <x v="0"/>
    <x v="0"/>
    <x v="0"/>
    <x v="0"/>
    <n v="278.57139999999998"/>
    <n v="3.0611999999999999"/>
    <n v="70"/>
    <x v="0"/>
    <x v="0"/>
    <x v="0"/>
    <x v="2"/>
    <x v="0"/>
    <x v="0"/>
    <x v="0"/>
    <x v="0"/>
    <x v="0"/>
    <x v="1"/>
    <x v="1"/>
    <x v="0"/>
    <n v="61"/>
    <x v="0"/>
    <n v="920"/>
    <x v="2"/>
    <x v="2"/>
    <x v="0"/>
    <x v="2"/>
  </r>
  <r>
    <x v="1"/>
    <x v="79"/>
    <x v="9"/>
    <x v="6"/>
    <x v="2"/>
    <s v="Carrot (Early) - Mature Root 1X | Field DS Sp"/>
    <s v="CAR005"/>
    <x v="0"/>
    <x v="2"/>
    <x v="2"/>
    <x v="0"/>
    <n v="3120"/>
    <x v="0"/>
    <x v="0"/>
    <x v="0"/>
    <x v="0"/>
    <s v="CAR"/>
    <x v="0"/>
    <x v="0"/>
    <d v="2025-05-29T00:00:00"/>
    <x v="0"/>
    <d v="2025-06-29T00:00:00"/>
    <d v="2025-09-07T00:00:00"/>
    <d v="2025-09-28T00:00:00"/>
    <x v="0"/>
    <x v="0"/>
    <x v="0"/>
    <x v="0"/>
    <n v="278.57139999999998"/>
    <n v="3.0611999999999999"/>
    <n v="70"/>
    <x v="0"/>
    <x v="0"/>
    <x v="0"/>
    <x v="2"/>
    <x v="0"/>
    <x v="0"/>
    <x v="0"/>
    <x v="0"/>
    <x v="0"/>
    <x v="1"/>
    <x v="1"/>
    <x v="0"/>
    <n v="61"/>
    <x v="0"/>
    <n v="980"/>
    <x v="2"/>
    <x v="2"/>
    <x v="0"/>
    <x v="2"/>
  </r>
  <r>
    <x v="1"/>
    <x v="79"/>
    <x v="10"/>
    <x v="6"/>
    <x v="2"/>
    <s v="Carrot (Early) - Mature Root 1X | Field DS Sp"/>
    <s v="CAR006"/>
    <x v="0"/>
    <x v="2"/>
    <x v="2"/>
    <x v="0"/>
    <n v="3120"/>
    <x v="0"/>
    <x v="0"/>
    <x v="0"/>
    <x v="0"/>
    <s v="CAR"/>
    <x v="0"/>
    <x v="0"/>
    <d v="2025-06-19T00:00:00"/>
    <x v="0"/>
    <d v="2025-06-29T00:00:00"/>
    <d v="2025-09-07T00:00:00"/>
    <d v="2025-09-28T00:00:00"/>
    <x v="0"/>
    <x v="0"/>
    <x v="0"/>
    <x v="0"/>
    <n v="278.57139999999998"/>
    <n v="3.0611999999999999"/>
    <n v="70"/>
    <x v="0"/>
    <x v="0"/>
    <x v="0"/>
    <x v="2"/>
    <x v="0"/>
    <x v="0"/>
    <x v="0"/>
    <x v="0"/>
    <x v="0"/>
    <x v="1"/>
    <x v="1"/>
    <x v="0"/>
    <n v="61"/>
    <x v="0"/>
    <n v="980"/>
    <x v="2"/>
    <x v="2"/>
    <x v="0"/>
    <x v="2"/>
  </r>
  <r>
    <x v="1"/>
    <x v="80"/>
    <x v="11"/>
    <x v="7"/>
    <x v="2"/>
    <s v="Carrot (Early) - Mature Root 1X | Field DS Su"/>
    <s v="CAR008"/>
    <x v="0"/>
    <x v="2"/>
    <x v="3"/>
    <x v="0"/>
    <n v="6240"/>
    <x v="0"/>
    <x v="1"/>
    <x v="1"/>
    <x v="0"/>
    <s v="CAR"/>
    <x v="0"/>
    <x v="0"/>
    <d v="2025-08-01T00:00:00"/>
    <x v="0"/>
    <d v="2025-08-01T00:00:00"/>
    <d v="2025-10-10T00:00:00"/>
    <d v="2025-10-31T00:00:00"/>
    <x v="1"/>
    <x v="0"/>
    <x v="0"/>
    <x v="0"/>
    <n v="557.14290000000005"/>
    <n v="6.1223999999999998"/>
    <n v="70"/>
    <x v="0"/>
    <x v="0"/>
    <x v="0"/>
    <x v="2"/>
    <x v="0"/>
    <x v="0"/>
    <x v="0"/>
    <x v="0"/>
    <x v="0"/>
    <x v="1"/>
    <x v="1"/>
    <x v="0"/>
    <n v="62"/>
    <x v="2"/>
    <n v="1013"/>
    <x v="2"/>
    <x v="2"/>
    <x v="0"/>
    <x v="2"/>
  </r>
  <r>
    <x v="1"/>
    <x v="63"/>
    <x v="12"/>
    <x v="8"/>
    <x v="2"/>
    <s v="Carrot (Maincrop) - Storage Root 1X | Field DS FaWi"/>
    <s v="CAR003"/>
    <x v="0"/>
    <x v="2"/>
    <x v="4"/>
    <x v="0"/>
    <n v="6240"/>
    <x v="0"/>
    <x v="1"/>
    <x v="1"/>
    <x v="0"/>
    <s v="CAR"/>
    <x v="0"/>
    <x v="0"/>
    <d v="2025-05-31T00:00:00"/>
    <x v="0"/>
    <d v="2025-06-29T00:00:00"/>
    <d v="2025-09-21T00:00:00"/>
    <d v="2025-10-12T00:00:00"/>
    <x v="0"/>
    <x v="0"/>
    <x v="0"/>
    <x v="0"/>
    <n v="630"/>
    <n v="6"/>
    <n v="84"/>
    <x v="0"/>
    <x v="0"/>
    <x v="0"/>
    <x v="2"/>
    <x v="0"/>
    <x v="0"/>
    <x v="0"/>
    <x v="0"/>
    <x v="0"/>
    <x v="1"/>
    <x v="1"/>
    <x v="0"/>
    <n v="63"/>
    <x v="3"/>
    <n v="994"/>
    <x v="2"/>
    <x v="2"/>
    <x v="0"/>
    <x v="2"/>
  </r>
  <r>
    <x v="1"/>
    <x v="81"/>
    <x v="13"/>
    <x v="9"/>
    <x v="2"/>
    <s v="Carrot (Maincrop) - Storage Root 1X | Field DS FaWi"/>
    <s v="CAR007"/>
    <x v="0"/>
    <x v="2"/>
    <x v="4"/>
    <x v="0"/>
    <n v="6240"/>
    <x v="0"/>
    <x v="1"/>
    <x v="1"/>
    <x v="0"/>
    <s v="CAR"/>
    <x v="0"/>
    <x v="0"/>
    <d v="2025-07-01T00:00:00"/>
    <x v="0"/>
    <d v="2025-07-01T00:00:00"/>
    <d v="2025-09-23T00:00:00"/>
    <d v="2025-10-14T00:00:00"/>
    <x v="1"/>
    <x v="0"/>
    <x v="0"/>
    <x v="0"/>
    <n v="630"/>
    <n v="6"/>
    <n v="84"/>
    <x v="0"/>
    <x v="0"/>
    <x v="0"/>
    <x v="2"/>
    <x v="0"/>
    <x v="0"/>
    <x v="0"/>
    <x v="0"/>
    <x v="0"/>
    <x v="1"/>
    <x v="1"/>
    <x v="0"/>
    <n v="63"/>
    <x v="3"/>
    <n v="996"/>
    <x v="2"/>
    <x v="2"/>
    <x v="0"/>
    <x v="2"/>
  </r>
  <r>
    <x v="1"/>
    <x v="73"/>
    <x v="62"/>
    <x v="17"/>
    <x v="2"/>
    <s v="Cauliflower - Mature Head 1X | Field TP Fa"/>
    <s v="CAU001"/>
    <x v="0"/>
    <x v="20"/>
    <x v="27"/>
    <x v="0"/>
    <n v="85.714285714285708"/>
    <x v="0"/>
    <x v="1"/>
    <x v="1"/>
    <x v="0"/>
    <s v="CAU"/>
    <x v="0"/>
    <x v="7"/>
    <d v="2025-07-15T00:00:00"/>
    <x v="0"/>
    <d v="2025-07-26T00:00:00"/>
    <d v="2025-10-19T00:00:00"/>
    <d v="2025-11-09T00:00:00"/>
    <x v="0"/>
    <x v="2"/>
    <x v="0"/>
    <x v="0"/>
    <n v="514.28570000000002"/>
    <n v="4.8517999999999999"/>
    <n v="120"/>
    <x v="0"/>
    <x v="0"/>
    <x v="0"/>
    <x v="2"/>
    <x v="1"/>
    <x v="0"/>
    <x v="0"/>
    <x v="0"/>
    <x v="4"/>
    <x v="3"/>
    <x v="13"/>
    <x v="1"/>
    <n v="66"/>
    <x v="6"/>
    <n v="1022"/>
    <x v="2"/>
    <x v="3"/>
    <x v="8"/>
    <x v="2"/>
  </r>
  <r>
    <x v="1"/>
    <x v="82"/>
    <x v="63"/>
    <x v="40"/>
    <x v="2"/>
    <s v="Cauliflower (Green-Stem) - Mature Head 1X | Field TP Su"/>
    <s v="CAU002"/>
    <x v="0"/>
    <x v="20"/>
    <x v="28"/>
    <x v="4"/>
    <n v="85.714285714285708"/>
    <x v="0"/>
    <x v="1"/>
    <x v="1"/>
    <x v="0"/>
    <s v="CAU"/>
    <x v="0"/>
    <x v="12"/>
    <d v="2025-08-01T00:00:00"/>
    <x v="0"/>
    <d v="2025-08-05T00:00:00"/>
    <d v="2025-09-16T00:00:00"/>
    <d v="2025-10-07T00:00:00"/>
    <x v="0"/>
    <x v="2"/>
    <x v="0"/>
    <x v="0"/>
    <n v="514.28570000000002"/>
    <n v="8.1632999999999996"/>
    <n v="77"/>
    <x v="0"/>
    <x v="0"/>
    <x v="0"/>
    <x v="2"/>
    <x v="1"/>
    <x v="0"/>
    <x v="0"/>
    <x v="0"/>
    <x v="4"/>
    <x v="3"/>
    <x v="13"/>
    <x v="1"/>
    <n v="69"/>
    <x v="2"/>
    <n v="989"/>
    <x v="2"/>
    <x v="3"/>
    <x v="8"/>
    <x v="2"/>
  </r>
  <r>
    <x v="1"/>
    <x v="83"/>
    <x v="64"/>
    <x v="41"/>
    <x v="2"/>
    <s v="Celery - Loose Rib 1X | Field TP SpSu"/>
    <s v="CEL001"/>
    <x v="0"/>
    <x v="21"/>
    <x v="29"/>
    <x v="0"/>
    <n v="195"/>
    <x v="0"/>
    <x v="1"/>
    <x v="1"/>
    <x v="0"/>
    <s v="CEL"/>
    <x v="0"/>
    <x v="6"/>
    <d v="2025-04-30T00:00:00"/>
    <x v="0"/>
    <d v="2025-06-05T00:00:00"/>
    <d v="2025-07-06T00:00:00"/>
    <d v="2025-11-30T00:00:00"/>
    <x v="0"/>
    <x v="1"/>
    <x v="0"/>
    <x v="0"/>
    <n v="4950"/>
    <n v="27.809000000000001"/>
    <n v="100"/>
    <x v="0"/>
    <x v="0"/>
    <x v="0"/>
    <x v="10"/>
    <x v="1"/>
    <x v="0"/>
    <x v="0"/>
    <x v="0"/>
    <x v="5"/>
    <x v="2"/>
    <x v="4"/>
    <x v="1"/>
    <n v="70"/>
    <x v="11"/>
    <n v="917"/>
    <x v="12"/>
    <x v="11"/>
    <x v="2"/>
    <x v="0"/>
  </r>
  <r>
    <x v="1"/>
    <x v="84"/>
    <x v="65"/>
    <x v="42"/>
    <x v="2"/>
    <s v="Choi Sum - Mature Head 1X | Field TP "/>
    <s v="CHO001"/>
    <x v="0"/>
    <x v="22"/>
    <x v="30"/>
    <x v="4"/>
    <n v="520"/>
    <x v="0"/>
    <x v="1"/>
    <x v="1"/>
    <x v="0"/>
    <s v="CHO"/>
    <x v="0"/>
    <x v="13"/>
    <d v="2025-03-22T00:00:00"/>
    <x v="0"/>
    <d v="2025-04-23T00:00:00"/>
    <d v="2025-05-17T00:00:00"/>
    <d v="2025-06-14T00:00:00"/>
    <x v="0"/>
    <x v="1"/>
    <x v="0"/>
    <x v="0"/>
    <n v="533.33330000000001"/>
    <n v="9.6969999999999992"/>
    <n v="57"/>
    <x v="0"/>
    <x v="0"/>
    <x v="0"/>
    <x v="11"/>
    <x v="1"/>
    <x v="0"/>
    <x v="0"/>
    <x v="0"/>
    <x v="6"/>
    <x v="1"/>
    <x v="6"/>
    <x v="1"/>
    <n v="79"/>
    <x v="1"/>
    <n v="867"/>
    <x v="13"/>
    <x v="3"/>
    <x v="8"/>
    <x v="2"/>
  </r>
  <r>
    <x v="1"/>
    <x v="85"/>
    <x v="66"/>
    <x v="43"/>
    <x v="2"/>
    <s v="Choi Sum - Mature Head 1X | Field TP "/>
    <s v="CHO002"/>
    <x v="0"/>
    <x v="22"/>
    <x v="30"/>
    <x v="4"/>
    <n v="520"/>
    <x v="0"/>
    <x v="1"/>
    <x v="1"/>
    <x v="0"/>
    <s v="CHO"/>
    <x v="0"/>
    <x v="14"/>
    <d v="2025-08-07T00:00:00"/>
    <x v="0"/>
    <d v="2025-08-07T00:00:00"/>
    <d v="2025-09-03T00:00:00"/>
    <d v="2025-10-01T00:00:00"/>
    <x v="1"/>
    <x v="2"/>
    <x v="0"/>
    <x v="0"/>
    <n v="533.33330000000001"/>
    <n v="9.6969999999999992"/>
    <n v="57"/>
    <x v="0"/>
    <x v="0"/>
    <x v="0"/>
    <x v="11"/>
    <x v="1"/>
    <x v="0"/>
    <x v="0"/>
    <x v="0"/>
    <x v="6"/>
    <x v="1"/>
    <x v="6"/>
    <x v="1"/>
    <n v="79"/>
    <x v="1"/>
    <n v="976"/>
    <x v="13"/>
    <x v="3"/>
    <x v="8"/>
    <x v="2"/>
  </r>
  <r>
    <x v="1"/>
    <x v="34"/>
    <x v="14"/>
    <x v="2"/>
    <x v="2"/>
    <s v="Chrysanthemum Greens - Mature Leaf 1X | Field DS Ow"/>
    <s v="CHR001"/>
    <x v="0"/>
    <x v="3"/>
    <x v="5"/>
    <x v="1"/>
    <n v="731.25"/>
    <x v="0"/>
    <x v="2"/>
    <x v="0"/>
    <x v="0"/>
    <s v="CHR"/>
    <x v="0"/>
    <x v="0"/>
    <d v="2025-03-27T00:00:00"/>
    <x v="0"/>
    <d v="2025-03-25T00:00:00"/>
    <d v="2025-05-01T00:00:00"/>
    <d v="2025-06-26T00:00:00"/>
    <x v="0"/>
    <x v="0"/>
    <x v="0"/>
    <x v="0"/>
    <n v="600"/>
    <n v="6.4516"/>
    <n v="37"/>
    <x v="0"/>
    <x v="0"/>
    <x v="0"/>
    <x v="3"/>
    <x v="0"/>
    <x v="0"/>
    <x v="0"/>
    <x v="0"/>
    <x v="0"/>
    <x v="2"/>
    <x v="2"/>
    <x v="0"/>
    <n v="82"/>
    <x v="4"/>
    <n v="851"/>
    <x v="3"/>
    <x v="3"/>
    <x v="2"/>
    <x v="2"/>
  </r>
  <r>
    <x v="1"/>
    <x v="86"/>
    <x v="67"/>
    <x v="16"/>
    <x v="2"/>
    <s v="Cilantro - Loose Leaf 3X | Field TP Su"/>
    <s v="CIL002"/>
    <x v="0"/>
    <x v="23"/>
    <x v="31"/>
    <x v="0"/>
    <n v="412.50000000000006"/>
    <x v="0"/>
    <x v="2"/>
    <x v="0"/>
    <x v="0"/>
    <s v="CIL"/>
    <x v="0"/>
    <x v="6"/>
    <d v="2025-04-11T00:00:00"/>
    <x v="0"/>
    <d v="2025-04-20T00:00:00"/>
    <d v="2025-06-16T00:00:00"/>
    <d v="2025-06-30T00:00:00"/>
    <x v="0"/>
    <x v="1"/>
    <x v="0"/>
    <x v="0"/>
    <n v="300"/>
    <n v="4.6875"/>
    <n v="80"/>
    <x v="0"/>
    <x v="0"/>
    <x v="0"/>
    <x v="1"/>
    <x v="1"/>
    <x v="0"/>
    <x v="0"/>
    <x v="0"/>
    <x v="6"/>
    <x v="5"/>
    <x v="6"/>
    <x v="1"/>
    <n v="88"/>
    <x v="2"/>
    <n v="897"/>
    <x v="1"/>
    <x v="7"/>
    <x v="0"/>
    <x v="0"/>
  </r>
  <r>
    <x v="1"/>
    <x v="87"/>
    <x v="68"/>
    <x v="44"/>
    <x v="2"/>
    <s v="Cilantro - Loose Leaf 3X | Field TP Su"/>
    <s v="CIL003"/>
    <x v="0"/>
    <x v="23"/>
    <x v="31"/>
    <x v="0"/>
    <n v="412.50000000000006"/>
    <x v="0"/>
    <x v="2"/>
    <x v="0"/>
    <x v="0"/>
    <s v="CIL"/>
    <x v="0"/>
    <x v="6"/>
    <d v="2025-04-12T00:00:00"/>
    <x v="0"/>
    <d v="2025-04-20T00:00:00"/>
    <d v="2025-06-23T00:00:00"/>
    <d v="2025-07-07T00:00:00"/>
    <x v="0"/>
    <x v="1"/>
    <x v="0"/>
    <x v="0"/>
    <n v="300"/>
    <n v="4.6875"/>
    <n v="87"/>
    <x v="0"/>
    <x v="2"/>
    <x v="0"/>
    <x v="1"/>
    <x v="1"/>
    <x v="0"/>
    <x v="0"/>
    <x v="0"/>
    <x v="6"/>
    <x v="5"/>
    <x v="6"/>
    <x v="1"/>
    <n v="88"/>
    <x v="2"/>
    <n v="904"/>
    <x v="1"/>
    <x v="7"/>
    <x v="0"/>
    <x v="0"/>
  </r>
  <r>
    <x v="1"/>
    <x v="87"/>
    <x v="69"/>
    <x v="44"/>
    <x v="2"/>
    <s v="Cilantro - Loose Leaf 3X | Field TP Su"/>
    <s v="CIL004"/>
    <x v="0"/>
    <x v="23"/>
    <x v="31"/>
    <x v="0"/>
    <n v="412.50000000000006"/>
    <x v="0"/>
    <x v="2"/>
    <x v="0"/>
    <x v="0"/>
    <s v="CIL"/>
    <x v="0"/>
    <x v="6"/>
    <d v="2025-04-25T00:00:00"/>
    <x v="0"/>
    <d v="2025-04-20T00:00:00"/>
    <d v="2025-06-23T00:00:00"/>
    <d v="2025-07-07T00:00:00"/>
    <x v="0"/>
    <x v="1"/>
    <x v="0"/>
    <x v="0"/>
    <n v="300"/>
    <n v="4.6875"/>
    <n v="87"/>
    <x v="0"/>
    <x v="2"/>
    <x v="0"/>
    <x v="1"/>
    <x v="1"/>
    <x v="0"/>
    <x v="0"/>
    <x v="0"/>
    <x v="6"/>
    <x v="5"/>
    <x v="6"/>
    <x v="1"/>
    <n v="88"/>
    <x v="2"/>
    <n v="904"/>
    <x v="1"/>
    <x v="7"/>
    <x v="0"/>
    <x v="0"/>
  </r>
  <r>
    <x v="1"/>
    <x v="88"/>
    <x v="70"/>
    <x v="44"/>
    <x v="2"/>
    <s v="Cilantro - Loose Leaf 3X | Field TP Su"/>
    <s v="CIL005"/>
    <x v="0"/>
    <x v="23"/>
    <x v="31"/>
    <x v="0"/>
    <n v="412.50000000000006"/>
    <x v="0"/>
    <x v="2"/>
    <x v="0"/>
    <x v="0"/>
    <s v="CIL"/>
    <x v="0"/>
    <x v="4"/>
    <d v="2025-05-09T00:00:00"/>
    <x v="0"/>
    <d v="2025-05-18T00:00:00"/>
    <d v="2025-07-12T00:00:00"/>
    <d v="2025-07-26T00:00:00"/>
    <x v="0"/>
    <x v="1"/>
    <x v="0"/>
    <x v="0"/>
    <n v="300"/>
    <n v="4.6875"/>
    <n v="87"/>
    <x v="0"/>
    <x v="2"/>
    <x v="0"/>
    <x v="1"/>
    <x v="1"/>
    <x v="0"/>
    <x v="0"/>
    <x v="0"/>
    <x v="6"/>
    <x v="5"/>
    <x v="6"/>
    <x v="1"/>
    <n v="88"/>
    <x v="2"/>
    <n v="923"/>
    <x v="1"/>
    <x v="7"/>
    <x v="0"/>
    <x v="0"/>
  </r>
  <r>
    <x v="1"/>
    <x v="78"/>
    <x v="71"/>
    <x v="44"/>
    <x v="2"/>
    <s v="Cilantro - Loose Leaf 3X | Field TP Su"/>
    <s v="CIL006"/>
    <x v="0"/>
    <x v="23"/>
    <x v="31"/>
    <x v="0"/>
    <n v="412.50000000000006"/>
    <x v="0"/>
    <x v="2"/>
    <x v="0"/>
    <x v="0"/>
    <s v="CIL"/>
    <x v="0"/>
    <x v="15"/>
    <d v="2025-05-23T00:00:00"/>
    <x v="0"/>
    <d v="2025-05-18T00:00:00"/>
    <d v="2025-07-09T00:00:00"/>
    <d v="2025-07-23T00:00:00"/>
    <x v="0"/>
    <x v="1"/>
    <x v="0"/>
    <x v="0"/>
    <n v="300"/>
    <n v="4.6875"/>
    <n v="80"/>
    <x v="0"/>
    <x v="0"/>
    <x v="0"/>
    <x v="1"/>
    <x v="1"/>
    <x v="0"/>
    <x v="0"/>
    <x v="0"/>
    <x v="6"/>
    <x v="5"/>
    <x v="6"/>
    <x v="1"/>
    <n v="88"/>
    <x v="2"/>
    <n v="920"/>
    <x v="1"/>
    <x v="7"/>
    <x v="0"/>
    <x v="0"/>
  </r>
  <r>
    <x v="1"/>
    <x v="89"/>
    <x v="72"/>
    <x v="44"/>
    <x v="2"/>
    <s v="Cilantro - Loose Leaf 3X | Field TP Su"/>
    <s v="CIL007"/>
    <x v="0"/>
    <x v="23"/>
    <x v="31"/>
    <x v="0"/>
    <n v="412.50000000000006"/>
    <x v="0"/>
    <x v="2"/>
    <x v="0"/>
    <x v="0"/>
    <s v="CIL"/>
    <x v="0"/>
    <x v="16"/>
    <d v="2025-06-06T00:00:00"/>
    <x v="0"/>
    <d v="2025-06-13T00:00:00"/>
    <d v="2025-08-02T00:00:00"/>
    <d v="2025-08-16T00:00:00"/>
    <x v="0"/>
    <x v="2"/>
    <x v="0"/>
    <x v="0"/>
    <n v="300"/>
    <n v="4.6875"/>
    <n v="80"/>
    <x v="0"/>
    <x v="0"/>
    <x v="0"/>
    <x v="1"/>
    <x v="1"/>
    <x v="0"/>
    <x v="0"/>
    <x v="0"/>
    <x v="6"/>
    <x v="5"/>
    <x v="6"/>
    <x v="1"/>
    <n v="88"/>
    <x v="2"/>
    <n v="944"/>
    <x v="1"/>
    <x v="7"/>
    <x v="0"/>
    <x v="0"/>
  </r>
  <r>
    <x v="1"/>
    <x v="71"/>
    <x v="73"/>
    <x v="3"/>
    <x v="2"/>
    <s v="Cilantro - Loose Leaf 3X | Field TP Su"/>
    <s v="CIL012"/>
    <x v="0"/>
    <x v="23"/>
    <x v="31"/>
    <x v="0"/>
    <n v="412.50000000000006"/>
    <x v="0"/>
    <x v="2"/>
    <x v="0"/>
    <x v="0"/>
    <s v="CIL"/>
    <x v="0"/>
    <x v="17"/>
    <d v="2025-08-15T00:00:00"/>
    <x v="0"/>
    <d v="2025-08-15T00:00:00"/>
    <d v="2025-10-04T00:00:00"/>
    <d v="2025-10-18T00:00:00"/>
    <x v="1"/>
    <x v="2"/>
    <x v="0"/>
    <x v="0"/>
    <n v="300"/>
    <n v="4.6875"/>
    <n v="80"/>
    <x v="0"/>
    <x v="0"/>
    <x v="0"/>
    <x v="1"/>
    <x v="1"/>
    <x v="0"/>
    <x v="0"/>
    <x v="0"/>
    <x v="6"/>
    <x v="5"/>
    <x v="6"/>
    <x v="1"/>
    <n v="88"/>
    <x v="2"/>
    <n v="1007"/>
    <x v="1"/>
    <x v="7"/>
    <x v="0"/>
    <x v="0"/>
  </r>
  <r>
    <x v="1"/>
    <x v="90"/>
    <x v="15"/>
    <x v="10"/>
    <x v="2"/>
    <s v="Corn  (Sweet Early) - Mature Cob 2X | Field DS "/>
    <s v="COR001"/>
    <x v="0"/>
    <x v="4"/>
    <x v="6"/>
    <x v="0"/>
    <n v="1040"/>
    <x v="0"/>
    <x v="3"/>
    <x v="2"/>
    <x v="0"/>
    <s v="COR"/>
    <x v="0"/>
    <x v="0"/>
    <d v="2025-06-15T00:00:00"/>
    <x v="0"/>
    <d v="2025-06-20T00:00:00"/>
    <d v="2025-09-28T00:00:00"/>
    <d v="2025-10-12T00:00:00"/>
    <x v="0"/>
    <x v="0"/>
    <x v="0"/>
    <x v="0"/>
    <n v="800"/>
    <n v="7.0175000000000001"/>
    <n v="100"/>
    <x v="0"/>
    <x v="0"/>
    <x v="0"/>
    <x v="1"/>
    <x v="0"/>
    <x v="0"/>
    <x v="0"/>
    <x v="0"/>
    <x v="0"/>
    <x v="2"/>
    <x v="3"/>
    <x v="2"/>
    <n v="94"/>
    <x v="1"/>
    <n v="1001"/>
    <x v="1"/>
    <x v="4"/>
    <x v="3"/>
    <x v="0"/>
  </r>
  <r>
    <x v="1"/>
    <x v="22"/>
    <x v="74"/>
    <x v="2"/>
    <x v="2"/>
    <s v="Cucumber (Asian Long) - Large Fruit 1X | Greenhouse TP "/>
    <s v="CUC001"/>
    <x v="0"/>
    <x v="24"/>
    <x v="32"/>
    <x v="0"/>
    <n v="32.5"/>
    <x v="0"/>
    <x v="7"/>
    <x v="0"/>
    <x v="0"/>
    <s v="CUC"/>
    <x v="0"/>
    <x v="4"/>
    <d v="2025-05-06T00:00:00"/>
    <x v="0"/>
    <d v="2025-05-30T00:00:00"/>
    <d v="2025-06-25T00:00:00"/>
    <d v="2025-10-08T00:00:00"/>
    <x v="0"/>
    <x v="1"/>
    <x v="0"/>
    <x v="0"/>
    <n v="1607.1429000000001"/>
    <n v="11.4796"/>
    <n v="70"/>
    <x v="0"/>
    <x v="0"/>
    <x v="0"/>
    <x v="12"/>
    <x v="1"/>
    <x v="0"/>
    <x v="0"/>
    <x v="0"/>
    <x v="4"/>
    <x v="4"/>
    <x v="7"/>
    <x v="1"/>
    <n v="106"/>
    <x v="1"/>
    <n v="906"/>
    <x v="14"/>
    <x v="12"/>
    <x v="5"/>
    <x v="1"/>
  </r>
  <r>
    <x v="1"/>
    <x v="91"/>
    <x v="75"/>
    <x v="45"/>
    <x v="2"/>
    <s v="Cucumber (Asian Long) - Ripe Fruit 1X | Field TP "/>
    <s v="CUC003"/>
    <x v="0"/>
    <x v="24"/>
    <x v="32"/>
    <x v="0"/>
    <n v="65"/>
    <x v="0"/>
    <x v="1"/>
    <x v="1"/>
    <x v="0"/>
    <s v="CUC"/>
    <x v="0"/>
    <x v="4"/>
    <d v="2025-05-16T00:00:00"/>
    <x v="0"/>
    <d v="2025-05-26T00:00:00"/>
    <d v="2025-07-05T00:00:00"/>
    <d v="2025-09-20T00:00:00"/>
    <x v="0"/>
    <x v="1"/>
    <x v="0"/>
    <x v="0"/>
    <n v="1080"/>
    <n v="8.8524999999999991"/>
    <n v="80"/>
    <x v="0"/>
    <x v="0"/>
    <x v="0"/>
    <x v="13"/>
    <x v="1"/>
    <x v="0"/>
    <x v="0"/>
    <x v="0"/>
    <x v="4"/>
    <x v="4"/>
    <x v="4"/>
    <x v="2"/>
    <n v="107"/>
    <x v="1"/>
    <n v="916"/>
    <x v="15"/>
    <x v="12"/>
    <x v="5"/>
    <x v="0"/>
  </r>
  <r>
    <x v="1"/>
    <x v="22"/>
    <x v="76"/>
    <x v="16"/>
    <x v="2"/>
    <s v="Cucumber (Lebanese) - Small Fruit 1X | Greenhouse TP "/>
    <s v="CUC002"/>
    <x v="0"/>
    <x v="24"/>
    <x v="33"/>
    <x v="0"/>
    <n v="16.25"/>
    <x v="0"/>
    <x v="2"/>
    <x v="0"/>
    <x v="0"/>
    <s v="CUC"/>
    <x v="0"/>
    <x v="4"/>
    <d v="2025-05-06T00:00:00"/>
    <x v="0"/>
    <d v="2025-05-30T00:00:00"/>
    <d v="2025-06-25T00:00:00"/>
    <d v="2025-10-08T00:00:00"/>
    <x v="0"/>
    <x v="1"/>
    <x v="0"/>
    <x v="0"/>
    <n v="714.28570000000002"/>
    <n v="5.1020000000000003"/>
    <n v="70"/>
    <x v="0"/>
    <x v="0"/>
    <x v="0"/>
    <x v="12"/>
    <x v="1"/>
    <x v="0"/>
    <x v="0"/>
    <x v="0"/>
    <x v="4"/>
    <x v="4"/>
    <x v="4"/>
    <x v="1"/>
    <n v="109"/>
    <x v="1"/>
    <n v="906"/>
    <x v="14"/>
    <x v="1"/>
    <x v="1"/>
    <x v="1"/>
  </r>
  <r>
    <x v="1"/>
    <x v="91"/>
    <x v="77"/>
    <x v="46"/>
    <x v="2"/>
    <s v="Cucumber (Slicer) - Ripe Fruit 1X | Field TP "/>
    <s v="CUC004"/>
    <x v="0"/>
    <x v="24"/>
    <x v="34"/>
    <x v="0"/>
    <n v="65"/>
    <x v="0"/>
    <x v="1"/>
    <x v="1"/>
    <x v="0"/>
    <s v="CUC"/>
    <x v="0"/>
    <x v="4"/>
    <d v="2025-05-16T00:00:00"/>
    <x v="0"/>
    <d v="2025-05-26T00:00:00"/>
    <d v="2025-07-05T00:00:00"/>
    <d v="2025-09-20T00:00:00"/>
    <x v="0"/>
    <x v="1"/>
    <x v="0"/>
    <x v="0"/>
    <n v="1080"/>
    <n v="8.8524999999999991"/>
    <n v="80"/>
    <x v="0"/>
    <x v="0"/>
    <x v="0"/>
    <x v="13"/>
    <x v="1"/>
    <x v="0"/>
    <x v="0"/>
    <x v="0"/>
    <x v="4"/>
    <x v="4"/>
    <x v="4"/>
    <x v="2"/>
    <n v="111"/>
    <x v="1"/>
    <n v="916"/>
    <x v="15"/>
    <x v="12"/>
    <x v="5"/>
    <x v="0"/>
  </r>
  <r>
    <x v="1"/>
    <x v="92"/>
    <x v="16"/>
    <x v="11"/>
    <x v="2"/>
    <s v="Dahlia - Cut Flower 1X | Field DS "/>
    <s v="DAH001"/>
    <x v="0"/>
    <x v="5"/>
    <x v="3"/>
    <x v="0"/>
    <n v="520"/>
    <x v="0"/>
    <x v="4"/>
    <x v="1"/>
    <x v="0"/>
    <s v="DAH"/>
    <x v="0"/>
    <x v="0"/>
    <d v="2025-04-01T00:00:00"/>
    <x v="0"/>
    <d v="2025-04-01T00:00:00"/>
    <d v="2025-07-13T00:00:00"/>
    <d v="2025-07-20T00:00:00"/>
    <x v="1"/>
    <x v="0"/>
    <x v="0"/>
    <x v="0"/>
    <n v="0"/>
    <n v="0"/>
    <n v="103"/>
    <x v="0"/>
    <x v="0"/>
    <x v="0"/>
    <x v="4"/>
    <x v="0"/>
    <x v="0"/>
    <x v="0"/>
    <x v="0"/>
    <x v="0"/>
    <x v="3"/>
    <x v="4"/>
    <x v="1"/>
    <n v="112"/>
    <x v="1"/>
    <n v="924"/>
    <x v="4"/>
    <x v="1"/>
    <x v="1"/>
    <x v="1"/>
  </r>
  <r>
    <x v="1"/>
    <x v="93"/>
    <x v="78"/>
    <x v="44"/>
    <x v="2"/>
    <s v="Dill - Mature Leaf 4X | Field TP Sp"/>
    <s v="DIL004"/>
    <x v="0"/>
    <x v="25"/>
    <x v="35"/>
    <x v="0"/>
    <n v="880.00000000000011"/>
    <x v="0"/>
    <x v="2"/>
    <x v="0"/>
    <x v="0"/>
    <s v="DIL"/>
    <x v="0"/>
    <x v="4"/>
    <d v="2025-05-05T00:00:00"/>
    <x v="0"/>
    <d v="2025-05-18T00:00:00"/>
    <d v="2025-07-18T00:00:00"/>
    <d v="2025-08-04T00:00:00"/>
    <x v="0"/>
    <x v="1"/>
    <x v="0"/>
    <x v="0"/>
    <n v="320"/>
    <n v="4.1558000000000002"/>
    <n v="93"/>
    <x v="0"/>
    <x v="2"/>
    <x v="0"/>
    <x v="14"/>
    <x v="1"/>
    <x v="0"/>
    <x v="0"/>
    <x v="0"/>
    <x v="7"/>
    <x v="1"/>
    <x v="10"/>
    <x v="1"/>
    <n v="117"/>
    <x v="0"/>
    <n v="929"/>
    <x v="16"/>
    <x v="7"/>
    <x v="3"/>
    <x v="0"/>
  </r>
  <r>
    <x v="1"/>
    <x v="41"/>
    <x v="79"/>
    <x v="16"/>
    <x v="2"/>
    <s v="Dill - Mature Leaf 4X | Field TP Su"/>
    <s v="DIL001"/>
    <x v="0"/>
    <x v="25"/>
    <x v="35"/>
    <x v="0"/>
    <n v="880.00000000000011"/>
    <x v="0"/>
    <x v="2"/>
    <x v="0"/>
    <x v="0"/>
    <s v="DIL"/>
    <x v="0"/>
    <x v="18"/>
    <d v="2025-04-07T00:00:00"/>
    <x v="0"/>
    <d v="2025-04-20T00:00:00"/>
    <d v="2025-06-09T00:00:00"/>
    <d v="2025-06-26T00:00:00"/>
    <x v="0"/>
    <x v="1"/>
    <x v="0"/>
    <x v="0"/>
    <n v="320"/>
    <n v="4.7760999999999996"/>
    <n v="76"/>
    <x v="0"/>
    <x v="0"/>
    <x v="0"/>
    <x v="14"/>
    <x v="1"/>
    <x v="0"/>
    <x v="0"/>
    <x v="0"/>
    <x v="7"/>
    <x v="1"/>
    <x v="10"/>
    <x v="1"/>
    <n v="118"/>
    <x v="2"/>
    <n v="890"/>
    <x v="16"/>
    <x v="7"/>
    <x v="3"/>
    <x v="0"/>
  </r>
  <r>
    <x v="1"/>
    <x v="86"/>
    <x v="80"/>
    <x v="44"/>
    <x v="2"/>
    <s v="Dill - Mature Leaf 4X | Field TP Su"/>
    <s v="DIL002"/>
    <x v="0"/>
    <x v="25"/>
    <x v="35"/>
    <x v="0"/>
    <n v="880.00000000000011"/>
    <x v="0"/>
    <x v="2"/>
    <x v="0"/>
    <x v="0"/>
    <s v="DIL"/>
    <x v="0"/>
    <x v="18"/>
    <d v="2025-04-07T00:00:00"/>
    <x v="0"/>
    <d v="2025-04-20T00:00:00"/>
    <d v="2025-06-16T00:00:00"/>
    <d v="2025-07-03T00:00:00"/>
    <x v="0"/>
    <x v="1"/>
    <x v="0"/>
    <x v="0"/>
    <n v="320"/>
    <n v="4.7760999999999996"/>
    <n v="83"/>
    <x v="0"/>
    <x v="2"/>
    <x v="0"/>
    <x v="14"/>
    <x v="1"/>
    <x v="0"/>
    <x v="0"/>
    <x v="0"/>
    <x v="7"/>
    <x v="1"/>
    <x v="10"/>
    <x v="1"/>
    <n v="118"/>
    <x v="2"/>
    <n v="897"/>
    <x v="16"/>
    <x v="7"/>
    <x v="3"/>
    <x v="0"/>
  </r>
  <r>
    <x v="1"/>
    <x v="91"/>
    <x v="81"/>
    <x v="44"/>
    <x v="2"/>
    <s v="Dill - Mature Leaf 4X | Field TP Su"/>
    <s v="DIL005"/>
    <x v="0"/>
    <x v="25"/>
    <x v="35"/>
    <x v="0"/>
    <n v="880.00000000000011"/>
    <x v="0"/>
    <x v="2"/>
    <x v="0"/>
    <x v="0"/>
    <s v="DIL"/>
    <x v="0"/>
    <x v="15"/>
    <d v="2025-05-19T00:00:00"/>
    <x v="0"/>
    <d v="2025-05-18T00:00:00"/>
    <d v="2025-07-05T00:00:00"/>
    <d v="2025-07-22T00:00:00"/>
    <x v="0"/>
    <x v="1"/>
    <x v="0"/>
    <x v="0"/>
    <n v="320"/>
    <n v="4.7760999999999996"/>
    <n v="76"/>
    <x v="0"/>
    <x v="0"/>
    <x v="0"/>
    <x v="14"/>
    <x v="1"/>
    <x v="0"/>
    <x v="0"/>
    <x v="0"/>
    <x v="7"/>
    <x v="1"/>
    <x v="10"/>
    <x v="1"/>
    <n v="118"/>
    <x v="2"/>
    <n v="916"/>
    <x v="16"/>
    <x v="7"/>
    <x v="3"/>
    <x v="0"/>
  </r>
  <r>
    <x v="1"/>
    <x v="94"/>
    <x v="82"/>
    <x v="3"/>
    <x v="2"/>
    <s v="Dill - Mature Leaf 4X | Field TP Su"/>
    <s v="DIL006"/>
    <x v="0"/>
    <x v="25"/>
    <x v="35"/>
    <x v="0"/>
    <n v="880.00000000000011"/>
    <x v="0"/>
    <x v="2"/>
    <x v="0"/>
    <x v="0"/>
    <s v="DIL"/>
    <x v="0"/>
    <x v="16"/>
    <d v="2025-06-02T00:00:00"/>
    <x v="0"/>
    <d v="2025-06-09T00:00:00"/>
    <d v="2025-07-29T00:00:00"/>
    <d v="2025-08-15T00:00:00"/>
    <x v="0"/>
    <x v="2"/>
    <x v="0"/>
    <x v="0"/>
    <n v="320"/>
    <n v="4.7760999999999996"/>
    <n v="76"/>
    <x v="0"/>
    <x v="0"/>
    <x v="0"/>
    <x v="14"/>
    <x v="1"/>
    <x v="0"/>
    <x v="0"/>
    <x v="0"/>
    <x v="7"/>
    <x v="1"/>
    <x v="10"/>
    <x v="1"/>
    <n v="118"/>
    <x v="2"/>
    <n v="940"/>
    <x v="16"/>
    <x v="7"/>
    <x v="3"/>
    <x v="0"/>
  </r>
  <r>
    <x v="1"/>
    <x v="10"/>
    <x v="17"/>
    <x v="7"/>
    <x v="2"/>
    <s v="Fava Bean - Mature Pod 1X | Field DS Sp"/>
    <s v="FAV001"/>
    <x v="0"/>
    <x v="6"/>
    <x v="7"/>
    <x v="2"/>
    <n v="173.33333333333331"/>
    <x v="0"/>
    <x v="1"/>
    <x v="1"/>
    <x v="0"/>
    <s v="FAV"/>
    <x v="0"/>
    <x v="0"/>
    <d v="2025-01-31T00:00:00"/>
    <x v="0"/>
    <d v="2025-01-31T00:00:00"/>
    <d v="2025-06-20T00:00:00"/>
    <d v="2025-07-11T00:00:00"/>
    <x v="0"/>
    <x v="0"/>
    <x v="0"/>
    <x v="0"/>
    <n v="600"/>
    <n v="2.9851000000000001"/>
    <n v="140"/>
    <x v="0"/>
    <x v="1"/>
    <x v="0"/>
    <x v="2"/>
    <x v="0"/>
    <x v="0"/>
    <x v="0"/>
    <x v="0"/>
    <x v="0"/>
    <x v="3"/>
    <x v="3"/>
    <x v="1"/>
    <n v="126"/>
    <x v="0"/>
    <n v="901"/>
    <x v="2"/>
    <x v="5"/>
    <x v="4"/>
    <x v="1"/>
  </r>
  <r>
    <x v="1"/>
    <x v="47"/>
    <x v="83"/>
    <x v="9"/>
    <x v="2"/>
    <s v="Fennel - Mini Bulb 1X | Field TP Sp"/>
    <s v="FEN003"/>
    <x v="0"/>
    <x v="26"/>
    <x v="36"/>
    <x v="0"/>
    <n v="520"/>
    <x v="0"/>
    <x v="1"/>
    <x v="1"/>
    <x v="0"/>
    <s v="FEN"/>
    <x v="0"/>
    <x v="13"/>
    <d v="2025-04-06T00:00:00"/>
    <x v="0"/>
    <d v="2025-05-04T00:00:00"/>
    <d v="2025-06-06T00:00:00"/>
    <d v="2025-06-20T00:00:00"/>
    <x v="0"/>
    <x v="1"/>
    <x v="0"/>
    <x v="0"/>
    <n v="666.66669999999999"/>
    <n v="10.929"/>
    <n v="77"/>
    <x v="0"/>
    <x v="0"/>
    <x v="0"/>
    <x v="1"/>
    <x v="1"/>
    <x v="0"/>
    <x v="0"/>
    <x v="0"/>
    <x v="6"/>
    <x v="1"/>
    <x v="6"/>
    <x v="1"/>
    <n v="131"/>
    <x v="0"/>
    <n v="887"/>
    <x v="1"/>
    <x v="13"/>
    <x v="9"/>
    <x v="0"/>
  </r>
  <r>
    <x v="1"/>
    <x v="34"/>
    <x v="18"/>
    <x v="12"/>
    <x v="2"/>
    <s v="Garlic (Green) - Young Bulb 1X | Field DS Ow"/>
    <s v="GAR535"/>
    <x v="0"/>
    <x v="7"/>
    <x v="8"/>
    <x v="0"/>
    <n v="900"/>
    <x v="0"/>
    <x v="1"/>
    <x v="1"/>
    <x v="0"/>
    <s v="GAR"/>
    <x v="0"/>
    <x v="0"/>
    <d v="2025-08-19T00:00:00"/>
    <x v="0"/>
    <d v="2024-12-21T00:00:00"/>
    <d v="2025-05-01T00:00:00"/>
    <d v="2025-05-30T00:00:00"/>
    <x v="0"/>
    <x v="0"/>
    <x v="0"/>
    <x v="0"/>
    <n v="642.85709999999995"/>
    <n v="2.6027"/>
    <n v="240"/>
    <x v="0"/>
    <x v="0"/>
    <x v="0"/>
    <x v="4"/>
    <x v="0"/>
    <x v="0"/>
    <x v="0"/>
    <x v="0"/>
    <x v="0"/>
    <x v="2"/>
    <x v="5"/>
    <x v="1"/>
    <n v="135"/>
    <x v="4"/>
    <n v="851"/>
    <x v="5"/>
    <x v="6"/>
    <x v="2"/>
    <x v="0"/>
  </r>
  <r>
    <x v="1"/>
    <x v="95"/>
    <x v="19"/>
    <x v="13"/>
    <x v="2"/>
    <s v="Garlic (Hardneck) - Storage Bulb 1X | Field DS Ow"/>
    <s v="GAR533"/>
    <x v="1"/>
    <x v="7"/>
    <x v="8"/>
    <x v="0"/>
    <n v="300"/>
    <x v="0"/>
    <x v="3"/>
    <x v="2"/>
    <x v="0"/>
    <s v="GAR"/>
    <x v="0"/>
    <x v="0"/>
    <d v="2024-08-19T00:00:00"/>
    <x v="0"/>
    <d v="2024-12-21T00:00:00"/>
    <d v="2025-06-01T00:00:00"/>
    <d v="2025-06-15T00:00:00"/>
    <x v="1"/>
    <x v="0"/>
    <x v="0"/>
    <x v="0"/>
    <n v="1542.8570999999999"/>
    <n v="5.5698999999999996"/>
    <n v="270"/>
    <x v="0"/>
    <x v="0"/>
    <x v="0"/>
    <x v="4"/>
    <x v="0"/>
    <x v="0"/>
    <x v="0"/>
    <x v="0"/>
    <x v="0"/>
    <x v="2"/>
    <x v="6"/>
    <x v="1"/>
    <n v="136"/>
    <x v="4"/>
    <n v="882"/>
    <x v="1"/>
    <x v="6"/>
    <x v="2"/>
    <x v="0"/>
  </r>
  <r>
    <x v="1"/>
    <x v="59"/>
    <x v="20"/>
    <x v="14"/>
    <x v="2"/>
    <s v="Garlic (Softneck) - Storage Bulb 1X | Field DS Ow"/>
    <s v="GAR534"/>
    <x v="2"/>
    <x v="7"/>
    <x v="8"/>
    <x v="0"/>
    <n v="300"/>
    <x v="0"/>
    <x v="1"/>
    <x v="1"/>
    <x v="0"/>
    <s v="GAR"/>
    <x v="0"/>
    <x v="0"/>
    <d v="2024-08-19T00:00:00"/>
    <x v="0"/>
    <d v="2024-12-21T00:00:00"/>
    <d v="2025-06-15T00:00:00"/>
    <d v="2025-06-25T00:00:00"/>
    <x v="1"/>
    <x v="0"/>
    <x v="0"/>
    <x v="0"/>
    <n v="771.42859999999996"/>
    <n v="3.1232000000000002"/>
    <n v="240"/>
    <x v="0"/>
    <x v="0"/>
    <x v="0"/>
    <x v="4"/>
    <x v="0"/>
    <x v="0"/>
    <x v="0"/>
    <x v="0"/>
    <x v="0"/>
    <x v="2"/>
    <x v="6"/>
    <x v="1"/>
    <n v="137"/>
    <x v="4"/>
    <n v="896"/>
    <x v="6"/>
    <x v="6"/>
    <x v="2"/>
    <x v="0"/>
  </r>
  <r>
    <x v="1"/>
    <x v="96"/>
    <x v="84"/>
    <x v="29"/>
    <x v="2"/>
    <s v="Gooseberry (Cape) - Mature Berry 1X | Field TP "/>
    <s v="GOO001"/>
    <x v="0"/>
    <x v="27"/>
    <x v="37"/>
    <x v="6"/>
    <n v="13"/>
    <x v="0"/>
    <x v="0"/>
    <x v="0"/>
    <x v="0"/>
    <s v="GOO"/>
    <x v="0"/>
    <x v="11"/>
    <d v="2025-05-24T00:00:00"/>
    <x v="0"/>
    <d v="2025-01-01T00:00:00"/>
    <d v="2025-09-06T00:00:00"/>
    <d v="2025-12-13T00:00:00"/>
    <x v="0"/>
    <x v="1"/>
    <x v="0"/>
    <x v="0"/>
    <n v="640"/>
    <n v="3.1526999999999998"/>
    <n v="158"/>
    <x v="0"/>
    <x v="0"/>
    <x v="0"/>
    <x v="15"/>
    <x v="1"/>
    <x v="0"/>
    <x v="0"/>
    <x v="0"/>
    <x v="8"/>
    <x v="4"/>
    <x v="14"/>
    <x v="1"/>
    <n v="140"/>
    <x v="1"/>
    <n v="979"/>
    <x v="17"/>
    <x v="1"/>
    <x v="1"/>
    <x v="1"/>
  </r>
  <r>
    <x v="1"/>
    <x v="3"/>
    <x v="85"/>
    <x v="47"/>
    <x v="2"/>
    <s v="Kale - Mature Leaf 2X | Field TP Sp"/>
    <s v="KAL003"/>
    <x v="0"/>
    <x v="28"/>
    <x v="38"/>
    <x v="0"/>
    <n v="293.33333333333331"/>
    <x v="0"/>
    <x v="3"/>
    <x v="2"/>
    <x v="0"/>
    <s v="KAL"/>
    <x v="0"/>
    <x v="11"/>
    <d v="2025-04-26T00:00:00"/>
    <x v="0"/>
    <d v="2025-04-28T00:00:00"/>
    <d v="2025-06-30T00:00:00"/>
    <d v="2025-08-25T00:00:00"/>
    <x v="0"/>
    <x v="1"/>
    <x v="0"/>
    <x v="0"/>
    <n v="1600"/>
    <n v="14.414400000000001"/>
    <n v="90"/>
    <x v="0"/>
    <x v="0"/>
    <x v="0"/>
    <x v="3"/>
    <x v="1"/>
    <x v="0"/>
    <x v="0"/>
    <x v="0"/>
    <x v="4"/>
    <x v="3"/>
    <x v="7"/>
    <x v="1"/>
    <n v="155"/>
    <x v="0"/>
    <n v="911"/>
    <x v="3"/>
    <x v="3"/>
    <x v="7"/>
    <x v="2"/>
  </r>
  <r>
    <x v="1"/>
    <x v="74"/>
    <x v="86"/>
    <x v="4"/>
    <x v="2"/>
    <s v="Kohlrabi (Sm) - Storage Bulb 1X | Field TP Fa"/>
    <s v="KOH002"/>
    <x v="0"/>
    <x v="29"/>
    <x v="39"/>
    <x v="0"/>
    <n v="390"/>
    <x v="0"/>
    <x v="1"/>
    <x v="1"/>
    <x v="0"/>
    <s v="KOH"/>
    <x v="0"/>
    <x v="10"/>
    <d v="2025-07-10T00:00:00"/>
    <x v="0"/>
    <d v="2025-07-28T00:00:00"/>
    <d v="2025-09-14T00:00:00"/>
    <d v="2025-09-28T00:00:00"/>
    <x v="0"/>
    <x v="2"/>
    <x v="0"/>
    <x v="0"/>
    <n v="600"/>
    <n v="9.6774000000000004"/>
    <n v="73"/>
    <x v="0"/>
    <x v="0"/>
    <x v="0"/>
    <x v="1"/>
    <x v="1"/>
    <x v="0"/>
    <x v="0"/>
    <x v="0"/>
    <x v="9"/>
    <x v="3"/>
    <x v="15"/>
    <x v="1"/>
    <n v="157"/>
    <x v="6"/>
    <n v="987"/>
    <x v="1"/>
    <x v="3"/>
    <x v="2"/>
    <x v="2"/>
  </r>
  <r>
    <x v="1"/>
    <x v="57"/>
    <x v="87"/>
    <x v="28"/>
    <x v="2"/>
    <s v="Kohlrabi (Sm) - Storage Bulb 1X | Field TP Sp"/>
    <s v="KOH003"/>
    <x v="0"/>
    <x v="29"/>
    <x v="39"/>
    <x v="0"/>
    <n v="390"/>
    <x v="0"/>
    <x v="1"/>
    <x v="1"/>
    <x v="0"/>
    <s v="KOH"/>
    <x v="0"/>
    <x v="18"/>
    <d v="2025-03-27T00:00:00"/>
    <x v="0"/>
    <d v="2025-04-20T00:00:00"/>
    <d v="2025-05-19T00:00:00"/>
    <d v="2025-06-02T00:00:00"/>
    <x v="0"/>
    <x v="1"/>
    <x v="0"/>
    <x v="0"/>
    <n v="600"/>
    <n v="13.6364"/>
    <n v="55"/>
    <x v="0"/>
    <x v="0"/>
    <x v="0"/>
    <x v="1"/>
    <x v="1"/>
    <x v="0"/>
    <x v="0"/>
    <x v="0"/>
    <x v="9"/>
    <x v="3"/>
    <x v="15"/>
    <x v="1"/>
    <n v="158"/>
    <x v="0"/>
    <n v="869"/>
    <x v="1"/>
    <x v="1"/>
    <x v="1"/>
    <x v="2"/>
  </r>
  <r>
    <x v="1"/>
    <x v="97"/>
    <x v="88"/>
    <x v="48"/>
    <x v="2"/>
    <s v="Leek - Mature Stalk 5X | Field TP Su"/>
    <s v="LEE001"/>
    <x v="0"/>
    <x v="30"/>
    <x v="40"/>
    <x v="0"/>
    <n v="3466.6666666666661"/>
    <x v="0"/>
    <x v="3"/>
    <x v="2"/>
    <x v="0"/>
    <s v="LEE"/>
    <x v="0"/>
    <x v="19"/>
    <d v="2025-05-31T00:00:00"/>
    <x v="0"/>
    <d v="2025-06-28T00:00:00"/>
    <d v="2025-09-04T00:00:00"/>
    <d v="2025-10-02T00:00:00"/>
    <x v="0"/>
    <x v="1"/>
    <x v="0"/>
    <x v="0"/>
    <n v="2666.6667000000002"/>
    <n v="24.2424"/>
    <n v="142"/>
    <x v="0"/>
    <x v="0"/>
    <x v="0"/>
    <x v="11"/>
    <x v="1"/>
    <x v="0"/>
    <x v="0"/>
    <x v="0"/>
    <x v="10"/>
    <x v="1"/>
    <x v="3"/>
    <x v="1"/>
    <n v="169"/>
    <x v="2"/>
    <n v="977"/>
    <x v="13"/>
    <x v="1"/>
    <x v="1"/>
    <x v="1"/>
  </r>
  <r>
    <x v="1"/>
    <x v="98"/>
    <x v="89"/>
    <x v="49"/>
    <x v="2"/>
    <s v="Lemongrass - Mature Stalks 1X | Field TP SpSu"/>
    <s v="LEM001"/>
    <x v="0"/>
    <x v="31"/>
    <x v="41"/>
    <x v="4"/>
    <n v="130"/>
    <x v="0"/>
    <x v="1"/>
    <x v="1"/>
    <x v="0"/>
    <s v="LEM"/>
    <x v="0"/>
    <x v="11"/>
    <d v="2025-05-01T00:00:00"/>
    <x v="0"/>
    <d v="2025-05-31T00:00:00"/>
    <d v="2025-07-30T00:00:00"/>
    <d v="2025-10-01T00:00:00"/>
    <x v="0"/>
    <x v="1"/>
    <x v="0"/>
    <x v="0"/>
    <n v="2400"/>
    <n v="16.783200000000001"/>
    <n v="120"/>
    <x v="0"/>
    <x v="0"/>
    <x v="0"/>
    <x v="16"/>
    <x v="1"/>
    <x v="0"/>
    <x v="0"/>
    <x v="0"/>
    <x v="2"/>
    <x v="3"/>
    <x v="4"/>
    <x v="1"/>
    <n v="171"/>
    <x v="11"/>
    <n v="941"/>
    <x v="18"/>
    <x v="7"/>
    <x v="3"/>
    <x v="0"/>
  </r>
  <r>
    <x v="1"/>
    <x v="91"/>
    <x v="90"/>
    <x v="50"/>
    <x v="2"/>
    <s v="Lettuce (4x9) - Mature Head 1X | Field TP Sp"/>
    <s v="LET014"/>
    <x v="0"/>
    <x v="32"/>
    <x v="42"/>
    <x v="7"/>
    <n v="180.26666666666665"/>
    <x v="0"/>
    <x v="5"/>
    <x v="1"/>
    <x v="0"/>
    <s v="LET"/>
    <x v="0"/>
    <x v="11"/>
    <d v="2025-04-11T00:00:00"/>
    <x v="0"/>
    <d v="2025-05-10T00:00:00"/>
    <d v="2025-07-05T00:00:00"/>
    <d v="2025-07-19T00:00:00"/>
    <x v="0"/>
    <x v="1"/>
    <x v="0"/>
    <x v="0"/>
    <n v="426.66669999999999"/>
    <n v="5.4008000000000003"/>
    <n v="95"/>
    <x v="0"/>
    <x v="0"/>
    <x v="0"/>
    <x v="1"/>
    <x v="1"/>
    <x v="0"/>
    <x v="0"/>
    <x v="0"/>
    <x v="6"/>
    <x v="1"/>
    <x v="3"/>
    <x v="1"/>
    <n v="174"/>
    <x v="0"/>
    <n v="916"/>
    <x v="1"/>
    <x v="0"/>
    <x v="0"/>
    <x v="0"/>
  </r>
  <r>
    <x v="1"/>
    <x v="92"/>
    <x v="91"/>
    <x v="51"/>
    <x v="2"/>
    <s v="Lettuce (4x9) - Mature Head 1X | Field TP Sp"/>
    <s v="LET015"/>
    <x v="0"/>
    <x v="32"/>
    <x v="43"/>
    <x v="3"/>
    <n v="180.26666666666665"/>
    <x v="0"/>
    <x v="5"/>
    <x v="1"/>
    <x v="0"/>
    <s v="LET"/>
    <x v="0"/>
    <x v="4"/>
    <d v="2025-05-02T00:00:00"/>
    <x v="0"/>
    <d v="2025-05-10T00:00:00"/>
    <d v="2025-07-13T00:00:00"/>
    <d v="2025-07-27T00:00:00"/>
    <x v="0"/>
    <x v="1"/>
    <x v="0"/>
    <x v="0"/>
    <n v="426.66669999999999"/>
    <n v="5.4008000000000003"/>
    <n v="88"/>
    <x v="0"/>
    <x v="3"/>
    <x v="0"/>
    <x v="1"/>
    <x v="1"/>
    <x v="0"/>
    <x v="0"/>
    <x v="0"/>
    <x v="6"/>
    <x v="1"/>
    <x v="3"/>
    <x v="1"/>
    <n v="174"/>
    <x v="0"/>
    <n v="924"/>
    <x v="1"/>
    <x v="0"/>
    <x v="0"/>
    <x v="0"/>
  </r>
  <r>
    <x v="1"/>
    <x v="99"/>
    <x v="92"/>
    <x v="52"/>
    <x v="2"/>
    <s v="Lettuce (4x9) - Mature Head 1X | Field TP Sp"/>
    <s v="LET016"/>
    <x v="0"/>
    <x v="32"/>
    <x v="44"/>
    <x v="7"/>
    <n v="180.26666666666665"/>
    <x v="0"/>
    <x v="5"/>
    <x v="1"/>
    <x v="0"/>
    <s v="LET"/>
    <x v="0"/>
    <x v="20"/>
    <d v="2025-05-23T00:00:00"/>
    <x v="0"/>
    <d v="2025-06-06T00:00:00"/>
    <d v="2025-07-14T00:00:00"/>
    <d v="2025-07-28T00:00:00"/>
    <x v="0"/>
    <x v="1"/>
    <x v="0"/>
    <x v="0"/>
    <n v="426.66669999999999"/>
    <n v="5.4008000000000003"/>
    <n v="81"/>
    <x v="0"/>
    <x v="4"/>
    <x v="0"/>
    <x v="1"/>
    <x v="1"/>
    <x v="0"/>
    <x v="0"/>
    <x v="0"/>
    <x v="6"/>
    <x v="1"/>
    <x v="3"/>
    <x v="1"/>
    <n v="174"/>
    <x v="0"/>
    <n v="925"/>
    <x v="1"/>
    <x v="0"/>
    <x v="0"/>
    <x v="0"/>
  </r>
  <r>
    <x v="1"/>
    <x v="8"/>
    <x v="93"/>
    <x v="53"/>
    <x v="2"/>
    <s v="Lettuce (4x9) - Mature Head 1X | Field TP Sp"/>
    <s v="LET030"/>
    <x v="0"/>
    <x v="32"/>
    <x v="45"/>
    <x v="0"/>
    <n v="450.66666666666663"/>
    <x v="0"/>
    <x v="1"/>
    <x v="1"/>
    <x v="0"/>
    <s v="LET"/>
    <x v="0"/>
    <x v="5"/>
    <d v="2025-06-01T00:00:00"/>
    <x v="0"/>
    <d v="2025-06-18T00:00:00"/>
    <d v="2025-08-01T00:00:00"/>
    <d v="2025-08-15T00:00:00"/>
    <x v="0"/>
    <x v="2"/>
    <x v="0"/>
    <x v="0"/>
    <n v="1066.6667"/>
    <n v="13.5021"/>
    <n v="74"/>
    <x v="0"/>
    <x v="5"/>
    <x v="0"/>
    <x v="1"/>
    <x v="1"/>
    <x v="0"/>
    <x v="0"/>
    <x v="0"/>
    <x v="6"/>
    <x v="1"/>
    <x v="3"/>
    <x v="1"/>
    <n v="174"/>
    <x v="0"/>
    <n v="943"/>
    <x v="1"/>
    <x v="0"/>
    <x v="0"/>
    <x v="0"/>
  </r>
  <r>
    <x v="1"/>
    <x v="100"/>
    <x v="94"/>
    <x v="54"/>
    <x v="2"/>
    <s v="Lettuce (4x9) - Mature Head 1X | Field TP Sp"/>
    <s v="LET017"/>
    <x v="0"/>
    <x v="32"/>
    <x v="46"/>
    <x v="8"/>
    <n v="180.26666666666665"/>
    <x v="0"/>
    <x v="5"/>
    <x v="1"/>
    <x v="0"/>
    <s v="LET"/>
    <x v="0"/>
    <x v="16"/>
    <d v="2025-06-13T00:00:00"/>
    <x v="0"/>
    <d v="2025-06-13T00:00:00"/>
    <d v="2025-07-27T00:00:00"/>
    <d v="2025-08-10T00:00:00"/>
    <x v="0"/>
    <x v="2"/>
    <x v="0"/>
    <x v="0"/>
    <n v="426.66669999999999"/>
    <n v="5.4008000000000003"/>
    <n v="74"/>
    <x v="0"/>
    <x v="5"/>
    <x v="0"/>
    <x v="1"/>
    <x v="1"/>
    <x v="0"/>
    <x v="0"/>
    <x v="0"/>
    <x v="6"/>
    <x v="1"/>
    <x v="3"/>
    <x v="1"/>
    <n v="174"/>
    <x v="0"/>
    <n v="938"/>
    <x v="1"/>
    <x v="0"/>
    <x v="0"/>
    <x v="0"/>
  </r>
  <r>
    <x v="1"/>
    <x v="69"/>
    <x v="95"/>
    <x v="39"/>
    <x v="2"/>
    <s v="Lettuce (4x9) - Mature Head 1X | Field TP SuFa"/>
    <s v="LET024"/>
    <x v="0"/>
    <x v="32"/>
    <x v="47"/>
    <x v="5"/>
    <n v="180.26666666666665"/>
    <x v="0"/>
    <x v="5"/>
    <x v="1"/>
    <x v="0"/>
    <s v="LET"/>
    <x v="0"/>
    <x v="12"/>
    <d v="2025-07-04T00:00:00"/>
    <x v="0"/>
    <d v="2025-07-31T00:00:00"/>
    <d v="2025-09-09T00:00:00"/>
    <d v="2025-09-23T00:00:00"/>
    <x v="0"/>
    <x v="2"/>
    <x v="0"/>
    <x v="0"/>
    <n v="426.66669999999999"/>
    <n v="7.9012000000000002"/>
    <n v="70"/>
    <x v="0"/>
    <x v="0"/>
    <x v="0"/>
    <x v="1"/>
    <x v="1"/>
    <x v="0"/>
    <x v="0"/>
    <x v="0"/>
    <x v="6"/>
    <x v="1"/>
    <x v="3"/>
    <x v="1"/>
    <n v="175"/>
    <x v="7"/>
    <n v="982"/>
    <x v="1"/>
    <x v="0"/>
    <x v="0"/>
    <x v="0"/>
  </r>
  <r>
    <x v="1"/>
    <x v="101"/>
    <x v="96"/>
    <x v="54"/>
    <x v="2"/>
    <s v="Lettuce (4x9) - Mature Head 1X | Field TP SuFa"/>
    <s v="LET026"/>
    <x v="0"/>
    <x v="32"/>
    <x v="48"/>
    <x v="3"/>
    <n v="180.26666666666665"/>
    <x v="0"/>
    <x v="5"/>
    <x v="1"/>
    <x v="0"/>
    <s v="LET"/>
    <x v="0"/>
    <x v="17"/>
    <d v="2025-08-15T00:00:00"/>
    <x v="0"/>
    <d v="2025-08-15T00:00:00"/>
    <d v="2025-09-24T00:00:00"/>
    <d v="2025-10-08T00:00:00"/>
    <x v="1"/>
    <x v="2"/>
    <x v="0"/>
    <x v="0"/>
    <n v="426.66669999999999"/>
    <n v="7.9012000000000002"/>
    <n v="70"/>
    <x v="0"/>
    <x v="0"/>
    <x v="0"/>
    <x v="1"/>
    <x v="1"/>
    <x v="0"/>
    <x v="0"/>
    <x v="0"/>
    <x v="6"/>
    <x v="1"/>
    <x v="3"/>
    <x v="1"/>
    <n v="175"/>
    <x v="7"/>
    <n v="997"/>
    <x v="1"/>
    <x v="0"/>
    <x v="0"/>
    <x v="0"/>
  </r>
  <r>
    <x v="1"/>
    <x v="87"/>
    <x v="97"/>
    <x v="55"/>
    <x v="2"/>
    <s v="Lettuce (Salanova) - Loose Leaf 1X | Field TP Sp"/>
    <s v="LET012"/>
    <x v="0"/>
    <x v="32"/>
    <x v="49"/>
    <x v="0"/>
    <n v="901.33333333333326"/>
    <x v="0"/>
    <x v="3"/>
    <x v="2"/>
    <x v="0"/>
    <s v="LET"/>
    <x v="0"/>
    <x v="21"/>
    <d v="2025-04-11T00:00:00"/>
    <x v="0"/>
    <d v="2025-05-08T00:00:00"/>
    <d v="2025-06-23T00:00:00"/>
    <d v="2025-07-04T00:00:00"/>
    <x v="0"/>
    <x v="1"/>
    <x v="0"/>
    <x v="0"/>
    <n v="2676.6667000000002"/>
    <n v="32.642299999999999"/>
    <n v="85"/>
    <x v="0"/>
    <x v="0"/>
    <x v="0"/>
    <x v="17"/>
    <x v="1"/>
    <x v="0"/>
    <x v="0"/>
    <x v="0"/>
    <x v="6"/>
    <x v="1"/>
    <x v="3"/>
    <x v="1"/>
    <n v="191"/>
    <x v="0"/>
    <n v="904"/>
    <x v="19"/>
    <x v="1"/>
    <x v="1"/>
    <x v="1"/>
  </r>
  <r>
    <x v="1"/>
    <x v="22"/>
    <x v="98"/>
    <x v="56"/>
    <x v="2"/>
    <s v="Lettuce (Salanova) - Loose Leaf 1X | Field TP SuFa"/>
    <s v="LET018"/>
    <x v="0"/>
    <x v="32"/>
    <x v="49"/>
    <x v="0"/>
    <n v="450.66666666666663"/>
    <x v="0"/>
    <x v="1"/>
    <x v="1"/>
    <x v="0"/>
    <s v="LET"/>
    <x v="0"/>
    <x v="4"/>
    <d v="2025-05-01T00:00:00"/>
    <x v="0"/>
    <d v="2025-05-12T00:00:00"/>
    <d v="2025-06-25T00:00:00"/>
    <d v="2025-07-22T00:00:00"/>
    <x v="0"/>
    <x v="1"/>
    <x v="0"/>
    <x v="0"/>
    <n v="1340.8333"/>
    <n v="20.0124"/>
    <n v="70"/>
    <x v="0"/>
    <x v="0"/>
    <x v="0"/>
    <x v="17"/>
    <x v="1"/>
    <x v="0"/>
    <x v="0"/>
    <x v="0"/>
    <x v="6"/>
    <x v="1"/>
    <x v="3"/>
    <x v="1"/>
    <n v="192"/>
    <x v="7"/>
    <n v="906"/>
    <x v="20"/>
    <x v="1"/>
    <x v="1"/>
    <x v="1"/>
  </r>
  <r>
    <x v="1"/>
    <x v="7"/>
    <x v="99"/>
    <x v="57"/>
    <x v="2"/>
    <s v="Lettuce (Salanova) - Loose Leaf 1X | Field TP SuFa"/>
    <s v="LET019"/>
    <x v="0"/>
    <x v="32"/>
    <x v="49"/>
    <x v="0"/>
    <n v="450.66666666666663"/>
    <x v="0"/>
    <x v="1"/>
    <x v="1"/>
    <x v="0"/>
    <s v="LET"/>
    <x v="0"/>
    <x v="15"/>
    <d v="2025-05-22T00:00:00"/>
    <x v="0"/>
    <d v="2025-05-18T00:00:00"/>
    <d v="2025-06-29T00:00:00"/>
    <d v="2025-07-26T00:00:00"/>
    <x v="0"/>
    <x v="1"/>
    <x v="0"/>
    <x v="0"/>
    <n v="1340.8333"/>
    <n v="20.0124"/>
    <n v="70"/>
    <x v="0"/>
    <x v="0"/>
    <x v="0"/>
    <x v="17"/>
    <x v="1"/>
    <x v="0"/>
    <x v="0"/>
    <x v="0"/>
    <x v="6"/>
    <x v="1"/>
    <x v="3"/>
    <x v="1"/>
    <n v="192"/>
    <x v="7"/>
    <n v="910"/>
    <x v="20"/>
    <x v="1"/>
    <x v="1"/>
    <x v="1"/>
  </r>
  <r>
    <x v="1"/>
    <x v="69"/>
    <x v="100"/>
    <x v="57"/>
    <x v="2"/>
    <s v="Lettuce (Salanova) - Loose Leaf 1X | Field TP SuFa"/>
    <s v="LET021"/>
    <x v="0"/>
    <x v="32"/>
    <x v="49"/>
    <x v="0"/>
    <n v="450.66666666666663"/>
    <x v="0"/>
    <x v="1"/>
    <x v="1"/>
    <x v="0"/>
    <s v="LET"/>
    <x v="0"/>
    <x v="12"/>
    <d v="2025-07-03T00:00:00"/>
    <x v="0"/>
    <d v="2025-07-31T00:00:00"/>
    <d v="2025-09-09T00:00:00"/>
    <d v="2025-10-06T00:00:00"/>
    <x v="0"/>
    <x v="2"/>
    <x v="0"/>
    <x v="0"/>
    <n v="1340.8333"/>
    <n v="20.0124"/>
    <n v="70"/>
    <x v="0"/>
    <x v="0"/>
    <x v="0"/>
    <x v="17"/>
    <x v="1"/>
    <x v="0"/>
    <x v="0"/>
    <x v="0"/>
    <x v="6"/>
    <x v="1"/>
    <x v="3"/>
    <x v="1"/>
    <n v="192"/>
    <x v="7"/>
    <n v="982"/>
    <x v="20"/>
    <x v="1"/>
    <x v="1"/>
    <x v="1"/>
  </r>
  <r>
    <x v="1"/>
    <x v="81"/>
    <x v="101"/>
    <x v="56"/>
    <x v="2"/>
    <s v="Lettuce (Salanova) - Loose Leaf 1X | Field TP SuFa"/>
    <s v="LET023"/>
    <x v="0"/>
    <x v="32"/>
    <x v="49"/>
    <x v="0"/>
    <n v="450.66666666666663"/>
    <x v="0"/>
    <x v="1"/>
    <x v="1"/>
    <x v="0"/>
    <s v="LET"/>
    <x v="0"/>
    <x v="22"/>
    <d v="2025-08-14T00:00:00"/>
    <x v="0"/>
    <d v="2025-08-14T00:00:00"/>
    <d v="2025-09-23T00:00:00"/>
    <d v="2025-10-20T00:00:00"/>
    <x v="1"/>
    <x v="2"/>
    <x v="0"/>
    <x v="0"/>
    <n v="1340.8333"/>
    <n v="20.0124"/>
    <n v="70"/>
    <x v="0"/>
    <x v="0"/>
    <x v="0"/>
    <x v="17"/>
    <x v="1"/>
    <x v="0"/>
    <x v="0"/>
    <x v="0"/>
    <x v="6"/>
    <x v="1"/>
    <x v="3"/>
    <x v="1"/>
    <n v="192"/>
    <x v="7"/>
    <n v="996"/>
    <x v="20"/>
    <x v="1"/>
    <x v="1"/>
    <x v="1"/>
  </r>
  <r>
    <x v="1"/>
    <x v="102"/>
    <x v="102"/>
    <x v="29"/>
    <x v="2"/>
    <s v="Lettuce (Salanova) - Loose Leaf 1X | Tunnel TP Sp"/>
    <s v="LET013"/>
    <x v="0"/>
    <x v="32"/>
    <x v="49"/>
    <x v="0"/>
    <n v="450.66666666666663"/>
    <x v="0"/>
    <x v="1"/>
    <x v="1"/>
    <x v="0"/>
    <s v="LET"/>
    <x v="0"/>
    <x v="6"/>
    <d v="2025-03-27T00:00:00"/>
    <x v="0"/>
    <d v="2025-04-28T00:00:00"/>
    <d v="2025-06-21T00:00:00"/>
    <d v="2025-07-04T00:00:00"/>
    <x v="0"/>
    <x v="1"/>
    <x v="0"/>
    <x v="0"/>
    <n v="2671.6667000000002"/>
    <n v="26.192799999999998"/>
    <n v="85"/>
    <x v="0"/>
    <x v="0"/>
    <x v="0"/>
    <x v="18"/>
    <x v="1"/>
    <x v="0"/>
    <x v="0"/>
    <x v="0"/>
    <x v="6"/>
    <x v="1"/>
    <x v="3"/>
    <x v="1"/>
    <n v="193"/>
    <x v="0"/>
    <n v="902"/>
    <x v="21"/>
    <x v="1"/>
    <x v="1"/>
    <x v="1"/>
  </r>
  <r>
    <x v="1"/>
    <x v="103"/>
    <x v="21"/>
    <x v="15"/>
    <x v="2"/>
    <s v="Lovage (Perennial) - Mature Leaf 1X | Field DS "/>
    <s v="LOV366"/>
    <x v="3"/>
    <x v="8"/>
    <x v="9"/>
    <x v="0"/>
    <n v="0"/>
    <x v="0"/>
    <x v="5"/>
    <x v="0"/>
    <x v="0"/>
    <s v="LOV"/>
    <x v="0"/>
    <x v="1"/>
    <d v="2024-01-27T00:00:00"/>
    <x v="0"/>
    <d v="2024-01-01T00:00:00"/>
    <d v="2024-04-10T00:00:00"/>
    <d v="2025-01-20T00:00:00"/>
    <x v="0"/>
    <x v="1"/>
    <x v="0"/>
    <x v="0"/>
    <n v="480"/>
    <n v="1.6782999999999999"/>
    <n v="125"/>
    <x v="0"/>
    <x v="0"/>
    <x v="1"/>
    <x v="5"/>
    <x v="0"/>
    <x v="0"/>
    <x v="0"/>
    <x v="0"/>
    <x v="0"/>
    <x v="4"/>
    <x v="7"/>
    <x v="1"/>
    <n v="196"/>
    <x v="5"/>
    <n v="490"/>
    <x v="7"/>
    <x v="7"/>
    <x v="5"/>
    <x v="0"/>
  </r>
  <r>
    <x v="1"/>
    <x v="104"/>
    <x v="22"/>
    <x v="16"/>
    <x v="2"/>
    <s v="Magenta Spreen - Young Stem 1X |  DS Sp"/>
    <s v="MAG001"/>
    <x v="0"/>
    <x v="9"/>
    <x v="10"/>
    <x v="1"/>
    <n v="390"/>
    <x v="0"/>
    <x v="2"/>
    <x v="0"/>
    <x v="0"/>
    <s v="MAG"/>
    <x v="0"/>
    <x v="0"/>
    <d v="2025-03-17T00:00:00"/>
    <x v="0"/>
    <d v="2025-03-25T00:00:00"/>
    <d v="2025-05-24T00:00:00"/>
    <d v="2025-06-28T00:00:00"/>
    <x v="0"/>
    <x v="0"/>
    <x v="0"/>
    <x v="0"/>
    <n v="337.5"/>
    <n v="3.5526"/>
    <n v="60"/>
    <x v="0"/>
    <x v="0"/>
    <x v="0"/>
    <x v="6"/>
    <x v="0"/>
    <x v="0"/>
    <x v="0"/>
    <x v="0"/>
    <x v="0"/>
    <x v="1"/>
    <x v="5"/>
    <x v="1"/>
    <n v="199"/>
    <x v="0"/>
    <n v="874"/>
    <x v="8"/>
    <x v="8"/>
    <x v="6"/>
    <x v="1"/>
  </r>
  <r>
    <x v="1"/>
    <x v="35"/>
    <x v="103"/>
    <x v="58"/>
    <x v="2"/>
    <s v="Melon - Ripe Fruit 1X | Field TP "/>
    <s v="MEL001"/>
    <x v="0"/>
    <x v="33"/>
    <x v="50"/>
    <x v="0"/>
    <n v="65"/>
    <x v="0"/>
    <x v="3"/>
    <x v="2"/>
    <x v="0"/>
    <s v="MEL"/>
    <x v="0"/>
    <x v="4"/>
    <d v="2025-05-07T00:00:00"/>
    <x v="0"/>
    <d v="2025-05-27T00:00:00"/>
    <d v="2025-08-05T00:00:00"/>
    <d v="2025-08-26T00:00:00"/>
    <x v="0"/>
    <x v="1"/>
    <x v="0"/>
    <x v="0"/>
    <n v="900"/>
    <n v="8.1081000000000003"/>
    <n v="111"/>
    <x v="0"/>
    <x v="0"/>
    <x v="0"/>
    <x v="2"/>
    <x v="1"/>
    <x v="0"/>
    <x v="0"/>
    <x v="0"/>
    <x v="11"/>
    <x v="4"/>
    <x v="8"/>
    <x v="2"/>
    <n v="210"/>
    <x v="1"/>
    <n v="947"/>
    <x v="2"/>
    <x v="14"/>
    <x v="2"/>
    <x v="0"/>
  </r>
  <r>
    <x v="1"/>
    <x v="105"/>
    <x v="104"/>
    <x v="59"/>
    <x v="2"/>
    <s v="Onion - Mature Bulb 6X | Field TP SpSu"/>
    <s v="ONI003"/>
    <x v="0"/>
    <x v="34"/>
    <x v="51"/>
    <x v="0"/>
    <n v="990.00000000000011"/>
    <x v="0"/>
    <x v="1"/>
    <x v="1"/>
    <x v="0"/>
    <s v="ONI"/>
    <x v="0"/>
    <x v="13"/>
    <d v="2025-04-13T00:00:00"/>
    <x v="0"/>
    <d v="2025-05-05T00:00:00"/>
    <d v="2025-08-03T00:00:00"/>
    <d v="2025-08-17T00:00:00"/>
    <x v="0"/>
    <x v="1"/>
    <x v="0"/>
    <x v="0"/>
    <n v="618.75"/>
    <n v="5.7827000000000002"/>
    <n v="135"/>
    <x v="0"/>
    <x v="0"/>
    <x v="0"/>
    <x v="1"/>
    <x v="1"/>
    <x v="0"/>
    <x v="0"/>
    <x v="0"/>
    <x v="12"/>
    <x v="2"/>
    <x v="4"/>
    <x v="1"/>
    <n v="223"/>
    <x v="11"/>
    <n v="945"/>
    <x v="1"/>
    <x v="9"/>
    <x v="1"/>
    <x v="1"/>
  </r>
  <r>
    <x v="1"/>
    <x v="106"/>
    <x v="105"/>
    <x v="34"/>
    <x v="2"/>
    <s v="Onion (Salad Early) - Young Bulb 10X | Field TP Sp"/>
    <s v="ONI004"/>
    <x v="0"/>
    <x v="34"/>
    <x v="51"/>
    <x v="0"/>
    <n v="1650.0000000000002"/>
    <x v="0"/>
    <x v="1"/>
    <x v="1"/>
    <x v="0"/>
    <s v="ONI"/>
    <x v="0"/>
    <x v="13"/>
    <d v="2025-03-25T00:00:00"/>
    <x v="0"/>
    <d v="2025-04-20T00:00:00"/>
    <d v="2025-06-19T00:00:00"/>
    <d v="2025-08-14T00:00:00"/>
    <x v="0"/>
    <x v="1"/>
    <x v="0"/>
    <x v="0"/>
    <n v="600"/>
    <n v="5.0846999999999998"/>
    <n v="90"/>
    <x v="0"/>
    <x v="0"/>
    <x v="0"/>
    <x v="3"/>
    <x v="1"/>
    <x v="0"/>
    <x v="0"/>
    <x v="0"/>
    <x v="1"/>
    <x v="2"/>
    <x v="4"/>
    <x v="1"/>
    <n v="224"/>
    <x v="0"/>
    <n v="900"/>
    <x v="3"/>
    <x v="9"/>
    <x v="2"/>
    <x v="0"/>
  </r>
  <r>
    <x v="1"/>
    <x v="107"/>
    <x v="106"/>
    <x v="60"/>
    <x v="2"/>
    <s v="Onion (Salad Late) - Young Bulb 10X | Field TP Sp"/>
    <s v="ONI005"/>
    <x v="0"/>
    <x v="34"/>
    <x v="51"/>
    <x v="0"/>
    <n v="1650.0000000000002"/>
    <x v="0"/>
    <x v="1"/>
    <x v="1"/>
    <x v="0"/>
    <s v="ONI"/>
    <x v="0"/>
    <x v="6"/>
    <d v="2025-04-19T00:00:00"/>
    <x v="0"/>
    <d v="2025-04-22T00:00:00"/>
    <d v="2025-06-26T00:00:00"/>
    <d v="2025-08-21T00:00:00"/>
    <x v="0"/>
    <x v="1"/>
    <x v="0"/>
    <x v="0"/>
    <n v="600"/>
    <n v="5.0846999999999998"/>
    <n v="90"/>
    <x v="0"/>
    <x v="0"/>
    <x v="0"/>
    <x v="3"/>
    <x v="1"/>
    <x v="0"/>
    <x v="0"/>
    <x v="0"/>
    <x v="1"/>
    <x v="2"/>
    <x v="4"/>
    <x v="1"/>
    <n v="225"/>
    <x v="0"/>
    <n v="907"/>
    <x v="3"/>
    <x v="9"/>
    <x v="2"/>
    <x v="0"/>
  </r>
  <r>
    <x v="1"/>
    <x v="59"/>
    <x v="107"/>
    <x v="61"/>
    <x v="2"/>
    <s v="Parsley - Mature Leaf 3X | Field TP Sp"/>
    <s v="PAR001"/>
    <x v="0"/>
    <x v="35"/>
    <x v="52"/>
    <x v="0"/>
    <n v="780"/>
    <x v="0"/>
    <x v="1"/>
    <x v="1"/>
    <x v="0"/>
    <s v="PAR"/>
    <x v="0"/>
    <x v="11"/>
    <d v="2025-04-26T00:00:00"/>
    <x v="0"/>
    <d v="2025-06-05T00:00:00"/>
    <d v="2025-06-15T00:00:00"/>
    <d v="2025-10-12T00:00:00"/>
    <x v="0"/>
    <x v="1"/>
    <x v="0"/>
    <x v="0"/>
    <n v="2250"/>
    <n v="14.1509"/>
    <n v="75"/>
    <x v="0"/>
    <x v="0"/>
    <x v="0"/>
    <x v="19"/>
    <x v="1"/>
    <x v="0"/>
    <x v="0"/>
    <x v="0"/>
    <x v="4"/>
    <x v="2"/>
    <x v="3"/>
    <x v="1"/>
    <n v="230"/>
    <x v="0"/>
    <n v="896"/>
    <x v="22"/>
    <x v="7"/>
    <x v="10"/>
    <x v="0"/>
  </r>
  <r>
    <x v="1"/>
    <x v="41"/>
    <x v="108"/>
    <x v="40"/>
    <x v="2"/>
    <s v="Peas (Snap) - Young Pod 3X | Field TP SpSu"/>
    <s v="PEA001"/>
    <x v="0"/>
    <x v="36"/>
    <x v="53"/>
    <x v="0"/>
    <n v="1040"/>
    <x v="0"/>
    <x v="3"/>
    <x v="2"/>
    <x v="0"/>
    <s v="PEA"/>
    <x v="0"/>
    <x v="13"/>
    <d v="2025-03-23T00:00:00"/>
    <x v="0"/>
    <d v="2025-04-02T00:00:00"/>
    <d v="2025-06-09T00:00:00"/>
    <d v="2025-07-12T00:00:00"/>
    <x v="0"/>
    <x v="1"/>
    <x v="0"/>
    <x v="0"/>
    <n v="475"/>
    <n v="5.1630000000000003"/>
    <n v="80"/>
    <x v="0"/>
    <x v="0"/>
    <x v="0"/>
    <x v="20"/>
    <x v="1"/>
    <x v="0"/>
    <x v="0"/>
    <x v="0"/>
    <x v="11"/>
    <x v="3"/>
    <x v="3"/>
    <x v="1"/>
    <n v="238"/>
    <x v="11"/>
    <n v="890"/>
    <x v="23"/>
    <x v="1"/>
    <x v="1"/>
    <x v="1"/>
  </r>
  <r>
    <x v="1"/>
    <x v="108"/>
    <x v="109"/>
    <x v="1"/>
    <x v="2"/>
    <s v="Pepper (Bell) - Ripe Fruit Large 1X | Field TP "/>
    <s v="PEP001"/>
    <x v="0"/>
    <x v="37"/>
    <x v="54"/>
    <x v="8"/>
    <n v="65"/>
    <x v="0"/>
    <x v="0"/>
    <x v="0"/>
    <x v="0"/>
    <s v="PEP"/>
    <x v="0"/>
    <x v="13"/>
    <d v="2025-06-05T00:00:00"/>
    <x v="0"/>
    <d v="2025-06-18T00:00:00"/>
    <d v="2025-08-18T00:00:00"/>
    <d v="2025-10-27T00:00:00"/>
    <x v="0"/>
    <x v="1"/>
    <x v="0"/>
    <x v="0"/>
    <n v="667.96879999999999"/>
    <n v="5.1382000000000003"/>
    <n v="150"/>
    <x v="0"/>
    <x v="0"/>
    <x v="0"/>
    <x v="21"/>
    <x v="1"/>
    <x v="0"/>
    <x v="0"/>
    <x v="0"/>
    <x v="13"/>
    <x v="3"/>
    <x v="4"/>
    <x v="2"/>
    <n v="241"/>
    <x v="1"/>
    <n v="960"/>
    <x v="24"/>
    <x v="15"/>
    <x v="3"/>
    <x v="0"/>
  </r>
  <r>
    <x v="1"/>
    <x v="108"/>
    <x v="110"/>
    <x v="42"/>
    <x v="2"/>
    <s v="Pepper (Bell) - Ripe Fruit Large 1X | Greenhouse TP "/>
    <s v="PEP002"/>
    <x v="0"/>
    <x v="37"/>
    <x v="55"/>
    <x v="0"/>
    <n v="65"/>
    <x v="0"/>
    <x v="0"/>
    <x v="0"/>
    <x v="0"/>
    <s v="PEP"/>
    <x v="0"/>
    <x v="13"/>
    <d v="2025-05-21T00:00:00"/>
    <x v="0"/>
    <d v="2025-06-20T00:00:00"/>
    <d v="2025-08-18T00:00:00"/>
    <d v="2025-12-22T00:00:00"/>
    <x v="0"/>
    <x v="1"/>
    <x v="0"/>
    <x v="0"/>
    <n v="2404.6875"/>
    <n v="12.9284"/>
    <n v="150"/>
    <x v="0"/>
    <x v="0"/>
    <x v="0"/>
    <x v="22"/>
    <x v="1"/>
    <x v="0"/>
    <x v="0"/>
    <x v="0"/>
    <x v="13"/>
    <x v="3"/>
    <x v="4"/>
    <x v="1"/>
    <n v="242"/>
    <x v="1"/>
    <n v="960"/>
    <x v="25"/>
    <x v="15"/>
    <x v="3"/>
    <x v="1"/>
  </r>
  <r>
    <x v="1"/>
    <x v="108"/>
    <x v="111"/>
    <x v="1"/>
    <x v="2"/>
    <s v="Pepper (Hot) - Ripe Fruit Small 1X | Field TP "/>
    <s v="PEP003"/>
    <x v="0"/>
    <x v="37"/>
    <x v="54"/>
    <x v="8"/>
    <n v="65"/>
    <x v="0"/>
    <x v="0"/>
    <x v="0"/>
    <x v="0"/>
    <s v="PEP"/>
    <x v="0"/>
    <x v="13"/>
    <d v="2025-06-05T00:00:00"/>
    <x v="0"/>
    <d v="2025-06-18T00:00:00"/>
    <d v="2025-08-18T00:00:00"/>
    <d v="2025-10-27T00:00:00"/>
    <x v="0"/>
    <x v="1"/>
    <x v="0"/>
    <x v="0"/>
    <n v="562.5"/>
    <n v="4.3269000000000002"/>
    <n v="150"/>
    <x v="0"/>
    <x v="0"/>
    <x v="0"/>
    <x v="21"/>
    <x v="1"/>
    <x v="0"/>
    <x v="0"/>
    <x v="0"/>
    <x v="13"/>
    <x v="3"/>
    <x v="4"/>
    <x v="2"/>
    <n v="243"/>
    <x v="1"/>
    <n v="960"/>
    <x v="24"/>
    <x v="15"/>
    <x v="3"/>
    <x v="0"/>
  </r>
  <r>
    <x v="1"/>
    <x v="21"/>
    <x v="112"/>
    <x v="62"/>
    <x v="2"/>
    <s v="Pepper (Hot) - Ripe Fruit Small 1X | Field TP "/>
    <s v="PEP005"/>
    <x v="0"/>
    <x v="37"/>
    <x v="56"/>
    <x v="0"/>
    <n v="52"/>
    <x v="0"/>
    <x v="5"/>
    <x v="1"/>
    <x v="0"/>
    <s v="PEP"/>
    <x v="0"/>
    <x v="11"/>
    <d v="2025-06-05T00:00:00"/>
    <x v="0"/>
    <d v="2025-06-30T00:00:00"/>
    <d v="2025-08-29T00:00:00"/>
    <d v="2025-11-07T00:00:00"/>
    <x v="0"/>
    <x v="2"/>
    <x v="0"/>
    <x v="0"/>
    <n v="450"/>
    <n v="3.4615"/>
    <n v="150"/>
    <x v="0"/>
    <x v="0"/>
    <x v="0"/>
    <x v="21"/>
    <x v="1"/>
    <x v="0"/>
    <x v="0"/>
    <x v="0"/>
    <x v="13"/>
    <x v="3"/>
    <x v="4"/>
    <x v="2"/>
    <n v="243"/>
    <x v="1"/>
    <n v="971"/>
    <x v="24"/>
    <x v="15"/>
    <x v="3"/>
    <x v="0"/>
  </r>
  <r>
    <x v="1"/>
    <x v="108"/>
    <x v="113"/>
    <x v="42"/>
    <x v="2"/>
    <s v="Pepper (Hot) - Ripe Fruit Small 1X | Greenhouse TP "/>
    <s v="PEP004"/>
    <x v="0"/>
    <x v="37"/>
    <x v="55"/>
    <x v="0"/>
    <n v="65"/>
    <x v="0"/>
    <x v="0"/>
    <x v="0"/>
    <x v="0"/>
    <s v="PEP"/>
    <x v="0"/>
    <x v="13"/>
    <d v="2025-05-21T00:00:00"/>
    <x v="0"/>
    <d v="2025-06-20T00:00:00"/>
    <d v="2025-08-18T00:00:00"/>
    <d v="2025-12-22T00:00:00"/>
    <x v="0"/>
    <x v="1"/>
    <x v="0"/>
    <x v="0"/>
    <n v="1012.5"/>
    <n v="5.4435000000000002"/>
    <n v="150"/>
    <x v="0"/>
    <x v="0"/>
    <x v="0"/>
    <x v="22"/>
    <x v="1"/>
    <x v="0"/>
    <x v="0"/>
    <x v="0"/>
    <x v="13"/>
    <x v="3"/>
    <x v="4"/>
    <x v="1"/>
    <n v="244"/>
    <x v="1"/>
    <n v="960"/>
    <x v="25"/>
    <x v="15"/>
    <x v="3"/>
    <x v="1"/>
  </r>
  <r>
    <x v="1"/>
    <x v="109"/>
    <x v="23"/>
    <x v="17"/>
    <x v="2"/>
    <s v="Potato (Early) - Mature Root 1X | Field DS "/>
    <s v="POT001"/>
    <x v="0"/>
    <x v="10"/>
    <x v="11"/>
    <x v="0"/>
    <n v="173.33333333333331"/>
    <x v="0"/>
    <x v="3"/>
    <x v="2"/>
    <x v="0"/>
    <s v="POT"/>
    <x v="0"/>
    <x v="0"/>
    <d v="2025-04-01T00:00:00"/>
    <x v="0"/>
    <d v="2025-04-18T00:00:00"/>
    <d v="2025-06-17T00:00:00"/>
    <d v="2025-06-24T00:00:00"/>
    <x v="0"/>
    <x v="0"/>
    <x v="0"/>
    <x v="0"/>
    <n v="560"/>
    <n v="8.3582000000000001"/>
    <n v="60"/>
    <x v="0"/>
    <x v="0"/>
    <x v="0"/>
    <x v="4"/>
    <x v="0"/>
    <x v="0"/>
    <x v="0"/>
    <x v="0"/>
    <x v="0"/>
    <x v="3"/>
    <x v="7"/>
    <x v="1"/>
    <n v="246"/>
    <x v="1"/>
    <n v="898"/>
    <x v="4"/>
    <x v="2"/>
    <x v="7"/>
    <x v="0"/>
  </r>
  <r>
    <x v="1"/>
    <x v="65"/>
    <x v="24"/>
    <x v="18"/>
    <x v="2"/>
    <s v="Potato (Main Crop) - Storage Root 1X | Field DS "/>
    <s v="POT002"/>
    <x v="0"/>
    <x v="10"/>
    <x v="12"/>
    <x v="0"/>
    <n v="130"/>
    <x v="0"/>
    <x v="3"/>
    <x v="2"/>
    <x v="0"/>
    <s v="POT"/>
    <x v="0"/>
    <x v="0"/>
    <d v="2025-04-21T00:00:00"/>
    <x v="0"/>
    <d v="2025-04-24T00:00:00"/>
    <d v="2025-08-22T00:00:00"/>
    <d v="2025-08-29T00:00:00"/>
    <x v="0"/>
    <x v="0"/>
    <x v="0"/>
    <x v="0"/>
    <n v="393.75"/>
    <n v="3.1004"/>
    <n v="120"/>
    <x v="0"/>
    <x v="0"/>
    <x v="0"/>
    <x v="4"/>
    <x v="0"/>
    <x v="0"/>
    <x v="0"/>
    <x v="0"/>
    <x v="0"/>
    <x v="3"/>
    <x v="8"/>
    <x v="1"/>
    <n v="247"/>
    <x v="1"/>
    <n v="964"/>
    <x v="4"/>
    <x v="2"/>
    <x v="7"/>
    <x v="1"/>
  </r>
  <r>
    <x v="1"/>
    <x v="73"/>
    <x v="114"/>
    <x v="33"/>
    <x v="2"/>
    <s v="Radicchio (90 Day) - Forced Head 1X | Field TP Su"/>
    <s v="RAD002"/>
    <x v="0"/>
    <x v="38"/>
    <x v="57"/>
    <x v="0"/>
    <n v="312"/>
    <x v="0"/>
    <x v="6"/>
    <x v="3"/>
    <x v="0"/>
    <s v="RAD"/>
    <x v="0"/>
    <x v="7"/>
    <d v="2025-06-30T00:00:00"/>
    <x v="0"/>
    <d v="2025-07-21T00:00:00"/>
    <d v="2025-10-19T00:00:00"/>
    <d v="2025-11-02T00:00:00"/>
    <x v="0"/>
    <x v="2"/>
    <x v="0"/>
    <x v="0"/>
    <n v="1440"/>
    <n v="13.8462"/>
    <n v="120"/>
    <x v="0"/>
    <x v="0"/>
    <x v="0"/>
    <x v="1"/>
    <x v="1"/>
    <x v="0"/>
    <x v="0"/>
    <x v="0"/>
    <x v="6"/>
    <x v="2"/>
    <x v="4"/>
    <x v="1"/>
    <n v="251"/>
    <x v="2"/>
    <n v="1022"/>
    <x v="1"/>
    <x v="0"/>
    <x v="8"/>
    <x v="0"/>
  </r>
  <r>
    <x v="1"/>
    <x v="110"/>
    <x v="25"/>
    <x v="2"/>
    <x v="2"/>
    <s v="Radish (6r) - Mature Root 1X | Field DS Sp"/>
    <s v="RAD003"/>
    <x v="0"/>
    <x v="11"/>
    <x v="13"/>
    <x v="0"/>
    <n v="1170"/>
    <x v="0"/>
    <x v="2"/>
    <x v="0"/>
    <x v="0"/>
    <s v="RAD"/>
    <x v="0"/>
    <x v="0"/>
    <d v="2025-03-12T00:00:00"/>
    <x v="0"/>
    <d v="2025-03-25T00:00:00"/>
    <d v="2025-04-26T00:00:00"/>
    <d v="2025-05-17T00:00:00"/>
    <x v="0"/>
    <x v="0"/>
    <x v="0"/>
    <x v="0"/>
    <n v="93.75"/>
    <n v="1.7688999999999999"/>
    <n v="32"/>
    <x v="0"/>
    <x v="0"/>
    <x v="0"/>
    <x v="2"/>
    <x v="0"/>
    <x v="0"/>
    <x v="0"/>
    <x v="0"/>
    <x v="0"/>
    <x v="0"/>
    <x v="9"/>
    <x v="0"/>
    <n v="254"/>
    <x v="0"/>
    <n v="846"/>
    <x v="2"/>
    <x v="2"/>
    <x v="0"/>
    <x v="2"/>
  </r>
  <r>
    <x v="1"/>
    <x v="95"/>
    <x v="26"/>
    <x v="19"/>
    <x v="2"/>
    <s v="Radish (6r) - Mature Root 1X | Field DS Sp"/>
    <s v="RAD449"/>
    <x v="0"/>
    <x v="11"/>
    <x v="13"/>
    <x v="0"/>
    <n v="2340"/>
    <x v="0"/>
    <x v="0"/>
    <x v="0"/>
    <x v="0"/>
    <s v="RAD"/>
    <x v="0"/>
    <x v="0"/>
    <d v="2025-04-01T00:00:00"/>
    <x v="0"/>
    <d v="2025-04-30T00:00:00"/>
    <d v="2025-06-01T00:00:00"/>
    <d v="2025-06-22T00:00:00"/>
    <x v="0"/>
    <x v="0"/>
    <x v="0"/>
    <x v="0"/>
    <n v="187.5"/>
    <n v="3.5377000000000001"/>
    <n v="32"/>
    <x v="0"/>
    <x v="0"/>
    <x v="0"/>
    <x v="2"/>
    <x v="0"/>
    <x v="0"/>
    <x v="0"/>
    <x v="0"/>
    <x v="0"/>
    <x v="0"/>
    <x v="9"/>
    <x v="0"/>
    <n v="254"/>
    <x v="0"/>
    <n v="882"/>
    <x v="2"/>
    <x v="2"/>
    <x v="0"/>
    <x v="2"/>
  </r>
  <r>
    <x v="1"/>
    <x v="49"/>
    <x v="27"/>
    <x v="20"/>
    <x v="2"/>
    <s v="Radish (6r) - Mature Root 1X | Field DS Su"/>
    <s v="RAD455"/>
    <x v="0"/>
    <x v="11"/>
    <x v="13"/>
    <x v="0"/>
    <n v="4680"/>
    <x v="0"/>
    <x v="1"/>
    <x v="1"/>
    <x v="0"/>
    <s v="RAD"/>
    <x v="0"/>
    <x v="0"/>
    <d v="2025-04-07T00:00:00"/>
    <x v="0"/>
    <d v="2025-04-06T00:00:00"/>
    <d v="2025-05-08T00:00:00"/>
    <d v="2025-05-29T00:00:00"/>
    <x v="0"/>
    <x v="0"/>
    <x v="0"/>
    <x v="0"/>
    <n v="375"/>
    <n v="7.0754999999999999"/>
    <n v="32"/>
    <x v="0"/>
    <x v="0"/>
    <x v="0"/>
    <x v="2"/>
    <x v="0"/>
    <x v="0"/>
    <x v="0"/>
    <x v="0"/>
    <x v="0"/>
    <x v="0"/>
    <x v="9"/>
    <x v="0"/>
    <n v="255"/>
    <x v="2"/>
    <n v="858"/>
    <x v="2"/>
    <x v="2"/>
    <x v="0"/>
    <x v="2"/>
  </r>
  <r>
    <x v="1"/>
    <x v="32"/>
    <x v="28"/>
    <x v="21"/>
    <x v="2"/>
    <s v="Radish (6r) - Mature Root 1X | Field DS Su"/>
    <s v="RAD451"/>
    <x v="0"/>
    <x v="11"/>
    <x v="13"/>
    <x v="0"/>
    <n v="2340"/>
    <x v="0"/>
    <x v="0"/>
    <x v="0"/>
    <x v="0"/>
    <s v="RAD"/>
    <x v="0"/>
    <x v="0"/>
    <d v="2025-05-31T00:00:00"/>
    <x v="0"/>
    <d v="2025-06-29T00:00:00"/>
    <d v="2025-07-31T00:00:00"/>
    <d v="2025-08-21T00:00:00"/>
    <x v="0"/>
    <x v="0"/>
    <x v="0"/>
    <x v="0"/>
    <n v="187.5"/>
    <n v="3.5377000000000001"/>
    <n v="32"/>
    <x v="0"/>
    <x v="0"/>
    <x v="0"/>
    <x v="2"/>
    <x v="0"/>
    <x v="0"/>
    <x v="0"/>
    <x v="0"/>
    <x v="0"/>
    <x v="0"/>
    <x v="9"/>
    <x v="0"/>
    <n v="255"/>
    <x v="2"/>
    <n v="942"/>
    <x v="2"/>
    <x v="2"/>
    <x v="0"/>
    <x v="2"/>
  </r>
  <r>
    <x v="1"/>
    <x v="65"/>
    <x v="29"/>
    <x v="22"/>
    <x v="2"/>
    <s v="Radish (6r) - Mature Root 1X | Field DS Su"/>
    <s v="RAD452"/>
    <x v="0"/>
    <x v="11"/>
    <x v="13"/>
    <x v="0"/>
    <n v="2340"/>
    <x v="0"/>
    <x v="0"/>
    <x v="0"/>
    <x v="0"/>
    <s v="RAD"/>
    <x v="0"/>
    <x v="0"/>
    <d v="2025-06-30T00:00:00"/>
    <x v="0"/>
    <d v="2025-07-21T00:00:00"/>
    <d v="2025-08-22T00:00:00"/>
    <d v="2025-09-12T00:00:00"/>
    <x v="0"/>
    <x v="0"/>
    <x v="0"/>
    <x v="0"/>
    <n v="187.5"/>
    <n v="3.5377000000000001"/>
    <n v="32"/>
    <x v="0"/>
    <x v="0"/>
    <x v="0"/>
    <x v="2"/>
    <x v="0"/>
    <x v="0"/>
    <x v="0"/>
    <x v="0"/>
    <x v="0"/>
    <x v="0"/>
    <x v="9"/>
    <x v="0"/>
    <n v="255"/>
    <x v="2"/>
    <n v="964"/>
    <x v="2"/>
    <x v="2"/>
    <x v="0"/>
    <x v="2"/>
  </r>
  <r>
    <x v="1"/>
    <x v="111"/>
    <x v="30"/>
    <x v="21"/>
    <x v="2"/>
    <s v="Radish (6r) - Mature Root 1X | Field DS Su"/>
    <s v="RAD453"/>
    <x v="0"/>
    <x v="11"/>
    <x v="13"/>
    <x v="0"/>
    <n v="2340"/>
    <x v="0"/>
    <x v="0"/>
    <x v="0"/>
    <x v="0"/>
    <s v="RAD"/>
    <x v="0"/>
    <x v="0"/>
    <d v="2025-07-30T00:00:00"/>
    <x v="0"/>
    <d v="2025-08-25T00:00:00"/>
    <d v="2025-09-26T00:00:00"/>
    <d v="2025-10-17T00:00:00"/>
    <x v="0"/>
    <x v="0"/>
    <x v="0"/>
    <x v="0"/>
    <n v="187.5"/>
    <n v="3.5377000000000001"/>
    <n v="32"/>
    <x v="0"/>
    <x v="0"/>
    <x v="0"/>
    <x v="2"/>
    <x v="0"/>
    <x v="0"/>
    <x v="0"/>
    <x v="0"/>
    <x v="0"/>
    <x v="0"/>
    <x v="9"/>
    <x v="0"/>
    <n v="255"/>
    <x v="2"/>
    <n v="999"/>
    <x v="2"/>
    <x v="2"/>
    <x v="0"/>
    <x v="2"/>
  </r>
  <r>
    <x v="1"/>
    <x v="72"/>
    <x v="31"/>
    <x v="5"/>
    <x v="2"/>
    <s v="Radish (6r) - Mature Root 1X | Field DS Su"/>
    <s v="RAD456"/>
    <x v="0"/>
    <x v="11"/>
    <x v="13"/>
    <x v="0"/>
    <n v="2340"/>
    <x v="0"/>
    <x v="0"/>
    <x v="0"/>
    <x v="0"/>
    <s v="RAD"/>
    <x v="0"/>
    <x v="0"/>
    <d v="2025-08-01T00:00:00"/>
    <x v="0"/>
    <d v="2025-08-01T00:00:00"/>
    <d v="2025-09-02T00:00:00"/>
    <d v="2025-09-23T00:00:00"/>
    <x v="1"/>
    <x v="0"/>
    <x v="0"/>
    <x v="0"/>
    <n v="187.5"/>
    <n v="3.5377000000000001"/>
    <n v="32"/>
    <x v="0"/>
    <x v="0"/>
    <x v="0"/>
    <x v="2"/>
    <x v="0"/>
    <x v="0"/>
    <x v="0"/>
    <x v="0"/>
    <x v="0"/>
    <x v="0"/>
    <x v="9"/>
    <x v="0"/>
    <n v="255"/>
    <x v="2"/>
    <n v="975"/>
    <x v="2"/>
    <x v="2"/>
    <x v="0"/>
    <x v="2"/>
  </r>
  <r>
    <x v="1"/>
    <x v="63"/>
    <x v="32"/>
    <x v="23"/>
    <x v="2"/>
    <s v="Radish (6r) - Mature Root 1X | Field DS Su"/>
    <s v="RAD457"/>
    <x v="0"/>
    <x v="11"/>
    <x v="13"/>
    <x v="0"/>
    <n v="2340"/>
    <x v="0"/>
    <x v="0"/>
    <x v="0"/>
    <x v="0"/>
    <s v="RAD"/>
    <x v="0"/>
    <x v="0"/>
    <d v="2025-08-20T00:00:00"/>
    <x v="0"/>
    <d v="2025-08-20T00:00:00"/>
    <d v="2025-09-21T00:00:00"/>
    <d v="2025-10-12T00:00:00"/>
    <x v="1"/>
    <x v="0"/>
    <x v="0"/>
    <x v="0"/>
    <n v="187.5"/>
    <n v="3.5377000000000001"/>
    <n v="32"/>
    <x v="0"/>
    <x v="0"/>
    <x v="0"/>
    <x v="2"/>
    <x v="0"/>
    <x v="0"/>
    <x v="0"/>
    <x v="0"/>
    <x v="0"/>
    <x v="0"/>
    <x v="9"/>
    <x v="0"/>
    <n v="255"/>
    <x v="2"/>
    <n v="994"/>
    <x v="2"/>
    <x v="2"/>
    <x v="0"/>
    <x v="2"/>
  </r>
  <r>
    <x v="1"/>
    <x v="112"/>
    <x v="33"/>
    <x v="22"/>
    <x v="2"/>
    <s v="Radish (6r) - Mature Root 1X | Field DS Su"/>
    <s v="RAD454"/>
    <x v="0"/>
    <x v="11"/>
    <x v="13"/>
    <x v="0"/>
    <n v="2340"/>
    <x v="0"/>
    <x v="0"/>
    <x v="0"/>
    <x v="0"/>
    <s v="RAD"/>
    <x v="0"/>
    <x v="0"/>
    <d v="2025-08-29T00:00:00"/>
    <x v="0"/>
    <d v="2025-08-29T00:00:00"/>
    <d v="2025-09-30T00:00:00"/>
    <d v="2025-10-21T00:00:00"/>
    <x v="1"/>
    <x v="0"/>
    <x v="0"/>
    <x v="0"/>
    <n v="187.5"/>
    <n v="3.5377000000000001"/>
    <n v="32"/>
    <x v="0"/>
    <x v="0"/>
    <x v="0"/>
    <x v="2"/>
    <x v="0"/>
    <x v="0"/>
    <x v="0"/>
    <x v="0"/>
    <x v="0"/>
    <x v="0"/>
    <x v="9"/>
    <x v="0"/>
    <n v="255"/>
    <x v="2"/>
    <n v="1003"/>
    <x v="2"/>
    <x v="2"/>
    <x v="0"/>
    <x v="2"/>
  </r>
  <r>
    <x v="1"/>
    <x v="74"/>
    <x v="115"/>
    <x v="19"/>
    <x v="2"/>
    <s v="Radish (Daikon) - Storage Root 1X | Field TP FaWi"/>
    <s v="RAD005"/>
    <x v="0"/>
    <x v="11"/>
    <x v="58"/>
    <x v="0"/>
    <n v="260"/>
    <x v="0"/>
    <x v="1"/>
    <x v="1"/>
    <x v="0"/>
    <s v="RAD"/>
    <x v="0"/>
    <x v="12"/>
    <d v="2025-07-15T00:00:00"/>
    <x v="0"/>
    <d v="2025-07-26T00:00:00"/>
    <d v="2025-09-14T00:00:00"/>
    <d v="2025-10-05T00:00:00"/>
    <x v="0"/>
    <x v="2"/>
    <x v="0"/>
    <x v="0"/>
    <n v="1200"/>
    <n v="16.901399999999999"/>
    <n v="75"/>
    <x v="0"/>
    <x v="0"/>
    <x v="0"/>
    <x v="2"/>
    <x v="1"/>
    <x v="0"/>
    <x v="0"/>
    <x v="0"/>
    <x v="9"/>
    <x v="2"/>
    <x v="3"/>
    <x v="0"/>
    <n v="258"/>
    <x v="3"/>
    <n v="987"/>
    <x v="2"/>
    <x v="2"/>
    <x v="2"/>
    <x v="2"/>
  </r>
  <r>
    <x v="1"/>
    <x v="113"/>
    <x v="34"/>
    <x v="24"/>
    <x v="2"/>
    <s v="Radish (Munchen Bier) - Storage Root 1X | Field DS "/>
    <s v="RAD006"/>
    <x v="0"/>
    <x v="11"/>
    <x v="14"/>
    <x v="3"/>
    <n v="1560"/>
    <x v="0"/>
    <x v="1"/>
    <x v="1"/>
    <x v="0"/>
    <s v="RAD"/>
    <x v="0"/>
    <x v="0"/>
    <d v="2025-06-30T00:00:00"/>
    <x v="0"/>
    <d v="2025-06-30T00:00:00"/>
    <d v="2025-08-19T00:00:00"/>
    <d v="2025-09-09T00:00:00"/>
    <x v="1"/>
    <x v="0"/>
    <x v="0"/>
    <x v="0"/>
    <n v="514.28570000000002"/>
    <n v="7.2435"/>
    <n v="50"/>
    <x v="0"/>
    <x v="0"/>
    <x v="0"/>
    <x v="2"/>
    <x v="0"/>
    <x v="0"/>
    <x v="0"/>
    <x v="0"/>
    <x v="0"/>
    <x v="0"/>
    <x v="10"/>
    <x v="1"/>
    <n v="259"/>
    <x v="1"/>
    <n v="961"/>
    <x v="2"/>
    <x v="2"/>
    <x v="1"/>
    <x v="1"/>
  </r>
  <r>
    <x v="1"/>
    <x v="114"/>
    <x v="116"/>
    <x v="55"/>
    <x v="2"/>
    <s v="Rutabaga - Mature Root 2X | Field TP Fa"/>
    <s v="RUT001"/>
    <x v="0"/>
    <x v="39"/>
    <x v="3"/>
    <x v="0"/>
    <n v="780"/>
    <x v="0"/>
    <x v="3"/>
    <x v="2"/>
    <x v="0"/>
    <s v="RUT"/>
    <x v="0"/>
    <x v="3"/>
    <d v="2025-08-15T00:00:00"/>
    <x v="0"/>
    <d v="2025-08-15T00:00:00"/>
    <d v="2025-11-15T00:00:00"/>
    <d v="2025-12-06T00:00:00"/>
    <x v="1"/>
    <x v="2"/>
    <x v="0"/>
    <x v="0"/>
    <n v="1050"/>
    <n v="9.2919999999999998"/>
    <n v="120"/>
    <x v="0"/>
    <x v="0"/>
    <x v="0"/>
    <x v="2"/>
    <x v="1"/>
    <x v="0"/>
    <x v="0"/>
    <x v="0"/>
    <x v="1"/>
    <x v="2"/>
    <x v="4"/>
    <x v="1"/>
    <n v="270"/>
    <x v="6"/>
    <n v="1049"/>
    <x v="2"/>
    <x v="1"/>
    <x v="1"/>
    <x v="2"/>
  </r>
  <r>
    <x v="1"/>
    <x v="115"/>
    <x v="35"/>
    <x v="25"/>
    <x v="2"/>
    <s v="Scallion - Mature Stalk 6X | Field DS Fa"/>
    <s v="SCA638"/>
    <x v="0"/>
    <x v="12"/>
    <x v="3"/>
    <x v="0"/>
    <n v="1320"/>
    <x v="0"/>
    <x v="0"/>
    <x v="0"/>
    <x v="0"/>
    <s v="SCA"/>
    <x v="0"/>
    <x v="0"/>
    <d v="2025-06-25T00:00:00"/>
    <x v="0"/>
    <d v="2025-06-25T00:00:00"/>
    <d v="2025-09-10T00:00:00"/>
    <d v="2025-09-24T00:00:00"/>
    <x v="1"/>
    <x v="0"/>
    <x v="0"/>
    <x v="0"/>
    <n v="166.66669999999999"/>
    <n v="1.8314999999999999"/>
    <n v="77"/>
    <x v="0"/>
    <x v="0"/>
    <x v="0"/>
    <x v="1"/>
    <x v="0"/>
    <x v="0"/>
    <x v="0"/>
    <x v="0"/>
    <x v="0"/>
    <x v="1"/>
    <x v="6"/>
    <x v="1"/>
    <n v="277"/>
    <x v="6"/>
    <n v="983"/>
    <x v="1"/>
    <x v="9"/>
    <x v="8"/>
    <x v="0"/>
  </r>
  <r>
    <x v="1"/>
    <x v="116"/>
    <x v="36"/>
    <x v="25"/>
    <x v="2"/>
    <s v="Scallion - Mature Stalk 6X | Field DS Fa"/>
    <s v="SCA636"/>
    <x v="0"/>
    <x v="12"/>
    <x v="3"/>
    <x v="0"/>
    <n v="1320"/>
    <x v="0"/>
    <x v="0"/>
    <x v="0"/>
    <x v="0"/>
    <s v="SCA"/>
    <x v="0"/>
    <x v="0"/>
    <d v="2025-08-15T00:00:00"/>
    <x v="0"/>
    <d v="2025-08-15T00:00:00"/>
    <d v="2025-10-31T00:00:00"/>
    <d v="2025-11-14T00:00:00"/>
    <x v="1"/>
    <x v="0"/>
    <x v="0"/>
    <x v="0"/>
    <n v="166.66669999999999"/>
    <n v="1.8314999999999999"/>
    <n v="77"/>
    <x v="0"/>
    <x v="0"/>
    <x v="0"/>
    <x v="1"/>
    <x v="0"/>
    <x v="0"/>
    <x v="0"/>
    <x v="0"/>
    <x v="0"/>
    <x v="1"/>
    <x v="6"/>
    <x v="1"/>
    <n v="277"/>
    <x v="6"/>
    <n v="1034"/>
    <x v="1"/>
    <x v="9"/>
    <x v="8"/>
    <x v="0"/>
  </r>
  <r>
    <x v="1"/>
    <x v="22"/>
    <x v="117"/>
    <x v="16"/>
    <x v="2"/>
    <s v="Scallion - Mature Stalk 6X | Field TP Sp"/>
    <s v="SCA633"/>
    <x v="0"/>
    <x v="12"/>
    <x v="59"/>
    <x v="0"/>
    <n v="660"/>
    <x v="0"/>
    <x v="2"/>
    <x v="0"/>
    <x v="0"/>
    <s v="SCA"/>
    <x v="0"/>
    <x v="18"/>
    <d v="2025-04-13T00:00:00"/>
    <x v="0"/>
    <d v="2025-03-12T00:00:00"/>
    <d v="2025-06-25T00:00:00"/>
    <d v="2025-07-09T00:00:00"/>
    <x v="0"/>
    <x v="1"/>
    <x v="0"/>
    <x v="0"/>
    <n v="125"/>
    <n v="1.9531000000000001"/>
    <n v="92"/>
    <x v="0"/>
    <x v="0"/>
    <x v="0"/>
    <x v="1"/>
    <x v="1"/>
    <x v="0"/>
    <x v="0"/>
    <x v="0"/>
    <x v="12"/>
    <x v="1"/>
    <x v="6"/>
    <x v="1"/>
    <n v="282"/>
    <x v="0"/>
    <n v="906"/>
    <x v="1"/>
    <x v="9"/>
    <x v="8"/>
    <x v="0"/>
  </r>
  <r>
    <x v="1"/>
    <x v="51"/>
    <x v="118"/>
    <x v="63"/>
    <x v="2"/>
    <s v="Scallion - Mature Stalk 6X | Field TP Sp"/>
    <s v="SCA634"/>
    <x v="0"/>
    <x v="12"/>
    <x v="59"/>
    <x v="0"/>
    <n v="2112"/>
    <x v="0"/>
    <x v="8"/>
    <x v="2"/>
    <x v="0"/>
    <s v="SCA"/>
    <x v="0"/>
    <x v="16"/>
    <d v="2025-05-04T00:00:00"/>
    <x v="0"/>
    <d v="2025-06-25T00:00:00"/>
    <d v="2025-08-14T00:00:00"/>
    <d v="2025-08-28T00:00:00"/>
    <x v="0"/>
    <x v="2"/>
    <x v="0"/>
    <x v="0"/>
    <n v="400"/>
    <n v="6.25"/>
    <n v="92"/>
    <x v="0"/>
    <x v="0"/>
    <x v="0"/>
    <x v="1"/>
    <x v="1"/>
    <x v="0"/>
    <x v="0"/>
    <x v="0"/>
    <x v="12"/>
    <x v="1"/>
    <x v="6"/>
    <x v="1"/>
    <n v="282"/>
    <x v="0"/>
    <n v="956"/>
    <x v="1"/>
    <x v="9"/>
    <x v="8"/>
    <x v="0"/>
  </r>
  <r>
    <x v="1"/>
    <x v="117"/>
    <x v="119"/>
    <x v="25"/>
    <x v="2"/>
    <s v="Scallion - Mature Stalk 6X | Field TP Sp"/>
    <s v="SCA635"/>
    <x v="0"/>
    <x v="12"/>
    <x v="59"/>
    <x v="0"/>
    <n v="1320"/>
    <x v="0"/>
    <x v="0"/>
    <x v="0"/>
    <x v="0"/>
    <s v="SCA"/>
    <x v="0"/>
    <x v="2"/>
    <d v="2025-05-25T00:00:00"/>
    <x v="0"/>
    <d v="2025-05-18T00:00:00"/>
    <d v="2025-07-15T00:00:00"/>
    <d v="2025-07-29T00:00:00"/>
    <x v="0"/>
    <x v="1"/>
    <x v="0"/>
    <x v="0"/>
    <n v="250"/>
    <n v="3.9062000000000001"/>
    <n v="92"/>
    <x v="0"/>
    <x v="0"/>
    <x v="0"/>
    <x v="1"/>
    <x v="1"/>
    <x v="0"/>
    <x v="0"/>
    <x v="0"/>
    <x v="12"/>
    <x v="1"/>
    <x v="6"/>
    <x v="1"/>
    <n v="282"/>
    <x v="0"/>
    <n v="926"/>
    <x v="1"/>
    <x v="9"/>
    <x v="8"/>
    <x v="0"/>
  </r>
  <r>
    <x v="1"/>
    <x v="118"/>
    <x v="120"/>
    <x v="64"/>
    <x v="2"/>
    <s v="Sorrel - Mature Leaf 3X | Field TP "/>
    <s v="SOR485"/>
    <x v="5"/>
    <x v="40"/>
    <x v="60"/>
    <x v="0"/>
    <n v="117"/>
    <x v="0"/>
    <x v="5"/>
    <x v="0"/>
    <x v="0"/>
    <s v="SOR"/>
    <x v="0"/>
    <x v="23"/>
    <d v="2024-04-29T00:00:00"/>
    <x v="0"/>
    <d v="2024-04-26T00:00:00"/>
    <d v="2024-06-01T00:00:00"/>
    <d v="2025-01-31T00:00:00"/>
    <x v="0"/>
    <x v="1"/>
    <x v="0"/>
    <x v="0"/>
    <n v="822.85709999999995"/>
    <n v="3.0933999999999999"/>
    <n v="70"/>
    <x v="0"/>
    <x v="0"/>
    <x v="0"/>
    <x v="23"/>
    <x v="1"/>
    <x v="0"/>
    <x v="0"/>
    <x v="0"/>
    <x v="1"/>
    <x v="2"/>
    <x v="4"/>
    <x v="1"/>
    <n v="291"/>
    <x v="1"/>
    <n v="517"/>
    <x v="26"/>
    <x v="0"/>
    <x v="8"/>
    <x v="1"/>
  </r>
  <r>
    <x v="1"/>
    <x v="65"/>
    <x v="121"/>
    <x v="11"/>
    <x v="2"/>
    <s v="Squash (Delicata) - Storage 1X | Field TP "/>
    <s v="SQU002"/>
    <x v="0"/>
    <x v="41"/>
    <x v="61"/>
    <x v="0"/>
    <n v="21.666666666666664"/>
    <x v="0"/>
    <x v="1"/>
    <x v="1"/>
    <x v="0"/>
    <s v="SQU"/>
    <x v="0"/>
    <x v="4"/>
    <d v="2025-05-09T00:00:00"/>
    <x v="0"/>
    <d v="2025-06-04T00:00:00"/>
    <d v="2025-08-22T00:00:00"/>
    <d v="2025-08-29T00:00:00"/>
    <x v="0"/>
    <x v="1"/>
    <x v="0"/>
    <x v="0"/>
    <n v="225"/>
    <n v="2.1027999999999998"/>
    <n v="128"/>
    <x v="0"/>
    <x v="0"/>
    <x v="0"/>
    <x v="4"/>
    <x v="1"/>
    <x v="0"/>
    <x v="0"/>
    <x v="0"/>
    <x v="1"/>
    <x v="4"/>
    <x v="16"/>
    <x v="1"/>
    <n v="300"/>
    <x v="1"/>
    <n v="964"/>
    <x v="4"/>
    <x v="16"/>
    <x v="7"/>
    <x v="0"/>
  </r>
  <r>
    <x v="1"/>
    <x v="65"/>
    <x v="122"/>
    <x v="11"/>
    <x v="2"/>
    <s v="Squash (Kuri) - Storage 1X | Field TP "/>
    <s v="SQU004"/>
    <x v="0"/>
    <x v="41"/>
    <x v="62"/>
    <x v="0"/>
    <n v="346.66666666666663"/>
    <x v="0"/>
    <x v="9"/>
    <x v="1"/>
    <x v="0"/>
    <s v="SQU"/>
    <x v="0"/>
    <x v="4"/>
    <d v="2025-05-09T00:00:00"/>
    <x v="0"/>
    <d v="2025-06-04T00:00:00"/>
    <d v="2025-08-22T00:00:00"/>
    <d v="2025-08-29T00:00:00"/>
    <x v="0"/>
    <x v="1"/>
    <x v="0"/>
    <x v="0"/>
    <n v="5400"/>
    <n v="50.467300000000002"/>
    <n v="128"/>
    <x v="0"/>
    <x v="0"/>
    <x v="0"/>
    <x v="4"/>
    <x v="1"/>
    <x v="0"/>
    <x v="0"/>
    <x v="0"/>
    <x v="1"/>
    <x v="4"/>
    <x v="16"/>
    <x v="1"/>
    <n v="301"/>
    <x v="1"/>
    <n v="964"/>
    <x v="4"/>
    <x v="16"/>
    <x v="7"/>
    <x v="0"/>
  </r>
  <r>
    <x v="1"/>
    <x v="59"/>
    <x v="123"/>
    <x v="65"/>
    <x v="2"/>
    <s v="Summer Squash (Long Season) - Ripe Fruit 1X | Field TP Su"/>
    <s v="SUM001"/>
    <x v="0"/>
    <x v="42"/>
    <x v="63"/>
    <x v="9"/>
    <n v="32.5"/>
    <x v="0"/>
    <x v="1"/>
    <x v="1"/>
    <x v="0"/>
    <s v="SUM"/>
    <x v="0"/>
    <x v="4"/>
    <d v="2025-04-29T00:00:00"/>
    <x v="0"/>
    <d v="2025-05-19T00:00:00"/>
    <d v="2025-06-15T00:00:00"/>
    <d v="2025-09-18T00:00:00"/>
    <x v="0"/>
    <x v="1"/>
    <x v="0"/>
    <x v="0"/>
    <n v="642.85709999999995"/>
    <n v="5.0618999999999996"/>
    <n v="60"/>
    <x v="0"/>
    <x v="0"/>
    <x v="0"/>
    <x v="24"/>
    <x v="1"/>
    <x v="0"/>
    <x v="0"/>
    <x v="0"/>
    <x v="1"/>
    <x v="4"/>
    <x v="8"/>
    <x v="1"/>
    <n v="309"/>
    <x v="2"/>
    <n v="896"/>
    <x v="27"/>
    <x v="17"/>
    <x v="7"/>
    <x v="0"/>
  </r>
  <r>
    <x v="1"/>
    <x v="59"/>
    <x v="124"/>
    <x v="66"/>
    <x v="2"/>
    <s v="Summer Squash (Short Season) - Ripe Fruit 1X | Field TP Su"/>
    <s v="SUM002"/>
    <x v="0"/>
    <x v="42"/>
    <x v="64"/>
    <x v="0"/>
    <n v="65"/>
    <x v="0"/>
    <x v="3"/>
    <x v="2"/>
    <x v="0"/>
    <s v="SUM"/>
    <x v="0"/>
    <x v="4"/>
    <d v="2025-04-29T00:00:00"/>
    <x v="0"/>
    <d v="2025-05-23T00:00:00"/>
    <d v="2025-06-15T00:00:00"/>
    <d v="2025-08-31T00:00:00"/>
    <x v="0"/>
    <x v="1"/>
    <x v="0"/>
    <x v="0"/>
    <n v="750"/>
    <n v="9.4937000000000005"/>
    <n v="60"/>
    <x v="0"/>
    <x v="0"/>
    <x v="2"/>
    <x v="18"/>
    <x v="1"/>
    <x v="0"/>
    <x v="0"/>
    <x v="0"/>
    <x v="1"/>
    <x v="4"/>
    <x v="8"/>
    <x v="1"/>
    <n v="311"/>
    <x v="2"/>
    <n v="896"/>
    <x v="15"/>
    <x v="17"/>
    <x v="7"/>
    <x v="0"/>
  </r>
  <r>
    <x v="1"/>
    <x v="119"/>
    <x v="125"/>
    <x v="67"/>
    <x v="2"/>
    <s v="Swiss Chard - Mature Leaf 1X | Field TP SpSuFa"/>
    <s v="SWI002"/>
    <x v="0"/>
    <x v="43"/>
    <x v="65"/>
    <x v="0"/>
    <n v="73.333333333333329"/>
    <x v="0"/>
    <x v="1"/>
    <x v="1"/>
    <x v="0"/>
    <s v="SWI"/>
    <x v="0"/>
    <x v="15"/>
    <d v="2025-05-15T00:00:00"/>
    <x v="0"/>
    <d v="2025-06-05T00:00:00"/>
    <d v="2025-06-22T00:00:00"/>
    <d v="2025-09-17T00:00:00"/>
    <x v="0"/>
    <x v="1"/>
    <x v="0"/>
    <x v="0"/>
    <n v="1050"/>
    <n v="8.3332999999999995"/>
    <n v="63"/>
    <x v="0"/>
    <x v="0"/>
    <x v="0"/>
    <x v="25"/>
    <x v="1"/>
    <x v="0"/>
    <x v="0"/>
    <x v="0"/>
    <x v="14"/>
    <x v="3"/>
    <x v="7"/>
    <x v="1"/>
    <n v="318"/>
    <x v="12"/>
    <n v="903"/>
    <x v="28"/>
    <x v="0"/>
    <x v="9"/>
    <x v="1"/>
  </r>
  <r>
    <x v="1"/>
    <x v="3"/>
    <x v="126"/>
    <x v="68"/>
    <x v="2"/>
    <s v="Tomatillo - Ripe Fruit 1X | Field TP "/>
    <s v="TOM001"/>
    <x v="0"/>
    <x v="44"/>
    <x v="66"/>
    <x v="0"/>
    <n v="43.333333333333329"/>
    <x v="0"/>
    <x v="1"/>
    <x v="1"/>
    <x v="0"/>
    <s v="TOM"/>
    <x v="0"/>
    <x v="11"/>
    <d v="2025-05-17T00:00:00"/>
    <x v="0"/>
    <d v="2025-06-15T00:00:00"/>
    <d v="2025-06-30T00:00:00"/>
    <d v="2025-09-08T00:00:00"/>
    <x v="0"/>
    <x v="1"/>
    <x v="0"/>
    <x v="0"/>
    <n v="1600"/>
    <n v="15.384600000000001"/>
    <n v="90"/>
    <x v="0"/>
    <x v="0"/>
    <x v="0"/>
    <x v="21"/>
    <x v="1"/>
    <x v="0"/>
    <x v="0"/>
    <x v="0"/>
    <x v="15"/>
    <x v="4"/>
    <x v="7"/>
    <x v="2"/>
    <n v="322"/>
    <x v="1"/>
    <n v="911"/>
    <x v="24"/>
    <x v="18"/>
    <x v="11"/>
    <x v="5"/>
  </r>
  <r>
    <x v="1"/>
    <x v="35"/>
    <x v="127"/>
    <x v="11"/>
    <x v="2"/>
    <s v="Tomato (Beefsteak Det) - Ripe Fruit Large 1X | Field TP Su"/>
    <s v="TOM006"/>
    <x v="0"/>
    <x v="45"/>
    <x v="67"/>
    <x v="0"/>
    <n v="195"/>
    <x v="0"/>
    <x v="10"/>
    <x v="1"/>
    <x v="0"/>
    <s v="TOM"/>
    <x v="0"/>
    <x v="4"/>
    <d v="2025-05-15T00:00:00"/>
    <x v="0"/>
    <d v="2025-06-13T00:00:00"/>
    <d v="2025-08-05T00:00:00"/>
    <d v="2025-10-07T00:00:00"/>
    <x v="0"/>
    <x v="1"/>
    <x v="0"/>
    <x v="0"/>
    <n v="11250"/>
    <n v="95.338999999999999"/>
    <n v="111"/>
    <x v="0"/>
    <x v="0"/>
    <x v="0"/>
    <x v="16"/>
    <x v="1"/>
    <x v="0"/>
    <x v="0"/>
    <x v="0"/>
    <x v="15"/>
    <x v="4"/>
    <x v="8"/>
    <x v="2"/>
    <n v="323"/>
    <x v="2"/>
    <n v="947"/>
    <x v="18"/>
    <x v="18"/>
    <x v="6"/>
    <x v="5"/>
  </r>
  <r>
    <x v="1"/>
    <x v="35"/>
    <x v="128"/>
    <x v="0"/>
    <x v="2"/>
    <s v="Tomato (Beefsteak Det) - Ripe Fruit Large 1X | Field TP Su"/>
    <s v="TOM010"/>
    <x v="0"/>
    <x v="45"/>
    <x v="67"/>
    <x v="0"/>
    <n v="65"/>
    <x v="0"/>
    <x v="3"/>
    <x v="2"/>
    <x v="0"/>
    <s v="TOM"/>
    <x v="0"/>
    <x v="4"/>
    <d v="2025-05-15T00:00:00"/>
    <x v="0"/>
    <d v="2025-06-07T00:00:00"/>
    <d v="2025-08-05T00:00:00"/>
    <d v="2025-10-07T00:00:00"/>
    <x v="0"/>
    <x v="1"/>
    <x v="0"/>
    <x v="0"/>
    <n v="3750"/>
    <n v="31.779699999999998"/>
    <n v="111"/>
    <x v="0"/>
    <x v="0"/>
    <x v="0"/>
    <x v="16"/>
    <x v="1"/>
    <x v="0"/>
    <x v="0"/>
    <x v="0"/>
    <x v="15"/>
    <x v="4"/>
    <x v="8"/>
    <x v="2"/>
    <n v="323"/>
    <x v="2"/>
    <n v="947"/>
    <x v="18"/>
    <x v="18"/>
    <x v="6"/>
    <x v="5"/>
  </r>
  <r>
    <x v="1"/>
    <x v="51"/>
    <x v="129"/>
    <x v="69"/>
    <x v="2"/>
    <s v="Tomato (Beefsteak) - Ripe Fruit Large 1X | Field TP Su"/>
    <s v="TOM002"/>
    <x v="0"/>
    <x v="45"/>
    <x v="68"/>
    <x v="0"/>
    <n v="86.666666666666657"/>
    <x v="0"/>
    <x v="3"/>
    <x v="2"/>
    <x v="0"/>
    <s v="TOM"/>
    <x v="0"/>
    <x v="11"/>
    <d v="2025-05-12T00:00:00"/>
    <x v="0"/>
    <d v="2025-05-31T00:00:00"/>
    <d v="2025-08-14T00:00:00"/>
    <d v="2025-10-16T00:00:00"/>
    <x v="0"/>
    <x v="1"/>
    <x v="0"/>
    <x v="0"/>
    <n v="3750"/>
    <n v="26.4085"/>
    <n v="135"/>
    <x v="0"/>
    <x v="0"/>
    <x v="0"/>
    <x v="16"/>
    <x v="1"/>
    <x v="0"/>
    <x v="0"/>
    <x v="0"/>
    <x v="15"/>
    <x v="4"/>
    <x v="7"/>
    <x v="2"/>
    <n v="324"/>
    <x v="2"/>
    <n v="956"/>
    <x v="18"/>
    <x v="18"/>
    <x v="6"/>
    <x v="5"/>
  </r>
  <r>
    <x v="1"/>
    <x v="98"/>
    <x v="130"/>
    <x v="2"/>
    <x v="2"/>
    <s v="Tomato (Beefsteak) - Ripe Fruit Large 1X | Greenhouse TP Su"/>
    <s v="TOM003"/>
    <x v="0"/>
    <x v="45"/>
    <x v="68"/>
    <x v="0"/>
    <n v="21.666666666666664"/>
    <x v="0"/>
    <x v="0"/>
    <x v="0"/>
    <x v="0"/>
    <s v="TOM"/>
    <x v="0"/>
    <x v="11"/>
    <d v="2025-05-02T00:00:00"/>
    <x v="0"/>
    <d v="2025-05-30T00:00:00"/>
    <d v="2025-07-30T00:00:00"/>
    <d v="2025-10-22T00:00:00"/>
    <x v="0"/>
    <x v="1"/>
    <x v="0"/>
    <x v="0"/>
    <n v="1250"/>
    <n v="8.4459"/>
    <n v="120"/>
    <x v="0"/>
    <x v="0"/>
    <x v="0"/>
    <x v="26"/>
    <x v="1"/>
    <x v="0"/>
    <x v="0"/>
    <x v="0"/>
    <x v="15"/>
    <x v="4"/>
    <x v="7"/>
    <x v="2"/>
    <n v="325"/>
    <x v="2"/>
    <n v="941"/>
    <x v="29"/>
    <x v="18"/>
    <x v="6"/>
    <x v="5"/>
  </r>
  <r>
    <x v="1"/>
    <x v="20"/>
    <x v="131"/>
    <x v="11"/>
    <x v="2"/>
    <s v="Tomato (Cherry Det) - Ripe Fruit Small 1X | Field TP Su"/>
    <s v="TOM007"/>
    <x v="0"/>
    <x v="45"/>
    <x v="69"/>
    <x v="0"/>
    <n v="260"/>
    <x v="0"/>
    <x v="11"/>
    <x v="1"/>
    <x v="0"/>
    <s v="TOM"/>
    <x v="0"/>
    <x v="4"/>
    <d v="2025-05-31T00:00:00"/>
    <x v="0"/>
    <d v="2025-06-15T00:00:00"/>
    <d v="2025-08-20T00:00:00"/>
    <d v="2025-11-26T00:00:00"/>
    <x v="0"/>
    <x v="1"/>
    <x v="0"/>
    <x v="0"/>
    <n v="16333.3333"/>
    <n v="97.222200000000001"/>
    <n v="126"/>
    <x v="0"/>
    <x v="0"/>
    <x v="0"/>
    <x v="15"/>
    <x v="1"/>
    <x v="0"/>
    <x v="0"/>
    <x v="0"/>
    <x v="15"/>
    <x v="4"/>
    <x v="8"/>
    <x v="2"/>
    <n v="327"/>
    <x v="2"/>
    <n v="962"/>
    <x v="17"/>
    <x v="18"/>
    <x v="11"/>
    <x v="5"/>
  </r>
  <r>
    <x v="1"/>
    <x v="20"/>
    <x v="132"/>
    <x v="70"/>
    <x v="2"/>
    <s v="Tomato (Cherry Det) - Ripe Fruit Small 1X | Field TP Su"/>
    <s v="TOM011"/>
    <x v="0"/>
    <x v="45"/>
    <x v="69"/>
    <x v="0"/>
    <n v="32.5"/>
    <x v="0"/>
    <x v="1"/>
    <x v="1"/>
    <x v="0"/>
    <s v="TOM"/>
    <x v="0"/>
    <x v="4"/>
    <d v="2025-05-31T00:00:00"/>
    <x v="0"/>
    <d v="2025-06-07T00:00:00"/>
    <d v="2025-08-20T00:00:00"/>
    <d v="2025-11-26T00:00:00"/>
    <x v="0"/>
    <x v="1"/>
    <x v="0"/>
    <x v="0"/>
    <n v="2041.6667"/>
    <n v="12.152799999999999"/>
    <n v="126"/>
    <x v="0"/>
    <x v="0"/>
    <x v="0"/>
    <x v="15"/>
    <x v="1"/>
    <x v="0"/>
    <x v="0"/>
    <x v="0"/>
    <x v="15"/>
    <x v="4"/>
    <x v="8"/>
    <x v="2"/>
    <n v="327"/>
    <x v="2"/>
    <n v="962"/>
    <x v="17"/>
    <x v="18"/>
    <x v="11"/>
    <x v="5"/>
  </r>
  <r>
    <x v="1"/>
    <x v="3"/>
    <x v="133"/>
    <x v="16"/>
    <x v="2"/>
    <s v="Tomato (Cherry) - Ripe Fruit Small 1X | Greenhouse TP Su"/>
    <s v="TOM004"/>
    <x v="0"/>
    <x v="45"/>
    <x v="70"/>
    <x v="0"/>
    <n v="21.666666666666664"/>
    <x v="0"/>
    <x v="0"/>
    <x v="0"/>
    <x v="0"/>
    <s v="TOM"/>
    <x v="0"/>
    <x v="11"/>
    <d v="2025-05-02T00:00:00"/>
    <x v="0"/>
    <d v="2025-05-30T00:00:00"/>
    <d v="2025-06-30T00:00:00"/>
    <d v="2025-10-20T00:00:00"/>
    <x v="0"/>
    <x v="1"/>
    <x v="0"/>
    <x v="0"/>
    <n v="1166.6667"/>
    <n v="7.9908999999999999"/>
    <n v="90"/>
    <x v="0"/>
    <x v="0"/>
    <x v="0"/>
    <x v="8"/>
    <x v="1"/>
    <x v="0"/>
    <x v="0"/>
    <x v="0"/>
    <x v="15"/>
    <x v="4"/>
    <x v="7"/>
    <x v="2"/>
    <n v="329"/>
    <x v="2"/>
    <n v="911"/>
    <x v="10"/>
    <x v="18"/>
    <x v="6"/>
    <x v="5"/>
  </r>
  <r>
    <x v="1"/>
    <x v="69"/>
    <x v="134"/>
    <x v="11"/>
    <x v="2"/>
    <s v="Tomato (Medium Det) - Ripe Fruit Medium 1X | Field TP Su"/>
    <s v="TOM008"/>
    <x v="0"/>
    <x v="45"/>
    <x v="71"/>
    <x v="0"/>
    <n v="260"/>
    <x v="0"/>
    <x v="11"/>
    <x v="1"/>
    <x v="0"/>
    <s v="TOM"/>
    <x v="0"/>
    <x v="4"/>
    <d v="2025-05-31T00:00:00"/>
    <x v="0"/>
    <d v="2025-06-15T00:00:00"/>
    <d v="2025-09-09T00:00:00"/>
    <d v="2025-11-11T00:00:00"/>
    <x v="0"/>
    <x v="1"/>
    <x v="0"/>
    <x v="0"/>
    <n v="16800"/>
    <n v="109.8039"/>
    <n v="146"/>
    <x v="0"/>
    <x v="0"/>
    <x v="0"/>
    <x v="16"/>
    <x v="1"/>
    <x v="0"/>
    <x v="0"/>
    <x v="0"/>
    <x v="15"/>
    <x v="4"/>
    <x v="8"/>
    <x v="2"/>
    <n v="330"/>
    <x v="2"/>
    <n v="982"/>
    <x v="18"/>
    <x v="18"/>
    <x v="11"/>
    <x v="5"/>
  </r>
  <r>
    <x v="1"/>
    <x v="69"/>
    <x v="135"/>
    <x v="20"/>
    <x v="2"/>
    <s v="Tomato (Medium Det) - Ripe Fruit Medium 1X | Field TP Su"/>
    <s v="TOM012"/>
    <x v="0"/>
    <x v="45"/>
    <x v="71"/>
    <x v="0"/>
    <n v="32.5"/>
    <x v="0"/>
    <x v="1"/>
    <x v="1"/>
    <x v="0"/>
    <s v="TOM"/>
    <x v="0"/>
    <x v="4"/>
    <d v="2025-05-31T00:00:00"/>
    <x v="0"/>
    <d v="2025-06-07T00:00:00"/>
    <d v="2025-09-09T00:00:00"/>
    <d v="2025-11-11T00:00:00"/>
    <x v="0"/>
    <x v="1"/>
    <x v="0"/>
    <x v="0"/>
    <n v="2100"/>
    <n v="13.7255"/>
    <n v="146"/>
    <x v="0"/>
    <x v="0"/>
    <x v="0"/>
    <x v="16"/>
    <x v="1"/>
    <x v="0"/>
    <x v="0"/>
    <x v="0"/>
    <x v="15"/>
    <x v="4"/>
    <x v="8"/>
    <x v="2"/>
    <n v="330"/>
    <x v="2"/>
    <n v="982"/>
    <x v="18"/>
    <x v="18"/>
    <x v="11"/>
    <x v="5"/>
  </r>
  <r>
    <x v="1"/>
    <x v="51"/>
    <x v="136"/>
    <x v="71"/>
    <x v="2"/>
    <s v="Tomato (Medium) - Ripe Fruit Medium 1X | Field TP Su"/>
    <s v="TOM005"/>
    <x v="0"/>
    <x v="45"/>
    <x v="72"/>
    <x v="0"/>
    <n v="86.666666666666657"/>
    <x v="0"/>
    <x v="3"/>
    <x v="2"/>
    <x v="0"/>
    <s v="TOM"/>
    <x v="0"/>
    <x v="11"/>
    <d v="2025-05-12T00:00:00"/>
    <x v="0"/>
    <d v="2025-05-31T00:00:00"/>
    <d v="2025-08-14T00:00:00"/>
    <d v="2025-10-16T00:00:00"/>
    <x v="0"/>
    <x v="1"/>
    <x v="0"/>
    <x v="0"/>
    <n v="4200"/>
    <n v="29.577500000000001"/>
    <n v="135"/>
    <x v="0"/>
    <x v="0"/>
    <x v="0"/>
    <x v="16"/>
    <x v="1"/>
    <x v="0"/>
    <x v="0"/>
    <x v="0"/>
    <x v="15"/>
    <x v="4"/>
    <x v="7"/>
    <x v="2"/>
    <n v="331"/>
    <x v="2"/>
    <n v="956"/>
    <x v="18"/>
    <x v="18"/>
    <x v="11"/>
    <x v="5"/>
  </r>
  <r>
    <x v="1"/>
    <x v="41"/>
    <x v="37"/>
    <x v="19"/>
    <x v="2"/>
    <s v="Turnip (Tokyo) - Mature Root 1X | Field DS Sp"/>
    <s v="TUR001"/>
    <x v="0"/>
    <x v="13"/>
    <x v="15"/>
    <x v="4"/>
    <n v="1040"/>
    <x v="0"/>
    <x v="0"/>
    <x v="0"/>
    <x v="0"/>
    <s v="TUR"/>
    <x v="0"/>
    <x v="0"/>
    <d v="2025-04-01T00:00:00"/>
    <x v="0"/>
    <d v="2025-04-30T00:00:00"/>
    <d v="2025-06-09T00:00:00"/>
    <d v="2025-06-23T00:00:00"/>
    <x v="0"/>
    <x v="0"/>
    <x v="0"/>
    <x v="0"/>
    <n v="137.5"/>
    <n v="2.5463"/>
    <n v="40"/>
    <x v="0"/>
    <x v="0"/>
    <x v="0"/>
    <x v="1"/>
    <x v="0"/>
    <x v="0"/>
    <x v="0"/>
    <x v="0"/>
    <x v="0"/>
    <x v="1"/>
    <x v="11"/>
    <x v="1"/>
    <n v="335"/>
    <x v="0"/>
    <n v="890"/>
    <x v="1"/>
    <x v="2"/>
    <x v="2"/>
    <x v="1"/>
  </r>
  <r>
    <x v="1"/>
    <x v="1"/>
    <x v="38"/>
    <x v="2"/>
    <x v="2"/>
    <s v="Turnip (Tokyo) - Mature Root 1X | Field DS Sp"/>
    <s v="TUR003"/>
    <x v="0"/>
    <x v="13"/>
    <x v="15"/>
    <x v="4"/>
    <n v="520"/>
    <x v="0"/>
    <x v="2"/>
    <x v="0"/>
    <x v="0"/>
    <s v="TUR"/>
    <x v="0"/>
    <x v="0"/>
    <d v="2025-04-01T00:00:00"/>
    <x v="0"/>
    <d v="2025-03-25T00:00:00"/>
    <d v="2025-05-04T00:00:00"/>
    <d v="2025-05-18T00:00:00"/>
    <x v="0"/>
    <x v="0"/>
    <x v="0"/>
    <x v="0"/>
    <n v="68.75"/>
    <n v="1.2730999999999999"/>
    <n v="40"/>
    <x v="0"/>
    <x v="0"/>
    <x v="0"/>
    <x v="1"/>
    <x v="0"/>
    <x v="0"/>
    <x v="0"/>
    <x v="0"/>
    <x v="0"/>
    <x v="1"/>
    <x v="11"/>
    <x v="1"/>
    <n v="335"/>
    <x v="0"/>
    <n v="854"/>
    <x v="1"/>
    <x v="2"/>
    <x v="2"/>
    <x v="1"/>
  </r>
  <r>
    <x v="1"/>
    <x v="120"/>
    <x v="39"/>
    <x v="21"/>
    <x v="2"/>
    <s v="Turnip (Tokyo) - Mature Root 1X | Field DS SuFa"/>
    <s v="TUR002"/>
    <x v="0"/>
    <x v="13"/>
    <x v="15"/>
    <x v="4"/>
    <n v="1040"/>
    <x v="0"/>
    <x v="0"/>
    <x v="0"/>
    <x v="0"/>
    <s v="TUR"/>
    <x v="0"/>
    <x v="0"/>
    <d v="2025-06-14T00:00:00"/>
    <x v="0"/>
    <d v="2025-06-30T00:00:00"/>
    <d v="2025-08-09T00:00:00"/>
    <d v="2025-08-23T00:00:00"/>
    <x v="0"/>
    <x v="0"/>
    <x v="0"/>
    <x v="0"/>
    <n v="137.5"/>
    <n v="2.5463"/>
    <n v="40"/>
    <x v="0"/>
    <x v="0"/>
    <x v="0"/>
    <x v="1"/>
    <x v="0"/>
    <x v="0"/>
    <x v="0"/>
    <x v="0"/>
    <x v="0"/>
    <x v="1"/>
    <x v="11"/>
    <x v="1"/>
    <n v="337"/>
    <x v="7"/>
    <n v="951"/>
    <x v="1"/>
    <x v="2"/>
    <x v="2"/>
    <x v="1"/>
  </r>
  <r>
    <x v="1"/>
    <x v="121"/>
    <x v="40"/>
    <x v="22"/>
    <x v="2"/>
    <s v="Turnip (Tokyo) - Mature Root 1X | Field DS SuFa"/>
    <s v="TUR528"/>
    <x v="0"/>
    <x v="13"/>
    <x v="15"/>
    <x v="4"/>
    <n v="1040"/>
    <x v="0"/>
    <x v="0"/>
    <x v="0"/>
    <x v="0"/>
    <s v="TUR"/>
    <x v="0"/>
    <x v="0"/>
    <d v="2025-07-07T00:00:00"/>
    <x v="0"/>
    <d v="2025-07-21T00:00:00"/>
    <d v="2025-08-30T00:00:00"/>
    <d v="2025-09-13T00:00:00"/>
    <x v="0"/>
    <x v="0"/>
    <x v="0"/>
    <x v="0"/>
    <n v="137.5"/>
    <n v="2.5463"/>
    <n v="40"/>
    <x v="0"/>
    <x v="0"/>
    <x v="0"/>
    <x v="1"/>
    <x v="0"/>
    <x v="0"/>
    <x v="0"/>
    <x v="0"/>
    <x v="0"/>
    <x v="1"/>
    <x v="11"/>
    <x v="1"/>
    <n v="337"/>
    <x v="7"/>
    <n v="972"/>
    <x v="1"/>
    <x v="2"/>
    <x v="2"/>
    <x v="1"/>
  </r>
  <r>
    <x v="1"/>
    <x v="115"/>
    <x v="41"/>
    <x v="5"/>
    <x v="2"/>
    <s v="Turnip (Tokyo) - Mature Root 1X | Field DS SuFa"/>
    <s v="TUR531"/>
    <x v="0"/>
    <x v="13"/>
    <x v="15"/>
    <x v="4"/>
    <n v="1040"/>
    <x v="0"/>
    <x v="0"/>
    <x v="0"/>
    <x v="0"/>
    <s v="TUR"/>
    <x v="0"/>
    <x v="0"/>
    <d v="2025-08-01T00:00:00"/>
    <x v="0"/>
    <d v="2025-08-01T00:00:00"/>
    <d v="2025-09-10T00:00:00"/>
    <d v="2025-09-24T00:00:00"/>
    <x v="1"/>
    <x v="0"/>
    <x v="0"/>
    <x v="0"/>
    <n v="137.5"/>
    <n v="2.5463"/>
    <n v="40"/>
    <x v="0"/>
    <x v="0"/>
    <x v="0"/>
    <x v="1"/>
    <x v="0"/>
    <x v="0"/>
    <x v="0"/>
    <x v="0"/>
    <x v="0"/>
    <x v="1"/>
    <x v="11"/>
    <x v="1"/>
    <n v="337"/>
    <x v="7"/>
    <n v="983"/>
    <x v="1"/>
    <x v="2"/>
    <x v="2"/>
    <x v="1"/>
  </r>
  <r>
    <x v="1"/>
    <x v="71"/>
    <x v="42"/>
    <x v="21"/>
    <x v="2"/>
    <s v="Turnip (Tokyo) - Mature Root 1X | Field DS SuFa"/>
    <s v="TUR529"/>
    <x v="0"/>
    <x v="13"/>
    <x v="15"/>
    <x v="4"/>
    <n v="1040"/>
    <x v="0"/>
    <x v="0"/>
    <x v="0"/>
    <x v="0"/>
    <s v="TUR"/>
    <x v="0"/>
    <x v="0"/>
    <d v="2025-08-07T00:00:00"/>
    <x v="0"/>
    <d v="2025-08-25T00:00:00"/>
    <d v="2025-10-04T00:00:00"/>
    <d v="2025-10-18T00:00:00"/>
    <x v="0"/>
    <x v="0"/>
    <x v="0"/>
    <x v="0"/>
    <n v="137.5"/>
    <n v="2.5463"/>
    <n v="40"/>
    <x v="0"/>
    <x v="0"/>
    <x v="0"/>
    <x v="1"/>
    <x v="0"/>
    <x v="0"/>
    <x v="0"/>
    <x v="0"/>
    <x v="0"/>
    <x v="1"/>
    <x v="11"/>
    <x v="1"/>
    <n v="337"/>
    <x v="7"/>
    <n v="1007"/>
    <x v="1"/>
    <x v="2"/>
    <x v="2"/>
    <x v="1"/>
  </r>
  <r>
    <x v="1"/>
    <x v="70"/>
    <x v="43"/>
    <x v="26"/>
    <x v="2"/>
    <s v="Turnip (Tokyo) - Mature Root 1X | Field DS SuFa"/>
    <s v="TUR532"/>
    <x v="0"/>
    <x v="13"/>
    <x v="15"/>
    <x v="4"/>
    <n v="1040"/>
    <x v="0"/>
    <x v="0"/>
    <x v="0"/>
    <x v="0"/>
    <s v="TUR"/>
    <x v="0"/>
    <x v="0"/>
    <d v="2025-08-20T00:00:00"/>
    <x v="0"/>
    <d v="2025-08-20T00:00:00"/>
    <d v="2025-09-29T00:00:00"/>
    <d v="2025-10-13T00:00:00"/>
    <x v="1"/>
    <x v="0"/>
    <x v="0"/>
    <x v="0"/>
    <n v="137.5"/>
    <n v="2.5463"/>
    <n v="40"/>
    <x v="0"/>
    <x v="0"/>
    <x v="0"/>
    <x v="1"/>
    <x v="0"/>
    <x v="0"/>
    <x v="0"/>
    <x v="0"/>
    <x v="0"/>
    <x v="1"/>
    <x v="11"/>
    <x v="1"/>
    <n v="337"/>
    <x v="7"/>
    <n v="1002"/>
    <x v="1"/>
    <x v="2"/>
    <x v="2"/>
    <x v="1"/>
  </r>
  <r>
    <x v="0"/>
    <x v="122"/>
    <x v="44"/>
    <x v="27"/>
    <x v="3"/>
    <s v="Asian Greens - Mature Head 1X | Field TP "/>
    <s v="BOK001"/>
    <x v="4"/>
    <x v="1"/>
    <x v="16"/>
    <x v="0"/>
    <n v="554.66666666666663"/>
    <x v="0"/>
    <x v="6"/>
    <x v="3"/>
    <x v="0"/>
    <s v="ASI"/>
    <x v="0"/>
    <x v="2"/>
    <d v="2025-04-29T00:00:00"/>
    <x v="0"/>
    <d v="2025-05-07T00:00:00"/>
    <d v="2025-06-18T00:00:00"/>
    <d v="2025-07-02T00:00:00"/>
    <x v="0"/>
    <x v="1"/>
    <x v="0"/>
    <x v="0"/>
    <n v="853.33330000000001"/>
    <n v="16.731999999999999"/>
    <n v="65"/>
    <x v="0"/>
    <x v="0"/>
    <x v="0"/>
    <x v="1"/>
    <x v="1"/>
    <x v="0"/>
    <x v="0"/>
    <x v="0"/>
    <x v="1"/>
    <x v="1"/>
    <x v="3"/>
    <x v="1"/>
    <n v="10"/>
    <x v="1"/>
    <n v="899"/>
    <x v="1"/>
    <x v="1"/>
    <x v="1"/>
    <x v="1"/>
  </r>
  <r>
    <x v="1"/>
    <x v="93"/>
    <x v="45"/>
    <x v="28"/>
    <x v="3"/>
    <s v="Asian Greens - Mature Head 1X | Field TP "/>
    <s v="ASI002"/>
    <x v="4"/>
    <x v="1"/>
    <x v="16"/>
    <x v="0"/>
    <n v="346.66666666666663"/>
    <x v="0"/>
    <x v="1"/>
    <x v="1"/>
    <x v="0"/>
    <s v="ASI"/>
    <x v="0"/>
    <x v="3"/>
    <d v="2025-08-15T00:00:00"/>
    <x v="0"/>
    <d v="2025-08-15T00:00:00"/>
    <d v="2025-09-21T00:00:00"/>
    <d v="2025-10-05T00:00:00"/>
    <x v="1"/>
    <x v="2"/>
    <x v="0"/>
    <x v="0"/>
    <n v="533.33330000000001"/>
    <n v="10.4575"/>
    <n v="65"/>
    <x v="0"/>
    <x v="0"/>
    <x v="0"/>
    <x v="1"/>
    <x v="1"/>
    <x v="0"/>
    <x v="0"/>
    <x v="0"/>
    <x v="1"/>
    <x v="1"/>
    <x v="3"/>
    <x v="1"/>
    <n v="10"/>
    <x v="1"/>
    <n v="994"/>
    <x v="1"/>
    <x v="1"/>
    <x v="1"/>
    <x v="1"/>
  </r>
  <r>
    <x v="0"/>
    <x v="123"/>
    <x v="46"/>
    <x v="16"/>
    <x v="3"/>
    <s v="Basil (Interplant) - Mature Leaf 1X | Tunnel TP SpSuOw"/>
    <s v="BAS001"/>
    <x v="0"/>
    <x v="14"/>
    <x v="17"/>
    <x v="0"/>
    <n v="65"/>
    <x v="0"/>
    <x v="1"/>
    <x v="1"/>
    <x v="0"/>
    <s v="BAS"/>
    <x v="0"/>
    <x v="4"/>
    <d v="2025-05-11T00:00:00"/>
    <x v="0"/>
    <d v="2025-05-26T00:00:00"/>
    <d v="2025-07-20T00:00:00"/>
    <d v="2025-09-07T00:00:00"/>
    <x v="0"/>
    <x v="2"/>
    <x v="0"/>
    <x v="0"/>
    <n v="81.25"/>
    <n v="0.78120000000000001"/>
    <n v="95"/>
    <x v="0"/>
    <x v="0"/>
    <x v="0"/>
    <x v="7"/>
    <x v="1"/>
    <x v="0"/>
    <x v="0"/>
    <x v="0"/>
    <x v="2"/>
    <x v="4"/>
    <x v="4"/>
    <x v="1"/>
    <n v="16"/>
    <x v="8"/>
    <n v="931"/>
    <x v="9"/>
    <x v="7"/>
    <x v="2"/>
    <x v="0"/>
  </r>
  <r>
    <x v="0"/>
    <x v="57"/>
    <x v="47"/>
    <x v="29"/>
    <x v="3"/>
    <s v="Basil (Italian) - Mature Leaf 1X | Tunnel TP SpSuOw"/>
    <s v="BAS002"/>
    <x v="0"/>
    <x v="14"/>
    <x v="17"/>
    <x v="0"/>
    <n v="260"/>
    <x v="0"/>
    <x v="1"/>
    <x v="1"/>
    <x v="0"/>
    <s v="BAS"/>
    <x v="0"/>
    <x v="5"/>
    <d v="2025-06-15T00:00:00"/>
    <x v="0"/>
    <d v="2025-06-28T00:00:00"/>
    <d v="2025-08-22T00:00:00"/>
    <d v="2025-10-10T00:00:00"/>
    <x v="0"/>
    <x v="2"/>
    <x v="0"/>
    <x v="0"/>
    <n v="325"/>
    <n v="3.125"/>
    <n v="95"/>
    <x v="0"/>
    <x v="0"/>
    <x v="0"/>
    <x v="7"/>
    <x v="1"/>
    <x v="0"/>
    <x v="0"/>
    <x v="0"/>
    <x v="2"/>
    <x v="1"/>
    <x v="4"/>
    <x v="1"/>
    <n v="17"/>
    <x v="8"/>
    <n v="964"/>
    <x v="9"/>
    <x v="7"/>
    <x v="2"/>
    <x v="0"/>
  </r>
  <r>
    <x v="0"/>
    <x v="123"/>
    <x v="48"/>
    <x v="30"/>
    <x v="3"/>
    <s v="Basil (Tulsi) - Mature Leaf 1X | Field TP "/>
    <s v="BAS003"/>
    <x v="0"/>
    <x v="14"/>
    <x v="18"/>
    <x v="5"/>
    <n v="52"/>
    <x v="0"/>
    <x v="5"/>
    <x v="1"/>
    <x v="0"/>
    <s v="BAS"/>
    <x v="0"/>
    <x v="4"/>
    <d v="2025-05-21T00:00:00"/>
    <x v="0"/>
    <d v="2025-06-04T00:00:00"/>
    <d v="2025-07-25T00:00:00"/>
    <d v="2025-11-14T00:00:00"/>
    <x v="0"/>
    <x v="1"/>
    <x v="0"/>
    <x v="0"/>
    <n v="420"/>
    <n v="2.4419"/>
    <n v="100"/>
    <x v="0"/>
    <x v="0"/>
    <x v="0"/>
    <x v="8"/>
    <x v="1"/>
    <x v="0"/>
    <x v="0"/>
    <x v="0"/>
    <x v="2"/>
    <x v="3"/>
    <x v="4"/>
    <x v="1"/>
    <n v="20"/>
    <x v="1"/>
    <n v="936"/>
    <x v="10"/>
    <x v="7"/>
    <x v="2"/>
    <x v="0"/>
  </r>
  <r>
    <x v="0"/>
    <x v="57"/>
    <x v="49"/>
    <x v="31"/>
    <x v="3"/>
    <s v="Bean (Pole) - Young Pod 3X | Field TP SuFa"/>
    <s v="BEA001"/>
    <x v="0"/>
    <x v="15"/>
    <x v="19"/>
    <x v="0"/>
    <n v="600"/>
    <x v="0"/>
    <x v="3"/>
    <x v="2"/>
    <x v="0"/>
    <s v="BEA"/>
    <x v="0"/>
    <x v="5"/>
    <d v="2025-05-20T00:00:00"/>
    <x v="0"/>
    <d v="2025-06-05T00:00:00"/>
    <d v="2025-08-17T00:00:00"/>
    <d v="2025-09-29T00:00:00"/>
    <x v="0"/>
    <x v="1"/>
    <x v="0"/>
    <x v="0"/>
    <n v="2080"/>
    <n v="17.478999999999999"/>
    <n v="90"/>
    <x v="0"/>
    <x v="0"/>
    <x v="0"/>
    <x v="9"/>
    <x v="1"/>
    <x v="0"/>
    <x v="0"/>
    <x v="0"/>
    <x v="3"/>
    <x v="4"/>
    <x v="6"/>
    <x v="1"/>
    <n v="23"/>
    <x v="7"/>
    <n v="959"/>
    <x v="11"/>
    <x v="10"/>
    <x v="5"/>
    <x v="3"/>
  </r>
  <r>
    <x v="0"/>
    <x v="57"/>
    <x v="50"/>
    <x v="32"/>
    <x v="3"/>
    <s v="Bean (Pole) - Young Pod 3X | Field TP SuFa"/>
    <s v="BEA002"/>
    <x v="0"/>
    <x v="15"/>
    <x v="19"/>
    <x v="0"/>
    <n v="300"/>
    <x v="0"/>
    <x v="1"/>
    <x v="1"/>
    <x v="0"/>
    <s v="BEA"/>
    <x v="0"/>
    <x v="5"/>
    <d v="2025-05-20T00:00:00"/>
    <x v="0"/>
    <d v="2025-06-05T00:00:00"/>
    <d v="2025-08-17T00:00:00"/>
    <d v="2025-09-29T00:00:00"/>
    <x v="0"/>
    <x v="1"/>
    <x v="0"/>
    <x v="0"/>
    <n v="1040"/>
    <n v="8.7394999999999996"/>
    <n v="90"/>
    <x v="0"/>
    <x v="0"/>
    <x v="0"/>
    <x v="9"/>
    <x v="1"/>
    <x v="0"/>
    <x v="0"/>
    <x v="0"/>
    <x v="3"/>
    <x v="4"/>
    <x v="6"/>
    <x v="1"/>
    <n v="23"/>
    <x v="7"/>
    <n v="959"/>
    <x v="11"/>
    <x v="10"/>
    <x v="5"/>
    <x v="3"/>
  </r>
  <r>
    <x v="0"/>
    <x v="124"/>
    <x v="51"/>
    <x v="33"/>
    <x v="3"/>
    <s v="Beet - Mature Root 3X | Field TP Sp"/>
    <s v="BEE001"/>
    <x v="0"/>
    <x v="16"/>
    <x v="20"/>
    <x v="0"/>
    <n v="990.00000000000011"/>
    <x v="0"/>
    <x v="3"/>
    <x v="2"/>
    <x v="0"/>
    <s v="BEE"/>
    <x v="0"/>
    <x v="6"/>
    <d v="2025-04-26T00:00:00"/>
    <x v="0"/>
    <d v="2025-05-02T00:00:00"/>
    <d v="2025-06-27T00:00:00"/>
    <d v="2025-08-01T00:00:00"/>
    <x v="0"/>
    <x v="2"/>
    <x v="0"/>
    <x v="0"/>
    <n v="800"/>
    <n v="8.7911999999999999"/>
    <n v="91"/>
    <x v="0"/>
    <x v="0"/>
    <x v="0"/>
    <x v="6"/>
    <x v="1"/>
    <x v="0"/>
    <x v="0"/>
    <x v="0"/>
    <x v="4"/>
    <x v="2"/>
    <x v="4"/>
    <x v="1"/>
    <n v="32"/>
    <x v="0"/>
    <n v="908"/>
    <x v="8"/>
    <x v="2"/>
    <x v="0"/>
    <x v="0"/>
  </r>
  <r>
    <x v="0"/>
    <x v="102"/>
    <x v="52"/>
    <x v="14"/>
    <x v="3"/>
    <s v="Beet - Mature Root 3X | Field TP SuFa"/>
    <s v="BEE002"/>
    <x v="0"/>
    <x v="16"/>
    <x v="20"/>
    <x v="0"/>
    <n v="990.00000000000011"/>
    <x v="0"/>
    <x v="3"/>
    <x v="2"/>
    <x v="0"/>
    <s v="BEE"/>
    <x v="0"/>
    <x v="7"/>
    <d v="2025-07-05T00:00:00"/>
    <x v="0"/>
    <d v="2025-07-26T00:00:00"/>
    <d v="2025-09-09T00:00:00"/>
    <d v="2025-10-14T00:00:00"/>
    <x v="0"/>
    <x v="2"/>
    <x v="0"/>
    <x v="0"/>
    <n v="800"/>
    <n v="10"/>
    <n v="80"/>
    <x v="0"/>
    <x v="0"/>
    <x v="0"/>
    <x v="6"/>
    <x v="1"/>
    <x v="0"/>
    <x v="0"/>
    <x v="0"/>
    <x v="4"/>
    <x v="2"/>
    <x v="4"/>
    <x v="1"/>
    <n v="33"/>
    <x v="7"/>
    <n v="982"/>
    <x v="8"/>
    <x v="2"/>
    <x v="0"/>
    <x v="4"/>
  </r>
  <r>
    <x v="1"/>
    <x v="76"/>
    <x v="53"/>
    <x v="34"/>
    <x v="3"/>
    <s v="Beet - Mature Root 3X | Field TP SuFa"/>
    <s v="BEE003"/>
    <x v="0"/>
    <x v="16"/>
    <x v="3"/>
    <x v="0"/>
    <n v="495.00000000000006"/>
    <x v="0"/>
    <x v="1"/>
    <x v="1"/>
    <x v="0"/>
    <s v="BEE"/>
    <x v="0"/>
    <x v="8"/>
    <d v="2025-08-15T00:00:00"/>
    <x v="0"/>
    <d v="2025-08-15T00:00:00"/>
    <d v="2025-09-29T00:00:00"/>
    <d v="2025-11-03T00:00:00"/>
    <x v="1"/>
    <x v="2"/>
    <x v="0"/>
    <x v="0"/>
    <n v="400"/>
    <n v="5"/>
    <n v="80"/>
    <x v="0"/>
    <x v="0"/>
    <x v="0"/>
    <x v="6"/>
    <x v="1"/>
    <x v="0"/>
    <x v="0"/>
    <x v="0"/>
    <x v="4"/>
    <x v="2"/>
    <x v="4"/>
    <x v="1"/>
    <n v="33"/>
    <x v="7"/>
    <n v="1002"/>
    <x v="8"/>
    <x v="2"/>
    <x v="0"/>
    <x v="4"/>
  </r>
  <r>
    <x v="1"/>
    <x v="93"/>
    <x v="54"/>
    <x v="35"/>
    <x v="3"/>
    <s v="Bok Choy - Mature Head 1X | Field TP SpFaWiOw"/>
    <s v="BOK002"/>
    <x v="0"/>
    <x v="17"/>
    <x v="3"/>
    <x v="0"/>
    <n v="173.33333333333331"/>
    <x v="0"/>
    <x v="0"/>
    <x v="0"/>
    <x v="0"/>
    <s v="BOK"/>
    <x v="0"/>
    <x v="3"/>
    <d v="2025-08-15T00:00:00"/>
    <x v="0"/>
    <d v="2025-08-15T00:00:00"/>
    <d v="2025-10-04T00:00:00"/>
    <d v="2025-10-18T00:00:00"/>
    <x v="1"/>
    <x v="2"/>
    <x v="0"/>
    <x v="0"/>
    <n v="333.33330000000001"/>
    <n v="5.2083000000000004"/>
    <n v="78"/>
    <x v="0"/>
    <x v="0"/>
    <x v="0"/>
    <x v="1"/>
    <x v="1"/>
    <x v="0"/>
    <x v="0"/>
    <x v="0"/>
    <x v="1"/>
    <x v="1"/>
    <x v="3"/>
    <x v="1"/>
    <n v="35"/>
    <x v="9"/>
    <n v="1007"/>
    <x v="1"/>
    <x v="1"/>
    <x v="1"/>
    <x v="1"/>
  </r>
  <r>
    <x v="0"/>
    <x v="102"/>
    <x v="55"/>
    <x v="36"/>
    <x v="3"/>
    <s v="Broccoli (Sprouting) - Loose Florets 1X | Field TP SuFa"/>
    <s v="BRO001"/>
    <x v="0"/>
    <x v="18"/>
    <x v="21"/>
    <x v="0"/>
    <n v="260"/>
    <x v="0"/>
    <x v="1"/>
    <x v="1"/>
    <x v="0"/>
    <s v="BRO"/>
    <x v="0"/>
    <x v="7"/>
    <d v="2025-07-08T00:00:00"/>
    <x v="0"/>
    <d v="2025-07-19T00:00:00"/>
    <d v="2025-09-02T00:00:00"/>
    <d v="2025-09-23T00:00:00"/>
    <x v="0"/>
    <x v="2"/>
    <x v="0"/>
    <x v="0"/>
    <n v="800"/>
    <n v="12.1212"/>
    <n v="73"/>
    <x v="0"/>
    <x v="0"/>
    <x v="0"/>
    <x v="2"/>
    <x v="1"/>
    <x v="0"/>
    <x v="0"/>
    <x v="0"/>
    <x v="1"/>
    <x v="3"/>
    <x v="4"/>
    <x v="1"/>
    <n v="41"/>
    <x v="7"/>
    <n v="975"/>
    <x v="2"/>
    <x v="3"/>
    <x v="2"/>
    <x v="2"/>
  </r>
  <r>
    <x v="1"/>
    <x v="125"/>
    <x v="56"/>
    <x v="35"/>
    <x v="3"/>
    <s v="Broccoli (Sprouting) - Loose Florets 1X | Field TP SuFa"/>
    <s v="BRO002"/>
    <x v="0"/>
    <x v="18"/>
    <x v="21"/>
    <x v="0"/>
    <n v="104"/>
    <x v="0"/>
    <x v="5"/>
    <x v="1"/>
    <x v="0"/>
    <s v="BRO"/>
    <x v="0"/>
    <x v="9"/>
    <d v="2025-08-07T00:00:00"/>
    <x v="0"/>
    <d v="2025-08-07T00:00:00"/>
    <d v="2025-09-21T00:00:00"/>
    <d v="2025-10-12T00:00:00"/>
    <x v="1"/>
    <x v="2"/>
    <x v="0"/>
    <x v="0"/>
    <n v="320"/>
    <n v="4.8484999999999996"/>
    <n v="73"/>
    <x v="0"/>
    <x v="0"/>
    <x v="0"/>
    <x v="2"/>
    <x v="1"/>
    <x v="0"/>
    <x v="0"/>
    <x v="0"/>
    <x v="1"/>
    <x v="3"/>
    <x v="4"/>
    <x v="1"/>
    <n v="41"/>
    <x v="7"/>
    <n v="994"/>
    <x v="2"/>
    <x v="3"/>
    <x v="2"/>
    <x v="2"/>
  </r>
  <r>
    <x v="0"/>
    <x v="102"/>
    <x v="57"/>
    <x v="37"/>
    <x v="3"/>
    <s v="Cabbage - Large Head 1X | Field TP Fa"/>
    <s v="CAB001"/>
    <x v="0"/>
    <x v="19"/>
    <x v="22"/>
    <x v="0"/>
    <n v="146.66666666666666"/>
    <x v="0"/>
    <x v="1"/>
    <x v="1"/>
    <x v="0"/>
    <s v="CAB"/>
    <x v="0"/>
    <x v="7"/>
    <d v="2025-07-15T00:00:00"/>
    <x v="0"/>
    <d v="2025-07-26T00:00:00"/>
    <d v="2025-10-19T00:00:00"/>
    <d v="2025-11-09T00:00:00"/>
    <x v="0"/>
    <x v="2"/>
    <x v="0"/>
    <x v="0"/>
    <n v="586.66669999999999"/>
    <n v="5.5346000000000002"/>
    <n v="120"/>
    <x v="0"/>
    <x v="0"/>
    <x v="0"/>
    <x v="2"/>
    <x v="1"/>
    <x v="0"/>
    <x v="0"/>
    <x v="0"/>
    <x v="4"/>
    <x v="3"/>
    <x v="7"/>
    <x v="1"/>
    <n v="47"/>
    <x v="6"/>
    <n v="1022"/>
    <x v="2"/>
    <x v="3"/>
    <x v="8"/>
    <x v="2"/>
  </r>
  <r>
    <x v="0"/>
    <x v="102"/>
    <x v="58"/>
    <x v="13"/>
    <x v="3"/>
    <s v="Cabbage (Chinese) - Large Head 1X | Field TP Wi"/>
    <s v="CAB002"/>
    <x v="0"/>
    <x v="19"/>
    <x v="23"/>
    <x v="0"/>
    <n v="176"/>
    <x v="0"/>
    <x v="1"/>
    <x v="1"/>
    <x v="0"/>
    <s v="CAB"/>
    <x v="0"/>
    <x v="7"/>
    <d v="2025-07-07T00:00:00"/>
    <x v="0"/>
    <d v="2025-07-19T00:00:00"/>
    <d v="2025-09-14T00:00:00"/>
    <d v="2025-09-28T00:00:00"/>
    <x v="0"/>
    <x v="2"/>
    <x v="0"/>
    <x v="0"/>
    <n v="360"/>
    <n v="5.0704000000000002"/>
    <n v="85"/>
    <x v="0"/>
    <x v="0"/>
    <x v="0"/>
    <x v="1"/>
    <x v="1"/>
    <x v="0"/>
    <x v="0"/>
    <x v="0"/>
    <x v="1"/>
    <x v="3"/>
    <x v="12"/>
    <x v="1"/>
    <n v="48"/>
    <x v="10"/>
    <n v="987"/>
    <x v="1"/>
    <x v="3"/>
    <x v="2"/>
    <x v="2"/>
  </r>
  <r>
    <x v="0"/>
    <x v="126"/>
    <x v="59"/>
    <x v="38"/>
    <x v="3"/>
    <s v="Cabbage (Chinese) - Small Head 1X | Field TP Fa"/>
    <s v="CAB010"/>
    <x v="0"/>
    <x v="19"/>
    <x v="24"/>
    <x v="0"/>
    <n v="330"/>
    <x v="0"/>
    <x v="1"/>
    <x v="1"/>
    <x v="0"/>
    <s v="CAB"/>
    <x v="0"/>
    <x v="10"/>
    <d v="2025-07-07T00:00:00"/>
    <x v="0"/>
    <d v="2025-07-31T00:00:00"/>
    <d v="2025-09-19T00:00:00"/>
    <d v="2025-10-03T00:00:00"/>
    <x v="0"/>
    <x v="2"/>
    <x v="0"/>
    <x v="0"/>
    <n v="600"/>
    <n v="9.375"/>
    <n v="78"/>
    <x v="0"/>
    <x v="0"/>
    <x v="0"/>
    <x v="1"/>
    <x v="1"/>
    <x v="0"/>
    <x v="0"/>
    <x v="0"/>
    <x v="1"/>
    <x v="2"/>
    <x v="4"/>
    <x v="1"/>
    <n v="49"/>
    <x v="6"/>
    <n v="992"/>
    <x v="1"/>
    <x v="3"/>
    <x v="2"/>
    <x v="2"/>
  </r>
  <r>
    <x v="0"/>
    <x v="124"/>
    <x v="60"/>
    <x v="39"/>
    <x v="3"/>
    <s v="Cabbage (Fast Early 9&quot;) - Large Head 1X | Field TP Sp"/>
    <s v="CAB003"/>
    <x v="0"/>
    <x v="19"/>
    <x v="25"/>
    <x v="0"/>
    <n v="176.00000000000003"/>
    <x v="0"/>
    <x v="5"/>
    <x v="1"/>
    <x v="0"/>
    <s v="CAB"/>
    <x v="0"/>
    <x v="6"/>
    <d v="2025-04-01T00:00:00"/>
    <x v="0"/>
    <d v="2025-05-05T00:00:00"/>
    <d v="2025-07-11T00:00:00"/>
    <d v="2025-07-18T00:00:00"/>
    <x v="0"/>
    <x v="1"/>
    <x v="0"/>
    <x v="0"/>
    <n v="264"/>
    <n v="3.4285999999999999"/>
    <n v="105"/>
    <x v="0"/>
    <x v="0"/>
    <x v="0"/>
    <x v="4"/>
    <x v="1"/>
    <x v="0"/>
    <x v="0"/>
    <x v="0"/>
    <x v="4"/>
    <x v="2"/>
    <x v="3"/>
    <x v="1"/>
    <n v="50"/>
    <x v="0"/>
    <n v="922"/>
    <x v="4"/>
    <x v="3"/>
    <x v="1"/>
    <x v="1"/>
  </r>
  <r>
    <x v="0"/>
    <x v="11"/>
    <x v="61"/>
    <x v="23"/>
    <x v="3"/>
    <s v="Cabbage (Fast Mid 9&quot;) - Large Head 1X | Field TP Sp"/>
    <s v="CAB004"/>
    <x v="0"/>
    <x v="19"/>
    <x v="26"/>
    <x v="3"/>
    <n v="440.00000000000006"/>
    <x v="0"/>
    <x v="1"/>
    <x v="1"/>
    <x v="0"/>
    <s v="CAB"/>
    <x v="0"/>
    <x v="11"/>
    <d v="2025-04-21T00:00:00"/>
    <x v="0"/>
    <d v="2025-05-01T00:00:00"/>
    <d v="2025-06-30T00:00:00"/>
    <d v="2025-07-07T00:00:00"/>
    <x v="0"/>
    <x v="1"/>
    <x v="0"/>
    <x v="0"/>
    <n v="660"/>
    <n v="10.645200000000001"/>
    <n v="90"/>
    <x v="0"/>
    <x v="0"/>
    <x v="0"/>
    <x v="4"/>
    <x v="1"/>
    <x v="0"/>
    <x v="0"/>
    <x v="0"/>
    <x v="4"/>
    <x v="2"/>
    <x v="3"/>
    <x v="1"/>
    <n v="53"/>
    <x v="0"/>
    <n v="911"/>
    <x v="4"/>
    <x v="3"/>
    <x v="1"/>
    <x v="1"/>
  </r>
  <r>
    <x v="0"/>
    <x v="102"/>
    <x v="62"/>
    <x v="17"/>
    <x v="3"/>
    <s v="Cauliflower - Mature Head 1X | Field TP Fa"/>
    <s v="CAU001"/>
    <x v="0"/>
    <x v="20"/>
    <x v="27"/>
    <x v="0"/>
    <n v="85.714285714285708"/>
    <x v="0"/>
    <x v="1"/>
    <x v="1"/>
    <x v="0"/>
    <s v="CAU"/>
    <x v="0"/>
    <x v="7"/>
    <d v="2025-07-15T00:00:00"/>
    <x v="0"/>
    <d v="2025-07-26T00:00:00"/>
    <d v="2025-10-19T00:00:00"/>
    <d v="2025-11-09T00:00:00"/>
    <x v="0"/>
    <x v="2"/>
    <x v="0"/>
    <x v="0"/>
    <n v="514.28570000000002"/>
    <n v="4.8517999999999999"/>
    <n v="120"/>
    <x v="0"/>
    <x v="0"/>
    <x v="0"/>
    <x v="2"/>
    <x v="1"/>
    <x v="0"/>
    <x v="0"/>
    <x v="0"/>
    <x v="4"/>
    <x v="3"/>
    <x v="13"/>
    <x v="1"/>
    <n v="66"/>
    <x v="6"/>
    <n v="1022"/>
    <x v="2"/>
    <x v="3"/>
    <x v="8"/>
    <x v="2"/>
  </r>
  <r>
    <x v="0"/>
    <x v="9"/>
    <x v="63"/>
    <x v="40"/>
    <x v="3"/>
    <s v="Cauliflower (Green-Stem) - Mature Head 1X | Field TP Su"/>
    <s v="CAU002"/>
    <x v="0"/>
    <x v="20"/>
    <x v="28"/>
    <x v="4"/>
    <n v="85.714285714285708"/>
    <x v="0"/>
    <x v="1"/>
    <x v="1"/>
    <x v="0"/>
    <s v="CAU"/>
    <x v="0"/>
    <x v="12"/>
    <d v="2025-08-01T00:00:00"/>
    <x v="0"/>
    <d v="2025-08-05T00:00:00"/>
    <d v="2025-09-16T00:00:00"/>
    <d v="2025-10-07T00:00:00"/>
    <x v="0"/>
    <x v="2"/>
    <x v="0"/>
    <x v="0"/>
    <n v="514.28570000000002"/>
    <n v="8.1632999999999996"/>
    <n v="77"/>
    <x v="0"/>
    <x v="0"/>
    <x v="0"/>
    <x v="2"/>
    <x v="1"/>
    <x v="0"/>
    <x v="0"/>
    <x v="0"/>
    <x v="4"/>
    <x v="3"/>
    <x v="13"/>
    <x v="1"/>
    <n v="69"/>
    <x v="2"/>
    <n v="989"/>
    <x v="2"/>
    <x v="3"/>
    <x v="8"/>
    <x v="2"/>
  </r>
  <r>
    <x v="0"/>
    <x v="124"/>
    <x v="64"/>
    <x v="41"/>
    <x v="3"/>
    <s v="Celery - Loose Rib 1X | Field TP SpSu"/>
    <s v="CEL001"/>
    <x v="0"/>
    <x v="21"/>
    <x v="29"/>
    <x v="0"/>
    <n v="195"/>
    <x v="0"/>
    <x v="1"/>
    <x v="1"/>
    <x v="0"/>
    <s v="CEL"/>
    <x v="0"/>
    <x v="6"/>
    <d v="2025-04-30T00:00:00"/>
    <x v="0"/>
    <d v="2025-06-05T00:00:00"/>
    <d v="2025-07-06T00:00:00"/>
    <d v="2025-11-30T00:00:00"/>
    <x v="0"/>
    <x v="1"/>
    <x v="0"/>
    <x v="0"/>
    <n v="4950"/>
    <n v="27.809000000000001"/>
    <n v="100"/>
    <x v="0"/>
    <x v="0"/>
    <x v="0"/>
    <x v="10"/>
    <x v="1"/>
    <x v="0"/>
    <x v="0"/>
    <x v="0"/>
    <x v="5"/>
    <x v="2"/>
    <x v="4"/>
    <x v="1"/>
    <n v="70"/>
    <x v="11"/>
    <n v="917"/>
    <x v="12"/>
    <x v="11"/>
    <x v="2"/>
    <x v="0"/>
  </r>
  <r>
    <x v="0"/>
    <x v="127"/>
    <x v="65"/>
    <x v="42"/>
    <x v="3"/>
    <s v="Choi Sum - Mature Head 1X | Field TP "/>
    <s v="CHO001"/>
    <x v="0"/>
    <x v="22"/>
    <x v="30"/>
    <x v="4"/>
    <n v="520"/>
    <x v="0"/>
    <x v="1"/>
    <x v="1"/>
    <x v="0"/>
    <s v="CHO"/>
    <x v="0"/>
    <x v="13"/>
    <d v="2025-03-22T00:00:00"/>
    <x v="0"/>
    <d v="2025-04-23T00:00:00"/>
    <d v="2025-05-17T00:00:00"/>
    <d v="2025-06-14T00:00:00"/>
    <x v="0"/>
    <x v="1"/>
    <x v="0"/>
    <x v="0"/>
    <n v="533.33330000000001"/>
    <n v="9.6969999999999992"/>
    <n v="57"/>
    <x v="0"/>
    <x v="0"/>
    <x v="0"/>
    <x v="11"/>
    <x v="1"/>
    <x v="0"/>
    <x v="0"/>
    <x v="0"/>
    <x v="6"/>
    <x v="1"/>
    <x v="6"/>
    <x v="1"/>
    <n v="79"/>
    <x v="1"/>
    <n v="867"/>
    <x v="13"/>
    <x v="3"/>
    <x v="8"/>
    <x v="2"/>
  </r>
  <r>
    <x v="1"/>
    <x v="128"/>
    <x v="66"/>
    <x v="43"/>
    <x v="3"/>
    <s v="Choi Sum - Mature Head 1X | Field TP "/>
    <s v="CHO002"/>
    <x v="0"/>
    <x v="22"/>
    <x v="30"/>
    <x v="4"/>
    <n v="520"/>
    <x v="0"/>
    <x v="1"/>
    <x v="1"/>
    <x v="0"/>
    <s v="CHO"/>
    <x v="0"/>
    <x v="14"/>
    <d v="2025-08-07T00:00:00"/>
    <x v="0"/>
    <d v="2025-08-07T00:00:00"/>
    <d v="2025-09-03T00:00:00"/>
    <d v="2025-10-01T00:00:00"/>
    <x v="1"/>
    <x v="2"/>
    <x v="0"/>
    <x v="0"/>
    <n v="533.33330000000001"/>
    <n v="9.6969999999999992"/>
    <n v="57"/>
    <x v="0"/>
    <x v="0"/>
    <x v="0"/>
    <x v="11"/>
    <x v="1"/>
    <x v="0"/>
    <x v="0"/>
    <x v="0"/>
    <x v="6"/>
    <x v="1"/>
    <x v="6"/>
    <x v="1"/>
    <n v="79"/>
    <x v="1"/>
    <n v="976"/>
    <x v="13"/>
    <x v="3"/>
    <x v="8"/>
    <x v="2"/>
  </r>
  <r>
    <x v="0"/>
    <x v="124"/>
    <x v="67"/>
    <x v="16"/>
    <x v="3"/>
    <s v="Cilantro - Loose Leaf 3X | Field TP Su"/>
    <s v="CIL002"/>
    <x v="0"/>
    <x v="23"/>
    <x v="31"/>
    <x v="0"/>
    <n v="412.50000000000006"/>
    <x v="0"/>
    <x v="2"/>
    <x v="0"/>
    <x v="0"/>
    <s v="CIL"/>
    <x v="0"/>
    <x v="6"/>
    <d v="2025-04-11T00:00:00"/>
    <x v="0"/>
    <d v="2025-04-20T00:00:00"/>
    <d v="2025-06-16T00:00:00"/>
    <d v="2025-06-30T00:00:00"/>
    <x v="0"/>
    <x v="1"/>
    <x v="0"/>
    <x v="0"/>
    <n v="300"/>
    <n v="4.6875"/>
    <n v="80"/>
    <x v="0"/>
    <x v="0"/>
    <x v="0"/>
    <x v="1"/>
    <x v="1"/>
    <x v="0"/>
    <x v="0"/>
    <x v="0"/>
    <x v="6"/>
    <x v="5"/>
    <x v="6"/>
    <x v="1"/>
    <n v="88"/>
    <x v="2"/>
    <n v="897"/>
    <x v="1"/>
    <x v="7"/>
    <x v="0"/>
    <x v="0"/>
  </r>
  <r>
    <x v="0"/>
    <x v="124"/>
    <x v="68"/>
    <x v="44"/>
    <x v="3"/>
    <s v="Cilantro - Loose Leaf 3X | Field TP Su"/>
    <s v="CIL003"/>
    <x v="0"/>
    <x v="23"/>
    <x v="31"/>
    <x v="0"/>
    <n v="412.50000000000006"/>
    <x v="0"/>
    <x v="2"/>
    <x v="0"/>
    <x v="0"/>
    <s v="CIL"/>
    <x v="0"/>
    <x v="6"/>
    <d v="2025-04-12T00:00:00"/>
    <x v="0"/>
    <d v="2025-04-20T00:00:00"/>
    <d v="2025-06-23T00:00:00"/>
    <d v="2025-07-07T00:00:00"/>
    <x v="0"/>
    <x v="1"/>
    <x v="0"/>
    <x v="0"/>
    <n v="300"/>
    <n v="4.6875"/>
    <n v="87"/>
    <x v="0"/>
    <x v="2"/>
    <x v="0"/>
    <x v="1"/>
    <x v="1"/>
    <x v="0"/>
    <x v="0"/>
    <x v="0"/>
    <x v="6"/>
    <x v="5"/>
    <x v="6"/>
    <x v="1"/>
    <n v="88"/>
    <x v="2"/>
    <n v="904"/>
    <x v="1"/>
    <x v="7"/>
    <x v="0"/>
    <x v="0"/>
  </r>
  <r>
    <x v="0"/>
    <x v="124"/>
    <x v="69"/>
    <x v="44"/>
    <x v="3"/>
    <s v="Cilantro - Loose Leaf 3X | Field TP Su"/>
    <s v="CIL004"/>
    <x v="0"/>
    <x v="23"/>
    <x v="31"/>
    <x v="0"/>
    <n v="412.50000000000006"/>
    <x v="0"/>
    <x v="2"/>
    <x v="0"/>
    <x v="0"/>
    <s v="CIL"/>
    <x v="0"/>
    <x v="6"/>
    <d v="2025-04-25T00:00:00"/>
    <x v="0"/>
    <d v="2025-04-20T00:00:00"/>
    <d v="2025-06-23T00:00:00"/>
    <d v="2025-07-07T00:00:00"/>
    <x v="0"/>
    <x v="1"/>
    <x v="0"/>
    <x v="0"/>
    <n v="300"/>
    <n v="4.6875"/>
    <n v="87"/>
    <x v="0"/>
    <x v="2"/>
    <x v="0"/>
    <x v="1"/>
    <x v="1"/>
    <x v="0"/>
    <x v="0"/>
    <x v="0"/>
    <x v="6"/>
    <x v="5"/>
    <x v="6"/>
    <x v="1"/>
    <n v="88"/>
    <x v="2"/>
    <n v="904"/>
    <x v="1"/>
    <x v="7"/>
    <x v="0"/>
    <x v="0"/>
  </r>
  <r>
    <x v="0"/>
    <x v="123"/>
    <x v="70"/>
    <x v="44"/>
    <x v="3"/>
    <s v="Cilantro - Loose Leaf 3X | Field TP Su"/>
    <s v="CIL005"/>
    <x v="0"/>
    <x v="23"/>
    <x v="31"/>
    <x v="0"/>
    <n v="412.50000000000006"/>
    <x v="0"/>
    <x v="2"/>
    <x v="0"/>
    <x v="0"/>
    <s v="CIL"/>
    <x v="0"/>
    <x v="4"/>
    <d v="2025-05-09T00:00:00"/>
    <x v="0"/>
    <d v="2025-05-18T00:00:00"/>
    <d v="2025-07-12T00:00:00"/>
    <d v="2025-07-26T00:00:00"/>
    <x v="0"/>
    <x v="1"/>
    <x v="0"/>
    <x v="0"/>
    <n v="300"/>
    <n v="4.6875"/>
    <n v="87"/>
    <x v="0"/>
    <x v="2"/>
    <x v="0"/>
    <x v="1"/>
    <x v="1"/>
    <x v="0"/>
    <x v="0"/>
    <x v="0"/>
    <x v="6"/>
    <x v="5"/>
    <x v="6"/>
    <x v="1"/>
    <n v="88"/>
    <x v="2"/>
    <n v="923"/>
    <x v="1"/>
    <x v="7"/>
    <x v="0"/>
    <x v="0"/>
  </r>
  <r>
    <x v="0"/>
    <x v="37"/>
    <x v="71"/>
    <x v="44"/>
    <x v="3"/>
    <s v="Cilantro - Loose Leaf 3X | Field TP Su"/>
    <s v="CIL006"/>
    <x v="0"/>
    <x v="23"/>
    <x v="31"/>
    <x v="0"/>
    <n v="412.50000000000006"/>
    <x v="0"/>
    <x v="2"/>
    <x v="0"/>
    <x v="0"/>
    <s v="CIL"/>
    <x v="0"/>
    <x v="15"/>
    <d v="2025-05-23T00:00:00"/>
    <x v="0"/>
    <d v="2025-05-18T00:00:00"/>
    <d v="2025-07-09T00:00:00"/>
    <d v="2025-07-23T00:00:00"/>
    <x v="0"/>
    <x v="1"/>
    <x v="0"/>
    <x v="0"/>
    <n v="300"/>
    <n v="4.6875"/>
    <n v="80"/>
    <x v="0"/>
    <x v="0"/>
    <x v="0"/>
    <x v="1"/>
    <x v="1"/>
    <x v="0"/>
    <x v="0"/>
    <x v="0"/>
    <x v="6"/>
    <x v="5"/>
    <x v="6"/>
    <x v="1"/>
    <n v="88"/>
    <x v="2"/>
    <n v="920"/>
    <x v="1"/>
    <x v="7"/>
    <x v="0"/>
    <x v="0"/>
  </r>
  <r>
    <x v="0"/>
    <x v="129"/>
    <x v="72"/>
    <x v="44"/>
    <x v="3"/>
    <s v="Cilantro - Loose Leaf 3X | Field TP Su"/>
    <s v="CIL007"/>
    <x v="0"/>
    <x v="23"/>
    <x v="31"/>
    <x v="0"/>
    <n v="412.50000000000006"/>
    <x v="0"/>
    <x v="2"/>
    <x v="0"/>
    <x v="0"/>
    <s v="CIL"/>
    <x v="0"/>
    <x v="16"/>
    <d v="2025-06-06T00:00:00"/>
    <x v="0"/>
    <d v="2025-06-13T00:00:00"/>
    <d v="2025-08-02T00:00:00"/>
    <d v="2025-08-16T00:00:00"/>
    <x v="0"/>
    <x v="2"/>
    <x v="0"/>
    <x v="0"/>
    <n v="300"/>
    <n v="4.6875"/>
    <n v="80"/>
    <x v="0"/>
    <x v="0"/>
    <x v="0"/>
    <x v="1"/>
    <x v="1"/>
    <x v="0"/>
    <x v="0"/>
    <x v="0"/>
    <x v="6"/>
    <x v="5"/>
    <x v="6"/>
    <x v="1"/>
    <n v="88"/>
    <x v="2"/>
    <n v="944"/>
    <x v="1"/>
    <x v="7"/>
    <x v="0"/>
    <x v="0"/>
  </r>
  <r>
    <x v="1"/>
    <x v="130"/>
    <x v="73"/>
    <x v="3"/>
    <x v="3"/>
    <s v="Cilantro - Loose Leaf 3X | Field TP Su"/>
    <s v="CIL012"/>
    <x v="0"/>
    <x v="23"/>
    <x v="31"/>
    <x v="0"/>
    <n v="412.50000000000006"/>
    <x v="0"/>
    <x v="2"/>
    <x v="0"/>
    <x v="0"/>
    <s v="CIL"/>
    <x v="0"/>
    <x v="17"/>
    <d v="2025-08-15T00:00:00"/>
    <x v="0"/>
    <d v="2025-08-15T00:00:00"/>
    <d v="2025-10-04T00:00:00"/>
    <d v="2025-10-18T00:00:00"/>
    <x v="1"/>
    <x v="2"/>
    <x v="0"/>
    <x v="0"/>
    <n v="300"/>
    <n v="4.6875"/>
    <n v="80"/>
    <x v="0"/>
    <x v="0"/>
    <x v="0"/>
    <x v="1"/>
    <x v="1"/>
    <x v="0"/>
    <x v="0"/>
    <x v="0"/>
    <x v="6"/>
    <x v="5"/>
    <x v="6"/>
    <x v="1"/>
    <n v="88"/>
    <x v="2"/>
    <n v="1007"/>
    <x v="1"/>
    <x v="7"/>
    <x v="0"/>
    <x v="0"/>
  </r>
  <r>
    <x v="0"/>
    <x v="123"/>
    <x v="74"/>
    <x v="2"/>
    <x v="3"/>
    <s v="Cucumber (Asian Long) - Large Fruit 1X | Greenhouse TP "/>
    <s v="CUC001"/>
    <x v="0"/>
    <x v="24"/>
    <x v="32"/>
    <x v="0"/>
    <n v="32.5"/>
    <x v="0"/>
    <x v="7"/>
    <x v="0"/>
    <x v="0"/>
    <s v="CUC"/>
    <x v="0"/>
    <x v="4"/>
    <d v="2025-05-06T00:00:00"/>
    <x v="0"/>
    <d v="2025-05-30T00:00:00"/>
    <d v="2025-06-25T00:00:00"/>
    <d v="2025-10-08T00:00:00"/>
    <x v="0"/>
    <x v="1"/>
    <x v="0"/>
    <x v="0"/>
    <n v="1607.1429000000001"/>
    <n v="11.4796"/>
    <n v="70"/>
    <x v="0"/>
    <x v="0"/>
    <x v="0"/>
    <x v="12"/>
    <x v="1"/>
    <x v="0"/>
    <x v="0"/>
    <x v="0"/>
    <x v="4"/>
    <x v="4"/>
    <x v="7"/>
    <x v="1"/>
    <n v="106"/>
    <x v="1"/>
    <n v="906"/>
    <x v="14"/>
    <x v="12"/>
    <x v="5"/>
    <x v="1"/>
  </r>
  <r>
    <x v="0"/>
    <x v="123"/>
    <x v="75"/>
    <x v="45"/>
    <x v="3"/>
    <s v="Cucumber (Asian Long) - Ripe Fruit 1X | Field TP "/>
    <s v="CUC003"/>
    <x v="0"/>
    <x v="24"/>
    <x v="32"/>
    <x v="0"/>
    <n v="65"/>
    <x v="0"/>
    <x v="1"/>
    <x v="1"/>
    <x v="0"/>
    <s v="CUC"/>
    <x v="0"/>
    <x v="4"/>
    <d v="2025-05-16T00:00:00"/>
    <x v="0"/>
    <d v="2025-05-26T00:00:00"/>
    <d v="2025-07-05T00:00:00"/>
    <d v="2025-09-20T00:00:00"/>
    <x v="0"/>
    <x v="1"/>
    <x v="0"/>
    <x v="0"/>
    <n v="1080"/>
    <n v="8.8524999999999991"/>
    <n v="80"/>
    <x v="0"/>
    <x v="0"/>
    <x v="0"/>
    <x v="13"/>
    <x v="1"/>
    <x v="0"/>
    <x v="0"/>
    <x v="0"/>
    <x v="4"/>
    <x v="4"/>
    <x v="4"/>
    <x v="2"/>
    <n v="107"/>
    <x v="1"/>
    <n v="916"/>
    <x v="15"/>
    <x v="12"/>
    <x v="5"/>
    <x v="0"/>
  </r>
  <r>
    <x v="0"/>
    <x v="123"/>
    <x v="76"/>
    <x v="16"/>
    <x v="3"/>
    <s v="Cucumber (Lebanese) - Small Fruit 1X | Greenhouse TP "/>
    <s v="CUC002"/>
    <x v="0"/>
    <x v="24"/>
    <x v="33"/>
    <x v="0"/>
    <n v="16.25"/>
    <x v="0"/>
    <x v="2"/>
    <x v="0"/>
    <x v="0"/>
    <s v="CUC"/>
    <x v="0"/>
    <x v="4"/>
    <d v="2025-05-06T00:00:00"/>
    <x v="0"/>
    <d v="2025-05-30T00:00:00"/>
    <d v="2025-06-25T00:00:00"/>
    <d v="2025-10-08T00:00:00"/>
    <x v="0"/>
    <x v="1"/>
    <x v="0"/>
    <x v="0"/>
    <n v="714.28570000000002"/>
    <n v="5.1020000000000003"/>
    <n v="70"/>
    <x v="0"/>
    <x v="0"/>
    <x v="0"/>
    <x v="12"/>
    <x v="1"/>
    <x v="0"/>
    <x v="0"/>
    <x v="0"/>
    <x v="4"/>
    <x v="4"/>
    <x v="4"/>
    <x v="1"/>
    <n v="109"/>
    <x v="1"/>
    <n v="906"/>
    <x v="14"/>
    <x v="1"/>
    <x v="1"/>
    <x v="1"/>
  </r>
  <r>
    <x v="0"/>
    <x v="123"/>
    <x v="77"/>
    <x v="46"/>
    <x v="3"/>
    <s v="Cucumber (Slicer) - Ripe Fruit 1X | Field TP "/>
    <s v="CUC004"/>
    <x v="0"/>
    <x v="24"/>
    <x v="34"/>
    <x v="0"/>
    <n v="65"/>
    <x v="0"/>
    <x v="1"/>
    <x v="1"/>
    <x v="0"/>
    <s v="CUC"/>
    <x v="0"/>
    <x v="4"/>
    <d v="2025-05-16T00:00:00"/>
    <x v="0"/>
    <d v="2025-05-26T00:00:00"/>
    <d v="2025-07-05T00:00:00"/>
    <d v="2025-09-20T00:00:00"/>
    <x v="0"/>
    <x v="1"/>
    <x v="0"/>
    <x v="0"/>
    <n v="1080"/>
    <n v="8.8524999999999991"/>
    <n v="80"/>
    <x v="0"/>
    <x v="0"/>
    <x v="0"/>
    <x v="13"/>
    <x v="1"/>
    <x v="0"/>
    <x v="0"/>
    <x v="0"/>
    <x v="4"/>
    <x v="4"/>
    <x v="4"/>
    <x v="2"/>
    <n v="111"/>
    <x v="1"/>
    <n v="916"/>
    <x v="15"/>
    <x v="12"/>
    <x v="5"/>
    <x v="0"/>
  </r>
  <r>
    <x v="0"/>
    <x v="123"/>
    <x v="78"/>
    <x v="44"/>
    <x v="3"/>
    <s v="Dill - Mature Leaf 4X | Field TP Sp"/>
    <s v="DIL004"/>
    <x v="0"/>
    <x v="25"/>
    <x v="35"/>
    <x v="0"/>
    <n v="880.00000000000011"/>
    <x v="0"/>
    <x v="2"/>
    <x v="0"/>
    <x v="0"/>
    <s v="DIL"/>
    <x v="0"/>
    <x v="4"/>
    <d v="2025-05-05T00:00:00"/>
    <x v="0"/>
    <d v="2025-05-18T00:00:00"/>
    <d v="2025-07-18T00:00:00"/>
    <d v="2025-08-04T00:00:00"/>
    <x v="0"/>
    <x v="1"/>
    <x v="0"/>
    <x v="0"/>
    <n v="320"/>
    <n v="4.1558000000000002"/>
    <n v="93"/>
    <x v="0"/>
    <x v="2"/>
    <x v="0"/>
    <x v="14"/>
    <x v="1"/>
    <x v="0"/>
    <x v="0"/>
    <x v="0"/>
    <x v="7"/>
    <x v="1"/>
    <x v="10"/>
    <x v="1"/>
    <n v="117"/>
    <x v="0"/>
    <n v="929"/>
    <x v="16"/>
    <x v="7"/>
    <x v="3"/>
    <x v="0"/>
  </r>
  <r>
    <x v="0"/>
    <x v="2"/>
    <x v="79"/>
    <x v="16"/>
    <x v="3"/>
    <s v="Dill - Mature Leaf 4X | Field TP Su"/>
    <s v="DIL001"/>
    <x v="0"/>
    <x v="25"/>
    <x v="35"/>
    <x v="0"/>
    <n v="880.00000000000011"/>
    <x v="0"/>
    <x v="2"/>
    <x v="0"/>
    <x v="0"/>
    <s v="DIL"/>
    <x v="0"/>
    <x v="18"/>
    <d v="2025-04-07T00:00:00"/>
    <x v="0"/>
    <d v="2025-04-20T00:00:00"/>
    <d v="2025-06-09T00:00:00"/>
    <d v="2025-06-26T00:00:00"/>
    <x v="0"/>
    <x v="1"/>
    <x v="0"/>
    <x v="0"/>
    <n v="320"/>
    <n v="4.7760999999999996"/>
    <n v="76"/>
    <x v="0"/>
    <x v="0"/>
    <x v="0"/>
    <x v="14"/>
    <x v="1"/>
    <x v="0"/>
    <x v="0"/>
    <x v="0"/>
    <x v="7"/>
    <x v="1"/>
    <x v="10"/>
    <x v="1"/>
    <n v="118"/>
    <x v="2"/>
    <n v="890"/>
    <x v="16"/>
    <x v="7"/>
    <x v="3"/>
    <x v="0"/>
  </r>
  <r>
    <x v="0"/>
    <x v="2"/>
    <x v="80"/>
    <x v="44"/>
    <x v="3"/>
    <s v="Dill - Mature Leaf 4X | Field TP Su"/>
    <s v="DIL002"/>
    <x v="0"/>
    <x v="25"/>
    <x v="35"/>
    <x v="0"/>
    <n v="880.00000000000011"/>
    <x v="0"/>
    <x v="2"/>
    <x v="0"/>
    <x v="0"/>
    <s v="DIL"/>
    <x v="0"/>
    <x v="18"/>
    <d v="2025-04-07T00:00:00"/>
    <x v="0"/>
    <d v="2025-04-20T00:00:00"/>
    <d v="2025-06-16T00:00:00"/>
    <d v="2025-07-03T00:00:00"/>
    <x v="0"/>
    <x v="1"/>
    <x v="0"/>
    <x v="0"/>
    <n v="320"/>
    <n v="4.7760999999999996"/>
    <n v="83"/>
    <x v="0"/>
    <x v="2"/>
    <x v="0"/>
    <x v="14"/>
    <x v="1"/>
    <x v="0"/>
    <x v="0"/>
    <x v="0"/>
    <x v="7"/>
    <x v="1"/>
    <x v="10"/>
    <x v="1"/>
    <n v="118"/>
    <x v="2"/>
    <n v="897"/>
    <x v="16"/>
    <x v="7"/>
    <x v="3"/>
    <x v="0"/>
  </r>
  <r>
    <x v="0"/>
    <x v="37"/>
    <x v="81"/>
    <x v="44"/>
    <x v="3"/>
    <s v="Dill - Mature Leaf 4X | Field TP Su"/>
    <s v="DIL005"/>
    <x v="0"/>
    <x v="25"/>
    <x v="35"/>
    <x v="0"/>
    <n v="880.00000000000011"/>
    <x v="0"/>
    <x v="2"/>
    <x v="0"/>
    <x v="0"/>
    <s v="DIL"/>
    <x v="0"/>
    <x v="15"/>
    <d v="2025-05-19T00:00:00"/>
    <x v="0"/>
    <d v="2025-05-18T00:00:00"/>
    <d v="2025-07-05T00:00:00"/>
    <d v="2025-07-22T00:00:00"/>
    <x v="0"/>
    <x v="1"/>
    <x v="0"/>
    <x v="0"/>
    <n v="320"/>
    <n v="4.7760999999999996"/>
    <n v="76"/>
    <x v="0"/>
    <x v="0"/>
    <x v="0"/>
    <x v="14"/>
    <x v="1"/>
    <x v="0"/>
    <x v="0"/>
    <x v="0"/>
    <x v="7"/>
    <x v="1"/>
    <x v="10"/>
    <x v="1"/>
    <n v="118"/>
    <x v="2"/>
    <n v="916"/>
    <x v="16"/>
    <x v="7"/>
    <x v="3"/>
    <x v="0"/>
  </r>
  <r>
    <x v="0"/>
    <x v="129"/>
    <x v="82"/>
    <x v="3"/>
    <x v="3"/>
    <s v="Dill - Mature Leaf 4X | Field TP Su"/>
    <s v="DIL006"/>
    <x v="0"/>
    <x v="25"/>
    <x v="35"/>
    <x v="0"/>
    <n v="880.00000000000011"/>
    <x v="0"/>
    <x v="2"/>
    <x v="0"/>
    <x v="0"/>
    <s v="DIL"/>
    <x v="0"/>
    <x v="16"/>
    <d v="2025-06-02T00:00:00"/>
    <x v="0"/>
    <d v="2025-06-09T00:00:00"/>
    <d v="2025-07-29T00:00:00"/>
    <d v="2025-08-15T00:00:00"/>
    <x v="0"/>
    <x v="2"/>
    <x v="0"/>
    <x v="0"/>
    <n v="320"/>
    <n v="4.7760999999999996"/>
    <n v="76"/>
    <x v="0"/>
    <x v="0"/>
    <x v="0"/>
    <x v="14"/>
    <x v="1"/>
    <x v="0"/>
    <x v="0"/>
    <x v="0"/>
    <x v="7"/>
    <x v="1"/>
    <x v="10"/>
    <x v="1"/>
    <n v="118"/>
    <x v="2"/>
    <n v="940"/>
    <x v="16"/>
    <x v="7"/>
    <x v="3"/>
    <x v="0"/>
  </r>
  <r>
    <x v="0"/>
    <x v="127"/>
    <x v="83"/>
    <x v="9"/>
    <x v="3"/>
    <s v="Fennel - Mini Bulb 1X | Field TP Sp"/>
    <s v="FEN003"/>
    <x v="0"/>
    <x v="26"/>
    <x v="36"/>
    <x v="0"/>
    <n v="520"/>
    <x v="0"/>
    <x v="1"/>
    <x v="1"/>
    <x v="0"/>
    <s v="FEN"/>
    <x v="0"/>
    <x v="13"/>
    <d v="2025-04-06T00:00:00"/>
    <x v="0"/>
    <d v="2025-05-04T00:00:00"/>
    <d v="2025-06-06T00:00:00"/>
    <d v="2025-06-20T00:00:00"/>
    <x v="0"/>
    <x v="1"/>
    <x v="0"/>
    <x v="0"/>
    <n v="666.66669999999999"/>
    <n v="10.929"/>
    <n v="77"/>
    <x v="0"/>
    <x v="0"/>
    <x v="0"/>
    <x v="1"/>
    <x v="1"/>
    <x v="0"/>
    <x v="0"/>
    <x v="0"/>
    <x v="6"/>
    <x v="1"/>
    <x v="6"/>
    <x v="1"/>
    <n v="131"/>
    <x v="0"/>
    <n v="887"/>
    <x v="1"/>
    <x v="13"/>
    <x v="9"/>
    <x v="0"/>
  </r>
  <r>
    <x v="0"/>
    <x v="11"/>
    <x v="84"/>
    <x v="29"/>
    <x v="3"/>
    <s v="Gooseberry (Cape) - Mature Berry 1X | Field TP "/>
    <s v="GOO001"/>
    <x v="0"/>
    <x v="27"/>
    <x v="37"/>
    <x v="6"/>
    <n v="13"/>
    <x v="0"/>
    <x v="0"/>
    <x v="0"/>
    <x v="0"/>
    <s v="GOO"/>
    <x v="0"/>
    <x v="11"/>
    <d v="2025-05-24T00:00:00"/>
    <x v="0"/>
    <d v="2025-01-01T00:00:00"/>
    <d v="2025-09-06T00:00:00"/>
    <d v="2025-12-13T00:00:00"/>
    <x v="0"/>
    <x v="1"/>
    <x v="0"/>
    <x v="0"/>
    <n v="640"/>
    <n v="3.1526999999999998"/>
    <n v="158"/>
    <x v="0"/>
    <x v="0"/>
    <x v="0"/>
    <x v="15"/>
    <x v="1"/>
    <x v="0"/>
    <x v="0"/>
    <x v="0"/>
    <x v="8"/>
    <x v="4"/>
    <x v="14"/>
    <x v="1"/>
    <n v="140"/>
    <x v="1"/>
    <n v="979"/>
    <x v="17"/>
    <x v="1"/>
    <x v="1"/>
    <x v="1"/>
  </r>
  <r>
    <x v="0"/>
    <x v="11"/>
    <x v="85"/>
    <x v="47"/>
    <x v="3"/>
    <s v="Kale - Mature Leaf 2X | Field TP Sp"/>
    <s v="KAL003"/>
    <x v="0"/>
    <x v="28"/>
    <x v="38"/>
    <x v="0"/>
    <n v="293.33333333333331"/>
    <x v="0"/>
    <x v="3"/>
    <x v="2"/>
    <x v="0"/>
    <s v="KAL"/>
    <x v="0"/>
    <x v="11"/>
    <d v="2025-04-26T00:00:00"/>
    <x v="0"/>
    <d v="2025-04-28T00:00:00"/>
    <d v="2025-06-30T00:00:00"/>
    <d v="2025-08-25T00:00:00"/>
    <x v="0"/>
    <x v="1"/>
    <x v="0"/>
    <x v="0"/>
    <n v="1600"/>
    <n v="14.414400000000001"/>
    <n v="90"/>
    <x v="0"/>
    <x v="0"/>
    <x v="0"/>
    <x v="3"/>
    <x v="1"/>
    <x v="0"/>
    <x v="0"/>
    <x v="0"/>
    <x v="4"/>
    <x v="3"/>
    <x v="7"/>
    <x v="1"/>
    <n v="155"/>
    <x v="0"/>
    <n v="911"/>
    <x v="3"/>
    <x v="3"/>
    <x v="7"/>
    <x v="2"/>
  </r>
  <r>
    <x v="0"/>
    <x v="126"/>
    <x v="86"/>
    <x v="4"/>
    <x v="3"/>
    <s v="Kohlrabi (Sm) - Storage Bulb 1X | Field TP Fa"/>
    <s v="KOH002"/>
    <x v="0"/>
    <x v="29"/>
    <x v="39"/>
    <x v="0"/>
    <n v="390"/>
    <x v="0"/>
    <x v="1"/>
    <x v="1"/>
    <x v="0"/>
    <s v="KOH"/>
    <x v="0"/>
    <x v="10"/>
    <d v="2025-07-10T00:00:00"/>
    <x v="0"/>
    <d v="2025-07-28T00:00:00"/>
    <d v="2025-09-14T00:00:00"/>
    <d v="2025-09-28T00:00:00"/>
    <x v="0"/>
    <x v="2"/>
    <x v="0"/>
    <x v="0"/>
    <n v="600"/>
    <n v="9.6774000000000004"/>
    <n v="73"/>
    <x v="0"/>
    <x v="0"/>
    <x v="0"/>
    <x v="1"/>
    <x v="1"/>
    <x v="0"/>
    <x v="0"/>
    <x v="0"/>
    <x v="9"/>
    <x v="3"/>
    <x v="15"/>
    <x v="1"/>
    <n v="157"/>
    <x v="6"/>
    <n v="987"/>
    <x v="1"/>
    <x v="3"/>
    <x v="2"/>
    <x v="2"/>
  </r>
  <r>
    <x v="0"/>
    <x v="2"/>
    <x v="87"/>
    <x v="28"/>
    <x v="3"/>
    <s v="Kohlrabi (Sm) - Storage Bulb 1X | Field TP Sp"/>
    <s v="KOH003"/>
    <x v="0"/>
    <x v="29"/>
    <x v="39"/>
    <x v="0"/>
    <n v="390"/>
    <x v="0"/>
    <x v="1"/>
    <x v="1"/>
    <x v="0"/>
    <s v="KOH"/>
    <x v="0"/>
    <x v="18"/>
    <d v="2025-03-27T00:00:00"/>
    <x v="0"/>
    <d v="2025-04-20T00:00:00"/>
    <d v="2025-05-19T00:00:00"/>
    <d v="2025-06-02T00:00:00"/>
    <x v="0"/>
    <x v="1"/>
    <x v="0"/>
    <x v="0"/>
    <n v="600"/>
    <n v="13.6364"/>
    <n v="55"/>
    <x v="0"/>
    <x v="0"/>
    <x v="0"/>
    <x v="1"/>
    <x v="1"/>
    <x v="0"/>
    <x v="0"/>
    <x v="0"/>
    <x v="9"/>
    <x v="3"/>
    <x v="15"/>
    <x v="1"/>
    <n v="158"/>
    <x v="0"/>
    <n v="869"/>
    <x v="1"/>
    <x v="1"/>
    <x v="1"/>
    <x v="2"/>
  </r>
  <r>
    <x v="0"/>
    <x v="131"/>
    <x v="88"/>
    <x v="48"/>
    <x v="3"/>
    <s v="Leek - Mature Stalk 5X | Field TP Su"/>
    <s v="LEE001"/>
    <x v="0"/>
    <x v="30"/>
    <x v="40"/>
    <x v="0"/>
    <n v="3466.6666666666661"/>
    <x v="0"/>
    <x v="3"/>
    <x v="2"/>
    <x v="0"/>
    <s v="LEE"/>
    <x v="0"/>
    <x v="19"/>
    <d v="2025-05-31T00:00:00"/>
    <x v="0"/>
    <d v="2025-06-28T00:00:00"/>
    <d v="2025-09-04T00:00:00"/>
    <d v="2025-10-02T00:00:00"/>
    <x v="0"/>
    <x v="1"/>
    <x v="0"/>
    <x v="0"/>
    <n v="2666.6667000000002"/>
    <n v="24.2424"/>
    <n v="142"/>
    <x v="0"/>
    <x v="0"/>
    <x v="0"/>
    <x v="11"/>
    <x v="1"/>
    <x v="0"/>
    <x v="0"/>
    <x v="0"/>
    <x v="10"/>
    <x v="1"/>
    <x v="3"/>
    <x v="1"/>
    <n v="169"/>
    <x v="2"/>
    <n v="977"/>
    <x v="13"/>
    <x v="1"/>
    <x v="1"/>
    <x v="1"/>
  </r>
  <r>
    <x v="0"/>
    <x v="11"/>
    <x v="89"/>
    <x v="49"/>
    <x v="3"/>
    <s v="Lemongrass - Mature Stalks 1X | Field TP SpSu"/>
    <s v="LEM001"/>
    <x v="0"/>
    <x v="31"/>
    <x v="41"/>
    <x v="4"/>
    <n v="130"/>
    <x v="0"/>
    <x v="1"/>
    <x v="1"/>
    <x v="0"/>
    <s v="LEM"/>
    <x v="0"/>
    <x v="11"/>
    <d v="2025-05-01T00:00:00"/>
    <x v="0"/>
    <d v="2025-05-31T00:00:00"/>
    <d v="2025-07-30T00:00:00"/>
    <d v="2025-10-01T00:00:00"/>
    <x v="0"/>
    <x v="1"/>
    <x v="0"/>
    <x v="0"/>
    <n v="2400"/>
    <n v="16.783200000000001"/>
    <n v="120"/>
    <x v="0"/>
    <x v="0"/>
    <x v="0"/>
    <x v="16"/>
    <x v="1"/>
    <x v="0"/>
    <x v="0"/>
    <x v="0"/>
    <x v="2"/>
    <x v="3"/>
    <x v="4"/>
    <x v="1"/>
    <n v="171"/>
    <x v="11"/>
    <n v="941"/>
    <x v="18"/>
    <x v="7"/>
    <x v="3"/>
    <x v="0"/>
  </r>
  <r>
    <x v="0"/>
    <x v="11"/>
    <x v="90"/>
    <x v="50"/>
    <x v="3"/>
    <s v="Lettuce (4x9) - Mature Head 1X | Field TP Sp"/>
    <s v="LET014"/>
    <x v="0"/>
    <x v="32"/>
    <x v="42"/>
    <x v="7"/>
    <n v="180.26666666666665"/>
    <x v="0"/>
    <x v="5"/>
    <x v="1"/>
    <x v="0"/>
    <s v="LET"/>
    <x v="0"/>
    <x v="11"/>
    <d v="2025-04-11T00:00:00"/>
    <x v="0"/>
    <d v="2025-05-10T00:00:00"/>
    <d v="2025-07-05T00:00:00"/>
    <d v="2025-07-19T00:00:00"/>
    <x v="0"/>
    <x v="1"/>
    <x v="0"/>
    <x v="0"/>
    <n v="426.66669999999999"/>
    <n v="5.4008000000000003"/>
    <n v="95"/>
    <x v="0"/>
    <x v="0"/>
    <x v="0"/>
    <x v="1"/>
    <x v="1"/>
    <x v="0"/>
    <x v="0"/>
    <x v="0"/>
    <x v="6"/>
    <x v="1"/>
    <x v="3"/>
    <x v="1"/>
    <n v="174"/>
    <x v="0"/>
    <n v="916"/>
    <x v="1"/>
    <x v="0"/>
    <x v="0"/>
    <x v="0"/>
  </r>
  <r>
    <x v="0"/>
    <x v="123"/>
    <x v="91"/>
    <x v="51"/>
    <x v="3"/>
    <s v="Lettuce (4x9) - Mature Head 1X | Field TP Sp"/>
    <s v="LET015"/>
    <x v="0"/>
    <x v="32"/>
    <x v="43"/>
    <x v="3"/>
    <n v="180.26666666666665"/>
    <x v="0"/>
    <x v="5"/>
    <x v="1"/>
    <x v="0"/>
    <s v="LET"/>
    <x v="0"/>
    <x v="4"/>
    <d v="2025-05-02T00:00:00"/>
    <x v="0"/>
    <d v="2025-05-10T00:00:00"/>
    <d v="2025-07-13T00:00:00"/>
    <d v="2025-07-27T00:00:00"/>
    <x v="0"/>
    <x v="1"/>
    <x v="0"/>
    <x v="0"/>
    <n v="426.66669999999999"/>
    <n v="5.4008000000000003"/>
    <n v="88"/>
    <x v="0"/>
    <x v="3"/>
    <x v="0"/>
    <x v="1"/>
    <x v="1"/>
    <x v="0"/>
    <x v="0"/>
    <x v="0"/>
    <x v="6"/>
    <x v="1"/>
    <x v="3"/>
    <x v="1"/>
    <n v="174"/>
    <x v="0"/>
    <n v="924"/>
    <x v="1"/>
    <x v="0"/>
    <x v="0"/>
    <x v="0"/>
  </r>
  <r>
    <x v="0"/>
    <x v="16"/>
    <x v="92"/>
    <x v="52"/>
    <x v="3"/>
    <s v="Lettuce (4x9) - Mature Head 1X | Field TP Sp"/>
    <s v="LET016"/>
    <x v="0"/>
    <x v="32"/>
    <x v="44"/>
    <x v="7"/>
    <n v="180.26666666666665"/>
    <x v="0"/>
    <x v="5"/>
    <x v="1"/>
    <x v="0"/>
    <s v="LET"/>
    <x v="0"/>
    <x v="20"/>
    <d v="2025-05-23T00:00:00"/>
    <x v="0"/>
    <d v="2025-06-06T00:00:00"/>
    <d v="2025-07-14T00:00:00"/>
    <d v="2025-07-28T00:00:00"/>
    <x v="0"/>
    <x v="1"/>
    <x v="0"/>
    <x v="0"/>
    <n v="426.66669999999999"/>
    <n v="5.4008000000000003"/>
    <n v="81"/>
    <x v="0"/>
    <x v="4"/>
    <x v="0"/>
    <x v="1"/>
    <x v="1"/>
    <x v="0"/>
    <x v="0"/>
    <x v="0"/>
    <x v="6"/>
    <x v="1"/>
    <x v="3"/>
    <x v="1"/>
    <n v="174"/>
    <x v="0"/>
    <n v="925"/>
    <x v="1"/>
    <x v="0"/>
    <x v="0"/>
    <x v="0"/>
  </r>
  <r>
    <x v="0"/>
    <x v="57"/>
    <x v="93"/>
    <x v="53"/>
    <x v="3"/>
    <s v="Lettuce (4x9) - Mature Head 1X | Field TP Sp"/>
    <s v="LET030"/>
    <x v="0"/>
    <x v="32"/>
    <x v="45"/>
    <x v="0"/>
    <n v="450.66666666666663"/>
    <x v="0"/>
    <x v="1"/>
    <x v="1"/>
    <x v="0"/>
    <s v="LET"/>
    <x v="0"/>
    <x v="5"/>
    <d v="2025-06-01T00:00:00"/>
    <x v="0"/>
    <d v="2025-06-18T00:00:00"/>
    <d v="2025-08-01T00:00:00"/>
    <d v="2025-08-15T00:00:00"/>
    <x v="0"/>
    <x v="2"/>
    <x v="0"/>
    <x v="0"/>
    <n v="1066.6667"/>
    <n v="13.5021"/>
    <n v="74"/>
    <x v="0"/>
    <x v="5"/>
    <x v="0"/>
    <x v="1"/>
    <x v="1"/>
    <x v="0"/>
    <x v="0"/>
    <x v="0"/>
    <x v="6"/>
    <x v="1"/>
    <x v="3"/>
    <x v="1"/>
    <n v="174"/>
    <x v="0"/>
    <n v="943"/>
    <x v="1"/>
    <x v="0"/>
    <x v="0"/>
    <x v="0"/>
  </r>
  <r>
    <x v="0"/>
    <x v="129"/>
    <x v="94"/>
    <x v="54"/>
    <x v="3"/>
    <s v="Lettuce (4x9) - Mature Head 1X | Field TP Sp"/>
    <s v="LET017"/>
    <x v="0"/>
    <x v="32"/>
    <x v="46"/>
    <x v="8"/>
    <n v="180.26666666666665"/>
    <x v="0"/>
    <x v="5"/>
    <x v="1"/>
    <x v="0"/>
    <s v="LET"/>
    <x v="0"/>
    <x v="16"/>
    <d v="2025-06-13T00:00:00"/>
    <x v="0"/>
    <d v="2025-06-13T00:00:00"/>
    <d v="2025-07-27T00:00:00"/>
    <d v="2025-08-10T00:00:00"/>
    <x v="0"/>
    <x v="2"/>
    <x v="0"/>
    <x v="0"/>
    <n v="426.66669999999999"/>
    <n v="5.4008000000000003"/>
    <n v="74"/>
    <x v="0"/>
    <x v="5"/>
    <x v="0"/>
    <x v="1"/>
    <x v="1"/>
    <x v="0"/>
    <x v="0"/>
    <x v="0"/>
    <x v="6"/>
    <x v="1"/>
    <x v="3"/>
    <x v="1"/>
    <n v="174"/>
    <x v="0"/>
    <n v="938"/>
    <x v="1"/>
    <x v="0"/>
    <x v="0"/>
    <x v="0"/>
  </r>
  <r>
    <x v="0"/>
    <x v="9"/>
    <x v="95"/>
    <x v="39"/>
    <x v="3"/>
    <s v="Lettuce (4x9) - Mature Head 1X | Field TP SuFa"/>
    <s v="LET024"/>
    <x v="0"/>
    <x v="32"/>
    <x v="47"/>
    <x v="5"/>
    <n v="180.26666666666665"/>
    <x v="0"/>
    <x v="5"/>
    <x v="1"/>
    <x v="0"/>
    <s v="LET"/>
    <x v="0"/>
    <x v="12"/>
    <d v="2025-07-04T00:00:00"/>
    <x v="0"/>
    <d v="2025-07-31T00:00:00"/>
    <d v="2025-09-09T00:00:00"/>
    <d v="2025-09-23T00:00:00"/>
    <x v="0"/>
    <x v="2"/>
    <x v="0"/>
    <x v="0"/>
    <n v="426.66669999999999"/>
    <n v="7.9012000000000002"/>
    <n v="70"/>
    <x v="0"/>
    <x v="0"/>
    <x v="0"/>
    <x v="1"/>
    <x v="1"/>
    <x v="0"/>
    <x v="0"/>
    <x v="0"/>
    <x v="6"/>
    <x v="1"/>
    <x v="3"/>
    <x v="1"/>
    <n v="175"/>
    <x v="7"/>
    <n v="982"/>
    <x v="1"/>
    <x v="0"/>
    <x v="0"/>
    <x v="0"/>
  </r>
  <r>
    <x v="1"/>
    <x v="130"/>
    <x v="96"/>
    <x v="54"/>
    <x v="3"/>
    <s v="Lettuce (4x9) - Mature Head 1X | Field TP SuFa"/>
    <s v="LET026"/>
    <x v="0"/>
    <x v="32"/>
    <x v="48"/>
    <x v="3"/>
    <n v="180.26666666666665"/>
    <x v="0"/>
    <x v="5"/>
    <x v="1"/>
    <x v="0"/>
    <s v="LET"/>
    <x v="0"/>
    <x v="17"/>
    <d v="2025-08-15T00:00:00"/>
    <x v="0"/>
    <d v="2025-08-15T00:00:00"/>
    <d v="2025-09-24T00:00:00"/>
    <d v="2025-10-08T00:00:00"/>
    <x v="1"/>
    <x v="2"/>
    <x v="0"/>
    <x v="0"/>
    <n v="426.66669999999999"/>
    <n v="7.9012000000000002"/>
    <n v="70"/>
    <x v="0"/>
    <x v="0"/>
    <x v="0"/>
    <x v="1"/>
    <x v="1"/>
    <x v="0"/>
    <x v="0"/>
    <x v="0"/>
    <x v="6"/>
    <x v="1"/>
    <x v="3"/>
    <x v="1"/>
    <n v="175"/>
    <x v="7"/>
    <n v="997"/>
    <x v="1"/>
    <x v="0"/>
    <x v="0"/>
    <x v="0"/>
  </r>
  <r>
    <x v="0"/>
    <x v="132"/>
    <x v="97"/>
    <x v="55"/>
    <x v="3"/>
    <s v="Lettuce (Salanova) - Loose Leaf 1X | Field TP Sp"/>
    <s v="LET012"/>
    <x v="0"/>
    <x v="32"/>
    <x v="49"/>
    <x v="0"/>
    <n v="901.33333333333326"/>
    <x v="0"/>
    <x v="3"/>
    <x v="2"/>
    <x v="0"/>
    <s v="LET"/>
    <x v="0"/>
    <x v="21"/>
    <d v="2025-04-11T00:00:00"/>
    <x v="0"/>
    <d v="2025-05-08T00:00:00"/>
    <d v="2025-06-23T00:00:00"/>
    <d v="2025-07-04T00:00:00"/>
    <x v="0"/>
    <x v="1"/>
    <x v="0"/>
    <x v="0"/>
    <n v="2676.6667000000002"/>
    <n v="32.642299999999999"/>
    <n v="85"/>
    <x v="0"/>
    <x v="0"/>
    <x v="0"/>
    <x v="17"/>
    <x v="1"/>
    <x v="0"/>
    <x v="0"/>
    <x v="0"/>
    <x v="6"/>
    <x v="1"/>
    <x v="3"/>
    <x v="1"/>
    <n v="191"/>
    <x v="0"/>
    <n v="904"/>
    <x v="19"/>
    <x v="1"/>
    <x v="1"/>
    <x v="1"/>
  </r>
  <r>
    <x v="0"/>
    <x v="123"/>
    <x v="98"/>
    <x v="56"/>
    <x v="3"/>
    <s v="Lettuce (Salanova) - Loose Leaf 1X | Field TP SuFa"/>
    <s v="LET018"/>
    <x v="0"/>
    <x v="32"/>
    <x v="49"/>
    <x v="0"/>
    <n v="450.66666666666663"/>
    <x v="0"/>
    <x v="1"/>
    <x v="1"/>
    <x v="0"/>
    <s v="LET"/>
    <x v="0"/>
    <x v="4"/>
    <d v="2025-05-01T00:00:00"/>
    <x v="0"/>
    <d v="2025-05-12T00:00:00"/>
    <d v="2025-06-25T00:00:00"/>
    <d v="2025-07-22T00:00:00"/>
    <x v="0"/>
    <x v="1"/>
    <x v="0"/>
    <x v="0"/>
    <n v="1340.8333"/>
    <n v="20.0124"/>
    <n v="70"/>
    <x v="0"/>
    <x v="0"/>
    <x v="0"/>
    <x v="17"/>
    <x v="1"/>
    <x v="0"/>
    <x v="0"/>
    <x v="0"/>
    <x v="6"/>
    <x v="1"/>
    <x v="3"/>
    <x v="1"/>
    <n v="192"/>
    <x v="7"/>
    <n v="906"/>
    <x v="20"/>
    <x v="1"/>
    <x v="1"/>
    <x v="1"/>
  </r>
  <r>
    <x v="0"/>
    <x v="37"/>
    <x v="99"/>
    <x v="57"/>
    <x v="3"/>
    <s v="Lettuce (Salanova) - Loose Leaf 1X | Field TP SuFa"/>
    <s v="LET019"/>
    <x v="0"/>
    <x v="32"/>
    <x v="49"/>
    <x v="0"/>
    <n v="450.66666666666663"/>
    <x v="0"/>
    <x v="1"/>
    <x v="1"/>
    <x v="0"/>
    <s v="LET"/>
    <x v="0"/>
    <x v="15"/>
    <d v="2025-05-22T00:00:00"/>
    <x v="0"/>
    <d v="2025-05-18T00:00:00"/>
    <d v="2025-06-29T00:00:00"/>
    <d v="2025-07-26T00:00:00"/>
    <x v="0"/>
    <x v="1"/>
    <x v="0"/>
    <x v="0"/>
    <n v="1340.8333"/>
    <n v="20.0124"/>
    <n v="70"/>
    <x v="0"/>
    <x v="0"/>
    <x v="0"/>
    <x v="17"/>
    <x v="1"/>
    <x v="0"/>
    <x v="0"/>
    <x v="0"/>
    <x v="6"/>
    <x v="1"/>
    <x v="3"/>
    <x v="1"/>
    <n v="192"/>
    <x v="7"/>
    <n v="910"/>
    <x v="20"/>
    <x v="1"/>
    <x v="1"/>
    <x v="1"/>
  </r>
  <r>
    <x v="0"/>
    <x v="9"/>
    <x v="100"/>
    <x v="57"/>
    <x v="3"/>
    <s v="Lettuce (Salanova) - Loose Leaf 1X | Field TP SuFa"/>
    <s v="LET021"/>
    <x v="0"/>
    <x v="32"/>
    <x v="49"/>
    <x v="0"/>
    <n v="450.66666666666663"/>
    <x v="0"/>
    <x v="1"/>
    <x v="1"/>
    <x v="0"/>
    <s v="LET"/>
    <x v="0"/>
    <x v="12"/>
    <d v="2025-07-03T00:00:00"/>
    <x v="0"/>
    <d v="2025-07-31T00:00:00"/>
    <d v="2025-09-09T00:00:00"/>
    <d v="2025-10-06T00:00:00"/>
    <x v="0"/>
    <x v="2"/>
    <x v="0"/>
    <x v="0"/>
    <n v="1340.8333"/>
    <n v="20.0124"/>
    <n v="70"/>
    <x v="0"/>
    <x v="0"/>
    <x v="0"/>
    <x v="17"/>
    <x v="1"/>
    <x v="0"/>
    <x v="0"/>
    <x v="0"/>
    <x v="6"/>
    <x v="1"/>
    <x v="3"/>
    <x v="1"/>
    <n v="192"/>
    <x v="7"/>
    <n v="982"/>
    <x v="20"/>
    <x v="1"/>
    <x v="1"/>
    <x v="1"/>
  </r>
  <r>
    <x v="1"/>
    <x v="117"/>
    <x v="101"/>
    <x v="56"/>
    <x v="3"/>
    <s v="Lettuce (Salanova) - Loose Leaf 1X | Field TP SuFa"/>
    <s v="LET023"/>
    <x v="0"/>
    <x v="32"/>
    <x v="49"/>
    <x v="0"/>
    <n v="450.66666666666663"/>
    <x v="0"/>
    <x v="1"/>
    <x v="1"/>
    <x v="0"/>
    <s v="LET"/>
    <x v="0"/>
    <x v="22"/>
    <d v="2025-08-14T00:00:00"/>
    <x v="0"/>
    <d v="2025-08-14T00:00:00"/>
    <d v="2025-09-23T00:00:00"/>
    <d v="2025-10-20T00:00:00"/>
    <x v="1"/>
    <x v="2"/>
    <x v="0"/>
    <x v="0"/>
    <n v="1340.8333"/>
    <n v="20.0124"/>
    <n v="70"/>
    <x v="0"/>
    <x v="0"/>
    <x v="0"/>
    <x v="17"/>
    <x v="1"/>
    <x v="0"/>
    <x v="0"/>
    <x v="0"/>
    <x v="6"/>
    <x v="1"/>
    <x v="3"/>
    <x v="1"/>
    <n v="192"/>
    <x v="7"/>
    <n v="996"/>
    <x v="20"/>
    <x v="1"/>
    <x v="1"/>
    <x v="1"/>
  </r>
  <r>
    <x v="0"/>
    <x v="124"/>
    <x v="102"/>
    <x v="29"/>
    <x v="3"/>
    <s v="Lettuce (Salanova) - Loose Leaf 1X | Tunnel TP Sp"/>
    <s v="LET013"/>
    <x v="0"/>
    <x v="32"/>
    <x v="49"/>
    <x v="0"/>
    <n v="450.66666666666663"/>
    <x v="0"/>
    <x v="1"/>
    <x v="1"/>
    <x v="0"/>
    <s v="LET"/>
    <x v="0"/>
    <x v="6"/>
    <d v="2025-03-27T00:00:00"/>
    <x v="0"/>
    <d v="2025-04-28T00:00:00"/>
    <d v="2025-06-21T00:00:00"/>
    <d v="2025-07-04T00:00:00"/>
    <x v="0"/>
    <x v="1"/>
    <x v="0"/>
    <x v="0"/>
    <n v="2671.6667000000002"/>
    <n v="26.192799999999998"/>
    <n v="85"/>
    <x v="0"/>
    <x v="0"/>
    <x v="0"/>
    <x v="18"/>
    <x v="1"/>
    <x v="0"/>
    <x v="0"/>
    <x v="0"/>
    <x v="6"/>
    <x v="1"/>
    <x v="3"/>
    <x v="1"/>
    <n v="193"/>
    <x v="0"/>
    <n v="902"/>
    <x v="21"/>
    <x v="1"/>
    <x v="1"/>
    <x v="1"/>
  </r>
  <r>
    <x v="0"/>
    <x v="123"/>
    <x v="103"/>
    <x v="58"/>
    <x v="3"/>
    <s v="Melon - Ripe Fruit 1X | Field TP "/>
    <s v="MEL001"/>
    <x v="0"/>
    <x v="33"/>
    <x v="50"/>
    <x v="0"/>
    <n v="65"/>
    <x v="0"/>
    <x v="3"/>
    <x v="2"/>
    <x v="0"/>
    <s v="MEL"/>
    <x v="0"/>
    <x v="4"/>
    <d v="2025-05-07T00:00:00"/>
    <x v="0"/>
    <d v="2025-05-27T00:00:00"/>
    <d v="2025-08-05T00:00:00"/>
    <d v="2025-08-26T00:00:00"/>
    <x v="0"/>
    <x v="1"/>
    <x v="0"/>
    <x v="0"/>
    <n v="900"/>
    <n v="8.1081000000000003"/>
    <n v="111"/>
    <x v="0"/>
    <x v="0"/>
    <x v="0"/>
    <x v="2"/>
    <x v="1"/>
    <x v="0"/>
    <x v="0"/>
    <x v="0"/>
    <x v="11"/>
    <x v="4"/>
    <x v="8"/>
    <x v="2"/>
    <n v="210"/>
    <x v="1"/>
    <n v="947"/>
    <x v="2"/>
    <x v="14"/>
    <x v="2"/>
    <x v="0"/>
  </r>
  <r>
    <x v="0"/>
    <x v="127"/>
    <x v="104"/>
    <x v="59"/>
    <x v="3"/>
    <s v="Onion - Mature Bulb 6X | Field TP SpSu"/>
    <s v="ONI003"/>
    <x v="0"/>
    <x v="34"/>
    <x v="51"/>
    <x v="0"/>
    <n v="990.00000000000011"/>
    <x v="0"/>
    <x v="1"/>
    <x v="1"/>
    <x v="0"/>
    <s v="ONI"/>
    <x v="0"/>
    <x v="13"/>
    <d v="2025-04-13T00:00:00"/>
    <x v="0"/>
    <d v="2025-05-05T00:00:00"/>
    <d v="2025-08-03T00:00:00"/>
    <d v="2025-08-17T00:00:00"/>
    <x v="0"/>
    <x v="1"/>
    <x v="0"/>
    <x v="0"/>
    <n v="618.75"/>
    <n v="5.7827000000000002"/>
    <n v="135"/>
    <x v="0"/>
    <x v="0"/>
    <x v="0"/>
    <x v="1"/>
    <x v="1"/>
    <x v="0"/>
    <x v="0"/>
    <x v="0"/>
    <x v="12"/>
    <x v="2"/>
    <x v="4"/>
    <x v="1"/>
    <n v="223"/>
    <x v="11"/>
    <n v="945"/>
    <x v="1"/>
    <x v="9"/>
    <x v="1"/>
    <x v="1"/>
  </r>
  <r>
    <x v="0"/>
    <x v="127"/>
    <x v="105"/>
    <x v="34"/>
    <x v="3"/>
    <s v="Onion (Salad Early) - Young Bulb 10X | Field TP Sp"/>
    <s v="ONI004"/>
    <x v="0"/>
    <x v="34"/>
    <x v="51"/>
    <x v="0"/>
    <n v="1650.0000000000002"/>
    <x v="0"/>
    <x v="1"/>
    <x v="1"/>
    <x v="0"/>
    <s v="ONI"/>
    <x v="0"/>
    <x v="13"/>
    <d v="2025-03-25T00:00:00"/>
    <x v="0"/>
    <d v="2025-04-20T00:00:00"/>
    <d v="2025-06-19T00:00:00"/>
    <d v="2025-08-14T00:00:00"/>
    <x v="0"/>
    <x v="1"/>
    <x v="0"/>
    <x v="0"/>
    <n v="600"/>
    <n v="5.0846999999999998"/>
    <n v="90"/>
    <x v="0"/>
    <x v="0"/>
    <x v="0"/>
    <x v="3"/>
    <x v="1"/>
    <x v="0"/>
    <x v="0"/>
    <x v="0"/>
    <x v="1"/>
    <x v="2"/>
    <x v="4"/>
    <x v="1"/>
    <n v="224"/>
    <x v="0"/>
    <n v="900"/>
    <x v="3"/>
    <x v="9"/>
    <x v="2"/>
    <x v="0"/>
  </r>
  <r>
    <x v="0"/>
    <x v="124"/>
    <x v="106"/>
    <x v="60"/>
    <x v="3"/>
    <s v="Onion (Salad Late) - Young Bulb 10X | Field TP Sp"/>
    <s v="ONI005"/>
    <x v="0"/>
    <x v="34"/>
    <x v="51"/>
    <x v="0"/>
    <n v="1650.0000000000002"/>
    <x v="0"/>
    <x v="1"/>
    <x v="1"/>
    <x v="0"/>
    <s v="ONI"/>
    <x v="0"/>
    <x v="6"/>
    <d v="2025-04-19T00:00:00"/>
    <x v="0"/>
    <d v="2025-04-22T00:00:00"/>
    <d v="2025-06-26T00:00:00"/>
    <d v="2025-08-21T00:00:00"/>
    <x v="0"/>
    <x v="1"/>
    <x v="0"/>
    <x v="0"/>
    <n v="600"/>
    <n v="5.0846999999999998"/>
    <n v="90"/>
    <x v="0"/>
    <x v="0"/>
    <x v="0"/>
    <x v="3"/>
    <x v="1"/>
    <x v="0"/>
    <x v="0"/>
    <x v="0"/>
    <x v="1"/>
    <x v="2"/>
    <x v="4"/>
    <x v="1"/>
    <n v="225"/>
    <x v="0"/>
    <n v="907"/>
    <x v="3"/>
    <x v="9"/>
    <x v="2"/>
    <x v="0"/>
  </r>
  <r>
    <x v="0"/>
    <x v="11"/>
    <x v="107"/>
    <x v="61"/>
    <x v="3"/>
    <s v="Parsley - Mature Leaf 3X | Field TP Sp"/>
    <s v="PAR001"/>
    <x v="0"/>
    <x v="35"/>
    <x v="52"/>
    <x v="0"/>
    <n v="780"/>
    <x v="0"/>
    <x v="1"/>
    <x v="1"/>
    <x v="0"/>
    <s v="PAR"/>
    <x v="0"/>
    <x v="11"/>
    <d v="2025-04-26T00:00:00"/>
    <x v="0"/>
    <d v="2025-06-05T00:00:00"/>
    <d v="2025-06-15T00:00:00"/>
    <d v="2025-10-12T00:00:00"/>
    <x v="0"/>
    <x v="1"/>
    <x v="0"/>
    <x v="0"/>
    <n v="2250"/>
    <n v="14.1509"/>
    <n v="75"/>
    <x v="0"/>
    <x v="0"/>
    <x v="0"/>
    <x v="19"/>
    <x v="1"/>
    <x v="0"/>
    <x v="0"/>
    <x v="0"/>
    <x v="4"/>
    <x v="2"/>
    <x v="3"/>
    <x v="1"/>
    <n v="230"/>
    <x v="0"/>
    <n v="896"/>
    <x v="22"/>
    <x v="7"/>
    <x v="10"/>
    <x v="0"/>
  </r>
  <r>
    <x v="0"/>
    <x v="127"/>
    <x v="108"/>
    <x v="40"/>
    <x v="3"/>
    <s v="Peas (Snap) - Young Pod 3X | Field TP SpSu"/>
    <s v="PEA001"/>
    <x v="0"/>
    <x v="36"/>
    <x v="53"/>
    <x v="0"/>
    <n v="1040"/>
    <x v="0"/>
    <x v="3"/>
    <x v="2"/>
    <x v="0"/>
    <s v="PEA"/>
    <x v="0"/>
    <x v="13"/>
    <d v="2025-03-23T00:00:00"/>
    <x v="0"/>
    <d v="2025-04-02T00:00:00"/>
    <d v="2025-06-09T00:00:00"/>
    <d v="2025-07-12T00:00:00"/>
    <x v="0"/>
    <x v="1"/>
    <x v="0"/>
    <x v="0"/>
    <n v="475"/>
    <n v="5.1630000000000003"/>
    <n v="80"/>
    <x v="0"/>
    <x v="0"/>
    <x v="0"/>
    <x v="20"/>
    <x v="1"/>
    <x v="0"/>
    <x v="0"/>
    <x v="0"/>
    <x v="11"/>
    <x v="3"/>
    <x v="3"/>
    <x v="1"/>
    <n v="238"/>
    <x v="11"/>
    <n v="890"/>
    <x v="23"/>
    <x v="1"/>
    <x v="1"/>
    <x v="1"/>
  </r>
  <r>
    <x v="0"/>
    <x v="127"/>
    <x v="109"/>
    <x v="1"/>
    <x v="3"/>
    <s v="Pepper (Bell) - Ripe Fruit Large 1X | Field TP "/>
    <s v="PEP001"/>
    <x v="0"/>
    <x v="37"/>
    <x v="54"/>
    <x v="8"/>
    <n v="65"/>
    <x v="0"/>
    <x v="0"/>
    <x v="0"/>
    <x v="0"/>
    <s v="PEP"/>
    <x v="0"/>
    <x v="13"/>
    <d v="2025-06-05T00:00:00"/>
    <x v="0"/>
    <d v="2025-06-18T00:00:00"/>
    <d v="2025-08-18T00:00:00"/>
    <d v="2025-10-27T00:00:00"/>
    <x v="0"/>
    <x v="1"/>
    <x v="0"/>
    <x v="0"/>
    <n v="667.96879999999999"/>
    <n v="5.1382000000000003"/>
    <n v="150"/>
    <x v="0"/>
    <x v="0"/>
    <x v="0"/>
    <x v="21"/>
    <x v="1"/>
    <x v="0"/>
    <x v="0"/>
    <x v="0"/>
    <x v="13"/>
    <x v="3"/>
    <x v="4"/>
    <x v="2"/>
    <n v="241"/>
    <x v="1"/>
    <n v="960"/>
    <x v="24"/>
    <x v="15"/>
    <x v="3"/>
    <x v="0"/>
  </r>
  <r>
    <x v="0"/>
    <x v="127"/>
    <x v="110"/>
    <x v="42"/>
    <x v="3"/>
    <s v="Pepper (Bell) - Ripe Fruit Large 1X | Greenhouse TP "/>
    <s v="PEP002"/>
    <x v="0"/>
    <x v="37"/>
    <x v="55"/>
    <x v="0"/>
    <n v="65"/>
    <x v="0"/>
    <x v="0"/>
    <x v="0"/>
    <x v="0"/>
    <s v="PEP"/>
    <x v="0"/>
    <x v="13"/>
    <d v="2025-05-21T00:00:00"/>
    <x v="0"/>
    <d v="2025-06-20T00:00:00"/>
    <d v="2025-08-18T00:00:00"/>
    <d v="2025-12-22T00:00:00"/>
    <x v="0"/>
    <x v="1"/>
    <x v="0"/>
    <x v="0"/>
    <n v="2404.6875"/>
    <n v="12.9284"/>
    <n v="150"/>
    <x v="0"/>
    <x v="0"/>
    <x v="0"/>
    <x v="22"/>
    <x v="1"/>
    <x v="0"/>
    <x v="0"/>
    <x v="0"/>
    <x v="13"/>
    <x v="3"/>
    <x v="4"/>
    <x v="1"/>
    <n v="242"/>
    <x v="1"/>
    <n v="960"/>
    <x v="25"/>
    <x v="15"/>
    <x v="3"/>
    <x v="1"/>
  </r>
  <r>
    <x v="0"/>
    <x v="127"/>
    <x v="111"/>
    <x v="1"/>
    <x v="3"/>
    <s v="Pepper (Hot) - Ripe Fruit Small 1X | Field TP "/>
    <s v="PEP003"/>
    <x v="0"/>
    <x v="37"/>
    <x v="54"/>
    <x v="8"/>
    <n v="65"/>
    <x v="0"/>
    <x v="0"/>
    <x v="0"/>
    <x v="0"/>
    <s v="PEP"/>
    <x v="0"/>
    <x v="13"/>
    <d v="2025-06-05T00:00:00"/>
    <x v="0"/>
    <d v="2025-06-18T00:00:00"/>
    <d v="2025-08-18T00:00:00"/>
    <d v="2025-10-27T00:00:00"/>
    <x v="0"/>
    <x v="1"/>
    <x v="0"/>
    <x v="0"/>
    <n v="562.5"/>
    <n v="4.3269000000000002"/>
    <n v="150"/>
    <x v="0"/>
    <x v="0"/>
    <x v="0"/>
    <x v="21"/>
    <x v="1"/>
    <x v="0"/>
    <x v="0"/>
    <x v="0"/>
    <x v="13"/>
    <x v="3"/>
    <x v="4"/>
    <x v="2"/>
    <n v="243"/>
    <x v="1"/>
    <n v="960"/>
    <x v="24"/>
    <x v="15"/>
    <x v="3"/>
    <x v="0"/>
  </r>
  <r>
    <x v="0"/>
    <x v="11"/>
    <x v="112"/>
    <x v="62"/>
    <x v="3"/>
    <s v="Pepper (Hot) - Ripe Fruit Small 1X | Field TP "/>
    <s v="PEP005"/>
    <x v="0"/>
    <x v="37"/>
    <x v="56"/>
    <x v="0"/>
    <n v="52"/>
    <x v="0"/>
    <x v="5"/>
    <x v="1"/>
    <x v="0"/>
    <s v="PEP"/>
    <x v="0"/>
    <x v="11"/>
    <d v="2025-06-05T00:00:00"/>
    <x v="0"/>
    <d v="2025-06-30T00:00:00"/>
    <d v="2025-08-29T00:00:00"/>
    <d v="2025-11-07T00:00:00"/>
    <x v="0"/>
    <x v="2"/>
    <x v="0"/>
    <x v="0"/>
    <n v="450"/>
    <n v="3.4615"/>
    <n v="150"/>
    <x v="0"/>
    <x v="0"/>
    <x v="0"/>
    <x v="21"/>
    <x v="1"/>
    <x v="0"/>
    <x v="0"/>
    <x v="0"/>
    <x v="13"/>
    <x v="3"/>
    <x v="4"/>
    <x v="2"/>
    <n v="243"/>
    <x v="1"/>
    <n v="971"/>
    <x v="24"/>
    <x v="15"/>
    <x v="3"/>
    <x v="0"/>
  </r>
  <r>
    <x v="0"/>
    <x v="127"/>
    <x v="113"/>
    <x v="42"/>
    <x v="3"/>
    <s v="Pepper (Hot) - Ripe Fruit Small 1X | Greenhouse TP "/>
    <s v="PEP004"/>
    <x v="0"/>
    <x v="37"/>
    <x v="55"/>
    <x v="0"/>
    <n v="65"/>
    <x v="0"/>
    <x v="0"/>
    <x v="0"/>
    <x v="0"/>
    <s v="PEP"/>
    <x v="0"/>
    <x v="13"/>
    <d v="2025-05-21T00:00:00"/>
    <x v="0"/>
    <d v="2025-06-20T00:00:00"/>
    <d v="2025-08-18T00:00:00"/>
    <d v="2025-12-22T00:00:00"/>
    <x v="0"/>
    <x v="1"/>
    <x v="0"/>
    <x v="0"/>
    <n v="1012.5"/>
    <n v="5.4435000000000002"/>
    <n v="150"/>
    <x v="0"/>
    <x v="0"/>
    <x v="0"/>
    <x v="22"/>
    <x v="1"/>
    <x v="0"/>
    <x v="0"/>
    <x v="0"/>
    <x v="13"/>
    <x v="3"/>
    <x v="4"/>
    <x v="1"/>
    <n v="244"/>
    <x v="1"/>
    <n v="960"/>
    <x v="25"/>
    <x v="15"/>
    <x v="3"/>
    <x v="1"/>
  </r>
  <r>
    <x v="0"/>
    <x v="102"/>
    <x v="114"/>
    <x v="33"/>
    <x v="3"/>
    <s v="Radicchio (90 Day) - Forced Head 1X | Field TP Su"/>
    <s v="RAD002"/>
    <x v="0"/>
    <x v="38"/>
    <x v="57"/>
    <x v="0"/>
    <n v="312"/>
    <x v="0"/>
    <x v="6"/>
    <x v="3"/>
    <x v="0"/>
    <s v="RAD"/>
    <x v="0"/>
    <x v="7"/>
    <d v="2025-06-30T00:00:00"/>
    <x v="0"/>
    <d v="2025-07-21T00:00:00"/>
    <d v="2025-10-19T00:00:00"/>
    <d v="2025-11-02T00:00:00"/>
    <x v="0"/>
    <x v="2"/>
    <x v="0"/>
    <x v="0"/>
    <n v="1440"/>
    <n v="13.8462"/>
    <n v="120"/>
    <x v="0"/>
    <x v="0"/>
    <x v="0"/>
    <x v="1"/>
    <x v="1"/>
    <x v="0"/>
    <x v="0"/>
    <x v="0"/>
    <x v="6"/>
    <x v="2"/>
    <x v="4"/>
    <x v="1"/>
    <n v="251"/>
    <x v="2"/>
    <n v="1022"/>
    <x v="1"/>
    <x v="0"/>
    <x v="8"/>
    <x v="0"/>
  </r>
  <r>
    <x v="0"/>
    <x v="9"/>
    <x v="115"/>
    <x v="19"/>
    <x v="3"/>
    <s v="Radish (Daikon) - Storage Root 1X | Field TP FaWi"/>
    <s v="RAD005"/>
    <x v="0"/>
    <x v="11"/>
    <x v="58"/>
    <x v="0"/>
    <n v="260"/>
    <x v="0"/>
    <x v="1"/>
    <x v="1"/>
    <x v="0"/>
    <s v="RAD"/>
    <x v="0"/>
    <x v="12"/>
    <d v="2025-07-15T00:00:00"/>
    <x v="0"/>
    <d v="2025-07-26T00:00:00"/>
    <d v="2025-09-14T00:00:00"/>
    <d v="2025-10-05T00:00:00"/>
    <x v="0"/>
    <x v="2"/>
    <x v="0"/>
    <x v="0"/>
    <n v="1200"/>
    <n v="16.901399999999999"/>
    <n v="75"/>
    <x v="0"/>
    <x v="0"/>
    <x v="0"/>
    <x v="2"/>
    <x v="1"/>
    <x v="0"/>
    <x v="0"/>
    <x v="0"/>
    <x v="9"/>
    <x v="2"/>
    <x v="3"/>
    <x v="0"/>
    <n v="258"/>
    <x v="3"/>
    <n v="987"/>
    <x v="2"/>
    <x v="2"/>
    <x v="2"/>
    <x v="2"/>
  </r>
  <r>
    <x v="1"/>
    <x v="93"/>
    <x v="116"/>
    <x v="55"/>
    <x v="3"/>
    <s v="Rutabaga - Mature Root 2X | Field TP Fa"/>
    <s v="RUT001"/>
    <x v="0"/>
    <x v="39"/>
    <x v="3"/>
    <x v="0"/>
    <n v="780"/>
    <x v="0"/>
    <x v="3"/>
    <x v="2"/>
    <x v="0"/>
    <s v="RUT"/>
    <x v="0"/>
    <x v="3"/>
    <d v="2025-08-15T00:00:00"/>
    <x v="0"/>
    <d v="2025-08-15T00:00:00"/>
    <d v="2025-11-15T00:00:00"/>
    <d v="2025-12-06T00:00:00"/>
    <x v="1"/>
    <x v="2"/>
    <x v="0"/>
    <x v="0"/>
    <n v="1050"/>
    <n v="9.2919999999999998"/>
    <n v="120"/>
    <x v="0"/>
    <x v="0"/>
    <x v="0"/>
    <x v="2"/>
    <x v="1"/>
    <x v="0"/>
    <x v="0"/>
    <x v="0"/>
    <x v="1"/>
    <x v="2"/>
    <x v="4"/>
    <x v="1"/>
    <n v="270"/>
    <x v="6"/>
    <n v="1049"/>
    <x v="2"/>
    <x v="1"/>
    <x v="1"/>
    <x v="2"/>
  </r>
  <r>
    <x v="0"/>
    <x v="2"/>
    <x v="117"/>
    <x v="16"/>
    <x v="3"/>
    <s v="Scallion - Mature Stalk 6X | Field TP Sp"/>
    <s v="SCA633"/>
    <x v="0"/>
    <x v="12"/>
    <x v="59"/>
    <x v="0"/>
    <n v="660"/>
    <x v="0"/>
    <x v="2"/>
    <x v="0"/>
    <x v="0"/>
    <s v="SCA"/>
    <x v="0"/>
    <x v="18"/>
    <d v="2025-04-13T00:00:00"/>
    <x v="0"/>
    <d v="2025-03-12T00:00:00"/>
    <d v="2025-06-25T00:00:00"/>
    <d v="2025-07-09T00:00:00"/>
    <x v="0"/>
    <x v="1"/>
    <x v="0"/>
    <x v="0"/>
    <n v="125"/>
    <n v="1.9531000000000001"/>
    <n v="92"/>
    <x v="0"/>
    <x v="0"/>
    <x v="0"/>
    <x v="1"/>
    <x v="1"/>
    <x v="0"/>
    <x v="0"/>
    <x v="0"/>
    <x v="12"/>
    <x v="1"/>
    <x v="6"/>
    <x v="1"/>
    <n v="282"/>
    <x v="0"/>
    <n v="906"/>
    <x v="1"/>
    <x v="9"/>
    <x v="8"/>
    <x v="0"/>
  </r>
  <r>
    <x v="0"/>
    <x v="129"/>
    <x v="118"/>
    <x v="63"/>
    <x v="3"/>
    <s v="Scallion - Mature Stalk 6X | Field TP Sp"/>
    <s v="SCA634"/>
    <x v="0"/>
    <x v="12"/>
    <x v="59"/>
    <x v="0"/>
    <n v="2112"/>
    <x v="0"/>
    <x v="8"/>
    <x v="2"/>
    <x v="0"/>
    <s v="SCA"/>
    <x v="0"/>
    <x v="16"/>
    <d v="2025-05-04T00:00:00"/>
    <x v="0"/>
    <d v="2025-06-25T00:00:00"/>
    <d v="2025-08-14T00:00:00"/>
    <d v="2025-08-28T00:00:00"/>
    <x v="0"/>
    <x v="2"/>
    <x v="0"/>
    <x v="0"/>
    <n v="400"/>
    <n v="6.25"/>
    <n v="92"/>
    <x v="0"/>
    <x v="0"/>
    <x v="0"/>
    <x v="1"/>
    <x v="1"/>
    <x v="0"/>
    <x v="0"/>
    <x v="0"/>
    <x v="12"/>
    <x v="1"/>
    <x v="6"/>
    <x v="1"/>
    <n v="282"/>
    <x v="0"/>
    <n v="956"/>
    <x v="1"/>
    <x v="9"/>
    <x v="8"/>
    <x v="0"/>
  </r>
  <r>
    <x v="0"/>
    <x v="122"/>
    <x v="119"/>
    <x v="25"/>
    <x v="3"/>
    <s v="Scallion - Mature Stalk 6X | Field TP Sp"/>
    <s v="SCA635"/>
    <x v="0"/>
    <x v="12"/>
    <x v="59"/>
    <x v="0"/>
    <n v="1320"/>
    <x v="0"/>
    <x v="0"/>
    <x v="0"/>
    <x v="0"/>
    <s v="SCA"/>
    <x v="0"/>
    <x v="2"/>
    <d v="2025-05-25T00:00:00"/>
    <x v="0"/>
    <d v="2025-05-18T00:00:00"/>
    <d v="2025-07-15T00:00:00"/>
    <d v="2025-07-29T00:00:00"/>
    <x v="0"/>
    <x v="1"/>
    <x v="0"/>
    <x v="0"/>
    <n v="250"/>
    <n v="3.9062000000000001"/>
    <n v="92"/>
    <x v="0"/>
    <x v="0"/>
    <x v="0"/>
    <x v="1"/>
    <x v="1"/>
    <x v="0"/>
    <x v="0"/>
    <x v="0"/>
    <x v="12"/>
    <x v="1"/>
    <x v="6"/>
    <x v="1"/>
    <n v="282"/>
    <x v="0"/>
    <n v="926"/>
    <x v="1"/>
    <x v="9"/>
    <x v="8"/>
    <x v="0"/>
  </r>
  <r>
    <x v="0"/>
    <x v="133"/>
    <x v="120"/>
    <x v="64"/>
    <x v="3"/>
    <s v="Sorrel - Mature Leaf 3X | Field TP "/>
    <s v="SOR485"/>
    <x v="5"/>
    <x v="40"/>
    <x v="60"/>
    <x v="0"/>
    <n v="117"/>
    <x v="0"/>
    <x v="5"/>
    <x v="0"/>
    <x v="0"/>
    <s v="SOR"/>
    <x v="0"/>
    <x v="23"/>
    <d v="2024-04-29T00:00:00"/>
    <x v="0"/>
    <d v="2024-04-26T00:00:00"/>
    <d v="2024-06-01T00:00:00"/>
    <d v="2025-01-31T00:00:00"/>
    <x v="0"/>
    <x v="1"/>
    <x v="0"/>
    <x v="0"/>
    <n v="822.85709999999995"/>
    <n v="3.0933999999999999"/>
    <n v="70"/>
    <x v="0"/>
    <x v="0"/>
    <x v="0"/>
    <x v="23"/>
    <x v="1"/>
    <x v="0"/>
    <x v="0"/>
    <x v="0"/>
    <x v="1"/>
    <x v="2"/>
    <x v="4"/>
    <x v="1"/>
    <n v="291"/>
    <x v="1"/>
    <n v="517"/>
    <x v="26"/>
    <x v="0"/>
    <x v="8"/>
    <x v="1"/>
  </r>
  <r>
    <x v="0"/>
    <x v="123"/>
    <x v="121"/>
    <x v="11"/>
    <x v="3"/>
    <s v="Squash (Delicata) - Storage 1X | Field TP "/>
    <s v="SQU002"/>
    <x v="0"/>
    <x v="41"/>
    <x v="61"/>
    <x v="0"/>
    <n v="21.666666666666664"/>
    <x v="0"/>
    <x v="1"/>
    <x v="1"/>
    <x v="0"/>
    <s v="SQU"/>
    <x v="0"/>
    <x v="4"/>
    <d v="2025-05-09T00:00:00"/>
    <x v="0"/>
    <d v="2025-06-04T00:00:00"/>
    <d v="2025-08-22T00:00:00"/>
    <d v="2025-08-29T00:00:00"/>
    <x v="0"/>
    <x v="1"/>
    <x v="0"/>
    <x v="0"/>
    <n v="225"/>
    <n v="2.1027999999999998"/>
    <n v="128"/>
    <x v="0"/>
    <x v="0"/>
    <x v="0"/>
    <x v="4"/>
    <x v="1"/>
    <x v="0"/>
    <x v="0"/>
    <x v="0"/>
    <x v="1"/>
    <x v="4"/>
    <x v="16"/>
    <x v="1"/>
    <n v="300"/>
    <x v="1"/>
    <n v="964"/>
    <x v="4"/>
    <x v="16"/>
    <x v="7"/>
    <x v="0"/>
  </r>
  <r>
    <x v="0"/>
    <x v="123"/>
    <x v="122"/>
    <x v="11"/>
    <x v="3"/>
    <s v="Squash (Kuri) - Storage 1X | Field TP "/>
    <s v="SQU004"/>
    <x v="0"/>
    <x v="41"/>
    <x v="62"/>
    <x v="0"/>
    <n v="346.66666666666663"/>
    <x v="0"/>
    <x v="9"/>
    <x v="1"/>
    <x v="0"/>
    <s v="SQU"/>
    <x v="0"/>
    <x v="4"/>
    <d v="2025-05-09T00:00:00"/>
    <x v="0"/>
    <d v="2025-06-04T00:00:00"/>
    <d v="2025-08-22T00:00:00"/>
    <d v="2025-08-29T00:00:00"/>
    <x v="0"/>
    <x v="1"/>
    <x v="0"/>
    <x v="0"/>
    <n v="5400"/>
    <n v="50.467300000000002"/>
    <n v="128"/>
    <x v="0"/>
    <x v="0"/>
    <x v="0"/>
    <x v="4"/>
    <x v="1"/>
    <x v="0"/>
    <x v="0"/>
    <x v="0"/>
    <x v="1"/>
    <x v="4"/>
    <x v="16"/>
    <x v="1"/>
    <n v="301"/>
    <x v="1"/>
    <n v="964"/>
    <x v="4"/>
    <x v="16"/>
    <x v="7"/>
    <x v="0"/>
  </r>
  <r>
    <x v="0"/>
    <x v="123"/>
    <x v="123"/>
    <x v="65"/>
    <x v="3"/>
    <s v="Summer Squash (Long Season) - Ripe Fruit 1X | Field TP Su"/>
    <s v="SUM001"/>
    <x v="0"/>
    <x v="42"/>
    <x v="63"/>
    <x v="9"/>
    <n v="32.5"/>
    <x v="0"/>
    <x v="1"/>
    <x v="1"/>
    <x v="0"/>
    <s v="SUM"/>
    <x v="0"/>
    <x v="4"/>
    <d v="2025-04-29T00:00:00"/>
    <x v="0"/>
    <d v="2025-05-19T00:00:00"/>
    <d v="2025-06-15T00:00:00"/>
    <d v="2025-09-18T00:00:00"/>
    <x v="0"/>
    <x v="1"/>
    <x v="0"/>
    <x v="0"/>
    <n v="642.85709999999995"/>
    <n v="5.0618999999999996"/>
    <n v="60"/>
    <x v="0"/>
    <x v="0"/>
    <x v="0"/>
    <x v="24"/>
    <x v="1"/>
    <x v="0"/>
    <x v="0"/>
    <x v="0"/>
    <x v="1"/>
    <x v="4"/>
    <x v="8"/>
    <x v="1"/>
    <n v="309"/>
    <x v="2"/>
    <n v="896"/>
    <x v="27"/>
    <x v="17"/>
    <x v="7"/>
    <x v="0"/>
  </r>
  <r>
    <x v="0"/>
    <x v="123"/>
    <x v="124"/>
    <x v="66"/>
    <x v="3"/>
    <s v="Summer Squash (Short Season) - Ripe Fruit 1X | Field TP Su"/>
    <s v="SUM002"/>
    <x v="0"/>
    <x v="42"/>
    <x v="64"/>
    <x v="0"/>
    <n v="65"/>
    <x v="0"/>
    <x v="3"/>
    <x v="2"/>
    <x v="0"/>
    <s v="SUM"/>
    <x v="0"/>
    <x v="4"/>
    <d v="2025-04-29T00:00:00"/>
    <x v="0"/>
    <d v="2025-05-23T00:00:00"/>
    <d v="2025-06-15T00:00:00"/>
    <d v="2025-08-31T00:00:00"/>
    <x v="0"/>
    <x v="1"/>
    <x v="0"/>
    <x v="0"/>
    <n v="750"/>
    <n v="9.4937000000000005"/>
    <n v="60"/>
    <x v="0"/>
    <x v="0"/>
    <x v="2"/>
    <x v="18"/>
    <x v="1"/>
    <x v="0"/>
    <x v="0"/>
    <x v="0"/>
    <x v="1"/>
    <x v="4"/>
    <x v="8"/>
    <x v="1"/>
    <n v="311"/>
    <x v="2"/>
    <n v="896"/>
    <x v="15"/>
    <x v="17"/>
    <x v="7"/>
    <x v="0"/>
  </r>
  <r>
    <x v="0"/>
    <x v="37"/>
    <x v="125"/>
    <x v="67"/>
    <x v="3"/>
    <s v="Swiss Chard - Mature Leaf 1X | Field TP SpSuFa"/>
    <s v="SWI002"/>
    <x v="0"/>
    <x v="43"/>
    <x v="65"/>
    <x v="0"/>
    <n v="73.333333333333329"/>
    <x v="0"/>
    <x v="1"/>
    <x v="1"/>
    <x v="0"/>
    <s v="SWI"/>
    <x v="0"/>
    <x v="15"/>
    <d v="2025-05-15T00:00:00"/>
    <x v="0"/>
    <d v="2025-06-05T00:00:00"/>
    <d v="2025-06-22T00:00:00"/>
    <d v="2025-09-17T00:00:00"/>
    <x v="0"/>
    <x v="1"/>
    <x v="0"/>
    <x v="0"/>
    <n v="1050"/>
    <n v="8.3332999999999995"/>
    <n v="63"/>
    <x v="0"/>
    <x v="0"/>
    <x v="0"/>
    <x v="25"/>
    <x v="1"/>
    <x v="0"/>
    <x v="0"/>
    <x v="0"/>
    <x v="14"/>
    <x v="3"/>
    <x v="7"/>
    <x v="1"/>
    <n v="318"/>
    <x v="12"/>
    <n v="903"/>
    <x v="28"/>
    <x v="0"/>
    <x v="9"/>
    <x v="1"/>
  </r>
  <r>
    <x v="0"/>
    <x v="11"/>
    <x v="126"/>
    <x v="68"/>
    <x v="3"/>
    <s v="Tomatillo - Ripe Fruit 1X | Field TP "/>
    <s v="TOM001"/>
    <x v="0"/>
    <x v="44"/>
    <x v="66"/>
    <x v="0"/>
    <n v="43.333333333333329"/>
    <x v="0"/>
    <x v="1"/>
    <x v="1"/>
    <x v="0"/>
    <s v="TOM"/>
    <x v="0"/>
    <x v="11"/>
    <d v="2025-05-17T00:00:00"/>
    <x v="0"/>
    <d v="2025-06-15T00:00:00"/>
    <d v="2025-06-30T00:00:00"/>
    <d v="2025-09-08T00:00:00"/>
    <x v="0"/>
    <x v="1"/>
    <x v="0"/>
    <x v="0"/>
    <n v="1600"/>
    <n v="15.384600000000001"/>
    <n v="90"/>
    <x v="0"/>
    <x v="0"/>
    <x v="0"/>
    <x v="21"/>
    <x v="1"/>
    <x v="0"/>
    <x v="0"/>
    <x v="0"/>
    <x v="15"/>
    <x v="4"/>
    <x v="7"/>
    <x v="2"/>
    <n v="322"/>
    <x v="1"/>
    <n v="911"/>
    <x v="24"/>
    <x v="18"/>
    <x v="11"/>
    <x v="5"/>
  </r>
  <r>
    <x v="0"/>
    <x v="123"/>
    <x v="127"/>
    <x v="11"/>
    <x v="3"/>
    <s v="Tomato (Beefsteak Det) - Ripe Fruit Large 1X | Field TP Su"/>
    <s v="TOM006"/>
    <x v="0"/>
    <x v="45"/>
    <x v="67"/>
    <x v="0"/>
    <n v="195"/>
    <x v="0"/>
    <x v="10"/>
    <x v="1"/>
    <x v="0"/>
    <s v="TOM"/>
    <x v="0"/>
    <x v="4"/>
    <d v="2025-05-15T00:00:00"/>
    <x v="0"/>
    <d v="2025-06-13T00:00:00"/>
    <d v="2025-08-05T00:00:00"/>
    <d v="2025-10-07T00:00:00"/>
    <x v="0"/>
    <x v="1"/>
    <x v="0"/>
    <x v="0"/>
    <n v="11250"/>
    <n v="95.338999999999999"/>
    <n v="111"/>
    <x v="0"/>
    <x v="0"/>
    <x v="0"/>
    <x v="16"/>
    <x v="1"/>
    <x v="0"/>
    <x v="0"/>
    <x v="0"/>
    <x v="15"/>
    <x v="4"/>
    <x v="8"/>
    <x v="2"/>
    <n v="323"/>
    <x v="2"/>
    <n v="947"/>
    <x v="18"/>
    <x v="18"/>
    <x v="6"/>
    <x v="5"/>
  </r>
  <r>
    <x v="0"/>
    <x v="123"/>
    <x v="128"/>
    <x v="0"/>
    <x v="3"/>
    <s v="Tomato (Beefsteak Det) - Ripe Fruit Large 1X | Field TP Su"/>
    <s v="TOM010"/>
    <x v="0"/>
    <x v="45"/>
    <x v="67"/>
    <x v="0"/>
    <n v="65"/>
    <x v="0"/>
    <x v="3"/>
    <x v="2"/>
    <x v="0"/>
    <s v="TOM"/>
    <x v="0"/>
    <x v="4"/>
    <d v="2025-05-15T00:00:00"/>
    <x v="0"/>
    <d v="2025-06-07T00:00:00"/>
    <d v="2025-08-05T00:00:00"/>
    <d v="2025-10-07T00:00:00"/>
    <x v="0"/>
    <x v="1"/>
    <x v="0"/>
    <x v="0"/>
    <n v="3750"/>
    <n v="31.779699999999998"/>
    <n v="111"/>
    <x v="0"/>
    <x v="0"/>
    <x v="0"/>
    <x v="16"/>
    <x v="1"/>
    <x v="0"/>
    <x v="0"/>
    <x v="0"/>
    <x v="15"/>
    <x v="4"/>
    <x v="8"/>
    <x v="2"/>
    <n v="323"/>
    <x v="2"/>
    <n v="947"/>
    <x v="18"/>
    <x v="18"/>
    <x v="6"/>
    <x v="5"/>
  </r>
  <r>
    <x v="0"/>
    <x v="11"/>
    <x v="129"/>
    <x v="69"/>
    <x v="3"/>
    <s v="Tomato (Beefsteak) - Ripe Fruit Large 1X | Field TP Su"/>
    <s v="TOM002"/>
    <x v="0"/>
    <x v="45"/>
    <x v="68"/>
    <x v="0"/>
    <n v="86.666666666666657"/>
    <x v="0"/>
    <x v="3"/>
    <x v="2"/>
    <x v="0"/>
    <s v="TOM"/>
    <x v="0"/>
    <x v="11"/>
    <d v="2025-05-12T00:00:00"/>
    <x v="0"/>
    <d v="2025-05-31T00:00:00"/>
    <d v="2025-08-14T00:00:00"/>
    <d v="2025-10-16T00:00:00"/>
    <x v="0"/>
    <x v="1"/>
    <x v="0"/>
    <x v="0"/>
    <n v="3750"/>
    <n v="26.4085"/>
    <n v="135"/>
    <x v="0"/>
    <x v="0"/>
    <x v="0"/>
    <x v="16"/>
    <x v="1"/>
    <x v="0"/>
    <x v="0"/>
    <x v="0"/>
    <x v="15"/>
    <x v="4"/>
    <x v="7"/>
    <x v="2"/>
    <n v="324"/>
    <x v="2"/>
    <n v="956"/>
    <x v="18"/>
    <x v="18"/>
    <x v="6"/>
    <x v="5"/>
  </r>
  <r>
    <x v="0"/>
    <x v="11"/>
    <x v="130"/>
    <x v="2"/>
    <x v="3"/>
    <s v="Tomato (Beefsteak) - Ripe Fruit Large 1X | Greenhouse TP Su"/>
    <s v="TOM003"/>
    <x v="0"/>
    <x v="45"/>
    <x v="68"/>
    <x v="0"/>
    <n v="21.666666666666664"/>
    <x v="0"/>
    <x v="0"/>
    <x v="0"/>
    <x v="0"/>
    <s v="TOM"/>
    <x v="0"/>
    <x v="11"/>
    <d v="2025-05-02T00:00:00"/>
    <x v="0"/>
    <d v="2025-05-30T00:00:00"/>
    <d v="2025-07-30T00:00:00"/>
    <d v="2025-10-22T00:00:00"/>
    <x v="0"/>
    <x v="1"/>
    <x v="0"/>
    <x v="0"/>
    <n v="1250"/>
    <n v="8.4459"/>
    <n v="120"/>
    <x v="0"/>
    <x v="0"/>
    <x v="0"/>
    <x v="26"/>
    <x v="1"/>
    <x v="0"/>
    <x v="0"/>
    <x v="0"/>
    <x v="15"/>
    <x v="4"/>
    <x v="7"/>
    <x v="2"/>
    <n v="325"/>
    <x v="2"/>
    <n v="941"/>
    <x v="29"/>
    <x v="18"/>
    <x v="6"/>
    <x v="5"/>
  </r>
  <r>
    <x v="0"/>
    <x v="123"/>
    <x v="131"/>
    <x v="11"/>
    <x v="3"/>
    <s v="Tomato (Cherry Det) - Ripe Fruit Small 1X | Field TP Su"/>
    <s v="TOM007"/>
    <x v="0"/>
    <x v="45"/>
    <x v="69"/>
    <x v="0"/>
    <n v="260"/>
    <x v="0"/>
    <x v="11"/>
    <x v="1"/>
    <x v="0"/>
    <s v="TOM"/>
    <x v="0"/>
    <x v="4"/>
    <d v="2025-05-31T00:00:00"/>
    <x v="0"/>
    <d v="2025-06-15T00:00:00"/>
    <d v="2025-08-20T00:00:00"/>
    <d v="2025-11-26T00:00:00"/>
    <x v="0"/>
    <x v="1"/>
    <x v="0"/>
    <x v="0"/>
    <n v="16333.3333"/>
    <n v="97.222200000000001"/>
    <n v="126"/>
    <x v="0"/>
    <x v="0"/>
    <x v="0"/>
    <x v="15"/>
    <x v="1"/>
    <x v="0"/>
    <x v="0"/>
    <x v="0"/>
    <x v="15"/>
    <x v="4"/>
    <x v="8"/>
    <x v="2"/>
    <n v="327"/>
    <x v="2"/>
    <n v="962"/>
    <x v="17"/>
    <x v="18"/>
    <x v="11"/>
    <x v="5"/>
  </r>
  <r>
    <x v="0"/>
    <x v="123"/>
    <x v="132"/>
    <x v="70"/>
    <x v="3"/>
    <s v="Tomato (Cherry Det) - Ripe Fruit Small 1X | Field TP Su"/>
    <s v="TOM011"/>
    <x v="0"/>
    <x v="45"/>
    <x v="69"/>
    <x v="0"/>
    <n v="32.5"/>
    <x v="0"/>
    <x v="1"/>
    <x v="1"/>
    <x v="0"/>
    <s v="TOM"/>
    <x v="0"/>
    <x v="4"/>
    <d v="2025-05-31T00:00:00"/>
    <x v="0"/>
    <d v="2025-06-07T00:00:00"/>
    <d v="2025-08-20T00:00:00"/>
    <d v="2025-11-26T00:00:00"/>
    <x v="0"/>
    <x v="1"/>
    <x v="0"/>
    <x v="0"/>
    <n v="2041.6667"/>
    <n v="12.152799999999999"/>
    <n v="126"/>
    <x v="0"/>
    <x v="0"/>
    <x v="0"/>
    <x v="15"/>
    <x v="1"/>
    <x v="0"/>
    <x v="0"/>
    <x v="0"/>
    <x v="15"/>
    <x v="4"/>
    <x v="8"/>
    <x v="2"/>
    <n v="327"/>
    <x v="2"/>
    <n v="962"/>
    <x v="17"/>
    <x v="18"/>
    <x v="11"/>
    <x v="5"/>
  </r>
  <r>
    <x v="0"/>
    <x v="11"/>
    <x v="133"/>
    <x v="16"/>
    <x v="3"/>
    <s v="Tomato (Cherry) - Ripe Fruit Small 1X | Greenhouse TP Su"/>
    <s v="TOM004"/>
    <x v="0"/>
    <x v="45"/>
    <x v="70"/>
    <x v="0"/>
    <n v="21.666666666666664"/>
    <x v="0"/>
    <x v="0"/>
    <x v="0"/>
    <x v="0"/>
    <s v="TOM"/>
    <x v="0"/>
    <x v="11"/>
    <d v="2025-05-02T00:00:00"/>
    <x v="0"/>
    <d v="2025-05-30T00:00:00"/>
    <d v="2025-06-30T00:00:00"/>
    <d v="2025-10-20T00:00:00"/>
    <x v="0"/>
    <x v="1"/>
    <x v="0"/>
    <x v="0"/>
    <n v="1166.6667"/>
    <n v="7.9908999999999999"/>
    <n v="90"/>
    <x v="0"/>
    <x v="0"/>
    <x v="0"/>
    <x v="8"/>
    <x v="1"/>
    <x v="0"/>
    <x v="0"/>
    <x v="0"/>
    <x v="15"/>
    <x v="4"/>
    <x v="7"/>
    <x v="2"/>
    <n v="329"/>
    <x v="2"/>
    <n v="911"/>
    <x v="10"/>
    <x v="18"/>
    <x v="6"/>
    <x v="5"/>
  </r>
  <r>
    <x v="0"/>
    <x v="123"/>
    <x v="134"/>
    <x v="11"/>
    <x v="3"/>
    <s v="Tomato (Medium Det) - Ripe Fruit Medium 1X | Field TP Su"/>
    <s v="TOM008"/>
    <x v="0"/>
    <x v="45"/>
    <x v="71"/>
    <x v="0"/>
    <n v="260"/>
    <x v="0"/>
    <x v="11"/>
    <x v="1"/>
    <x v="0"/>
    <s v="TOM"/>
    <x v="0"/>
    <x v="4"/>
    <d v="2025-05-31T00:00:00"/>
    <x v="0"/>
    <d v="2025-06-15T00:00:00"/>
    <d v="2025-09-09T00:00:00"/>
    <d v="2025-11-11T00:00:00"/>
    <x v="0"/>
    <x v="1"/>
    <x v="0"/>
    <x v="0"/>
    <n v="16800"/>
    <n v="109.8039"/>
    <n v="146"/>
    <x v="0"/>
    <x v="0"/>
    <x v="0"/>
    <x v="16"/>
    <x v="1"/>
    <x v="0"/>
    <x v="0"/>
    <x v="0"/>
    <x v="15"/>
    <x v="4"/>
    <x v="8"/>
    <x v="2"/>
    <n v="330"/>
    <x v="2"/>
    <n v="982"/>
    <x v="18"/>
    <x v="18"/>
    <x v="11"/>
    <x v="5"/>
  </r>
  <r>
    <x v="0"/>
    <x v="123"/>
    <x v="135"/>
    <x v="20"/>
    <x v="3"/>
    <s v="Tomato (Medium Det) - Ripe Fruit Medium 1X | Field TP Su"/>
    <s v="TOM012"/>
    <x v="0"/>
    <x v="45"/>
    <x v="71"/>
    <x v="0"/>
    <n v="32.5"/>
    <x v="0"/>
    <x v="1"/>
    <x v="1"/>
    <x v="0"/>
    <s v="TOM"/>
    <x v="0"/>
    <x v="4"/>
    <d v="2025-05-31T00:00:00"/>
    <x v="0"/>
    <d v="2025-06-07T00:00:00"/>
    <d v="2025-09-09T00:00:00"/>
    <d v="2025-11-11T00:00:00"/>
    <x v="0"/>
    <x v="1"/>
    <x v="0"/>
    <x v="0"/>
    <n v="2100"/>
    <n v="13.7255"/>
    <n v="146"/>
    <x v="0"/>
    <x v="0"/>
    <x v="0"/>
    <x v="16"/>
    <x v="1"/>
    <x v="0"/>
    <x v="0"/>
    <x v="0"/>
    <x v="15"/>
    <x v="4"/>
    <x v="8"/>
    <x v="2"/>
    <n v="330"/>
    <x v="2"/>
    <n v="982"/>
    <x v="18"/>
    <x v="18"/>
    <x v="11"/>
    <x v="5"/>
  </r>
  <r>
    <x v="0"/>
    <x v="11"/>
    <x v="136"/>
    <x v="71"/>
    <x v="3"/>
    <s v="Tomato (Medium) - Ripe Fruit Medium 1X | Field TP Su"/>
    <s v="TOM005"/>
    <x v="0"/>
    <x v="45"/>
    <x v="72"/>
    <x v="0"/>
    <n v="86.666666666666657"/>
    <x v="0"/>
    <x v="3"/>
    <x v="2"/>
    <x v="0"/>
    <s v="TOM"/>
    <x v="0"/>
    <x v="11"/>
    <d v="2025-05-12T00:00:00"/>
    <x v="0"/>
    <d v="2025-05-31T00:00:00"/>
    <d v="2025-08-14T00:00:00"/>
    <d v="2025-10-16T00:00:00"/>
    <x v="0"/>
    <x v="1"/>
    <x v="0"/>
    <x v="0"/>
    <n v="4200"/>
    <n v="29.577500000000001"/>
    <n v="135"/>
    <x v="0"/>
    <x v="0"/>
    <x v="0"/>
    <x v="16"/>
    <x v="1"/>
    <x v="0"/>
    <x v="0"/>
    <x v="0"/>
    <x v="15"/>
    <x v="4"/>
    <x v="7"/>
    <x v="2"/>
    <n v="331"/>
    <x v="2"/>
    <n v="956"/>
    <x v="18"/>
    <x v="18"/>
    <x v="11"/>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33A7CE-C745-4E45-8A29-FDAA98EEE264}" name="SeedNeeds" cacheId="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B4:E207" firstHeaderRow="2" firstDataRow="2" firstDataCol="3" rowPageCount="1" colPageCount="1"/>
  <pivotFields count="5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32">
        <item m="1" x="531"/>
        <item m="1" x="491"/>
        <item m="1" x="422"/>
        <item m="1" x="483"/>
        <item x="27"/>
        <item m="1" x="355"/>
        <item m="1" x="495"/>
        <item m="1" x="429"/>
        <item x="0"/>
        <item x="25"/>
        <item m="1" x="521"/>
        <item m="1" x="348"/>
        <item x="31"/>
        <item m="1" x="431"/>
        <item m="1" x="449"/>
        <item m="1" x="432"/>
        <item x="44"/>
        <item m="1" x="515"/>
        <item m="1" x="476"/>
        <item m="1" x="477"/>
        <item m="1" x="450"/>
        <item m="1" x="317"/>
        <item m="1" x="295"/>
        <item m="1" x="460"/>
        <item x="60"/>
        <item x="61"/>
        <item x="1"/>
        <item m="1" x="231"/>
        <item m="1" x="458"/>
        <item m="1" x="232"/>
        <item m="1" x="466"/>
        <item x="2"/>
        <item m="1" x="490"/>
        <item x="33"/>
        <item m="1" x="441"/>
        <item m="1" x="528"/>
        <item m="1" x="451"/>
        <item m="1" x="452"/>
        <item m="1" x="456"/>
        <item m="1" x="498"/>
        <item m="1" x="499"/>
        <item m="1" x="455"/>
        <item m="1" x="474"/>
        <item m="1" x="418"/>
        <item m="1" x="288"/>
        <item m="1" x="305"/>
        <item m="1" x="416"/>
        <item m="1" x="448"/>
        <item m="1" x="467"/>
        <item m="1" x="403"/>
        <item m="1" x="428"/>
        <item m="1" x="433"/>
        <item m="1" x="430"/>
        <item x="89"/>
        <item x="91"/>
        <item m="1" x="292"/>
        <item m="1" x="470"/>
        <item m="1" x="434"/>
        <item m="1" x="440"/>
        <item m="1" x="424"/>
        <item m="1" x="271"/>
        <item m="1" x="259"/>
        <item m="1" x="339"/>
        <item m="1" x="523"/>
        <item m="1" x="302"/>
        <item m="1" x="332"/>
        <item m="1" x="331"/>
        <item m="1" x="359"/>
        <item x="26"/>
        <item x="5"/>
        <item m="1" x="500"/>
        <item m="1" x="360"/>
        <item x="67"/>
        <item m="1" x="465"/>
        <item m="1" x="417"/>
        <item m="1" x="501"/>
        <item m="1" x="311"/>
        <item m="1" x="512"/>
        <item m="1" x="496"/>
        <item x="107"/>
        <item x="28"/>
        <item m="1" x="530"/>
        <item m="1" x="425"/>
        <item x="7"/>
        <item m="1" x="469"/>
        <item m="1" x="497"/>
        <item x="76"/>
        <item x="35"/>
        <item m="1" x="461"/>
        <item m="1" x="509"/>
        <item m="1" x="485"/>
        <item m="1" x="248"/>
        <item m="1" x="435"/>
        <item m="1" x="518"/>
        <item m="1" x="351"/>
        <item m="1" x="475"/>
        <item m="1" x="261"/>
        <item m="1" x="427"/>
        <item m="1" x="502"/>
        <item m="1" x="522"/>
        <item m="1" x="436"/>
        <item m="1" x="423"/>
        <item m="1" x="519"/>
        <item x="124"/>
        <item x="10"/>
        <item m="1" x="438"/>
        <item x="126"/>
        <item m="1" x="517"/>
        <item m="1" x="504"/>
        <item m="1" x="484"/>
        <item x="131"/>
        <item m="1" x="352"/>
        <item m="1" x="471"/>
        <item m="1" x="277"/>
        <item m="1" x="275"/>
        <item m="1" x="478"/>
        <item x="138"/>
        <item m="1" x="447"/>
        <item m="1" x="303"/>
        <item m="1" x="505"/>
        <item x="141"/>
        <item m="1" x="308"/>
        <item m="1" x="511"/>
        <item m="1" x="453"/>
        <item m="1" x="443"/>
        <item m="1" x="445"/>
        <item m="1" x="488"/>
        <item m="1" x="489"/>
        <item m="1" x="439"/>
        <item m="1" x="513"/>
        <item m="1" x="264"/>
        <item m="1" x="444"/>
        <item x="158"/>
        <item m="1" x="529"/>
        <item x="12"/>
        <item m="1" x="414"/>
        <item m="1" x="386"/>
        <item m="1" x="315"/>
        <item m="1" x="354"/>
        <item m="1" x="472"/>
        <item m="1" x="492"/>
        <item m="1" x="380"/>
        <item m="1" x="265"/>
        <item m="1" x="486"/>
        <item m="1" x="457"/>
        <item m="1" x="487"/>
        <item x="15"/>
        <item x="169"/>
        <item x="170"/>
        <item m="1" x="464"/>
        <item m="1" x="526"/>
        <item m="1" x="506"/>
        <item x="176"/>
        <item m="1" x="479"/>
        <item m="1" x="480"/>
        <item m="1" x="481"/>
        <item m="1" x="482"/>
        <item m="1" x="507"/>
        <item m="1" x="527"/>
        <item m="1" x="454"/>
        <item m="1" x="372"/>
        <item m="1" x="316"/>
        <item x="181"/>
        <item m="1" x="420"/>
        <item m="1" x="525"/>
        <item m="1" x="233"/>
        <item m="1" x="473"/>
        <item m="1" x="419"/>
        <item m="1" x="346"/>
        <item m="1" x="421"/>
        <item m="1" x="446"/>
        <item m="1" x="462"/>
        <item m="1" x="237"/>
        <item m="1" x="426"/>
        <item m="1" x="304"/>
        <item m="1" x="463"/>
        <item m="1" x="296"/>
        <item m="1" x="375"/>
        <item m="1" x="459"/>
        <item m="1" x="468"/>
        <item m="1" x="415"/>
        <item m="1" x="510"/>
        <item m="1" x="508"/>
        <item x="198"/>
        <item x="199"/>
        <item x="20"/>
        <item x="142"/>
        <item m="1" x="228"/>
        <item m="1" x="493"/>
        <item m="1" x="494"/>
        <item m="1" x="330"/>
        <item m="1" x="322"/>
        <item m="1" x="442"/>
        <item m="1" x="347"/>
        <item m="1" x="516"/>
        <item x="32"/>
        <item m="1" x="437"/>
        <item x="192"/>
        <item x="49"/>
        <item m="1" x="520"/>
        <item m="1" x="514"/>
        <item m="1" x="524"/>
        <item m="1" x="353"/>
        <item m="1" x="503"/>
        <item m="1" x="408"/>
        <item x="19"/>
        <item m="1" x="409"/>
        <item m="1" x="286"/>
        <item m="1" x="413"/>
        <item m="1" x="290"/>
        <item m="1" x="282"/>
        <item m="1" x="281"/>
        <item m="1" x="225"/>
        <item m="1" x="283"/>
        <item m="1" x="284"/>
        <item m="1" x="220"/>
        <item x="3"/>
        <item m="1" x="399"/>
        <item x="13"/>
        <item m="1" x="222"/>
        <item m="1" x="287"/>
        <item m="1" x="379"/>
        <item m="1" x="285"/>
        <item m="1" x="410"/>
        <item m="1" x="378"/>
        <item x="147"/>
        <item m="1" x="405"/>
        <item m="1" x="393"/>
        <item m="1" x="293"/>
        <item m="1" x="294"/>
        <item m="1" x="398"/>
        <item m="1" x="297"/>
        <item m="1" x="373"/>
        <item m="1" x="298"/>
        <item x="39"/>
        <item x="40"/>
        <item x="41"/>
        <item m="1" x="247"/>
        <item m="1" x="250"/>
        <item m="1" x="252"/>
        <item m="1" x="243"/>
        <item x="4"/>
        <item m="1" x="219"/>
        <item m="1" x="299"/>
        <item m="1" x="249"/>
        <item m="1" x="245"/>
        <item m="1" x="244"/>
        <item m="1" x="394"/>
        <item m="1" x="397"/>
        <item m="1" x="395"/>
        <item m="1" x="396"/>
        <item x="167"/>
        <item m="1" x="263"/>
        <item m="1" x="210"/>
        <item m="1" x="392"/>
        <item x="57"/>
        <item m="1" x="390"/>
        <item x="62"/>
        <item m="1" x="391"/>
        <item m="1" x="358"/>
        <item m="1" x="356"/>
        <item m="1" x="306"/>
        <item m="1" x="365"/>
        <item m="1" x="350"/>
        <item x="63"/>
        <item x="115"/>
        <item x="182"/>
        <item m="1" x="309"/>
        <item m="1" x="389"/>
        <item m="1" x="278"/>
        <item m="1" x="406"/>
        <item m="1" x="312"/>
        <item m="1" x="407"/>
        <item m="1" x="242"/>
        <item x="73"/>
        <item m="1" x="254"/>
        <item m="1" x="240"/>
        <item x="75"/>
        <item x="74"/>
        <item x="118"/>
        <item x="156"/>
        <item m="1" x="238"/>
        <item x="8"/>
        <item m="1" x="241"/>
        <item x="162"/>
        <item x="79"/>
        <item m="1" x="260"/>
        <item m="1" x="255"/>
        <item m="1" x="401"/>
        <item m="1" x="388"/>
        <item x="80"/>
        <item m="1" x="333"/>
        <item x="14"/>
        <item m="1" x="327"/>
        <item m="1" x="411"/>
        <item m="1" x="412"/>
        <item m="1" x="334"/>
        <item m="1" x="345"/>
        <item x="187"/>
        <item m="1" x="404"/>
        <item m="1" x="336"/>
        <item m="1" x="362"/>
        <item m="1" x="367"/>
        <item m="1" x="368"/>
        <item m="1" x="387"/>
        <item m="1" x="239"/>
        <item m="1" x="314"/>
        <item x="72"/>
        <item m="1" x="324"/>
        <item m="1" x="325"/>
        <item m="1" x="318"/>
        <item x="92"/>
        <item x="94"/>
        <item m="1" x="400"/>
        <item x="42"/>
        <item m="1" x="402"/>
        <item m="1" x="276"/>
        <item x="97"/>
        <item m="1" x="234"/>
        <item m="1" x="338"/>
        <item x="132"/>
        <item x="102"/>
        <item m="1" x="235"/>
        <item x="82"/>
        <item m="1" x="274"/>
        <item x="101"/>
        <item m="1" x="340"/>
        <item x="135"/>
        <item m="1" x="369"/>
        <item m="1" x="366"/>
        <item m="1" x="256"/>
        <item m="1" x="257"/>
        <item x="157"/>
        <item m="1" x="251"/>
        <item m="1" x="323"/>
        <item m="1" x="320"/>
        <item m="1" x="319"/>
        <item x="173"/>
        <item x="108"/>
        <item x="151"/>
        <item m="1" x="342"/>
        <item m="1" x="376"/>
        <item m="1" x="326"/>
        <item m="1" x="343"/>
        <item m="1" x="313"/>
        <item x="77"/>
        <item m="1" x="337"/>
        <item m="1" x="341"/>
        <item x="85"/>
        <item m="1" x="273"/>
        <item m="1" x="246"/>
        <item m="1" x="269"/>
        <item m="1" x="262"/>
        <item m="1" x="266"/>
        <item m="1" x="268"/>
        <item x="180"/>
        <item m="1" x="211"/>
        <item x="174"/>
        <item x="56"/>
        <item m="1" x="321"/>
        <item m="1" x="344"/>
        <item m="1" x="385"/>
        <item m="1" x="236"/>
        <item x="6"/>
        <item m="1" x="229"/>
        <item m="1" x="363"/>
        <item m="1" x="370"/>
        <item m="1" x="371"/>
        <item m="1" x="377"/>
        <item m="1" x="374"/>
        <item m="1" x="335"/>
        <item m="1" x="329"/>
        <item m="1" x="328"/>
        <item m="1" x="218"/>
        <item m="1" x="291"/>
        <item m="1" x="349"/>
        <item x="99"/>
        <item m="1" x="209"/>
        <item x="34"/>
        <item x="53"/>
        <item m="1" x="230"/>
        <item x="194"/>
        <item x="54"/>
        <item m="1" x="357"/>
        <item m="1" x="361"/>
        <item m="1" x="300"/>
        <item m="1" x="364"/>
        <item m="1" x="301"/>
        <item x="9"/>
        <item x="144"/>
        <item m="1" x="381"/>
        <item m="1" x="258"/>
        <item x="50"/>
        <item m="1" x="272"/>
        <item x="149"/>
        <item x="119"/>
        <item x="189"/>
        <item x="129"/>
        <item m="1" x="310"/>
        <item m="1" x="383"/>
        <item x="154"/>
        <item x="18"/>
        <item m="1" x="253"/>
        <item m="1" x="267"/>
        <item m="1" x="208"/>
        <item m="1" x="270"/>
        <item m="1" x="382"/>
        <item m="1" x="384"/>
        <item x="143"/>
        <item x="84"/>
        <item m="1" x="307"/>
        <item x="130"/>
        <item x="71"/>
        <item x="163"/>
        <item m="1" x="221"/>
        <item m="1" x="289"/>
        <item m="1" x="223"/>
        <item m="1" x="224"/>
        <item m="1" x="226"/>
        <item m="1" x="227"/>
        <item m="1" x="216"/>
        <item m="1" x="279"/>
        <item m="1" x="280"/>
        <item x="37"/>
        <item m="1" x="217"/>
        <item x="16"/>
        <item m="1" x="212"/>
        <item x="21"/>
        <item x="11"/>
        <item x="17"/>
        <item x="23"/>
        <item x="145"/>
        <item x="117"/>
        <item x="29"/>
        <item x="30"/>
        <item x="148"/>
        <item x="123"/>
        <item x="38"/>
        <item x="121"/>
        <item x="190"/>
        <item m="1" x="213"/>
        <item x="43"/>
        <item x="196"/>
        <item x="46"/>
        <item x="122"/>
        <item x="51"/>
        <item x="127"/>
        <item x="183"/>
        <item x="58"/>
        <item x="166"/>
        <item x="64"/>
        <item m="1" x="214"/>
        <item x="184"/>
        <item m="1" x="215"/>
        <item x="78"/>
        <item x="69"/>
        <item x="188"/>
        <item x="165"/>
        <item x="155"/>
        <item x="125"/>
        <item x="95"/>
        <item x="179"/>
        <item x="65"/>
        <item x="172"/>
        <item x="146"/>
        <item x="152"/>
        <item x="90"/>
        <item x="100"/>
        <item x="137"/>
        <item x="136"/>
        <item x="178"/>
        <item x="109"/>
        <item x="128"/>
        <item x="175"/>
        <item x="197"/>
        <item x="195"/>
        <item x="83"/>
        <item x="186"/>
        <item m="1" x="205"/>
        <item x="104"/>
        <item x="48"/>
        <item x="161"/>
        <item x="52"/>
        <item x="70"/>
        <item x="120"/>
        <item x="134"/>
        <item x="96"/>
        <item x="139"/>
        <item x="66"/>
        <item x="59"/>
        <item x="177"/>
        <item x="160"/>
        <item x="159"/>
        <item x="98"/>
        <item x="185"/>
        <item x="171"/>
        <item x="150"/>
        <item m="1" x="203"/>
        <item x="55"/>
        <item x="86"/>
        <item x="24"/>
        <item x="88"/>
        <item x="68"/>
        <item x="191"/>
        <item x="87"/>
        <item x="93"/>
        <item x="111"/>
        <item x="106"/>
        <item x="153"/>
        <item x="133"/>
        <item x="36"/>
        <item x="81"/>
        <item x="164"/>
        <item m="1" x="207"/>
        <item x="168"/>
        <item m="1" x="204"/>
        <item x="112"/>
        <item x="113"/>
        <item x="103"/>
        <item x="110"/>
        <item x="114"/>
        <item x="45"/>
        <item x="193"/>
        <item x="140"/>
        <item x="105"/>
        <item m="1" x="206"/>
        <item m="1" x="201"/>
        <item m="1" x="202"/>
        <item x="116"/>
        <item x="47"/>
        <item m="1" x="200"/>
        <item x="22"/>
      </items>
      <extLst>
        <ext xmlns:x14="http://schemas.microsoft.com/office/spreadsheetml/2009/9/main" uri="{2946ED86-A175-432a-8AC1-64E0C546D7DE}">
          <x14:pivotField fillDownLabels="1"/>
        </ext>
      </extLst>
    </pivotField>
    <pivotField axis="axisRow" compact="0" outline="0" showAll="0" defaultSubtotal="0">
      <items count="62">
        <item x="5"/>
        <item m="1" x="57"/>
        <item m="1" x="31"/>
        <item x="6"/>
        <item m="1" x="54"/>
        <item x="4"/>
        <item m="1" x="52"/>
        <item m="1" x="34"/>
        <item x="19"/>
        <item x="3"/>
        <item m="1" x="51"/>
        <item x="7"/>
        <item m="1" x="59"/>
        <item m="1" x="56"/>
        <item m="1" x="55"/>
        <item x="2"/>
        <item x="14"/>
        <item m="1" x="38"/>
        <item m="1" x="37"/>
        <item m="1" x="61"/>
        <item x="15"/>
        <item x="11"/>
        <item m="1" x="39"/>
        <item m="1" x="49"/>
        <item x="8"/>
        <item m="1" x="44"/>
        <item m="1" x="58"/>
        <item m="1" x="47"/>
        <item m="1" x="60"/>
        <item x="1"/>
        <item m="1" x="26"/>
        <item x="9"/>
        <item m="1" x="50"/>
        <item m="1" x="53"/>
        <item m="1" x="48"/>
        <item m="1" x="46"/>
        <item m="1" x="35"/>
        <item m="1" x="21"/>
        <item m="1" x="43"/>
        <item m="1" x="41"/>
        <item m="1" x="36"/>
        <item m="1" x="33"/>
        <item x="0"/>
        <item m="1" x="45"/>
        <item m="1" x="29"/>
        <item m="1" x="40"/>
        <item m="1" x="32"/>
        <item m="1" x="42"/>
        <item m="1" x="25"/>
        <item m="1" x="30"/>
        <item m="1" x="27"/>
        <item x="13"/>
        <item m="1" x="28"/>
        <item x="20"/>
        <item x="17"/>
        <item x="10"/>
        <item m="1" x="24"/>
        <item x="16"/>
        <item x="18"/>
        <item x="12"/>
        <item m="1" x="23"/>
        <item m="1" x="22"/>
      </items>
      <extLst>
        <ext xmlns:x14="http://schemas.microsoft.com/office/spreadsheetml/2009/9/main" uri="{2946ED86-A175-432a-8AC1-64E0C546D7DE}">
          <x14:pivotField fillDownLabels="1"/>
        </ext>
      </extLst>
    </pivotField>
    <pivotField dataField="1" compact="0" outline="0" showAll="0"/>
    <pivotField compact="0" outline="0" showAll="0" defaultSubtotal="0">
      <extLst>
        <ext xmlns:x14="http://schemas.microsoft.com/office/spreadsheetml/2009/9/main" uri="{2946ED86-A175-432a-8AC1-64E0C546D7DE}">
          <x14:pivotField fillDownLabels="1"/>
        </ext>
      </extLst>
    </pivotField>
    <pivotField compact="0" outline="0" showAll="0"/>
    <pivotField axis="axisRow" compact="0" outline="0" showAll="0" sortType="ascending" defaultSubtotal="0">
      <items count="104">
        <item m="1" x="73"/>
        <item m="1" x="49"/>
        <item x="17"/>
        <item x="14"/>
        <item m="1" x="74"/>
        <item m="1" x="94"/>
        <item x="13"/>
        <item x="20"/>
        <item m="1" x="59"/>
        <item x="21"/>
        <item m="1" x="44"/>
        <item m="1" x="75"/>
        <item x="22"/>
        <item m="1" x="66"/>
        <item m="1" x="76"/>
        <item m="1" x="95"/>
        <item x="4"/>
        <item x="24"/>
        <item x="12"/>
        <item x="42"/>
        <item m="1" x="77"/>
        <item x="5"/>
        <item m="1" x="91"/>
        <item x="11"/>
        <item x="26"/>
        <item x="27"/>
        <item m="1" x="78"/>
        <item m="1" x="79"/>
        <item m="1" x="80"/>
        <item x="28"/>
        <item m="1" x="70"/>
        <item m="1" x="96"/>
        <item x="19"/>
        <item m="1" x="92"/>
        <item m="1" x="81"/>
        <item m="1" x="50"/>
        <item m="1" x="62"/>
        <item x="0"/>
        <item m="1" x="60"/>
        <item x="43"/>
        <item m="1" x="61"/>
        <item x="15"/>
        <item x="8"/>
        <item m="1" x="63"/>
        <item m="1" x="83"/>
        <item m="1" x="64"/>
        <item m="1" x="93"/>
        <item x="25"/>
        <item x="32"/>
        <item m="1" x="52"/>
        <item x="30"/>
        <item x="3"/>
        <item x="1"/>
        <item x="16"/>
        <item x="7"/>
        <item m="1" x="85"/>
        <item m="1" x="82"/>
        <item x="34"/>
        <item m="1" x="87"/>
        <item m="1" x="51"/>
        <item m="1" x="97"/>
        <item m="1" x="98"/>
        <item x="31"/>
        <item m="1" x="54"/>
        <item x="35"/>
        <item x="37"/>
        <item m="1" x="45"/>
        <item m="1" x="102"/>
        <item m="1" x="101"/>
        <item x="29"/>
        <item x="10"/>
        <item m="1" x="99"/>
        <item x="36"/>
        <item m="1" x="68"/>
        <item x="23"/>
        <item x="9"/>
        <item m="1" x="48"/>
        <item m="1" x="67"/>
        <item m="1" x="53"/>
        <item m="1" x="88"/>
        <item m="1" x="47"/>
        <item m="1" x="71"/>
        <item m="1" x="65"/>
        <item m="1" x="90"/>
        <item x="40"/>
        <item m="1" x="58"/>
        <item m="1" x="55"/>
        <item x="39"/>
        <item m="1" x="56"/>
        <item x="41"/>
        <item m="1" x="100"/>
        <item m="1" x="84"/>
        <item x="2"/>
        <item m="1" x="57"/>
        <item x="38"/>
        <item m="1" x="69"/>
        <item m="1" x="103"/>
        <item m="1" x="72"/>
        <item x="33"/>
        <item x="18"/>
        <item x="6"/>
        <item m="1" x="89"/>
        <item m="1" x="86"/>
        <item m="1" x="46"/>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3">
        <item m="1" x="1"/>
        <item x="0"/>
        <item t="default"/>
      </items>
    </pivotField>
    <pivotField compact="0" outline="0" showAll="0"/>
    <pivotField compact="0" outline="0" showAll="0"/>
  </pivotFields>
  <rowFields count="3">
    <field x="6"/>
    <field x="2"/>
    <field x="1"/>
  </rowFields>
  <rowItems count="202">
    <i>
      <x v="2"/>
      <x v="5"/>
      <x v="9"/>
    </i>
    <i r="1">
      <x v="9"/>
      <x v="430"/>
    </i>
    <i>
      <x v="3"/>
      <x v="5"/>
      <x v="87"/>
    </i>
    <i r="1">
      <x v="9"/>
      <x v="378"/>
    </i>
    <i r="2">
      <x v="394"/>
    </i>
    <i r="2">
      <x v="423"/>
    </i>
    <i r="1">
      <x v="31"/>
      <x v="185"/>
    </i>
    <i>
      <x v="6"/>
      <x/>
      <x v="68"/>
    </i>
    <i r="1">
      <x v="5"/>
      <x v="389"/>
    </i>
    <i r="1">
      <x v="9"/>
      <x v="431"/>
    </i>
    <i r="1">
      <x v="24"/>
      <x v="80"/>
    </i>
    <i r="2">
      <x v="205"/>
    </i>
    <i r="1">
      <x v="29"/>
      <x v="183"/>
    </i>
    <i>
      <x v="7"/>
      <x v="5"/>
      <x v="434"/>
    </i>
    <i r="2">
      <x v="435"/>
    </i>
    <i r="1">
      <x v="9"/>
      <x v="411"/>
    </i>
    <i r="1">
      <x v="24"/>
      <x v="432"/>
    </i>
    <i r="2">
      <x v="433"/>
    </i>
    <i>
      <x v="9"/>
      <x/>
      <x v="33"/>
    </i>
    <i r="1">
      <x v="5"/>
      <x v="12"/>
    </i>
    <i r="2">
      <x v="195"/>
    </i>
    <i>
      <x v="12"/>
      <x v="9"/>
      <x v="437"/>
    </i>
    <i r="1">
      <x v="11"/>
      <x v="436"/>
    </i>
    <i>
      <x v="16"/>
      <x v="5"/>
      <x v="234"/>
    </i>
    <i r="2">
      <x v="235"/>
    </i>
    <i r="2">
      <x v="236"/>
    </i>
    <i r="2">
      <x v="241"/>
    </i>
    <i r="1">
      <x v="9"/>
      <x v="279"/>
    </i>
    <i r="2">
      <x v="438"/>
    </i>
    <i r="1">
      <x v="11"/>
      <x v="439"/>
    </i>
    <i r="2">
      <x v="441"/>
    </i>
    <i r="2">
      <x v="487"/>
    </i>
    <i>
      <x v="17"/>
      <x v="5"/>
      <x v="198"/>
    </i>
    <i r="2">
      <x v="443"/>
    </i>
    <i r="2">
      <x v="445"/>
    </i>
    <i r="2">
      <x v="446"/>
    </i>
    <i r="1">
      <x v="9"/>
      <x v="392"/>
    </i>
    <i r="2">
      <x v="442"/>
    </i>
    <i r="2">
      <x v="444"/>
    </i>
    <i r="1">
      <x v="11"/>
      <x v="106"/>
    </i>
    <i>
      <x v="18"/>
      <x v="9"/>
      <x v="251"/>
    </i>
    <i r="2">
      <x v="425"/>
    </i>
    <i r="2">
      <x v="447"/>
    </i>
    <i>
      <x v="19"/>
      <x/>
      <x v="396"/>
    </i>
    <i r="1">
      <x v="5"/>
      <x v="162"/>
    </i>
    <i r="2">
      <x v="395"/>
    </i>
    <i>
      <x v="21"/>
      <x v="9"/>
      <x v="69"/>
    </i>
    <i>
      <x v="23"/>
      <x/>
      <x v="146"/>
    </i>
    <i>
      <x v="24"/>
      <x v="5"/>
      <x v="255"/>
    </i>
    <i r="1">
      <x v="9"/>
      <x v="448"/>
    </i>
    <i r="1">
      <x v="24"/>
      <x v="186"/>
    </i>
    <i>
      <x v="25"/>
      <x/>
      <x v="397"/>
    </i>
    <i r="1">
      <x v="5"/>
      <x v="257"/>
    </i>
    <i>
      <x v="29"/>
      <x v="5"/>
      <x v="264"/>
    </i>
    <i r="2">
      <x v="265"/>
    </i>
    <i r="2">
      <x v="266"/>
    </i>
    <i r="2">
      <x v="449"/>
    </i>
    <i r="1">
      <x v="9"/>
      <x v="488"/>
    </i>
    <i r="1">
      <x v="11"/>
      <x v="450"/>
    </i>
    <i>
      <x v="32"/>
      <x/>
      <x v="4"/>
    </i>
    <i r="1">
      <x v="5"/>
      <x v="72"/>
    </i>
    <i r="1">
      <x v="9"/>
      <x v="452"/>
    </i>
    <i r="1">
      <x v="11"/>
      <x v="489"/>
    </i>
    <i>
      <x v="37"/>
      <x v="42"/>
      <x v="8"/>
    </i>
    <i>
      <x v="39"/>
      <x v="5"/>
      <x v="147"/>
    </i>
    <i r="1">
      <x v="29"/>
      <x v="116"/>
    </i>
    <i>
      <x v="41"/>
      <x v="31"/>
      <x v="427"/>
    </i>
    <i>
      <x v="42"/>
      <x v="3"/>
      <x v="428"/>
    </i>
    <i>
      <x v="47"/>
      <x v="5"/>
      <x v="274"/>
    </i>
    <i r="2">
      <x v="379"/>
    </i>
    <i r="2">
      <x v="400"/>
    </i>
    <i>
      <x v="48"/>
      <x v="9"/>
      <x v="277"/>
    </i>
    <i r="2">
      <x v="278"/>
    </i>
    <i>
      <x v="50"/>
      <x v="9"/>
      <x v="86"/>
    </i>
    <i r="1">
      <x v="11"/>
      <x v="454"/>
    </i>
    <i r="1">
      <x v="20"/>
      <x v="455"/>
    </i>
    <i>
      <x v="51"/>
      <x v="9"/>
      <x v="216"/>
    </i>
    <i>
      <x v="52"/>
      <x v="5"/>
      <x v="134"/>
    </i>
    <i r="2">
      <x v="282"/>
    </i>
    <i r="1">
      <x v="9"/>
      <x v="104"/>
    </i>
    <i r="2">
      <x v="280"/>
    </i>
    <i r="2">
      <x v="284"/>
    </i>
    <i r="2">
      <x v="285"/>
    </i>
    <i r="2">
      <x v="290"/>
    </i>
    <i r="2">
      <x v="381"/>
    </i>
    <i r="1">
      <x v="11"/>
      <x v="401"/>
    </i>
    <i r="1">
      <x v="24"/>
      <x v="429"/>
    </i>
    <i r="1">
      <x v="29"/>
      <x v="26"/>
    </i>
    <i r="2">
      <x v="83"/>
    </i>
    <i>
      <x v="53"/>
      <x v="31"/>
      <x v="531"/>
    </i>
    <i>
      <x v="54"/>
      <x/>
      <x v="388"/>
    </i>
    <i>
      <x v="57"/>
      <x v="5"/>
      <x v="456"/>
    </i>
    <i r="1">
      <x v="9"/>
      <x v="298"/>
    </i>
    <i r="2">
      <x v="409"/>
    </i>
    <i r="1">
      <x v="11"/>
      <x v="409"/>
    </i>
    <i>
      <x v="62"/>
      <x v="5"/>
      <x v="307"/>
    </i>
    <i r="2">
      <x v="457"/>
    </i>
    <i r="1">
      <x v="9"/>
      <x v="458"/>
    </i>
    <i>
      <x v="64"/>
      <x/>
      <x v="53"/>
    </i>
    <i r="2">
      <x v="460"/>
    </i>
    <i r="1">
      <x v="5"/>
      <x v="312"/>
    </i>
    <i r="1">
      <x v="9"/>
      <x v="311"/>
    </i>
    <i r="1">
      <x v="29"/>
      <x v="459"/>
    </i>
    <i>
      <x v="65"/>
      <x v="5"/>
      <x v="485"/>
    </i>
    <i r="2">
      <x v="486"/>
    </i>
    <i>
      <x v="69"/>
      <x v="9"/>
      <x v="461"/>
    </i>
    <i r="1">
      <x v="11"/>
      <x v="463"/>
    </i>
    <i r="1">
      <x v="20"/>
      <x v="462"/>
    </i>
    <i>
      <x v="70"/>
      <x v="9"/>
      <x v="314"/>
    </i>
    <i r="2">
      <x v="320"/>
    </i>
    <i r="2">
      <x v="382"/>
    </i>
    <i r="2">
      <x v="493"/>
    </i>
    <i r="1">
      <x v="11"/>
      <x v="292"/>
    </i>
    <i r="2">
      <x v="317"/>
    </i>
    <i r="1">
      <x v="24"/>
      <x v="54"/>
    </i>
    <i>
      <x v="72"/>
      <x v="5"/>
      <x v="466"/>
    </i>
    <i r="2">
      <x v="467"/>
    </i>
    <i r="1">
      <x v="9"/>
      <x v="464"/>
    </i>
    <i r="2">
      <x v="465"/>
    </i>
    <i>
      <x v="74"/>
      <x v="24"/>
      <x v="16"/>
    </i>
    <i r="2">
      <x v="132"/>
    </i>
    <i>
      <x v="75"/>
      <x/>
      <x v="110"/>
    </i>
    <i r="1">
      <x v="5"/>
      <x v="148"/>
    </i>
    <i r="2">
      <x v="218"/>
    </i>
    <i r="2">
      <x v="323"/>
    </i>
    <i r="2">
      <x v="325"/>
    </i>
    <i r="2">
      <x v="469"/>
    </i>
    <i r="1">
      <x v="9"/>
      <x v="468"/>
    </i>
    <i>
      <x v="84"/>
      <x/>
      <x v="197"/>
    </i>
    <i r="1">
      <x v="5"/>
      <x v="327"/>
    </i>
    <i r="1">
      <x v="24"/>
      <x v="79"/>
    </i>
    <i>
      <x v="87"/>
      <x v="5"/>
      <x v="332"/>
    </i>
    <i r="1">
      <x v="29"/>
      <x v="321"/>
    </i>
    <i>
      <x v="89"/>
      <x v="5"/>
      <x v="337"/>
    </i>
    <i r="2">
      <x v="338"/>
    </i>
    <i r="2">
      <x v="339"/>
    </i>
    <i r="1">
      <x v="9"/>
      <x v="470"/>
    </i>
    <i r="2">
      <x v="471"/>
    </i>
    <i r="1">
      <x v="20"/>
      <x v="472"/>
    </i>
    <i>
      <x v="92"/>
      <x v="5"/>
      <x v="345"/>
    </i>
    <i r="2">
      <x v="348"/>
    </i>
    <i r="1">
      <x v="9"/>
      <x v="184"/>
    </i>
    <i r="2">
      <x v="474"/>
    </i>
    <i r="1">
      <x v="15"/>
      <x v="31"/>
    </i>
    <i r="1">
      <x v="20"/>
      <x v="473"/>
    </i>
    <i r="1">
      <x v="53"/>
      <x v="475"/>
    </i>
    <i>
      <x v="94"/>
      <x v="5"/>
      <x v="376"/>
    </i>
    <i r="2">
      <x v="490"/>
    </i>
    <i r="2">
      <x v="491"/>
    </i>
    <i r="2">
      <x v="492"/>
    </i>
    <i>
      <x v="98"/>
      <x v="5"/>
      <x v="477"/>
    </i>
    <i r="1">
      <x v="9"/>
      <x v="476"/>
    </i>
    <i r="1">
      <x v="24"/>
      <x v="225"/>
    </i>
    <i>
      <x v="99"/>
      <x/>
      <x v="494"/>
    </i>
    <i r="2">
      <x v="495"/>
    </i>
    <i r="2">
      <x v="509"/>
    </i>
    <i r="1">
      <x v="3"/>
      <x v="24"/>
    </i>
    <i r="1">
      <x v="8"/>
      <x v="522"/>
    </i>
    <i r="1">
      <x v="9"/>
      <x v="152"/>
    </i>
    <i r="2">
      <x v="358"/>
    </i>
    <i r="2">
      <x v="412"/>
    </i>
    <i r="2">
      <x v="479"/>
    </i>
    <i r="2">
      <x v="481"/>
    </i>
    <i r="2">
      <x v="482"/>
    </i>
    <i r="2">
      <x v="503"/>
    </i>
    <i r="2">
      <x v="516"/>
    </i>
    <i r="2">
      <x v="517"/>
    </i>
    <i r="2">
      <x v="518"/>
    </i>
    <i r="2">
      <x v="524"/>
    </i>
    <i r="2">
      <x v="528"/>
    </i>
    <i r="1">
      <x v="11"/>
      <x v="357"/>
    </i>
    <i r="2">
      <x v="408"/>
    </i>
    <i r="2">
      <x v="483"/>
    </i>
    <i r="2">
      <x v="514"/>
    </i>
    <i r="1">
      <x v="16"/>
      <x v="25"/>
    </i>
    <i r="2">
      <x v="413"/>
    </i>
    <i r="1">
      <x v="20"/>
      <x v="103"/>
    </i>
    <i r="2">
      <x v="355"/>
    </i>
    <i r="2">
      <x v="501"/>
    </i>
    <i r="1">
      <x v="21"/>
      <x v="498"/>
    </i>
    <i r="2">
      <x v="499"/>
    </i>
    <i r="2">
      <x v="510"/>
    </i>
    <i r="2">
      <x v="511"/>
    </i>
    <i r="2">
      <x v="512"/>
    </i>
    <i r="1">
      <x v="24"/>
      <x v="120"/>
    </i>
    <i r="1">
      <x v="51"/>
      <x v="480"/>
    </i>
    <i r="2">
      <x v="484"/>
    </i>
    <i r="1">
      <x v="54"/>
      <x v="496"/>
    </i>
    <i r="1">
      <x v="55"/>
      <x v="500"/>
    </i>
    <i r="1">
      <x v="57"/>
      <x v="504"/>
    </i>
    <i r="2">
      <x v="505"/>
    </i>
    <i r="2">
      <x v="506"/>
    </i>
    <i r="2">
      <x v="507"/>
    </i>
    <i r="1">
      <x v="58"/>
      <x v="508"/>
    </i>
    <i r="1">
      <x v="59"/>
      <x v="502"/>
    </i>
    <i r="2">
      <x v="519"/>
    </i>
    <i r="2">
      <x v="520"/>
    </i>
    <i r="2">
      <x v="521"/>
    </i>
    <i r="2">
      <x v="523"/>
    </i>
    <i r="2">
      <x v="529"/>
    </i>
    <i>
      <x v="100"/>
      <x v="9"/>
      <x v="363"/>
    </i>
    <i t="grand">
      <x/>
    </i>
  </rowItems>
  <colItems count="1">
    <i/>
  </colItems>
  <pageFields count="1">
    <pageField fld="47" hier="-1"/>
  </pageFields>
  <dataFields count="1">
    <dataField name="Sum of Seeds" fld="3" baseField="0" baseItem="0" numFmtId="1"/>
  </dataFields>
  <formats count="1">
    <format dxfId="10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CA174E-8813-4BD7-B24B-10D10B8880A4}"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K125" firstHeaderRow="1" firstDataRow="1" firstDataCol="1"/>
  <pivotFields count="7">
    <pivotField dataField="1" numFmtId="9" showAll="0"/>
    <pivotField axis="axisRow" showAll="0">
      <items count="127">
        <item x="86"/>
        <item x="87"/>
        <item x="59"/>
        <item x="0"/>
        <item x="48"/>
        <item x="2"/>
        <item x="3"/>
        <item x="4"/>
        <item x="6"/>
        <item x="7"/>
        <item x="9"/>
        <item x="10"/>
        <item x="11"/>
        <item x="101"/>
        <item x="12"/>
        <item x="13"/>
        <item x="22"/>
        <item x="23"/>
        <item x="109"/>
        <item x="18"/>
        <item x="24"/>
        <item x="50"/>
        <item x="51"/>
        <item x="25"/>
        <item x="26"/>
        <item x="27"/>
        <item x="28"/>
        <item m="1" x="125"/>
        <item x="32"/>
        <item x="102"/>
        <item x="33"/>
        <item x="34"/>
        <item x="19"/>
        <item x="36"/>
        <item x="37"/>
        <item x="21"/>
        <item x="117"/>
        <item x="38"/>
        <item x="39"/>
        <item x="40"/>
        <item x="35"/>
        <item x="47"/>
        <item x="60"/>
        <item x="43"/>
        <item x="41"/>
        <item x="44"/>
        <item x="53"/>
        <item x="54"/>
        <item x="77"/>
        <item x="113"/>
        <item x="57"/>
        <item x="20"/>
        <item x="58"/>
        <item x="61"/>
        <item x="114"/>
        <item x="62"/>
        <item x="63"/>
        <item x="64"/>
        <item x="65"/>
        <item x="45"/>
        <item x="66"/>
        <item x="96"/>
        <item x="99"/>
        <item x="70"/>
        <item x="71"/>
        <item x="72"/>
        <item x="73"/>
        <item x="115"/>
        <item x="80"/>
        <item x="84"/>
        <item x="85"/>
        <item x="88"/>
        <item x="90"/>
        <item x="91"/>
        <item m="1" x="123"/>
        <item x="68"/>
        <item x="92"/>
        <item x="93"/>
        <item x="94"/>
        <item x="95"/>
        <item x="97"/>
        <item x="42"/>
        <item x="98"/>
        <item m="1" x="124"/>
        <item x="118"/>
        <item x="104"/>
        <item x="69"/>
        <item x="105"/>
        <item x="100"/>
        <item m="1" x="122"/>
        <item x="79"/>
        <item x="107"/>
        <item x="46"/>
        <item x="17"/>
        <item x="89"/>
        <item x="103"/>
        <item x="120"/>
        <item x="121"/>
        <item x="81"/>
        <item x="83"/>
        <item x="82"/>
        <item x="76"/>
        <item x="56"/>
        <item x="1"/>
        <item x="5"/>
        <item x="8"/>
        <item x="14"/>
        <item x="15"/>
        <item x="16"/>
        <item x="31"/>
        <item x="29"/>
        <item x="30"/>
        <item x="49"/>
        <item x="55"/>
        <item x="52"/>
        <item x="67"/>
        <item x="74"/>
        <item x="75"/>
        <item x="78"/>
        <item x="108"/>
        <item x="111"/>
        <item x="110"/>
        <item x="112"/>
        <item x="116"/>
        <item x="106"/>
        <item x="119"/>
        <item t="default"/>
      </items>
    </pivotField>
    <pivotField showAll="0"/>
    <pivotField showAll="0"/>
    <pivotField showAll="0"/>
    <pivotField showAll="0"/>
    <pivotField showAll="0"/>
  </pivotFields>
  <rowFields count="1">
    <field x="1"/>
  </rowFields>
  <rowItems count="123">
    <i>
      <x/>
    </i>
    <i>
      <x v="1"/>
    </i>
    <i>
      <x v="2"/>
    </i>
    <i>
      <x v="3"/>
    </i>
    <i>
      <x v="4"/>
    </i>
    <i>
      <x v="5"/>
    </i>
    <i>
      <x v="6"/>
    </i>
    <i>
      <x v="7"/>
    </i>
    <i>
      <x v="8"/>
    </i>
    <i>
      <x v="9"/>
    </i>
    <i>
      <x v="10"/>
    </i>
    <i>
      <x v="11"/>
    </i>
    <i>
      <x v="12"/>
    </i>
    <i>
      <x v="13"/>
    </i>
    <i>
      <x v="14"/>
    </i>
    <i>
      <x v="15"/>
    </i>
    <i>
      <x v="16"/>
    </i>
    <i>
      <x v="17"/>
    </i>
    <i>
      <x v="18"/>
    </i>
    <i>
      <x v="19"/>
    </i>
    <i>
      <x v="20"/>
    </i>
    <i>
      <x v="21"/>
    </i>
    <i>
      <x v="22"/>
    </i>
    <i>
      <x v="23"/>
    </i>
    <i>
      <x v="24"/>
    </i>
    <i>
      <x v="25"/>
    </i>
    <i>
      <x v="26"/>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5"/>
    </i>
    <i>
      <x v="76"/>
    </i>
    <i>
      <x v="77"/>
    </i>
    <i>
      <x v="78"/>
    </i>
    <i>
      <x v="79"/>
    </i>
    <i>
      <x v="80"/>
    </i>
    <i>
      <x v="81"/>
    </i>
    <i>
      <x v="82"/>
    </i>
    <i>
      <x v="84"/>
    </i>
    <i>
      <x v="85"/>
    </i>
    <i>
      <x v="86"/>
    </i>
    <i>
      <x v="87"/>
    </i>
    <i>
      <x v="88"/>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Items count="1">
    <i/>
  </colItems>
  <dataFields count="1">
    <dataField name="Sum of Percent"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F0B5BC-C041-4975-A5B2-35B41F249641}"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X24:Y31" firstHeaderRow="1" firstDataRow="1" firstDataCol="1" rowPageCount="1" colPageCount="1"/>
  <pivotFields count="22">
    <pivotField axis="axisPage" showAll="0">
      <items count="3">
        <item x="1"/>
        <item x="0"/>
        <item t="default"/>
      </items>
    </pivotField>
    <pivotField axis="axisRow" showAll="0">
      <items count="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showAll="0"/>
    <pivotField showAll="0"/>
    <pivotField showAll="0"/>
    <pivotField showAll="0"/>
    <pivotField showAll="0"/>
    <pivotField showAll="0"/>
    <pivotField dataField="1" numFmtId="170"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s>
  <rowFields count="1">
    <field x="1"/>
  </rowFields>
  <rowItems count="7">
    <i>
      <x v="63"/>
    </i>
    <i>
      <x v="64"/>
    </i>
    <i>
      <x v="65"/>
    </i>
    <i>
      <x v="66"/>
    </i>
    <i>
      <x v="67"/>
    </i>
    <i>
      <x v="69"/>
    </i>
    <i t="grand">
      <x/>
    </i>
  </rowItems>
  <colItems count="1">
    <i/>
  </colItems>
  <pageFields count="1">
    <pageField fld="0" item="0" hier="-1"/>
  </pageFields>
  <dataFields count="1">
    <dataField name="Sum of Tray 1 Count" fld="9" baseField="1" baseItem="43" numFmtId="17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E6CD71-B8BF-4CBC-B957-59DD7C955172}" name="PivotTable2"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2:J57" firstHeaderRow="2" firstDataRow="2" firstDataCol="8"/>
  <pivotFields count="50">
    <pivotField axis="axisRow" compact="0" outline="0" showAll="0" sortType="ascending">
      <items count="3">
        <item x="1"/>
        <item h="1" x="0"/>
        <item t="default"/>
      </items>
      <autoSortScope>
        <pivotArea dataOnly="0" outline="0" fieldPosition="0">
          <references count="1">
            <reference field="4294967294" count="1" selected="0">
              <x v="0"/>
            </reference>
          </references>
        </pivotArea>
      </autoSortScope>
    </pivotField>
    <pivotField axis="axisRow" dataField="1" compact="0" outline="0" showAll="0" sortType="ascending" defaultSubtotal="0">
      <items count="444">
        <item m="1" x="331"/>
        <item m="1" x="394"/>
        <item m="1" x="387"/>
        <item m="1" x="278"/>
        <item m="1" x="380"/>
        <item m="1" x="259"/>
        <item m="1" x="351"/>
        <item m="1" x="376"/>
        <item m="1" x="245"/>
        <item m="1" x="241"/>
        <item m="1" x="281"/>
        <item m="1" x="240"/>
        <item m="1" x="373"/>
        <item m="1" x="256"/>
        <item m="1" x="421"/>
        <item m="1" x="236"/>
        <item m="1" x="428"/>
        <item m="1" x="422"/>
        <item m="1" x="231"/>
        <item m="1" x="244"/>
        <item m="1" x="405"/>
        <item m="1" x="310"/>
        <item m="1" x="311"/>
        <item m="1" x="292"/>
        <item m="1" x="336"/>
        <item m="1" x="242"/>
        <item m="1" x="406"/>
        <item m="1" x="432"/>
        <item m="1" x="356"/>
        <item m="1" x="220"/>
        <item m="1" x="219"/>
        <item m="1" x="407"/>
        <item m="1" x="312"/>
        <item m="1" x="357"/>
        <item m="1" x="221"/>
        <item x="14"/>
        <item m="1" x="420"/>
        <item m="1" x="443"/>
        <item m="1" x="442"/>
        <item m="1" x="324"/>
        <item m="1" x="393"/>
        <item m="1" x="439"/>
        <item m="1" x="383"/>
        <item m="1" x="382"/>
        <item m="1" x="298"/>
        <item m="1" x="384"/>
        <item m="1" x="419"/>
        <item m="1" x="381"/>
        <item m="1" x="321"/>
        <item m="1" x="304"/>
        <item m="1" x="430"/>
        <item m="1" x="214"/>
        <item m="1" x="372"/>
        <item m="1" x="377"/>
        <item m="1" x="404"/>
        <item m="1" x="217"/>
        <item x="133"/>
        <item m="1" x="374"/>
        <item m="1" x="392"/>
        <item m="1" x="426"/>
        <item m="1" x="213"/>
        <item m="1" x="425"/>
        <item m="1" x="433"/>
        <item m="1" x="216"/>
        <item m="1" x="270"/>
        <item m="1" x="423"/>
        <item m="1" x="210"/>
        <item m="1" x="276"/>
        <item m="1" x="254"/>
        <item m="1" x="287"/>
        <item m="1" x="398"/>
        <item m="1" x="271"/>
        <item x="103"/>
        <item m="1" x="438"/>
        <item m="1" x="203"/>
        <item m="1" x="207"/>
        <item m="1" x="274"/>
        <item m="1" x="224"/>
        <item m="1" x="424"/>
        <item m="1" x="260"/>
        <item m="1" x="243"/>
        <item m="1" x="237"/>
        <item m="1" x="202"/>
        <item m="1" x="257"/>
        <item m="1" x="388"/>
        <item m="1" x="246"/>
        <item m="1" x="427"/>
        <item x="56"/>
        <item m="1" x="265"/>
        <item m="1" x="233"/>
        <item m="1" x="225"/>
        <item m="1" x="400"/>
        <item m="1" x="399"/>
        <item m="1" x="230"/>
        <item m="1" x="206"/>
        <item m="1" x="401"/>
        <item m="1" x="431"/>
        <item m="1" x="248"/>
        <item m="1" x="402"/>
        <item m="1" x="379"/>
        <item m="1" x="385"/>
        <item m="1" x="352"/>
        <item m="1" x="291"/>
        <item m="1" x="253"/>
        <item m="1" x="375"/>
        <item m="1" x="290"/>
        <item m="1" x="294"/>
        <item m="1" x="409"/>
        <item m="1" x="297"/>
        <item m="1" x="273"/>
        <item m="1" x="408"/>
        <item m="1" x="205"/>
        <item m="1" x="272"/>
        <item m="1" x="411"/>
        <item m="1" x="329"/>
        <item m="1" x="280"/>
        <item m="1" x="250"/>
        <item m="1" x="234"/>
        <item m="1" x="204"/>
        <item m="1" x="440"/>
        <item m="1" x="286"/>
        <item m="1" x="289"/>
        <item m="1" x="235"/>
        <item x="118"/>
        <item m="1" x="403"/>
        <item m="1" x="362"/>
        <item m="1" x="251"/>
        <item m="1" x="212"/>
        <item m="1" x="395"/>
        <item m="1" x="249"/>
        <item m="1" x="261"/>
        <item m="1" x="309"/>
        <item m="1" x="223"/>
        <item m="1" x="239"/>
        <item m="1" x="340"/>
        <item m="1" x="414"/>
        <item m="1" x="354"/>
        <item m="1" x="341"/>
        <item m="1" x="386"/>
        <item m="1" x="305"/>
        <item m="1" x="316"/>
        <item m="1" x="332"/>
        <item m="1" x="327"/>
        <item m="1" x="369"/>
        <item m="1" x="318"/>
        <item m="1" x="378"/>
        <item m="1" x="323"/>
        <item m="1" x="308"/>
        <item m="1" x="300"/>
        <item m="1" x="345"/>
        <item m="1" x="284"/>
        <item m="1" x="389"/>
        <item m="1" x="301"/>
        <item m="1" x="390"/>
        <item m="1" x="344"/>
        <item m="1" x="208"/>
        <item m="1" x="441"/>
        <item m="1" x="413"/>
        <item m="1" x="209"/>
        <item m="1" x="285"/>
        <item m="1" x="266"/>
        <item m="1" x="437"/>
        <item m="1" x="365"/>
        <item m="1" x="410"/>
        <item m="1" x="368"/>
        <item m="1" x="412"/>
        <item m="1" x="279"/>
        <item m="1" x="348"/>
        <item m="1" x="296"/>
        <item m="1" x="334"/>
        <item m="1" x="295"/>
        <item m="1" x="227"/>
        <item m="1" x="418"/>
        <item m="1" x="282"/>
        <item m="1" x="215"/>
        <item m="1" x="349"/>
        <item m="1" x="307"/>
        <item m="1" x="346"/>
        <item m="1" x="238"/>
        <item m="1" x="263"/>
        <item m="1" x="353"/>
        <item m="1" x="267"/>
        <item m="1" x="262"/>
        <item m="1" x="391"/>
        <item m="1" x="211"/>
        <item m="1" x="367"/>
        <item m="1" x="347"/>
        <item m="1" x="293"/>
        <item m="1" x="258"/>
        <item m="1" x="370"/>
        <item m="1" x="335"/>
        <item m="1" x="228"/>
        <item m="1" x="434"/>
        <item m="1" x="255"/>
        <item m="1" x="283"/>
        <item m="1" x="226"/>
        <item m="1" x="303"/>
        <item m="1" x="343"/>
        <item m="1" x="252"/>
        <item m="1" x="429"/>
        <item m="1" x="361"/>
        <item m="1" x="359"/>
        <item m="1" x="397"/>
        <item m="1" x="268"/>
        <item m="1" x="355"/>
        <item m="1" x="360"/>
        <item m="1" x="415"/>
        <item m="1" x="302"/>
        <item m="1" x="363"/>
        <item m="1" x="396"/>
        <item m="1" x="269"/>
        <item m="1" x="247"/>
        <item m="1" x="313"/>
        <item m="1" x="416"/>
        <item m="1" x="330"/>
        <item m="1" x="333"/>
        <item m="1" x="338"/>
        <item m="1" x="306"/>
        <item m="1" x="328"/>
        <item m="1" x="366"/>
        <item m="1" x="232"/>
        <item m="1" x="314"/>
        <item m="1" x="275"/>
        <item m="1" x="319"/>
        <item m="1" x="320"/>
        <item m="1" x="229"/>
        <item m="1" x="435"/>
        <item m="1" x="277"/>
        <item m="1" x="342"/>
        <item m="1" x="288"/>
        <item m="1" x="436"/>
        <item m="1" x="264"/>
        <item m="1" x="417"/>
        <item m="1" x="222"/>
        <item m="1" x="337"/>
        <item m="1" x="326"/>
        <item m="1" x="322"/>
        <item m="1" x="325"/>
        <item m="1" x="315"/>
        <item m="1" x="218"/>
        <item m="1" x="317"/>
        <item m="1" x="358"/>
        <item m="1" x="299"/>
        <item x="13"/>
        <item x="42"/>
        <item m="1" x="350"/>
        <item m="1" x="339"/>
        <item x="12"/>
        <item m="1" x="200"/>
        <item m="1" x="196"/>
        <item m="1" x="371"/>
        <item m="1" x="201"/>
        <item m="1" x="197"/>
        <item x="55"/>
        <item m="1" x="193"/>
        <item m="1" x="165"/>
        <item x="127"/>
        <item m="1" x="191"/>
        <item m="1" x="198"/>
        <item x="2"/>
        <item m="1" x="194"/>
        <item m="1" x="162"/>
        <item x="124"/>
        <item x="132"/>
        <item m="1" x="364"/>
        <item x="11"/>
        <item x="54"/>
        <item x="5"/>
        <item x="17"/>
        <item x="0"/>
        <item m="1" x="192"/>
        <item m="1" x="195"/>
        <item m="1" x="178"/>
        <item m="1" x="173"/>
        <item m="1" x="189"/>
        <item x="122"/>
        <item x="131"/>
        <item x="123"/>
        <item m="1" x="163"/>
        <item x="15"/>
        <item m="1" x="177"/>
        <item x="37"/>
        <item m="1" x="167"/>
        <item x="53"/>
        <item x="36"/>
        <item x="16"/>
        <item x="61"/>
        <item x="110"/>
        <item m="1" x="172"/>
        <item x="43"/>
        <item m="1" x="170"/>
        <item x="6"/>
        <item x="34"/>
        <item x="28"/>
        <item m="1" x="185"/>
        <item x="1"/>
        <item x="33"/>
        <item m="1" x="175"/>
        <item x="23"/>
        <item x="49"/>
        <item m="1" x="174"/>
        <item x="46"/>
        <item m="1" x="168"/>
        <item x="50"/>
        <item m="1" x="171"/>
        <item x="129"/>
        <item m="1" x="181"/>
        <item m="1" x="164"/>
        <item x="84"/>
        <item x="38"/>
        <item x="57"/>
        <item m="1" x="169"/>
        <item m="1" x="166"/>
        <item m="1" x="179"/>
        <item x="58"/>
        <item x="104"/>
        <item x="24"/>
        <item x="52"/>
        <item m="1" x="190"/>
        <item m="1" x="141"/>
        <item x="40"/>
        <item x="45"/>
        <item x="95"/>
        <item m="1" x="176"/>
        <item m="1" x="160"/>
        <item x="26"/>
        <item x="27"/>
        <item x="47"/>
        <item x="60"/>
        <item m="1" x="186"/>
        <item x="41"/>
        <item m="1" x="159"/>
        <item m="1" x="145"/>
        <item m="1" x="180"/>
        <item x="39"/>
        <item x="77"/>
        <item x="59"/>
        <item x="86"/>
        <item x="109"/>
        <item x="48"/>
        <item x="106"/>
        <item x="10"/>
        <item x="102"/>
        <item x="119"/>
        <item x="87"/>
        <item m="1" x="161"/>
        <item x="22"/>
        <item x="107"/>
        <item x="68"/>
        <item x="25"/>
        <item x="7"/>
        <item x="3"/>
        <item x="9"/>
        <item m="1" x="156"/>
        <item x="126"/>
        <item m="1" x="144"/>
        <item x="91"/>
        <item x="83"/>
        <item m="1" x="142"/>
        <item x="128"/>
        <item x="78"/>
        <item x="125"/>
        <item x="76"/>
        <item x="88"/>
        <item x="92"/>
        <item x="99"/>
        <item x="117"/>
        <item x="130"/>
        <item m="1" x="184"/>
        <item x="93"/>
        <item x="30"/>
        <item x="64"/>
        <item x="18"/>
        <item m="1" x="188"/>
        <item m="1" x="137"/>
        <item m="1" x="143"/>
        <item x="66"/>
        <item x="29"/>
        <item x="100"/>
        <item x="44"/>
        <item x="94"/>
        <item x="98"/>
        <item x="32"/>
        <item x="8"/>
        <item x="89"/>
        <item x="105"/>
        <item m="1" x="182"/>
        <item x="35"/>
        <item x="31"/>
        <item x="120"/>
        <item m="1" x="152"/>
        <item m="1" x="140"/>
        <item m="1" x="154"/>
        <item m="1" x="155"/>
        <item x="51"/>
        <item x="4"/>
        <item m="1" x="158"/>
        <item x="67"/>
        <item x="108"/>
        <item x="113"/>
        <item x="20"/>
        <item m="1" x="136"/>
        <item x="65"/>
        <item m="1" x="148"/>
        <item m="1" x="187"/>
        <item x="19"/>
        <item m="1" x="147"/>
        <item m="1" x="153"/>
        <item m="1" x="149"/>
        <item x="21"/>
        <item x="121"/>
        <item m="1" x="157"/>
        <item m="1" x="135"/>
        <item x="72"/>
        <item x="85"/>
        <item x="97"/>
        <item x="96"/>
        <item x="79"/>
        <item m="1" x="183"/>
        <item x="69"/>
        <item x="115"/>
        <item m="1" x="150"/>
        <item x="74"/>
        <item x="62"/>
        <item x="82"/>
        <item x="75"/>
        <item m="1" x="151"/>
        <item x="63"/>
        <item x="81"/>
        <item x="101"/>
        <item x="111"/>
        <item x="90"/>
        <item x="70"/>
        <item x="112"/>
        <item m="1" x="138"/>
        <item x="71"/>
        <item m="1" x="139"/>
        <item m="1" x="146"/>
        <item x="80"/>
        <item m="1" x="199"/>
        <item x="73"/>
        <item m="1" x="134"/>
        <item x="116"/>
        <item x="114"/>
      </items>
      <extLst>
        <ext xmlns:x14="http://schemas.microsoft.com/office/spreadsheetml/2009/9/main" uri="{2946ED86-A175-432a-8AC1-64E0C546D7DE}">
          <x14:pivotField fillDownLabels="1"/>
        </ext>
      </extLst>
    </pivotField>
    <pivotField axis="axisRow" compact="0" outline="0" showAll="0" sortType="ascending" defaultSubtotal="0">
      <items count="571">
        <item m="1" x="530"/>
        <item m="1" x="177"/>
        <item m="1" x="459"/>
        <item m="1" x="225"/>
        <item x="2"/>
        <item x="0"/>
        <item x="1"/>
        <item x="3"/>
        <item x="4"/>
        <item m="1" x="552"/>
        <item m="1" x="541"/>
        <item m="1" x="570"/>
        <item m="1" x="521"/>
        <item m="1" x="548"/>
        <item m="1" x="178"/>
        <item x="5"/>
        <item x="45"/>
        <item m="1" x="226"/>
        <item m="1" x="227"/>
        <item m="1" x="228"/>
        <item m="1" x="558"/>
        <item m="1" x="378"/>
        <item x="46"/>
        <item x="47"/>
        <item x="48"/>
        <item m="1" x="506"/>
        <item m="1" x="543"/>
        <item m="1" x="179"/>
        <item m="1" x="229"/>
        <item m="1" x="230"/>
        <item m="1" x="453"/>
        <item m="1" x="454"/>
        <item m="1" x="452"/>
        <item x="49"/>
        <item x="50"/>
        <item m="1" x="559"/>
        <item m="1" x="231"/>
        <item m="1" x="448"/>
        <item m="1" x="444"/>
        <item m="1" x="443"/>
        <item m="1" x="180"/>
        <item m="1" x="449"/>
        <item x="51"/>
        <item x="52"/>
        <item x="53"/>
        <item m="1" x="504"/>
        <item m="1" x="232"/>
        <item m="1" x="554"/>
        <item m="1" x="233"/>
        <item m="1" x="234"/>
        <item m="1" x="235"/>
        <item m="1" x="236"/>
        <item m="1" x="431"/>
        <item m="1" x="237"/>
        <item m="1" x="238"/>
        <item m="1" x="366"/>
        <item x="44"/>
        <item x="54"/>
        <item m="1" x="389"/>
        <item m="1" x="181"/>
        <item m="1" x="379"/>
        <item x="55"/>
        <item x="56"/>
        <item m="1" x="182"/>
        <item m="1" x="183"/>
        <item m="1" x="484"/>
        <item x="57"/>
        <item x="58"/>
        <item x="60"/>
        <item x="61"/>
        <item m="1" x="158"/>
        <item x="59"/>
        <item m="1" x="159"/>
        <item m="1" x="160"/>
        <item m="1" x="161"/>
        <item m="1" x="162"/>
        <item m="1" x="163"/>
        <item m="1" x="239"/>
        <item m="1" x="551"/>
        <item m="1" x="561"/>
        <item m="1" x="240"/>
        <item m="1" x="241"/>
        <item m="1" x="242"/>
        <item m="1" x="243"/>
        <item m="1" x="244"/>
        <item m="1" x="245"/>
        <item m="1" x="371"/>
        <item m="1" x="246"/>
        <item m="1" x="247"/>
        <item m="1" x="248"/>
        <item m="1" x="249"/>
        <item x="6"/>
        <item x="7"/>
        <item x="12"/>
        <item x="8"/>
        <item x="9"/>
        <item x="10"/>
        <item x="13"/>
        <item x="11"/>
        <item m="1" x="151"/>
        <item m="1" x="152"/>
        <item m="1" x="400"/>
        <item m="1" x="397"/>
        <item m="1" x="372"/>
        <item m="1" x="184"/>
        <item m="1" x="185"/>
        <item m="1" x="186"/>
        <item m="1" x="187"/>
        <item m="1" x="390"/>
        <item m="1" x="391"/>
        <item m="1" x="250"/>
        <item x="62"/>
        <item x="63"/>
        <item m="1" x="251"/>
        <item m="1" x="534"/>
        <item m="1" x="252"/>
        <item m="1" x="253"/>
        <item x="64"/>
        <item m="1" x="254"/>
        <item m="1" x="456"/>
        <item m="1" x="255"/>
        <item m="1" x="256"/>
        <item m="1" x="404"/>
        <item x="65"/>
        <item x="66"/>
        <item m="1" x="539"/>
        <item m="1" x="565"/>
        <item m="1" x="533"/>
        <item m="1" x="560"/>
        <item m="1" x="545"/>
        <item m="1" x="568"/>
        <item x="14"/>
        <item m="1" x="138"/>
        <item m="1" x="380"/>
        <item m="1" x="401"/>
        <item m="1" x="188"/>
        <item m="1" x="224"/>
        <item x="67"/>
        <item x="68"/>
        <item x="69"/>
        <item x="70"/>
        <item x="71"/>
        <item x="72"/>
        <item m="1" x="164"/>
        <item m="1" x="165"/>
        <item m="1" x="142"/>
        <item m="1" x="143"/>
        <item x="73"/>
        <item m="1" x="396"/>
        <item m="1" x="547"/>
        <item m="1" x="516"/>
        <item m="1" x="257"/>
        <item m="1" x="258"/>
        <item m="1" x="189"/>
        <item m="1" x="190"/>
        <item m="1" x="451"/>
        <item x="15"/>
        <item m="1" x="153"/>
        <item m="1" x="429"/>
        <item m="1" x="191"/>
        <item m="1" x="549"/>
        <item m="1" x="430"/>
        <item m="1" x="376"/>
        <item m="1" x="259"/>
        <item m="1" x="260"/>
        <item m="1" x="192"/>
        <item m="1" x="477"/>
        <item m="1" x="476"/>
        <item m="1" x="193"/>
        <item m="1" x="381"/>
        <item m="1" x="194"/>
        <item x="74"/>
        <item x="76"/>
        <item x="75"/>
        <item x="77"/>
        <item m="1" x="473"/>
        <item m="1" x="472"/>
        <item m="1" x="261"/>
        <item m="1" x="474"/>
        <item m="1" x="262"/>
        <item m="1" x="471"/>
        <item x="16"/>
        <item m="1" x="382"/>
        <item m="1" x="195"/>
        <item m="1" x="455"/>
        <item x="79"/>
        <item x="80"/>
        <item m="1" x="166"/>
        <item x="78"/>
        <item x="81"/>
        <item x="82"/>
        <item m="1" x="167"/>
        <item m="1" x="168"/>
        <item m="1" x="144"/>
        <item m="1" x="145"/>
        <item m="1" x="398"/>
        <item m="1" x="394"/>
        <item m="1" x="507"/>
        <item m="1" x="540"/>
        <item m="1" x="567"/>
        <item m="1" x="196"/>
        <item m="1" x="263"/>
        <item m="1" x="369"/>
        <item m="1" x="264"/>
        <item m="1" x="197"/>
        <item m="1" x="265"/>
        <item m="1" x="198"/>
        <item m="1" x="462"/>
        <item m="1" x="383"/>
        <item m="1" x="199"/>
        <item m="1" x="457"/>
        <item m="1" x="266"/>
        <item m="1" x="463"/>
        <item m="1" x="267"/>
        <item m="1" x="268"/>
        <item x="17"/>
        <item m="1" x="375"/>
        <item m="1" x="200"/>
        <item m="1" x="201"/>
        <item m="1" x="146"/>
        <item x="83"/>
        <item m="1" x="508"/>
        <item m="1" x="537"/>
        <item m="1" x="562"/>
        <item m="1" x="437"/>
        <item m="1" x="269"/>
        <item m="1" x="270"/>
        <item m="1" x="271"/>
        <item m="1" x="272"/>
        <item m="1" x="405"/>
        <item m="1" x="416"/>
        <item m="1" x="202"/>
        <item m="1" x="402"/>
        <item m="1" x="203"/>
        <item m="1" x="204"/>
        <item m="1" x="205"/>
        <item m="1" x="206"/>
        <item m="1" x="207"/>
        <item x="19"/>
        <item x="20"/>
        <item x="18"/>
        <item m="1" x="373"/>
        <item x="84"/>
        <item m="1" x="273"/>
        <item m="1" x="274"/>
        <item m="1" x="485"/>
        <item m="1" x="275"/>
        <item m="1" x="276"/>
        <item m="1" x="423"/>
        <item m="1" x="407"/>
        <item x="85"/>
        <item m="1" x="277"/>
        <item m="1" x="278"/>
        <item m="1" x="279"/>
        <item m="1" x="280"/>
        <item x="86"/>
        <item x="87"/>
        <item m="1" x="281"/>
        <item m="1" x="282"/>
        <item m="1" x="470"/>
        <item m="1" x="546"/>
        <item m="1" x="538"/>
        <item m="1" x="563"/>
        <item m="1" x="424"/>
        <item m="1" x="564"/>
        <item m="1" x="509"/>
        <item m="1" x="208"/>
        <item m="1" x="367"/>
        <item x="88"/>
        <item m="1" x="283"/>
        <item x="89"/>
        <item m="1" x="458"/>
        <item m="1" x="284"/>
        <item m="1" x="285"/>
        <item m="1" x="169"/>
        <item x="97"/>
        <item x="102"/>
        <item x="90"/>
        <item x="91"/>
        <item x="92"/>
        <item x="94"/>
        <item x="98"/>
        <item x="99"/>
        <item m="1" x="140"/>
        <item x="100"/>
        <item m="1" x="147"/>
        <item x="101"/>
        <item x="95"/>
        <item m="1" x="148"/>
        <item x="96"/>
        <item m="1" x="170"/>
        <item m="1" x="171"/>
        <item m="1" x="172"/>
        <item x="93"/>
        <item m="1" x="432"/>
        <item m="1" x="500"/>
        <item m="1" x="514"/>
        <item m="1" x="569"/>
        <item m="1" x="557"/>
        <item m="1" x="542"/>
        <item m="1" x="461"/>
        <item m="1" x="441"/>
        <item m="1" x="499"/>
        <item m="1" x="511"/>
        <item m="1" x="434"/>
        <item m="1" x="490"/>
        <item m="1" x="536"/>
        <item m="1" x="512"/>
        <item m="1" x="433"/>
        <item m="1" x="501"/>
        <item m="1" x="515"/>
        <item m="1" x="556"/>
        <item m="1" x="438"/>
        <item m="1" x="498"/>
        <item m="1" x="518"/>
        <item m="1" x="442"/>
        <item m="1" x="497"/>
        <item m="1" x="517"/>
        <item m="1" x="406"/>
        <item m="1" x="445"/>
        <item m="1" x="417"/>
        <item m="1" x="418"/>
        <item m="1" x="410"/>
        <item m="1" x="411"/>
        <item m="1" x="412"/>
        <item m="1" x="413"/>
        <item m="1" x="414"/>
        <item m="1" x="408"/>
        <item m="1" x="496"/>
        <item m="1" x="415"/>
        <item m="1" x="409"/>
        <item m="1" x="520"/>
        <item m="1" x="468"/>
        <item m="1" x="550"/>
        <item m="1" x="502"/>
        <item m="1" x="503"/>
        <item m="1" x="522"/>
        <item m="1" x="523"/>
        <item m="1" x="513"/>
        <item m="1" x="286"/>
        <item m="1" x="287"/>
        <item m="1" x="288"/>
        <item m="1" x="289"/>
        <item m="1" x="290"/>
        <item m="1" x="291"/>
        <item m="1" x="292"/>
        <item m="1" x="293"/>
        <item m="1" x="294"/>
        <item m="1" x="295"/>
        <item m="1" x="297"/>
        <item m="1" x="299"/>
        <item m="1" x="300"/>
        <item m="1" x="301"/>
        <item m="1" x="302"/>
        <item m="1" x="296"/>
        <item m="1" x="298"/>
        <item m="1" x="535"/>
        <item m="1" x="447"/>
        <item x="21"/>
        <item x="22"/>
        <item m="1" x="303"/>
        <item m="1" x="304"/>
        <item m="1" x="305"/>
        <item m="1" x="469"/>
        <item m="1" x="460"/>
        <item m="1" x="306"/>
        <item m="1" x="307"/>
        <item m="1" x="308"/>
        <item x="103"/>
        <item m="1" x="173"/>
        <item m="1" x="475"/>
        <item m="1" x="309"/>
        <item m="1" x="478"/>
        <item m="1" x="310"/>
        <item m="1" x="311"/>
        <item m="1" x="553"/>
        <item m="1" x="466"/>
        <item m="1" x="467"/>
        <item m="1" x="532"/>
        <item m="1" x="531"/>
        <item m="1" x="388"/>
        <item x="104"/>
        <item x="105"/>
        <item x="106"/>
        <item m="1" x="519"/>
        <item m="1" x="312"/>
        <item m="1" x="313"/>
        <item m="1" x="314"/>
        <item m="1" x="436"/>
        <item m="1" x="315"/>
        <item m="1" x="435"/>
        <item m="1" x="209"/>
        <item m="1" x="525"/>
        <item m="1" x="316"/>
        <item m="1" x="317"/>
        <item x="107"/>
        <item m="1" x="139"/>
        <item m="1" x="555"/>
        <item m="1" x="318"/>
        <item m="1" x="319"/>
        <item m="1" x="320"/>
        <item x="108"/>
        <item m="1" x="426"/>
        <item m="1" x="427"/>
        <item m="1" x="210"/>
        <item x="109"/>
        <item x="110"/>
        <item x="111"/>
        <item x="113"/>
        <item x="112"/>
        <item m="1" x="321"/>
        <item m="1" x="322"/>
        <item m="1" x="483"/>
        <item m="1" x="323"/>
        <item m="1" x="324"/>
        <item m="1" x="482"/>
        <item m="1" x="450"/>
        <item x="23"/>
        <item x="24"/>
        <item m="1" x="384"/>
        <item m="1" x="211"/>
        <item m="1" x="212"/>
        <item m="1" x="213"/>
        <item m="1" x="385"/>
        <item m="1" x="214"/>
        <item x="114"/>
        <item x="25"/>
        <item x="115"/>
        <item x="34"/>
        <item m="1" x="325"/>
        <item m="1" x="505"/>
        <item m="1" x="428"/>
        <item m="1" x="326"/>
        <item m="1" x="327"/>
        <item m="1" x="377"/>
        <item m="1" x="328"/>
        <item m="1" x="329"/>
        <item m="1" x="330"/>
        <item x="26"/>
        <item m="1" x="154"/>
        <item x="28"/>
        <item x="29"/>
        <item x="30"/>
        <item x="33"/>
        <item x="27"/>
        <item x="31"/>
        <item x="32"/>
        <item m="1" x="215"/>
        <item m="1" x="370"/>
        <item m="1" x="216"/>
        <item m="1" x="439"/>
        <item m="1" x="440"/>
        <item m="1" x="331"/>
        <item m="1" x="332"/>
        <item m="1" x="333"/>
        <item m="1" x="334"/>
        <item m="1" x="217"/>
        <item m="1" x="335"/>
        <item m="1" x="464"/>
        <item x="116"/>
        <item m="1" x="336"/>
        <item m="1" x="337"/>
        <item m="1" x="386"/>
        <item m="1" x="338"/>
        <item m="1" x="155"/>
        <item m="1" x="510"/>
        <item m="1" x="526"/>
        <item m="1" x="529"/>
        <item m="1" x="339"/>
        <item m="1" x="218"/>
        <item m="1" x="340"/>
        <item m="1" x="365"/>
        <item x="117"/>
        <item x="118"/>
        <item x="119"/>
        <item x="36"/>
        <item m="1" x="149"/>
        <item x="35"/>
        <item m="1" x="420"/>
        <item m="1" x="419"/>
        <item m="1" x="403"/>
        <item m="1" x="527"/>
        <item m="1" x="341"/>
        <item m="1" x="342"/>
        <item m="1" x="374"/>
        <item m="1" x="465"/>
        <item m="1" x="524"/>
        <item m="1" x="343"/>
        <item m="1" x="344"/>
        <item m="1" x="345"/>
        <item x="120"/>
        <item m="1" x="141"/>
        <item m="1" x="425"/>
        <item m="1" x="421"/>
        <item m="1" x="422"/>
        <item m="1" x="395"/>
        <item m="1" x="219"/>
        <item x="121"/>
        <item m="1" x="174"/>
        <item x="122"/>
        <item m="1" x="346"/>
        <item m="1" x="347"/>
        <item m="1" x="348"/>
        <item m="1" x="479"/>
        <item m="1" x="528"/>
        <item m="1" x="446"/>
        <item m="1" x="349"/>
        <item m="1" x="137"/>
        <item x="123"/>
        <item x="124"/>
        <item m="1" x="175"/>
        <item m="1" x="480"/>
        <item m="1" x="350"/>
        <item m="1" x="351"/>
        <item m="1" x="481"/>
        <item m="1" x="393"/>
        <item m="1" x="156"/>
        <item m="1" x="399"/>
        <item m="1" x="392"/>
        <item m="1" x="387"/>
        <item m="1" x="220"/>
        <item m="1" x="221"/>
        <item x="125"/>
        <item m="1" x="352"/>
        <item m="1" x="353"/>
        <item m="1" x="354"/>
        <item m="1" x="355"/>
        <item m="1" x="566"/>
        <item m="1" x="544"/>
        <item m="1" x="356"/>
        <item x="126"/>
        <item x="129"/>
        <item x="130"/>
        <item x="133"/>
        <item x="136"/>
        <item x="127"/>
        <item x="131"/>
        <item x="134"/>
        <item m="1" x="150"/>
        <item x="128"/>
        <item x="132"/>
        <item x="135"/>
        <item m="1" x="488"/>
        <item m="1" x="489"/>
        <item m="1" x="486"/>
        <item m="1" x="487"/>
        <item m="1" x="493"/>
        <item m="1" x="494"/>
        <item m="1" x="492"/>
        <item m="1" x="495"/>
        <item m="1" x="357"/>
        <item m="1" x="358"/>
        <item m="1" x="359"/>
        <item m="1" x="360"/>
        <item m="1" x="361"/>
        <item m="1" x="362"/>
        <item m="1" x="363"/>
        <item m="1" x="491"/>
        <item x="37"/>
        <item x="39"/>
        <item x="38"/>
        <item m="1" x="222"/>
        <item m="1" x="223"/>
        <item m="1" x="157"/>
        <item x="40"/>
        <item x="42"/>
        <item m="1" x="176"/>
        <item x="41"/>
        <item x="43"/>
        <item m="1" x="364"/>
        <item m="1" x="368"/>
      </items>
      <extLst>
        <ext xmlns:x14="http://schemas.microsoft.com/office/spreadsheetml/2009/9/main" uri="{2946ED86-A175-432a-8AC1-64E0C546D7DE}">
          <x14:pivotField fillDownLabels="1"/>
        </ext>
      </extLst>
    </pivotField>
    <pivotField axis="axisRow" compact="0" outline="0" showAll="0" defaultSubtotal="0">
      <items count="104">
        <item x="4"/>
        <item x="28"/>
        <item x="42"/>
        <item x="16"/>
        <item x="2"/>
        <item x="29"/>
        <item x="68"/>
        <item x="34"/>
        <item x="7"/>
        <item x="44"/>
        <item x="47"/>
        <item m="1" x="83"/>
        <item x="24"/>
        <item x="19"/>
        <item x="58"/>
        <item m="1" x="88"/>
        <item x="10"/>
        <item x="25"/>
        <item x="18"/>
        <item m="1" x="90"/>
        <item x="33"/>
        <item x="43"/>
        <item x="23"/>
        <item x="9"/>
        <item x="5"/>
        <item x="6"/>
        <item x="3"/>
        <item x="8"/>
        <item x="21"/>
        <item x="22"/>
        <item x="51"/>
        <item m="1" x="72"/>
        <item x="52"/>
        <item x="39"/>
        <item x="54"/>
        <item x="45"/>
        <item x="46"/>
        <item x="59"/>
        <item x="17"/>
        <item x="37"/>
        <item x="55"/>
        <item x="26"/>
        <item x="66"/>
        <item m="1" x="96"/>
        <item x="61"/>
        <item x="41"/>
        <item x="56"/>
        <item x="57"/>
        <item x="31"/>
        <item m="1" x="80"/>
        <item x="65"/>
        <item x="69"/>
        <item m="1" x="82"/>
        <item x="71"/>
        <item m="1" x="84"/>
        <item x="49"/>
        <item m="1" x="87"/>
        <item x="53"/>
        <item x="1"/>
        <item x="40"/>
        <item x="36"/>
        <item x="32"/>
        <item x="67"/>
        <item x="13"/>
        <item x="38"/>
        <item x="14"/>
        <item x="12"/>
        <item x="30"/>
        <item x="64"/>
        <item x="62"/>
        <item m="1" x="86"/>
        <item x="63"/>
        <item m="1" x="101"/>
        <item m="1" x="103"/>
        <item x="15"/>
        <item m="1" x="98"/>
        <item m="1" x="102"/>
        <item m="1" x="94"/>
        <item m="1" x="100"/>
        <item x="20"/>
        <item x="0"/>
        <item m="1" x="74"/>
        <item x="70"/>
        <item x="60"/>
        <item m="1" x="95"/>
        <item m="1" x="92"/>
        <item m="1" x="93"/>
        <item m="1" x="91"/>
        <item m="1" x="97"/>
        <item m="1" x="99"/>
        <item m="1" x="89"/>
        <item m="1" x="85"/>
        <item m="1" x="73"/>
        <item x="27"/>
        <item x="50"/>
        <item x="48"/>
        <item m="1" x="81"/>
        <item x="35"/>
        <item m="1" x="77"/>
        <item m="1" x="78"/>
        <item m="1" x="79"/>
        <item m="1" x="76"/>
        <item m="1" x="75"/>
        <item x="11"/>
      </items>
    </pivotField>
    <pivotField axis="axisRow" compact="0" outline="0" showAll="0" sortType="ascending" defaultSubtotal="0">
      <items count="4">
        <item x="0"/>
        <item h="1" x="2"/>
        <item x="3"/>
        <item x="1"/>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axis="axisRow" compact="0" outline="0" showAll="0" sortType="ascending" defaultSubtotal="0">
      <items count="109">
        <item m="1" x="50"/>
        <item m="1" x="68"/>
        <item x="0"/>
        <item x="1"/>
        <item m="1" x="69"/>
        <item m="1" x="100"/>
        <item x="14"/>
        <item x="15"/>
        <item m="1" x="70"/>
        <item x="16"/>
        <item x="17"/>
        <item m="1" x="51"/>
        <item x="18"/>
        <item m="1" x="52"/>
        <item m="1" x="53"/>
        <item m="1" x="108"/>
        <item x="19"/>
        <item x="2"/>
        <item m="1" x="71"/>
        <item x="20"/>
        <item x="21"/>
        <item m="1" x="72"/>
        <item m="1" x="73"/>
        <item m="1" x="103"/>
        <item x="22"/>
        <item m="1" x="101"/>
        <item x="3"/>
        <item x="23"/>
        <item x="4"/>
        <item m="1" x="54"/>
        <item m="1" x="55"/>
        <item m="1" x="56"/>
        <item x="24"/>
        <item x="5"/>
        <item m="1" x="57"/>
        <item m="1" x="106"/>
        <item x="25"/>
        <item m="1" x="58"/>
        <item m="1" x="74"/>
        <item m="1" x="75"/>
        <item m="1" x="76"/>
        <item x="6"/>
        <item m="1" x="59"/>
        <item x="26"/>
        <item m="1" x="60"/>
        <item x="7"/>
        <item x="27"/>
        <item m="1" x="77"/>
        <item m="1" x="78"/>
        <item m="1" x="79"/>
        <item m="1" x="80"/>
        <item x="28"/>
        <item x="29"/>
        <item m="1" x="61"/>
        <item x="30"/>
        <item m="1" x="81"/>
        <item x="31"/>
        <item x="32"/>
        <item x="8"/>
        <item x="9"/>
        <item m="1" x="82"/>
        <item m="1" x="83"/>
        <item m="1" x="84"/>
        <item x="33"/>
        <item m="1" x="85"/>
        <item m="1" x="86"/>
        <item m="1" x="107"/>
        <item m="1" x="102"/>
        <item x="34"/>
        <item m="1" x="87"/>
        <item m="1" x="62"/>
        <item x="35"/>
        <item m="1" x="47"/>
        <item m="1" x="63"/>
        <item x="36"/>
        <item x="37"/>
        <item m="1" x="105"/>
        <item x="10"/>
        <item m="1" x="64"/>
        <item x="38"/>
        <item x="11"/>
        <item m="1" x="88"/>
        <item m="1" x="90"/>
        <item m="1" x="89"/>
        <item m="1" x="65"/>
        <item x="39"/>
        <item m="1" x="91"/>
        <item m="1" x="92"/>
        <item m="1" x="66"/>
        <item x="12"/>
        <item m="1" x="93"/>
        <item m="1" x="94"/>
        <item x="40"/>
        <item m="1" x="48"/>
        <item x="41"/>
        <item m="1" x="104"/>
        <item m="1" x="95"/>
        <item m="1" x="46"/>
        <item x="42"/>
        <item m="1" x="49"/>
        <item m="1" x="67"/>
        <item x="43"/>
        <item m="1" x="96"/>
        <item m="1" x="97"/>
        <item x="44"/>
        <item x="45"/>
        <item x="13"/>
        <item m="1" x="98"/>
        <item m="1" x="99"/>
      </items>
    </pivotField>
    <pivotField axis="axisRow" compact="0" outline="0" showAll="0" defaultSubtotal="0">
      <items count="268">
        <item m="1" x="153"/>
        <item x="57"/>
        <item m="1" x="122"/>
        <item m="1" x="82"/>
        <item m="1" x="189"/>
        <item m="1" x="133"/>
        <item m="1" x="83"/>
        <item m="1" x="239"/>
        <item m="1" x="207"/>
        <item m="1" x="179"/>
        <item m="1" x="203"/>
        <item x="17"/>
        <item m="1" x="253"/>
        <item m="1" x="240"/>
        <item x="20"/>
        <item m="1" x="191"/>
        <item m="1" x="187"/>
        <item x="42"/>
        <item m="1" x="211"/>
        <item m="1" x="238"/>
        <item m="1" x="241"/>
        <item m="1" x="264"/>
        <item x="31"/>
        <item m="1" x="89"/>
        <item m="1" x="215"/>
        <item m="1" x="103"/>
        <item m="1" x="221"/>
        <item m="1" x="223"/>
        <item m="1" x="225"/>
        <item m="1" x="198"/>
        <item m="1" x="226"/>
        <item m="1" x="127"/>
        <item m="1" x="152"/>
        <item m="1" x="256"/>
        <item m="1" x="236"/>
        <item m="1" x="93"/>
        <item m="1" x="114"/>
        <item m="1" x="176"/>
        <item m="1" x="88"/>
        <item x="30"/>
        <item m="1" x="182"/>
        <item m="1" x="266"/>
        <item m="1" x="222"/>
        <item x="56"/>
        <item m="1" x="154"/>
        <item m="1" x="265"/>
        <item x="44"/>
        <item m="1" x="136"/>
        <item m="1" x="230"/>
        <item m="1" x="233"/>
        <item m="1" x="202"/>
        <item m="1" x="217"/>
        <item m="1" x="121"/>
        <item m="1" x="227"/>
        <item m="1" x="242"/>
        <item m="1" x="200"/>
        <item m="1" x="115"/>
        <item m="1" x="234"/>
        <item m="1" x="194"/>
        <item m="1" x="201"/>
        <item m="1" x="212"/>
        <item m="1" x="174"/>
        <item m="1" x="228"/>
        <item m="1" x="186"/>
        <item m="1" x="196"/>
        <item m="1" x="101"/>
        <item m="1" x="195"/>
        <item m="1" x="220"/>
        <item m="1" x="259"/>
        <item m="1" x="175"/>
        <item m="1" x="183"/>
        <item m="1" x="193"/>
        <item m="1" x="244"/>
        <item m="1" x="213"/>
        <item m="1" x="229"/>
        <item m="1" x="185"/>
        <item m="1" x="188"/>
        <item x="43"/>
        <item m="1" x="158"/>
        <item m="1" x="218"/>
        <item m="1" x="178"/>
        <item m="1" x="184"/>
        <item m="1" x="214"/>
        <item x="5"/>
        <item m="1" x="163"/>
        <item m="1" x="252"/>
        <item m="1" x="263"/>
        <item m="1" x="237"/>
        <item m="1" x="216"/>
        <item x="64"/>
        <item x="55"/>
        <item m="1" x="224"/>
        <item m="1" x="232"/>
        <item m="1" x="208"/>
        <item m="1" x="235"/>
        <item m="1" x="231"/>
        <item m="1" x="181"/>
        <item m="1" x="190"/>
        <item m="1" x="261"/>
        <item m="1" x="177"/>
        <item m="1" x="180"/>
        <item m="1" x="192"/>
        <item m="1" x="204"/>
        <item m="1" x="219"/>
        <item m="1" x="205"/>
        <item x="58"/>
        <item m="1" x="199"/>
        <item x="3"/>
        <item m="1" x="206"/>
        <item x="13"/>
        <item m="1" x="125"/>
        <item m="1" x="209"/>
        <item m="1" x="210"/>
        <item m="1" x="197"/>
        <item m="1" x="254"/>
        <item m="1" x="260"/>
        <item m="1" x="255"/>
        <item m="1" x="267"/>
        <item m="1" x="257"/>
        <item m="1" x="251"/>
        <item m="1" x="250"/>
        <item m="1" x="262"/>
        <item m="1" x="258"/>
        <item m="1" x="245"/>
        <item m="1" x="243"/>
        <item m="1" x="246"/>
        <item m="1" x="247"/>
        <item m="1" x="248"/>
        <item m="1" x="249"/>
        <item m="1" x="84"/>
        <item m="1" x="85"/>
        <item m="1" x="86"/>
        <item m="1" x="87"/>
        <item x="2"/>
        <item x="4"/>
        <item x="6"/>
        <item m="1" x="90"/>
        <item m="1" x="91"/>
        <item x="35"/>
        <item m="1" x="173"/>
        <item m="1" x="94"/>
        <item m="1" x="99"/>
        <item m="1" x="95"/>
        <item m="1" x="96"/>
        <item m="1" x="97"/>
        <item m="1" x="100"/>
        <item m="1" x="98"/>
        <item x="14"/>
        <item m="1" x="161"/>
        <item m="1" x="104"/>
        <item m="1" x="105"/>
        <item x="63"/>
        <item m="1" x="106"/>
        <item m="1" x="108"/>
        <item m="1" x="107"/>
        <item x="16"/>
        <item m="1" x="111"/>
        <item x="18"/>
        <item m="1" x="112"/>
        <item m="1" x="113"/>
        <item x="22"/>
        <item x="23"/>
        <item m="1" x="117"/>
        <item m="1" x="116"/>
        <item m="1" x="118"/>
        <item m="1" x="119"/>
        <item x="27"/>
        <item x="29"/>
        <item m="1" x="123"/>
        <item m="1" x="126"/>
        <item m="1" x="129"/>
        <item x="36"/>
        <item m="1" x="130"/>
        <item m="1" x="131"/>
        <item m="1" x="132"/>
        <item x="38"/>
        <item m="1" x="134"/>
        <item m="1" x="135"/>
        <item x="39"/>
        <item x="41"/>
        <item m="1" x="140"/>
        <item m="1" x="141"/>
        <item m="1" x="138"/>
        <item m="1" x="139"/>
        <item x="10"/>
        <item m="1" x="142"/>
        <item m="1" x="144"/>
        <item m="1" x="143"/>
        <item x="50"/>
        <item m="1" x="146"/>
        <item m="1" x="147"/>
        <item m="1" x="148"/>
        <item m="1" x="149"/>
        <item m="1" x="151"/>
        <item x="52"/>
        <item m="1" x="155"/>
        <item m="1" x="157"/>
        <item m="1" x="159"/>
        <item x="59"/>
        <item m="1" x="162"/>
        <item m="1" x="164"/>
        <item x="60"/>
        <item m="1" x="165"/>
        <item x="61"/>
        <item x="62"/>
        <item m="1" x="166"/>
        <item x="65"/>
        <item m="1" x="167"/>
        <item m="1" x="169"/>
        <item x="68"/>
        <item x="70"/>
        <item m="1" x="170"/>
        <item x="72"/>
        <item m="1" x="171"/>
        <item m="1" x="172"/>
        <item m="1" x="92"/>
        <item x="11"/>
        <item m="1" x="102"/>
        <item x="12"/>
        <item m="1" x="137"/>
        <item m="1" x="168"/>
        <item m="1" x="124"/>
        <item m="1" x="128"/>
        <item m="1" x="120"/>
        <item m="1" x="145"/>
        <item m="1" x="150"/>
        <item m="1" x="110"/>
        <item m="1" x="160"/>
        <item m="1" x="156"/>
        <item m="1" x="109"/>
        <item x="49"/>
        <item x="0"/>
        <item x="19"/>
        <item m="1" x="78"/>
        <item x="7"/>
        <item x="8"/>
        <item x="37"/>
        <item x="40"/>
        <item x="9"/>
        <item m="1" x="73"/>
        <item x="15"/>
        <item x="21"/>
        <item x="24"/>
        <item x="25"/>
        <item m="1" x="79"/>
        <item x="28"/>
        <item x="32"/>
        <item x="33"/>
        <item x="34"/>
        <item x="45"/>
        <item x="46"/>
        <item x="47"/>
        <item m="1" x="74"/>
        <item x="48"/>
        <item x="51"/>
        <item x="53"/>
        <item x="54"/>
        <item x="66"/>
        <item m="1" x="76"/>
        <item x="67"/>
        <item x="69"/>
        <item x="71"/>
        <item m="1" x="75"/>
        <item m="1" x="77"/>
        <item m="1" x="80"/>
        <item m="1" x="81"/>
        <item x="1"/>
        <item x="26"/>
      </items>
    </pivotField>
    <pivotField axis="axisRow" compact="0" outline="0" showAll="0" defaultSubtotal="0">
      <items count="25">
        <item x="1"/>
        <item m="1" x="19"/>
        <item x="6"/>
        <item x="3"/>
        <item x="4"/>
        <item m="1" x="12"/>
        <item m="1" x="24"/>
        <item x="8"/>
        <item m="1" x="23"/>
        <item m="1" x="16"/>
        <item m="1" x="22"/>
        <item m="1" x="21"/>
        <item m="1" x="15"/>
        <item x="5"/>
        <item m="1" x="20"/>
        <item m="1" x="13"/>
        <item x="7"/>
        <item x="0"/>
        <item m="1" x="11"/>
        <item m="1" x="14"/>
        <item x="9"/>
        <item m="1" x="18"/>
        <item m="1" x="17"/>
        <item x="2"/>
        <item m="1" x="1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8">
    <field x="4"/>
    <field x="1"/>
    <field x="2"/>
    <field x="8"/>
    <field x="9"/>
    <field x="10"/>
    <field x="3"/>
    <field x="0"/>
  </rowFields>
  <rowItems count="54">
    <i>
      <x/>
      <x v="243"/>
      <x v="238"/>
      <x v="45"/>
      <x v="235"/>
      <x v="17"/>
      <x v="63"/>
      <x/>
    </i>
    <i r="2">
      <x v="239"/>
      <x v="45"/>
      <x v="235"/>
      <x v="17"/>
      <x v="65"/>
      <x/>
    </i>
    <i r="1">
      <x v="265"/>
      <x v="181"/>
      <x v="33"/>
      <x v="107"/>
      <x v="17"/>
      <x v="103"/>
      <x/>
    </i>
    <i r="1">
      <x v="346"/>
      <x v="477"/>
      <x v="89"/>
      <x v="107"/>
      <x v="17"/>
      <x v="17"/>
      <x/>
    </i>
    <i r="1">
      <x v="351"/>
      <x v="428"/>
      <x v="80"/>
      <x v="147"/>
      <x v="3"/>
      <x v="12"/>
      <x/>
    </i>
    <i r="1">
      <x v="352"/>
      <x v="97"/>
      <x v="17"/>
      <x v="134"/>
      <x v="17"/>
      <x v="23"/>
      <x/>
    </i>
    <i r="1">
      <x v="383"/>
      <x v="98"/>
      <x v="17"/>
      <x v="107"/>
      <x v="17"/>
      <x v="8"/>
      <x/>
    </i>
    <i r="2">
      <x v="445"/>
      <x v="80"/>
      <x v="109"/>
      <x v="17"/>
      <x v="24"/>
      <x/>
    </i>
    <i r="2">
      <x v="567"/>
      <x v="106"/>
      <x v="240"/>
      <x v="4"/>
      <x v="24"/>
      <x/>
    </i>
    <i r="1">
      <x v="395"/>
      <x v="8"/>
      <x v="2"/>
      <x v="231"/>
      <x v="17"/>
      <x v="26"/>
      <x/>
    </i>
    <i r="2">
      <x v="475"/>
      <x v="89"/>
      <x v="107"/>
      <x v="17"/>
      <x v="17"/>
      <x/>
    </i>
    <i r="1">
      <x v="400"/>
      <x v="446"/>
      <x v="80"/>
      <x v="109"/>
      <x v="17"/>
      <x v="22"/>
      <x/>
    </i>
    <i r="2">
      <x v="568"/>
      <x v="106"/>
      <x v="240"/>
      <x v="4"/>
      <x v="41"/>
      <x/>
    </i>
    <i r="1">
      <x v="409"/>
      <x v="443"/>
      <x v="80"/>
      <x v="109"/>
      <x v="17"/>
      <x v="29"/>
      <x/>
    </i>
    <i>
      <x v="2"/>
      <x v="359"/>
      <x v="124"/>
      <x v="24"/>
      <x v="39"/>
      <x v="4"/>
      <x v="21"/>
      <x/>
    </i>
    <i r="1">
      <x v="361"/>
      <x v="62"/>
      <x v="12"/>
      <x v="241"/>
      <x v="17"/>
      <x v="97"/>
      <x/>
    </i>
    <i r="1">
      <x v="362"/>
      <x v="44"/>
      <x v="9"/>
      <x v="107"/>
      <x v="17"/>
      <x v="7"/>
      <x/>
    </i>
    <i r="1">
      <x v="366"/>
      <x v="286"/>
      <x v="57"/>
      <x v="230"/>
      <x v="17"/>
      <x v="46"/>
      <x/>
    </i>
    <i r="1">
      <x v="367"/>
      <x v="147"/>
      <x v="27"/>
      <x v="22"/>
      <x v="17"/>
      <x v="26"/>
      <x/>
    </i>
    <i r="2">
      <x v="289"/>
      <x v="57"/>
      <x v="253"/>
      <x v="3"/>
      <x v="34"/>
      <x/>
    </i>
    <i r="1">
      <x v="369"/>
      <x v="16"/>
      <x v="3"/>
      <x v="155"/>
      <x v="17"/>
      <x v="1"/>
      <x/>
    </i>
    <i r="2">
      <x v="57"/>
      <x v="10"/>
      <x v="107"/>
      <x v="17"/>
      <x v="97"/>
      <x/>
    </i>
    <i r="2">
      <x v="459"/>
      <x v="85"/>
      <x v="107"/>
      <x v="17"/>
      <x v="40"/>
      <x/>
    </i>
    <i>
      <x v="3"/>
      <x v="293"/>
      <x v="42"/>
      <x v="9"/>
      <x v="14"/>
      <x v="17"/>
      <x v="20"/>
      <x/>
    </i>
    <i r="1">
      <x v="316"/>
      <x v="22"/>
      <x v="6"/>
      <x v="11"/>
      <x v="17"/>
      <x v="3"/>
      <x/>
    </i>
    <i r="1">
      <x v="330"/>
      <x v="190"/>
      <x v="36"/>
      <x v="138"/>
      <x v="17"/>
      <x v="26"/>
      <x/>
    </i>
    <i r="1">
      <x v="334"/>
      <x v="142"/>
      <x v="27"/>
      <x v="22"/>
      <x v="17"/>
      <x v="9"/>
      <x/>
    </i>
    <i r="2">
      <x v="280"/>
      <x v="57"/>
      <x v="250"/>
      <x v="7"/>
      <x v="34"/>
      <x/>
    </i>
    <i r="1">
      <x v="339"/>
      <x v="293"/>
      <x v="57"/>
      <x v="249"/>
      <x v="17"/>
      <x v="57"/>
      <x/>
    </i>
    <i r="1">
      <x v="346"/>
      <x v="473"/>
      <x v="89"/>
      <x v="198"/>
      <x v="17"/>
      <x v="71"/>
      <x/>
    </i>
    <i r="1">
      <x v="349"/>
      <x v="23"/>
      <x v="6"/>
      <x v="11"/>
      <x v="17"/>
      <x v="5"/>
      <x/>
    </i>
    <i r="1">
      <x v="351"/>
      <x v="409"/>
      <x v="75"/>
      <x v="43"/>
      <x v="17"/>
      <x v="69"/>
      <x/>
    </i>
    <i r="1">
      <x v="370"/>
      <x v="61"/>
      <x v="12"/>
      <x v="241"/>
      <x v="17"/>
      <x v="60"/>
      <x/>
    </i>
    <i r="2">
      <x v="67"/>
      <x v="16"/>
      <x v="161"/>
      <x v="17"/>
      <x v="63"/>
      <x/>
    </i>
    <i r="1">
      <x v="372"/>
      <x v="425"/>
      <x v="79"/>
      <x v="1"/>
      <x v="17"/>
      <x v="20"/>
      <x/>
    </i>
    <i r="1">
      <x v="377"/>
      <x v="43"/>
      <x v="9"/>
      <x v="14"/>
      <x v="17"/>
      <x v="65"/>
      <x/>
    </i>
    <i r="2">
      <x v="66"/>
      <x v="16"/>
      <x v="160"/>
      <x v="17"/>
      <x v="39"/>
      <x/>
    </i>
    <i r="2">
      <x v="111"/>
      <x v="19"/>
      <x v="166"/>
      <x v="17"/>
      <x v="38"/>
      <x/>
    </i>
    <i r="2">
      <x v="427"/>
      <x v="80"/>
      <x v="105"/>
      <x v="17"/>
      <x v="13"/>
      <x/>
    </i>
    <i r="1">
      <x v="379"/>
      <x v="255"/>
      <x v="52"/>
      <x v="178"/>
      <x v="17"/>
      <x/>
      <x/>
    </i>
    <i r="1">
      <x v="382"/>
      <x v="71"/>
      <x v="16"/>
      <x v="242"/>
      <x v="17"/>
      <x v="64"/>
      <x/>
    </i>
    <i r="2">
      <x v="284"/>
      <x v="57"/>
      <x v="230"/>
      <x v="17"/>
      <x v="47"/>
      <x/>
    </i>
    <i r="2">
      <x v="287"/>
      <x v="57"/>
      <x v="251"/>
      <x v="13"/>
      <x v="33"/>
      <x/>
    </i>
    <i r="1">
      <x v="387"/>
      <x v="112"/>
      <x v="19"/>
      <x v="245"/>
      <x v="4"/>
      <x v="59"/>
      <x/>
    </i>
    <i r="1">
      <x v="388"/>
      <x v="62"/>
      <x v="12"/>
      <x v="241"/>
      <x v="17"/>
      <x v="97"/>
      <x/>
    </i>
    <i r="2">
      <x v="124"/>
      <x v="24"/>
      <x v="39"/>
      <x v="4"/>
      <x v="21"/>
      <x/>
    </i>
    <i r="1">
      <x v="394"/>
      <x v="286"/>
      <x v="57"/>
      <x v="230"/>
      <x v="17"/>
      <x v="46"/>
      <x/>
    </i>
    <i r="1">
      <x v="395"/>
      <x v="16"/>
      <x v="3"/>
      <x v="155"/>
      <x v="17"/>
      <x v="1"/>
      <x/>
    </i>
    <i r="2">
      <x v="44"/>
      <x v="9"/>
      <x v="107"/>
      <x v="17"/>
      <x v="7"/>
      <x/>
    </i>
    <i r="2">
      <x v="57"/>
      <x v="10"/>
      <x v="107"/>
      <x v="17"/>
      <x v="97"/>
      <x/>
    </i>
    <i r="2">
      <x v="147"/>
      <x v="27"/>
      <x v="22"/>
      <x v="17"/>
      <x v="26"/>
      <x/>
    </i>
    <i r="2">
      <x v="289"/>
      <x v="57"/>
      <x v="253"/>
      <x v="3"/>
      <x v="34"/>
      <x/>
    </i>
    <i r="2">
      <x v="459"/>
      <x v="85"/>
      <x v="107"/>
      <x v="17"/>
      <x v="40"/>
      <x/>
    </i>
    <i t="grand">
      <x/>
    </i>
  </rowItems>
  <colItems count="1">
    <i/>
  </colItems>
  <dataFields count="1">
    <dataField name="Max of Date" fld="1" subtotal="max"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D2B9EA-0D29-8644-80EE-1F05F02ACEF6}" name="PivotTable2"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2:L48" firstHeaderRow="1" firstDataRow="2" firstDataCol="8"/>
  <pivotFields count="50">
    <pivotField axis="axisRow" compact="0" outline="0" showAll="0" sortType="ascending" defaultSubtotal="0">
      <items count="2">
        <item x="1"/>
        <item h="1" x="0"/>
      </items>
      <autoSortScope>
        <pivotArea dataOnly="0" outline="0" fieldPosition="0">
          <references count="1">
            <reference field="4294967294" count="1" selected="0">
              <x v="0"/>
            </reference>
          </references>
        </pivotArea>
      </autoSortScope>
    </pivotField>
    <pivotField axis="axisRow" dataField="1" compact="0" outline="0" showAll="0" sortType="ascending" defaultSubtotal="0">
      <items count="444">
        <item m="1" x="331"/>
        <item m="1" x="394"/>
        <item m="1" x="387"/>
        <item m="1" x="278"/>
        <item m="1" x="380"/>
        <item m="1" x="259"/>
        <item m="1" x="351"/>
        <item m="1" x="376"/>
        <item m="1" x="245"/>
        <item m="1" x="241"/>
        <item m="1" x="281"/>
        <item m="1" x="240"/>
        <item m="1" x="373"/>
        <item m="1" x="256"/>
        <item m="1" x="421"/>
        <item m="1" x="236"/>
        <item m="1" x="428"/>
        <item m="1" x="422"/>
        <item m="1" x="231"/>
        <item m="1" x="244"/>
        <item m="1" x="405"/>
        <item m="1" x="310"/>
        <item m="1" x="311"/>
        <item m="1" x="292"/>
        <item m="1" x="336"/>
        <item m="1" x="242"/>
        <item m="1" x="406"/>
        <item m="1" x="432"/>
        <item m="1" x="356"/>
        <item m="1" x="220"/>
        <item m="1" x="219"/>
        <item m="1" x="407"/>
        <item m="1" x="312"/>
        <item m="1" x="357"/>
        <item m="1" x="221"/>
        <item x="14"/>
        <item m="1" x="420"/>
        <item m="1" x="443"/>
        <item m="1" x="442"/>
        <item m="1" x="324"/>
        <item m="1" x="393"/>
        <item m="1" x="439"/>
        <item m="1" x="383"/>
        <item m="1" x="382"/>
        <item m="1" x="298"/>
        <item m="1" x="384"/>
        <item m="1" x="419"/>
        <item m="1" x="381"/>
        <item m="1" x="321"/>
        <item m="1" x="304"/>
        <item m="1" x="430"/>
        <item m="1" x="214"/>
        <item m="1" x="372"/>
        <item m="1" x="377"/>
        <item m="1" x="404"/>
        <item m="1" x="217"/>
        <item x="133"/>
        <item m="1" x="374"/>
        <item m="1" x="392"/>
        <item m="1" x="426"/>
        <item m="1" x="213"/>
        <item m="1" x="425"/>
        <item m="1" x="433"/>
        <item m="1" x="216"/>
        <item m="1" x="270"/>
        <item m="1" x="423"/>
        <item m="1" x="210"/>
        <item m="1" x="276"/>
        <item m="1" x="254"/>
        <item m="1" x="287"/>
        <item m="1" x="398"/>
        <item m="1" x="271"/>
        <item x="103"/>
        <item m="1" x="438"/>
        <item m="1" x="203"/>
        <item m="1" x="207"/>
        <item m="1" x="274"/>
        <item m="1" x="224"/>
        <item m="1" x="424"/>
        <item m="1" x="260"/>
        <item m="1" x="243"/>
        <item m="1" x="237"/>
        <item m="1" x="202"/>
        <item m="1" x="257"/>
        <item m="1" x="388"/>
        <item m="1" x="246"/>
        <item m="1" x="427"/>
        <item x="56"/>
        <item m="1" x="265"/>
        <item m="1" x="233"/>
        <item m="1" x="225"/>
        <item m="1" x="400"/>
        <item m="1" x="399"/>
        <item m="1" x="230"/>
        <item m="1" x="206"/>
        <item m="1" x="401"/>
        <item m="1" x="431"/>
        <item m="1" x="248"/>
        <item m="1" x="402"/>
        <item m="1" x="379"/>
        <item m="1" x="385"/>
        <item m="1" x="352"/>
        <item m="1" x="291"/>
        <item m="1" x="253"/>
        <item m="1" x="375"/>
        <item m="1" x="290"/>
        <item m="1" x="294"/>
        <item m="1" x="409"/>
        <item m="1" x="297"/>
        <item m="1" x="273"/>
        <item m="1" x="408"/>
        <item m="1" x="205"/>
        <item m="1" x="272"/>
        <item m="1" x="411"/>
        <item m="1" x="329"/>
        <item m="1" x="280"/>
        <item m="1" x="250"/>
        <item m="1" x="234"/>
        <item m="1" x="204"/>
        <item m="1" x="440"/>
        <item m="1" x="286"/>
        <item m="1" x="289"/>
        <item m="1" x="235"/>
        <item x="118"/>
        <item m="1" x="403"/>
        <item m="1" x="362"/>
        <item m="1" x="251"/>
        <item m="1" x="212"/>
        <item m="1" x="395"/>
        <item m="1" x="249"/>
        <item m="1" x="261"/>
        <item m="1" x="309"/>
        <item m="1" x="223"/>
        <item m="1" x="239"/>
        <item m="1" x="340"/>
        <item m="1" x="414"/>
        <item m="1" x="354"/>
        <item m="1" x="341"/>
        <item m="1" x="386"/>
        <item m="1" x="305"/>
        <item m="1" x="316"/>
        <item m="1" x="332"/>
        <item m="1" x="327"/>
        <item m="1" x="369"/>
        <item m="1" x="318"/>
        <item m="1" x="378"/>
        <item m="1" x="323"/>
        <item m="1" x="308"/>
        <item m="1" x="300"/>
        <item m="1" x="345"/>
        <item m="1" x="284"/>
        <item m="1" x="389"/>
        <item m="1" x="301"/>
        <item m="1" x="390"/>
        <item m="1" x="344"/>
        <item m="1" x="208"/>
        <item m="1" x="441"/>
        <item m="1" x="413"/>
        <item m="1" x="209"/>
        <item m="1" x="285"/>
        <item m="1" x="266"/>
        <item m="1" x="437"/>
        <item m="1" x="365"/>
        <item m="1" x="410"/>
        <item m="1" x="368"/>
        <item m="1" x="412"/>
        <item m="1" x="279"/>
        <item m="1" x="348"/>
        <item m="1" x="296"/>
        <item m="1" x="334"/>
        <item m="1" x="295"/>
        <item m="1" x="227"/>
        <item m="1" x="418"/>
        <item m="1" x="282"/>
        <item m="1" x="215"/>
        <item m="1" x="349"/>
        <item m="1" x="307"/>
        <item m="1" x="346"/>
        <item m="1" x="238"/>
        <item m="1" x="263"/>
        <item m="1" x="353"/>
        <item m="1" x="267"/>
        <item m="1" x="262"/>
        <item m="1" x="391"/>
        <item m="1" x="211"/>
        <item m="1" x="367"/>
        <item m="1" x="347"/>
        <item m="1" x="293"/>
        <item m="1" x="258"/>
        <item m="1" x="370"/>
        <item m="1" x="335"/>
        <item m="1" x="228"/>
        <item m="1" x="434"/>
        <item m="1" x="255"/>
        <item m="1" x="283"/>
        <item m="1" x="226"/>
        <item m="1" x="303"/>
        <item m="1" x="343"/>
        <item m="1" x="252"/>
        <item m="1" x="429"/>
        <item m="1" x="361"/>
        <item m="1" x="359"/>
        <item m="1" x="397"/>
        <item m="1" x="268"/>
        <item m="1" x="355"/>
        <item m="1" x="360"/>
        <item m="1" x="415"/>
        <item m="1" x="302"/>
        <item m="1" x="363"/>
        <item m="1" x="396"/>
        <item m="1" x="269"/>
        <item m="1" x="247"/>
        <item m="1" x="313"/>
        <item m="1" x="416"/>
        <item m="1" x="330"/>
        <item m="1" x="333"/>
        <item m="1" x="338"/>
        <item m="1" x="306"/>
        <item m="1" x="328"/>
        <item m="1" x="366"/>
        <item m="1" x="232"/>
        <item m="1" x="314"/>
        <item m="1" x="275"/>
        <item m="1" x="319"/>
        <item m="1" x="320"/>
        <item m="1" x="229"/>
        <item m="1" x="435"/>
        <item m="1" x="277"/>
        <item m="1" x="342"/>
        <item m="1" x="288"/>
        <item m="1" x="436"/>
        <item m="1" x="264"/>
        <item m="1" x="417"/>
        <item m="1" x="222"/>
        <item m="1" x="337"/>
        <item m="1" x="326"/>
        <item m="1" x="322"/>
        <item m="1" x="325"/>
        <item m="1" x="315"/>
        <item m="1" x="218"/>
        <item m="1" x="317"/>
        <item m="1" x="358"/>
        <item m="1" x="299"/>
        <item x="13"/>
        <item x="42"/>
        <item m="1" x="350"/>
        <item m="1" x="339"/>
        <item x="12"/>
        <item m="1" x="200"/>
        <item m="1" x="196"/>
        <item m="1" x="371"/>
        <item m="1" x="201"/>
        <item m="1" x="197"/>
        <item x="55"/>
        <item m="1" x="193"/>
        <item m="1" x="165"/>
        <item x="127"/>
        <item m="1" x="191"/>
        <item m="1" x="198"/>
        <item x="2"/>
        <item m="1" x="194"/>
        <item m="1" x="162"/>
        <item x="124"/>
        <item x="132"/>
        <item m="1" x="364"/>
        <item x="11"/>
        <item x="54"/>
        <item x="5"/>
        <item x="17"/>
        <item x="0"/>
        <item m="1" x="192"/>
        <item m="1" x="195"/>
        <item m="1" x="178"/>
        <item m="1" x="173"/>
        <item m="1" x="189"/>
        <item x="122"/>
        <item x="131"/>
        <item x="123"/>
        <item m="1" x="163"/>
        <item x="15"/>
        <item m="1" x="177"/>
        <item x="37"/>
        <item m="1" x="167"/>
        <item x="53"/>
        <item x="36"/>
        <item x="16"/>
        <item x="61"/>
        <item x="110"/>
        <item m="1" x="172"/>
        <item x="43"/>
        <item m="1" x="170"/>
        <item x="6"/>
        <item x="34"/>
        <item x="28"/>
        <item m="1" x="185"/>
        <item x="1"/>
        <item x="33"/>
        <item m="1" x="175"/>
        <item x="23"/>
        <item x="49"/>
        <item m="1" x="174"/>
        <item x="46"/>
        <item m="1" x="168"/>
        <item x="50"/>
        <item m="1" x="171"/>
        <item x="129"/>
        <item m="1" x="181"/>
        <item m="1" x="164"/>
        <item x="84"/>
        <item x="38"/>
        <item x="57"/>
        <item m="1" x="169"/>
        <item m="1" x="166"/>
        <item m="1" x="179"/>
        <item x="58"/>
        <item x="104"/>
        <item x="24"/>
        <item x="52"/>
        <item m="1" x="190"/>
        <item m="1" x="141"/>
        <item x="40"/>
        <item x="45"/>
        <item x="95"/>
        <item m="1" x="176"/>
        <item m="1" x="160"/>
        <item x="26"/>
        <item x="27"/>
        <item x="47"/>
        <item x="60"/>
        <item m="1" x="186"/>
        <item x="41"/>
        <item m="1" x="159"/>
        <item m="1" x="145"/>
        <item m="1" x="180"/>
        <item x="39"/>
        <item x="77"/>
        <item x="59"/>
        <item x="86"/>
        <item x="109"/>
        <item x="48"/>
        <item x="106"/>
        <item x="10"/>
        <item x="102"/>
        <item x="119"/>
        <item x="87"/>
        <item m="1" x="161"/>
        <item x="22"/>
        <item x="107"/>
        <item x="68"/>
        <item x="25"/>
        <item x="7"/>
        <item x="3"/>
        <item x="9"/>
        <item m="1" x="156"/>
        <item x="126"/>
        <item m="1" x="144"/>
        <item x="91"/>
        <item x="83"/>
        <item m="1" x="142"/>
        <item x="128"/>
        <item x="78"/>
        <item x="125"/>
        <item x="76"/>
        <item x="88"/>
        <item x="92"/>
        <item x="99"/>
        <item x="117"/>
        <item x="130"/>
        <item m="1" x="184"/>
        <item x="93"/>
        <item x="30"/>
        <item x="64"/>
        <item x="18"/>
        <item m="1" x="188"/>
        <item m="1" x="137"/>
        <item m="1" x="143"/>
        <item x="66"/>
        <item x="29"/>
        <item x="100"/>
        <item x="44"/>
        <item x="94"/>
        <item x="98"/>
        <item x="32"/>
        <item x="8"/>
        <item x="89"/>
        <item x="105"/>
        <item m="1" x="182"/>
        <item x="35"/>
        <item x="31"/>
        <item x="120"/>
        <item m="1" x="152"/>
        <item m="1" x="140"/>
        <item m="1" x="154"/>
        <item m="1" x="155"/>
        <item x="51"/>
        <item x="4"/>
        <item m="1" x="158"/>
        <item x="67"/>
        <item x="108"/>
        <item x="113"/>
        <item x="20"/>
        <item m="1" x="136"/>
        <item x="65"/>
        <item m="1" x="148"/>
        <item m="1" x="187"/>
        <item x="19"/>
        <item m="1" x="147"/>
        <item m="1" x="153"/>
        <item m="1" x="149"/>
        <item x="21"/>
        <item x="121"/>
        <item m="1" x="157"/>
        <item m="1" x="135"/>
        <item x="72"/>
        <item x="85"/>
        <item x="97"/>
        <item x="96"/>
        <item x="79"/>
        <item m="1" x="183"/>
        <item x="69"/>
        <item x="115"/>
        <item m="1" x="150"/>
        <item x="74"/>
        <item x="62"/>
        <item x="82"/>
        <item x="75"/>
        <item m="1" x="151"/>
        <item x="63"/>
        <item x="81"/>
        <item x="101"/>
        <item x="111"/>
        <item x="90"/>
        <item x="70"/>
        <item x="112"/>
        <item m="1" x="138"/>
        <item x="71"/>
        <item m="1" x="139"/>
        <item m="1" x="146"/>
        <item x="80"/>
        <item m="1" x="199"/>
        <item x="73"/>
        <item m="1" x="134"/>
        <item x="116"/>
        <item x="114"/>
      </items>
      <extLst>
        <ext xmlns:x14="http://schemas.microsoft.com/office/spreadsheetml/2009/9/main" uri="{2946ED86-A175-432a-8AC1-64E0C546D7DE}">
          <x14:pivotField fillDownLabels="1"/>
        </ext>
      </extLst>
    </pivotField>
    <pivotField axis="axisRow" compact="0" outline="0" showAll="0" sortType="ascending" defaultSubtotal="0">
      <items count="571">
        <item m="1" x="530"/>
        <item m="1" x="177"/>
        <item m="1" x="459"/>
        <item m="1" x="225"/>
        <item x="2"/>
        <item x="0"/>
        <item x="1"/>
        <item x="3"/>
        <item x="4"/>
        <item m="1" x="552"/>
        <item m="1" x="541"/>
        <item m="1" x="570"/>
        <item m="1" x="521"/>
        <item m="1" x="548"/>
        <item m="1" x="178"/>
        <item x="5"/>
        <item x="45"/>
        <item m="1" x="226"/>
        <item m="1" x="227"/>
        <item m="1" x="228"/>
        <item m="1" x="558"/>
        <item m="1" x="378"/>
        <item x="46"/>
        <item x="47"/>
        <item x="48"/>
        <item m="1" x="506"/>
        <item m="1" x="543"/>
        <item m="1" x="179"/>
        <item m="1" x="229"/>
        <item m="1" x="230"/>
        <item m="1" x="453"/>
        <item m="1" x="454"/>
        <item m="1" x="452"/>
        <item x="49"/>
        <item x="50"/>
        <item m="1" x="559"/>
        <item m="1" x="231"/>
        <item m="1" x="448"/>
        <item m="1" x="444"/>
        <item m="1" x="443"/>
        <item m="1" x="180"/>
        <item m="1" x="449"/>
        <item x="51"/>
        <item x="52"/>
        <item x="53"/>
        <item m="1" x="504"/>
        <item m="1" x="232"/>
        <item m="1" x="554"/>
        <item m="1" x="233"/>
        <item m="1" x="234"/>
        <item m="1" x="235"/>
        <item m="1" x="236"/>
        <item m="1" x="431"/>
        <item m="1" x="237"/>
        <item m="1" x="238"/>
        <item m="1" x="366"/>
        <item x="44"/>
        <item x="54"/>
        <item m="1" x="389"/>
        <item m="1" x="181"/>
        <item m="1" x="379"/>
        <item x="55"/>
        <item x="56"/>
        <item m="1" x="182"/>
        <item m="1" x="183"/>
        <item m="1" x="484"/>
        <item x="57"/>
        <item x="58"/>
        <item x="60"/>
        <item x="61"/>
        <item m="1" x="158"/>
        <item x="59"/>
        <item m="1" x="159"/>
        <item m="1" x="160"/>
        <item m="1" x="161"/>
        <item m="1" x="162"/>
        <item m="1" x="163"/>
        <item m="1" x="239"/>
        <item m="1" x="551"/>
        <item m="1" x="561"/>
        <item m="1" x="240"/>
        <item m="1" x="241"/>
        <item m="1" x="242"/>
        <item m="1" x="243"/>
        <item m="1" x="244"/>
        <item m="1" x="245"/>
        <item m="1" x="371"/>
        <item m="1" x="246"/>
        <item m="1" x="247"/>
        <item m="1" x="248"/>
        <item m="1" x="249"/>
        <item x="6"/>
        <item x="7"/>
        <item x="12"/>
        <item x="8"/>
        <item x="9"/>
        <item x="10"/>
        <item x="13"/>
        <item x="11"/>
        <item m="1" x="151"/>
        <item m="1" x="152"/>
        <item m="1" x="400"/>
        <item m="1" x="397"/>
        <item m="1" x="372"/>
        <item m="1" x="184"/>
        <item m="1" x="185"/>
        <item m="1" x="186"/>
        <item m="1" x="187"/>
        <item m="1" x="390"/>
        <item m="1" x="391"/>
        <item m="1" x="250"/>
        <item x="62"/>
        <item x="63"/>
        <item m="1" x="251"/>
        <item m="1" x="534"/>
        <item m="1" x="252"/>
        <item m="1" x="253"/>
        <item x="64"/>
        <item m="1" x="254"/>
        <item m="1" x="456"/>
        <item m="1" x="255"/>
        <item m="1" x="256"/>
        <item m="1" x="404"/>
        <item x="65"/>
        <item x="66"/>
        <item m="1" x="539"/>
        <item m="1" x="565"/>
        <item m="1" x="533"/>
        <item m="1" x="560"/>
        <item m="1" x="545"/>
        <item m="1" x="568"/>
        <item x="14"/>
        <item m="1" x="138"/>
        <item m="1" x="380"/>
        <item m="1" x="401"/>
        <item m="1" x="188"/>
        <item m="1" x="224"/>
        <item x="67"/>
        <item x="68"/>
        <item x="69"/>
        <item x="70"/>
        <item x="71"/>
        <item x="72"/>
        <item m="1" x="164"/>
        <item m="1" x="165"/>
        <item m="1" x="142"/>
        <item m="1" x="143"/>
        <item x="73"/>
        <item m="1" x="396"/>
        <item m="1" x="547"/>
        <item m="1" x="516"/>
        <item m="1" x="257"/>
        <item m="1" x="258"/>
        <item m="1" x="189"/>
        <item m="1" x="190"/>
        <item m="1" x="451"/>
        <item x="15"/>
        <item m="1" x="153"/>
        <item m="1" x="429"/>
        <item m="1" x="191"/>
        <item m="1" x="549"/>
        <item m="1" x="430"/>
        <item m="1" x="376"/>
        <item m="1" x="259"/>
        <item m="1" x="260"/>
        <item m="1" x="192"/>
        <item m="1" x="477"/>
        <item m="1" x="476"/>
        <item m="1" x="193"/>
        <item m="1" x="381"/>
        <item m="1" x="194"/>
        <item x="74"/>
        <item x="76"/>
        <item x="75"/>
        <item x="77"/>
        <item m="1" x="473"/>
        <item m="1" x="472"/>
        <item m="1" x="261"/>
        <item m="1" x="474"/>
        <item m="1" x="262"/>
        <item m="1" x="471"/>
        <item x="16"/>
        <item m="1" x="382"/>
        <item m="1" x="195"/>
        <item m="1" x="455"/>
        <item x="79"/>
        <item x="80"/>
        <item m="1" x="166"/>
        <item x="78"/>
        <item x="81"/>
        <item x="82"/>
        <item m="1" x="167"/>
        <item m="1" x="168"/>
        <item m="1" x="144"/>
        <item m="1" x="145"/>
        <item m="1" x="398"/>
        <item m="1" x="394"/>
        <item m="1" x="507"/>
        <item m="1" x="540"/>
        <item m="1" x="567"/>
        <item m="1" x="196"/>
        <item m="1" x="263"/>
        <item m="1" x="369"/>
        <item m="1" x="264"/>
        <item m="1" x="197"/>
        <item m="1" x="265"/>
        <item m="1" x="198"/>
        <item m="1" x="462"/>
        <item m="1" x="383"/>
        <item m="1" x="199"/>
        <item m="1" x="457"/>
        <item m="1" x="266"/>
        <item m="1" x="463"/>
        <item m="1" x="267"/>
        <item m="1" x="268"/>
        <item x="17"/>
        <item m="1" x="375"/>
        <item m="1" x="200"/>
        <item m="1" x="201"/>
        <item m="1" x="146"/>
        <item x="83"/>
        <item m="1" x="508"/>
        <item m="1" x="537"/>
        <item m="1" x="562"/>
        <item m="1" x="437"/>
        <item m="1" x="269"/>
        <item m="1" x="270"/>
        <item m="1" x="271"/>
        <item m="1" x="272"/>
        <item m="1" x="405"/>
        <item m="1" x="416"/>
        <item m="1" x="202"/>
        <item m="1" x="402"/>
        <item m="1" x="203"/>
        <item m="1" x="204"/>
        <item m="1" x="205"/>
        <item m="1" x="206"/>
        <item m="1" x="207"/>
        <item x="19"/>
        <item x="20"/>
        <item x="18"/>
        <item m="1" x="373"/>
        <item x="84"/>
        <item m="1" x="273"/>
        <item m="1" x="274"/>
        <item m="1" x="485"/>
        <item m="1" x="275"/>
        <item m="1" x="276"/>
        <item m="1" x="423"/>
        <item m="1" x="407"/>
        <item x="85"/>
        <item m="1" x="277"/>
        <item m="1" x="278"/>
        <item m="1" x="279"/>
        <item m="1" x="280"/>
        <item x="86"/>
        <item x="87"/>
        <item m="1" x="281"/>
        <item m="1" x="282"/>
        <item m="1" x="470"/>
        <item m="1" x="546"/>
        <item m="1" x="538"/>
        <item m="1" x="563"/>
        <item m="1" x="424"/>
        <item m="1" x="564"/>
        <item m="1" x="509"/>
        <item m="1" x="208"/>
        <item m="1" x="367"/>
        <item x="88"/>
        <item m="1" x="283"/>
        <item x="89"/>
        <item m="1" x="458"/>
        <item m="1" x="284"/>
        <item m="1" x="285"/>
        <item m="1" x="169"/>
        <item x="97"/>
        <item x="102"/>
        <item x="90"/>
        <item x="91"/>
        <item x="92"/>
        <item x="94"/>
        <item x="98"/>
        <item x="99"/>
        <item m="1" x="140"/>
        <item x="100"/>
        <item m="1" x="147"/>
        <item x="101"/>
        <item x="95"/>
        <item m="1" x="148"/>
        <item x="96"/>
        <item m="1" x="170"/>
        <item m="1" x="171"/>
        <item m="1" x="172"/>
        <item x="93"/>
        <item m="1" x="432"/>
        <item m="1" x="500"/>
        <item m="1" x="514"/>
        <item m="1" x="569"/>
        <item m="1" x="557"/>
        <item m="1" x="542"/>
        <item m="1" x="461"/>
        <item m="1" x="441"/>
        <item m="1" x="499"/>
        <item m="1" x="511"/>
        <item m="1" x="434"/>
        <item m="1" x="490"/>
        <item m="1" x="536"/>
        <item m="1" x="512"/>
        <item m="1" x="433"/>
        <item m="1" x="501"/>
        <item m="1" x="515"/>
        <item m="1" x="556"/>
        <item m="1" x="438"/>
        <item m="1" x="498"/>
        <item m="1" x="518"/>
        <item m="1" x="442"/>
        <item m="1" x="497"/>
        <item m="1" x="517"/>
        <item m="1" x="406"/>
        <item m="1" x="445"/>
        <item m="1" x="417"/>
        <item m="1" x="418"/>
        <item m="1" x="410"/>
        <item m="1" x="411"/>
        <item m="1" x="412"/>
        <item m="1" x="413"/>
        <item m="1" x="414"/>
        <item m="1" x="408"/>
        <item m="1" x="496"/>
        <item m="1" x="415"/>
        <item m="1" x="409"/>
        <item m="1" x="520"/>
        <item m="1" x="468"/>
        <item m="1" x="550"/>
        <item m="1" x="502"/>
        <item m="1" x="503"/>
        <item m="1" x="522"/>
        <item m="1" x="523"/>
        <item m="1" x="513"/>
        <item m="1" x="286"/>
        <item m="1" x="287"/>
        <item m="1" x="288"/>
        <item m="1" x="289"/>
        <item m="1" x="290"/>
        <item m="1" x="291"/>
        <item m="1" x="292"/>
        <item m="1" x="293"/>
        <item m="1" x="294"/>
        <item m="1" x="295"/>
        <item m="1" x="297"/>
        <item m="1" x="299"/>
        <item m="1" x="300"/>
        <item m="1" x="301"/>
        <item m="1" x="302"/>
        <item m="1" x="296"/>
        <item m="1" x="298"/>
        <item m="1" x="535"/>
        <item m="1" x="447"/>
        <item x="21"/>
        <item x="22"/>
        <item m="1" x="303"/>
        <item m="1" x="304"/>
        <item m="1" x="305"/>
        <item m="1" x="469"/>
        <item m="1" x="460"/>
        <item m="1" x="306"/>
        <item m="1" x="307"/>
        <item m="1" x="308"/>
        <item x="103"/>
        <item m="1" x="173"/>
        <item m="1" x="475"/>
        <item m="1" x="309"/>
        <item m="1" x="478"/>
        <item m="1" x="310"/>
        <item m="1" x="311"/>
        <item m="1" x="553"/>
        <item m="1" x="466"/>
        <item m="1" x="467"/>
        <item m="1" x="532"/>
        <item m="1" x="531"/>
        <item m="1" x="388"/>
        <item x="104"/>
        <item x="105"/>
        <item x="106"/>
        <item m="1" x="519"/>
        <item m="1" x="312"/>
        <item m="1" x="313"/>
        <item m="1" x="314"/>
        <item m="1" x="436"/>
        <item m="1" x="315"/>
        <item m="1" x="435"/>
        <item m="1" x="209"/>
        <item m="1" x="525"/>
        <item m="1" x="316"/>
        <item m="1" x="317"/>
        <item x="107"/>
        <item m="1" x="139"/>
        <item m="1" x="555"/>
        <item m="1" x="318"/>
        <item m="1" x="319"/>
        <item m="1" x="320"/>
        <item x="108"/>
        <item m="1" x="426"/>
        <item m="1" x="427"/>
        <item m="1" x="210"/>
        <item x="109"/>
        <item x="110"/>
        <item x="111"/>
        <item x="113"/>
        <item x="112"/>
        <item m="1" x="321"/>
        <item m="1" x="322"/>
        <item m="1" x="483"/>
        <item m="1" x="323"/>
        <item m="1" x="324"/>
        <item m="1" x="482"/>
        <item m="1" x="450"/>
        <item x="23"/>
        <item x="24"/>
        <item m="1" x="384"/>
        <item m="1" x="211"/>
        <item m="1" x="212"/>
        <item m="1" x="213"/>
        <item m="1" x="385"/>
        <item m="1" x="214"/>
        <item x="114"/>
        <item x="25"/>
        <item x="115"/>
        <item x="34"/>
        <item m="1" x="325"/>
        <item m="1" x="505"/>
        <item m="1" x="428"/>
        <item m="1" x="326"/>
        <item m="1" x="327"/>
        <item m="1" x="377"/>
        <item m="1" x="328"/>
        <item m="1" x="329"/>
        <item m="1" x="330"/>
        <item x="26"/>
        <item m="1" x="154"/>
        <item x="28"/>
        <item x="29"/>
        <item x="30"/>
        <item x="33"/>
        <item x="27"/>
        <item x="31"/>
        <item x="32"/>
        <item m="1" x="215"/>
        <item m="1" x="370"/>
        <item m="1" x="216"/>
        <item m="1" x="439"/>
        <item m="1" x="440"/>
        <item m="1" x="331"/>
        <item m="1" x="332"/>
        <item m="1" x="333"/>
        <item m="1" x="334"/>
        <item m="1" x="217"/>
        <item m="1" x="335"/>
        <item m="1" x="464"/>
        <item x="116"/>
        <item m="1" x="336"/>
        <item m="1" x="337"/>
        <item m="1" x="386"/>
        <item m="1" x="338"/>
        <item m="1" x="155"/>
        <item m="1" x="510"/>
        <item m="1" x="526"/>
        <item m="1" x="529"/>
        <item m="1" x="339"/>
        <item m="1" x="218"/>
        <item m="1" x="340"/>
        <item m="1" x="365"/>
        <item x="117"/>
        <item x="118"/>
        <item x="119"/>
        <item x="36"/>
        <item m="1" x="149"/>
        <item x="35"/>
        <item m="1" x="420"/>
        <item m="1" x="419"/>
        <item m="1" x="403"/>
        <item m="1" x="527"/>
        <item m="1" x="341"/>
        <item m="1" x="342"/>
        <item m="1" x="374"/>
        <item m="1" x="465"/>
        <item m="1" x="524"/>
        <item m="1" x="343"/>
        <item m="1" x="344"/>
        <item m="1" x="345"/>
        <item x="120"/>
        <item m="1" x="141"/>
        <item m="1" x="425"/>
        <item m="1" x="421"/>
        <item m="1" x="422"/>
        <item m="1" x="395"/>
        <item m="1" x="219"/>
        <item x="121"/>
        <item m="1" x="174"/>
        <item x="122"/>
        <item m="1" x="346"/>
        <item m="1" x="347"/>
        <item m="1" x="348"/>
        <item m="1" x="479"/>
        <item m="1" x="528"/>
        <item m="1" x="446"/>
        <item m="1" x="349"/>
        <item m="1" x="137"/>
        <item x="123"/>
        <item x="124"/>
        <item m="1" x="175"/>
        <item m="1" x="480"/>
        <item m="1" x="350"/>
        <item m="1" x="351"/>
        <item m="1" x="481"/>
        <item m="1" x="393"/>
        <item m="1" x="156"/>
        <item m="1" x="399"/>
        <item m="1" x="392"/>
        <item m="1" x="387"/>
        <item m="1" x="220"/>
        <item m="1" x="221"/>
        <item x="125"/>
        <item m="1" x="352"/>
        <item m="1" x="353"/>
        <item m="1" x="354"/>
        <item m="1" x="355"/>
        <item m="1" x="566"/>
        <item m="1" x="544"/>
        <item m="1" x="356"/>
        <item x="126"/>
        <item x="129"/>
        <item x="130"/>
        <item x="133"/>
        <item x="136"/>
        <item x="127"/>
        <item x="131"/>
        <item x="134"/>
        <item m="1" x="150"/>
        <item x="128"/>
        <item x="132"/>
        <item x="135"/>
        <item m="1" x="488"/>
        <item m="1" x="489"/>
        <item m="1" x="486"/>
        <item m="1" x="487"/>
        <item m="1" x="493"/>
        <item m="1" x="494"/>
        <item m="1" x="492"/>
        <item m="1" x="495"/>
        <item m="1" x="357"/>
        <item m="1" x="358"/>
        <item m="1" x="359"/>
        <item m="1" x="360"/>
        <item m="1" x="361"/>
        <item m="1" x="362"/>
        <item m="1" x="363"/>
        <item m="1" x="491"/>
        <item x="37"/>
        <item x="39"/>
        <item x="38"/>
        <item m="1" x="222"/>
        <item m="1" x="223"/>
        <item m="1" x="157"/>
        <item x="40"/>
        <item x="42"/>
        <item m="1" x="176"/>
        <item x="41"/>
        <item x="43"/>
        <item m="1" x="364"/>
        <item m="1" x="368"/>
      </items>
      <extLst>
        <ext xmlns:x14="http://schemas.microsoft.com/office/spreadsheetml/2009/9/main" uri="{2946ED86-A175-432a-8AC1-64E0C546D7DE}">
          <x14:pivotField fillDownLabels="1"/>
        </ext>
      </extLst>
    </pivotField>
    <pivotField axis="axisRow" compact="0" outline="0" showAll="0" sortType="ascending" defaultSubtotal="0">
      <items count="104">
        <item x="4"/>
        <item x="28"/>
        <item x="42"/>
        <item x="16"/>
        <item x="2"/>
        <item x="29"/>
        <item x="68"/>
        <item x="34"/>
        <item x="7"/>
        <item x="44"/>
        <item x="47"/>
        <item m="1" x="83"/>
        <item x="24"/>
        <item x="19"/>
        <item x="58"/>
        <item m="1" x="88"/>
        <item x="10"/>
        <item m="1" x="85"/>
        <item x="25"/>
        <item x="60"/>
        <item x="18"/>
        <item m="1" x="90"/>
        <item x="33"/>
        <item x="43"/>
        <item x="23"/>
        <item x="9"/>
        <item x="5"/>
        <item x="6"/>
        <item x="3"/>
        <item x="8"/>
        <item x="21"/>
        <item x="22"/>
        <item x="51"/>
        <item x="50"/>
        <item x="27"/>
        <item m="1" x="72"/>
        <item m="1" x="73"/>
        <item x="52"/>
        <item x="39"/>
        <item x="54"/>
        <item x="45"/>
        <item x="46"/>
        <item x="59"/>
        <item x="17"/>
        <item x="37"/>
        <item x="55"/>
        <item x="26"/>
        <item x="66"/>
        <item m="1" x="96"/>
        <item x="61"/>
        <item x="41"/>
        <item x="48"/>
        <item m="1" x="81"/>
        <item x="56"/>
        <item x="57"/>
        <item x="31"/>
        <item m="1" x="80"/>
        <item x="65"/>
        <item x="69"/>
        <item m="1" x="82"/>
        <item x="71"/>
        <item m="1" x="84"/>
        <item x="49"/>
        <item m="1" x="87"/>
        <item x="53"/>
        <item x="1"/>
        <item x="40"/>
        <item x="36"/>
        <item x="32"/>
        <item x="67"/>
        <item x="13"/>
        <item x="38"/>
        <item x="14"/>
        <item x="12"/>
        <item x="30"/>
        <item x="64"/>
        <item x="62"/>
        <item m="1" x="86"/>
        <item x="63"/>
        <item m="1" x="101"/>
        <item m="1" x="103"/>
        <item x="15"/>
        <item m="1" x="98"/>
        <item m="1" x="91"/>
        <item m="1" x="99"/>
        <item m="1" x="92"/>
        <item m="1" x="102"/>
        <item m="1" x="94"/>
        <item m="1" x="100"/>
        <item m="1" x="93"/>
        <item m="1" x="89"/>
        <item m="1" x="95"/>
        <item m="1" x="97"/>
        <item x="11"/>
        <item m="1" x="75"/>
        <item m="1" x="78"/>
        <item m="1" x="79"/>
        <item m="1" x="77"/>
        <item m="1" x="76"/>
        <item x="20"/>
        <item x="0"/>
        <item m="1" x="74"/>
        <item x="70"/>
        <item x="35"/>
      </items>
    </pivotField>
    <pivotField axis="axisRow" compact="0" outline="0" showAll="0" sortType="ascending" defaultSubtotal="0">
      <items count="4">
        <item x="0"/>
        <item h="1" x="2"/>
        <item h="1" x="3"/>
        <item x="1"/>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axis="axisRow" compact="0" outline="0" showAll="0" sortType="ascending" defaultSubtotal="0">
      <items count="109">
        <item m="1" x="50"/>
        <item m="1" x="68"/>
        <item x="0"/>
        <item x="1"/>
        <item m="1" x="69"/>
        <item m="1" x="100"/>
        <item x="14"/>
        <item x="15"/>
        <item m="1" x="70"/>
        <item x="16"/>
        <item x="17"/>
        <item m="1" x="51"/>
        <item x="18"/>
        <item m="1" x="52"/>
        <item m="1" x="53"/>
        <item m="1" x="108"/>
        <item x="19"/>
        <item x="2"/>
        <item m="1" x="71"/>
        <item x="20"/>
        <item x="21"/>
        <item m="1" x="72"/>
        <item m="1" x="73"/>
        <item m="1" x="103"/>
        <item x="22"/>
        <item m="1" x="101"/>
        <item x="3"/>
        <item x="23"/>
        <item x="4"/>
        <item m="1" x="54"/>
        <item m="1" x="55"/>
        <item m="1" x="56"/>
        <item x="24"/>
        <item x="5"/>
        <item m="1" x="57"/>
        <item m="1" x="106"/>
        <item x="25"/>
        <item m="1" x="58"/>
        <item m="1" x="74"/>
        <item m="1" x="75"/>
        <item m="1" x="76"/>
        <item x="6"/>
        <item m="1" x="59"/>
        <item x="26"/>
        <item m="1" x="60"/>
        <item x="7"/>
        <item x="27"/>
        <item m="1" x="77"/>
        <item m="1" x="78"/>
        <item m="1" x="79"/>
        <item m="1" x="80"/>
        <item x="28"/>
        <item x="29"/>
        <item m="1" x="61"/>
        <item x="30"/>
        <item m="1" x="81"/>
        <item x="31"/>
        <item x="32"/>
        <item x="8"/>
        <item x="9"/>
        <item m="1" x="82"/>
        <item m="1" x="83"/>
        <item m="1" x="84"/>
        <item x="33"/>
        <item m="1" x="85"/>
        <item m="1" x="86"/>
        <item m="1" x="107"/>
        <item m="1" x="102"/>
        <item x="34"/>
        <item m="1" x="87"/>
        <item m="1" x="62"/>
        <item x="35"/>
        <item m="1" x="47"/>
        <item m="1" x="63"/>
        <item x="36"/>
        <item x="37"/>
        <item m="1" x="105"/>
        <item x="10"/>
        <item m="1" x="64"/>
        <item x="38"/>
        <item x="11"/>
        <item m="1" x="88"/>
        <item m="1" x="90"/>
        <item m="1" x="89"/>
        <item m="1" x="65"/>
        <item x="39"/>
        <item m="1" x="91"/>
        <item m="1" x="92"/>
        <item m="1" x="66"/>
        <item x="12"/>
        <item m="1" x="93"/>
        <item m="1" x="94"/>
        <item x="40"/>
        <item m="1" x="48"/>
        <item x="41"/>
        <item m="1" x="104"/>
        <item m="1" x="95"/>
        <item m="1" x="46"/>
        <item x="42"/>
        <item m="1" x="49"/>
        <item m="1" x="67"/>
        <item x="43"/>
        <item m="1" x="96"/>
        <item m="1" x="97"/>
        <item x="44"/>
        <item x="45"/>
        <item x="13"/>
        <item m="1" x="98"/>
        <item m="1" x="99"/>
      </items>
    </pivotField>
    <pivotField axis="axisRow" compact="0" outline="0" showAll="0" defaultSubtotal="0">
      <items count="268">
        <item m="1" x="153"/>
        <item x="57"/>
        <item m="1" x="122"/>
        <item m="1" x="82"/>
        <item m="1" x="189"/>
        <item m="1" x="133"/>
        <item m="1" x="83"/>
        <item m="1" x="239"/>
        <item m="1" x="207"/>
        <item m="1" x="179"/>
        <item m="1" x="203"/>
        <item x="17"/>
        <item m="1" x="253"/>
        <item m="1" x="240"/>
        <item x="20"/>
        <item m="1" x="191"/>
        <item m="1" x="187"/>
        <item x="42"/>
        <item m="1" x="211"/>
        <item m="1" x="238"/>
        <item m="1" x="241"/>
        <item m="1" x="264"/>
        <item x="31"/>
        <item m="1" x="89"/>
        <item m="1" x="215"/>
        <item m="1" x="103"/>
        <item m="1" x="221"/>
        <item m="1" x="223"/>
        <item m="1" x="225"/>
        <item m="1" x="198"/>
        <item m="1" x="226"/>
        <item m="1" x="127"/>
        <item m="1" x="152"/>
        <item m="1" x="256"/>
        <item m="1" x="236"/>
        <item m="1" x="93"/>
        <item m="1" x="114"/>
        <item m="1" x="176"/>
        <item m="1" x="88"/>
        <item x="30"/>
        <item m="1" x="182"/>
        <item m="1" x="266"/>
        <item m="1" x="222"/>
        <item x="56"/>
        <item m="1" x="154"/>
        <item m="1" x="265"/>
        <item x="44"/>
        <item m="1" x="136"/>
        <item m="1" x="230"/>
        <item m="1" x="233"/>
        <item m="1" x="202"/>
        <item m="1" x="217"/>
        <item m="1" x="121"/>
        <item m="1" x="227"/>
        <item m="1" x="242"/>
        <item m="1" x="200"/>
        <item m="1" x="115"/>
        <item m="1" x="234"/>
        <item m="1" x="194"/>
        <item m="1" x="201"/>
        <item m="1" x="212"/>
        <item m="1" x="174"/>
        <item m="1" x="228"/>
        <item m="1" x="186"/>
        <item m="1" x="196"/>
        <item m="1" x="101"/>
        <item m="1" x="195"/>
        <item m="1" x="220"/>
        <item m="1" x="259"/>
        <item m="1" x="175"/>
        <item m="1" x="183"/>
        <item m="1" x="193"/>
        <item m="1" x="244"/>
        <item m="1" x="213"/>
        <item m="1" x="229"/>
        <item m="1" x="185"/>
        <item m="1" x="188"/>
        <item x="43"/>
        <item m="1" x="158"/>
        <item m="1" x="218"/>
        <item m="1" x="178"/>
        <item m="1" x="184"/>
        <item m="1" x="214"/>
        <item x="5"/>
        <item m="1" x="163"/>
        <item m="1" x="252"/>
        <item m="1" x="263"/>
        <item m="1" x="237"/>
        <item m="1" x="216"/>
        <item x="64"/>
        <item x="55"/>
        <item m="1" x="224"/>
        <item m="1" x="232"/>
        <item m="1" x="208"/>
        <item m="1" x="235"/>
        <item m="1" x="231"/>
        <item m="1" x="181"/>
        <item m="1" x="190"/>
        <item m="1" x="261"/>
        <item m="1" x="177"/>
        <item m="1" x="180"/>
        <item m="1" x="192"/>
        <item m="1" x="204"/>
        <item m="1" x="219"/>
        <item m="1" x="205"/>
        <item x="58"/>
        <item m="1" x="199"/>
        <item x="3"/>
        <item m="1" x="206"/>
        <item x="13"/>
        <item m="1" x="125"/>
        <item m="1" x="209"/>
        <item m="1" x="210"/>
        <item m="1" x="197"/>
        <item m="1" x="254"/>
        <item m="1" x="260"/>
        <item m="1" x="255"/>
        <item m="1" x="267"/>
        <item m="1" x="257"/>
        <item m="1" x="251"/>
        <item m="1" x="250"/>
        <item m="1" x="262"/>
        <item m="1" x="258"/>
        <item m="1" x="245"/>
        <item m="1" x="243"/>
        <item m="1" x="246"/>
        <item m="1" x="247"/>
        <item m="1" x="248"/>
        <item m="1" x="249"/>
        <item m="1" x="84"/>
        <item m="1" x="85"/>
        <item m="1" x="86"/>
        <item m="1" x="87"/>
        <item x="2"/>
        <item x="4"/>
        <item x="6"/>
        <item m="1" x="90"/>
        <item m="1" x="91"/>
        <item x="35"/>
        <item m="1" x="173"/>
        <item m="1" x="94"/>
        <item m="1" x="99"/>
        <item m="1" x="95"/>
        <item m="1" x="96"/>
        <item m="1" x="97"/>
        <item m="1" x="100"/>
        <item m="1" x="98"/>
        <item x="14"/>
        <item m="1" x="161"/>
        <item m="1" x="104"/>
        <item m="1" x="105"/>
        <item x="63"/>
        <item m="1" x="106"/>
        <item m="1" x="108"/>
        <item m="1" x="107"/>
        <item x="16"/>
        <item m="1" x="111"/>
        <item x="18"/>
        <item m="1" x="112"/>
        <item m="1" x="113"/>
        <item x="22"/>
        <item x="23"/>
        <item m="1" x="117"/>
        <item m="1" x="116"/>
        <item m="1" x="118"/>
        <item m="1" x="119"/>
        <item x="27"/>
        <item x="29"/>
        <item m="1" x="123"/>
        <item m="1" x="126"/>
        <item m="1" x="129"/>
        <item x="36"/>
        <item m="1" x="130"/>
        <item m="1" x="131"/>
        <item m="1" x="132"/>
        <item x="38"/>
        <item m="1" x="134"/>
        <item m="1" x="135"/>
        <item x="39"/>
        <item x="41"/>
        <item m="1" x="140"/>
        <item m="1" x="141"/>
        <item m="1" x="138"/>
        <item m="1" x="139"/>
        <item x="10"/>
        <item m="1" x="142"/>
        <item m="1" x="144"/>
        <item m="1" x="143"/>
        <item x="50"/>
        <item m="1" x="146"/>
        <item m="1" x="147"/>
        <item m="1" x="148"/>
        <item m="1" x="149"/>
        <item m="1" x="151"/>
        <item x="52"/>
        <item m="1" x="155"/>
        <item m="1" x="157"/>
        <item m="1" x="159"/>
        <item x="59"/>
        <item m="1" x="162"/>
        <item m="1" x="164"/>
        <item x="60"/>
        <item m="1" x="165"/>
        <item x="61"/>
        <item x="62"/>
        <item m="1" x="166"/>
        <item x="65"/>
        <item m="1" x="167"/>
        <item m="1" x="169"/>
        <item x="68"/>
        <item x="70"/>
        <item m="1" x="170"/>
        <item x="72"/>
        <item m="1" x="171"/>
        <item m="1" x="172"/>
        <item m="1" x="92"/>
        <item x="11"/>
        <item m="1" x="102"/>
        <item x="12"/>
        <item m="1" x="137"/>
        <item m="1" x="168"/>
        <item m="1" x="124"/>
        <item m="1" x="128"/>
        <item m="1" x="120"/>
        <item m="1" x="145"/>
        <item m="1" x="150"/>
        <item m="1" x="110"/>
        <item m="1" x="160"/>
        <item m="1" x="156"/>
        <item m="1" x="109"/>
        <item x="49"/>
        <item x="0"/>
        <item x="19"/>
        <item m="1" x="78"/>
        <item x="7"/>
        <item x="8"/>
        <item x="37"/>
        <item x="40"/>
        <item x="9"/>
        <item m="1" x="73"/>
        <item x="15"/>
        <item x="21"/>
        <item x="24"/>
        <item x="25"/>
        <item m="1" x="79"/>
        <item x="28"/>
        <item x="32"/>
        <item x="33"/>
        <item x="34"/>
        <item x="45"/>
        <item x="46"/>
        <item x="47"/>
        <item m="1" x="74"/>
        <item x="48"/>
        <item x="51"/>
        <item x="53"/>
        <item x="54"/>
        <item x="66"/>
        <item m="1" x="76"/>
        <item x="67"/>
        <item x="69"/>
        <item x="71"/>
        <item m="1" x="75"/>
        <item m="1" x="77"/>
        <item m="1" x="80"/>
        <item m="1" x="81"/>
        <item x="1"/>
        <item x="26"/>
      </items>
    </pivotField>
    <pivotField axis="axisRow" compact="0" outline="0" showAll="0" defaultSubtotal="0">
      <items count="25">
        <item x="1"/>
        <item m="1" x="19"/>
        <item x="6"/>
        <item x="3"/>
        <item x="4"/>
        <item m="1" x="12"/>
        <item m="1" x="24"/>
        <item x="8"/>
        <item m="1" x="23"/>
        <item m="1" x="16"/>
        <item m="1" x="22"/>
        <item m="1" x="21"/>
        <item m="1" x="15"/>
        <item x="5"/>
        <item m="1" x="20"/>
        <item m="1" x="13"/>
        <item x="7"/>
        <item sd="0" x="0"/>
        <item m="1" x="11"/>
        <item m="1" x="14"/>
        <item x="9"/>
        <item m="1" x="18"/>
        <item m="1" x="17"/>
        <item x="2"/>
        <item m="1" x="1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extLst>
        <ext xmlns:x14="http://schemas.microsoft.com/office/spreadsheetml/2009/9/main" uri="{2946ED86-A175-432a-8AC1-64E0C546D7DE}">
          <x14:pivotField fillDownLabels="1"/>
        </ext>
      </extLst>
    </pivotField>
    <pivotField compact="0" outline="0" showAll="0"/>
    <pivotField dataField="1"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8">
    <field x="3"/>
    <field x="4"/>
    <field x="1"/>
    <field x="2"/>
    <field x="8"/>
    <field x="9"/>
    <field x="10"/>
    <field x="0"/>
  </rowFields>
  <rowItems count="45">
    <i>
      <x/>
      <x v="3"/>
      <x v="379"/>
      <x v="255"/>
      <x v="52"/>
      <x v="178"/>
      <x v="17"/>
    </i>
    <i>
      <x v="1"/>
      <x v="3"/>
      <x v="395"/>
      <x v="16"/>
      <x v="3"/>
      <x v="155"/>
      <x v="17"/>
    </i>
    <i>
      <x v="3"/>
      <x v="3"/>
      <x v="316"/>
      <x v="22"/>
      <x v="6"/>
      <x v="11"/>
      <x v="17"/>
    </i>
    <i>
      <x v="5"/>
      <x v="3"/>
      <x v="349"/>
      <x v="23"/>
      <x v="6"/>
      <x v="11"/>
      <x v="17"/>
    </i>
    <i>
      <x v="7"/>
      <x v="3"/>
      <x v="395"/>
      <x v="44"/>
      <x v="9"/>
      <x v="107"/>
      <x v="17"/>
    </i>
    <i>
      <x v="8"/>
      <x/>
      <x v="383"/>
      <x v="98"/>
      <x v="17"/>
      <x v="107"/>
      <x v="17"/>
    </i>
    <i>
      <x v="9"/>
      <x v="3"/>
      <x v="334"/>
      <x v="142"/>
      <x v="27"/>
      <x v="22"/>
      <x v="17"/>
    </i>
    <i>
      <x v="12"/>
      <x/>
      <x v="351"/>
      <x v="428"/>
      <x v="80"/>
      <x v="147"/>
      <x v="3"/>
      <x/>
    </i>
    <i>
      <x v="13"/>
      <x v="3"/>
      <x v="377"/>
      <x v="427"/>
      <x v="80"/>
      <x v="105"/>
      <x v="17"/>
    </i>
    <i>
      <x v="18"/>
      <x/>
      <x v="346"/>
      <x v="477"/>
      <x v="89"/>
      <x v="107"/>
      <x v="17"/>
    </i>
    <i r="2">
      <x v="395"/>
      <x v="475"/>
      <x v="89"/>
      <x v="107"/>
      <x v="17"/>
    </i>
    <i>
      <x v="22"/>
      <x v="3"/>
      <x v="293"/>
      <x v="42"/>
      <x v="9"/>
      <x v="14"/>
      <x v="17"/>
    </i>
    <i r="2">
      <x v="372"/>
      <x v="425"/>
      <x v="79"/>
      <x v="1"/>
      <x v="17"/>
    </i>
    <i>
      <x v="23"/>
      <x v="3"/>
      <x v="388"/>
      <x v="124"/>
      <x v="24"/>
      <x v="39"/>
      <x v="4"/>
      <x/>
    </i>
    <i>
      <x v="24"/>
      <x/>
      <x v="400"/>
      <x v="446"/>
      <x v="80"/>
      <x v="109"/>
      <x v="17"/>
    </i>
    <i>
      <x v="25"/>
      <x/>
      <x v="352"/>
      <x v="97"/>
      <x v="17"/>
      <x v="134"/>
      <x v="17"/>
    </i>
    <i>
      <x v="26"/>
      <x/>
      <x v="383"/>
      <x v="445"/>
      <x v="80"/>
      <x v="109"/>
      <x v="17"/>
    </i>
    <i r="3">
      <x v="567"/>
      <x v="106"/>
      <x v="240"/>
      <x v="4"/>
      <x/>
    </i>
    <i>
      <x v="28"/>
      <x/>
      <x v="395"/>
      <x v="8"/>
      <x v="2"/>
      <x v="231"/>
      <x v="17"/>
    </i>
    <i r="1">
      <x v="3"/>
      <x v="330"/>
      <x v="190"/>
      <x v="36"/>
      <x v="138"/>
      <x v="17"/>
    </i>
    <i r="2">
      <x v="395"/>
      <x v="147"/>
      <x v="27"/>
      <x v="22"/>
      <x v="17"/>
    </i>
    <i>
      <x v="31"/>
      <x/>
      <x v="409"/>
      <x v="443"/>
      <x v="80"/>
      <x v="109"/>
      <x v="17"/>
    </i>
    <i>
      <x v="38"/>
      <x v="3"/>
      <x v="382"/>
      <x v="287"/>
      <x v="57"/>
      <x v="251"/>
      <x v="13"/>
      <x/>
    </i>
    <i>
      <x v="39"/>
      <x v="3"/>
      <x v="334"/>
      <x v="280"/>
      <x v="57"/>
      <x v="250"/>
      <x v="7"/>
      <x/>
    </i>
    <i r="2">
      <x v="395"/>
      <x v="289"/>
      <x v="57"/>
      <x v="253"/>
      <x v="3"/>
      <x/>
    </i>
    <i>
      <x v="43"/>
      <x v="3"/>
      <x v="377"/>
      <x v="111"/>
      <x v="19"/>
      <x v="166"/>
      <x v="17"/>
    </i>
    <i>
      <x v="44"/>
      <x v="3"/>
      <x v="377"/>
      <x v="66"/>
      <x v="16"/>
      <x v="160"/>
      <x v="17"/>
    </i>
    <i>
      <x v="45"/>
      <x v="3"/>
      <x v="395"/>
      <x v="459"/>
      <x v="85"/>
      <x v="107"/>
      <x v="17"/>
    </i>
    <i>
      <x v="46"/>
      <x/>
      <x v="400"/>
      <x v="568"/>
      <x v="106"/>
      <x v="240"/>
      <x v="4"/>
      <x/>
    </i>
    <i>
      <x v="53"/>
      <x v="3"/>
      <x v="394"/>
      <x v="286"/>
      <x v="57"/>
      <x v="230"/>
      <x v="17"/>
    </i>
    <i>
      <x v="54"/>
      <x v="3"/>
      <x v="382"/>
      <x v="284"/>
      <x v="57"/>
      <x v="230"/>
      <x v="17"/>
    </i>
    <i>
      <x v="64"/>
      <x v="3"/>
      <x v="339"/>
      <x v="293"/>
      <x v="57"/>
      <x v="249"/>
      <x v="17"/>
    </i>
    <i>
      <x v="66"/>
      <x v="3"/>
      <x v="387"/>
      <x v="112"/>
      <x v="19"/>
      <x v="245"/>
      <x v="4"/>
      <x/>
    </i>
    <i>
      <x v="67"/>
      <x v="3"/>
      <x v="370"/>
      <x v="61"/>
      <x v="12"/>
      <x v="241"/>
      <x v="17"/>
    </i>
    <i>
      <x v="70"/>
      <x/>
      <x v="243"/>
      <x v="238"/>
      <x v="45"/>
      <x v="235"/>
      <x v="17"/>
    </i>
    <i r="1">
      <x v="3"/>
      <x v="370"/>
      <x v="67"/>
      <x v="16"/>
      <x v="161"/>
      <x v="17"/>
    </i>
    <i>
      <x v="71"/>
      <x v="3"/>
      <x v="382"/>
      <x v="71"/>
      <x v="16"/>
      <x v="242"/>
      <x v="17"/>
    </i>
    <i>
      <x v="72"/>
      <x/>
      <x v="243"/>
      <x v="239"/>
      <x v="45"/>
      <x v="235"/>
      <x v="17"/>
    </i>
    <i r="1">
      <x v="3"/>
      <x v="377"/>
      <x v="43"/>
      <x v="9"/>
      <x v="14"/>
      <x v="17"/>
    </i>
    <i>
      <x v="76"/>
      <x v="3"/>
      <x v="351"/>
      <x v="409"/>
      <x v="75"/>
      <x v="43"/>
      <x v="17"/>
    </i>
    <i>
      <x v="78"/>
      <x v="3"/>
      <x v="346"/>
      <x v="473"/>
      <x v="89"/>
      <x v="198"/>
      <x v="17"/>
    </i>
    <i>
      <x v="93"/>
      <x/>
      <x v="265"/>
      <x v="181"/>
      <x v="33"/>
      <x v="107"/>
      <x v="17"/>
    </i>
    <i>
      <x v="103"/>
      <x v="3"/>
      <x v="388"/>
      <x v="62"/>
      <x v="12"/>
      <x v="241"/>
      <x v="17"/>
    </i>
    <i r="2">
      <x v="395"/>
      <x v="57"/>
      <x v="10"/>
      <x v="107"/>
      <x v="17"/>
    </i>
    <i t="grand">
      <x/>
    </i>
  </rowItems>
  <colFields count="1">
    <field x="-2"/>
  </colFields>
  <colItems count="3">
    <i>
      <x/>
    </i>
    <i i="1">
      <x v="1"/>
    </i>
    <i i="2">
      <x v="2"/>
    </i>
  </colItems>
  <dataFields count="3">
    <dataField name="Max of Date" fld="1" subtotal="max" baseField="0" baseItem="0" numFmtId="169"/>
    <dataField name="Spacing" fld="41" subtotal="max" baseField="0" baseItem="0"/>
    <dataField name="Rows" fld="40"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91C6209-6335-49C4-BDF3-DDAB23C60784}"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6:G142" firstHeaderRow="1" firstDataRow="2" firstDataCol="4"/>
  <pivotFields count="139">
    <pivotField axis="axisRow" compact="0" outline="0" showAll="0" defaultSubtotal="0">
      <items count="320">
        <item m="1" x="238"/>
        <item m="1" x="319"/>
        <item m="1" x="299"/>
        <item m="1" x="266"/>
        <item m="1" x="274"/>
        <item m="1" x="275"/>
        <item m="1" x="276"/>
        <item m="1" x="261"/>
        <item m="1" x="264"/>
        <item m="1" x="220"/>
        <item m="1" x="265"/>
        <item m="1" x="259"/>
        <item m="1" x="267"/>
        <item m="1" x="281"/>
        <item m="1" x="290"/>
        <item m="1" x="309"/>
        <item m="1" x="221"/>
        <item m="1" x="310"/>
        <item m="1" x="107"/>
        <item m="1" x="245"/>
        <item x="79"/>
        <item x="60"/>
        <item m="1" x="222"/>
        <item x="2"/>
        <item m="1" x="244"/>
        <item x="1"/>
        <item m="1" x="268"/>
        <item m="1" x="273"/>
        <item m="1" x="286"/>
        <item m="1" x="125"/>
        <item m="1" x="253"/>
        <item m="1" x="124"/>
        <item m="1" x="318"/>
        <item m="1" x="126"/>
        <item x="46"/>
        <item m="1" x="285"/>
        <item m="1" x="129"/>
        <item m="1" x="277"/>
        <item m="1" x="131"/>
        <item m="1" x="305"/>
        <item m="1" x="278"/>
        <item m="1" x="215"/>
        <item m="1" x="252"/>
        <item m="1" x="246"/>
        <item m="1" x="250"/>
        <item m="1" x="142"/>
        <item m="1" x="144"/>
        <item m="1" x="304"/>
        <item m="1" x="149"/>
        <item x="28"/>
        <item m="1" x="247"/>
        <item m="1" x="280"/>
        <item m="1" x="248"/>
        <item m="1" x="291"/>
        <item m="1" x="263"/>
        <item m="1" x="284"/>
        <item m="1" x="279"/>
        <item x="49"/>
        <item m="1" x="283"/>
        <item m="1" x="316"/>
        <item m="1" x="242"/>
        <item m="1" x="317"/>
        <item m="1" x="260"/>
        <item m="1" x="255"/>
        <item m="1" x="256"/>
        <item m="1" x="174"/>
        <item m="1" x="173"/>
        <item m="1" x="272"/>
        <item m="1" x="269"/>
        <item m="1" x="178"/>
        <item m="1" x="179"/>
        <item x="53"/>
        <item m="1" x="258"/>
        <item m="1" x="257"/>
        <item m="1" x="228"/>
        <item m="1" x="180"/>
        <item m="1" x="282"/>
        <item m="1" x="270"/>
        <item m="1" x="190"/>
        <item m="1" x="307"/>
        <item m="1" x="193"/>
        <item m="1" x="315"/>
        <item m="1" x="249"/>
        <item m="1" x="288"/>
        <item m="1" x="262"/>
        <item m="1" x="289"/>
        <item m="1" x="198"/>
        <item m="1" x="201"/>
        <item x="29"/>
        <item m="1" x="205"/>
        <item m="1" x="292"/>
        <item m="1" x="203"/>
        <item m="1" x="206"/>
        <item m="1" x="204"/>
        <item m="1" x="169"/>
        <item m="1" x="287"/>
        <item m="1" x="293"/>
        <item m="1" x="130"/>
        <item m="1" x="306"/>
        <item m="1" x="297"/>
        <item m="1" x="199"/>
        <item m="1" x="295"/>
        <item m="1" x="116"/>
        <item m="1" x="231"/>
        <item m="1" x="308"/>
        <item m="1" x="271"/>
        <item m="1" x="194"/>
        <item m="1" x="166"/>
        <item m="1" x="170"/>
        <item m="1" x="298"/>
        <item m="1" x="311"/>
        <item m="1" x="312"/>
        <item m="1" x="313"/>
        <item m="1" x="314"/>
        <item m="1" x="302"/>
        <item m="1" x="251"/>
        <item m="1" x="254"/>
        <item m="1" x="132"/>
        <item m="1" x="294"/>
        <item m="1" x="296"/>
        <item m="1" x="108"/>
        <item m="1" x="106"/>
        <item m="1" x="300"/>
        <item m="1" x="301"/>
        <item m="1" x="303"/>
        <item m="1" x="99"/>
        <item m="1" x="239"/>
        <item m="1" x="101"/>
        <item x="37"/>
        <item m="1" x="85"/>
        <item m="1" x="219"/>
        <item x="30"/>
        <item x="54"/>
        <item m="1" x="103"/>
        <item m="1" x="241"/>
        <item m="1" x="105"/>
        <item x="71"/>
        <item m="1" x="114"/>
        <item m="1" x="117"/>
        <item x="72"/>
        <item m="1" x="119"/>
        <item m="1" x="120"/>
        <item m="1" x="121"/>
        <item m="1" x="122"/>
        <item m="1" x="123"/>
        <item m="1" x="223"/>
        <item m="1" x="127"/>
        <item x="47"/>
        <item m="1" x="128"/>
        <item m="1" x="233"/>
        <item m="1" x="133"/>
        <item m="1" x="136"/>
        <item m="1" x="137"/>
        <item x="12"/>
        <item x="62"/>
        <item m="1" x="139"/>
        <item x="66"/>
        <item x="67"/>
        <item m="1" x="140"/>
        <item m="1" x="141"/>
        <item m="1" x="143"/>
        <item m="1" x="224"/>
        <item m="1" x="225"/>
        <item m="1" x="226"/>
        <item m="1" x="227"/>
        <item m="1" x="234"/>
        <item m="1" x="156"/>
        <item m="1" x="235"/>
        <item m="1" x="153"/>
        <item m="1" x="236"/>
        <item m="1" x="155"/>
        <item m="1" x="237"/>
        <item x="65"/>
        <item m="1" x="240"/>
        <item m="1" x="159"/>
        <item m="1" x="160"/>
        <item m="1" x="161"/>
        <item m="1" x="162"/>
        <item m="1" x="164"/>
        <item m="1" x="165"/>
        <item m="1" x="243"/>
        <item x="25"/>
        <item m="1" x="168"/>
        <item x="27"/>
        <item m="1" x="171"/>
        <item m="1" x="175"/>
        <item m="1" x="176"/>
        <item x="73"/>
        <item x="78"/>
        <item m="1" x="177"/>
        <item x="69"/>
        <item x="77"/>
        <item m="1" x="181"/>
        <item m="1" x="182"/>
        <item m="1" x="183"/>
        <item m="1" x="184"/>
        <item m="1" x="185"/>
        <item m="1" x="186"/>
        <item m="1" x="217"/>
        <item m="1" x="189"/>
        <item m="1" x="229"/>
        <item m="1" x="230"/>
        <item x="0"/>
        <item m="1" x="232"/>
        <item x="44"/>
        <item x="45"/>
        <item m="1" x="197"/>
        <item m="1" x="218"/>
        <item x="32"/>
        <item x="50"/>
        <item m="1" x="200"/>
        <item m="1" x="202"/>
        <item m="1" x="207"/>
        <item m="1" x="208"/>
        <item m="1" x="209"/>
        <item m="1" x="210"/>
        <item m="1" x="214"/>
        <item x="11"/>
        <item x="5"/>
        <item m="1" x="104"/>
        <item m="1" x="97"/>
        <item m="1" x="100"/>
        <item m="1" x="158"/>
        <item m="1" x="138"/>
        <item m="1" x="151"/>
        <item m="1" x="216"/>
        <item m="1" x="154"/>
        <item m="1" x="157"/>
        <item m="1" x="188"/>
        <item m="1" x="102"/>
        <item m="1" x="86"/>
        <item m="1" x="109"/>
        <item m="1" x="110"/>
        <item m="1" x="111"/>
        <item m="1" x="112"/>
        <item m="1" x="113"/>
        <item x="82"/>
        <item m="1" x="145"/>
        <item m="1" x="146"/>
        <item x="26"/>
        <item x="61"/>
        <item m="1" x="147"/>
        <item x="63"/>
        <item x="83"/>
        <item m="1" x="191"/>
        <item m="1" x="192"/>
        <item m="1" x="195"/>
        <item m="1" x="196"/>
        <item m="1" x="98"/>
        <item x="75"/>
        <item m="1" x="115"/>
        <item m="1" x="118"/>
        <item m="1" x="134"/>
        <item m="1" x="135"/>
        <item m="1" x="148"/>
        <item m="1" x="150"/>
        <item x="34"/>
        <item m="1" x="152"/>
        <item m="1" x="163"/>
        <item m="1" x="167"/>
        <item m="1" x="172"/>
        <item m="1" x="187"/>
        <item m="1" x="211"/>
        <item m="1" x="212"/>
        <item m="1" x="213"/>
        <item x="52"/>
        <item m="1" x="87"/>
        <item x="58"/>
        <item x="59"/>
        <item x="56"/>
        <item x="57"/>
        <item x="7"/>
        <item x="21"/>
        <item m="1" x="88"/>
        <item x="64"/>
        <item x="18"/>
        <item x="35"/>
        <item x="36"/>
        <item x="17"/>
        <item x="43"/>
        <item x="68"/>
        <item m="1" x="89"/>
        <item x="84"/>
        <item m="1" x="90"/>
        <item x="10"/>
        <item m="1" x="91"/>
        <item m="1" x="92"/>
        <item x="19"/>
        <item x="6"/>
        <item x="20"/>
        <item x="55"/>
        <item x="70"/>
        <item x="80"/>
        <item x="8"/>
        <item x="15"/>
        <item x="3"/>
        <item x="16"/>
        <item x="4"/>
        <item m="1" x="93"/>
        <item x="33"/>
        <item x="22"/>
        <item x="13"/>
        <item x="14"/>
        <item x="23"/>
        <item x="74"/>
        <item x="81"/>
        <item m="1" x="94"/>
        <item m="1" x="95"/>
        <item m="1" x="96"/>
        <item x="24"/>
        <item x="40"/>
        <item x="41"/>
        <item x="42"/>
        <item x="9"/>
        <item x="31"/>
        <item x="38"/>
        <item x="39"/>
        <item x="48"/>
        <item x="51"/>
        <item x="76"/>
      </items>
    </pivotField>
    <pivotField axis="axisRow" compact="0" outline="0" showAll="0" defaultSubtotal="0">
      <items count="547">
        <item m="1" x="510"/>
        <item m="1" x="425"/>
        <item m="1" x="531"/>
        <item m="1" x="521"/>
        <item m="1" x="546"/>
        <item m="1" x="499"/>
        <item m="1" x="527"/>
        <item m="1" x="535"/>
        <item m="1" x="405"/>
        <item m="1" x="481"/>
        <item m="1" x="523"/>
        <item m="1" x="419"/>
        <item m="1" x="420"/>
        <item m="1" x="418"/>
        <item m="1" x="536"/>
        <item m="1" x="403"/>
        <item m="1" x="399"/>
        <item m="1" x="398"/>
        <item m="1" x="404"/>
        <item m="1" x="476"/>
        <item m="1" x="157"/>
        <item m="1" x="386"/>
        <item m="1" x="428"/>
        <item m="1" x="406"/>
        <item m="1" x="455"/>
        <item m="1" x="167"/>
        <item m="1" x="530"/>
        <item m="1" x="538"/>
        <item m="1" x="168"/>
        <item m="1" x="486"/>
        <item m="1" x="479"/>
        <item m="1" x="352"/>
        <item m="1" x="429"/>
        <item m="1" x="430"/>
        <item m="1" x="183"/>
        <item m="1" x="514"/>
        <item m="1" x="422"/>
        <item m="1" x="351"/>
        <item m="1" x="519"/>
        <item m="1" x="542"/>
        <item m="1" x="513"/>
        <item m="1" x="537"/>
        <item m="1" x="524"/>
        <item m="1" x="544"/>
        <item m="1" x="407"/>
        <item m="1" x="487"/>
        <item m="1" x="478"/>
        <item m="1" x="526"/>
        <item m="1" x="417"/>
        <item m="1" x="383"/>
        <item m="1" x="194"/>
        <item m="1" x="528"/>
        <item m="1" x="384"/>
        <item m="1" x="377"/>
        <item m="1" x="447"/>
        <item m="1" x="446"/>
        <item m="1" x="408"/>
        <item m="1" x="443"/>
        <item m="1" x="442"/>
        <item m="1" x="444"/>
        <item m="1" x="441"/>
        <item m="1" x="409"/>
        <item m="1" x="421"/>
        <item m="1" x="480"/>
        <item m="1" x="468"/>
        <item m="1" x="482"/>
        <item m="1" x="520"/>
        <item m="1" x="543"/>
        <item m="1" x="432"/>
        <item m="1" x="410"/>
        <item m="1" x="423"/>
        <item m="1" x="433"/>
        <item m="1" x="376"/>
        <item m="1" x="484"/>
        <item m="1" x="517"/>
        <item m="1" x="539"/>
        <item m="1" x="392"/>
        <item m="1" x="353"/>
        <item m="1" x="364"/>
        <item m="1" x="374"/>
        <item m="1" x="456"/>
        <item m="1" x="228"/>
        <item m="1" x="372"/>
        <item m="1" x="355"/>
        <item m="1" x="440"/>
        <item m="1" x="525"/>
        <item m="1" x="518"/>
        <item m="1" x="540"/>
        <item m="1" x="378"/>
        <item m="1" x="541"/>
        <item m="1" x="236"/>
        <item m="1" x="424"/>
        <item m="1" x="387"/>
        <item m="1" x="472"/>
        <item m="1" x="492"/>
        <item m="1" x="545"/>
        <item m="1" x="522"/>
        <item m="1" x="427"/>
        <item m="1" x="396"/>
        <item m="1" x="471"/>
        <item m="1" x="489"/>
        <item m="1" x="389"/>
        <item m="1" x="461"/>
        <item m="1" x="516"/>
        <item m="1" x="490"/>
        <item m="1" x="388"/>
        <item m="1" x="473"/>
        <item m="1" x="493"/>
        <item m="1" x="534"/>
        <item m="1" x="393"/>
        <item m="1" x="470"/>
        <item m="1" x="496"/>
        <item m="1" x="397"/>
        <item m="1" x="469"/>
        <item m="1" x="495"/>
        <item m="1" x="354"/>
        <item m="1" x="400"/>
        <item m="1" x="365"/>
        <item m="1" x="366"/>
        <item m="1" x="358"/>
        <item m="1" x="359"/>
        <item m="1" x="360"/>
        <item m="1" x="361"/>
        <item m="1" x="362"/>
        <item m="1" x="356"/>
        <item m="1" x="467"/>
        <item m="1" x="363"/>
        <item m="1" x="357"/>
        <item m="1" x="498"/>
        <item m="1" x="515"/>
        <item m="1" x="402"/>
        <item m="1" x="439"/>
        <item m="1" x="426"/>
        <item m="1" x="445"/>
        <item m="1" x="448"/>
        <item m="1" x="532"/>
        <item m="1" x="437"/>
        <item m="1" x="512"/>
        <item m="1" x="415"/>
        <item m="1" x="391"/>
        <item m="1" x="390"/>
        <item m="1" x="533"/>
        <item m="1" x="272"/>
        <item m="1" x="380"/>
        <item m="1" x="381"/>
        <item m="1" x="454"/>
        <item m="1" x="453"/>
        <item m="1" x="416"/>
        <item m="1" x="411"/>
        <item m="1" x="412"/>
        <item m="1" x="284"/>
        <item m="1" x="347"/>
        <item m="1" x="382"/>
        <item m="1" x="285"/>
        <item m="1" x="286"/>
        <item m="1" x="385"/>
        <item m="1" x="394"/>
        <item m="1" x="434"/>
        <item m="1" x="413"/>
        <item m="1" x="368"/>
        <item m="1" x="367"/>
        <item m="1" x="375"/>
        <item m="1" x="435"/>
        <item m="1" x="379"/>
        <item m="1" x="369"/>
        <item m="1" x="370"/>
        <item m="1" x="477"/>
        <item m="1" x="450"/>
        <item m="1" x="508"/>
        <item m="1" x="401"/>
        <item m="1" x="452"/>
        <item m="1" x="449"/>
        <item m="1" x="483"/>
        <item m="1" x="431"/>
        <item m="1" x="414"/>
        <item m="1" x="371"/>
        <item m="1" x="373"/>
        <item m="1" x="459"/>
        <item m="1" x="460"/>
        <item m="1" x="457"/>
        <item m="1" x="458"/>
        <item m="1" x="464"/>
        <item m="1" x="465"/>
        <item m="1" x="463"/>
        <item m="1" x="466"/>
        <item m="1" x="462"/>
        <item m="1" x="269"/>
        <item m="1" x="436"/>
        <item m="1" x="438"/>
        <item m="1" x="451"/>
        <item m="1" x="529"/>
        <item m="1" x="475"/>
        <item m="1" x="474"/>
        <item m="1" x="229"/>
        <item m="1" x="509"/>
        <item m="1" x="318"/>
        <item m="1" x="158"/>
        <item m="1" x="488"/>
        <item m="1" x="184"/>
        <item m="1" x="485"/>
        <item m="1" x="169"/>
        <item m="1" x="170"/>
        <item m="1" x="502"/>
        <item m="1" x="497"/>
        <item m="1" x="503"/>
        <item m="1" x="511"/>
        <item m="1" x="504"/>
        <item m="1" x="500"/>
        <item m="1" x="501"/>
        <item m="1" x="505"/>
        <item m="1" x="506"/>
        <item m="1" x="322"/>
        <item m="1" x="323"/>
        <item m="1" x="324"/>
        <item m="1" x="213"/>
        <item m="1" x="395"/>
        <item m="1" x="491"/>
        <item m="1" x="494"/>
        <item m="1" x="507"/>
        <item m="1" x="146"/>
        <item m="1" x="149"/>
        <item m="1" x="150"/>
        <item m="1" x="151"/>
        <item m="1" x="152"/>
        <item m="1" x="153"/>
        <item m="1" x="154"/>
        <item m="1" x="155"/>
        <item m="1" x="156"/>
        <item m="1" x="159"/>
        <item m="1" x="160"/>
        <item m="1" x="161"/>
        <item m="1" x="162"/>
        <item m="1" x="164"/>
        <item m="1" x="165"/>
        <item m="1" x="166"/>
        <item m="1" x="171"/>
        <item m="1" x="172"/>
        <item m="1" x="173"/>
        <item m="1" x="343"/>
        <item m="1" x="178"/>
        <item m="1" x="179"/>
        <item m="1" x="180"/>
        <item m="1" x="181"/>
        <item m="1" x="185"/>
        <item m="1" x="346"/>
        <item m="1" x="186"/>
        <item m="1" x="187"/>
        <item m="1" x="189"/>
        <item m="1" x="190"/>
        <item m="1" x="191"/>
        <item m="1" x="192"/>
        <item m="1" x="193"/>
        <item m="1" x="195"/>
        <item m="1" x="196"/>
        <item m="1" x="197"/>
        <item m="1" x="198"/>
        <item m="1" x="199"/>
        <item m="1" x="200"/>
        <item m="1" x="348"/>
        <item m="1" x="201"/>
        <item m="1" x="349"/>
        <item m="1" x="202"/>
        <item m="1" x="203"/>
        <item m="1" x="204"/>
        <item m="1" x="344"/>
        <item m="1" x="205"/>
        <item m="1" x="206"/>
        <item m="1" x="207"/>
        <item m="1" x="208"/>
        <item m="1" x="209"/>
        <item m="1" x="210"/>
        <item m="1" x="212"/>
        <item m="1" x="215"/>
        <item m="1" x="216"/>
        <item m="1" x="217"/>
        <item m="1" x="218"/>
        <item m="1" x="219"/>
        <item m="1" x="220"/>
        <item m="1" x="221"/>
        <item m="1" x="222"/>
        <item m="1" x="223"/>
        <item m="1" x="224"/>
        <item x="98"/>
        <item x="99"/>
        <item m="1" x="225"/>
        <item m="1" x="226"/>
        <item m="1" x="227"/>
        <item m="1" x="230"/>
        <item m="1" x="231"/>
        <item m="1" x="232"/>
        <item m="1" x="233"/>
        <item m="1" x="237"/>
        <item m="1" x="239"/>
        <item m="1" x="240"/>
        <item m="1" x="241"/>
        <item m="1" x="242"/>
        <item m="1" x="243"/>
        <item m="1" x="244"/>
        <item m="1" x="245"/>
        <item m="1" x="246"/>
        <item m="1" x="247"/>
        <item m="1" x="248"/>
        <item m="1" x="250"/>
        <item m="1" x="252"/>
        <item m="1" x="253"/>
        <item m="1" x="254"/>
        <item m="1" x="255"/>
        <item x="97"/>
        <item m="1" x="256"/>
        <item m="1" x="257"/>
        <item m="1" x="258"/>
        <item m="1" x="259"/>
        <item m="1" x="260"/>
        <item m="1" x="262"/>
        <item m="1" x="263"/>
        <item m="1" x="264"/>
        <item m="1" x="265"/>
        <item m="1" x="266"/>
        <item m="1" x="350"/>
        <item m="1" x="267"/>
        <item m="1" x="270"/>
        <item m="1" x="273"/>
        <item m="1" x="274"/>
        <item m="1" x="276"/>
        <item m="1" x="277"/>
        <item m="1" x="278"/>
        <item m="1" x="279"/>
        <item m="1" x="280"/>
        <item m="1" x="281"/>
        <item m="1" x="282"/>
        <item m="1" x="283"/>
        <item m="1" x="287"/>
        <item m="1" x="288"/>
        <item m="1" x="289"/>
        <item m="1" x="290"/>
        <item m="1" x="345"/>
        <item m="1" x="292"/>
        <item m="1" x="293"/>
        <item m="1" x="294"/>
        <item m="1" x="295"/>
        <item m="1" x="296"/>
        <item m="1" x="297"/>
        <item m="1" x="298"/>
        <item m="1" x="299"/>
        <item m="1" x="300"/>
        <item m="1" x="302"/>
        <item m="1" x="303"/>
        <item m="1" x="304"/>
        <item m="1" x="305"/>
        <item m="1" x="306"/>
        <item m="1" x="307"/>
        <item m="1" x="308"/>
        <item x="0"/>
        <item m="1" x="309"/>
        <item m="1" x="310"/>
        <item m="1" x="311"/>
        <item m="1" x="312"/>
        <item m="1" x="313"/>
        <item m="1" x="314"/>
        <item m="1" x="315"/>
        <item m="1" x="316"/>
        <item m="1" x="317"/>
        <item m="1" x="319"/>
        <item m="1" x="320"/>
        <item m="1" x="321"/>
        <item m="1" x="325"/>
        <item m="1" x="326"/>
        <item m="1" x="327"/>
        <item m="1" x="328"/>
        <item m="1" x="329"/>
        <item m="1" x="330"/>
        <item m="1" x="331"/>
        <item m="1" x="332"/>
        <item m="1" x="333"/>
        <item m="1" x="335"/>
        <item m="1" x="336"/>
        <item m="1" x="337"/>
        <item m="1" x="342"/>
        <item m="1" x="214"/>
        <item m="1" x="301"/>
        <item m="1" x="174"/>
        <item m="1" x="175"/>
        <item m="1" x="176"/>
        <item m="1" x="177"/>
        <item m="1" x="234"/>
        <item m="1" x="271"/>
        <item m="1" x="291"/>
        <item m="1" x="334"/>
        <item m="1" x="147"/>
        <item m="1" x="148"/>
        <item m="1" x="163"/>
        <item m="1" x="182"/>
        <item m="1" x="188"/>
        <item m="1" x="211"/>
        <item m="1" x="235"/>
        <item m="1" x="238"/>
        <item m="1" x="249"/>
        <item m="1" x="251"/>
        <item m="1" x="261"/>
        <item m="1" x="268"/>
        <item m="1" x="275"/>
        <item m="1" x="338"/>
        <item m="1" x="339"/>
        <item m="1" x="340"/>
        <item m="1" x="341"/>
        <item x="113"/>
        <item x="43"/>
        <item x="69"/>
        <item x="58"/>
        <item x="67"/>
        <item x="34"/>
        <item x="76"/>
        <item x="37"/>
        <item x="81"/>
        <item x="82"/>
        <item x="79"/>
        <item x="80"/>
        <item x="7"/>
        <item x="24"/>
        <item m="1" x="134"/>
        <item x="103"/>
        <item x="114"/>
        <item x="118"/>
        <item x="127"/>
        <item x="116"/>
        <item x="117"/>
        <item x="124"/>
        <item x="83"/>
        <item x="91"/>
        <item x="2"/>
        <item x="1"/>
        <item x="104"/>
        <item x="20"/>
        <item x="23"/>
        <item x="36"/>
        <item x="53"/>
        <item x="64"/>
        <item x="71"/>
        <item m="1" x="135"/>
        <item m="1" x="136"/>
        <item x="87"/>
        <item x="93"/>
        <item x="95"/>
        <item x="123"/>
        <item x="41"/>
        <item x="42"/>
        <item x="56"/>
        <item x="57"/>
        <item x="18"/>
        <item x="19"/>
        <item m="1" x="137"/>
        <item x="52"/>
        <item x="63"/>
        <item x="70"/>
        <item m="1" x="138"/>
        <item m="1" x="139"/>
        <item x="86"/>
        <item x="92"/>
        <item x="100"/>
        <item x="85"/>
        <item x="12"/>
        <item x="131"/>
        <item x="44"/>
        <item x="30"/>
        <item x="84"/>
        <item x="10"/>
        <item x="45"/>
        <item x="32"/>
        <item m="1" x="140"/>
        <item x="21"/>
        <item x="6"/>
        <item x="40"/>
        <item x="62"/>
        <item x="72"/>
        <item x="77"/>
        <item x="89"/>
        <item x="94"/>
        <item x="22"/>
        <item x="46"/>
        <item x="65"/>
        <item x="73"/>
        <item x="78"/>
        <item x="90"/>
        <item x="96"/>
        <item x="102"/>
        <item x="60"/>
        <item x="11"/>
        <item x="5"/>
        <item x="29"/>
        <item x="31"/>
        <item x="120"/>
        <item x="8"/>
        <item x="15"/>
        <item x="3"/>
        <item x="16"/>
        <item x="17"/>
        <item x="4"/>
        <item x="105"/>
        <item x="115"/>
        <item x="75"/>
        <item x="101"/>
        <item x="88"/>
        <item x="125"/>
        <item x="106"/>
        <item m="1" x="141"/>
        <item x="119"/>
        <item x="126"/>
        <item x="129"/>
        <item x="132"/>
        <item m="1" x="142"/>
        <item x="35"/>
        <item x="59"/>
        <item m="1" x="143"/>
        <item x="74"/>
        <item x="9"/>
        <item x="54"/>
        <item m="1" x="144"/>
        <item x="38"/>
        <item x="39"/>
        <item x="61"/>
        <item x="33"/>
        <item x="25"/>
        <item x="13"/>
        <item x="14"/>
        <item x="26"/>
        <item x="107"/>
        <item x="121"/>
        <item x="108"/>
        <item m="1" x="145"/>
        <item x="128"/>
        <item x="130"/>
        <item x="133"/>
        <item x="27"/>
        <item x="47"/>
        <item x="49"/>
        <item x="51"/>
        <item x="28"/>
        <item x="48"/>
        <item x="50"/>
        <item x="55"/>
        <item x="66"/>
        <item x="68"/>
        <item x="109"/>
        <item x="110"/>
        <item x="111"/>
        <item x="112"/>
        <item x="122"/>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09">
        <item m="1" x="45"/>
        <item x="41"/>
        <item m="1" x="102"/>
        <item x="22"/>
        <item x="28"/>
        <item m="1" x="48"/>
        <item x="18"/>
        <item m="1" x="49"/>
        <item m="1" x="108"/>
        <item x="6"/>
        <item x="37"/>
        <item x="31"/>
        <item x="2"/>
        <item m="1" x="100"/>
        <item x="1"/>
        <item m="1" x="103"/>
        <item x="13"/>
        <item x="43"/>
        <item m="1" x="55"/>
        <item m="1" x="56"/>
        <item x="21"/>
        <item m="1" x="58"/>
        <item m="1" x="106"/>
        <item x="12"/>
        <item m="1" x="59"/>
        <item m="1" x="60"/>
        <item m="1" x="63"/>
        <item x="10"/>
        <item x="34"/>
        <item m="1" x="66"/>
        <item m="1" x="68"/>
        <item m="1" x="69"/>
        <item x="24"/>
        <item x="16"/>
        <item x="5"/>
        <item x="33"/>
        <item m="1" x="71"/>
        <item m="1" x="72"/>
        <item x="26"/>
        <item m="1" x="107"/>
        <item m="1" x="104"/>
        <item x="4"/>
        <item m="1" x="77"/>
        <item x="15"/>
        <item m="1" x="78"/>
        <item x="3"/>
        <item m="1" x="105"/>
        <item x="39"/>
        <item m="1" x="79"/>
        <item x="29"/>
        <item x="32"/>
        <item m="1" x="80"/>
        <item m="1" x="83"/>
        <item m="1" x="86"/>
        <item x="8"/>
        <item m="1" x="88"/>
        <item m="1" x="89"/>
        <item m="1" x="90"/>
        <item x="25"/>
        <item m="1" x="101"/>
        <item x="20"/>
        <item m="1" x="92"/>
        <item m="1" x="94"/>
        <item x="17"/>
        <item x="11"/>
        <item x="14"/>
        <item x="27"/>
        <item x="19"/>
        <item m="1" x="47"/>
        <item m="1" x="98"/>
        <item m="1" x="51"/>
        <item m="1" x="53"/>
        <item x="38"/>
        <item m="1" x="57"/>
        <item m="1" x="62"/>
        <item m="1" x="64"/>
        <item m="1" x="65"/>
        <item m="1" x="67"/>
        <item x="9"/>
        <item x="36"/>
        <item m="1" x="74"/>
        <item m="1" x="75"/>
        <item m="1" x="99"/>
        <item m="1" x="81"/>
        <item m="1" x="82"/>
        <item m="1" x="84"/>
        <item m="1" x="85"/>
        <item m="1" x="87"/>
        <item x="0"/>
        <item m="1" x="91"/>
        <item m="1" x="93"/>
        <item m="1" x="95"/>
        <item x="40"/>
        <item m="1" x="96"/>
        <item m="1" x="97"/>
        <item m="1" x="50"/>
        <item m="1" x="46"/>
        <item m="1" x="52"/>
        <item m="1" x="54"/>
        <item m="1" x="61"/>
        <item m="1" x="70"/>
        <item m="1" x="73"/>
        <item m="1" x="76"/>
        <item m="1" x="44"/>
        <item x="30"/>
        <item x="35"/>
        <item x="23"/>
        <item x="42"/>
        <item x="7"/>
      </items>
    </pivotField>
    <pivotField axis="axisRow" compact="0" outline="0" showAll="0">
      <items count="264">
        <item m="1" x="142"/>
        <item x="48"/>
        <item m="1" x="95"/>
        <item m="1" x="77"/>
        <item m="1" x="220"/>
        <item m="1" x="119"/>
        <item m="1" x="79"/>
        <item m="1" x="232"/>
        <item m="1" x="189"/>
        <item m="1" x="202"/>
        <item m="1" x="181"/>
        <item x="31"/>
        <item m="1" x="249"/>
        <item m="1" x="233"/>
        <item x="25"/>
        <item m="1" x="245"/>
        <item m="1" x="218"/>
        <item x="17"/>
        <item m="1" x="194"/>
        <item m="1" x="231"/>
        <item m="1" x="234"/>
        <item m="1" x="259"/>
        <item x="16"/>
        <item m="1" x="99"/>
        <item m="1" x="100"/>
        <item m="1" x="197"/>
        <item m="1" x="141"/>
        <item m="1" x="211"/>
        <item m="1" x="213"/>
        <item m="1" x="215"/>
        <item m="1" x="176"/>
        <item m="1" x="216"/>
        <item m="1" x="105"/>
        <item m="1" x="139"/>
        <item m="1" x="252"/>
        <item m="1" x="229"/>
        <item m="1" x="108"/>
        <item m="1" x="87"/>
        <item m="1" x="186"/>
        <item m="1" x="98"/>
        <item x="1"/>
        <item m="1" x="205"/>
        <item m="1" x="261"/>
        <item m="1" x="212"/>
        <item x="14"/>
        <item m="1" x="143"/>
        <item m="1" x="260"/>
        <item x="44"/>
        <item m="1" x="122"/>
        <item m="1" x="223"/>
        <item m="1" x="226"/>
        <item m="1" x="193"/>
        <item m="1" x="192"/>
        <item m="1" x="180"/>
        <item m="1" x="199"/>
        <item m="1" x="94"/>
        <item m="1" x="217"/>
        <item m="1" x="235"/>
        <item m="1" x="178"/>
        <item m="1" x="88"/>
        <item m="1" x="227"/>
        <item m="1" x="171"/>
        <item m="1" x="179"/>
        <item m="1" x="195"/>
        <item m="1" x="172"/>
        <item m="1" x="221"/>
        <item m="1" x="209"/>
        <item m="1" x="174"/>
        <item m="1" x="137"/>
        <item m="1" x="173"/>
        <item m="1" x="210"/>
        <item m="1" x="255"/>
        <item m="1" x="185"/>
        <item m="1" x="206"/>
        <item m="1" x="247"/>
        <item m="1" x="237"/>
        <item x="62"/>
        <item m="1" x="196"/>
        <item m="1" x="222"/>
        <item m="1" x="208"/>
        <item m="1" x="219"/>
        <item x="34"/>
        <item m="1" x="147"/>
        <item m="1" x="200"/>
        <item m="1" x="191"/>
        <item m="1" x="207"/>
        <item m="1" x="170"/>
        <item x="65"/>
        <item m="1" x="153"/>
        <item m="1" x="248"/>
        <item m="1" x="230"/>
        <item m="1" x="198"/>
        <item x="28"/>
        <item x="3"/>
        <item m="1" x="214"/>
        <item m="1" x="225"/>
        <item m="1" x="190"/>
        <item m="1" x="188"/>
        <item m="1" x="228"/>
        <item m="1" x="224"/>
        <item m="1" x="204"/>
        <item m="1" x="184"/>
        <item m="1" x="257"/>
        <item m="1" x="187"/>
        <item m="1" x="203"/>
        <item m="1" x="246"/>
        <item m="1" x="182"/>
        <item m="1" x="201"/>
        <item m="1" x="183"/>
        <item x="55"/>
        <item m="1" x="177"/>
        <item x="69"/>
        <item m="1" x="175"/>
        <item m="1" x="250"/>
        <item m="1" x="256"/>
        <item m="1" x="251"/>
        <item m="1" x="262"/>
        <item m="1" x="253"/>
        <item m="1" x="244"/>
        <item m="1" x="243"/>
        <item m="1" x="258"/>
        <item m="1" x="254"/>
        <item m="1" x="238"/>
        <item m="1" x="236"/>
        <item m="1" x="239"/>
        <item m="1" x="240"/>
        <item m="1" x="241"/>
        <item m="1" x="242"/>
        <item m="1" x="83"/>
        <item m="1" x="110"/>
        <item m="1" x="111"/>
        <item m="1" x="112"/>
        <item m="1" x="113"/>
        <item m="1" x="114"/>
        <item m="1" x="169"/>
        <item x="26"/>
        <item x="41"/>
        <item x="46"/>
        <item x="64"/>
        <item x="71"/>
        <item m="1" x="102"/>
        <item x="15"/>
        <item x="10"/>
        <item m="1" x="115"/>
        <item m="1" x="117"/>
        <item m="1" x="124"/>
        <item m="1" x="127"/>
        <item m="1" x="125"/>
        <item m="1" x="126"/>
        <item m="1" x="128"/>
        <item x="42"/>
        <item m="1" x="133"/>
        <item m="1" x="134"/>
        <item m="1" x="135"/>
        <item x="8"/>
        <item m="1" x="152"/>
        <item m="1" x="80"/>
        <item m="1" x="81"/>
        <item m="1" x="82"/>
        <item m="1" x="84"/>
        <item m="1" x="85"/>
        <item m="1" x="86"/>
        <item x="53"/>
        <item x="50"/>
        <item m="1" x="89"/>
        <item m="1" x="90"/>
        <item m="1" x="91"/>
        <item m="1" x="92"/>
        <item x="54"/>
        <item x="2"/>
        <item m="1" x="96"/>
        <item x="73"/>
        <item m="1" x="101"/>
        <item m="1" x="103"/>
        <item m="1" x="168"/>
        <item m="1" x="107"/>
        <item m="1" x="109"/>
        <item m="1" x="116"/>
        <item m="1" x="118"/>
        <item x="21"/>
        <item m="1" x="120"/>
        <item x="9"/>
        <item m="1" x="121"/>
        <item x="23"/>
        <item x="63"/>
        <item m="1" x="129"/>
        <item m="1" x="130"/>
        <item m="1" x="132"/>
        <item m="1" x="138"/>
        <item x="22"/>
        <item x="74"/>
        <item m="1" x="144"/>
        <item m="1" x="146"/>
        <item m="1" x="148"/>
        <item m="1" x="150"/>
        <item m="1" x="151"/>
        <item m="1" x="154"/>
        <item x="0"/>
        <item m="1" x="155"/>
        <item m="1" x="156"/>
        <item x="38"/>
        <item x="39"/>
        <item m="1" x="157"/>
        <item x="27"/>
        <item m="1" x="158"/>
        <item x="43"/>
        <item m="1" x="159"/>
        <item x="12"/>
        <item x="19"/>
        <item x="11"/>
        <item m="1" x="161"/>
        <item m="1" x="162"/>
        <item m="1" x="163"/>
        <item m="1" x="164"/>
        <item m="1" x="165"/>
        <item m="1" x="167"/>
        <item m="1" x="78"/>
        <item m="1" x="93"/>
        <item m="1" x="97"/>
        <item m="1" x="104"/>
        <item m="1" x="106"/>
        <item m="1" x="123"/>
        <item x="5"/>
        <item m="1" x="131"/>
        <item m="1" x="136"/>
        <item x="66"/>
        <item x="70"/>
        <item m="1" x="140"/>
        <item m="1" x="145"/>
        <item m="1" x="149"/>
        <item m="1" x="160"/>
        <item m="1" x="166"/>
        <item x="68"/>
        <item m="1" x="75"/>
        <item x="52"/>
        <item x="51"/>
        <item x="6"/>
        <item m="1" x="76"/>
        <item x="57"/>
        <item x="29"/>
        <item x="30"/>
        <item x="40"/>
        <item x="61"/>
        <item x="60"/>
        <item x="32"/>
        <item x="33"/>
        <item x="45"/>
        <item x="47"/>
        <item x="49"/>
        <item x="56"/>
        <item x="58"/>
        <item x="59"/>
        <item x="4"/>
        <item x="72"/>
        <item x="7"/>
        <item x="13"/>
        <item x="24"/>
        <item x="67"/>
        <item x="18"/>
        <item x="20"/>
        <item x="35"/>
        <item x="36"/>
        <item x="37"/>
        <item t="default"/>
      </items>
      <extLst>
        <ext xmlns:x14="http://schemas.microsoft.com/office/spreadsheetml/2009/9/main" uri="{2946ED86-A175-432a-8AC1-64E0C546D7DE}">
          <x14:pivotField fillDownLabels="1"/>
        </ext>
      </extLst>
    </pivotField>
    <pivotField compact="0" outline="0" showAll="0"/>
    <pivotField compact="0" outline="0" showAll="0"/>
    <pivotField compact="0" numFmtId="165"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numFmtId="164" outline="0" showAll="0"/>
    <pivotField compact="0" outline="0" showAll="0"/>
    <pivotField compact="0" numFmtId="164" outline="0" showAll="0"/>
    <pivotField compact="0" outline="0" showAll="0"/>
    <pivotField compact="0" numFmtId="164" outline="0" showAll="0"/>
    <pivotField compact="0" numFmtId="164"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numFmtId="166"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s>
  <rowFields count="4">
    <field x="1"/>
    <field x="0"/>
    <field x="7"/>
    <field x="8"/>
  </rowFields>
  <rowItems count="135">
    <i>
      <x v="282"/>
      <x v="156"/>
      <x v="28"/>
      <x v="243"/>
    </i>
    <i>
      <x v="283"/>
      <x v="157"/>
      <x v="28"/>
      <x v="243"/>
    </i>
    <i>
      <x v="307"/>
      <x v="172"/>
      <x v="35"/>
      <x v="251"/>
    </i>
    <i>
      <x v="352"/>
      <x v="202"/>
      <x v="88"/>
      <x v="197"/>
    </i>
    <i>
      <x v="405"/>
      <x v="249"/>
      <x v="1"/>
      <x v="232"/>
    </i>
    <i>
      <x v="406"/>
      <x v="128"/>
      <x v="3"/>
      <x v="11"/>
    </i>
    <i>
      <x v="407"/>
      <x v="265"/>
      <x v="3"/>
      <x v="11"/>
    </i>
    <i>
      <x v="408"/>
      <x v="317"/>
      <x v="3"/>
      <x v="136"/>
    </i>
    <i>
      <x v="409"/>
      <x v="318"/>
      <x v="4"/>
      <x v="137"/>
    </i>
    <i>
      <x v="410"/>
      <x v="131"/>
      <x v="6"/>
      <x v="14"/>
    </i>
    <i>
      <x v="411"/>
      <x v="132"/>
      <x v="6"/>
      <x v="14"/>
    </i>
    <i>
      <x v="412"/>
      <x v="314"/>
      <x v="67"/>
      <x v="135"/>
    </i>
    <i>
      <x v="413"/>
      <x v="267"/>
      <x v="104"/>
      <x v="234"/>
    </i>
    <i>
      <x v="414"/>
      <x v="268"/>
      <x v="9"/>
      <x v="162"/>
    </i>
    <i>
      <x v="415"/>
      <x v="269"/>
      <x v="9"/>
      <x v="163"/>
    </i>
    <i>
      <x v="416"/>
      <x v="270"/>
      <x v="9"/>
      <x v="235"/>
    </i>
    <i>
      <x v="417"/>
      <x v="271"/>
      <x v="9"/>
      <x v="236"/>
    </i>
    <i>
      <x v="418"/>
      <x v="272"/>
      <x v="9"/>
      <x v="258"/>
    </i>
    <i>
      <x v="420"/>
      <x v="136"/>
      <x v="10"/>
      <x v="138"/>
    </i>
    <i>
      <x v="421"/>
      <x v="136"/>
      <x v="10"/>
      <x v="138"/>
    </i>
    <i>
      <x v="422"/>
      <x v="20"/>
      <x v="10"/>
      <x v="139"/>
    </i>
    <i>
      <x v="423"/>
      <x v="20"/>
      <x v="10"/>
      <x v="139"/>
    </i>
    <i>
      <x v="424"/>
      <x v="136"/>
      <x v="10"/>
      <x v="138"/>
    </i>
    <i>
      <x v="425"/>
      <x v="136"/>
      <x v="10"/>
      <x v="138"/>
    </i>
    <i>
      <x v="426"/>
      <x v="136"/>
      <x v="10"/>
      <x v="138"/>
    </i>
    <i>
      <x v="427"/>
      <x v="21"/>
      <x v="11"/>
      <x v="168"/>
    </i>
    <i>
      <x v="428"/>
      <x v="274"/>
      <x v="11"/>
      <x v="238"/>
    </i>
    <i>
      <x v="429"/>
      <x v="23"/>
      <x v="12"/>
      <x v="169"/>
    </i>
    <i>
      <x v="430"/>
      <x v="25"/>
      <x v="14"/>
      <x v="40"/>
    </i>
    <i>
      <x v="431"/>
      <x v="139"/>
      <x v="72"/>
      <x v="87"/>
    </i>
    <i>
      <x v="432"/>
      <x v="275"/>
      <x v="16"/>
      <x v="22"/>
    </i>
    <i>
      <x v="433"/>
      <x v="275"/>
      <x v="16"/>
      <x v="22"/>
    </i>
    <i>
      <x v="434"/>
      <x v="275"/>
      <x v="16"/>
      <x v="22"/>
    </i>
    <i>
      <x v="435"/>
      <x v="275"/>
      <x v="16"/>
      <x v="22"/>
    </i>
    <i>
      <x v="436"/>
      <x v="275"/>
      <x v="16"/>
      <x v="22"/>
    </i>
    <i>
      <x v="437"/>
      <x v="275"/>
      <x v="16"/>
      <x v="22"/>
    </i>
    <i>
      <x v="440"/>
      <x v="275"/>
      <x v="16"/>
      <x v="22"/>
    </i>
    <i>
      <x v="441"/>
      <x v="275"/>
      <x v="16"/>
      <x v="22"/>
    </i>
    <i>
      <x v="442"/>
      <x v="275"/>
      <x v="16"/>
      <x v="22"/>
    </i>
    <i>
      <x v="443"/>
      <x v="236"/>
      <x v="17"/>
      <x v="171"/>
    </i>
    <i>
      <x v="444"/>
      <x v="276"/>
      <x v="20"/>
      <x v="239"/>
    </i>
    <i>
      <x v="445"/>
      <x v="277"/>
      <x v="20"/>
      <x v="240"/>
    </i>
    <i>
      <x v="446"/>
      <x v="34"/>
      <x v="20"/>
      <x v="239"/>
    </i>
    <i>
      <x v="447"/>
      <x v="147"/>
      <x v="20"/>
      <x v="241"/>
    </i>
    <i>
      <x v="448"/>
      <x v="278"/>
      <x v="23"/>
      <x v="141"/>
    </i>
    <i>
      <x v="449"/>
      <x v="278"/>
      <x v="23"/>
      <x v="141"/>
    </i>
    <i>
      <x v="451"/>
      <x v="279"/>
      <x v="23"/>
      <x v="141"/>
    </i>
    <i>
      <x v="452"/>
      <x v="278"/>
      <x v="23"/>
      <x v="141"/>
    </i>
    <i>
      <x v="453"/>
      <x v="278"/>
      <x v="23"/>
      <x v="141"/>
    </i>
    <i>
      <x v="456"/>
      <x v="278"/>
      <x v="23"/>
      <x v="141"/>
    </i>
    <i>
      <x v="457"/>
      <x v="278"/>
      <x v="23"/>
      <x v="141"/>
    </i>
    <i>
      <x v="458"/>
      <x v="280"/>
      <x v="105"/>
      <x v="242"/>
    </i>
    <i>
      <x v="459"/>
      <x v="154"/>
      <x v="27"/>
      <x v="142"/>
    </i>
    <i>
      <x v="460"/>
      <x v="153"/>
      <x v="27"/>
      <x v="142"/>
    </i>
    <i>
      <x v="461"/>
      <x v="282"/>
      <x v="28"/>
      <x v="243"/>
    </i>
    <i>
      <x v="462"/>
      <x v="315"/>
      <x v="106"/>
      <x v="244"/>
    </i>
    <i>
      <x v="463"/>
      <x v="239"/>
      <x v="65"/>
      <x v="179"/>
    </i>
    <i>
      <x v="464"/>
      <x v="240"/>
      <x v="78"/>
      <x v="181"/>
    </i>
    <i>
      <x v="465"/>
      <x v="284"/>
      <x v="78"/>
      <x v="181"/>
    </i>
    <i>
      <x v="466"/>
      <x v="316"/>
      <x v="32"/>
      <x v="245"/>
    </i>
    <i>
      <x v="467"/>
      <x v="49"/>
      <x v="33"/>
      <x v="183"/>
    </i>
    <i>
      <x v="469"/>
      <x v="287"/>
      <x v="34"/>
      <x v="222"/>
    </i>
    <i>
      <x v="470"/>
      <x v="288"/>
      <x v="34"/>
      <x v="222"/>
    </i>
    <i>
      <x v="471"/>
      <x v="256"/>
      <x v="34"/>
      <x v="222"/>
    </i>
    <i>
      <x v="472"/>
      <x v="256"/>
      <x v="34"/>
      <x v="222"/>
    </i>
    <i>
      <x v="473"/>
      <x v="256"/>
      <x v="34"/>
      <x v="222"/>
    </i>
    <i>
      <x v="474"/>
      <x v="256"/>
      <x v="34"/>
      <x v="222"/>
    </i>
    <i>
      <x v="475"/>
      <x v="256"/>
      <x v="34"/>
      <x v="222"/>
    </i>
    <i>
      <x v="476"/>
      <x v="256"/>
      <x v="34"/>
      <x v="222"/>
    </i>
    <i>
      <x v="477"/>
      <x v="289"/>
      <x v="34"/>
      <x v="17"/>
    </i>
    <i>
      <x v="478"/>
      <x v="289"/>
      <x v="34"/>
      <x v="81"/>
    </i>
    <i>
      <x v="479"/>
      <x v="289"/>
      <x v="34"/>
      <x v="47"/>
    </i>
    <i>
      <x v="480"/>
      <x v="289"/>
      <x v="34"/>
      <x v="247"/>
    </i>
    <i>
      <x v="481"/>
      <x v="290"/>
      <x v="34"/>
      <x v="248"/>
    </i>
    <i>
      <x v="482"/>
      <x v="290"/>
      <x v="34"/>
      <x v="249"/>
    </i>
    <i>
      <x v="483"/>
      <x v="290"/>
      <x v="34"/>
      <x v="250"/>
    </i>
    <i>
      <x v="484"/>
      <x v="291"/>
      <x v="79"/>
      <x v="184"/>
    </i>
    <i>
      <x v="485"/>
      <x v="57"/>
      <x v="38"/>
      <x v="150"/>
    </i>
    <i>
      <x v="486"/>
      <x v="217"/>
      <x v="41"/>
      <x v="252"/>
    </i>
    <i>
      <x v="487"/>
      <x v="218"/>
      <x v="41"/>
      <x v="252"/>
    </i>
    <i>
      <x v="488"/>
      <x v="181"/>
      <x v="41"/>
      <x v="252"/>
    </i>
    <i>
      <x v="489"/>
      <x v="183"/>
      <x v="43"/>
      <x v="189"/>
    </i>
    <i>
      <x v="490"/>
      <x v="292"/>
      <x v="107"/>
      <x v="253"/>
    </i>
    <i>
      <x v="491"/>
      <x v="293"/>
      <x v="108"/>
      <x v="254"/>
    </i>
    <i>
      <x v="492"/>
      <x v="294"/>
      <x v="45"/>
      <x v="255"/>
    </i>
    <i>
      <x v="493"/>
      <x v="295"/>
      <x v="45"/>
      <x v="93"/>
    </i>
    <i>
      <x v="494"/>
      <x v="296"/>
      <x v="45"/>
      <x v="255"/>
    </i>
    <i>
      <x v="495"/>
      <x v="296"/>
      <x v="45"/>
      <x v="44"/>
    </i>
    <i>
      <x v="496"/>
      <x v="297"/>
      <x v="45"/>
      <x v="93"/>
    </i>
    <i>
      <x v="497"/>
      <x v="187"/>
      <x v="47"/>
      <x v="225"/>
    </i>
    <i>
      <x v="498"/>
      <x v="188"/>
      <x v="47"/>
      <x v="226"/>
    </i>
    <i>
      <x v="499"/>
      <x v="71"/>
      <x v="49"/>
      <x v="1"/>
    </i>
    <i>
      <x v="500"/>
      <x v="190"/>
      <x v="50"/>
      <x v="76"/>
    </i>
    <i>
      <x v="501"/>
      <x v="242"/>
      <x v="50"/>
      <x v="109"/>
    </i>
    <i>
      <x v="502"/>
      <x v="243"/>
      <x v="50"/>
      <x v="190"/>
    </i>
    <i>
      <x v="503"/>
      <x v="190"/>
      <x v="50"/>
      <x v="76"/>
    </i>
    <i>
      <x v="505"/>
      <x v="191"/>
      <x v="50"/>
      <x v="76"/>
    </i>
    <i>
      <x v="506"/>
      <x v="191"/>
      <x v="50"/>
      <x v="76"/>
    </i>
    <i>
      <x v="507"/>
      <x v="191"/>
      <x v="50"/>
      <x v="76"/>
    </i>
    <i>
      <x v="508"/>
      <x v="191"/>
      <x v="50"/>
      <x v="76"/>
    </i>
    <i>
      <x v="510"/>
      <x v="313"/>
      <x v="54"/>
      <x v="154"/>
    </i>
    <i>
      <x v="511"/>
      <x v="313"/>
      <x v="54"/>
      <x v="154"/>
    </i>
    <i>
      <x v="513"/>
      <x v="313"/>
      <x v="54"/>
      <x v="154"/>
    </i>
    <i>
      <x v="514"/>
      <x v="313"/>
      <x v="54"/>
      <x v="154"/>
    </i>
    <i>
      <x v="515"/>
      <x v="204"/>
      <x v="58"/>
      <x v="200"/>
    </i>
    <i>
      <x v="517"/>
      <x v="208"/>
      <x v="60"/>
      <x v="203"/>
    </i>
    <i>
      <x v="518"/>
      <x v="299"/>
      <x v="60"/>
      <x v="92"/>
    </i>
    <i>
      <x v="519"/>
      <x v="209"/>
      <x v="66"/>
      <x v="205"/>
    </i>
    <i>
      <x v="520"/>
      <x v="88"/>
      <x v="63"/>
      <x v="256"/>
    </i>
    <i>
      <x v="521"/>
      <x v="300"/>
      <x v="64"/>
      <x v="209"/>
    </i>
    <i>
      <x v="522"/>
      <x v="301"/>
      <x v="64"/>
      <x v="209"/>
    </i>
    <i>
      <x v="523"/>
      <x v="302"/>
      <x v="64"/>
      <x v="207"/>
    </i>
    <i>
      <x v="524"/>
      <x v="303"/>
      <x v="64"/>
      <x v="208"/>
    </i>
    <i>
      <x v="525"/>
      <x v="304"/>
      <x v="92"/>
      <x v="257"/>
    </i>
    <i>
      <x v="526"/>
      <x v="305"/>
      <x v="92"/>
      <x v="257"/>
    </i>
    <i>
      <x v="527"/>
      <x v="304"/>
      <x v="92"/>
      <x v="257"/>
    </i>
    <i>
      <x v="529"/>
      <x v="305"/>
      <x v="92"/>
      <x v="257"/>
    </i>
    <i>
      <x v="530"/>
      <x v="305"/>
      <x v="92"/>
      <x v="257"/>
    </i>
    <i>
      <x v="531"/>
      <x v="305"/>
      <x v="92"/>
      <x v="257"/>
    </i>
    <i>
      <x v="532"/>
      <x v="309"/>
      <x v="64"/>
      <x v="259"/>
    </i>
    <i>
      <x v="533"/>
      <x v="310"/>
      <x v="64"/>
      <x v="260"/>
    </i>
    <i>
      <x v="534"/>
      <x v="311"/>
      <x v="64"/>
      <x v="261"/>
    </i>
    <i>
      <x v="535"/>
      <x v="312"/>
      <x v="64"/>
      <x v="262"/>
    </i>
    <i>
      <x v="536"/>
      <x v="309"/>
      <x v="64"/>
      <x v="259"/>
    </i>
    <i>
      <x v="537"/>
      <x v="310"/>
      <x v="64"/>
      <x v="260"/>
    </i>
    <i>
      <x v="538"/>
      <x v="311"/>
      <x v="64"/>
      <x v="261"/>
    </i>
    <i>
      <x v="539"/>
      <x v="205"/>
      <x v="58"/>
      <x v="201"/>
    </i>
    <i>
      <x v="540"/>
      <x v="289"/>
      <x v="34"/>
      <x v="246"/>
    </i>
    <i>
      <x v="541"/>
      <x v="318"/>
      <x v="4"/>
      <x v="137"/>
    </i>
    <i>
      <x v="542"/>
      <x v="249"/>
      <x v="1"/>
      <x v="232"/>
    </i>
    <i>
      <x v="543"/>
      <x v="249"/>
      <x v="1"/>
      <x v="232"/>
    </i>
    <i>
      <x v="544"/>
      <x v="319"/>
      <x v="67"/>
      <x v="111"/>
    </i>
    <i>
      <x v="545"/>
      <x v="191"/>
      <x v="50"/>
      <x v="76"/>
    </i>
    <i>
      <x v="546"/>
      <x v="249"/>
      <x v="1"/>
      <x v="232"/>
    </i>
    <i t="grand">
      <x/>
    </i>
  </rowItems>
  <colFields count="1">
    <field x="-2"/>
  </colFields>
  <colItems count="3">
    <i>
      <x/>
    </i>
    <i i="1">
      <x v="1"/>
    </i>
    <i i="2">
      <x v="2"/>
    </i>
  </colItems>
  <dataFields count="3">
    <dataField name="Row Count" fld="48" baseField="4" baseItem="3"/>
    <dataField name="Space" fld="49" baseField="4" baseItem="3"/>
    <dataField name="Beds" fld="13" baseField="4"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FA77DE-F560-40B7-BF22-AEA7C8065A0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3" firstHeaderRow="0" firstDataRow="1" firstDataCol="1" rowPageCount="1" colPageCount="1"/>
  <pivotFields count="139">
    <pivotField showAll="0"/>
    <pivotField showAll="0"/>
    <pivotField showAll="0"/>
    <pivotField showAll="0"/>
    <pivotField showAll="0"/>
    <pivotField showAll="0"/>
    <pivotField showAll="0"/>
    <pivotField axis="axisRow" showAll="0" sortType="descending">
      <items count="110">
        <item m="1" x="45"/>
        <item x="41"/>
        <item x="19"/>
        <item m="1" x="47"/>
        <item m="1" x="102"/>
        <item x="22"/>
        <item x="28"/>
        <item m="1" x="48"/>
        <item x="18"/>
        <item m="1" x="49"/>
        <item m="1" x="50"/>
        <item m="1" x="98"/>
        <item m="1" x="51"/>
        <item m="1" x="108"/>
        <item x="6"/>
        <item x="37"/>
        <item x="31"/>
        <item x="2"/>
        <item m="1" x="53"/>
        <item m="1" x="100"/>
        <item x="1"/>
        <item m="1" x="103"/>
        <item x="38"/>
        <item x="13"/>
        <item x="43"/>
        <item m="1" x="55"/>
        <item m="1" x="56"/>
        <item m="1" x="57"/>
        <item x="21"/>
        <item m="1" x="58"/>
        <item m="1" x="106"/>
        <item x="12"/>
        <item m="1" x="59"/>
        <item m="1" x="60"/>
        <item m="1" x="62"/>
        <item m="1" x="63"/>
        <item x="10"/>
        <item m="1" x="64"/>
        <item x="34"/>
        <item m="1" x="65"/>
        <item m="1" x="66"/>
        <item m="1" x="67"/>
        <item m="1" x="68"/>
        <item x="14"/>
        <item x="9"/>
        <item m="1" x="69"/>
        <item x="24"/>
        <item x="16"/>
        <item x="5"/>
        <item x="33"/>
        <item x="36"/>
        <item m="1" x="71"/>
        <item m="1" x="72"/>
        <item x="26"/>
        <item m="1" x="74"/>
        <item m="1" x="75"/>
        <item m="1" x="107"/>
        <item m="1" x="104"/>
        <item x="4"/>
        <item m="1" x="77"/>
        <item x="15"/>
        <item m="1" x="78"/>
        <item x="3"/>
        <item m="1" x="105"/>
        <item x="39"/>
        <item m="1" x="79"/>
        <item x="29"/>
        <item x="32"/>
        <item m="1" x="80"/>
        <item m="1" x="82"/>
        <item m="1" x="81"/>
        <item m="1" x="83"/>
        <item m="1" x="84"/>
        <item m="1" x="85"/>
        <item m="1" x="86"/>
        <item m="1" x="87"/>
        <item x="8"/>
        <item m="1" x="88"/>
        <item m="1" x="89"/>
        <item x="0"/>
        <item m="1" x="90"/>
        <item x="25"/>
        <item m="1" x="101"/>
        <item m="1" x="91"/>
        <item x="20"/>
        <item m="1" x="92"/>
        <item x="27"/>
        <item m="1" x="93"/>
        <item h="1" m="1" x="94"/>
        <item m="1" x="95"/>
        <item x="17"/>
        <item x="11"/>
        <item x="40"/>
        <item m="1" x="96"/>
        <item m="1" x="97"/>
        <item m="1" x="99"/>
        <item h="1" m="1" x="46"/>
        <item h="1" m="1" x="52"/>
        <item h="1" m="1" x="54"/>
        <item h="1" m="1" x="61"/>
        <item h="1" m="1" x="70"/>
        <item h="1" m="1" x="73"/>
        <item h="1" m="1" x="76"/>
        <item h="1" m="1" x="44"/>
        <item h="1" x="30"/>
        <item h="1" x="35"/>
        <item h="1" x="23"/>
        <item h="1" x="42"/>
        <item h="1" x="7"/>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65" showAll="0"/>
    <pivotField showAll="0"/>
    <pivotField dataField="1" showAll="0"/>
    <pivotField showAll="0"/>
    <pivotField showAll="0"/>
    <pivotField showAll="0"/>
    <pivotField showAll="0"/>
    <pivotField showAll="0"/>
    <pivotField showAll="0"/>
    <pivotField showAll="0"/>
    <pivotField showAll="0"/>
    <pivotField numFmtId="164" showAll="0"/>
    <pivotField showAll="0"/>
    <pivotField showAll="0"/>
    <pivotField axis="axisPage" numFmtId="164" multipleItemSelectionAllowed="1" showAll="0">
      <items count="223">
        <item m="1" x="168"/>
        <item m="1" x="149"/>
        <item m="1" x="218"/>
        <item m="1" x="120"/>
        <item m="1" x="172"/>
        <item m="1" x="217"/>
        <item m="1" x="145"/>
        <item m="1" x="193"/>
        <item m="1" x="206"/>
        <item m="1" x="194"/>
        <item m="1" x="99"/>
        <item m="1" x="119"/>
        <item m="1" x="185"/>
        <item m="1" x="113"/>
        <item m="1" x="142"/>
        <item m="1" x="141"/>
        <item m="1" x="143"/>
        <item x="51"/>
        <item m="1" x="187"/>
        <item m="1" x="198"/>
        <item m="1" x="200"/>
        <item m="1" x="221"/>
        <item m="1" x="203"/>
        <item m="1" x="201"/>
        <item m="1" x="134"/>
        <item m="1" x="197"/>
        <item m="1" x="191"/>
        <item m="1" x="164"/>
        <item m="1" x="199"/>
        <item m="1" x="96"/>
        <item m="1" x="204"/>
        <item x="0"/>
        <item m="1" x="155"/>
        <item m="1" x="136"/>
        <item m="1" x="202"/>
        <item m="1" x="192"/>
        <item m="1" x="214"/>
        <item m="1" x="125"/>
        <item m="1" x="196"/>
        <item m="1" x="184"/>
        <item m="1" x="135"/>
        <item m="1" x="212"/>
        <item m="1" x="183"/>
        <item m="1" x="188"/>
        <item m="1" x="205"/>
        <item m="1" x="105"/>
        <item m="1" x="216"/>
        <item m="1" x="129"/>
        <item m="1" x="103"/>
        <item m="1" x="102"/>
        <item m="1" x="182"/>
        <item m="1" x="104"/>
        <item m="1" x="177"/>
        <item m="1" x="219"/>
        <item m="1" x="195"/>
        <item m="1" x="126"/>
        <item m="1" x="211"/>
        <item m="1" x="209"/>
        <item m="1" x="176"/>
        <item m="1" x="117"/>
        <item m="1" x="118"/>
        <item m="1" x="178"/>
        <item m="1" x="208"/>
        <item m="1" x="207"/>
        <item m="1" x="114"/>
        <item m="1" x="173"/>
        <item m="1" x="132"/>
        <item m="1" x="108"/>
        <item m="1" x="124"/>
        <item m="1" x="186"/>
        <item m="1" x="147"/>
        <item m="1" x="189"/>
        <item m="1" x="140"/>
        <item m="1" x="174"/>
        <item m="1" x="175"/>
        <item m="1" x="133"/>
        <item m="1" x="210"/>
        <item m="1" x="123"/>
        <item m="1" x="100"/>
        <item m="1" x="165"/>
        <item m="1" x="181"/>
        <item m="1" x="154"/>
        <item m="1" x="144"/>
        <item m="1" x="220"/>
        <item m="1" x="138"/>
        <item m="1" x="131"/>
        <item m="1" x="111"/>
        <item m="1" x="112"/>
        <item m="1" x="213"/>
        <item m="1" x="167"/>
        <item m="1" x="215"/>
        <item m="1" x="97"/>
        <item m="1" x="98"/>
        <item m="1" x="101"/>
        <item m="1" x="106"/>
        <item m="1" x="107"/>
        <item m="1" x="109"/>
        <item m="1" x="110"/>
        <item m="1" x="115"/>
        <item m="1" x="116"/>
        <item m="1" x="121"/>
        <item m="1" x="122"/>
        <item m="1" x="127"/>
        <item m="1" x="128"/>
        <item m="1" x="130"/>
        <item m="1" x="137"/>
        <item m="1" x="139"/>
        <item m="1" x="146"/>
        <item m="1" x="148"/>
        <item m="1" x="150"/>
        <item m="1" x="151"/>
        <item m="1" x="152"/>
        <item m="1" x="153"/>
        <item m="1" x="156"/>
        <item m="1" x="157"/>
        <item m="1" x="158"/>
        <item m="1" x="159"/>
        <item m="1" x="160"/>
        <item m="1" x="161"/>
        <item m="1" x="162"/>
        <item m="1" x="163"/>
        <item m="1" x="166"/>
        <item m="1" x="169"/>
        <item m="1" x="170"/>
        <item m="1" x="171"/>
        <item m="1" x="179"/>
        <item m="1" x="180"/>
        <item m="1" x="190"/>
        <item x="8"/>
        <item m="1" x="68"/>
        <item m="1" x="69"/>
        <item m="1" x="70"/>
        <item m="1" x="71"/>
        <item x="36"/>
        <item m="1" x="72"/>
        <item x="40"/>
        <item x="62"/>
        <item x="39"/>
        <item m="1" x="73"/>
        <item m="1" x="74"/>
        <item m="1" x="75"/>
        <item m="1" x="76"/>
        <item x="15"/>
        <item x="63"/>
        <item x="12"/>
        <item x="61"/>
        <item x="3"/>
        <item x="47"/>
        <item x="57"/>
        <item m="1" x="77"/>
        <item m="1" x="78"/>
        <item m="1" x="79"/>
        <item m="1" x="80"/>
        <item m="1" x="81"/>
        <item x="24"/>
        <item x="32"/>
        <item m="1" x="82"/>
        <item x="38"/>
        <item x="44"/>
        <item x="50"/>
        <item m="1" x="83"/>
        <item x="58"/>
        <item x="6"/>
        <item x="23"/>
        <item m="1" x="84"/>
        <item m="1" x="85"/>
        <item x="11"/>
        <item x="43"/>
        <item x="48"/>
        <item x="53"/>
        <item x="59"/>
        <item x="52"/>
        <item x="42"/>
        <item x="14"/>
        <item m="1" x="86"/>
        <item m="1" x="87"/>
        <item x="37"/>
        <item x="45"/>
        <item x="49"/>
        <item m="1" x="88"/>
        <item x="16"/>
        <item x="46"/>
        <item m="1" x="89"/>
        <item x="22"/>
        <item m="1" x="90"/>
        <item x="54"/>
        <item m="1" x="91"/>
        <item m="1" x="92"/>
        <item x="2"/>
        <item x="41"/>
        <item x="64"/>
        <item x="66"/>
        <item m="1" x="93"/>
        <item m="1" x="94"/>
        <item x="26"/>
        <item x="17"/>
        <item x="65"/>
        <item x="67"/>
        <item m="1" x="95"/>
        <item x="25"/>
        <item x="1"/>
        <item x="4"/>
        <item x="5"/>
        <item x="7"/>
        <item x="9"/>
        <item x="10"/>
        <item x="13"/>
        <item x="18"/>
        <item x="19"/>
        <item x="20"/>
        <item x="21"/>
        <item x="27"/>
        <item x="28"/>
        <item x="29"/>
        <item x="30"/>
        <item x="31"/>
        <item x="33"/>
        <item x="34"/>
        <item x="35"/>
        <item x="55"/>
        <item x="56"/>
        <item x="60"/>
        <item t="default"/>
      </items>
    </pivotField>
    <pivotField showAll="0"/>
    <pivotField numFmtId="164" showAll="0"/>
    <pivotField showAll="0"/>
    <pivotField numFmtId="164" showAll="0"/>
    <pivotField numFmtId="164" showAll="0"/>
    <pivotField showAll="0"/>
    <pivotField showAll="0"/>
    <pivotField showAll="0"/>
    <pivotField showAll="0"/>
    <pivotField numFmtId="164" showAll="0"/>
    <pivotField showAll="0"/>
    <pivotField showAll="0"/>
    <pivotField showAll="0"/>
    <pivotField showAll="0"/>
    <pivotField dataField="1" numFmtId="166"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showAll="0"/>
    <pivotField showAll="0"/>
    <pivotField showAll="0"/>
    <pivotField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s>
  <rowFields count="1">
    <field x="7"/>
  </rowFields>
  <rowItems count="40">
    <i>
      <x v="91"/>
    </i>
    <i>
      <x v="81"/>
    </i>
    <i>
      <x v="48"/>
    </i>
    <i>
      <x v="67"/>
    </i>
    <i>
      <x v="15"/>
    </i>
    <i>
      <x v="14"/>
    </i>
    <i>
      <x v="64"/>
    </i>
    <i>
      <x v="8"/>
    </i>
    <i>
      <x v="38"/>
    </i>
    <i>
      <x v="84"/>
    </i>
    <i>
      <x v="6"/>
    </i>
    <i>
      <x v="28"/>
    </i>
    <i>
      <x v="58"/>
    </i>
    <i>
      <x v="92"/>
    </i>
    <i>
      <x v="62"/>
    </i>
    <i>
      <x v="5"/>
    </i>
    <i>
      <x v="1"/>
    </i>
    <i>
      <x v="23"/>
    </i>
    <i>
      <x v="2"/>
    </i>
    <i>
      <x v="16"/>
    </i>
    <i>
      <x v="43"/>
    </i>
    <i>
      <x v="53"/>
    </i>
    <i>
      <x v="36"/>
    </i>
    <i>
      <x v="44"/>
    </i>
    <i>
      <x v="24"/>
    </i>
    <i>
      <x v="46"/>
    </i>
    <i>
      <x v="31"/>
    </i>
    <i>
      <x v="76"/>
    </i>
    <i>
      <x v="66"/>
    </i>
    <i>
      <x v="60"/>
    </i>
    <i>
      <x v="90"/>
    </i>
    <i>
      <x v="86"/>
    </i>
    <i>
      <x v="17"/>
    </i>
    <i>
      <x v="47"/>
    </i>
    <i>
      <x v="20"/>
    </i>
    <i>
      <x v="49"/>
    </i>
    <i>
      <x v="79"/>
    </i>
    <i>
      <x v="50"/>
    </i>
    <i>
      <x v="22"/>
    </i>
    <i t="grand">
      <x/>
    </i>
  </rowItems>
  <colFields count="1">
    <field x="-2"/>
  </colFields>
  <colItems count="2">
    <i>
      <x/>
    </i>
    <i i="1">
      <x v="1"/>
    </i>
  </colItems>
  <pageFields count="1">
    <pageField fld="25" hier="-1"/>
  </pageFields>
  <dataFields count="2">
    <dataField name="Sum of # Of Beds" fld="13" baseField="0" baseItem="0"/>
    <dataField name="Sum of Revenue" fld="40" baseField="0" baseItem="0" numFmtId="165"/>
  </dataFields>
  <formats count="1">
    <format dxfId="4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64C0F56-872A-42AF-8028-CD767F0F007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2" firstHeaderRow="1" firstDataRow="1" firstDataCol="1"/>
  <pivotFields count="26">
    <pivotField showAll="0"/>
    <pivotField axis="axisRow" showAll="0" sortType="descending">
      <items count="80">
        <item m="1" x="61"/>
        <item m="1" x="59"/>
        <item m="1" x="48"/>
        <item m="1" x="12"/>
        <item m="1" x="17"/>
        <item m="1" x="66"/>
        <item x="1"/>
        <item m="1" x="42"/>
        <item m="1" x="69"/>
        <item m="1" x="75"/>
        <item x="4"/>
        <item x="3"/>
        <item m="1" x="36"/>
        <item m="1" x="26"/>
        <item m="1" x="62"/>
        <item m="1" x="31"/>
        <item x="2"/>
        <item m="1" x="44"/>
        <item m="1" x="45"/>
        <item m="1" x="64"/>
        <item m="1" x="18"/>
        <item m="1" x="19"/>
        <item m="1" x="46"/>
        <item m="1" x="52"/>
        <item m="1" x="72"/>
        <item m="1" x="40"/>
        <item m="1" x="41"/>
        <item m="1" x="74"/>
        <item m="1" x="55"/>
        <item m="1" x="63"/>
        <item m="1" x="13"/>
        <item m="1" x="37"/>
        <item m="1" x="38"/>
        <item m="1" x="10"/>
        <item m="1" x="8"/>
        <item m="1" x="68"/>
        <item m="1" x="49"/>
        <item x="5"/>
        <item m="1" x="67"/>
        <item m="1" x="21"/>
        <item m="1" x="53"/>
        <item m="1" x="9"/>
        <item m="1" x="33"/>
        <item m="1" x="76"/>
        <item m="1" x="30"/>
        <item m="1" x="27"/>
        <item m="1" x="73"/>
        <item m="1" x="70"/>
        <item m="1" x="71"/>
        <item m="1" x="43"/>
        <item m="1" x="65"/>
        <item m="1" x="78"/>
        <item m="1" x="15"/>
        <item m="1" x="57"/>
        <item m="1" x="50"/>
        <item m="1" x="60"/>
        <item m="1" x="51"/>
        <item x="7"/>
        <item m="1" x="47"/>
        <item x="6"/>
        <item m="1" x="58"/>
        <item m="1" x="23"/>
        <item m="1" x="56"/>
        <item m="1" x="28"/>
        <item x="0"/>
        <item m="1" x="25"/>
        <item m="1" x="77"/>
        <item m="1" x="54"/>
        <item m="1" x="11"/>
        <item m="1" x="14"/>
        <item m="1" x="16"/>
        <item m="1" x="20"/>
        <item m="1" x="22"/>
        <item m="1" x="24"/>
        <item m="1" x="29"/>
        <item m="1" x="32"/>
        <item m="1" x="34"/>
        <item m="1" x="35"/>
        <item m="1" x="3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numFmtId="165" showAll="0"/>
    <pivotField showAll="0"/>
    <pivotField showAll="0"/>
    <pivotField showAll="0"/>
    <pivotField showAll="0"/>
    <pivotField showAll="0"/>
    <pivotField showAll="0"/>
    <pivotField showAll="0"/>
    <pivotField showAll="0"/>
    <pivotField showAll="0"/>
    <pivotField showAll="0"/>
    <pivotField dataField="1" numFmtId="166" showAll="0"/>
    <pivotField showAll="0"/>
    <pivotField showAll="0"/>
    <pivotField showAll="0"/>
    <pivotField showAll="0"/>
    <pivotField showAll="0"/>
  </pivotFields>
  <rowFields count="1">
    <field x="1"/>
  </rowFields>
  <rowItems count="9">
    <i>
      <x v="64"/>
    </i>
    <i>
      <x v="16"/>
    </i>
    <i>
      <x v="57"/>
    </i>
    <i>
      <x v="11"/>
    </i>
    <i>
      <x v="37"/>
    </i>
    <i>
      <x v="10"/>
    </i>
    <i>
      <x v="6"/>
    </i>
    <i>
      <x v="59"/>
    </i>
    <i t="grand">
      <x/>
    </i>
  </rowItems>
  <colItems count="1">
    <i/>
  </colItems>
  <dataFields count="1">
    <dataField name="Sum of Order Cos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9" xr16:uid="{00000000-0016-0000-0A00-000000000000}" autoFormatId="16" applyNumberFormats="0" applyBorderFormats="0" applyFontFormats="0" applyPatternFormats="0" applyAlignmentFormats="0" applyWidthHeightFormats="0">
  <queryTableRefresh nextId="39" unboundColumnsRight="1">
    <queryTableFields count="23">
      <queryTableField id="1" name="Done" tableColumnId="1"/>
      <queryTableField id="2" name="Date" tableColumnId="2"/>
      <queryTableField id="3" name="Identifier" tableColumnId="3"/>
      <queryTableField id="21" name="Bed" tableColumnId="4"/>
      <queryTableField id="5" name="Name" tableColumnId="5"/>
      <queryTableField id="6" name="Variety" tableColumnId="6"/>
      <queryTableField id="7" name="Company" tableColumnId="7"/>
      <queryTableField id="8" name="Tray 1 Size" tableColumnId="8"/>
      <queryTableField id="9" name="Tray 1 Days" tableColumnId="9"/>
      <queryTableField id="10" name="Tray 1 Count" tableColumnId="10"/>
      <queryTableField id="11" name="Tray 2 Size" tableColumnId="11"/>
      <queryTableField id="12" name="Tray 2 Days" tableColumnId="12"/>
      <queryTableField id="13" name="Tray 2 Count" tableColumnId="13"/>
      <queryTableField id="14" name="Tray 3 Size" tableColumnId="14"/>
      <queryTableField id="15" name="Tray 3 Days" tableColumnId="15"/>
      <queryTableField id="16" name="Tray 3 Count" tableColumnId="16"/>
      <queryTableField id="17" name="Seeds Per Planting" tableColumnId="17"/>
      <queryTableField id="22" name="# of Beds" tableColumnId="18"/>
      <queryTableField id="23" name="Safety Factor" tableColumnId="19"/>
      <queryTableField id="35" name="DTG" tableColumnId="22"/>
      <queryTableField id="33" name="Cells" tableColumnId="20"/>
      <queryTableField id="34" name="Unsafe Cells" tableColumnId="21"/>
      <queryTableField id="38" dataBound="0"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01000000}" autoFormatId="16" applyNumberFormats="0" applyBorderFormats="0" applyFontFormats="0" applyPatternFormats="0" applyAlignmentFormats="0" applyWidthHeightFormats="0">
  <queryTableRefresh nextId="20">
    <queryTableFields count="19">
      <queryTableField id="1" name="Identifier" tableColumnId="1"/>
      <queryTableField id="2" name="Variety" tableColumnId="2"/>
      <queryTableField id="3" name="Company" tableColumnId="3"/>
      <queryTableField id="4" name="Seeds" tableColumnId="4"/>
      <queryTableField id="5" name="Crop" tableColumnId="5"/>
      <queryTableField id="6" name="Sub Category" tableColumnId="6"/>
      <queryTableField id="7" name="DTM" tableColumnId="7"/>
      <queryTableField id="8" name="Organic" tableColumnId="8"/>
      <queryTableField id="9" name="Pelleted" tableColumnId="9"/>
      <queryTableField id="10" name="Approved Pellet" tableColumnId="10"/>
      <queryTableField id="11" name="No Organic" tableColumnId="11"/>
      <queryTableField id="12" name="SeedLinked" tableColumnId="12"/>
      <queryTableField id="13" name="Notes" tableColumnId="13"/>
      <queryTableField id="14" name="Already Own" tableColumnId="14"/>
      <queryTableField id="15" name="Selected" tableColumnId="15"/>
      <queryTableField id="16" name="In Plan" tableColumnId="16"/>
      <queryTableField id="17" name="Density" tableColumnId="17"/>
      <queryTableField id="18" name="Density Per" tableColumnId="18"/>
      <queryTableField id="19" name="Website"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00000000-0016-0000-1500-000002000000}" autoFormatId="16" applyNumberFormats="0" applyBorderFormats="0" applyFontFormats="0" applyPatternFormats="0" applyAlignmentFormats="0" applyWidthHeightFormats="0">
  <queryTableRefresh nextId="20">
    <queryTableFields count="18">
      <queryTableField id="1" name="Crop" tableColumnId="1"/>
      <queryTableField id="2" name="Identifier" tableColumnId="2"/>
      <queryTableField id="3" name="Bed" tableColumnId="3"/>
      <queryTableField id="18" name="# Of Beds" tableColumnId="18"/>
      <queryTableField id="4" name="Broadfork" tableColumnId="4"/>
      <queryTableField id="5" name="Tilther" tableColumnId="5"/>
      <queryTableField id="6" name="Amend" tableColumnId="6"/>
      <queryTableField id="7" name="Row Cover" tableColumnId="7"/>
      <queryTableField id="8" name="Broadfork Date" tableColumnId="8"/>
      <queryTableField id="9" name="Tilther Date" tableColumnId="9"/>
      <queryTableField id="10" name="Amend Date" tableColumnId="10"/>
      <queryTableField id="11" name="Row Cover Date" tableColumnId="11"/>
      <queryTableField id="12" name="Observation 1" tableColumnId="12"/>
      <queryTableField id="13" name="Observation 1 Date" tableColumnId="13"/>
      <queryTableField id="14" name="Oberservation 2" tableColumnId="14"/>
      <queryTableField id="15" name="Observation 2 Date" tableColumnId="15"/>
      <queryTableField id="16" name="Observation 3" tableColumnId="16"/>
      <queryTableField id="17" name="Observation 3 Date"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600-000003000000}" autoFormatId="16" applyNumberFormats="0" applyBorderFormats="0" applyFontFormats="0" applyPatternFormats="0" applyAlignmentFormats="0" applyWidthHeightFormats="0">
  <queryTableRefresh nextId="20">
    <queryTableFields count="13">
      <queryTableField id="4" name="Name" tableColumnId="4"/>
      <queryTableField id="5" name="Variety" tableColumnId="5"/>
      <queryTableField id="6" name="Company" tableColumnId="6"/>
      <queryTableField id="3" name="Bed" tableColumnId="3"/>
      <queryTableField id="2" name="Identifier" tableColumnId="2"/>
      <queryTableField id="8" name="# Of Beds" tableColumnId="8"/>
      <queryTableField id="9" name="Planned Greenhouse Start Date" tableColumnId="9"/>
      <queryTableField id="10" name="Actual Greenhouse Date" tableColumnId="10"/>
      <queryTableField id="11" name="Planned TP or DS Date" tableColumnId="11"/>
      <queryTableField id="12" name="Actual TP or DS Date" tableColumnId="12"/>
      <queryTableField id="13" name="TP or DS Date" tableColumnId="13"/>
      <queryTableField id="14" name="Expected Beginning of Harvest" tableColumnId="14"/>
      <queryTableField id="15" name="Expected End of Harvest" tableColumnId="15"/>
    </queryTableFields>
  </queryTableRefresh>
</queryTable>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147E36-94A1-E94F-AC2E-E994470707DF}" name="Containers" displayName="Containers" ref="E1:F5" totalsRowShown="0">
  <autoFilter ref="E1:F5" xr:uid="{00147E36-94A1-E94F-AC2E-E994470707DF}"/>
  <tableColumns count="2">
    <tableColumn id="1" xr3:uid="{28DDDBA6-DF26-9242-A7A5-FD62374FAC76}" name="Container"/>
    <tableColumn id="2" xr3:uid="{95AE01EA-71E4-C74B-B751-D9D7C588761B}" name="Cost"/>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6FA607-E486-AB49-AF34-9510EE562688}" name="Table9" displayName="Table9" ref="I1:J11" totalsRowShown="0">
  <autoFilter ref="I1:J11" xr:uid="{C56FA607-E486-AB49-AF34-9510EE562688}"/>
  <tableColumns count="2">
    <tableColumn id="1" xr3:uid="{6ABEDE5C-B076-F646-9194-78EEB141C069}" name="Wash Type"/>
    <tableColumn id="2" xr3:uid="{2FBA99FB-D6D2-9341-A986-D75471F59B82}" name="Seconds"/>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75EE207-437A-344B-9D3C-EFC69D9732B6}" name="TrellisMethods" displayName="TrellisMethods" ref="L1:M3" totalsRowShown="0">
  <autoFilter ref="L1:M3" xr:uid="{475EE207-437A-344B-9D3C-EFC69D9732B6}"/>
  <tableColumns count="2">
    <tableColumn id="1" xr3:uid="{2AFA1333-B1E7-564F-A27D-2F2DF3B07EE8}" name="Trellis Type"/>
    <tableColumn id="2" xr3:uid="{14938EF4-139C-C140-81B3-664B39D5561D}" name="Hours"/>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34BFBA-256F-449C-B3B1-94948D2DF4B7}" name="Crops" displayName="Crops" ref="A2:EY342" totalsRowShown="0" headerRowDxfId="412">
  <autoFilter ref="A2:EY342" xr:uid="{1534BFBA-256F-449C-B3B1-94948D2DF4B7}"/>
  <sortState xmlns:xlrd2="http://schemas.microsoft.com/office/spreadsheetml/2017/richdata2" ref="A3:EY342">
    <sortCondition ref="A2:A342"/>
  </sortState>
  <tableColumns count="155">
    <tableColumn id="3" xr3:uid="{C13E8979-EF5F-4F24-A5A4-424948EF34BF}" name="Identifier" dataDxfId="411">
      <calculatedColumnFormula>(Crops[[#This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calculatedColumnFormula>
    </tableColumn>
    <tableColumn id="34" xr3:uid="{C8462C89-B47B-41AC-A314-B5E4B28FBC64}" name="Id"/>
    <tableColumn id="72" xr3:uid="{3B4BF7C1-5121-4C5E-A392-CE0CA07887F3}" name="Might Grow" dataDxfId="410"/>
    <tableColumn id="149" xr3:uid="{17B314EE-C6DA-724A-943E-FEAEE6A1C5F8}" name="2024 Notes" dataDxfId="409"/>
    <tableColumn id="53" xr3:uid="{F5DAAC66-7722-49C7-9EFB-60EC8DCFF884}" name="Deprecated" dataDxfId="408"/>
    <tableColumn id="5" xr3:uid="{B9C5A318-F62A-4B03-891B-EA224DEE7D25}" name="Audited?" dataDxfId="407">
      <calculatedColumnFormula>IFERROR(IF(ISNUMBER(MATCH(Crops[[#This Row],[Identifier]],BedPlan[Crop], 0)), TRUE, FALSE), FALSE)</calculatedColumnFormula>
    </tableColumn>
    <tableColumn id="73" xr3:uid="{00B6A150-86DB-4B45-82C3-F34E1F47D347}" name="In Plan" dataDxfId="406">
      <calculatedColumnFormula>IFERROR(IF(ISNUMBER(MATCH(Crops[[#This Row],[Identifier]],BedPlan[Crop], 0)), TRUE, FALSE), FALSE)</calculatedColumnFormula>
    </tableColumn>
    <tableColumn id="74" xr3:uid="{8400CE0D-3591-4F89-9E27-E954E9CE91FC}" name="Needs DTM Audit" dataDxfId="405"/>
    <tableColumn id="75" xr3:uid="{F593642C-1931-436E-A8BA-2DD2BFDFAAC2}" name="Crop"/>
    <tableColumn id="4" xr3:uid="{26D46AEB-2550-40A6-A032-D71A4020BCB2}" name="Variety"/>
    <tableColumn id="6" xr3:uid="{89BEBDA6-0216-43B4-8AB0-B2217E01F137}" name="Product"/>
    <tableColumn id="7" xr3:uid="{CEA3BC56-7FBA-43B4-8391-C6B9F658EF7A}" name="CACA"/>
    <tableColumn id="55" xr3:uid="{507EED7F-445C-46C6-8E6B-B94EACE9F852}" name="Category"/>
    <tableColumn id="60" xr3:uid="{4E309B3B-1B49-444C-B3A3-BB430A6BA525}" name="Common Name" dataDxfId="404">
      <calculatedColumnFormula>#REF!</calculatedColumnFormula>
    </tableColumn>
    <tableColumn id="8" xr3:uid="{45023131-296E-41E9-80E6-E3245A5B579D}" name="Growing Structure"/>
    <tableColumn id="9" xr3:uid="{D46392AC-3FFC-4DEB-84D0-724E3457C625}" name="Planting Method" dataDxfId="403">
      <calculatedColumnFormula>IF(OR(Crops[[#This Row],[Days in Cells]]="",Crops[[#This Row],[Days in Cells]]=0), "DS","TP")</calculatedColumnFormula>
    </tableColumn>
    <tableColumn id="10" xr3:uid="{D074EEBE-2F3D-431E-98AA-C3618D346A32}" name="Sp"/>
    <tableColumn id="11" xr3:uid="{6F0E405B-089F-41E7-8C2D-A7F64C5EB510}" name="Su"/>
    <tableColumn id="12" xr3:uid="{593D09BA-B413-443B-AAAD-B2CD4F47653D}" name="Fa"/>
    <tableColumn id="13" xr3:uid="{6CA3AFB3-6E2D-4134-A45F-CBF3AF069314}" name="Wi"/>
    <tableColumn id="14" xr3:uid="{1672E498-BF51-451C-B334-552CC1DAED5A}" name="OW"/>
    <tableColumn id="35" xr3:uid="{5F037493-753C-48A8-8D65-FC36A247F5D7}" name="Seasons" dataDxfId="402">
      <calculatedColumnFormula xml:space="preserve"> IF(Crops[[#This Row],[Sp]], "Sp", "") &amp; IF(Crops[[#This Row],[Su]], "Su", "") &amp; IF(Crops[[#This Row],[Fa]], "Fa", "") &amp; IF(Crops[[#This Row],[Wi]], "Wi", "") &amp; IF(Crops[[#This Row],[OW]], "Ow","")</calculatedColumnFormula>
    </tableColumn>
    <tableColumn id="15" xr3:uid="{519B3F65-9F0A-4A0F-9ED1-371AE2B15EBB}" name="Food"/>
    <tableColumn id="17" xr3:uid="{4BD3B941-9289-4FE7-ABE0-2027C51DB6CD}" name="Rows"/>
    <tableColumn id="18" xr3:uid="{FE5A3D0F-5C09-4698-852C-9978CA84F7F9}" name="Spacing"/>
    <tableColumn id="41" xr3:uid="{245F77AF-C9A6-40D3-8C93-91E60BC6509D}" name="Irrigation"/>
    <tableColumn id="59" xr3:uid="{271BCAD9-9591-40CC-AA5E-55ED3B980AEC}" name="Row Cover"/>
    <tableColumn id="61" xr3:uid="{12A96736-E1B5-44E7-850C-7D5A15F31D76}" name="Frost Tolerant Starts"/>
    <tableColumn id="54" xr3:uid="{36001C15-D384-422F-B9F4-B4C530884639}" name="Height at Maturity"/>
    <tableColumn id="19" xr3:uid="{3380EFE0-8C43-4BEA-BDFF-6A0CC74B852E}" name="Plantings Per Bed" dataDxfId="401">
      <calculatedColumnFormula>IFERROR(12/Crops[[#This Row],[Spacing]]*Crops[[#This Row],[Rows]]*BedLength,"")</calculatedColumnFormula>
    </tableColumn>
    <tableColumn id="20" xr3:uid="{49EC8F6E-6FDF-4304-B4EF-A7328EC3F90C}" name="Seeds Per Planting"/>
    <tableColumn id="21" xr3:uid="{EFD314E2-7CE9-44B7-934E-4CCF6BD61A6F}" name="Custom Safety Factor"/>
    <tableColumn id="22" xr3:uid="{9C68CB91-B85C-4C23-B96A-294B6AB84AAB}" name="Safety Factor" dataDxfId="400">
      <calculatedColumnFormula>IF(Crops[[#This Row],[Custom Safety Factor]]="",PlantingSafetyFactor,Crops[[#This Row],[Custom Safety Factor]])</calculatedColumnFormula>
    </tableColumn>
    <tableColumn id="2" xr3:uid="{50551225-1665-47DA-BE89-DCD59541BDE7}" name="Seeding Factor" dataDxfId="399">
      <calculatedColumnFormula>1</calculatedColumnFormula>
    </tableColumn>
    <tableColumn id="23" xr3:uid="{69CC5C7B-A0AB-4546-A3B2-A9C664221529}" name="Seeds Per Bed" dataDxfId="398">
      <calculatedColumnFormula>IFERROR(Crops[[#This Row],[Plantings Per Bed]]*Crops[[#This Row],[Seeds Per Planting]]*Crops[[#This Row],[Safety Factor]]*Crops[[#This Row],[Seeding Factor]],"")</calculatedColumnFormula>
    </tableColumn>
    <tableColumn id="24" xr3:uid="{5527EF52-A08E-434C-81AB-CE20EAE900F0}" name="DTG Lower"/>
    <tableColumn id="25" xr3:uid="{D3357E41-1038-4E09-8114-2990DC53894B}" name="DTG Upper"/>
    <tableColumn id="26" xr3:uid="{50C0BED9-9562-44E9-A1D9-1BE4361BF2D4}" name="Days to Germination" dataDxfId="397">
      <calculatedColumnFormula>_xlfn.FLOOR.MATH(IFERROR(AVERAGE(Crops[[#This Row],[DTG Lower]:[DTG Upper]]),0))</calculatedColumnFormula>
    </tableColumn>
    <tableColumn id="71" xr3:uid="{069582C7-CDEF-4277-B8E4-04FE31829AB7}" name="Days in Cells" dataDxfId="396">
      <calculatedColumnFormula>SUM(Crops[[#This Row],[Tray 1 Days]],Crops[[#This Row],[Tray 2 Days]],Crops[[#This Row],[Tray 3 Days]])</calculatedColumnFormula>
    </tableColumn>
    <tableColumn id="27" xr3:uid="{0969645C-FC2E-48ED-B36A-BAEAFBB61F30}" name="Days in Cells Old"/>
    <tableColumn id="28" xr3:uid="{6ECA89C9-3BE8-417B-83C8-883F2A6A43F4}" name="DTM Lower"/>
    <tableColumn id="29" xr3:uid="{E3E5ADA1-9AD1-48CC-A00C-B4275A50A848}" name="DTM Upper"/>
    <tableColumn id="30" xr3:uid="{97C48132-3C81-497B-82CD-DD28CE65BDBE}" name="DTM" dataDxfId="395">
      <calculatedColumnFormula>IFERROR(_xlfn.FLOOR.MATH(AVERAGE(Crops[[#This Row],[DTM Lower]:[DTM Upper]])),"")</calculatedColumnFormula>
    </tableColumn>
    <tableColumn id="51" xr3:uid="{8DE68DB8-82D4-429E-B6BE-ED9B4B2C07BD}" name="STH" dataDxfId="394">
      <calculatedColumnFormula array="1">_xlfn.SWITCH(Crops[[#This Row],[Normal Method]],"DS",Crops[[#This Row],[Days to Germination]]+Crops[[#This Row],[DTM]] + IF(Crops[[#This Row],[Days in Cells]]&gt;0,15,0), "TP",Crops[[#This Row],[DTM]]+Crops[[#This Row],[Days in Cells]] + IF(Crops[[#This Row],[Days in Cells]]&lt;=0,20,0), "X", Crops[[#This Row],[DTM]])</calculatedColumnFormula>
    </tableColumn>
    <tableColumn id="56" xr3:uid="{023B5D4D-6641-4E9F-8979-16136BD4D369}" name="Normal Method"/>
    <tableColumn id="31" xr3:uid="{4DDE5101-DE69-4F37-B400-F1E7876BED42}" name="Harvest window" dataDxfId="393">
      <calculatedColumnFormula>(Crops[[#This Row],[Harvests]]-1)*Crops[[#This Row],[Days Between Harvest]]+7</calculatedColumnFormula>
    </tableColumn>
    <tableColumn id="32" xr3:uid="{0507E7F5-8D67-4E74-8348-8A137CAF2224}" name="Days In Field" dataDxfId="392">
      <calculatedColumnFormula>Crops[[#This Row],[STH]]-Crops[[#This Row],[Days in Cells]]+Crops[[#This Row],[Harvest window]]</calculatedColumnFormula>
    </tableColumn>
    <tableColumn id="44" xr3:uid="{8017120E-66B2-42C2-8438-BCC5F92760EA}" name="Start In"/>
    <tableColumn id="33" xr3:uid="{8ACD9904-867C-4827-BF75-E0611A012E17}" name="Tray Size"/>
    <tableColumn id="62" xr3:uid="{42046A4A-0A13-42A1-8DFB-87F148B38BC6}" name="Tray 1 Size"/>
    <tableColumn id="63" xr3:uid="{419D8C1C-2D3E-4F0E-8BD1-507C22AD574F}" name="Tray 1 Days"/>
    <tableColumn id="64" xr3:uid="{09112CB9-7060-4404-AD96-B8A704451F69}" name="Tray 1 Count" dataDxfId="391">
      <calculatedColumnFormula>IFERROR(IF(Crops[[#This Row],[Tray 1 Days]]=0,"",Crops[[#This Row],[Plantings Per Bed]]/Crops[[#This Row],[Tray 1 Size]]*Crops[[#This Row],[Safety Factor]]),"")</calculatedColumnFormula>
    </tableColumn>
    <tableColumn id="65" xr3:uid="{19099AC3-6980-47DE-B857-977457384A6F}" name="Tray 2 Size"/>
    <tableColumn id="66" xr3:uid="{CFCF2D50-5577-4436-B0FA-8600F2770E39}" name="Tray 2 Days"/>
    <tableColumn id="67" xr3:uid="{663A68A6-89E9-4A32-BF62-CB2C814F8894}" name="Tray 2 Count" dataDxfId="390">
      <calculatedColumnFormula>IFERROR(IF(Crops[[#This Row],[Tray 2 Days]]=0,"",Crops[[#This Row],[Plantings Per Bed]]/Crops[[#This Row],[Tray 2 Size]]*Crops[[#This Row],[Safety Factor]]),"")</calculatedColumnFormula>
    </tableColumn>
    <tableColumn id="68" xr3:uid="{9CB687D4-871B-4EA4-AEAF-B346F0B55B02}" name="Tray 3 Size"/>
    <tableColumn id="69" xr3:uid="{5C3104D9-5E88-49CC-AE37-51B4C604BDBF}" name="Tray 3 Days" dataDxfId="389">
      <calculatedColumnFormula>IF(NOT(ISBLANK(Crops[[#This Row],[Tray 3 Size]])), Crops[[#This Row],[Days in Cells Old]]-SUM(Crops[[#This Row],[Tray 1 Days]],Crops[[#This Row],[Tray 2 Days]]), "")</calculatedColumnFormula>
    </tableColumn>
    <tableColumn id="70" xr3:uid="{72B36F02-16FE-49C7-9A02-A63389E4C887}" name="Tray 3 Count" dataDxfId="388">
      <calculatedColumnFormula>IFERROR(IF(Crops[[#This Row],[Tray 3 Days]]=0,"",Crops[[#This Row],[Plantings Per Bed]]/Crops[[#This Row],[Tray 3 Size]]*Crops[[#This Row],[Safety Factor]]),"")</calculatedColumnFormula>
    </tableColumn>
    <tableColumn id="36" xr3:uid="{59EFF3F9-CC05-4BDD-8249-804D47FF4ED9}" name="Units Per Harvest" dataDxfId="387"/>
    <tableColumn id="37" xr3:uid="{72989667-D15C-4A87-911B-CE969A01CEE7}" name="Harvests"/>
    <tableColumn id="38" xr3:uid="{5C4150E1-3A48-427A-A39D-6696268822CD}" name="Days Between Harvest"/>
    <tableColumn id="50" xr3:uid="{4808346A-22D2-C044-8E45-D4BD19B906FF}" name="Holding Window" dataDxfId="386" dataCellStyle="Comma">
      <calculatedColumnFormula>_xlfn.XLOOKUP(Crops[[#This Row],[ProductIndex]],Products[ID],Products[Holding Period])</calculatedColumnFormula>
    </tableColumn>
    <tableColumn id="16" xr3:uid="{B7C262AC-5C95-4802-88E6-ACA2D9BDCF43}" name="Delay Before Sale" dataDxfId="385" dataCellStyle="Comma"/>
    <tableColumn id="39" xr3:uid="{E78F14A9-7E35-4EC3-BFDD-557E099F35FA}" name="Custom Yield Per Bed" dataDxfId="384">
      <calculatedColumnFormula>Crops[[#This Row],[Units Per Harvest]]*Crops[[#This Row],[Harvests]]</calculatedColumnFormula>
    </tableColumn>
    <tableColumn id="40" xr3:uid="{FBAD74B9-C16B-4467-A483-B0C9E914A01F}" name="Direct Price"/>
    <tableColumn id="129" xr3:uid="{D46934A7-7148-2C4F-972B-93EB1B6E79CD}" name="Rough Wholesale Price" dataDxfId="383" dataCellStyle="Currency">
      <calculatedColumnFormula>Crops[[#This Row],[Direct Price]]*0.6</calculatedColumnFormula>
    </tableColumn>
    <tableColumn id="128" xr3:uid="{F9B55317-DF87-4EA2-86E9-3C6CA1A1F3AC}" name="True Wholesale Price" dataDxfId="382" dataCellStyle="Currency"/>
    <tableColumn id="46" xr3:uid="{7A958D38-1855-46EC-B9F5-8035F1FCB051}" name="Unit"/>
    <tableColumn id="47" xr3:uid="{0F481DA3-DC2C-4B11-99CE-7028089D0FAA}" name="Direct Revenue Per Bed" dataDxfId="381">
      <calculatedColumnFormula>Crops[[#This Row],[Custom Yield Per Bed]]*Crops[[#This Row],[Direct Price]]</calculatedColumnFormula>
    </tableColumn>
    <tableColumn id="156" xr3:uid="{DE02F109-4831-4DA1-8071-3AFA8BE85242}" name="Wholesale List"/>
    <tableColumn id="48" xr3:uid="{F99F4D9F-3C79-48A2-8304-58490B494199}" name="Extended Harvest" dataDxfId="380">
      <calculatedColumnFormula>Crops[[#This Row],[Harvests]]&gt;1</calculatedColumnFormula>
    </tableColumn>
    <tableColumn id="49" xr3:uid="{20F0C324-C4D7-4FBA-9826-EE5C41EC4C2B}" name="Direct Revenue Per Bed Day" dataDxfId="379" dataCellStyle="Currency">
      <calculatedColumnFormula>IFERROR(Crops[[#This Row],[Direct Revenue Per Bed]]/Crops[[#This Row],[Days In Field]],-1)</calculatedColumnFormula>
    </tableColumn>
    <tableColumn id="52" xr3:uid="{B1A721D0-C880-42C5-832F-C6A424700600}" name="Direct Revenue Per Acre Year" dataDxfId="378" dataCellStyle="Comma">
      <calculatedColumnFormula>IFERROR(Crops[[#This Row],[Direct Revenue Per Bed Day]]*GrowingDays*BedsPerAcre,"")</calculatedColumnFormula>
    </tableColumn>
    <tableColumn id="57" xr3:uid="{A83FD2D0-5DBC-483D-BE96-654002EF9C12}" name="Target Sewing Date" dataDxfId="377">
      <calculatedColumnFormula>LastFrostDate-5*Crops[[#This Row],[Sewing Rel Last Frost]]</calculatedColumnFormula>
    </tableColumn>
    <tableColumn id="42" xr3:uid="{06FCF57F-C1C3-435B-AE30-8733BF257F66}" name="Target Field Date" dataDxfId="376">
      <calculatedColumnFormula>Crops[[#This Row],[Target Sewing Date]]+Crops[[#This Row],[Days in Cells]]</calculatedColumnFormula>
    </tableColumn>
    <tableColumn id="58" xr3:uid="{DAADEF73-F8D1-402F-8658-EF1F23779688}" name="Target Harvest Data" dataDxfId="375">
      <calculatedColumnFormula>Crops[[#This Row],[Target Sewing Date]]+Crops[[#This Row],[STH]]</calculatedColumnFormula>
    </tableColumn>
    <tableColumn id="1" xr3:uid="{657D6CDE-C97E-4DAD-8A72-6E841A5C73D5}" name="Target End of Harvest" dataDxfId="374">
      <calculatedColumnFormula>Crops[[#This Row],[Target Harvest Data]]+Crops[[#This Row],[Harvest window]]</calculatedColumnFormula>
    </tableColumn>
    <tableColumn id="43" xr3:uid="{7D53B7BA-2B28-4D28-BFD3-64EC96ABFEDA}" name="Sewing Rel Last Frost"/>
    <tableColumn id="45" xr3:uid="{F22F787B-029B-4D8B-986B-422C955DB082}" name="Inspiration"/>
    <tableColumn id="91" xr3:uid="{74AD32FC-C35D-458E-BC12-FCD3EAFACDEC}" name="Direct Seeding Difficulty" dataDxfId="373">
      <calculatedColumnFormula>1</calculatedColumnFormula>
    </tableColumn>
    <tableColumn id="77" xr3:uid="{7043D167-FEC7-4A19-A1E0-D4B46A7569D5}" name="Bed Prep" dataDxfId="372">
      <calculatedColumnFormula>IF(Crops[[#This Row],[Transplanting]]&gt;0, 2, 3)*BedLength/StandardBedLength</calculatedColumnFormula>
    </tableColumn>
    <tableColumn id="78" xr3:uid="{C3A379F2-A03A-490C-8CE5-019C4CE91C8E}" name="Seeding Trays" dataDxfId="371">
      <calculatedColumnFormula>IF(Crops[[#This Row],[Days in Cells]]&lt;=0,0,Crops[[#This Row],[Plantings Per Bed]]/StartsPerHourSeeding+Crops[[#This Row],[Tray 1 Count]]*5/60)</calculatedColumnFormula>
    </tableColumn>
    <tableColumn id="84" xr3:uid="{7F10FD6B-71BC-44D4-B049-5B6F6BCE7523}" name="Potting Up" dataDxfId="370">
      <calculatedColumnFormula>IF(ISBLANK(Crops[[#This Row],[Tray 2 Days]]),0,Crops[[#This Row],[Plantings Per Bed]]/UpPottingPerHour)+IF(Crops[[#This Row],[Tray 3 Days]]="",0,Crops[[#This Row],[Plantings Per Bed]]/UpPottingPerHour)</calculatedColumnFormula>
    </tableColumn>
    <tableColumn id="94" xr3:uid="{2845647A-0889-4CEA-B08C-6EA7780EBA32}" name="Start Irrigation" dataDxfId="369">
      <calculatedColumnFormula>IFERROR(Crops[[#This Row],[Tray 1 Count]]/HomeStartFlatIrrigationPerHour,0)*Crops[[#This Row],[Days in Cells]]/DaysBetweenStartIrrigation</calculatedColumnFormula>
    </tableColumn>
    <tableColumn id="79" xr3:uid="{CA95BBAB-0B7E-49FE-BDCA-83054C84480D}" name="Start Transport" dataDxfId="368">
      <calculatedColumnFormula>0.5/16*MAX(Crops[[#This Row],[Tray 1 Count]],Crops[[#This Row],[Tray 2 Count]],Crops[[#This Row],[Tray 3 Count]])</calculatedColumnFormula>
    </tableColumn>
    <tableColumn id="80" xr3:uid="{2F998943-FEA3-4EA8-AFB9-31EBE26D902E}" name="Transplanting" dataDxfId="367">
      <calculatedColumnFormula>IF(Crops[[#This Row],[Days in Cells]]&gt;0,IF(IF(Crops[[#This Row],[Tray 3 Size]]&gt;0,Crops[[#This Row],[Tray 3 Size]],IF(Crops[[#This Row],[Tray 2 Size]]&gt;0,Crops[[#This Row],[Tray 2 Size]],Crops[[#This Row],[Tray 1 Size]]))&lt;=18,LargeTransplantTime,SmallTransplantTime)*Crops[[#This Row],[Plantings Per Bed]],0)</calculatedColumnFormula>
    </tableColumn>
    <tableColumn id="106" xr3:uid="{5E5F83F6-C7DA-4D4B-BD15-B98F312210C4}" name="Trellis Type" dataDxfId="366"/>
    <tableColumn id="103" xr3:uid="{1F88ED34-9481-4B4D-8733-7108EAA07167}" name="Trellising" dataDxfId="365">
      <calculatedColumnFormula>_xlfn.XLOOKUP(Crops[[#This Row],[Trellis Type]],TrellisMethods[Trellis Type],TrellisMethods[Hours],0,0)</calculatedColumnFormula>
    </tableColumn>
    <tableColumn id="102" xr3:uid="{3808189E-946F-4D18-BD0E-C2CCA5697FF4}" name="Direct Seeding" dataDxfId="364">
      <calculatedColumnFormula>IF(Crops[[#This Row],[Days in Cells]]&lt;=0,Crops[[#This Row],[Rows]]*1/10,0)*BedLength/50</calculatedColumnFormula>
    </tableColumn>
    <tableColumn id="95" xr3:uid="{30785B55-0DFD-4EB8-A694-A3F422A84BCC}" name="Install Irrigation" dataDxfId="363">
      <calculatedColumnFormula array="1">_xlfn.SWITCH(Crops[[#This Row],[Irrigation]],"DR", 0.5, "OH", 0.25,0)*BedLength/50</calculatedColumnFormula>
    </tableColumn>
    <tableColumn id="96" xr3:uid="{0FAA458B-4D89-4D5D-90A8-E268F619D549}" name="Install Row Cover" dataDxfId="362">
      <calculatedColumnFormula>IF(OR(ISBLANK(Crops[[#This Row],[Row Cover]]),Crops[[#This Row],[Row Cover]]="None"),0,1)*BedLength/50</calculatedColumnFormula>
    </tableColumn>
    <tableColumn id="81" xr3:uid="{08E67239-C59C-459A-9694-08DDC781D522}" name="Weeding" dataDxfId="361">
      <calculatedColumnFormula>HoursPerWeedingPass*Crops[[#This Row],[Days In Field]]/14*Crops[[#This Row],[Rows]]+1*BedLength/50</calculatedColumnFormula>
    </tableColumn>
    <tableColumn id="82" xr3:uid="{E55BB411-DD67-42D9-9026-81B2A98B34E3}" name="Pruning"/>
    <tableColumn id="83" xr3:uid="{B0E86F26-EDB1-46FE-95A3-65C5CCECEAA9}" name="Manage Pests"/>
    <tableColumn id="85" xr3:uid="{5EE13DFC-2A98-4136-8621-F9088A810565}" name="Market &amp; Sell" dataDxfId="360">
      <calculatedColumnFormula>_xlfn.XLOOKUP(Crops[[#This Row],[Crop]]&amp;Crops[[#This Row],[Product]]&amp;Crops[[#This Row],[Unit]],Products[ID],Products[Marketing (hr)])*Crops[[#This Row],[Direct Revenue Per Bed]]/2000</calculatedColumnFormula>
    </tableColumn>
    <tableColumn id="86" xr3:uid="{0C5E01A3-EABE-4918-98BA-EA10A8FA9633}" name="Harvest" dataDxfId="359">
      <calculatedColumnFormula>_xlfn.XLOOKUP(Crops[[#This Row],[Crop]]&amp;Crops[[#This Row],[Product]]&amp;Crops[[#This Row],[Unit]],Products[ID],Products[Harvest (s)])*Crops[[#This Row],[Custom Yield Per Bed]]/3600</calculatedColumnFormula>
    </tableColumn>
    <tableColumn id="104" xr3:uid="{80971E51-CBC9-0646-89AF-04CDB6787A69}" name="Bunch" dataDxfId="358">
      <calculatedColumnFormula>_xlfn.XLOOKUP(Crops[[#This Row],[Crop]]&amp;Crops[[#This Row],[Product]]&amp;Crops[[#This Row],[Unit]],Products[ID],Products[Bunch (s)])*Crops[[#This Row],[Custom Yield Per Bed]]/3600</calculatedColumnFormula>
    </tableColumn>
    <tableColumn id="105" xr3:uid="{70AF1F91-CD5C-BD46-821D-135A8B19026B}" name="Haul" dataDxfId="357">
      <calculatedColumnFormula>_xlfn.XLOOKUP(Crops[[#This Row],[Crop]]&amp;Crops[[#This Row],[Product]]&amp;Crops[[#This Row],[Unit]],Products[ID],Products[Haul (s)])*Crops[[#This Row],[Custom Yield Per Bed]]/3600</calculatedColumnFormula>
    </tableColumn>
    <tableColumn id="87" xr3:uid="{1ABA4560-2CE2-4F56-9DE7-D4E914D7106A}" name="Wash" dataDxfId="356">
      <calculatedColumnFormula>_xlfn.XLOOKUP(Crops[[#This Row],[Crop]]&amp;Crops[[#This Row],[Product]]&amp;Crops[[#This Row],[Unit]],Products[ID],Products[Wash (s)])*Crops[[#This Row],[Custom Yield Per Bed]]/3600</calculatedColumnFormula>
    </tableColumn>
    <tableColumn id="100" xr3:uid="{0F0377CC-52C2-4084-86DE-4B68A8F555F5}" name="Condition" dataDxfId="355">
      <calculatedColumnFormula>_xlfn.XLOOKUP(Crops[[#This Row],[Crop]]&amp;Crops[[#This Row],[Product]]&amp;Crops[[#This Row],[Unit]],Products[ID],Products[Condition (s)])*Crops[[#This Row],[Custom Yield Per Bed]]/3600</calculatedColumnFormula>
    </tableColumn>
    <tableColumn id="101" xr3:uid="{407F4F32-A1F5-4FFA-AAE0-F8E3A43E45D5}" name="Trim" dataDxfId="354">
      <calculatedColumnFormula>_xlfn.XLOOKUP(Crops[[#This Row],[Crop]]&amp;Crops[[#This Row],[Product]]&amp;Crops[[#This Row],[Unit]],Products[ID],Products[Trim (s)])*Crops[[#This Row],[Custom Yield Per Bed]]/3600</calculatedColumnFormula>
    </tableColumn>
    <tableColumn id="88" xr3:uid="{CE960A91-E3B7-48A3-838B-6D973E243F7B}" name="Pack" dataDxfId="353">
      <calculatedColumnFormula>_xlfn.XLOOKUP(Crops[[#This Row],[Crop]]&amp;Crops[[#This Row],[Product]]&amp;Crops[[#This Row],[Unit]],Products[ID],Products[Pack (s)])*Crops[[#This Row],[Custom Yield Per Bed]]/3600</calculatedColumnFormula>
    </tableColumn>
    <tableColumn id="89" xr3:uid="{E38326D7-5B76-414F-8BA4-D30864B215D9}" name="Clean" dataDxfId="352">
      <calculatedColumnFormula>_xlfn.XLOOKUP(Crops[[#This Row],[Crop]]&amp;Crops[[#This Row],[Product]]&amp;Crops[[#This Row],[Unit]],Products[ID],Products[Clean (s)])*Crops[[#This Row],[Custom Yield Per Bed]]/3600</calculatedColumnFormula>
    </tableColumn>
    <tableColumn id="90" xr3:uid="{8DBD6AFC-B99C-4EE5-9F08-88BCEFD9C6E9}" name="Rehandle" dataDxfId="351">
      <calculatedColumnFormula>_xlfn.XLOOKUP(Crops[[#This Row],[Crop]]&amp;Crops[[#This Row],[Product]]&amp;Crops[[#This Row],[Unit]],Products[ID],Products[Rehandle (s)])*Crops[[#This Row],[Custom Yield Per Bed]]/3600</calculatedColumnFormula>
    </tableColumn>
    <tableColumn id="97" xr3:uid="{C22AA34C-E206-4B0B-BFC4-767F17AE92A6}" name="Market Transport" dataDxfId="350">
      <calculatedColumnFormula>_xlfn.XLOOKUP(Crops[[#This Row],[Crop]]&amp;Crops[[#This Row],[Product]]&amp;Crops[[#This Row],[Unit]],Products[ID],Products[Market Transport (s)])*Crops[[#This Row],[Custom Yield Per Bed]]/3600</calculatedColumnFormula>
    </tableColumn>
    <tableColumn id="98" xr3:uid="{8CDFC5A0-11C0-45CA-88CA-62578E71DAB8}" name="Remove Crop Residue"/>
    <tableColumn id="108" xr3:uid="{A6F645D7-06B2-554B-8D48-46C947CF83E9}" name="Revenue - Copy" dataDxfId="349">
      <calculatedColumnFormula>Crops[[#This Row],[Direct Revenue Per Bed2]]</calculatedColumnFormula>
    </tableColumn>
    <tableColumn id="92" xr3:uid="{ABEC33ED-4D9F-49AB-8326-539C3DC6DC12}" name="Direct Time" dataDxfId="348">
      <calculatedColumnFormula>_xlfn.AGGREGATE(9,6,Crops[[#This Row],[Bed Prep]:[Remove Crop Residue]])</calculatedColumnFormula>
    </tableColumn>
    <tableColumn id="141" xr3:uid="{2C95BBCE-0CF7-B34A-8956-2D870623211D}" name="Wholesale Time" dataDxfId="347">
      <calculatedColumnFormula>_xlfn.AGGREGATE(9,6,Crops[[#This Row],[Bed Prep]:[Remove Crop Residue]])-0.75*Crops[[#This Row],[Market &amp; Sell]]</calculatedColumnFormula>
    </tableColumn>
    <tableColumn id="93" xr3:uid="{322619F2-D6E3-45B9-9CCE-9C0B091F5C4C}" name="Revenue Per Hour" dataDxfId="346">
      <calculatedColumnFormula>Crops[[#This Row],[Direct Revenue Per Bed2]]/Crops[[#This Row],[Direct Time]]</calculatedColumnFormula>
    </tableColumn>
    <tableColumn id="109" xr3:uid="{88CE04B8-9AE2-5E4B-AC78-D9CF030A0585}" name="Packaging Costs" dataDxfId="345" dataCellStyle="Currency">
      <calculatedColumnFormula>_xlfn.XLOOKUP(Crops[[#This Row],[ProductIndex]],Products[ID],Products[Packaging Cost])*(Crops[[#This Row],[Custom Yield Per Bed]]/_xlfn.XLOOKUP(Crops[[#This Row],[ProductIndex]],Products[ID],Products[Units Per Pack]))</calculatedColumnFormula>
    </tableColumn>
    <tableColumn id="111" xr3:uid="{FACE5290-3D87-7C4E-A68A-EC957EBCE98A}" name="Seed Cost" dataDxfId="344" dataCellStyle="Currency"/>
    <tableColumn id="112" xr3:uid="{E2A8912F-67FA-994C-B13A-260C65A19410}" name="Water Cost" dataDxfId="343" dataCellStyle="Currency"/>
    <tableColumn id="113" xr3:uid="{BB69F70E-5708-9846-B65C-3330D3E3A51F}" name="Row Cover Cost" dataDxfId="342" dataCellStyle="Currency"/>
    <tableColumn id="114" xr3:uid="{CBCFF515-F98E-A64C-BFCB-AE9EC2E6F3D2}" name="Mulch Cost" dataDxfId="341" dataCellStyle="Currency"/>
    <tableColumn id="115" xr3:uid="{6BDE1244-CCF3-7045-B9B1-8807537D1598}" name="Irrigation Cost" dataDxfId="340" dataCellStyle="Currency"/>
    <tableColumn id="130" xr3:uid="{926E6005-B1B6-D44B-AF0A-C2EBCF524220}" name="Direct Revenue Per Bed2" dataDxfId="339" dataCellStyle="Comma"/>
    <tableColumn id="110" xr3:uid="{C5D408C5-A9B6-504E-A835-0C5B7435CF51}" name="Direct Labor Cost" dataDxfId="338" dataCellStyle="Currency">
      <calculatedColumnFormula>Crops[[#This Row],[Direct Time]]*LaborRate</calculatedColumnFormula>
    </tableColumn>
    <tableColumn id="143" xr3:uid="{5823F272-4848-1240-B96E-15B24EBF261F}" name="Direct Non-Labor Cost" dataDxfId="337" dataCellStyle="Currency">
      <calculatedColumnFormula>SUM(Crops[[#This Row],[Irrigation Cost]])</calculatedColumnFormula>
    </tableColumn>
    <tableColumn id="132" xr3:uid="{4E6B0A36-7849-E948-80ED-16BD95D55BA2}" name="Direct Total Cost" dataDxfId="336" dataCellStyle="Currency">
      <calculatedColumnFormula>Crops[[#This Row],[Direct Labor Cost]]+Crops[[#This Row],[Direct Non-Labor Cost]]</calculatedColumnFormula>
    </tableColumn>
    <tableColumn id="133" xr3:uid="{B82DD8B1-7D05-1046-902A-F76EAC582659}" name="Direct Profit" dataDxfId="335" dataCellStyle="Currency">
      <calculatedColumnFormula>Crops[[#This Row],[Direct Revenue Per Bed2]]-Crops[[#This Row],[Direct Total Cost]]</calculatedColumnFormula>
    </tableColumn>
    <tableColumn id="139" xr3:uid="{B747802E-B4C0-194E-AD37-9D6A49DB0A74}" name="Direct Profit Per Acre" dataDxfId="334" dataCellStyle="Currency">
      <calculatedColumnFormula>Crops[[#This Row],[Direct Profit]]*BedsPerAcre</calculatedColumnFormula>
    </tableColumn>
    <tableColumn id="147" xr3:uid="{44874E24-C68C-9C43-A6D0-050FB80A2DBA}" name="Direct Profit Per Acre Year" dataDxfId="333" dataCellStyle="Currency">
      <calculatedColumnFormula>Crops[[#This Row],[Direct Profit]]*BedsPerAcre*GrowingDays/Crops[[#This Row],[Days In Field]]</calculatedColumnFormula>
    </tableColumn>
    <tableColumn id="134" xr3:uid="{3D99B937-807C-654A-AAB6-4C24003F30C2}" name="Direct Profit Per Bed Day" dataDxfId="332" dataCellStyle="Currency">
      <calculatedColumnFormula>Crops[[#This Row],[Direct Profit]]/MIN(Crops[[#This Row],[Days In Field]],GrowingDays)</calculatedColumnFormula>
    </tableColumn>
    <tableColumn id="140" xr3:uid="{81763A42-102E-F746-BCE3-E7DB668286D5}" name="Direct Labor Per Acre" dataDxfId="331" dataCellStyle="Currency">
      <calculatedColumnFormula>Crops[[#This Row],[Direct Time]] * BedsPerAcre</calculatedColumnFormula>
    </tableColumn>
    <tableColumn id="136" xr3:uid="{A7E4782D-3BB9-934D-8715-0B3DF1A50699}" name="Direct Profit Per Owner Labor Hour" dataDxfId="330" dataCellStyle="Currency">
      <calculatedColumnFormula>(Crops[[#This Row],[Direct Revenue Per Bed2]]-Crops[[#This Row],[Direct Non-Labor Cost]])/Crops[[#This Row],[Direct Time]]</calculatedColumnFormula>
    </tableColumn>
    <tableColumn id="137" xr3:uid="{BF8CF3A7-D889-2540-9DF1-DA6782FDE5E2}" name="Wholesale Revenue Per Bed" dataDxfId="329" dataCellStyle="Comma">
      <calculatedColumnFormula>IFERROR(Crops[[#This Row],[Custom Yield Per Bed]]*Crops[[#This Row],[Rough Wholesale Price]],"")</calculatedColumnFormula>
    </tableColumn>
    <tableColumn id="142" xr3:uid="{A4A8FEAE-A528-6F4D-A131-00C19D026B3A}" name="Wholesale Labor Cost" dataDxfId="328" dataCellStyle="Currency">
      <calculatedColumnFormula>Crops[[#This Row],[Wholesale Time]]*LaborRate</calculatedColumnFormula>
    </tableColumn>
    <tableColumn id="144" xr3:uid="{5929E500-1B41-3945-B3DA-1559DA5CA2BB}" name="Wholesale Non-Labor Cost" dataDxfId="327" dataCellStyle="Currency">
      <calculatedColumnFormula>SUM(Crops[[#This Row],[Packaging Costs]:[Irrigation Cost]])</calculatedColumnFormula>
    </tableColumn>
    <tableColumn id="116" xr3:uid="{BA0ADF7F-8474-5F40-A0E4-8EF9214B16A1}" name="Wholesale Total Cost" dataDxfId="326" dataCellStyle="Currency">
      <calculatedColumnFormula>Crops[[#This Row],[Wholesale Labor Cost]]+Crops[[#This Row],[Wholesale Non-Labor Cost]]</calculatedColumnFormula>
    </tableColumn>
    <tableColumn id="117" xr3:uid="{B57F0C1D-EFB1-7B45-B26A-18B105D7D59F}" name="Wholesale Profit" dataDxfId="325" dataCellStyle="Currency">
      <calculatedColumnFormula>Crops[[#This Row],[Wholesale Revenue Per Bed]]-Crops[[#This Row],[Wholesale Total Cost]]</calculatedColumnFormula>
    </tableColumn>
    <tableColumn id="138" xr3:uid="{B5186D53-72B3-8D4E-9861-BF1E9E782A51}" name="Wholesale Profit Per Acre" dataDxfId="324" dataCellStyle="Currency">
      <calculatedColumnFormula>Crops[[#This Row],[Wholesale Profit]]*BedsPerAcre</calculatedColumnFormula>
    </tableColumn>
    <tableColumn id="148" xr3:uid="{D2048B28-2785-9A44-A042-FDC8290178CC}" name="Wholesale Profit Per Acre Year" dataDxfId="323" dataCellStyle="Currency">
      <calculatedColumnFormula>Crops[[#This Row],[Wholesale Profit]]*BedsPerAcre*GrowingDays/Crops[[#This Row],[Days In Field]]</calculatedColumnFormula>
    </tableColumn>
    <tableColumn id="145" xr3:uid="{D1CAA1E1-7CB2-8148-B2AB-3AAE5F8AD1C1}" name="Wholesale Labor Per Acre" dataDxfId="322" dataCellStyle="Currency">
      <calculatedColumnFormula>Crops[[#This Row],[Wholesale Time]] * BedsPerAcre</calculatedColumnFormula>
    </tableColumn>
    <tableColumn id="118" xr3:uid="{D5CE99E9-4F71-6942-A312-B25E8DA4EB06}" name="Wholesale Profit Per Bed Day" dataDxfId="321" dataCellStyle="Currency">
      <calculatedColumnFormula>Crops[[#This Row],[Wholesale Profit]]/MIN(Crops[[#This Row],[Days In Field]],GrowingDays)</calculatedColumnFormula>
    </tableColumn>
    <tableColumn id="135" xr3:uid="{8EC85401-E1ED-3C4F-A295-03B0830277C0}" name="Wholesale Profit Per Owner Labor Hour" dataDxfId="320" dataCellStyle="Currency">
      <calculatedColumnFormula>(Crops[[#This Row],[Wholesale Revenue Per Bed]]-Crops[[#This Row],[Wholesale Non-Labor Cost]])/Crops[[#This Row],[Direct Time]]</calculatedColumnFormula>
    </tableColumn>
    <tableColumn id="120" xr3:uid="{3BE9DAED-E818-5640-B7D1-BAA6A9FED02D}" name="Packaging Percent" dataDxfId="319" dataCellStyle="Percent">
      <calculatedColumnFormula>Crops[[#This Row],[Packaging Costs]]/Crops[[#This Row],[Wholesale Revenue Per Bed]]</calculatedColumnFormula>
    </tableColumn>
    <tableColumn id="99" xr3:uid="{6E5398F1-7311-5541-B6F1-FFB185B4AFBA}" name="ProductIndex" dataDxfId="318" dataCellStyle="Currency">
      <calculatedColumnFormula>Crops[[#This Row],[Crop]]&amp;Crops[[#This Row],[Product]]&amp;Crops[[#This Row],[Unit]]</calculatedColumnFormula>
    </tableColumn>
    <tableColumn id="107" xr3:uid="{D24C2F3D-EBE8-DD4C-8023-333F1F50C31C}" name="ProductTarget" dataDxfId="317" dataCellStyle="Currency">
      <calculatedColumnFormula>_xlfn.XLOOKUP(Crops[[#This Row],[ProductIndex]],Products[ID],Products[Target])</calculatedColumnFormula>
    </tableColumn>
    <tableColumn id="155" xr3:uid="{700A97FF-3CFB-AF4A-A8E2-F165A5E6572D}" name="Bed Yield" dataDxfId="316" dataCellStyle="Currency">
      <calculatedColumnFormula>Crops[[#This Row],[Custom Yield Per Bed]]</calculatedColumnFormula>
    </tableColumn>
    <tableColumn id="126" xr3:uid="{4A440A72-88B3-421D-B9F7-D51DA3D107F4}" name="Units Per Weekly Harvest" dataDxfId="315" dataCellStyle="Currency">
      <calculatedColumnFormula>Crops[[#This Row],[Units Per Harvest]]/Crops[[#This Row],[Days Between Harvest]]*7</calculatedColumnFormula>
    </tableColumn>
    <tableColumn id="124" xr3:uid="{1A5C6986-7C76-41BB-B354-5EC2669F4FE1}" name="CSA Portions" dataDxfId="314">
      <calculatedColumnFormula>Crops[[#This Row],[Custom Yield Per Bed]]/_xlfn.XLOOKUP(Crops[[#This Row],[ProductIndex]],Products[ID],Products[CSA Portion])</calculatedColumnFormula>
    </tableColumn>
    <tableColumn id="150" xr3:uid="{84A8F4BE-ED1F-FC49-8065-FC3F3FAB22FF}" name="CSA Portions Per Week" dataDxfId="313">
      <calculatedColumnFormula>Crops[[#This Row],[Units Per Harvest]]/Crops[[#This Row],[Days Between Harvest]]*7/_xlfn.XLOOKUP(Crops[[#This Row],[ProductIndex]],Products[ID],Products[CSA Portion])</calculatedColumnFormula>
    </tableColumn>
    <tableColumn id="152" xr3:uid="{961E91B5-D90E-8042-AA16-E12F59348D47}" name="CSA %" dataDxfId="312">
      <calculatedColumnFormula>Crops[[#This Row],[CSA Portions Per Week]]/CSAMembers</calculatedColumnFormula>
    </tableColumn>
    <tableColumn id="151" xr3:uid="{D896299F-A966-AF4B-82F5-C8455353563A}" name="Beds"/>
    <tableColumn id="153" xr3:uid="{4EC225DB-21BA-3E4A-A3AC-36B46308BCB6}" name="Times"/>
    <tableColumn id="154" xr3:uid="{84588CCB-A9B5-E44A-A0D3-D1CC08A10FBD}" name="CSA Notes"/>
    <tableColumn id="119" xr3:uid="{50559946-CE2C-BD47-89F6-B55648560381}" name="Propduction Weeks" dataDxfId="311">
      <calculatedColumnFormula>Crops[[#This Row],[Harvests]]*Crops[[#This Row],[Days Between Harvest]]/7</calculatedColumnFormula>
    </tableColumn>
    <tableColumn id="127" xr3:uid="{96C96FEB-329A-4C1E-B9B1-FEF831A142EE}" name="CSA Need" dataDxfId="310">
      <calculatedColumnFormula>_xlfn.XLOOKUP(Crops[[#This Row],[ProductIndex]],Products[ID],Products[CSA Need])</calculatedColumnFormula>
    </tableColumn>
    <tableColumn id="146" xr3:uid="{36E1BD30-17FA-6445-86CA-8F0356ACDBA2}" name="CSA Times" dataDxfId="309">
      <calculatedColumnFormula>_xlfn.XLOOKUP(Crops[[#This Row],[ProductIndex]],Products[ID],Products[CSA Times])</calculatedColumnFormula>
    </tableColumn>
    <tableColumn id="121" xr3:uid="{5896E553-7645-4F4F-A6A8-A314EB86A615}" name="CSA Harvests" dataDxfId="308" dataCellStyle="Currency">
      <calculatedColumnFormula>Crops[[#This Row],[Custom Yield Per Bed]]/(Crops[[#This Row],[CSA Need]]*(_xlfn.XLOOKUP(Crops[[#This Row],[ProductIndex]],Products[ID],Products[CSA Portion])*CSAMembers))</calculatedColumnFormula>
    </tableColumn>
    <tableColumn id="123" xr3:uid="{327D0049-7044-F946-8666-9E9E5DE3A12F}" name="CSA Beds" dataDxfId="307" dataCellStyle="Currency">
      <calculatedColumnFormula>_xlfn.XLOOKUP(Crops[[#This Row],[ProductIndex]],Products[ID],Products[CSA Portion])*CSAMembers*Crops[[#This Row],[CSA Need]]/Crops[[#This Row],[Custom Yield Per Bed]]</calculatedColumnFormula>
    </tableColumn>
    <tableColumn id="122" xr3:uid="{375176CD-C88C-C646-9FBB-DFDED1C99998}" name="CSA Bed Days" dataDxfId="306" dataCellStyle="Currency">
      <calculatedColumnFormula>IFERROR(Crops[[#This Row],[Days In Field]]*Crops[[#This Row],[CSA Beds]],"")</calculatedColumnFormula>
    </tableColumn>
    <tableColumn id="125" xr3:uid="{27639104-A056-0C49-AA05-470530F6D13D}" name="Planned CSA Bed Days" dataDxfId="305" dataCellStyle="Currency">
      <calculatedColumnFormula>Crops[[#This Row],[CSA Bed Days]]*#REF!</calculatedColumnFormula>
    </tableColumn>
    <tableColumn id="76" xr3:uid="{5EB80732-3E4A-4BD7-A435-63A17D725DE3}" name="Notes" dataDxfId="304"/>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0DB86C-D46C-4BAA-B5FB-C1C3A5FE48F8}" name="BedPlan" displayName="BedPlan" ref="A5:EW143" totalsRowShown="0" headerRowDxfId="303">
  <autoFilter ref="A5:EW143" xr:uid="{8B0DB86C-D46C-4BAA-B5FB-C1C3A5FE48F8}"/>
  <sortState xmlns:xlrd2="http://schemas.microsoft.com/office/spreadsheetml/2017/richdata2" ref="A6:EW143">
    <sortCondition ref="A5:A143"/>
  </sortState>
  <tableColumns count="153">
    <tableColumn id="1" xr3:uid="{96508285-6321-43DC-ADD2-FAC9EE55525F}" name="Crop" dataDxfId="302" totalsRowDxfId="301"/>
    <tableColumn id="4" xr3:uid="{A0B8DAB2-53A7-4DBB-BE62-D5F450F17CA3}" name="Identifier" dataDxfId="300"/>
    <tableColumn id="68" xr3:uid="{77669B98-3F4E-4F0B-B379-336EBB3BB908}" name="Bed"/>
    <tableColumn id="10" xr3:uid="{3A828AE2-C6C3-4168-BB10-732BB557044A}" name="CSA Portions Per Week" dataDxfId="299">
      <calculatedColumnFormula array="1">INDEX(Crops[],BedPlan[[#This Row],[Chart Index]],D$4,1)*BedPlan[[#This Row],[Full Bed Equivalent]]</calculatedColumnFormula>
    </tableColumn>
    <tableColumn id="72" xr3:uid="{0C31680D-67CB-47AF-BF2A-CDBE9D6A680C}" name="CSA Portions" dataDxfId="298">
      <calculatedColumnFormula array="1">INDEX(Crops[],BedPlan[[#This Row],[Chart Index]],E$4,1)*BedPlan[[#This Row],[Full Bed Equivalent]]</calculatedColumnFormula>
    </tableColumn>
    <tableColumn id="11" xr3:uid="{4C0AD4B8-DE04-4161-B3FC-173B88A3F24A}" name="Code" dataDxfId="297">
      <calculatedColumnFormula>UPPER(LEFT(BedPlan[[#This Row],[Crop]],3))</calculatedColumnFormula>
    </tableColumn>
    <tableColumn id="38" xr3:uid="{0D32ACCE-CA91-48AA-992F-B07DDDBF7151}" name="Notes"/>
    <tableColumn id="2" xr3:uid="{0231779C-7123-4F82-82A2-AE54C193D1BE}" name="Name" dataDxfId="296">
      <calculatedColumnFormula array="1">INDEX(Crops[],BedPlan[[#This Row],[Chart Index]],H$4,1)</calculatedColumnFormula>
    </tableColumn>
    <tableColumn id="3" xr3:uid="{833984BD-03FB-4980-B2CE-DF80F2855AED}" name="Variety"/>
    <tableColumn id="5" xr3:uid="{56C8E8EA-2522-4FF2-9248-8D7FBEB9A58E}" name="Company"/>
    <tableColumn id="73" xr3:uid="{BF978D22-1A6C-4219-BBF8-E9466F28F96F}" name="Mix Constituents" dataDxfId="295"/>
    <tableColumn id="6" xr3:uid="{912FB174-5C5A-4D3B-B11D-83D09820D8EE}" name="Seeds" dataDxfId="294" dataCellStyle="Comma">
      <calculatedColumnFormula array="1">INDEX(Crops[],BedPlan[[#This Row],[Chart Index]],L$4,1)*BedPlan[[#This Row],[Full Bed Equivalent]]</calculatedColumnFormula>
    </tableColumn>
    <tableColumn id="7" xr3:uid="{4863D532-D498-4030-BA66-67D88511B207}" name="Seed Bought"/>
    <tableColumn id="8" xr3:uid="{B745CC2B-DC67-4ED5-A649-2151D9DD2EAD}" name="# Of Beds">
      <calculatedColumnFormula>1</calculatedColumnFormula>
    </tableColumn>
    <tableColumn id="9" xr3:uid="{1640A41C-6553-41BE-A9AE-49627763B682}" name="Display Width" dataDxfId="293">
      <calculatedColumnFormula>MAX(BedPlan[[#This Row],['# Of Beds]],0.5)</calculatedColumnFormula>
    </tableColumn>
    <tableColumn id="69" xr3:uid="{4328F8E6-B06E-48F3-93DD-C14ED3DF7744}" name="Start Date" dataDxfId="292">
      <calculatedColumnFormula>IF(ISNUMBER(BedPlan[[#This Row],[Planned Greenhouse Start Date]]),BedPlan[[#This Row],[Planned Greenhouse Start Date]],BedPlan[[#This Row],[Planned TP or DS Date]])</calculatedColumnFormula>
    </tableColumn>
    <tableColumn id="19" xr3:uid="{DB570DEE-127F-4812-900B-EB41D9E9D8C8}" name="Planned Greenhouse Start Date" dataDxfId="291">
      <calculatedColumnFormula>IF(BedPlan[[#This Row],[Days in Cells]]=0,"",IFERROR(_xlfn.XLOOKUP(BedPlan[[#This Row],[Follows Crop]],BedPlan[Identifier],BedPlan[Expected End of Harvest]) + 1+BedPlan[[#This Row],[Follow Offset]],BedPlan[[#This Row],[Fixed Field Start Date]])-BedPlan[[#This Row],[Days in Cells]])</calculatedColumnFormula>
    </tableColumn>
    <tableColumn id="57" xr3:uid="{9787E90F-80DC-4799-BC55-7C14B612884F}" name="Actual Greenhouse Date" dataDxfId="290"/>
    <tableColumn id="71" xr3:uid="{7211C327-A4F2-4614-B600-DCE8456191CE}" name="Greenhouse Start Date" dataDxfId="289">
      <calculatedColumnFormula>IF(ISNUMBER(BedPlan[[#This Row],[Actual Greenhouse Date]]),BedPlan[[#This Row],[Actual Greenhouse Date]],BedPlan[[#This Row],[Planned Greenhouse Start Date]])</calculatedColumnFormula>
    </tableColumn>
    <tableColumn id="20" xr3:uid="{BC543D94-C7EE-458E-A076-859C20CEDF68}" name="Fixed Field Start Date" dataDxfId="288">
      <calculatedColumnFormula>_xlfn.XLOOKUP(BedPlan[[#This Row],[Crop]],Crops[Identifier],Crops[Target Field Date])</calculatedColumnFormula>
    </tableColumn>
    <tableColumn id="21" xr3:uid="{B04D3DBA-7C7D-432E-BC5D-3F272DA69E10}" name="Follows Crop" dataDxfId="287"/>
    <tableColumn id="61" xr3:uid="{282C532D-D9B5-4F31-AA05-78B899DB114B}" name="Follow Offset" dataDxfId="286"/>
    <tableColumn id="22" xr3:uid="{50AFB724-1F53-4399-9817-9E05FEA1583D}" name="Planned TP or DS Date" dataDxfId="285">
      <calculatedColumnFormula>IF(ISNUMBER(BedPlan[[#This Row],[Actual Greenhouse Date]]),BedPlan[[#This Row],[Actual Greenhouse Date]]+BedPlan[[#This Row],[Days in Cells]],IFERROR(_xlfn.XLOOKUP(BedPlan[[#This Row],[Follows Crop]],BedPlan[Identifier],BedPlan[Expected End of Harvest]) + 1+BedPlan[[#This Row],[Follow Offset]],BedPlan[[#This Row],[Fixed Field Start Date]]))</calculatedColumnFormula>
    </tableColumn>
    <tableColumn id="58" xr3:uid="{2A94DB44-9303-4508-9EDF-1B66A150C09E}" name="Actual TP or DS Date" dataDxfId="284"/>
    <tableColumn id="86" xr3:uid="{25545508-1928-4E54-A34B-CD35BD04835C}" name="In Ground Days Late" dataDxfId="283">
      <calculatedColumnFormula>BedPlan[[#This Row],[Actual TP or DS Date]]-BedPlan[[#This Row],[Planned TP or DS Date]]</calculatedColumnFormula>
    </tableColumn>
    <tableColumn id="60" xr3:uid="{556C507E-37B9-4D37-BD52-728A21AD0378}" name="TP or DS Date" dataDxfId="282">
      <calculatedColumnFormula>IF(ISNUMBER(BedPlan[[#This Row],[Actual TP or DS Date]]),BedPlan[[#This Row],[Actual TP or DS Date]],BedPlan[[#This Row],[Planned TP or DS Date]])</calculatedColumnFormula>
    </tableColumn>
    <tableColumn id="33" xr3:uid="{FA9A6A89-B0C2-4741-AF36-F3576370AB11}" name="Additional Days In Field" dataDxfId="281"/>
    <tableColumn id="23" xr3:uid="{6147C5AE-FACF-458C-8F06-F1123BDE1268}" name="Expected Beginning of Harvest" dataDxfId="280">
      <calculatedColumnFormula>IF(ISNUMBER(BedPlan[[#This Row],[Greenhouse Start Date]]),BedPlan[[#This Row],[Greenhouse Start Date]]+BedPlan[[#This Row],[DTM]],BedPlan[[#This Row],[TP or DS Date]]+BedPlan[[#This Row],[DTM]])</calculatedColumnFormula>
    </tableColumn>
    <tableColumn id="63" xr3:uid="{F5372674-DB8D-4712-9026-FA5687638612}" name="Actual Beginning of Harvest" dataDxfId="279"/>
    <tableColumn id="66" xr3:uid="{9F40303F-7AC1-4C67-B556-A206A1F24860}" name="Beginning of Harvest" dataDxfId="278">
      <calculatedColumnFormula>IF(ISNUMBER(BedPlan[[#This Row],[Actual Beginning of Harvest]]),BedPlan[[#This Row],[Actual Beginning of Harvest]],BedPlan[[#This Row],[Expected Beginning of Harvest]])</calculatedColumnFormula>
    </tableColumn>
    <tableColumn id="24" xr3:uid="{3253BFDD-AB1E-4257-BED7-51A0F935475E}" name="Expected End of Harvest" dataDxfId="277">
      <calculatedColumnFormula>BedPlan[[#This Row],[Expected Beginning of Harvest]]+BedPlan[[#This Row],[Harvest Window]]+BedPlan[[#This Row],[Additional Days of Harvest]]</calculatedColumnFormula>
    </tableColumn>
    <tableColumn id="62" xr3:uid="{ED8935BE-78E2-4BF3-99C3-700EC5C15830}" name="Actual End of Harvest" dataDxfId="276"/>
    <tableColumn id="34" xr3:uid="{2B5DB080-61FB-46CB-B28C-4AC833DE23C5}" name="Additional Days of Harvest" dataDxfId="275"/>
    <tableColumn id="55" xr3:uid="{18F2D352-1075-4834-9F76-1FB4ABE550CF}" name="August Harvest" dataDxfId="274">
      <calculatedColumnFormula>IF(AND( BedPlan[[#This Row],[Expected End of Harvest]] &gt;= DATE(2025, 8, 1), BedPlan[[#This Row],[Beginning of Harvest]] &lt;= DATE(2025, 8, 31) ), TRUE, FALSE)</calculatedColumnFormula>
    </tableColumn>
    <tableColumn id="67" xr3:uid="{8DBFE7FD-BB2D-4954-A9BD-DCE15B8033AB}" name="Failed" dataDxfId="273"/>
    <tableColumn id="65" xr3:uid="{717695D0-2A67-4E5E-A8C3-92627BF17A4F}" name="End of Harvest" dataDxfId="272">
      <calculatedColumnFormula>IF(ISNUMBER(BedPlan[[#This Row],[Actual End of Harvest]]),BedPlan[[#This Row],[Actual End of Harvest]],BedPlan[[#This Row],[Expected End of Harvest]])</calculatedColumnFormula>
    </tableColumn>
    <tableColumn id="25" xr3:uid="{24F7970B-40BE-4543-A957-936C5F4E4801}" name="Seeding Done" dataDxfId="271">
      <calculatedColumnFormula>OR(ISNUMBER(BedPlan[[#This Row],[Actual Greenhouse Date]]),ISNUMBER(BedPlan[[#This Row],[Actual TP or DS Date]]))</calculatedColumnFormula>
    </tableColumn>
    <tableColumn id="26" xr3:uid="{F5A59831-B3D0-41AE-905B-B80236483030}" name="Transplant Done" dataDxfId="270">
      <calculatedColumnFormula>IF(ISNUMBER(BedPlan[[#This Row],[Planned Greenhouse Start Date]]),OR(ISNUMBER(BedPlan[[#This Row],[Actual TP or DS Date]]),BedPlan[[#This Row],[Failed]]),"-")</calculatedColumnFormula>
    </tableColumn>
    <tableColumn id="27" xr3:uid="{12022537-6189-4704-BB84-51849AF16AF4}" name="Harvest Done" dataDxfId="269">
      <calculatedColumnFormula>OR(ISNUMBER(BedPlan[[#This Row],[Actual End of Harvest]]),BedPlan[[#This Row],[Failed]])</calculatedColumnFormula>
    </tableColumn>
    <tableColumn id="28" xr3:uid="{7267ADB0-4668-47DE-95A5-6AEE3F2659BD}" name="Crop Done" dataDxfId="268">
      <calculatedColumnFormula>OR(BedPlan[[#This Row],[Harvest Done]],BedPlan[[#This Row],[Failed]],BedPlan[[#This Row],[Name]]="Tarp")</calculatedColumnFormula>
    </tableColumn>
    <tableColumn id="87" xr3:uid="{9448E31E-0A90-4EC7-81CE-8604A66E07D8}" name="Broadfork" dataDxfId="267"/>
    <tableColumn id="91" xr3:uid="{DFEEC07F-CAC1-499E-8A93-74BDEF765E4A}" name="Tilther" dataDxfId="266"/>
    <tableColumn id="144" xr3:uid="{A949419C-5959-4F5F-826C-8FBABBA6223B}" name="Amend" dataDxfId="265"/>
    <tableColumn id="146" xr3:uid="{62588FBF-76A4-4AE6-9B5E-8CCA99D6BBD0}" name="Row Cover" dataDxfId="264"/>
    <tableColumn id="88" xr3:uid="{6D78EAB0-86BA-41F5-9140-83CF462FF47C}" name="Broadfork Date" dataDxfId="263">
      <calculatedColumnFormula>IF(BedPlan[[#This Row],[Broadfork]],BedPlan[[#This Row],[Actual TP or DS Date]],"")</calculatedColumnFormula>
    </tableColumn>
    <tableColumn id="142" xr3:uid="{88A96BE1-2AF1-4333-9E1D-DE9522748639}" name="Tilther Date" dataDxfId="262">
      <calculatedColumnFormula>IF(BedPlan[[#This Row],[Tilther]],BedPlan[[#This Row],[Actual TP or DS Date]],"")</calculatedColumnFormula>
    </tableColumn>
    <tableColumn id="145" xr3:uid="{8D33645D-5CFF-4DAF-A3B2-C9C5D2543F9D}" name="Amend Date" dataDxfId="261">
      <calculatedColumnFormula>IF(NOT(ISBLANK(BedPlan[[#This Row],[Amend]])),BedPlan[[#This Row],[Actual TP or DS Date]],"")</calculatedColumnFormula>
    </tableColumn>
    <tableColumn id="147" xr3:uid="{C0F6EFB3-81C6-4043-A91F-6957D246E248}" name="Row Cover Date" dataDxfId="260">
      <calculatedColumnFormula>IF(BedPlan[[#This Row],[Row Cover]],BedPlan[[#This Row],[Actual TP or DS Date]],"")</calculatedColumnFormula>
    </tableColumn>
    <tableColumn id="148" xr3:uid="{628E8F85-91C1-482B-AF58-9F987CBA81B5}" name="Observation 1" dataDxfId="259"/>
    <tableColumn id="149" xr3:uid="{128BEEDA-C268-449D-AF94-7C8910EA9935}" name="Observation 1 Date" dataDxfId="258"/>
    <tableColumn id="150" xr3:uid="{73800255-9EBD-4F37-936A-63EF6EFA1ED1}" name="Oberservation 2" dataDxfId="257"/>
    <tableColumn id="151" xr3:uid="{A6A4FBBC-746E-424F-BC2A-A7356D8A7410}" name="Observation 2 Date" dataDxfId="256"/>
    <tableColumn id="152" xr3:uid="{D4E1EF5B-28E1-426D-A16E-152E778DC16B}" name="Observation 3" dataDxfId="255"/>
    <tableColumn id="153" xr3:uid="{A111EE4E-EF8E-4E88-A3A1-E4901BA48750}" name="Observation 3 Date" dataDxfId="254"/>
    <tableColumn id="29" xr3:uid="{8851936C-1D7F-4CCC-A302-4D00CAF89349}" name="Revenue" dataDxfId="253" totalsRowDxfId="252" dataCellStyle="Currency">
      <calculatedColumnFormula array="1">INDEX(Crops[],BedPlan[[#This Row],[Chart Index]],BC$4,1)*BedPlan[[#This Row],[Full Bed Equivalent]]</calculatedColumnFormula>
    </tableColumn>
    <tableColumn id="30" xr3:uid="{041A723A-BFC0-4F1B-80D5-01EBB166062D}" name="Revenue Per Bed Day" dataDxfId="251" totalsRowDxfId="250" dataCellStyle="Currency">
      <calculatedColumnFormula array="1">INDEX(Crops[],BedPlan[[#This Row],[Chart Index]],BD$4,1)*BedPlan[[#This Row],[Full Bed Equivalent]]</calculatedColumnFormula>
    </tableColumn>
    <tableColumn id="31" xr3:uid="{0165FC1E-B659-413E-B68F-75CB43C1A8BF}" name="DTM" dataDxfId="249">
      <calculatedColumnFormula array="1">INDEX(Crops[],BedPlan[[#This Row],[Chart Index]],BE$4,1)+BedPlan[[#This Row],[Additional Days in Cells]]+BedPlan[[#This Row],[Additional Days In Field]]</calculatedColumnFormula>
    </tableColumn>
    <tableColumn id="32" xr3:uid="{7EEE851E-871A-4EE8-9746-12B8FB848D7D}" name="Additional Days in Cells"/>
    <tableColumn id="35" xr3:uid="{FA65703F-4DC3-498F-B837-6472FD05B4CC}" name="Harvest Window" dataDxfId="248">
      <calculatedColumnFormula array="1">INDEX(Crops[],BedPlan[[#This Row],[Chart Index]],BG$4,1)</calculatedColumnFormula>
    </tableColumn>
    <tableColumn id="37" xr3:uid="{86E977E4-E5C5-4C15-89E5-EC948EDBCC99}" name="DS/TP">
      <calculatedColumnFormula>IF(ISNUMBER(BedPlan[[#This Row],[Planned Greenhouse Start Date]]),"TP","DS")</calculatedColumnFormula>
    </tableColumn>
    <tableColumn id="13" xr3:uid="{D74944CE-20A4-46C2-B914-A5BC71C7C76A}" name="Full Bed Equivalent" dataDxfId="247">
      <calculatedColumnFormula>BedPlan[[#This Row],['# Of Beds]]</calculatedColumnFormula>
    </tableColumn>
    <tableColumn id="16" xr3:uid="{4FB34BFD-0BDC-4900-B313-6AACB22AF5A1}" name="Days in Cells" dataDxfId="246">
      <calculatedColumnFormula array="1">INDEX(Crops[],BedPlan[[#This Row],[Chart Index]],BJ$4,1)</calculatedColumnFormula>
    </tableColumn>
    <tableColumn id="17" xr3:uid="{2AEB4123-55DB-46D9-ADB7-007EED6EE8F6}" name="Rows" dataDxfId="245">
      <calculatedColumnFormula array="1">INDEX(Crops[],BedPlan[[#This Row],[Chart Index]],BK$4,1)</calculatedColumnFormula>
    </tableColumn>
    <tableColumn id="18" xr3:uid="{434F102F-F4A3-46D6-B9AB-5C2527172665}" name="Spacing" dataDxfId="244">
      <calculatedColumnFormula array="1">INDEX(Crops[],BedPlan[[#This Row],[Chart Index]],BL$4,1)</calculatedColumnFormula>
    </tableColumn>
    <tableColumn id="56" xr3:uid="{B87BB284-63B0-4697-A324-3E569FF03E77}" name="Seeds Per Planting" dataDxfId="243">
      <calculatedColumnFormula array="1">INDEX(Crops[],BedPlan[[#This Row],[Chart Index]],BM$4,1)</calculatedColumnFormula>
    </tableColumn>
    <tableColumn id="64" xr3:uid="{3D473227-6FFA-4FB5-869E-AD674AB84754}" name="Plantings" dataDxfId="242">
      <calculatedColumnFormula array="1">INDEX(Crops[],BedPlan[[#This Row],[Chart Index]],BN$4,1)*BedPlan[[#This Row],[Full Bed Equivalent]]</calculatedColumnFormula>
    </tableColumn>
    <tableColumn id="39" xr3:uid="{9716F679-6561-4369-A633-5F7DB83D77EC}" name="Irrigation" dataDxfId="241">
      <calculatedColumnFormula array="1">IF(INDEX(Crops[],BedPlan[[#This Row],[Chart Index]],BO$4,1)=0,"",INDEX(Crops[],BedPlan[[#This Row],[Chart Index]],BO$4,1))</calculatedColumnFormula>
    </tableColumn>
    <tableColumn id="40" xr3:uid="{296895A1-E547-41D8-8E9F-63DA0E3B95A2}" name="Chart Index" dataDxfId="240">
      <calculatedColumnFormula>MATCH(BedPlan[[#This Row],[Crop]],Crops[Identifier],FALSE)</calculatedColumnFormula>
    </tableColumn>
    <tableColumn id="14" xr3:uid="{2B38AFF7-45CE-4C06-BDB9-AE3610F140EC}" name="Variant" dataDxfId="239">
      <calculatedColumnFormula array="1">INDEX(Crops[],BedPlan[[#This Row],[Chart Index]],BQ$4,1)</calculatedColumnFormula>
    </tableColumn>
    <tableColumn id="36" xr3:uid="{D2FA460A-4A83-4E4D-8945-0B59438F9FE6}" name="Seasons" dataDxfId="238">
      <calculatedColumnFormula array="1">INDEX(Crops[],BedPlan[[#This Row],[Chart Index]],BR$4,1)</calculatedColumnFormula>
    </tableColumn>
    <tableColumn id="42" xr3:uid="{FDB3C45F-86F9-4B0E-BB1E-D07856EFB1CD}" name="Days Until Harvest" dataDxfId="237">
      <calculatedColumnFormula>BedPlan[[#This Row],[Expected Beginning of Harvest]]-DATE(2023,1,1)</calculatedColumnFormula>
    </tableColumn>
    <tableColumn id="43" xr3:uid="{53DCA023-182A-480D-964E-3A176C1B85D4}" name="True Harvest Window" dataDxfId="236">
      <calculatedColumnFormula>BedPlan[[#This Row],[Expected End of Harvest]]-BedPlan[[#This Row],[Expected Beginning of Harvest]]</calculatedColumnFormula>
    </tableColumn>
    <tableColumn id="44" xr3:uid="{E04D75F3-459E-4DED-A147-7DB74027EDC4}" name="Category" dataDxfId="235">
      <calculatedColumnFormula array="1">INDEX(Crops[],BedPlan[[#This Row],[Chart Index]],BU$4,1)</calculatedColumnFormula>
    </tableColumn>
    <tableColumn id="45" xr3:uid="{2A786C9F-FB43-451D-BA15-3B4BE4808C80}" name="Height" dataDxfId="234">
      <calculatedColumnFormula array="1">INDEX(Crops[],BedPlan[[#This Row],[Chart Index]],BV$4,1)</calculatedColumnFormula>
    </tableColumn>
    <tableColumn id="46" xr3:uid="{991DC4B8-A6F3-47D7-9CA7-A30471237446}" name="Cover" dataDxfId="233">
      <calculatedColumnFormula array="1">INDEX(Crops[],BedPlan[[#This Row],[Chart Index]],BW$4,1)</calculatedColumnFormula>
    </tableColumn>
    <tableColumn id="54" xr3:uid="{AD726F58-2743-4381-8839-FA8D15AE89BD}" name="Tray 1 Size" dataDxfId="232">
      <calculatedColumnFormula array="1">INDEX(Crops[],BedPlan[[#This Row],[Chart Index]],BX$4,1)</calculatedColumnFormula>
    </tableColumn>
    <tableColumn id="41" xr3:uid="{FC390550-830C-422C-A73A-058D745F00CC}" name="Tray 1 Days" dataDxfId="231">
      <calculatedColumnFormula array="1">INDEX(Crops[],BedPlan[[#This Row],[Chart Index]],BY$4,1)</calculatedColumnFormula>
    </tableColumn>
    <tableColumn id="47" xr3:uid="{D2D1F8D5-B450-4EF5-A01A-4B16F3E2FFF2}" name="Tray 1 Count" dataDxfId="230" totalsRowDxfId="229">
      <calculatedColumnFormula array="1">IFERROR(INDEX(Crops[],BedPlan[[#This Row],[Chart Index]],BZ$4,1)*BedPlan[[#This Row],[Full Bed Equivalent]],"")</calculatedColumnFormula>
    </tableColumn>
    <tableColumn id="48" xr3:uid="{9AB84EE1-D866-47C1-8B6D-A9CA5C8B699B}" name="Tray 2 Size" dataDxfId="228">
      <calculatedColumnFormula array="1">INDEX(Crops[],BedPlan[[#This Row],[Chart Index]],CA$4,1)</calculatedColumnFormula>
    </tableColumn>
    <tableColumn id="49" xr3:uid="{7E083D79-9B59-47C8-B79A-AD8FED339116}" name="Tray 2 Days" dataDxfId="227">
      <calculatedColumnFormula array="1">INDEX(Crops[],BedPlan[[#This Row],[Chart Index]],CB$4,1)</calculatedColumnFormula>
    </tableColumn>
    <tableColumn id="50" xr3:uid="{8BF9D5B7-7336-42F8-9FB1-1575EF8F3DE5}" name="Tray 2 Count" dataDxfId="226" totalsRowDxfId="225">
      <calculatedColumnFormula array="1">IFERROR(INDEX(Crops[],BedPlan[[#This Row],[Chart Index]],CC$4,1)*BedPlan[[#This Row],[Full Bed Equivalent]],"")</calculatedColumnFormula>
    </tableColumn>
    <tableColumn id="51" xr3:uid="{24186473-D698-4811-A608-D6657A1E69D4}" name="Tray 3 Size" dataDxfId="224">
      <calculatedColumnFormula array="1">INDEX(Crops[],BedPlan[[#This Row],[Chart Index]],CD$4,1)</calculatedColumnFormula>
    </tableColumn>
    <tableColumn id="52" xr3:uid="{379A00D4-4B9B-4360-8FC8-DC1C82142A67}" name="Tray 3 Days" dataDxfId="223">
      <calculatedColumnFormula array="1">IF(INDEX(Crops[],BedPlan[[#This Row],[Chart Index]],CE$4,1)="",0,INDEX(Crops[],BedPlan[[#This Row],[Chart Index]],CE$4,1))</calculatedColumnFormula>
    </tableColumn>
    <tableColumn id="53" xr3:uid="{B790D622-3524-4892-929A-9C26C8D0B364}" name="Tray 3 Count" dataDxfId="222" totalsRowDxfId="221">
      <calculatedColumnFormula array="1">IFERROR(INDEX(Crops[],BedPlan[[#This Row],[Chart Index]],CF$4,1)*BedPlan[[#This Row],[Full Bed Equivalent]],"")</calculatedColumnFormula>
    </tableColumn>
    <tableColumn id="70" xr3:uid="{8F092143-50CC-4E98-BE18-6F21AAE09580}" name="Safety Factor" dataDxfId="220">
      <calculatedColumnFormula array="1">IF(INDEX(Crops[],BedPlan[[#This Row],[Chart Index]],CG$4,1)="",0,INDEX(Crops[],BedPlan[[#This Row],[Chart Index]],CG$4,1))</calculatedColumnFormula>
    </tableColumn>
    <tableColumn id="59" xr3:uid="{0F4CF799-1539-4D57-9BF9-DAA83F06B0DF}" name="DTG" dataDxfId="219">
      <calculatedColumnFormula array="1">IF(INDEX(Crops[],BedPlan[[#This Row],[Chart Index]],CH$4,1)="",0,INDEX(Crops[],BedPlan[[#This Row],[Chart Index]],CH$4,1))</calculatedColumnFormula>
    </tableColumn>
    <tableColumn id="12" xr3:uid="{515F57D4-DD9E-427C-B7D0-48872C1B09BA}" name="Growing Structure" dataDxfId="218">
      <calculatedColumnFormula array="1">INDEX(Crops[],BedPlan[[#This Row],[Chart Index]],CI$4,1)</calculatedColumnFormula>
    </tableColumn>
    <tableColumn id="15" xr3:uid="{D0C0B0DC-A1FF-4C31-91C6-C1855D461D42}" name=" " dataDxfId="217">
      <calculatedColumnFormula>_xlfn.TEXTJOIN(CHAR(10),FALSE,BedPlan[[#This Row],[Name]],BedPlan[[#This Row],[Variety]],BedPlan[[#This Row],[Company]])</calculatedColumnFormula>
    </tableColumn>
    <tableColumn id="74" xr3:uid="{1097C4E9-6214-4223-8CA9-7983DDDE2DC3}" name="Harvest Days January 2025" dataDxfId="216">
      <calculatedColumnFormula>MAX( 0, MIN(BedPlan[[#This Row],[Expected End of Harvest]], EOMONTH(CK$4, 0)) - MAX(BedPlan[[#This Row],[Beginning of Harvest]], CK$4) + 1 )</calculatedColumnFormula>
    </tableColumn>
    <tableColumn id="75" xr3:uid="{11B33E5A-4054-4FD7-AA52-12823FBDCC97}" name="Harvest Days February 2025" dataDxfId="215">
      <calculatedColumnFormula>MAX( 0, MIN(BedPlan[[#This Row],[Expected End of Harvest]], EOMONTH(CL$4, 0)) - MAX(BedPlan[[#This Row],[Beginning of Harvest]], CL$4) + 1 )</calculatedColumnFormula>
    </tableColumn>
    <tableColumn id="76" xr3:uid="{FAAD6631-3EEF-4C0A-BF43-C0A42EFC4445}" name="Harvest Days March 2025" dataDxfId="214">
      <calculatedColumnFormula>MAX( 0, MIN(BedPlan[[#This Row],[Expected End of Harvest]], EOMONTH(CM$4, 0)) - MAX(BedPlan[[#This Row],[Beginning of Harvest]], CM$4) + 1 )</calculatedColumnFormula>
    </tableColumn>
    <tableColumn id="77" xr3:uid="{B57E7547-9807-4B01-96A4-7A326DDAAA2B}" name="Harvest Days April 2025" dataDxfId="213">
      <calculatedColumnFormula>MAX( 0, MIN(BedPlan[[#This Row],[Expected End of Harvest]], EOMONTH(CN$4, 0)) - MAX(BedPlan[[#This Row],[Beginning of Harvest]], CN$4) + 1 )</calculatedColumnFormula>
    </tableColumn>
    <tableColumn id="78" xr3:uid="{25A4C2CF-076F-42C4-87EB-AC86B9FC6658}" name="Harvest Days May 2025" dataDxfId="212">
      <calculatedColumnFormula>MAX( 0, MIN(BedPlan[[#This Row],[Expected End of Harvest]], EOMONTH(CO$4, 0)) - MAX(BedPlan[[#This Row],[Beginning of Harvest]], CO$4) + 1 )</calculatedColumnFormula>
    </tableColumn>
    <tableColumn id="79" xr3:uid="{1EDCE72D-EC3F-436B-B4C5-A1955A9E629F}" name="Harvest Days June 2025" dataDxfId="211">
      <calculatedColumnFormula>MAX( 0, MIN(BedPlan[[#This Row],[Expected End of Harvest]], EOMONTH(CP$4, 0)) - MAX(BedPlan[[#This Row],[Beginning of Harvest]], CP$4) + 1 )</calculatedColumnFormula>
    </tableColumn>
    <tableColumn id="80" xr3:uid="{175A2DB4-2A1C-43D0-8041-4D3681CE3C47}" name="Harvest Days July 2025" dataDxfId="210">
      <calculatedColumnFormula>MAX( 0, MIN(BedPlan[[#This Row],[Expected End of Harvest]], EOMONTH(CQ$4, 0)) - MAX(BedPlan[[#This Row],[Beginning of Harvest]], CQ$4) + 1 )</calculatedColumnFormula>
    </tableColumn>
    <tableColumn id="81" xr3:uid="{33BC4F91-1E71-4273-B8BB-104FCABACB7D}" name="Harvest Days August 2025" dataDxfId="209">
      <calculatedColumnFormula>MAX( 0, MIN(BedPlan[[#This Row],[Expected End of Harvest]], EOMONTH(CR$4, 0)) - MAX(BedPlan[[#This Row],[Beginning of Harvest]], CR$4) + 1 )</calculatedColumnFormula>
    </tableColumn>
    <tableColumn id="82" xr3:uid="{AE31FE18-2468-4255-84A0-771A2DB20683}" name="Harvest Days September 2025" dataDxfId="208">
      <calculatedColumnFormula>MAX( 0, MIN(BedPlan[[#This Row],[Expected End of Harvest]], EOMONTH(CS$4, 0)) - MAX(BedPlan[[#This Row],[Beginning of Harvest]], CS$4) + 1 )</calculatedColumnFormula>
    </tableColumn>
    <tableColumn id="83" xr3:uid="{5A53FC9B-79CA-4B5E-8C9E-9C8C7FC9FBC6}" name="Harvest Days October 2025" dataDxfId="207">
      <calculatedColumnFormula>MAX( 0, MIN(BedPlan[[#This Row],[Expected End of Harvest]], EOMONTH(CT$4, 0)) - MAX(BedPlan[[#This Row],[Beginning of Harvest]], CT$4) + 1 )</calculatedColumnFormula>
    </tableColumn>
    <tableColumn id="84" xr3:uid="{B6D3C126-A802-4087-8A11-4CF2FB7A7C67}" name="Harvest Days November 2025" dataDxfId="206">
      <calculatedColumnFormula>MAX( 0, MIN(BedPlan[[#This Row],[Expected End of Harvest]], EOMONTH(CU$4, 0)) - MAX(BedPlan[[#This Row],[Beginning of Harvest]], CU$4) + 1 )</calculatedColumnFormula>
    </tableColumn>
    <tableColumn id="85" xr3:uid="{DE132D6E-8CFA-4611-A2BA-49E1B75BC36E}" name="Harvest Days December 2025" dataDxfId="205">
      <calculatedColumnFormula>MAX( 0, MIN(BedPlan[[#This Row],[Expected End of Harvest]], EOMONTH(CV$4, 0)) - MAX(BedPlan[[#This Row],[Beginning of Harvest]], CV$4) + 1 )</calculatedColumnFormula>
    </tableColumn>
    <tableColumn id="93" xr3:uid="{B278AB6D-035D-4FC3-BCD5-48D042811B1D}" name="Harvest Days January 2026" dataDxfId="204">
      <calculatedColumnFormula>MAX( 0, MIN(BedPlan[[#This Row],[Expected End of Harvest]], EOMONTH(CW$4, 0)) - MAX(BedPlan[[#This Row],[Beginning of Harvest]], CW$4) + 1 )</calculatedColumnFormula>
    </tableColumn>
    <tableColumn id="94" xr3:uid="{8C6764EC-895C-4723-A323-BE93D2A453E5}" name="Harvest Days February 2026" dataDxfId="203">
      <calculatedColumnFormula>MAX( 0, MIN(BedPlan[[#This Row],[Expected End of Harvest]], EOMONTH(CX$4, 0)) - MAX(BedPlan[[#This Row],[Beginning of Harvest]], CX$4) + 1 )</calculatedColumnFormula>
    </tableColumn>
    <tableColumn id="95" xr3:uid="{51ECD5B0-7AF5-4E38-97D9-CA840165C5AD}" name="Harvest Days March 2026" dataDxfId="202">
      <calculatedColumnFormula>MAX( 0, MIN(BedPlan[[#This Row],[Expected End of Harvest]], EOMONTH(CY$4, 0)) - MAX(BedPlan[[#This Row],[Beginning of Harvest]], CY$4) + 1 )</calculatedColumnFormula>
    </tableColumn>
    <tableColumn id="96" xr3:uid="{A71CA08F-3E61-42A7-945D-34A6FDAA6682}" name="Harvest Days April 2026" dataDxfId="201">
      <calculatedColumnFormula>MAX( 0, MIN(BedPlan[[#This Row],[Expected End of Harvest]], EOMONTH(CZ$4, 0)) - MAX(BedPlan[[#This Row],[Beginning of Harvest]], CZ$4) + 1 )</calculatedColumnFormula>
    </tableColumn>
    <tableColumn id="97" xr3:uid="{4CBD9773-EFDA-4F72-8E3F-186359474A46}" name="Harvest Days May 2026" dataDxfId="200">
      <calculatedColumnFormula>MAX( 0, MIN(BedPlan[[#This Row],[Expected End of Harvest]], EOMONTH(DA$4, 0)) - MAX(BedPlan[[#This Row],[Beginning of Harvest]], DA$4) + 1 )</calculatedColumnFormula>
    </tableColumn>
    <tableColumn id="98" xr3:uid="{CC1DD30D-50C6-48D3-AC33-07B2CE676744}" name="Harvest Days June 2026" dataDxfId="199">
      <calculatedColumnFormula>MAX( 0, MIN(BedPlan[[#This Row],[Expected End of Harvest]], EOMONTH(DB$4, 0)) - MAX(BedPlan[[#This Row],[Beginning of Harvest]], DB$4) + 1 )</calculatedColumnFormula>
    </tableColumn>
    <tableColumn id="99" xr3:uid="{01FC9060-5B67-4835-A881-1BAD4FFD4878}" name="Harvest Days July 2026" dataDxfId="198">
      <calculatedColumnFormula>MAX( 0, MIN(BedPlan[[#This Row],[Expected End of Harvest]], EOMONTH(DC$4, 0)) - MAX(BedPlan[[#This Row],[Beginning of Harvest]], DC$4) + 1 )</calculatedColumnFormula>
    </tableColumn>
    <tableColumn id="100" xr3:uid="{2ACA69DC-BB49-4CB9-BA84-6512D3BABB95}" name="Harvest Days August 2026" dataDxfId="197">
      <calculatedColumnFormula>MAX( 0, MIN(BedPlan[[#This Row],[Expected End of Harvest]], EOMONTH(DD$4, 0)) - MAX(BedPlan[[#This Row],[Beginning of Harvest]], DD$4) + 1 )</calculatedColumnFormula>
    </tableColumn>
    <tableColumn id="101" xr3:uid="{FE997C1E-8CEB-4F5B-84D8-23DF500A96C7}" name="Harvest Days September 2026" dataDxfId="196">
      <calculatedColumnFormula>MAX( 0, MIN(BedPlan[[#This Row],[Expected End of Harvest]], EOMONTH(DE$4, 0)) - MAX(BedPlan[[#This Row],[Beginning of Harvest]], DE$4) + 1 )</calculatedColumnFormula>
    </tableColumn>
    <tableColumn id="102" xr3:uid="{C0FA7C30-2834-4262-ADC8-080377664359}" name="Harvest Days October 2026" dataDxfId="195">
      <calculatedColumnFormula>MAX( 0, MIN(BedPlan[[#This Row],[Expected End of Harvest]], EOMONTH(DF$4, 0)) - MAX(BedPlan[[#This Row],[Beginning of Harvest]], DF$4) + 1 )</calculatedColumnFormula>
    </tableColumn>
    <tableColumn id="103" xr3:uid="{3A1FAB79-B205-4172-A959-F1460627DCDE}" name="Harvest Days November 2026" dataDxfId="194">
      <calculatedColumnFormula>MAX( 0, MIN(BedPlan[[#This Row],[Expected End of Harvest]], EOMONTH(DG$4, 0)) - MAX(BedPlan[[#This Row],[Beginning of Harvest]], DG$4) + 1 )</calculatedColumnFormula>
    </tableColumn>
    <tableColumn id="104" xr3:uid="{82741E8F-9EE8-47DB-AD0D-977D46AD0F18}" name="Harvest Days December 2026" dataDxfId="193">
      <calculatedColumnFormula>MAX( 0, MIN(BedPlan[[#This Row],[Expected End of Harvest]], EOMONTH(DH$4, 0)) - MAX(BedPlan[[#This Row],[Beginning of Harvest]], DH$4) + 1 )</calculatedColumnFormula>
    </tableColumn>
    <tableColumn id="106" xr3:uid="{980DE468-D1EA-4913-BE54-49682D14ADE5}" name="Revenue January 2025" dataDxfId="192">
      <calculatedColumnFormula array="1">BedPlan[[#This Row],[Harvest Days January 2025]]/SUM(BedPlan[[#This Row],[Harvest Days January 2025]:[Harvest Days December 2026]])*BedPlan[[#This Row],[Revenue]:[Revenue]]</calculatedColumnFormula>
    </tableColumn>
    <tableColumn id="107" xr3:uid="{9A2AD9D2-86F4-4EA2-BB53-D16B16E94F2F}" name="Revenue February 2025" dataDxfId="191">
      <calculatedColumnFormula array="1">BedPlan[[#This Row],[Harvest Days February 2025]]/SUM(BedPlan[[#This Row],[Harvest Days January 2025]:[Harvest Days December 2026]])*BedPlan[[#This Row],[Revenue]:[Revenue]]</calculatedColumnFormula>
    </tableColumn>
    <tableColumn id="108" xr3:uid="{0F8995D4-4431-46DF-8F53-50FC1431148E}" name="Revenue March 2025" dataDxfId="190">
      <calculatedColumnFormula array="1">BedPlan[[#This Row],[Harvest Days March 2025]]/SUM(BedPlan[[#This Row],[Harvest Days January 2025]:[Harvest Days December 2026]])*BedPlan[[#This Row],[Revenue]:[Revenue]]</calculatedColumnFormula>
    </tableColumn>
    <tableColumn id="109" xr3:uid="{1B54A7CD-56D0-421C-812E-220E57697460}" name="Revenue April 2025" dataDxfId="189">
      <calculatedColumnFormula array="1">BedPlan[[#This Row],[Harvest Days April 2025]]/SUM(BedPlan[[#This Row],[Harvest Days January 2025]:[Harvest Days December 2026]])*BedPlan[[#This Row],[Revenue]:[Revenue]]</calculatedColumnFormula>
    </tableColumn>
    <tableColumn id="110" xr3:uid="{FB1A4C3D-747C-4A4B-BB07-FE6940799F14}" name="Revenue May 2025" dataDxfId="188">
      <calculatedColumnFormula array="1">BedPlan[[#This Row],[Harvest Days May 2025]]/SUM(BedPlan[[#This Row],[Harvest Days January 2025]:[Harvest Days December 2026]])*BedPlan[[#This Row],[Revenue]:[Revenue]]</calculatedColumnFormula>
    </tableColumn>
    <tableColumn id="111" xr3:uid="{3308CA99-17AF-44BE-8685-6333CEF0FF64}" name="Revenue June 2025" dataDxfId="187">
      <calculatedColumnFormula array="1">BedPlan[[#This Row],[Harvest Days June 2025]]/SUM(BedPlan[[#This Row],[Harvest Days January 2025]:[Harvest Days December 2026]])*BedPlan[[#This Row],[Revenue]:[Revenue]]</calculatedColumnFormula>
    </tableColumn>
    <tableColumn id="112" xr3:uid="{B6BE0D2D-2FFD-428C-BC4F-DC53A06121DD}" name="Revenue July 2025" dataDxfId="186">
      <calculatedColumnFormula array="1">BedPlan[[#This Row],[Harvest Days July 2025]]/SUM(BedPlan[[#This Row],[Harvest Days January 2025]:[Harvest Days December 2026]])*BedPlan[[#This Row],[Revenue]:[Revenue]]</calculatedColumnFormula>
    </tableColumn>
    <tableColumn id="113" xr3:uid="{AF7A1E85-6658-4BEF-80D6-31459E8C09A9}" name="Revenue August 2025" dataDxfId="185">
      <calculatedColumnFormula array="1">BedPlan[[#This Row],[Harvest Days August 2025]]/SUM(BedPlan[[#This Row],[Harvest Days January 2025]:[Harvest Days December 2026]])*BedPlan[[#This Row],[Revenue]:[Revenue]]</calculatedColumnFormula>
    </tableColumn>
    <tableColumn id="114" xr3:uid="{B7771BF2-57E5-41BE-AF0C-ECE652BE4C77}" name="Revenue September 2025" dataDxfId="184">
      <calculatedColumnFormula array="1">BedPlan[[#This Row],[Harvest Days September 2025]]/SUM(BedPlan[[#This Row],[Harvest Days January 2025]:[Harvest Days December 2026]])*BedPlan[[#This Row],[Revenue]:[Revenue]]</calculatedColumnFormula>
    </tableColumn>
    <tableColumn id="115" xr3:uid="{1C3A3FD5-3F3D-4942-936E-C74DF0E72712}" name="Revenue October 2025" dataDxfId="183">
      <calculatedColumnFormula array="1">BedPlan[[#This Row],[Harvest Days October 2025]]/SUM(BedPlan[[#This Row],[Harvest Days January 2025]:[Harvest Days December 2026]])*BedPlan[[#This Row],[Revenue]:[Revenue]]</calculatedColumnFormula>
    </tableColumn>
    <tableColumn id="116" xr3:uid="{568C830D-2A29-4AA6-8686-86C1AA5F0999}" name="Revenue November 2025" dataDxfId="182">
      <calculatedColumnFormula array="1">BedPlan[[#This Row],[Harvest Days November 2025]]/SUM(BedPlan[[#This Row],[Harvest Days January 2025]:[Harvest Days December 2026]])*BedPlan[[#This Row],[Revenue]:[Revenue]]</calculatedColumnFormula>
    </tableColumn>
    <tableColumn id="117" xr3:uid="{9F6346F8-CF7C-4FE1-9DCC-2C9F5006EE9A}" name="Revenue December 2025" dataDxfId="181">
      <calculatedColumnFormula array="1">BedPlan[[#This Row],[Harvest Days December 2025]]/SUM(BedPlan[[#This Row],[Harvest Days January 2025]:[Harvest Days December 2026]])*BedPlan[[#This Row],[Revenue]:[Revenue]]</calculatedColumnFormula>
    </tableColumn>
    <tableColumn id="118" xr3:uid="{978EEE67-3640-4122-8957-34639EDB4E3E}" name="Revenue January 2026" dataDxfId="180">
      <calculatedColumnFormula array="1">BedPlan[[#This Row],[Harvest Days January 2026]]/SUM(BedPlan[[#This Row],[Harvest Days January 2025]:[Harvest Days December 2026]])*BedPlan[[#This Row],[Revenue]:[Revenue]]</calculatedColumnFormula>
    </tableColumn>
    <tableColumn id="119" xr3:uid="{80B41FC6-3A7F-4050-9679-776D175D3CD7}" name="Revenue February 2026" dataDxfId="179">
      <calculatedColumnFormula array="1">BedPlan[[#This Row],[Harvest Days February 2026]]/SUM(BedPlan[[#This Row],[Harvest Days January 2025]:[Harvest Days December 2026]])*BedPlan[[#This Row],[Revenue]:[Revenue]]</calculatedColumnFormula>
    </tableColumn>
    <tableColumn id="120" xr3:uid="{08F4E7F3-7E16-46CB-BC15-1BB4ED531A9B}" name="Revenue March 2026" dataDxfId="178">
      <calculatedColumnFormula array="1">BedPlan[[#This Row],[Harvest Days March 2026]]/SUM(BedPlan[[#This Row],[Harvest Days January 2025]:[Harvest Days December 2026]])*BedPlan[[#This Row],[Revenue]:[Revenue]]</calculatedColumnFormula>
    </tableColumn>
    <tableColumn id="121" xr3:uid="{A47E9C61-00D0-42B9-A07D-F06C7E242E47}" name="Revenue April 2026" dataDxfId="177">
      <calculatedColumnFormula array="1">BedPlan[[#This Row],[Harvest Days April 2026]]/SUM(BedPlan[[#This Row],[Harvest Days January 2025]:[Harvest Days December 2026]])*BedPlan[[#This Row],[Revenue]:[Revenue]]</calculatedColumnFormula>
    </tableColumn>
    <tableColumn id="122" xr3:uid="{26A36D71-5568-4C70-BD63-FBF329597E82}" name="Revenue May 2026" dataDxfId="176">
      <calculatedColumnFormula array="1">BedPlan[[#This Row],[Harvest Days May 2026]]/SUM(BedPlan[[#This Row],[Harvest Days January 2025]:[Harvest Days December 2026]])*BedPlan[[#This Row],[Revenue]:[Revenue]]</calculatedColumnFormula>
    </tableColumn>
    <tableColumn id="123" xr3:uid="{64116A4F-1EFB-4DEF-9F3F-DA3365160E8A}" name="Revenue June 2026" dataDxfId="175">
      <calculatedColumnFormula array="1">BedPlan[[#This Row],[Harvest Days June 2026]]/SUM(BedPlan[[#This Row],[Harvest Days January 2025]:[Harvest Days December 2026]])*BedPlan[[#This Row],[Revenue]:[Revenue]]</calculatedColumnFormula>
    </tableColumn>
    <tableColumn id="124" xr3:uid="{2DBF55D4-65BB-4E18-9D7A-7BC344859CB4}" name="Revenue July 2026" dataDxfId="174">
      <calculatedColumnFormula array="1">BedPlan[[#This Row],[Harvest Days July 2026]]/SUM(BedPlan[[#This Row],[Harvest Days January 2025]:[Harvest Days December 2026]])*BedPlan[[#This Row],[Revenue]:[Revenue]]</calculatedColumnFormula>
    </tableColumn>
    <tableColumn id="125" xr3:uid="{87FA77AA-55F0-4DC4-95D7-1235B5C1912F}" name="Revenue August 2026" dataDxfId="173">
      <calculatedColumnFormula array="1">BedPlan[[#This Row],[Harvest Days August 2026]]/SUM(BedPlan[[#This Row],[Harvest Days January 2025]:[Harvest Days December 2026]])*BedPlan[[#This Row],[Revenue]:[Revenue]]</calculatedColumnFormula>
    </tableColumn>
    <tableColumn id="126" xr3:uid="{1B069EDF-782C-493F-B04A-32AAA2ECBEE6}" name="Revenue September 2026" dataDxfId="172">
      <calculatedColumnFormula array="1">BedPlan[[#This Row],[Harvest Days September 2026]]/SUM(BedPlan[[#This Row],[Harvest Days January 2025]:[Harvest Days December 2026]])*BedPlan[[#This Row],[Revenue]:[Revenue]]</calculatedColumnFormula>
    </tableColumn>
    <tableColumn id="127" xr3:uid="{DA31C09A-F1B4-4E9A-8CF2-ECA253D84611}" name="Revenue October 2026" dataDxfId="171">
      <calculatedColumnFormula array="1">BedPlan[[#This Row],[Harvest Days October 2026]]/SUM(BedPlan[[#This Row],[Harvest Days January 2025]:[Harvest Days December 2026]])*BedPlan[[#This Row],[Revenue]:[Revenue]]</calculatedColumnFormula>
    </tableColumn>
    <tableColumn id="128" xr3:uid="{D15AA7B2-ECB6-40E2-8D53-946C85B81E36}" name="Revenue November 2026" dataDxfId="170">
      <calculatedColumnFormula array="1">BedPlan[[#This Row],[Harvest Days November 2026]]/SUM(BedPlan[[#This Row],[Harvest Days January 2025]:[Harvest Days December 2026]])*BedPlan[[#This Row],[Revenue]:[Revenue]]</calculatedColumnFormula>
    </tableColumn>
    <tableColumn id="129" xr3:uid="{69368C2C-06A8-4486-839E-3FB67E79FA7E}" name="Revenue December 2026" dataDxfId="169">
      <calculatedColumnFormula array="1">BedPlan[[#This Row],[Harvest Days December 2026]]/SUM(BedPlan[[#This Row],[Harvest Days January 2025]:[Harvest Days December 2026]])*BedPlan[[#This Row],[Revenue]:[Revenue]]</calculatedColumnFormula>
    </tableColumn>
    <tableColumn id="130" xr3:uid="{27E44496-5DEA-48E3-BEF6-61BE06A997EA}" name="Revenue Check" dataDxfId="168">
      <calculatedColumnFormula>SUM(BedPlan[[#This Row],[Revenue January 2025]:[Revenue December 2026]])=BedPlan[[#This Row],[Revenue]]</calculatedColumnFormula>
    </tableColumn>
    <tableColumn id="89" xr3:uid="{31DDB3F3-5AA0-46A5-9480-B8F0B96820BB}" name="Yield" dataDxfId="167">
      <calculatedColumnFormula array="1">INDEX(Crops[],BedPlan[[#This Row],[Chart Index]],EH$4,1)*BedPlan[[#This Row],['# Of Beds]]</calculatedColumnFormula>
    </tableColumn>
    <tableColumn id="92" xr3:uid="{E15E25CF-6EB2-4318-80CF-82AC47DFEE1F}" name="Unit" dataDxfId="166">
      <calculatedColumnFormula array="1">INDEX(Crops[],BedPlan[[#This Row],[Chart Index]],EI$4,1)</calculatedColumnFormula>
    </tableColumn>
    <tableColumn id="90" xr3:uid="{2C9ADDDC-1E17-4841-B434-556478165CC6}" name="Product" dataDxfId="165">
      <calculatedColumnFormula array="1">INDEX(Crops[],BedPlan[[#This Row],[Chart Index]],EJ$4,1)</calculatedColumnFormula>
    </tableColumn>
    <tableColumn id="143" xr3:uid="{4AC600E3-9AB2-4C3F-8490-048BB09D3C01}" name="Compound Product" dataDxfId="164">
      <calculatedColumnFormula>BedPlan[[#This Row],[Name]]&amp;" "&amp;BedPlan[[#This Row],[Product]]&amp; " - " &amp;BedPlan[[#This Row],[Unit]]</calculatedColumnFormula>
    </tableColumn>
    <tableColumn id="105" xr3:uid="{A41D0A01-123B-43E6-BDA8-A07B3E28C557}" name="Yield January 2025" dataDxfId="163" dataCellStyle="Comma">
      <calculatedColumnFormula array="1">BedPlan[[#This Row],[Harvest Days January 2025]]/SUM(BedPlan[[#This Row],[Harvest Days January 2025]:[Harvest Days December 2026]])*BedPlan[[#This Row],[Yield]:[Yield]]</calculatedColumnFormula>
    </tableColumn>
    <tableColumn id="131" xr3:uid="{D54BE9AE-32C7-47EF-8745-A75A03785A90}" name="Yield February 2025" dataDxfId="162" dataCellStyle="Comma">
      <calculatedColumnFormula array="1">BedPlan[[#This Row],[Harvest Days February 2025]]/SUM(BedPlan[[#This Row],[Harvest Days January 2025]:[Harvest Days December 2026]])*BedPlan[[#This Row],[Yield]:[Yield]]</calculatedColumnFormula>
    </tableColumn>
    <tableColumn id="132" xr3:uid="{A5890817-8648-4681-866D-23464899D1AE}" name="Yield March 2025" dataDxfId="161" dataCellStyle="Comma">
      <calculatedColumnFormula array="1">BedPlan[[#This Row],[Harvest Days March 2025]]/SUM(BedPlan[[#This Row],[Harvest Days January 2025]:[Harvest Days December 2026]])*BedPlan[[#This Row],[Yield]:[Yield]]</calculatedColumnFormula>
    </tableColumn>
    <tableColumn id="133" xr3:uid="{442EC00B-AB21-4E60-83AB-7E79B425C461}" name="Yield April 2025" dataDxfId="160" dataCellStyle="Comma">
      <calculatedColumnFormula array="1">BedPlan[[#This Row],[Harvest Days April 2025]]/SUM(BedPlan[[#This Row],[Harvest Days January 2025]:[Harvest Days December 2026]])*BedPlan[[#This Row],[Yield]:[Yield]]</calculatedColumnFormula>
    </tableColumn>
    <tableColumn id="134" xr3:uid="{DE38F4E3-D812-487B-A9D4-FB9F7379E1F2}" name="Yield May 2025" dataDxfId="159" dataCellStyle="Comma">
      <calculatedColumnFormula array="1">BedPlan[[#This Row],[Harvest Days May 2025]]/SUM(BedPlan[[#This Row],[Harvest Days January 2025]:[Harvest Days December 2026]])*BedPlan[[#This Row],[Yield]:[Yield]]</calculatedColumnFormula>
    </tableColumn>
    <tableColumn id="135" xr3:uid="{F861B606-DB82-4736-B152-CFEA6EF327D8}" name="Yield June 2025" dataDxfId="158" dataCellStyle="Comma">
      <calculatedColumnFormula array="1">BedPlan[[#This Row],[Harvest Days June 2025]]/SUM(BedPlan[[#This Row],[Harvest Days January 2025]:[Harvest Days December 2026]])*BedPlan[[#This Row],[Yield]:[Yield]]</calculatedColumnFormula>
    </tableColumn>
    <tableColumn id="136" xr3:uid="{24A2DF13-A2DA-48DB-A35F-CAB9F8561B98}" name="Yield July 2025" dataDxfId="157" dataCellStyle="Comma">
      <calculatedColumnFormula array="1">BedPlan[[#This Row],[Harvest Days July 2025]]/SUM(BedPlan[[#This Row],[Harvest Days January 2025]:[Harvest Days December 2026]])*BedPlan[[#This Row],[Yield]:[Yield]]</calculatedColumnFormula>
    </tableColumn>
    <tableColumn id="137" xr3:uid="{6987B5A0-B313-4C24-881E-C58152A93451}" name="Yield August 2025" dataDxfId="156" dataCellStyle="Comma">
      <calculatedColumnFormula array="1">BedPlan[[#This Row],[Harvest Days August 2025]]/SUM(BedPlan[[#This Row],[Harvest Days January 2025]:[Harvest Days December 2026]])*BedPlan[[#This Row],[Yield]:[Yield]]</calculatedColumnFormula>
    </tableColumn>
    <tableColumn id="138" xr3:uid="{39B44674-627F-460A-91CA-D2D050C84CBD}" name="Yield September 2025" dataDxfId="155" dataCellStyle="Comma">
      <calculatedColumnFormula array="1">BedPlan[[#This Row],[Harvest Days September 2025]]/SUM(BedPlan[[#This Row],[Harvest Days January 2025]:[Harvest Days December 2026]])*BedPlan[[#This Row],[Yield]:[Yield]]</calculatedColumnFormula>
    </tableColumn>
    <tableColumn id="139" xr3:uid="{C0378620-6B2F-479D-BBB0-C9173BE44D33}" name="Yield October 2025" dataDxfId="154" dataCellStyle="Comma">
      <calculatedColumnFormula array="1">BedPlan[[#This Row],[Harvest Days October 2025]]/SUM(BedPlan[[#This Row],[Harvest Days January 2025]:[Harvest Days December 2026]])*BedPlan[[#This Row],[Yield]:[Yield]]</calculatedColumnFormula>
    </tableColumn>
    <tableColumn id="140" xr3:uid="{1D9A9CF4-70B9-4D84-B4EC-EA7A3474999D}" name="Yield November 2025" dataDxfId="153" dataCellStyle="Comma">
      <calculatedColumnFormula array="1">BedPlan[[#This Row],[Harvest Days November 2025]]/SUM(BedPlan[[#This Row],[Harvest Days January 2025]:[Harvest Days December 2026]])*BedPlan[[#This Row],[Yield]:[Yield]]</calculatedColumnFormula>
    </tableColumn>
    <tableColumn id="141" xr3:uid="{DEEE2D1E-11C4-43F0-85EE-663B64DBF569}" name="Yield December 2025" dataDxfId="152" dataCellStyle="Comma">
      <calculatedColumnFormula array="1">BedPlan[[#This Row],[Harvest Days December 2025]]/SUM(BedPlan[[#This Row],[Harvest Days January 2025]:[Harvest Days December 2026]])*BedPlan[[#This Row],[Yield]:[Yield]]</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01574D-61D7-CF49-B617-4352C1358F0F}" name="Table17" displayName="Table17" ref="B2:AE140" totalsRowShown="0" headerRowDxfId="151" dataDxfId="149" headerRowBorderDxfId="150" tableBorderDxfId="148" totalsRowBorderDxfId="147">
  <autoFilter ref="B2:AE140" xr:uid="{8B01574D-61D7-CF49-B617-4352C1358F0F}"/>
  <sortState xmlns:xlrd2="http://schemas.microsoft.com/office/spreadsheetml/2017/richdata2" ref="B3:AB140">
    <sortCondition ref="D2:D140"/>
  </sortState>
  <tableColumns count="30">
    <tableColumn id="1" xr3:uid="{D1E6E3E7-9295-9047-AC1D-BA51B1805ED7}" name="Crop" dataDxfId="146"/>
    <tableColumn id="2" xr3:uid="{4766F420-339D-1C4C-BB4E-490DA8B838B0}" name="Identifier" dataDxfId="145"/>
    <tableColumn id="3" xr3:uid="{0F4A3BF6-8811-DE49-99FB-79DB19B5070C}" name="Bed" dataDxfId="144"/>
    <tableColumn id="4" xr3:uid="{E53CC737-C74B-E846-B84E-2EF0DD943FEC}" name="CSA Portions Per Week" dataDxfId="143"/>
    <tableColumn id="5" xr3:uid="{3CE84F19-D465-D947-BA33-0CE3F8704CC7}" name="CSA Portions" dataDxfId="142"/>
    <tableColumn id="6" xr3:uid="{4F3D2DC8-1061-C846-8044-58A5C574DC62}" name="Code" dataDxfId="141"/>
    <tableColumn id="7" xr3:uid="{0016A671-25C5-EF42-B037-7D91A7BB54EA}" name="Notes" dataDxfId="140"/>
    <tableColumn id="8" xr3:uid="{F0B62729-D489-5E49-AD47-0654A19241C2}" name="Name" dataDxfId="139"/>
    <tableColumn id="9" xr3:uid="{B0965579-AE6A-5942-8FCA-8CCA96D0BEBA}" name="# Of Beds" dataDxfId="138"/>
    <tableColumn id="10" xr3:uid="{D7D91F3C-E006-194B-808F-CCE2FC45EA4C}" name="Display Width" dataDxfId="137"/>
    <tableColumn id="11" xr3:uid="{AC945680-16DA-2E43-AC1F-9CF140C3E5F3}" name="Start Date" dataDxfId="136"/>
    <tableColumn id="12" xr3:uid="{B483819D-120F-3343-9094-753CD02A23C3}" name="Planned Greenhouse Start Date" dataDxfId="135"/>
    <tableColumn id="13" xr3:uid="{80E7181C-3013-C344-9D26-17B0F197F5B6}" name="Actual Greenhouse Date" dataDxfId="134"/>
    <tableColumn id="14" xr3:uid="{70A4083C-8F10-484E-937B-57579EB9BAE2}" name="Greenhouse Start Date" dataDxfId="133"/>
    <tableColumn id="15" xr3:uid="{52078FAF-84A3-0E48-9FCF-6B6B159FC523}" name="Fixed Field Start Date" dataDxfId="132"/>
    <tableColumn id="16" xr3:uid="{C554F72B-662F-3448-AC03-F5CA5100C83A}" name="Follows Crop" dataDxfId="131"/>
    <tableColumn id="17" xr3:uid="{6CE52C1A-923A-D04F-9E0A-2C5B207209C7}" name="Follow Offset" dataDxfId="130"/>
    <tableColumn id="18" xr3:uid="{C859B3FD-F88D-3846-BB6A-84BC5B3A1648}" name="Planned TP or DS Date" dataDxfId="129"/>
    <tableColumn id="19" xr3:uid="{8806CB84-33E8-4D43-ABD1-C31ECFDDCAE1}" name="Actual TP or DS Date" dataDxfId="128"/>
    <tableColumn id="20" xr3:uid="{CCBB51AF-450A-3647-9192-E7C7058688CE}" name="In Ground Days Late" dataDxfId="127"/>
    <tableColumn id="21" xr3:uid="{2110DC71-7DA8-8D44-BAA6-351A25622190}" name="TP or DS Date" dataDxfId="126"/>
    <tableColumn id="22" xr3:uid="{4630EF82-0570-E94F-8BB9-8C43EC6D7FE1}" name="Additional Days In Field" dataDxfId="125"/>
    <tableColumn id="23" xr3:uid="{95962845-4195-E043-8357-9310CCF669E9}" name="Expected Beginning of Harvest" dataDxfId="124"/>
    <tableColumn id="24" xr3:uid="{F7695E09-C3D9-EC4A-A9CD-2C3777B311AD}" name="Actual Beginning of Harvest" dataDxfId="123"/>
    <tableColumn id="25" xr3:uid="{66126F6F-AAAA-8C45-881E-02FE7F6DE4B2}" name="Beginning of Harvest" dataDxfId="122"/>
    <tableColumn id="26" xr3:uid="{38B12BAB-4D98-F84B-B5E5-F7C4E1025EFC}" name="Expected End of Harvest" dataDxfId="121"/>
    <tableColumn id="27" xr3:uid="{6A6FF756-54D9-CE48-85D9-82D1CEE5D332}" name="Actual End of Harvest" dataDxfId="120"/>
    <tableColumn id="28" xr3:uid="{CAB56A2B-EFBA-BB42-90D5-2734784761B0}" name="Adjust" dataDxfId="119"/>
    <tableColumn id="29" xr3:uid="{B38B4CD9-9C6E-5845-BCC9-00DAFA1CF7B2}" name="Note" dataDxfId="118"/>
    <tableColumn id="30" xr3:uid="{ECE0621D-BF14-774D-949A-9DE4EBDF7621}" name="Column1" dataDxfId="11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CEB11E2-7C5A-4F11-A931-EBB80C3B37D0}" name="Products" displayName="Products" ref="A2:BB170" totalsRowShown="0" headerRowDxfId="116">
  <autoFilter ref="A2:BB170" xr:uid="{9CEB11E2-7C5A-4F11-A931-EBB80C3B37D0}">
    <filterColumn colId="49">
      <filters>
        <filter val="0.75"/>
        <filter val="1"/>
        <filter val="10"/>
        <filter val="2"/>
        <filter val="3"/>
        <filter val="4"/>
        <filter val="5"/>
        <filter val="6"/>
        <filter val="8"/>
      </filters>
    </filterColumn>
  </autoFilter>
  <sortState xmlns:xlrd2="http://schemas.microsoft.com/office/spreadsheetml/2017/richdata2" ref="A9:BB166">
    <sortCondition ref="A2:A169"/>
  </sortState>
  <tableColumns count="54">
    <tableColumn id="6" xr3:uid="{D40CE27A-3D99-48E9-B2E6-05737D30C558}" name="ID" dataDxfId="115">
      <calculatedColumnFormula>Products[[#This Row],[Crop]]&amp;Products[[#This Row],[Product]]&amp;Products[[#This Row],[Unit]]</calculatedColumnFormula>
    </tableColumn>
    <tableColumn id="1" xr3:uid="{9E8EE541-BF84-47DE-84ED-93B1DCF13316}" name="Crop"/>
    <tableColumn id="2" xr3:uid="{2E4EC257-6ED8-4750-B02E-D2268F5F55C0}" name="Product"/>
    <tableColumn id="3" xr3:uid="{563DFAF9-FCD0-4D4A-8D13-0EC031C1E2AB}" name="Unit"/>
    <tableColumn id="7" xr3:uid="{35EF06E8-5426-4842-AC58-2307122F8FD9}" name="Target"/>
    <tableColumn id="22" xr3:uid="{52252CD0-E38D-8E41-B7F4-A4B1655D2BFE}" name="Wash Type"/>
    <tableColumn id="23" xr3:uid="{703CA58C-829E-B940-BB17-09BC719F6E59}" name="Wash Factor"/>
    <tableColumn id="15" xr3:uid="{B4817460-7775-4B5D-878C-42CBD162596D}" name="Per Crate"/>
    <tableColumn id="18" xr3:uid="{D3D15E66-0B79-44B7-9729-CC1D0840F1F0}" name="Units Per Pack"/>
    <tableColumn id="19" xr3:uid="{BA40DEA3-ED68-6F4D-AB1D-E5733B4DE90E}" name="Packing Container"/>
    <tableColumn id="20" xr3:uid="{E0E67BC9-BD9E-9147-B32E-202E6EFC81DC}" name="Packaging Cost" dataDxfId="114">
      <calculatedColumnFormula>_xlfn.XLOOKUP(Products[[#This Row],[Packing Container]],Containers[Container],Containers[Cost])</calculatedColumnFormula>
    </tableColumn>
    <tableColumn id="16" xr3:uid="{78F62905-1FBF-C54F-871C-70CDFB2EA78B}" name="Holding Period"/>
    <tableColumn id="4" xr3:uid="{77719E3C-9870-4147-AC60-C95E34E0AA5A}" name="Marketing (hr)"/>
    <tableColumn id="21" xr3:uid="{F16CF6DB-9896-2F4F-843A-8744336E85CF}" name="Bunch (s)" dataDxfId="113">
      <calculatedColumnFormula>IF(Products[[#This Row],[Unit]]="Bunch",10,0)</calculatedColumnFormula>
    </tableColumn>
    <tableColumn id="5" xr3:uid="{56B64CE4-468E-40EF-8691-BC424D99C4D7}" name="Harvest (s)"/>
    <tableColumn id="24" xr3:uid="{9E12A9FD-0046-1644-A4A2-9B08B9405F3F}" name="Haul (s)" dataDxfId="112">
      <calculatedColumnFormula>CrateHaulTime/Products[[#This Row],[Per Crate]]</calculatedColumnFormula>
    </tableColumn>
    <tableColumn id="8" xr3:uid="{DAA6C7BC-B937-43A6-ABF2-49151A7B4369}" name="Wash (s)" dataDxfId="111">
      <calculatedColumnFormula>_xlfn.XLOOKUP(Products[[#This Row],[Wash Type]],Table9[Wash Type],Table9[Seconds])*Products[[#This Row],[Wash Factor]]</calculatedColumnFormula>
    </tableColumn>
    <tableColumn id="9" xr3:uid="{315DB763-38F9-48CF-AE0C-15FCF9EA3C22}" name="Condition (s)"/>
    <tableColumn id="10" xr3:uid="{0F3127A5-375F-4165-9333-950A28AD7239}" name="Trim (s)"/>
    <tableColumn id="11" xr3:uid="{FC71BFEF-290C-495D-9E8E-687B9783F01B}" name="Pack (s)"/>
    <tableColumn id="12" xr3:uid="{1D47EB6D-6366-4519-B451-A2456D4248A0}" name="Clean (s)"/>
    <tableColumn id="13" xr3:uid="{45318146-91F1-4780-A15E-D0EBC80C0309}" name="Rehandle (s)"/>
    <tableColumn id="14" xr3:uid="{4B25581E-1B23-438E-B014-536DDE09B6DB}" name="Market Transport (s)" dataDxfId="110">
      <calculatedColumnFormula>MarketHaulTime/CratesPerMarketLoad/Products[[#This Row],[Per Crate]]</calculatedColumnFormula>
    </tableColumn>
    <tableColumn id="55" xr3:uid="{687F7861-2BAC-AD43-ADB6-ACA6C19299B3}" name="CSA"/>
    <tableColumn id="25" xr3:uid="{D54B1CEB-4661-5344-B27C-5A4C4D20CE03}" name="May 1"/>
    <tableColumn id="26" xr3:uid="{3B7526FE-534C-E941-8E72-79F564DEB2D8}" name="May 2"/>
    <tableColumn id="27" xr3:uid="{2F5ACDB5-DD41-2648-9139-914CEF13639E}" name="May 3"/>
    <tableColumn id="28" xr3:uid="{43AE91B3-9FD1-064B-A30D-342D846C8679}" name="May 4"/>
    <tableColumn id="29" xr3:uid="{8B4E23A1-95F3-AA43-BEBC-C603803BED4B}" name="Jun 1"/>
    <tableColumn id="30" xr3:uid="{6AD0D372-5884-434C-95D9-B3C1DAB15BA0}" name="Jun 2"/>
    <tableColumn id="31" xr3:uid="{E9913AC6-0CE5-8D42-AFF3-52C5431F47B3}" name="Jun 3"/>
    <tableColumn id="32" xr3:uid="{68DAE609-6ED9-C94F-B9CE-5B0D4A156D3F}" name="Jun 4"/>
    <tableColumn id="33" xr3:uid="{8493C8AD-CFED-8944-9AEF-22E1F2447D87}" name="Jul1 "/>
    <tableColumn id="34" xr3:uid="{377A6A84-6B74-3349-9A04-2BCBB268F5DC}" name="Jul 2"/>
    <tableColumn id="35" xr3:uid="{F2D47D2B-3F3B-CE45-8661-A342E465999B}" name="Jul 3"/>
    <tableColumn id="36" xr3:uid="{B85BE042-3B65-224A-BB65-09BE08603E86}" name="Jul 32"/>
    <tableColumn id="37" xr3:uid="{ADACF11F-7704-3944-9631-7C940B3F14AD}" name="Aug 1"/>
    <tableColumn id="38" xr3:uid="{D27834C3-9127-F94F-AEBE-F21C39199846}" name="Aug 2"/>
    <tableColumn id="39" xr3:uid="{753E07EE-72C5-6D49-9AC7-701849EB00B6}" name="Aug 3"/>
    <tableColumn id="40" xr3:uid="{90237C2C-3BB0-7044-8AE6-6EC39C39FA37}" name="Aug 4"/>
    <tableColumn id="41" xr3:uid="{A6A50504-9F3D-F146-B9C1-CC5272C87110}" name="Sep 1"/>
    <tableColumn id="42" xr3:uid="{1937F5B0-D9A0-5C4C-9FC0-ABD2EDAE325B}" name="Sep 2"/>
    <tableColumn id="43" xr3:uid="{71B057F1-AC66-EA42-A128-310CC93695F8}" name="Sep 3"/>
    <tableColumn id="44" xr3:uid="{BF6DC377-9D0A-9041-BA3F-38A3BD5FD55F}" name="Sep 4"/>
    <tableColumn id="45" xr3:uid="{5399560D-3896-9547-910D-8C8B7634430D}" name="Oct 1"/>
    <tableColumn id="46" xr3:uid="{8EFC7EAA-28BD-DE4A-B692-7EAA3CDE5647}" name="Oct 2"/>
    <tableColumn id="47" xr3:uid="{ED5D7C09-A57E-4644-A3DB-9F7A1B4A2D49}" name="Oct 3"/>
    <tableColumn id="48" xr3:uid="{AB641007-8868-2E4A-B52D-BE005881D008}" name="Oct 4"/>
    <tableColumn id="17" xr3:uid="{6326A8BC-DE42-4FB4-B859-3173E67A3932}" name="CSA Portion"/>
    <tableColumn id="49" xr3:uid="{2FE07819-9FCD-4113-BB2B-79EA4CEA265B}" name="CSA Times"/>
    <tableColumn id="56" xr3:uid="{1163996D-BA34-E245-B4DE-F6FF08D41FFF}" name="CSA Need" dataDxfId="109">
      <calculatedColumnFormula>Products[[#This Row],[CSA Portion]]*Products[[#This Row],[CSA Times]]</calculatedColumnFormula>
    </tableColumn>
    <tableColumn id="57" xr3:uid="{5A1B3541-D6A7-184E-A6BC-BBEEC6F11045}" name="Market Price"/>
    <tableColumn id="58" xr3:uid="{6FA5C079-7DCF-514F-B388-8D2E005A7FAB}" name="Value" dataDxfId="108">
      <calculatedColumnFormula>Products[[#This Row],[CSA Need]]*Products[[#This Row],[Market Price]]</calculatedColumnFormula>
    </tableColumn>
    <tableColumn id="50" xr3:uid="{1BB05269-9E6F-D342-84F8-5399CD91A69F}" name="Out of Season"/>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9497DC5-31E1-4190-BC2C-8BB41A086224}" name="Varieties" displayName="Varieties" ref="B2:S733">
  <autoFilter ref="B2:S733" xr:uid="{19497DC5-31E1-4190-BC2C-8BB41A086224}"/>
  <sortState xmlns:xlrd2="http://schemas.microsoft.com/office/spreadsheetml/2017/richdata2" ref="B3:S733">
    <sortCondition ref="E2:E733"/>
  </sortState>
  <tableColumns count="18">
    <tableColumn id="16" xr3:uid="{0C33606F-D392-4EE2-821D-AB7B3431A998}" name="Id" totalsRowLabel="Total" dataDxfId="107">
      <calculatedColumnFormula>Varieties[[#This Row],[Company]] &amp; " " &amp;  Varieties[[#This Row],[Variety]]</calculatedColumnFormula>
    </tableColumn>
    <tableColumn id="2" xr3:uid="{88DE4600-8B63-424C-8B44-8B48207059FF}" name="Crop"/>
    <tableColumn id="3" xr3:uid="{EE9165E7-C5C0-415E-9DD8-FB27C01EE4F8}" name="Sub Category"/>
    <tableColumn id="4" xr3:uid="{3F9D7DAF-B8C2-4EF6-B5BD-0D20BFB7C5A7}" name="Variety"/>
    <tableColumn id="9" xr3:uid="{E780297A-E69B-4C65-898E-E0482475DCE0}" name="DTM"/>
    <tableColumn id="5" xr3:uid="{3CF6C500-DA76-41D5-AA10-6B7223C766C7}" name="Company"/>
    <tableColumn id="7" xr3:uid="{7E956BA0-00D7-41DA-8F6A-F7EA788D97E8}" name="Organic"/>
    <tableColumn id="6" xr3:uid="{87788962-D222-4C26-91C1-B62CD9CE103C}" name="Pelleted"/>
    <tableColumn id="8" xr3:uid="{FBB321C6-6CFD-4F73-A833-953CF7E41D26}" name="Approved Pellet"/>
    <tableColumn id="15" xr3:uid="{569F27E2-0387-4601-BD37-DFF90FC7A914}" name="No Organic"/>
    <tableColumn id="1" xr3:uid="{7EA9969A-6056-41D4-BB86-4D55E45E9727}" name="SeedLinked"/>
    <tableColumn id="10" xr3:uid="{1DA386F8-12C6-4A4C-B2EB-C093210B63AB}" name="Notes"/>
    <tableColumn id="12" xr3:uid="{704740B2-9DD5-4983-B9D6-11F4B6514673}" name="Already Own"/>
    <tableColumn id="14" xr3:uid="{25D429F8-B4C7-45B5-9437-B5B0CED8EF41}" name="Selected"/>
    <tableColumn id="13" xr3:uid="{F1A95F00-47BC-4013-AC1B-482EAD793528}" name="In Plan" dataDxfId="106">
      <calculatedColumnFormula>ISNUMBER(MATCH(Varieties[[#This Row],[Id]],SeedOrder[Id],0))</calculatedColumnFormula>
    </tableColumn>
    <tableColumn id="18" xr3:uid="{DDAE9E50-AA91-4AB2-A76A-FF9CCD347B3B}" name="Density" dataDxfId="105"/>
    <tableColumn id="17" xr3:uid="{CBE50289-6AF5-454C-8D1E-1F94164F8B44}" name="Density Per" dataDxfId="104"/>
    <tableColumn id="11" xr3:uid="{CA60CCAD-9067-4A7E-88C2-11C8A155D7D9}" name="Website" totalsRowFunction="count"/>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913CB50-5C80-4136-A322-5B952FEA3141}" name="SeedOrder" displayName="SeedOrder" ref="J5:AI62" headerRowDxfId="102" dataDxfId="101">
  <autoFilter ref="J5:AI62" xr:uid="{5913CB50-5C80-4136-A322-5B952FEA3141}"/>
  <sortState xmlns:xlrd2="http://schemas.microsoft.com/office/spreadsheetml/2017/richdata2" ref="J6:AI62">
    <sortCondition ref="K5:K62"/>
  </sortState>
  <tableColumns count="26">
    <tableColumn id="1" xr3:uid="{C04F21CB-C6C6-4981-BDB3-FB0ADF6067AC}" name="Id" totalsRowLabel="Total" dataDxfId="100" totalsRowDxfId="99">
      <calculatedColumnFormula>SeedOrder[[#This Row],[Company]]&amp; " " &amp; SeedOrder[[#This Row],[Variety]]</calculatedColumnFormula>
    </tableColumn>
    <tableColumn id="2" xr3:uid="{6A35D1D5-E1BB-4289-97F6-39422FBA38F0}" name="Crop" dataDxfId="98" totalsRowDxfId="97"/>
    <tableColumn id="20" xr3:uid="{F42219D5-E3C3-4F52-97F7-2C2FC5CFB5E0}" name="Company" dataDxfId="96" totalsRowDxfId="95"/>
    <tableColumn id="3" xr3:uid="{C38AB6C8-67FC-4ED2-86AD-A9423033A7CA}" name="Variety" dataDxfId="94" totalsRowDxfId="93"/>
    <tableColumn id="24" xr3:uid="{D8BE159C-F31E-4515-A017-7C9A204FC68F}" name="Order" dataDxfId="92" totalsRowDxfId="91"/>
    <tableColumn id="22" xr3:uid="{0593A374-DC8A-4331-84D9-A3BD5C354F86}" name="Is In Cart" dataDxfId="90" totalsRowDxfId="89"/>
    <tableColumn id="7" xr3:uid="{51BFFE0C-5231-47F5-8A29-67663BD3EF5C}" name="Density" dataDxfId="88" totalsRowDxfId="87" dataCellStyle="Comma">
      <calculatedColumnFormula>_xlfn.XLOOKUP(SeedOrder[[#This Row],[Id]],Varieties[Id],Varieties[Density])</calculatedColumnFormula>
    </tableColumn>
    <tableColumn id="8" xr3:uid="{2C9D5372-B92E-4F92-9850-BF98EF6DDAA3}" name="Density Per" dataDxfId="86" totalsRowDxfId="85">
      <calculatedColumnFormula>_xlfn.XLOOKUP(SeedOrder[[#This Row],[Id]],Varieties[Id],Varieties[Density Per])</calculatedColumnFormula>
    </tableColumn>
    <tableColumn id="25" xr3:uid="{BA6302D5-220B-4EE4-A06F-AE8DE21DD2F5}" name="Link" dataDxfId="84">
      <calculatedColumnFormula>HYPERLINK(_xlfn.XLOOKUP(SeedOrder[[#This Row],[Id]],Varieties[Id],Varieties[Website]), "Link")</calculatedColumnFormula>
    </tableColumn>
    <tableColumn id="5" xr3:uid="{EB65D821-0135-48A7-A54A-D30481B10796}" name="Needed" dataDxfId="83" dataCellStyle="Comma">
      <calculatedColumnFormula>GETPIVOTDATA("Seeds",$B$4,"Variety",SeedOrder[[#This Row],[Variety]],"Company",SeedOrder[[#This Row],[Company]])</calculatedColumnFormula>
    </tableColumn>
    <tableColumn id="12" xr3:uid="{9DE81D97-C903-4505-BAD9-CA4F1985C7AF}" name="Product Weight" dataDxfId="82" totalsRowDxfId="81" dataCellStyle="Comma"/>
    <tableColumn id="13" xr3:uid="{785C9DFF-BA44-4867-AD77-14BB92CC43D1}" name="Weight Unit" dataDxfId="80" totalsRowDxfId="79"/>
    <tableColumn id="14" xr3:uid="{CBE704DB-7827-4673-963C-5148EC02FAF3}" name="Product Cost" dataDxfId="78" totalsRowDxfId="77"/>
    <tableColumn id="15" xr3:uid="{439098C1-BAD1-43D9-A479-DBFA074B7242}" name="Product Quantity" dataDxfId="76" totalsRowDxfId="75"/>
    <tableColumn id="6" xr3:uid="{803AD258-BFA1-42B3-AA5E-920CDAD95F62}" name="Already Have" dataDxfId="74" totalsRowDxfId="73"/>
    <tableColumn id="16" xr3:uid="{578F3DFC-B99B-4EF7-B466-BF3C36E6FA46}" name="Order Weight" dataDxfId="72" totalsRowDxfId="71">
      <calculatedColumnFormula>SeedOrder[[#This Row],[Product Weight]]*SeedOrder[[#This Row],[Product Quantity]]</calculatedColumnFormula>
    </tableColumn>
    <tableColumn id="9" xr3:uid="{6F597C19-7AE7-481E-9055-7CF7ABD9FF2A}" name="Needed (g)" dataDxfId="70" totalsRowDxfId="69">
      <calculatedColumnFormula>IFERROR(CONVERT(S6/SeedOrder[[#This Row],[Density]],SeedOrder[[#This Row],[Density Per]],"g"),"")</calculatedColumnFormula>
    </tableColumn>
    <tableColumn id="10" xr3:uid="{E4A0C1CF-3EF2-46F1-85F5-CBF0B7169A32}" name="Needed (ozm)" dataDxfId="68" totalsRowDxfId="67">
      <calculatedColumnFormula>IFERROR(CONVERT(S6/SeedOrder[[#This Row],[Density]],SeedOrder[[#This Row],[Density Per]],"ozm"),"")</calculatedColumnFormula>
    </tableColumn>
    <tableColumn id="11" xr3:uid="{644A25CF-9A29-457E-8428-55CC4D8502C8}" name="Needed (lbm)" dataDxfId="66" totalsRowDxfId="65">
      <calculatedColumnFormula>IFERROR(CONVERT(S6/SeedOrder[[#This Row],[Density]],SeedOrder[[#This Row],[Density Per]],"lbm"),"")</calculatedColumnFormula>
    </tableColumn>
    <tableColumn id="17" xr3:uid="{4767F3A7-EA6A-4762-94C2-6E07FEF1A31E}" name="Is Enough?" dataDxfId="64" totalsRowDxfId="63" dataCellStyle="Percent">
      <calculatedColumnFormula array="1">IFERROR(SeedOrder[[#This Row],[Order Weight]]/IF(SeedOrder[[#This Row],[Weight Unit]]="ct",SeedOrder[[#This Row],[Needed]],_xlfn.SWITCH(SeedOrder[[#This Row],[Weight Unit]],"g",SeedOrder[[#This Row],[Needed (g)]],"ozm",SeedOrder[[#This Row],[Needed (ozm)]],"lbm",SeedOrder[[#This Row],[Needed (lbm)]])),"")</calculatedColumnFormula>
    </tableColumn>
    <tableColumn id="18" xr3:uid="{180D89E9-7161-4207-BCE6-66DC6988159B}" name="Order Cost" dataDxfId="62" totalsRowDxfId="61" dataCellStyle="Currency">
      <calculatedColumnFormula>SeedOrder[[#This Row],[Product Quantity]]*SeedOrder[[#This Row],[Product Cost]]</calculatedColumnFormula>
    </tableColumn>
    <tableColumn id="19" xr3:uid="{B6962787-6FDD-4D58-B969-396FA51C123C}" name="Notes" dataDxfId="60" totalsRowDxfId="59"/>
    <tableColumn id="23" xr3:uid="{33FA483A-9E35-4DAB-BB5C-88F6D5C23F09}" name="Work Needed" dataDxfId="58"/>
    <tableColumn id="21" xr3:uid="{D0447D5F-9D9E-41C9-8815-DDE448C39A3F}" name="Is duplicate" totalsRowFunction="count" dataDxfId="57" totalsRowDxfId="56">
      <calculatedColumnFormula>SeedOrder[[#This Row],[Id]]=J5</calculatedColumnFormula>
    </tableColumn>
    <tableColumn id="4" xr3:uid="{19ACD4C4-EE18-46F7-ADC4-FBB0D5A4DABF}" name="Organic" dataDxfId="55">
      <calculatedColumnFormula>_xlfn.XLOOKUP(SeedOrder[[#This Row],[Id]],Varieties[Id],Varieties[Organic])</calculatedColumnFormula>
    </tableColumn>
    <tableColumn id="26" xr3:uid="{041CCB4D-DDC5-4064-BA2A-EB70986119C8}" name="OG Search" dataDxfId="54"/>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61FCCA4-24F5-4755-B8C1-0742131DCD38}" name="SeedMixes" displayName="SeedMixes" ref="B1:H403" totalsRowCount="1" dataDxfId="53">
  <autoFilter ref="B1:H402" xr:uid="{361FCCA4-24F5-4755-B8C1-0742131DCD38}"/>
  <sortState xmlns:xlrd2="http://schemas.microsoft.com/office/spreadsheetml/2017/richdata2" ref="B2:H398">
    <sortCondition ref="D1:D398"/>
  </sortState>
  <tableColumns count="7">
    <tableColumn id="4" xr3:uid="{DE455F0D-144F-4746-B390-399759DD1E17}" name="Percent" totalsRowLabel="Total" dataDxfId="52" dataCellStyle="Percent">
      <calculatedColumnFormula>1/COUNTIF(SeedMixes[Name],"="&amp;SeedMixes[[#This Row],[Name]])</calculatedColumnFormula>
    </tableColumn>
    <tableColumn id="3" xr3:uid="{78C29B8A-D02C-43E4-90A6-35CE22C7FF51}" name="Name"/>
    <tableColumn id="5" xr3:uid="{16A6E9CF-3F2B-4842-BC13-300595A6DD4A}" name="Crop"/>
    <tableColumn id="1" xr3:uid="{D7A55572-45CA-4548-BF69-13BA2F7253CB}" name="Variety"/>
    <tableColumn id="2" xr3:uid="{277CAC20-CF94-4C25-8A61-10B319AABFA7}" name="Company"/>
    <tableColumn id="7" xr3:uid="{B03428EA-FABF-4C12-B344-E21DAF8421FF}" name="Variety &amp; Company">
      <calculatedColumnFormula>SeedMixes[[#This Row],[Variety]]&amp;" "&amp;SeedMixes[[#This Row],[Company]]</calculatedColumnFormula>
    </tableColumn>
    <tableColumn id="6" xr3:uid="{C7479D0E-ABA8-47C8-8874-BA19F0468D24}" name="Label" totalsRowFunction="count">
      <calculatedColumnFormula>_xlfn.TEXTJOIN(CHAR(10),FALSE, SeedMixes[[#This Row],[Crop]],SeedMixes[[#This Row],[Variety]],SeedMixes[[#This Row],[Company]])</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EA1180-02DF-4A2E-AB6A-E29E5705FF72}" name="Start_Seedlings_Detailed" displayName="Start_Seedlings_Detailed" ref="A2:W98" tableType="queryTable" totalsRowCount="1" headerRowDxfId="51">
  <autoFilter ref="A2:W97" xr:uid="{9DEA1180-02DF-4A2E-AB6A-E29E5705FF72}">
    <filterColumn colId="0">
      <filters>
        <filter val="FALSE"/>
      </filters>
    </filterColumn>
  </autoFilter>
  <sortState xmlns:xlrd2="http://schemas.microsoft.com/office/spreadsheetml/2017/richdata2" ref="A3:W97">
    <sortCondition ref="B2:B97"/>
  </sortState>
  <tableColumns count="23">
    <tableColumn id="1" xr3:uid="{7C350567-3703-4E0A-93E0-62A7C91205AB}" uniqueName="1" name="Done" totalsRowLabel="Total" queryTableFieldId="1"/>
    <tableColumn id="2" xr3:uid="{09D7B676-E5DF-464C-8CE3-C5CE23DE9794}" uniqueName="2" name="Date" queryTableFieldId="2" dataDxfId="50"/>
    <tableColumn id="3" xr3:uid="{10929C80-844B-4CC6-BBE6-A63AD43BE812}" uniqueName="3" name="Identifier" queryTableFieldId="3" dataDxfId="49"/>
    <tableColumn id="4" xr3:uid="{3B1320D9-B96D-419C-95BA-31DDAE190AE7}" uniqueName="4" name="Bed" queryTableFieldId="21"/>
    <tableColumn id="5" xr3:uid="{73B4EAF6-CEBC-48B1-A23E-45E3C7D02238}" uniqueName="5" name="Name" queryTableFieldId="5"/>
    <tableColumn id="6" xr3:uid="{9FC761E7-87BA-4365-B9D0-957B9A6BC28C}" uniqueName="6" name="Variety" queryTableFieldId="6"/>
    <tableColumn id="7" xr3:uid="{27F67270-9D87-44D9-A9D6-C90C4DFB2150}" uniqueName="7" name="Company" queryTableFieldId="7"/>
    <tableColumn id="8" xr3:uid="{C57C9921-9C13-4044-A1FD-952AF3B7928E}" uniqueName="8" name="Tray 1 Size" queryTableFieldId="8"/>
    <tableColumn id="9" xr3:uid="{74085E40-BAEA-4E4D-B5D0-3441ACD8803F}" uniqueName="9" name="Tray 1 Days" queryTableFieldId="9"/>
    <tableColumn id="10" xr3:uid="{317C5284-A1BD-496B-96AE-677790B5E56A}" uniqueName="10" name="Tray 1 Count" queryTableFieldId="10" dataDxfId="48"/>
    <tableColumn id="11" xr3:uid="{9FB1F836-542C-4B60-8274-AC58725E6C38}" uniqueName="11" name="Tray 2 Size" queryTableFieldId="11"/>
    <tableColumn id="12" xr3:uid="{BE1FAF41-CEB4-45CD-9ABD-74EE815BE9BC}" uniqueName="12" name="Tray 2 Days" queryTableFieldId="12"/>
    <tableColumn id="13" xr3:uid="{63F8ECC5-1567-404E-B96D-85ABADD4A8E8}" uniqueName="13" name="Tray 2 Count" queryTableFieldId="13" dataDxfId="47"/>
    <tableColumn id="14" xr3:uid="{4927C909-4E16-4A96-BE77-6BC53D315947}" uniqueName="14" name="Tray 3 Size" queryTableFieldId="14"/>
    <tableColumn id="15" xr3:uid="{325C5CBB-5D3D-4540-964D-C9046394E91A}" uniqueName="15" name="Tray 3 Days" queryTableFieldId="15"/>
    <tableColumn id="16" xr3:uid="{1DA41142-19C1-4554-8B9F-6FA3FD4243F0}" uniqueName="16" name="Tray 3 Count" queryTableFieldId="16" dataDxfId="46"/>
    <tableColumn id="17" xr3:uid="{8EE1F378-1238-4A06-9AB2-5516FC9C3C28}" uniqueName="17" name="Seeds Per Planting" queryTableFieldId="17"/>
    <tableColumn id="18" xr3:uid="{ED96DE99-A84C-42E0-87B8-FC216594E109}" uniqueName="18" name="# Of Beds" queryTableFieldId="22"/>
    <tableColumn id="19" xr3:uid="{BFFD4D8C-0904-4444-82E5-F220E89DC6CD}" uniqueName="19" name="Safety Factor" queryTableFieldId="23"/>
    <tableColumn id="22" xr3:uid="{55BBC7FA-EB44-44BF-BEAC-560297068FFA}" uniqueName="22" name="DTG" queryTableFieldId="35"/>
    <tableColumn id="20" xr3:uid="{3BBCEDBC-6C71-4004-B598-9D738FF7E2B6}" uniqueName="20" name="Cells" queryTableFieldId="33" dataDxfId="45"/>
    <tableColumn id="21" xr3:uid="{74FBB613-FB5A-4589-9D8A-0900794E7D02}" uniqueName="21" name="Unsafe Cells" totalsRowFunction="sum" queryTableFieldId="34" dataDxfId="44" totalsRowDxfId="43"/>
    <tableColumn id="23" xr3:uid="{C1D0D756-3C8B-4FCA-A207-ADFB58F74ECB}" uniqueName="23" name="Column1" queryTableFieldId="38"/>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28D8B4A-0CC3-49AF-B36C-7947369E6BD3}" name="Table5" displayName="Table5" ref="M3:R71" totalsRowShown="0">
  <autoFilter ref="M3:R71" xr:uid="{728D8B4A-0CC3-49AF-B36C-7947369E6BD3}"/>
  <sortState xmlns:xlrd2="http://schemas.microsoft.com/office/spreadsheetml/2017/richdata2" ref="M4:R71">
    <sortCondition descending="1" ref="R3:R71"/>
  </sortState>
  <tableColumns count="6">
    <tableColumn id="1" xr3:uid="{CF87D7E3-856F-4A17-B632-B959DAB2C093}" name="Crop"/>
    <tableColumn id="2" xr3:uid="{E5F7CA3D-A63D-4B2A-A610-75C01123EA31}" name="Seed Cost"/>
    <tableColumn id="3" xr3:uid="{F475B58A-66AA-42FE-9971-2C4D9EBB658E}" name="Rows"/>
    <tableColumn id="4" xr3:uid="{06479280-E873-4EB7-94BA-0D2FD479F9FC}" name="Row Cost"/>
    <tableColumn id="5" xr3:uid="{AD0316B9-7D84-43C6-9B74-6DD9725C78C7}" name="Crop Revenue"/>
    <tableColumn id="6" xr3:uid="{E9FEC3AE-7D5E-4A72-874D-C262FCA13AFF}" name="Seed Cost Margin" dataDxfId="39"/>
  </tableColumns>
  <tableStyleInfo name="TableStyleMedium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0A9B5F7-1DE1-48A7-9627-5CA67AEF6D78}" name="Table7" displayName="Table7" ref="F3:K71" totalsRowShown="0">
  <autoFilter ref="F3:K71" xr:uid="{D0A9B5F7-1DE1-48A7-9627-5CA67AEF6D78}"/>
  <sortState xmlns:xlrd2="http://schemas.microsoft.com/office/spreadsheetml/2017/richdata2" ref="F4:K71">
    <sortCondition descending="1" ref="J3:J71"/>
  </sortState>
  <tableColumns count="6">
    <tableColumn id="1" xr3:uid="{92699406-11B7-49A1-A687-86A2F96A4439}" name="Crop"/>
    <tableColumn id="2" xr3:uid="{C8DAC2C2-3C86-4D72-B4E7-41E030AC2533}" name="Seed Cost" dataDxfId="38" dataCellStyle="Currency">
      <calculatedColumnFormula>_xlfn.XLOOKUP(F4,$A$4:$A$71,$B$4:$B$71)</calculatedColumnFormula>
    </tableColumn>
    <tableColumn id="3" xr3:uid="{66CE1AA8-B5F3-4D78-A397-C6BBA62A6420}" name="Crop Revenue" dataDxfId="37" dataCellStyle="Currency">
      <calculatedColumnFormula>_xlfn.XLOOKUP(F4,'Crop Quantity Pivot'!$A$4:$A$83,'Crop Quantity Pivot'!$C$4:$C$83,,)</calculatedColumnFormula>
    </tableColumn>
    <tableColumn id="4" xr3:uid="{F21BC6F5-04BA-40B0-B970-D4D1F32B4D60}" name="Rows">
      <calculatedColumnFormula>_xlfn.XLOOKUP(A4,'Crop Quantity Pivot'!$A$4:$A$83,'Crop Quantity Pivot'!$B$4:$B$83,,)</calculatedColumnFormula>
    </tableColumn>
    <tableColumn id="5" xr3:uid="{FF6486BA-5827-4146-B9E4-82B65412DE68}" name="Row Cost" dataDxfId="36" dataCellStyle="Currency">
      <calculatedColumnFormula>_xlfn.XLOOKUP(F4,$A$4:$A$71,$D$4:$D$71)</calculatedColumnFormula>
    </tableColumn>
    <tableColumn id="6" xr3:uid="{D79B6B89-4E5C-4C2C-AE62-C5519DE20B27}" name="Seed Cost Margin" dataDxfId="35" dataCellStyle="Percent">
      <calculatedColumnFormula>G4/H4</calculatedColumnFormula>
    </tableColumn>
  </tableColumns>
  <tableStyleInfo name="TableStyleMedium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B97B58-C5E3-4D60-89D7-8F2C84B31F57}" name="SeedOrder2023" displayName="SeedOrder2023" ref="B2:S150" totalsRowShown="0">
  <autoFilter ref="B2:S150" xr:uid="{4FB97B58-C5E3-4D60-89D7-8F2C84B31F57}"/>
  <tableColumns count="18">
    <tableColumn id="1" xr3:uid="{8FD40FA4-00A9-434D-9677-7B8A4FFCB372}" name="Id" dataDxfId="34">
      <calculatedColumnFormula>_xlfn.TEXTJOIN(" ",  FALSE,SeedOrder2023[[#This Row],[Company]],SeedOrder2023[[#This Row],[Variety]])</calculatedColumnFormula>
    </tableColumn>
    <tableColumn id="2" xr3:uid="{C1054A42-55C6-449E-92E8-EE0AAC7E2882}" name="Company"/>
    <tableColumn id="3" xr3:uid="{F7B47C84-BD80-4C8C-A286-B415484219CE}" name="Name"/>
    <tableColumn id="4" xr3:uid="{3B2F29F5-9EC9-4D2B-AB19-DF1CC9D6ADC8}" name="Variety"/>
    <tableColumn id="5" xr3:uid="{80BC0B94-A527-4773-AC59-698B34A98AFE}" name="Varieties.Website"/>
    <tableColumn id="6" xr3:uid="{C75EC0BB-87C0-4429-9ACC-5F252282AB6B}" name="Density"/>
    <tableColumn id="7" xr3:uid="{582F47C1-E062-49AA-AF41-9C75BFE46D13}" name="Density Per"/>
    <tableColumn id="8" xr3:uid="{A3319690-A53C-4494-A041-B54210F4119D}" name="Product Weight"/>
    <tableColumn id="9" xr3:uid="{9610AF21-787B-4F32-B6F2-A6E8433EED4E}" name="Weight Unit"/>
    <tableColumn id="10" xr3:uid="{B6785D33-B0F9-4BA7-961E-875289D07BD3}" name="Product Cost"/>
    <tableColumn id="11" xr3:uid="{857EE8D7-1722-4DA3-BA33-D0C734CD7C25}" name="Product Quantity"/>
    <tableColumn id="12" xr3:uid="{1ED49C7E-C39F-4D77-BBEF-899DD79FF60D}" name="Order Weight"/>
    <tableColumn id="13" xr3:uid="{76E6B68B-1408-4DC9-A065-DBE41B3EEB6A}" name="Needed (g)"/>
    <tableColumn id="14" xr3:uid="{2791EEFE-76F6-4EE0-A922-CE3456913A65}" name="Needed (ozm)"/>
    <tableColumn id="15" xr3:uid="{BF4DEDF7-C430-437B-BADD-06FC15E2C335}" name="Needed (lbm)"/>
    <tableColumn id="16" xr3:uid="{CE27433C-AE88-4C45-AB43-9E18077177D1}" name="Is Enough?"/>
    <tableColumn id="17" xr3:uid="{C1E09129-1266-455C-903D-2897089ED751}" name="Order Cost"/>
    <tableColumn id="18" xr3:uid="{DE51A65E-38D7-4C64-B0B0-6510E25FCCB6}" name="Notes"/>
  </tableColumns>
  <tableStyleInfo name="TableStyleMedium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E2722C6-7E24-47A6-8D65-A38D958A5029}" name="Merge1" displayName="Merge1" ref="A1:S206" tableType="queryTable" totalsRowShown="0">
  <autoFilter ref="A1:S206" xr:uid="{4E2722C6-7E24-47A6-8D65-A38D958A5029}">
    <filterColumn colId="7">
      <filters>
        <filter val="false"/>
      </filters>
    </filterColumn>
  </autoFilter>
  <sortState xmlns:xlrd2="http://schemas.microsoft.com/office/spreadsheetml/2017/richdata2" ref="A2:S206">
    <sortCondition ref="C1:C206"/>
  </sortState>
  <tableColumns count="19">
    <tableColumn id="1" xr3:uid="{D2BD402E-F014-469A-9B43-04976AA73DD2}" uniqueName="1" name="Identifier" queryTableFieldId="1" dataDxfId="31"/>
    <tableColumn id="2" xr3:uid="{19977A48-EDC6-4ABD-9C6B-D2AC7724EEC4}" uniqueName="2" name="Variety" queryTableFieldId="2"/>
    <tableColumn id="3" xr3:uid="{F7606C4D-0CC8-4837-8735-13BA06479242}" uniqueName="3" name="Company" queryTableFieldId="3"/>
    <tableColumn id="4" xr3:uid="{B96C92B0-88CB-4B2A-A226-1109090DBE71}" uniqueName="4" name="Seeds" queryTableFieldId="4"/>
    <tableColumn id="5" xr3:uid="{DAD0EE50-8783-4330-A688-586405C924EE}" uniqueName="5" name="Crop" queryTableFieldId="5" dataDxfId="30"/>
    <tableColumn id="6" xr3:uid="{78A5266C-FDE1-4E5C-8AAE-826A30D15A83}" uniqueName="6" name="Sub Category" queryTableFieldId="6"/>
    <tableColumn id="7" xr3:uid="{DA6D8F18-E7E3-445B-A2EF-1C5BE432FE77}" uniqueName="7" name="DTM" queryTableFieldId="7"/>
    <tableColumn id="8" xr3:uid="{80BEEA89-C981-43A8-B98B-A850E3037E2C}" uniqueName="8" name="Organic" queryTableFieldId="8" dataDxfId="29"/>
    <tableColumn id="9" xr3:uid="{9A275093-72B7-4543-8F25-656732FE1BC5}" uniqueName="9" name="Pelleted" queryTableFieldId="9"/>
    <tableColumn id="10" xr3:uid="{6090A74D-3CFC-48EB-9721-95E1DEB97101}" uniqueName="10" name="Approved Pellet" queryTableFieldId="10"/>
    <tableColumn id="11" xr3:uid="{3C6C2E5C-D8F4-499D-88AB-BF64ACBF028D}" uniqueName="11" name="No Organic" queryTableFieldId="11"/>
    <tableColumn id="12" xr3:uid="{EC472BB2-BDAB-4322-A561-38FCA293E604}" uniqueName="12" name="SeedLinked" queryTableFieldId="12"/>
    <tableColumn id="13" xr3:uid="{6919AEB4-B172-4316-9B9C-48DEDD560C89}" uniqueName="13" name="Notes" queryTableFieldId="13" dataDxfId="28"/>
    <tableColumn id="14" xr3:uid="{42C98C09-80B5-4B90-92B3-09D34211F762}" uniqueName="14" name="Already Own" queryTableFieldId="14"/>
    <tableColumn id="15" xr3:uid="{0064E780-5EE1-4FFA-8A5C-AB37E9D62F21}" uniqueName="15" name="Selected" queryTableFieldId="15" dataDxfId="27"/>
    <tableColumn id="16" xr3:uid="{69F94837-8419-48B7-8968-D49B54CE76C6}" uniqueName="16" name="In Plan" queryTableFieldId="16"/>
    <tableColumn id="17" xr3:uid="{D242157C-7298-45E8-A456-1CF50443F28C}" uniqueName="17" name="Density" queryTableFieldId="17"/>
    <tableColumn id="18" xr3:uid="{F8FBA4CB-1DB8-41DA-8021-11276D2A577C}" uniqueName="18" name="Density Per" queryTableFieldId="18"/>
    <tableColumn id="19" xr3:uid="{DE49709A-6B5B-41C8-972B-57F312FF8D19}" uniqueName="19" name="Website" queryTableFieldId="19" dataDxfId="2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110AF62-C529-45C8-BACF-7E96FBC17675}" name="OrganicTasks" displayName="OrganicTasks" ref="A1:R135" tableType="queryTable" totalsRowShown="0">
  <autoFilter ref="A1:R135" xr:uid="{0110AF62-C529-45C8-BACF-7E96FBC17675}"/>
  <tableColumns count="18">
    <tableColumn id="1" xr3:uid="{D1305BAB-568A-4B2E-8210-5F90AD36F961}" uniqueName="1" name="Crop" queryTableFieldId="1" dataDxfId="25"/>
    <tableColumn id="2" xr3:uid="{4ACE1D5A-3861-4F12-AB1F-D684935D19F4}" uniqueName="2" name="Identifier" queryTableFieldId="2" dataDxfId="24"/>
    <tableColumn id="3" xr3:uid="{EB54D417-D808-4E02-ADC9-EA6010AD27F4}" uniqueName="3" name="Bed" queryTableFieldId="3" dataDxfId="23"/>
    <tableColumn id="18" xr3:uid="{FB423AD2-6CF4-4409-A380-20C6627EC388}" uniqueName="18" name="# Of Beds" queryTableFieldId="18"/>
    <tableColumn id="4" xr3:uid="{E0ECC583-9EE4-456E-AAA6-9230085B340A}" uniqueName="4" name="Broadfork" queryTableFieldId="4"/>
    <tableColumn id="5" xr3:uid="{49BF79B9-C269-4FDF-B230-4BADCD91BCFA}" uniqueName="5" name="Tilther" queryTableFieldId="5"/>
    <tableColumn id="6" xr3:uid="{49F7533D-A412-4F31-9C9B-BAE425217B29}" uniqueName="6" name="Amend" queryTableFieldId="6"/>
    <tableColumn id="7" xr3:uid="{76612140-8FBE-4928-97E4-97DB37D840A1}" uniqueName="7" name="Row Cover" queryTableFieldId="7"/>
    <tableColumn id="8" xr3:uid="{3619A9CC-9F1A-4E35-9E54-493721E4D777}" uniqueName="8" name="Broadfork Date" queryTableFieldId="8" dataDxfId="22"/>
    <tableColumn id="9" xr3:uid="{0078C799-F5E5-459C-8935-E860C597192C}" uniqueName="9" name="Tilther Date" queryTableFieldId="9" dataDxfId="21"/>
    <tableColumn id="10" xr3:uid="{F7B8C1DB-7132-440E-9A22-91090C637921}" uniqueName="10" name="Amend Date" queryTableFieldId="10" dataDxfId="20"/>
    <tableColumn id="11" xr3:uid="{78EC9F31-7231-413E-9275-26736E75473D}" uniqueName="11" name="Row Cover Date" queryTableFieldId="11" dataDxfId="19"/>
    <tableColumn id="12" xr3:uid="{2B8092C9-3CCC-49BD-81E1-C9626D9C4744}" uniqueName="12" name="Observation 1" queryTableFieldId="12" dataDxfId="18"/>
    <tableColumn id="13" xr3:uid="{8AD0FE70-0E40-4B7C-9C9D-5F6538E49560}" uniqueName="13" name="Observation 1 Date" queryTableFieldId="13" dataDxfId="17"/>
    <tableColumn id="14" xr3:uid="{862B5FDD-E631-43C4-A3BC-B9D6AA0AB282}" uniqueName="14" name="Oberservation 2" queryTableFieldId="14" dataDxfId="16"/>
    <tableColumn id="15" xr3:uid="{8E3AF533-F595-469A-BF4B-9FFC67B084B4}" uniqueName="15" name="Observation 2 Date" queryTableFieldId="15" dataDxfId="15"/>
    <tableColumn id="16" xr3:uid="{F5B6430E-5BBC-4C6F-9A82-A9674E2CD288}" uniqueName="16" name="Observation 3" queryTableFieldId="16" dataDxfId="14"/>
    <tableColumn id="17" xr3:uid="{97E43DE7-953B-4871-873C-1BD13DA8B4EE}" uniqueName="17" name="Observation 3 Date" queryTableFieldId="17" dataDxfId="1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BEBE9A4-F29D-47BF-907C-B12EC932B72E}" name="Organic_BedPlan" displayName="Organic_BedPlan" ref="A1:M134" tableType="queryTable" totalsRowShown="0" headerRowDxfId="12">
  <autoFilter ref="A1:M134" xr:uid="{6BEBE9A4-F29D-47BF-907C-B12EC932B72E}"/>
  <sortState xmlns:xlrd2="http://schemas.microsoft.com/office/spreadsheetml/2017/richdata2" ref="A2:M134">
    <sortCondition ref="I1:I134"/>
  </sortState>
  <tableColumns count="13">
    <tableColumn id="4" xr3:uid="{A0366C1E-8CC6-4788-A45C-D2A8E51BC2DF}" uniqueName="4" name="Name" queryTableFieldId="4" dataDxfId="11"/>
    <tableColumn id="5" xr3:uid="{68F014AD-9AC4-4D80-8A4F-421C257F5BD8}" uniqueName="5" name="Variety" queryTableFieldId="5" dataDxfId="10"/>
    <tableColumn id="6" xr3:uid="{457AB05E-99C1-40E5-9C38-8741C6334801}" uniqueName="6" name="Company" queryTableFieldId="6" dataDxfId="9"/>
    <tableColumn id="3" xr3:uid="{7B9EBEE7-8FDA-42F2-8D8E-7545CAA1324B}" uniqueName="3" name="Bed" queryTableFieldId="3" dataDxfId="8"/>
    <tableColumn id="2" xr3:uid="{375E4DE6-2761-4444-AEBC-BBC9A84FBE0A}" uniqueName="2" name="Identifier" queryTableFieldId="2" dataDxfId="7"/>
    <tableColumn id="8" xr3:uid="{1C2690A9-F969-40BA-8FFF-CFA6B60BBC8F}" uniqueName="8" name="# Of Beds" queryTableFieldId="8"/>
    <tableColumn id="9" xr3:uid="{3210D3BB-1353-4315-8164-7BD957EF41E2}" uniqueName="9" name="Planned Greenhouse Start Date" queryTableFieldId="9" dataDxfId="6"/>
    <tableColumn id="10" xr3:uid="{AC82E2E4-BEF0-4C45-875A-479FDD02D59D}" uniqueName="10" name="Actual Greenhouse Date" queryTableFieldId="10" dataDxfId="5"/>
    <tableColumn id="11" xr3:uid="{7B3920EF-2F9A-460D-9C7C-C0E38C63FF30}" uniqueName="11" name="Planned TP or DS Date" queryTableFieldId="11" dataDxfId="4"/>
    <tableColumn id="12" xr3:uid="{E213A00D-EBFB-4B96-9CCE-8273BFAD04FF}" uniqueName="12" name="Actual TP or DS Date" queryTableFieldId="12" dataDxfId="3"/>
    <tableColumn id="13" xr3:uid="{BAB24A0F-9386-4FCF-8858-2E8E4BB19B7D}" uniqueName="13" name="TP or DS Date" queryTableFieldId="13" dataDxfId="2"/>
    <tableColumn id="14" xr3:uid="{752E7D8A-DE59-4C64-B2DF-D4418AE55050}" uniqueName="14" name="Expected Beginning of Harvest" queryTableFieldId="14" dataDxfId="1"/>
    <tableColumn id="15" xr3:uid="{0878AAB8-594F-4F4F-AD82-D41CD264A352}" uniqueName="15" name="Expected End of Harvest" queryTableFieldId="15"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R2" dT="2023-01-21T04:57:51.84" personId="{00E5A401-CBFE-47F4-9DB1-B8F5A0A12003}" id="{C6B209A8-27D0-48FA-ADF9-0A4B97B5131E}">
    <text>Seeding to Harvest</text>
  </threadedComment>
  <threadedComment ref="BU2" dT="2024-01-14T05:15:00.04" personId="{773B4B0E-8FC5-4B17-BF99-C3D791A36A6C}" id="{7F6EDB10-A253-4E28-AF2E-BDC000019BB1}">
    <text>195 day growing season. 64 beds 100' beds per acre.</text>
  </threadedComment>
  <threadedComment ref="BZ2" dT="2023-01-18T19:19:59.39" personId="{00E5A401-CBFE-47F4-9DB1-B8F5A0A12003}" id="{68A04E2B-F31F-43B7-8083-520E95288530}">
    <text>In weeks</text>
  </threadedComment>
  <threadedComment ref="CQ2" dT="2024-11-22T20:10:33.58" personId="{00E5A401-CBFE-47F4-9DB1-B8F5A0A12003}" id="{BC154DC8-BA0B-6842-89F9-E32C8B40A93C}">
    <text>This is likely a factor of the attractiveness of the crop, the perishability, the number of sales events, and the total amount of revenue that has to be sold.</text>
  </threadedComment>
  <threadedComment ref="CR2" dT="2024-10-26T22:50:56.87" personId="{00E5A401-CBFE-47F4-9DB1-B8F5A0A12003}" id="{E09EDBFA-D185-4CE7-B1D7-F43EE4582545}">
    <text>Includes transport</text>
  </threadedComment>
  <threadedComment ref="DP2" dT="2025-01-11T23:41:50.04" personId="{00E5A401-CBFE-47F4-9DB1-B8F5A0A12003}" id="{A75B509A-17F6-7D41-8D9F-4FEB7121D7F4}">
    <text>I’m not sure if marketing labor is higher for direct sales or wholesale</text>
  </threadedComment>
  <threadedComment ref="EE3" dT="2025-01-12T00:00:20.60" personId="{00E5A401-CBFE-47F4-9DB1-B8F5A0A12003}" id="{70D239DC-5D26-0648-8FD1-2EF30D8BB876}">
    <text>This doesn’t accurately back out wholsale labor</text>
  </threadedComment>
  <threadedComment ref="BM44" dT="2023-01-21T01:34:59.33" personId="{00E5A401-CBFE-47F4-9DB1-B8F5A0A12003}" id="{8287171A-63B1-4DD0-A089-1CCDF0F55970}">
    <text>Maltby has them for $4</text>
  </threadedComment>
  <threadedComment ref="BM45" dT="2023-01-21T01:34:59.33" personId="{00E5A401-CBFE-47F4-9DB1-B8F5A0A12003}" id="{A1C89AAD-4591-4016-BCDA-2D126F92BE07}">
    <text>Maltby has them for $4</text>
  </threadedComment>
  <threadedComment ref="X56" dT="2023-01-20T03:37:08.29" personId="{00E5A401-CBFE-47F4-9DB1-B8F5A0A12003}" id="{F186603C-833E-470C-A9EF-548D64564C7A}">
    <text>Can squeeze in a third row if looking for tighter heads</text>
  </threadedComment>
  <threadedComment ref="X57" dT="2023-01-20T03:37:08.29" personId="{00E5A401-CBFE-47F4-9DB1-B8F5A0A12003}" id="{71C12B86-6933-4308-A59A-28FDD18385CA}">
    <text>Can squeeze in a third row if looking for tighter heads</text>
  </threadedComment>
  <threadedComment ref="DM57" dT="2023-01-20T03:41:37.60" personId="{00E5A401-CBFE-47F4-9DB1-B8F5A0A12003}" id="{372CC4BC-6E21-4B0E-9FE9-2F200B815FFF}">
    <text>Also added in the final heads.</text>
  </threadedComment>
  <threadedComment ref="Y75" dT="2024-01-15T02:48:33.70" personId="{773B4B0E-8FC5-4B17-BF99-C3D791A36A6C}" id="{BA7BB9F2-31EA-40CD-B551-FA1A4EF612A4}">
    <text>Johnny's Says 6 - 12". Probably variety Dependent</text>
  </threadedComment>
  <threadedComment ref="Y76" dT="2024-01-15T02:48:33.70" personId="{773B4B0E-8FC5-4B17-BF99-C3D791A36A6C}" id="{5FFC360F-0085-41AA-96B3-D8DB90A20B32}">
    <text>Johnny's Says 6 - 12". Probably variety Dependent</text>
  </threadedComment>
  <threadedComment ref="A94" dT="2023-01-18T22:41:50.75" personId="{00E5A401-CBFE-47F4-9DB1-B8F5A0A12003}" id="{1C2C4D73-AA6B-4791-9E47-63F9B2431D56}">
    <text>This is an experimental configuration with higher density that recommended</text>
  </threadedComment>
  <threadedComment ref="Y94" dT="2023-01-18T22:30:15.55" personId="{00E5A401-CBFE-47F4-9DB1-B8F5A0A12003}" id="{27043200-467C-4BA6-8E73-32A1EAEF62D6}">
    <text>2 plants between each squash</text>
  </threadedComment>
  <threadedComment ref="BM137" dT="2023-01-08T08:05:14.13" personId="{00E5A401-CBFE-47F4-9DB1-B8F5A0A12003}" id="{4EDCB7FA-5F3F-4FE6-BC16-67FECB0F5FAB}">
    <text>Has the additional scape crop as well.</text>
  </threadedComment>
  <threadedComment ref="BM138" dT="2023-01-08T08:05:14.13" personId="{00E5A401-CBFE-47F4-9DB1-B8F5A0A12003}" id="{80E3B026-4C94-4AA0-A066-91F1C9D924F5}">
    <text>Has the additional scape crop as well.</text>
  </threadedComment>
  <threadedComment ref="BM139" dT="2023-01-08T08:05:14.13" personId="{00E5A401-CBFE-47F4-9DB1-B8F5A0A12003}" id="{F7AC6ED7-6E5B-4E23-9E4D-0057095AC00D}">
    <text>Has the additional scape crop as well.</text>
  </threadedComment>
  <threadedComment ref="BM202" dT="2023-01-08T08:08:31.54" personId="{00E5A401-CBFE-47F4-9DB1-B8F5A0A12003}" id="{54377807-FFD0-4A42-8D39-547C2C15161E}">
    <text>Also get a bud crop that probably doubles this.</text>
  </threadedComment>
  <threadedComment ref="BM203" dT="2023-01-08T08:08:31.54" personId="{00E5A401-CBFE-47F4-9DB1-B8F5A0A12003}" id="{1A365BF4-53D1-436F-8498-53C65AC36806}">
    <text>Also get a bud crop that probably doubles this.</text>
  </threadedComment>
  <threadedComment ref="AN212" dT="2023-01-20T00:41:22.12" personId="{00E5A401-CBFE-47F4-9DB1-B8F5A0A12003}" id="{3220BF19-6D13-4C5B-BE01-2548B2235D32}">
    <text>Dowding does his for 6-8 weeks.</text>
  </threadedComment>
  <threadedComment ref="AP212" dT="2023-01-20T00:36:13.33" personId="{00E5A401-CBFE-47F4-9DB1-B8F5A0A12003}" id="{1C19F254-F235-4F5C-A136-A6E5F5E71611}">
    <text>Dowding says 150 days. JM says 90. Johnny's says 92. Not sure what to do here.</text>
  </threadedComment>
  <threadedComment ref="AP212" dT="2024-01-14T05:11:19.69" personId="{773B4B0E-8FC5-4B17-BF99-C3D791A36A6C}" id="{53AB0AE4-70CD-4C13-836D-3AFB9754408D}" parentId="{1C19F254-F235-4F5C-A136-A6E5F5E71611}">
    <text>2023. Early melons were coming on 8/7 then prescotts and kijaris came around 8/25</text>
  </threadedComment>
  <threadedComment ref="BH263" dT="2025-01-18T01:31:15.37" personId="{00E5A401-CBFE-47F4-9DB1-B8F5A0A12003}" id="{08AF8D54-E3D1-A443-AE66-65E3F01EB456}">
    <text>This is a weird once because they can crop in the early summer and again in the fall. See Berry Grower book</text>
  </threadedComment>
  <threadedComment ref="BG265" dT="2025-01-18T02:18:57.92" personId="{00E5A401-CBFE-47F4-9DB1-B8F5A0A12003}" id="{F959AEC8-6641-2F4F-842D-D67D47696338}">
    <text>This assumes that beds produce 2.5 lb per foot and each lb is 2.5 pints</text>
  </threadedComment>
  <threadedComment ref="AE272" dT="2023-06-15T08:14:00.33" personId="{00E5A401-CBFE-47F4-9DB1-B8F5A0A12003}" id="{AAC93E45-C25B-4E10-AFA4-CBF64EB6CCBC}">
    <text xml:space="preserve">Thin to 1
</text>
  </threadedComment>
  <threadedComment ref="AE273" dT="2023-06-15T08:14:00.33" personId="{00E5A401-CBFE-47F4-9DB1-B8F5A0A12003}" id="{08F88476-FB7F-47F8-8730-09ADF61AF2DF}">
    <text xml:space="preserve">Thin to 1
</text>
  </threadedComment>
  <threadedComment ref="AE286" dT="2023-08-07T01:45:10.17" personId="{00E5A401-CBFE-47F4-9DB1-B8F5A0A12003}" id="{3430F675-313F-4125-B37C-D283E1EA2EA3}">
    <text>Thin to 3</text>
  </threadedComment>
  <threadedComment ref="BH297" dT="2023-01-19T07:11:59.38" personId="{00E5A401-CBFE-47F4-9DB1-B8F5A0A12003}" id="{EB7B18C4-78F3-41AE-AEC5-C9BC37ADA2EF}">
    <text>This is actually 4 in the fall, maybe a couple of winter, and 4 in spring. Assume ~20 lbs each harvest.</text>
  </threadedComment>
  <threadedComment ref="BH298" dT="2023-01-19T07:11:59.38" personId="{00E5A401-CBFE-47F4-9DB1-B8F5A0A12003}" id="{051E0CA0-1E58-47F9-A596-93AC9C11EF40}">
    <text>This is actually 4 in the fall, maybe a couple of winter, and 4 in spring. Assume ~20 lbs each harvest.</text>
  </threadedComment>
  <threadedComment ref="BH299" dT="2023-01-19T07:11:59.38" personId="{00E5A401-CBFE-47F4-9DB1-B8F5A0A12003}" id="{B1CA3572-55BD-4728-B32F-2C0EB574710B}">
    <text>This is actually 4 in the fall, maybe a couple of winter, and 4 in spring. Assume ~20 lbs each harvest.</text>
  </threadedComment>
  <threadedComment ref="Y335" dT="2023-01-18T09:56:26.68" personId="{00E5A401-CBFE-47F4-9DB1-B8F5A0A12003}" id="{3DC02B03-6DB7-44E9-8E35-2F776AD3BA2A}">
    <text>Why can't you plant these on 6 or 4? They like to be close</text>
  </threadedComment>
  <threadedComment ref="Y335" dT="2023-01-18T09:57:16.63" personId="{00E5A401-CBFE-47F4-9DB1-B8F5A0A12003}" id="{7187B5AC-C2E9-43A0-BE33-882B2B8BFE94}" parentId="{3DC02B03-6DB7-44E9-8E35-2F776AD3BA2A}">
    <text>4 on 6" gives the same density as JM</text>
  </threadedComment>
  <threadedComment ref="AN335" dT="2023-01-18T09:59:40.96" personId="{00E5A401-CBFE-47F4-9DB1-B8F5A0A12003}" id="{431FC979-371D-49B6-95C3-5A0BB4DD7259}">
    <text>14 days in fall.</text>
  </threadedComment>
</ThreadedComments>
</file>

<file path=xl/threadedComments/threadedComment2.xml><?xml version="1.0" encoding="utf-8"?>
<ThreadedComments xmlns="http://schemas.microsoft.com/office/spreadsheetml/2018/threadedcomments" xmlns:x="http://schemas.openxmlformats.org/spreadsheetml/2006/main">
  <threadedComment ref="K5" dT="2023-02-12T06:02:49.37" personId="{00E5A401-CBFE-47F4-9DB1-B8F5A0A12003}" id="{596082E5-B48B-41BB-A899-1A42D7EBB1EC}">
    <text>Add this functionality at some point</text>
  </threadedComment>
  <threadedComment ref="AB5" dT="2023-02-13T07:46:49.05" personId="{00E5A401-CBFE-47F4-9DB1-B8F5A0A12003}" id="{5A5B155C-98C7-4FAD-909E-DE9F822B7A3C}">
    <text>May want to change this to use actual seeding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Q413" dT="2024-01-22T21:20:51.25" personId="{773B4B0E-8FC5-4B17-BF99-C3D791A36A6C}" id="{5359BB28-9C4B-4C7A-BA15-7C5F34F91445}">
    <text>This is a guess</text>
  </threadedComment>
</ThreadedComments>
</file>

<file path=xl/threadedComments/threadedComment4.xml><?xml version="1.0" encoding="utf-8"?>
<ThreadedComments xmlns="http://schemas.microsoft.com/office/spreadsheetml/2018/threadedcomments" xmlns:x="http://schemas.openxmlformats.org/spreadsheetml/2006/main">
  <threadedComment ref="F207" dT="2024-01-20T02:35:47.04" personId="{773B4B0E-8FC5-4B17-BF99-C3D791A36A6C}" id="{50D24E0E-7B8E-4D2D-84DE-DF69CCCC5400}">
    <text>Johnny's has a similar price and is also organic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rareseeds.com/tip-top-rose-nasturtium" TargetMode="External"/><Relationship Id="rId299" Type="http://schemas.openxmlformats.org/officeDocument/2006/relationships/hyperlink" Target="https://www.highmowingseeds.com/organic-non-gmo-integro-f1-cabbage.html" TargetMode="External"/><Relationship Id="rId21" Type="http://schemas.openxmlformats.org/officeDocument/2006/relationships/hyperlink" Target="https://uprisingorganics.com/collections/herbs/products/basil-tulsi-sacred-basil-holy-basil?_pos=1&amp;_sid=cacddacd5&amp;_ss=r" TargetMode="External"/><Relationship Id="rId63" Type="http://schemas.openxmlformats.org/officeDocument/2006/relationships/hyperlink" Target="https://www.adaptiveseeds.com/product/vegetables/greens/corn-salad-gelber-nussler/" TargetMode="External"/><Relationship Id="rId159" Type="http://schemas.openxmlformats.org/officeDocument/2006/relationships/hyperlink" Target="https://www.johnnyseeds.com/flowers/stock/katz-formula-mix-stock-seed-3725.html" TargetMode="External"/><Relationship Id="rId324" Type="http://schemas.openxmlformats.org/officeDocument/2006/relationships/hyperlink" Target="https://www.highmowingseeds.com/organic-non-gmo-lovelock-lettuce.html" TargetMode="External"/><Relationship Id="rId366" Type="http://schemas.openxmlformats.org/officeDocument/2006/relationships/hyperlink" Target="https://www.johnnyseeds.com/vegetables/lettuce/salanova-lettuce/salanova-green-incised-pelleted-lettuce-seed-3052JP.html" TargetMode="External"/><Relationship Id="rId170" Type="http://schemas.openxmlformats.org/officeDocument/2006/relationships/hyperlink" Target="https://uprisingorganics.com/products/tomato-pinky?_pos=1&amp;_sid=ad1b65c97&amp;_ss=r" TargetMode="External"/><Relationship Id="rId226" Type="http://schemas.openxmlformats.org/officeDocument/2006/relationships/hyperlink" Target="https://uprisingorganics.com/products/parsley-mersin?_pos=1&amp;_sid=cc116f37d&amp;_ss=r" TargetMode="External"/><Relationship Id="rId433" Type="http://schemas.openxmlformats.org/officeDocument/2006/relationships/hyperlink" Target="https://www.wildgardenseed.com/product_info.php?products_id=749" TargetMode="External"/><Relationship Id="rId268" Type="http://schemas.openxmlformats.org/officeDocument/2006/relationships/hyperlink" Target="https://territorialseed.com/products/broccoli-apollo" TargetMode="External"/><Relationship Id="rId32" Type="http://schemas.openxmlformats.org/officeDocument/2006/relationships/hyperlink" Target="https://www.johnnyseeds.com/flowers/scarlet-runner-bean/scarlet-runner-bean-flower-seed-1000.html" TargetMode="External"/><Relationship Id="rId74" Type="http://schemas.openxmlformats.org/officeDocument/2006/relationships/hyperlink" Target="https://www.johnnyseeds.com/flowers/dianthus-sweet-william/volcano-mix-organic-dianthus-seed-1988G.html" TargetMode="External"/><Relationship Id="rId128" Type="http://schemas.openxmlformats.org/officeDocument/2006/relationships/hyperlink" Target="https://www.johnnyseeds.com/flowers/viola-pansy/frizzle-sizzle-mini-tapestry-viola-seed-4645.html" TargetMode="External"/><Relationship Id="rId335" Type="http://schemas.openxmlformats.org/officeDocument/2006/relationships/hyperlink" Target="https://www.highmowingseeds.com/organic-non-gmo-parade-bunching-onion.html" TargetMode="External"/><Relationship Id="rId377" Type="http://schemas.openxmlformats.org/officeDocument/2006/relationships/hyperlink" Target="https://www.johnnyseeds.com/vegetables/peppers/sweet-bell-peppers/olly-organic-f1-bell-pepper-seed-4761G.html" TargetMode="External"/><Relationship Id="rId5" Type="http://schemas.openxmlformats.org/officeDocument/2006/relationships/hyperlink" Target="https://www.johnnyseeds.com/flowers/amaranthus/velvet-curtains-amaranthus-seed-4489.html" TargetMode="External"/><Relationship Id="rId181" Type="http://schemas.openxmlformats.org/officeDocument/2006/relationships/hyperlink" Target="https://parkseed.com/berlin-f1-berlicum-carrot-seeds/p/52448-PK-P1/" TargetMode="External"/><Relationship Id="rId237" Type="http://schemas.openxmlformats.org/officeDocument/2006/relationships/hyperlink" Target="https://www.johnnyseeds.com/vegetables/squash/summer-squash/zephyr-f1-yellow-summer-squash-seed-2217.html" TargetMode="External"/><Relationship Id="rId402" Type="http://schemas.openxmlformats.org/officeDocument/2006/relationships/hyperlink" Target="https://www.johnnyseeds.com/vegetables/turnips/hakurei-f1-turnip-seed-706.html" TargetMode="External"/><Relationship Id="rId279" Type="http://schemas.openxmlformats.org/officeDocument/2006/relationships/hyperlink" Target="https://www.highmowingseeds.com/organic-non-gmo-red-kuri-winter-squash.html" TargetMode="External"/><Relationship Id="rId444" Type="http://schemas.openxmlformats.org/officeDocument/2006/relationships/hyperlink" Target="https://www.adaptiveseeds.com/product/flowers/winged-everlasting-organic/" TargetMode="External"/><Relationship Id="rId43" Type="http://schemas.openxmlformats.org/officeDocument/2006/relationships/hyperlink" Target="https://www.rareseeds.com/butterfly-pea-lavender-queen" TargetMode="External"/><Relationship Id="rId139" Type="http://schemas.openxmlformats.org/officeDocument/2006/relationships/hyperlink" Target="https://www.gardenhoard.com/tomato-atomic-fusion-seeds.html" TargetMode="External"/><Relationship Id="rId290" Type="http://schemas.openxmlformats.org/officeDocument/2006/relationships/hyperlink" Target="https://www.adaptiveseeds.com/product/vegetables/onions/onion-rose-de-roscoff-keravel-organic/" TargetMode="External"/><Relationship Id="rId304" Type="http://schemas.openxmlformats.org/officeDocument/2006/relationships/hyperlink" Target="https://www.highmowingseeds.com/organic-non-gmo-reaction-f1-cabbage.html" TargetMode="External"/><Relationship Id="rId346" Type="http://schemas.openxmlformats.org/officeDocument/2006/relationships/hyperlink" Target="https://www.highmowingseeds.com/organic-non-gmo-merengo-f1-celery.html" TargetMode="External"/><Relationship Id="rId388" Type="http://schemas.openxmlformats.org/officeDocument/2006/relationships/hyperlink" Target="https://www.johnnyseeds.com/vegetables/tomatoes/specialty-tomatoes/blush-organic-tomato-seed-3517G.html" TargetMode="External"/><Relationship Id="rId85" Type="http://schemas.openxmlformats.org/officeDocument/2006/relationships/hyperlink" Target="https://www.adaptiveseeds.com/product/vegetables/fennel/fennel-selma-fino-organic/" TargetMode="External"/><Relationship Id="rId150" Type="http://schemas.openxmlformats.org/officeDocument/2006/relationships/hyperlink" Target="https://www.rareseeds.com/store/vegetables/new-items-2019/yedikule-lettuce" TargetMode="External"/><Relationship Id="rId192" Type="http://schemas.openxmlformats.org/officeDocument/2006/relationships/hyperlink" Target="https://uprisingorganics.com/products/sweet-pepper-elephants-ear" TargetMode="External"/><Relationship Id="rId206" Type="http://schemas.openxmlformats.org/officeDocument/2006/relationships/hyperlink" Target="https://www.osborneseed.com/catalog/item-content/91240/bauer/pr_91240/cp_/catalog/vegetables/lettuce/oak-leaf" TargetMode="External"/><Relationship Id="rId413" Type="http://schemas.openxmlformats.org/officeDocument/2006/relationships/hyperlink" Target="https://uprisingorganics.com/collections/vegetables/products/amaranth-callaloo-suriname?_pos=1&amp;_sid=8aae837f1&amp;_ss=r" TargetMode="External"/><Relationship Id="rId248" Type="http://schemas.openxmlformats.org/officeDocument/2006/relationships/hyperlink" Target="https://www.seedsavers.org/salvaterras-select-organic-tomato" TargetMode="External"/><Relationship Id="rId455" Type="http://schemas.openxmlformats.org/officeDocument/2006/relationships/hyperlink" Target="https://www.johnnyseeds.com/flowers/viola-pansy/sorbet-formula-mix-f1-viola-seed-1413.html" TargetMode="External"/><Relationship Id="rId12" Type="http://schemas.openxmlformats.org/officeDocument/2006/relationships/hyperlink" Target="https://www.johnnyseeds.com/vegetables/chinese-cabbage/tokyo-bekana-organic-f1-asian-green-seed-2251G.38.html?gclid=CjwKCAiAzp6eBhByEiwA_gGq5ODtwxHrqS0nmyWpySM2GTTxsQREBisrxFzv2GQ13dmc1_TmGqR_ehoCbPgQAvD_BwE" TargetMode="External"/><Relationship Id="rId108" Type="http://schemas.openxmlformats.org/officeDocument/2006/relationships/hyperlink" Target="https://strictlymedicinalseeds.com/product/spinach-malabar-red-basella-rubra-packet-of-10-seeds/" TargetMode="External"/><Relationship Id="rId315" Type="http://schemas.openxmlformats.org/officeDocument/2006/relationships/hyperlink" Target="https://www.highmowingseeds.com/organic-non-gmo-cruiser-cilantro.html" TargetMode="External"/><Relationship Id="rId357" Type="http://schemas.openxmlformats.org/officeDocument/2006/relationships/hyperlink" Target="https://www.johnnyseeds.com/vegetables/carrots/storage-carrots/bolero-f1-carrot-seed-216.html" TargetMode="External"/><Relationship Id="rId54" Type="http://schemas.openxmlformats.org/officeDocument/2006/relationships/hyperlink" Target="https://www.rareseeds.com/choy-sum-50-day" TargetMode="External"/><Relationship Id="rId96" Type="http://schemas.openxmlformats.org/officeDocument/2006/relationships/hyperlink" Target="https://www.wildgardenseed.com/index.php?cPath=39" TargetMode="External"/><Relationship Id="rId161" Type="http://schemas.openxmlformats.org/officeDocument/2006/relationships/hyperlink" Target="https://uprisingorganics.com/products/lettuce-little-gem?_pos=3&amp;_sid=e22e3439d&amp;_ss=r" TargetMode="External"/><Relationship Id="rId217" Type="http://schemas.openxmlformats.org/officeDocument/2006/relationships/hyperlink" Target="https://uprisingorganics.com/products/sweet-onion-siskiyou-sweet" TargetMode="External"/><Relationship Id="rId399" Type="http://schemas.openxmlformats.org/officeDocument/2006/relationships/hyperlink" Target="https://www.johnnyseeds.com/vegetables/shallots/conservor-organic-f1-shallot-seed-2703G.html" TargetMode="External"/><Relationship Id="rId259" Type="http://schemas.openxmlformats.org/officeDocument/2006/relationships/hyperlink" Target="https://www.tomatofest.com/Green_Giant_Tomato_Seeds_p/tf-0194.htm" TargetMode="External"/><Relationship Id="rId424" Type="http://schemas.openxmlformats.org/officeDocument/2006/relationships/hyperlink" Target="https://www.wildgardenseed.com/product_info.php?products_id=532" TargetMode="External"/><Relationship Id="rId466" Type="http://schemas.openxmlformats.org/officeDocument/2006/relationships/hyperlink" Target="https://territorialseed.com/products/tomato-early-cherry" TargetMode="External"/><Relationship Id="rId23" Type="http://schemas.openxmlformats.org/officeDocument/2006/relationships/hyperlink" Target="https://www.highmowingseeds.com/organic-non-gmo-genovese-basil.html" TargetMode="External"/><Relationship Id="rId119" Type="http://schemas.openxmlformats.org/officeDocument/2006/relationships/hyperlink" Target="https://www.johnnyseeds.com/flowers/nasturtium/empress-of-india-organic-nasturtium-seed-1824G.html" TargetMode="External"/><Relationship Id="rId270" Type="http://schemas.openxmlformats.org/officeDocument/2006/relationships/hyperlink" Target="https://www.johnnyseeds.com/herbs/lemon-grass/lemon-grass-east-indian-cleaned-seed-lemon-grass-seed-4074.html" TargetMode="External"/><Relationship Id="rId326" Type="http://schemas.openxmlformats.org/officeDocument/2006/relationships/hyperlink" Target="https://www.highmowingseeds.com/organic-non-gmo-walla-walla-onion.html" TargetMode="External"/><Relationship Id="rId65" Type="http://schemas.openxmlformats.org/officeDocument/2006/relationships/hyperlink" Target="https://www.johnnyseeds.com/flowers/cosmos/double-click-bicolor-violet-cosmos-seed-3311.html" TargetMode="External"/><Relationship Id="rId130" Type="http://schemas.openxmlformats.org/officeDocument/2006/relationships/hyperlink" Target="https://www.rareseeds.com/petunia-cosmic-cherry-superbissima" TargetMode="External"/><Relationship Id="rId368" Type="http://schemas.openxmlformats.org/officeDocument/2006/relationships/hyperlink" Target="https://www.johnnyseeds.com/vegetables/lettuce/romaine-lettuce-cos/truchas-organic-lettuce-seed-3880G.html" TargetMode="External"/><Relationship Id="rId172" Type="http://schemas.openxmlformats.org/officeDocument/2006/relationships/hyperlink" Target="https://www.osborneseed.com/catalog/item-content/78810/pork-chop/pr_78810" TargetMode="External"/><Relationship Id="rId228" Type="http://schemas.openxmlformats.org/officeDocument/2006/relationships/hyperlink" Target="https://www.adaptiveseeds.com/product/herbs/parsley-einfache-schnitt-3-organic/" TargetMode="External"/><Relationship Id="rId435" Type="http://schemas.openxmlformats.org/officeDocument/2006/relationships/hyperlink" Target="https://www.wildgardenseed.com/product_info.php?products_id=413" TargetMode="External"/><Relationship Id="rId281" Type="http://schemas.openxmlformats.org/officeDocument/2006/relationships/hyperlink" Target="https://www.johnnyseeds.com/vegetables/swiss-chard/bright-lights-swiss-chard-seed-703D.html" TargetMode="External"/><Relationship Id="rId337" Type="http://schemas.openxmlformats.org/officeDocument/2006/relationships/hyperlink" Target="https://www.highmowingseeds.com/organic-non-gmo-butterscotch-pmr-f1-butternut-squash.html" TargetMode="External"/><Relationship Id="rId34" Type="http://schemas.openxmlformats.org/officeDocument/2006/relationships/hyperlink" Target="https://uprisingorganics.com/products/beet-touchstone-gold?_pos=7&amp;_sid=16f9103e9&amp;_ss=r" TargetMode="External"/><Relationship Id="rId76" Type="http://schemas.openxmlformats.org/officeDocument/2006/relationships/hyperlink" Target="https://www.adaptiveseeds.com/product/flowers/sweet-william-hollandia-purple-crown-mix-organic/" TargetMode="External"/><Relationship Id="rId141" Type="http://schemas.openxmlformats.org/officeDocument/2006/relationships/hyperlink" Target="https://www.rareseeds.com/kajari-melon" TargetMode="External"/><Relationship Id="rId379" Type="http://schemas.openxmlformats.org/officeDocument/2006/relationships/hyperlink" Target="https://www.johnnyseeds.com/vegetables/squash/winter-squash/tetsukabuto-f1-hubbard-squash-seed-3578.html" TargetMode="External"/><Relationship Id="rId7" Type="http://schemas.openxmlformats.org/officeDocument/2006/relationships/hyperlink" Target="https://www.johnnyseeds.com/flowers/amaranthus/emerald-tassels-amaranthus-seed-1786.html" TargetMode="External"/><Relationship Id="rId183" Type="http://schemas.openxmlformats.org/officeDocument/2006/relationships/hyperlink" Target="https://www.adaptiveseeds.com/product/herbs/lovage-organic/" TargetMode="External"/><Relationship Id="rId239" Type="http://schemas.openxmlformats.org/officeDocument/2006/relationships/hyperlink" Target="https://www.row7seeds.com/products/centercut-squash" TargetMode="External"/><Relationship Id="rId390" Type="http://schemas.openxmlformats.org/officeDocument/2006/relationships/hyperlink" Target="https://www.johnnyseeds.com/flowers/grasses-ornamental/frosted-explosion-ornamental-grass-seed-1855.html" TargetMode="External"/><Relationship Id="rId404" Type="http://schemas.openxmlformats.org/officeDocument/2006/relationships/hyperlink" Target="https://www.johnnyseeds.com/flowers/zinnias/benarys-giant-series/benarys-giant-mix-zinnia-seed-1346.html" TargetMode="External"/><Relationship Id="rId446" Type="http://schemas.openxmlformats.org/officeDocument/2006/relationships/hyperlink" Target="https://www.highmowingseeds.com/organic-non-gmo-nutterbutter-bnut-squash.html" TargetMode="External"/><Relationship Id="rId250" Type="http://schemas.openxmlformats.org/officeDocument/2006/relationships/hyperlink" Target="https://www.southernexposure.com/products/yellow-bell-paste-tomato/" TargetMode="External"/><Relationship Id="rId292" Type="http://schemas.openxmlformats.org/officeDocument/2006/relationships/hyperlink" Target="https://www.adaptiveseeds.com/product/grains/flax-foster-organic/" TargetMode="External"/><Relationship Id="rId306" Type="http://schemas.openxmlformats.org/officeDocument/2006/relationships/hyperlink" Target="https://www.highmowingseeds.com/organic-non-gmo-farao-f1-cabbage.html" TargetMode="External"/><Relationship Id="rId45" Type="http://schemas.openxmlformats.org/officeDocument/2006/relationships/hyperlink" Target="https://uprisingorganics.com/collections/cabbage/products/cabbage-filderkraut" TargetMode="External"/><Relationship Id="rId87" Type="http://schemas.openxmlformats.org/officeDocument/2006/relationships/hyperlink" Target="https://www.wildgardenseed.com/product_info.php?cPath=43_72&amp;products_id=105" TargetMode="External"/><Relationship Id="rId110" Type="http://schemas.openxmlformats.org/officeDocument/2006/relationships/hyperlink" Target="https://www.johnnyseeds.com/flowers/marigold/giant-yellow-marigold-seed-1884.html" TargetMode="External"/><Relationship Id="rId348" Type="http://schemas.openxmlformats.org/officeDocument/2006/relationships/hyperlink" Target="https://www.highmowingseeds.com/dazzling-blue-kale.html" TargetMode="External"/><Relationship Id="rId152" Type="http://schemas.openxmlformats.org/officeDocument/2006/relationships/hyperlink" Target="https://www.wildgardenseed.com/product_info.php?cPath=43_72&amp;products_id=84" TargetMode="External"/><Relationship Id="rId194" Type="http://schemas.openxmlformats.org/officeDocument/2006/relationships/hyperlink" Target="https://uprisingorganics.com/products/fava-masterpiece" TargetMode="External"/><Relationship Id="rId208" Type="http://schemas.openxmlformats.org/officeDocument/2006/relationships/hyperlink" Target="https://www.osborneseed.com/catalog/item-content/88932/rictus/pr_88932/cp_/catalog/seed-form/untreated/lettuce" TargetMode="External"/><Relationship Id="rId415" Type="http://schemas.openxmlformats.org/officeDocument/2006/relationships/hyperlink" Target="https://uprisingorganics.com/collections/vegetables/products/cucumber-cengelkoy?_pos=1&amp;_sid=5413b124b&amp;_ss=r" TargetMode="External"/><Relationship Id="rId457" Type="http://schemas.openxmlformats.org/officeDocument/2006/relationships/hyperlink" Target="https://www.osborneseed.com/products/chantilly-cream-yellow-untreated-snapdragon-seeds?_pos=1&amp;_sid=3d44097cb&amp;_ss=r" TargetMode="External"/><Relationship Id="rId261" Type="http://schemas.openxmlformats.org/officeDocument/2006/relationships/hyperlink" Target="https://www.southernexposure.com/products/michihili-chinese-cabbage/" TargetMode="External"/><Relationship Id="rId14" Type="http://schemas.openxmlformats.org/officeDocument/2006/relationships/hyperlink" Target="https://www.johnnyseeds.com/vegetables/greens/asian-greens/mizuna-organic-asian-green-seed-2883.html" TargetMode="External"/><Relationship Id="rId56" Type="http://schemas.openxmlformats.org/officeDocument/2006/relationships/hyperlink" Target="https://www.johnnyseeds.com/vegetables/greens/asian-greens/shungiku-asian-green-seed-514.html" TargetMode="External"/><Relationship Id="rId317" Type="http://schemas.openxmlformats.org/officeDocument/2006/relationships/hyperlink" Target="https://www.highmowingseeds.com/organic-non-gmo-enchanted-f1-corn.html" TargetMode="External"/><Relationship Id="rId359" Type="http://schemas.openxmlformats.org/officeDocument/2006/relationships/hyperlink" Target="https://www.johnnyseeds.com/vegetables/cauliflower/standard-cauliflower/skywalker-organic-f1-cauliflower-seed-2593G.html" TargetMode="External"/><Relationship Id="rId98" Type="http://schemas.openxmlformats.org/officeDocument/2006/relationships/hyperlink" Target="https://uprisingorganics.com/products/ground-cherry-aunt-mollys?_pos=1&amp;_sid=fd6489ca0&amp;_ss=r" TargetMode="External"/><Relationship Id="rId121" Type="http://schemas.openxmlformats.org/officeDocument/2006/relationships/hyperlink" Target="https://www.adaptiveseeds.com/product/flowers/nigella-exotic-love-in-a-mist-organic/" TargetMode="External"/><Relationship Id="rId163" Type="http://schemas.openxmlformats.org/officeDocument/2006/relationships/hyperlink" Target="https://uprisingorganics.com/products/lettuce-eruption?_pos=1&amp;_sid=2d27fa62a&amp;_ss=r" TargetMode="External"/><Relationship Id="rId219" Type="http://schemas.openxmlformats.org/officeDocument/2006/relationships/hyperlink" Target="https://irisheyesgardenseeds.com/product/og-all-red-pre-nuclear-potato/" TargetMode="External"/><Relationship Id="rId370" Type="http://schemas.openxmlformats.org/officeDocument/2006/relationships/hyperlink" Target="https://www.johnnyseeds.com/flowers/marigold/red-gem-marigold-seed-1857.html" TargetMode="External"/><Relationship Id="rId426" Type="http://schemas.openxmlformats.org/officeDocument/2006/relationships/hyperlink" Target="https://www.wildgardenseed.com/product_info.php?products_id=477" TargetMode="External"/><Relationship Id="rId230" Type="http://schemas.openxmlformats.org/officeDocument/2006/relationships/hyperlink" Target="https://parkseed.com/lisette-parsley-seeds/p/05635-PK-P1/" TargetMode="External"/><Relationship Id="rId468" Type="http://schemas.openxmlformats.org/officeDocument/2006/relationships/vmlDrawing" Target="../drawings/vmlDrawing4.vml"/><Relationship Id="rId25" Type="http://schemas.openxmlformats.org/officeDocument/2006/relationships/hyperlink" Target="https://www.highmowingseeds.com/organic-non-gmo-deep-purple-basil.html" TargetMode="External"/><Relationship Id="rId67" Type="http://schemas.openxmlformats.org/officeDocument/2006/relationships/hyperlink" Target="https://www.highmowingseeds.com/organic-non-gmo-tasty-green-f1-cucumber.html" TargetMode="External"/><Relationship Id="rId272" Type="http://schemas.openxmlformats.org/officeDocument/2006/relationships/hyperlink" Target="https://uprisingorganics.com/products/radicchio-incantatore?_pos=1&amp;_sid=e9e99d278&amp;_ss=r" TargetMode="External"/><Relationship Id="rId328" Type="http://schemas.openxmlformats.org/officeDocument/2006/relationships/hyperlink" Target="https://www.highmowingseeds.com/organic-non-gmo-ailsa-craig-onion.html" TargetMode="External"/><Relationship Id="rId132" Type="http://schemas.openxmlformats.org/officeDocument/2006/relationships/hyperlink" Target="https://www.rareseeds.com/petunia-rosea-superbissima" TargetMode="External"/><Relationship Id="rId174" Type="http://schemas.openxmlformats.org/officeDocument/2006/relationships/hyperlink" Target="https://wildboarfarms.com/product/atomic-sunset/" TargetMode="External"/><Relationship Id="rId381" Type="http://schemas.openxmlformats.org/officeDocument/2006/relationships/hyperlink" Target="https://www.johnnyseeds.com/vegetables/squash/summer-squash/butterfingers-organic-f1-yellow-summer-squash-seed-4306G.html" TargetMode="External"/><Relationship Id="rId241" Type="http://schemas.openxmlformats.org/officeDocument/2006/relationships/hyperlink" Target="https://www.row7seeds.com/products/robins-koginut-squash" TargetMode="External"/><Relationship Id="rId437" Type="http://schemas.openxmlformats.org/officeDocument/2006/relationships/hyperlink" Target="https://www.wildgardenseed.com/product_info.php?products_id=751" TargetMode="External"/><Relationship Id="rId36" Type="http://schemas.openxmlformats.org/officeDocument/2006/relationships/hyperlink" Target="https://www.highmowingseeds.com/organic-non-gmo-bull-s-blood-beet.html" TargetMode="External"/><Relationship Id="rId283" Type="http://schemas.openxmlformats.org/officeDocument/2006/relationships/hyperlink" Target="https://www.adaptiveseeds.com/product/flowers/snapdragon-orange-wonder-organic/" TargetMode="External"/><Relationship Id="rId339" Type="http://schemas.openxmlformats.org/officeDocument/2006/relationships/hyperlink" Target="https://www.highmowingseeds.com/organic-non-gmo-sugar-dumpling-f1-squash.html" TargetMode="External"/><Relationship Id="rId78" Type="http://schemas.openxmlformats.org/officeDocument/2006/relationships/hyperlink" Target="https://www.adaptiveseeds.com/product/herbs/dill-ambrosia-organic/" TargetMode="External"/><Relationship Id="rId101" Type="http://schemas.openxmlformats.org/officeDocument/2006/relationships/hyperlink" Target="https://uprisingorganics.com/products/hot-pepper-basque?_pos=1&amp;_sid=b9a2ab625&amp;_ss=r" TargetMode="External"/><Relationship Id="rId143" Type="http://schemas.openxmlformats.org/officeDocument/2006/relationships/hyperlink" Target="https://www.highmowingseeds.com/flowers/organic-non-gmo-rudbeckia.html" TargetMode="External"/><Relationship Id="rId185" Type="http://schemas.openxmlformats.org/officeDocument/2006/relationships/hyperlink" Target="https://uprisingorganics.com/products/corn-tuxana?_pos=1&amp;_sid=69bbb5274&amp;_ss=r" TargetMode="External"/><Relationship Id="rId350" Type="http://schemas.openxmlformats.org/officeDocument/2006/relationships/hyperlink" Target="https://www.highmowingseeds.com/organic-non-gmo-arun-f1-kale.html" TargetMode="External"/><Relationship Id="rId406" Type="http://schemas.openxmlformats.org/officeDocument/2006/relationships/hyperlink" Target="https://www.trueleafmarket.com/products/hibiscus-seeds-asian-sour-leaf-roselle" TargetMode="External"/><Relationship Id="rId9" Type="http://schemas.openxmlformats.org/officeDocument/2006/relationships/hyperlink" Target="https://www.seedsavers.org/apollo-arugula" TargetMode="External"/><Relationship Id="rId210" Type="http://schemas.openxmlformats.org/officeDocument/2006/relationships/hyperlink" Target="https://kitazawaseed.com/products/mustard-seeds-misome-hybrid" TargetMode="External"/><Relationship Id="rId392" Type="http://schemas.openxmlformats.org/officeDocument/2006/relationships/hyperlink" Target="https://www.johnnyseeds.com/vegetables/kohlrabi/storage-kohlrabi/kossak-organic-f1-kohlrabi-seed-237G.html" TargetMode="External"/><Relationship Id="rId448" Type="http://schemas.openxmlformats.org/officeDocument/2006/relationships/hyperlink" Target="https://www.johnnyseeds.com/vegetables/lettuce/romaine-lettuce-cos/xalbadora-organic-lettuce-seed-4195G.html" TargetMode="External"/><Relationship Id="rId252" Type="http://schemas.openxmlformats.org/officeDocument/2006/relationships/hyperlink" Target="https://parkseed.com/tomato-yellow-pear-organic/p/05385-Pk-P1/" TargetMode="External"/><Relationship Id="rId294" Type="http://schemas.openxmlformats.org/officeDocument/2006/relationships/hyperlink" Target="https://www.adaptiveseeds.com/product/flowers/strawflower-monstrosum-mix-organic/" TargetMode="External"/><Relationship Id="rId308" Type="http://schemas.openxmlformats.org/officeDocument/2006/relationships/hyperlink" Target="https://www.highmowingseeds.com/organic-non-gmo-red-express-cabbage.html" TargetMode="External"/><Relationship Id="rId47" Type="http://schemas.openxmlformats.org/officeDocument/2006/relationships/hyperlink" Target="https://www.highmowingseeds.com/organic-non-gmo-deadon-f1-cabbage.html" TargetMode="External"/><Relationship Id="rId89" Type="http://schemas.openxmlformats.org/officeDocument/2006/relationships/hyperlink" Target="https://www.adaptiveseeds.com/product/vegetables/lettuce/lettuce-fristina-organic/" TargetMode="External"/><Relationship Id="rId112" Type="http://schemas.openxmlformats.org/officeDocument/2006/relationships/hyperlink" Target="https://www.johnnyseeds.com/flowers/marigold/white-swan-f1-marigold-seed-4641.html" TargetMode="External"/><Relationship Id="rId154" Type="http://schemas.openxmlformats.org/officeDocument/2006/relationships/hyperlink" Target="https://www.highmowingseeds.com/organic-non-gmo-lion-s-mouth-snapdragon.html" TargetMode="External"/><Relationship Id="rId361" Type="http://schemas.openxmlformats.org/officeDocument/2006/relationships/hyperlink" Target="https://www.johnnyseeds.com/vegetables/cauliflower/green-stem-cauliflower/song-tjs-65-f1-cauliflower-seed-4131.html" TargetMode="External"/><Relationship Id="rId196" Type="http://schemas.openxmlformats.org/officeDocument/2006/relationships/hyperlink" Target="https://uprisingorganics.com/products/fava-aquadulce" TargetMode="External"/><Relationship Id="rId417" Type="http://schemas.openxmlformats.org/officeDocument/2006/relationships/hyperlink" Target="https://uprisingorganics.com/collections/vegetables/products/radicchio-castelfranco-4-20?_pos=1&amp;_sid=bcf1dea30&amp;_ss=r" TargetMode="External"/><Relationship Id="rId459" Type="http://schemas.openxmlformats.org/officeDocument/2006/relationships/hyperlink" Target="https://www.osborneseed.com/products/truchas-organic-nop-compliant-pellet-lettuce-seeds?_pos=1&amp;_sid=5be874f6b&amp;_ss=r&amp;variant=40616662171714" TargetMode="External"/><Relationship Id="rId16" Type="http://schemas.openxmlformats.org/officeDocument/2006/relationships/hyperlink" Target="https://www.johnnyseeds.com/flowers/centaurea-bachelors-button/tall-blue-boy-organic-centaurea-seed-4656G.html" TargetMode="External"/><Relationship Id="rId221" Type="http://schemas.openxmlformats.org/officeDocument/2006/relationships/hyperlink" Target="https://strictlymedicinalseeds.com/product/passionflower-official-passiflora-incarnata-seeds-organic/" TargetMode="External"/><Relationship Id="rId263" Type="http://schemas.openxmlformats.org/officeDocument/2006/relationships/hyperlink" Target="https://www.gardenhoard.com/napa-chinese-cabbage-michihili-seeds.html" TargetMode="External"/><Relationship Id="rId319" Type="http://schemas.openxmlformats.org/officeDocument/2006/relationships/hyperlink" Target="https://www.highmowingseeds.com/organic-non-gmo-marketmore-76-cucumber.html" TargetMode="External"/><Relationship Id="rId470" Type="http://schemas.openxmlformats.org/officeDocument/2006/relationships/comments" Target="../comments3.xml"/><Relationship Id="rId58" Type="http://schemas.openxmlformats.org/officeDocument/2006/relationships/hyperlink" Target="https://uprisingorganics.com/collections/herbs/products/cilantro-pokey-joe?_pos=1&amp;_sid=1dfa0d036&amp;_ss=r" TargetMode="External"/><Relationship Id="rId123" Type="http://schemas.openxmlformats.org/officeDocument/2006/relationships/hyperlink" Target="https://www.highmowingseeds.com/organic-non-gmo-shanghai-green-pac-choy.html" TargetMode="External"/><Relationship Id="rId330" Type="http://schemas.openxmlformats.org/officeDocument/2006/relationships/hyperlink" Target="https://www.highmowingseeds.com/organic-non-gmo-red-long-of-florence-onion.html" TargetMode="External"/><Relationship Id="rId165" Type="http://schemas.openxmlformats.org/officeDocument/2006/relationships/hyperlink" Target="https://www.highmowingseeds.com/organic-non-gmo-goldy-double-sunflower.html" TargetMode="External"/><Relationship Id="rId372" Type="http://schemas.openxmlformats.org/officeDocument/2006/relationships/hyperlink" Target="https://www.johnnyseeds.com/vegetables/melons/cantaloupe-muskmelon/triton-f1-melon-seed-4182.html" TargetMode="External"/><Relationship Id="rId428" Type="http://schemas.openxmlformats.org/officeDocument/2006/relationships/hyperlink" Target="https://www.wildgardenseed.com/product_info.php?products_id=636" TargetMode="External"/><Relationship Id="rId232" Type="http://schemas.openxmlformats.org/officeDocument/2006/relationships/hyperlink" Target="https://westonseeds.com/product/agretti-roscano-saltwort/" TargetMode="External"/><Relationship Id="rId274" Type="http://schemas.openxmlformats.org/officeDocument/2006/relationships/hyperlink" Target="https://uprisingorganics.com/products/radicchio-treviso-precoce-4-10?_pos=15&amp;_sid=e9e99d278&amp;_ss=r" TargetMode="External"/><Relationship Id="rId27" Type="http://schemas.openxmlformats.org/officeDocument/2006/relationships/hyperlink" Target="https://www.highmowingseeds.com/organic-non-gmo-provider-bush-bean.html" TargetMode="External"/><Relationship Id="rId69" Type="http://schemas.openxmlformats.org/officeDocument/2006/relationships/hyperlink" Target="https://www.johnnyseeds.com/vegetables/cucumbers/seedless-and-thin-skinned-cucumbers/poniente-organic-f1-cucumber-seed-4379G.html" TargetMode="External"/><Relationship Id="rId134" Type="http://schemas.openxmlformats.org/officeDocument/2006/relationships/hyperlink" Target="https://www.wildgardenseed.com/product_info.php?cPath=93_151&amp;products_id=533" TargetMode="External"/><Relationship Id="rId80" Type="http://schemas.openxmlformats.org/officeDocument/2006/relationships/hyperlink" Target="https://www.westcoastseeds.com/products/ella-organic" TargetMode="External"/><Relationship Id="rId176" Type="http://schemas.openxmlformats.org/officeDocument/2006/relationships/hyperlink" Target="https://www.rareseeds.com/buckwheat-rose-red-soba" TargetMode="External"/><Relationship Id="rId341" Type="http://schemas.openxmlformats.org/officeDocument/2006/relationships/hyperlink" Target="https://www.highmowingseeds.com/organic-non-gmo-goldy-double-sunflower.html" TargetMode="External"/><Relationship Id="rId383" Type="http://schemas.openxmlformats.org/officeDocument/2006/relationships/hyperlink" Target="https://www.johnnyseeds.com/vegetables/squash/summer-squash/dunja-organic-f1-zucchini-squash-seed-3843G.html" TargetMode="External"/><Relationship Id="rId439" Type="http://schemas.openxmlformats.org/officeDocument/2006/relationships/hyperlink" Target="https://www.wildgardenseed.com/product_info.php?products_id=516" TargetMode="External"/><Relationship Id="rId201" Type="http://schemas.openxmlformats.org/officeDocument/2006/relationships/hyperlink" Target="https://www.johnnyseeds.com/vegetables/lettuce/summer-crisp-lettuce-batavia/muir-organic-lettuce-seed-3881G.html" TargetMode="External"/><Relationship Id="rId243" Type="http://schemas.openxmlformats.org/officeDocument/2006/relationships/hyperlink" Target="https://www.adaptiveseeds.com/product/vegetables/peppers/sweet-pepper-peace-bell-organic/" TargetMode="External"/><Relationship Id="rId285" Type="http://schemas.openxmlformats.org/officeDocument/2006/relationships/hyperlink" Target="https://www.johnnyseeds.com/vegetables/greens/asian-greens/carlton-f1-asian-green-seed-3872.html" TargetMode="External"/><Relationship Id="rId450" Type="http://schemas.openxmlformats.org/officeDocument/2006/relationships/hyperlink" Target="https://www.wildgardenseed.com/product_info.php?products_id=576" TargetMode="External"/><Relationship Id="rId38" Type="http://schemas.openxmlformats.org/officeDocument/2006/relationships/hyperlink" Target="https://www.seedsavers.org/burpees-golden-organic-beet" TargetMode="External"/><Relationship Id="rId103" Type="http://schemas.openxmlformats.org/officeDocument/2006/relationships/hyperlink" Target="https://www.johnnyseeds.com/vegetables/peppers/hot-peppers/bastan-organic-f1-poblano-pepper-seed-3274G.html" TargetMode="External"/><Relationship Id="rId310" Type="http://schemas.openxmlformats.org/officeDocument/2006/relationships/hyperlink" Target="https://www.highmowingseeds.com/organic-non-gmo-expect-f1-cabbage.html" TargetMode="External"/><Relationship Id="rId91" Type="http://schemas.openxmlformats.org/officeDocument/2006/relationships/hyperlink" Target="https://www.adaptiveseeds.com/product/garlic-shallots/hardneck-seed-garlic/bangkok-seed-garlic-organic/" TargetMode="External"/><Relationship Id="rId145" Type="http://schemas.openxmlformats.org/officeDocument/2006/relationships/hyperlink" Target="https://www.wildgardenseed.com/product_info.php?cPath=93_96&amp;products_id=747" TargetMode="External"/><Relationship Id="rId187" Type="http://schemas.openxmlformats.org/officeDocument/2006/relationships/hyperlink" Target="https://www.johnnyseeds.com/vegetables/cucumbers/seedless-and-thin-skinned-cucumbers/diva-cucumber-seed-2198.html" TargetMode="External"/><Relationship Id="rId352" Type="http://schemas.openxmlformats.org/officeDocument/2006/relationships/hyperlink" Target="https://www.highmowingseeds.com/organic-non-gmo-red-veined-sorrel.html" TargetMode="External"/><Relationship Id="rId394" Type="http://schemas.openxmlformats.org/officeDocument/2006/relationships/hyperlink" Target="https://www.johnnyseeds.com/vegetables/greens/asian-greens/red-cloud-f1-asian-green-seed-3341.html" TargetMode="External"/><Relationship Id="rId408" Type="http://schemas.openxmlformats.org/officeDocument/2006/relationships/hyperlink" Target="https://www.osborneseed.com/products/sun-dipper-f1-untreated-tomato-seeds" TargetMode="External"/><Relationship Id="rId212" Type="http://schemas.openxmlformats.org/officeDocument/2006/relationships/hyperlink" Target="https://kitazawaseed.com/products/mustard-seeds-red-komatsuna-hybrid" TargetMode="External"/><Relationship Id="rId254" Type="http://schemas.openxmlformats.org/officeDocument/2006/relationships/hyperlink" Target="https://www.johnnyseeds.com/vegetables/tomatoes/cherry-tomatoes/sun-gold-f1-tomato-seed-770.html" TargetMode="External"/><Relationship Id="rId49" Type="http://schemas.openxmlformats.org/officeDocument/2006/relationships/hyperlink" Target="https://www.rareseeds.com/store/vegetables/carrots/kyoto-red-carrot" TargetMode="External"/><Relationship Id="rId114" Type="http://schemas.openxmlformats.org/officeDocument/2006/relationships/hyperlink" Target="https://www.adaptiveseeds.com/product/flowers/marigold-ildkongen-organic/" TargetMode="External"/><Relationship Id="rId296" Type="http://schemas.openxmlformats.org/officeDocument/2006/relationships/hyperlink" Target="https://www.everwilde.com/store/Organic-Yard-Long-Bean-Green-Yard-Long-Bean.html" TargetMode="External"/><Relationship Id="rId461" Type="http://schemas.openxmlformats.org/officeDocument/2006/relationships/hyperlink" Target="https://territorialseed.com/products/marigold-lemon-gem" TargetMode="External"/><Relationship Id="rId60" Type="http://schemas.openxmlformats.org/officeDocument/2006/relationships/hyperlink" Target="https://www.adaptiveseeds.com/product/vegetables/corn/sweet-corn-double-red-organic/" TargetMode="External"/><Relationship Id="rId156" Type="http://schemas.openxmlformats.org/officeDocument/2006/relationships/hyperlink" Target="https://www.westcoastseeds.com/products/giant-winter-organic?variant=29705096265788" TargetMode="External"/><Relationship Id="rId198" Type="http://schemas.openxmlformats.org/officeDocument/2006/relationships/hyperlink" Target="https://www.highmowingseeds.com/organic-non-gmo-rouge-d-hiver-lettuce.html" TargetMode="External"/><Relationship Id="rId321" Type="http://schemas.openxmlformats.org/officeDocument/2006/relationships/hyperlink" Target="https://www.highmowingseeds.com/organic-non-gmo-tasty-green-f1-cucumber.html" TargetMode="External"/><Relationship Id="rId363" Type="http://schemas.openxmlformats.org/officeDocument/2006/relationships/hyperlink" Target="https://www.johnnyseeds.com/vegetables/lettuce/salanova-lettuce/salanova-red-sweet-crisp-pelleted-lettuce-seed-3055JP.html" TargetMode="External"/><Relationship Id="rId419" Type="http://schemas.openxmlformats.org/officeDocument/2006/relationships/hyperlink" Target="https://uprisingorganics.com/collections/vegetables/products/radicchio-treviso-precoce-4-10?_pos=1&amp;_sid=a46b80468&amp;_ss=r" TargetMode="External"/><Relationship Id="rId223" Type="http://schemas.openxmlformats.org/officeDocument/2006/relationships/hyperlink" Target="https://www.adaptiveseeds.com/product/vegetables/radishes/radish-okhura-winter-queen-daikon-organic/" TargetMode="External"/><Relationship Id="rId430" Type="http://schemas.openxmlformats.org/officeDocument/2006/relationships/hyperlink" Target="https://www.wildgardenseed.com/product_info.php?products_id=424" TargetMode="External"/><Relationship Id="rId18" Type="http://schemas.openxmlformats.org/officeDocument/2006/relationships/hyperlink" Target="https://www.johnnyseeds.com/flowers/centaurea-bachelors-button/black-button-centaurea-seed-3435.html" TargetMode="External"/><Relationship Id="rId265" Type="http://schemas.openxmlformats.org/officeDocument/2006/relationships/hyperlink" Target="https://uprisingorganics.com/products/cauliflower-all-the-year-round?_pos=2&amp;_sid=9545cef59&amp;_ss=r" TargetMode="External"/><Relationship Id="rId125" Type="http://schemas.openxmlformats.org/officeDocument/2006/relationships/hyperlink" Target="https://www.osborneseed.com/catalog/item-content/88824/bopak-f1/pr_88824/cp_/catalog/organic/pak-choi" TargetMode="External"/><Relationship Id="rId167" Type="http://schemas.openxmlformats.org/officeDocument/2006/relationships/hyperlink" Target="https://uprisingorganics.com/collections/sunflower/products/sunflower-reds" TargetMode="External"/><Relationship Id="rId332" Type="http://schemas.openxmlformats.org/officeDocument/2006/relationships/hyperlink" Target="https://www.highmowingseeds.com/organic-non-gmo-laica-parsley.html" TargetMode="External"/><Relationship Id="rId374" Type="http://schemas.openxmlformats.org/officeDocument/2006/relationships/hyperlink" Target="https://www.johnnyseeds.com/vegetables/peppers/hot-peppers/bastan-organic-f1-poblano-pepper-seed-3274G.html" TargetMode="External"/><Relationship Id="rId71" Type="http://schemas.openxmlformats.org/officeDocument/2006/relationships/hyperlink" Target="https://www.highmowingseeds.com/organic-non-gmo-socrates-f1-cucumber.html" TargetMode="External"/><Relationship Id="rId234" Type="http://schemas.openxmlformats.org/officeDocument/2006/relationships/hyperlink" Target="https://www.highmowingseeds.com/organic-non-gmo-costata-romanesc-zucchini.html" TargetMode="External"/><Relationship Id="rId2" Type="http://schemas.openxmlformats.org/officeDocument/2006/relationships/hyperlink" Target="https://www.johnnyseeds.com/herbs/saltwort/saltwort-herb-seed-2677.11.html?gclid=CjwKCAiAzp6eBhByEiwA_gGq5AM1zOHWU3BVtKDiAnIjCuVq877TsFQnMR69XAIWoTKFFim9zASR2BoClxwQAvD_BwE" TargetMode="External"/><Relationship Id="rId29" Type="http://schemas.openxmlformats.org/officeDocument/2006/relationships/hyperlink" Target="https://www.adaptiveseeds.com/product/vegetables/beans/bush-snap-bean-cupidon-organic/" TargetMode="External"/><Relationship Id="rId276" Type="http://schemas.openxmlformats.org/officeDocument/2006/relationships/hyperlink" Target="https://uprisingorganics.com/products/radicchio-castelfranco-4-20?_pos=7&amp;_sid=e9e99d278&amp;_ss=r" TargetMode="External"/><Relationship Id="rId441" Type="http://schemas.openxmlformats.org/officeDocument/2006/relationships/hyperlink" Target="https://uprisingorganics.com/collections/melon/products/melon-prescott-fond-blanc" TargetMode="External"/><Relationship Id="rId40" Type="http://schemas.openxmlformats.org/officeDocument/2006/relationships/hyperlink" Target="https://www.rareseeds.com/borage-white" TargetMode="External"/><Relationship Id="rId136" Type="http://schemas.openxmlformats.org/officeDocument/2006/relationships/hyperlink" Target="https://www.johnnyseeds.com/vegetables/tomatoes/specialty-tomatoes/pink-berkeley-tie-dye-organic-tomato-seed-3636G.html" TargetMode="External"/><Relationship Id="rId178" Type="http://schemas.openxmlformats.org/officeDocument/2006/relationships/hyperlink" Target="https://uprisingorganics.com/products/cabbage-verza-moretta-di-veronella?_pos=6&amp;_sid=a67b98f35&amp;_ss=r" TargetMode="External"/><Relationship Id="rId301" Type="http://schemas.openxmlformats.org/officeDocument/2006/relationships/hyperlink" Target="https://www.highmowingseeds.com/organic-non-gmo-bilko-f1-napa-cabbage.html" TargetMode="External"/><Relationship Id="rId343" Type="http://schemas.openxmlformats.org/officeDocument/2006/relationships/hyperlink" Target="https://www.highmowingseeds.com/organic-non-gmo-cherokee-purple-tomato.html" TargetMode="External"/><Relationship Id="rId82" Type="http://schemas.openxmlformats.org/officeDocument/2006/relationships/hyperlink" Target="https://www.wildgardenseed.com/product_info.php?cPath=93_168&amp;products_id=606" TargetMode="External"/><Relationship Id="rId203" Type="http://schemas.openxmlformats.org/officeDocument/2006/relationships/hyperlink" Target="https://www.wildgardenseed.com/product_info.php?products_id=744" TargetMode="External"/><Relationship Id="rId385" Type="http://schemas.openxmlformats.org/officeDocument/2006/relationships/hyperlink" Target="https://www.johnnyseeds.com/flowers/sunflowers/tall-sunflowers/procut-peach-f1-sunflower-seed-4445.html" TargetMode="External"/><Relationship Id="rId19" Type="http://schemas.openxmlformats.org/officeDocument/2006/relationships/hyperlink" Target="https://www.johnnyseeds.com/flowers/centaurea-bachelors-button/classic-magic-centaurea-seed-3306.html" TargetMode="External"/><Relationship Id="rId224" Type="http://schemas.openxmlformats.org/officeDocument/2006/relationships/hyperlink" Target="https://www.highmowingseeds.com/organic-non-gmo-white-icicle-radish.html" TargetMode="External"/><Relationship Id="rId245" Type="http://schemas.openxmlformats.org/officeDocument/2006/relationships/hyperlink" Target="https://www.totallytomato.com/product/T00786/124" TargetMode="External"/><Relationship Id="rId266" Type="http://schemas.openxmlformats.org/officeDocument/2006/relationships/hyperlink" Target="https://www.adaptiveseeds.com/product/vegetables/broccoli-cauliflower/broccoli-blue-star-gai-lan-organic/" TargetMode="External"/><Relationship Id="rId287" Type="http://schemas.openxmlformats.org/officeDocument/2006/relationships/hyperlink" Target="https://uprisingorganics.com/collections/amaranth/products/amaranth-opopeo" TargetMode="External"/><Relationship Id="rId410" Type="http://schemas.openxmlformats.org/officeDocument/2006/relationships/hyperlink" Target="https://shop.seedsavers.org/rat-tail-purple-organic-radish" TargetMode="External"/><Relationship Id="rId431" Type="http://schemas.openxmlformats.org/officeDocument/2006/relationships/hyperlink" Target="https://www.wildgardenseed.com/product_info.php?products_id=425" TargetMode="External"/><Relationship Id="rId452" Type="http://schemas.openxmlformats.org/officeDocument/2006/relationships/hyperlink" Target="https://www.johnnyseeds.com/vegetables/greens/asian-greens/red-cloud-f1-asian-green-seed-3341.html" TargetMode="External"/><Relationship Id="rId30" Type="http://schemas.openxmlformats.org/officeDocument/2006/relationships/hyperlink" Target="https://www.everwilde.com/store/Yard-Long-Bean-Black-Mix-Yard-Long-Bean.html" TargetMode="External"/><Relationship Id="rId105" Type="http://schemas.openxmlformats.org/officeDocument/2006/relationships/hyperlink" Target="https://www.rareseeds.com/orchid-cream-nasturtium" TargetMode="External"/><Relationship Id="rId126" Type="http://schemas.openxmlformats.org/officeDocument/2006/relationships/hyperlink" Target="https://www.johnnyseeds.com/flowers/viola-pansy/frizzle-sizzle-yellow-blue-swirl-viola-seed-4453.html" TargetMode="External"/><Relationship Id="rId147" Type="http://schemas.openxmlformats.org/officeDocument/2006/relationships/hyperlink" Target="https://www.wildgardenseed.com/product_info.php?cPath=93_96&amp;products_id=688" TargetMode="External"/><Relationship Id="rId168" Type="http://schemas.openxmlformats.org/officeDocument/2006/relationships/hyperlink" Target="https://www.johnnyseeds.com/flowers/sunflowers/tall-sunflowers/red-hedge-f1-sunflower-seed-1941.html" TargetMode="External"/><Relationship Id="rId312" Type="http://schemas.openxmlformats.org/officeDocument/2006/relationships/hyperlink" Target="https://www.highmowingseeds.com/organic-non-gmo-napoli-f1-carrot.html" TargetMode="External"/><Relationship Id="rId333" Type="http://schemas.openxmlformats.org/officeDocument/2006/relationships/hyperlink" Target="https://www.highmowingseeds.com/organic-non-gmo-schwarzer-runder-radish.html" TargetMode="External"/><Relationship Id="rId354" Type="http://schemas.openxmlformats.org/officeDocument/2006/relationships/hyperlink" Target="https://www.highmowingseeds.com/organic-non-gmo-tokyo-market-turnip.html" TargetMode="External"/><Relationship Id="rId51" Type="http://schemas.openxmlformats.org/officeDocument/2006/relationships/hyperlink" Target="https://kitazawaseed.com/products/carrot-seeds-kyoto-red?variant=42229261959402" TargetMode="External"/><Relationship Id="rId72" Type="http://schemas.openxmlformats.org/officeDocument/2006/relationships/hyperlink" Target="https://app.barn2door.com/zephyrosfarmandgarden/all" TargetMode="External"/><Relationship Id="rId93" Type="http://schemas.openxmlformats.org/officeDocument/2006/relationships/hyperlink" Target="https://www.adaptiveseeds.com/product/vegetables/peppers/hot-pepper-korean-organic/" TargetMode="External"/><Relationship Id="rId189" Type="http://schemas.openxmlformats.org/officeDocument/2006/relationships/hyperlink" Target="https://territorialseed.com/products/eggplant-millionaire" TargetMode="External"/><Relationship Id="rId375" Type="http://schemas.openxmlformats.org/officeDocument/2006/relationships/hyperlink" Target="https://www.johnnyseeds.com/vegetables/peppers/hot-peppers/hungarian-hot-wax-organic-pepper-seed-3092G.html" TargetMode="External"/><Relationship Id="rId396" Type="http://schemas.openxmlformats.org/officeDocument/2006/relationships/hyperlink" Target="https://www.johnnyseeds.com/flowers/bupleurum/green-gold-bupleurum-seed-1045.html" TargetMode="External"/><Relationship Id="rId3" Type="http://schemas.openxmlformats.org/officeDocument/2006/relationships/hyperlink" Target="https://www.westcoastseeds.com/products/salsola" TargetMode="External"/><Relationship Id="rId214" Type="http://schemas.openxmlformats.org/officeDocument/2006/relationships/hyperlink" Target="https://www.adaptiveseeds.com/product/vegetables/melons/melon-farthest-north-mix-organic/" TargetMode="External"/><Relationship Id="rId235" Type="http://schemas.openxmlformats.org/officeDocument/2006/relationships/hyperlink" Target="https://www.highmowingseeds.com/organic-non-gmo-cocozelle-zucchini.html" TargetMode="External"/><Relationship Id="rId256" Type="http://schemas.openxmlformats.org/officeDocument/2006/relationships/hyperlink" Target="https://www.adaptiveseeds.com/product/vegetables/tomatoes/tomato-sungella-organic/" TargetMode="External"/><Relationship Id="rId277" Type="http://schemas.openxmlformats.org/officeDocument/2006/relationships/hyperlink" Target="https://uprisingorganics.com/products/radicchio-castelfranco-4-21?_pos=5&amp;_sid=e9e99d278&amp;_ss=r" TargetMode="External"/><Relationship Id="rId298" Type="http://schemas.openxmlformats.org/officeDocument/2006/relationships/hyperlink" Target="https://www.gardenhoard.com/peruvian-ground-cherry-seeds-certified-organic.html" TargetMode="External"/><Relationship Id="rId400" Type="http://schemas.openxmlformats.org/officeDocument/2006/relationships/hyperlink" Target="https://www.johnnyseeds.com/vegetables/shallots/cre%CC%80me-bru%CC%82le%CC%81e-f1-shallot-seed-4575.html" TargetMode="External"/><Relationship Id="rId421" Type="http://schemas.openxmlformats.org/officeDocument/2006/relationships/hyperlink" Target="https://uprisingorganics.com/collections/sunflower/products/sunflower-garden-anarchy-mix?_pos=1&amp;_sid=4b1e24747&amp;_ss=r" TargetMode="External"/><Relationship Id="rId442" Type="http://schemas.openxmlformats.org/officeDocument/2006/relationships/hyperlink" Target="https://www.johnnyseeds.com/vegetables/peppers/hot-peppers/black-magic-organic-f1-jalapeno-pepper-seed-4718G.html" TargetMode="External"/><Relationship Id="rId463" Type="http://schemas.openxmlformats.org/officeDocument/2006/relationships/hyperlink" Target="https://www.wildgardenseed.com/product_info.php?products_id=435" TargetMode="External"/><Relationship Id="rId116" Type="http://schemas.openxmlformats.org/officeDocument/2006/relationships/hyperlink" Target="https://www.rareseeds.com/store/vegetables/new-items-2019/chinese-shawo-fruit-radish" TargetMode="External"/><Relationship Id="rId137" Type="http://schemas.openxmlformats.org/officeDocument/2006/relationships/hyperlink" Target="https://www.osborneseed.com/catalog/item-content/78813/solar-flare/pr_78813" TargetMode="External"/><Relationship Id="rId158" Type="http://schemas.openxmlformats.org/officeDocument/2006/relationships/hyperlink" Target="https://www.johnnyseeds.com/flowers/stock/iron-pastel-mix-stock-seed-4649.html" TargetMode="External"/><Relationship Id="rId302" Type="http://schemas.openxmlformats.org/officeDocument/2006/relationships/hyperlink" Target="https://www.highmowingseeds.com/organic-non-gmo-emiko-f1-napa-cabbage.html" TargetMode="External"/><Relationship Id="rId323" Type="http://schemas.openxmlformats.org/officeDocument/2006/relationships/hyperlink" Target="https://www.highmowingseeds.com/organic-non-gmo-rouge-d-hiver-lettuce.html" TargetMode="External"/><Relationship Id="rId344" Type="http://schemas.openxmlformats.org/officeDocument/2006/relationships/hyperlink" Target="https://www.highmowingseeds.com/organic-non-gmo-helenor-rutabaga.html" TargetMode="External"/><Relationship Id="rId20" Type="http://schemas.openxmlformats.org/officeDocument/2006/relationships/hyperlink" Target="https://uprisingorganics.com/collections/bachelors-button/products/basket-flower-aloha-blanca" TargetMode="External"/><Relationship Id="rId41" Type="http://schemas.openxmlformats.org/officeDocument/2006/relationships/hyperlink" Target="https://www.adaptiveseeds.com/product/herbs/borage-organic/" TargetMode="External"/><Relationship Id="rId62" Type="http://schemas.openxmlformats.org/officeDocument/2006/relationships/hyperlink" Target="https://www.highmowingseeds.com/organic-non-gmo-vit-mache.html" TargetMode="External"/><Relationship Id="rId83" Type="http://schemas.openxmlformats.org/officeDocument/2006/relationships/hyperlink" Target="https://www.swallowtailgardenseeds.com/perennials/anchusa.html" TargetMode="External"/><Relationship Id="rId179" Type="http://schemas.openxmlformats.org/officeDocument/2006/relationships/hyperlink" Target="https://www.highmowingseeds.com/organic-non-gmo-caraflex-f1-cabbage.html" TargetMode="External"/><Relationship Id="rId365" Type="http://schemas.openxmlformats.org/officeDocument/2006/relationships/hyperlink" Target="https://www.johnnyseeds.com/vegetables/lettuce/salanova-lettuce/salanova-green-sweet-crisp-pelleted-lettuce-seed-3054JP.html" TargetMode="External"/><Relationship Id="rId386" Type="http://schemas.openxmlformats.org/officeDocument/2006/relationships/hyperlink" Target="https://www.johnnyseeds.com/flowers/sunflowers/tall-sunflowers/shock-o-lat-f1-sunflower-seed-4731.html" TargetMode="External"/><Relationship Id="rId190" Type="http://schemas.openxmlformats.org/officeDocument/2006/relationships/hyperlink" Target="https://www.highmowingseeds.com/organic-non-gmo-shikou-f1-eggplant.html" TargetMode="External"/><Relationship Id="rId204" Type="http://schemas.openxmlformats.org/officeDocument/2006/relationships/hyperlink" Target="https://www.wildgardenseed.com/product_info.php?products_id=243" TargetMode="External"/><Relationship Id="rId225" Type="http://schemas.openxmlformats.org/officeDocument/2006/relationships/hyperlink" Target="https://www.highmowingseeds.com/organic-non-gmo-schwarzer-runder-radish.html" TargetMode="External"/><Relationship Id="rId246" Type="http://schemas.openxmlformats.org/officeDocument/2006/relationships/hyperlink" Target="https://store.growartisan.com/product/mary-reynolds" TargetMode="External"/><Relationship Id="rId267" Type="http://schemas.openxmlformats.org/officeDocument/2006/relationships/hyperlink" Target="https://territorialseed.com/products/broccoli-apollo" TargetMode="External"/><Relationship Id="rId288" Type="http://schemas.openxmlformats.org/officeDocument/2006/relationships/hyperlink" Target="https://uprisingorganics.com/products/snapdragon-royal-bride" TargetMode="External"/><Relationship Id="rId411" Type="http://schemas.openxmlformats.org/officeDocument/2006/relationships/hyperlink" Target="https://strictlymedicinalseeds.com/product/spinach-malabar-red-basella-rubra-packet-of-10-seeds/" TargetMode="External"/><Relationship Id="rId432" Type="http://schemas.openxmlformats.org/officeDocument/2006/relationships/hyperlink" Target="https://www.wildgardenseed.com/product_info.php?products_id=699" TargetMode="External"/><Relationship Id="rId453" Type="http://schemas.openxmlformats.org/officeDocument/2006/relationships/hyperlink" Target="https://www.rareseeds.com/butterfly-pea-blue-queen" TargetMode="External"/><Relationship Id="rId106" Type="http://schemas.openxmlformats.org/officeDocument/2006/relationships/hyperlink" Target="https://www.highmowingseeds.com/organic-non-gmo-nigella.html" TargetMode="External"/><Relationship Id="rId127" Type="http://schemas.openxmlformats.org/officeDocument/2006/relationships/hyperlink" Target="https://www.johnnyseeds.com/flowers/viola-pansy/brush-strokes-viola-seed-4562.html" TargetMode="External"/><Relationship Id="rId313" Type="http://schemas.openxmlformats.org/officeDocument/2006/relationships/hyperlink" Target="https://www.highmowingseeds.com/organic-non-gmo-tango-celery.html" TargetMode="External"/><Relationship Id="rId10" Type="http://schemas.openxmlformats.org/officeDocument/2006/relationships/hyperlink" Target="https://www.highmowingseeds.com/organic-non-gmo-astro-arugula.html" TargetMode="External"/><Relationship Id="rId31" Type="http://schemas.openxmlformats.org/officeDocument/2006/relationships/hyperlink" Target="https://www.johnnyseeds.com/flowers/hyacinth-bean/ruby-moon-hyacinth-bean-seed-1002.html" TargetMode="External"/><Relationship Id="rId52" Type="http://schemas.openxmlformats.org/officeDocument/2006/relationships/hyperlink" Target="https://www.osborneseed.com/catalog/item-content/77241/victoria-f1/pr_77241/cp_/catalog/seed-form/pelleted/celery" TargetMode="External"/><Relationship Id="rId73" Type="http://schemas.openxmlformats.org/officeDocument/2006/relationships/hyperlink" Target="https://www.wildgardenseed.com/product_info.php?cPath=93_123&amp;products_id=447" TargetMode="External"/><Relationship Id="rId94" Type="http://schemas.openxmlformats.org/officeDocument/2006/relationships/hyperlink" Target="https://www.adaptiveseeds.com/product/vegetables/onions/green-onions-white-spear-organic/" TargetMode="External"/><Relationship Id="rId148" Type="http://schemas.openxmlformats.org/officeDocument/2006/relationships/hyperlink" Target="https://www.wildgardenseed.com/product_info.php?cPath=93_96&amp;products_id=698" TargetMode="External"/><Relationship Id="rId169" Type="http://schemas.openxmlformats.org/officeDocument/2006/relationships/hyperlink" Target="https://www.osborneseed.com/catalog/item-content/79073/procut--white-lite-f1/pr_79073/cp_/catalog/seed-form/untreated/flowers" TargetMode="External"/><Relationship Id="rId334" Type="http://schemas.openxmlformats.org/officeDocument/2006/relationships/hyperlink" Target="https://www.highmowingseeds.com/organic-non-gmo-daikon.html" TargetMode="External"/><Relationship Id="rId355" Type="http://schemas.openxmlformats.org/officeDocument/2006/relationships/hyperlink" Target="https://www.johnnyseeds.com/flowers/amaranthus/red-spike-amaranthus-seed-3786.html" TargetMode="External"/><Relationship Id="rId376" Type="http://schemas.openxmlformats.org/officeDocument/2006/relationships/hyperlink" Target="https://www.johnnyseeds.com/vegetables/peppers/sweet-peppers/carmen-organic-f1-corno-di-toro-pepper-seed-2993G.html" TargetMode="External"/><Relationship Id="rId397" Type="http://schemas.openxmlformats.org/officeDocument/2006/relationships/hyperlink" Target="https://www.johnnyseeds.com/flowers/cress-ornamental/persian-cress-organic-cress-seed-3399G.html" TargetMode="External"/><Relationship Id="rId4" Type="http://schemas.openxmlformats.org/officeDocument/2006/relationships/hyperlink" Target="https://uprisingorganics.com/collections/amaranth/products/amaranth-love-lies-bleeding" TargetMode="External"/><Relationship Id="rId180" Type="http://schemas.openxmlformats.org/officeDocument/2006/relationships/hyperlink" Target="https://territorialseed.com/products/tomato-sweet-million" TargetMode="External"/><Relationship Id="rId215" Type="http://schemas.openxmlformats.org/officeDocument/2006/relationships/hyperlink" Target="https://uprisingorganics.com/products/storage-onion-new-york-early" TargetMode="External"/><Relationship Id="rId236" Type="http://schemas.openxmlformats.org/officeDocument/2006/relationships/hyperlink" Target="https://www.highmowingseeds.com/organic-non-gmo-goldy-f1-zucchini.html" TargetMode="External"/><Relationship Id="rId257" Type="http://schemas.openxmlformats.org/officeDocument/2006/relationships/hyperlink" Target="https://www.seedsavers.org/brandywine-red-organic-tomato" TargetMode="External"/><Relationship Id="rId278" Type="http://schemas.openxmlformats.org/officeDocument/2006/relationships/hyperlink" Target="https://www.highmowingseeds.com/organic-non-gmo-honeynut-butternut-squash.html" TargetMode="External"/><Relationship Id="rId401" Type="http://schemas.openxmlformats.org/officeDocument/2006/relationships/hyperlink" Target="https://www.johnnyseeds.com/flowers/strawflower/vintage-white-organic-strawflower-seed-3330G.html" TargetMode="External"/><Relationship Id="rId422" Type="http://schemas.openxmlformats.org/officeDocument/2006/relationships/hyperlink" Target="https://uprisingorganics.com/collections/vegetables/products/tomatillo-queen-of-malinalco?_pos=10&amp;_sid=8b390d579&amp;_ss=r" TargetMode="External"/><Relationship Id="rId443" Type="http://schemas.openxmlformats.org/officeDocument/2006/relationships/hyperlink" Target="https://www.johnnyseeds.com/vegetables/kohlrabi/fresh-market-kohlrabi/kolibri-organic-f1-kohlrabi-seed-320G.html" TargetMode="External"/><Relationship Id="rId464" Type="http://schemas.openxmlformats.org/officeDocument/2006/relationships/hyperlink" Target="https://www.johnnyseeds.com/vegetables/beans/pole-beans/northeaster-organic-bean-seed-39G.html" TargetMode="External"/><Relationship Id="rId303" Type="http://schemas.openxmlformats.org/officeDocument/2006/relationships/hyperlink" Target="https://www.highmowingseeds.com/gganic-non-gmo-klimaro-f1-cabbage.html" TargetMode="External"/><Relationship Id="rId42" Type="http://schemas.openxmlformats.org/officeDocument/2006/relationships/hyperlink" Target="https://www.rareseeds.com/butterfly-pea-white-queen" TargetMode="External"/><Relationship Id="rId84" Type="http://schemas.openxmlformats.org/officeDocument/2006/relationships/hyperlink" Target="https://www.osborneseed.com/catalog/item-content/77554/bean-fava-diana/pr_77554" TargetMode="External"/><Relationship Id="rId138" Type="http://schemas.openxmlformats.org/officeDocument/2006/relationships/hyperlink" Target="https://www.seedsavers.org/rat-tailed-radish?custcol_sca_sizeweightqty=26" TargetMode="External"/><Relationship Id="rId345" Type="http://schemas.openxmlformats.org/officeDocument/2006/relationships/hyperlink" Target="https://www.highmowingseeds.com/organic-non-gmo-fordhook-giant-chard.html" TargetMode="External"/><Relationship Id="rId387" Type="http://schemas.openxmlformats.org/officeDocument/2006/relationships/hyperlink" Target="https://www.johnnyseeds.com/flowers/sunflowers/tall-sunflowers/strawberry-blonde-f1-sunflower-seed-1744.html" TargetMode="External"/><Relationship Id="rId191" Type="http://schemas.openxmlformats.org/officeDocument/2006/relationships/hyperlink" Target="https://www.adaptiveseeds.com/product/vegetables/eggplant/eggplant-petch-siam-organic/" TargetMode="External"/><Relationship Id="rId205" Type="http://schemas.openxmlformats.org/officeDocument/2006/relationships/hyperlink" Target="https://www.osborneseed.com/catalog/item-content/91503/sorghum-sudan-grass-viking-200/pr_91503/cp_/catalog/seed-form/untreated/cover-crop" TargetMode="External"/><Relationship Id="rId247" Type="http://schemas.openxmlformats.org/officeDocument/2006/relationships/hyperlink" Target="https://trueloveseeds.com/products/mary-reynolds-orange-tomato" TargetMode="External"/><Relationship Id="rId412" Type="http://schemas.openxmlformats.org/officeDocument/2006/relationships/hyperlink" Target="https://www.trueleafmarket.com/products/bean-seeds-fava-aquadulce-organic" TargetMode="External"/><Relationship Id="rId107" Type="http://schemas.openxmlformats.org/officeDocument/2006/relationships/hyperlink" Target="https://uprisingorganics.com/collections/vegetables/products/lettuce-merlot?_pos=1&amp;_sid=43c5c95ee&amp;_ss=r" TargetMode="External"/><Relationship Id="rId289" Type="http://schemas.openxmlformats.org/officeDocument/2006/relationships/hyperlink" Target="https://www.wildgardenseed.com/product_info.php?cPath=62&amp;products_id=163" TargetMode="External"/><Relationship Id="rId454" Type="http://schemas.openxmlformats.org/officeDocument/2006/relationships/hyperlink" Target="https://www.johnnyseeds.com/flowers/celosia/flamingo-purple-celosia-seed-4780.html" TargetMode="External"/><Relationship Id="rId11" Type="http://schemas.openxmlformats.org/officeDocument/2006/relationships/hyperlink" Target="https://www.highmowingseeds.com/organic-non-gmo-komatsuna-asian-greens.html" TargetMode="External"/><Relationship Id="rId53" Type="http://schemas.openxmlformats.org/officeDocument/2006/relationships/hyperlink" Target="https://www.rareseeds.com/chijimisai" TargetMode="External"/><Relationship Id="rId149" Type="http://schemas.openxmlformats.org/officeDocument/2006/relationships/hyperlink" Target="https://www.wildgardenseed.com/product_info.php?cPath=93_134&amp;products_id=376" TargetMode="External"/><Relationship Id="rId314" Type="http://schemas.openxmlformats.org/officeDocument/2006/relationships/hyperlink" Target="https://www.highmowingseeds.com/organic-non-gmo-merengo-f1-celery.html" TargetMode="External"/><Relationship Id="rId356" Type="http://schemas.openxmlformats.org/officeDocument/2006/relationships/hyperlink" Target="https://www.johnnyseeds.com/herbs/basil/genovese-basil/noga-prospera-active-dmr-organic-basil-seed-5467G.html" TargetMode="External"/><Relationship Id="rId398" Type="http://schemas.openxmlformats.org/officeDocument/2006/relationships/hyperlink" Target="https://www.johnnyseeds.com/flowers/asclepias-butterfly-weed/swamp-milkweed-asclepias-seed-990.html" TargetMode="External"/><Relationship Id="rId95" Type="http://schemas.openxmlformats.org/officeDocument/2006/relationships/hyperlink" Target="https://uprisingorganics.com/products/scallion-ishikura-long-winter?_pos=1&amp;_sid=04d2ed212&amp;_ss=r" TargetMode="External"/><Relationship Id="rId160" Type="http://schemas.openxmlformats.org/officeDocument/2006/relationships/hyperlink" Target="https://www.johnnyseeds.com/flowers/stock/antique-pink-stock-seed-4094.html" TargetMode="External"/><Relationship Id="rId216" Type="http://schemas.openxmlformats.org/officeDocument/2006/relationships/hyperlink" Target="https://uprisingorganics.com/products/storage-onion-stuttgarter-riesen" TargetMode="External"/><Relationship Id="rId423" Type="http://schemas.openxmlformats.org/officeDocument/2006/relationships/hyperlink" Target="https://whitwamorganics.com/products/sooyow-nishiki-cucumber-seeds-1?_pos=1&amp;_sid=6169e0576&amp;_ss=r" TargetMode="External"/><Relationship Id="rId258" Type="http://schemas.openxmlformats.org/officeDocument/2006/relationships/hyperlink" Target="https://www.southernexposure.com/products/mortgage-lifter-radiator-charlie-s-tomato/" TargetMode="External"/><Relationship Id="rId465" Type="http://schemas.openxmlformats.org/officeDocument/2006/relationships/hyperlink" Target="https://www.rareseeds.com/borage-white" TargetMode="External"/><Relationship Id="rId22" Type="http://schemas.openxmlformats.org/officeDocument/2006/relationships/hyperlink" Target="https://www.adaptiveseeds.com/product/herbs/basil-golden-mountain-sweet-thai-mix-organic/" TargetMode="External"/><Relationship Id="rId64" Type="http://schemas.openxmlformats.org/officeDocument/2006/relationships/hyperlink" Target="https://www.adaptiveseeds.com/product/vegetables/greens/corn-salad-piedmont-organic/" TargetMode="External"/><Relationship Id="rId118" Type="http://schemas.openxmlformats.org/officeDocument/2006/relationships/hyperlink" Target="https://www.osborneseed.com/catalog/item-content/88847/salmon-baby/pr_88847/cp_/catalog/flowers/nasturtiums" TargetMode="External"/><Relationship Id="rId325" Type="http://schemas.openxmlformats.org/officeDocument/2006/relationships/hyperlink" Target="https://www.highmowingseeds.com/organic-non-gmo-black-seeded-simp-lettuce.html" TargetMode="External"/><Relationship Id="rId367" Type="http://schemas.openxmlformats.org/officeDocument/2006/relationships/hyperlink" Target="https://www.johnnyseeds.com/vegetables/lettuce/oakleaf-lettuce/bauer-organic-lettuce-seed-4245G.html" TargetMode="External"/><Relationship Id="rId171" Type="http://schemas.openxmlformats.org/officeDocument/2006/relationships/hyperlink" Target="https://www.adaptiveseeds.com/product/vegetables/eggplant/eggplant-poamoho-dark-long-organic/" TargetMode="External"/><Relationship Id="rId227" Type="http://schemas.openxmlformats.org/officeDocument/2006/relationships/hyperlink" Target="https://www.adaptiveseeds.com/product/vegetables/celeriac-celery/celery-chai-thai-organic/" TargetMode="External"/><Relationship Id="rId269" Type="http://schemas.openxmlformats.org/officeDocument/2006/relationships/hyperlink" Target="https://www.highmowingseeds.com/organic-non-gmo-king-richard-leek.html" TargetMode="External"/><Relationship Id="rId434" Type="http://schemas.openxmlformats.org/officeDocument/2006/relationships/hyperlink" Target="https://www.wildgardenseed.com/product_info.php?products_id=739" TargetMode="External"/><Relationship Id="rId33" Type="http://schemas.openxmlformats.org/officeDocument/2006/relationships/hyperlink" Target="https://www.rareseeds.com/bean-winged-urizun-japanese" TargetMode="External"/><Relationship Id="rId129" Type="http://schemas.openxmlformats.org/officeDocument/2006/relationships/hyperlink" Target="https://www.rareseeds.com/petunia-cernys-triumph-superbissima-mix" TargetMode="External"/><Relationship Id="rId280" Type="http://schemas.openxmlformats.org/officeDocument/2006/relationships/hyperlink" Target="https://www.highmowingseeds.com/organic-non-gmo-honeynut-butternut-squash.html" TargetMode="External"/><Relationship Id="rId336" Type="http://schemas.openxmlformats.org/officeDocument/2006/relationships/hyperlink" Target="https://www.highmowingseeds.com/organic-non-gmo-regiment-f1-spinach.html" TargetMode="External"/><Relationship Id="rId75" Type="http://schemas.openxmlformats.org/officeDocument/2006/relationships/hyperlink" Target="https://www.rareseeds.com/dianthus-spooky-mix" TargetMode="External"/><Relationship Id="rId140" Type="http://schemas.openxmlformats.org/officeDocument/2006/relationships/hyperlink" Target="https://uprisingorganics.com/collections/rudbeckia/products/rudbeckia-sahara" TargetMode="External"/><Relationship Id="rId182" Type="http://schemas.openxmlformats.org/officeDocument/2006/relationships/hyperlink" Target="https://territorialseed.com/products/carrot-oxheart" TargetMode="External"/><Relationship Id="rId378" Type="http://schemas.openxmlformats.org/officeDocument/2006/relationships/hyperlink" Target="https://www.johnnyseeds.com/herbs/saltwort/saltwort-herb-seed-2677.html" TargetMode="External"/><Relationship Id="rId403" Type="http://schemas.openxmlformats.org/officeDocument/2006/relationships/hyperlink" Target="https://www.trueleafmarket.com/products/malbar-spinach-seeds-big-round-leaf" TargetMode="External"/><Relationship Id="rId6" Type="http://schemas.openxmlformats.org/officeDocument/2006/relationships/hyperlink" Target="https://www.johnnyseeds.com/flowers/amaranthus/coral-fountain-amaranthus-seed-1701.html" TargetMode="External"/><Relationship Id="rId238" Type="http://schemas.openxmlformats.org/officeDocument/2006/relationships/hyperlink" Target="https://uprisingorganics.com/collections/new-in-2023/products/tomato-piennolo-red" TargetMode="External"/><Relationship Id="rId445" Type="http://schemas.openxmlformats.org/officeDocument/2006/relationships/hyperlink" Target="https://www.highmowingseeds.com/organic-non-gmo-honeynut-butternut-squash.html" TargetMode="External"/><Relationship Id="rId291" Type="http://schemas.openxmlformats.org/officeDocument/2006/relationships/hyperlink" Target="https://www.adaptiveseeds.com/product/vegetables/radishes/radish-okhura-winter-queen-daikon-organic/" TargetMode="External"/><Relationship Id="rId305" Type="http://schemas.openxmlformats.org/officeDocument/2006/relationships/hyperlink" Target="https://www.highmowingseeds.com/organic-non-gmo-stanton-f1-cabbage.html" TargetMode="External"/><Relationship Id="rId347" Type="http://schemas.openxmlformats.org/officeDocument/2006/relationships/hyperlink" Target="https://www.highmowingseeds.com/organic-non-gmo-darkibor-f1-kale.html" TargetMode="External"/><Relationship Id="rId44" Type="http://schemas.openxmlformats.org/officeDocument/2006/relationships/hyperlink" Target="https://www.rareseeds.com/butterfly-pea-blue-queen" TargetMode="External"/><Relationship Id="rId86" Type="http://schemas.openxmlformats.org/officeDocument/2006/relationships/hyperlink" Target="https://www.highmowingseeds.com/organic-non-gmo-solaris-f1-fennel.html" TargetMode="External"/><Relationship Id="rId151" Type="http://schemas.openxmlformats.org/officeDocument/2006/relationships/hyperlink" Target="https://www.westcoastseeds.com/products/ramrod" TargetMode="External"/><Relationship Id="rId389" Type="http://schemas.openxmlformats.org/officeDocument/2006/relationships/hyperlink" Target="https://www.johnnyseeds.com/vegetables/tomatoes/beefsteak-tomatoes/hot-streak-f1-tomato-seed-4760.html" TargetMode="External"/><Relationship Id="rId193" Type="http://schemas.openxmlformats.org/officeDocument/2006/relationships/hyperlink" Target="https://uprisingorganics.com/products/eggplant-diamond" TargetMode="External"/><Relationship Id="rId207" Type="http://schemas.openxmlformats.org/officeDocument/2006/relationships/hyperlink" Target="https://www.osborneseed.com/catalog/item-content/88923/truchas/pr_88923/cp_/catalog/seed-form/pelleted/lettuce" TargetMode="External"/><Relationship Id="rId249" Type="http://schemas.openxmlformats.org/officeDocument/2006/relationships/hyperlink" Target="https://www.tomatofest.com/Hugh_s_p/tf-0247.htm" TargetMode="External"/><Relationship Id="rId414" Type="http://schemas.openxmlformats.org/officeDocument/2006/relationships/hyperlink" Target="https://uprisingorganics.com/collections/herbs/products/basil-tulsi-sacred-basil-holy-basil?_pos=1&amp;_sid=f9868298f&amp;_ss=r" TargetMode="External"/><Relationship Id="rId456" Type="http://schemas.openxmlformats.org/officeDocument/2006/relationships/hyperlink" Target="https://www.johnnyseeds.com/flowers/celosia/sunday-mix-celosia-seed-4310.html" TargetMode="External"/><Relationship Id="rId13" Type="http://schemas.openxmlformats.org/officeDocument/2006/relationships/hyperlink" Target="https://www.johnnyseeds.com/vegetables/greens/asian-greens/tatsoi-organic-asian-green-seed-2897.html" TargetMode="External"/><Relationship Id="rId109" Type="http://schemas.openxmlformats.org/officeDocument/2006/relationships/hyperlink" Target="https://www.osborneseed.com/catalog/item-content/78968/crackerjack-giant-mix/pr_78968/cp_/catalog/flowers/edible-flowers" TargetMode="External"/><Relationship Id="rId260" Type="http://schemas.openxmlformats.org/officeDocument/2006/relationships/hyperlink" Target="https://www.seedsavers.org/rat-tail-purple-organic-radish" TargetMode="External"/><Relationship Id="rId316" Type="http://schemas.openxmlformats.org/officeDocument/2006/relationships/hyperlink" Target="https://www.highmowingseeds.com/organic-non-gmo-natural-bright-xr-f1-sweet-corn.html" TargetMode="External"/><Relationship Id="rId55" Type="http://schemas.openxmlformats.org/officeDocument/2006/relationships/hyperlink" Target="https://www.johnnyseeds.com/vegetables/greens/asian-greens/green-70-d-improved-asian-green-seed-4031.html" TargetMode="External"/><Relationship Id="rId97" Type="http://schemas.openxmlformats.org/officeDocument/2006/relationships/hyperlink" Target="https://www.everwilde.com/store/Organic-White-Tokyo-Long-Onion-Seeds.html" TargetMode="External"/><Relationship Id="rId120" Type="http://schemas.openxmlformats.org/officeDocument/2006/relationships/hyperlink" Target="https://www.highmowingseeds.com/organic-non-gmo-cramers-plum-nigella.html" TargetMode="External"/><Relationship Id="rId358" Type="http://schemas.openxmlformats.org/officeDocument/2006/relationships/hyperlink" Target="https://www.johnnyseeds.com/vegetables/carrots/main-crop-carrots/romance-f1-carrot-seed-3116.html" TargetMode="External"/><Relationship Id="rId162" Type="http://schemas.openxmlformats.org/officeDocument/2006/relationships/hyperlink" Target="https://uprisingorganics.com/products/lettuce-barnwood-gem?_pos=17&amp;_sid=2d27fa62a&amp;_ss=r" TargetMode="External"/><Relationship Id="rId218" Type="http://schemas.openxmlformats.org/officeDocument/2006/relationships/hyperlink" Target="https://www.adaptiveseeds.com/product/vegetables/onions/onion-rose-de-roscoff-keravel-organic/" TargetMode="External"/><Relationship Id="rId425" Type="http://schemas.openxmlformats.org/officeDocument/2006/relationships/hyperlink" Target="https://www.wildgardenseed.com/product_info.php?products_id=753" TargetMode="External"/><Relationship Id="rId467" Type="http://schemas.openxmlformats.org/officeDocument/2006/relationships/printerSettings" Target="../printerSettings/printerSettings5.bin"/><Relationship Id="rId271" Type="http://schemas.openxmlformats.org/officeDocument/2006/relationships/hyperlink" Target="https://www.johnnyseeds.com/vegetables/shoots/tendril-pea-organic-shoot-seed-3165SG.html" TargetMode="External"/><Relationship Id="rId24" Type="http://schemas.openxmlformats.org/officeDocument/2006/relationships/hyperlink" Target="https://www.wildgardenseed.com/product_info.php?cPath=58&amp;products_id=608" TargetMode="External"/><Relationship Id="rId66" Type="http://schemas.openxmlformats.org/officeDocument/2006/relationships/hyperlink" Target="https://www.adaptiveseeds.com/product/flowers/cosmos-daydream-organic/" TargetMode="External"/><Relationship Id="rId131" Type="http://schemas.openxmlformats.org/officeDocument/2006/relationships/hyperlink" Target="https://www.rareseeds.com/petunia-superbissima-giant-alba" TargetMode="External"/><Relationship Id="rId327" Type="http://schemas.openxmlformats.org/officeDocument/2006/relationships/hyperlink" Target="https://www.highmowingseeds.com/organic-non-gmo-cortland-f1-onion.html" TargetMode="External"/><Relationship Id="rId369" Type="http://schemas.openxmlformats.org/officeDocument/2006/relationships/hyperlink" Target="https://www.johnnyseeds.com/vegetables/lettuce/one-cut-lettuce/intercut-pelleted-lettuce-seed-4460JP.html" TargetMode="External"/><Relationship Id="rId173" Type="http://schemas.openxmlformats.org/officeDocument/2006/relationships/hyperlink" Target="https://wildboarfarms.com/product/crushed-heart/" TargetMode="External"/><Relationship Id="rId229" Type="http://schemas.openxmlformats.org/officeDocument/2006/relationships/hyperlink" Target="https://www.adaptiveseeds.com/product/herbs/parsley-cilician-organic/" TargetMode="External"/><Relationship Id="rId380" Type="http://schemas.openxmlformats.org/officeDocument/2006/relationships/hyperlink" Target="https://www.johnnyseeds.com/vegetables/squash/summer-squash/costata-romanesco-zucchini-squash-seed-2053.html" TargetMode="External"/><Relationship Id="rId436" Type="http://schemas.openxmlformats.org/officeDocument/2006/relationships/hyperlink" Target="https://www.wildgardenseed.com/product_info.php?products_id=583" TargetMode="External"/><Relationship Id="rId240" Type="http://schemas.openxmlformats.org/officeDocument/2006/relationships/hyperlink" Target="https://www.row7seeds.com/products/898-squash" TargetMode="External"/><Relationship Id="rId35" Type="http://schemas.openxmlformats.org/officeDocument/2006/relationships/hyperlink" Target="https://uprisingorganics.com/products/beet-chioggia?_pos=3&amp;_sid=16f9103e9&amp;_ss=r" TargetMode="External"/><Relationship Id="rId77" Type="http://schemas.openxmlformats.org/officeDocument/2006/relationships/hyperlink" Target="https://uprisingorganics.com/collections/herbs/products/dill-goldkrone?_pos=1&amp;_sid=5ae0d082c&amp;_ss=r" TargetMode="External"/><Relationship Id="rId100" Type="http://schemas.openxmlformats.org/officeDocument/2006/relationships/hyperlink" Target="https://uprisingorganics.com/products/hot-pepper-biquinho-yellow?_pos=2&amp;_sid=788eb565b&amp;_ss=r" TargetMode="External"/><Relationship Id="rId282" Type="http://schemas.openxmlformats.org/officeDocument/2006/relationships/hyperlink" Target="https://www.adaptiveseeds.com/product/vegetables/beets/beet-chioggia-organic/" TargetMode="External"/><Relationship Id="rId338" Type="http://schemas.openxmlformats.org/officeDocument/2006/relationships/hyperlink" Target="https://www.highmowingseeds.com/organic-non-gmo-bush-delicata-squash.html" TargetMode="External"/><Relationship Id="rId8" Type="http://schemas.openxmlformats.org/officeDocument/2006/relationships/hyperlink" Target="https://uprisingorganics.com/collections/amaranth/products/amaranth-hot-biscuits" TargetMode="External"/><Relationship Id="rId142" Type="http://schemas.openxmlformats.org/officeDocument/2006/relationships/hyperlink" Target="https://uprisingorganics.com/collections/rudbeckia/products/rudbeckia-autumn-sunset" TargetMode="External"/><Relationship Id="rId184" Type="http://schemas.openxmlformats.org/officeDocument/2006/relationships/hyperlink" Target="https://www.johnnyseeds.com/vegetables/celery-and-celeriac/celery/tango-organic-celery-seed-647G.html" TargetMode="External"/><Relationship Id="rId391" Type="http://schemas.openxmlformats.org/officeDocument/2006/relationships/hyperlink" Target="https://www.johnnyseeds.com/flowers/hibiscus/mahogany-splendor-hibiscus-seed-4013.html" TargetMode="External"/><Relationship Id="rId405" Type="http://schemas.openxmlformats.org/officeDocument/2006/relationships/hyperlink" Target="https://www.trueleafmarket.com/products/organic-japanese-buckwheat" TargetMode="External"/><Relationship Id="rId447" Type="http://schemas.openxmlformats.org/officeDocument/2006/relationships/hyperlink" Target="https://territorialseed.com/products/tomato-mortgage-lifter" TargetMode="External"/><Relationship Id="rId251" Type="http://schemas.openxmlformats.org/officeDocument/2006/relationships/hyperlink" Target="https://www.tomatofest.com/Yellow_Pear_Organic_Heirloom_Tomato_Seeds_p/tf-0531.htm" TargetMode="External"/><Relationship Id="rId46" Type="http://schemas.openxmlformats.org/officeDocument/2006/relationships/hyperlink" Target="https://www.adaptiveseeds.com/product/vegetables/cabbage/cabbage-january-king-organic/" TargetMode="External"/><Relationship Id="rId293" Type="http://schemas.openxmlformats.org/officeDocument/2006/relationships/hyperlink" Target="https://www.adaptiveseeds.com/product/vegetables/greens/orach-red-flash-organic/" TargetMode="External"/><Relationship Id="rId307" Type="http://schemas.openxmlformats.org/officeDocument/2006/relationships/hyperlink" Target="https://www.highmowingseeds.com/organic-non-gmo-famosa-f1-cabbage.html" TargetMode="External"/><Relationship Id="rId349" Type="http://schemas.openxmlformats.org/officeDocument/2006/relationships/hyperlink" Target="https://www.highmowingseeds.com/organic-non-gmo-white-russian-kale.html" TargetMode="External"/><Relationship Id="rId88" Type="http://schemas.openxmlformats.org/officeDocument/2006/relationships/hyperlink" Target="https://www.wildgardenseed.com/product_info.php?cPath=43_74&amp;products_id=251" TargetMode="External"/><Relationship Id="rId111" Type="http://schemas.openxmlformats.org/officeDocument/2006/relationships/hyperlink" Target="https://www.johnnyseeds.com/flowers/marigold/giant-orange-marigold-seed-1883.html" TargetMode="External"/><Relationship Id="rId153" Type="http://schemas.openxmlformats.org/officeDocument/2006/relationships/hyperlink" Target="https://www.johnnyseeds.com/flowers/snapdragon/madame-butterfly-mix-f1-snapdragon-seed-1930.html" TargetMode="External"/><Relationship Id="rId195" Type="http://schemas.openxmlformats.org/officeDocument/2006/relationships/hyperlink" Target="https://uprisingorganics.com/products/fava-frog-island-nation" TargetMode="External"/><Relationship Id="rId209" Type="http://schemas.openxmlformats.org/officeDocument/2006/relationships/hyperlink" Target="https://www.wildgardenseed.com/product_info.php?cPath=37&amp;products_id=68" TargetMode="External"/><Relationship Id="rId360" Type="http://schemas.openxmlformats.org/officeDocument/2006/relationships/hyperlink" Target="https://www.johnnyseeds.com/vegetables/cauliflower/standard-cauliflower/purple-moon-f1-cauliflower-seed-4822.html" TargetMode="External"/><Relationship Id="rId416" Type="http://schemas.openxmlformats.org/officeDocument/2006/relationships/hyperlink" Target="https://uprisingorganics.com/collections/vegetables/products/sweet-pepper-elephants-ear?_pos=1&amp;_sid=8dbb4dc68&amp;_ss=r" TargetMode="External"/><Relationship Id="rId220" Type="http://schemas.openxmlformats.org/officeDocument/2006/relationships/hyperlink" Target="https://irisheyesgardenseeds.com/product/viking-purple-organic/" TargetMode="External"/><Relationship Id="rId458" Type="http://schemas.openxmlformats.org/officeDocument/2006/relationships/hyperlink" Target="https://www.osborneseed.com/products/triloba-macau-organic-rudbeckia-seeds" TargetMode="External"/><Relationship Id="rId15" Type="http://schemas.openxmlformats.org/officeDocument/2006/relationships/hyperlink" Target="https://www.highmowingseeds.com/organic-non-gmo-polka-dot-bachelor-button.html" TargetMode="External"/><Relationship Id="rId57" Type="http://schemas.openxmlformats.org/officeDocument/2006/relationships/hyperlink" Target="https://www.adaptiveseeds.com/product/vegetables/greens/shungiku-komi-organic/" TargetMode="External"/><Relationship Id="rId262" Type="http://schemas.openxmlformats.org/officeDocument/2006/relationships/hyperlink" Target="https://www.everwilde.com/store/Michihili-Chinese-Cabbage-Seeds.html" TargetMode="External"/><Relationship Id="rId318" Type="http://schemas.openxmlformats.org/officeDocument/2006/relationships/hyperlink" Target="https://www.highmowingseeds.com/organic-non-gmo-manny-f1-cucumber.html" TargetMode="External"/><Relationship Id="rId99" Type="http://schemas.openxmlformats.org/officeDocument/2006/relationships/hyperlink" Target="https://uprisingorganics.com/products/hot-pepper-biquinho-red?_pos=1&amp;_sid=788eb565b&amp;_ss=r" TargetMode="External"/><Relationship Id="rId122" Type="http://schemas.openxmlformats.org/officeDocument/2006/relationships/hyperlink" Target="https://www.adaptiveseeds.com/product/garlic-shallots/french-grey-shallot-seed-organic/" TargetMode="External"/><Relationship Id="rId164" Type="http://schemas.openxmlformats.org/officeDocument/2006/relationships/hyperlink" Target="https://uprisingorganics.com/collections/sunflower/products/sunflower-garden-anarchy-mix" TargetMode="External"/><Relationship Id="rId371" Type="http://schemas.openxmlformats.org/officeDocument/2006/relationships/hyperlink" Target="https://www.johnnyseeds.com/flowers/marigold/lemon-gem-marigold-seed-1410.html" TargetMode="External"/><Relationship Id="rId427" Type="http://schemas.openxmlformats.org/officeDocument/2006/relationships/hyperlink" Target="https://www.wildgardenseed.com/product_info.php?products_id=601" TargetMode="External"/><Relationship Id="rId469" Type="http://schemas.openxmlformats.org/officeDocument/2006/relationships/table" Target="../tables/table8.xml"/><Relationship Id="rId26" Type="http://schemas.openxmlformats.org/officeDocument/2006/relationships/hyperlink" Target="https://uprisingorganics.com/products/basil-italian-largeleaf?_pos=2&amp;_sid=86892f78d&amp;_ss=r" TargetMode="External"/><Relationship Id="rId231" Type="http://schemas.openxmlformats.org/officeDocument/2006/relationships/hyperlink" Target="https://www.rareseeds.com/red-rat-s-tail-radish" TargetMode="External"/><Relationship Id="rId273" Type="http://schemas.openxmlformats.org/officeDocument/2006/relationships/hyperlink" Target="https://uprisingorganics.com/products/radicchio-castelfranco-4-18?_pos=3&amp;_sid=e9e99d278&amp;_ss=r" TargetMode="External"/><Relationship Id="rId329" Type="http://schemas.openxmlformats.org/officeDocument/2006/relationships/hyperlink" Target="https://www.highmowingseeds.com/organic-non-gmo-red-carpet-f1-onion.html" TargetMode="External"/><Relationship Id="rId68" Type="http://schemas.openxmlformats.org/officeDocument/2006/relationships/hyperlink" Target="https://www.johnnyseeds.com/vegetables/cucumbers/specialty-cucumbers/sashimi-f1-cucumber-seed-4728.html" TargetMode="External"/><Relationship Id="rId133" Type="http://schemas.openxmlformats.org/officeDocument/2006/relationships/hyperlink" Target="https://uprisingorganics.com/products/tomatillo-queen-of-malinalco" TargetMode="External"/><Relationship Id="rId175" Type="http://schemas.openxmlformats.org/officeDocument/2006/relationships/hyperlink" Target="https://www.rareseeds.com/buckwheat-takane-ruby" TargetMode="External"/><Relationship Id="rId340" Type="http://schemas.openxmlformats.org/officeDocument/2006/relationships/hyperlink" Target="https://www.highmowingseeds.com/organic-non-gmo-honey-boat-winter-squash.html" TargetMode="External"/><Relationship Id="rId200" Type="http://schemas.openxmlformats.org/officeDocument/2006/relationships/hyperlink" Target="https://www.highmowingseeds.com/organic-non-gmo-muir-lettuce-pelleted.html" TargetMode="External"/><Relationship Id="rId382" Type="http://schemas.openxmlformats.org/officeDocument/2006/relationships/hyperlink" Target="https://www.johnnyseeds.com/vegetables/squash/summer-squash/tempest-organic-f1-yellow-summer-squash-seed-3256G.html" TargetMode="External"/><Relationship Id="rId438" Type="http://schemas.openxmlformats.org/officeDocument/2006/relationships/hyperlink" Target="https://wildmountainseeds.com/product/cosmic-mountain-sunset/" TargetMode="External"/><Relationship Id="rId242" Type="http://schemas.openxmlformats.org/officeDocument/2006/relationships/hyperlink" Target="https://www.row7seeds.com/products/badger-flame-beet" TargetMode="External"/><Relationship Id="rId284" Type="http://schemas.openxmlformats.org/officeDocument/2006/relationships/hyperlink" Target="https://www.highmowingseeds.com/organic-non-gmo-boro-f1-beet.html" TargetMode="External"/><Relationship Id="rId37" Type="http://schemas.openxmlformats.org/officeDocument/2006/relationships/hyperlink" Target="https://www.johnnyseeds.com/vegetables/beets/round-beets/boro-organic-f1-beet-seed-3300G.html" TargetMode="External"/><Relationship Id="rId79" Type="http://schemas.openxmlformats.org/officeDocument/2006/relationships/hyperlink" Target="https://www.highmowingseeds.com/organic-non-gmo-greensleeves-dill.html" TargetMode="External"/><Relationship Id="rId102" Type="http://schemas.openxmlformats.org/officeDocument/2006/relationships/hyperlink" Target="https://www.adaptiveseeds.com/product/vegetables/peppers/hot-pepper-adaptive-early-thai-grex-organic/" TargetMode="External"/><Relationship Id="rId144" Type="http://schemas.openxmlformats.org/officeDocument/2006/relationships/hyperlink" Target="https://www.wildgardenseed.com/product_info.php?cPath=93_96&amp;products_id=733" TargetMode="External"/><Relationship Id="rId90" Type="http://schemas.openxmlformats.org/officeDocument/2006/relationships/hyperlink" Target="https://www.adaptiveseeds.com/product/garlic-shallots/polish-white-seed-garlic-organic/" TargetMode="External"/><Relationship Id="rId186" Type="http://schemas.openxmlformats.org/officeDocument/2006/relationships/hyperlink" Target="https://www.johnnyseeds.com/vegetables/cucumbers/seedless-and-thin-skinned-cucumbers/unagi-f1-cucumber-seed-4552.html" TargetMode="External"/><Relationship Id="rId351" Type="http://schemas.openxmlformats.org/officeDocument/2006/relationships/hyperlink" Target="https://www.highmowingseeds.com/organic-non-gmo-black-jack-f1-kale.html" TargetMode="External"/><Relationship Id="rId393" Type="http://schemas.openxmlformats.org/officeDocument/2006/relationships/hyperlink" Target="https://www.johnnyseeds.com/flowers/talinum/limon-talinum-seed-4411.html" TargetMode="External"/><Relationship Id="rId407" Type="http://schemas.openxmlformats.org/officeDocument/2006/relationships/hyperlink" Target="https://www.adaptiveseeds.com/product/vegetables/greens/lambsquarter-magenta-spreen-organic/" TargetMode="External"/><Relationship Id="rId449" Type="http://schemas.openxmlformats.org/officeDocument/2006/relationships/hyperlink" Target="https://www.wildgardenseed.com/product_info.php?products_id=720" TargetMode="External"/><Relationship Id="rId211" Type="http://schemas.openxmlformats.org/officeDocument/2006/relationships/hyperlink" Target="https://www.westcoastseeds.com/products/komatsuna-red" TargetMode="External"/><Relationship Id="rId253" Type="http://schemas.openxmlformats.org/officeDocument/2006/relationships/hyperlink" Target="https://www.johnnyseeds.com/vegetables/tomatoes/heirloom-tomatoes/nepal-organic-tomato-seed-748.html" TargetMode="External"/><Relationship Id="rId295" Type="http://schemas.openxmlformats.org/officeDocument/2006/relationships/hyperlink" Target="https://www.rareseeds.com/radish-chinese-shawo-fruit" TargetMode="External"/><Relationship Id="rId309" Type="http://schemas.openxmlformats.org/officeDocument/2006/relationships/hyperlink" Target="https://www.highmowingseeds.com/organic-non-gmo-passat-f1-cabbage.html" TargetMode="External"/><Relationship Id="rId460" Type="http://schemas.openxmlformats.org/officeDocument/2006/relationships/hyperlink" Target="https://www.trueleafmarket.com/products/malabar-spinach-seeds-green-vines-supreme" TargetMode="External"/><Relationship Id="rId48" Type="http://schemas.openxmlformats.org/officeDocument/2006/relationships/hyperlink" Target="https://www.osborneseed.com/catalog/item-content/77181/purple-haze-f1/pr_77181" TargetMode="External"/><Relationship Id="rId113" Type="http://schemas.openxmlformats.org/officeDocument/2006/relationships/hyperlink" Target="https://www.johnnyseeds.com/flowers/marigold/white-swan-f1-marigold-seed-4641.html" TargetMode="External"/><Relationship Id="rId320" Type="http://schemas.openxmlformats.org/officeDocument/2006/relationships/hyperlink" Target="https://www.highmowingseeds.com/organic-non-gmo-allure-f1-sweet-corn.html" TargetMode="External"/><Relationship Id="rId155" Type="http://schemas.openxmlformats.org/officeDocument/2006/relationships/hyperlink" Target="https://www.adaptiveseeds.com/product/vegetables/spinach/spinach-verdil-organic/" TargetMode="External"/><Relationship Id="rId197" Type="http://schemas.openxmlformats.org/officeDocument/2006/relationships/hyperlink" Target="https://uprisingorganics.com/products/fennel-finale" TargetMode="External"/><Relationship Id="rId362" Type="http://schemas.openxmlformats.org/officeDocument/2006/relationships/hyperlink" Target="https://www.johnnyseeds.com/herbs/lemon-grass/lemon-grass-east-indian-cleaned-seed-lemon-grass-seed-4074.html" TargetMode="External"/><Relationship Id="rId418" Type="http://schemas.openxmlformats.org/officeDocument/2006/relationships/hyperlink" Target="https://uprisingorganics.com/collections/vegetables/products/radicchio-treviso-precoce-4-11?_pos=1&amp;_sid=deaa7e37d&amp;_ss=r" TargetMode="External"/><Relationship Id="rId222" Type="http://schemas.openxmlformats.org/officeDocument/2006/relationships/hyperlink" Target="https://www.adaptiveseeds.com/product/vegetables/radishes/radish-rudi-organic/" TargetMode="External"/><Relationship Id="rId264" Type="http://schemas.openxmlformats.org/officeDocument/2006/relationships/hyperlink" Target="https://www.highmowingseeds.com/organic-non-gmo-mardi-f1-cauliflower.html" TargetMode="External"/><Relationship Id="rId471" Type="http://schemas.microsoft.com/office/2017/10/relationships/threadedComment" Target="../threadedComments/threadedComment3.xml"/><Relationship Id="rId17" Type="http://schemas.openxmlformats.org/officeDocument/2006/relationships/hyperlink" Target="https://www.johnnyseeds.com/flowers/centaurea-bachelors-button/classic-romantic-centaurea-seed-4678.html" TargetMode="External"/><Relationship Id="rId59" Type="http://schemas.openxmlformats.org/officeDocument/2006/relationships/hyperlink" Target="https://www.adaptiveseeds.com/product/herbs/cilantro-rak-tamachat-organic/" TargetMode="External"/><Relationship Id="rId124" Type="http://schemas.openxmlformats.org/officeDocument/2006/relationships/hyperlink" Target="https://www.highmowingseeds.com/organic-non-gmo-komatsuna-asian-greens.html" TargetMode="External"/><Relationship Id="rId70" Type="http://schemas.openxmlformats.org/officeDocument/2006/relationships/hyperlink" Target="https://uprisingorganics.com/collections/cucumbers/products/cucumber-cengelkoy" TargetMode="External"/><Relationship Id="rId166" Type="http://schemas.openxmlformats.org/officeDocument/2006/relationships/hyperlink" Target="https://www.highmowingseeds.com/organic-non-gmo-velvet-queen-sunflower.html" TargetMode="External"/><Relationship Id="rId331" Type="http://schemas.openxmlformats.org/officeDocument/2006/relationships/hyperlink" Target="https://www.highmowingseeds.com/organic-non-gmo-amber-onion.html" TargetMode="External"/><Relationship Id="rId373" Type="http://schemas.openxmlformats.org/officeDocument/2006/relationships/hyperlink" Target="https://www.johnnyseeds.com/herbs/parsley/leaf-parsley/giant-of-italy-organic-parsley-seed-2390G.html" TargetMode="External"/><Relationship Id="rId429" Type="http://schemas.openxmlformats.org/officeDocument/2006/relationships/hyperlink" Target="https://www.wildgardenseed.com/product_info.php?products_id=62" TargetMode="External"/><Relationship Id="rId1" Type="http://schemas.openxmlformats.org/officeDocument/2006/relationships/hyperlink" Target="https://kitazawaseed.com/products/seaweed-mustard-seeds-oka-hijiki" TargetMode="External"/><Relationship Id="rId233" Type="http://schemas.openxmlformats.org/officeDocument/2006/relationships/hyperlink" Target="https://trueloveseeds.com/products/bambara-groundnuts-mix" TargetMode="External"/><Relationship Id="rId440" Type="http://schemas.openxmlformats.org/officeDocument/2006/relationships/hyperlink" Target="https://www.wildgardenseed.com/product_info.php?products_id=414" TargetMode="External"/><Relationship Id="rId28" Type="http://schemas.openxmlformats.org/officeDocument/2006/relationships/hyperlink" Target="https://uprisingorganics.com/collections/bush-snap/products/bean-bush-snap-empress" TargetMode="External"/><Relationship Id="rId275" Type="http://schemas.openxmlformats.org/officeDocument/2006/relationships/hyperlink" Target="https://uprisingorganics.com/products/radicchio-treviso-precoce-4-11?_pos=13&amp;_sid=e9e99d278&amp;_ss=r" TargetMode="External"/><Relationship Id="rId300" Type="http://schemas.openxmlformats.org/officeDocument/2006/relationships/hyperlink" Target="https://www.highmowingseeds.com/organic-non-gmo-bronco-f1-cabbage.html" TargetMode="External"/><Relationship Id="rId81" Type="http://schemas.openxmlformats.org/officeDocument/2006/relationships/hyperlink" Target="https://www.wildgardenseed.com/product_info.php?cPath=93_168&amp;products_id=607" TargetMode="External"/><Relationship Id="rId135" Type="http://schemas.openxmlformats.org/officeDocument/2006/relationships/hyperlink" Target="https://www.gardenhoard.com/tomato-brad-s-atomic-grape-seeds.html" TargetMode="External"/><Relationship Id="rId177" Type="http://schemas.openxmlformats.org/officeDocument/2006/relationships/hyperlink" Target="https://www.adaptiveseeds.com/product/vegetables/turnips-rutabagas/turnip-aprovecho-hardy-organic/" TargetMode="External"/><Relationship Id="rId342" Type="http://schemas.openxmlformats.org/officeDocument/2006/relationships/hyperlink" Target="https://www.highmowingseeds.com/organic-non-gmo-brandywine-tomato.html" TargetMode="External"/><Relationship Id="rId384" Type="http://schemas.openxmlformats.org/officeDocument/2006/relationships/hyperlink" Target="https://www.johnnyseeds.com/flowers/sunflowers/tall-sunflowers/summer-breeze-mix-sunflower-seed-4782.html" TargetMode="External"/><Relationship Id="rId202" Type="http://schemas.openxmlformats.org/officeDocument/2006/relationships/hyperlink" Target="https://www.wildgardenseed.com/product_info.php?products_id=743" TargetMode="External"/><Relationship Id="rId244" Type="http://schemas.openxmlformats.org/officeDocument/2006/relationships/hyperlink" Target="https://renaissancefarms.org/product/umberto-tomato/" TargetMode="External"/><Relationship Id="rId39" Type="http://schemas.openxmlformats.org/officeDocument/2006/relationships/hyperlink" Target="https://www.rareseeds.com/store/vegetables/bok-choy/chijimisai" TargetMode="External"/><Relationship Id="rId286" Type="http://schemas.openxmlformats.org/officeDocument/2006/relationships/hyperlink" Target="https://www.johnnyseeds.com/flowers/marigold/coco-gold-f1-marigold-seed-4097.html" TargetMode="External"/><Relationship Id="rId451" Type="http://schemas.openxmlformats.org/officeDocument/2006/relationships/hyperlink" Target="https://www.rareseeds.com/viola-tiger-laeta" TargetMode="External"/><Relationship Id="rId50" Type="http://schemas.openxmlformats.org/officeDocument/2006/relationships/hyperlink" Target="https://www.osborneseed.com/catalog/item-content/77169/napoli-f1/pr_77169/cp_/catalog/seed-form/organic/carrot" TargetMode="External"/><Relationship Id="rId104" Type="http://schemas.openxmlformats.org/officeDocument/2006/relationships/hyperlink" Target="https://www.seedsavers.org/jelly-melon-organic-cucumber?custcol_sca_sizeweightqty=6" TargetMode="External"/><Relationship Id="rId146" Type="http://schemas.openxmlformats.org/officeDocument/2006/relationships/hyperlink" Target="https://www.wildgardenseed.com/product_info.php?cPath=93_96&amp;products_id=641" TargetMode="External"/><Relationship Id="rId188" Type="http://schemas.openxmlformats.org/officeDocument/2006/relationships/hyperlink" Target="https://www.johnnyseeds.com/vegetables/cucumbers/seedless-and-thin-skinned-cucumbers/katrina-organic-f1-cucumber-seed-47G.html" TargetMode="External"/><Relationship Id="rId311" Type="http://schemas.openxmlformats.org/officeDocument/2006/relationships/hyperlink" Target="https://www.highmowingseeds.com/organic-non-gmo-dragon-carrot.html" TargetMode="External"/><Relationship Id="rId353" Type="http://schemas.openxmlformats.org/officeDocument/2006/relationships/hyperlink" Target="https://www.highmowingseeds.com/organic-non-gmo-roggli-riesen-strawflower.html" TargetMode="External"/><Relationship Id="rId395" Type="http://schemas.openxmlformats.org/officeDocument/2006/relationships/hyperlink" Target="https://www.johnnyseeds.com/flowers/atriplex/copper-plume-organic-atriplex-seed-3739G.html" TargetMode="External"/><Relationship Id="rId409" Type="http://schemas.openxmlformats.org/officeDocument/2006/relationships/hyperlink" Target="https://www.southernexposure.com/products/west-virginia-63-centennial-tomato/" TargetMode="External"/><Relationship Id="rId92" Type="http://schemas.openxmlformats.org/officeDocument/2006/relationships/hyperlink" Target="https://uprisingorganics.com/products/sweet-pepper-jimmy-nardello?_pos=7&amp;_sid=b9a2ab625&amp;_ss=r" TargetMode="External"/><Relationship Id="rId213" Type="http://schemas.openxmlformats.org/officeDocument/2006/relationships/hyperlink" Target="https://www.prairieroadorganic.co/products/melon-minnesota-midget-muskmelon" TargetMode="External"/><Relationship Id="rId420" Type="http://schemas.openxmlformats.org/officeDocument/2006/relationships/hyperlink" Target="https://uprisingorganics.com/collections/vegetables/products/radicchio-castelfranco-4-21?_pos=1&amp;_sid=93d8693b4&amp;_ss=r" TargetMode="External"/><Relationship Id="rId255" Type="http://schemas.openxmlformats.org/officeDocument/2006/relationships/hyperlink" Target="https://uprisingorganics.com/products/tomato-sweet-orange-ii?_pos=1&amp;_sid=ff9cc92b6&amp;_ss=r" TargetMode="External"/><Relationship Id="rId297" Type="http://schemas.openxmlformats.org/officeDocument/2006/relationships/hyperlink" Target="https://fedcoseeds.com/seeds/merlox-red-oak-organic-oakleaf-lettuce-2781" TargetMode="External"/><Relationship Id="rId462" Type="http://schemas.openxmlformats.org/officeDocument/2006/relationships/hyperlink" Target="https://territorialseed.com/products/carrot-romance" TargetMode="External"/><Relationship Id="rId115" Type="http://schemas.openxmlformats.org/officeDocument/2006/relationships/hyperlink" Target="https://www.adaptiveseeds.com/product/flowers/marigold-tangerine-gem-organic/" TargetMode="External"/><Relationship Id="rId157" Type="http://schemas.openxmlformats.org/officeDocument/2006/relationships/hyperlink" Target="https://www.adaptiveseeds.com/product/vegetables/spinach/spinach-giant-winter-organic/" TargetMode="External"/><Relationship Id="rId322" Type="http://schemas.openxmlformats.org/officeDocument/2006/relationships/hyperlink" Target="https://www.highmowingseeds.com/organic-non-gmo-annina-f1-eggplant.html" TargetMode="External"/><Relationship Id="rId364" Type="http://schemas.openxmlformats.org/officeDocument/2006/relationships/hyperlink" Target="https://www.johnnyseeds.com/vegetables/lettuce/salanova-lettuce/salanova-red-oakleaf-pelleted-lettuce-seed-3059JP.html" TargetMode="External"/><Relationship Id="rId61" Type="http://schemas.openxmlformats.org/officeDocument/2006/relationships/hyperlink" Target="https://www.johnnyseeds.com/vegetables/corn/sweet-corn/natural-sweet-1r-organic-f1-corn-seed-3590RG.html" TargetMode="External"/><Relationship Id="rId199" Type="http://schemas.openxmlformats.org/officeDocument/2006/relationships/hyperlink" Target="https://uprisingorganics.com/products/lettuce-merveille-des-quatre-saisons"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microsoft.com/office/2017/10/relationships/threadedComment" Target="../threadedComments/threadedComment4.xml"/><Relationship Id="rId2" Type="http://schemas.openxmlformats.org/officeDocument/2006/relationships/hyperlink" Target="https://www.highmowingseeds.com/organic-non-gmo-prospera-active-thai-thai-f1-basil.html" TargetMode="External"/><Relationship Id="rId1" Type="http://schemas.openxmlformats.org/officeDocument/2006/relationships/pivotTable" Target="../pivotTables/pivotTable2.xml"/><Relationship Id="rId6" Type="http://schemas.openxmlformats.org/officeDocument/2006/relationships/comments" Target="../comments4.xml"/><Relationship Id="rId5" Type="http://schemas.openxmlformats.org/officeDocument/2006/relationships/table" Target="../tables/table10.xml"/><Relationship Id="rId4"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ivotTable" Target="../pivotTables/pivotTable3.xml"/><Relationship Id="rId4"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6.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974EC-DBC3-4EFE-9293-15147E7BF811}">
  <sheetPr codeName="Sheet1"/>
  <dimension ref="A1:M49"/>
  <sheetViews>
    <sheetView workbookViewId="0">
      <selection activeCell="B51" sqref="B51"/>
    </sheetView>
  </sheetViews>
  <sheetFormatPr baseColWidth="10" defaultColWidth="8.83203125" defaultRowHeight="15"/>
  <cols>
    <col min="1" max="1" width="24.33203125" customWidth="1"/>
    <col min="2" max="2" width="12.1640625" bestFit="1" customWidth="1"/>
    <col min="5" max="5" width="11" customWidth="1"/>
    <col min="6" max="6" width="16" customWidth="1"/>
    <col min="7" max="7" width="13.1640625" bestFit="1" customWidth="1"/>
    <col min="8" max="8" width="19.83203125" bestFit="1" customWidth="1"/>
    <col min="9" max="9" width="11.83203125" bestFit="1" customWidth="1"/>
    <col min="10" max="10" width="10.1640625" customWidth="1"/>
    <col min="12" max="12" width="14" bestFit="1" customWidth="1"/>
  </cols>
  <sheetData>
    <row r="1" spans="1:13">
      <c r="A1" t="s">
        <v>0</v>
      </c>
      <c r="E1" t="s">
        <v>2370</v>
      </c>
      <c r="F1" t="s">
        <v>2371</v>
      </c>
      <c r="I1" t="s">
        <v>2383</v>
      </c>
      <c r="J1" t="s">
        <v>2342</v>
      </c>
      <c r="L1" t="s">
        <v>2404</v>
      </c>
      <c r="M1" t="s">
        <v>2555</v>
      </c>
    </row>
    <row r="2" spans="1:13">
      <c r="A2" t="s">
        <v>1</v>
      </c>
      <c r="B2">
        <v>50</v>
      </c>
      <c r="E2" t="s">
        <v>2365</v>
      </c>
      <c r="F2">
        <v>0.65</v>
      </c>
      <c r="I2" t="s">
        <v>2389</v>
      </c>
      <c r="J2">
        <v>10</v>
      </c>
      <c r="L2" t="s">
        <v>2554</v>
      </c>
      <c r="M2">
        <f>3*BedLength/100</f>
        <v>1.5</v>
      </c>
    </row>
    <row r="3" spans="1:13">
      <c r="A3" t="s">
        <v>2</v>
      </c>
      <c r="B3">
        <v>1.3</v>
      </c>
      <c r="E3" t="s">
        <v>2367</v>
      </c>
      <c r="F3">
        <v>4</v>
      </c>
      <c r="I3" t="s">
        <v>2385</v>
      </c>
      <c r="J3">
        <v>5</v>
      </c>
      <c r="L3" t="s">
        <v>2556</v>
      </c>
      <c r="M3">
        <f>4*BedLength/100</f>
        <v>2</v>
      </c>
    </row>
    <row r="4" spans="1:13">
      <c r="A4" t="s">
        <v>332</v>
      </c>
      <c r="B4" s="26">
        <v>45748</v>
      </c>
      <c r="E4" t="s">
        <v>2366</v>
      </c>
      <c r="F4">
        <f>6*0.11+1.5</f>
        <v>2.16</v>
      </c>
      <c r="I4" t="s">
        <v>2387</v>
      </c>
      <c r="J4">
        <v>10</v>
      </c>
    </row>
    <row r="5" spans="1:13">
      <c r="A5" t="s">
        <v>2539</v>
      </c>
      <c r="B5">
        <v>2.5</v>
      </c>
      <c r="E5" t="s">
        <v>2368</v>
      </c>
      <c r="F5">
        <v>3.8</v>
      </c>
      <c r="I5" t="s">
        <v>2386</v>
      </c>
      <c r="J5">
        <v>2</v>
      </c>
    </row>
    <row r="6" spans="1:13">
      <c r="A6" t="s">
        <v>2540</v>
      </c>
      <c r="B6">
        <f>1/12</f>
        <v>8.3333333333333329E-2</v>
      </c>
      <c r="I6" t="s">
        <v>2390</v>
      </c>
      <c r="J6">
        <v>20</v>
      </c>
    </row>
    <row r="7" spans="1:13">
      <c r="I7" t="s">
        <v>80</v>
      </c>
      <c r="J7">
        <v>20</v>
      </c>
    </row>
    <row r="8" spans="1:13">
      <c r="I8" t="s">
        <v>443</v>
      </c>
      <c r="J8">
        <v>5</v>
      </c>
    </row>
    <row r="9" spans="1:13">
      <c r="I9" t="s">
        <v>2384</v>
      </c>
      <c r="J9">
        <v>60</v>
      </c>
    </row>
    <row r="10" spans="1:13">
      <c r="A10" t="s">
        <v>2326</v>
      </c>
      <c r="B10">
        <f>128/0.5</f>
        <v>256</v>
      </c>
      <c r="I10" t="s">
        <v>474</v>
      </c>
      <c r="J10">
        <v>0</v>
      </c>
    </row>
    <row r="11" spans="1:13">
      <c r="A11" t="s">
        <v>2327</v>
      </c>
      <c r="I11" t="s">
        <v>357</v>
      </c>
      <c r="J11">
        <v>30</v>
      </c>
    </row>
    <row r="12" spans="1:13">
      <c r="A12" t="s">
        <v>2329</v>
      </c>
      <c r="B12">
        <v>120</v>
      </c>
    </row>
    <row r="13" spans="1:13">
      <c r="A13" t="s">
        <v>2330</v>
      </c>
      <c r="B13">
        <v>120</v>
      </c>
    </row>
    <row r="14" spans="1:13">
      <c r="A14" t="s">
        <v>2331</v>
      </c>
      <c r="B14">
        <v>2</v>
      </c>
      <c r="I14" t="s">
        <v>2504</v>
      </c>
    </row>
    <row r="15" spans="1:13">
      <c r="A15" t="s">
        <v>2333</v>
      </c>
      <c r="B15" s="164">
        <f>1/24</f>
        <v>4.1666666666666664E-2</v>
      </c>
      <c r="C15" s="164" t="s">
        <v>2395</v>
      </c>
    </row>
    <row r="16" spans="1:13">
      <c r="A16" t="s">
        <v>2332</v>
      </c>
      <c r="B16" s="164">
        <f>2/400</f>
        <v>5.0000000000000001E-3</v>
      </c>
      <c r="C16" s="164" t="s">
        <v>2395</v>
      </c>
    </row>
    <row r="17" spans="1:10">
      <c r="A17" t="s">
        <v>2336</v>
      </c>
      <c r="B17">
        <f>1/6</f>
        <v>0.16666666666666666</v>
      </c>
      <c r="C17" t="s">
        <v>2395</v>
      </c>
      <c r="F17" t="s">
        <v>2444</v>
      </c>
      <c r="G17" t="s">
        <v>2447</v>
      </c>
    </row>
    <row r="18" spans="1:10">
      <c r="A18" t="s">
        <v>2393</v>
      </c>
      <c r="B18">
        <v>90</v>
      </c>
      <c r="C18" t="s">
        <v>2394</v>
      </c>
      <c r="F18" t="s">
        <v>2445</v>
      </c>
    </row>
    <row r="19" spans="1:10">
      <c r="A19" t="s">
        <v>2396</v>
      </c>
      <c r="B19">
        <v>3600</v>
      </c>
      <c r="C19" t="s">
        <v>2394</v>
      </c>
      <c r="F19" t="s">
        <v>2446</v>
      </c>
      <c r="G19" t="s">
        <v>2448</v>
      </c>
    </row>
    <row r="20" spans="1:10">
      <c r="A20" t="s">
        <v>2397</v>
      </c>
      <c r="B20">
        <v>16</v>
      </c>
      <c r="C20" t="s">
        <v>2398</v>
      </c>
    </row>
    <row r="21" spans="1:10">
      <c r="A21" t="s">
        <v>2443</v>
      </c>
      <c r="B21">
        <v>0.33</v>
      </c>
    </row>
    <row r="23" spans="1:10">
      <c r="A23" t="s">
        <v>2341</v>
      </c>
      <c r="B23">
        <f>1/60</f>
        <v>1.6666666666666666E-2</v>
      </c>
    </row>
    <row r="24" spans="1:10">
      <c r="A24" t="s">
        <v>2342</v>
      </c>
      <c r="B24">
        <f>1/60/60</f>
        <v>2.7777777777777778E-4</v>
      </c>
    </row>
    <row r="25" spans="1:10">
      <c r="I25" s="193" t="s">
        <v>2319</v>
      </c>
    </row>
    <row r="26" spans="1:10">
      <c r="A26" t="s">
        <v>2455</v>
      </c>
      <c r="B26">
        <v>25</v>
      </c>
      <c r="I26" t="s">
        <v>2352</v>
      </c>
    </row>
    <row r="27" spans="1:10">
      <c r="A27" t="s">
        <v>2535</v>
      </c>
      <c r="B27">
        <v>180</v>
      </c>
      <c r="F27" t="s">
        <v>2405</v>
      </c>
      <c r="I27" t="s">
        <v>2353</v>
      </c>
    </row>
    <row r="28" spans="1:10">
      <c r="F28" t="s">
        <v>110</v>
      </c>
      <c r="I28" t="s">
        <v>2354</v>
      </c>
    </row>
    <row r="29" spans="1:10">
      <c r="F29" t="s">
        <v>2442</v>
      </c>
    </row>
    <row r="30" spans="1:10">
      <c r="F30" t="s">
        <v>2463</v>
      </c>
    </row>
    <row r="31" spans="1:10">
      <c r="A31" t="s">
        <v>2460</v>
      </c>
      <c r="B31">
        <v>35</v>
      </c>
      <c r="C31" t="s">
        <v>2542</v>
      </c>
    </row>
    <row r="32" spans="1:10">
      <c r="A32" t="s">
        <v>2450</v>
      </c>
      <c r="B32" s="36">
        <f>705*12</f>
        <v>8460</v>
      </c>
      <c r="C32" t="s">
        <v>2451</v>
      </c>
      <c r="I32" t="s">
        <v>2373</v>
      </c>
      <c r="J32" t="s">
        <v>2374</v>
      </c>
    </row>
    <row r="33" spans="1:12">
      <c r="A33" t="s">
        <v>2452</v>
      </c>
      <c r="B33">
        <f>80*(100/BedLength)</f>
        <v>160</v>
      </c>
      <c r="I33" t="s">
        <v>2375</v>
      </c>
      <c r="J33" t="s">
        <v>2376</v>
      </c>
    </row>
    <row r="34" spans="1:12">
      <c r="A34" t="s">
        <v>2453</v>
      </c>
      <c r="B34" s="36">
        <f>B32/B33</f>
        <v>52.875</v>
      </c>
      <c r="F34" t="s">
        <v>2491</v>
      </c>
      <c r="G34">
        <v>9</v>
      </c>
      <c r="I34" t="s">
        <v>2377</v>
      </c>
      <c r="J34" t="s">
        <v>2378</v>
      </c>
    </row>
    <row r="35" spans="1:12">
      <c r="A35" t="s">
        <v>2541</v>
      </c>
      <c r="B35">
        <f>CONVERT(BedWidth*AnnualCompostDepth*BedLength,"ft^3", "yd^3")*CompostCost</f>
        <v>13.503086419753085</v>
      </c>
      <c r="C35" t="s">
        <v>2461</v>
      </c>
      <c r="F35" t="s">
        <v>2492</v>
      </c>
      <c r="G35">
        <v>4.5</v>
      </c>
      <c r="I35" t="s">
        <v>2379</v>
      </c>
    </row>
    <row r="36" spans="1:12">
      <c r="A36" t="s">
        <v>2522</v>
      </c>
      <c r="B36">
        <v>1.5</v>
      </c>
      <c r="F36" t="s">
        <v>2493</v>
      </c>
      <c r="G36">
        <f>G34*G35</f>
        <v>40.5</v>
      </c>
    </row>
    <row r="37" spans="1:12">
      <c r="F37" t="s">
        <v>2494</v>
      </c>
      <c r="G37">
        <v>20</v>
      </c>
    </row>
    <row r="38" spans="1:12">
      <c r="F38" t="s">
        <v>2495</v>
      </c>
      <c r="G38">
        <f>G34*G37</f>
        <v>180</v>
      </c>
    </row>
    <row r="39" spans="1:12">
      <c r="F39" t="s">
        <v>2496</v>
      </c>
      <c r="G39">
        <f>G36*G37</f>
        <v>810</v>
      </c>
      <c r="I39" t="s">
        <v>2399</v>
      </c>
    </row>
    <row r="40" spans="1:12">
      <c r="A40" t="s">
        <v>2499</v>
      </c>
      <c r="B40">
        <v>50</v>
      </c>
    </row>
    <row r="41" spans="1:12">
      <c r="I41" t="s">
        <v>2382</v>
      </c>
    </row>
    <row r="42" spans="1:12">
      <c r="A42" t="s">
        <v>2538</v>
      </c>
      <c r="B42">
        <v>100</v>
      </c>
      <c r="L42" t="s">
        <v>2389</v>
      </c>
    </row>
    <row r="43" spans="1:12">
      <c r="L43" t="s">
        <v>2385</v>
      </c>
    </row>
    <row r="44" spans="1:12">
      <c r="L44" t="s">
        <v>2387</v>
      </c>
    </row>
    <row r="45" spans="1:12">
      <c r="L45" t="s">
        <v>2386</v>
      </c>
    </row>
    <row r="46" spans="1:12">
      <c r="I46" t="s">
        <v>2409</v>
      </c>
      <c r="L46" t="s">
        <v>2390</v>
      </c>
    </row>
    <row r="47" spans="1:12">
      <c r="L47" t="s">
        <v>80</v>
      </c>
    </row>
    <row r="48" spans="1:12">
      <c r="L48" t="s">
        <v>443</v>
      </c>
    </row>
    <row r="49" spans="12:12">
      <c r="L49" t="s">
        <v>2388</v>
      </c>
    </row>
  </sheetData>
  <pageMargins left="0.7" right="0.7" top="0.75" bottom="0.75" header="0.3" footer="0.3"/>
  <pageSetup orientation="portrait" horizontalDpi="0" verticalDpi="0"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A1941-5B8C-42A6-BE04-5E991A7BB922}">
  <sheetPr codeName="Sheet2"/>
  <dimension ref="A1:FB342"/>
  <sheetViews>
    <sheetView topLeftCell="A271" workbookViewId="0">
      <selection activeCell="A299" sqref="A299"/>
    </sheetView>
  </sheetViews>
  <sheetFormatPr baseColWidth="10" defaultColWidth="8.83203125" defaultRowHeight="15" outlineLevelCol="2"/>
  <cols>
    <col min="1" max="1" width="63.83203125" customWidth="1"/>
    <col min="2" max="2" width="5" bestFit="1" customWidth="1"/>
    <col min="3" max="7" width="13.5" customWidth="1" outlineLevel="1"/>
    <col min="8" max="8" width="8.5" customWidth="1" outlineLevel="1"/>
    <col min="9" max="9" width="22.5" customWidth="1" outlineLevel="1"/>
    <col min="10" max="10" width="14" customWidth="1" outlineLevel="1"/>
    <col min="11" max="11" width="10" customWidth="1" outlineLevel="1"/>
    <col min="12" max="12" width="8.83203125" customWidth="1" outlineLevel="1"/>
    <col min="13" max="13" width="15.33203125" customWidth="1" outlineLevel="1"/>
    <col min="14" max="14" width="19.83203125" customWidth="1" outlineLevel="1"/>
    <col min="15" max="15" width="19.1640625" customWidth="1" outlineLevel="1"/>
    <col min="16" max="16" width="17.83203125" customWidth="1" outlineLevel="1"/>
    <col min="17" max="17" width="6.1640625" customWidth="1" outlineLevel="1"/>
    <col min="18" max="18" width="6.33203125" customWidth="1" outlineLevel="1"/>
    <col min="19" max="19" width="6.1640625" customWidth="1" outlineLevel="1"/>
    <col min="20" max="20" width="5.1640625" customWidth="1" outlineLevel="1"/>
    <col min="21" max="21" width="5.6640625" customWidth="1" outlineLevel="1"/>
    <col min="22" max="22" width="8.83203125" customWidth="1" outlineLevel="1"/>
    <col min="23" max="23" width="6.1640625" customWidth="1" outlineLevel="1"/>
    <col min="24" max="24" width="7.1640625" customWidth="1" outlineLevel="1"/>
    <col min="25" max="25" width="9.83203125" customWidth="1" outlineLevel="1"/>
    <col min="26" max="28" width="10.83203125" customWidth="1" outlineLevel="1"/>
    <col min="29" max="29" width="9.83203125" customWidth="1" outlineLevel="1"/>
    <col min="30" max="30" width="9" customWidth="1" outlineLevel="1"/>
    <col min="31" max="31" width="11.33203125" customWidth="1" outlineLevel="1"/>
    <col min="32" max="32" width="9" customWidth="1" outlineLevel="1"/>
    <col min="33" max="34" width="7.33203125" customWidth="1" outlineLevel="1"/>
    <col min="35" max="35" width="7.6640625" customWidth="1" outlineLevel="1"/>
    <col min="36" max="36" width="7.33203125" customWidth="1" outlineLevel="1"/>
    <col min="37" max="37" width="8.5" customWidth="1" outlineLevel="1"/>
    <col min="38" max="39" width="9" customWidth="1" outlineLevel="1"/>
    <col min="40" max="40" width="9.33203125" customWidth="1" outlineLevel="1"/>
    <col min="41" max="41" width="6.1640625" customWidth="1" outlineLevel="1"/>
    <col min="42" max="42" width="6.6640625" customWidth="1" outlineLevel="1"/>
    <col min="43" max="43" width="5.1640625" customWidth="1" outlineLevel="1"/>
    <col min="44" max="44" width="5.6640625" customWidth="1" outlineLevel="1"/>
    <col min="45" max="45" width="8.5" customWidth="1" outlineLevel="1"/>
    <col min="46" max="46" width="9.33203125" customWidth="1" outlineLevel="1"/>
    <col min="47" max="47" width="6.83203125" customWidth="1" outlineLevel="1"/>
    <col min="48" max="48" width="6" customWidth="1"/>
    <col min="49" max="49" width="6" customWidth="1" outlineLevel="1"/>
    <col min="50" max="50" width="8.5" customWidth="1" outlineLevel="1"/>
    <col min="51" max="51" width="6.83203125" customWidth="1" outlineLevel="1"/>
    <col min="52" max="53" width="8.5" customWidth="1" outlineLevel="1"/>
    <col min="54" max="54" width="7.33203125" customWidth="1" outlineLevel="1"/>
    <col min="55" max="58" width="8.5" customWidth="1" outlineLevel="1"/>
    <col min="59" max="60" width="10.83203125" customWidth="1" outlineLevel="1"/>
    <col min="61" max="61" width="11" customWidth="1" outlineLevel="1"/>
    <col min="62" max="62" width="17" customWidth="1" outlineLevel="1"/>
    <col min="63" max="63" width="11" customWidth="1" outlineLevel="1"/>
    <col min="64" max="64" width="11.5" customWidth="1"/>
    <col min="65" max="65" width="8.5" customWidth="1"/>
    <col min="66" max="66" width="10.83203125" bestFit="1" customWidth="1"/>
    <col min="67" max="67" width="7.6640625" customWidth="1"/>
    <col min="68" max="68" width="7" bestFit="1" customWidth="1"/>
    <col min="69" max="69" width="24.5" bestFit="1" customWidth="1"/>
    <col min="71" max="71" width="11.33203125" customWidth="1"/>
    <col min="72" max="72" width="9.1640625" customWidth="1"/>
    <col min="73" max="73" width="12.1640625" customWidth="1"/>
    <col min="74" max="74" width="9.6640625" customWidth="1" outlineLevel="1"/>
    <col min="75" max="75" width="9" customWidth="1" outlineLevel="1"/>
    <col min="76" max="77" width="8.83203125" customWidth="1" outlineLevel="1"/>
    <col min="78" max="78" width="8.5" customWidth="1"/>
    <col min="79" max="79" width="10" customWidth="1"/>
    <col min="80" max="80" width="12" customWidth="1"/>
    <col min="81" max="81" width="8" customWidth="1" outlineLevel="1"/>
    <col min="82" max="82" width="7.33203125" customWidth="1" outlineLevel="1"/>
    <col min="83" max="83" width="9" customWidth="1" outlineLevel="1"/>
    <col min="84" max="84" width="11.1640625" customWidth="1" outlineLevel="1"/>
    <col min="85" max="85" width="11" customWidth="1" outlineLevel="1"/>
    <col min="86" max="86" width="12.1640625" customWidth="1" outlineLevel="1"/>
    <col min="87" max="87" width="6.5" customWidth="1" outlineLevel="1"/>
    <col min="88" max="88" width="8.33203125" customWidth="1" outlineLevel="1"/>
    <col min="89" max="89" width="10.1640625" customWidth="1" outlineLevel="1"/>
    <col min="90" max="90" width="11.5" customWidth="1" outlineLevel="1"/>
    <col min="91" max="91" width="13" customWidth="1" outlineLevel="1"/>
    <col min="92" max="92" width="11.5" customWidth="1" outlineLevel="1"/>
    <col min="93" max="94" width="10.83203125" customWidth="1" outlineLevel="1"/>
    <col min="95" max="95" width="10.83203125" customWidth="1" outlineLevel="1" collapsed="1"/>
    <col min="96" max="99" width="7.6640625" customWidth="1" outlineLevel="1"/>
    <col min="100" max="100" width="8.5" customWidth="1" outlineLevel="1"/>
    <col min="101" max="103" width="7.6640625" customWidth="1" outlineLevel="1"/>
    <col min="104" max="104" width="8.5" customWidth="1" outlineLevel="1"/>
    <col min="105" max="106" width="10.83203125" customWidth="1" outlineLevel="1"/>
    <col min="107" max="111" width="10.83203125" customWidth="1"/>
    <col min="114" max="115" width="9.83203125" customWidth="1"/>
    <col min="116" max="116" width="10" customWidth="1"/>
    <col min="117" max="117" width="12.1640625" customWidth="1"/>
    <col min="118" max="118" width="9.6640625" customWidth="1" outlineLevel="1"/>
    <col min="119" max="119" width="12.1640625" customWidth="1" outlineLevel="1"/>
    <col min="120" max="120" width="12.1640625" customWidth="1"/>
    <col min="121" max="121" width="15.33203125" bestFit="1" customWidth="1"/>
    <col min="122" max="123" width="10.83203125" customWidth="1"/>
    <col min="124" max="124" width="15" bestFit="1" customWidth="1"/>
    <col min="125" max="126" width="12.1640625" customWidth="1"/>
    <col min="127" max="127" width="15.33203125" customWidth="1"/>
    <col min="128" max="128" width="12.1640625" customWidth="1" outlineLevel="2"/>
    <col min="129" max="129" width="13.33203125" customWidth="1" outlineLevel="2"/>
    <col min="133" max="133" width="12.83203125" customWidth="1"/>
    <col min="135" max="135" width="12.1640625" customWidth="1"/>
    <col min="136" max="136" width="11" customWidth="1"/>
    <col min="137" max="137" width="12.1640625" customWidth="1"/>
    <col min="138" max="138" width="23" customWidth="1"/>
    <col min="139" max="148" width="12.1640625" customWidth="1"/>
    <col min="149" max="149" width="7.1640625" customWidth="1"/>
    <col min="150" max="150" width="6.83203125" customWidth="1"/>
    <col min="151" max="151" width="12.1640625" customWidth="1"/>
    <col min="152" max="152" width="15.83203125" customWidth="1"/>
    <col min="153" max="153" width="17.83203125" customWidth="1"/>
    <col min="154" max="154" width="12.1640625" customWidth="1"/>
    <col min="155" max="155" width="20.83203125" customWidth="1"/>
    <col min="156" max="156" width="16.1640625" customWidth="1"/>
    <col min="157" max="157" width="16.33203125" customWidth="1"/>
    <col min="158" max="158" width="12.1640625" customWidth="1"/>
    <col min="159" max="159" width="20" customWidth="1"/>
    <col min="160" max="160" width="10.83203125" customWidth="1"/>
    <col min="161" max="161" width="17" customWidth="1"/>
    <col min="162" max="162" width="13.83203125" customWidth="1"/>
    <col min="163" max="168" width="10.83203125" customWidth="1"/>
    <col min="169" max="169" width="48.5" customWidth="1"/>
    <col min="170" max="170" width="18.5" customWidth="1"/>
  </cols>
  <sheetData>
    <row r="1" spans="1:156">
      <c r="CI1" s="183" t="s">
        <v>2557</v>
      </c>
      <c r="DC1" s="36">
        <f>MEDIAN(Crops[Revenue - Copy])</f>
        <v>660</v>
      </c>
      <c r="DD1">
        <f>MEDIAN(Crops[Direct Time])</f>
        <v>12.877668030753968</v>
      </c>
      <c r="DF1" s="36">
        <f>MEDIAN(Crops[Revenue Per Hour])</f>
        <v>51.803639667165243</v>
      </c>
      <c r="DG1" s="36"/>
      <c r="DH1" s="36"/>
      <c r="DI1" s="36"/>
      <c r="DJ1" s="36"/>
      <c r="DK1" s="36"/>
      <c r="DL1" s="36"/>
      <c r="DN1" s="36"/>
      <c r="DO1" s="36"/>
      <c r="DP1" s="36" t="s">
        <v>2560</v>
      </c>
      <c r="DQ1" s="36"/>
      <c r="DR1" s="36" t="s">
        <v>140</v>
      </c>
      <c r="DS1" s="36" t="s">
        <v>2561</v>
      </c>
      <c r="DT1" s="36"/>
      <c r="DU1" s="36"/>
      <c r="DV1" s="36"/>
      <c r="DX1" s="36"/>
      <c r="DY1" s="36"/>
      <c r="DZ1" s="36"/>
      <c r="EA1" s="36"/>
      <c r="EB1" s="36"/>
      <c r="EC1" s="36"/>
      <c r="ED1" s="36"/>
      <c r="EE1" s="36">
        <f>195*2*240</f>
        <v>93600</v>
      </c>
      <c r="EF1" s="36"/>
      <c r="EG1" s="36"/>
      <c r="EP1" t="e">
        <f>SUMPRODUCT(EO8:EO342,EP8:EP339)</f>
        <v>#VALUE!</v>
      </c>
      <c r="EX1" s="49">
        <f>_xlfn.AGGREGATE(9,6,EX8:EX339)</f>
        <v>0</v>
      </c>
      <c r="EY1">
        <f>EX1/200*2</f>
        <v>0</v>
      </c>
      <c r="EZ1">
        <f>100*800</f>
        <v>80000</v>
      </c>
    </row>
    <row r="2" spans="1:156" s="41" customFormat="1" ht="33" customHeight="1">
      <c r="A2" s="40" t="s">
        <v>5</v>
      </c>
      <c r="B2" s="40" t="s">
        <v>1265</v>
      </c>
      <c r="C2" s="40" t="s">
        <v>3</v>
      </c>
      <c r="D2" s="40" t="s">
        <v>2562</v>
      </c>
      <c r="E2" s="40" t="s">
        <v>2306</v>
      </c>
      <c r="F2" s="40" t="s">
        <v>2305</v>
      </c>
      <c r="G2" s="40" t="s">
        <v>310</v>
      </c>
      <c r="H2" s="40" t="s">
        <v>408</v>
      </c>
      <c r="I2" s="209" t="s">
        <v>4</v>
      </c>
      <c r="J2" s="209" t="s">
        <v>6</v>
      </c>
      <c r="K2" s="209" t="s">
        <v>7</v>
      </c>
      <c r="L2" s="40" t="s">
        <v>8</v>
      </c>
      <c r="M2" s="209" t="s">
        <v>440</v>
      </c>
      <c r="N2" s="40" t="s">
        <v>1310</v>
      </c>
      <c r="O2" s="209" t="s">
        <v>9</v>
      </c>
      <c r="P2" s="40" t="s">
        <v>10</v>
      </c>
      <c r="Q2" s="40" t="s">
        <v>11</v>
      </c>
      <c r="R2" s="40" t="s">
        <v>12</v>
      </c>
      <c r="S2" s="40" t="s">
        <v>13</v>
      </c>
      <c r="T2" s="40" t="s">
        <v>14</v>
      </c>
      <c r="U2" s="40" t="s">
        <v>15</v>
      </c>
      <c r="V2" s="40" t="s">
        <v>311</v>
      </c>
      <c r="W2" s="40" t="s">
        <v>16</v>
      </c>
      <c r="X2" s="209" t="s">
        <v>17</v>
      </c>
      <c r="Y2" s="209" t="s">
        <v>18</v>
      </c>
      <c r="Z2" s="209" t="s">
        <v>430</v>
      </c>
      <c r="AA2" s="209" t="s">
        <v>473</v>
      </c>
      <c r="AB2" s="209" t="s">
        <v>1328</v>
      </c>
      <c r="AC2" s="209" t="s">
        <v>433</v>
      </c>
      <c r="AD2" s="40" t="s">
        <v>19</v>
      </c>
      <c r="AE2" s="209" t="s">
        <v>20</v>
      </c>
      <c r="AF2" s="209" t="s">
        <v>21</v>
      </c>
      <c r="AG2" s="40" t="s">
        <v>2</v>
      </c>
      <c r="AH2" s="209" t="s">
        <v>1510</v>
      </c>
      <c r="AI2" s="40" t="s">
        <v>22</v>
      </c>
      <c r="AJ2" s="40" t="s">
        <v>23</v>
      </c>
      <c r="AK2" s="40" t="s">
        <v>24</v>
      </c>
      <c r="AL2" s="40" t="s">
        <v>25</v>
      </c>
      <c r="AM2" s="40" t="s">
        <v>250</v>
      </c>
      <c r="AN2" s="40" t="s">
        <v>1338</v>
      </c>
      <c r="AO2" s="40" t="s">
        <v>26</v>
      </c>
      <c r="AP2" s="40" t="s">
        <v>27</v>
      </c>
      <c r="AQ2" s="40" t="s">
        <v>28</v>
      </c>
      <c r="AR2" s="40" t="s">
        <v>407</v>
      </c>
      <c r="AS2" s="40" t="s">
        <v>411</v>
      </c>
      <c r="AT2" s="40" t="s">
        <v>29</v>
      </c>
      <c r="AU2" s="40" t="s">
        <v>30</v>
      </c>
      <c r="AV2" s="40" t="s">
        <v>417</v>
      </c>
      <c r="AW2" s="40" t="s">
        <v>31</v>
      </c>
      <c r="AX2" s="40" t="s">
        <v>1335</v>
      </c>
      <c r="AY2" s="40" t="s">
        <v>1329</v>
      </c>
      <c r="AZ2" s="40" t="s">
        <v>1330</v>
      </c>
      <c r="BA2" s="40" t="s">
        <v>1336</v>
      </c>
      <c r="BB2" s="40" t="s">
        <v>1331</v>
      </c>
      <c r="BC2" s="40" t="s">
        <v>1332</v>
      </c>
      <c r="BD2" s="40" t="s">
        <v>1337</v>
      </c>
      <c r="BE2" s="40" t="s">
        <v>1333</v>
      </c>
      <c r="BF2" s="40" t="s">
        <v>1334</v>
      </c>
      <c r="BG2" s="40" t="s">
        <v>32</v>
      </c>
      <c r="BH2" s="40" t="s">
        <v>33</v>
      </c>
      <c r="BI2" s="40" t="s">
        <v>34</v>
      </c>
      <c r="BJ2" s="40" t="s">
        <v>2536</v>
      </c>
      <c r="BK2" s="40" t="s">
        <v>1304</v>
      </c>
      <c r="BL2" s="40" t="s">
        <v>35</v>
      </c>
      <c r="BM2" s="40" t="s">
        <v>2511</v>
      </c>
      <c r="BN2" s="40" t="s">
        <v>3002</v>
      </c>
      <c r="BO2" s="40" t="s">
        <v>3003</v>
      </c>
      <c r="BP2" s="40" t="s">
        <v>36</v>
      </c>
      <c r="BQ2" s="41" t="s">
        <v>2510</v>
      </c>
      <c r="BR2" s="41" t="s">
        <v>3001</v>
      </c>
      <c r="BS2" s="40" t="s">
        <v>37</v>
      </c>
      <c r="BT2" s="40" t="s">
        <v>2700</v>
      </c>
      <c r="BU2" s="40" t="s">
        <v>2512</v>
      </c>
      <c r="BV2" s="40" t="s">
        <v>414</v>
      </c>
      <c r="BW2" s="40" t="s">
        <v>361</v>
      </c>
      <c r="BX2" s="40" t="s">
        <v>415</v>
      </c>
      <c r="BY2" s="40" t="s">
        <v>1416</v>
      </c>
      <c r="BZ2" s="40" t="s">
        <v>333</v>
      </c>
      <c r="CA2" s="40" t="s">
        <v>372</v>
      </c>
      <c r="CB2" s="40" t="s">
        <v>2334</v>
      </c>
      <c r="CC2" s="40" t="s">
        <v>2307</v>
      </c>
      <c r="CD2" s="40" t="s">
        <v>2325</v>
      </c>
      <c r="CE2" s="40" t="s">
        <v>2328</v>
      </c>
      <c r="CF2" s="40" t="s">
        <v>2309</v>
      </c>
      <c r="CG2" s="40" t="s">
        <v>2310</v>
      </c>
      <c r="CH2" s="40" t="s">
        <v>2308</v>
      </c>
      <c r="CI2" s="40" t="s">
        <v>2404</v>
      </c>
      <c r="CJ2" s="40" t="s">
        <v>2339</v>
      </c>
      <c r="CK2" s="40" t="s">
        <v>2324</v>
      </c>
      <c r="CL2" s="40" t="s">
        <v>2314</v>
      </c>
      <c r="CM2" s="40" t="s">
        <v>2315</v>
      </c>
      <c r="CN2" s="40" t="s">
        <v>2311</v>
      </c>
      <c r="CO2" s="40" t="s">
        <v>2312</v>
      </c>
      <c r="CP2" s="40" t="s">
        <v>2313</v>
      </c>
      <c r="CQ2" s="40" t="s">
        <v>2317</v>
      </c>
      <c r="CR2" s="40" t="s">
        <v>2316</v>
      </c>
      <c r="CS2" s="40" t="s">
        <v>215</v>
      </c>
      <c r="CT2" s="40" t="s">
        <v>2402</v>
      </c>
      <c r="CU2" s="40" t="s">
        <v>2318</v>
      </c>
      <c r="CV2" s="40" t="s">
        <v>2337</v>
      </c>
      <c r="CW2" s="40" t="s">
        <v>2338</v>
      </c>
      <c r="CX2" s="40" t="s">
        <v>2319</v>
      </c>
      <c r="CY2" s="40" t="s">
        <v>2320</v>
      </c>
      <c r="CZ2" s="40" t="s">
        <v>2321</v>
      </c>
      <c r="DA2" s="40" t="s">
        <v>2322</v>
      </c>
      <c r="DB2" s="40" t="s">
        <v>2323</v>
      </c>
      <c r="DC2" s="40" t="s">
        <v>2436</v>
      </c>
      <c r="DD2" s="40" t="s">
        <v>2523</v>
      </c>
      <c r="DE2" s="40" t="s">
        <v>2524</v>
      </c>
      <c r="DF2" s="40" t="s">
        <v>2335</v>
      </c>
      <c r="DG2" s="40" t="s">
        <v>2454</v>
      </c>
      <c r="DH2" s="40" t="s">
        <v>2205</v>
      </c>
      <c r="DI2" s="40" t="s">
        <v>2456</v>
      </c>
      <c r="DJ2" s="40" t="s">
        <v>2457</v>
      </c>
      <c r="DK2" s="40" t="s">
        <v>2458</v>
      </c>
      <c r="DL2" s="40" t="s">
        <v>2459</v>
      </c>
      <c r="DM2" s="40" t="s">
        <v>3004</v>
      </c>
      <c r="DN2" s="40" t="s">
        <v>2520</v>
      </c>
      <c r="DO2" s="40" t="s">
        <v>2525</v>
      </c>
      <c r="DP2" s="40" t="s">
        <v>2514</v>
      </c>
      <c r="DQ2" s="40" t="s">
        <v>2517</v>
      </c>
      <c r="DR2" s="40" t="s">
        <v>2532</v>
      </c>
      <c r="DS2" s="40" t="s">
        <v>2533</v>
      </c>
      <c r="DT2" s="40" t="s">
        <v>2519</v>
      </c>
      <c r="DU2" s="40" t="s">
        <v>2530</v>
      </c>
      <c r="DV2" s="40" t="s">
        <v>2527</v>
      </c>
      <c r="DW2" s="40" t="s">
        <v>2513</v>
      </c>
      <c r="DX2" s="40" t="s">
        <v>2521</v>
      </c>
      <c r="DY2" s="40" t="s">
        <v>2526</v>
      </c>
      <c r="DZ2" s="40" t="s">
        <v>2515</v>
      </c>
      <c r="EA2" s="40" t="s">
        <v>2516</v>
      </c>
      <c r="EB2" s="40" t="s">
        <v>2529</v>
      </c>
      <c r="EC2" s="40" t="s">
        <v>2534</v>
      </c>
      <c r="ED2" s="40" t="s">
        <v>2531</v>
      </c>
      <c r="EE2" s="40" t="s">
        <v>2518</v>
      </c>
      <c r="EF2" s="40" t="s">
        <v>2528</v>
      </c>
      <c r="EG2" s="40" t="s">
        <v>2462</v>
      </c>
      <c r="EH2" s="40" t="s">
        <v>2400</v>
      </c>
      <c r="EI2" s="40" t="s">
        <v>2406</v>
      </c>
      <c r="EJ2" s="40" t="s">
        <v>2685</v>
      </c>
      <c r="EK2" s="40" t="s">
        <v>2509</v>
      </c>
      <c r="EL2" s="40" t="s">
        <v>2719</v>
      </c>
      <c r="EM2" s="40" t="s">
        <v>2592</v>
      </c>
      <c r="EN2" s="40" t="s">
        <v>2595</v>
      </c>
      <c r="EO2" s="40" t="s">
        <v>1389</v>
      </c>
      <c r="EP2" s="40" t="s">
        <v>2681</v>
      </c>
      <c r="EQ2" s="40" t="s">
        <v>2682</v>
      </c>
      <c r="ER2" s="40" t="s">
        <v>2508</v>
      </c>
      <c r="ES2" s="40" t="s">
        <v>2500</v>
      </c>
      <c r="ET2" s="40" t="s">
        <v>2506</v>
      </c>
      <c r="EU2" s="40" t="s">
        <v>2507</v>
      </c>
      <c r="EV2" s="40" t="s">
        <v>2501</v>
      </c>
      <c r="EW2" s="40" t="s">
        <v>2502</v>
      </c>
      <c r="EX2" s="40" t="s">
        <v>2503</v>
      </c>
      <c r="EY2" s="40" t="s">
        <v>39</v>
      </c>
    </row>
    <row r="3" spans="1:156" ht="15" customHeight="1">
      <c r="A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Alexanders - Mature X | Field DS Ow</v>
      </c>
      <c r="C3" s="1" t="b">
        <v>0</v>
      </c>
      <c r="D3" s="1"/>
      <c r="E3" s="1" t="b">
        <v>1</v>
      </c>
      <c r="F3" s="1" t="b">
        <f>IFERROR(IF(ISNUMBER(MATCH(Crops[[#This Row],[Identifier]],BedPlan[Crop], 0)), TRUE, FALSE), FALSE)</f>
        <v>0</v>
      </c>
      <c r="G3" s="1" t="b">
        <f>IFERROR(IF(ISNUMBER(MATCH(Crops[[#This Row],[Identifier]],BedPlan[Crop], 0)), TRUE, FALSE), FALSE)</f>
        <v>0</v>
      </c>
      <c r="H3" s="1" t="b">
        <v>1</v>
      </c>
      <c r="I3" t="s">
        <v>40</v>
      </c>
      <c r="J3" t="s">
        <v>145</v>
      </c>
      <c r="K3" t="s">
        <v>180</v>
      </c>
      <c r="N3" t="str">
        <f>Crops[[#This Row],[Crop]]</f>
        <v>Alexanders</v>
      </c>
      <c r="O3" t="s">
        <v>210</v>
      </c>
      <c r="P3" t="str">
        <f>IF(OR(Crops[[#This Row],[Days in Cells]]="",Crops[[#This Row],[Days in Cells]]=0), "DS","TP")</f>
        <v>DS</v>
      </c>
      <c r="U3" t="s">
        <v>144</v>
      </c>
      <c r="V3" t="str">
        <f xml:space="preserve"> IF(Crops[[#This Row],[Sp]], "Sp", "") &amp; IF(Crops[[#This Row],[Su]], "Su", "") &amp; IF(Crops[[#This Row],[Fa]], "Fa", "") &amp; IF(Crops[[#This Row],[Wi]], "Wi", "") &amp; IF(Crops[[#This Row],[OW]], "Ow","")</f>
        <v>Ow</v>
      </c>
      <c r="X3">
        <v>3</v>
      </c>
      <c r="Y3">
        <v>9</v>
      </c>
      <c r="AD3" s="32">
        <f>IFERROR(12/Crops[[#This Row],[Spacing]]*Crops[[#This Row],[Rows]]*BedLength,"")</f>
        <v>200</v>
      </c>
      <c r="AG3">
        <f>IF(Crops[[#This Row],[Custom Safety Factor]]="",PlantingSafetyFactor,Crops[[#This Row],[Custom Safety Factor]])</f>
        <v>1.3</v>
      </c>
      <c r="AH3">
        <f>1</f>
        <v>1</v>
      </c>
      <c r="AI3" s="33">
        <f>IFERROR(Crops[[#This Row],[Plantings Per Bed]]*Crops[[#This Row],[Seeds Per Planting]]*Crops[[#This Row],[Safety Factor]]*Crops[[#This Row],[Seeding Factor]],"")</f>
        <v>0</v>
      </c>
      <c r="AL3">
        <f>_xlfn.FLOOR.MATH(IFERROR(AVERAGE(Crops[[#This Row],[DTG Lower]:[DTG Upper]]),0))</f>
        <v>0</v>
      </c>
      <c r="AM3">
        <f>SUM(Crops[[#This Row],[Tray 1 Days]],Crops[[#This Row],[Tray 2 Days]],Crops[[#This Row],[Tray 3 Days]])</f>
        <v>0</v>
      </c>
      <c r="AP3">
        <v>180</v>
      </c>
      <c r="AQ3">
        <f>IFERROR(_xlfn.FLOOR.MATH(AVERAGE(Crops[[#This Row],[DTM Lower]:[DTM Upper]])),"")</f>
        <v>180</v>
      </c>
      <c r="AR3" cm="1">
        <f t="array" ref="AR3">_xlfn.SWITCH(Crops[[#This Row],[Normal Method]],"DS",Crops[[#This Row],[Days to Germination]]+Crops[[#This Row],[DTM]] + IF(Crops[[#This Row],[Days in Cells]]&gt;0,15,0), "TP",Crops[[#This Row],[DTM]]+Crops[[#This Row],[Days in Cells]] + IF(Crops[[#This Row],[Days in Cells]]&lt;=0,20,0), "X", Crops[[#This Row],[DTM]])</f>
        <v>180</v>
      </c>
      <c r="AS3" t="s">
        <v>347</v>
      </c>
      <c r="AT3">
        <f>(Crops[[#This Row],[Harvests]]-1)*Crops[[#This Row],[Days Between Harvest]]+7</f>
        <v>7</v>
      </c>
      <c r="AU3">
        <f>Crops[[#This Row],[STH]]-Crops[[#This Row],[Days in Cells]]+Crops[[#This Row],[Harvest window]]</f>
        <v>187</v>
      </c>
      <c r="AW3">
        <v>128</v>
      </c>
      <c r="AZ3" t="str">
        <f>IFERROR(IF(Crops[[#This Row],[Tray 1 Days]]=0,"",Crops[[#This Row],[Plantings Per Bed]]/Crops[[#This Row],[Tray 1 Size]]*Crops[[#This Row],[Safety Factor]]),"")</f>
        <v/>
      </c>
      <c r="BC3" t="str">
        <f>IFERROR(IF(Crops[[#This Row],[Tray 2 Days]]=0,"",Crops[[#This Row],[Plantings Per Bed]]/Crops[[#This Row],[Tray 2 Size]]*Crops[[#This Row],[Safety Factor]]),"")</f>
        <v/>
      </c>
      <c r="BE3" s="32" t="str">
        <f>IF(NOT(ISBLANK(Crops[[#This Row],[Tray 3 Size]])), Crops[[#This Row],[Days in Cells Old]]-SUM(Crops[[#This Row],[Tray 1 Days]],Crops[[#This Row],[Tray 2 Days]]), "")</f>
        <v/>
      </c>
      <c r="BF3" t="str">
        <f>IFERROR(IF(Crops[[#This Row],[Tray 3 Days]]=0,"",Crops[[#This Row],[Plantings Per Bed]]/Crops[[#This Row],[Tray 3 Size]]*Crops[[#This Row],[Safety Factor]]),"")</f>
        <v/>
      </c>
      <c r="BG3" s="33"/>
      <c r="BH3" s="33"/>
      <c r="BI3" s="33"/>
      <c r="BJ3" s="33" t="e">
        <f>_xlfn.XLOOKUP(Crops[[#This Row],[ProductIndex]],Products[ID],Products[Holding Period])</f>
        <v>#N/A</v>
      </c>
      <c r="BK3" s="33"/>
      <c r="BL3" s="33">
        <f>Crops[[#This Row],[Units Per Harvest]]*Crops[[#This Row],[Harvests]]</f>
        <v>0</v>
      </c>
      <c r="BM3" s="35"/>
      <c r="BN3" s="35">
        <f>Crops[[#This Row],[Direct Price]]*0.6</f>
        <v>0</v>
      </c>
      <c r="BO3" s="35"/>
      <c r="BP3" t="s">
        <v>215</v>
      </c>
      <c r="BQ3">
        <f>Crops[[#This Row],[Custom Yield Per Bed]]*Crops[[#This Row],[Direct Price]]</f>
        <v>0</v>
      </c>
      <c r="BR3" t="b">
        <v>0</v>
      </c>
      <c r="BS3" t="b">
        <f>Crops[[#This Row],[Harvests]]&gt;1</f>
        <v>0</v>
      </c>
      <c r="BT3" s="36">
        <f>IFERROR(Crops[[#This Row],[Direct Revenue Per Bed]]/Crops[[#This Row],[Days In Field]],-1)</f>
        <v>0</v>
      </c>
      <c r="BU3" s="33">
        <f>IFERROR(Crops[[#This Row],[Direct Revenue Per Bed Day]]*GrowingDays*BedsPerAcre,"")</f>
        <v>0</v>
      </c>
      <c r="BV3" s="38">
        <f>LastFrostDate-5*Crops[[#This Row],[Sewing Rel Last Frost]]</f>
        <v>45748</v>
      </c>
      <c r="BW3" s="38">
        <f>Crops[[#This Row],[Target Sewing Date]]+Crops[[#This Row],[Days in Cells]]</f>
        <v>45748</v>
      </c>
      <c r="BX3" s="38">
        <f>Crops[[#This Row],[Target Sewing Date]]+Crops[[#This Row],[STH]]</f>
        <v>45928</v>
      </c>
      <c r="BY3" s="38">
        <f>Crops[[#This Row],[Target Harvest Data]]+Crops[[#This Row],[Harvest window]]</f>
        <v>45935</v>
      </c>
      <c r="CB3">
        <f>1</f>
        <v>1</v>
      </c>
      <c r="CC3">
        <f>IF(Crops[[#This Row],[Transplanting]]&gt;0, 2, 3)*BedLength/StandardBedLength</f>
        <v>1.5</v>
      </c>
      <c r="CD3" s="173">
        <f>IF(Crops[[#This Row],[Days in Cells]]&lt;=0,0,Crops[[#This Row],[Plantings Per Bed]]/StartsPerHourSeeding+Crops[[#This Row],[Tray 1 Count]]*5/60)</f>
        <v>0</v>
      </c>
      <c r="CE3" s="173">
        <f>IF(ISBLANK(Crops[[#This Row],[Tray 2 Days]]),0,Crops[[#This Row],[Plantings Per Bed]]/UpPottingPerHour)+IF(Crops[[#This Row],[Tray 3 Days]]="",0,Crops[[#This Row],[Plantings Per Bed]]/UpPottingPerHour)</f>
        <v>0</v>
      </c>
      <c r="CF3" s="173">
        <f>IFERROR(Crops[[#This Row],[Tray 1 Count]]/HomeStartFlatIrrigationPerHour,0)*Crops[[#This Row],[Days in Cells]]/DaysBetweenStartIrrigation</f>
        <v>0</v>
      </c>
      <c r="CG3">
        <f>0.5/16*MAX(Crops[[#This Row],[Tray 1 Count]],Crops[[#This Row],[Tray 2 Count]],Crops[[#This Row],[Tray 3 Count]])</f>
        <v>0</v>
      </c>
      <c r="CH3">
        <f>IF(Crops[[#This Row],[Days in Cells]]&gt;0,IF(IF(Crops[[#This Row],[Tray 3 Size]]&gt;0,Crops[[#This Row],[Tray 3 Size]],IF(Crops[[#This Row],[Tray 2 Size]]&gt;0,Crops[[#This Row],[Tray 2 Size]],Crops[[#This Row],[Tray 1 Size]]))&lt;=18,LargeTransplantTime,SmallTransplantTime)*Crops[[#This Row],[Plantings Per Bed]],0)</f>
        <v>0</v>
      </c>
      <c r="CJ3" s="173">
        <f>_xlfn.XLOOKUP(Crops[[#This Row],[Trellis Type]],TrellisMethods[Trellis Type],TrellisMethods[Hours],0,0)</f>
        <v>0</v>
      </c>
      <c r="CK3">
        <f>IF(Crops[[#This Row],[Days in Cells]]&lt;=0,Crops[[#This Row],[Rows]]*1/10,0)*BedLength/50</f>
        <v>0.3</v>
      </c>
      <c r="CL3" cm="1">
        <f t="array" ref="CL3">_xlfn.SWITCH(Crops[[#This Row],[Irrigation]],"DR", 0.5, "OH", 0.25,0)*BedLength/50</f>
        <v>0</v>
      </c>
      <c r="CM3">
        <f>IF(OR(ISBLANK(Crops[[#This Row],[Row Cover]]),Crops[[#This Row],[Row Cover]]="None"),0,1)*BedLength/50</f>
        <v>0</v>
      </c>
      <c r="CN3" s="173">
        <f>HoursPerWeedingPass*Crops[[#This Row],[Days In Field]]/14*Crops[[#This Row],[Rows]]+1*BedLength/50</f>
        <v>7.678571428571427</v>
      </c>
      <c r="CQ3" s="37" t="e">
        <f>_xlfn.XLOOKUP(Crops[[#This Row],[Crop]]&amp;Crops[[#This Row],[Product]]&amp;Crops[[#This Row],[Unit]],Products[ID],Products[Marketing (hr)])*Crops[[#This Row],[Direct Revenue Per Bed]]/2000</f>
        <v>#N/A</v>
      </c>
      <c r="CR3" s="37" t="e">
        <f>_xlfn.XLOOKUP(Crops[[#This Row],[Crop]]&amp;Crops[[#This Row],[Product]]&amp;Crops[[#This Row],[Unit]],Products[ID],Products[Harvest (s)])*Crops[[#This Row],[Custom Yield Per Bed]]/3600</f>
        <v>#N/A</v>
      </c>
      <c r="CS3" s="37" t="e">
        <f>_xlfn.XLOOKUP(Crops[[#This Row],[Crop]]&amp;Crops[[#This Row],[Product]]&amp;Crops[[#This Row],[Unit]],Products[ID],Products[Bunch (s)])*Crops[[#This Row],[Custom Yield Per Bed]]/3600</f>
        <v>#N/A</v>
      </c>
      <c r="CT3" s="37" t="e">
        <f>_xlfn.XLOOKUP(Crops[[#This Row],[Crop]]&amp;Crops[[#This Row],[Product]]&amp;Crops[[#This Row],[Unit]],Products[ID],Products[Haul (s)])*Crops[[#This Row],[Custom Yield Per Bed]]/3600</f>
        <v>#N/A</v>
      </c>
      <c r="CU3" s="37" t="e">
        <f>_xlfn.XLOOKUP(Crops[[#This Row],[Crop]]&amp;Crops[[#This Row],[Product]]&amp;Crops[[#This Row],[Unit]],Products[ID],Products[Wash (s)])*Crops[[#This Row],[Custom Yield Per Bed]]/3600</f>
        <v>#N/A</v>
      </c>
      <c r="CV3" s="37" t="e">
        <f>_xlfn.XLOOKUP(Crops[[#This Row],[Crop]]&amp;Crops[[#This Row],[Product]]&amp;Crops[[#This Row],[Unit]],Products[ID],Products[Condition (s)])*Crops[[#This Row],[Custom Yield Per Bed]]/3600</f>
        <v>#N/A</v>
      </c>
      <c r="CW3" s="37" t="e">
        <f>_xlfn.XLOOKUP(Crops[[#This Row],[Crop]]&amp;Crops[[#This Row],[Product]]&amp;Crops[[#This Row],[Unit]],Products[ID],Products[Trim (s)])*Crops[[#This Row],[Custom Yield Per Bed]]/3600</f>
        <v>#N/A</v>
      </c>
      <c r="CX3" s="37" t="e">
        <f>_xlfn.XLOOKUP(Crops[[#This Row],[Crop]]&amp;Crops[[#This Row],[Product]]&amp;Crops[[#This Row],[Unit]],Products[ID],Products[Pack (s)])*Crops[[#This Row],[Custom Yield Per Bed]]/3600</f>
        <v>#N/A</v>
      </c>
      <c r="CY3" s="37" t="e">
        <f>_xlfn.XLOOKUP(Crops[[#This Row],[Crop]]&amp;Crops[[#This Row],[Product]]&amp;Crops[[#This Row],[Unit]],Products[ID],Products[Clean (s)])*Crops[[#This Row],[Custom Yield Per Bed]]/3600</f>
        <v>#N/A</v>
      </c>
      <c r="CZ3" s="37" t="e">
        <f>_xlfn.XLOOKUP(Crops[[#This Row],[Crop]]&amp;Crops[[#This Row],[Product]]&amp;Crops[[#This Row],[Unit]],Products[ID],Products[Rehandle (s)])*Crops[[#This Row],[Custom Yield Per Bed]]/3600</f>
        <v>#N/A</v>
      </c>
      <c r="DA3" s="37" t="e">
        <f>_xlfn.XLOOKUP(Crops[[#This Row],[Crop]]&amp;Crops[[#This Row],[Product]]&amp;Crops[[#This Row],[Unit]],Products[ID],Products[Market Transport (s)])*Crops[[#This Row],[Custom Yield Per Bed]]/3600</f>
        <v>#N/A</v>
      </c>
      <c r="DC3" s="37">
        <f>Crops[[#This Row],[Direct Revenue Per Bed2]]</f>
        <v>0</v>
      </c>
      <c r="DD3" s="173">
        <f>_xlfn.AGGREGATE(9,6,Crops[[#This Row],[Bed Prep]:[Remove Crop Residue]])</f>
        <v>9.4785714285714278</v>
      </c>
      <c r="DE3" s="173" t="e">
        <f>_xlfn.AGGREGATE(9,6,Crops[[#This Row],[Bed Prep]:[Remove Crop Residue]])-0.75*Crops[[#This Row],[Market &amp; Sell]]</f>
        <v>#N/A</v>
      </c>
      <c r="DF3" s="36">
        <f>Crops[[#This Row],[Direct Revenue Per Bed2]]/Crops[[#This Row],[Direct Time]]</f>
        <v>0</v>
      </c>
      <c r="DG3" s="36" t="e">
        <f>_xlfn.XLOOKUP(Crops[[#This Row],[ProductIndex]],Products[ID],Products[Packaging Cost])*(Crops[[#This Row],[Custom Yield Per Bed]]/_xlfn.XLOOKUP(Crops[[#This Row],[ProductIndex]],Products[ID],Products[Units Per Pack]))</f>
        <v>#N/A</v>
      </c>
      <c r="DH3" s="36"/>
      <c r="DI3" s="36"/>
      <c r="DJ3" s="36"/>
      <c r="DK3" s="36"/>
      <c r="DL3" s="36"/>
      <c r="DM3" s="33">
        <f>IFERROR(Crops[[#This Row],[Custom Yield Per Bed]]*Crops[[#This Row],[Direct Price]],"")</f>
        <v>0</v>
      </c>
      <c r="DN3" s="36">
        <f>Crops[[#This Row],[Direct Time]]*LaborRate</f>
        <v>236.96428571428569</v>
      </c>
      <c r="DO3" s="36">
        <f>SUM(Crops[[#This Row],[Irrigation Cost]])</f>
        <v>0</v>
      </c>
      <c r="DP3" s="36">
        <f>Crops[[#This Row],[Direct Labor Cost]]+Crops[[#This Row],[Direct Non-Labor Cost]]</f>
        <v>236.96428571428569</v>
      </c>
      <c r="DQ3" s="36">
        <f>Crops[[#This Row],[Direct Revenue Per Bed2]]-Crops[[#This Row],[Direct Total Cost]]</f>
        <v>-236.96428571428569</v>
      </c>
      <c r="DR3" s="36">
        <f>Crops[[#This Row],[Direct Profit]]*BedsPerAcre</f>
        <v>-37914.28571428571</v>
      </c>
      <c r="DS3" s="36">
        <f>Crops[[#This Row],[Direct Profit]]*BedsPerAcre*GrowingDays/Crops[[#This Row],[Days In Field]]</f>
        <v>-36495.034377387317</v>
      </c>
      <c r="DT3" s="36">
        <f>Crops[[#This Row],[Direct Profit]]/MIN(Crops[[#This Row],[Days In Field]],GrowingDays)</f>
        <v>-1.316468253968254</v>
      </c>
      <c r="DU3" s="36">
        <f>Crops[[#This Row],[Direct Time]] * BedsPerAcre</f>
        <v>1516.5714285714284</v>
      </c>
      <c r="DV3" s="36">
        <f>(Crops[[#This Row],[Direct Revenue Per Bed2]]-Crops[[#This Row],[Direct Non-Labor Cost]])/Crops[[#This Row],[Direct Time]]</f>
        <v>0</v>
      </c>
      <c r="DW3" s="33">
        <f>IFERROR(Crops[[#This Row],[Custom Yield Per Bed]]*Crops[[#This Row],[Rough Wholesale Price]],"")</f>
        <v>0</v>
      </c>
      <c r="DX3" s="36" t="e">
        <f>Crops[[#This Row],[Wholesale Time]]*LaborRate</f>
        <v>#N/A</v>
      </c>
      <c r="DY3" s="36" t="e">
        <f>SUM(Crops[[#This Row],[Packaging Costs]:[Irrigation Cost]])</f>
        <v>#N/A</v>
      </c>
      <c r="DZ3" s="36" t="e">
        <f>Crops[[#This Row],[Wholesale Labor Cost]]+Crops[[#This Row],[Wholesale Non-Labor Cost]]</f>
        <v>#N/A</v>
      </c>
      <c r="EA3" s="36" t="e">
        <f>Crops[[#This Row],[Wholesale Revenue Per Bed]]-Crops[[#This Row],[Wholesale Total Cost]]</f>
        <v>#N/A</v>
      </c>
      <c r="EB3" s="36" t="e">
        <f>Crops[[#This Row],[Wholesale Profit]]*BedsPerAcre</f>
        <v>#N/A</v>
      </c>
      <c r="EC3" s="36" t="e">
        <f>Crops[[#This Row],[Wholesale Profit]]*BedsPerAcre*GrowingDays/Crops[[#This Row],[Days In Field]]</f>
        <v>#N/A</v>
      </c>
      <c r="ED3" s="36" t="e">
        <f>Crops[[#This Row],[Wholesale Time]] * BedsPerAcre</f>
        <v>#N/A</v>
      </c>
      <c r="EE3" s="36" t="e">
        <f>Crops[[#This Row],[Wholesale Profit]]/MIN(Crops[[#This Row],[Days In Field]],GrowingDays)</f>
        <v>#N/A</v>
      </c>
      <c r="EF3" s="36" t="e">
        <f>(Crops[[#This Row],[Wholesale Revenue Per Bed]]-Crops[[#This Row],[Wholesale Non-Labor Cost]])/Crops[[#This Row],[Direct Time]]</f>
        <v>#N/A</v>
      </c>
      <c r="EG3" s="174" t="e">
        <f>Crops[[#This Row],[Packaging Costs]]/Crops[[#This Row],[Wholesale Revenue Per Bed]]</f>
        <v>#N/A</v>
      </c>
      <c r="EH3" s="173" t="str">
        <f>Crops[[#This Row],[Crop]]&amp;Crops[[#This Row],[Product]]&amp;Crops[[#This Row],[Unit]]</f>
        <v>AlexandersMatureBunch</v>
      </c>
      <c r="EI3" s="173" t="e">
        <f>_xlfn.XLOOKUP(Crops[[#This Row],[ProductIndex]],Products[ID],Products[Target])</f>
        <v>#N/A</v>
      </c>
      <c r="EJ3" s="173">
        <f>Crops[[#This Row],[Custom Yield Per Bed]]</f>
        <v>0</v>
      </c>
      <c r="EK3" s="173" t="e">
        <f>Crops[[#This Row],[Units Per Harvest]]/Crops[[#This Row],[Days Between Harvest]]*7</f>
        <v>#DIV/0!</v>
      </c>
      <c r="EL3" s="173" t="e">
        <f>Crops[[#This Row],[Custom Yield Per Bed]]/_xlfn.XLOOKUP(Crops[[#This Row],[ProductIndex]],Products[ID],Products[CSA Portion])</f>
        <v>#N/A</v>
      </c>
      <c r="EM3" s="173" t="e">
        <f>Crops[[#This Row],[Units Per Harvest]]/Crops[[#This Row],[Days Between Harvest]]*7/_xlfn.XLOOKUP(Crops[[#This Row],[ProductIndex]],Products[ID],Products[CSA Portion])</f>
        <v>#DIV/0!</v>
      </c>
      <c r="EN3" s="173" t="e">
        <f>Crops[[#This Row],[CSA Portions Per Week]]/CSAMembers</f>
        <v>#DIV/0!</v>
      </c>
      <c r="EO3" s="173"/>
      <c r="EP3" s="173"/>
      <c r="EQ3" s="173"/>
      <c r="ER3" s="173">
        <f>Crops[[#This Row],[Harvests]]*Crops[[#This Row],[Days Between Harvest]]/7</f>
        <v>0</v>
      </c>
      <c r="ES3" s="49" t="e">
        <f>_xlfn.XLOOKUP(Crops[[#This Row],[ProductIndex]],Products[ID],Products[CSA Need])</f>
        <v>#N/A</v>
      </c>
      <c r="ET3" s="49" t="e">
        <f>_xlfn.XLOOKUP(Crops[[#This Row],[ProductIndex]],Products[ID],Products[CSA Times])</f>
        <v>#N/A</v>
      </c>
      <c r="EU3" s="49" t="e">
        <f>Crops[[#This Row],[Custom Yield Per Bed]]/(Crops[[#This Row],[CSA Need]]*(_xlfn.XLOOKUP(Crops[[#This Row],[ProductIndex]],Products[ID],Products[CSA Portion])*CSAMembers))</f>
        <v>#N/A</v>
      </c>
      <c r="EV3" s="49" t="e">
        <f>_xlfn.XLOOKUP(Crops[[#This Row],[ProductIndex]],Products[ID],Products[CSA Portion])*CSAMembers*Crops[[#This Row],[CSA Need]]/Crops[[#This Row],[Custom Yield Per Bed]]</f>
        <v>#N/A</v>
      </c>
      <c r="EW3" s="49" t="str">
        <f>IFERROR(Crops[[#This Row],[Days In Field]]*Crops[[#This Row],[CSA Beds]],"")</f>
        <v/>
      </c>
      <c r="EX3" s="49" t="e">
        <f>Crops[[#This Row],[CSA Bed Days]]*#REF!</f>
        <v>#VALUE!</v>
      </c>
      <c r="EY3">
        <v>0</v>
      </c>
    </row>
    <row r="4" spans="1:156" ht="15" customHeight="1">
      <c r="A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Amaranth - Mature Leaf 3X | Field DS Su</v>
      </c>
      <c r="B4" s="189"/>
      <c r="C4" s="1" t="b">
        <v>1</v>
      </c>
      <c r="D4" s="1" t="s">
        <v>2563</v>
      </c>
      <c r="E4" s="1" t="b">
        <v>0</v>
      </c>
      <c r="F4" s="1" t="b">
        <f>IFERROR(IF(ISNUMBER(MATCH(Crops[[#This Row],[Identifier]],BedPlan[Crop], 0)), TRUE, FALSE), FALSE)</f>
        <v>0</v>
      </c>
      <c r="G4" s="1" t="b">
        <f>IFERROR(IF(ISNUMBER(MATCH(Crops[[#This Row],[Identifier]],BedPlan[Crop], 0)), TRUE, FALSE), FALSE)</f>
        <v>0</v>
      </c>
      <c r="H4" s="1" t="b">
        <v>1</v>
      </c>
      <c r="I4" t="s">
        <v>41</v>
      </c>
      <c r="J4" t="s">
        <v>145</v>
      </c>
      <c r="K4" t="s">
        <v>179</v>
      </c>
      <c r="M4" t="s">
        <v>406</v>
      </c>
      <c r="N4" t="str">
        <f>Crops[[#This Row],[Crop]]</f>
        <v>Amaranth</v>
      </c>
      <c r="O4" t="s">
        <v>210</v>
      </c>
      <c r="P4" t="str">
        <f>IF(OR(Crops[[#This Row],[Days in Cells]]="",Crops[[#This Row],[Days in Cells]]=0), "DS","TP")</f>
        <v>DS</v>
      </c>
      <c r="R4" t="s">
        <v>144</v>
      </c>
      <c r="V4" t="str">
        <f xml:space="preserve"> IF(Crops[[#This Row],[Sp]], "Sp", "") &amp; IF(Crops[[#This Row],[Su]], "Su", "") &amp; IF(Crops[[#This Row],[Fa]], "Fa", "") &amp; IF(Crops[[#This Row],[Wi]], "Wi", "") &amp; IF(Crops[[#This Row],[OW]], "Ow","")</f>
        <v>Su</v>
      </c>
      <c r="X4">
        <v>3</v>
      </c>
      <c r="Y4">
        <v>6</v>
      </c>
      <c r="Z4" t="s">
        <v>432</v>
      </c>
      <c r="AA4" t="s">
        <v>474</v>
      </c>
      <c r="AB4" t="b">
        <v>0</v>
      </c>
      <c r="AC4">
        <v>7</v>
      </c>
      <c r="AD4" s="32">
        <f>IFERROR(12/Crops[[#This Row],[Spacing]]*Crops[[#This Row],[Rows]]*BedLength,"")</f>
        <v>300</v>
      </c>
      <c r="AE4">
        <v>3</v>
      </c>
      <c r="AG4">
        <v>1.3</v>
      </c>
      <c r="AH4">
        <v>2</v>
      </c>
      <c r="AI4" s="33">
        <f>IFERROR(Crops[[#This Row],[Plantings Per Bed]]*Crops[[#This Row],[Seeds Per Planting]]*Crops[[#This Row],[Safety Factor]]*Crops[[#This Row],[Seeding Factor]],"")</f>
        <v>2340</v>
      </c>
      <c r="AJ4">
        <v>7</v>
      </c>
      <c r="AK4">
        <v>10</v>
      </c>
      <c r="AL4">
        <f>_xlfn.FLOOR.MATH(IFERROR(AVERAGE(Crops[[#This Row],[DTG Lower]:[DTG Upper]]),0))</f>
        <v>8</v>
      </c>
      <c r="AM4">
        <f>SUM(Crops[[#This Row],[Tray 1 Days]],Crops[[#This Row],[Tray 2 Days]],Crops[[#This Row],[Tray 3 Days]])</f>
        <v>0</v>
      </c>
      <c r="AN4">
        <v>30</v>
      </c>
      <c r="AP4">
        <v>90</v>
      </c>
      <c r="AQ4">
        <f>IFERROR(_xlfn.FLOOR.MATH(AVERAGE(Crops[[#This Row],[DTM Lower]:[DTM Upper]])),"")</f>
        <v>90</v>
      </c>
      <c r="AR4" cm="1">
        <f t="array" ref="AR4">_xlfn.SWITCH(Crops[[#This Row],[Normal Method]],"DS",Crops[[#This Row],[Days to Germination]]+Crops[[#This Row],[DTM]] + IF(Crops[[#This Row],[Days in Cells]]&gt;0,15,0), "TP",Crops[[#This Row],[DTM]]+Crops[[#This Row],[Days in Cells]] + IF(Crops[[#This Row],[Days in Cells]]&lt;=0,20,0), "X", Crops[[#This Row],[DTM]])</f>
        <v>90</v>
      </c>
      <c r="AS4" t="s">
        <v>347</v>
      </c>
      <c r="AT4">
        <f>(Crops[[#This Row],[Harvests]]-1)*Crops[[#This Row],[Days Between Harvest]]+7</f>
        <v>35</v>
      </c>
      <c r="AU4">
        <f>Crops[[#This Row],[STH]]-Crops[[#This Row],[Days in Cells]]+Crops[[#This Row],[Harvest window]]</f>
        <v>125</v>
      </c>
      <c r="AW4">
        <v>128</v>
      </c>
      <c r="AZ4" t="str">
        <f>IFERROR(IF(Crops[[#This Row],[Tray 1 Days]]=0,"",Crops[[#This Row],[Plantings Per Bed]]/Crops[[#This Row],[Tray 1 Size]]*Crops[[#This Row],[Safety Factor]]),"")</f>
        <v/>
      </c>
      <c r="BC4" t="str">
        <f>IFERROR(IF(Crops[[#This Row],[Tray 2 Days]]=0,"",Crops[[#This Row],[Plantings Per Bed]]/Crops[[#This Row],[Tray 2 Size]]*Crops[[#This Row],[Safety Factor]]),"")</f>
        <v/>
      </c>
      <c r="BE4" s="32" t="str">
        <f>IF(NOT(ISBLANK(Crops[[#This Row],[Tray 3 Size]])), Crops[[#This Row],[Days in Cells Old]]-SUM(Crops[[#This Row],[Tray 1 Days]],Crops[[#This Row],[Tray 2 Days]]), "")</f>
        <v/>
      </c>
      <c r="BF4" t="str">
        <f>IFERROR(IF(Crops[[#This Row],[Tray 3 Days]]=0,"",Crops[[#This Row],[Plantings Per Bed]]/Crops[[#This Row],[Tray 3 Size]]*Crops[[#This Row],[Safety Factor]]),"")</f>
        <v/>
      </c>
      <c r="BG4" s="33">
        <f>Crops[[#This Row],[Plantings Per Bed]]*4/12</f>
        <v>100</v>
      </c>
      <c r="BH4" s="33">
        <v>3</v>
      </c>
      <c r="BI4" s="33">
        <v>14</v>
      </c>
      <c r="BJ4" s="33">
        <f>_xlfn.XLOOKUP(Crops[[#This Row],[ProductIndex]],Products[ID],Products[Holding Period])</f>
        <v>0</v>
      </c>
      <c r="BK4" s="33"/>
      <c r="BL4" s="33">
        <f>Crops[[#This Row],[Units Per Harvest]]*Crops[[#This Row],[Harvests]]</f>
        <v>300</v>
      </c>
      <c r="BM4" s="35">
        <v>3</v>
      </c>
      <c r="BN4" s="35">
        <f>Crops[[#This Row],[Direct Price]]*0.6</f>
        <v>1.7999999999999998</v>
      </c>
      <c r="BO4" s="35"/>
      <c r="BP4" t="s">
        <v>215</v>
      </c>
      <c r="BQ4">
        <f>Crops[[#This Row],[Custom Yield Per Bed]]*Crops[[#This Row],[Direct Price]]</f>
        <v>900</v>
      </c>
      <c r="BR4" t="b">
        <v>0</v>
      </c>
      <c r="BS4" t="b">
        <f>Crops[[#This Row],[Harvests]]&gt;1</f>
        <v>1</v>
      </c>
      <c r="BT4" s="36">
        <f>IFERROR(Crops[[#This Row],[Direct Revenue Per Bed]]/Crops[[#This Row],[Days In Field]],-1)</f>
        <v>7.2</v>
      </c>
      <c r="BU4" s="33">
        <f>IFERROR(Crops[[#This Row],[Direct Revenue Per Bed Day]]*GrowingDays*BedsPerAcre,"")</f>
        <v>207360</v>
      </c>
      <c r="BV4" s="38">
        <f>LastFrostDate-5*Crops[[#This Row],[Sewing Rel Last Frost]]</f>
        <v>45753</v>
      </c>
      <c r="BW4" s="38">
        <f>Crops[[#This Row],[Target Sewing Date]]+Crops[[#This Row],[Days in Cells]]</f>
        <v>45753</v>
      </c>
      <c r="BX4" s="38">
        <f>Crops[[#This Row],[Target Sewing Date]]+Crops[[#This Row],[STH]]</f>
        <v>45843</v>
      </c>
      <c r="BY4" s="38">
        <f>Crops[[#This Row],[Target Harvest Data]]+Crops[[#This Row],[Harvest window]]</f>
        <v>45878</v>
      </c>
      <c r="BZ4">
        <v>-1</v>
      </c>
      <c r="CB4">
        <f>1</f>
        <v>1</v>
      </c>
      <c r="CC4">
        <f>IF(Crops[[#This Row],[Transplanting]]&gt;0, 2, 3)*BedLength/StandardBedLength</f>
        <v>1.5</v>
      </c>
      <c r="CD4" s="173">
        <f>IF(Crops[[#This Row],[Days in Cells]]&lt;=0,0,Crops[[#This Row],[Plantings Per Bed]]/StartsPerHourSeeding+Crops[[#This Row],[Tray 1 Count]]*5/60)</f>
        <v>0</v>
      </c>
      <c r="CE4" s="173">
        <f>IF(ISBLANK(Crops[[#This Row],[Tray 2 Days]]),0,Crops[[#This Row],[Plantings Per Bed]]/UpPottingPerHour)+IF(Crops[[#This Row],[Tray 3 Days]]="",0,Crops[[#This Row],[Plantings Per Bed]]/UpPottingPerHour)</f>
        <v>0</v>
      </c>
      <c r="CF4" s="173">
        <f>IFERROR(Crops[[#This Row],[Tray 1 Count]]/HomeStartFlatIrrigationPerHour,0)*Crops[[#This Row],[Days in Cells]]/DaysBetweenStartIrrigation</f>
        <v>0</v>
      </c>
      <c r="CG4" s="173">
        <f>0.5/16*MAX(Crops[[#This Row],[Tray 1 Count]],Crops[[#This Row],[Tray 2 Count]],Crops[[#This Row],[Tray 3 Count]])</f>
        <v>0</v>
      </c>
      <c r="CH4" s="173">
        <f>IF(Crops[[#This Row],[Days in Cells]]&gt;0,IF(IF(Crops[[#This Row],[Tray 3 Size]]&gt;0,Crops[[#This Row],[Tray 3 Size]],IF(Crops[[#This Row],[Tray 2 Size]]&gt;0,Crops[[#This Row],[Tray 2 Size]],Crops[[#This Row],[Tray 1 Size]]))&lt;=18,LargeTransplantTime,SmallTransplantTime)*Crops[[#This Row],[Plantings Per Bed]],0)</f>
        <v>0</v>
      </c>
      <c r="CI4" s="173"/>
      <c r="CJ4" s="173">
        <f>_xlfn.XLOOKUP(Crops[[#This Row],[Trellis Type]],TrellisMethods[Trellis Type],TrellisMethods[Hours],0,0)</f>
        <v>0</v>
      </c>
      <c r="CK4">
        <f>IF(Crops[[#This Row],[Days in Cells]]&lt;=0,Crops[[#This Row],[Rows]]*1/10,0)*BedLength/50</f>
        <v>0.3</v>
      </c>
      <c r="CL4" cm="1">
        <f t="array" ref="CL4">_xlfn.SWITCH(Crops[[#This Row],[Irrigation]],"DR", 0.5, "OH", 0.25,0)*BedLength/50</f>
        <v>0.5</v>
      </c>
      <c r="CM4">
        <f>IF(OR(ISBLANK(Crops[[#This Row],[Row Cover]]),Crops[[#This Row],[Row Cover]]="None"),0,1)*BedLength/50</f>
        <v>0</v>
      </c>
      <c r="CN4" s="173">
        <f>HoursPerWeedingPass*Crops[[#This Row],[Days In Field]]/14*Crops[[#This Row],[Rows]]+1*BedLength/50</f>
        <v>5.4642857142857135</v>
      </c>
      <c r="CQ4" s="37">
        <f>_xlfn.XLOOKUP(Crops[[#This Row],[Crop]]&amp;Crops[[#This Row],[Product]]&amp;Crops[[#This Row],[Unit]],Products[ID],Products[Marketing (hr)])*Crops[[#This Row],[Direct Revenue Per Bed]]/2000</f>
        <v>2.25</v>
      </c>
      <c r="CR4" s="37">
        <f>_xlfn.XLOOKUP(Crops[[#This Row],[Crop]]&amp;Crops[[#This Row],[Product]]&amp;Crops[[#This Row],[Unit]],Products[ID],Products[Harvest (s)])*Crops[[#This Row],[Custom Yield Per Bed]]/3600</f>
        <v>3.75</v>
      </c>
      <c r="CS4" s="37">
        <f>_xlfn.XLOOKUP(Crops[[#This Row],[Crop]]&amp;Crops[[#This Row],[Product]]&amp;Crops[[#This Row],[Unit]],Products[ID],Products[Bunch (s)])*Crops[[#This Row],[Custom Yield Per Bed]]/3600</f>
        <v>0.83333333333333337</v>
      </c>
      <c r="CT4" s="37">
        <f>_xlfn.XLOOKUP(Crops[[#This Row],[Crop]]&amp;Crops[[#This Row],[Product]]&amp;Crops[[#This Row],[Unit]],Products[ID],Products[Haul (s)])*Crops[[#This Row],[Custom Yield Per Bed]]/3600</f>
        <v>0.1875</v>
      </c>
      <c r="CU4" s="37">
        <f>_xlfn.XLOOKUP(Crops[[#This Row],[Crop]]&amp;Crops[[#This Row],[Product]]&amp;Crops[[#This Row],[Unit]],Products[ID],Products[Wash (s)])*Crops[[#This Row],[Custom Yield Per Bed]]/3600</f>
        <v>0</v>
      </c>
      <c r="CV4" s="37">
        <f>_xlfn.XLOOKUP(Crops[[#This Row],[Crop]]&amp;Crops[[#This Row],[Product]]&amp;Crops[[#This Row],[Unit]],Products[ID],Products[Condition (s)])*Crops[[#This Row],[Custom Yield Per Bed]]/3600</f>
        <v>0</v>
      </c>
      <c r="CW4" s="37">
        <f>_xlfn.XLOOKUP(Crops[[#This Row],[Crop]]&amp;Crops[[#This Row],[Product]]&amp;Crops[[#This Row],[Unit]],Products[ID],Products[Trim (s)])*Crops[[#This Row],[Custom Yield Per Bed]]/3600</f>
        <v>0</v>
      </c>
      <c r="CX4" s="37">
        <f>_xlfn.XLOOKUP(Crops[[#This Row],[Crop]]&amp;Crops[[#This Row],[Product]]&amp;Crops[[#This Row],[Unit]],Products[ID],Products[Pack (s)])*Crops[[#This Row],[Custom Yield Per Bed]]/3600</f>
        <v>0.25</v>
      </c>
      <c r="CY4" s="37">
        <f>_xlfn.XLOOKUP(Crops[[#This Row],[Crop]]&amp;Crops[[#This Row],[Product]]&amp;Crops[[#This Row],[Unit]],Products[ID],Products[Clean (s)])*Crops[[#This Row],[Custom Yield Per Bed]]/3600</f>
        <v>0</v>
      </c>
      <c r="CZ4" s="37">
        <f>_xlfn.XLOOKUP(Crops[[#This Row],[Crop]]&amp;Crops[[#This Row],[Product]]&amp;Crops[[#This Row],[Unit]],Products[ID],Products[Rehandle (s)])*Crops[[#This Row],[Custom Yield Per Bed]]/3600</f>
        <v>0</v>
      </c>
      <c r="DA4" s="37">
        <f>_xlfn.XLOOKUP(Crops[[#This Row],[Crop]]&amp;Crops[[#This Row],[Product]]&amp;Crops[[#This Row],[Unit]],Products[ID],Products[Market Transport (s)])*Crops[[#This Row],[Custom Yield Per Bed]]/3600</f>
        <v>0.46875</v>
      </c>
      <c r="DC4" s="37">
        <f>Crops[[#This Row],[Direct Revenue Per Bed2]]</f>
        <v>900</v>
      </c>
      <c r="DD4" s="173">
        <f>_xlfn.AGGREGATE(9,6,Crops[[#This Row],[Bed Prep]:[Remove Crop Residue]])</f>
        <v>15.503869047619046</v>
      </c>
      <c r="DE4" s="173">
        <f>_xlfn.AGGREGATE(9,6,Crops[[#This Row],[Bed Prep]:[Remove Crop Residue]])-0.75*Crops[[#This Row],[Market &amp; Sell]]</f>
        <v>13.816369047619046</v>
      </c>
      <c r="DF4" s="36">
        <f>Crops[[#This Row],[Direct Revenue Per Bed2]]/Crops[[#This Row],[Direct Time]]</f>
        <v>58.050025915190147</v>
      </c>
      <c r="DG4" s="36">
        <f>_xlfn.XLOOKUP(Crops[[#This Row],[ProductIndex]],Products[ID],Products[Packaging Cost])*(Crops[[#This Row],[Custom Yield Per Bed]]/_xlfn.XLOOKUP(Crops[[#This Row],[ProductIndex]],Products[ID],Products[Units Per Pack]))</f>
        <v>28.5</v>
      </c>
      <c r="DH4" s="36"/>
      <c r="DI4" s="36"/>
      <c r="DJ4" s="36"/>
      <c r="DK4" s="36"/>
      <c r="DL4" s="36"/>
      <c r="DM4" s="33">
        <f>IFERROR(Crops[[#This Row],[Custom Yield Per Bed]]*Crops[[#This Row],[Direct Price]],"")</f>
        <v>900</v>
      </c>
      <c r="DN4" s="36">
        <f>Crops[[#This Row],[Direct Time]]*LaborRate</f>
        <v>387.59672619047615</v>
      </c>
      <c r="DO4" s="36">
        <f>SUM(Crops[[#This Row],[Irrigation Cost]])</f>
        <v>0</v>
      </c>
      <c r="DP4" s="36">
        <f>Crops[[#This Row],[Direct Labor Cost]]+Crops[[#This Row],[Direct Non-Labor Cost]]</f>
        <v>387.59672619047615</v>
      </c>
      <c r="DQ4" s="36">
        <f>Crops[[#This Row],[Direct Revenue Per Bed2]]-Crops[[#This Row],[Direct Total Cost]]</f>
        <v>512.40327380952385</v>
      </c>
      <c r="DR4" s="36">
        <f>Crops[[#This Row],[Direct Profit]]*BedsPerAcre</f>
        <v>81984.523809523816</v>
      </c>
      <c r="DS4" s="36">
        <f>Crops[[#This Row],[Direct Profit]]*BedsPerAcre*GrowingDays/Crops[[#This Row],[Days In Field]]</f>
        <v>118057.7142857143</v>
      </c>
      <c r="DT4" s="36">
        <f>Crops[[#This Row],[Direct Profit]]/MIN(Crops[[#This Row],[Days In Field]],GrowingDays)</f>
        <v>4.0992261904761911</v>
      </c>
      <c r="DU4" s="36">
        <f>Crops[[#This Row],[Direct Time]] * BedsPerAcre</f>
        <v>2480.6190476190473</v>
      </c>
      <c r="DV4" s="36">
        <f>(Crops[[#This Row],[Direct Revenue Per Bed2]]-Crops[[#This Row],[Direct Non-Labor Cost]])/Crops[[#This Row],[Direct Time]]</f>
        <v>58.050025915190147</v>
      </c>
      <c r="DW4" s="33">
        <f>IFERROR(Crops[[#This Row],[Custom Yield Per Bed]]*Crops[[#This Row],[Rough Wholesale Price]],"")</f>
        <v>540</v>
      </c>
      <c r="DX4" s="36">
        <f>Crops[[#This Row],[Wholesale Time]]*LaborRate</f>
        <v>345.40922619047615</v>
      </c>
      <c r="DY4" s="36">
        <f>SUM(Crops[[#This Row],[Packaging Costs]:[Irrigation Cost]])</f>
        <v>28.5</v>
      </c>
      <c r="DZ4" s="36">
        <f>Crops[[#This Row],[Wholesale Labor Cost]]+Crops[[#This Row],[Wholesale Non-Labor Cost]]</f>
        <v>373.90922619047615</v>
      </c>
      <c r="EA4" s="36">
        <f>Crops[[#This Row],[Wholesale Revenue Per Bed]]-Crops[[#This Row],[Wholesale Total Cost]]</f>
        <v>166.09077380952385</v>
      </c>
      <c r="EB4" s="36">
        <f>Crops[[#This Row],[Wholesale Profit]]*BedsPerAcre</f>
        <v>26574.523809523816</v>
      </c>
      <c r="EC4" s="36">
        <f>Crops[[#This Row],[Wholesale Profit]]*BedsPerAcre*GrowingDays/Crops[[#This Row],[Days In Field]]</f>
        <v>38267.314285714296</v>
      </c>
      <c r="ED4" s="36">
        <f>Crops[[#This Row],[Wholesale Time]] * BedsPerAcre</f>
        <v>2210.6190476190473</v>
      </c>
      <c r="EE4" s="36">
        <f>Crops[[#This Row],[Wholesale Profit]]/MIN(Crops[[#This Row],[Days In Field]],GrowingDays)</f>
        <v>1.3287261904761909</v>
      </c>
      <c r="EF4" s="36">
        <f>(Crops[[#This Row],[Wholesale Revenue Per Bed]]-Crops[[#This Row],[Wholesale Non-Labor Cost]])/Crops[[#This Row],[Direct Time]]</f>
        <v>32.9917647284664</v>
      </c>
      <c r="EG4" s="174">
        <f>Crops[[#This Row],[Packaging Costs]]/Crops[[#This Row],[Wholesale Revenue Per Bed]]</f>
        <v>5.2777777777777778E-2</v>
      </c>
      <c r="EH4" s="36" t="str">
        <f>Crops[[#This Row],[Crop]]&amp;Crops[[#This Row],[Product]]&amp;Crops[[#This Row],[Unit]]</f>
        <v>AmaranthMature LeafBunch</v>
      </c>
      <c r="EI4" s="36" t="b">
        <f>_xlfn.XLOOKUP(Crops[[#This Row],[ProductIndex]],Products[ID],Products[Target])</f>
        <v>1</v>
      </c>
      <c r="EJ4" s="36">
        <f>Crops[[#This Row],[Custom Yield Per Bed]]</f>
        <v>300</v>
      </c>
      <c r="EK4" s="36">
        <f>Crops[[#This Row],[Units Per Harvest]]/Crops[[#This Row],[Days Between Harvest]]*7</f>
        <v>50</v>
      </c>
      <c r="EL4" s="36" t="e">
        <f>Crops[[#This Row],[Custom Yield Per Bed]]/_xlfn.XLOOKUP(Crops[[#This Row],[ProductIndex]],Products[ID],Products[CSA Portion])</f>
        <v>#DIV/0!</v>
      </c>
      <c r="EM4" s="36" t="e">
        <f>Crops[[#This Row],[Units Per Harvest]]/Crops[[#This Row],[Days Between Harvest]]*7/_xlfn.XLOOKUP(Crops[[#This Row],[ProductIndex]],Products[ID],Products[CSA Portion])</f>
        <v>#DIV/0!</v>
      </c>
      <c r="EN4" s="36" t="e">
        <f>Crops[[#This Row],[CSA Portions Per Week]]/CSAMembers</f>
        <v>#DIV/0!</v>
      </c>
      <c r="EO4" s="36"/>
      <c r="EP4" s="36"/>
      <c r="EQ4" s="36"/>
      <c r="ER4" s="36">
        <f>Crops[[#This Row],[Harvests]]*Crops[[#This Row],[Days Between Harvest]]/7</f>
        <v>6</v>
      </c>
      <c r="ES4" s="208">
        <f>_xlfn.XLOOKUP(Crops[[#This Row],[ProductIndex]],Products[ID],Products[CSA Need])</f>
        <v>0</v>
      </c>
      <c r="ET4" s="208">
        <f>_xlfn.XLOOKUP(Crops[[#This Row],[ProductIndex]],Products[ID],Products[CSA Times])</f>
        <v>0</v>
      </c>
      <c r="EU4" s="208" t="e">
        <f>Crops[[#This Row],[Custom Yield Per Bed]]/(Crops[[#This Row],[CSA Need]]*(_xlfn.XLOOKUP(Crops[[#This Row],[ProductIndex]],Products[ID],Products[CSA Portion])*CSAMembers))</f>
        <v>#DIV/0!</v>
      </c>
      <c r="EV4" s="208">
        <f>_xlfn.XLOOKUP(Crops[[#This Row],[ProductIndex]],Products[ID],Products[CSA Portion])*CSAMembers*Crops[[#This Row],[CSA Need]]/Crops[[#This Row],[Custom Yield Per Bed]]</f>
        <v>0</v>
      </c>
      <c r="EW4" s="208">
        <f>IFERROR(Crops[[#This Row],[Days In Field]]*Crops[[#This Row],[CSA Beds]],"")</f>
        <v>0</v>
      </c>
      <c r="EX4" s="208" t="e">
        <f>Crops[[#This Row],[CSA Bed Days]]*#REF!</f>
        <v>#REF!</v>
      </c>
      <c r="EY4">
        <v>0</v>
      </c>
    </row>
    <row r="5" spans="1:156" ht="15" customHeight="1">
      <c r="A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Amaranth - Mature Stem 2X | Field TP </v>
      </c>
      <c r="B5" s="189"/>
      <c r="C5" s="1"/>
      <c r="D5" s="1"/>
      <c r="E5" s="1" t="b">
        <v>0</v>
      </c>
      <c r="F5" s="1" t="b">
        <f>IFERROR(IF(ISNUMBER(MATCH(Crops[[#This Row],[Identifier]],BedPlan[Crop], 0)), TRUE, FALSE), FALSE)</f>
        <v>0</v>
      </c>
      <c r="G5" s="1" t="b">
        <f>IFERROR(IF(ISNUMBER(MATCH(Crops[[#This Row],[Identifier]],BedPlan[Crop], 0)), TRUE, FALSE), FALSE)</f>
        <v>0</v>
      </c>
      <c r="H5" s="1"/>
      <c r="I5" t="s">
        <v>41</v>
      </c>
      <c r="J5" t="s">
        <v>145</v>
      </c>
      <c r="K5" t="s">
        <v>181</v>
      </c>
      <c r="M5" t="s">
        <v>406</v>
      </c>
      <c r="N5" t="str">
        <f>Crops[[#This Row],[Crop]]</f>
        <v>Amaranth</v>
      </c>
      <c r="O5" t="s">
        <v>210</v>
      </c>
      <c r="P5" t="str">
        <f>IF(OR(Crops[[#This Row],[Days in Cells]]="",Crops[[#This Row],[Days in Cells]]=0), "DS","TP")</f>
        <v>TP</v>
      </c>
      <c r="V5" t="str">
        <f xml:space="preserve"> IF(Crops[[#This Row],[Sp]], "Sp", "") &amp; IF(Crops[[#This Row],[Su]], "Su", "") &amp; IF(Crops[[#This Row],[Fa]], "Fa", "") &amp; IF(Crops[[#This Row],[Wi]], "Wi", "") &amp; IF(Crops[[#This Row],[OW]], "Ow","")</f>
        <v/>
      </c>
      <c r="W5" t="s">
        <v>144</v>
      </c>
      <c r="X5">
        <v>3</v>
      </c>
      <c r="Y5">
        <v>6</v>
      </c>
      <c r="Z5" t="s">
        <v>432</v>
      </c>
      <c r="AA5" t="s">
        <v>474</v>
      </c>
      <c r="AB5" t="b">
        <v>0</v>
      </c>
      <c r="AC5">
        <v>7</v>
      </c>
      <c r="AD5" s="32">
        <f>IFERROR(12/Crops[[#This Row],[Spacing]]*Crops[[#This Row],[Rows]]*BedLength,"")</f>
        <v>300</v>
      </c>
      <c r="AE5">
        <v>2</v>
      </c>
      <c r="AG5">
        <f>IF(Crops[[#This Row],[Custom Safety Factor]]="",PlantingSafetyFactor,Crops[[#This Row],[Custom Safety Factor]])</f>
        <v>1.3</v>
      </c>
      <c r="AH5">
        <f>1</f>
        <v>1</v>
      </c>
      <c r="AI5" s="33">
        <f>IFERROR(Crops[[#This Row],[Plantings Per Bed]]*Crops[[#This Row],[Seeds Per Planting]]*Crops[[#This Row],[Safety Factor]]*Crops[[#This Row],[Seeding Factor]],"")</f>
        <v>780</v>
      </c>
      <c r="AJ5">
        <v>7</v>
      </c>
      <c r="AK5">
        <v>10</v>
      </c>
      <c r="AL5">
        <f>_xlfn.FLOOR.MATH(IFERROR(AVERAGE(Crops[[#This Row],[DTG Lower]:[DTG Upper]]),0))</f>
        <v>8</v>
      </c>
      <c r="AM5">
        <f>SUM(Crops[[#This Row],[Tray 1 Days]],Crops[[#This Row],[Tray 2 Days]],Crops[[#This Row],[Tray 3 Days]])</f>
        <v>35</v>
      </c>
      <c r="AN5" s="32">
        <v>35</v>
      </c>
      <c r="AO5">
        <v>65</v>
      </c>
      <c r="AP5">
        <v>75</v>
      </c>
      <c r="AQ5">
        <f>IFERROR(_xlfn.FLOOR.MATH(AVERAGE(Crops[[#This Row],[DTM Lower]:[DTM Upper]])),"")</f>
        <v>70</v>
      </c>
      <c r="AR5" cm="1">
        <f t="array" ref="AR5">_xlfn.SWITCH(Crops[[#This Row],[Normal Method]],"DS",Crops[[#This Row],[Days to Germination]]+Crops[[#This Row],[DTM]] + IF(Crops[[#This Row],[Days in Cells]]&gt;0,15,0), "TP",Crops[[#This Row],[DTM]]+Crops[[#This Row],[Days in Cells]] + IF(Crops[[#This Row],[Days in Cells]]&lt;=0,20,0), "X", Crops[[#This Row],[DTM]])</f>
        <v>93</v>
      </c>
      <c r="AS5" t="s">
        <v>338</v>
      </c>
      <c r="AT5">
        <f>(Crops[[#This Row],[Harvests]]-1)*Crops[[#This Row],[Days Between Harvest]]+7</f>
        <v>56</v>
      </c>
      <c r="AU5">
        <f>Crops[[#This Row],[STH]]-Crops[[#This Row],[Days in Cells]]+Crops[[#This Row],[Harvest window]]</f>
        <v>114</v>
      </c>
      <c r="AX5">
        <v>128</v>
      </c>
      <c r="AY5">
        <v>35</v>
      </c>
      <c r="AZ5" s="49">
        <f>IFERROR(IF(Crops[[#This Row],[Tray 1 Days]]=0,"",Crops[[#This Row],[Plantings Per Bed]]/Crops[[#This Row],[Tray 1 Size]]*Crops[[#This Row],[Safety Factor]]),"")</f>
        <v>3.046875</v>
      </c>
      <c r="BC5" t="str">
        <f>IFERROR(IF(Crops[[#This Row],[Tray 2 Days]]=0,"",Crops[[#This Row],[Plantings Per Bed]]/Crops[[#This Row],[Tray 2 Size]]*Crops[[#This Row],[Safety Factor]]),"")</f>
        <v/>
      </c>
      <c r="BE5" s="32" t="str">
        <f>IF(NOT(ISBLANK(Crops[[#This Row],[Tray 3 Size]])), Crops[[#This Row],[Days in Cells Old]]-SUM(Crops[[#This Row],[Tray 1 Days]],Crops[[#This Row],[Tray 2 Days]]), "")</f>
        <v/>
      </c>
      <c r="BF5" s="49" t="str">
        <f>IFERROR(IF(Crops[[#This Row],[Tray 3 Days]]=0,"",Crops[[#This Row],[Plantings Per Bed]]/Crops[[#This Row],[Tray 3 Size]]*Crops[[#This Row],[Safety Factor]]),"")</f>
        <v/>
      </c>
      <c r="BG5" s="33">
        <f>Crops[[#This Row],[Plantings Per Bed]]*3/Crops[[#This Row],[Harvests]]</f>
        <v>112.5</v>
      </c>
      <c r="BH5" s="33">
        <v>8</v>
      </c>
      <c r="BI5" s="33">
        <v>7</v>
      </c>
      <c r="BJ5" s="33">
        <f>_xlfn.XLOOKUP(Crops[[#This Row],[ProductIndex]],Products[ID],Products[Holding Period])</f>
        <v>0</v>
      </c>
      <c r="BK5" s="33"/>
      <c r="BL5" s="33">
        <f>Crops[[#This Row],[Units Per Harvest]]*Crops[[#This Row],[Harvests]]</f>
        <v>900</v>
      </c>
      <c r="BM5" s="35">
        <v>1</v>
      </c>
      <c r="BN5" s="35">
        <f>Crops[[#This Row],[Direct Price]]*0.6</f>
        <v>0.6</v>
      </c>
      <c r="BO5" s="35"/>
      <c r="BP5" t="s">
        <v>213</v>
      </c>
      <c r="BQ5">
        <f>Crops[[#This Row],[Custom Yield Per Bed]]*Crops[[#This Row],[Direct Price]]</f>
        <v>900</v>
      </c>
      <c r="BR5" t="b">
        <v>0</v>
      </c>
      <c r="BS5" t="b">
        <f>Crops[[#This Row],[Harvests]]&gt;1</f>
        <v>1</v>
      </c>
      <c r="BT5" s="36">
        <f>IFERROR(Crops[[#This Row],[Direct Revenue Per Bed]]/Crops[[#This Row],[Days In Field]],-1)</f>
        <v>7.8947368421052628</v>
      </c>
      <c r="BU5" s="33">
        <f>IFERROR(Crops[[#This Row],[Direct Revenue Per Bed Day]]*GrowingDays*BedsPerAcre,"")</f>
        <v>227368.42105263157</v>
      </c>
      <c r="BV5" s="38">
        <f>LastFrostDate-5*Crops[[#This Row],[Sewing Rel Last Frost]]</f>
        <v>45728</v>
      </c>
      <c r="BW5" s="38">
        <f>Crops[[#This Row],[Target Sewing Date]]+Crops[[#This Row],[Days in Cells]]</f>
        <v>45763</v>
      </c>
      <c r="BX5" s="38">
        <f>Crops[[#This Row],[Target Sewing Date]]+Crops[[#This Row],[STH]]</f>
        <v>45821</v>
      </c>
      <c r="BY5" s="38">
        <f>Crops[[#This Row],[Target Harvest Data]]+Crops[[#This Row],[Harvest window]]</f>
        <v>45877</v>
      </c>
      <c r="BZ5">
        <v>4</v>
      </c>
      <c r="CB5">
        <f>1</f>
        <v>1</v>
      </c>
      <c r="CC5">
        <f>IF(Crops[[#This Row],[Transplanting]]&gt;0, 2, 3)*BedLength/StandardBedLength</f>
        <v>1</v>
      </c>
      <c r="CD5" s="173">
        <f>IF(Crops[[#This Row],[Days in Cells]]&lt;=0,0,Crops[[#This Row],[Plantings Per Bed]]/StartsPerHourSeeding+Crops[[#This Row],[Tray 1 Count]]*5/60)</f>
        <v>1.42578125</v>
      </c>
      <c r="CE5" s="173">
        <f>IF(ISBLANK(Crops[[#This Row],[Tray 2 Days]]),0,Crops[[#This Row],[Plantings Per Bed]]/UpPottingPerHour)+IF(Crops[[#This Row],[Tray 3 Days]]="",0,Crops[[#This Row],[Plantings Per Bed]]/UpPottingPerHour)</f>
        <v>0</v>
      </c>
      <c r="CF5" s="173">
        <f>IFERROR(Crops[[#This Row],[Tray 1 Count]]/HomeStartFlatIrrigationPerHour,0)*Crops[[#This Row],[Days in Cells]]/DaysBetweenStartIrrigation</f>
        <v>0.4443359375</v>
      </c>
      <c r="CG5" s="173">
        <f>0.5/16*MAX(Crops[[#This Row],[Tray 1 Count]],Crops[[#This Row],[Tray 2 Count]],Crops[[#This Row],[Tray 3 Count]])</f>
        <v>9.521484375E-2</v>
      </c>
      <c r="CH5" s="173">
        <f>IF(Crops[[#This Row],[Days in Cells]]&gt;0,IF(IF(Crops[[#This Row],[Tray 3 Size]]&gt;0,Crops[[#This Row],[Tray 3 Size]],IF(Crops[[#This Row],[Tray 2 Size]]&gt;0,Crops[[#This Row],[Tray 2 Size]],Crops[[#This Row],[Tray 1 Size]]))&lt;=18,LargeTransplantTime,SmallTransplantTime)*Crops[[#This Row],[Plantings Per Bed]],0)</f>
        <v>1.5</v>
      </c>
      <c r="CI5" s="173"/>
      <c r="CJ5" s="173">
        <f>_xlfn.XLOOKUP(Crops[[#This Row],[Trellis Type]],TrellisMethods[Trellis Type],TrellisMethods[Hours],0,0)</f>
        <v>0</v>
      </c>
      <c r="CK5">
        <f>IF(Crops[[#This Row],[Days in Cells]]&lt;=0,Crops[[#This Row],[Rows]]*1/10,0)*BedLength/50</f>
        <v>0</v>
      </c>
      <c r="CL5" cm="1">
        <f t="array" ref="CL5">_xlfn.SWITCH(Crops[[#This Row],[Irrigation]],"DR", 0.5, "OH", 0.25,0)*BedLength/50</f>
        <v>0.5</v>
      </c>
      <c r="CM5">
        <f>IF(OR(ISBLANK(Crops[[#This Row],[Row Cover]]),Crops[[#This Row],[Row Cover]]="None"),0,1)*BedLength/50</f>
        <v>0</v>
      </c>
      <c r="CN5" s="173">
        <f>HoursPerWeedingPass*Crops[[#This Row],[Days In Field]]/14*Crops[[#This Row],[Rows]]+1*BedLength/50</f>
        <v>5.0714285714285712</v>
      </c>
      <c r="CQ5" s="37">
        <f>_xlfn.XLOOKUP(Crops[[#This Row],[Crop]]&amp;Crops[[#This Row],[Product]]&amp;Crops[[#This Row],[Unit]],Products[ID],Products[Marketing (hr)])*Crops[[#This Row],[Direct Revenue Per Bed]]/2000</f>
        <v>2.7</v>
      </c>
      <c r="CR5" s="37">
        <f>_xlfn.XLOOKUP(Crops[[#This Row],[Crop]]&amp;Crops[[#This Row],[Product]]&amp;Crops[[#This Row],[Unit]],Products[ID],Products[Harvest (s)])*Crops[[#This Row],[Custom Yield Per Bed]]/3600</f>
        <v>1.25</v>
      </c>
      <c r="CS5" s="37">
        <f>_xlfn.XLOOKUP(Crops[[#This Row],[Crop]]&amp;Crops[[#This Row],[Product]]&amp;Crops[[#This Row],[Unit]],Products[ID],Products[Bunch (s)])*Crops[[#This Row],[Custom Yield Per Bed]]/3600</f>
        <v>0</v>
      </c>
      <c r="CT5" s="37">
        <f>_xlfn.XLOOKUP(Crops[[#This Row],[Crop]]&amp;Crops[[#This Row],[Product]]&amp;Crops[[#This Row],[Unit]],Products[ID],Products[Haul (s)])*Crops[[#This Row],[Custom Yield Per Bed]]/3600</f>
        <v>0.375</v>
      </c>
      <c r="CU5" s="37">
        <f>_xlfn.XLOOKUP(Crops[[#This Row],[Crop]]&amp;Crops[[#This Row],[Product]]&amp;Crops[[#This Row],[Unit]],Products[ID],Products[Wash (s)])*Crops[[#This Row],[Custom Yield Per Bed]]/3600</f>
        <v>0</v>
      </c>
      <c r="CV5" s="37">
        <f>_xlfn.XLOOKUP(Crops[[#This Row],[Crop]]&amp;Crops[[#This Row],[Product]]&amp;Crops[[#This Row],[Unit]],Products[ID],Products[Condition (s)])*Crops[[#This Row],[Custom Yield Per Bed]]/3600</f>
        <v>0</v>
      </c>
      <c r="CW5" s="37">
        <f>_xlfn.XLOOKUP(Crops[[#This Row],[Crop]]&amp;Crops[[#This Row],[Product]]&amp;Crops[[#This Row],[Unit]],Products[ID],Products[Trim (s)])*Crops[[#This Row],[Custom Yield Per Bed]]/3600</f>
        <v>0.5</v>
      </c>
      <c r="CX5" s="37">
        <f>_xlfn.XLOOKUP(Crops[[#This Row],[Crop]]&amp;Crops[[#This Row],[Product]]&amp;Crops[[#This Row],[Unit]],Products[ID],Products[Pack (s)])*Crops[[#This Row],[Custom Yield Per Bed]]/3600</f>
        <v>0.75</v>
      </c>
      <c r="CY5" s="37">
        <f>_xlfn.XLOOKUP(Crops[[#This Row],[Crop]]&amp;Crops[[#This Row],[Product]]&amp;Crops[[#This Row],[Unit]],Products[ID],Products[Clean (s)])*Crops[[#This Row],[Custom Yield Per Bed]]/3600</f>
        <v>0</v>
      </c>
      <c r="CZ5" s="37">
        <f>_xlfn.XLOOKUP(Crops[[#This Row],[Crop]]&amp;Crops[[#This Row],[Product]]&amp;Crops[[#This Row],[Unit]],Products[ID],Products[Rehandle (s)])*Crops[[#This Row],[Custom Yield Per Bed]]/3600</f>
        <v>0</v>
      </c>
      <c r="DA5" s="37">
        <f>_xlfn.XLOOKUP(Crops[[#This Row],[Crop]]&amp;Crops[[#This Row],[Product]]&amp;Crops[[#This Row],[Unit]],Products[ID],Products[Market Transport (s)])*Crops[[#This Row],[Custom Yield Per Bed]]/3600</f>
        <v>0.9375</v>
      </c>
      <c r="DC5" s="37">
        <f>Crops[[#This Row],[Direct Revenue Per Bed2]]</f>
        <v>900</v>
      </c>
      <c r="DD5" s="173">
        <f>_xlfn.AGGREGATE(9,6,Crops[[#This Row],[Bed Prep]:[Remove Crop Residue]])</f>
        <v>16.549260602678572</v>
      </c>
      <c r="DE5" s="173">
        <f>_xlfn.AGGREGATE(9,6,Crops[[#This Row],[Bed Prep]:[Remove Crop Residue]])-0.75*Crops[[#This Row],[Market &amp; Sell]]</f>
        <v>14.524260602678572</v>
      </c>
      <c r="DF5" s="36">
        <f>Crops[[#This Row],[Direct Revenue Per Bed2]]/Crops[[#This Row],[Direct Time]]</f>
        <v>54.383094302976346</v>
      </c>
      <c r="DG5" s="36">
        <f>_xlfn.XLOOKUP(Crops[[#This Row],[ProductIndex]],Products[ID],Products[Packaging Cost])*(Crops[[#This Row],[Custom Yield Per Bed]]/_xlfn.XLOOKUP(Crops[[#This Row],[ProductIndex]],Products[ID],Products[Units Per Pack]))</f>
        <v>60</v>
      </c>
      <c r="DH5" s="36"/>
      <c r="DI5" s="36"/>
      <c r="DJ5" s="36"/>
      <c r="DK5" s="36"/>
      <c r="DL5" s="36"/>
      <c r="DM5" s="33">
        <f>IFERROR(Crops[[#This Row],[Custom Yield Per Bed]]*Crops[[#This Row],[Direct Price]],"")</f>
        <v>900</v>
      </c>
      <c r="DN5" s="36">
        <f>Crops[[#This Row],[Direct Time]]*LaborRate</f>
        <v>413.73151506696433</v>
      </c>
      <c r="DO5" s="36">
        <f>SUM(Crops[[#This Row],[Irrigation Cost]])</f>
        <v>0</v>
      </c>
      <c r="DP5" s="36">
        <f>Crops[[#This Row],[Direct Labor Cost]]+Crops[[#This Row],[Direct Non-Labor Cost]]</f>
        <v>413.73151506696433</v>
      </c>
      <c r="DQ5" s="36">
        <f>Crops[[#This Row],[Direct Revenue Per Bed2]]-Crops[[#This Row],[Direct Total Cost]]</f>
        <v>486.26848493303567</v>
      </c>
      <c r="DR5" s="36">
        <f>Crops[[#This Row],[Direct Profit]]*BedsPerAcre</f>
        <v>77802.95758928571</v>
      </c>
      <c r="DS5" s="36">
        <f>Crops[[#This Row],[Direct Profit]]*BedsPerAcre*GrowingDays/Crops[[#This Row],[Days In Field]]</f>
        <v>122846.77514097744</v>
      </c>
      <c r="DT5" s="36">
        <f>Crops[[#This Row],[Direct Profit]]/MIN(Crops[[#This Row],[Days In Field]],GrowingDays)</f>
        <v>4.2655130257283833</v>
      </c>
      <c r="DU5" s="36">
        <f>Crops[[#This Row],[Direct Time]] * BedsPerAcre</f>
        <v>2647.8816964285716</v>
      </c>
      <c r="DV5" s="36">
        <f>(Crops[[#This Row],[Direct Revenue Per Bed2]]-Crops[[#This Row],[Direct Non-Labor Cost]])/Crops[[#This Row],[Direct Time]]</f>
        <v>54.383094302976346</v>
      </c>
      <c r="DW5" s="33">
        <f>IFERROR(Crops[[#This Row],[Custom Yield Per Bed]]*Crops[[#This Row],[Rough Wholesale Price]],"")</f>
        <v>540</v>
      </c>
      <c r="DX5" s="36">
        <f>Crops[[#This Row],[Wholesale Time]]*LaborRate</f>
        <v>363.10651506696428</v>
      </c>
      <c r="DY5" s="36">
        <f>SUM(Crops[[#This Row],[Packaging Costs]:[Irrigation Cost]])</f>
        <v>60</v>
      </c>
      <c r="DZ5" s="36">
        <f>Crops[[#This Row],[Wholesale Labor Cost]]+Crops[[#This Row],[Wholesale Non-Labor Cost]]</f>
        <v>423.10651506696428</v>
      </c>
      <c r="EA5" s="36">
        <f>Crops[[#This Row],[Wholesale Revenue Per Bed]]-Crops[[#This Row],[Wholesale Total Cost]]</f>
        <v>116.89348493303572</v>
      </c>
      <c r="EB5" s="36">
        <f>Crops[[#This Row],[Wholesale Profit]]*BedsPerAcre</f>
        <v>18702.957589285717</v>
      </c>
      <c r="EC5" s="36">
        <f>Crops[[#This Row],[Wholesale Profit]]*BedsPerAcre*GrowingDays/Crops[[#This Row],[Days In Field]]</f>
        <v>29530.985667293236</v>
      </c>
      <c r="ED5" s="36">
        <f>Crops[[#This Row],[Wholesale Time]] * BedsPerAcre</f>
        <v>2323.8816964285716</v>
      </c>
      <c r="EE5" s="36">
        <f>Crops[[#This Row],[Wholesale Profit]]/MIN(Crops[[#This Row],[Days In Field]],GrowingDays)</f>
        <v>1.0253814467810152</v>
      </c>
      <c r="EF5" s="36">
        <f>(Crops[[#This Row],[Wholesale Revenue Per Bed]]-Crops[[#This Row],[Wholesale Non-Labor Cost]])/Crops[[#This Row],[Direct Time]]</f>
        <v>29.004316961587385</v>
      </c>
      <c r="EG5" s="174">
        <f>Crops[[#This Row],[Packaging Costs]]/Crops[[#This Row],[Wholesale Revenue Per Bed]]</f>
        <v>0.1111111111111111</v>
      </c>
      <c r="EH5" s="36" t="str">
        <f>Crops[[#This Row],[Crop]]&amp;Crops[[#This Row],[Product]]&amp;Crops[[#This Row],[Unit]]</f>
        <v>AmaranthMature StemStem</v>
      </c>
      <c r="EI5" s="36" t="b">
        <f>_xlfn.XLOOKUP(Crops[[#This Row],[ProductIndex]],Products[ID],Products[Target])</f>
        <v>1</v>
      </c>
      <c r="EJ5" s="36">
        <f>Crops[[#This Row],[Custom Yield Per Bed]]</f>
        <v>900</v>
      </c>
      <c r="EK5" s="36">
        <f>Crops[[#This Row],[Units Per Harvest]]/Crops[[#This Row],[Days Between Harvest]]*7</f>
        <v>112.50000000000001</v>
      </c>
      <c r="EL5" s="36" t="e">
        <f>Crops[[#This Row],[Custom Yield Per Bed]]/_xlfn.XLOOKUP(Crops[[#This Row],[ProductIndex]],Products[ID],Products[CSA Portion])</f>
        <v>#DIV/0!</v>
      </c>
      <c r="EM5" s="36" t="e">
        <f>Crops[[#This Row],[Units Per Harvest]]/Crops[[#This Row],[Days Between Harvest]]*7/_xlfn.XLOOKUP(Crops[[#This Row],[ProductIndex]],Products[ID],Products[CSA Portion])</f>
        <v>#DIV/0!</v>
      </c>
      <c r="EN5" s="36" t="e">
        <f>Crops[[#This Row],[CSA Portions Per Week]]/CSAMembers</f>
        <v>#DIV/0!</v>
      </c>
      <c r="EO5" s="36"/>
      <c r="EP5" s="36"/>
      <c r="EQ5" s="36"/>
      <c r="ER5" s="36">
        <f>Crops[[#This Row],[Harvests]]*Crops[[#This Row],[Days Between Harvest]]/7</f>
        <v>8</v>
      </c>
      <c r="ES5" s="208">
        <f>_xlfn.XLOOKUP(Crops[[#This Row],[ProductIndex]],Products[ID],Products[CSA Need])</f>
        <v>0</v>
      </c>
      <c r="ET5" s="208">
        <f>_xlfn.XLOOKUP(Crops[[#This Row],[ProductIndex]],Products[ID],Products[CSA Times])</f>
        <v>0</v>
      </c>
      <c r="EU5" s="208" t="e">
        <f>Crops[[#This Row],[Custom Yield Per Bed]]/(Crops[[#This Row],[CSA Need]]*(_xlfn.XLOOKUP(Crops[[#This Row],[ProductIndex]],Products[ID],Products[CSA Portion])*CSAMembers))</f>
        <v>#DIV/0!</v>
      </c>
      <c r="EV5" s="208">
        <f>_xlfn.XLOOKUP(Crops[[#This Row],[ProductIndex]],Products[ID],Products[CSA Portion])*CSAMembers*Crops[[#This Row],[CSA Need]]/Crops[[#This Row],[Custom Yield Per Bed]]</f>
        <v>0</v>
      </c>
      <c r="EW5" s="208">
        <f>IFERROR(Crops[[#This Row],[Days In Field]]*Crops[[#This Row],[CSA Beds]],"")</f>
        <v>0</v>
      </c>
      <c r="EX5" s="208" t="e">
        <f>Crops[[#This Row],[CSA Bed Days]]*#REF!</f>
        <v>#REF!</v>
      </c>
      <c r="EY5" t="s">
        <v>272</v>
      </c>
    </row>
    <row r="6" spans="1:156" ht="15" customHeight="1">
      <c r="A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Anise Hysopp - Mature Stem 2X | Field TP Su</v>
      </c>
      <c r="C6" s="1" t="b">
        <v>0</v>
      </c>
      <c r="D6" s="1"/>
      <c r="E6" s="1" t="b">
        <v>0</v>
      </c>
      <c r="F6" s="1" t="b">
        <f>IFERROR(IF(ISNUMBER(MATCH(Crops[[#This Row],[Identifier]],BedPlan[Crop], 0)), TRUE, FALSE), FALSE)</f>
        <v>0</v>
      </c>
      <c r="G6" s="1" t="b">
        <f>IFERROR(IF(ISNUMBER(MATCH(Crops[[#This Row],[Identifier]],BedPlan[Crop], 0)), TRUE, FALSE), FALSE)</f>
        <v>0</v>
      </c>
      <c r="H6" s="1"/>
      <c r="I6" t="s">
        <v>2297</v>
      </c>
      <c r="J6" t="s">
        <v>145</v>
      </c>
      <c r="K6" t="s">
        <v>181</v>
      </c>
      <c r="M6" t="s">
        <v>442</v>
      </c>
      <c r="N6" t="str">
        <f>Crops[[#This Row],[Crop]]</f>
        <v>Anise Hysopp</v>
      </c>
      <c r="O6" t="s">
        <v>210</v>
      </c>
      <c r="P6" t="str">
        <f>IF(OR(Crops[[#This Row],[Days in Cells]]="",Crops[[#This Row],[Days in Cells]]=0), "DS","TP")</f>
        <v>TP</v>
      </c>
      <c r="R6" t="b">
        <v>1</v>
      </c>
      <c r="V6" t="str">
        <f xml:space="preserve"> IF(Crops[[#This Row],[Sp]], "Sp", "") &amp; IF(Crops[[#This Row],[Su]], "Su", "") &amp; IF(Crops[[#This Row],[Fa]], "Fa", "") &amp; IF(Crops[[#This Row],[Wi]], "Wi", "") &amp; IF(Crops[[#This Row],[OW]], "Ow","")</f>
        <v>Su</v>
      </c>
      <c r="X6">
        <v>2</v>
      </c>
      <c r="Y6">
        <v>9</v>
      </c>
      <c r="AC6">
        <v>3</v>
      </c>
      <c r="AD6" s="32">
        <f>IFERROR(12/Crops[[#This Row],[Spacing]]*Crops[[#This Row],[Rows]]*BedLength,"")</f>
        <v>133.33333333333331</v>
      </c>
      <c r="AE6">
        <v>2</v>
      </c>
      <c r="AG6">
        <f>IF(Crops[[#This Row],[Custom Safety Factor]]="",PlantingSafetyFactor,Crops[[#This Row],[Custom Safety Factor]])</f>
        <v>1.3</v>
      </c>
      <c r="AH6">
        <f>1</f>
        <v>1</v>
      </c>
      <c r="AI6" s="37">
        <f>IFERROR(Crops[[#This Row],[Plantings Per Bed]]*Crops[[#This Row],[Seeds Per Planting]]*Crops[[#This Row],[Safety Factor]]*Crops[[#This Row],[Seeding Factor]],"")</f>
        <v>346.66666666666663</v>
      </c>
      <c r="AJ6">
        <v>7</v>
      </c>
      <c r="AK6">
        <v>16</v>
      </c>
      <c r="AL6">
        <f>_xlfn.FLOOR.MATH(IFERROR(AVERAGE(Crops[[#This Row],[DTG Lower]:[DTG Upper]]),0))</f>
        <v>11</v>
      </c>
      <c r="AM6">
        <f>SUM(Crops[[#This Row],[Tray 1 Days]],Crops[[#This Row],[Tray 2 Days]],Crops[[#This Row],[Tray 3 Days]])</f>
        <v>45</v>
      </c>
      <c r="AO6">
        <v>75</v>
      </c>
      <c r="AP6">
        <v>80</v>
      </c>
      <c r="AQ6">
        <f>IFERROR(_xlfn.FLOOR.MATH(AVERAGE(Crops[[#This Row],[DTM Lower]:[DTM Upper]])),"")</f>
        <v>77</v>
      </c>
      <c r="AR6" cm="1">
        <f t="array" ref="AR6">_xlfn.SWITCH(Crops[[#This Row],[Normal Method]],"DS",Crops[[#This Row],[Days to Germination]]+Crops[[#This Row],[DTM]] + IF(Crops[[#This Row],[Days in Cells]]&gt;0,15,0), "TP",Crops[[#This Row],[DTM]]+Crops[[#This Row],[Days in Cells]] + IF(Crops[[#This Row],[Days in Cells]]&lt;=0,20,0), "X", Crops[[#This Row],[DTM]])</f>
        <v>122</v>
      </c>
      <c r="AS6" t="s">
        <v>346</v>
      </c>
      <c r="AT6">
        <f>(Crops[[#This Row],[Harvests]]-1)*Crops[[#This Row],[Days Between Harvest]]+7</f>
        <v>91</v>
      </c>
      <c r="AU6">
        <f>Crops[[#This Row],[STH]]-Crops[[#This Row],[Days in Cells]]+Crops[[#This Row],[Harvest window]]</f>
        <v>168</v>
      </c>
      <c r="AX6">
        <v>72</v>
      </c>
      <c r="AY6">
        <v>45</v>
      </c>
      <c r="AZ6">
        <f>IFERROR(IF(Crops[[#This Row],[Tray 1 Days]]=0,"",Crops[[#This Row],[Plantings Per Bed]]/Crops[[#This Row],[Tray 1 Size]]*Crops[[#This Row],[Safety Factor]]),"")</f>
        <v>2.407407407407407</v>
      </c>
      <c r="BC6" t="str">
        <f>IFERROR(IF(Crops[[#This Row],[Tray 2 Days]]=0,"",Crops[[#This Row],[Plantings Per Bed]]/Crops[[#This Row],[Tray 2 Size]]*Crops[[#This Row],[Safety Factor]]),"")</f>
        <v/>
      </c>
      <c r="BE6" s="32" t="str">
        <f>IF(NOT(ISBLANK(Crops[[#This Row],[Tray 3 Size]])), Crops[[#This Row],[Days in Cells Old]]-SUM(Crops[[#This Row],[Tray 1 Days]],Crops[[#This Row],[Tray 2 Days]]), "")</f>
        <v/>
      </c>
      <c r="BF6" t="str">
        <f>IFERROR(IF(Crops[[#This Row],[Tray 3 Days]]=0,"",Crops[[#This Row],[Plantings Per Bed]]/Crops[[#This Row],[Tray 3 Size]]*Crops[[#This Row],[Safety Factor]]),"")</f>
        <v/>
      </c>
      <c r="BG6" s="33">
        <f>Crops[[#This Row],[Plantings Per Bed]]</f>
        <v>133.33333333333331</v>
      </c>
      <c r="BH6">
        <v>7</v>
      </c>
      <c r="BI6">
        <v>14</v>
      </c>
      <c r="BJ6" s="37" t="e">
        <f>_xlfn.XLOOKUP(Crops[[#This Row],[ProductIndex]],Products[ID],Products[Holding Period])</f>
        <v>#N/A</v>
      </c>
      <c r="BK6" s="33"/>
      <c r="BL6" s="32">
        <f>Crops[[#This Row],[Units Per Harvest]]*Crops[[#This Row],[Harvests]]</f>
        <v>933.33333333333326</v>
      </c>
      <c r="BM6" s="35">
        <v>2.5</v>
      </c>
      <c r="BN6" s="35">
        <f>Crops[[#This Row],[Direct Price]]*0.6</f>
        <v>1.5</v>
      </c>
      <c r="BO6" s="35"/>
      <c r="BP6" t="s">
        <v>215</v>
      </c>
      <c r="BQ6">
        <f>Crops[[#This Row],[Custom Yield Per Bed]]*Crops[[#This Row],[Direct Price]]</f>
        <v>2333.333333333333</v>
      </c>
      <c r="BR6" t="b">
        <v>0</v>
      </c>
      <c r="BS6" t="b">
        <f>Crops[[#This Row],[Harvests]]&gt;1</f>
        <v>1</v>
      </c>
      <c r="BT6" s="36">
        <f>IFERROR(Crops[[#This Row],[Direct Revenue Per Bed]]/Crops[[#This Row],[Days In Field]],-1)</f>
        <v>13.888888888888888</v>
      </c>
      <c r="BU6" s="33">
        <f>IFERROR(Crops[[#This Row],[Direct Revenue Per Bed Day]]*GrowingDays*BedsPerAcre,"")</f>
        <v>399999.99999999994</v>
      </c>
      <c r="BV6" s="38">
        <f>LastFrostDate-5*Crops[[#This Row],[Sewing Rel Last Frost]]</f>
        <v>45738</v>
      </c>
      <c r="BW6" s="38">
        <f>Crops[[#This Row],[Target Sewing Date]]+Crops[[#This Row],[Days in Cells]]</f>
        <v>45783</v>
      </c>
      <c r="BX6" s="38">
        <f>Crops[[#This Row],[Target Sewing Date]]+Crops[[#This Row],[STH]]</f>
        <v>45860</v>
      </c>
      <c r="BY6" s="38">
        <f>Crops[[#This Row],[Target Harvest Data]]+Crops[[#This Row],[Harvest window]]</f>
        <v>45951</v>
      </c>
      <c r="BZ6">
        <v>2</v>
      </c>
      <c r="CB6">
        <f>1</f>
        <v>1</v>
      </c>
      <c r="CC6">
        <f>IF(Crops[[#This Row],[Transplanting]]&gt;0, 2, 3)*BedLength/StandardBedLength</f>
        <v>1</v>
      </c>
      <c r="CD6" s="173">
        <f>IF(Crops[[#This Row],[Days in Cells]]&lt;=0,0,Crops[[#This Row],[Plantings Per Bed]]/StartsPerHourSeeding+Crops[[#This Row],[Tray 1 Count]]*5/60)</f>
        <v>0.72145061728395055</v>
      </c>
      <c r="CE6" s="173">
        <f>IF(ISBLANK(Crops[[#This Row],[Tray 2 Days]]),0,Crops[[#This Row],[Plantings Per Bed]]/UpPottingPerHour)+IF(Crops[[#This Row],[Tray 3 Days]]="",0,Crops[[#This Row],[Plantings Per Bed]]/UpPottingPerHour)</f>
        <v>0</v>
      </c>
      <c r="CF6" s="173">
        <f>IFERROR(Crops[[#This Row],[Tray 1 Count]]/HomeStartFlatIrrigationPerHour,0)*Crops[[#This Row],[Days in Cells]]/DaysBetweenStartIrrigation</f>
        <v>0.45138888888888878</v>
      </c>
      <c r="CG6" s="173">
        <f>0.5/16*MAX(Crops[[#This Row],[Tray 1 Count]],Crops[[#This Row],[Tray 2 Count]],Crops[[#This Row],[Tray 3 Count]])</f>
        <v>7.5231481481481469E-2</v>
      </c>
      <c r="CH6" s="173">
        <f>IF(Crops[[#This Row],[Days in Cells]]&gt;0,IF(IF(Crops[[#This Row],[Tray 3 Size]]&gt;0,Crops[[#This Row],[Tray 3 Size]],IF(Crops[[#This Row],[Tray 2 Size]]&gt;0,Crops[[#This Row],[Tray 2 Size]],Crops[[#This Row],[Tray 1 Size]]))&lt;=18,LargeTransplantTime,SmallTransplantTime)*Crops[[#This Row],[Plantings Per Bed]],0)</f>
        <v>0.66666666666666663</v>
      </c>
      <c r="CI6" s="173"/>
      <c r="CJ6" s="173">
        <f>_xlfn.XLOOKUP(Crops[[#This Row],[Trellis Type]],TrellisMethods[Trellis Type],TrellisMethods[Hours],0,0)</f>
        <v>0</v>
      </c>
      <c r="CK6">
        <f>IF(Crops[[#This Row],[Days in Cells]]&lt;=0,Crops[[#This Row],[Rows]]*1/10,0)*BedLength/50</f>
        <v>0</v>
      </c>
      <c r="CL6" cm="1">
        <f t="array" ref="CL6">_xlfn.SWITCH(Crops[[#This Row],[Irrigation]],"DR", 0.5, "OH", 0.25,0)*BedLength/50</f>
        <v>0</v>
      </c>
      <c r="CM6">
        <f>IF(OR(ISBLANK(Crops[[#This Row],[Row Cover]]),Crops[[#This Row],[Row Cover]]="None"),0,1)*BedLength/50</f>
        <v>0</v>
      </c>
      <c r="CN6" s="173">
        <f>HoursPerWeedingPass*Crops[[#This Row],[Days In Field]]/14*Crops[[#This Row],[Rows]]+1*BedLength/50</f>
        <v>5</v>
      </c>
      <c r="CQ6" s="37" t="e">
        <f>_xlfn.XLOOKUP(Crops[[#This Row],[Crop]]&amp;Crops[[#This Row],[Product]]&amp;Crops[[#This Row],[Unit]],Products[ID],Products[Marketing (hr)])*Crops[[#This Row],[Direct Revenue Per Bed]]/2000</f>
        <v>#N/A</v>
      </c>
      <c r="CR6" s="37" t="e">
        <f>_xlfn.XLOOKUP(Crops[[#This Row],[Crop]]&amp;Crops[[#This Row],[Product]]&amp;Crops[[#This Row],[Unit]],Products[ID],Products[Harvest (s)])*Crops[[#This Row],[Custom Yield Per Bed]]/3600</f>
        <v>#N/A</v>
      </c>
      <c r="CS6" s="37" t="e">
        <f>_xlfn.XLOOKUP(Crops[[#This Row],[Crop]]&amp;Crops[[#This Row],[Product]]&amp;Crops[[#This Row],[Unit]],Products[ID],Products[Bunch (s)])*Crops[[#This Row],[Custom Yield Per Bed]]/3600</f>
        <v>#N/A</v>
      </c>
      <c r="CT6" s="37" t="e">
        <f>_xlfn.XLOOKUP(Crops[[#This Row],[Crop]]&amp;Crops[[#This Row],[Product]]&amp;Crops[[#This Row],[Unit]],Products[ID],Products[Haul (s)])*Crops[[#This Row],[Custom Yield Per Bed]]/3600</f>
        <v>#N/A</v>
      </c>
      <c r="CU6" s="37" t="e">
        <f>_xlfn.XLOOKUP(Crops[[#This Row],[Crop]]&amp;Crops[[#This Row],[Product]]&amp;Crops[[#This Row],[Unit]],Products[ID],Products[Wash (s)])*Crops[[#This Row],[Custom Yield Per Bed]]/3600</f>
        <v>#N/A</v>
      </c>
      <c r="CV6" s="37" t="e">
        <f>_xlfn.XLOOKUP(Crops[[#This Row],[Crop]]&amp;Crops[[#This Row],[Product]]&amp;Crops[[#This Row],[Unit]],Products[ID],Products[Condition (s)])*Crops[[#This Row],[Custom Yield Per Bed]]/3600</f>
        <v>#N/A</v>
      </c>
      <c r="CW6" s="37" t="e">
        <f>_xlfn.XLOOKUP(Crops[[#This Row],[Crop]]&amp;Crops[[#This Row],[Product]]&amp;Crops[[#This Row],[Unit]],Products[ID],Products[Trim (s)])*Crops[[#This Row],[Custom Yield Per Bed]]/3600</f>
        <v>#N/A</v>
      </c>
      <c r="CX6" s="37" t="e">
        <f>_xlfn.XLOOKUP(Crops[[#This Row],[Crop]]&amp;Crops[[#This Row],[Product]]&amp;Crops[[#This Row],[Unit]],Products[ID],Products[Pack (s)])*Crops[[#This Row],[Custom Yield Per Bed]]/3600</f>
        <v>#N/A</v>
      </c>
      <c r="CY6" s="37" t="e">
        <f>_xlfn.XLOOKUP(Crops[[#This Row],[Crop]]&amp;Crops[[#This Row],[Product]]&amp;Crops[[#This Row],[Unit]],Products[ID],Products[Clean (s)])*Crops[[#This Row],[Custom Yield Per Bed]]/3600</f>
        <v>#N/A</v>
      </c>
      <c r="CZ6" s="37" t="e">
        <f>_xlfn.XLOOKUP(Crops[[#This Row],[Crop]]&amp;Crops[[#This Row],[Product]]&amp;Crops[[#This Row],[Unit]],Products[ID],Products[Rehandle (s)])*Crops[[#This Row],[Custom Yield Per Bed]]/3600</f>
        <v>#N/A</v>
      </c>
      <c r="DA6" s="37" t="e">
        <f>_xlfn.XLOOKUP(Crops[[#This Row],[Crop]]&amp;Crops[[#This Row],[Product]]&amp;Crops[[#This Row],[Unit]],Products[ID],Products[Market Transport (s)])*Crops[[#This Row],[Custom Yield Per Bed]]/3600</f>
        <v>#N/A</v>
      </c>
      <c r="DC6" s="37">
        <f>Crops[[#This Row],[Direct Revenue Per Bed2]]</f>
        <v>2333.333333333333</v>
      </c>
      <c r="DD6" s="173">
        <f>_xlfn.AGGREGATE(9,6,Crops[[#This Row],[Bed Prep]:[Remove Crop Residue]])</f>
        <v>7.9147376543209873</v>
      </c>
      <c r="DE6" s="173" t="e">
        <f>_xlfn.AGGREGATE(9,6,Crops[[#This Row],[Bed Prep]:[Remove Crop Residue]])-0.75*Crops[[#This Row],[Market &amp; Sell]]</f>
        <v>#N/A</v>
      </c>
      <c r="DF6" s="36">
        <f>Crops[[#This Row],[Direct Revenue Per Bed2]]/Crops[[#This Row],[Direct Time]]</f>
        <v>294.80867657811353</v>
      </c>
      <c r="DG6" s="36" t="e">
        <f>_xlfn.XLOOKUP(Crops[[#This Row],[ProductIndex]],Products[ID],Products[Packaging Cost])*(Crops[[#This Row],[Custom Yield Per Bed]]/_xlfn.XLOOKUP(Crops[[#This Row],[ProductIndex]],Products[ID],Products[Units Per Pack]))</f>
        <v>#N/A</v>
      </c>
      <c r="DH6" s="36"/>
      <c r="DI6" s="36"/>
      <c r="DJ6" s="36"/>
      <c r="DK6" s="36"/>
      <c r="DL6" s="36"/>
      <c r="DM6" s="37">
        <f>IFERROR(Crops[[#This Row],[Custom Yield Per Bed]]*Crops[[#This Row],[Direct Price]],"")</f>
        <v>2333.333333333333</v>
      </c>
      <c r="DN6" s="36">
        <f>Crops[[#This Row],[Direct Time]]*LaborRate</f>
        <v>197.86844135802468</v>
      </c>
      <c r="DO6" s="36">
        <f>SUM(Crops[[#This Row],[Irrigation Cost]])</f>
        <v>0</v>
      </c>
      <c r="DP6" s="36">
        <f>Crops[[#This Row],[Direct Labor Cost]]+Crops[[#This Row],[Direct Non-Labor Cost]]</f>
        <v>197.86844135802468</v>
      </c>
      <c r="DQ6" s="36">
        <f>Crops[[#This Row],[Direct Revenue Per Bed2]]-Crops[[#This Row],[Direct Total Cost]]</f>
        <v>2135.4648919753085</v>
      </c>
      <c r="DR6" s="36">
        <f>Crops[[#This Row],[Direct Profit]]*BedsPerAcre</f>
        <v>341674.38271604938</v>
      </c>
      <c r="DS6" s="36">
        <f>Crops[[#This Row],[Direct Profit]]*BedsPerAcre*GrowingDays/Crops[[#This Row],[Days In Field]]</f>
        <v>366079.69576719578</v>
      </c>
      <c r="DT6" s="36">
        <f>Crops[[#This Row],[Direct Profit]]/MIN(Crops[[#This Row],[Days In Field]],GrowingDays)</f>
        <v>12.711100547472075</v>
      </c>
      <c r="DU6" s="36">
        <f>Crops[[#This Row],[Direct Time]] * BedsPerAcre</f>
        <v>1266.358024691358</v>
      </c>
      <c r="DV6" s="36">
        <f>(Crops[[#This Row],[Direct Revenue Per Bed2]]-Crops[[#This Row],[Direct Non-Labor Cost]])/Crops[[#This Row],[Direct Time]]</f>
        <v>294.80867657811353</v>
      </c>
      <c r="DW6" s="37">
        <f>IFERROR(Crops[[#This Row],[Custom Yield Per Bed]]*Crops[[#This Row],[Rough Wholesale Price]],"")</f>
        <v>1400</v>
      </c>
      <c r="DX6" s="36" t="e">
        <f>Crops[[#This Row],[Wholesale Time]]*LaborRate</f>
        <v>#N/A</v>
      </c>
      <c r="DY6" s="36" t="e">
        <f>SUM(Crops[[#This Row],[Packaging Costs]:[Irrigation Cost]])</f>
        <v>#N/A</v>
      </c>
      <c r="DZ6" s="36" t="e">
        <f>Crops[[#This Row],[Wholesale Labor Cost]]+Crops[[#This Row],[Wholesale Non-Labor Cost]]</f>
        <v>#N/A</v>
      </c>
      <c r="EA6" s="36" t="e">
        <f>Crops[[#This Row],[Wholesale Revenue Per Bed]]-Crops[[#This Row],[Wholesale Total Cost]]</f>
        <v>#N/A</v>
      </c>
      <c r="EB6" s="36" t="e">
        <f>Crops[[#This Row],[Wholesale Profit]]*BedsPerAcre</f>
        <v>#N/A</v>
      </c>
      <c r="EC6" s="36" t="e">
        <f>Crops[[#This Row],[Wholesale Profit]]*BedsPerAcre*GrowingDays/Crops[[#This Row],[Days In Field]]</f>
        <v>#N/A</v>
      </c>
      <c r="ED6" s="36" t="e">
        <f>Crops[[#This Row],[Wholesale Time]] * BedsPerAcre</f>
        <v>#N/A</v>
      </c>
      <c r="EE6" s="36" t="e">
        <f>Crops[[#This Row],[Wholesale Profit]]/MIN(Crops[[#This Row],[Days In Field]],GrowingDays)</f>
        <v>#N/A</v>
      </c>
      <c r="EF6" s="36" t="e">
        <f>(Crops[[#This Row],[Wholesale Revenue Per Bed]]-Crops[[#This Row],[Wholesale Non-Labor Cost]])/Crops[[#This Row],[Direct Time]]</f>
        <v>#N/A</v>
      </c>
      <c r="EG6" s="174" t="e">
        <f>Crops[[#This Row],[Packaging Costs]]/Crops[[#This Row],[Wholesale Revenue Per Bed]]</f>
        <v>#N/A</v>
      </c>
      <c r="EH6" s="36" t="str">
        <f>Crops[[#This Row],[Crop]]&amp;Crops[[#This Row],[Product]]&amp;Crops[[#This Row],[Unit]]</f>
        <v>Anise HysoppMature StemBunch</v>
      </c>
      <c r="EI6" s="36" t="e">
        <f>_xlfn.XLOOKUP(Crops[[#This Row],[ProductIndex]],Products[ID],Products[Target])</f>
        <v>#N/A</v>
      </c>
      <c r="EJ6" s="36">
        <f>Crops[[#This Row],[Custom Yield Per Bed]]</f>
        <v>933.33333333333326</v>
      </c>
      <c r="EK6" s="36">
        <f>Crops[[#This Row],[Units Per Harvest]]/Crops[[#This Row],[Days Between Harvest]]*7</f>
        <v>66.666666666666657</v>
      </c>
      <c r="EL6" s="36" t="e">
        <f>Crops[[#This Row],[Custom Yield Per Bed]]/_xlfn.XLOOKUP(Crops[[#This Row],[ProductIndex]],Products[ID],Products[CSA Portion])</f>
        <v>#N/A</v>
      </c>
      <c r="EM6" s="36" t="e">
        <f>Crops[[#This Row],[Units Per Harvest]]/Crops[[#This Row],[Days Between Harvest]]*7/_xlfn.XLOOKUP(Crops[[#This Row],[ProductIndex]],Products[ID],Products[CSA Portion])</f>
        <v>#N/A</v>
      </c>
      <c r="EN6" s="36" t="e">
        <f>Crops[[#This Row],[CSA Portions Per Week]]/CSAMembers</f>
        <v>#N/A</v>
      </c>
      <c r="EO6" s="36"/>
      <c r="EP6" s="36"/>
      <c r="EQ6" s="36"/>
      <c r="ER6" s="36">
        <f>Crops[[#This Row],[Harvests]]*Crops[[#This Row],[Days Between Harvest]]/7</f>
        <v>14</v>
      </c>
      <c r="ES6" s="208" t="e">
        <f>_xlfn.XLOOKUP(Crops[[#This Row],[ProductIndex]],Products[ID],Products[CSA Need])</f>
        <v>#N/A</v>
      </c>
      <c r="ET6" s="208" t="e">
        <f>_xlfn.XLOOKUP(Crops[[#This Row],[ProductIndex]],Products[ID],Products[CSA Times])</f>
        <v>#N/A</v>
      </c>
      <c r="EU6" s="208" t="e">
        <f>Crops[[#This Row],[Custom Yield Per Bed]]/(Crops[[#This Row],[CSA Need]]*(_xlfn.XLOOKUP(Crops[[#This Row],[ProductIndex]],Products[ID],Products[CSA Portion])*CSAMembers))</f>
        <v>#N/A</v>
      </c>
      <c r="EV6" s="208" t="e">
        <f>_xlfn.XLOOKUP(Crops[[#This Row],[ProductIndex]],Products[ID],Products[CSA Portion])*CSAMembers*Crops[[#This Row],[CSA Need]]/Crops[[#This Row],[Custom Yield Per Bed]]</f>
        <v>#N/A</v>
      </c>
      <c r="EW6" s="208" t="str">
        <f>IFERROR(Crops[[#This Row],[Days In Field]]*Crops[[#This Row],[CSA Beds]],"")</f>
        <v/>
      </c>
      <c r="EX6" s="208" t="e">
        <f>Crops[[#This Row],[CSA Bed Days]]*#REF!</f>
        <v>#VALUE!</v>
      </c>
    </row>
    <row r="7" spans="1:156" ht="15" customHeight="1">
      <c r="A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Artichoke - Mature Flower 3X | Field DS </v>
      </c>
      <c r="C7" s="1" t="b">
        <v>0</v>
      </c>
      <c r="D7" s="1"/>
      <c r="E7" s="1" t="b">
        <v>1</v>
      </c>
      <c r="F7" s="1" t="b">
        <f>IFERROR(IF(ISNUMBER(MATCH(Crops[[#This Row],[Identifier]],BedPlan[Crop], 0)), TRUE, FALSE), FALSE)</f>
        <v>0</v>
      </c>
      <c r="G7" s="1" t="b">
        <f>IFERROR(IF(ISNUMBER(MATCH(Crops[[#This Row],[Identifier]],BedPlan[Crop], 0)), TRUE, FALSE), FALSE)</f>
        <v>0</v>
      </c>
      <c r="H7" s="1" t="b">
        <v>1</v>
      </c>
      <c r="I7" t="s">
        <v>391</v>
      </c>
      <c r="J7" t="s">
        <v>145</v>
      </c>
      <c r="K7" t="s">
        <v>400</v>
      </c>
      <c r="N7" t="str">
        <f>Crops[[#This Row],[Crop]]</f>
        <v>Artichoke</v>
      </c>
      <c r="O7" t="s">
        <v>210</v>
      </c>
      <c r="P7" t="str">
        <f>IF(OR(Crops[[#This Row],[Days in Cells]]="",Crops[[#This Row],[Days in Cells]]=0), "DS","TP")</f>
        <v>DS</v>
      </c>
      <c r="V7" t="str">
        <f xml:space="preserve"> IF(Crops[[#This Row],[Sp]], "Sp", "") &amp; IF(Crops[[#This Row],[Su]], "Su", "") &amp; IF(Crops[[#This Row],[Fa]], "Fa", "") &amp; IF(Crops[[#This Row],[Wi]], "Wi", "") &amp; IF(Crops[[#This Row],[OW]], "Ow","")</f>
        <v/>
      </c>
      <c r="W7" t="b">
        <v>1</v>
      </c>
      <c r="X7">
        <v>1</v>
      </c>
      <c r="Y7">
        <v>6</v>
      </c>
      <c r="AD7" s="32">
        <f>IFERROR(12/Crops[[#This Row],[Spacing]]*Crops[[#This Row],[Rows]]*BedLength,"")</f>
        <v>100</v>
      </c>
      <c r="AE7">
        <v>3</v>
      </c>
      <c r="AG7">
        <f>IF(Crops[[#This Row],[Custom Safety Factor]]="",PlantingSafetyFactor,Crops[[#This Row],[Custom Safety Factor]])</f>
        <v>1.3</v>
      </c>
      <c r="AH7">
        <f>1</f>
        <v>1</v>
      </c>
      <c r="AI7" s="37">
        <f>IFERROR(Crops[[#This Row],[Plantings Per Bed]]*Crops[[#This Row],[Seeds Per Planting]]*Crops[[#This Row],[Safety Factor]]*Crops[[#This Row],[Seeding Factor]],"")</f>
        <v>390</v>
      </c>
      <c r="AL7">
        <f>_xlfn.FLOOR.MATH(IFERROR(AVERAGE(Crops[[#This Row],[DTG Lower]:[DTG Upper]]),0))</f>
        <v>0</v>
      </c>
      <c r="AM7">
        <f>SUM(Crops[[#This Row],[Tray 1 Days]],Crops[[#This Row],[Tray 2 Days]],Crops[[#This Row],[Tray 3 Days]])</f>
        <v>0</v>
      </c>
      <c r="AP7">
        <v>365</v>
      </c>
      <c r="AQ7">
        <f>IFERROR(_xlfn.FLOOR.MATH(AVERAGE(Crops[[#This Row],[DTM Lower]:[DTM Upper]])),"")</f>
        <v>365</v>
      </c>
      <c r="AR7" cm="1">
        <f t="array" ref="AR7">_xlfn.SWITCH(Crops[[#This Row],[Normal Method]],"DS",Crops[[#This Row],[Days to Germination]]+Crops[[#This Row],[DTM]] + IF(Crops[[#This Row],[Days in Cells]]&gt;0,15,0), "TP",Crops[[#This Row],[DTM]]+Crops[[#This Row],[Days in Cells]] + IF(Crops[[#This Row],[Days in Cells]]&lt;=0,20,0), "X", Crops[[#This Row],[DTM]])</f>
        <v>365</v>
      </c>
      <c r="AS7" t="s">
        <v>347</v>
      </c>
      <c r="AT7">
        <f>(Crops[[#This Row],[Harvests]]-1)*Crops[[#This Row],[Days Between Harvest]]+7</f>
        <v>7</v>
      </c>
      <c r="AU7">
        <v>365</v>
      </c>
      <c r="AW7">
        <v>50</v>
      </c>
      <c r="AZ7" t="str">
        <f>IFERROR(IF(Crops[[#This Row],[Tray 1 Days]]=0,"",Crops[[#This Row],[Plantings Per Bed]]/Crops[[#This Row],[Tray 1 Size]]*Crops[[#This Row],[Safety Factor]]),"")</f>
        <v/>
      </c>
      <c r="BC7" t="str">
        <f>IFERROR(IF(Crops[[#This Row],[Tray 2 Days]]=0,"",Crops[[#This Row],[Plantings Per Bed]]/Crops[[#This Row],[Tray 2 Size]]*Crops[[#This Row],[Safety Factor]]),"")</f>
        <v/>
      </c>
      <c r="BE7" s="32" t="str">
        <f>IF(NOT(ISBLANK(Crops[[#This Row],[Tray 3 Size]])), Crops[[#This Row],[Days in Cells Old]]-SUM(Crops[[#This Row],[Tray 1 Days]],Crops[[#This Row],[Tray 2 Days]]), "")</f>
        <v/>
      </c>
      <c r="BF7" t="str">
        <f>IFERROR(IF(Crops[[#This Row],[Tray 3 Days]]=0,"",Crops[[#This Row],[Plantings Per Bed]]/Crops[[#This Row],[Tray 3 Size]]*Crops[[#This Row],[Safety Factor]]),"")</f>
        <v/>
      </c>
      <c r="BG7">
        <f>Crops[[#This Row],[Plantings Per Bed]]*3</f>
        <v>300</v>
      </c>
      <c r="BH7">
        <v>1</v>
      </c>
      <c r="BI7">
        <v>0</v>
      </c>
      <c r="BJ7" s="37">
        <f>_xlfn.XLOOKUP(Crops[[#This Row],[ProductIndex]],Products[ID],Products[Holding Period])</f>
        <v>0</v>
      </c>
      <c r="BL7" s="37">
        <f>Crops[[#This Row],[Units Per Harvest]]*Crops[[#This Row],[Harvests]]</f>
        <v>300</v>
      </c>
      <c r="BM7">
        <v>3</v>
      </c>
      <c r="BN7" s="211">
        <f>Crops[[#This Row],[Direct Price]]*0.6</f>
        <v>1.7999999999999998</v>
      </c>
      <c r="BO7" s="211"/>
      <c r="BP7" t="s">
        <v>214</v>
      </c>
      <c r="BQ7">
        <f>Crops[[#This Row],[Custom Yield Per Bed]]*Crops[[#This Row],[Direct Price]]</f>
        <v>900</v>
      </c>
      <c r="BR7" t="b">
        <v>0</v>
      </c>
      <c r="BS7" t="b">
        <f>Crops[[#This Row],[Harvests]]&gt;1</f>
        <v>0</v>
      </c>
      <c r="BT7" s="36">
        <f>IFERROR(Crops[[#This Row],[Direct Revenue Per Bed]]/Crops[[#This Row],[Days In Field]],-1)</f>
        <v>2.4657534246575343</v>
      </c>
      <c r="BU7" s="33">
        <f>IFERROR(Crops[[#This Row],[Direct Revenue Per Bed Day]]*GrowingDays*BedsPerAcre,"")</f>
        <v>71013.698630136991</v>
      </c>
      <c r="BV7" s="38">
        <f>LastFrostDate-5*Crops[[#This Row],[Sewing Rel Last Frost]]</f>
        <v>45748</v>
      </c>
      <c r="BW7" s="38">
        <f>Crops[[#This Row],[Target Sewing Date]]+Crops[[#This Row],[Days in Cells]]</f>
        <v>45748</v>
      </c>
      <c r="BX7" s="38">
        <f>Crops[[#This Row],[Target Sewing Date]]+Crops[[#This Row],[STH]]</f>
        <v>46113</v>
      </c>
      <c r="BY7" s="38">
        <f>Crops[[#This Row],[Target Harvest Data]]+Crops[[#This Row],[Harvest window]]</f>
        <v>46120</v>
      </c>
      <c r="CA7">
        <v>10</v>
      </c>
      <c r="CB7">
        <f>1</f>
        <v>1</v>
      </c>
      <c r="CC7">
        <f>IF(Crops[[#This Row],[Transplanting]]&gt;0, 2, 3)*BedLength/StandardBedLength</f>
        <v>1.5</v>
      </c>
      <c r="CD7" s="173">
        <f>IF(Crops[[#This Row],[Days in Cells]]&lt;=0,0,Crops[[#This Row],[Plantings Per Bed]]/StartsPerHourSeeding+Crops[[#This Row],[Tray 1 Count]]*5/60)</f>
        <v>0</v>
      </c>
      <c r="CE7" s="173">
        <f>IF(ISBLANK(Crops[[#This Row],[Tray 2 Days]]),0,Crops[[#This Row],[Plantings Per Bed]]/UpPottingPerHour)+IF(Crops[[#This Row],[Tray 3 Days]]="",0,Crops[[#This Row],[Plantings Per Bed]]/UpPottingPerHour)</f>
        <v>0</v>
      </c>
      <c r="CF7" s="173">
        <f>IFERROR(Crops[[#This Row],[Tray 1 Count]]/HomeStartFlatIrrigationPerHour,0)*Crops[[#This Row],[Days in Cells]]/DaysBetweenStartIrrigation</f>
        <v>0</v>
      </c>
      <c r="CG7">
        <f>0.5/16*MAX(Crops[[#This Row],[Tray 1 Count]],Crops[[#This Row],[Tray 2 Count]],Crops[[#This Row],[Tray 3 Count]])</f>
        <v>0</v>
      </c>
      <c r="CH7">
        <f>IF(Crops[[#This Row],[Days in Cells]]&gt;0,IF(IF(Crops[[#This Row],[Tray 3 Size]]&gt;0,Crops[[#This Row],[Tray 3 Size]],IF(Crops[[#This Row],[Tray 2 Size]]&gt;0,Crops[[#This Row],[Tray 2 Size]],Crops[[#This Row],[Tray 1 Size]]))&lt;=18,LargeTransplantTime,SmallTransplantTime)*Crops[[#This Row],[Plantings Per Bed]],0)</f>
        <v>0</v>
      </c>
      <c r="CJ7" s="173">
        <f>_xlfn.XLOOKUP(Crops[[#This Row],[Trellis Type]],TrellisMethods[Trellis Type],TrellisMethods[Hours],0,0)</f>
        <v>0</v>
      </c>
      <c r="CK7">
        <f>IF(Crops[[#This Row],[Days in Cells]]&lt;=0,Crops[[#This Row],[Rows]]*1/10,0)*BedLength/50</f>
        <v>0.1</v>
      </c>
      <c r="CL7" cm="1">
        <f t="array" ref="CL7">_xlfn.SWITCH(Crops[[#This Row],[Irrigation]],"DR", 0.5, "OH", 0.25,0)*BedLength/50</f>
        <v>0</v>
      </c>
      <c r="CM7">
        <f>IF(OR(ISBLANK(Crops[[#This Row],[Row Cover]]),Crops[[#This Row],[Row Cover]]="None"),0,1)*BedLength/50</f>
        <v>0</v>
      </c>
      <c r="CN7" s="173">
        <f>HoursPerWeedingPass*Crops[[#This Row],[Days In Field]]/14*Crops[[#This Row],[Rows]]+1*BedLength/50</f>
        <v>5.3452380952380949</v>
      </c>
      <c r="CQ7" s="37">
        <f>_xlfn.XLOOKUP(Crops[[#This Row],[Crop]]&amp;Crops[[#This Row],[Product]]&amp;Crops[[#This Row],[Unit]],Products[ID],Products[Marketing (hr)])*Crops[[#This Row],[Direct Revenue Per Bed]]/2000</f>
        <v>2.25</v>
      </c>
      <c r="CR7" s="37">
        <f>_xlfn.XLOOKUP(Crops[[#This Row],[Crop]]&amp;Crops[[#This Row],[Product]]&amp;Crops[[#This Row],[Unit]],Products[ID],Products[Harvest (s)])*Crops[[#This Row],[Custom Yield Per Bed]]/3600</f>
        <v>0.83333333333333337</v>
      </c>
      <c r="CS7" s="37">
        <f>_xlfn.XLOOKUP(Crops[[#This Row],[Crop]]&amp;Crops[[#This Row],[Product]]&amp;Crops[[#This Row],[Unit]],Products[ID],Products[Bunch (s)])*Crops[[#This Row],[Custom Yield Per Bed]]/3600</f>
        <v>0</v>
      </c>
      <c r="CT7" s="37">
        <f>_xlfn.XLOOKUP(Crops[[#This Row],[Crop]]&amp;Crops[[#This Row],[Product]]&amp;Crops[[#This Row],[Unit]],Products[ID],Products[Haul (s)])*Crops[[#This Row],[Custom Yield Per Bed]]/3600</f>
        <v>0.25</v>
      </c>
      <c r="CU7" s="37">
        <f>_xlfn.XLOOKUP(Crops[[#This Row],[Crop]]&amp;Crops[[#This Row],[Product]]&amp;Crops[[#This Row],[Unit]],Products[ID],Products[Wash (s)])*Crops[[#This Row],[Custom Yield Per Bed]]/3600</f>
        <v>0</v>
      </c>
      <c r="CV7" s="37">
        <f>_xlfn.XLOOKUP(Crops[[#This Row],[Crop]]&amp;Crops[[#This Row],[Product]]&amp;Crops[[#This Row],[Unit]],Products[ID],Products[Condition (s)])*Crops[[#This Row],[Custom Yield Per Bed]]/3600</f>
        <v>0</v>
      </c>
      <c r="CW7" s="37">
        <f>_xlfn.XLOOKUP(Crops[[#This Row],[Crop]]&amp;Crops[[#This Row],[Product]]&amp;Crops[[#This Row],[Unit]],Products[ID],Products[Trim (s)])*Crops[[#This Row],[Custom Yield Per Bed]]/3600</f>
        <v>0</v>
      </c>
      <c r="CX7" s="37">
        <f>_xlfn.XLOOKUP(Crops[[#This Row],[Crop]]&amp;Crops[[#This Row],[Product]]&amp;Crops[[#This Row],[Unit]],Products[ID],Products[Pack (s)])*Crops[[#This Row],[Custom Yield Per Bed]]/3600</f>
        <v>0.25</v>
      </c>
      <c r="CY7" s="37">
        <f>_xlfn.XLOOKUP(Crops[[#This Row],[Crop]]&amp;Crops[[#This Row],[Product]]&amp;Crops[[#This Row],[Unit]],Products[ID],Products[Clean (s)])*Crops[[#This Row],[Custom Yield Per Bed]]/3600</f>
        <v>0</v>
      </c>
      <c r="CZ7" s="37">
        <f>_xlfn.XLOOKUP(Crops[[#This Row],[Crop]]&amp;Crops[[#This Row],[Product]]&amp;Crops[[#This Row],[Unit]],Products[ID],Products[Rehandle (s)])*Crops[[#This Row],[Custom Yield Per Bed]]/3600</f>
        <v>0</v>
      </c>
      <c r="DA7" s="37">
        <f>_xlfn.XLOOKUP(Crops[[#This Row],[Crop]]&amp;Crops[[#This Row],[Product]]&amp;Crops[[#This Row],[Unit]],Products[ID],Products[Market Transport (s)])*Crops[[#This Row],[Custom Yield Per Bed]]/3600</f>
        <v>0.625</v>
      </c>
      <c r="DC7" s="37">
        <f>Crops[[#This Row],[Direct Revenue Per Bed2]]</f>
        <v>900</v>
      </c>
      <c r="DD7" s="173">
        <f>_xlfn.AGGREGATE(9,6,Crops[[#This Row],[Bed Prep]:[Remove Crop Residue]])</f>
        <v>11.153571428571428</v>
      </c>
      <c r="DE7" s="173">
        <f>_xlfn.AGGREGATE(9,6,Crops[[#This Row],[Bed Prep]:[Remove Crop Residue]])-0.75*Crops[[#This Row],[Market &amp; Sell]]</f>
        <v>9.4660714285714285</v>
      </c>
      <c r="DF7" s="36">
        <f>Crops[[#This Row],[Direct Revenue Per Bed2]]/Crops[[#This Row],[Direct Time]]</f>
        <v>80.691642651296831</v>
      </c>
      <c r="DG7" s="36">
        <f>_xlfn.XLOOKUP(Crops[[#This Row],[ProductIndex]],Products[ID],Products[Packaging Cost])*(Crops[[#This Row],[Custom Yield Per Bed]]/_xlfn.XLOOKUP(Crops[[#This Row],[ProductIndex]],Products[ID],Products[Units Per Pack]))</f>
        <v>57</v>
      </c>
      <c r="DH7" s="36"/>
      <c r="DI7" s="36"/>
      <c r="DJ7" s="36"/>
      <c r="DK7" s="36"/>
      <c r="DL7" s="36"/>
      <c r="DM7" s="37">
        <f>IFERROR(Crops[[#This Row],[Custom Yield Per Bed]]*Crops[[#This Row],[Direct Price]],"")</f>
        <v>900</v>
      </c>
      <c r="DN7" s="36">
        <f>Crops[[#This Row],[Direct Time]]*LaborRate</f>
        <v>278.83928571428572</v>
      </c>
      <c r="DO7" s="36">
        <f>SUM(Crops[[#This Row],[Irrigation Cost]])</f>
        <v>0</v>
      </c>
      <c r="DP7" s="36">
        <f>Crops[[#This Row],[Direct Labor Cost]]+Crops[[#This Row],[Direct Non-Labor Cost]]</f>
        <v>278.83928571428572</v>
      </c>
      <c r="DQ7" s="36">
        <f>Crops[[#This Row],[Direct Revenue Per Bed2]]-Crops[[#This Row],[Direct Total Cost]]</f>
        <v>621.16071428571422</v>
      </c>
      <c r="DR7" s="36">
        <f>Crops[[#This Row],[Direct Profit]]*BedsPerAcre</f>
        <v>99385.714285714275</v>
      </c>
      <c r="DS7" s="36">
        <f>Crops[[#This Row],[Direct Profit]]*BedsPerAcre*GrowingDays/Crops[[#This Row],[Days In Field]]</f>
        <v>49012.133072407043</v>
      </c>
      <c r="DT7" s="36">
        <f>Crops[[#This Row],[Direct Profit]]/MIN(Crops[[#This Row],[Days In Field]],GrowingDays)</f>
        <v>3.4508928571428568</v>
      </c>
      <c r="DU7" s="36">
        <f>Crops[[#This Row],[Direct Time]] * BedsPerAcre</f>
        <v>1784.5714285714284</v>
      </c>
      <c r="DV7" s="36">
        <f>(Crops[[#This Row],[Direct Revenue Per Bed2]]-Crops[[#This Row],[Direct Non-Labor Cost]])/Crops[[#This Row],[Direct Time]]</f>
        <v>80.691642651296831</v>
      </c>
      <c r="DW7" s="37">
        <f>IFERROR(Crops[[#This Row],[Custom Yield Per Bed]]*Crops[[#This Row],[Rough Wholesale Price]],"")</f>
        <v>540</v>
      </c>
      <c r="DX7" s="36">
        <f>Crops[[#This Row],[Wholesale Time]]*LaborRate</f>
        <v>236.65178571428572</v>
      </c>
      <c r="DY7" s="36">
        <f>SUM(Crops[[#This Row],[Packaging Costs]:[Irrigation Cost]])</f>
        <v>57</v>
      </c>
      <c r="DZ7" s="36">
        <f>Crops[[#This Row],[Wholesale Labor Cost]]+Crops[[#This Row],[Wholesale Non-Labor Cost]]</f>
        <v>293.65178571428572</v>
      </c>
      <c r="EA7" s="36">
        <f>Crops[[#This Row],[Wholesale Revenue Per Bed]]-Crops[[#This Row],[Wholesale Total Cost]]</f>
        <v>246.34821428571428</v>
      </c>
      <c r="EB7" s="36">
        <f>Crops[[#This Row],[Wholesale Profit]]*BedsPerAcre</f>
        <v>39415.714285714283</v>
      </c>
      <c r="EC7" s="36">
        <f>Crops[[#This Row],[Wholesale Profit]]*BedsPerAcre*GrowingDays/Crops[[#This Row],[Days In Field]]</f>
        <v>19437.886497064577</v>
      </c>
      <c r="ED7" s="36">
        <f>Crops[[#This Row],[Wholesale Time]] * BedsPerAcre</f>
        <v>1514.5714285714284</v>
      </c>
      <c r="EE7" s="36">
        <f>Crops[[#This Row],[Wholesale Profit]]/MIN(Crops[[#This Row],[Days In Field]],GrowingDays)</f>
        <v>1.3686011904761903</v>
      </c>
      <c r="EF7" s="36">
        <f>(Crops[[#This Row],[Wholesale Revenue Per Bed]]-Crops[[#This Row],[Wholesale Non-Labor Cost]])/Crops[[#This Row],[Direct Time]]</f>
        <v>43.304514889529301</v>
      </c>
      <c r="EG7" s="174">
        <f>Crops[[#This Row],[Packaging Costs]]/Crops[[#This Row],[Wholesale Revenue Per Bed]]</f>
        <v>0.10555555555555556</v>
      </c>
      <c r="EH7" s="173" t="str">
        <f>Crops[[#This Row],[Crop]]&amp;Crops[[#This Row],[Product]]&amp;Crops[[#This Row],[Unit]]</f>
        <v>ArtichokeMature FlowerHead</v>
      </c>
      <c r="EI7" s="173" t="b">
        <f>_xlfn.XLOOKUP(Crops[[#This Row],[ProductIndex]],Products[ID],Products[Target])</f>
        <v>0</v>
      </c>
      <c r="EJ7" s="173">
        <f>Crops[[#This Row],[Custom Yield Per Bed]]</f>
        <v>300</v>
      </c>
      <c r="EK7" s="173" t="e">
        <f>Crops[[#This Row],[Units Per Harvest]]/Crops[[#This Row],[Days Between Harvest]]*7</f>
        <v>#DIV/0!</v>
      </c>
      <c r="EL7" s="173" t="e">
        <f>Crops[[#This Row],[Custom Yield Per Bed]]/_xlfn.XLOOKUP(Crops[[#This Row],[ProductIndex]],Products[ID],Products[CSA Portion])</f>
        <v>#DIV/0!</v>
      </c>
      <c r="EM7" s="173" t="e">
        <f>Crops[[#This Row],[Units Per Harvest]]/Crops[[#This Row],[Days Between Harvest]]*7/_xlfn.XLOOKUP(Crops[[#This Row],[ProductIndex]],Products[ID],Products[CSA Portion])</f>
        <v>#DIV/0!</v>
      </c>
      <c r="EN7" s="173" t="e">
        <f>Crops[[#This Row],[CSA Portions Per Week]]/CSAMembers</f>
        <v>#DIV/0!</v>
      </c>
      <c r="EO7" s="173"/>
      <c r="EP7" s="173"/>
      <c r="EQ7" s="173"/>
      <c r="ER7" s="173">
        <f>Crops[[#This Row],[Harvests]]*Crops[[#This Row],[Days Between Harvest]]/7</f>
        <v>0</v>
      </c>
      <c r="ES7" s="49">
        <f>_xlfn.XLOOKUP(Crops[[#This Row],[ProductIndex]],Products[ID],Products[CSA Need])</f>
        <v>0</v>
      </c>
      <c r="ET7" s="49">
        <f>_xlfn.XLOOKUP(Crops[[#This Row],[ProductIndex]],Products[ID],Products[CSA Times])</f>
        <v>0</v>
      </c>
      <c r="EU7" s="49" t="e">
        <f>Crops[[#This Row],[Custom Yield Per Bed]]/(Crops[[#This Row],[CSA Need]]*(_xlfn.XLOOKUP(Crops[[#This Row],[ProductIndex]],Products[ID],Products[CSA Portion])*CSAMembers))</f>
        <v>#DIV/0!</v>
      </c>
      <c r="EV7" s="49">
        <f>_xlfn.XLOOKUP(Crops[[#This Row],[ProductIndex]],Products[ID],Products[CSA Portion])*CSAMembers*Crops[[#This Row],[CSA Need]]/Crops[[#This Row],[Custom Yield Per Bed]]</f>
        <v>0</v>
      </c>
      <c r="EW7" s="49">
        <f>IFERROR(Crops[[#This Row],[Days In Field]]*Crops[[#This Row],[CSA Beds]],"")</f>
        <v>0</v>
      </c>
      <c r="EX7" s="49" t="e">
        <f>Crops[[#This Row],[CSA Bed Days]]*#REF!</f>
        <v>#REF!</v>
      </c>
      <c r="EY7" t="s">
        <v>398</v>
      </c>
    </row>
    <row r="8" spans="1:156" ht="15" customHeight="1">
      <c r="A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Baby Leaf 1X | Field DS Sp</v>
      </c>
      <c r="B8" s="179"/>
      <c r="C8" s="1" t="b">
        <v>1</v>
      </c>
      <c r="D8" s="1" t="s">
        <v>2585</v>
      </c>
      <c r="E8" s="1" t="b">
        <v>0</v>
      </c>
      <c r="F8" s="1" t="b">
        <f>IFERROR(IF(ISNUMBER(MATCH(Crops[[#This Row],[Identifier]],BedPlan[Crop], 0)), TRUE, FALSE), FALSE)</f>
        <v>1</v>
      </c>
      <c r="G8" s="1" t="b">
        <f>IFERROR(IF(ISNUMBER(MATCH(Crops[[#This Row],[Identifier]],BedPlan[Crop], 0)), TRUE, FALSE), FALSE)</f>
        <v>1</v>
      </c>
      <c r="H8" s="1"/>
      <c r="I8" t="s">
        <v>42</v>
      </c>
      <c r="J8" t="s">
        <v>145</v>
      </c>
      <c r="K8" t="s">
        <v>182</v>
      </c>
      <c r="M8" t="s">
        <v>441</v>
      </c>
      <c r="N8" t="str">
        <f>Crops[[#This Row],[Crop]]</f>
        <v>Arugula</v>
      </c>
      <c r="O8" t="s">
        <v>210</v>
      </c>
      <c r="P8" t="str">
        <f>IF(OR(Crops[[#This Row],[Days in Cells]]="",Crops[[#This Row],[Days in Cells]]=0), "DS","TP")</f>
        <v>DS</v>
      </c>
      <c r="Q8" t="b">
        <v>1</v>
      </c>
      <c r="V8" t="str">
        <f xml:space="preserve"> IF(Crops[[#This Row],[Sp]], "Sp", "") &amp; IF(Crops[[#This Row],[Su]], "Su", "") &amp; IF(Crops[[#This Row],[Fa]], "Fa", "") &amp; IF(Crops[[#This Row],[Wi]], "Wi", "") &amp; IF(Crops[[#This Row],[OW]], "Ow","")</f>
        <v>Sp</v>
      </c>
      <c r="X8">
        <v>6</v>
      </c>
      <c r="Y8">
        <v>0.25</v>
      </c>
      <c r="Z8" t="s">
        <v>431</v>
      </c>
      <c r="AA8" t="s">
        <v>474</v>
      </c>
      <c r="AC8">
        <v>1</v>
      </c>
      <c r="AD8" s="32">
        <f>IFERROR(12/Crops[[#This Row],[Spacing]]*Crops[[#This Row],[Rows]]*BedLength,"")</f>
        <v>14400</v>
      </c>
      <c r="AE8">
        <v>1</v>
      </c>
      <c r="AG8">
        <f>IF(Crops[[#This Row],[Custom Safety Factor]]="",PlantingSafetyFactor,Crops[[#This Row],[Custom Safety Factor]])</f>
        <v>1.3</v>
      </c>
      <c r="AH8">
        <f>1</f>
        <v>1</v>
      </c>
      <c r="AI8" s="33">
        <f>IFERROR(Crops[[#This Row],[Plantings Per Bed]]*Crops[[#This Row],[Seeds Per Planting]]*Crops[[#This Row],[Safety Factor]]*Crops[[#This Row],[Seeding Factor]],"")</f>
        <v>18720</v>
      </c>
      <c r="AJ8">
        <v>5</v>
      </c>
      <c r="AK8">
        <v>7</v>
      </c>
      <c r="AL8">
        <f>_xlfn.FLOOR.MATH(IFERROR(AVERAGE(Crops[[#This Row],[DTG Lower]:[DTG Upper]]),0))</f>
        <v>6</v>
      </c>
      <c r="AM8">
        <f>SUM(Crops[[#This Row],[Tray 1 Days]],Crops[[#This Row],[Tray 2 Days]],Crops[[#This Row],[Tray 3 Days]])</f>
        <v>0</v>
      </c>
      <c r="AN8" s="32">
        <v>18</v>
      </c>
      <c r="AO8">
        <v>28</v>
      </c>
      <c r="AP8">
        <v>35</v>
      </c>
      <c r="AQ8">
        <f>IFERROR(_xlfn.FLOOR.MATH(AVERAGE(Crops[[#This Row],[DTM Lower]:[DTM Upper]])),"")</f>
        <v>31</v>
      </c>
      <c r="AR8" cm="1">
        <f t="array" ref="AR8">_xlfn.SWITCH(Crops[[#This Row],[Normal Method]],"DS",Crops[[#This Row],[Days to Germination]]+Crops[[#This Row],[DTM]] + IF(Crops[[#This Row],[Days in Cells]]&gt;0,15,0), "TP",Crops[[#This Row],[DTM]]+Crops[[#This Row],[Days in Cells]] + IF(Crops[[#This Row],[Days in Cells]]&lt;=0,20,0), "X", Crops[[#This Row],[DTM]])</f>
        <v>31</v>
      </c>
      <c r="AS8" t="s">
        <v>347</v>
      </c>
      <c r="AT8">
        <f>(Crops[[#This Row],[Harvests]]-1)*Crops[[#This Row],[Days Between Harvest]]+7</f>
        <v>18</v>
      </c>
      <c r="AU8">
        <f>Crops[[#This Row],[STH]]-Crops[[#This Row],[Days in Cells]]+Crops[[#This Row],[Harvest window]]</f>
        <v>49</v>
      </c>
      <c r="AZ8" t="str">
        <f>IFERROR(IF(Crops[[#This Row],[Tray 1 Days]]=0,"",Crops[[#This Row],[Plantings Per Bed]]/Crops[[#This Row],[Tray 1 Size]]*Crops[[#This Row],[Safety Factor]]),"")</f>
        <v/>
      </c>
      <c r="BC8" t="str">
        <f>IFERROR(IF(Crops[[#This Row],[Tray 2 Days]]=0,"",Crops[[#This Row],[Plantings Per Bed]]/Crops[[#This Row],[Tray 2 Size]]*Crops[[#This Row],[Safety Factor]]),"")</f>
        <v/>
      </c>
      <c r="BE8" s="32" t="str">
        <f>IF(NOT(ISBLANK(Crops[[#This Row],[Tray 3 Size]])), Crops[[#This Row],[Days in Cells Old]]-SUM(Crops[[#This Row],[Tray 1 Days]],Crops[[#This Row],[Tray 2 Days]]), "")</f>
        <v/>
      </c>
      <c r="BF8" t="str">
        <f>IFERROR(IF(Crops[[#This Row],[Tray 3 Days]]=0,"",Crops[[#This Row],[Plantings Per Bed]]/Crops[[#This Row],[Tray 3 Size]]*Crops[[#This Row],[Safety Factor]]),"")</f>
        <v/>
      </c>
      <c r="BG8" s="33">
        <f>45*BedLength/StandardBedLength/Crops[[#This Row],[Harvests]]</f>
        <v>10.714285714285714</v>
      </c>
      <c r="BH8" s="33">
        <f>3*7/Crops[[#This Row],[Days Between Harvest]]</f>
        <v>2.1</v>
      </c>
      <c r="BI8" s="33">
        <v>10</v>
      </c>
      <c r="BJ8" s="33">
        <f>_xlfn.XLOOKUP(Crops[[#This Row],[ProductIndex]],Products[ID],Products[Holding Period])</f>
        <v>3</v>
      </c>
      <c r="BK8" s="33"/>
      <c r="BL8" s="33">
        <f>Crops[[#This Row],[Units Per Harvest]]*Crops[[#This Row],[Harvests]]</f>
        <v>22.5</v>
      </c>
      <c r="BM8" s="35">
        <v>10</v>
      </c>
      <c r="BN8" s="35">
        <f>Crops[[#This Row],[Direct Price]]*0.6</f>
        <v>6</v>
      </c>
      <c r="BO8" s="35"/>
      <c r="BP8" t="s">
        <v>383</v>
      </c>
      <c r="BQ8">
        <f>Crops[[#This Row],[Custom Yield Per Bed]]*Crops[[#This Row],[Direct Price]]</f>
        <v>225</v>
      </c>
      <c r="BR8" t="b">
        <v>1</v>
      </c>
      <c r="BS8" t="b">
        <f>Crops[[#This Row],[Harvests]]&gt;1</f>
        <v>1</v>
      </c>
      <c r="BT8" s="36">
        <f>IFERROR(Crops[[#This Row],[Direct Revenue Per Bed]]/Crops[[#This Row],[Days In Field]],-1)</f>
        <v>4.591836734693878</v>
      </c>
      <c r="BU8" s="33">
        <f>IFERROR(Crops[[#This Row],[Direct Revenue Per Bed Day]]*GrowingDays*BedsPerAcre,"")</f>
        <v>132244.8979591837</v>
      </c>
      <c r="BV8" s="38">
        <f>LastFrostDate-5*Crops[[#This Row],[Sewing Rel Last Frost]]</f>
        <v>45758</v>
      </c>
      <c r="BW8" s="38">
        <f>Crops[[#This Row],[Target Sewing Date]]+Crops[[#This Row],[Days in Cells]]</f>
        <v>45758</v>
      </c>
      <c r="BX8" s="38">
        <f>Crops[[#This Row],[Target Sewing Date]]+Crops[[#This Row],[STH]]</f>
        <v>45789</v>
      </c>
      <c r="BY8" s="38">
        <f>Crops[[#This Row],[Target Harvest Data]]+Crops[[#This Row],[Harvest window]]</f>
        <v>45807</v>
      </c>
      <c r="BZ8">
        <v>-2</v>
      </c>
      <c r="CA8" t="s">
        <v>2299</v>
      </c>
      <c r="CB8">
        <f>1</f>
        <v>1</v>
      </c>
      <c r="CC8">
        <f>IF(Crops[[#This Row],[Transplanting]]&gt;0, 2, 3)*BedLength/StandardBedLength</f>
        <v>1.5</v>
      </c>
      <c r="CD8" s="173">
        <f>IF(Crops[[#This Row],[Days in Cells]]&lt;=0,0,Crops[[#This Row],[Plantings Per Bed]]/StartsPerHourSeeding+Crops[[#This Row],[Tray 1 Count]]*5/60)</f>
        <v>0</v>
      </c>
      <c r="CE8" s="173">
        <f>IF(ISBLANK(Crops[[#This Row],[Tray 2 Days]]),0,Crops[[#This Row],[Plantings Per Bed]]/UpPottingPerHour)+IF(Crops[[#This Row],[Tray 3 Days]]="",0,Crops[[#This Row],[Plantings Per Bed]]/UpPottingPerHour)</f>
        <v>0</v>
      </c>
      <c r="CF8" s="173">
        <f>IFERROR(Crops[[#This Row],[Tray 1 Count]]/HomeStartFlatIrrigationPerHour,0)*Crops[[#This Row],[Days in Cells]]/DaysBetweenStartIrrigation</f>
        <v>0</v>
      </c>
      <c r="CG8" s="173">
        <f>0.5/16*MAX(Crops[[#This Row],[Tray 1 Count]],Crops[[#This Row],[Tray 2 Count]],Crops[[#This Row],[Tray 3 Count]])</f>
        <v>0</v>
      </c>
      <c r="CH8" s="173">
        <f>IF(Crops[[#This Row],[Days in Cells]]&gt;0,IF(IF(Crops[[#This Row],[Tray 3 Size]]&gt;0,Crops[[#This Row],[Tray 3 Size]],IF(Crops[[#This Row],[Tray 2 Size]]&gt;0,Crops[[#This Row],[Tray 2 Size]],Crops[[#This Row],[Tray 1 Size]]))&lt;=18,LargeTransplantTime,SmallTransplantTime)*Crops[[#This Row],[Plantings Per Bed]],0)</f>
        <v>0</v>
      </c>
      <c r="CI8" s="173"/>
      <c r="CJ8" s="173">
        <f>_xlfn.XLOOKUP(Crops[[#This Row],[Trellis Type]],TrellisMethods[Trellis Type],TrellisMethods[Hours],0,0)</f>
        <v>0</v>
      </c>
      <c r="CK8">
        <f>IF(Crops[[#This Row],[Days in Cells]]&lt;=0,Crops[[#This Row],[Rows]]*1/10,0)*BedLength/50</f>
        <v>0.6</v>
      </c>
      <c r="CL8" cm="1">
        <f t="array" ref="CL8">_xlfn.SWITCH(Crops[[#This Row],[Irrigation]],"DR", 0.5, "OH", 0.25,0)*BedLength/50</f>
        <v>0.25</v>
      </c>
      <c r="CM8">
        <f>IF(OR(ISBLANK(Crops[[#This Row],[Row Cover]]),Crops[[#This Row],[Row Cover]]="None"),0,1)*BedLength/50</f>
        <v>0</v>
      </c>
      <c r="CN8" s="173">
        <f>HoursPerWeedingPass*Crops[[#This Row],[Days In Field]]/14*Crops[[#This Row],[Rows]]+1*BedLength/50</f>
        <v>4.5</v>
      </c>
      <c r="CO8" s="49"/>
      <c r="CQ8" s="37">
        <f>_xlfn.XLOOKUP(Crops[[#This Row],[Crop]]&amp;Crops[[#This Row],[Product]]&amp;Crops[[#This Row],[Unit]],Products[ID],Products[Marketing (hr)])*Crops[[#This Row],[Direct Revenue Per Bed]]/2000</f>
        <v>0.22500000000000001</v>
      </c>
      <c r="CR8" s="37">
        <f>_xlfn.XLOOKUP(Crops[[#This Row],[Crop]]&amp;Crops[[#This Row],[Product]]&amp;Crops[[#This Row],[Unit]],Products[ID],Products[Harvest (s)])*Crops[[#This Row],[Custom Yield Per Bed]]/3600</f>
        <v>0.75</v>
      </c>
      <c r="CS8" s="37">
        <f>_xlfn.XLOOKUP(Crops[[#This Row],[Crop]]&amp;Crops[[#This Row],[Product]]&amp;Crops[[#This Row],[Unit]],Products[ID],Products[Bunch (s)])*Crops[[#This Row],[Custom Yield Per Bed]]/3600</f>
        <v>0</v>
      </c>
      <c r="CT8" s="37">
        <f>_xlfn.XLOOKUP(Crops[[#This Row],[Crop]]&amp;Crops[[#This Row],[Product]]&amp;Crops[[#This Row],[Unit]],Products[ID],Products[Haul (s)])*Crops[[#This Row],[Custom Yield Per Bed]]/3600</f>
        <v>5.6250000000000001E-2</v>
      </c>
      <c r="CU8" s="37">
        <f>_xlfn.XLOOKUP(Crops[[#This Row],[Crop]]&amp;Crops[[#This Row],[Product]]&amp;Crops[[#This Row],[Unit]],Products[ID],Products[Wash (s)])*Crops[[#This Row],[Custom Yield Per Bed]]/3600</f>
        <v>0.375</v>
      </c>
      <c r="CV8" s="37">
        <f>_xlfn.XLOOKUP(Crops[[#This Row],[Crop]]&amp;Crops[[#This Row],[Product]]&amp;Crops[[#This Row],[Unit]],Products[ID],Products[Condition (s)])*Crops[[#This Row],[Custom Yield Per Bed]]/3600</f>
        <v>0</v>
      </c>
      <c r="CW8" s="37">
        <f>_xlfn.XLOOKUP(Crops[[#This Row],[Crop]]&amp;Crops[[#This Row],[Product]]&amp;Crops[[#This Row],[Unit]],Products[ID],Products[Trim (s)])*Crops[[#This Row],[Custom Yield Per Bed]]/3600</f>
        <v>6.25E-2</v>
      </c>
      <c r="CX8" s="37">
        <f>_xlfn.XLOOKUP(Crops[[#This Row],[Crop]]&amp;Crops[[#This Row],[Product]]&amp;Crops[[#This Row],[Unit]],Products[ID],Products[Pack (s)])*Crops[[#This Row],[Custom Yield Per Bed]]/3600</f>
        <v>1.8749999999999999E-2</v>
      </c>
      <c r="CY8" s="37">
        <f>_xlfn.XLOOKUP(Crops[[#This Row],[Crop]]&amp;Crops[[#This Row],[Product]]&amp;Crops[[#This Row],[Unit]],Products[ID],Products[Clean (s)])*Crops[[#This Row],[Custom Yield Per Bed]]/3600</f>
        <v>0</v>
      </c>
      <c r="CZ8" s="37">
        <f>_xlfn.XLOOKUP(Crops[[#This Row],[Crop]]&amp;Crops[[#This Row],[Product]]&amp;Crops[[#This Row],[Unit]],Products[ID],Products[Rehandle (s)])*Crops[[#This Row],[Custom Yield Per Bed]]/3600</f>
        <v>0</v>
      </c>
      <c r="DA8" s="37">
        <f>_xlfn.XLOOKUP(Crops[[#This Row],[Crop]]&amp;Crops[[#This Row],[Product]]&amp;Crops[[#This Row],[Unit]],Products[ID],Products[Market Transport (s)])*Crops[[#This Row],[Custom Yield Per Bed]]/3600</f>
        <v>0.140625</v>
      </c>
      <c r="DC8" s="37">
        <f>Crops[[#This Row],[Direct Revenue Per Bed2]]</f>
        <v>225</v>
      </c>
      <c r="DD8" s="173">
        <f>_xlfn.AGGREGATE(9,6,Crops[[#This Row],[Bed Prep]:[Remove Crop Residue]])</f>
        <v>8.4781250000000004</v>
      </c>
      <c r="DE8" s="173">
        <f>_xlfn.AGGREGATE(9,6,Crops[[#This Row],[Bed Prep]:[Remove Crop Residue]])-0.75*Crops[[#This Row],[Market &amp; Sell]]</f>
        <v>8.3093750000000011</v>
      </c>
      <c r="DF8" s="36">
        <f>Crops[[#This Row],[Direct Revenue Per Bed2]]/Crops[[#This Row],[Direct Time]]</f>
        <v>26.538886841135273</v>
      </c>
      <c r="DG8" s="36">
        <f>_xlfn.XLOOKUP(Crops[[#This Row],[ProductIndex]],Products[ID],Products[Packaging Cost])*(Crops[[#This Row],[Custom Yield Per Bed]]/_xlfn.XLOOKUP(Crops[[#This Row],[ProductIndex]],Products[ID],Products[Units Per Pack]))</f>
        <v>8.5499999999999989</v>
      </c>
      <c r="DH8" s="36"/>
      <c r="DI8" s="36"/>
      <c r="DJ8" s="36"/>
      <c r="DK8" s="36"/>
      <c r="DL8" s="36"/>
      <c r="DM8" s="33">
        <f>IFERROR(Crops[[#This Row],[Custom Yield Per Bed]]*Crops[[#This Row],[Direct Price]],"")</f>
        <v>225</v>
      </c>
      <c r="DN8" s="36">
        <f>Crops[[#This Row],[Direct Time]]*LaborRate</f>
        <v>211.953125</v>
      </c>
      <c r="DO8" s="36">
        <f>SUM(Crops[[#This Row],[Irrigation Cost]])</f>
        <v>0</v>
      </c>
      <c r="DP8" s="36">
        <f>Crops[[#This Row],[Direct Labor Cost]]+Crops[[#This Row],[Direct Non-Labor Cost]]</f>
        <v>211.953125</v>
      </c>
      <c r="DQ8" s="36">
        <f>Crops[[#This Row],[Direct Revenue Per Bed2]]-Crops[[#This Row],[Direct Total Cost]]</f>
        <v>13.046875</v>
      </c>
      <c r="DR8" s="36">
        <f>Crops[[#This Row],[Direct Profit]]*BedsPerAcre</f>
        <v>2087.5</v>
      </c>
      <c r="DS8" s="36">
        <f>Crops[[#This Row],[Direct Profit]]*BedsPerAcre*GrowingDays/Crops[[#This Row],[Days In Field]]</f>
        <v>7668.3673469387759</v>
      </c>
      <c r="DT8" s="36">
        <f>Crops[[#This Row],[Direct Profit]]/MIN(Crops[[#This Row],[Days In Field]],GrowingDays)</f>
        <v>0.26626275510204084</v>
      </c>
      <c r="DU8" s="33">
        <f>Crops[[#This Row],[Direct Time]] * BedsPerAcre</f>
        <v>1356.5</v>
      </c>
      <c r="DV8" s="36">
        <f>(Crops[[#This Row],[Direct Revenue Per Bed2]]-Crops[[#This Row],[Direct Non-Labor Cost]])/Crops[[#This Row],[Direct Time]]</f>
        <v>26.538886841135273</v>
      </c>
      <c r="DW8" s="33">
        <f>IFERROR(Crops[[#This Row],[Custom Yield Per Bed]]*Crops[[#This Row],[Rough Wholesale Price]],"")</f>
        <v>135</v>
      </c>
      <c r="DX8" s="36">
        <f>Crops[[#This Row],[Wholesale Time]]*LaborRate</f>
        <v>207.73437500000003</v>
      </c>
      <c r="DY8" s="36">
        <f>SUM(Crops[[#This Row],[Packaging Costs]:[Irrigation Cost]])</f>
        <v>8.5499999999999989</v>
      </c>
      <c r="DZ8" s="36">
        <f>Crops[[#This Row],[Wholesale Labor Cost]]+Crops[[#This Row],[Wholesale Non-Labor Cost]]</f>
        <v>216.28437500000004</v>
      </c>
      <c r="EA8" s="36">
        <f>Crops[[#This Row],[Wholesale Revenue Per Bed]]-Crops[[#This Row],[Wholesale Total Cost]]</f>
        <v>-81.28437500000004</v>
      </c>
      <c r="EB8" s="36">
        <f>Crops[[#This Row],[Wholesale Profit]]*BedsPerAcre</f>
        <v>-13005.500000000007</v>
      </c>
      <c r="EC8" s="36">
        <f>Crops[[#This Row],[Wholesale Profit]]*BedsPerAcre*GrowingDays/Crops[[#This Row],[Days In Field]]</f>
        <v>-47775.306122449008</v>
      </c>
      <c r="ED8" s="33">
        <f>Crops[[#This Row],[Wholesale Time]] * BedsPerAcre</f>
        <v>1329.5000000000002</v>
      </c>
      <c r="EE8" s="221">
        <f>Crops[[#This Row],[Wholesale Profit]]/MIN(Crops[[#This Row],[Days In Field]],GrowingDays)</f>
        <v>-1.6588647959183682</v>
      </c>
      <c r="EF8" s="36">
        <f>(Crops[[#This Row],[Wholesale Revenue Per Bed]]-Crops[[#This Row],[Wholesale Non-Labor Cost]])/Crops[[#This Row],[Direct Time]]</f>
        <v>14.914854404718024</v>
      </c>
      <c r="EG8" s="174">
        <f>Crops[[#This Row],[Packaging Costs]]/Crops[[#This Row],[Wholesale Revenue Per Bed]]</f>
        <v>6.3333333333333325E-2</v>
      </c>
      <c r="EH8" s="36" t="str">
        <f>Crops[[#This Row],[Crop]]&amp;Crops[[#This Row],[Product]]&amp;Crops[[#This Row],[Unit]]</f>
        <v>ArugulaBaby LeafLb</v>
      </c>
      <c r="EI8" s="36" t="b">
        <f>_xlfn.XLOOKUP(Crops[[#This Row],[ProductIndex]],Products[ID],Products[Target])</f>
        <v>1</v>
      </c>
      <c r="EJ8" s="33">
        <f>Crops[[#This Row],[Custom Yield Per Bed]]</f>
        <v>22.5</v>
      </c>
      <c r="EK8" s="210">
        <f>Crops[[#This Row],[Units Per Harvest]]/Crops[[#This Row],[Days Between Harvest]]*7</f>
        <v>7.5</v>
      </c>
      <c r="EL8" s="210">
        <f>Crops[[#This Row],[Custom Yield Per Bed]]/_xlfn.XLOOKUP(Crops[[#This Row],[ProductIndex]],Products[ID],Products[CSA Portion])</f>
        <v>90</v>
      </c>
      <c r="EM8" s="210">
        <f>Crops[[#This Row],[Units Per Harvest]]/Crops[[#This Row],[Days Between Harvest]]*7/_xlfn.XLOOKUP(Crops[[#This Row],[ProductIndex]],Products[ID],Products[CSA Portion])</f>
        <v>30</v>
      </c>
      <c r="EN8" s="210">
        <f>Crops[[#This Row],[CSA Portions Per Week]]/CSAMembers</f>
        <v>0.6</v>
      </c>
      <c r="EO8" s="216">
        <v>2</v>
      </c>
      <c r="EP8" s="216">
        <v>1</v>
      </c>
      <c r="EQ8" s="210"/>
      <c r="ER8" s="210">
        <f>Crops[[#This Row],[Harvests]]*Crops[[#This Row],[Days Between Harvest]]/7</f>
        <v>3</v>
      </c>
      <c r="ES8" s="217">
        <f>_xlfn.XLOOKUP(Crops[[#This Row],[ProductIndex]],Products[ID],Products[CSA Need])</f>
        <v>0.5</v>
      </c>
      <c r="ET8" s="217">
        <f>_xlfn.XLOOKUP(Crops[[#This Row],[ProductIndex]],Products[ID],Products[CSA Times])</f>
        <v>2</v>
      </c>
      <c r="EU8" s="208">
        <f>Crops[[#This Row],[Custom Yield Per Bed]]/(Crops[[#This Row],[CSA Need]]*(_xlfn.XLOOKUP(Crops[[#This Row],[ProductIndex]],Products[ID],Products[CSA Portion])*CSAMembers))</f>
        <v>3.6</v>
      </c>
      <c r="EV8" s="208">
        <f>_xlfn.XLOOKUP(Crops[[#This Row],[ProductIndex]],Products[ID],Products[CSA Portion])*CSAMembers*Crops[[#This Row],[CSA Need]]/Crops[[#This Row],[Custom Yield Per Bed]]</f>
        <v>0.27777777777777779</v>
      </c>
      <c r="EW8" s="208">
        <f>IFERROR(Crops[[#This Row],[Days In Field]]*Crops[[#This Row],[CSA Beds]],"")</f>
        <v>13.611111111111112</v>
      </c>
      <c r="EX8" s="208" t="e">
        <f>Crops[[#This Row],[CSA Bed Days]]*#REF!</f>
        <v>#REF!</v>
      </c>
    </row>
    <row r="9" spans="1:156" ht="15" customHeight="1">
      <c r="A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Baby Leaf 1X | Field DS SpSuFa</v>
      </c>
      <c r="B9" s="179"/>
      <c r="C9" s="1"/>
      <c r="D9" s="1"/>
      <c r="E9" s="1" t="b">
        <v>0</v>
      </c>
      <c r="F9" s="1" t="b">
        <f>IFERROR(IF(ISNUMBER(MATCH(Crops[[#This Row],[Identifier]],BedPlan[Crop], 0)), TRUE, FALSE), FALSE)</f>
        <v>0</v>
      </c>
      <c r="G9" s="1" t="b">
        <f>IFERROR(IF(ISNUMBER(MATCH(Crops[[#This Row],[Identifier]],BedPlan[Crop], 0)), TRUE, FALSE), FALSE)</f>
        <v>0</v>
      </c>
      <c r="H9" s="1"/>
      <c r="I9" t="s">
        <v>42</v>
      </c>
      <c r="J9" t="s">
        <v>145</v>
      </c>
      <c r="K9" t="s">
        <v>182</v>
      </c>
      <c r="M9" t="s">
        <v>441</v>
      </c>
      <c r="N9" t="str">
        <f>Crops[[#This Row],[Crop]]</f>
        <v>Arugula</v>
      </c>
      <c r="O9" t="s">
        <v>210</v>
      </c>
      <c r="P9" t="str">
        <f>IF(OR(Crops[[#This Row],[Days in Cells]]="",Crops[[#This Row],[Days in Cells]]=0), "DS","TP")</f>
        <v>DS</v>
      </c>
      <c r="Q9" t="s">
        <v>144</v>
      </c>
      <c r="R9" t="s">
        <v>144</v>
      </c>
      <c r="S9" t="s">
        <v>144</v>
      </c>
      <c r="V9" t="str">
        <f xml:space="preserve"> IF(Crops[[#This Row],[Sp]], "Sp", "") &amp; IF(Crops[[#This Row],[Su]], "Su", "") &amp; IF(Crops[[#This Row],[Fa]], "Fa", "") &amp; IF(Crops[[#This Row],[Wi]], "Wi", "") &amp; IF(Crops[[#This Row],[OW]], "Ow","")</f>
        <v>SpSuFa</v>
      </c>
      <c r="W9" t="s">
        <v>144</v>
      </c>
      <c r="X9">
        <v>6</v>
      </c>
      <c r="Y9">
        <v>1.5</v>
      </c>
      <c r="Z9" t="s">
        <v>431</v>
      </c>
      <c r="AA9" t="s">
        <v>474</v>
      </c>
      <c r="AB9" t="b">
        <v>1</v>
      </c>
      <c r="AC9">
        <v>1</v>
      </c>
      <c r="AD9" s="32">
        <f>IFERROR(12/Crops[[#This Row],[Spacing]]*Crops[[#This Row],[Rows]]*BedLength,"")</f>
        <v>2400</v>
      </c>
      <c r="AE9">
        <v>1</v>
      </c>
      <c r="AG9">
        <f>IF(Crops[[#This Row],[Custom Safety Factor]]="",PlantingSafetyFactor,Crops[[#This Row],[Custom Safety Factor]])</f>
        <v>1.3</v>
      </c>
      <c r="AH9">
        <f>1</f>
        <v>1</v>
      </c>
      <c r="AI9" s="33">
        <f>IFERROR(Crops[[#This Row],[Plantings Per Bed]]*Crops[[#This Row],[Seeds Per Planting]]*Crops[[#This Row],[Safety Factor]]*Crops[[#This Row],[Seeding Factor]],"")</f>
        <v>3120</v>
      </c>
      <c r="AJ9">
        <v>5</v>
      </c>
      <c r="AK9">
        <v>7</v>
      </c>
      <c r="AL9">
        <f>_xlfn.FLOOR.MATH(IFERROR(AVERAGE(Crops[[#This Row],[DTG Lower]:[DTG Upper]]),0))</f>
        <v>6</v>
      </c>
      <c r="AM9">
        <f>SUM(Crops[[#This Row],[Tray 1 Days]],Crops[[#This Row],[Tray 2 Days]],Crops[[#This Row],[Tray 3 Days]])</f>
        <v>0</v>
      </c>
      <c r="AN9" s="32"/>
      <c r="AP9">
        <v>24</v>
      </c>
      <c r="AQ9">
        <f>IFERROR(_xlfn.FLOOR.MATH(AVERAGE(Crops[[#This Row],[DTM Lower]:[DTM Upper]])),"")</f>
        <v>24</v>
      </c>
      <c r="AR9" cm="1">
        <f t="array" ref="AR9">_xlfn.SWITCH(Crops[[#This Row],[Normal Method]],"DS",Crops[[#This Row],[Days to Germination]]+Crops[[#This Row],[DTM]] + IF(Crops[[#This Row],[Days in Cells]]&gt;0,15,0), "TP",Crops[[#This Row],[DTM]]+Crops[[#This Row],[Days in Cells]] + IF(Crops[[#This Row],[Days in Cells]]&lt;=0,20,0), "X", Crops[[#This Row],[DTM]])</f>
        <v>30</v>
      </c>
      <c r="AS9" t="s">
        <v>338</v>
      </c>
      <c r="AT9">
        <f>(Crops[[#This Row],[Harvests]]-1)*Crops[[#This Row],[Days Between Harvest]]+7</f>
        <v>17</v>
      </c>
      <c r="AU9">
        <f>Crops[[#This Row],[STH]]-Crops[[#This Row],[Days in Cells]]+Crops[[#This Row],[Harvest window]]</f>
        <v>47</v>
      </c>
      <c r="AW9">
        <v>0</v>
      </c>
      <c r="AZ9" t="str">
        <f>IFERROR(IF(Crops[[#This Row],[Tray 1 Days]]=0,"",Crops[[#This Row],[Plantings Per Bed]]/Crops[[#This Row],[Tray 1 Size]]*Crops[[#This Row],[Safety Factor]]),"")</f>
        <v/>
      </c>
      <c r="BC9" t="str">
        <f>IFERROR(IF(Crops[[#This Row],[Tray 2 Days]]=0,"",Crops[[#This Row],[Plantings Per Bed]]/Crops[[#This Row],[Tray 2 Size]]*Crops[[#This Row],[Safety Factor]]),"")</f>
        <v/>
      </c>
      <c r="BE9" s="32" t="str">
        <f>IF(NOT(ISBLANK(Crops[[#This Row],[Tray 3 Size]])), Crops[[#This Row],[Days in Cells Old]]-SUM(Crops[[#This Row],[Tray 1 Days]],Crops[[#This Row],[Tray 2 Days]]), "")</f>
        <v/>
      </c>
      <c r="BF9" t="str">
        <f>IFERROR(IF(Crops[[#This Row],[Tray 3 Days]]=0,"",Crops[[#This Row],[Plantings Per Bed]]/Crops[[#This Row],[Tray 3 Size]]*Crops[[#This Row],[Safety Factor]]),"")</f>
        <v/>
      </c>
      <c r="BG9" s="33">
        <f>45*BedLength/StandardBedLength/Crops[[#This Row],[Harvests]]</f>
        <v>11.25</v>
      </c>
      <c r="BH9" s="33">
        <v>2</v>
      </c>
      <c r="BI9" s="33">
        <v>10</v>
      </c>
      <c r="BJ9" s="33">
        <f>_xlfn.XLOOKUP(Crops[[#This Row],[ProductIndex]],Products[ID],Products[Holding Period])</f>
        <v>3</v>
      </c>
      <c r="BK9" s="33"/>
      <c r="BL9" s="33">
        <f>Crops[[#This Row],[Units Per Harvest]]*Crops[[#This Row],[Harvests]]</f>
        <v>22.5</v>
      </c>
      <c r="BM9" s="35">
        <v>10</v>
      </c>
      <c r="BN9" s="212">
        <f>Crops[[#This Row],[Direct Price]]*0.6</f>
        <v>6</v>
      </c>
      <c r="BO9" s="212"/>
      <c r="BP9" t="s">
        <v>383</v>
      </c>
      <c r="BQ9">
        <f>Crops[[#This Row],[Custom Yield Per Bed]]*Crops[[#This Row],[Direct Price]]</f>
        <v>225</v>
      </c>
      <c r="BR9" t="b">
        <v>1</v>
      </c>
      <c r="BS9" t="b">
        <f>Crops[[#This Row],[Harvests]]&gt;1</f>
        <v>1</v>
      </c>
      <c r="BT9" s="36">
        <f>IFERROR(Crops[[#This Row],[Direct Revenue Per Bed]]/Crops[[#This Row],[Days In Field]],-1)</f>
        <v>4.7872340425531918</v>
      </c>
      <c r="BU9" s="33">
        <f>IFERROR(Crops[[#This Row],[Direct Revenue Per Bed Day]]*GrowingDays*BedsPerAcre,"")</f>
        <v>137872.34042553193</v>
      </c>
      <c r="BV9" s="38">
        <f>LastFrostDate-5*Crops[[#This Row],[Sewing Rel Last Frost]]</f>
        <v>45743</v>
      </c>
      <c r="BW9" s="38">
        <f>Crops[[#This Row],[Target Sewing Date]]+Crops[[#This Row],[Days in Cells]]</f>
        <v>45743</v>
      </c>
      <c r="BX9" s="38">
        <f>Crops[[#This Row],[Target Sewing Date]]+Crops[[#This Row],[STH]]</f>
        <v>45773</v>
      </c>
      <c r="BY9" s="38">
        <f>Crops[[#This Row],[Target Harvest Data]]+Crops[[#This Row],[Harvest window]]</f>
        <v>45790</v>
      </c>
      <c r="BZ9">
        <v>1</v>
      </c>
      <c r="CA9" t="s">
        <v>376</v>
      </c>
      <c r="CB9">
        <f>1</f>
        <v>1</v>
      </c>
      <c r="CC9">
        <f>IF(Crops[[#This Row],[Transplanting]]&gt;0, 2, 3)*BedLength/StandardBedLength</f>
        <v>1.5</v>
      </c>
      <c r="CD9" s="173">
        <f>IF(Crops[[#This Row],[Days in Cells]]&lt;=0,0,Crops[[#This Row],[Plantings Per Bed]]/StartsPerHourSeeding+Crops[[#This Row],[Tray 1 Count]]*5/60)</f>
        <v>0</v>
      </c>
      <c r="CE9" s="173">
        <f>IF(ISBLANK(Crops[[#This Row],[Tray 2 Days]]),0,Crops[[#This Row],[Plantings Per Bed]]/UpPottingPerHour)+IF(Crops[[#This Row],[Tray 3 Days]]="",0,Crops[[#This Row],[Plantings Per Bed]]/UpPottingPerHour)</f>
        <v>0</v>
      </c>
      <c r="CF9" s="173">
        <f>IFERROR(Crops[[#This Row],[Tray 1 Count]]/HomeStartFlatIrrigationPerHour,0)*Crops[[#This Row],[Days in Cells]]/DaysBetweenStartIrrigation</f>
        <v>0</v>
      </c>
      <c r="CG9" s="173">
        <f>0.5/16*MAX(Crops[[#This Row],[Tray 1 Count]],Crops[[#This Row],[Tray 2 Count]],Crops[[#This Row],[Tray 3 Count]])</f>
        <v>0</v>
      </c>
      <c r="CH9" s="173">
        <f>IF(Crops[[#This Row],[Days in Cells]]&gt;0,IF(IF(Crops[[#This Row],[Tray 3 Size]]&gt;0,Crops[[#This Row],[Tray 3 Size]],IF(Crops[[#This Row],[Tray 2 Size]]&gt;0,Crops[[#This Row],[Tray 2 Size]],Crops[[#This Row],[Tray 1 Size]]))&lt;=18,LargeTransplantTime,SmallTransplantTime)*Crops[[#This Row],[Plantings Per Bed]],0)</f>
        <v>0</v>
      </c>
      <c r="CI9" s="173"/>
      <c r="CJ9" s="173">
        <f>_xlfn.XLOOKUP(Crops[[#This Row],[Trellis Type]],TrellisMethods[Trellis Type],TrellisMethods[Hours],0,0)</f>
        <v>0</v>
      </c>
      <c r="CK9">
        <f>IF(Crops[[#This Row],[Days in Cells]]&lt;=0,Crops[[#This Row],[Rows]]*1/10,0)*BedLength/50</f>
        <v>0.6</v>
      </c>
      <c r="CL9" cm="1">
        <f t="array" ref="CL9">_xlfn.SWITCH(Crops[[#This Row],[Irrigation]],"DR", 0.5, "OH", 0.25,0)*BedLength/50</f>
        <v>0.25</v>
      </c>
      <c r="CM9">
        <f>IF(OR(ISBLANK(Crops[[#This Row],[Row Cover]]),Crops[[#This Row],[Row Cover]]="None"),0,1)*BedLength/50</f>
        <v>0</v>
      </c>
      <c r="CN9" s="173">
        <f>HoursPerWeedingPass*Crops[[#This Row],[Days In Field]]/14*Crops[[#This Row],[Rows]]+1*BedLength/50</f>
        <v>4.3571428571428577</v>
      </c>
      <c r="CO9" s="49"/>
      <c r="CQ9" s="37">
        <f>_xlfn.XLOOKUP(Crops[[#This Row],[Crop]]&amp;Crops[[#This Row],[Product]]&amp;Crops[[#This Row],[Unit]],Products[ID],Products[Marketing (hr)])*Crops[[#This Row],[Direct Revenue Per Bed]]/2000</f>
        <v>0.22500000000000001</v>
      </c>
      <c r="CR9" s="37">
        <f>_xlfn.XLOOKUP(Crops[[#This Row],[Crop]]&amp;Crops[[#This Row],[Product]]&amp;Crops[[#This Row],[Unit]],Products[ID],Products[Harvest (s)])*Crops[[#This Row],[Custom Yield Per Bed]]/3600</f>
        <v>0.75</v>
      </c>
      <c r="CS9" s="37">
        <f>_xlfn.XLOOKUP(Crops[[#This Row],[Crop]]&amp;Crops[[#This Row],[Product]]&amp;Crops[[#This Row],[Unit]],Products[ID],Products[Bunch (s)])*Crops[[#This Row],[Custom Yield Per Bed]]/3600</f>
        <v>0</v>
      </c>
      <c r="CT9" s="37">
        <f>_xlfn.XLOOKUP(Crops[[#This Row],[Crop]]&amp;Crops[[#This Row],[Product]]&amp;Crops[[#This Row],[Unit]],Products[ID],Products[Haul (s)])*Crops[[#This Row],[Custom Yield Per Bed]]/3600</f>
        <v>5.6250000000000001E-2</v>
      </c>
      <c r="CU9" s="37">
        <f>_xlfn.XLOOKUP(Crops[[#This Row],[Crop]]&amp;Crops[[#This Row],[Product]]&amp;Crops[[#This Row],[Unit]],Products[ID],Products[Wash (s)])*Crops[[#This Row],[Custom Yield Per Bed]]/3600</f>
        <v>0.375</v>
      </c>
      <c r="CV9" s="37">
        <f>_xlfn.XLOOKUP(Crops[[#This Row],[Crop]]&amp;Crops[[#This Row],[Product]]&amp;Crops[[#This Row],[Unit]],Products[ID],Products[Condition (s)])*Crops[[#This Row],[Custom Yield Per Bed]]/3600</f>
        <v>0</v>
      </c>
      <c r="CW9" s="37">
        <f>_xlfn.XLOOKUP(Crops[[#This Row],[Crop]]&amp;Crops[[#This Row],[Product]]&amp;Crops[[#This Row],[Unit]],Products[ID],Products[Trim (s)])*Crops[[#This Row],[Custom Yield Per Bed]]/3600</f>
        <v>6.25E-2</v>
      </c>
      <c r="CX9" s="37">
        <f>_xlfn.XLOOKUP(Crops[[#This Row],[Crop]]&amp;Crops[[#This Row],[Product]]&amp;Crops[[#This Row],[Unit]],Products[ID],Products[Pack (s)])*Crops[[#This Row],[Custom Yield Per Bed]]/3600</f>
        <v>1.8749999999999999E-2</v>
      </c>
      <c r="CY9" s="37">
        <f>_xlfn.XLOOKUP(Crops[[#This Row],[Crop]]&amp;Crops[[#This Row],[Product]]&amp;Crops[[#This Row],[Unit]],Products[ID],Products[Clean (s)])*Crops[[#This Row],[Custom Yield Per Bed]]/3600</f>
        <v>0</v>
      </c>
      <c r="CZ9" s="37">
        <f>_xlfn.XLOOKUP(Crops[[#This Row],[Crop]]&amp;Crops[[#This Row],[Product]]&amp;Crops[[#This Row],[Unit]],Products[ID],Products[Rehandle (s)])*Crops[[#This Row],[Custom Yield Per Bed]]/3600</f>
        <v>0</v>
      </c>
      <c r="DA9" s="37">
        <f>_xlfn.XLOOKUP(Crops[[#This Row],[Crop]]&amp;Crops[[#This Row],[Product]]&amp;Crops[[#This Row],[Unit]],Products[ID],Products[Market Transport (s)])*Crops[[#This Row],[Custom Yield Per Bed]]/3600</f>
        <v>0.140625</v>
      </c>
      <c r="DC9" s="37">
        <f>Crops[[#This Row],[Direct Revenue Per Bed2]]</f>
        <v>225</v>
      </c>
      <c r="DD9" s="173">
        <f>_xlfn.AGGREGATE(9,6,Crops[[#This Row],[Bed Prep]:[Remove Crop Residue]])</f>
        <v>8.335267857142858</v>
      </c>
      <c r="DE9" s="173">
        <f>_xlfn.AGGREGATE(9,6,Crops[[#This Row],[Bed Prep]:[Remove Crop Residue]])-0.75*Crops[[#This Row],[Market &amp; Sell]]</f>
        <v>8.1665178571428587</v>
      </c>
      <c r="DF9" s="36">
        <f>Crops[[#This Row],[Direct Revenue Per Bed2]]/Crops[[#This Row],[Direct Time]]</f>
        <v>26.993733597557707</v>
      </c>
      <c r="DG9" s="36">
        <f>_xlfn.XLOOKUP(Crops[[#This Row],[ProductIndex]],Products[ID],Products[Packaging Cost])*(Crops[[#This Row],[Custom Yield Per Bed]]/_xlfn.XLOOKUP(Crops[[#This Row],[ProductIndex]],Products[ID],Products[Units Per Pack]))</f>
        <v>8.5499999999999989</v>
      </c>
      <c r="DH9" s="36"/>
      <c r="DI9" s="36"/>
      <c r="DJ9" s="36"/>
      <c r="DK9" s="36"/>
      <c r="DL9" s="36"/>
      <c r="DM9" s="33">
        <f>IFERROR(Crops[[#This Row],[Custom Yield Per Bed]]*Crops[[#This Row],[Direct Price]],"")</f>
        <v>225</v>
      </c>
      <c r="DN9" s="36">
        <f>Crops[[#This Row],[Direct Time]]*LaborRate</f>
        <v>208.38169642857144</v>
      </c>
      <c r="DO9" s="36">
        <f>SUM(Crops[[#This Row],[Irrigation Cost]])</f>
        <v>0</v>
      </c>
      <c r="DP9" s="36">
        <f>Crops[[#This Row],[Direct Labor Cost]]+Crops[[#This Row],[Direct Non-Labor Cost]]</f>
        <v>208.38169642857144</v>
      </c>
      <c r="DQ9" s="36">
        <f>Crops[[#This Row],[Direct Revenue Per Bed2]]-Crops[[#This Row],[Direct Total Cost]]</f>
        <v>16.618303571428555</v>
      </c>
      <c r="DR9" s="36">
        <f>Crops[[#This Row],[Direct Profit]]*BedsPerAcre</f>
        <v>2658.9285714285688</v>
      </c>
      <c r="DS9" s="36">
        <f>Crops[[#This Row],[Direct Profit]]*BedsPerAcre*GrowingDays/Crops[[#This Row],[Days In Field]]</f>
        <v>10183.130699088135</v>
      </c>
      <c r="DT9" s="36">
        <f>Crops[[#This Row],[Direct Profit]]/MIN(Crops[[#This Row],[Days In Field]],GrowingDays)</f>
        <v>0.35358092705167138</v>
      </c>
      <c r="DU9" s="33">
        <f>Crops[[#This Row],[Direct Time]] * BedsPerAcre</f>
        <v>1333.6428571428573</v>
      </c>
      <c r="DV9" s="36">
        <f>(Crops[[#This Row],[Direct Revenue Per Bed2]]-Crops[[#This Row],[Direct Non-Labor Cost]])/Crops[[#This Row],[Direct Time]]</f>
        <v>26.993733597557707</v>
      </c>
      <c r="DW9" s="33">
        <f>IFERROR(Crops[[#This Row],[Custom Yield Per Bed]]*Crops[[#This Row],[Rough Wholesale Price]],"")</f>
        <v>135</v>
      </c>
      <c r="DX9" s="36">
        <f>Crops[[#This Row],[Wholesale Time]]*LaborRate</f>
        <v>204.16294642857147</v>
      </c>
      <c r="DY9" s="36">
        <f>SUM(Crops[[#This Row],[Packaging Costs]:[Irrigation Cost]])</f>
        <v>8.5499999999999989</v>
      </c>
      <c r="DZ9" s="36">
        <f>Crops[[#This Row],[Wholesale Labor Cost]]+Crops[[#This Row],[Wholesale Non-Labor Cost]]</f>
        <v>212.71294642857148</v>
      </c>
      <c r="EA9" s="36">
        <f>Crops[[#This Row],[Wholesale Revenue Per Bed]]-Crops[[#This Row],[Wholesale Total Cost]]</f>
        <v>-77.712946428571485</v>
      </c>
      <c r="EB9" s="36">
        <f>Crops[[#This Row],[Wholesale Profit]]*BedsPerAcre</f>
        <v>-12434.071428571438</v>
      </c>
      <c r="EC9" s="36">
        <f>Crops[[#This Row],[Wholesale Profit]]*BedsPerAcre*GrowingDays/Crops[[#This Row],[Days In Field]]</f>
        <v>-47619.848024316154</v>
      </c>
      <c r="ED9" s="33">
        <f>Crops[[#This Row],[Wholesale Time]] * BedsPerAcre</f>
        <v>1306.6428571428573</v>
      </c>
      <c r="EE9" s="221">
        <f>Crops[[#This Row],[Wholesale Profit]]/MIN(Crops[[#This Row],[Days In Field]],GrowingDays)</f>
        <v>-1.6534669452887549</v>
      </c>
      <c r="EF9" s="36">
        <f>(Crops[[#This Row],[Wholesale Revenue Per Bed]]-Crops[[#This Row],[Wholesale Non-Labor Cost]])/Crops[[#This Row],[Direct Time]]</f>
        <v>15.170478281827432</v>
      </c>
      <c r="EG9" s="174">
        <f>Crops[[#This Row],[Packaging Costs]]/Crops[[#This Row],[Wholesale Revenue Per Bed]]</f>
        <v>6.3333333333333325E-2</v>
      </c>
      <c r="EH9" s="36" t="str">
        <f>Crops[[#This Row],[Crop]]&amp;Crops[[#This Row],[Product]]&amp;Crops[[#This Row],[Unit]]</f>
        <v>ArugulaBaby LeafLb</v>
      </c>
      <c r="EI9" s="36" t="b">
        <f>_xlfn.XLOOKUP(Crops[[#This Row],[ProductIndex]],Products[ID],Products[Target])</f>
        <v>1</v>
      </c>
      <c r="EJ9" s="36">
        <f>Crops[[#This Row],[Custom Yield Per Bed]]</f>
        <v>22.5</v>
      </c>
      <c r="EK9" s="210">
        <f>Crops[[#This Row],[Units Per Harvest]]/Crops[[#This Row],[Days Between Harvest]]*7</f>
        <v>7.875</v>
      </c>
      <c r="EL9" s="210">
        <f>Crops[[#This Row],[Custom Yield Per Bed]]/_xlfn.XLOOKUP(Crops[[#This Row],[ProductIndex]],Products[ID],Products[CSA Portion])</f>
        <v>90</v>
      </c>
      <c r="EM9" s="210">
        <f>Crops[[#This Row],[Units Per Harvest]]/Crops[[#This Row],[Days Between Harvest]]*7/_xlfn.XLOOKUP(Crops[[#This Row],[ProductIndex]],Products[ID],Products[CSA Portion])</f>
        <v>31.5</v>
      </c>
      <c r="EN9" s="210">
        <f>Crops[[#This Row],[CSA Portions Per Week]]/CSAMembers</f>
        <v>0.63</v>
      </c>
      <c r="EO9" s="210"/>
      <c r="EP9" s="210"/>
      <c r="EQ9" s="210"/>
      <c r="ER9" s="210">
        <f>Crops[[#This Row],[Harvests]]*Crops[[#This Row],[Days Between Harvest]]/7</f>
        <v>2.8571428571428572</v>
      </c>
      <c r="ES9" s="217">
        <f>_xlfn.XLOOKUP(Crops[[#This Row],[ProductIndex]],Products[ID],Products[CSA Need])</f>
        <v>0.5</v>
      </c>
      <c r="ET9" s="217">
        <f>_xlfn.XLOOKUP(Crops[[#This Row],[ProductIndex]],Products[ID],Products[CSA Times])</f>
        <v>2</v>
      </c>
      <c r="EU9" s="208">
        <f>Crops[[#This Row],[Custom Yield Per Bed]]/(Crops[[#This Row],[CSA Need]]*(_xlfn.XLOOKUP(Crops[[#This Row],[ProductIndex]],Products[ID],Products[CSA Portion])*CSAMembers))</f>
        <v>3.6</v>
      </c>
      <c r="EV9" s="208">
        <f>_xlfn.XLOOKUP(Crops[[#This Row],[ProductIndex]],Products[ID],Products[CSA Portion])*CSAMembers*Crops[[#This Row],[CSA Need]]/Crops[[#This Row],[Custom Yield Per Bed]]</f>
        <v>0.27777777777777779</v>
      </c>
      <c r="EW9" s="208">
        <f>IFERROR(Crops[[#This Row],[Days In Field]]*Crops[[#This Row],[CSA Beds]],"")</f>
        <v>13.055555555555555</v>
      </c>
      <c r="EX9" s="208" t="e">
        <f>Crops[[#This Row],[CSA Bed Days]]*#REF!</f>
        <v>#REF!</v>
      </c>
      <c r="EY9" t="s">
        <v>379</v>
      </c>
    </row>
    <row r="10" spans="1:156" ht="15" customHeight="1">
      <c r="A1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Mature Leaf 3X | Field DS Fa</v>
      </c>
      <c r="B10" s="179"/>
      <c r="C10" s="1" t="b">
        <v>1</v>
      </c>
      <c r="D10" s="1"/>
      <c r="E10" s="1" t="b">
        <v>0</v>
      </c>
      <c r="F10" s="1" t="b">
        <f>IFERROR(IF(ISNUMBER(MATCH(Crops[[#This Row],[Identifier]],BedPlan[Crop], 0)), TRUE, FALSE), FALSE)</f>
        <v>0</v>
      </c>
      <c r="G10" s="1" t="b">
        <f>IFERROR(IF(ISNUMBER(MATCH(Crops[[#This Row],[Identifier]],BedPlan[Crop], 0)), TRUE, FALSE), FALSE)</f>
        <v>0</v>
      </c>
      <c r="H10" s="1"/>
      <c r="I10" t="s">
        <v>42</v>
      </c>
      <c r="J10" t="s">
        <v>145</v>
      </c>
      <c r="K10" t="s">
        <v>179</v>
      </c>
      <c r="M10" t="s">
        <v>441</v>
      </c>
      <c r="N10" t="str">
        <f>Crops[[#This Row],[Crop]]</f>
        <v>Arugula</v>
      </c>
      <c r="O10" t="s">
        <v>210</v>
      </c>
      <c r="P10" t="str">
        <f>IF(OR(Crops[[#This Row],[Days in Cells]]="",Crops[[#This Row],[Days in Cells]]=0), "DS","TP")</f>
        <v>DS</v>
      </c>
      <c r="S10" t="b">
        <v>1</v>
      </c>
      <c r="V10" t="str">
        <f xml:space="preserve"> IF(Crops[[#This Row],[Sp]], "Sp", "") &amp; IF(Crops[[#This Row],[Su]], "Su", "") &amp; IF(Crops[[#This Row],[Fa]], "Fa", "") &amp; IF(Crops[[#This Row],[Wi]], "Wi", "") &amp; IF(Crops[[#This Row],[OW]], "Ow","")</f>
        <v>Fa</v>
      </c>
      <c r="X10">
        <v>4</v>
      </c>
      <c r="Y10">
        <v>9</v>
      </c>
      <c r="Z10" t="s">
        <v>431</v>
      </c>
      <c r="AA10" t="s">
        <v>474</v>
      </c>
      <c r="AC10">
        <v>1</v>
      </c>
      <c r="AD10" s="32">
        <f>IFERROR(12/Crops[[#This Row],[Spacing]]*Crops[[#This Row],[Rows]]*BedLength,"")</f>
        <v>266.66666666666663</v>
      </c>
      <c r="AE10">
        <v>3</v>
      </c>
      <c r="AG10">
        <f>IF(Crops[[#This Row],[Custom Safety Factor]]="",PlantingSafetyFactor,Crops[[#This Row],[Custom Safety Factor]])</f>
        <v>1.3</v>
      </c>
      <c r="AH10">
        <f>1</f>
        <v>1</v>
      </c>
      <c r="AI10" s="33">
        <f>IFERROR(Crops[[#This Row],[Plantings Per Bed]]*Crops[[#This Row],[Seeds Per Planting]]*Crops[[#This Row],[Safety Factor]]*Crops[[#This Row],[Seeding Factor]],"")</f>
        <v>1040</v>
      </c>
      <c r="AJ10">
        <v>5</v>
      </c>
      <c r="AK10">
        <v>7</v>
      </c>
      <c r="AL10">
        <f>_xlfn.FLOOR.MATH(IFERROR(AVERAGE(Crops[[#This Row],[DTG Lower]:[DTG Upper]]),0))</f>
        <v>6</v>
      </c>
      <c r="AM10">
        <f>SUM(Crops[[#This Row],[Tray 1 Days]],Crops[[#This Row],[Tray 2 Days]],Crops[[#This Row],[Tray 3 Days]])</f>
        <v>0</v>
      </c>
      <c r="AN10" s="32">
        <v>18</v>
      </c>
      <c r="AO10">
        <v>28</v>
      </c>
      <c r="AP10">
        <v>35</v>
      </c>
      <c r="AQ10">
        <f>IFERROR(_xlfn.FLOOR.MATH(AVERAGE(Crops[[#This Row],[DTM Lower]:[DTM Upper]])),"")</f>
        <v>31</v>
      </c>
      <c r="AR10" cm="1">
        <f t="array" ref="AR10">_xlfn.SWITCH(Crops[[#This Row],[Normal Method]],"DS",Crops[[#This Row],[Days to Germination]]+Crops[[#This Row],[DTM]] + IF(Crops[[#This Row],[Days in Cells]]&gt;0,15,0), "TP",Crops[[#This Row],[DTM]]+Crops[[#This Row],[Days in Cells]] + IF(Crops[[#This Row],[Days in Cells]]&lt;=0,20,0), "X", Crops[[#This Row],[DTM]])</f>
        <v>31</v>
      </c>
      <c r="AS10" t="s">
        <v>347</v>
      </c>
      <c r="AT10">
        <f>(Crops[[#This Row],[Harvests]]-1)*Crops[[#This Row],[Days Between Harvest]]+7</f>
        <v>16</v>
      </c>
      <c r="AU10">
        <f>Crops[[#This Row],[STH]]-Crops[[#This Row],[Days in Cells]]+Crops[[#This Row],[Harvest window]]</f>
        <v>47</v>
      </c>
      <c r="AW10">
        <v>128</v>
      </c>
      <c r="AZ10" t="str">
        <f>IFERROR(IF(Crops[[#This Row],[Tray 1 Days]]=0,"",Crops[[#This Row],[Plantings Per Bed]]/Crops[[#This Row],[Tray 1 Size]]*Crops[[#This Row],[Safety Factor]]),"")</f>
        <v/>
      </c>
      <c r="BC10" t="str">
        <f>IFERROR(IF(Crops[[#This Row],[Tray 2 Days]]=0,"",Crops[[#This Row],[Plantings Per Bed]]/Crops[[#This Row],[Tray 2 Size]]*Crops[[#This Row],[Safety Factor]]),"")</f>
        <v/>
      </c>
      <c r="BE10" s="32" t="str">
        <f>IF(NOT(ISBLANK(Crops[[#This Row],[Tray 3 Size]])), Crops[[#This Row],[Days in Cells Old]]-SUM(Crops[[#This Row],[Tray 1 Days]],Crops[[#This Row],[Tray 2 Days]]), "")</f>
        <v/>
      </c>
      <c r="BF10" t="str">
        <f>IFERROR(IF(Crops[[#This Row],[Tray 3 Days]]=0,"",Crops[[#This Row],[Plantings Per Bed]]/Crops[[#This Row],[Tray 3 Size]]*Crops[[#This Row],[Safety Factor]]),"")</f>
        <v/>
      </c>
      <c r="BG10" s="33">
        <f>45*BedLength/StandardBedLength/Crops[[#This Row],[Harvests]]</f>
        <v>5.625</v>
      </c>
      <c r="BH10" s="33">
        <v>4</v>
      </c>
      <c r="BI10" s="33">
        <v>3</v>
      </c>
      <c r="BJ10" s="33">
        <f>_xlfn.XLOOKUP(Crops[[#This Row],[ProductIndex]],Products[ID],Products[Holding Period])</f>
        <v>0</v>
      </c>
      <c r="BK10" s="33"/>
      <c r="BL10" s="33">
        <f>Crops[[#This Row],[Units Per Harvest]]*Crops[[#This Row],[Harvests]]</f>
        <v>22.5</v>
      </c>
      <c r="BM10" s="35">
        <v>10</v>
      </c>
      <c r="BN10" s="35">
        <f>Crops[[#This Row],[Direct Price]]*0.6</f>
        <v>6</v>
      </c>
      <c r="BO10" s="35"/>
      <c r="BP10" t="s">
        <v>383</v>
      </c>
      <c r="BQ10">
        <f>Crops[[#This Row],[Custom Yield Per Bed]]*Crops[[#This Row],[Direct Price]]</f>
        <v>225</v>
      </c>
      <c r="BR10" t="b">
        <v>1</v>
      </c>
      <c r="BS10" t="b">
        <f>Crops[[#This Row],[Harvests]]&gt;1</f>
        <v>1</v>
      </c>
      <c r="BT10" s="36">
        <f>IFERROR(Crops[[#This Row],[Direct Revenue Per Bed]]/Crops[[#This Row],[Days In Field]],-1)</f>
        <v>4.7872340425531918</v>
      </c>
      <c r="BU10" s="33">
        <f>IFERROR(Crops[[#This Row],[Direct Revenue Per Bed Day]]*GrowingDays*BedsPerAcre,"")</f>
        <v>137872.34042553193</v>
      </c>
      <c r="BV10" s="38">
        <f>LastFrostDate-5*Crops[[#This Row],[Sewing Rel Last Frost]]</f>
        <v>45833</v>
      </c>
      <c r="BW10" s="38">
        <f>Crops[[#This Row],[Target Sewing Date]]+Crops[[#This Row],[Days in Cells]]</f>
        <v>45833</v>
      </c>
      <c r="BX10" s="38">
        <f>Crops[[#This Row],[Target Sewing Date]]+Crops[[#This Row],[STH]]</f>
        <v>45864</v>
      </c>
      <c r="BY10" s="38">
        <f>Crops[[#This Row],[Target Harvest Data]]+Crops[[#This Row],[Harvest window]]</f>
        <v>45880</v>
      </c>
      <c r="BZ10">
        <v>-17</v>
      </c>
      <c r="CA10" t="s">
        <v>373</v>
      </c>
      <c r="CB10">
        <f>1</f>
        <v>1</v>
      </c>
      <c r="CC10">
        <f>IF(Crops[[#This Row],[Transplanting]]&gt;0, 2, 3)*BedLength/StandardBedLength</f>
        <v>1.5</v>
      </c>
      <c r="CD10" s="173">
        <f>IF(Crops[[#This Row],[Days in Cells]]&lt;=0,0,Crops[[#This Row],[Plantings Per Bed]]/StartsPerHourSeeding+Crops[[#This Row],[Tray 1 Count]]*5/60)</f>
        <v>0</v>
      </c>
      <c r="CE10" s="173">
        <f>IF(ISBLANK(Crops[[#This Row],[Tray 2 Days]]),0,Crops[[#This Row],[Plantings Per Bed]]/UpPottingPerHour)+IF(Crops[[#This Row],[Tray 3 Days]]="",0,Crops[[#This Row],[Plantings Per Bed]]/UpPottingPerHour)</f>
        <v>0</v>
      </c>
      <c r="CF10" s="173">
        <f>IFERROR(Crops[[#This Row],[Tray 1 Count]]/HomeStartFlatIrrigationPerHour,0)*Crops[[#This Row],[Days in Cells]]/DaysBetweenStartIrrigation</f>
        <v>0</v>
      </c>
      <c r="CG10" s="173">
        <f>0.5/16*MAX(Crops[[#This Row],[Tray 1 Count]],Crops[[#This Row],[Tray 2 Count]],Crops[[#This Row],[Tray 3 Count]])</f>
        <v>0</v>
      </c>
      <c r="CH10" s="173">
        <f>IF(Crops[[#This Row],[Days in Cells]]&gt;0,IF(IF(Crops[[#This Row],[Tray 3 Size]]&gt;0,Crops[[#This Row],[Tray 3 Size]],IF(Crops[[#This Row],[Tray 2 Size]]&gt;0,Crops[[#This Row],[Tray 2 Size]],Crops[[#This Row],[Tray 1 Size]]))&lt;=18,LargeTransplantTime,SmallTransplantTime)*Crops[[#This Row],[Plantings Per Bed]],0)</f>
        <v>0</v>
      </c>
      <c r="CI10" s="173"/>
      <c r="CJ10" s="173">
        <f>_xlfn.XLOOKUP(Crops[[#This Row],[Trellis Type]],TrellisMethods[Trellis Type],TrellisMethods[Hours],0,0)</f>
        <v>0</v>
      </c>
      <c r="CK10">
        <f>IF(Crops[[#This Row],[Days in Cells]]&lt;=0,Crops[[#This Row],[Rows]]*1/10,0)*BedLength/50</f>
        <v>0.4</v>
      </c>
      <c r="CL10" cm="1">
        <f t="array" ref="CL10">_xlfn.SWITCH(Crops[[#This Row],[Irrigation]],"DR", 0.5, "OH", 0.25,0)*BedLength/50</f>
        <v>0.25</v>
      </c>
      <c r="CM10">
        <f>IF(OR(ISBLANK(Crops[[#This Row],[Row Cover]]),Crops[[#This Row],[Row Cover]]="None"),0,1)*BedLength/50</f>
        <v>0</v>
      </c>
      <c r="CN10" s="173">
        <f>HoursPerWeedingPass*Crops[[#This Row],[Days In Field]]/14*Crops[[#This Row],[Rows]]+1*BedLength/50</f>
        <v>3.2380952380952381</v>
      </c>
      <c r="CQ10" s="37">
        <f>_xlfn.XLOOKUP(Crops[[#This Row],[Crop]]&amp;Crops[[#This Row],[Product]]&amp;Crops[[#This Row],[Unit]],Products[ID],Products[Marketing (hr)])*Crops[[#This Row],[Direct Revenue Per Bed]]/2000</f>
        <v>0.22500000000000001</v>
      </c>
      <c r="CR10" s="37">
        <f>_xlfn.XLOOKUP(Crops[[#This Row],[Crop]]&amp;Crops[[#This Row],[Product]]&amp;Crops[[#This Row],[Unit]],Products[ID],Products[Harvest (s)])*Crops[[#This Row],[Custom Yield Per Bed]]/3600</f>
        <v>0.75</v>
      </c>
      <c r="CS10" s="37">
        <f>_xlfn.XLOOKUP(Crops[[#This Row],[Crop]]&amp;Crops[[#This Row],[Product]]&amp;Crops[[#This Row],[Unit]],Products[ID],Products[Bunch (s)])*Crops[[#This Row],[Custom Yield Per Bed]]/3600</f>
        <v>0</v>
      </c>
      <c r="CT10" s="37">
        <f>_xlfn.XLOOKUP(Crops[[#This Row],[Crop]]&amp;Crops[[#This Row],[Product]]&amp;Crops[[#This Row],[Unit]],Products[ID],Products[Haul (s)])*Crops[[#This Row],[Custom Yield Per Bed]]/3600</f>
        <v>5.6250000000000001E-2</v>
      </c>
      <c r="CU10" s="37">
        <f>_xlfn.XLOOKUP(Crops[[#This Row],[Crop]]&amp;Crops[[#This Row],[Product]]&amp;Crops[[#This Row],[Unit]],Products[ID],Products[Wash (s)])*Crops[[#This Row],[Custom Yield Per Bed]]/3600</f>
        <v>0.375</v>
      </c>
      <c r="CV10" s="37">
        <f>_xlfn.XLOOKUP(Crops[[#This Row],[Crop]]&amp;Crops[[#This Row],[Product]]&amp;Crops[[#This Row],[Unit]],Products[ID],Products[Condition (s)])*Crops[[#This Row],[Custom Yield Per Bed]]/3600</f>
        <v>0</v>
      </c>
      <c r="CW10" s="37">
        <f>_xlfn.XLOOKUP(Crops[[#This Row],[Crop]]&amp;Crops[[#This Row],[Product]]&amp;Crops[[#This Row],[Unit]],Products[ID],Products[Trim (s)])*Crops[[#This Row],[Custom Yield Per Bed]]/3600</f>
        <v>4.3749999999999997E-2</v>
      </c>
      <c r="CX10" s="37">
        <f>_xlfn.XLOOKUP(Crops[[#This Row],[Crop]]&amp;Crops[[#This Row],[Product]]&amp;Crops[[#This Row],[Unit]],Products[ID],Products[Pack (s)])*Crops[[#This Row],[Custom Yield Per Bed]]/3600</f>
        <v>1.8749999999999999E-2</v>
      </c>
      <c r="CY10" s="37">
        <f>_xlfn.XLOOKUP(Crops[[#This Row],[Crop]]&amp;Crops[[#This Row],[Product]]&amp;Crops[[#This Row],[Unit]],Products[ID],Products[Clean (s)])*Crops[[#This Row],[Custom Yield Per Bed]]/3600</f>
        <v>0</v>
      </c>
      <c r="CZ10" s="37">
        <f>_xlfn.XLOOKUP(Crops[[#This Row],[Crop]]&amp;Crops[[#This Row],[Product]]&amp;Crops[[#This Row],[Unit]],Products[ID],Products[Rehandle (s)])*Crops[[#This Row],[Custom Yield Per Bed]]/3600</f>
        <v>0</v>
      </c>
      <c r="DA10" s="37">
        <f>_xlfn.XLOOKUP(Crops[[#This Row],[Crop]]&amp;Crops[[#This Row],[Product]]&amp;Crops[[#This Row],[Unit]],Products[ID],Products[Market Transport (s)])*Crops[[#This Row],[Custom Yield Per Bed]]/3600</f>
        <v>0.140625</v>
      </c>
      <c r="DC10" s="37">
        <f>Crops[[#This Row],[Direct Revenue Per Bed2]]</f>
        <v>225</v>
      </c>
      <c r="DD10" s="173">
        <f>_xlfn.AGGREGATE(9,6,Crops[[#This Row],[Bed Prep]:[Remove Crop Residue]])</f>
        <v>6.9974702380952376</v>
      </c>
      <c r="DE10" s="173">
        <f>_xlfn.AGGREGATE(9,6,Crops[[#This Row],[Bed Prep]:[Remove Crop Residue]])-0.75*Crops[[#This Row],[Market &amp; Sell]]</f>
        <v>6.8287202380952374</v>
      </c>
      <c r="DF10" s="36">
        <f>Crops[[#This Row],[Direct Revenue Per Bed2]]/Crops[[#This Row],[Direct Time]]</f>
        <v>32.154477596070009</v>
      </c>
      <c r="DG10" s="36">
        <f>_xlfn.XLOOKUP(Crops[[#This Row],[ProductIndex]],Products[ID],Products[Packaging Cost])*(Crops[[#This Row],[Custom Yield Per Bed]]/_xlfn.XLOOKUP(Crops[[#This Row],[ProductIndex]],Products[ID],Products[Units Per Pack]))</f>
        <v>8.5499999999999989</v>
      </c>
      <c r="DH10" s="36"/>
      <c r="DI10" s="36"/>
      <c r="DJ10" s="36"/>
      <c r="DK10" s="36"/>
      <c r="DL10" s="36"/>
      <c r="DM10" s="33">
        <f>IFERROR(Crops[[#This Row],[Custom Yield Per Bed]]*Crops[[#This Row],[Direct Price]],"")</f>
        <v>225</v>
      </c>
      <c r="DN10" s="36">
        <f>Crops[[#This Row],[Direct Time]]*LaborRate</f>
        <v>174.93675595238093</v>
      </c>
      <c r="DO10" s="36">
        <f>SUM(Crops[[#This Row],[Irrigation Cost]])</f>
        <v>0</v>
      </c>
      <c r="DP10" s="36">
        <f>Crops[[#This Row],[Direct Labor Cost]]+Crops[[#This Row],[Direct Non-Labor Cost]]</f>
        <v>174.93675595238093</v>
      </c>
      <c r="DQ10" s="36">
        <f>Crops[[#This Row],[Direct Revenue Per Bed2]]-Crops[[#This Row],[Direct Total Cost]]</f>
        <v>50.063244047619065</v>
      </c>
      <c r="DR10" s="36">
        <f>Crops[[#This Row],[Direct Profit]]*BedsPerAcre</f>
        <v>8010.1190476190504</v>
      </c>
      <c r="DS10" s="36">
        <f>Crops[[#This Row],[Direct Profit]]*BedsPerAcre*GrowingDays/Crops[[#This Row],[Days In Field]]</f>
        <v>30677.051671732534</v>
      </c>
      <c r="DT10" s="36">
        <f>Crops[[#This Row],[Direct Profit]]/MIN(Crops[[#This Row],[Days In Field]],GrowingDays)</f>
        <v>1.0651754052684907</v>
      </c>
      <c r="DU10" s="36">
        <f>Crops[[#This Row],[Direct Time]] * BedsPerAcre</f>
        <v>1119.5952380952381</v>
      </c>
      <c r="DV10" s="36">
        <f>(Crops[[#This Row],[Direct Revenue Per Bed2]]-Crops[[#This Row],[Direct Non-Labor Cost]])/Crops[[#This Row],[Direct Time]]</f>
        <v>32.154477596070009</v>
      </c>
      <c r="DW10" s="33">
        <f>IFERROR(Crops[[#This Row],[Custom Yield Per Bed]]*Crops[[#This Row],[Rough Wholesale Price]],"")</f>
        <v>135</v>
      </c>
      <c r="DX10" s="36">
        <f>Crops[[#This Row],[Wholesale Time]]*LaborRate</f>
        <v>170.71800595238093</v>
      </c>
      <c r="DY10" s="36">
        <f>SUM(Crops[[#This Row],[Packaging Costs]:[Irrigation Cost]])</f>
        <v>8.5499999999999989</v>
      </c>
      <c r="DZ10" s="36">
        <f>Crops[[#This Row],[Wholesale Labor Cost]]+Crops[[#This Row],[Wholesale Non-Labor Cost]]</f>
        <v>179.26800595238095</v>
      </c>
      <c r="EA10" s="36">
        <f>Crops[[#This Row],[Wholesale Revenue Per Bed]]-Crops[[#This Row],[Wholesale Total Cost]]</f>
        <v>-44.268005952380946</v>
      </c>
      <c r="EB10" s="36">
        <f>Crops[[#This Row],[Wholesale Profit]]*BedsPerAcre</f>
        <v>-7082.8809523809514</v>
      </c>
      <c r="EC10" s="36">
        <f>Crops[[#This Row],[Wholesale Profit]]*BedsPerAcre*GrowingDays/Crops[[#This Row],[Days In Field]]</f>
        <v>-27125.92705167173</v>
      </c>
      <c r="ED10" s="36">
        <f>Crops[[#This Row],[Wholesale Time]] * BedsPerAcre</f>
        <v>1092.5952380952381</v>
      </c>
      <c r="EE10" s="36">
        <f>Crops[[#This Row],[Wholesale Profit]]/MIN(Crops[[#This Row],[Days In Field]],GrowingDays)</f>
        <v>-0.94187246707193506</v>
      </c>
      <c r="EF10" s="36">
        <f>(Crops[[#This Row],[Wholesale Revenue Per Bed]]-Crops[[#This Row],[Wholesale Non-Labor Cost]])/Crops[[#This Row],[Direct Time]]</f>
        <v>18.070816408991345</v>
      </c>
      <c r="EG10" s="174">
        <f>Crops[[#This Row],[Packaging Costs]]/Crops[[#This Row],[Wholesale Revenue Per Bed]]</f>
        <v>6.3333333333333325E-2</v>
      </c>
      <c r="EH10" s="36" t="str">
        <f>Crops[[#This Row],[Crop]]&amp;Crops[[#This Row],[Product]]&amp;Crops[[#This Row],[Unit]]</f>
        <v>ArugulaMature LeafLb</v>
      </c>
      <c r="EI10" s="36" t="b">
        <f>_xlfn.XLOOKUP(Crops[[#This Row],[ProductIndex]],Products[ID],Products[Target])</f>
        <v>1</v>
      </c>
      <c r="EJ10" s="36">
        <f>Crops[[#This Row],[Custom Yield Per Bed]]</f>
        <v>22.5</v>
      </c>
      <c r="EK10" s="36">
        <f>Crops[[#This Row],[Units Per Harvest]]/Crops[[#This Row],[Days Between Harvest]]*7</f>
        <v>13.125</v>
      </c>
      <c r="EL10" s="36" t="e">
        <f>Crops[[#This Row],[Custom Yield Per Bed]]/_xlfn.XLOOKUP(Crops[[#This Row],[ProductIndex]],Products[ID],Products[CSA Portion])</f>
        <v>#DIV/0!</v>
      </c>
      <c r="EM10" s="36" t="e">
        <f>Crops[[#This Row],[Units Per Harvest]]/Crops[[#This Row],[Days Between Harvest]]*7/_xlfn.XLOOKUP(Crops[[#This Row],[ProductIndex]],Products[ID],Products[CSA Portion])</f>
        <v>#DIV/0!</v>
      </c>
      <c r="EN10" s="36" t="e">
        <f>Crops[[#This Row],[CSA Portions Per Week]]/CSAMembers</f>
        <v>#DIV/0!</v>
      </c>
      <c r="EO10" s="36"/>
      <c r="EP10" s="36"/>
      <c r="EQ10" s="36"/>
      <c r="ER10" s="36">
        <f>Crops[[#This Row],[Harvests]]*Crops[[#This Row],[Days Between Harvest]]/7</f>
        <v>1.7142857142857142</v>
      </c>
      <c r="ES10" s="208">
        <f>_xlfn.XLOOKUP(Crops[[#This Row],[ProductIndex]],Products[ID],Products[CSA Need])</f>
        <v>0</v>
      </c>
      <c r="ET10" s="208">
        <f>_xlfn.XLOOKUP(Crops[[#This Row],[ProductIndex]],Products[ID],Products[CSA Times])</f>
        <v>0</v>
      </c>
      <c r="EU10" s="208" t="e">
        <f>Crops[[#This Row],[Custom Yield Per Bed]]/(Crops[[#This Row],[CSA Need]]*(_xlfn.XLOOKUP(Crops[[#This Row],[ProductIndex]],Products[ID],Products[CSA Portion])*CSAMembers))</f>
        <v>#DIV/0!</v>
      </c>
      <c r="EV10" s="208">
        <f>_xlfn.XLOOKUP(Crops[[#This Row],[ProductIndex]],Products[ID],Products[CSA Portion])*CSAMembers*Crops[[#This Row],[CSA Need]]/Crops[[#This Row],[Custom Yield Per Bed]]</f>
        <v>0</v>
      </c>
      <c r="EW10" s="208">
        <f>IFERROR(Crops[[#This Row],[Days In Field]]*Crops[[#This Row],[CSA Beds]],"")</f>
        <v>0</v>
      </c>
      <c r="EX10" s="208" t="e">
        <f>Crops[[#This Row],[CSA Bed Days]]*#REF!</f>
        <v>#REF!</v>
      </c>
    </row>
    <row r="11" spans="1:156" ht="15" customHeight="1">
      <c r="A1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Mature Leaf 3X | Greenhouse TP Wi</v>
      </c>
      <c r="B11" s="179"/>
      <c r="C11" s="1"/>
      <c r="D11" s="1"/>
      <c r="E11" s="1" t="b">
        <v>0</v>
      </c>
      <c r="F11" s="1" t="b">
        <f>IFERROR(IF(ISNUMBER(MATCH(Crops[[#This Row],[Identifier]],BedPlan[Crop], 0)), TRUE, FALSE), FALSE)</f>
        <v>0</v>
      </c>
      <c r="G11" s="1" t="b">
        <f>IFERROR(IF(ISNUMBER(MATCH(Crops[[#This Row],[Identifier]],BedPlan[Crop], 0)), TRUE, FALSE), FALSE)</f>
        <v>0</v>
      </c>
      <c r="H11" s="1"/>
      <c r="I11" t="s">
        <v>42</v>
      </c>
      <c r="J11" t="s">
        <v>145</v>
      </c>
      <c r="K11" t="s">
        <v>179</v>
      </c>
      <c r="M11" t="s">
        <v>441</v>
      </c>
      <c r="N11" t="str">
        <f>Crops[[#This Row],[Crop]]</f>
        <v>Arugula</v>
      </c>
      <c r="O11" t="s">
        <v>211</v>
      </c>
      <c r="P11" t="str">
        <f>IF(OR(Crops[[#This Row],[Days in Cells]]="",Crops[[#This Row],[Days in Cells]]=0), "DS","TP")</f>
        <v>TP</v>
      </c>
      <c r="T11" t="b">
        <v>1</v>
      </c>
      <c r="V11" t="str">
        <f xml:space="preserve"> IF(Crops[[#This Row],[Sp]], "Sp", "") &amp; IF(Crops[[#This Row],[Su]], "Su", "") &amp; IF(Crops[[#This Row],[Fa]], "Fa", "") &amp; IF(Crops[[#This Row],[Wi]], "Wi", "") &amp; IF(Crops[[#This Row],[OW]], "Ow","")</f>
        <v>Wi</v>
      </c>
      <c r="X11">
        <v>4</v>
      </c>
      <c r="Y11">
        <v>9</v>
      </c>
      <c r="Z11" t="s">
        <v>431</v>
      </c>
      <c r="AA11" t="s">
        <v>474</v>
      </c>
      <c r="AB11" t="b">
        <v>1</v>
      </c>
      <c r="AC11">
        <v>1</v>
      </c>
      <c r="AD11" s="32">
        <f>IFERROR(12/Crops[[#This Row],[Spacing]]*Crops[[#This Row],[Rows]]*BedLength,"")</f>
        <v>266.66666666666663</v>
      </c>
      <c r="AE11">
        <v>3</v>
      </c>
      <c r="AG11">
        <f>IF(Crops[[#This Row],[Custom Safety Factor]]="",PlantingSafetyFactor,Crops[[#This Row],[Custom Safety Factor]])</f>
        <v>1.3</v>
      </c>
      <c r="AH11">
        <f>1</f>
        <v>1</v>
      </c>
      <c r="AI11" s="33">
        <f>IFERROR(Crops[[#This Row],[Plantings Per Bed]]*Crops[[#This Row],[Seeds Per Planting]]*Crops[[#This Row],[Safety Factor]]*Crops[[#This Row],[Seeding Factor]],"")</f>
        <v>1040</v>
      </c>
      <c r="AJ11">
        <v>5</v>
      </c>
      <c r="AK11">
        <v>7</v>
      </c>
      <c r="AL11">
        <f>_xlfn.FLOOR.MATH(IFERROR(AVERAGE(Crops[[#This Row],[DTG Lower]:[DTG Upper]]),0))</f>
        <v>6</v>
      </c>
      <c r="AM11">
        <f>SUM(Crops[[#This Row],[Tray 1 Days]],Crops[[#This Row],[Tray 2 Days]],Crops[[#This Row],[Tray 3 Days]])</f>
        <v>18</v>
      </c>
      <c r="AN11" s="32">
        <v>18</v>
      </c>
      <c r="AO11">
        <v>28</v>
      </c>
      <c r="AP11">
        <v>35</v>
      </c>
      <c r="AQ11">
        <f>IFERROR(_xlfn.FLOOR.MATH(AVERAGE(Crops[[#This Row],[DTM Lower]:[DTM Upper]])),"")</f>
        <v>31</v>
      </c>
      <c r="AR11" cm="1">
        <f t="array" ref="AR11">_xlfn.SWITCH(Crops[[#This Row],[Normal Method]],"DS",Crops[[#This Row],[Days to Germination]]+Crops[[#This Row],[DTM]] + IF(Crops[[#This Row],[Days in Cells]]&gt;0,15,0), "TP",Crops[[#This Row],[DTM]]+Crops[[#This Row],[Days in Cells]] + IF(Crops[[#This Row],[Days in Cells]]&lt;=0,20,0), "X", Crops[[#This Row],[DTM]])</f>
        <v>31</v>
      </c>
      <c r="AS11" t="s">
        <v>347</v>
      </c>
      <c r="AT11">
        <f>(Crops[[#This Row],[Harvests]]-1)*Crops[[#This Row],[Days Between Harvest]]+7</f>
        <v>70</v>
      </c>
      <c r="AU11">
        <f>Crops[[#This Row],[STH]]-Crops[[#This Row],[Days in Cells]]+Crops[[#This Row],[Harvest window]]</f>
        <v>83</v>
      </c>
      <c r="AX11">
        <v>128</v>
      </c>
      <c r="AY11">
        <v>18</v>
      </c>
      <c r="AZ11" s="49">
        <f>IFERROR(IF(Crops[[#This Row],[Tray 1 Days]]=0,"",Crops[[#This Row],[Plantings Per Bed]]/Crops[[#This Row],[Tray 1 Size]]*Crops[[#This Row],[Safety Factor]]),"")</f>
        <v>2.708333333333333</v>
      </c>
      <c r="BC11" t="str">
        <f>IFERROR(IF(Crops[[#This Row],[Tray 2 Days]]=0,"",Crops[[#This Row],[Plantings Per Bed]]/Crops[[#This Row],[Tray 2 Size]]*Crops[[#This Row],[Safety Factor]]),"")</f>
        <v/>
      </c>
      <c r="BE11" s="32" t="str">
        <f>IF(NOT(ISBLANK(Crops[[#This Row],[Tray 3 Size]])), Crops[[#This Row],[Days in Cells Old]]-SUM(Crops[[#This Row],[Tray 1 Days]],Crops[[#This Row],[Tray 2 Days]]), "")</f>
        <v/>
      </c>
      <c r="BF11" s="49" t="str">
        <f>IFERROR(IF(Crops[[#This Row],[Tray 3 Days]]=0,"",Crops[[#This Row],[Plantings Per Bed]]/Crops[[#This Row],[Tray 3 Size]]*Crops[[#This Row],[Safety Factor]]),"")</f>
        <v/>
      </c>
      <c r="BG11" s="33">
        <f>45*BedLength/StandardBedLength/Crops[[#This Row],[Harvests]]</f>
        <v>5.625</v>
      </c>
      <c r="BH11" s="33">
        <v>4</v>
      </c>
      <c r="BI11" s="33">
        <v>21</v>
      </c>
      <c r="BJ11" s="33">
        <f>_xlfn.XLOOKUP(Crops[[#This Row],[ProductIndex]],Products[ID],Products[Holding Period])</f>
        <v>0</v>
      </c>
      <c r="BK11" s="33"/>
      <c r="BL11" s="33">
        <f>Crops[[#This Row],[Units Per Harvest]]*Crops[[#This Row],[Harvests]]</f>
        <v>22.5</v>
      </c>
      <c r="BM11" s="35">
        <v>10</v>
      </c>
      <c r="BN11" s="35">
        <f>Crops[[#This Row],[Direct Price]]*0.6</f>
        <v>6</v>
      </c>
      <c r="BO11" s="35"/>
      <c r="BP11" t="s">
        <v>383</v>
      </c>
      <c r="BQ11">
        <f>Crops[[#This Row],[Custom Yield Per Bed]]*Crops[[#This Row],[Direct Price]]</f>
        <v>225</v>
      </c>
      <c r="BR11" t="b">
        <v>1</v>
      </c>
      <c r="BS11" t="b">
        <f>Crops[[#This Row],[Harvests]]&gt;1</f>
        <v>1</v>
      </c>
      <c r="BT11" s="36">
        <f>IFERROR(Crops[[#This Row],[Direct Revenue Per Bed]]/Crops[[#This Row],[Days In Field]],-1)</f>
        <v>2.7108433734939759</v>
      </c>
      <c r="BU11" s="33">
        <f>IFERROR(Crops[[#This Row],[Direct Revenue Per Bed Day]]*GrowingDays*BedsPerAcre,"")</f>
        <v>78072.289156626503</v>
      </c>
      <c r="BV11" s="38">
        <f>LastFrostDate-5*Crops[[#This Row],[Sewing Rel Last Frost]]</f>
        <v>45868</v>
      </c>
      <c r="BW11" s="38">
        <f>Crops[[#This Row],[Target Sewing Date]]+Crops[[#This Row],[Days in Cells]]</f>
        <v>45886</v>
      </c>
      <c r="BX11" s="38">
        <f>Crops[[#This Row],[Target Sewing Date]]+Crops[[#This Row],[STH]]</f>
        <v>45899</v>
      </c>
      <c r="BY11" s="38">
        <f>Crops[[#This Row],[Target Harvest Data]]+Crops[[#This Row],[Harvest window]]</f>
        <v>45969</v>
      </c>
      <c r="BZ11">
        <v>-24</v>
      </c>
      <c r="CA11" t="s">
        <v>373</v>
      </c>
      <c r="CB11">
        <f>1</f>
        <v>1</v>
      </c>
      <c r="CC11">
        <f>IF(Crops[[#This Row],[Transplanting]]&gt;0, 2, 3)*BedLength/StandardBedLength</f>
        <v>1</v>
      </c>
      <c r="CD11" s="173">
        <f>IF(Crops[[#This Row],[Days in Cells]]&lt;=0,0,Crops[[#This Row],[Plantings Per Bed]]/StartsPerHourSeeding+Crops[[#This Row],[Tray 1 Count]]*5/60)</f>
        <v>1.2673611111111109</v>
      </c>
      <c r="CE11" s="173">
        <f>IF(ISBLANK(Crops[[#This Row],[Tray 2 Days]]),0,Crops[[#This Row],[Plantings Per Bed]]/UpPottingPerHour)+IF(Crops[[#This Row],[Tray 3 Days]]="",0,Crops[[#This Row],[Plantings Per Bed]]/UpPottingPerHour)</f>
        <v>0</v>
      </c>
      <c r="CF11" s="173">
        <f>IFERROR(Crops[[#This Row],[Tray 1 Count]]/HomeStartFlatIrrigationPerHour,0)*Crops[[#This Row],[Days in Cells]]/DaysBetweenStartIrrigation</f>
        <v>0.20312499999999997</v>
      </c>
      <c r="CG11" s="173">
        <f>0.5/16*MAX(Crops[[#This Row],[Tray 1 Count]],Crops[[#This Row],[Tray 2 Count]],Crops[[#This Row],[Tray 3 Count]])</f>
        <v>8.4635416666666657E-2</v>
      </c>
      <c r="CH11" s="173">
        <f>IF(Crops[[#This Row],[Days in Cells]]&gt;0,IF(IF(Crops[[#This Row],[Tray 3 Size]]&gt;0,Crops[[#This Row],[Tray 3 Size]],IF(Crops[[#This Row],[Tray 2 Size]]&gt;0,Crops[[#This Row],[Tray 2 Size]],Crops[[#This Row],[Tray 1 Size]]))&lt;=18,LargeTransplantTime,SmallTransplantTime)*Crops[[#This Row],[Plantings Per Bed]],0)</f>
        <v>1.3333333333333333</v>
      </c>
      <c r="CI11" s="173"/>
      <c r="CJ11" s="173">
        <f>_xlfn.XLOOKUP(Crops[[#This Row],[Trellis Type]],TrellisMethods[Trellis Type],TrellisMethods[Hours],0,0)</f>
        <v>0</v>
      </c>
      <c r="CK11">
        <f>IF(Crops[[#This Row],[Days in Cells]]&lt;=0,Crops[[#This Row],[Rows]]*1/10,0)*BedLength/50</f>
        <v>0</v>
      </c>
      <c r="CL11" cm="1">
        <f t="array" ref="CL11">_xlfn.SWITCH(Crops[[#This Row],[Irrigation]],"DR", 0.5, "OH", 0.25,0)*BedLength/50</f>
        <v>0.25</v>
      </c>
      <c r="CM11">
        <f>IF(OR(ISBLANK(Crops[[#This Row],[Row Cover]]),Crops[[#This Row],[Row Cover]]="None"),0,1)*BedLength/50</f>
        <v>0</v>
      </c>
      <c r="CN11" s="173">
        <f>HoursPerWeedingPass*Crops[[#This Row],[Days In Field]]/14*Crops[[#This Row],[Rows]]+1*BedLength/50</f>
        <v>4.9523809523809526</v>
      </c>
      <c r="CQ11" s="37">
        <f>_xlfn.XLOOKUP(Crops[[#This Row],[Crop]]&amp;Crops[[#This Row],[Product]]&amp;Crops[[#This Row],[Unit]],Products[ID],Products[Marketing (hr)])*Crops[[#This Row],[Direct Revenue Per Bed]]/2000</f>
        <v>0.22500000000000001</v>
      </c>
      <c r="CR11" s="37">
        <f>_xlfn.XLOOKUP(Crops[[#This Row],[Crop]]&amp;Crops[[#This Row],[Product]]&amp;Crops[[#This Row],[Unit]],Products[ID],Products[Harvest (s)])*Crops[[#This Row],[Custom Yield Per Bed]]/3600</f>
        <v>0.75</v>
      </c>
      <c r="CS11" s="37">
        <f>_xlfn.XLOOKUP(Crops[[#This Row],[Crop]]&amp;Crops[[#This Row],[Product]]&amp;Crops[[#This Row],[Unit]],Products[ID],Products[Bunch (s)])*Crops[[#This Row],[Custom Yield Per Bed]]/3600</f>
        <v>0</v>
      </c>
      <c r="CT11" s="37">
        <f>_xlfn.XLOOKUP(Crops[[#This Row],[Crop]]&amp;Crops[[#This Row],[Product]]&amp;Crops[[#This Row],[Unit]],Products[ID],Products[Haul (s)])*Crops[[#This Row],[Custom Yield Per Bed]]/3600</f>
        <v>5.6250000000000001E-2</v>
      </c>
      <c r="CU11" s="37">
        <f>_xlfn.XLOOKUP(Crops[[#This Row],[Crop]]&amp;Crops[[#This Row],[Product]]&amp;Crops[[#This Row],[Unit]],Products[ID],Products[Wash (s)])*Crops[[#This Row],[Custom Yield Per Bed]]/3600</f>
        <v>0.375</v>
      </c>
      <c r="CV11" s="37">
        <f>_xlfn.XLOOKUP(Crops[[#This Row],[Crop]]&amp;Crops[[#This Row],[Product]]&amp;Crops[[#This Row],[Unit]],Products[ID],Products[Condition (s)])*Crops[[#This Row],[Custom Yield Per Bed]]/3600</f>
        <v>0</v>
      </c>
      <c r="CW11" s="37">
        <f>_xlfn.XLOOKUP(Crops[[#This Row],[Crop]]&amp;Crops[[#This Row],[Product]]&amp;Crops[[#This Row],[Unit]],Products[ID],Products[Trim (s)])*Crops[[#This Row],[Custom Yield Per Bed]]/3600</f>
        <v>4.3749999999999997E-2</v>
      </c>
      <c r="CX11" s="37">
        <f>_xlfn.XLOOKUP(Crops[[#This Row],[Crop]]&amp;Crops[[#This Row],[Product]]&amp;Crops[[#This Row],[Unit]],Products[ID],Products[Pack (s)])*Crops[[#This Row],[Custom Yield Per Bed]]/3600</f>
        <v>1.8749999999999999E-2</v>
      </c>
      <c r="CY11" s="37">
        <f>_xlfn.XLOOKUP(Crops[[#This Row],[Crop]]&amp;Crops[[#This Row],[Product]]&amp;Crops[[#This Row],[Unit]],Products[ID],Products[Clean (s)])*Crops[[#This Row],[Custom Yield Per Bed]]/3600</f>
        <v>0</v>
      </c>
      <c r="CZ11" s="37">
        <f>_xlfn.XLOOKUP(Crops[[#This Row],[Crop]]&amp;Crops[[#This Row],[Product]]&amp;Crops[[#This Row],[Unit]],Products[ID],Products[Rehandle (s)])*Crops[[#This Row],[Custom Yield Per Bed]]/3600</f>
        <v>0</v>
      </c>
      <c r="DA11" s="37">
        <f>_xlfn.XLOOKUP(Crops[[#This Row],[Crop]]&amp;Crops[[#This Row],[Product]]&amp;Crops[[#This Row],[Unit]],Products[ID],Products[Market Transport (s)])*Crops[[#This Row],[Custom Yield Per Bed]]/3600</f>
        <v>0.140625</v>
      </c>
      <c r="DC11" s="37">
        <f>Crops[[#This Row],[Direct Revenue Per Bed2]]</f>
        <v>225</v>
      </c>
      <c r="DD11" s="173">
        <f>_xlfn.AGGREGATE(9,6,Crops[[#This Row],[Bed Prep]:[Remove Crop Residue]])</f>
        <v>10.700210813492063</v>
      </c>
      <c r="DE11" s="173">
        <f>_xlfn.AGGREGATE(9,6,Crops[[#This Row],[Bed Prep]:[Remove Crop Residue]])-0.75*Crops[[#This Row],[Market &amp; Sell]]</f>
        <v>10.531460813492064</v>
      </c>
      <c r="DF11" s="36">
        <f>Crops[[#This Row],[Direct Revenue Per Bed2]]/Crops[[#This Row],[Direct Time]]</f>
        <v>21.027623092836077</v>
      </c>
      <c r="DG11" s="36">
        <f>_xlfn.XLOOKUP(Crops[[#This Row],[ProductIndex]],Products[ID],Products[Packaging Cost])*(Crops[[#This Row],[Custom Yield Per Bed]]/_xlfn.XLOOKUP(Crops[[#This Row],[ProductIndex]],Products[ID],Products[Units Per Pack]))</f>
        <v>8.5499999999999989</v>
      </c>
      <c r="DH11" s="36"/>
      <c r="DI11" s="36"/>
      <c r="DJ11" s="36"/>
      <c r="DK11" s="36"/>
      <c r="DL11" s="36"/>
      <c r="DM11" s="33">
        <f>IFERROR(Crops[[#This Row],[Custom Yield Per Bed]]*Crops[[#This Row],[Direct Price]],"")</f>
        <v>225</v>
      </c>
      <c r="DN11" s="36">
        <f>Crops[[#This Row],[Direct Time]]*LaborRate</f>
        <v>267.50527033730157</v>
      </c>
      <c r="DO11" s="36">
        <f>SUM(Crops[[#This Row],[Irrigation Cost]])</f>
        <v>0</v>
      </c>
      <c r="DP11" s="36">
        <f>Crops[[#This Row],[Direct Labor Cost]]+Crops[[#This Row],[Direct Non-Labor Cost]]</f>
        <v>267.50527033730157</v>
      </c>
      <c r="DQ11" s="36">
        <f>Crops[[#This Row],[Direct Revenue Per Bed2]]-Crops[[#This Row],[Direct Total Cost]]</f>
        <v>-42.505270337301567</v>
      </c>
      <c r="DR11" s="36">
        <f>Crops[[#This Row],[Direct Profit]]*BedsPerAcre</f>
        <v>-6800.8432539682508</v>
      </c>
      <c r="DS11" s="36">
        <f>Crops[[#This Row],[Direct Profit]]*BedsPerAcre*GrowingDays/Crops[[#This Row],[Days In Field]]</f>
        <v>-14748.816695352834</v>
      </c>
      <c r="DT11" s="36">
        <f>Crops[[#This Row],[Direct Profit]]/MIN(Crops[[#This Row],[Days In Field]],GrowingDays)</f>
        <v>-0.51211169081086227</v>
      </c>
      <c r="DU11" s="36">
        <f>Crops[[#This Row],[Direct Time]] * BedsPerAcre</f>
        <v>1712.0337301587301</v>
      </c>
      <c r="DV11" s="36">
        <f>(Crops[[#This Row],[Direct Revenue Per Bed2]]-Crops[[#This Row],[Direct Non-Labor Cost]])/Crops[[#This Row],[Direct Time]]</f>
        <v>21.027623092836077</v>
      </c>
      <c r="DW11" s="33">
        <f>IFERROR(Crops[[#This Row],[Custom Yield Per Bed]]*Crops[[#This Row],[Rough Wholesale Price]],"")</f>
        <v>135</v>
      </c>
      <c r="DX11" s="36">
        <f>Crops[[#This Row],[Wholesale Time]]*LaborRate</f>
        <v>263.28652033730162</v>
      </c>
      <c r="DY11" s="36">
        <f>SUM(Crops[[#This Row],[Packaging Costs]:[Irrigation Cost]])</f>
        <v>8.5499999999999989</v>
      </c>
      <c r="DZ11" s="36">
        <f>Crops[[#This Row],[Wholesale Labor Cost]]+Crops[[#This Row],[Wholesale Non-Labor Cost]]</f>
        <v>271.83652033730164</v>
      </c>
      <c r="EA11" s="36">
        <f>Crops[[#This Row],[Wholesale Revenue Per Bed]]-Crops[[#This Row],[Wholesale Total Cost]]</f>
        <v>-136.83652033730164</v>
      </c>
      <c r="EB11" s="36">
        <f>Crops[[#This Row],[Wholesale Profit]]*BedsPerAcre</f>
        <v>-21893.843253968262</v>
      </c>
      <c r="EC11" s="36">
        <f>Crops[[#This Row],[Wholesale Profit]]*BedsPerAcre*GrowingDays/Crops[[#This Row],[Days In Field]]</f>
        <v>-47480.623924268519</v>
      </c>
      <c r="ED11" s="36">
        <f>Crops[[#This Row],[Wholesale Time]] * BedsPerAcre</f>
        <v>1685.0337301587301</v>
      </c>
      <c r="EE11" s="36">
        <f>Crops[[#This Row],[Wholesale Profit]]/MIN(Crops[[#This Row],[Days In Field]],GrowingDays)</f>
        <v>-1.6486327751482124</v>
      </c>
      <c r="EF11" s="36">
        <f>(Crops[[#This Row],[Wholesale Revenue Per Bed]]-Crops[[#This Row],[Wholesale Non-Labor Cost]])/Crops[[#This Row],[Direct Time]]</f>
        <v>11.817524178173874</v>
      </c>
      <c r="EG11" s="174">
        <f>Crops[[#This Row],[Packaging Costs]]/Crops[[#This Row],[Wholesale Revenue Per Bed]]</f>
        <v>6.3333333333333325E-2</v>
      </c>
      <c r="EH11" s="36" t="str">
        <f>Crops[[#This Row],[Crop]]&amp;Crops[[#This Row],[Product]]&amp;Crops[[#This Row],[Unit]]</f>
        <v>ArugulaMature LeafLb</v>
      </c>
      <c r="EI11" s="36" t="b">
        <f>_xlfn.XLOOKUP(Crops[[#This Row],[ProductIndex]],Products[ID],Products[Target])</f>
        <v>1</v>
      </c>
      <c r="EJ11" s="36">
        <f>Crops[[#This Row],[Custom Yield Per Bed]]</f>
        <v>22.5</v>
      </c>
      <c r="EK11" s="36">
        <f>Crops[[#This Row],[Units Per Harvest]]/Crops[[#This Row],[Days Between Harvest]]*7</f>
        <v>1.875</v>
      </c>
      <c r="EL11" s="36" t="e">
        <f>Crops[[#This Row],[Custom Yield Per Bed]]/_xlfn.XLOOKUP(Crops[[#This Row],[ProductIndex]],Products[ID],Products[CSA Portion])</f>
        <v>#DIV/0!</v>
      </c>
      <c r="EM11" s="36" t="e">
        <f>Crops[[#This Row],[Units Per Harvest]]/Crops[[#This Row],[Days Between Harvest]]*7/_xlfn.XLOOKUP(Crops[[#This Row],[ProductIndex]],Products[ID],Products[CSA Portion])</f>
        <v>#DIV/0!</v>
      </c>
      <c r="EN11" s="36" t="e">
        <f>Crops[[#This Row],[CSA Portions Per Week]]/CSAMembers</f>
        <v>#DIV/0!</v>
      </c>
      <c r="EO11" s="36"/>
      <c r="EP11" s="36"/>
      <c r="EQ11" s="36"/>
      <c r="ER11" s="36">
        <f>Crops[[#This Row],[Harvests]]*Crops[[#This Row],[Days Between Harvest]]/7</f>
        <v>12</v>
      </c>
      <c r="ES11" s="208">
        <f>_xlfn.XLOOKUP(Crops[[#This Row],[ProductIndex]],Products[ID],Products[CSA Need])</f>
        <v>0</v>
      </c>
      <c r="ET11" s="208">
        <f>_xlfn.XLOOKUP(Crops[[#This Row],[ProductIndex]],Products[ID],Products[CSA Times])</f>
        <v>0</v>
      </c>
      <c r="EU11" s="208" t="e">
        <f>Crops[[#This Row],[Custom Yield Per Bed]]/(Crops[[#This Row],[CSA Need]]*(_xlfn.XLOOKUP(Crops[[#This Row],[ProductIndex]],Products[ID],Products[CSA Portion])*CSAMembers))</f>
        <v>#DIV/0!</v>
      </c>
      <c r="EV11" s="208">
        <f>_xlfn.XLOOKUP(Crops[[#This Row],[ProductIndex]],Products[ID],Products[CSA Portion])*CSAMembers*Crops[[#This Row],[CSA Need]]/Crops[[#This Row],[Custom Yield Per Bed]]</f>
        <v>0</v>
      </c>
      <c r="EW11" s="208">
        <f>IFERROR(Crops[[#This Row],[Days In Field]]*Crops[[#This Row],[CSA Beds]],"")</f>
        <v>0</v>
      </c>
      <c r="EX11" s="208" t="e">
        <f>Crops[[#This Row],[CSA Bed Days]]*#REF!</f>
        <v>#REF!</v>
      </c>
    </row>
    <row r="12" spans="1:156" ht="15" customHeight="1">
      <c r="A1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Asian Greens - Mature Head 1X | Field TP </v>
      </c>
      <c r="B12" s="191"/>
      <c r="C12" s="1" t="b">
        <v>1</v>
      </c>
      <c r="D12" s="1"/>
      <c r="E12" s="1" t="b">
        <v>0</v>
      </c>
      <c r="F12" s="1" t="b">
        <f>IFERROR(IF(ISNUMBER(MATCH(Crops[[#This Row],[Identifier]],BedPlan[Crop], 0)), TRUE, FALSE), FALSE)</f>
        <v>1</v>
      </c>
      <c r="G12" s="1" t="b">
        <f>IFERROR(IF(ISNUMBER(MATCH(Crops[[#This Row],[Identifier]],BedPlan[Crop], 0)), TRUE, FALSE), FALSE)</f>
        <v>1</v>
      </c>
      <c r="H12" s="1" t="b">
        <v>1</v>
      </c>
      <c r="I12" t="s">
        <v>1517</v>
      </c>
      <c r="J12" t="s">
        <v>145</v>
      </c>
      <c r="K12" t="s">
        <v>186</v>
      </c>
      <c r="N12" t="str">
        <f>Crops[[#This Row],[Crop]]</f>
        <v>Asian Greens</v>
      </c>
      <c r="O12" t="s">
        <v>210</v>
      </c>
      <c r="P12" t="str">
        <f>IF(OR(Crops[[#This Row],[Days in Cells]]="",Crops[[#This Row],[Days in Cells]]=0), "DS","TP")</f>
        <v>TP</v>
      </c>
      <c r="V12" t="str">
        <f xml:space="preserve"> IF(Crops[[#This Row],[Sp]], "Sp", "") &amp; IF(Crops[[#This Row],[Su]], "Su", "") &amp; IF(Crops[[#This Row],[Fa]], "Fa", "") &amp; IF(Crops[[#This Row],[Wi]], "Wi", "") &amp; IF(Crops[[#This Row],[OW]], "Ow","")</f>
        <v/>
      </c>
      <c r="W12" t="s">
        <v>144</v>
      </c>
      <c r="X12">
        <v>4</v>
      </c>
      <c r="Y12">
        <v>9</v>
      </c>
      <c r="AD12" s="32">
        <f>IFERROR(12/Crops[[#This Row],[Spacing]]*Crops[[#This Row],[Rows]]*BedLength,"")</f>
        <v>266.66666666666663</v>
      </c>
      <c r="AE12">
        <v>1</v>
      </c>
      <c r="AG12">
        <f>IF(Crops[[#This Row],[Custom Safety Factor]]="",PlantingSafetyFactor,Crops[[#This Row],[Custom Safety Factor]])</f>
        <v>1.3</v>
      </c>
      <c r="AH12">
        <f>1</f>
        <v>1</v>
      </c>
      <c r="AI12" s="33">
        <f>IFERROR(Crops[[#This Row],[Plantings Per Bed]]*Crops[[#This Row],[Seeds Per Planting]]*Crops[[#This Row],[Safety Factor]]*Crops[[#This Row],[Seeding Factor]],"")</f>
        <v>346.66666666666663</v>
      </c>
      <c r="AL12">
        <f>_xlfn.FLOOR.MATH(IFERROR(AVERAGE(Crops[[#This Row],[DTG Lower]:[DTG Upper]]),0))</f>
        <v>0</v>
      </c>
      <c r="AM12">
        <f>SUM(Crops[[#This Row],[Tray 1 Days]],Crops[[#This Row],[Tray 2 Days]],Crops[[#This Row],[Tray 3 Days]])</f>
        <v>28</v>
      </c>
      <c r="AN12">
        <v>35</v>
      </c>
      <c r="AP12">
        <v>50</v>
      </c>
      <c r="AQ12">
        <f>IFERROR(_xlfn.FLOOR.MATH(AVERAGE(Crops[[#This Row],[DTM Lower]:[DTM Upper]])),"")</f>
        <v>50</v>
      </c>
      <c r="AR12" cm="1">
        <f t="array" ref="AR12">_xlfn.SWITCH(Crops[[#This Row],[Normal Method]],"DS",Crops[[#This Row],[Days to Germination]]+Crops[[#This Row],[DTM]] + IF(Crops[[#This Row],[Days in Cells]]&gt;0,15,0), "TP",Crops[[#This Row],[DTM]]+Crops[[#This Row],[Days in Cells]] + IF(Crops[[#This Row],[Days in Cells]]&lt;=0,20,0), "X", Crops[[#This Row],[DTM]])</f>
        <v>65</v>
      </c>
      <c r="AS12" t="s">
        <v>338</v>
      </c>
      <c r="AT12">
        <f>(Crops[[#This Row],[Harvests]]-1)*Crops[[#This Row],[Days Between Harvest]]+7</f>
        <v>14</v>
      </c>
      <c r="AU12">
        <f>Crops[[#This Row],[STH]]-Crops[[#This Row],[Days in Cells]]+Crops[[#This Row],[Harvest window]]</f>
        <v>51</v>
      </c>
      <c r="AX12">
        <v>128</v>
      </c>
      <c r="AY12">
        <v>28</v>
      </c>
      <c r="AZ12">
        <f>IFERROR(IF(Crops[[#This Row],[Tray 1 Days]]=0,"",Crops[[#This Row],[Plantings Per Bed]]/Crops[[#This Row],[Tray 1 Size]]*Crops[[#This Row],[Safety Factor]]),"")</f>
        <v>2.708333333333333</v>
      </c>
      <c r="BC12" t="str">
        <f>IFERROR(IF(Crops[[#This Row],[Tray 2 Days]]=0,"",Crops[[#This Row],[Plantings Per Bed]]/Crops[[#This Row],[Tray 2 Size]]*Crops[[#This Row],[Safety Factor]]),"")</f>
        <v/>
      </c>
      <c r="BE12" s="32" t="str">
        <f>IF(NOT(ISBLANK(Crops[[#This Row],[Tray 3 Size]])), Crops[[#This Row],[Days in Cells Old]]-SUM(Crops[[#This Row],[Tray 1 Days]],Crops[[#This Row],[Tray 2 Days]]), "")</f>
        <v/>
      </c>
      <c r="BF12" t="str">
        <f>IFERROR(IF(Crops[[#This Row],[Tray 3 Days]]=0,"",Crops[[#This Row],[Plantings Per Bed]]/Crops[[#This Row],[Tray 3 Size]]*Crops[[#This Row],[Safety Factor]]),"")</f>
        <v/>
      </c>
      <c r="BG12" s="33">
        <f>Crops[[#This Row],[Plantings Per Bed]]/2/Crops[[#This Row],[Harvests]]</f>
        <v>66.666666666666657</v>
      </c>
      <c r="BH12" s="33">
        <v>2</v>
      </c>
      <c r="BI12" s="33">
        <v>7</v>
      </c>
      <c r="BJ12" s="33" t="e">
        <f>_xlfn.XLOOKUP(Crops[[#This Row],[ProductIndex]],Products[ID],Products[Holding Period])</f>
        <v>#N/A</v>
      </c>
      <c r="BK12" s="33"/>
      <c r="BL12" s="33">
        <f>Crops[[#This Row],[Units Per Harvest]]*Crops[[#This Row],[Harvests]]</f>
        <v>133.33333333333331</v>
      </c>
      <c r="BM12" s="35">
        <v>4</v>
      </c>
      <c r="BN12" s="35">
        <v>1.5</v>
      </c>
      <c r="BO12" s="35"/>
      <c r="BP12" t="s">
        <v>214</v>
      </c>
      <c r="BQ12">
        <f>Crops[[#This Row],[Custom Yield Per Bed]]*Crops[[#This Row],[Direct Price]]</f>
        <v>533.33333333333326</v>
      </c>
      <c r="BR12" t="b">
        <v>1</v>
      </c>
      <c r="BS12" t="b">
        <f>Crops[[#This Row],[Harvests]]&gt;1</f>
        <v>1</v>
      </c>
      <c r="BT12" s="36">
        <f>IFERROR(Crops[[#This Row],[Direct Revenue Per Bed]]/Crops[[#This Row],[Days In Field]],-1)</f>
        <v>10.457516339869279</v>
      </c>
      <c r="BU12" s="33">
        <f>IFERROR(Crops[[#This Row],[Direct Revenue Per Bed Day]]*GrowingDays*BedsPerAcre,"")</f>
        <v>301176.47058823524</v>
      </c>
      <c r="BV12" s="38">
        <f>LastFrostDate-5*Crops[[#This Row],[Sewing Rel Last Frost]]</f>
        <v>45748</v>
      </c>
      <c r="BW12" s="38">
        <f>Crops[[#This Row],[Target Sewing Date]]+Crops[[#This Row],[Days in Cells]]</f>
        <v>45776</v>
      </c>
      <c r="BX12" s="38">
        <f>Crops[[#This Row],[Target Sewing Date]]+Crops[[#This Row],[STH]]</f>
        <v>45813</v>
      </c>
      <c r="BY12" s="38">
        <f>Crops[[#This Row],[Target Harvest Data]]+Crops[[#This Row],[Harvest window]]</f>
        <v>45827</v>
      </c>
      <c r="CB12">
        <f>1</f>
        <v>1</v>
      </c>
      <c r="CC12">
        <f>IF(Crops[[#This Row],[Transplanting]]&gt;0, 2, 3)*BedLength/StandardBedLength</f>
        <v>1</v>
      </c>
      <c r="CD12" s="173">
        <f>IF(Crops[[#This Row],[Days in Cells]]&lt;=0,0,Crops[[#This Row],[Plantings Per Bed]]/StartsPerHourSeeding+Crops[[#This Row],[Tray 1 Count]]*5/60)</f>
        <v>1.2673611111111109</v>
      </c>
      <c r="CE12" s="173">
        <f>IF(ISBLANK(Crops[[#This Row],[Tray 2 Days]]),0,Crops[[#This Row],[Plantings Per Bed]]/UpPottingPerHour)+IF(Crops[[#This Row],[Tray 3 Days]]="",0,Crops[[#This Row],[Plantings Per Bed]]/UpPottingPerHour)</f>
        <v>0</v>
      </c>
      <c r="CF12" s="173">
        <f>IFERROR(Crops[[#This Row],[Tray 1 Count]]/HomeStartFlatIrrigationPerHour,0)*Crops[[#This Row],[Days in Cells]]/DaysBetweenStartIrrigation</f>
        <v>0.31597222222222215</v>
      </c>
      <c r="CG12" s="173">
        <f>0.5/16*MAX(Crops[[#This Row],[Tray 1 Count]],Crops[[#This Row],[Tray 2 Count]],Crops[[#This Row],[Tray 3 Count]])</f>
        <v>8.4635416666666657E-2</v>
      </c>
      <c r="CH12" s="173">
        <f>IF(Crops[[#This Row],[Days in Cells]]&gt;0,IF(IF(Crops[[#This Row],[Tray 3 Size]]&gt;0,Crops[[#This Row],[Tray 3 Size]],IF(Crops[[#This Row],[Tray 2 Size]]&gt;0,Crops[[#This Row],[Tray 2 Size]],Crops[[#This Row],[Tray 1 Size]]))&lt;=18,LargeTransplantTime,SmallTransplantTime)*Crops[[#This Row],[Plantings Per Bed]],0)</f>
        <v>1.3333333333333333</v>
      </c>
      <c r="CI12" s="173"/>
      <c r="CJ12" s="173">
        <f>_xlfn.XLOOKUP(Crops[[#This Row],[Trellis Type]],TrellisMethods[Trellis Type],TrellisMethods[Hours],0,0)</f>
        <v>0</v>
      </c>
      <c r="CK12">
        <f>IF(Crops[[#This Row],[Days in Cells]]&lt;=0,Crops[[#This Row],[Rows]]*1/10,0)*BedLength/50</f>
        <v>0</v>
      </c>
      <c r="CL12" cm="1">
        <f t="array" ref="CL12">_xlfn.SWITCH(Crops[[#This Row],[Irrigation]],"DR", 0.5, "OH", 0.25,0)*BedLength/50</f>
        <v>0</v>
      </c>
      <c r="CM12">
        <f>IF(OR(ISBLANK(Crops[[#This Row],[Row Cover]]),Crops[[#This Row],[Row Cover]]="None"),0,1)*BedLength/50</f>
        <v>0</v>
      </c>
      <c r="CN12" s="173">
        <f>HoursPerWeedingPass*Crops[[#This Row],[Days In Field]]/14*Crops[[#This Row],[Rows]]+1*BedLength/50</f>
        <v>3.4285714285714284</v>
      </c>
      <c r="CO12" s="49"/>
      <c r="CQ12" s="37" t="e">
        <f>_xlfn.XLOOKUP(Crops[[#This Row],[Crop]]&amp;Crops[[#This Row],[Product]]&amp;Crops[[#This Row],[Unit]],Products[ID],Products[Marketing (hr)])*Crops[[#This Row],[Direct Revenue Per Bed]]/2000</f>
        <v>#N/A</v>
      </c>
      <c r="CR12" s="37" t="e">
        <f>_xlfn.XLOOKUP(Crops[[#This Row],[Crop]]&amp;Crops[[#This Row],[Product]]&amp;Crops[[#This Row],[Unit]],Products[ID],Products[Harvest (s)])*Crops[[#This Row],[Custom Yield Per Bed]]/3600</f>
        <v>#N/A</v>
      </c>
      <c r="CS12" s="37" t="e">
        <f>_xlfn.XLOOKUP(Crops[[#This Row],[Crop]]&amp;Crops[[#This Row],[Product]]&amp;Crops[[#This Row],[Unit]],Products[ID],Products[Bunch (s)])*Crops[[#This Row],[Custom Yield Per Bed]]/3600</f>
        <v>#N/A</v>
      </c>
      <c r="CT12" s="37" t="e">
        <f>_xlfn.XLOOKUP(Crops[[#This Row],[Crop]]&amp;Crops[[#This Row],[Product]]&amp;Crops[[#This Row],[Unit]],Products[ID],Products[Haul (s)])*Crops[[#This Row],[Custom Yield Per Bed]]/3600</f>
        <v>#N/A</v>
      </c>
      <c r="CU12" s="37" t="e">
        <f>_xlfn.XLOOKUP(Crops[[#This Row],[Crop]]&amp;Crops[[#This Row],[Product]]&amp;Crops[[#This Row],[Unit]],Products[ID],Products[Wash (s)])*Crops[[#This Row],[Custom Yield Per Bed]]/3600</f>
        <v>#N/A</v>
      </c>
      <c r="CV12" s="37" t="e">
        <f>_xlfn.XLOOKUP(Crops[[#This Row],[Crop]]&amp;Crops[[#This Row],[Product]]&amp;Crops[[#This Row],[Unit]],Products[ID],Products[Condition (s)])*Crops[[#This Row],[Custom Yield Per Bed]]/3600</f>
        <v>#N/A</v>
      </c>
      <c r="CW12" s="37" t="e">
        <f>_xlfn.XLOOKUP(Crops[[#This Row],[Crop]]&amp;Crops[[#This Row],[Product]]&amp;Crops[[#This Row],[Unit]],Products[ID],Products[Trim (s)])*Crops[[#This Row],[Custom Yield Per Bed]]/3600</f>
        <v>#N/A</v>
      </c>
      <c r="CX12" s="37" t="e">
        <f>_xlfn.XLOOKUP(Crops[[#This Row],[Crop]]&amp;Crops[[#This Row],[Product]]&amp;Crops[[#This Row],[Unit]],Products[ID],Products[Pack (s)])*Crops[[#This Row],[Custom Yield Per Bed]]/3600</f>
        <v>#N/A</v>
      </c>
      <c r="CY12" s="37" t="e">
        <f>_xlfn.XLOOKUP(Crops[[#This Row],[Crop]]&amp;Crops[[#This Row],[Product]]&amp;Crops[[#This Row],[Unit]],Products[ID],Products[Clean (s)])*Crops[[#This Row],[Custom Yield Per Bed]]/3600</f>
        <v>#N/A</v>
      </c>
      <c r="CZ12" s="37" t="e">
        <f>_xlfn.XLOOKUP(Crops[[#This Row],[Crop]]&amp;Crops[[#This Row],[Product]]&amp;Crops[[#This Row],[Unit]],Products[ID],Products[Rehandle (s)])*Crops[[#This Row],[Custom Yield Per Bed]]/3600</f>
        <v>#N/A</v>
      </c>
      <c r="DA12" s="37" t="e">
        <f>_xlfn.XLOOKUP(Crops[[#This Row],[Crop]]&amp;Crops[[#This Row],[Product]]&amp;Crops[[#This Row],[Unit]],Products[ID],Products[Market Transport (s)])*Crops[[#This Row],[Custom Yield Per Bed]]/3600</f>
        <v>#N/A</v>
      </c>
      <c r="DC12" s="37">
        <f>Crops[[#This Row],[Direct Revenue Per Bed2]]</f>
        <v>533.33333333333326</v>
      </c>
      <c r="DD12" s="173">
        <f>_xlfn.AGGREGATE(9,6,Crops[[#This Row],[Bed Prep]:[Remove Crop Residue]])</f>
        <v>7.429873511904761</v>
      </c>
      <c r="DE12" s="173" t="e">
        <f>_xlfn.AGGREGATE(9,6,Crops[[#This Row],[Bed Prep]:[Remove Crop Residue]])-0.75*Crops[[#This Row],[Market &amp; Sell]]</f>
        <v>#N/A</v>
      </c>
      <c r="DF12" s="36">
        <f>Crops[[#This Row],[Direct Revenue Per Bed2]]/Crops[[#This Row],[Direct Time]]</f>
        <v>71.782289762912143</v>
      </c>
      <c r="DG12" s="36" t="e">
        <f>_xlfn.XLOOKUP(Crops[[#This Row],[ProductIndex]],Products[ID],Products[Packaging Cost])*(Crops[[#This Row],[Custom Yield Per Bed]]/_xlfn.XLOOKUP(Crops[[#This Row],[ProductIndex]],Products[ID],Products[Units Per Pack]))</f>
        <v>#N/A</v>
      </c>
      <c r="DH12" s="36"/>
      <c r="DI12" s="36"/>
      <c r="DJ12" s="36"/>
      <c r="DK12" s="36"/>
      <c r="DL12" s="36"/>
      <c r="DM12" s="33">
        <f>IFERROR(Crops[[#This Row],[Custom Yield Per Bed]]*Crops[[#This Row],[Direct Price]],"")</f>
        <v>533.33333333333326</v>
      </c>
      <c r="DN12" s="36">
        <f>Crops[[#This Row],[Direct Time]]*LaborRate</f>
        <v>185.74683779761904</v>
      </c>
      <c r="DO12" s="36">
        <f>SUM(Crops[[#This Row],[Irrigation Cost]])</f>
        <v>0</v>
      </c>
      <c r="DP12" s="36">
        <f>Crops[[#This Row],[Direct Labor Cost]]+Crops[[#This Row],[Direct Non-Labor Cost]]</f>
        <v>185.74683779761904</v>
      </c>
      <c r="DQ12" s="36">
        <f>Crops[[#This Row],[Direct Revenue Per Bed2]]-Crops[[#This Row],[Direct Total Cost]]</f>
        <v>347.58649553571422</v>
      </c>
      <c r="DR12" s="36">
        <f>Crops[[#This Row],[Direct Profit]]*BedsPerAcre</f>
        <v>55613.839285714275</v>
      </c>
      <c r="DS12" s="36">
        <f>Crops[[#This Row],[Direct Profit]]*BedsPerAcre*GrowingDays/Crops[[#This Row],[Days In Field]]</f>
        <v>196284.13865546213</v>
      </c>
      <c r="DT12" s="36">
        <f>Crops[[#This Row],[Direct Profit]]/MIN(Crops[[#This Row],[Days In Field]],GrowingDays)</f>
        <v>6.8154214810924358</v>
      </c>
      <c r="DU12" s="33">
        <f>Crops[[#This Row],[Direct Time]] * BedsPerAcre</f>
        <v>1188.7797619047617</v>
      </c>
      <c r="DV12" s="36">
        <f>(Crops[[#This Row],[Direct Revenue Per Bed2]]-Crops[[#This Row],[Direct Non-Labor Cost]])/Crops[[#This Row],[Direct Time]]</f>
        <v>71.782289762912143</v>
      </c>
      <c r="DW12" s="33">
        <f>IFERROR(Crops[[#This Row],[Custom Yield Per Bed]]*Crops[[#This Row],[Rough Wholesale Price]],"")</f>
        <v>199.99999999999997</v>
      </c>
      <c r="DX12" s="36" t="e">
        <f>Crops[[#This Row],[Wholesale Time]]*LaborRate</f>
        <v>#N/A</v>
      </c>
      <c r="DY12" s="36" t="e">
        <f>SUM(Crops[[#This Row],[Packaging Costs]:[Irrigation Cost]])</f>
        <v>#N/A</v>
      </c>
      <c r="DZ12" s="36" t="e">
        <f>Crops[[#This Row],[Wholesale Labor Cost]]+Crops[[#This Row],[Wholesale Non-Labor Cost]]</f>
        <v>#N/A</v>
      </c>
      <c r="EA12" s="36" t="e">
        <f>Crops[[#This Row],[Wholesale Revenue Per Bed]]-Crops[[#This Row],[Wholesale Total Cost]]</f>
        <v>#N/A</v>
      </c>
      <c r="EB12" s="36" t="e">
        <f>Crops[[#This Row],[Wholesale Profit]]*BedsPerAcre</f>
        <v>#N/A</v>
      </c>
      <c r="EC12" s="36" t="e">
        <f>Crops[[#This Row],[Wholesale Profit]]*BedsPerAcre*GrowingDays/Crops[[#This Row],[Days In Field]]</f>
        <v>#N/A</v>
      </c>
      <c r="ED12" s="33" t="e">
        <f>Crops[[#This Row],[Wholesale Time]] * BedsPerAcre</f>
        <v>#N/A</v>
      </c>
      <c r="EE12" s="221" t="e">
        <f>Crops[[#This Row],[Wholesale Profit]]/MIN(Crops[[#This Row],[Days In Field]],GrowingDays)</f>
        <v>#N/A</v>
      </c>
      <c r="EF12" s="36" t="e">
        <f>(Crops[[#This Row],[Wholesale Revenue Per Bed]]-Crops[[#This Row],[Wholesale Non-Labor Cost]])/Crops[[#This Row],[Direct Time]]</f>
        <v>#N/A</v>
      </c>
      <c r="EG12" s="174" t="e">
        <f>Crops[[#This Row],[Packaging Costs]]/Crops[[#This Row],[Wholesale Revenue Per Bed]]</f>
        <v>#N/A</v>
      </c>
      <c r="EH12" s="36" t="str">
        <f>Crops[[#This Row],[Crop]]&amp;Crops[[#This Row],[Product]]&amp;Crops[[#This Row],[Unit]]</f>
        <v>Asian GreensMature HeadHead</v>
      </c>
      <c r="EI12" s="36" t="e">
        <f>_xlfn.XLOOKUP(Crops[[#This Row],[ProductIndex]],Products[ID],Products[Target])</f>
        <v>#N/A</v>
      </c>
      <c r="EJ12" s="33">
        <f>Crops[[#This Row],[Custom Yield Per Bed]]</f>
        <v>133.33333333333331</v>
      </c>
      <c r="EK12" s="210">
        <f>Crops[[#This Row],[Units Per Harvest]]/Crops[[#This Row],[Days Between Harvest]]*7</f>
        <v>66.666666666666657</v>
      </c>
      <c r="EL12" s="210" t="e">
        <f>Crops[[#This Row],[Custom Yield Per Bed]]/_xlfn.XLOOKUP(Crops[[#This Row],[ProductIndex]],Products[ID],Products[CSA Portion])</f>
        <v>#N/A</v>
      </c>
      <c r="EM12" s="210" t="e">
        <f>Crops[[#This Row],[Units Per Harvest]]/Crops[[#This Row],[Days Between Harvest]]*7/_xlfn.XLOOKUP(Crops[[#This Row],[ProductIndex]],Products[ID],Products[CSA Portion])</f>
        <v>#N/A</v>
      </c>
      <c r="EN12" s="210" t="e">
        <f>Crops[[#This Row],[CSA Portions Per Week]]/CSAMembers</f>
        <v>#N/A</v>
      </c>
      <c r="EO12" s="216">
        <v>1</v>
      </c>
      <c r="EP12" s="216">
        <v>1</v>
      </c>
      <c r="EQ12" s="210"/>
      <c r="ER12" s="210">
        <f>Crops[[#This Row],[Harvests]]*Crops[[#This Row],[Days Between Harvest]]/7</f>
        <v>2</v>
      </c>
      <c r="ES12" s="217" t="e">
        <f>_xlfn.XLOOKUP(Crops[[#This Row],[ProductIndex]],Products[ID],Products[CSA Need])</f>
        <v>#N/A</v>
      </c>
      <c r="ET12" s="217" t="e">
        <f>_xlfn.XLOOKUP(Crops[[#This Row],[ProductIndex]],Products[ID],Products[CSA Times])</f>
        <v>#N/A</v>
      </c>
      <c r="EU12" s="208" t="e">
        <f>Crops[[#This Row],[Custom Yield Per Bed]]/(Crops[[#This Row],[CSA Need]]*(_xlfn.XLOOKUP(Crops[[#This Row],[ProductIndex]],Products[ID],Products[CSA Portion])*CSAMembers))</f>
        <v>#N/A</v>
      </c>
      <c r="EV12" s="208" t="e">
        <f>_xlfn.XLOOKUP(Crops[[#This Row],[ProductIndex]],Products[ID],Products[CSA Portion])*CSAMembers*Crops[[#This Row],[CSA Need]]/Crops[[#This Row],[Custom Yield Per Bed]]</f>
        <v>#N/A</v>
      </c>
      <c r="EW12" s="208" t="str">
        <f>IFERROR(Crops[[#This Row],[Days In Field]]*Crops[[#This Row],[CSA Beds]],"")</f>
        <v/>
      </c>
      <c r="EX12" s="208" t="e">
        <f>Crops[[#This Row],[CSA Bed Days]]*#REF!</f>
        <v>#VALUE!</v>
      </c>
      <c r="EY12" t="s">
        <v>1795</v>
      </c>
    </row>
    <row r="13" spans="1:156">
      <c r="A1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Asian Greens - Young Leaf 1X | Field DS </v>
      </c>
      <c r="B13" s="191"/>
      <c r="C13" s="1" t="b">
        <v>1</v>
      </c>
      <c r="D13" s="1"/>
      <c r="E13" s="1" t="b">
        <v>0</v>
      </c>
      <c r="F13" s="1" t="b">
        <f>IFERROR(IF(ISNUMBER(MATCH(Crops[[#This Row],[Identifier]],BedPlan[Crop], 0)), TRUE, FALSE), FALSE)</f>
        <v>1</v>
      </c>
      <c r="G13" s="1" t="b">
        <f>IFERROR(IF(ISNUMBER(MATCH(Crops[[#This Row],[Identifier]],BedPlan[Crop], 0)), TRUE, FALSE), FALSE)</f>
        <v>1</v>
      </c>
      <c r="H13" s="1" t="b">
        <v>1</v>
      </c>
      <c r="I13" t="s">
        <v>1517</v>
      </c>
      <c r="J13" t="s">
        <v>145</v>
      </c>
      <c r="K13" t="s">
        <v>3105</v>
      </c>
      <c r="N13" t="str">
        <f>Crops[[#This Row],[Crop]]</f>
        <v>Asian Greens</v>
      </c>
      <c r="O13" t="s">
        <v>210</v>
      </c>
      <c r="P13" t="str">
        <f>IF(OR(Crops[[#This Row],[Days in Cells]]="",Crops[[#This Row],[Days in Cells]]=0), "DS","TP")</f>
        <v>DS</v>
      </c>
      <c r="V13" t="str">
        <f xml:space="preserve"> IF(Crops[[#This Row],[Sp]], "Sp", "") &amp; IF(Crops[[#This Row],[Su]], "Su", "") &amp; IF(Crops[[#This Row],[Fa]], "Fa", "") &amp; IF(Crops[[#This Row],[Wi]], "Wi", "") &amp; IF(Crops[[#This Row],[OW]], "Ow","")</f>
        <v/>
      </c>
      <c r="W13" t="s">
        <v>144</v>
      </c>
      <c r="X13">
        <v>4</v>
      </c>
      <c r="Y13">
        <v>0.5</v>
      </c>
      <c r="AD13" s="32">
        <f>IFERROR(12/Crops[[#This Row],[Spacing]]*Crops[[#This Row],[Rows]]*BedLength,"")</f>
        <v>4800</v>
      </c>
      <c r="AE13">
        <v>1</v>
      </c>
      <c r="AG13">
        <f>IF(Crops[[#This Row],[Custom Safety Factor]]="",PlantingSafetyFactor,Crops[[#This Row],[Custom Safety Factor]])</f>
        <v>1.3</v>
      </c>
      <c r="AH13">
        <f>1</f>
        <v>1</v>
      </c>
      <c r="AI13" s="33">
        <f>IFERROR(Crops[[#This Row],[Plantings Per Bed]]*Crops[[#This Row],[Seeds Per Planting]]*Crops[[#This Row],[Safety Factor]]*Crops[[#This Row],[Seeding Factor]],"")</f>
        <v>6240</v>
      </c>
      <c r="AL13">
        <f>_xlfn.FLOOR.MATH(IFERROR(AVERAGE(Crops[[#This Row],[DTG Lower]:[DTG Upper]]),0))</f>
        <v>0</v>
      </c>
      <c r="AM13">
        <f>SUM(Crops[[#This Row],[Tray 1 Days]],Crops[[#This Row],[Tray 2 Days]],Crops[[#This Row],[Tray 3 Days]])</f>
        <v>0</v>
      </c>
      <c r="AN13">
        <v>35</v>
      </c>
      <c r="AP13">
        <v>50</v>
      </c>
      <c r="AQ13">
        <f>IFERROR(_xlfn.FLOOR.MATH(AVERAGE(Crops[[#This Row],[DTM Lower]:[DTM Upper]])),"")</f>
        <v>50</v>
      </c>
      <c r="AR13" cm="1">
        <f t="array" ref="AR13">_xlfn.SWITCH(Crops[[#This Row],[Normal Method]],"DS",Crops[[#This Row],[Days to Germination]]+Crops[[#This Row],[DTM]] + IF(Crops[[#This Row],[Days in Cells]]&gt;0,15,0), "TP",Crops[[#This Row],[DTM]]+Crops[[#This Row],[Days in Cells]] + IF(Crops[[#This Row],[Days in Cells]]&lt;=0,20,0), "X", Crops[[#This Row],[DTM]])</f>
        <v>50</v>
      </c>
      <c r="AS13" t="s">
        <v>338</v>
      </c>
      <c r="AT13">
        <f>(Crops[[#This Row],[Harvests]]-1)*Crops[[#This Row],[Days Between Harvest]]+7</f>
        <v>14</v>
      </c>
      <c r="AU13">
        <f>Crops[[#This Row],[STH]]-Crops[[#This Row],[Days in Cells]]+Crops[[#This Row],[Harvest window]]</f>
        <v>64</v>
      </c>
      <c r="BC13" t="str">
        <f>IFERROR(IF(Crops[[#This Row],[Tray 2 Days]]=0,"",Crops[[#This Row],[Plantings Per Bed]]/Crops[[#This Row],[Tray 2 Size]]*Crops[[#This Row],[Safety Factor]]),"")</f>
        <v/>
      </c>
      <c r="BE13" s="32" t="str">
        <f>IF(NOT(ISBLANK(Crops[[#This Row],[Tray 3 Size]])), Crops[[#This Row],[Days in Cells Old]]-SUM(Crops[[#This Row],[Tray 1 Days]],Crops[[#This Row],[Tray 2 Days]]), "")</f>
        <v/>
      </c>
      <c r="BF13" t="str">
        <f>IFERROR(IF(Crops[[#This Row],[Tray 3 Days]]=0,"",Crops[[#This Row],[Plantings Per Bed]]/Crops[[#This Row],[Tray 3 Size]]*Crops[[#This Row],[Safety Factor]]),"")</f>
        <v/>
      </c>
      <c r="BG13" s="33">
        <f>BedLength/Crops[[#This Row],[Harvests]]</f>
        <v>25</v>
      </c>
      <c r="BH13" s="33">
        <v>2</v>
      </c>
      <c r="BI13" s="33">
        <v>7</v>
      </c>
      <c r="BJ13" s="33" t="e">
        <f>_xlfn.XLOOKUP(Crops[[#This Row],[ProductIndex]],Products[ID],Products[Holding Period])</f>
        <v>#N/A</v>
      </c>
      <c r="BK13" s="33"/>
      <c r="BL13" s="33">
        <f>Crops[[#This Row],[Units Per Harvest]]*Crops[[#This Row],[Harvests]]</f>
        <v>50</v>
      </c>
      <c r="BM13" s="35">
        <v>10</v>
      </c>
      <c r="BN13" s="35">
        <v>1.5</v>
      </c>
      <c r="BO13" s="35"/>
      <c r="BP13" t="s">
        <v>383</v>
      </c>
      <c r="BQ13">
        <f>Crops[[#This Row],[Custom Yield Per Bed]]*Crops[[#This Row],[Direct Price]]</f>
        <v>500</v>
      </c>
      <c r="BR13" t="b">
        <v>1</v>
      </c>
      <c r="BS13" t="b">
        <f>Crops[[#This Row],[Harvests]]&gt;1</f>
        <v>1</v>
      </c>
      <c r="BT13" s="36">
        <f>IFERROR(Crops[[#This Row],[Direct Revenue Per Bed]]/Crops[[#This Row],[Days In Field]],-1)</f>
        <v>7.8125</v>
      </c>
      <c r="BU13" s="33">
        <f>IFERROR(Crops[[#This Row],[Direct Revenue Per Bed Day]]*GrowingDays*BedsPerAcre,"")</f>
        <v>225000</v>
      </c>
      <c r="BV13" s="38">
        <f>LastFrostDate-5*Crops[[#This Row],[Sewing Rel Last Frost]]</f>
        <v>45748</v>
      </c>
      <c r="BW13" s="38">
        <f>Crops[[#This Row],[Target Sewing Date]]+Crops[[#This Row],[Days in Cells]]</f>
        <v>45748</v>
      </c>
      <c r="BX13" s="38">
        <f>Crops[[#This Row],[Target Sewing Date]]+Crops[[#This Row],[STH]]</f>
        <v>45798</v>
      </c>
      <c r="BY13" s="38">
        <f>Crops[[#This Row],[Target Harvest Data]]+Crops[[#This Row],[Harvest window]]</f>
        <v>45812</v>
      </c>
      <c r="CB13">
        <f>1</f>
        <v>1</v>
      </c>
      <c r="CC13">
        <f>IF(Crops[[#This Row],[Transplanting]]&gt;0, 2, 3)*BedLength/StandardBedLength</f>
        <v>1.5</v>
      </c>
      <c r="CD13" s="173">
        <f>IF(Crops[[#This Row],[Days in Cells]]&lt;=0,0,Crops[[#This Row],[Plantings Per Bed]]/StartsPerHourSeeding+Crops[[#This Row],[Tray 1 Count]]*5/60)</f>
        <v>0</v>
      </c>
      <c r="CE13" s="173">
        <f>IF(ISBLANK(Crops[[#This Row],[Tray 2 Days]]),0,Crops[[#This Row],[Plantings Per Bed]]/UpPottingPerHour)+IF(Crops[[#This Row],[Tray 3 Days]]="",0,Crops[[#This Row],[Plantings Per Bed]]/UpPottingPerHour)</f>
        <v>0</v>
      </c>
      <c r="CF13" s="173">
        <f>IFERROR(Crops[[#This Row],[Tray 1 Count]]/HomeStartFlatIrrigationPerHour,0)*Crops[[#This Row],[Days in Cells]]/DaysBetweenStartIrrigation</f>
        <v>0</v>
      </c>
      <c r="CG13" s="173">
        <f>0.5/16*MAX(Crops[[#This Row],[Tray 1 Count]],Crops[[#This Row],[Tray 2 Count]],Crops[[#This Row],[Tray 3 Count]])</f>
        <v>0</v>
      </c>
      <c r="CH13" s="173">
        <f>IF(Crops[[#This Row],[Days in Cells]]&gt;0,IF(IF(Crops[[#This Row],[Tray 3 Size]]&gt;0,Crops[[#This Row],[Tray 3 Size]],IF(Crops[[#This Row],[Tray 2 Size]]&gt;0,Crops[[#This Row],[Tray 2 Size]],Crops[[#This Row],[Tray 1 Size]]))&lt;=18,LargeTransplantTime,SmallTransplantTime)*Crops[[#This Row],[Plantings Per Bed]],0)</f>
        <v>0</v>
      </c>
      <c r="CI13" s="173"/>
      <c r="CJ13" s="173">
        <f>_xlfn.XLOOKUP(Crops[[#This Row],[Trellis Type]],TrellisMethods[Trellis Type],TrellisMethods[Hours],0,0)</f>
        <v>0</v>
      </c>
      <c r="CK13">
        <f>IF(Crops[[#This Row],[Days in Cells]]&lt;=0,Crops[[#This Row],[Rows]]*1/10,0)*BedLength/50</f>
        <v>0.4</v>
      </c>
      <c r="CL13" cm="1">
        <f t="array" ref="CL13">_xlfn.SWITCH(Crops[[#This Row],[Irrigation]],"DR", 0.5, "OH", 0.25,0)*BedLength/50</f>
        <v>0</v>
      </c>
      <c r="CM13">
        <f>IF(OR(ISBLANK(Crops[[#This Row],[Row Cover]]),Crops[[#This Row],[Row Cover]]="None"),0,1)*BedLength/50</f>
        <v>0</v>
      </c>
      <c r="CN13" s="173">
        <f>HoursPerWeedingPass*Crops[[#This Row],[Days In Field]]/14*Crops[[#This Row],[Rows]]+1*BedLength/50</f>
        <v>4.0476190476190474</v>
      </c>
      <c r="CO13" s="49"/>
      <c r="CQ13" s="37" t="e">
        <f>_xlfn.XLOOKUP(Crops[[#This Row],[Crop]]&amp;Crops[[#This Row],[Product]]&amp;Crops[[#This Row],[Unit]],Products[ID],Products[Marketing (hr)])*Crops[[#This Row],[Direct Revenue Per Bed]]/2000</f>
        <v>#N/A</v>
      </c>
      <c r="CR13" s="37" t="e">
        <f>_xlfn.XLOOKUP(Crops[[#This Row],[Crop]]&amp;Crops[[#This Row],[Product]]&amp;Crops[[#This Row],[Unit]],Products[ID],Products[Harvest (s)])*Crops[[#This Row],[Custom Yield Per Bed]]/3600</f>
        <v>#N/A</v>
      </c>
      <c r="CS13" s="37" t="e">
        <f>_xlfn.XLOOKUP(Crops[[#This Row],[Crop]]&amp;Crops[[#This Row],[Product]]&amp;Crops[[#This Row],[Unit]],Products[ID],Products[Bunch (s)])*Crops[[#This Row],[Custom Yield Per Bed]]/3600</f>
        <v>#N/A</v>
      </c>
      <c r="CT13" s="37" t="e">
        <f>_xlfn.XLOOKUP(Crops[[#This Row],[Crop]]&amp;Crops[[#This Row],[Product]]&amp;Crops[[#This Row],[Unit]],Products[ID],Products[Haul (s)])*Crops[[#This Row],[Custom Yield Per Bed]]/3600</f>
        <v>#N/A</v>
      </c>
      <c r="CU13" s="37" t="e">
        <f>_xlfn.XLOOKUP(Crops[[#This Row],[Crop]]&amp;Crops[[#This Row],[Product]]&amp;Crops[[#This Row],[Unit]],Products[ID],Products[Wash (s)])*Crops[[#This Row],[Custom Yield Per Bed]]/3600</f>
        <v>#N/A</v>
      </c>
      <c r="CV13" s="37" t="e">
        <f>_xlfn.XLOOKUP(Crops[[#This Row],[Crop]]&amp;Crops[[#This Row],[Product]]&amp;Crops[[#This Row],[Unit]],Products[ID],Products[Condition (s)])*Crops[[#This Row],[Custom Yield Per Bed]]/3600</f>
        <v>#N/A</v>
      </c>
      <c r="CW13" s="37" t="e">
        <f>_xlfn.XLOOKUP(Crops[[#This Row],[Crop]]&amp;Crops[[#This Row],[Product]]&amp;Crops[[#This Row],[Unit]],Products[ID],Products[Trim (s)])*Crops[[#This Row],[Custom Yield Per Bed]]/3600</f>
        <v>#N/A</v>
      </c>
      <c r="CX13" s="37" t="e">
        <f>_xlfn.XLOOKUP(Crops[[#This Row],[Crop]]&amp;Crops[[#This Row],[Product]]&amp;Crops[[#This Row],[Unit]],Products[ID],Products[Pack (s)])*Crops[[#This Row],[Custom Yield Per Bed]]/3600</f>
        <v>#N/A</v>
      </c>
      <c r="CY13" s="37" t="e">
        <f>_xlfn.XLOOKUP(Crops[[#This Row],[Crop]]&amp;Crops[[#This Row],[Product]]&amp;Crops[[#This Row],[Unit]],Products[ID],Products[Clean (s)])*Crops[[#This Row],[Custom Yield Per Bed]]/3600</f>
        <v>#N/A</v>
      </c>
      <c r="CZ13" s="37" t="e">
        <f>_xlfn.XLOOKUP(Crops[[#This Row],[Crop]]&amp;Crops[[#This Row],[Product]]&amp;Crops[[#This Row],[Unit]],Products[ID],Products[Rehandle (s)])*Crops[[#This Row],[Custom Yield Per Bed]]/3600</f>
        <v>#N/A</v>
      </c>
      <c r="DA13" s="37" t="e">
        <f>_xlfn.XLOOKUP(Crops[[#This Row],[Crop]]&amp;Crops[[#This Row],[Product]]&amp;Crops[[#This Row],[Unit]],Products[ID],Products[Market Transport (s)])*Crops[[#This Row],[Custom Yield Per Bed]]/3600</f>
        <v>#N/A</v>
      </c>
      <c r="DC13" s="37">
        <f>Crops[[#This Row],[Direct Revenue Per Bed2]]</f>
        <v>500</v>
      </c>
      <c r="DD13" s="173">
        <f>_xlfn.AGGREGATE(9,6,Crops[[#This Row],[Bed Prep]:[Remove Crop Residue]])</f>
        <v>5.9476190476190478</v>
      </c>
      <c r="DE13" s="173" t="e">
        <f>_xlfn.AGGREGATE(9,6,Crops[[#This Row],[Bed Prep]:[Remove Crop Residue]])-0.75*Crops[[#This Row],[Market &amp; Sell]]</f>
        <v>#N/A</v>
      </c>
      <c r="DF13" s="36">
        <f>Crops[[#This Row],[Direct Revenue Per Bed2]]/Crops[[#This Row],[Direct Time]]</f>
        <v>84.067253803042433</v>
      </c>
      <c r="DG13" s="36" t="e">
        <f>_xlfn.XLOOKUP(Crops[[#This Row],[ProductIndex]],Products[ID],Products[Packaging Cost])*(Crops[[#This Row],[Custom Yield Per Bed]]/_xlfn.XLOOKUP(Crops[[#This Row],[ProductIndex]],Products[ID],Products[Units Per Pack]))</f>
        <v>#N/A</v>
      </c>
      <c r="DH13" s="36"/>
      <c r="DI13" s="36"/>
      <c r="DJ13" s="36"/>
      <c r="DK13" s="36"/>
      <c r="DL13" s="36"/>
      <c r="DM13" s="33">
        <f>IFERROR(Crops[[#This Row],[Custom Yield Per Bed]]*Crops[[#This Row],[Direct Price]],"")</f>
        <v>500</v>
      </c>
      <c r="DN13" s="36">
        <f>Crops[[#This Row],[Direct Time]]*LaborRate</f>
        <v>148.6904761904762</v>
      </c>
      <c r="DO13" s="36">
        <f>SUM(Crops[[#This Row],[Irrigation Cost]])</f>
        <v>0</v>
      </c>
      <c r="DP13" s="36">
        <f>Crops[[#This Row],[Direct Labor Cost]]+Crops[[#This Row],[Direct Non-Labor Cost]]</f>
        <v>148.6904761904762</v>
      </c>
      <c r="DQ13" s="36">
        <f>Crops[[#This Row],[Direct Revenue Per Bed2]]-Crops[[#This Row],[Direct Total Cost]]</f>
        <v>351.3095238095238</v>
      </c>
      <c r="DR13" s="36">
        <f>Crops[[#This Row],[Direct Profit]]*BedsPerAcre</f>
        <v>56209.523809523809</v>
      </c>
      <c r="DS13" s="36">
        <f>Crops[[#This Row],[Direct Profit]]*BedsPerAcre*GrowingDays/Crops[[#This Row],[Days In Field]]</f>
        <v>158089.28571428571</v>
      </c>
      <c r="DT13" s="36">
        <f>Crops[[#This Row],[Direct Profit]]/MIN(Crops[[#This Row],[Days In Field]],GrowingDays)</f>
        <v>5.4892113095238093</v>
      </c>
      <c r="DU13" s="33">
        <f>Crops[[#This Row],[Direct Time]] * BedsPerAcre</f>
        <v>951.61904761904771</v>
      </c>
      <c r="DV13" s="36">
        <f>(Crops[[#This Row],[Direct Revenue Per Bed2]]-Crops[[#This Row],[Direct Non-Labor Cost]])/Crops[[#This Row],[Direct Time]]</f>
        <v>84.067253803042433</v>
      </c>
      <c r="DW13" s="33">
        <f>IFERROR(Crops[[#This Row],[Custom Yield Per Bed]]*Crops[[#This Row],[Rough Wholesale Price]],"")</f>
        <v>75</v>
      </c>
      <c r="DX13" s="36" t="e">
        <f>Crops[[#This Row],[Wholesale Time]]*LaborRate</f>
        <v>#N/A</v>
      </c>
      <c r="DY13" s="36" t="e">
        <f>SUM(Crops[[#This Row],[Packaging Costs]:[Irrigation Cost]])</f>
        <v>#N/A</v>
      </c>
      <c r="DZ13" s="36" t="e">
        <f>Crops[[#This Row],[Wholesale Labor Cost]]+Crops[[#This Row],[Wholesale Non-Labor Cost]]</f>
        <v>#N/A</v>
      </c>
      <c r="EA13" s="36" t="e">
        <f>Crops[[#This Row],[Wholesale Revenue Per Bed]]-Crops[[#This Row],[Wholesale Total Cost]]</f>
        <v>#N/A</v>
      </c>
      <c r="EB13" s="36" t="e">
        <f>Crops[[#This Row],[Wholesale Profit]]*BedsPerAcre</f>
        <v>#N/A</v>
      </c>
      <c r="EC13" s="36" t="e">
        <f>Crops[[#This Row],[Wholesale Profit]]*BedsPerAcre*GrowingDays/Crops[[#This Row],[Days In Field]]</f>
        <v>#N/A</v>
      </c>
      <c r="ED13" s="33" t="e">
        <f>Crops[[#This Row],[Wholesale Time]] * BedsPerAcre</f>
        <v>#N/A</v>
      </c>
      <c r="EE13" s="221" t="e">
        <f>Crops[[#This Row],[Wholesale Profit]]/MIN(Crops[[#This Row],[Days In Field]],GrowingDays)</f>
        <v>#N/A</v>
      </c>
      <c r="EF13" s="36" t="e">
        <f>(Crops[[#This Row],[Wholesale Revenue Per Bed]]-Crops[[#This Row],[Wholesale Non-Labor Cost]])/Crops[[#This Row],[Direct Time]]</f>
        <v>#N/A</v>
      </c>
      <c r="EG13" s="174" t="e">
        <f>Crops[[#This Row],[Packaging Costs]]/Crops[[#This Row],[Wholesale Revenue Per Bed]]</f>
        <v>#N/A</v>
      </c>
      <c r="EH13" s="36" t="str">
        <f>Crops[[#This Row],[Crop]]&amp;Crops[[#This Row],[Product]]&amp;Crops[[#This Row],[Unit]]</f>
        <v>Asian GreensYoung LeafLb</v>
      </c>
      <c r="EI13" s="36" t="e">
        <f>_xlfn.XLOOKUP(Crops[[#This Row],[ProductIndex]],Products[ID],Products[Target])</f>
        <v>#N/A</v>
      </c>
      <c r="EJ13" s="33">
        <f>Crops[[#This Row],[Custom Yield Per Bed]]</f>
        <v>50</v>
      </c>
      <c r="EK13" s="210">
        <f>Crops[[#This Row],[Units Per Harvest]]/Crops[[#This Row],[Days Between Harvest]]*7</f>
        <v>25</v>
      </c>
      <c r="EL13" s="210" t="e">
        <f>Crops[[#This Row],[Custom Yield Per Bed]]/_xlfn.XLOOKUP(Crops[[#This Row],[ProductIndex]],Products[ID],Products[CSA Portion])</f>
        <v>#N/A</v>
      </c>
      <c r="EM13" s="210" t="e">
        <f>Crops[[#This Row],[Units Per Harvest]]/Crops[[#This Row],[Days Between Harvest]]*7/_xlfn.XLOOKUP(Crops[[#This Row],[ProductIndex]],Products[ID],Products[CSA Portion])</f>
        <v>#N/A</v>
      </c>
      <c r="EN13" s="210" t="e">
        <f>Crops[[#This Row],[CSA Portions Per Week]]/CSAMembers</f>
        <v>#N/A</v>
      </c>
      <c r="EO13" s="216">
        <v>1</v>
      </c>
      <c r="EP13" s="216">
        <v>1</v>
      </c>
      <c r="EQ13" s="210"/>
      <c r="ER13" s="210">
        <f>Crops[[#This Row],[Harvests]]*Crops[[#This Row],[Days Between Harvest]]/7</f>
        <v>2</v>
      </c>
      <c r="ES13" s="217" t="e">
        <f>_xlfn.XLOOKUP(Crops[[#This Row],[ProductIndex]],Products[ID],Products[CSA Need])</f>
        <v>#N/A</v>
      </c>
      <c r="ET13" s="217" t="e">
        <f>_xlfn.XLOOKUP(Crops[[#This Row],[ProductIndex]],Products[ID],Products[CSA Times])</f>
        <v>#N/A</v>
      </c>
      <c r="EU13" s="208" t="e">
        <f>Crops[[#This Row],[Custom Yield Per Bed]]/(Crops[[#This Row],[CSA Need]]*(_xlfn.XLOOKUP(Crops[[#This Row],[ProductIndex]],Products[ID],Products[CSA Portion])*CSAMembers))</f>
        <v>#N/A</v>
      </c>
      <c r="EV13" s="208" t="e">
        <f>_xlfn.XLOOKUP(Crops[[#This Row],[ProductIndex]],Products[ID],Products[CSA Portion])*CSAMembers*Crops[[#This Row],[CSA Need]]/Crops[[#This Row],[Custom Yield Per Bed]]</f>
        <v>#N/A</v>
      </c>
      <c r="EW13" s="208" t="str">
        <f>IFERROR(Crops[[#This Row],[Days In Field]]*Crops[[#This Row],[CSA Beds]],"")</f>
        <v/>
      </c>
      <c r="EX13" s="208" t="e">
        <f>Crops[[#This Row],[CSA Bed Days]]*#REF!</f>
        <v>#VALUE!</v>
      </c>
      <c r="EY13" t="s">
        <v>1795</v>
      </c>
    </row>
    <row r="14" spans="1:156">
      <c r="A1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Asian Greens (Mixed) - Loose Leaf 1.5X | Field TP Ow</v>
      </c>
      <c r="B14" s="191"/>
      <c r="C14" s="1" t="b">
        <v>1</v>
      </c>
      <c r="D14" s="1" t="s">
        <v>2586</v>
      </c>
      <c r="E14" s="1" t="b">
        <v>0</v>
      </c>
      <c r="F14" s="1" t="b">
        <f>IFERROR(IF(ISNUMBER(MATCH(Crops[[#This Row],[Identifier]],BedPlan[Crop], 0)), TRUE, FALSE), FALSE)</f>
        <v>0</v>
      </c>
      <c r="G14" s="1" t="b">
        <f>IFERROR(IF(ISNUMBER(MATCH(Crops[[#This Row],[Identifier]],BedPlan[Crop], 0)), TRUE, FALSE), FALSE)</f>
        <v>0</v>
      </c>
      <c r="H14" s="1"/>
      <c r="I14" t="s">
        <v>1517</v>
      </c>
      <c r="J14" t="s">
        <v>1518</v>
      </c>
      <c r="K14" t="s">
        <v>190</v>
      </c>
      <c r="M14" t="s">
        <v>441</v>
      </c>
      <c r="N14" t="str">
        <f>Crops[[#This Row],[Crop]]</f>
        <v>Asian Greens</v>
      </c>
      <c r="O14" t="s">
        <v>210</v>
      </c>
      <c r="P14" t="str">
        <f>IF(OR(Crops[[#This Row],[Days in Cells]]="",Crops[[#This Row],[Days in Cells]]=0), "DS","TP")</f>
        <v>TP</v>
      </c>
      <c r="U14" t="s">
        <v>144</v>
      </c>
      <c r="V14" t="str">
        <f xml:space="preserve"> IF(Crops[[#This Row],[Sp]], "Sp", "") &amp; IF(Crops[[#This Row],[Su]], "Su", "") &amp; IF(Crops[[#This Row],[Fa]], "Fa", "") &amp; IF(Crops[[#This Row],[Wi]], "Wi", "") &amp; IF(Crops[[#This Row],[OW]], "Ow","")</f>
        <v>Ow</v>
      </c>
      <c r="X14">
        <v>3</v>
      </c>
      <c r="Y14">
        <v>9</v>
      </c>
      <c r="AB14" t="b">
        <v>1</v>
      </c>
      <c r="AC14">
        <v>2</v>
      </c>
      <c r="AD14" s="32">
        <f>IFERROR(12/Crops[[#This Row],[Spacing]]*Crops[[#This Row],[Rows]]*BedLength,"")</f>
        <v>200</v>
      </c>
      <c r="AE14">
        <v>1.5</v>
      </c>
      <c r="AG14">
        <v>1.1000000000000001</v>
      </c>
      <c r="AH14">
        <f>1</f>
        <v>1</v>
      </c>
      <c r="AI14" s="33">
        <f>IFERROR(Crops[[#This Row],[Plantings Per Bed]]*Crops[[#This Row],[Seeds Per Planting]]*Crops[[#This Row],[Safety Factor]]*Crops[[#This Row],[Seeding Factor]],"")</f>
        <v>330</v>
      </c>
      <c r="AL14">
        <f>_xlfn.FLOOR.MATH(IFERROR(AVERAGE(Crops[[#This Row],[DTG Lower]:[DTG Upper]]),0))</f>
        <v>0</v>
      </c>
      <c r="AM14">
        <f>SUM(Crops[[#This Row],[Tray 1 Days]],Crops[[#This Row],[Tray 2 Days]],Crops[[#This Row],[Tray 3 Days]])</f>
        <v>21</v>
      </c>
      <c r="AN14">
        <v>30</v>
      </c>
      <c r="AP14">
        <v>90</v>
      </c>
      <c r="AQ14">
        <f>IFERROR(_xlfn.FLOOR.MATH(AVERAGE(Crops[[#This Row],[DTM Lower]:[DTM Upper]])),"")</f>
        <v>90</v>
      </c>
      <c r="AR14" cm="1">
        <f t="array" ref="AR14">_xlfn.SWITCH(Crops[[#This Row],[Normal Method]],"DS",Crops[[#This Row],[Days to Germination]]+Crops[[#This Row],[DTM]] + IF(Crops[[#This Row],[Days in Cells]]&gt;0,15,0), "TP",Crops[[#This Row],[DTM]]+Crops[[#This Row],[Days in Cells]] + IF(Crops[[#This Row],[Days in Cells]]&lt;=0,20,0), "X", Crops[[#This Row],[DTM]])</f>
        <v>90</v>
      </c>
      <c r="AS14" t="s">
        <v>347</v>
      </c>
      <c r="AT14">
        <f>(Crops[[#This Row],[Harvests]]-1)*Crops[[#This Row],[Days Between Harvest]]+7</f>
        <v>77</v>
      </c>
      <c r="AU14">
        <f>Crops[[#This Row],[STH]]-Crops[[#This Row],[Days in Cells]]+Crops[[#This Row],[Harvest window]]</f>
        <v>146</v>
      </c>
      <c r="AX14">
        <v>128</v>
      </c>
      <c r="AY14">
        <v>21</v>
      </c>
      <c r="AZ14">
        <f>IFERROR(IF(Crops[[#This Row],[Tray 1 Days]]=0,"",Crops[[#This Row],[Plantings Per Bed]]/Crops[[#This Row],[Tray 1 Size]]*Crops[[#This Row],[Safety Factor]]),"")</f>
        <v>1.7187500000000002</v>
      </c>
      <c r="BC14" t="str">
        <f>IFERROR(IF(Crops[[#This Row],[Tray 2 Days]]=0,"",Crops[[#This Row],[Plantings Per Bed]]/Crops[[#This Row],[Tray 2 Size]]*Crops[[#This Row],[Safety Factor]]),"")</f>
        <v/>
      </c>
      <c r="BE14" s="32" t="str">
        <f>IF(NOT(ISBLANK(Crops[[#This Row],[Tray 3 Size]])), Crops[[#This Row],[Days in Cells Old]]-SUM(Crops[[#This Row],[Tray 1 Days]],Crops[[#This Row],[Tray 2 Days]]), "")</f>
        <v/>
      </c>
      <c r="BF14" t="str">
        <f>IFERROR(IF(Crops[[#This Row],[Tray 3 Days]]=0,"",Crops[[#This Row],[Plantings Per Bed]]/Crops[[#This Row],[Tray 3 Size]]*Crops[[#This Row],[Safety Factor]]),"")</f>
        <v/>
      </c>
      <c r="BG14" s="33">
        <f>Crops[[#This Row],[Plantings Per Bed]]*2/9</f>
        <v>44.444444444444443</v>
      </c>
      <c r="BH14" s="33">
        <v>3</v>
      </c>
      <c r="BI14" s="33">
        <v>35</v>
      </c>
      <c r="BJ14" s="33">
        <f>_xlfn.XLOOKUP(Crops[[#This Row],[ProductIndex]],Products[ID],Products[Holding Period])</f>
        <v>7</v>
      </c>
      <c r="BK14" s="33"/>
      <c r="BL14" s="33">
        <f>Crops[[#This Row],[Units Per Harvest]]*Crops[[#This Row],[Harvests]]</f>
        <v>133.33333333333331</v>
      </c>
      <c r="BM14" s="35">
        <v>3.75</v>
      </c>
      <c r="BN14" s="35">
        <f>Crops[[#This Row],[Direct Price]]*0.6</f>
        <v>2.25</v>
      </c>
      <c r="BO14" s="35"/>
      <c r="BP14" t="s">
        <v>215</v>
      </c>
      <c r="BQ14">
        <f>Crops[[#This Row],[Custom Yield Per Bed]]*Crops[[#This Row],[Direct Price]]</f>
        <v>499.99999999999994</v>
      </c>
      <c r="BR14" t="b">
        <v>1</v>
      </c>
      <c r="BS14" t="b">
        <f>Crops[[#This Row],[Harvests]]&gt;1</f>
        <v>1</v>
      </c>
      <c r="BT14" s="36">
        <f>IFERROR(Crops[[#This Row],[Direct Revenue Per Bed]]/Crops[[#This Row],[Days In Field]],-1)</f>
        <v>3.4246575342465748</v>
      </c>
      <c r="BU14" s="36">
        <f>IFERROR(Crops[[#This Row],[Direct Revenue Per Bed Day]]*GrowingDays*BedsPerAcre,"")</f>
        <v>98630.136986301353</v>
      </c>
      <c r="BV14" s="38">
        <f>LastFrostDate-5*Crops[[#This Row],[Sewing Rel Last Frost]]</f>
        <v>45853</v>
      </c>
      <c r="BW14" s="38">
        <f>Crops[[#This Row],[Target Sewing Date]]+Crops[[#This Row],[Days in Cells]]</f>
        <v>45874</v>
      </c>
      <c r="BX14" s="38">
        <f>Crops[[#This Row],[Target Sewing Date]]+Crops[[#This Row],[STH]]</f>
        <v>45943</v>
      </c>
      <c r="BY14" s="38">
        <f>Crops[[#This Row],[Target Harvest Data]]+Crops[[#This Row],[Harvest window]]</f>
        <v>46020</v>
      </c>
      <c r="BZ14">
        <v>-21</v>
      </c>
      <c r="CB14">
        <f>1</f>
        <v>1</v>
      </c>
      <c r="CC14">
        <f>IF(Crops[[#This Row],[Transplanting]]&gt;0, 2, 3)*BedLength/StandardBedLength</f>
        <v>1</v>
      </c>
      <c r="CD14" s="173">
        <f>IF(Crops[[#This Row],[Days in Cells]]&lt;=0,0,Crops[[#This Row],[Plantings Per Bed]]/StartsPerHourSeeding+Crops[[#This Row],[Tray 1 Count]]*5/60)</f>
        <v>0.92447916666666674</v>
      </c>
      <c r="CE14" s="173">
        <f>IF(ISBLANK(Crops[[#This Row],[Tray 2 Days]]),0,Crops[[#This Row],[Plantings Per Bed]]/UpPottingPerHour)+IF(Crops[[#This Row],[Tray 3 Days]]="",0,Crops[[#This Row],[Plantings Per Bed]]/UpPottingPerHour)</f>
        <v>0</v>
      </c>
      <c r="CF14" s="173">
        <f>IFERROR(Crops[[#This Row],[Tray 1 Count]]/HomeStartFlatIrrigationPerHour,0)*Crops[[#This Row],[Days in Cells]]/DaysBetweenStartIrrigation</f>
        <v>0.150390625</v>
      </c>
      <c r="CG14" s="173">
        <f>0.5/16*MAX(Crops[[#This Row],[Tray 1 Count]],Crops[[#This Row],[Tray 2 Count]],Crops[[#This Row],[Tray 3 Count]])</f>
        <v>5.3710937500000007E-2</v>
      </c>
      <c r="CH14" s="173">
        <f>IF(Crops[[#This Row],[Days in Cells]]&gt;0,IF(IF(Crops[[#This Row],[Tray 3 Size]]&gt;0,Crops[[#This Row],[Tray 3 Size]],IF(Crops[[#This Row],[Tray 2 Size]]&gt;0,Crops[[#This Row],[Tray 2 Size]],Crops[[#This Row],[Tray 1 Size]]))&lt;=18,LargeTransplantTime,SmallTransplantTime)*Crops[[#This Row],[Plantings Per Bed]],0)</f>
        <v>1</v>
      </c>
      <c r="CI14" s="173"/>
      <c r="CJ14" s="173">
        <f>_xlfn.XLOOKUP(Crops[[#This Row],[Trellis Type]],TrellisMethods[Trellis Type],TrellisMethods[Hours],0,0)</f>
        <v>0</v>
      </c>
      <c r="CK14">
        <f>IF(Crops[[#This Row],[Days in Cells]]&lt;=0,Crops[[#This Row],[Rows]]*1/10,0)*BedLength/50</f>
        <v>0</v>
      </c>
      <c r="CL14" cm="1">
        <f t="array" ref="CL14">_xlfn.SWITCH(Crops[[#This Row],[Irrigation]],"DR", 0.5, "OH", 0.25,0)*BedLength/50</f>
        <v>0</v>
      </c>
      <c r="CM14">
        <f>IF(OR(ISBLANK(Crops[[#This Row],[Row Cover]]),Crops[[#This Row],[Row Cover]]="None"),0,1)*BedLength/50</f>
        <v>0</v>
      </c>
      <c r="CN14" s="173">
        <f>HoursPerWeedingPass*Crops[[#This Row],[Days In Field]]/14*Crops[[#This Row],[Rows]]+1*BedLength/50</f>
        <v>6.2142857142857135</v>
      </c>
      <c r="CO14" s="49"/>
      <c r="CQ14" s="37">
        <f>_xlfn.XLOOKUP(Crops[[#This Row],[Crop]]&amp;Crops[[#This Row],[Product]]&amp;Crops[[#This Row],[Unit]],Products[ID],Products[Marketing (hr)])*Crops[[#This Row],[Direct Revenue Per Bed]]/2000</f>
        <v>0.74999999999999989</v>
      </c>
      <c r="CR14" s="37">
        <f>_xlfn.XLOOKUP(Crops[[#This Row],[Crop]]&amp;Crops[[#This Row],[Product]]&amp;Crops[[#This Row],[Unit]],Products[ID],Products[Harvest (s)])*Crops[[#This Row],[Custom Yield Per Bed]]/3600</f>
        <v>1.1111111111111109</v>
      </c>
      <c r="CS14" s="37">
        <f>_xlfn.XLOOKUP(Crops[[#This Row],[Crop]]&amp;Crops[[#This Row],[Product]]&amp;Crops[[#This Row],[Unit]],Products[ID],Products[Bunch (s)])*Crops[[#This Row],[Custom Yield Per Bed]]/3600</f>
        <v>0.37037037037037029</v>
      </c>
      <c r="CT14" s="37">
        <f>_xlfn.XLOOKUP(Crops[[#This Row],[Crop]]&amp;Crops[[#This Row],[Product]]&amp;Crops[[#This Row],[Unit]],Products[ID],Products[Haul (s)])*Crops[[#This Row],[Custom Yield Per Bed]]/3600</f>
        <v>0.13888888888888887</v>
      </c>
      <c r="CU14" s="37">
        <f>_xlfn.XLOOKUP(Crops[[#This Row],[Crop]]&amp;Crops[[#This Row],[Product]]&amp;Crops[[#This Row],[Unit]],Products[ID],Products[Wash (s)])*Crops[[#This Row],[Custom Yield Per Bed]]/3600</f>
        <v>0</v>
      </c>
      <c r="CV14" s="37">
        <f>_xlfn.XLOOKUP(Crops[[#This Row],[Crop]]&amp;Crops[[#This Row],[Product]]&amp;Crops[[#This Row],[Unit]],Products[ID],Products[Condition (s)])*Crops[[#This Row],[Custom Yield Per Bed]]/3600</f>
        <v>0.37037037037037029</v>
      </c>
      <c r="CW14" s="37">
        <f>_xlfn.XLOOKUP(Crops[[#This Row],[Crop]]&amp;Crops[[#This Row],[Product]]&amp;Crops[[#This Row],[Unit]],Products[ID],Products[Trim (s)])*Crops[[#This Row],[Custom Yield Per Bed]]/3600</f>
        <v>0</v>
      </c>
      <c r="CX14" s="37">
        <f>_xlfn.XLOOKUP(Crops[[#This Row],[Crop]]&amp;Crops[[#This Row],[Product]]&amp;Crops[[#This Row],[Unit]],Products[ID],Products[Pack (s)])*Crops[[#This Row],[Custom Yield Per Bed]]/3600</f>
        <v>0.11111111111111109</v>
      </c>
      <c r="CY14" s="37">
        <f>_xlfn.XLOOKUP(Crops[[#This Row],[Crop]]&amp;Crops[[#This Row],[Product]]&amp;Crops[[#This Row],[Unit]],Products[ID],Products[Clean (s)])*Crops[[#This Row],[Custom Yield Per Bed]]/3600</f>
        <v>0</v>
      </c>
      <c r="CZ14" s="37">
        <f>_xlfn.XLOOKUP(Crops[[#This Row],[Crop]]&amp;Crops[[#This Row],[Product]]&amp;Crops[[#This Row],[Unit]],Products[ID],Products[Rehandle (s)])*Crops[[#This Row],[Custom Yield Per Bed]]/3600</f>
        <v>0</v>
      </c>
      <c r="DA14" s="37">
        <f>_xlfn.XLOOKUP(Crops[[#This Row],[Crop]]&amp;Crops[[#This Row],[Product]]&amp;Crops[[#This Row],[Unit]],Products[ID],Products[Market Transport (s)])*Crops[[#This Row],[Custom Yield Per Bed]]/3600</f>
        <v>0.34722222222222215</v>
      </c>
      <c r="DC14" s="37">
        <f>Crops[[#This Row],[Direct Revenue Per Bed2]]</f>
        <v>499.99999999999994</v>
      </c>
      <c r="DD14" s="173">
        <f>_xlfn.AGGREGATE(9,6,Crops[[#This Row],[Bed Prep]:[Remove Crop Residue]])</f>
        <v>12.541940517526452</v>
      </c>
      <c r="DE14" s="173">
        <f>_xlfn.AGGREGATE(9,6,Crops[[#This Row],[Bed Prep]:[Remove Crop Residue]])-0.75*Crops[[#This Row],[Market &amp; Sell]]</f>
        <v>11.979440517526452</v>
      </c>
      <c r="DF14" s="36">
        <f>Crops[[#This Row],[Direct Revenue Per Bed2]]/Crops[[#This Row],[Direct Time]]</f>
        <v>39.866239143877792</v>
      </c>
      <c r="DG14" s="36">
        <f>_xlfn.XLOOKUP(Crops[[#This Row],[ProductIndex]],Products[ID],Products[Packaging Cost])*(Crops[[#This Row],[Custom Yield Per Bed]]/_xlfn.XLOOKUP(Crops[[#This Row],[ProductIndex]],Products[ID],Products[Units Per Pack]))</f>
        <v>21.111111111111107</v>
      </c>
      <c r="DH14" s="36"/>
      <c r="DI14" s="36"/>
      <c r="DJ14" s="36"/>
      <c r="DK14" s="36"/>
      <c r="DL14" s="36"/>
      <c r="DM14" s="33">
        <f>IFERROR(Crops[[#This Row],[Custom Yield Per Bed]]*Crops[[#This Row],[Direct Price]],"")</f>
        <v>499.99999999999994</v>
      </c>
      <c r="DN14" s="36">
        <f>Crops[[#This Row],[Direct Time]]*LaborRate</f>
        <v>313.54851293816131</v>
      </c>
      <c r="DO14" s="36">
        <f>SUM(Crops[[#This Row],[Irrigation Cost]])</f>
        <v>0</v>
      </c>
      <c r="DP14" s="36">
        <f>Crops[[#This Row],[Direct Labor Cost]]+Crops[[#This Row],[Direct Non-Labor Cost]]</f>
        <v>313.54851293816131</v>
      </c>
      <c r="DQ14" s="36">
        <f>Crops[[#This Row],[Direct Revenue Per Bed2]]-Crops[[#This Row],[Direct Total Cost]]</f>
        <v>186.45148706183863</v>
      </c>
      <c r="DR14" s="36">
        <f>Crops[[#This Row],[Direct Profit]]*BedsPerAcre</f>
        <v>29832.237929894181</v>
      </c>
      <c r="DS14" s="36">
        <f>Crops[[#This Row],[Direct Profit]]*BedsPerAcre*GrowingDays/Crops[[#This Row],[Days In Field]]</f>
        <v>36779.471420417482</v>
      </c>
      <c r="DT14" s="36">
        <f>Crops[[#This Row],[Direct Profit]]/MIN(Crops[[#This Row],[Days In Field]],GrowingDays)</f>
        <v>1.2770649798756071</v>
      </c>
      <c r="DU14" s="33">
        <f>Crops[[#This Row],[Direct Time]] * BedsPerAcre</f>
        <v>2006.7104828042325</v>
      </c>
      <c r="DV14" s="36">
        <f>(Crops[[#This Row],[Direct Revenue Per Bed2]]-Crops[[#This Row],[Direct Non-Labor Cost]])/Crops[[#This Row],[Direct Time]]</f>
        <v>39.866239143877792</v>
      </c>
      <c r="DW14" s="33">
        <f>IFERROR(Crops[[#This Row],[Custom Yield Per Bed]]*Crops[[#This Row],[Rough Wholesale Price]],"")</f>
        <v>299.99999999999994</v>
      </c>
      <c r="DX14" s="36">
        <f>Crops[[#This Row],[Wholesale Time]]*LaborRate</f>
        <v>299.48601293816131</v>
      </c>
      <c r="DY14" s="36">
        <f>SUM(Crops[[#This Row],[Packaging Costs]:[Irrigation Cost]])</f>
        <v>21.111111111111107</v>
      </c>
      <c r="DZ14" s="36">
        <f>Crops[[#This Row],[Wholesale Labor Cost]]+Crops[[#This Row],[Wholesale Non-Labor Cost]]</f>
        <v>320.5971240492724</v>
      </c>
      <c r="EA14" s="36">
        <f>Crops[[#This Row],[Wholesale Revenue Per Bed]]-Crops[[#This Row],[Wholesale Total Cost]]</f>
        <v>-20.597124049272452</v>
      </c>
      <c r="EB14" s="36">
        <f>Crops[[#This Row],[Wholesale Profit]]*BedsPerAcre</f>
        <v>-3295.5398478835923</v>
      </c>
      <c r="EC14" s="36">
        <f>Crops[[#This Row],[Wholesale Profit]]*BedsPerAcre*GrowingDays/Crops[[#This Row],[Days In Field]]</f>
        <v>-4062.9943330071687</v>
      </c>
      <c r="ED14" s="33">
        <f>Crops[[#This Row],[Wholesale Time]] * BedsPerAcre</f>
        <v>1916.7104828042325</v>
      </c>
      <c r="EE14" s="221">
        <f>Crops[[#This Row],[Wholesale Profit]]/MIN(Crops[[#This Row],[Days In Field]],GrowingDays)</f>
        <v>-0.14107619211830447</v>
      </c>
      <c r="EF14" s="36">
        <f>(Crops[[#This Row],[Wholesale Revenue Per Bed]]-Crops[[#This Row],[Wholesale Non-Labor Cost]])/Crops[[#This Row],[Direct Time]]</f>
        <v>22.236502278029612</v>
      </c>
      <c r="EG14" s="174">
        <f>Crops[[#This Row],[Packaging Costs]]/Crops[[#This Row],[Wholesale Revenue Per Bed]]</f>
        <v>7.0370370370370375E-2</v>
      </c>
      <c r="EH14" s="36" t="str">
        <f>Crops[[#This Row],[Crop]]&amp;Crops[[#This Row],[Product]]&amp;Crops[[#This Row],[Unit]]</f>
        <v>Asian GreensLoose LeafBunch</v>
      </c>
      <c r="EI14" s="36" t="b">
        <f>_xlfn.XLOOKUP(Crops[[#This Row],[ProductIndex]],Products[ID],Products[Target])</f>
        <v>1</v>
      </c>
      <c r="EJ14" s="33">
        <f>Crops[[#This Row],[Custom Yield Per Bed]]</f>
        <v>133.33333333333331</v>
      </c>
      <c r="EK14" s="210">
        <f>Crops[[#This Row],[Units Per Harvest]]/Crops[[#This Row],[Days Between Harvest]]*7</f>
        <v>8.8888888888888893</v>
      </c>
      <c r="EL14" s="210">
        <f>Crops[[#This Row],[Custom Yield Per Bed]]/_xlfn.XLOOKUP(Crops[[#This Row],[ProductIndex]],Products[ID],Products[CSA Portion])</f>
        <v>133.33333333333331</v>
      </c>
      <c r="EM14" s="210">
        <f>Crops[[#This Row],[Units Per Harvest]]/Crops[[#This Row],[Days Between Harvest]]*7/_xlfn.XLOOKUP(Crops[[#This Row],[ProductIndex]],Products[ID],Products[CSA Portion])</f>
        <v>8.8888888888888893</v>
      </c>
      <c r="EN14" s="210">
        <f>Crops[[#This Row],[CSA Portions Per Week]]/CSAMembers</f>
        <v>0.17777777777777778</v>
      </c>
      <c r="EO14" s="216"/>
      <c r="EP14" s="216"/>
      <c r="EQ14" s="210"/>
      <c r="ER14" s="210">
        <f>Crops[[#This Row],[Harvests]]*Crops[[#This Row],[Days Between Harvest]]/7</f>
        <v>15</v>
      </c>
      <c r="ES14" s="217">
        <f>_xlfn.XLOOKUP(Crops[[#This Row],[ProductIndex]],Products[ID],Products[CSA Need])</f>
        <v>4</v>
      </c>
      <c r="ET14" s="217">
        <f>_xlfn.XLOOKUP(Crops[[#This Row],[ProductIndex]],Products[ID],Products[CSA Times])</f>
        <v>4</v>
      </c>
      <c r="EU14" s="208">
        <f>Crops[[#This Row],[Custom Yield Per Bed]]/(Crops[[#This Row],[CSA Need]]*(_xlfn.XLOOKUP(Crops[[#This Row],[ProductIndex]],Products[ID],Products[CSA Portion])*CSAMembers))</f>
        <v>0.66666666666666652</v>
      </c>
      <c r="EV14" s="208">
        <f>_xlfn.XLOOKUP(Crops[[#This Row],[ProductIndex]],Products[ID],Products[CSA Portion])*CSAMembers*Crops[[#This Row],[CSA Need]]/Crops[[#This Row],[Custom Yield Per Bed]]</f>
        <v>1.5000000000000002</v>
      </c>
      <c r="EW14" s="208">
        <f>IFERROR(Crops[[#This Row],[Days In Field]]*Crops[[#This Row],[CSA Beds]],"")</f>
        <v>219.00000000000003</v>
      </c>
      <c r="EX14" s="208" t="e">
        <f>Crops[[#This Row],[CSA Bed Days]]*#REF!</f>
        <v>#REF!</v>
      </c>
    </row>
    <row r="15" spans="1:156" ht="15" customHeight="1">
      <c r="A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Atriplex - Mature Stem 1X | Field DS SpSu</v>
      </c>
      <c r="B15" s="189"/>
      <c r="C15" s="1" t="s">
        <v>2588</v>
      </c>
      <c r="D15" s="1"/>
      <c r="E15" s="1" t="b">
        <v>0</v>
      </c>
      <c r="F15" s="1" t="b">
        <f>IFERROR(IF(ISNUMBER(MATCH(Crops[[#This Row],[Identifier]],BedPlan[Crop], 0)), TRUE, FALSE), FALSE)</f>
        <v>0</v>
      </c>
      <c r="G15" s="1" t="b">
        <f>IFERROR(IF(ISNUMBER(MATCH(Crops[[#This Row],[Identifier]],BedPlan[Crop], 0)), TRUE, FALSE), FALSE)</f>
        <v>0</v>
      </c>
      <c r="H15" s="1"/>
      <c r="I15" t="s">
        <v>1785</v>
      </c>
      <c r="J15" t="s">
        <v>145</v>
      </c>
      <c r="K15" t="s">
        <v>181</v>
      </c>
      <c r="M15" t="s">
        <v>406</v>
      </c>
      <c r="N15" t="str">
        <f>Crops[[#This Row],[Crop]]</f>
        <v>Atriplex</v>
      </c>
      <c r="O15" t="s">
        <v>210</v>
      </c>
      <c r="P15" t="str">
        <f>IF(OR(Crops[[#This Row],[Days in Cells]]="",Crops[[#This Row],[Days in Cells]]=0), "DS","TP")</f>
        <v>DS</v>
      </c>
      <c r="Q15" t="b">
        <v>1</v>
      </c>
      <c r="R15" t="b">
        <v>1</v>
      </c>
      <c r="V15" t="str">
        <f xml:space="preserve"> IF(Crops[[#This Row],[Sp]], "Sp", "") &amp; IF(Crops[[#This Row],[Su]], "Su", "") &amp; IF(Crops[[#This Row],[Fa]], "Fa", "") &amp; IF(Crops[[#This Row],[Wi]], "Wi", "") &amp; IF(Crops[[#This Row],[OW]], "Ow","")</f>
        <v>SpSu</v>
      </c>
      <c r="X15">
        <v>2</v>
      </c>
      <c r="Y15">
        <v>12</v>
      </c>
      <c r="AB15" t="b">
        <v>1</v>
      </c>
      <c r="AC15">
        <v>6</v>
      </c>
      <c r="AD15" s="32">
        <f>IFERROR(12/Crops[[#This Row],[Spacing]]*Crops[[#This Row],[Rows]]*BedLength,"")</f>
        <v>100</v>
      </c>
      <c r="AE15">
        <v>1</v>
      </c>
      <c r="AG15">
        <f>IF(Crops[[#This Row],[Custom Safety Factor]]="",PlantingSafetyFactor,Crops[[#This Row],[Custom Safety Factor]])</f>
        <v>1.3</v>
      </c>
      <c r="AH15">
        <f>1</f>
        <v>1</v>
      </c>
      <c r="AI15" s="33">
        <f>IFERROR(Crops[[#This Row],[Plantings Per Bed]]*Crops[[#This Row],[Seeds Per Planting]]*Crops[[#This Row],[Safety Factor]]*Crops[[#This Row],[Seeding Factor]],"")</f>
        <v>130</v>
      </c>
      <c r="AJ15">
        <v>7</v>
      </c>
      <c r="AK15">
        <v>14</v>
      </c>
      <c r="AL15">
        <f>_xlfn.FLOOR.MATH(IFERROR(AVERAGE(Crops[[#This Row],[DTG Lower]:[DTG Upper]]),0))</f>
        <v>10</v>
      </c>
      <c r="AM15">
        <f>SUM(Crops[[#This Row],[Tray 1 Days]],Crops[[#This Row],[Tray 2 Days]],Crops[[#This Row],[Tray 3 Days]])</f>
        <v>0</v>
      </c>
      <c r="AO15">
        <v>75</v>
      </c>
      <c r="AP15">
        <v>110</v>
      </c>
      <c r="AQ15">
        <f>IFERROR(_xlfn.FLOOR.MATH(AVERAGE(Crops[[#This Row],[DTM Lower]:[DTM Upper]])),"")</f>
        <v>92</v>
      </c>
      <c r="AR15" cm="1">
        <f t="array" ref="AR15">_xlfn.SWITCH(Crops[[#This Row],[Normal Method]],"DS",Crops[[#This Row],[Days to Germination]]+Crops[[#This Row],[DTM]] + IF(Crops[[#This Row],[Days in Cells]]&gt;0,15,0), "TP",Crops[[#This Row],[DTM]]+Crops[[#This Row],[Days in Cells]] + IF(Crops[[#This Row],[Days in Cells]]&lt;=0,20,0), "X", Crops[[#This Row],[DTM]])</f>
        <v>102</v>
      </c>
      <c r="AS15" t="s">
        <v>338</v>
      </c>
      <c r="AT15">
        <f>(Crops[[#This Row],[Harvests]]-1)*Crops[[#This Row],[Days Between Harvest]]+7</f>
        <v>63</v>
      </c>
      <c r="AU15">
        <f>Crops[[#This Row],[STH]]-Crops[[#This Row],[Days in Cells]]+Crops[[#This Row],[Harvest window]]</f>
        <v>165</v>
      </c>
      <c r="AZ15" t="str">
        <f>IFERROR(IF(Crops[[#This Row],[Tray 1 Days]]=0,"",Crops[[#This Row],[Plantings Per Bed]]/Crops[[#This Row],[Tray 1 Size]]*Crops[[#This Row],[Safety Factor]]),"")</f>
        <v/>
      </c>
      <c r="BC15" t="str">
        <f>IFERROR(IF(Crops[[#This Row],[Tray 2 Days]]=0,"",Crops[[#This Row],[Plantings Per Bed]]/Crops[[#This Row],[Tray 2 Size]]*Crops[[#This Row],[Safety Factor]]),"")</f>
        <v/>
      </c>
      <c r="BE15" s="32" t="str">
        <f>IF(NOT(ISBLANK(Crops[[#This Row],[Tray 3 Size]])), Crops[[#This Row],[Days in Cells Old]]-SUM(Crops[[#This Row],[Tray 1 Days]],Crops[[#This Row],[Tray 2 Days]]), "")</f>
        <v/>
      </c>
      <c r="BF15" t="str">
        <f>IFERROR(IF(Crops[[#This Row],[Tray 3 Days]]=0,"",Crops[[#This Row],[Plantings Per Bed]]/Crops[[#This Row],[Tray 3 Size]]*Crops[[#This Row],[Safety Factor]]),"")</f>
        <v/>
      </c>
      <c r="BG15" s="33">
        <f>Crops[[#This Row],[Plantings Per Bed]]*10/Crops[[#This Row],[Harvests]]</f>
        <v>200</v>
      </c>
      <c r="BH15" s="33">
        <v>5</v>
      </c>
      <c r="BI15" s="33">
        <v>14</v>
      </c>
      <c r="BJ15" s="33">
        <f>_xlfn.XLOOKUP(Crops[[#This Row],[ProductIndex]],Products[ID],Products[Holding Period])</f>
        <v>0</v>
      </c>
      <c r="BK15" s="33"/>
      <c r="BL15" s="33">
        <f>Crops[[#This Row],[Units Per Harvest]]*Crops[[#This Row],[Harvests]]</f>
        <v>1000</v>
      </c>
      <c r="BM15" s="35">
        <v>0.8</v>
      </c>
      <c r="BN15" s="35">
        <f>Crops[[#This Row],[Direct Price]]*0.6</f>
        <v>0.48</v>
      </c>
      <c r="BO15" s="35"/>
      <c r="BP15" t="s">
        <v>213</v>
      </c>
      <c r="BQ15">
        <f>Crops[[#This Row],[Custom Yield Per Bed]]*Crops[[#This Row],[Direct Price]]</f>
        <v>800</v>
      </c>
      <c r="BR15" t="b">
        <v>0</v>
      </c>
      <c r="BS15" t="b">
        <f>Crops[[#This Row],[Harvests]]&gt;1</f>
        <v>1</v>
      </c>
      <c r="BT15" s="36">
        <f>IFERROR(Crops[[#This Row],[Direct Revenue Per Bed]]/Crops[[#This Row],[Days In Field]],-1)</f>
        <v>4.8484848484848486</v>
      </c>
      <c r="BU15" s="33">
        <f>IFERROR(Crops[[#This Row],[Direct Revenue Per Bed Day]]*GrowingDays*BedsPerAcre,"")</f>
        <v>139636.36363636365</v>
      </c>
      <c r="BV15" s="38">
        <f>LastFrostDate-5*Crops[[#This Row],[Sewing Rel Last Frost]]</f>
        <v>45753</v>
      </c>
      <c r="BW15" s="38">
        <f>Crops[[#This Row],[Target Sewing Date]]+Crops[[#This Row],[Days in Cells]]</f>
        <v>45753</v>
      </c>
      <c r="BX15" s="38">
        <f>Crops[[#This Row],[Target Sewing Date]]+Crops[[#This Row],[STH]]</f>
        <v>45855</v>
      </c>
      <c r="BY15" s="38">
        <f>Crops[[#This Row],[Target Harvest Data]]+Crops[[#This Row],[Harvest window]]</f>
        <v>45918</v>
      </c>
      <c r="BZ15">
        <v>-1</v>
      </c>
      <c r="CA15" t="s">
        <v>490</v>
      </c>
      <c r="CB15">
        <f>1</f>
        <v>1</v>
      </c>
      <c r="CC15">
        <f>IF(Crops[[#This Row],[Transplanting]]&gt;0, 2, 3)*BedLength/StandardBedLength</f>
        <v>1.5</v>
      </c>
      <c r="CD15" s="173">
        <f>IF(Crops[[#This Row],[Days in Cells]]&lt;=0,0,Crops[[#This Row],[Plantings Per Bed]]/StartsPerHourSeeding+Crops[[#This Row],[Tray 1 Count]]*5/60)</f>
        <v>0</v>
      </c>
      <c r="CE15" s="173">
        <f>IF(ISBLANK(Crops[[#This Row],[Tray 2 Days]]),0,Crops[[#This Row],[Plantings Per Bed]]/UpPottingPerHour)+IF(Crops[[#This Row],[Tray 3 Days]]="",0,Crops[[#This Row],[Plantings Per Bed]]/UpPottingPerHour)</f>
        <v>0</v>
      </c>
      <c r="CF15" s="173">
        <f>IFERROR(Crops[[#This Row],[Tray 1 Count]]/HomeStartFlatIrrigationPerHour,0)*Crops[[#This Row],[Days in Cells]]/DaysBetweenStartIrrigation</f>
        <v>0</v>
      </c>
      <c r="CG15" s="173">
        <f>0.5/16*MAX(Crops[[#This Row],[Tray 1 Count]],Crops[[#This Row],[Tray 2 Count]],Crops[[#This Row],[Tray 3 Count]])</f>
        <v>0</v>
      </c>
      <c r="CH15" s="173">
        <f>IF(Crops[[#This Row],[Days in Cells]]&gt;0,IF(IF(Crops[[#This Row],[Tray 3 Size]]&gt;0,Crops[[#This Row],[Tray 3 Size]],IF(Crops[[#This Row],[Tray 2 Size]]&gt;0,Crops[[#This Row],[Tray 2 Size]],Crops[[#This Row],[Tray 1 Size]]))&lt;=18,LargeTransplantTime,SmallTransplantTime)*Crops[[#This Row],[Plantings Per Bed]],0)</f>
        <v>0</v>
      </c>
      <c r="CI15" s="173"/>
      <c r="CJ15" s="173">
        <f>_xlfn.XLOOKUP(Crops[[#This Row],[Trellis Type]],TrellisMethods[Trellis Type],TrellisMethods[Hours],0,0)</f>
        <v>0</v>
      </c>
      <c r="CK15">
        <f>IF(Crops[[#This Row],[Days in Cells]]&lt;=0,Crops[[#This Row],[Rows]]*1/10,0)*BedLength/50</f>
        <v>0.2</v>
      </c>
      <c r="CL15" cm="1">
        <f t="array" ref="CL15">_xlfn.SWITCH(Crops[[#This Row],[Irrigation]],"DR", 0.5, "OH", 0.25,0)*BedLength/50</f>
        <v>0</v>
      </c>
      <c r="CM15">
        <f>IF(OR(ISBLANK(Crops[[#This Row],[Row Cover]]),Crops[[#This Row],[Row Cover]]="None"),0,1)*BedLength/50</f>
        <v>0</v>
      </c>
      <c r="CN15" s="173">
        <f>HoursPerWeedingPass*Crops[[#This Row],[Days In Field]]/14*Crops[[#This Row],[Rows]]+1*BedLength/50</f>
        <v>4.9285714285714288</v>
      </c>
      <c r="CQ15" s="37">
        <f>_xlfn.XLOOKUP(Crops[[#This Row],[Crop]]&amp;Crops[[#This Row],[Product]]&amp;Crops[[#This Row],[Unit]],Products[ID],Products[Marketing (hr)])*Crops[[#This Row],[Direct Revenue Per Bed]]/2000</f>
        <v>2.4</v>
      </c>
      <c r="CR15" s="37">
        <f>_xlfn.XLOOKUP(Crops[[#This Row],[Crop]]&amp;Crops[[#This Row],[Product]]&amp;Crops[[#This Row],[Unit]],Products[ID],Products[Harvest (s)])*Crops[[#This Row],[Custom Yield Per Bed]]/3600</f>
        <v>1.3888888888888888</v>
      </c>
      <c r="CS15" s="37">
        <f>_xlfn.XLOOKUP(Crops[[#This Row],[Crop]]&amp;Crops[[#This Row],[Product]]&amp;Crops[[#This Row],[Unit]],Products[ID],Products[Bunch (s)])*Crops[[#This Row],[Custom Yield Per Bed]]/3600</f>
        <v>0</v>
      </c>
      <c r="CT15" s="37">
        <f>_xlfn.XLOOKUP(Crops[[#This Row],[Crop]]&amp;Crops[[#This Row],[Product]]&amp;Crops[[#This Row],[Unit]],Products[ID],Products[Haul (s)])*Crops[[#This Row],[Custom Yield Per Bed]]/3600</f>
        <v>0.625</v>
      </c>
      <c r="CU15" s="37">
        <f>_xlfn.XLOOKUP(Crops[[#This Row],[Crop]]&amp;Crops[[#This Row],[Product]]&amp;Crops[[#This Row],[Unit]],Products[ID],Products[Wash (s)])*Crops[[#This Row],[Custom Yield Per Bed]]/3600</f>
        <v>0</v>
      </c>
      <c r="CV15" s="37">
        <f>_xlfn.XLOOKUP(Crops[[#This Row],[Crop]]&amp;Crops[[#This Row],[Product]]&amp;Crops[[#This Row],[Unit]],Products[ID],Products[Condition (s)])*Crops[[#This Row],[Custom Yield Per Bed]]/3600</f>
        <v>0</v>
      </c>
      <c r="CW15" s="37">
        <f>_xlfn.XLOOKUP(Crops[[#This Row],[Crop]]&amp;Crops[[#This Row],[Product]]&amp;Crops[[#This Row],[Unit]],Products[ID],Products[Trim (s)])*Crops[[#This Row],[Custom Yield Per Bed]]/3600</f>
        <v>0.83333333333333337</v>
      </c>
      <c r="CX15" s="37">
        <f>_xlfn.XLOOKUP(Crops[[#This Row],[Crop]]&amp;Crops[[#This Row],[Product]]&amp;Crops[[#This Row],[Unit]],Products[ID],Products[Pack (s)])*Crops[[#This Row],[Custom Yield Per Bed]]/3600</f>
        <v>0.83333333333333337</v>
      </c>
      <c r="CY15" s="37">
        <f>_xlfn.XLOOKUP(Crops[[#This Row],[Crop]]&amp;Crops[[#This Row],[Product]]&amp;Crops[[#This Row],[Unit]],Products[ID],Products[Clean (s)])*Crops[[#This Row],[Custom Yield Per Bed]]/3600</f>
        <v>0</v>
      </c>
      <c r="CZ15" s="37">
        <f>_xlfn.XLOOKUP(Crops[[#This Row],[Crop]]&amp;Crops[[#This Row],[Product]]&amp;Crops[[#This Row],[Unit]],Products[ID],Products[Rehandle (s)])*Crops[[#This Row],[Custom Yield Per Bed]]/3600</f>
        <v>0</v>
      </c>
      <c r="DA15" s="37">
        <f>_xlfn.XLOOKUP(Crops[[#This Row],[Crop]]&amp;Crops[[#This Row],[Product]]&amp;Crops[[#This Row],[Unit]],Products[ID],Products[Market Transport (s)])*Crops[[#This Row],[Custom Yield Per Bed]]/3600</f>
        <v>1.5625</v>
      </c>
      <c r="DC15" s="37">
        <f>Crops[[#This Row],[Direct Revenue Per Bed2]]</f>
        <v>800</v>
      </c>
      <c r="DD15" s="173">
        <f>_xlfn.AGGREGATE(9,6,Crops[[#This Row],[Bed Prep]:[Remove Crop Residue]])</f>
        <v>14.271626984126986</v>
      </c>
      <c r="DE15" s="173">
        <f>_xlfn.AGGREGATE(9,6,Crops[[#This Row],[Bed Prep]:[Remove Crop Residue]])-0.75*Crops[[#This Row],[Market &amp; Sell]]</f>
        <v>12.471626984126985</v>
      </c>
      <c r="DF15" s="36">
        <f>Crops[[#This Row],[Direct Revenue Per Bed2]]/Crops[[#This Row],[Direct Time]]</f>
        <v>56.055276731221056</v>
      </c>
      <c r="DG15" s="36">
        <f>_xlfn.XLOOKUP(Crops[[#This Row],[ProductIndex]],Products[ID],Products[Packaging Cost])*(Crops[[#This Row],[Custom Yield Per Bed]]/_xlfn.XLOOKUP(Crops[[#This Row],[ProductIndex]],Products[ID],Products[Units Per Pack]))</f>
        <v>100</v>
      </c>
      <c r="DH15" s="36"/>
      <c r="DI15" s="36"/>
      <c r="DJ15" s="36"/>
      <c r="DK15" s="36"/>
      <c r="DL15" s="36"/>
      <c r="DM15" s="33">
        <f>IFERROR(Crops[[#This Row],[Custom Yield Per Bed]]*Crops[[#This Row],[Direct Price]],"")</f>
        <v>800</v>
      </c>
      <c r="DN15" s="36">
        <f>Crops[[#This Row],[Direct Time]]*LaborRate</f>
        <v>356.79067460317464</v>
      </c>
      <c r="DO15" s="36">
        <f>SUM(Crops[[#This Row],[Irrigation Cost]])</f>
        <v>0</v>
      </c>
      <c r="DP15" s="36">
        <f>Crops[[#This Row],[Direct Labor Cost]]+Crops[[#This Row],[Direct Non-Labor Cost]]</f>
        <v>356.79067460317464</v>
      </c>
      <c r="DQ15" s="36">
        <f>Crops[[#This Row],[Direct Revenue Per Bed2]]-Crops[[#This Row],[Direct Total Cost]]</f>
        <v>443.20932539682536</v>
      </c>
      <c r="DR15" s="36">
        <f>Crops[[#This Row],[Direct Profit]]*BedsPerAcre</f>
        <v>70913.492063492056</v>
      </c>
      <c r="DS15" s="36">
        <f>Crops[[#This Row],[Direct Profit]]*BedsPerAcre*GrowingDays/Crops[[#This Row],[Days In Field]]</f>
        <v>77360.173160173159</v>
      </c>
      <c r="DT15" s="36">
        <f>Crops[[#This Row],[Direct Profit]]/MIN(Crops[[#This Row],[Days In Field]],GrowingDays)</f>
        <v>2.6861171236171235</v>
      </c>
      <c r="DU15" s="36">
        <f>Crops[[#This Row],[Direct Time]] * BedsPerAcre</f>
        <v>2283.4603174603176</v>
      </c>
      <c r="DV15" s="36">
        <f>(Crops[[#This Row],[Direct Revenue Per Bed2]]-Crops[[#This Row],[Direct Non-Labor Cost]])/Crops[[#This Row],[Direct Time]]</f>
        <v>56.055276731221056</v>
      </c>
      <c r="DW15" s="33">
        <f>IFERROR(Crops[[#This Row],[Custom Yield Per Bed]]*Crops[[#This Row],[Rough Wholesale Price]],"")</f>
        <v>480</v>
      </c>
      <c r="DX15" s="36">
        <f>Crops[[#This Row],[Wholesale Time]]*LaborRate</f>
        <v>311.79067460317464</v>
      </c>
      <c r="DY15" s="36">
        <f>SUM(Crops[[#This Row],[Packaging Costs]:[Irrigation Cost]])</f>
        <v>100</v>
      </c>
      <c r="DZ15" s="36">
        <f>Crops[[#This Row],[Wholesale Labor Cost]]+Crops[[#This Row],[Wholesale Non-Labor Cost]]</f>
        <v>411.79067460317464</v>
      </c>
      <c r="EA15" s="36">
        <f>Crops[[#This Row],[Wholesale Revenue Per Bed]]-Crops[[#This Row],[Wholesale Total Cost]]</f>
        <v>68.209325396825363</v>
      </c>
      <c r="EB15" s="36">
        <f>Crops[[#This Row],[Wholesale Profit]]*BedsPerAcre</f>
        <v>10913.492063492058</v>
      </c>
      <c r="EC15" s="36">
        <f>Crops[[#This Row],[Wholesale Profit]]*BedsPerAcre*GrowingDays/Crops[[#This Row],[Days In Field]]</f>
        <v>11905.627705627699</v>
      </c>
      <c r="ED15" s="36">
        <f>Crops[[#This Row],[Wholesale Time]] * BedsPerAcre</f>
        <v>1995.4603174603176</v>
      </c>
      <c r="EE15" s="36">
        <f>Crops[[#This Row],[Wholesale Profit]]/MIN(Crops[[#This Row],[Days In Field]],GrowingDays)</f>
        <v>0.4133898508898507</v>
      </c>
      <c r="EF15" s="36">
        <f>(Crops[[#This Row],[Wholesale Revenue Per Bed]]-Crops[[#This Row],[Wholesale Non-Labor Cost]])/Crops[[#This Row],[Direct Time]]</f>
        <v>26.626256447330004</v>
      </c>
      <c r="EG15" s="174">
        <f>Crops[[#This Row],[Packaging Costs]]/Crops[[#This Row],[Wholesale Revenue Per Bed]]</f>
        <v>0.20833333333333334</v>
      </c>
      <c r="EH15" s="36" t="str">
        <f>Crops[[#This Row],[Crop]]&amp;Crops[[#This Row],[Product]]&amp;Crops[[#This Row],[Unit]]</f>
        <v>AtriplexMature StemStem</v>
      </c>
      <c r="EI15" s="36" t="b">
        <f>_xlfn.XLOOKUP(Crops[[#This Row],[ProductIndex]],Products[ID],Products[Target])</f>
        <v>1</v>
      </c>
      <c r="EJ15" s="36">
        <f>Crops[[#This Row],[Custom Yield Per Bed]]</f>
        <v>1000</v>
      </c>
      <c r="EK15" s="210">
        <f>Crops[[#This Row],[Units Per Harvest]]/Crops[[#This Row],[Days Between Harvest]]*7</f>
        <v>100</v>
      </c>
      <c r="EL15" s="210" t="e">
        <f>Crops[[#This Row],[Custom Yield Per Bed]]/_xlfn.XLOOKUP(Crops[[#This Row],[ProductIndex]],Products[ID],Products[CSA Portion])</f>
        <v>#DIV/0!</v>
      </c>
      <c r="EM15" s="210" t="e">
        <f>Crops[[#This Row],[Units Per Harvest]]/Crops[[#This Row],[Days Between Harvest]]*7/_xlfn.XLOOKUP(Crops[[#This Row],[ProductIndex]],Products[ID],Products[CSA Portion])</f>
        <v>#DIV/0!</v>
      </c>
      <c r="EN15" s="210" t="e">
        <f>Crops[[#This Row],[CSA Portions Per Week]]/CSAMembers</f>
        <v>#DIV/0!</v>
      </c>
      <c r="EO15" s="210"/>
      <c r="EP15" s="210"/>
      <c r="EQ15" s="36"/>
      <c r="ER15" s="36">
        <f>Crops[[#This Row],[Harvests]]*Crops[[#This Row],[Days Between Harvest]]/7</f>
        <v>10</v>
      </c>
      <c r="ES15" s="208">
        <f>_xlfn.XLOOKUP(Crops[[#This Row],[ProductIndex]],Products[ID],Products[CSA Need])</f>
        <v>0</v>
      </c>
      <c r="ET15" s="208">
        <f>_xlfn.XLOOKUP(Crops[[#This Row],[ProductIndex]],Products[ID],Products[CSA Times])</f>
        <v>0</v>
      </c>
      <c r="EU15" s="208" t="e">
        <f>Crops[[#This Row],[Custom Yield Per Bed]]/(Crops[[#This Row],[CSA Need]]*(_xlfn.XLOOKUP(Crops[[#This Row],[ProductIndex]],Products[ID],Products[CSA Portion])*CSAMembers))</f>
        <v>#DIV/0!</v>
      </c>
      <c r="EV15" s="208">
        <f>_xlfn.XLOOKUP(Crops[[#This Row],[ProductIndex]],Products[ID],Products[CSA Portion])*CSAMembers*Crops[[#This Row],[CSA Need]]/Crops[[#This Row],[Custom Yield Per Bed]]</f>
        <v>0</v>
      </c>
      <c r="EW15" s="208">
        <f>IFERROR(Crops[[#This Row],[Days In Field]]*Crops[[#This Row],[CSA Beds]],"")</f>
        <v>0</v>
      </c>
      <c r="EX15" s="208" t="e">
        <f>Crops[[#This Row],[CSA Bed Days]]*#REF!</f>
        <v>#REF!</v>
      </c>
      <c r="EY15" t="s">
        <v>1786</v>
      </c>
    </row>
    <row r="16" spans="1:156" ht="15" customHeight="1">
      <c r="A1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Atriplex - Mature Stem 1X | Field TP SpSu</v>
      </c>
      <c r="B16" s="189"/>
      <c r="C16" s="1" t="s">
        <v>2588</v>
      </c>
      <c r="D16" s="1" t="s">
        <v>2565</v>
      </c>
      <c r="E16" s="1" t="b">
        <v>0</v>
      </c>
      <c r="F16" s="1" t="b">
        <f>IFERROR(IF(ISNUMBER(MATCH(Crops[[#This Row],[Identifier]],BedPlan[Crop], 0)), TRUE, FALSE), FALSE)</f>
        <v>0</v>
      </c>
      <c r="G16" s="1" t="b">
        <f>IFERROR(IF(ISNUMBER(MATCH(Crops[[#This Row],[Identifier]],BedPlan[Crop], 0)), TRUE, FALSE), FALSE)</f>
        <v>0</v>
      </c>
      <c r="H16" s="1"/>
      <c r="I16" t="s">
        <v>1785</v>
      </c>
      <c r="J16" t="s">
        <v>145</v>
      </c>
      <c r="K16" t="s">
        <v>181</v>
      </c>
      <c r="M16" t="s">
        <v>406</v>
      </c>
      <c r="N16" t="str">
        <f>Crops[[#This Row],[Crop]]</f>
        <v>Atriplex</v>
      </c>
      <c r="O16" t="s">
        <v>210</v>
      </c>
      <c r="P16" t="str">
        <f>IF(OR(Crops[[#This Row],[Days in Cells]]="",Crops[[#This Row],[Days in Cells]]=0), "DS","TP")</f>
        <v>TP</v>
      </c>
      <c r="Q16" t="b">
        <v>1</v>
      </c>
      <c r="R16" t="b">
        <v>1</v>
      </c>
      <c r="V16" t="str">
        <f xml:space="preserve"> IF(Crops[[#This Row],[Sp]], "Sp", "") &amp; IF(Crops[[#This Row],[Su]], "Su", "") &amp; IF(Crops[[#This Row],[Fa]], "Fa", "") &amp; IF(Crops[[#This Row],[Wi]], "Wi", "") &amp; IF(Crops[[#This Row],[OW]], "Ow","")</f>
        <v>SpSu</v>
      </c>
      <c r="X16">
        <v>2</v>
      </c>
      <c r="Y16">
        <v>12</v>
      </c>
      <c r="AB16" t="b">
        <v>1</v>
      </c>
      <c r="AC16">
        <v>6</v>
      </c>
      <c r="AD16" s="32">
        <f>IFERROR(12/Crops[[#This Row],[Spacing]]*Crops[[#This Row],[Rows]]*BedLength,"")</f>
        <v>100</v>
      </c>
      <c r="AE16">
        <v>1</v>
      </c>
      <c r="AG16">
        <f>IF(Crops[[#This Row],[Custom Safety Factor]]="",PlantingSafetyFactor,Crops[[#This Row],[Custom Safety Factor]])</f>
        <v>1.3</v>
      </c>
      <c r="AH16">
        <f>1</f>
        <v>1</v>
      </c>
      <c r="AI16" s="33">
        <f>IFERROR(Crops[[#This Row],[Plantings Per Bed]]*Crops[[#This Row],[Seeds Per Planting]]*Crops[[#This Row],[Safety Factor]]*Crops[[#This Row],[Seeding Factor]],"")</f>
        <v>130</v>
      </c>
      <c r="AJ16">
        <v>7</v>
      </c>
      <c r="AK16">
        <v>14</v>
      </c>
      <c r="AL16">
        <f>_xlfn.FLOOR.MATH(IFERROR(AVERAGE(Crops[[#This Row],[DTG Lower]:[DTG Upper]]),0))</f>
        <v>10</v>
      </c>
      <c r="AM16">
        <f>SUM(Crops[[#This Row],[Tray 1 Days]],Crops[[#This Row],[Tray 2 Days]],Crops[[#This Row],[Tray 3 Days]])</f>
        <v>28</v>
      </c>
      <c r="AO16">
        <v>75</v>
      </c>
      <c r="AP16">
        <v>110</v>
      </c>
      <c r="AQ16">
        <f>IFERROR(_xlfn.FLOOR.MATH(AVERAGE(Crops[[#This Row],[DTM Lower]:[DTM Upper]])),"")</f>
        <v>92</v>
      </c>
      <c r="AR16" cm="1">
        <f t="array" ref="AR16">_xlfn.SWITCH(Crops[[#This Row],[Normal Method]],"DS",Crops[[#This Row],[Days to Germination]]+Crops[[#This Row],[DTM]] + IF(Crops[[#This Row],[Days in Cells]]&gt;0,15,0), "TP",Crops[[#This Row],[DTM]]+Crops[[#This Row],[Days in Cells]] + IF(Crops[[#This Row],[Days in Cells]]&lt;=0,20,0), "X", Crops[[#This Row],[DTM]])</f>
        <v>117</v>
      </c>
      <c r="AS16" t="s">
        <v>338</v>
      </c>
      <c r="AT16">
        <f>(Crops[[#This Row],[Harvests]]-1)*Crops[[#This Row],[Days Between Harvest]]+7</f>
        <v>49</v>
      </c>
      <c r="AU16">
        <f>Crops[[#This Row],[STH]]-Crops[[#This Row],[Days in Cells]]+Crops[[#This Row],[Harvest window]]</f>
        <v>138</v>
      </c>
      <c r="AX16">
        <v>128</v>
      </c>
      <c r="AY16">
        <v>28</v>
      </c>
      <c r="AZ16">
        <f>IFERROR(IF(Crops[[#This Row],[Tray 1 Days]]=0,"",Crops[[#This Row],[Plantings Per Bed]]/Crops[[#This Row],[Tray 1 Size]]*Crops[[#This Row],[Safety Factor]]),"")</f>
        <v>1.015625</v>
      </c>
      <c r="BC16" t="str">
        <f>IFERROR(IF(Crops[[#This Row],[Tray 2 Days]]=0,"",Crops[[#This Row],[Plantings Per Bed]]/Crops[[#This Row],[Tray 2 Size]]*Crops[[#This Row],[Safety Factor]]),"")</f>
        <v/>
      </c>
      <c r="BE16" s="32" t="str">
        <f>IF(NOT(ISBLANK(Crops[[#This Row],[Tray 3 Size]])), Crops[[#This Row],[Days in Cells Old]]-SUM(Crops[[#This Row],[Tray 1 Days]],Crops[[#This Row],[Tray 2 Days]]), "")</f>
        <v/>
      </c>
      <c r="BF16" t="str">
        <f>IFERROR(IF(Crops[[#This Row],[Tray 3 Days]]=0,"",Crops[[#This Row],[Plantings Per Bed]]/Crops[[#This Row],[Tray 3 Size]]*Crops[[#This Row],[Safety Factor]]),"")</f>
        <v/>
      </c>
      <c r="BG16" s="33">
        <f>Crops[[#This Row],[Plantings Per Bed]]*10/Crops[[#This Row],[Harvests]]</f>
        <v>250</v>
      </c>
      <c r="BH16" s="33">
        <v>4</v>
      </c>
      <c r="BI16" s="33">
        <v>14</v>
      </c>
      <c r="BJ16" s="33">
        <f>_xlfn.XLOOKUP(Crops[[#This Row],[ProductIndex]],Products[ID],Products[Holding Period])</f>
        <v>0</v>
      </c>
      <c r="BK16" s="33"/>
      <c r="BL16" s="33">
        <f>Crops[[#This Row],[Units Per Harvest]]*Crops[[#This Row],[Harvests]]</f>
        <v>1000</v>
      </c>
      <c r="BM16" s="35">
        <v>0.8</v>
      </c>
      <c r="BN16" s="35">
        <f>Crops[[#This Row],[Direct Price]]*0.6</f>
        <v>0.48</v>
      </c>
      <c r="BO16" s="35"/>
      <c r="BP16" t="s">
        <v>213</v>
      </c>
      <c r="BQ16">
        <f>Crops[[#This Row],[Custom Yield Per Bed]]*Crops[[#This Row],[Direct Price]]</f>
        <v>800</v>
      </c>
      <c r="BR16" t="b">
        <v>0</v>
      </c>
      <c r="BS16" t="b">
        <f>Crops[[#This Row],[Harvests]]&gt;1</f>
        <v>1</v>
      </c>
      <c r="BT16" s="36">
        <f>IFERROR(Crops[[#This Row],[Direct Revenue Per Bed]]/Crops[[#This Row],[Days In Field]],-1)</f>
        <v>5.7971014492753623</v>
      </c>
      <c r="BU16" s="33">
        <f>IFERROR(Crops[[#This Row],[Direct Revenue Per Bed Day]]*GrowingDays*BedsPerAcre,"")</f>
        <v>166956.52173913043</v>
      </c>
      <c r="BV16" s="38">
        <f>LastFrostDate-5*Crops[[#This Row],[Sewing Rel Last Frost]]</f>
        <v>45733</v>
      </c>
      <c r="BW16" s="38">
        <f>Crops[[#This Row],[Target Sewing Date]]+Crops[[#This Row],[Days in Cells]]</f>
        <v>45761</v>
      </c>
      <c r="BX16" s="38">
        <f>Crops[[#This Row],[Target Sewing Date]]+Crops[[#This Row],[STH]]</f>
        <v>45850</v>
      </c>
      <c r="BY16" s="38">
        <f>Crops[[#This Row],[Target Harvest Data]]+Crops[[#This Row],[Harvest window]]</f>
        <v>45899</v>
      </c>
      <c r="BZ16">
        <v>3</v>
      </c>
      <c r="CA16" t="s">
        <v>490</v>
      </c>
      <c r="CB16">
        <f>1</f>
        <v>1</v>
      </c>
      <c r="CC16">
        <f>IF(Crops[[#This Row],[Transplanting]]&gt;0, 2, 3)*BedLength/StandardBedLength</f>
        <v>1</v>
      </c>
      <c r="CD16" s="173">
        <f>IF(Crops[[#This Row],[Days in Cells]]&lt;=0,0,Crops[[#This Row],[Plantings Per Bed]]/StartsPerHourSeeding+Crops[[#This Row],[Tray 1 Count]]*5/60)</f>
        <v>0.47526041666666669</v>
      </c>
      <c r="CE16" s="173">
        <f>IF(ISBLANK(Crops[[#This Row],[Tray 2 Days]]),0,Crops[[#This Row],[Plantings Per Bed]]/UpPottingPerHour)+IF(Crops[[#This Row],[Tray 3 Days]]="",0,Crops[[#This Row],[Plantings Per Bed]]/UpPottingPerHour)</f>
        <v>0</v>
      </c>
      <c r="CF16" s="173">
        <f>IFERROR(Crops[[#This Row],[Tray 1 Count]]/HomeStartFlatIrrigationPerHour,0)*Crops[[#This Row],[Days in Cells]]/DaysBetweenStartIrrigation</f>
        <v>0.11848958333333333</v>
      </c>
      <c r="CG16" s="173">
        <f>0.5/16*MAX(Crops[[#This Row],[Tray 1 Count]],Crops[[#This Row],[Tray 2 Count]],Crops[[#This Row],[Tray 3 Count]])</f>
        <v>3.173828125E-2</v>
      </c>
      <c r="CH16" s="173">
        <f>IF(Crops[[#This Row],[Days in Cells]]&gt;0,IF(IF(Crops[[#This Row],[Tray 3 Size]]&gt;0,Crops[[#This Row],[Tray 3 Size]],IF(Crops[[#This Row],[Tray 2 Size]]&gt;0,Crops[[#This Row],[Tray 2 Size]],Crops[[#This Row],[Tray 1 Size]]))&lt;=18,LargeTransplantTime,SmallTransplantTime)*Crops[[#This Row],[Plantings Per Bed]],0)</f>
        <v>0.5</v>
      </c>
      <c r="CI16" s="173"/>
      <c r="CJ16" s="173">
        <f>_xlfn.XLOOKUP(Crops[[#This Row],[Trellis Type]],TrellisMethods[Trellis Type],TrellisMethods[Hours],0,0)</f>
        <v>0</v>
      </c>
      <c r="CK16">
        <f>IF(Crops[[#This Row],[Days in Cells]]&lt;=0,Crops[[#This Row],[Rows]]*1/10,0)*BedLength/50</f>
        <v>0</v>
      </c>
      <c r="CL16" cm="1">
        <f t="array" ref="CL16">_xlfn.SWITCH(Crops[[#This Row],[Irrigation]],"DR", 0.5, "OH", 0.25,0)*BedLength/50</f>
        <v>0</v>
      </c>
      <c r="CM16">
        <f>IF(OR(ISBLANK(Crops[[#This Row],[Row Cover]]),Crops[[#This Row],[Row Cover]]="None"),0,1)*BedLength/50</f>
        <v>0</v>
      </c>
      <c r="CN16" s="173">
        <f>HoursPerWeedingPass*Crops[[#This Row],[Days In Field]]/14*Crops[[#This Row],[Rows]]+1*BedLength/50</f>
        <v>4.2857142857142856</v>
      </c>
      <c r="CQ16" s="37">
        <f>_xlfn.XLOOKUP(Crops[[#This Row],[Crop]]&amp;Crops[[#This Row],[Product]]&amp;Crops[[#This Row],[Unit]],Products[ID],Products[Marketing (hr)])*Crops[[#This Row],[Direct Revenue Per Bed]]/2000</f>
        <v>2.4</v>
      </c>
      <c r="CR16" s="37">
        <f>_xlfn.XLOOKUP(Crops[[#This Row],[Crop]]&amp;Crops[[#This Row],[Product]]&amp;Crops[[#This Row],[Unit]],Products[ID],Products[Harvest (s)])*Crops[[#This Row],[Custom Yield Per Bed]]/3600</f>
        <v>1.3888888888888888</v>
      </c>
      <c r="CS16" s="37">
        <f>_xlfn.XLOOKUP(Crops[[#This Row],[Crop]]&amp;Crops[[#This Row],[Product]]&amp;Crops[[#This Row],[Unit]],Products[ID],Products[Bunch (s)])*Crops[[#This Row],[Custom Yield Per Bed]]/3600</f>
        <v>0</v>
      </c>
      <c r="CT16" s="37">
        <f>_xlfn.XLOOKUP(Crops[[#This Row],[Crop]]&amp;Crops[[#This Row],[Product]]&amp;Crops[[#This Row],[Unit]],Products[ID],Products[Haul (s)])*Crops[[#This Row],[Custom Yield Per Bed]]/3600</f>
        <v>0.625</v>
      </c>
      <c r="CU16" s="37">
        <f>_xlfn.XLOOKUP(Crops[[#This Row],[Crop]]&amp;Crops[[#This Row],[Product]]&amp;Crops[[#This Row],[Unit]],Products[ID],Products[Wash (s)])*Crops[[#This Row],[Custom Yield Per Bed]]/3600</f>
        <v>0</v>
      </c>
      <c r="CV16" s="37">
        <f>_xlfn.XLOOKUP(Crops[[#This Row],[Crop]]&amp;Crops[[#This Row],[Product]]&amp;Crops[[#This Row],[Unit]],Products[ID],Products[Condition (s)])*Crops[[#This Row],[Custom Yield Per Bed]]/3600</f>
        <v>0</v>
      </c>
      <c r="CW16" s="37">
        <f>_xlfn.XLOOKUP(Crops[[#This Row],[Crop]]&amp;Crops[[#This Row],[Product]]&amp;Crops[[#This Row],[Unit]],Products[ID],Products[Trim (s)])*Crops[[#This Row],[Custom Yield Per Bed]]/3600</f>
        <v>0.83333333333333337</v>
      </c>
      <c r="CX16" s="37">
        <f>_xlfn.XLOOKUP(Crops[[#This Row],[Crop]]&amp;Crops[[#This Row],[Product]]&amp;Crops[[#This Row],[Unit]],Products[ID],Products[Pack (s)])*Crops[[#This Row],[Custom Yield Per Bed]]/3600</f>
        <v>0.83333333333333337</v>
      </c>
      <c r="CY16" s="37">
        <f>_xlfn.XLOOKUP(Crops[[#This Row],[Crop]]&amp;Crops[[#This Row],[Product]]&amp;Crops[[#This Row],[Unit]],Products[ID],Products[Clean (s)])*Crops[[#This Row],[Custom Yield Per Bed]]/3600</f>
        <v>0</v>
      </c>
      <c r="CZ16" s="37">
        <f>_xlfn.XLOOKUP(Crops[[#This Row],[Crop]]&amp;Crops[[#This Row],[Product]]&amp;Crops[[#This Row],[Unit]],Products[ID],Products[Rehandle (s)])*Crops[[#This Row],[Custom Yield Per Bed]]/3600</f>
        <v>0</v>
      </c>
      <c r="DA16" s="37">
        <f>_xlfn.XLOOKUP(Crops[[#This Row],[Crop]]&amp;Crops[[#This Row],[Product]]&amp;Crops[[#This Row],[Unit]],Products[ID],Products[Market Transport (s)])*Crops[[#This Row],[Custom Yield Per Bed]]/3600</f>
        <v>1.5625</v>
      </c>
      <c r="DC16" s="37">
        <f>Crops[[#This Row],[Direct Revenue Per Bed2]]</f>
        <v>800</v>
      </c>
      <c r="DD16" s="173">
        <f>_xlfn.AGGREGATE(9,6,Crops[[#This Row],[Bed Prep]:[Remove Crop Residue]])</f>
        <v>14.054258122519842</v>
      </c>
      <c r="DE16" s="173">
        <f>_xlfn.AGGREGATE(9,6,Crops[[#This Row],[Bed Prep]:[Remove Crop Residue]])-0.75*Crops[[#This Row],[Market &amp; Sell]]</f>
        <v>12.254258122519843</v>
      </c>
      <c r="DF16" s="36">
        <f>Crops[[#This Row],[Direct Revenue Per Bed2]]/Crops[[#This Row],[Direct Time]]</f>
        <v>56.922250397416562</v>
      </c>
      <c r="DG16" s="36">
        <f>_xlfn.XLOOKUP(Crops[[#This Row],[ProductIndex]],Products[ID],Products[Packaging Cost])*(Crops[[#This Row],[Custom Yield Per Bed]]/_xlfn.XLOOKUP(Crops[[#This Row],[ProductIndex]],Products[ID],Products[Units Per Pack]))</f>
        <v>100</v>
      </c>
      <c r="DH16" s="36"/>
      <c r="DI16" s="36"/>
      <c r="DJ16" s="36"/>
      <c r="DK16" s="36"/>
      <c r="DL16" s="36"/>
      <c r="DM16" s="33">
        <f>IFERROR(Crops[[#This Row],[Custom Yield Per Bed]]*Crops[[#This Row],[Direct Price]],"")</f>
        <v>800</v>
      </c>
      <c r="DN16" s="36">
        <f>Crops[[#This Row],[Direct Time]]*LaborRate</f>
        <v>351.35645306299608</v>
      </c>
      <c r="DO16" s="36">
        <f>SUM(Crops[[#This Row],[Irrigation Cost]])</f>
        <v>0</v>
      </c>
      <c r="DP16" s="36">
        <f>Crops[[#This Row],[Direct Labor Cost]]+Crops[[#This Row],[Direct Non-Labor Cost]]</f>
        <v>351.35645306299608</v>
      </c>
      <c r="DQ16" s="36">
        <f>Crops[[#This Row],[Direct Revenue Per Bed2]]-Crops[[#This Row],[Direct Total Cost]]</f>
        <v>448.64354693700392</v>
      </c>
      <c r="DR16" s="36">
        <f>Crops[[#This Row],[Direct Profit]]*BedsPerAcre</f>
        <v>71782.967509920622</v>
      </c>
      <c r="DS16" s="36">
        <f>Crops[[#This Row],[Direct Profit]]*BedsPerAcre*GrowingDays/Crops[[#This Row],[Days In Field]]</f>
        <v>93629.957621635593</v>
      </c>
      <c r="DT16" s="36">
        <f>Crops[[#This Row],[Direct Profit]]/MIN(Crops[[#This Row],[Days In Field]],GrowingDays)</f>
        <v>3.2510401951956807</v>
      </c>
      <c r="DU16" s="36">
        <f>Crops[[#This Row],[Direct Time]] * BedsPerAcre</f>
        <v>2248.6812996031749</v>
      </c>
      <c r="DV16" s="36">
        <f>(Crops[[#This Row],[Direct Revenue Per Bed2]]-Crops[[#This Row],[Direct Non-Labor Cost]])/Crops[[#This Row],[Direct Time]]</f>
        <v>56.922250397416562</v>
      </c>
      <c r="DW16" s="33">
        <f>IFERROR(Crops[[#This Row],[Custom Yield Per Bed]]*Crops[[#This Row],[Rough Wholesale Price]],"")</f>
        <v>480</v>
      </c>
      <c r="DX16" s="36">
        <f>Crops[[#This Row],[Wholesale Time]]*LaborRate</f>
        <v>306.35645306299608</v>
      </c>
      <c r="DY16" s="36">
        <f>SUM(Crops[[#This Row],[Packaging Costs]:[Irrigation Cost]])</f>
        <v>100</v>
      </c>
      <c r="DZ16" s="36">
        <f>Crops[[#This Row],[Wholesale Labor Cost]]+Crops[[#This Row],[Wholesale Non-Labor Cost]]</f>
        <v>406.35645306299608</v>
      </c>
      <c r="EA16" s="36">
        <f>Crops[[#This Row],[Wholesale Revenue Per Bed]]-Crops[[#This Row],[Wholesale Total Cost]]</f>
        <v>73.643546937003919</v>
      </c>
      <c r="EB16" s="36">
        <f>Crops[[#This Row],[Wholesale Profit]]*BedsPerAcre</f>
        <v>11782.967509920627</v>
      </c>
      <c r="EC16" s="36">
        <f>Crops[[#This Row],[Wholesale Profit]]*BedsPerAcre*GrowingDays/Crops[[#This Row],[Days In Field]]</f>
        <v>15369.088056418208</v>
      </c>
      <c r="ED16" s="36">
        <f>Crops[[#This Row],[Wholesale Time]] * BedsPerAcre</f>
        <v>1960.6812996031749</v>
      </c>
      <c r="EE16" s="36">
        <f>Crops[[#This Row],[Wholesale Profit]]/MIN(Crops[[#This Row],[Days In Field]],GrowingDays)</f>
        <v>0.5336488908478545</v>
      </c>
      <c r="EF16" s="36">
        <f>(Crops[[#This Row],[Wholesale Revenue Per Bed]]-Crops[[#This Row],[Wholesale Non-Labor Cost]])/Crops[[#This Row],[Direct Time]]</f>
        <v>27.038068938772867</v>
      </c>
      <c r="EG16" s="174">
        <f>Crops[[#This Row],[Packaging Costs]]/Crops[[#This Row],[Wholesale Revenue Per Bed]]</f>
        <v>0.20833333333333334</v>
      </c>
      <c r="EH16" s="36" t="str">
        <f>Crops[[#This Row],[Crop]]&amp;Crops[[#This Row],[Product]]&amp;Crops[[#This Row],[Unit]]</f>
        <v>AtriplexMature StemStem</v>
      </c>
      <c r="EI16" s="36" t="b">
        <f>_xlfn.XLOOKUP(Crops[[#This Row],[ProductIndex]],Products[ID],Products[Target])</f>
        <v>1</v>
      </c>
      <c r="EJ16" s="36">
        <f>Crops[[#This Row],[Custom Yield Per Bed]]</f>
        <v>1000</v>
      </c>
      <c r="EK16" s="210">
        <f>Crops[[#This Row],[Units Per Harvest]]/Crops[[#This Row],[Days Between Harvest]]*7</f>
        <v>125</v>
      </c>
      <c r="EL16" s="210" t="e">
        <f>Crops[[#This Row],[Custom Yield Per Bed]]/_xlfn.XLOOKUP(Crops[[#This Row],[ProductIndex]],Products[ID],Products[CSA Portion])</f>
        <v>#DIV/0!</v>
      </c>
      <c r="EM16" s="210" t="e">
        <f>Crops[[#This Row],[Units Per Harvest]]/Crops[[#This Row],[Days Between Harvest]]*7/_xlfn.XLOOKUP(Crops[[#This Row],[ProductIndex]],Products[ID],Products[CSA Portion])</f>
        <v>#DIV/0!</v>
      </c>
      <c r="EN16" s="210" t="e">
        <f>Crops[[#This Row],[CSA Portions Per Week]]/CSAMembers</f>
        <v>#DIV/0!</v>
      </c>
      <c r="EO16" s="210"/>
      <c r="EP16" s="210"/>
      <c r="EQ16" s="36"/>
      <c r="ER16" s="36">
        <f>Crops[[#This Row],[Harvests]]*Crops[[#This Row],[Days Between Harvest]]/7</f>
        <v>8</v>
      </c>
      <c r="ES16" s="208">
        <f>_xlfn.XLOOKUP(Crops[[#This Row],[ProductIndex]],Products[ID],Products[CSA Need])</f>
        <v>0</v>
      </c>
      <c r="ET16" s="208">
        <f>_xlfn.XLOOKUP(Crops[[#This Row],[ProductIndex]],Products[ID],Products[CSA Times])</f>
        <v>0</v>
      </c>
      <c r="EU16" s="208" t="e">
        <f>Crops[[#This Row],[Custom Yield Per Bed]]/(Crops[[#This Row],[CSA Need]]*(_xlfn.XLOOKUP(Crops[[#This Row],[ProductIndex]],Products[ID],Products[CSA Portion])*CSAMembers))</f>
        <v>#DIV/0!</v>
      </c>
      <c r="EV16" s="208">
        <f>_xlfn.XLOOKUP(Crops[[#This Row],[ProductIndex]],Products[ID],Products[CSA Portion])*CSAMembers*Crops[[#This Row],[CSA Need]]/Crops[[#This Row],[Custom Yield Per Bed]]</f>
        <v>0</v>
      </c>
      <c r="EW16" s="208">
        <f>IFERROR(Crops[[#This Row],[Days In Field]]*Crops[[#This Row],[CSA Beds]],"")</f>
        <v>0</v>
      </c>
      <c r="EX16" s="208" t="e">
        <f>Crops[[#This Row],[CSA Bed Days]]*#REF!</f>
        <v>#REF!</v>
      </c>
      <c r="EY16" t="s">
        <v>1786</v>
      </c>
    </row>
    <row r="17" spans="1:155" ht="15" customHeight="1">
      <c r="A1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Bachellor's Button - Mature Stem 2X | Field DS </v>
      </c>
      <c r="B17" s="189"/>
      <c r="C17" s="1"/>
      <c r="D17" s="1"/>
      <c r="E17" s="1" t="b">
        <v>0</v>
      </c>
      <c r="F17" s="1" t="b">
        <f>IFERROR(IF(ISNUMBER(MATCH(Crops[[#This Row],[Identifier]],BedPlan[Crop], 0)), TRUE, FALSE), FALSE)</f>
        <v>0</v>
      </c>
      <c r="G17" s="1" t="b">
        <f>IFERROR(IF(ISNUMBER(MATCH(Crops[[#This Row],[Identifier]],BedPlan[Crop], 0)), TRUE, FALSE), FALSE)</f>
        <v>0</v>
      </c>
      <c r="H17" s="1"/>
      <c r="I17" t="s">
        <v>65</v>
      </c>
      <c r="J17" t="s">
        <v>145</v>
      </c>
      <c r="K17" t="s">
        <v>181</v>
      </c>
      <c r="M17" t="s">
        <v>406</v>
      </c>
      <c r="N17" t="str">
        <f>Crops[[#This Row],[Crop]]</f>
        <v>Bachellor's Button</v>
      </c>
      <c r="O17" t="s">
        <v>210</v>
      </c>
      <c r="P17" t="str">
        <f>IF(OR(Crops[[#This Row],[Days in Cells]]="",Crops[[#This Row],[Days in Cells]]=0), "DS","TP")</f>
        <v>DS</v>
      </c>
      <c r="V17" t="str">
        <f xml:space="preserve"> IF(Crops[[#This Row],[Sp]], "Sp", "") &amp; IF(Crops[[#This Row],[Su]], "Su", "") &amp; IF(Crops[[#This Row],[Fa]], "Fa", "") &amp; IF(Crops[[#This Row],[Wi]], "Wi", "") &amp; IF(Crops[[#This Row],[OW]], "Ow","")</f>
        <v/>
      </c>
      <c r="W17" t="s">
        <v>144</v>
      </c>
      <c r="X17">
        <v>5</v>
      </c>
      <c r="Y17">
        <v>6</v>
      </c>
      <c r="Z17" t="s">
        <v>431</v>
      </c>
      <c r="AA17" t="s">
        <v>474</v>
      </c>
      <c r="AB17" t="b">
        <v>1</v>
      </c>
      <c r="AC17">
        <v>4</v>
      </c>
      <c r="AD17" s="32">
        <f>IFERROR(12/Crops[[#This Row],[Spacing]]*Crops[[#This Row],[Rows]]*BedLength,"")</f>
        <v>500</v>
      </c>
      <c r="AE17">
        <v>2</v>
      </c>
      <c r="AG17">
        <f>IF(Crops[[#This Row],[Custom Safety Factor]]="",PlantingSafetyFactor,Crops[[#This Row],[Custom Safety Factor]])</f>
        <v>1.3</v>
      </c>
      <c r="AH17">
        <f>1</f>
        <v>1</v>
      </c>
      <c r="AI17" s="33">
        <f>IFERROR(Crops[[#This Row],[Plantings Per Bed]]*Crops[[#This Row],[Seeds Per Planting]]*Crops[[#This Row],[Safety Factor]]*Crops[[#This Row],[Seeding Factor]],"")</f>
        <v>1300</v>
      </c>
      <c r="AJ17">
        <v>7</v>
      </c>
      <c r="AK17">
        <v>14</v>
      </c>
      <c r="AL17">
        <f>_xlfn.FLOOR.MATH(IFERROR(AVERAGE(Crops[[#This Row],[DTG Lower]:[DTG Upper]]),0))</f>
        <v>10</v>
      </c>
      <c r="AM17">
        <f>SUM(Crops[[#This Row],[Tray 1 Days]],Crops[[#This Row],[Tray 2 Days]],Crops[[#This Row],[Tray 3 Days]])</f>
        <v>0</v>
      </c>
      <c r="AN17" s="32"/>
      <c r="AO17">
        <v>65</v>
      </c>
      <c r="AP17">
        <v>75</v>
      </c>
      <c r="AQ17">
        <f>IFERROR(_xlfn.FLOOR.MATH(AVERAGE(Crops[[#This Row],[DTM Lower]:[DTM Upper]])),"")</f>
        <v>70</v>
      </c>
      <c r="AR17" cm="1">
        <f t="array" ref="AR17">_xlfn.SWITCH(Crops[[#This Row],[Normal Method]],"DS",Crops[[#This Row],[Days to Germination]]+Crops[[#This Row],[DTM]] + IF(Crops[[#This Row],[Days in Cells]]&gt;0,15,0), "TP",Crops[[#This Row],[DTM]]+Crops[[#This Row],[Days in Cells]] + IF(Crops[[#This Row],[Days in Cells]]&lt;=0,20,0), "X", Crops[[#This Row],[DTM]])</f>
        <v>80</v>
      </c>
      <c r="AS17" t="s">
        <v>338</v>
      </c>
      <c r="AT17">
        <f>(Crops[[#This Row],[Harvests]]-1)*Crops[[#This Row],[Days Between Harvest]]+7</f>
        <v>63</v>
      </c>
      <c r="AU17">
        <f>Crops[[#This Row],[STH]]-Crops[[#This Row],[Days in Cells]]+Crops[[#This Row],[Harvest window]]</f>
        <v>143</v>
      </c>
      <c r="AW17">
        <v>128</v>
      </c>
      <c r="AZ17" t="str">
        <f>IFERROR(IF(Crops[[#This Row],[Tray 1 Days]]=0,"",Crops[[#This Row],[Plantings Per Bed]]/Crops[[#This Row],[Tray 1 Size]]*Crops[[#This Row],[Safety Factor]]),"")</f>
        <v/>
      </c>
      <c r="BC17" t="str">
        <f>IFERROR(IF(Crops[[#This Row],[Tray 2 Days]]=0,"",Crops[[#This Row],[Plantings Per Bed]]/Crops[[#This Row],[Tray 2 Size]]*Crops[[#This Row],[Safety Factor]]),"")</f>
        <v/>
      </c>
      <c r="BE17" s="32" t="str">
        <f>IF(NOT(ISBLANK(Crops[[#This Row],[Tray 3 Size]])), Crops[[#This Row],[Days in Cells Old]]-SUM(Crops[[#This Row],[Tray 1 Days]],Crops[[#This Row],[Tray 2 Days]]), "")</f>
        <v/>
      </c>
      <c r="BF17" t="str">
        <f>IFERROR(IF(Crops[[#This Row],[Tray 3 Days]]=0,"",Crops[[#This Row],[Plantings Per Bed]]/Crops[[#This Row],[Tray 3 Size]]*Crops[[#This Row],[Safety Factor]]),"")</f>
        <v/>
      </c>
      <c r="BG17" s="33">
        <f>Crops[[#This Row],[Plantings Per Bed]]/Crops[[#This Row],[Harvests]]</f>
        <v>55.555555555555557</v>
      </c>
      <c r="BH17" s="33">
        <v>9</v>
      </c>
      <c r="BI17" s="33">
        <v>7</v>
      </c>
      <c r="BJ17" s="33">
        <f>_xlfn.XLOOKUP(Crops[[#This Row],[ProductIndex]],Products[ID],Products[Holding Period])</f>
        <v>0</v>
      </c>
      <c r="BK17" s="33"/>
      <c r="BL17" s="33">
        <f>Crops[[#This Row],[Units Per Harvest]]*Crops[[#This Row],[Harvests]]</f>
        <v>500</v>
      </c>
      <c r="BM17" s="35">
        <v>1</v>
      </c>
      <c r="BN17" s="35">
        <f>Crops[[#This Row],[Direct Price]]*0.6</f>
        <v>0.6</v>
      </c>
      <c r="BO17" s="35"/>
      <c r="BP17" t="s">
        <v>213</v>
      </c>
      <c r="BQ17">
        <f>Crops[[#This Row],[Custom Yield Per Bed]]*Crops[[#This Row],[Direct Price]]</f>
        <v>500</v>
      </c>
      <c r="BR17" t="b">
        <v>0</v>
      </c>
      <c r="BS17" t="b">
        <f>Crops[[#This Row],[Harvests]]&gt;1</f>
        <v>1</v>
      </c>
      <c r="BT17" s="36">
        <f>IFERROR(Crops[[#This Row],[Direct Revenue Per Bed]]/Crops[[#This Row],[Days In Field]],-1)</f>
        <v>3.4965034965034967</v>
      </c>
      <c r="BU17" s="33">
        <f>IFERROR(Crops[[#This Row],[Direct Revenue Per Bed Day]]*GrowingDays*BedsPerAcre,"")</f>
        <v>100699.30069930071</v>
      </c>
      <c r="BV17" s="38">
        <f>LastFrostDate-5*Crops[[#This Row],[Sewing Rel Last Frost]]</f>
        <v>45743</v>
      </c>
      <c r="BW17" s="38">
        <f>Crops[[#This Row],[Target Sewing Date]]+Crops[[#This Row],[Days in Cells]]</f>
        <v>45743</v>
      </c>
      <c r="BX17" s="38">
        <f>Crops[[#This Row],[Target Sewing Date]]+Crops[[#This Row],[STH]]</f>
        <v>45823</v>
      </c>
      <c r="BY17" s="38">
        <f>Crops[[#This Row],[Target Harvest Data]]+Crops[[#This Row],[Harvest window]]</f>
        <v>45886</v>
      </c>
      <c r="BZ17">
        <v>1</v>
      </c>
      <c r="CB17">
        <f>1</f>
        <v>1</v>
      </c>
      <c r="CC17">
        <f>IF(Crops[[#This Row],[Transplanting]]&gt;0, 2, 3)*BedLength/StandardBedLength</f>
        <v>1.5</v>
      </c>
      <c r="CD17" s="173">
        <f>IF(Crops[[#This Row],[Days in Cells]]&lt;=0,0,Crops[[#This Row],[Plantings Per Bed]]/StartsPerHourSeeding+Crops[[#This Row],[Tray 1 Count]]*5/60)</f>
        <v>0</v>
      </c>
      <c r="CE17" s="173">
        <f>IF(ISBLANK(Crops[[#This Row],[Tray 2 Days]]),0,Crops[[#This Row],[Plantings Per Bed]]/UpPottingPerHour)+IF(Crops[[#This Row],[Tray 3 Days]]="",0,Crops[[#This Row],[Plantings Per Bed]]/UpPottingPerHour)</f>
        <v>0</v>
      </c>
      <c r="CF17" s="173">
        <f>IFERROR(Crops[[#This Row],[Tray 1 Count]]/HomeStartFlatIrrigationPerHour,0)*Crops[[#This Row],[Days in Cells]]/DaysBetweenStartIrrigation</f>
        <v>0</v>
      </c>
      <c r="CG17" s="173">
        <f>0.5/16*MAX(Crops[[#This Row],[Tray 1 Count]],Crops[[#This Row],[Tray 2 Count]],Crops[[#This Row],[Tray 3 Count]])</f>
        <v>0</v>
      </c>
      <c r="CH17" s="173">
        <f>IF(Crops[[#This Row],[Days in Cells]]&gt;0,IF(IF(Crops[[#This Row],[Tray 3 Size]]&gt;0,Crops[[#This Row],[Tray 3 Size]],IF(Crops[[#This Row],[Tray 2 Size]]&gt;0,Crops[[#This Row],[Tray 2 Size]],Crops[[#This Row],[Tray 1 Size]]))&lt;=18,LargeTransplantTime,SmallTransplantTime)*Crops[[#This Row],[Plantings Per Bed]],0)</f>
        <v>0</v>
      </c>
      <c r="CI17" s="173"/>
      <c r="CJ17" s="173">
        <f>_xlfn.XLOOKUP(Crops[[#This Row],[Trellis Type]],TrellisMethods[Trellis Type],TrellisMethods[Hours],0,0)</f>
        <v>0</v>
      </c>
      <c r="CK17">
        <f>IF(Crops[[#This Row],[Days in Cells]]&lt;=0,Crops[[#This Row],[Rows]]*1/10,0)*BedLength/50</f>
        <v>0.5</v>
      </c>
      <c r="CL17" cm="1">
        <f t="array" ref="CL17">_xlfn.SWITCH(Crops[[#This Row],[Irrigation]],"DR", 0.5, "OH", 0.25,0)*BedLength/50</f>
        <v>0.25</v>
      </c>
      <c r="CM17">
        <f>IF(OR(ISBLANK(Crops[[#This Row],[Row Cover]]),Crops[[#This Row],[Row Cover]]="None"),0,1)*BedLength/50</f>
        <v>0</v>
      </c>
      <c r="CN17" s="173">
        <f>HoursPerWeedingPass*Crops[[#This Row],[Days In Field]]/14*Crops[[#This Row],[Rows]]+1*BedLength/50</f>
        <v>9.511904761904761</v>
      </c>
      <c r="CQ17" s="37">
        <f>_xlfn.XLOOKUP(Crops[[#This Row],[Crop]]&amp;Crops[[#This Row],[Product]]&amp;Crops[[#This Row],[Unit]],Products[ID],Products[Marketing (hr)])*Crops[[#This Row],[Direct Revenue Per Bed]]/2000</f>
        <v>1.5</v>
      </c>
      <c r="CR17" s="37">
        <f>_xlfn.XLOOKUP(Crops[[#This Row],[Crop]]&amp;Crops[[#This Row],[Product]]&amp;Crops[[#This Row],[Unit]],Products[ID],Products[Harvest (s)])*Crops[[#This Row],[Custom Yield Per Bed]]/3600</f>
        <v>1.3888888888888888</v>
      </c>
      <c r="CS17" s="37">
        <f>_xlfn.XLOOKUP(Crops[[#This Row],[Crop]]&amp;Crops[[#This Row],[Product]]&amp;Crops[[#This Row],[Unit]],Products[ID],Products[Bunch (s)])*Crops[[#This Row],[Custom Yield Per Bed]]/3600</f>
        <v>0</v>
      </c>
      <c r="CT17" s="37">
        <f>_xlfn.XLOOKUP(Crops[[#This Row],[Crop]]&amp;Crops[[#This Row],[Product]]&amp;Crops[[#This Row],[Unit]],Products[ID],Products[Haul (s)])*Crops[[#This Row],[Custom Yield Per Bed]]/3600</f>
        <v>0.15625</v>
      </c>
      <c r="CU17" s="37">
        <f>_xlfn.XLOOKUP(Crops[[#This Row],[Crop]]&amp;Crops[[#This Row],[Product]]&amp;Crops[[#This Row],[Unit]],Products[ID],Products[Wash (s)])*Crops[[#This Row],[Custom Yield Per Bed]]/3600</f>
        <v>0</v>
      </c>
      <c r="CV17" s="37">
        <f>_xlfn.XLOOKUP(Crops[[#This Row],[Crop]]&amp;Crops[[#This Row],[Product]]&amp;Crops[[#This Row],[Unit]],Products[ID],Products[Condition (s)])*Crops[[#This Row],[Custom Yield Per Bed]]/3600</f>
        <v>0</v>
      </c>
      <c r="CW17" s="37">
        <f>_xlfn.XLOOKUP(Crops[[#This Row],[Crop]]&amp;Crops[[#This Row],[Product]]&amp;Crops[[#This Row],[Unit]],Products[ID],Products[Trim (s)])*Crops[[#This Row],[Custom Yield Per Bed]]/3600</f>
        <v>1.3888888888888888</v>
      </c>
      <c r="CX17" s="37">
        <f>_xlfn.XLOOKUP(Crops[[#This Row],[Crop]]&amp;Crops[[#This Row],[Product]]&amp;Crops[[#This Row],[Unit]],Products[ID],Products[Pack (s)])*Crops[[#This Row],[Custom Yield Per Bed]]/3600</f>
        <v>0.41666666666666669</v>
      </c>
      <c r="CY17" s="37">
        <f>_xlfn.XLOOKUP(Crops[[#This Row],[Crop]]&amp;Crops[[#This Row],[Product]]&amp;Crops[[#This Row],[Unit]],Products[ID],Products[Clean (s)])*Crops[[#This Row],[Custom Yield Per Bed]]/3600</f>
        <v>0</v>
      </c>
      <c r="CZ17" s="37">
        <f>_xlfn.XLOOKUP(Crops[[#This Row],[Crop]]&amp;Crops[[#This Row],[Product]]&amp;Crops[[#This Row],[Unit]],Products[ID],Products[Rehandle (s)])*Crops[[#This Row],[Custom Yield Per Bed]]/3600</f>
        <v>0</v>
      </c>
      <c r="DA17" s="37">
        <f>_xlfn.XLOOKUP(Crops[[#This Row],[Crop]]&amp;Crops[[#This Row],[Product]]&amp;Crops[[#This Row],[Unit]],Products[ID],Products[Market Transport (s)])*Crops[[#This Row],[Custom Yield Per Bed]]/3600</f>
        <v>0.390625</v>
      </c>
      <c r="DC17" s="37">
        <f>Crops[[#This Row],[Direct Revenue Per Bed2]]</f>
        <v>500</v>
      </c>
      <c r="DD17" s="173">
        <f>_xlfn.AGGREGATE(9,6,Crops[[#This Row],[Bed Prep]:[Remove Crop Residue]])</f>
        <v>17.003224206349206</v>
      </c>
      <c r="DE17" s="173">
        <f>_xlfn.AGGREGATE(9,6,Crops[[#This Row],[Bed Prep]:[Remove Crop Residue]])-0.75*Crops[[#This Row],[Market &amp; Sell]]</f>
        <v>15.878224206349206</v>
      </c>
      <c r="DF17" s="36">
        <f>Crops[[#This Row],[Direct Revenue Per Bed2]]/Crops[[#This Row],[Direct Time]]</f>
        <v>29.406187551964059</v>
      </c>
      <c r="DG17" s="36">
        <f>_xlfn.XLOOKUP(Crops[[#This Row],[ProductIndex]],Products[ID],Products[Packaging Cost])*(Crops[[#This Row],[Custom Yield Per Bed]]/_xlfn.XLOOKUP(Crops[[#This Row],[ProductIndex]],Products[ID],Products[Units Per Pack]))</f>
        <v>25</v>
      </c>
      <c r="DH17" s="36"/>
      <c r="DI17" s="36"/>
      <c r="DJ17" s="36"/>
      <c r="DK17" s="36"/>
      <c r="DL17" s="36"/>
      <c r="DM17" s="33">
        <f>IFERROR(Crops[[#This Row],[Custom Yield Per Bed]]*Crops[[#This Row],[Direct Price]],"")</f>
        <v>500</v>
      </c>
      <c r="DN17" s="36">
        <f>Crops[[#This Row],[Direct Time]]*LaborRate</f>
        <v>425.08060515873012</v>
      </c>
      <c r="DO17" s="36">
        <f>SUM(Crops[[#This Row],[Irrigation Cost]])</f>
        <v>0</v>
      </c>
      <c r="DP17" s="36">
        <f>Crops[[#This Row],[Direct Labor Cost]]+Crops[[#This Row],[Direct Non-Labor Cost]]</f>
        <v>425.08060515873012</v>
      </c>
      <c r="DQ17" s="36">
        <f>Crops[[#This Row],[Direct Revenue Per Bed2]]-Crops[[#This Row],[Direct Total Cost]]</f>
        <v>74.919394841269877</v>
      </c>
      <c r="DR17" s="36">
        <f>Crops[[#This Row],[Direct Profit]]*BedsPerAcre</f>
        <v>11987.10317460318</v>
      </c>
      <c r="DS17" s="36">
        <f>Crops[[#This Row],[Direct Profit]]*BedsPerAcre*GrowingDays/Crops[[#This Row],[Days In Field]]</f>
        <v>15088.661338661344</v>
      </c>
      <c r="DT17" s="36">
        <f>Crops[[#This Row],[Direct Profit]]/MIN(Crops[[#This Row],[Days In Field]],GrowingDays)</f>
        <v>0.52391185203685231</v>
      </c>
      <c r="DU17" s="36">
        <f>Crops[[#This Row],[Direct Time]] * BedsPerAcre</f>
        <v>2720.5158730158728</v>
      </c>
      <c r="DV17" s="36">
        <f>(Crops[[#This Row],[Direct Revenue Per Bed2]]-Crops[[#This Row],[Direct Non-Labor Cost]])/Crops[[#This Row],[Direct Time]]</f>
        <v>29.406187551964059</v>
      </c>
      <c r="DW17" s="33">
        <f>IFERROR(Crops[[#This Row],[Custom Yield Per Bed]]*Crops[[#This Row],[Rough Wholesale Price]],"")</f>
        <v>300</v>
      </c>
      <c r="DX17" s="36">
        <f>Crops[[#This Row],[Wholesale Time]]*LaborRate</f>
        <v>396.95560515873012</v>
      </c>
      <c r="DY17" s="36">
        <f>SUM(Crops[[#This Row],[Packaging Costs]:[Irrigation Cost]])</f>
        <v>25</v>
      </c>
      <c r="DZ17" s="36">
        <f>Crops[[#This Row],[Wholesale Labor Cost]]+Crops[[#This Row],[Wholesale Non-Labor Cost]]</f>
        <v>421.95560515873012</v>
      </c>
      <c r="EA17" s="36">
        <f>Crops[[#This Row],[Wholesale Revenue Per Bed]]-Crops[[#This Row],[Wholesale Total Cost]]</f>
        <v>-121.95560515873012</v>
      </c>
      <c r="EB17" s="36">
        <f>Crops[[#This Row],[Wholesale Profit]]*BedsPerAcre</f>
        <v>-19512.89682539682</v>
      </c>
      <c r="EC17" s="36">
        <f>Crops[[#This Row],[Wholesale Profit]]*BedsPerAcre*GrowingDays/Crops[[#This Row],[Days In Field]]</f>
        <v>-24561.688311688307</v>
      </c>
      <c r="ED17" s="36">
        <f>Crops[[#This Row],[Wholesale Time]] * BedsPerAcre</f>
        <v>2540.5158730158728</v>
      </c>
      <c r="EE17" s="36">
        <f>Crops[[#This Row],[Wholesale Profit]]/MIN(Crops[[#This Row],[Days In Field]],GrowingDays)</f>
        <v>-0.85283639971139946</v>
      </c>
      <c r="EF17" s="36">
        <f>(Crops[[#This Row],[Wholesale Revenue Per Bed]]-Crops[[#This Row],[Wholesale Non-Labor Cost]])/Crops[[#This Row],[Direct Time]]</f>
        <v>16.173403153580232</v>
      </c>
      <c r="EG17" s="174">
        <f>Crops[[#This Row],[Packaging Costs]]/Crops[[#This Row],[Wholesale Revenue Per Bed]]</f>
        <v>8.3333333333333329E-2</v>
      </c>
      <c r="EH17" s="36" t="str">
        <f>Crops[[#This Row],[Crop]]&amp;Crops[[#This Row],[Product]]&amp;Crops[[#This Row],[Unit]]</f>
        <v>Bachellor's ButtonMature StemStem</v>
      </c>
      <c r="EI17" s="36" t="b">
        <f>_xlfn.XLOOKUP(Crops[[#This Row],[ProductIndex]],Products[ID],Products[Target])</f>
        <v>1</v>
      </c>
      <c r="EJ17" s="36">
        <f>Crops[[#This Row],[Custom Yield Per Bed]]</f>
        <v>500</v>
      </c>
      <c r="EK17" s="210">
        <f>Crops[[#This Row],[Units Per Harvest]]/Crops[[#This Row],[Days Between Harvest]]*7</f>
        <v>55.555555555555557</v>
      </c>
      <c r="EL17" s="210" t="e">
        <f>Crops[[#This Row],[Custom Yield Per Bed]]/_xlfn.XLOOKUP(Crops[[#This Row],[ProductIndex]],Products[ID],Products[CSA Portion])</f>
        <v>#DIV/0!</v>
      </c>
      <c r="EM17" s="210" t="e">
        <f>Crops[[#This Row],[Units Per Harvest]]/Crops[[#This Row],[Days Between Harvest]]*7/_xlfn.XLOOKUP(Crops[[#This Row],[ProductIndex]],Products[ID],Products[CSA Portion])</f>
        <v>#DIV/0!</v>
      </c>
      <c r="EN17" s="210" t="e">
        <f>Crops[[#This Row],[CSA Portions Per Week]]/CSAMembers</f>
        <v>#DIV/0!</v>
      </c>
      <c r="EO17" s="210"/>
      <c r="EP17" s="210"/>
      <c r="EQ17" s="36"/>
      <c r="ER17" s="36">
        <f>Crops[[#This Row],[Harvests]]*Crops[[#This Row],[Days Between Harvest]]/7</f>
        <v>9</v>
      </c>
      <c r="ES17" s="208">
        <f>_xlfn.XLOOKUP(Crops[[#This Row],[ProductIndex]],Products[ID],Products[CSA Need])</f>
        <v>0</v>
      </c>
      <c r="ET17" s="208">
        <f>_xlfn.XLOOKUP(Crops[[#This Row],[ProductIndex]],Products[ID],Products[CSA Times])</f>
        <v>0</v>
      </c>
      <c r="EU17" s="208" t="e">
        <f>Crops[[#This Row],[Custom Yield Per Bed]]/(Crops[[#This Row],[CSA Need]]*(_xlfn.XLOOKUP(Crops[[#This Row],[ProductIndex]],Products[ID],Products[CSA Portion])*CSAMembers))</f>
        <v>#DIV/0!</v>
      </c>
      <c r="EV17" s="208">
        <f>_xlfn.XLOOKUP(Crops[[#This Row],[ProductIndex]],Products[ID],Products[CSA Portion])*CSAMembers*Crops[[#This Row],[CSA Need]]/Crops[[#This Row],[Custom Yield Per Bed]]</f>
        <v>0</v>
      </c>
      <c r="EW17" s="208">
        <f>IFERROR(Crops[[#This Row],[Days In Field]]*Crops[[#This Row],[CSA Beds]],"")</f>
        <v>0</v>
      </c>
      <c r="EX17" s="208" t="e">
        <f>Crops[[#This Row],[CSA Bed Days]]*#REF!</f>
        <v>#REF!</v>
      </c>
      <c r="EY17" t="s">
        <v>281</v>
      </c>
    </row>
    <row r="18" spans="1:155" ht="15" customHeight="1">
      <c r="A18"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Basil (Interplant) - Mature Leaf 1X | Tunnel TP SpSuOw</v>
      </c>
      <c r="B18" s="27"/>
      <c r="C18" s="1" t="b">
        <v>1</v>
      </c>
      <c r="D18" s="1" t="s">
        <v>2587</v>
      </c>
      <c r="E18" s="1" t="b">
        <v>0</v>
      </c>
      <c r="F18" s="1" t="b">
        <f>IFERROR(IF(ISNUMBER(MATCH(Crops[[#This Row],[Identifier]],BedPlan[Crop], 0)), TRUE, FALSE), FALSE)</f>
        <v>1</v>
      </c>
      <c r="G18" s="1" t="b">
        <f>IFERROR(IF(ISNUMBER(MATCH(Crops[[#This Row],[Identifier]],BedPlan[Crop], 0)), TRUE, FALSE), FALSE)</f>
        <v>1</v>
      </c>
      <c r="H18" s="1"/>
      <c r="I18" t="s">
        <v>43</v>
      </c>
      <c r="J18" t="s">
        <v>1710</v>
      </c>
      <c r="K18" t="s">
        <v>179</v>
      </c>
      <c r="M18" t="s">
        <v>442</v>
      </c>
      <c r="N18" t="s">
        <v>1313</v>
      </c>
      <c r="O18" t="s">
        <v>1413</v>
      </c>
      <c r="P18" t="str">
        <f>IF(OR(Crops[[#This Row],[Days in Cells]]="",Crops[[#This Row],[Days in Cells]]=0), "DS","TP")</f>
        <v>TP</v>
      </c>
      <c r="Q18" t="s">
        <v>144</v>
      </c>
      <c r="R18" t="s">
        <v>144</v>
      </c>
      <c r="U18" t="s">
        <v>144</v>
      </c>
      <c r="V18" t="str">
        <f xml:space="preserve"> IF(Crops[[#This Row],[Sp]], "Sp", "") &amp; IF(Crops[[#This Row],[Su]], "Su", "") &amp; IF(Crops[[#This Row],[Fa]], "Fa", "") &amp; IF(Crops[[#This Row],[Wi]], "Wi", "") &amp; IF(Crops[[#This Row],[OW]], "Ow","")</f>
        <v>SpSuOw</v>
      </c>
      <c r="W18" t="s">
        <v>144</v>
      </c>
      <c r="X18">
        <v>1</v>
      </c>
      <c r="Y18">
        <v>12</v>
      </c>
      <c r="AA18" t="s">
        <v>474</v>
      </c>
      <c r="AB18" t="b">
        <v>0</v>
      </c>
      <c r="AC18">
        <v>2</v>
      </c>
      <c r="AD18" s="32">
        <f>IFERROR(12/Crops[[#This Row],[Spacing]]*Crops[[#This Row],[Rows]]*BedLength,"")</f>
        <v>50</v>
      </c>
      <c r="AE18">
        <v>1</v>
      </c>
      <c r="AG18">
        <f>IF(Crops[[#This Row],[Custom Safety Factor]]="",PlantingSafetyFactor,Crops[[#This Row],[Custom Safety Factor]])</f>
        <v>1.3</v>
      </c>
      <c r="AH18">
        <f>1</f>
        <v>1</v>
      </c>
      <c r="AI18" s="33">
        <f>IFERROR(Crops[[#This Row],[Plantings Per Bed]]*Crops[[#This Row],[Seeds Per Planting]]*Crops[[#This Row],[Safety Factor]]*Crops[[#This Row],[Seeding Factor]],"")</f>
        <v>65</v>
      </c>
      <c r="AJ18">
        <v>7</v>
      </c>
      <c r="AK18">
        <v>14</v>
      </c>
      <c r="AL18">
        <f>_xlfn.FLOOR.MATH(IFERROR(AVERAGE(Crops[[#This Row],[DTG Lower]:[DTG Upper]]),0))</f>
        <v>10</v>
      </c>
      <c r="AM18">
        <f>SUM(Crops[[#This Row],[Tray 1 Days]],Crops[[#This Row],[Tray 2 Days]],Crops[[#This Row],[Tray 3 Days]])</f>
        <v>40</v>
      </c>
      <c r="AN18" s="32">
        <v>40</v>
      </c>
      <c r="AP18">
        <v>70</v>
      </c>
      <c r="AQ18">
        <f>IFERROR(_xlfn.FLOOR.MATH(AVERAGE(Crops[[#This Row],[DTM Lower]:[DTM Upper]])),"")</f>
        <v>70</v>
      </c>
      <c r="AR18" cm="1">
        <f t="array" ref="AR18">_xlfn.SWITCH(Crops[[#This Row],[Normal Method]],"DS",Crops[[#This Row],[Days to Germination]]+Crops[[#This Row],[DTM]] + IF(Crops[[#This Row],[Days in Cells]]&gt;0,15,0), "TP",Crops[[#This Row],[DTM]]+Crops[[#This Row],[Days in Cells]] + IF(Crops[[#This Row],[Days in Cells]]&lt;=0,20,0), "X", Crops[[#This Row],[DTM]])</f>
        <v>95</v>
      </c>
      <c r="AS18" t="s">
        <v>338</v>
      </c>
      <c r="AT18">
        <f>(Crops[[#This Row],[Harvests]]-1)*Crops[[#This Row],[Days Between Harvest]]+7</f>
        <v>49</v>
      </c>
      <c r="AU18">
        <f>Crops[[#This Row],[STH]]-Crops[[#This Row],[Days in Cells]]+Crops[[#This Row],[Harvest window]]</f>
        <v>104</v>
      </c>
      <c r="AX18">
        <v>128</v>
      </c>
      <c r="AY18">
        <v>40</v>
      </c>
      <c r="AZ18" s="49">
        <f>IFERROR(IF(Crops[[#This Row],[Tray 1 Days]]=0,"",Crops[[#This Row],[Plantings Per Bed]]/Crops[[#This Row],[Tray 1 Size]]*Crops[[#This Row],[Safety Factor]]),"")</f>
        <v>0.5078125</v>
      </c>
      <c r="BC18" t="str">
        <f>IFERROR(IF(Crops[[#This Row],[Tray 2 Days]]=0,"",Crops[[#This Row],[Plantings Per Bed]]/Crops[[#This Row],[Tray 2 Size]]*Crops[[#This Row],[Safety Factor]]),"")</f>
        <v/>
      </c>
      <c r="BE18" s="32" t="str">
        <f>IF(NOT(ISBLANK(Crops[[#This Row],[Tray 3 Size]])), Crops[[#This Row],[Days in Cells Old]]-SUM(Crops[[#This Row],[Tray 1 Days]],Crops[[#This Row],[Tray 2 Days]]), "")</f>
        <v/>
      </c>
      <c r="BF18" s="49" t="str">
        <f>IFERROR(IF(Crops[[#This Row],[Tray 3 Days]]=0,"",Crops[[#This Row],[Plantings Per Bed]]/Crops[[#This Row],[Tray 3 Size]]*Crops[[#This Row],[Safety Factor]]),"")</f>
        <v/>
      </c>
      <c r="BG18" s="33">
        <f>Crops[[#This Row],[Plantings Per Bed]]/8</f>
        <v>6.25</v>
      </c>
      <c r="BH18" s="33">
        <v>4</v>
      </c>
      <c r="BI18" s="33">
        <v>14</v>
      </c>
      <c r="BJ18" s="33">
        <f>_xlfn.XLOOKUP(Crops[[#This Row],[ProductIndex]],Products[ID],Products[Holding Period])</f>
        <v>2</v>
      </c>
      <c r="BK18" s="33"/>
      <c r="BL18" s="33">
        <f>Crops[[#This Row],[Units Per Harvest]]*Crops[[#This Row],[Harvests]]</f>
        <v>25</v>
      </c>
      <c r="BM18" s="35">
        <v>3.25</v>
      </c>
      <c r="BN18" s="35">
        <f>Crops[[#This Row],[Direct Price]]*0.6</f>
        <v>1.95</v>
      </c>
      <c r="BO18" s="35"/>
      <c r="BP18" t="s">
        <v>215</v>
      </c>
      <c r="BQ18">
        <f>Crops[[#This Row],[Custom Yield Per Bed]]*Crops[[#This Row],[Direct Price]]</f>
        <v>81.25</v>
      </c>
      <c r="BR18" t="b">
        <v>1</v>
      </c>
      <c r="BS18" t="b">
        <f>Crops[[#This Row],[Harvests]]&gt;1</f>
        <v>1</v>
      </c>
      <c r="BT18" s="36">
        <f>IFERROR(Crops[[#This Row],[Direct Revenue Per Bed]]/Crops[[#This Row],[Days In Field]],-1)</f>
        <v>0.78125</v>
      </c>
      <c r="BU18" s="33">
        <f>IFERROR(Crops[[#This Row],[Direct Revenue Per Bed Day]]*GrowingDays*BedsPerAcre,"")</f>
        <v>22500</v>
      </c>
      <c r="BV18" s="38">
        <f>LastFrostDate-5*Crops[[#This Row],[Sewing Rel Last Frost]]</f>
        <v>45748</v>
      </c>
      <c r="BW18" s="38">
        <f>Crops[[#This Row],[Target Sewing Date]]+Crops[[#This Row],[Days in Cells]]</f>
        <v>45788</v>
      </c>
      <c r="BX18" s="38">
        <f>Crops[[#This Row],[Target Sewing Date]]+Crops[[#This Row],[STH]]</f>
        <v>45843</v>
      </c>
      <c r="BY18" s="38">
        <f>Crops[[#This Row],[Target Harvest Data]]+Crops[[#This Row],[Harvest window]]</f>
        <v>45892</v>
      </c>
      <c r="BZ18">
        <v>0</v>
      </c>
      <c r="CB18">
        <f>1</f>
        <v>1</v>
      </c>
      <c r="CC18">
        <f>IF(Crops[[#This Row],[Transplanting]]&gt;0, 2, 3)*BedLength/StandardBedLength</f>
        <v>1</v>
      </c>
      <c r="CD18" s="173">
        <f>IF(Crops[[#This Row],[Days in Cells]]&lt;=0,0,Crops[[#This Row],[Plantings Per Bed]]/StartsPerHourSeeding+Crops[[#This Row],[Tray 1 Count]]*5/60)</f>
        <v>0.23763020833333334</v>
      </c>
      <c r="CE18" s="173">
        <f>IF(ISBLANK(Crops[[#This Row],[Tray 2 Days]]),0,Crops[[#This Row],[Plantings Per Bed]]/UpPottingPerHour)+IF(Crops[[#This Row],[Tray 3 Days]]="",0,Crops[[#This Row],[Plantings Per Bed]]/UpPottingPerHour)</f>
        <v>0</v>
      </c>
      <c r="CF18" s="173">
        <f>IFERROR(Crops[[#This Row],[Tray 1 Count]]/HomeStartFlatIrrigationPerHour,0)*Crops[[#This Row],[Days in Cells]]/DaysBetweenStartIrrigation</f>
        <v>8.4635416666666657E-2</v>
      </c>
      <c r="CG18" s="173">
        <f>0.5/16*MAX(Crops[[#This Row],[Tray 1 Count]],Crops[[#This Row],[Tray 2 Count]],Crops[[#This Row],[Tray 3 Count]])</f>
        <v>1.5869140625E-2</v>
      </c>
      <c r="CH18" s="173">
        <f>IF(Crops[[#This Row],[Days in Cells]]&gt;0,IF(IF(Crops[[#This Row],[Tray 3 Size]]&gt;0,Crops[[#This Row],[Tray 3 Size]],IF(Crops[[#This Row],[Tray 2 Size]]&gt;0,Crops[[#This Row],[Tray 2 Size]],Crops[[#This Row],[Tray 1 Size]]))&lt;=18,LargeTransplantTime,SmallTransplantTime)*Crops[[#This Row],[Plantings Per Bed]],0)</f>
        <v>0.25</v>
      </c>
      <c r="CI18" s="173"/>
      <c r="CJ18" s="173">
        <f>_xlfn.XLOOKUP(Crops[[#This Row],[Trellis Type]],TrellisMethods[Trellis Type],TrellisMethods[Hours],0,0)</f>
        <v>0</v>
      </c>
      <c r="CK18">
        <f>IF(Crops[[#This Row],[Days in Cells]]&lt;=0,Crops[[#This Row],[Rows]]*1/10,0)*BedLength/50</f>
        <v>0</v>
      </c>
      <c r="CL18" cm="1">
        <f t="array" ref="CL18">_xlfn.SWITCH(Crops[[#This Row],[Irrigation]],"DR", 0.5, "OH", 0.25,0)*BedLength/50</f>
        <v>0</v>
      </c>
      <c r="CM18">
        <f>IF(OR(ISBLANK(Crops[[#This Row],[Row Cover]]),Crops[[#This Row],[Row Cover]]="None"),0,1)*BedLength/50</f>
        <v>0</v>
      </c>
      <c r="CN18" s="173">
        <f>HoursPerWeedingPass*Crops[[#This Row],[Days In Field]]/14*Crops[[#This Row],[Rows]]+1*BedLength/50</f>
        <v>2.2380952380952381</v>
      </c>
      <c r="CO18" s="49"/>
      <c r="CQ18" s="37">
        <f>_xlfn.XLOOKUP(Crops[[#This Row],[Crop]]&amp;Crops[[#This Row],[Product]]&amp;Crops[[#This Row],[Unit]],Products[ID],Products[Marketing (hr)])*Crops[[#This Row],[Direct Revenue Per Bed]]/2000</f>
        <v>8.1250000000000003E-2</v>
      </c>
      <c r="CR18" s="37">
        <f>_xlfn.XLOOKUP(Crops[[#This Row],[Crop]]&amp;Crops[[#This Row],[Product]]&amp;Crops[[#This Row],[Unit]],Products[ID],Products[Harvest (s)])*Crops[[#This Row],[Custom Yield Per Bed]]/3600</f>
        <v>0.26041666666666669</v>
      </c>
      <c r="CS18" s="37">
        <f>_xlfn.XLOOKUP(Crops[[#This Row],[Crop]]&amp;Crops[[#This Row],[Product]]&amp;Crops[[#This Row],[Unit]],Products[ID],Products[Bunch (s)])*Crops[[#This Row],[Custom Yield Per Bed]]/3600</f>
        <v>6.9444444444444448E-2</v>
      </c>
      <c r="CT18" s="37">
        <f>_xlfn.XLOOKUP(Crops[[#This Row],[Crop]]&amp;Crops[[#This Row],[Product]]&amp;Crops[[#This Row],[Unit]],Products[ID],Products[Haul (s)])*Crops[[#This Row],[Custom Yield Per Bed]]/3600</f>
        <v>1.5625E-2</v>
      </c>
      <c r="CU18" s="37">
        <f>_xlfn.XLOOKUP(Crops[[#This Row],[Crop]]&amp;Crops[[#This Row],[Product]]&amp;Crops[[#This Row],[Unit]],Products[ID],Products[Wash (s)])*Crops[[#This Row],[Custom Yield Per Bed]]/3600</f>
        <v>0</v>
      </c>
      <c r="CV18" s="37">
        <f>_xlfn.XLOOKUP(Crops[[#This Row],[Crop]]&amp;Crops[[#This Row],[Product]]&amp;Crops[[#This Row],[Unit]],Products[ID],Products[Condition (s)])*Crops[[#This Row],[Custom Yield Per Bed]]/3600</f>
        <v>0</v>
      </c>
      <c r="CW18" s="37">
        <f>_xlfn.XLOOKUP(Crops[[#This Row],[Crop]]&amp;Crops[[#This Row],[Product]]&amp;Crops[[#This Row],[Unit]],Products[ID],Products[Trim (s)])*Crops[[#This Row],[Custom Yield Per Bed]]/3600</f>
        <v>0</v>
      </c>
      <c r="CX18" s="37">
        <f>_xlfn.XLOOKUP(Crops[[#This Row],[Crop]]&amp;Crops[[#This Row],[Product]]&amp;Crops[[#This Row],[Unit]],Products[ID],Products[Pack (s)])*Crops[[#This Row],[Custom Yield Per Bed]]/3600</f>
        <v>2.0833333333333332E-2</v>
      </c>
      <c r="CY18" s="37">
        <f>_xlfn.XLOOKUP(Crops[[#This Row],[Crop]]&amp;Crops[[#This Row],[Product]]&amp;Crops[[#This Row],[Unit]],Products[ID],Products[Clean (s)])*Crops[[#This Row],[Custom Yield Per Bed]]/3600</f>
        <v>0</v>
      </c>
      <c r="CZ18" s="37">
        <f>_xlfn.XLOOKUP(Crops[[#This Row],[Crop]]&amp;Crops[[#This Row],[Product]]&amp;Crops[[#This Row],[Unit]],Products[ID],Products[Rehandle (s)])*Crops[[#This Row],[Custom Yield Per Bed]]/3600</f>
        <v>0</v>
      </c>
      <c r="DA18" s="37">
        <f>_xlfn.XLOOKUP(Crops[[#This Row],[Crop]]&amp;Crops[[#This Row],[Product]]&amp;Crops[[#This Row],[Unit]],Products[ID],Products[Market Transport (s)])*Crops[[#This Row],[Custom Yield Per Bed]]/3600</f>
        <v>3.90625E-2</v>
      </c>
      <c r="DC18" s="37">
        <f>Crops[[#This Row],[Direct Revenue Per Bed2]]</f>
        <v>81.25</v>
      </c>
      <c r="DD18" s="173">
        <f>_xlfn.AGGREGATE(9,6,Crops[[#This Row],[Bed Prep]:[Remove Crop Residue]])</f>
        <v>4.3128619481646826</v>
      </c>
      <c r="DE18" s="173">
        <f>_xlfn.AGGREGATE(9,6,Crops[[#This Row],[Bed Prep]:[Remove Crop Residue]])-0.75*Crops[[#This Row],[Market &amp; Sell]]</f>
        <v>4.251924448164683</v>
      </c>
      <c r="DF18" s="36">
        <f>Crops[[#This Row],[Direct Revenue Per Bed2]]/Crops[[#This Row],[Direct Time]]</f>
        <v>18.838998552823035</v>
      </c>
      <c r="DG18" s="36">
        <f>_xlfn.XLOOKUP(Crops[[#This Row],[ProductIndex]],Products[ID],Products[Packaging Cost])*(Crops[[#This Row],[Custom Yield Per Bed]]/_xlfn.XLOOKUP(Crops[[#This Row],[ProductIndex]],Products[ID],Products[Units Per Pack]))</f>
        <v>2.375</v>
      </c>
      <c r="DH18" s="36"/>
      <c r="DI18" s="36"/>
      <c r="DJ18" s="36"/>
      <c r="DK18" s="36"/>
      <c r="DL18" s="36"/>
      <c r="DM18" s="33">
        <f>IFERROR(Crops[[#This Row],[Custom Yield Per Bed]]*Crops[[#This Row],[Direct Price]],"")</f>
        <v>81.25</v>
      </c>
      <c r="DN18" s="36">
        <f>Crops[[#This Row],[Direct Time]]*LaborRate</f>
        <v>107.82154870411706</v>
      </c>
      <c r="DO18" s="36">
        <f>SUM(Crops[[#This Row],[Irrigation Cost]])</f>
        <v>0</v>
      </c>
      <c r="DP18" s="36">
        <f>Crops[[#This Row],[Direct Labor Cost]]+Crops[[#This Row],[Direct Non-Labor Cost]]</f>
        <v>107.82154870411706</v>
      </c>
      <c r="DQ18" s="36">
        <f>Crops[[#This Row],[Direct Revenue Per Bed2]]-Crops[[#This Row],[Direct Total Cost]]</f>
        <v>-26.571548704117063</v>
      </c>
      <c r="DR18" s="36">
        <f>Crops[[#This Row],[Direct Profit]]*BedsPerAcre</f>
        <v>-4251.4477926587297</v>
      </c>
      <c r="DS18" s="36">
        <f>Crops[[#This Row],[Direct Profit]]*BedsPerAcre*GrowingDays/Crops[[#This Row],[Days In Field]]</f>
        <v>-7358.2750257554935</v>
      </c>
      <c r="DT18" s="36">
        <f>Crops[[#This Row],[Direct Profit]]/MIN(Crops[[#This Row],[Days In Field]],GrowingDays)</f>
        <v>-0.25549566061651025</v>
      </c>
      <c r="DU18" s="33">
        <f>Crops[[#This Row],[Direct Time]] * BedsPerAcre</f>
        <v>690.05791170634916</v>
      </c>
      <c r="DV18" s="36">
        <f>(Crops[[#This Row],[Direct Revenue Per Bed2]]-Crops[[#This Row],[Direct Non-Labor Cost]])/Crops[[#This Row],[Direct Time]]</f>
        <v>18.838998552823035</v>
      </c>
      <c r="DW18" s="33">
        <f>IFERROR(Crops[[#This Row],[Custom Yield Per Bed]]*Crops[[#This Row],[Rough Wholesale Price]],"")</f>
        <v>48.75</v>
      </c>
      <c r="DX18" s="36">
        <f>Crops[[#This Row],[Wholesale Time]]*LaborRate</f>
        <v>106.29811120411708</v>
      </c>
      <c r="DY18" s="36">
        <f>SUM(Crops[[#This Row],[Packaging Costs]:[Irrigation Cost]])</f>
        <v>2.375</v>
      </c>
      <c r="DZ18" s="36">
        <f>Crops[[#This Row],[Wholesale Labor Cost]]+Crops[[#This Row],[Wholesale Non-Labor Cost]]</f>
        <v>108.67311120411708</v>
      </c>
      <c r="EA18" s="36">
        <f>Crops[[#This Row],[Wholesale Revenue Per Bed]]-Crops[[#This Row],[Wholesale Total Cost]]</f>
        <v>-59.923111204117077</v>
      </c>
      <c r="EB18" s="36">
        <f>Crops[[#This Row],[Wholesale Profit]]*BedsPerAcre</f>
        <v>-9587.6977926587315</v>
      </c>
      <c r="EC18" s="36">
        <f>Crops[[#This Row],[Wholesale Profit]]*BedsPerAcre*GrowingDays/Crops[[#This Row],[Days In Field]]</f>
        <v>-16594.092333447803</v>
      </c>
      <c r="ED18" s="33">
        <f>Crops[[#This Row],[Wholesale Time]] * BedsPerAcre</f>
        <v>680.30791170634927</v>
      </c>
      <c r="EE18" s="221">
        <f>Crops[[#This Row],[Wholesale Profit]]/MIN(Crops[[#This Row],[Days In Field]],GrowingDays)</f>
        <v>-0.57618376157804885</v>
      </c>
      <c r="EF18" s="36">
        <f>(Crops[[#This Row],[Wholesale Revenue Per Bed]]-Crops[[#This Row],[Wholesale Non-Labor Cost]])/Crops[[#This Row],[Direct Time]]</f>
        <v>10.752720712457457</v>
      </c>
      <c r="EG18" s="174">
        <f>Crops[[#This Row],[Packaging Costs]]/Crops[[#This Row],[Wholesale Revenue Per Bed]]</f>
        <v>4.8717948717948718E-2</v>
      </c>
      <c r="EH18" s="36" t="str">
        <f>Crops[[#This Row],[Crop]]&amp;Crops[[#This Row],[Product]]&amp;Crops[[#This Row],[Unit]]</f>
        <v>BasilMature LeafBunch</v>
      </c>
      <c r="EI18" s="36" t="b">
        <f>_xlfn.XLOOKUP(Crops[[#This Row],[ProductIndex]],Products[ID],Products[Target])</f>
        <v>1</v>
      </c>
      <c r="EJ18" s="33">
        <f>Crops[[#This Row],[Custom Yield Per Bed]]</f>
        <v>25</v>
      </c>
      <c r="EK18" s="210">
        <f>Crops[[#This Row],[Units Per Harvest]]/Crops[[#This Row],[Days Between Harvest]]*7</f>
        <v>3.125</v>
      </c>
      <c r="EL18" s="210">
        <f>Crops[[#This Row],[Custom Yield Per Bed]]/_xlfn.XLOOKUP(Crops[[#This Row],[ProductIndex]],Products[ID],Products[CSA Portion])</f>
        <v>25</v>
      </c>
      <c r="EM18" s="210">
        <f>Crops[[#This Row],[Units Per Harvest]]/Crops[[#This Row],[Days Between Harvest]]*7/_xlfn.XLOOKUP(Crops[[#This Row],[ProductIndex]],Products[ID],Products[CSA Portion])</f>
        <v>3.125</v>
      </c>
      <c r="EN18" s="210">
        <f>Crops[[#This Row],[CSA Portions Per Week]]/CSAMembers</f>
        <v>6.25E-2</v>
      </c>
      <c r="EO18" s="216"/>
      <c r="EP18" s="216"/>
      <c r="EQ18" s="210"/>
      <c r="ER18" s="210">
        <f>Crops[[#This Row],[Harvests]]*Crops[[#This Row],[Days Between Harvest]]/7</f>
        <v>8</v>
      </c>
      <c r="ES18" s="217">
        <f>_xlfn.XLOOKUP(Crops[[#This Row],[ProductIndex]],Products[ID],Products[CSA Need])</f>
        <v>4</v>
      </c>
      <c r="ET18" s="217">
        <f>_xlfn.XLOOKUP(Crops[[#This Row],[ProductIndex]],Products[ID],Products[CSA Times])</f>
        <v>4</v>
      </c>
      <c r="EU18" s="208">
        <f>Crops[[#This Row],[Custom Yield Per Bed]]/(Crops[[#This Row],[CSA Need]]*(_xlfn.XLOOKUP(Crops[[#This Row],[ProductIndex]],Products[ID],Products[CSA Portion])*CSAMembers))</f>
        <v>0.125</v>
      </c>
      <c r="EV18" s="208">
        <f>_xlfn.XLOOKUP(Crops[[#This Row],[ProductIndex]],Products[ID],Products[CSA Portion])*CSAMembers*Crops[[#This Row],[CSA Need]]/Crops[[#This Row],[Custom Yield Per Bed]]</f>
        <v>8</v>
      </c>
      <c r="EW18" s="208">
        <f>IFERROR(Crops[[#This Row],[Days In Field]]*Crops[[#This Row],[CSA Beds]],"")</f>
        <v>832</v>
      </c>
      <c r="EX18" s="208" t="e">
        <f>Crops[[#This Row],[CSA Bed Days]]*#REF!</f>
        <v>#REF!</v>
      </c>
      <c r="EY18" t="s">
        <v>343</v>
      </c>
    </row>
    <row r="19" spans="1:155" ht="15" customHeight="1">
      <c r="A19"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Basil (Italian) - Mature Leaf 1X | Tunnel TP SpSuOw</v>
      </c>
      <c r="B19" s="27"/>
      <c r="C19" s="1" t="b">
        <v>1</v>
      </c>
      <c r="D19" s="1"/>
      <c r="E19" s="1" t="b">
        <v>0</v>
      </c>
      <c r="F19" s="1" t="b">
        <f>IFERROR(IF(ISNUMBER(MATCH(Crops[[#This Row],[Identifier]],BedPlan[Crop], 0)), TRUE, FALSE), FALSE)</f>
        <v>1</v>
      </c>
      <c r="G19" s="1" t="b">
        <f>IFERROR(IF(ISNUMBER(MATCH(Crops[[#This Row],[Identifier]],BedPlan[Crop], 0)), TRUE, FALSE), FALSE)</f>
        <v>1</v>
      </c>
      <c r="H19" s="1"/>
      <c r="I19" t="s">
        <v>43</v>
      </c>
      <c r="J19" t="s">
        <v>149</v>
      </c>
      <c r="K19" t="s">
        <v>179</v>
      </c>
      <c r="M19" t="s">
        <v>442</v>
      </c>
      <c r="N19" t="s">
        <v>1313</v>
      </c>
      <c r="O19" t="s">
        <v>1413</v>
      </c>
      <c r="P19" t="str">
        <f>IF(OR(Crops[[#This Row],[Days in Cells]]="",Crops[[#This Row],[Days in Cells]]=0), "DS","TP")</f>
        <v>TP</v>
      </c>
      <c r="Q19" t="s">
        <v>144</v>
      </c>
      <c r="R19" t="s">
        <v>144</v>
      </c>
      <c r="U19" t="s">
        <v>144</v>
      </c>
      <c r="V19" t="str">
        <f xml:space="preserve"> IF(Crops[[#This Row],[Sp]], "Sp", "") &amp; IF(Crops[[#This Row],[Su]], "Su", "") &amp; IF(Crops[[#This Row],[Fa]], "Fa", "") &amp; IF(Crops[[#This Row],[Wi]], "Wi", "") &amp; IF(Crops[[#This Row],[OW]], "Ow","")</f>
        <v>SpSuOw</v>
      </c>
      <c r="W19" t="s">
        <v>144</v>
      </c>
      <c r="X19">
        <v>4</v>
      </c>
      <c r="Y19">
        <v>12</v>
      </c>
      <c r="AA19" t="s">
        <v>474</v>
      </c>
      <c r="AB19" t="b">
        <v>0</v>
      </c>
      <c r="AC19">
        <v>2</v>
      </c>
      <c r="AD19" s="32">
        <f>IFERROR(12/Crops[[#This Row],[Spacing]]*Crops[[#This Row],[Rows]]*BedLength,"")</f>
        <v>200</v>
      </c>
      <c r="AE19">
        <v>1</v>
      </c>
      <c r="AG19">
        <f>IF(Crops[[#This Row],[Custom Safety Factor]]="",PlantingSafetyFactor,Crops[[#This Row],[Custom Safety Factor]])</f>
        <v>1.3</v>
      </c>
      <c r="AH19">
        <f>1</f>
        <v>1</v>
      </c>
      <c r="AI19" s="33">
        <f>IFERROR(Crops[[#This Row],[Plantings Per Bed]]*Crops[[#This Row],[Seeds Per Planting]]*Crops[[#This Row],[Safety Factor]]*Crops[[#This Row],[Seeding Factor]],"")</f>
        <v>260</v>
      </c>
      <c r="AJ19">
        <v>7</v>
      </c>
      <c r="AK19">
        <v>14</v>
      </c>
      <c r="AL19">
        <f>_xlfn.FLOOR.MATH(IFERROR(AVERAGE(Crops[[#This Row],[DTG Lower]:[DTG Upper]]),0))</f>
        <v>10</v>
      </c>
      <c r="AM19">
        <f>SUM(Crops[[#This Row],[Tray 1 Days]],Crops[[#This Row],[Tray 2 Days]],Crops[[#This Row],[Tray 3 Days]])</f>
        <v>40</v>
      </c>
      <c r="AN19" s="32">
        <v>40</v>
      </c>
      <c r="AP19">
        <v>70</v>
      </c>
      <c r="AQ19">
        <f>IFERROR(_xlfn.FLOOR.MATH(AVERAGE(Crops[[#This Row],[DTM Lower]:[DTM Upper]])),"")</f>
        <v>70</v>
      </c>
      <c r="AR19" cm="1">
        <f t="array" ref="AR19">_xlfn.SWITCH(Crops[[#This Row],[Normal Method]],"DS",Crops[[#This Row],[Days to Germination]]+Crops[[#This Row],[DTM]] + IF(Crops[[#This Row],[Days in Cells]]&gt;0,15,0), "TP",Crops[[#This Row],[DTM]]+Crops[[#This Row],[Days in Cells]] + IF(Crops[[#This Row],[Days in Cells]]&lt;=0,20,0), "X", Crops[[#This Row],[DTM]])</f>
        <v>95</v>
      </c>
      <c r="AS19" t="s">
        <v>338</v>
      </c>
      <c r="AT19">
        <f>(Crops[[#This Row],[Harvests]]-1)*Crops[[#This Row],[Days Between Harvest]]+7</f>
        <v>49</v>
      </c>
      <c r="AU19">
        <f>Crops[[#This Row],[STH]]-Crops[[#This Row],[Days in Cells]]+Crops[[#This Row],[Harvest window]]</f>
        <v>104</v>
      </c>
      <c r="AX19">
        <v>128</v>
      </c>
      <c r="AY19">
        <v>40</v>
      </c>
      <c r="AZ19" s="49">
        <f>IFERROR(IF(Crops[[#This Row],[Tray 1 Days]]=0,"",Crops[[#This Row],[Plantings Per Bed]]/Crops[[#This Row],[Tray 1 Size]]*Crops[[#This Row],[Safety Factor]]),"")</f>
        <v>2.03125</v>
      </c>
      <c r="BC19" t="str">
        <f>IFERROR(IF(Crops[[#This Row],[Tray 2 Days]]=0,"",Crops[[#This Row],[Plantings Per Bed]]/Crops[[#This Row],[Tray 2 Size]]*Crops[[#This Row],[Safety Factor]]),"")</f>
        <v/>
      </c>
      <c r="BE19" s="32" t="str">
        <f>IF(NOT(ISBLANK(Crops[[#This Row],[Tray 3 Size]])), Crops[[#This Row],[Days in Cells Old]]-SUM(Crops[[#This Row],[Tray 1 Days]],Crops[[#This Row],[Tray 2 Days]]), "")</f>
        <v/>
      </c>
      <c r="BF19" s="49" t="str">
        <f>IFERROR(IF(Crops[[#This Row],[Tray 3 Days]]=0,"",Crops[[#This Row],[Plantings Per Bed]]/Crops[[#This Row],[Tray 3 Size]]*Crops[[#This Row],[Safety Factor]]),"")</f>
        <v/>
      </c>
      <c r="BG19" s="33">
        <f>Crops[[#This Row],[Plantings Per Bed]]/8</f>
        <v>25</v>
      </c>
      <c r="BH19" s="33">
        <v>4</v>
      </c>
      <c r="BI19" s="33">
        <v>14</v>
      </c>
      <c r="BJ19" s="33">
        <f>_xlfn.XLOOKUP(Crops[[#This Row],[ProductIndex]],Products[ID],Products[Holding Period])</f>
        <v>2</v>
      </c>
      <c r="BK19" s="33"/>
      <c r="BL19" s="33">
        <f>Crops[[#This Row],[Units Per Harvest]]*Crops[[#This Row],[Harvests]]</f>
        <v>100</v>
      </c>
      <c r="BM19" s="35">
        <v>3.25</v>
      </c>
      <c r="BN19" s="212">
        <f>Crops[[#This Row],[Direct Price]]*0.6</f>
        <v>1.95</v>
      </c>
      <c r="BO19" s="212"/>
      <c r="BP19" t="s">
        <v>215</v>
      </c>
      <c r="BQ19">
        <f>Crops[[#This Row],[Custom Yield Per Bed]]*Crops[[#This Row],[Direct Price]]</f>
        <v>325</v>
      </c>
      <c r="BR19" t="b">
        <v>1</v>
      </c>
      <c r="BS19" t="b">
        <f>Crops[[#This Row],[Harvests]]&gt;1</f>
        <v>1</v>
      </c>
      <c r="BT19" s="36">
        <f>IFERROR(Crops[[#This Row],[Direct Revenue Per Bed]]/Crops[[#This Row],[Days In Field]],-1)</f>
        <v>3.125</v>
      </c>
      <c r="BU19" s="33">
        <f>IFERROR(Crops[[#This Row],[Direct Revenue Per Bed Day]]*GrowingDays*BedsPerAcre,"")</f>
        <v>90000</v>
      </c>
      <c r="BV19" s="38">
        <f>LastFrostDate-5*Crops[[#This Row],[Sewing Rel Last Frost]]</f>
        <v>45748</v>
      </c>
      <c r="BW19" s="38">
        <f>Crops[[#This Row],[Target Sewing Date]]+Crops[[#This Row],[Days in Cells]]</f>
        <v>45788</v>
      </c>
      <c r="BX19" s="38">
        <f>Crops[[#This Row],[Target Sewing Date]]+Crops[[#This Row],[STH]]</f>
        <v>45843</v>
      </c>
      <c r="BY19" s="38">
        <f>Crops[[#This Row],[Target Harvest Data]]+Crops[[#This Row],[Harvest window]]</f>
        <v>45892</v>
      </c>
      <c r="BZ19">
        <v>0</v>
      </c>
      <c r="CA19" t="s">
        <v>376</v>
      </c>
      <c r="CB19">
        <f>1</f>
        <v>1</v>
      </c>
      <c r="CC19">
        <f>IF(Crops[[#This Row],[Transplanting]]&gt;0, 2, 3)*BedLength/StandardBedLength</f>
        <v>1</v>
      </c>
      <c r="CD19" s="173">
        <f>IF(Crops[[#This Row],[Days in Cells]]&lt;=0,0,Crops[[#This Row],[Plantings Per Bed]]/StartsPerHourSeeding+Crops[[#This Row],[Tray 1 Count]]*5/60)</f>
        <v>0.95052083333333337</v>
      </c>
      <c r="CE19" s="173">
        <f>IF(ISBLANK(Crops[[#This Row],[Tray 2 Days]]),0,Crops[[#This Row],[Plantings Per Bed]]/UpPottingPerHour)+IF(Crops[[#This Row],[Tray 3 Days]]="",0,Crops[[#This Row],[Plantings Per Bed]]/UpPottingPerHour)</f>
        <v>0</v>
      </c>
      <c r="CF19" s="173">
        <f>IFERROR(Crops[[#This Row],[Tray 1 Count]]/HomeStartFlatIrrigationPerHour,0)*Crops[[#This Row],[Days in Cells]]/DaysBetweenStartIrrigation</f>
        <v>0.33854166666666663</v>
      </c>
      <c r="CG19" s="173">
        <f>0.5/16*MAX(Crops[[#This Row],[Tray 1 Count]],Crops[[#This Row],[Tray 2 Count]],Crops[[#This Row],[Tray 3 Count]])</f>
        <v>6.34765625E-2</v>
      </c>
      <c r="CH19" s="173">
        <f>IF(Crops[[#This Row],[Days in Cells]]&gt;0,IF(IF(Crops[[#This Row],[Tray 3 Size]]&gt;0,Crops[[#This Row],[Tray 3 Size]],IF(Crops[[#This Row],[Tray 2 Size]]&gt;0,Crops[[#This Row],[Tray 2 Size]],Crops[[#This Row],[Tray 1 Size]]))&lt;=18,LargeTransplantTime,SmallTransplantTime)*Crops[[#This Row],[Plantings Per Bed]],0)</f>
        <v>1</v>
      </c>
      <c r="CI19" s="173"/>
      <c r="CJ19" s="173">
        <f>_xlfn.XLOOKUP(Crops[[#This Row],[Trellis Type]],TrellisMethods[Trellis Type],TrellisMethods[Hours],0,0)</f>
        <v>0</v>
      </c>
      <c r="CK19">
        <f>IF(Crops[[#This Row],[Days in Cells]]&lt;=0,Crops[[#This Row],[Rows]]*1/10,0)*BedLength/50</f>
        <v>0</v>
      </c>
      <c r="CL19" cm="1">
        <f t="array" ref="CL19">_xlfn.SWITCH(Crops[[#This Row],[Irrigation]],"DR", 0.5, "OH", 0.25,0)*BedLength/50</f>
        <v>0</v>
      </c>
      <c r="CM19">
        <f>IF(OR(ISBLANK(Crops[[#This Row],[Row Cover]]),Crops[[#This Row],[Row Cover]]="None"),0,1)*BedLength/50</f>
        <v>0</v>
      </c>
      <c r="CN19" s="173">
        <f>HoursPerWeedingPass*Crops[[#This Row],[Days In Field]]/14*Crops[[#This Row],[Rows]]+1*BedLength/50</f>
        <v>5.9523809523809517</v>
      </c>
      <c r="CO19" s="49"/>
      <c r="CQ19" s="37">
        <f>_xlfn.XLOOKUP(Crops[[#This Row],[Crop]]&amp;Crops[[#This Row],[Product]]&amp;Crops[[#This Row],[Unit]],Products[ID],Products[Marketing (hr)])*Crops[[#This Row],[Direct Revenue Per Bed]]/2000</f>
        <v>0.32500000000000001</v>
      </c>
      <c r="CR19" s="37">
        <f>_xlfn.XLOOKUP(Crops[[#This Row],[Crop]]&amp;Crops[[#This Row],[Product]]&amp;Crops[[#This Row],[Unit]],Products[ID],Products[Harvest (s)])*Crops[[#This Row],[Custom Yield Per Bed]]/3600</f>
        <v>1.0416666666666667</v>
      </c>
      <c r="CS19" s="37">
        <f>_xlfn.XLOOKUP(Crops[[#This Row],[Crop]]&amp;Crops[[#This Row],[Product]]&amp;Crops[[#This Row],[Unit]],Products[ID],Products[Bunch (s)])*Crops[[#This Row],[Custom Yield Per Bed]]/3600</f>
        <v>0.27777777777777779</v>
      </c>
      <c r="CT19" s="37">
        <f>_xlfn.XLOOKUP(Crops[[#This Row],[Crop]]&amp;Crops[[#This Row],[Product]]&amp;Crops[[#This Row],[Unit]],Products[ID],Products[Haul (s)])*Crops[[#This Row],[Custom Yield Per Bed]]/3600</f>
        <v>6.25E-2</v>
      </c>
      <c r="CU19" s="37">
        <f>_xlfn.XLOOKUP(Crops[[#This Row],[Crop]]&amp;Crops[[#This Row],[Product]]&amp;Crops[[#This Row],[Unit]],Products[ID],Products[Wash (s)])*Crops[[#This Row],[Custom Yield Per Bed]]/3600</f>
        <v>0</v>
      </c>
      <c r="CV19" s="37">
        <f>_xlfn.XLOOKUP(Crops[[#This Row],[Crop]]&amp;Crops[[#This Row],[Product]]&amp;Crops[[#This Row],[Unit]],Products[ID],Products[Condition (s)])*Crops[[#This Row],[Custom Yield Per Bed]]/3600</f>
        <v>0</v>
      </c>
      <c r="CW19" s="37">
        <f>_xlfn.XLOOKUP(Crops[[#This Row],[Crop]]&amp;Crops[[#This Row],[Product]]&amp;Crops[[#This Row],[Unit]],Products[ID],Products[Trim (s)])*Crops[[#This Row],[Custom Yield Per Bed]]/3600</f>
        <v>0</v>
      </c>
      <c r="CX19" s="37">
        <f>_xlfn.XLOOKUP(Crops[[#This Row],[Crop]]&amp;Crops[[#This Row],[Product]]&amp;Crops[[#This Row],[Unit]],Products[ID],Products[Pack (s)])*Crops[[#This Row],[Custom Yield Per Bed]]/3600</f>
        <v>8.3333333333333329E-2</v>
      </c>
      <c r="CY19" s="37">
        <f>_xlfn.XLOOKUP(Crops[[#This Row],[Crop]]&amp;Crops[[#This Row],[Product]]&amp;Crops[[#This Row],[Unit]],Products[ID],Products[Clean (s)])*Crops[[#This Row],[Custom Yield Per Bed]]/3600</f>
        <v>0</v>
      </c>
      <c r="CZ19" s="37">
        <f>_xlfn.XLOOKUP(Crops[[#This Row],[Crop]]&amp;Crops[[#This Row],[Product]]&amp;Crops[[#This Row],[Unit]],Products[ID],Products[Rehandle (s)])*Crops[[#This Row],[Custom Yield Per Bed]]/3600</f>
        <v>0</v>
      </c>
      <c r="DA19" s="37">
        <f>_xlfn.XLOOKUP(Crops[[#This Row],[Crop]]&amp;Crops[[#This Row],[Product]]&amp;Crops[[#This Row],[Unit]],Products[ID],Products[Market Transport (s)])*Crops[[#This Row],[Custom Yield Per Bed]]/3600</f>
        <v>0.15625</v>
      </c>
      <c r="DC19" s="37">
        <f>Crops[[#This Row],[Direct Revenue Per Bed2]]</f>
        <v>325</v>
      </c>
      <c r="DD19" s="173">
        <f>_xlfn.AGGREGATE(9,6,Crops[[#This Row],[Bed Prep]:[Remove Crop Residue]])</f>
        <v>11.25144779265873</v>
      </c>
      <c r="DE19" s="173">
        <f>_xlfn.AGGREGATE(9,6,Crops[[#This Row],[Bed Prep]:[Remove Crop Residue]])-0.75*Crops[[#This Row],[Market &amp; Sell]]</f>
        <v>11.00769779265873</v>
      </c>
      <c r="DF19" s="36">
        <f>Crops[[#This Row],[Direct Revenue Per Bed2]]/Crops[[#This Row],[Direct Time]]</f>
        <v>28.885171578723746</v>
      </c>
      <c r="DG19" s="36">
        <f>_xlfn.XLOOKUP(Crops[[#This Row],[ProductIndex]],Products[ID],Products[Packaging Cost])*(Crops[[#This Row],[Custom Yield Per Bed]]/_xlfn.XLOOKUP(Crops[[#This Row],[ProductIndex]],Products[ID],Products[Units Per Pack]))</f>
        <v>9.5</v>
      </c>
      <c r="DH19" s="36"/>
      <c r="DI19" s="36"/>
      <c r="DJ19" s="36"/>
      <c r="DK19" s="36"/>
      <c r="DL19" s="36"/>
      <c r="DM19" s="33">
        <f>IFERROR(Crops[[#This Row],[Custom Yield Per Bed]]*Crops[[#This Row],[Direct Price]],"")</f>
        <v>325</v>
      </c>
      <c r="DN19" s="36">
        <f>Crops[[#This Row],[Direct Time]]*LaborRate</f>
        <v>281.28619481646825</v>
      </c>
      <c r="DO19" s="36">
        <f>SUM(Crops[[#This Row],[Irrigation Cost]])</f>
        <v>0</v>
      </c>
      <c r="DP19" s="36">
        <f>Crops[[#This Row],[Direct Labor Cost]]+Crops[[#This Row],[Direct Non-Labor Cost]]</f>
        <v>281.28619481646825</v>
      </c>
      <c r="DQ19" s="36">
        <f>Crops[[#This Row],[Direct Revenue Per Bed2]]-Crops[[#This Row],[Direct Total Cost]]</f>
        <v>43.713805183531747</v>
      </c>
      <c r="DR19" s="36">
        <f>Crops[[#This Row],[Direct Profit]]*BedsPerAcre</f>
        <v>6994.2088293650795</v>
      </c>
      <c r="DS19" s="36">
        <f>Crops[[#This Row],[Direct Profit]]*BedsPerAcre*GrowingDays/Crops[[#This Row],[Days In Field]]</f>
        <v>12105.361435439561</v>
      </c>
      <c r="DT19" s="36">
        <f>Crops[[#This Row],[Direct Profit]]/MIN(Crops[[#This Row],[Days In Field]],GrowingDays)</f>
        <v>0.42032504984165142</v>
      </c>
      <c r="DU19" s="33">
        <f>Crops[[#This Row],[Direct Time]] * BedsPerAcre</f>
        <v>1800.2316468253969</v>
      </c>
      <c r="DV19" s="36">
        <f>(Crops[[#This Row],[Direct Revenue Per Bed2]]-Crops[[#This Row],[Direct Non-Labor Cost]])/Crops[[#This Row],[Direct Time]]</f>
        <v>28.885171578723746</v>
      </c>
      <c r="DW19" s="33">
        <f>IFERROR(Crops[[#This Row],[Custom Yield Per Bed]]*Crops[[#This Row],[Rough Wholesale Price]],"")</f>
        <v>195</v>
      </c>
      <c r="DX19" s="36">
        <f>Crops[[#This Row],[Wholesale Time]]*LaborRate</f>
        <v>275.19244481646825</v>
      </c>
      <c r="DY19" s="36">
        <f>SUM(Crops[[#This Row],[Packaging Costs]:[Irrigation Cost]])</f>
        <v>9.5</v>
      </c>
      <c r="DZ19" s="36">
        <f>Crops[[#This Row],[Wholesale Labor Cost]]+Crops[[#This Row],[Wholesale Non-Labor Cost]]</f>
        <v>284.69244481646825</v>
      </c>
      <c r="EA19" s="36">
        <f>Crops[[#This Row],[Wholesale Revenue Per Bed]]-Crops[[#This Row],[Wholesale Total Cost]]</f>
        <v>-89.692444816468253</v>
      </c>
      <c r="EB19" s="36">
        <f>Crops[[#This Row],[Wholesale Profit]]*BedsPerAcre</f>
        <v>-14350.79117063492</v>
      </c>
      <c r="EC19" s="36">
        <f>Crops[[#This Row],[Wholesale Profit]]*BedsPerAcre*GrowingDays/Crops[[#This Row],[Days In Field]]</f>
        <v>-24837.907795329673</v>
      </c>
      <c r="ED19" s="33">
        <f>Crops[[#This Row],[Wholesale Time]] * BedsPerAcre</f>
        <v>1761.2316468253969</v>
      </c>
      <c r="EE19" s="221">
        <f>Crops[[#This Row],[Wholesale Profit]]/MIN(Crops[[#This Row],[Days In Field]],GrowingDays)</f>
        <v>-0.86242735400450243</v>
      </c>
      <c r="EF19" s="36">
        <f>(Crops[[#This Row],[Wholesale Revenue Per Bed]]-Crops[[#This Row],[Wholesale Non-Labor Cost]])/Crops[[#This Row],[Direct Time]]</f>
        <v>16.486767162625402</v>
      </c>
      <c r="EG19" s="174">
        <f>Crops[[#This Row],[Packaging Costs]]/Crops[[#This Row],[Wholesale Revenue Per Bed]]</f>
        <v>4.8717948717948718E-2</v>
      </c>
      <c r="EH19" s="36" t="str">
        <f>Crops[[#This Row],[Crop]]&amp;Crops[[#This Row],[Product]]&amp;Crops[[#This Row],[Unit]]</f>
        <v>BasilMature LeafBunch</v>
      </c>
      <c r="EI19" s="36" t="b">
        <f>_xlfn.XLOOKUP(Crops[[#This Row],[ProductIndex]],Products[ID],Products[Target])</f>
        <v>1</v>
      </c>
      <c r="EJ19" s="33">
        <f>Crops[[#This Row],[Custom Yield Per Bed]]</f>
        <v>100</v>
      </c>
      <c r="EK19" s="210">
        <f>Crops[[#This Row],[Units Per Harvest]]/Crops[[#This Row],[Days Between Harvest]]*7</f>
        <v>12.5</v>
      </c>
      <c r="EL19" s="210">
        <f>Crops[[#This Row],[Custom Yield Per Bed]]/_xlfn.XLOOKUP(Crops[[#This Row],[ProductIndex]],Products[ID],Products[CSA Portion])</f>
        <v>100</v>
      </c>
      <c r="EM19" s="210">
        <f>Crops[[#This Row],[Units Per Harvest]]/Crops[[#This Row],[Days Between Harvest]]*7/_xlfn.XLOOKUP(Crops[[#This Row],[ProductIndex]],Products[ID],Products[CSA Portion])</f>
        <v>12.5</v>
      </c>
      <c r="EN19" s="210">
        <f>Crops[[#This Row],[CSA Portions Per Week]]/CSAMembers</f>
        <v>0.25</v>
      </c>
      <c r="EO19" s="216">
        <v>1</v>
      </c>
      <c r="EP19" s="216">
        <v>1</v>
      </c>
      <c r="EQ19" s="210"/>
      <c r="ER19" s="210">
        <f>Crops[[#This Row],[Harvests]]*Crops[[#This Row],[Days Between Harvest]]/7</f>
        <v>8</v>
      </c>
      <c r="ES19" s="217">
        <f>_xlfn.XLOOKUP(Crops[[#This Row],[ProductIndex]],Products[ID],Products[CSA Need])</f>
        <v>4</v>
      </c>
      <c r="ET19" s="217">
        <f>_xlfn.XLOOKUP(Crops[[#This Row],[ProductIndex]],Products[ID],Products[CSA Times])</f>
        <v>4</v>
      </c>
      <c r="EU19" s="208">
        <f>Crops[[#This Row],[Custom Yield Per Bed]]/(Crops[[#This Row],[CSA Need]]*(_xlfn.XLOOKUP(Crops[[#This Row],[ProductIndex]],Products[ID],Products[CSA Portion])*CSAMembers))</f>
        <v>0.5</v>
      </c>
      <c r="EV19" s="208">
        <f>_xlfn.XLOOKUP(Crops[[#This Row],[ProductIndex]],Products[ID],Products[CSA Portion])*CSAMembers*Crops[[#This Row],[CSA Need]]/Crops[[#This Row],[Custom Yield Per Bed]]</f>
        <v>2</v>
      </c>
      <c r="EW19" s="208">
        <f>IFERROR(Crops[[#This Row],[Days In Field]]*Crops[[#This Row],[CSA Beds]],"")</f>
        <v>208</v>
      </c>
      <c r="EX19" s="208" t="e">
        <f>Crops[[#This Row],[CSA Bed Days]]*#REF!</f>
        <v>#REF!</v>
      </c>
      <c r="EY19" t="s">
        <v>343</v>
      </c>
    </row>
    <row r="20" spans="1:155" ht="15" customHeight="1">
      <c r="A20"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Basil (Purple Basil) - Mature Stem 1X | Field TP </v>
      </c>
      <c r="B20" s="27"/>
      <c r="C20" s="1"/>
      <c r="D20" s="1"/>
      <c r="E20" s="1" t="b">
        <v>0</v>
      </c>
      <c r="F20" s="1" t="b">
        <f>IFERROR(IF(ISNUMBER(MATCH(Crops[[#This Row],[Identifier]],BedPlan[Crop], 0)), TRUE, FALSE), FALSE)</f>
        <v>0</v>
      </c>
      <c r="G20" s="1" t="b">
        <f>IFERROR(IF(ISNUMBER(MATCH(Crops[[#This Row],[Identifier]],BedPlan[Crop], 0)), TRUE, FALSE), FALSE)</f>
        <v>0</v>
      </c>
      <c r="H20" s="1"/>
      <c r="I20" t="s">
        <v>43</v>
      </c>
      <c r="J20" t="s">
        <v>146</v>
      </c>
      <c r="K20" t="s">
        <v>181</v>
      </c>
      <c r="M20" t="s">
        <v>442</v>
      </c>
      <c r="N20" t="s">
        <v>146</v>
      </c>
      <c r="O20" t="s">
        <v>210</v>
      </c>
      <c r="P20" t="str">
        <f>IF(OR(Crops[[#This Row],[Days in Cells]]="",Crops[[#This Row],[Days in Cells]]=0), "DS","TP")</f>
        <v>TP</v>
      </c>
      <c r="V20" t="str">
        <f xml:space="preserve"> IF(Crops[[#This Row],[Sp]], "Sp", "") &amp; IF(Crops[[#This Row],[Su]], "Su", "") &amp; IF(Crops[[#This Row],[Fa]], "Fa", "") &amp; IF(Crops[[#This Row],[Wi]], "Wi", "") &amp; IF(Crops[[#This Row],[OW]], "Ow","")</f>
        <v/>
      </c>
      <c r="W20" t="s">
        <v>144</v>
      </c>
      <c r="X20">
        <v>2</v>
      </c>
      <c r="Y20">
        <v>12</v>
      </c>
      <c r="AA20" t="s">
        <v>474</v>
      </c>
      <c r="AB20" t="b">
        <v>0</v>
      </c>
      <c r="AC20">
        <v>2</v>
      </c>
      <c r="AD20" s="32">
        <f>IFERROR(12/Crops[[#This Row],[Spacing]]*Crops[[#This Row],[Rows]]*BedLength,"")</f>
        <v>100</v>
      </c>
      <c r="AE20">
        <v>1</v>
      </c>
      <c r="AG20">
        <f>IF(Crops[[#This Row],[Custom Safety Factor]]="",PlantingSafetyFactor,Crops[[#This Row],[Custom Safety Factor]])</f>
        <v>1.3</v>
      </c>
      <c r="AH20">
        <f>1</f>
        <v>1</v>
      </c>
      <c r="AI20" s="33">
        <f>IFERROR(Crops[[#This Row],[Plantings Per Bed]]*Crops[[#This Row],[Seeds Per Planting]]*Crops[[#This Row],[Safety Factor]]*Crops[[#This Row],[Seeding Factor]],"")</f>
        <v>130</v>
      </c>
      <c r="AJ20">
        <v>7</v>
      </c>
      <c r="AK20">
        <v>14</v>
      </c>
      <c r="AL20">
        <f>_xlfn.FLOOR.MATH(IFERROR(AVERAGE(Crops[[#This Row],[DTG Lower]:[DTG Upper]]),0))</f>
        <v>10</v>
      </c>
      <c r="AM20">
        <f>SUM(Crops[[#This Row],[Tray 1 Days]],Crops[[#This Row],[Tray 2 Days]],Crops[[#This Row],[Tray 3 Days]])</f>
        <v>40</v>
      </c>
      <c r="AN20" s="32">
        <v>40</v>
      </c>
      <c r="AO20">
        <v>70</v>
      </c>
      <c r="AP20">
        <v>70</v>
      </c>
      <c r="AQ20">
        <f>IFERROR(_xlfn.FLOOR.MATH(AVERAGE(Crops[[#This Row],[DTM Lower]:[DTM Upper]])),"")</f>
        <v>70</v>
      </c>
      <c r="AR20" cm="1">
        <f t="array" ref="AR20">_xlfn.SWITCH(Crops[[#This Row],[Normal Method]],"DS",Crops[[#This Row],[Days to Germination]]+Crops[[#This Row],[DTM]] + IF(Crops[[#This Row],[Days in Cells]]&gt;0,15,0), "TP",Crops[[#This Row],[DTM]]+Crops[[#This Row],[Days in Cells]] + IF(Crops[[#This Row],[Days in Cells]]&lt;=0,20,0), "X", Crops[[#This Row],[DTM]])</f>
        <v>95</v>
      </c>
      <c r="AS20" t="s">
        <v>338</v>
      </c>
      <c r="AT20">
        <f>(Crops[[#This Row],[Harvests]]-1)*Crops[[#This Row],[Days Between Harvest]]+7</f>
        <v>49</v>
      </c>
      <c r="AU20">
        <f>Crops[[#This Row],[STH]]-Crops[[#This Row],[Days in Cells]]+Crops[[#This Row],[Harvest window]]</f>
        <v>104</v>
      </c>
      <c r="AX20">
        <v>128</v>
      </c>
      <c r="AY20">
        <v>40</v>
      </c>
      <c r="AZ20" s="49">
        <f>IFERROR(IF(Crops[[#This Row],[Tray 1 Days]]=0,"",Crops[[#This Row],[Plantings Per Bed]]/Crops[[#This Row],[Tray 1 Size]]*Crops[[#This Row],[Safety Factor]]),"")</f>
        <v>1.015625</v>
      </c>
      <c r="BC20" t="str">
        <f>IFERROR(IF(Crops[[#This Row],[Tray 2 Days]]=0,"",Crops[[#This Row],[Plantings Per Bed]]/Crops[[#This Row],[Tray 2 Size]]*Crops[[#This Row],[Safety Factor]]),"")</f>
        <v/>
      </c>
      <c r="BE20" s="32" t="str">
        <f>IF(NOT(ISBLANK(Crops[[#This Row],[Tray 3 Size]])), Crops[[#This Row],[Days in Cells Old]]-SUM(Crops[[#This Row],[Tray 1 Days]],Crops[[#This Row],[Tray 2 Days]]), "")</f>
        <v/>
      </c>
      <c r="BF20" s="49" t="str">
        <f>IFERROR(IF(Crops[[#This Row],[Tray 3 Days]]=0,"",Crops[[#This Row],[Plantings Per Bed]]/Crops[[#This Row],[Tray 3 Size]]*Crops[[#This Row],[Safety Factor]]),"")</f>
        <v/>
      </c>
      <c r="BG20" s="33">
        <f>Crops[[#This Row],[Plantings Per Bed]]*2</f>
        <v>200</v>
      </c>
      <c r="BH20" s="33">
        <v>3</v>
      </c>
      <c r="BI20" s="33">
        <v>21</v>
      </c>
      <c r="BJ20" s="33">
        <f>_xlfn.XLOOKUP(Crops[[#This Row],[ProductIndex]],Products[ID],Products[Holding Period])</f>
        <v>0</v>
      </c>
      <c r="BK20" s="33"/>
      <c r="BL20" s="33">
        <f>Crops[[#This Row],[Units Per Harvest]]*Crops[[#This Row],[Harvests]]</f>
        <v>600</v>
      </c>
      <c r="BM20" s="35">
        <v>1</v>
      </c>
      <c r="BN20" s="35">
        <f>Crops[[#This Row],[Direct Price]]*0.6</f>
        <v>0.6</v>
      </c>
      <c r="BO20" s="35"/>
      <c r="BP20" t="s">
        <v>213</v>
      </c>
      <c r="BQ20">
        <f>Crops[[#This Row],[Custom Yield Per Bed]]*Crops[[#This Row],[Direct Price]]</f>
        <v>600</v>
      </c>
      <c r="BR20" t="b">
        <v>0</v>
      </c>
      <c r="BS20" t="b">
        <f>Crops[[#This Row],[Harvests]]&gt;1</f>
        <v>1</v>
      </c>
      <c r="BT20" s="36">
        <f>IFERROR(Crops[[#This Row],[Direct Revenue Per Bed]]/Crops[[#This Row],[Days In Field]],-1)</f>
        <v>5.7692307692307692</v>
      </c>
      <c r="BU20" s="33">
        <f>IFERROR(Crops[[#This Row],[Direct Revenue Per Bed Day]]*GrowingDays*BedsPerAcre,"")</f>
        <v>166153.84615384613</v>
      </c>
      <c r="BV20" s="38">
        <f>LastFrostDate-5*Crops[[#This Row],[Sewing Rel Last Frost]]</f>
        <v>45748</v>
      </c>
      <c r="BW20" s="38">
        <f>Crops[[#This Row],[Target Sewing Date]]+Crops[[#This Row],[Days in Cells]]</f>
        <v>45788</v>
      </c>
      <c r="BX20" s="38">
        <f>Crops[[#This Row],[Target Sewing Date]]+Crops[[#This Row],[STH]]</f>
        <v>45843</v>
      </c>
      <c r="BY20" s="38">
        <f>Crops[[#This Row],[Target Harvest Data]]+Crops[[#This Row],[Harvest window]]</f>
        <v>45892</v>
      </c>
      <c r="BZ20">
        <v>0</v>
      </c>
      <c r="CB20">
        <f>1</f>
        <v>1</v>
      </c>
      <c r="CC20">
        <f>IF(Crops[[#This Row],[Transplanting]]&gt;0, 2, 3)*BedLength/StandardBedLength</f>
        <v>1</v>
      </c>
      <c r="CD20" s="173">
        <f>IF(Crops[[#This Row],[Days in Cells]]&lt;=0,0,Crops[[#This Row],[Plantings Per Bed]]/StartsPerHourSeeding+Crops[[#This Row],[Tray 1 Count]]*5/60)</f>
        <v>0.47526041666666669</v>
      </c>
      <c r="CE20" s="173">
        <f>IF(ISBLANK(Crops[[#This Row],[Tray 2 Days]]),0,Crops[[#This Row],[Plantings Per Bed]]/UpPottingPerHour)+IF(Crops[[#This Row],[Tray 3 Days]]="",0,Crops[[#This Row],[Plantings Per Bed]]/UpPottingPerHour)</f>
        <v>0</v>
      </c>
      <c r="CF20" s="173">
        <f>IFERROR(Crops[[#This Row],[Tray 1 Count]]/HomeStartFlatIrrigationPerHour,0)*Crops[[#This Row],[Days in Cells]]/DaysBetweenStartIrrigation</f>
        <v>0.16927083333333331</v>
      </c>
      <c r="CG20" s="173">
        <f>0.5/16*MAX(Crops[[#This Row],[Tray 1 Count]],Crops[[#This Row],[Tray 2 Count]],Crops[[#This Row],[Tray 3 Count]])</f>
        <v>3.173828125E-2</v>
      </c>
      <c r="CH20" s="173">
        <f>IF(Crops[[#This Row],[Days in Cells]]&gt;0,IF(IF(Crops[[#This Row],[Tray 3 Size]]&gt;0,Crops[[#This Row],[Tray 3 Size]],IF(Crops[[#This Row],[Tray 2 Size]]&gt;0,Crops[[#This Row],[Tray 2 Size]],Crops[[#This Row],[Tray 1 Size]]))&lt;=18,LargeTransplantTime,SmallTransplantTime)*Crops[[#This Row],[Plantings Per Bed]],0)</f>
        <v>0.5</v>
      </c>
      <c r="CI20" s="173"/>
      <c r="CJ20" s="173">
        <f>_xlfn.XLOOKUP(Crops[[#This Row],[Trellis Type]],TrellisMethods[Trellis Type],TrellisMethods[Hours],0,0)</f>
        <v>0</v>
      </c>
      <c r="CK20">
        <f>IF(Crops[[#This Row],[Days in Cells]]&lt;=0,Crops[[#This Row],[Rows]]*1/10,0)*BedLength/50</f>
        <v>0</v>
      </c>
      <c r="CL20" cm="1">
        <f t="array" ref="CL20">_xlfn.SWITCH(Crops[[#This Row],[Irrigation]],"DR", 0.5, "OH", 0.25,0)*BedLength/50</f>
        <v>0</v>
      </c>
      <c r="CM20">
        <f>IF(OR(ISBLANK(Crops[[#This Row],[Row Cover]]),Crops[[#This Row],[Row Cover]]="None"),0,1)*BedLength/50</f>
        <v>0</v>
      </c>
      <c r="CN20" s="173">
        <f>HoursPerWeedingPass*Crops[[#This Row],[Days In Field]]/14*Crops[[#This Row],[Rows]]+1*BedLength/50</f>
        <v>3.4761904761904758</v>
      </c>
      <c r="CQ20" s="37">
        <f>_xlfn.XLOOKUP(Crops[[#This Row],[Crop]]&amp;Crops[[#This Row],[Product]]&amp;Crops[[#This Row],[Unit]],Products[ID],Products[Marketing (hr)])*Crops[[#This Row],[Direct Revenue Per Bed]]/2000</f>
        <v>0.6</v>
      </c>
      <c r="CR20" s="37">
        <f>_xlfn.XLOOKUP(Crops[[#This Row],[Crop]]&amp;Crops[[#This Row],[Product]]&amp;Crops[[#This Row],[Unit]],Products[ID],Products[Harvest (s)])*Crops[[#This Row],[Custom Yield Per Bed]]/3600</f>
        <v>1.6666666666666667</v>
      </c>
      <c r="CS20" s="37">
        <f>_xlfn.XLOOKUP(Crops[[#This Row],[Crop]]&amp;Crops[[#This Row],[Product]]&amp;Crops[[#This Row],[Unit]],Products[ID],Products[Bunch (s)])*Crops[[#This Row],[Custom Yield Per Bed]]/3600</f>
        <v>0</v>
      </c>
      <c r="CT20" s="37">
        <f>_xlfn.XLOOKUP(Crops[[#This Row],[Crop]]&amp;Crops[[#This Row],[Product]]&amp;Crops[[#This Row],[Unit]],Products[ID],Products[Haul (s)])*Crops[[#This Row],[Custom Yield Per Bed]]/3600</f>
        <v>0.375</v>
      </c>
      <c r="CU20" s="37">
        <f>_xlfn.XLOOKUP(Crops[[#This Row],[Crop]]&amp;Crops[[#This Row],[Product]]&amp;Crops[[#This Row],[Unit]],Products[ID],Products[Wash (s)])*Crops[[#This Row],[Custom Yield Per Bed]]/3600</f>
        <v>0</v>
      </c>
      <c r="CV20" s="37">
        <f>_xlfn.XLOOKUP(Crops[[#This Row],[Crop]]&amp;Crops[[#This Row],[Product]]&amp;Crops[[#This Row],[Unit]],Products[ID],Products[Condition (s)])*Crops[[#This Row],[Custom Yield Per Bed]]/3600</f>
        <v>0</v>
      </c>
      <c r="CW20" s="37">
        <f>_xlfn.XLOOKUP(Crops[[#This Row],[Crop]]&amp;Crops[[#This Row],[Product]]&amp;Crops[[#This Row],[Unit]],Products[ID],Products[Trim (s)])*Crops[[#This Row],[Custom Yield Per Bed]]/3600</f>
        <v>0</v>
      </c>
      <c r="CX20" s="37">
        <f>_xlfn.XLOOKUP(Crops[[#This Row],[Crop]]&amp;Crops[[#This Row],[Product]]&amp;Crops[[#This Row],[Unit]],Products[ID],Products[Pack (s)])*Crops[[#This Row],[Custom Yield Per Bed]]/3600</f>
        <v>0.5</v>
      </c>
      <c r="CY20" s="37">
        <f>_xlfn.XLOOKUP(Crops[[#This Row],[Crop]]&amp;Crops[[#This Row],[Product]]&amp;Crops[[#This Row],[Unit]],Products[ID],Products[Clean (s)])*Crops[[#This Row],[Custom Yield Per Bed]]/3600</f>
        <v>0</v>
      </c>
      <c r="CZ20" s="37">
        <f>_xlfn.XLOOKUP(Crops[[#This Row],[Crop]]&amp;Crops[[#This Row],[Product]]&amp;Crops[[#This Row],[Unit]],Products[ID],Products[Rehandle (s)])*Crops[[#This Row],[Custom Yield Per Bed]]/3600</f>
        <v>0</v>
      </c>
      <c r="DA20" s="37">
        <f>_xlfn.XLOOKUP(Crops[[#This Row],[Crop]]&amp;Crops[[#This Row],[Product]]&amp;Crops[[#This Row],[Unit]],Products[ID],Products[Market Transport (s)])*Crops[[#This Row],[Custom Yield Per Bed]]/3600</f>
        <v>0.9375</v>
      </c>
      <c r="DC20" s="37">
        <f>Crops[[#This Row],[Direct Revenue Per Bed2]]</f>
        <v>600</v>
      </c>
      <c r="DD20" s="173">
        <f>_xlfn.AGGREGATE(9,6,Crops[[#This Row],[Bed Prep]:[Remove Crop Residue]])</f>
        <v>9.7316266741071438</v>
      </c>
      <c r="DE20" s="173">
        <f>_xlfn.AGGREGATE(9,6,Crops[[#This Row],[Bed Prep]:[Remove Crop Residue]])-0.75*Crops[[#This Row],[Market &amp; Sell]]</f>
        <v>9.2816266741071445</v>
      </c>
      <c r="DF20" s="36">
        <f>Crops[[#This Row],[Direct Revenue Per Bed2]]/Crops[[#This Row],[Direct Time]]</f>
        <v>61.654646247005644</v>
      </c>
      <c r="DG20" s="36">
        <f>_xlfn.XLOOKUP(Crops[[#This Row],[ProductIndex]],Products[ID],Products[Packaging Cost])*(Crops[[#This Row],[Custom Yield Per Bed]]/_xlfn.XLOOKUP(Crops[[#This Row],[ProductIndex]],Products[ID],Products[Units Per Pack]))</f>
        <v>57</v>
      </c>
      <c r="DH20" s="36"/>
      <c r="DI20" s="36"/>
      <c r="DJ20" s="36"/>
      <c r="DK20" s="36"/>
      <c r="DL20" s="36"/>
      <c r="DM20" s="33">
        <f>IFERROR(Crops[[#This Row],[Custom Yield Per Bed]]*Crops[[#This Row],[Direct Price]],"")</f>
        <v>600</v>
      </c>
      <c r="DN20" s="36">
        <f>Crops[[#This Row],[Direct Time]]*LaborRate</f>
        <v>243.29066685267858</v>
      </c>
      <c r="DO20" s="36">
        <f>SUM(Crops[[#This Row],[Irrigation Cost]])</f>
        <v>0</v>
      </c>
      <c r="DP20" s="36">
        <f>Crops[[#This Row],[Direct Labor Cost]]+Crops[[#This Row],[Direct Non-Labor Cost]]</f>
        <v>243.29066685267858</v>
      </c>
      <c r="DQ20" s="36">
        <f>Crops[[#This Row],[Direct Revenue Per Bed2]]-Crops[[#This Row],[Direct Total Cost]]</f>
        <v>356.70933314732144</v>
      </c>
      <c r="DR20" s="36">
        <f>Crops[[#This Row],[Direct Profit]]*BedsPerAcre</f>
        <v>57073.493303571435</v>
      </c>
      <c r="DS20" s="36">
        <f>Crops[[#This Row],[Direct Profit]]*BedsPerAcre*GrowingDays/Crops[[#This Row],[Days In Field]]</f>
        <v>98781.046102335182</v>
      </c>
      <c r="DT20" s="36">
        <f>Crops[[#This Row],[Direct Profit]]/MIN(Crops[[#This Row],[Days In Field]],GrowingDays)</f>
        <v>3.4298974341088599</v>
      </c>
      <c r="DU20" s="36">
        <f>Crops[[#This Row],[Direct Time]] * BedsPerAcre</f>
        <v>1557.0602678571431</v>
      </c>
      <c r="DV20" s="36">
        <f>(Crops[[#This Row],[Direct Revenue Per Bed2]]-Crops[[#This Row],[Direct Non-Labor Cost]])/Crops[[#This Row],[Direct Time]]</f>
        <v>61.654646247005644</v>
      </c>
      <c r="DW20" s="33">
        <f>IFERROR(Crops[[#This Row],[Custom Yield Per Bed]]*Crops[[#This Row],[Rough Wholesale Price]],"")</f>
        <v>360</v>
      </c>
      <c r="DX20" s="36">
        <f>Crops[[#This Row],[Wholesale Time]]*LaborRate</f>
        <v>232.04066685267861</v>
      </c>
      <c r="DY20" s="36">
        <f>SUM(Crops[[#This Row],[Packaging Costs]:[Irrigation Cost]])</f>
        <v>57</v>
      </c>
      <c r="DZ20" s="36">
        <f>Crops[[#This Row],[Wholesale Labor Cost]]+Crops[[#This Row],[Wholesale Non-Labor Cost]]</f>
        <v>289.04066685267861</v>
      </c>
      <c r="EA20" s="36">
        <f>Crops[[#This Row],[Wholesale Revenue Per Bed]]-Crops[[#This Row],[Wholesale Total Cost]]</f>
        <v>70.959333147321388</v>
      </c>
      <c r="EB20" s="36">
        <f>Crops[[#This Row],[Wholesale Profit]]*BedsPerAcre</f>
        <v>11353.493303571422</v>
      </c>
      <c r="EC20" s="36">
        <f>Crops[[#This Row],[Wholesale Profit]]*BedsPerAcre*GrowingDays/Crops[[#This Row],[Days In Field]]</f>
        <v>19650.276871565922</v>
      </c>
      <c r="ED20" s="36">
        <f>Crops[[#This Row],[Wholesale Time]] * BedsPerAcre</f>
        <v>1485.0602678571431</v>
      </c>
      <c r="EE20" s="36">
        <f>Crops[[#This Row],[Wholesale Profit]]/MIN(Crops[[#This Row],[Days In Field]],GrowingDays)</f>
        <v>0.68230128026270565</v>
      </c>
      <c r="EF20" s="36">
        <f>(Crops[[#This Row],[Wholesale Revenue Per Bed]]-Crops[[#This Row],[Wholesale Non-Labor Cost]])/Crops[[#This Row],[Direct Time]]</f>
        <v>31.135596354737849</v>
      </c>
      <c r="EG20" s="174">
        <f>Crops[[#This Row],[Packaging Costs]]/Crops[[#This Row],[Wholesale Revenue Per Bed]]</f>
        <v>0.15833333333333333</v>
      </c>
      <c r="EH20" s="36" t="str">
        <f>Crops[[#This Row],[Crop]]&amp;Crops[[#This Row],[Product]]&amp;Crops[[#This Row],[Unit]]</f>
        <v>BasilMature StemStem</v>
      </c>
      <c r="EI20" s="36" t="b">
        <f>_xlfn.XLOOKUP(Crops[[#This Row],[ProductIndex]],Products[ID],Products[Target])</f>
        <v>1</v>
      </c>
      <c r="EJ20" s="36">
        <f>Crops[[#This Row],[Custom Yield Per Bed]]</f>
        <v>600</v>
      </c>
      <c r="EK20" s="210">
        <f>Crops[[#This Row],[Units Per Harvest]]/Crops[[#This Row],[Days Between Harvest]]*7</f>
        <v>66.666666666666671</v>
      </c>
      <c r="EL20" s="210" t="e">
        <f>Crops[[#This Row],[Custom Yield Per Bed]]/_xlfn.XLOOKUP(Crops[[#This Row],[ProductIndex]],Products[ID],Products[CSA Portion])</f>
        <v>#DIV/0!</v>
      </c>
      <c r="EM20" s="210" t="e">
        <f>Crops[[#This Row],[Units Per Harvest]]/Crops[[#This Row],[Days Between Harvest]]*7/_xlfn.XLOOKUP(Crops[[#This Row],[ProductIndex]],Products[ID],Products[CSA Portion])</f>
        <v>#DIV/0!</v>
      </c>
      <c r="EN20" s="210" t="e">
        <f>Crops[[#This Row],[CSA Portions Per Week]]/CSAMembers</f>
        <v>#DIV/0!</v>
      </c>
      <c r="EO20" s="210"/>
      <c r="EP20" s="210"/>
      <c r="EQ20" s="36"/>
      <c r="ER20" s="36">
        <f>Crops[[#This Row],[Harvests]]*Crops[[#This Row],[Days Between Harvest]]/7</f>
        <v>9</v>
      </c>
      <c r="ES20" s="208">
        <f>_xlfn.XLOOKUP(Crops[[#This Row],[ProductIndex]],Products[ID],Products[CSA Need])</f>
        <v>0</v>
      </c>
      <c r="ET20" s="208">
        <f>_xlfn.XLOOKUP(Crops[[#This Row],[ProductIndex]],Products[ID],Products[CSA Times])</f>
        <v>0</v>
      </c>
      <c r="EU20" s="208" t="e">
        <f>Crops[[#This Row],[Custom Yield Per Bed]]/(Crops[[#This Row],[CSA Need]]*(_xlfn.XLOOKUP(Crops[[#This Row],[ProductIndex]],Products[ID],Products[CSA Portion])*CSAMembers))</f>
        <v>#DIV/0!</v>
      </c>
      <c r="EV20" s="208">
        <f>_xlfn.XLOOKUP(Crops[[#This Row],[ProductIndex]],Products[ID],Products[CSA Portion])*CSAMembers*Crops[[#This Row],[CSA Need]]/Crops[[#This Row],[Custom Yield Per Bed]]</f>
        <v>0</v>
      </c>
      <c r="EW20" s="208">
        <f>IFERROR(Crops[[#This Row],[Days In Field]]*Crops[[#This Row],[CSA Beds]],"")</f>
        <v>0</v>
      </c>
      <c r="EX20" s="208" t="e">
        <f>Crops[[#This Row],[CSA Bed Days]]*#REF!</f>
        <v>#REF!</v>
      </c>
      <c r="EY20" t="s">
        <v>312</v>
      </c>
    </row>
    <row r="21" spans="1:155" ht="15" customHeight="1">
      <c r="A21"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Basil (Tulsi Reseed) - Mature Leaf 1X | Field DS SpSu</v>
      </c>
      <c r="B21" s="27"/>
      <c r="C21" s="1" t="b">
        <v>0</v>
      </c>
      <c r="D21" s="1" t="s">
        <v>2581</v>
      </c>
      <c r="E21" s="1" t="b">
        <v>0</v>
      </c>
      <c r="F21" s="1" t="b">
        <f>IFERROR(IF(ISNUMBER(MATCH(Crops[[#This Row],[Identifier]],BedPlan[Crop], 0)), TRUE, FALSE), FALSE)</f>
        <v>0</v>
      </c>
      <c r="G21" s="1" t="b">
        <f>IFERROR(IF(ISNUMBER(MATCH(Crops[[#This Row],[Identifier]],BedPlan[Crop], 0)), TRUE, FALSE), FALSE)</f>
        <v>0</v>
      </c>
      <c r="H21" s="1"/>
      <c r="I21" t="s">
        <v>43</v>
      </c>
      <c r="J21" t="s">
        <v>1527</v>
      </c>
      <c r="K21" t="s">
        <v>179</v>
      </c>
      <c r="M21" t="s">
        <v>442</v>
      </c>
      <c r="N21" t="str">
        <f>Crops[[#This Row],[Crop]]</f>
        <v>Basil</v>
      </c>
      <c r="O21" t="s">
        <v>210</v>
      </c>
      <c r="P21" t="str">
        <f>IF(OR(Crops[[#This Row],[Days in Cells]]="",Crops[[#This Row],[Days in Cells]]=0), "DS","TP")</f>
        <v>DS</v>
      </c>
      <c r="Q21" t="s">
        <v>144</v>
      </c>
      <c r="R21" t="s">
        <v>144</v>
      </c>
      <c r="V21" t="str">
        <f xml:space="preserve"> IF(Crops[[#This Row],[Sp]], "Sp", "") &amp; IF(Crops[[#This Row],[Su]], "Su", "") &amp; IF(Crops[[#This Row],[Fa]], "Fa", "") &amp; IF(Crops[[#This Row],[Wi]], "Wi", "") &amp; IF(Crops[[#This Row],[OW]], "Ow","")</f>
        <v>SpSu</v>
      </c>
      <c r="W21" t="s">
        <v>144</v>
      </c>
      <c r="X21">
        <v>4</v>
      </c>
      <c r="Y21">
        <v>12</v>
      </c>
      <c r="AB21" t="b">
        <v>0</v>
      </c>
      <c r="AC21">
        <v>2</v>
      </c>
      <c r="AD21" s="32">
        <f>IFERROR(12/Crops[[#This Row],[Spacing]]*Crops[[#This Row],[Rows]]*BedLength,"")</f>
        <v>200</v>
      </c>
      <c r="AE21">
        <v>1</v>
      </c>
      <c r="AI21" s="33">
        <f>IFERROR(Crops[[#This Row],[Plantings Per Bed]]*Crops[[#This Row],[Seeds Per Planting]]*Crops[[#This Row],[Safety Factor]]*Crops[[#This Row],[Seeding Factor]],"")</f>
        <v>0</v>
      </c>
      <c r="AL21">
        <f>_xlfn.FLOOR.MATH(IFERROR(AVERAGE(Crops[[#This Row],[DTG Lower]:[DTG Upper]]),0))</f>
        <v>0</v>
      </c>
      <c r="AM21">
        <f>SUM(Crops[[#This Row],[Tray 1 Days]],Crops[[#This Row],[Tray 2 Days]],Crops[[#This Row],[Tray 3 Days]])</f>
        <v>0</v>
      </c>
      <c r="AN21">
        <v>30</v>
      </c>
      <c r="AO21">
        <v>50</v>
      </c>
      <c r="AP21">
        <v>60</v>
      </c>
      <c r="AQ21">
        <f>IFERROR(_xlfn.FLOOR.MATH(AVERAGE(Crops[[#This Row],[DTM Lower]:[DTM Upper]])),"")</f>
        <v>55</v>
      </c>
      <c r="AR21" cm="1">
        <f t="array" ref="AR21">_xlfn.SWITCH(Crops[[#This Row],[Normal Method]],"DS",Crops[[#This Row],[Days to Germination]]+Crops[[#This Row],[DTM]] + IF(Crops[[#This Row],[Days in Cells]]&gt;0,15,0), "TP",Crops[[#This Row],[DTM]]+Crops[[#This Row],[Days in Cells]] + IF(Crops[[#This Row],[Days in Cells]]&lt;=0,20,0), "X", Crops[[#This Row],[DTM]])</f>
        <v>55</v>
      </c>
      <c r="AS21" t="s">
        <v>347</v>
      </c>
      <c r="AT21">
        <f>(Crops[[#This Row],[Harvests]]-1)*Crops[[#This Row],[Days Between Harvest]]+7</f>
        <v>112</v>
      </c>
      <c r="AU21">
        <f>Crops[[#This Row],[STH]]-Crops[[#This Row],[Days in Cells]]+Crops[[#This Row],[Harvest window]]</f>
        <v>167</v>
      </c>
      <c r="AW21">
        <v>128</v>
      </c>
      <c r="AZ21" t="str">
        <f>IFERROR(IF(Crops[[#This Row],[Tray 1 Days]]=0,"",Crops[[#This Row],[Plantings Per Bed]]/Crops[[#This Row],[Tray 1 Size]]*Crops[[#This Row],[Safety Factor]]),"")</f>
        <v/>
      </c>
      <c r="BC21" t="str">
        <f>IFERROR(IF(Crops[[#This Row],[Tray 2 Days]]=0,"",Crops[[#This Row],[Plantings Per Bed]]/Crops[[#This Row],[Tray 2 Size]]*Crops[[#This Row],[Safety Factor]]),"")</f>
        <v/>
      </c>
      <c r="BE21" s="32" t="str">
        <f>IF(NOT(ISBLANK(Crops[[#This Row],[Tray 3 Size]])), Crops[[#This Row],[Days in Cells Old]]-SUM(Crops[[#This Row],[Tray 1 Days]],Crops[[#This Row],[Tray 2 Days]]), "")</f>
        <v/>
      </c>
      <c r="BF21" t="str">
        <f>IFERROR(IF(Crops[[#This Row],[Tray 3 Days]]=0,"",Crops[[#This Row],[Plantings Per Bed]]/Crops[[#This Row],[Tray 3 Size]]*Crops[[#This Row],[Safety Factor]]),"")</f>
        <v/>
      </c>
      <c r="BG21" s="33">
        <f>Crops[[#This Row],[Plantings Per Bed]]/2</f>
        <v>100</v>
      </c>
      <c r="BH21" s="33">
        <v>6</v>
      </c>
      <c r="BI21" s="33">
        <v>21</v>
      </c>
      <c r="BJ21" s="33">
        <f>_xlfn.XLOOKUP(Crops[[#This Row],[ProductIndex]],Products[ID],Products[Holding Period])</f>
        <v>2</v>
      </c>
      <c r="BK21" s="33"/>
      <c r="BL21" s="33">
        <f>Crops[[#This Row],[Units Per Harvest]]*Crops[[#This Row],[Harvests]]</f>
        <v>600</v>
      </c>
      <c r="BM21" s="35">
        <v>2.5</v>
      </c>
      <c r="BN21" s="35">
        <f>Crops[[#This Row],[Direct Price]]*0.6</f>
        <v>1.5</v>
      </c>
      <c r="BO21" s="35"/>
      <c r="BP21" t="s">
        <v>215</v>
      </c>
      <c r="BQ21">
        <f>Crops[[#This Row],[Custom Yield Per Bed]]*Crops[[#This Row],[Direct Price]]</f>
        <v>1500</v>
      </c>
      <c r="BR21" t="b">
        <v>1</v>
      </c>
      <c r="BS21" t="b">
        <f>Crops[[#This Row],[Harvests]]&gt;1</f>
        <v>1</v>
      </c>
      <c r="BT21" s="36">
        <f>IFERROR(Crops[[#This Row],[Direct Revenue Per Bed]]/Crops[[#This Row],[Days In Field]],-1)</f>
        <v>8.9820359281437128</v>
      </c>
      <c r="BU21" s="33">
        <f>IFERROR(Crops[[#This Row],[Direct Revenue Per Bed Day]]*GrowingDays*BedsPerAcre,"")</f>
        <v>258682.63473053894</v>
      </c>
      <c r="BV21" s="38">
        <f>LastFrostDate-5*Crops[[#This Row],[Sewing Rel Last Frost]]</f>
        <v>45788</v>
      </c>
      <c r="BW21" s="38">
        <f>Crops[[#This Row],[Target Sewing Date]]+Crops[[#This Row],[Days in Cells]]</f>
        <v>45788</v>
      </c>
      <c r="BX21" s="38">
        <f>Crops[[#This Row],[Target Sewing Date]]+Crops[[#This Row],[STH]]</f>
        <v>45843</v>
      </c>
      <c r="BY21" s="38">
        <f>Crops[[#This Row],[Target Harvest Data]]+Crops[[#This Row],[Harvest window]]</f>
        <v>45955</v>
      </c>
      <c r="BZ21">
        <v>-8</v>
      </c>
      <c r="CA21" t="s">
        <v>377</v>
      </c>
      <c r="CB21">
        <f>1</f>
        <v>1</v>
      </c>
      <c r="CC21">
        <f>IF(Crops[[#This Row],[Transplanting]]&gt;0, 2, 3)*BedLength/StandardBedLength</f>
        <v>1.5</v>
      </c>
      <c r="CD21" s="173">
        <f>IF(Crops[[#This Row],[Days in Cells]]&lt;=0,0,Crops[[#This Row],[Plantings Per Bed]]/StartsPerHourSeeding+Crops[[#This Row],[Tray 1 Count]]*5/60)</f>
        <v>0</v>
      </c>
      <c r="CE21" s="173">
        <f>IF(ISBLANK(Crops[[#This Row],[Tray 2 Days]]),0,Crops[[#This Row],[Plantings Per Bed]]/UpPottingPerHour)+IF(Crops[[#This Row],[Tray 3 Days]]="",0,Crops[[#This Row],[Plantings Per Bed]]/UpPottingPerHour)</f>
        <v>0</v>
      </c>
      <c r="CF21" s="173">
        <f>IFERROR(Crops[[#This Row],[Tray 1 Count]]/HomeStartFlatIrrigationPerHour,0)*Crops[[#This Row],[Days in Cells]]/DaysBetweenStartIrrigation</f>
        <v>0</v>
      </c>
      <c r="CG21" s="173">
        <f>0.5/16*MAX(Crops[[#This Row],[Tray 1 Count]],Crops[[#This Row],[Tray 2 Count]],Crops[[#This Row],[Tray 3 Count]])</f>
        <v>0</v>
      </c>
      <c r="CH21" s="173">
        <f>IF(Crops[[#This Row],[Days in Cells]]&gt;0,IF(IF(Crops[[#This Row],[Tray 3 Size]]&gt;0,Crops[[#This Row],[Tray 3 Size]],IF(Crops[[#This Row],[Tray 2 Size]]&gt;0,Crops[[#This Row],[Tray 2 Size]],Crops[[#This Row],[Tray 1 Size]]))&lt;=18,LargeTransplantTime,SmallTransplantTime)*Crops[[#This Row],[Plantings Per Bed]],0)</f>
        <v>0</v>
      </c>
      <c r="CI21" s="173"/>
      <c r="CJ21" s="173">
        <f>_xlfn.XLOOKUP(Crops[[#This Row],[Trellis Type]],TrellisMethods[Trellis Type],TrellisMethods[Hours],0,0)</f>
        <v>0</v>
      </c>
      <c r="CK21">
        <f>IF(Crops[[#This Row],[Days in Cells]]&lt;=0,Crops[[#This Row],[Rows]]*1/10,0)*BedLength/50</f>
        <v>0.4</v>
      </c>
      <c r="CL21" cm="1">
        <f t="array" ref="CL21">_xlfn.SWITCH(Crops[[#This Row],[Irrigation]],"DR", 0.5, "OH", 0.25,0)*BedLength/50</f>
        <v>0</v>
      </c>
      <c r="CM21">
        <f>IF(OR(ISBLANK(Crops[[#This Row],[Row Cover]]),Crops[[#This Row],[Row Cover]]="None"),0,1)*BedLength/50</f>
        <v>0</v>
      </c>
      <c r="CN21" s="173">
        <f>HoursPerWeedingPass*Crops[[#This Row],[Days In Field]]/14*Crops[[#This Row],[Rows]]+1*BedLength/50</f>
        <v>8.9523809523809526</v>
      </c>
      <c r="CO21" s="49"/>
      <c r="CQ21" s="37">
        <f>_xlfn.XLOOKUP(Crops[[#This Row],[Crop]]&amp;Crops[[#This Row],[Product]]&amp;Crops[[#This Row],[Unit]],Products[ID],Products[Marketing (hr)])*Crops[[#This Row],[Direct Revenue Per Bed]]/2000</f>
        <v>1.5</v>
      </c>
      <c r="CR21" s="37">
        <f>_xlfn.XLOOKUP(Crops[[#This Row],[Crop]]&amp;Crops[[#This Row],[Product]]&amp;Crops[[#This Row],[Unit]],Products[ID],Products[Harvest (s)])*Crops[[#This Row],[Custom Yield Per Bed]]/3600</f>
        <v>6.25</v>
      </c>
      <c r="CS21" s="37">
        <f>_xlfn.XLOOKUP(Crops[[#This Row],[Crop]]&amp;Crops[[#This Row],[Product]]&amp;Crops[[#This Row],[Unit]],Products[ID],Products[Bunch (s)])*Crops[[#This Row],[Custom Yield Per Bed]]/3600</f>
        <v>1.6666666666666667</v>
      </c>
      <c r="CT21" s="37">
        <f>_xlfn.XLOOKUP(Crops[[#This Row],[Crop]]&amp;Crops[[#This Row],[Product]]&amp;Crops[[#This Row],[Unit]],Products[ID],Products[Haul (s)])*Crops[[#This Row],[Custom Yield Per Bed]]/3600</f>
        <v>0.375</v>
      </c>
      <c r="CU21" s="37">
        <f>_xlfn.XLOOKUP(Crops[[#This Row],[Crop]]&amp;Crops[[#This Row],[Product]]&amp;Crops[[#This Row],[Unit]],Products[ID],Products[Wash (s)])*Crops[[#This Row],[Custom Yield Per Bed]]/3600</f>
        <v>0</v>
      </c>
      <c r="CV21" s="37">
        <f>_xlfn.XLOOKUP(Crops[[#This Row],[Crop]]&amp;Crops[[#This Row],[Product]]&amp;Crops[[#This Row],[Unit]],Products[ID],Products[Condition (s)])*Crops[[#This Row],[Custom Yield Per Bed]]/3600</f>
        <v>0</v>
      </c>
      <c r="CW21" s="37">
        <f>_xlfn.XLOOKUP(Crops[[#This Row],[Crop]]&amp;Crops[[#This Row],[Product]]&amp;Crops[[#This Row],[Unit]],Products[ID],Products[Trim (s)])*Crops[[#This Row],[Custom Yield Per Bed]]/3600</f>
        <v>0</v>
      </c>
      <c r="CX21" s="37">
        <f>_xlfn.XLOOKUP(Crops[[#This Row],[Crop]]&amp;Crops[[#This Row],[Product]]&amp;Crops[[#This Row],[Unit]],Products[ID],Products[Pack (s)])*Crops[[#This Row],[Custom Yield Per Bed]]/3600</f>
        <v>0.5</v>
      </c>
      <c r="CY21" s="37">
        <f>_xlfn.XLOOKUP(Crops[[#This Row],[Crop]]&amp;Crops[[#This Row],[Product]]&amp;Crops[[#This Row],[Unit]],Products[ID],Products[Clean (s)])*Crops[[#This Row],[Custom Yield Per Bed]]/3600</f>
        <v>0</v>
      </c>
      <c r="CZ21" s="37">
        <f>_xlfn.XLOOKUP(Crops[[#This Row],[Crop]]&amp;Crops[[#This Row],[Product]]&amp;Crops[[#This Row],[Unit]],Products[ID],Products[Rehandle (s)])*Crops[[#This Row],[Custom Yield Per Bed]]/3600</f>
        <v>0</v>
      </c>
      <c r="DA21" s="37">
        <f>_xlfn.XLOOKUP(Crops[[#This Row],[Crop]]&amp;Crops[[#This Row],[Product]]&amp;Crops[[#This Row],[Unit]],Products[ID],Products[Market Transport (s)])*Crops[[#This Row],[Custom Yield Per Bed]]/3600</f>
        <v>0.9375</v>
      </c>
      <c r="DC21" s="37">
        <f>Crops[[#This Row],[Direct Revenue Per Bed2]]</f>
        <v>1500</v>
      </c>
      <c r="DD21" s="173">
        <f>_xlfn.AGGREGATE(9,6,Crops[[#This Row],[Bed Prep]:[Remove Crop Residue]])</f>
        <v>22.081547619047623</v>
      </c>
      <c r="DE21" s="173">
        <f>_xlfn.AGGREGATE(9,6,Crops[[#This Row],[Bed Prep]:[Remove Crop Residue]])-0.75*Crops[[#This Row],[Market &amp; Sell]]</f>
        <v>20.956547619047623</v>
      </c>
      <c r="DF21" s="36">
        <f>Crops[[#This Row],[Direct Revenue Per Bed2]]/Crops[[#This Row],[Direct Time]]</f>
        <v>67.930021295522536</v>
      </c>
      <c r="DG21" s="36">
        <f>_xlfn.XLOOKUP(Crops[[#This Row],[ProductIndex]],Products[ID],Products[Packaging Cost])*(Crops[[#This Row],[Custom Yield Per Bed]]/_xlfn.XLOOKUP(Crops[[#This Row],[ProductIndex]],Products[ID],Products[Units Per Pack]))</f>
        <v>57</v>
      </c>
      <c r="DH21" s="36"/>
      <c r="DI21" s="36"/>
      <c r="DJ21" s="36"/>
      <c r="DK21" s="36"/>
      <c r="DL21" s="36"/>
      <c r="DM21" s="33">
        <f>IFERROR(Crops[[#This Row],[Custom Yield Per Bed]]*Crops[[#This Row],[Direct Price]],"")</f>
        <v>1500</v>
      </c>
      <c r="DN21" s="36">
        <f>Crops[[#This Row],[Direct Time]]*LaborRate</f>
        <v>552.0386904761906</v>
      </c>
      <c r="DO21" s="36">
        <f>SUM(Crops[[#This Row],[Irrigation Cost]])</f>
        <v>0</v>
      </c>
      <c r="DP21" s="36">
        <f>Crops[[#This Row],[Direct Labor Cost]]+Crops[[#This Row],[Direct Non-Labor Cost]]</f>
        <v>552.0386904761906</v>
      </c>
      <c r="DQ21" s="36">
        <f>Crops[[#This Row],[Direct Revenue Per Bed2]]-Crops[[#This Row],[Direct Total Cost]]</f>
        <v>947.9613095238094</v>
      </c>
      <c r="DR21" s="36">
        <f>Crops[[#This Row],[Direct Profit]]*BedsPerAcre</f>
        <v>151673.8095238095</v>
      </c>
      <c r="DS21" s="36">
        <f>Crops[[#This Row],[Direct Profit]]*BedsPerAcre*GrowingDays/Crops[[#This Row],[Days In Field]]</f>
        <v>163480.75278015394</v>
      </c>
      <c r="DT21" s="36">
        <f>Crops[[#This Row],[Direct Profit]]/MIN(Crops[[#This Row],[Days In Field]],GrowingDays)</f>
        <v>5.6764150270886793</v>
      </c>
      <c r="DU21" s="33">
        <f>Crops[[#This Row],[Direct Time]] * BedsPerAcre</f>
        <v>3533.0476190476197</v>
      </c>
      <c r="DV21" s="36">
        <f>(Crops[[#This Row],[Direct Revenue Per Bed2]]-Crops[[#This Row],[Direct Non-Labor Cost]])/Crops[[#This Row],[Direct Time]]</f>
        <v>67.930021295522536</v>
      </c>
      <c r="DW21" s="33">
        <f>IFERROR(Crops[[#This Row],[Custom Yield Per Bed]]*Crops[[#This Row],[Rough Wholesale Price]],"")</f>
        <v>900</v>
      </c>
      <c r="DX21" s="36">
        <f>Crops[[#This Row],[Wholesale Time]]*LaborRate</f>
        <v>523.9136904761906</v>
      </c>
      <c r="DY21" s="36">
        <f>SUM(Crops[[#This Row],[Packaging Costs]:[Irrigation Cost]])</f>
        <v>57</v>
      </c>
      <c r="DZ21" s="36">
        <f>Crops[[#This Row],[Wholesale Labor Cost]]+Crops[[#This Row],[Wholesale Non-Labor Cost]]</f>
        <v>580.9136904761906</v>
      </c>
      <c r="EA21" s="36">
        <f>Crops[[#This Row],[Wholesale Revenue Per Bed]]-Crops[[#This Row],[Wholesale Total Cost]]</f>
        <v>319.0863095238094</v>
      </c>
      <c r="EB21" s="36">
        <f>Crops[[#This Row],[Wholesale Profit]]*BedsPerAcre</f>
        <v>51053.809523809505</v>
      </c>
      <c r="EC21" s="36">
        <f>Crops[[#This Row],[Wholesale Profit]]*BedsPerAcre*GrowingDays/Crops[[#This Row],[Days In Field]]</f>
        <v>55028.058169375516</v>
      </c>
      <c r="ED21" s="33">
        <f>Crops[[#This Row],[Wholesale Time]] * BedsPerAcre</f>
        <v>3353.0476190476197</v>
      </c>
      <c r="EE21" s="221">
        <f>Crops[[#This Row],[Wholesale Profit]]/MIN(Crops[[#This Row],[Days In Field]],GrowingDays)</f>
        <v>1.9106964642144275</v>
      </c>
      <c r="EF21" s="36">
        <f>(Crops[[#This Row],[Wholesale Revenue Per Bed]]-Crops[[#This Row],[Wholesale Non-Labor Cost]])/Crops[[#This Row],[Direct Time]]</f>
        <v>38.176671968083667</v>
      </c>
      <c r="EG21" s="174">
        <f>Crops[[#This Row],[Packaging Costs]]/Crops[[#This Row],[Wholesale Revenue Per Bed]]</f>
        <v>6.3333333333333339E-2</v>
      </c>
      <c r="EH21" s="36" t="str">
        <f>Crops[[#This Row],[Crop]]&amp;Crops[[#This Row],[Product]]&amp;Crops[[#This Row],[Unit]]</f>
        <v>BasilMature LeafBunch</v>
      </c>
      <c r="EI21" s="36" t="b">
        <f>_xlfn.XLOOKUP(Crops[[#This Row],[ProductIndex]],Products[ID],Products[Target])</f>
        <v>1</v>
      </c>
      <c r="EJ21" s="36">
        <f>Crops[[#This Row],[Custom Yield Per Bed]]</f>
        <v>600</v>
      </c>
      <c r="EK21" s="210">
        <f>Crops[[#This Row],[Units Per Harvest]]/Crops[[#This Row],[Days Between Harvest]]*7</f>
        <v>33.333333333333336</v>
      </c>
      <c r="EL21" s="210">
        <f>Crops[[#This Row],[Custom Yield Per Bed]]/_xlfn.XLOOKUP(Crops[[#This Row],[ProductIndex]],Products[ID],Products[CSA Portion])</f>
        <v>600</v>
      </c>
      <c r="EM21" s="210">
        <f>Crops[[#This Row],[Units Per Harvest]]/Crops[[#This Row],[Days Between Harvest]]*7/_xlfn.XLOOKUP(Crops[[#This Row],[ProductIndex]],Products[ID],Products[CSA Portion])</f>
        <v>33.333333333333336</v>
      </c>
      <c r="EN21" s="210">
        <f>Crops[[#This Row],[CSA Portions Per Week]]/CSAMembers</f>
        <v>0.66666666666666674</v>
      </c>
      <c r="EO21" s="210"/>
      <c r="EP21" s="210"/>
      <c r="EQ21" s="210"/>
      <c r="ER21" s="210">
        <f>Crops[[#This Row],[Harvests]]*Crops[[#This Row],[Days Between Harvest]]/7</f>
        <v>18</v>
      </c>
      <c r="ES21" s="217">
        <f>_xlfn.XLOOKUP(Crops[[#This Row],[ProductIndex]],Products[ID],Products[CSA Need])</f>
        <v>4</v>
      </c>
      <c r="ET21" s="217">
        <f>_xlfn.XLOOKUP(Crops[[#This Row],[ProductIndex]],Products[ID],Products[CSA Times])</f>
        <v>4</v>
      </c>
      <c r="EU21" s="208">
        <f>Crops[[#This Row],[Custom Yield Per Bed]]/(Crops[[#This Row],[CSA Need]]*(_xlfn.XLOOKUP(Crops[[#This Row],[ProductIndex]],Products[ID],Products[CSA Portion])*CSAMembers))</f>
        <v>3</v>
      </c>
      <c r="EV21" s="208">
        <f>_xlfn.XLOOKUP(Crops[[#This Row],[ProductIndex]],Products[ID],Products[CSA Portion])*CSAMembers*Crops[[#This Row],[CSA Need]]/Crops[[#This Row],[Custom Yield Per Bed]]</f>
        <v>0.33333333333333331</v>
      </c>
      <c r="EW21" s="208">
        <f>IFERROR(Crops[[#This Row],[Days In Field]]*Crops[[#This Row],[CSA Beds]],"")</f>
        <v>55.666666666666664</v>
      </c>
      <c r="EX21" s="208" t="e">
        <f>Crops[[#This Row],[CSA Bed Days]]*#REF!</f>
        <v>#REF!</v>
      </c>
      <c r="EY21" t="s">
        <v>1526</v>
      </c>
    </row>
    <row r="22" spans="1:155" ht="15" customHeight="1">
      <c r="A22"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Basil (Tulsi) - Mature Leaf 1X | Field TP </v>
      </c>
      <c r="B22" s="27"/>
      <c r="C22" s="1" t="b">
        <v>1</v>
      </c>
      <c r="D22" s="1" t="s">
        <v>2566</v>
      </c>
      <c r="E22" s="1" t="b">
        <v>0</v>
      </c>
      <c r="F22" s="1" t="b">
        <f>IFERROR(IF(ISNUMBER(MATCH(Crops[[#This Row],[Identifier]],BedPlan[Crop], 0)), TRUE, FALSE), FALSE)</f>
        <v>1</v>
      </c>
      <c r="G22" s="1" t="b">
        <f>IFERROR(IF(ISNUMBER(MATCH(Crops[[#This Row],[Identifier]],BedPlan[Crop], 0)), TRUE, FALSE), FALSE)</f>
        <v>1</v>
      </c>
      <c r="H22" s="1"/>
      <c r="I22" t="s">
        <v>43</v>
      </c>
      <c r="J22" t="s">
        <v>147</v>
      </c>
      <c r="K22" t="s">
        <v>179</v>
      </c>
      <c r="M22" t="s">
        <v>442</v>
      </c>
      <c r="N22" t="s">
        <v>148</v>
      </c>
      <c r="O22" t="s">
        <v>210</v>
      </c>
      <c r="P22" t="str">
        <f>IF(OR(Crops[[#This Row],[Days in Cells]]="",Crops[[#This Row],[Days in Cells]]=0), "DS","TP")</f>
        <v>TP</v>
      </c>
      <c r="V22" t="str">
        <f xml:space="preserve"> IF(Crops[[#This Row],[Sp]], "Sp", "") &amp; IF(Crops[[#This Row],[Su]], "Su", "") &amp; IF(Crops[[#This Row],[Fa]], "Fa", "") &amp; IF(Crops[[#This Row],[Wi]], "Wi", "") &amp; IF(Crops[[#This Row],[OW]], "Ow","")</f>
        <v/>
      </c>
      <c r="W22" t="s">
        <v>144</v>
      </c>
      <c r="X22">
        <v>2</v>
      </c>
      <c r="Y22">
        <v>12</v>
      </c>
      <c r="AA22" t="s">
        <v>474</v>
      </c>
      <c r="AB22" t="b">
        <v>0</v>
      </c>
      <c r="AC22">
        <v>2</v>
      </c>
      <c r="AD22" s="32">
        <f>IFERROR(12/Crops[[#This Row],[Spacing]]*Crops[[#This Row],[Rows]]*BedLength,"")</f>
        <v>100</v>
      </c>
      <c r="AE22">
        <v>1</v>
      </c>
      <c r="AG22">
        <f>IF(Crops[[#This Row],[Custom Safety Factor]]="",PlantingSafetyFactor,Crops[[#This Row],[Custom Safety Factor]])</f>
        <v>1.3</v>
      </c>
      <c r="AH22">
        <f>1</f>
        <v>1</v>
      </c>
      <c r="AI22" s="33">
        <f>IFERROR(Crops[[#This Row],[Plantings Per Bed]]*Crops[[#This Row],[Seeds Per Planting]]*Crops[[#This Row],[Safety Factor]]*Crops[[#This Row],[Seeding Factor]],"")</f>
        <v>130</v>
      </c>
      <c r="AJ22">
        <v>7</v>
      </c>
      <c r="AK22">
        <v>14</v>
      </c>
      <c r="AL22">
        <f>_xlfn.FLOOR.MATH(IFERROR(AVERAGE(Crops[[#This Row],[DTG Lower]:[DTG Upper]]),0))</f>
        <v>10</v>
      </c>
      <c r="AM22">
        <f>SUM(Crops[[#This Row],[Tray 1 Days]],Crops[[#This Row],[Tray 2 Days]],Crops[[#This Row],[Tray 3 Days]])</f>
        <v>40</v>
      </c>
      <c r="AN22" s="32">
        <v>40</v>
      </c>
      <c r="AO22">
        <v>75</v>
      </c>
      <c r="AP22">
        <v>75</v>
      </c>
      <c r="AQ22">
        <f>IFERROR(_xlfn.FLOOR.MATH(AVERAGE(Crops[[#This Row],[DTM Lower]:[DTM Upper]])),"")</f>
        <v>75</v>
      </c>
      <c r="AR22" cm="1">
        <f t="array" ref="AR22">_xlfn.SWITCH(Crops[[#This Row],[Normal Method]],"DS",Crops[[#This Row],[Days to Germination]]+Crops[[#This Row],[DTM]] + IF(Crops[[#This Row],[Days in Cells]]&gt;0,15,0), "TP",Crops[[#This Row],[DTM]]+Crops[[#This Row],[Days in Cells]] + IF(Crops[[#This Row],[Days in Cells]]&lt;=0,20,0), "X", Crops[[#This Row],[DTM]])</f>
        <v>100</v>
      </c>
      <c r="AS22" t="s">
        <v>338</v>
      </c>
      <c r="AT22">
        <f>(Crops[[#This Row],[Harvests]]-1)*Crops[[#This Row],[Days Between Harvest]]+7</f>
        <v>112</v>
      </c>
      <c r="AU22">
        <f>Crops[[#This Row],[STH]]-Crops[[#This Row],[Days in Cells]]+Crops[[#This Row],[Harvest window]]</f>
        <v>172</v>
      </c>
      <c r="AX22">
        <v>128</v>
      </c>
      <c r="AY22">
        <v>40</v>
      </c>
      <c r="AZ22" s="49">
        <f>IFERROR(IF(Crops[[#This Row],[Tray 1 Days]]=0,"",Crops[[#This Row],[Plantings Per Bed]]/Crops[[#This Row],[Tray 1 Size]]*Crops[[#This Row],[Safety Factor]]),"")</f>
        <v>1.015625</v>
      </c>
      <c r="BC22" t="str">
        <f>IFERROR(IF(Crops[[#This Row],[Tray 2 Days]]=0,"",Crops[[#This Row],[Plantings Per Bed]]/Crops[[#This Row],[Tray 2 Size]]*Crops[[#This Row],[Safety Factor]]),"")</f>
        <v/>
      </c>
      <c r="BE22" s="32" t="str">
        <f>IF(NOT(ISBLANK(Crops[[#This Row],[Tray 3 Size]])), Crops[[#This Row],[Days in Cells Old]]-SUM(Crops[[#This Row],[Tray 1 Days]],Crops[[#This Row],[Tray 2 Days]]), "")</f>
        <v/>
      </c>
      <c r="BF22" s="49" t="str">
        <f>IFERROR(IF(Crops[[#This Row],[Tray 3 Days]]=0,"",Crops[[#This Row],[Plantings Per Bed]]/Crops[[#This Row],[Tray 3 Size]]*Crops[[#This Row],[Safety Factor]]),"")</f>
        <v/>
      </c>
      <c r="BG22" s="33">
        <f>Crops[[#This Row],[Plantings Per Bed]]/4</f>
        <v>25</v>
      </c>
      <c r="BH22" s="33">
        <v>6</v>
      </c>
      <c r="BI22" s="33">
        <v>21</v>
      </c>
      <c r="BJ22" s="33" t="e">
        <f>_xlfn.XLOOKUP(Crops[[#This Row],[ProductIndex]],Products[ID],Products[Holding Period])</f>
        <v>#N/A</v>
      </c>
      <c r="BK22" s="33"/>
      <c r="BL22" s="33">
        <f>Crops[[#This Row],[Units Per Harvest]]*Crops[[#This Row],[Harvests]]</f>
        <v>150</v>
      </c>
      <c r="BM22" s="35">
        <v>7</v>
      </c>
      <c r="BN22" s="35">
        <f>Crops[[#This Row],[Direct Price]]*0.6</f>
        <v>4.2</v>
      </c>
      <c r="BO22" s="35"/>
      <c r="BP22" t="s">
        <v>383</v>
      </c>
      <c r="BQ22">
        <f>Crops[[#This Row],[Custom Yield Per Bed]]*Crops[[#This Row],[Direct Price]]</f>
        <v>1050</v>
      </c>
      <c r="BR22" t="b">
        <v>0</v>
      </c>
      <c r="BS22" t="b">
        <f>Crops[[#This Row],[Harvests]]&gt;1</f>
        <v>1</v>
      </c>
      <c r="BT22" s="36">
        <f>IFERROR(Crops[[#This Row],[Direct Revenue Per Bed]]/Crops[[#This Row],[Days In Field]],-1)</f>
        <v>6.1046511627906979</v>
      </c>
      <c r="BU22" s="33">
        <f>IFERROR(Crops[[#This Row],[Direct Revenue Per Bed Day]]*GrowingDays*BedsPerAcre,"")</f>
        <v>175813.95348837209</v>
      </c>
      <c r="BV22" s="38">
        <f>LastFrostDate-5*Crops[[#This Row],[Sewing Rel Last Frost]]</f>
        <v>45758</v>
      </c>
      <c r="BW22" s="38">
        <f>Crops[[#This Row],[Target Sewing Date]]+Crops[[#This Row],[Days in Cells]]</f>
        <v>45798</v>
      </c>
      <c r="BX22" s="38">
        <f>Crops[[#This Row],[Target Sewing Date]]+Crops[[#This Row],[STH]]</f>
        <v>45858</v>
      </c>
      <c r="BY22" s="38">
        <f>Crops[[#This Row],[Target Harvest Data]]+Crops[[#This Row],[Harvest window]]</f>
        <v>45970</v>
      </c>
      <c r="BZ22">
        <v>-2</v>
      </c>
      <c r="CA22" t="s">
        <v>377</v>
      </c>
      <c r="CB22">
        <f>1</f>
        <v>1</v>
      </c>
      <c r="CC22">
        <f>IF(Crops[[#This Row],[Transplanting]]&gt;0, 2, 3)*BedLength/StandardBedLength</f>
        <v>1</v>
      </c>
      <c r="CD22" s="173">
        <f>IF(Crops[[#This Row],[Days in Cells]]&lt;=0,0,Crops[[#This Row],[Plantings Per Bed]]/StartsPerHourSeeding+Crops[[#This Row],[Tray 1 Count]]*5/60)</f>
        <v>0.47526041666666669</v>
      </c>
      <c r="CE22" s="173">
        <f>IF(ISBLANK(Crops[[#This Row],[Tray 2 Days]]),0,Crops[[#This Row],[Plantings Per Bed]]/UpPottingPerHour)+IF(Crops[[#This Row],[Tray 3 Days]]="",0,Crops[[#This Row],[Plantings Per Bed]]/UpPottingPerHour)</f>
        <v>0</v>
      </c>
      <c r="CF22" s="173">
        <f>IFERROR(Crops[[#This Row],[Tray 1 Count]]/HomeStartFlatIrrigationPerHour,0)*Crops[[#This Row],[Days in Cells]]/DaysBetweenStartIrrigation</f>
        <v>0.16927083333333331</v>
      </c>
      <c r="CG22" s="173">
        <f>0.5/16*MAX(Crops[[#This Row],[Tray 1 Count]],Crops[[#This Row],[Tray 2 Count]],Crops[[#This Row],[Tray 3 Count]])</f>
        <v>3.173828125E-2</v>
      </c>
      <c r="CH22" s="173">
        <f>IF(Crops[[#This Row],[Days in Cells]]&gt;0,IF(IF(Crops[[#This Row],[Tray 3 Size]]&gt;0,Crops[[#This Row],[Tray 3 Size]],IF(Crops[[#This Row],[Tray 2 Size]]&gt;0,Crops[[#This Row],[Tray 2 Size]],Crops[[#This Row],[Tray 1 Size]]))&lt;=18,LargeTransplantTime,SmallTransplantTime)*Crops[[#This Row],[Plantings Per Bed]],0)</f>
        <v>0.5</v>
      </c>
      <c r="CI22" s="173"/>
      <c r="CJ22" s="173">
        <f>_xlfn.XLOOKUP(Crops[[#This Row],[Trellis Type]],TrellisMethods[Trellis Type],TrellisMethods[Hours],0,0)</f>
        <v>0</v>
      </c>
      <c r="CK22">
        <f>IF(Crops[[#This Row],[Days in Cells]]&lt;=0,Crops[[#This Row],[Rows]]*1/10,0)*BedLength/50</f>
        <v>0</v>
      </c>
      <c r="CL22" cm="1">
        <f t="array" ref="CL22">_xlfn.SWITCH(Crops[[#This Row],[Irrigation]],"DR", 0.5, "OH", 0.25,0)*BedLength/50</f>
        <v>0</v>
      </c>
      <c r="CM22">
        <f>IF(OR(ISBLANK(Crops[[#This Row],[Row Cover]]),Crops[[#This Row],[Row Cover]]="None"),0,1)*BedLength/50</f>
        <v>0</v>
      </c>
      <c r="CN22" s="173">
        <f>HoursPerWeedingPass*Crops[[#This Row],[Days In Field]]/14*Crops[[#This Row],[Rows]]+1*BedLength/50</f>
        <v>5.0952380952380949</v>
      </c>
      <c r="CQ22" s="37" t="e">
        <f>_xlfn.XLOOKUP(Crops[[#This Row],[Crop]]&amp;Crops[[#This Row],[Product]]&amp;Crops[[#This Row],[Unit]],Products[ID],Products[Marketing (hr)])*Crops[[#This Row],[Direct Revenue Per Bed]]/2000</f>
        <v>#N/A</v>
      </c>
      <c r="CR22" s="37" t="e">
        <f>_xlfn.XLOOKUP(Crops[[#This Row],[Crop]]&amp;Crops[[#This Row],[Product]]&amp;Crops[[#This Row],[Unit]],Products[ID],Products[Harvest (s)])*Crops[[#This Row],[Custom Yield Per Bed]]/3600</f>
        <v>#N/A</v>
      </c>
      <c r="CS22" s="37" t="e">
        <f>_xlfn.XLOOKUP(Crops[[#This Row],[Crop]]&amp;Crops[[#This Row],[Product]]&amp;Crops[[#This Row],[Unit]],Products[ID],Products[Bunch (s)])*Crops[[#This Row],[Custom Yield Per Bed]]/3600</f>
        <v>#N/A</v>
      </c>
      <c r="CT22" s="37" t="e">
        <f>_xlfn.XLOOKUP(Crops[[#This Row],[Crop]]&amp;Crops[[#This Row],[Product]]&amp;Crops[[#This Row],[Unit]],Products[ID],Products[Haul (s)])*Crops[[#This Row],[Custom Yield Per Bed]]/3600</f>
        <v>#N/A</v>
      </c>
      <c r="CU22" s="37" t="e">
        <f>_xlfn.XLOOKUP(Crops[[#This Row],[Crop]]&amp;Crops[[#This Row],[Product]]&amp;Crops[[#This Row],[Unit]],Products[ID],Products[Wash (s)])*Crops[[#This Row],[Custom Yield Per Bed]]/3600</f>
        <v>#N/A</v>
      </c>
      <c r="CV22" s="37" t="e">
        <f>_xlfn.XLOOKUP(Crops[[#This Row],[Crop]]&amp;Crops[[#This Row],[Product]]&amp;Crops[[#This Row],[Unit]],Products[ID],Products[Condition (s)])*Crops[[#This Row],[Custom Yield Per Bed]]/3600</f>
        <v>#N/A</v>
      </c>
      <c r="CW22" s="37" t="e">
        <f>_xlfn.XLOOKUP(Crops[[#This Row],[Crop]]&amp;Crops[[#This Row],[Product]]&amp;Crops[[#This Row],[Unit]],Products[ID],Products[Trim (s)])*Crops[[#This Row],[Custom Yield Per Bed]]/3600</f>
        <v>#N/A</v>
      </c>
      <c r="CX22" s="37" t="e">
        <f>_xlfn.XLOOKUP(Crops[[#This Row],[Crop]]&amp;Crops[[#This Row],[Product]]&amp;Crops[[#This Row],[Unit]],Products[ID],Products[Pack (s)])*Crops[[#This Row],[Custom Yield Per Bed]]/3600</f>
        <v>#N/A</v>
      </c>
      <c r="CY22" s="37" t="e">
        <f>_xlfn.XLOOKUP(Crops[[#This Row],[Crop]]&amp;Crops[[#This Row],[Product]]&amp;Crops[[#This Row],[Unit]],Products[ID],Products[Clean (s)])*Crops[[#This Row],[Custom Yield Per Bed]]/3600</f>
        <v>#N/A</v>
      </c>
      <c r="CZ22" s="37" t="e">
        <f>_xlfn.XLOOKUP(Crops[[#This Row],[Crop]]&amp;Crops[[#This Row],[Product]]&amp;Crops[[#This Row],[Unit]],Products[ID],Products[Rehandle (s)])*Crops[[#This Row],[Custom Yield Per Bed]]/3600</f>
        <v>#N/A</v>
      </c>
      <c r="DA22" s="37" t="e">
        <f>_xlfn.XLOOKUP(Crops[[#This Row],[Crop]]&amp;Crops[[#This Row],[Product]]&amp;Crops[[#This Row],[Unit]],Products[ID],Products[Market Transport (s)])*Crops[[#This Row],[Custom Yield Per Bed]]/3600</f>
        <v>#N/A</v>
      </c>
      <c r="DC22" s="37">
        <f>Crops[[#This Row],[Direct Revenue Per Bed2]]</f>
        <v>1050</v>
      </c>
      <c r="DD22" s="173">
        <f>_xlfn.AGGREGATE(9,6,Crops[[#This Row],[Bed Prep]:[Remove Crop Residue]])</f>
        <v>7.2715076264880949</v>
      </c>
      <c r="DE22" s="173" t="e">
        <f>_xlfn.AGGREGATE(9,6,Crops[[#This Row],[Bed Prep]:[Remove Crop Residue]])-0.75*Crops[[#This Row],[Market &amp; Sell]]</f>
        <v>#N/A</v>
      </c>
      <c r="DF22" s="36">
        <f>Crops[[#This Row],[Direct Revenue Per Bed2]]/Crops[[#This Row],[Direct Time]]</f>
        <v>144.39921594459173</v>
      </c>
      <c r="DG22" s="36" t="e">
        <f>_xlfn.XLOOKUP(Crops[[#This Row],[ProductIndex]],Products[ID],Products[Packaging Cost])*(Crops[[#This Row],[Custom Yield Per Bed]]/_xlfn.XLOOKUP(Crops[[#This Row],[ProductIndex]],Products[ID],Products[Units Per Pack]))</f>
        <v>#N/A</v>
      </c>
      <c r="DH22" s="36"/>
      <c r="DI22" s="36"/>
      <c r="DJ22" s="36"/>
      <c r="DK22" s="36"/>
      <c r="DL22" s="36"/>
      <c r="DM22" s="33">
        <f>IFERROR(Crops[[#This Row],[Custom Yield Per Bed]]*Crops[[#This Row],[Direct Price]],"")</f>
        <v>1050</v>
      </c>
      <c r="DN22" s="36">
        <f>Crops[[#This Row],[Direct Time]]*LaborRate</f>
        <v>181.78769066220238</v>
      </c>
      <c r="DO22" s="36">
        <f>SUM(Crops[[#This Row],[Irrigation Cost]])</f>
        <v>0</v>
      </c>
      <c r="DP22" s="36">
        <f>Crops[[#This Row],[Direct Labor Cost]]+Crops[[#This Row],[Direct Non-Labor Cost]]</f>
        <v>181.78769066220238</v>
      </c>
      <c r="DQ22" s="36">
        <f>Crops[[#This Row],[Direct Revenue Per Bed2]]-Crops[[#This Row],[Direct Total Cost]]</f>
        <v>868.21230933779759</v>
      </c>
      <c r="DR22" s="36">
        <f>Crops[[#This Row],[Direct Profit]]*BedsPerAcre</f>
        <v>138913.9694940476</v>
      </c>
      <c r="DS22" s="36">
        <f>Crops[[#This Row],[Direct Profit]]*BedsPerAcre*GrowingDays/Crops[[#This Row],[Days In Field]]</f>
        <v>145375.08435423585</v>
      </c>
      <c r="DT22" s="36">
        <f>Crops[[#This Row],[Direct Profit]]/MIN(Crops[[#This Row],[Days In Field]],GrowingDays)</f>
        <v>5.0477459845220789</v>
      </c>
      <c r="DU22" s="36">
        <f>Crops[[#This Row],[Direct Time]] * BedsPerAcre</f>
        <v>1163.4412202380952</v>
      </c>
      <c r="DV22" s="36">
        <f>(Crops[[#This Row],[Direct Revenue Per Bed2]]-Crops[[#This Row],[Direct Non-Labor Cost]])/Crops[[#This Row],[Direct Time]]</f>
        <v>144.39921594459173</v>
      </c>
      <c r="DW22" s="33">
        <f>IFERROR(Crops[[#This Row],[Custom Yield Per Bed]]*Crops[[#This Row],[Rough Wholesale Price]],"")</f>
        <v>630</v>
      </c>
      <c r="DX22" s="36" t="e">
        <f>Crops[[#This Row],[Wholesale Time]]*LaborRate</f>
        <v>#N/A</v>
      </c>
      <c r="DY22" s="36" t="e">
        <f>SUM(Crops[[#This Row],[Packaging Costs]:[Irrigation Cost]])</f>
        <v>#N/A</v>
      </c>
      <c r="DZ22" s="36" t="e">
        <f>Crops[[#This Row],[Wholesale Labor Cost]]+Crops[[#This Row],[Wholesale Non-Labor Cost]]</f>
        <v>#N/A</v>
      </c>
      <c r="EA22" s="36" t="e">
        <f>Crops[[#This Row],[Wholesale Revenue Per Bed]]-Crops[[#This Row],[Wholesale Total Cost]]</f>
        <v>#N/A</v>
      </c>
      <c r="EB22" s="36" t="e">
        <f>Crops[[#This Row],[Wholesale Profit]]*BedsPerAcre</f>
        <v>#N/A</v>
      </c>
      <c r="EC22" s="36" t="e">
        <f>Crops[[#This Row],[Wholesale Profit]]*BedsPerAcre*GrowingDays/Crops[[#This Row],[Days In Field]]</f>
        <v>#N/A</v>
      </c>
      <c r="ED22" s="36" t="e">
        <f>Crops[[#This Row],[Wholesale Time]] * BedsPerAcre</f>
        <v>#N/A</v>
      </c>
      <c r="EE22" s="36" t="e">
        <f>Crops[[#This Row],[Wholesale Profit]]/MIN(Crops[[#This Row],[Days In Field]],GrowingDays)</f>
        <v>#N/A</v>
      </c>
      <c r="EF22" s="36" t="e">
        <f>(Crops[[#This Row],[Wholesale Revenue Per Bed]]-Crops[[#This Row],[Wholesale Non-Labor Cost]])/Crops[[#This Row],[Direct Time]]</f>
        <v>#N/A</v>
      </c>
      <c r="EG22" s="174" t="e">
        <f>Crops[[#This Row],[Packaging Costs]]/Crops[[#This Row],[Wholesale Revenue Per Bed]]</f>
        <v>#N/A</v>
      </c>
      <c r="EH22" s="36" t="str">
        <f>Crops[[#This Row],[Crop]]&amp;Crops[[#This Row],[Product]]&amp;Crops[[#This Row],[Unit]]</f>
        <v>BasilMature LeafLb</v>
      </c>
      <c r="EI22" s="36" t="e">
        <f>_xlfn.XLOOKUP(Crops[[#This Row],[ProductIndex]],Products[ID],Products[Target])</f>
        <v>#N/A</v>
      </c>
      <c r="EJ22" s="36">
        <f>Crops[[#This Row],[Custom Yield Per Bed]]</f>
        <v>150</v>
      </c>
      <c r="EK22" s="210">
        <f>Crops[[#This Row],[Units Per Harvest]]/Crops[[#This Row],[Days Between Harvest]]*7</f>
        <v>8.3333333333333339</v>
      </c>
      <c r="EL22" s="210" t="e">
        <f>Crops[[#This Row],[Custom Yield Per Bed]]/_xlfn.XLOOKUP(Crops[[#This Row],[ProductIndex]],Products[ID],Products[CSA Portion])</f>
        <v>#N/A</v>
      </c>
      <c r="EM22" s="210" t="e">
        <f>Crops[[#This Row],[Units Per Harvest]]/Crops[[#This Row],[Days Between Harvest]]*7/_xlfn.XLOOKUP(Crops[[#This Row],[ProductIndex]],Products[ID],Products[CSA Portion])</f>
        <v>#N/A</v>
      </c>
      <c r="EN22" s="210" t="e">
        <f>Crops[[#This Row],[CSA Portions Per Week]]/CSAMembers</f>
        <v>#N/A</v>
      </c>
      <c r="EO22" s="210"/>
      <c r="EP22" s="210"/>
      <c r="EQ22" s="36"/>
      <c r="ER22" s="36">
        <f>Crops[[#This Row],[Harvests]]*Crops[[#This Row],[Days Between Harvest]]/7</f>
        <v>18</v>
      </c>
      <c r="ES22" s="208" t="e">
        <f>_xlfn.XLOOKUP(Crops[[#This Row],[ProductIndex]],Products[ID],Products[CSA Need])</f>
        <v>#N/A</v>
      </c>
      <c r="ET22" s="208" t="e">
        <f>_xlfn.XLOOKUP(Crops[[#This Row],[ProductIndex]],Products[ID],Products[CSA Times])</f>
        <v>#N/A</v>
      </c>
      <c r="EU22" s="208" t="e">
        <f>Crops[[#This Row],[Custom Yield Per Bed]]/(Crops[[#This Row],[CSA Need]]*(_xlfn.XLOOKUP(Crops[[#This Row],[ProductIndex]],Products[ID],Products[CSA Portion])*CSAMembers))</f>
        <v>#N/A</v>
      </c>
      <c r="EV22" s="208" t="e">
        <f>_xlfn.XLOOKUP(Crops[[#This Row],[ProductIndex]],Products[ID],Products[CSA Portion])*CSAMembers*Crops[[#This Row],[CSA Need]]/Crops[[#This Row],[Custom Yield Per Bed]]</f>
        <v>#N/A</v>
      </c>
      <c r="EW22" s="208" t="str">
        <f>IFERROR(Crops[[#This Row],[Days In Field]]*Crops[[#This Row],[CSA Beds]],"")</f>
        <v/>
      </c>
      <c r="EX22" s="208" t="e">
        <f>Crops[[#This Row],[CSA Bed Days]]*#REF!</f>
        <v>#VALUE!</v>
      </c>
      <c r="EY22" t="s">
        <v>1526</v>
      </c>
    </row>
    <row r="23" spans="1:155" ht="15" customHeight="1">
      <c r="A23"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Basil (Tulsi) - Mature Stem 1X | Field TP </v>
      </c>
      <c r="B23" s="27"/>
      <c r="C23" s="1" t="b">
        <v>1</v>
      </c>
      <c r="D23" s="1" t="s">
        <v>2566</v>
      </c>
      <c r="E23" s="1" t="b">
        <v>0</v>
      </c>
      <c r="F23" s="1" t="b">
        <f>IFERROR(IF(ISNUMBER(MATCH(Crops[[#This Row],[Identifier]],BedPlan[Crop], 0)), TRUE, FALSE), FALSE)</f>
        <v>0</v>
      </c>
      <c r="G23" s="1" t="b">
        <f>IFERROR(IF(ISNUMBER(MATCH(Crops[[#This Row],[Identifier]],BedPlan[Crop], 0)), TRUE, FALSE), FALSE)</f>
        <v>0</v>
      </c>
      <c r="H23" s="1"/>
      <c r="I23" t="s">
        <v>43</v>
      </c>
      <c r="J23" t="s">
        <v>147</v>
      </c>
      <c r="K23" t="s">
        <v>181</v>
      </c>
      <c r="M23" t="s">
        <v>442</v>
      </c>
      <c r="N23" t="s">
        <v>148</v>
      </c>
      <c r="O23" t="s">
        <v>210</v>
      </c>
      <c r="P23" t="str">
        <f>IF(OR(Crops[[#This Row],[Days in Cells]]="",Crops[[#This Row],[Days in Cells]]=0), "DS","TP")</f>
        <v>TP</v>
      </c>
      <c r="V23" t="str">
        <f xml:space="preserve"> IF(Crops[[#This Row],[Sp]], "Sp", "") &amp; IF(Crops[[#This Row],[Su]], "Su", "") &amp; IF(Crops[[#This Row],[Fa]], "Fa", "") &amp; IF(Crops[[#This Row],[Wi]], "Wi", "") &amp; IF(Crops[[#This Row],[OW]], "Ow","")</f>
        <v/>
      </c>
      <c r="W23" t="s">
        <v>144</v>
      </c>
      <c r="X23">
        <v>2</v>
      </c>
      <c r="Y23">
        <v>12</v>
      </c>
      <c r="AA23" t="s">
        <v>474</v>
      </c>
      <c r="AB23" t="b">
        <v>0</v>
      </c>
      <c r="AC23">
        <v>2</v>
      </c>
      <c r="AD23" s="32">
        <f>IFERROR(12/Crops[[#This Row],[Spacing]]*Crops[[#This Row],[Rows]]*BedLength,"")</f>
        <v>100</v>
      </c>
      <c r="AE23">
        <v>1</v>
      </c>
      <c r="AG23">
        <f>IF(Crops[[#This Row],[Custom Safety Factor]]="",PlantingSafetyFactor,Crops[[#This Row],[Custom Safety Factor]])</f>
        <v>1.3</v>
      </c>
      <c r="AH23">
        <f>1</f>
        <v>1</v>
      </c>
      <c r="AI23" s="33">
        <f>IFERROR(Crops[[#This Row],[Plantings Per Bed]]*Crops[[#This Row],[Seeds Per Planting]]*Crops[[#This Row],[Safety Factor]]*Crops[[#This Row],[Seeding Factor]],"")</f>
        <v>130</v>
      </c>
      <c r="AJ23">
        <v>7</v>
      </c>
      <c r="AK23">
        <v>14</v>
      </c>
      <c r="AL23">
        <f>_xlfn.FLOOR.MATH(IFERROR(AVERAGE(Crops[[#This Row],[DTG Lower]:[DTG Upper]]),0))</f>
        <v>10</v>
      </c>
      <c r="AM23">
        <f>SUM(Crops[[#This Row],[Tray 1 Days]],Crops[[#This Row],[Tray 2 Days]],Crops[[#This Row],[Tray 3 Days]])</f>
        <v>40</v>
      </c>
      <c r="AN23" s="32">
        <v>40</v>
      </c>
      <c r="AO23">
        <v>75</v>
      </c>
      <c r="AP23">
        <v>75</v>
      </c>
      <c r="AQ23">
        <f>IFERROR(_xlfn.FLOOR.MATH(AVERAGE(Crops[[#This Row],[DTM Lower]:[DTM Upper]])),"")</f>
        <v>75</v>
      </c>
      <c r="AR23" cm="1">
        <f t="array" ref="AR23">_xlfn.SWITCH(Crops[[#This Row],[Normal Method]],"DS",Crops[[#This Row],[Days to Germination]]+Crops[[#This Row],[DTM]] + IF(Crops[[#This Row],[Days in Cells]]&gt;0,15,0), "TP",Crops[[#This Row],[DTM]]+Crops[[#This Row],[Days in Cells]] + IF(Crops[[#This Row],[Days in Cells]]&lt;=0,20,0), "X", Crops[[#This Row],[DTM]])</f>
        <v>100</v>
      </c>
      <c r="AS23" t="s">
        <v>338</v>
      </c>
      <c r="AT23">
        <f>(Crops[[#This Row],[Harvests]]-1)*Crops[[#This Row],[Days Between Harvest]]+7</f>
        <v>112</v>
      </c>
      <c r="AU23">
        <f>Crops[[#This Row],[STH]]-Crops[[#This Row],[Days in Cells]]+Crops[[#This Row],[Harvest window]]</f>
        <v>172</v>
      </c>
      <c r="AX23">
        <v>128</v>
      </c>
      <c r="AY23">
        <v>40</v>
      </c>
      <c r="AZ23" s="49">
        <f>IFERROR(IF(Crops[[#This Row],[Tray 1 Days]]=0,"",Crops[[#This Row],[Plantings Per Bed]]/Crops[[#This Row],[Tray 1 Size]]*Crops[[#This Row],[Safety Factor]]),"")</f>
        <v>1.015625</v>
      </c>
      <c r="BC23" t="str">
        <f>IFERROR(IF(Crops[[#This Row],[Tray 2 Days]]=0,"",Crops[[#This Row],[Plantings Per Bed]]/Crops[[#This Row],[Tray 2 Size]]*Crops[[#This Row],[Safety Factor]]),"")</f>
        <v/>
      </c>
      <c r="BE23" s="32" t="str">
        <f>IF(NOT(ISBLANK(Crops[[#This Row],[Tray 3 Size]])), Crops[[#This Row],[Days in Cells Old]]-SUM(Crops[[#This Row],[Tray 1 Days]],Crops[[#This Row],[Tray 2 Days]]), "")</f>
        <v/>
      </c>
      <c r="BF23" s="49" t="str">
        <f>IFERROR(IF(Crops[[#This Row],[Tray 3 Days]]=0,"",Crops[[#This Row],[Plantings Per Bed]]/Crops[[#This Row],[Tray 3 Size]]*Crops[[#This Row],[Safety Factor]]),"")</f>
        <v/>
      </c>
      <c r="BG23" s="33">
        <f>Crops[[#This Row],[Plantings Per Bed]]*2</f>
        <v>200</v>
      </c>
      <c r="BH23" s="33">
        <v>6</v>
      </c>
      <c r="BI23" s="33">
        <v>21</v>
      </c>
      <c r="BJ23" s="33">
        <f>_xlfn.XLOOKUP(Crops[[#This Row],[ProductIndex]],Products[ID],Products[Holding Period])</f>
        <v>0</v>
      </c>
      <c r="BK23" s="33"/>
      <c r="BL23" s="33">
        <f>Crops[[#This Row],[Units Per Harvest]]*Crops[[#This Row],[Harvests]]</f>
        <v>1200</v>
      </c>
      <c r="BM23" s="35">
        <v>1</v>
      </c>
      <c r="BN23" s="35">
        <f>Crops[[#This Row],[Direct Price]]*0.6</f>
        <v>0.6</v>
      </c>
      <c r="BO23" s="35"/>
      <c r="BP23" t="s">
        <v>213</v>
      </c>
      <c r="BQ23">
        <f>Crops[[#This Row],[Custom Yield Per Bed]]*Crops[[#This Row],[Direct Price]]</f>
        <v>1200</v>
      </c>
      <c r="BR23" t="b">
        <v>0</v>
      </c>
      <c r="BS23" t="b">
        <f>Crops[[#This Row],[Harvests]]&gt;1</f>
        <v>1</v>
      </c>
      <c r="BT23" s="36">
        <f>IFERROR(Crops[[#This Row],[Direct Revenue Per Bed]]/Crops[[#This Row],[Days In Field]],-1)</f>
        <v>6.9767441860465116</v>
      </c>
      <c r="BU23" s="33">
        <f>IFERROR(Crops[[#This Row],[Direct Revenue Per Bed Day]]*GrowingDays*BedsPerAcre,"")</f>
        <v>200930.23255813954</v>
      </c>
      <c r="BV23" s="38">
        <f>LastFrostDate-5*Crops[[#This Row],[Sewing Rel Last Frost]]</f>
        <v>45758</v>
      </c>
      <c r="BW23" s="38">
        <f>Crops[[#This Row],[Target Sewing Date]]+Crops[[#This Row],[Days in Cells]]</f>
        <v>45798</v>
      </c>
      <c r="BX23" s="38">
        <f>Crops[[#This Row],[Target Sewing Date]]+Crops[[#This Row],[STH]]</f>
        <v>45858</v>
      </c>
      <c r="BY23" s="38">
        <f>Crops[[#This Row],[Target Harvest Data]]+Crops[[#This Row],[Harvest window]]</f>
        <v>45970</v>
      </c>
      <c r="BZ23">
        <v>-2</v>
      </c>
      <c r="CA23" t="s">
        <v>377</v>
      </c>
      <c r="CB23">
        <f>1</f>
        <v>1</v>
      </c>
      <c r="CC23">
        <f>IF(Crops[[#This Row],[Transplanting]]&gt;0, 2, 3)*BedLength/StandardBedLength</f>
        <v>1</v>
      </c>
      <c r="CD23" s="173">
        <f>IF(Crops[[#This Row],[Days in Cells]]&lt;=0,0,Crops[[#This Row],[Plantings Per Bed]]/StartsPerHourSeeding+Crops[[#This Row],[Tray 1 Count]]*5/60)</f>
        <v>0.47526041666666669</v>
      </c>
      <c r="CE23" s="173">
        <f>IF(ISBLANK(Crops[[#This Row],[Tray 2 Days]]),0,Crops[[#This Row],[Plantings Per Bed]]/UpPottingPerHour)+IF(Crops[[#This Row],[Tray 3 Days]]="",0,Crops[[#This Row],[Plantings Per Bed]]/UpPottingPerHour)</f>
        <v>0</v>
      </c>
      <c r="CF23" s="173">
        <f>IFERROR(Crops[[#This Row],[Tray 1 Count]]/HomeStartFlatIrrigationPerHour,0)*Crops[[#This Row],[Days in Cells]]/DaysBetweenStartIrrigation</f>
        <v>0.16927083333333331</v>
      </c>
      <c r="CG23" s="173">
        <f>0.5/16*MAX(Crops[[#This Row],[Tray 1 Count]],Crops[[#This Row],[Tray 2 Count]],Crops[[#This Row],[Tray 3 Count]])</f>
        <v>3.173828125E-2</v>
      </c>
      <c r="CH23" s="173">
        <f>IF(Crops[[#This Row],[Days in Cells]]&gt;0,IF(IF(Crops[[#This Row],[Tray 3 Size]]&gt;0,Crops[[#This Row],[Tray 3 Size]],IF(Crops[[#This Row],[Tray 2 Size]]&gt;0,Crops[[#This Row],[Tray 2 Size]],Crops[[#This Row],[Tray 1 Size]]))&lt;=18,LargeTransplantTime,SmallTransplantTime)*Crops[[#This Row],[Plantings Per Bed]],0)</f>
        <v>0.5</v>
      </c>
      <c r="CI23" s="173"/>
      <c r="CJ23" s="173">
        <f>_xlfn.XLOOKUP(Crops[[#This Row],[Trellis Type]],TrellisMethods[Trellis Type],TrellisMethods[Hours],0,0)</f>
        <v>0</v>
      </c>
      <c r="CK23">
        <f>IF(Crops[[#This Row],[Days in Cells]]&lt;=0,Crops[[#This Row],[Rows]]*1/10,0)*BedLength/50</f>
        <v>0</v>
      </c>
      <c r="CL23" cm="1">
        <f t="array" ref="CL23">_xlfn.SWITCH(Crops[[#This Row],[Irrigation]],"DR", 0.5, "OH", 0.25,0)*BedLength/50</f>
        <v>0</v>
      </c>
      <c r="CM23">
        <f>IF(OR(ISBLANK(Crops[[#This Row],[Row Cover]]),Crops[[#This Row],[Row Cover]]="None"),0,1)*BedLength/50</f>
        <v>0</v>
      </c>
      <c r="CN23" s="173">
        <f>HoursPerWeedingPass*Crops[[#This Row],[Days In Field]]/14*Crops[[#This Row],[Rows]]+1*BedLength/50</f>
        <v>5.0952380952380949</v>
      </c>
      <c r="CQ23" s="37">
        <f>_xlfn.XLOOKUP(Crops[[#This Row],[Crop]]&amp;Crops[[#This Row],[Product]]&amp;Crops[[#This Row],[Unit]],Products[ID],Products[Marketing (hr)])*Crops[[#This Row],[Direct Revenue Per Bed]]/2000</f>
        <v>1.2</v>
      </c>
      <c r="CR23" s="37">
        <f>_xlfn.XLOOKUP(Crops[[#This Row],[Crop]]&amp;Crops[[#This Row],[Product]]&amp;Crops[[#This Row],[Unit]],Products[ID],Products[Harvest (s)])*Crops[[#This Row],[Custom Yield Per Bed]]/3600</f>
        <v>3.3333333333333335</v>
      </c>
      <c r="CS23" s="37">
        <f>_xlfn.XLOOKUP(Crops[[#This Row],[Crop]]&amp;Crops[[#This Row],[Product]]&amp;Crops[[#This Row],[Unit]],Products[ID],Products[Bunch (s)])*Crops[[#This Row],[Custom Yield Per Bed]]/3600</f>
        <v>0</v>
      </c>
      <c r="CT23" s="37">
        <f>_xlfn.XLOOKUP(Crops[[#This Row],[Crop]]&amp;Crops[[#This Row],[Product]]&amp;Crops[[#This Row],[Unit]],Products[ID],Products[Haul (s)])*Crops[[#This Row],[Custom Yield Per Bed]]/3600</f>
        <v>0.75</v>
      </c>
      <c r="CU23" s="37">
        <f>_xlfn.XLOOKUP(Crops[[#This Row],[Crop]]&amp;Crops[[#This Row],[Product]]&amp;Crops[[#This Row],[Unit]],Products[ID],Products[Wash (s)])*Crops[[#This Row],[Custom Yield Per Bed]]/3600</f>
        <v>0</v>
      </c>
      <c r="CV23" s="37">
        <f>_xlfn.XLOOKUP(Crops[[#This Row],[Crop]]&amp;Crops[[#This Row],[Product]]&amp;Crops[[#This Row],[Unit]],Products[ID],Products[Condition (s)])*Crops[[#This Row],[Custom Yield Per Bed]]/3600</f>
        <v>0</v>
      </c>
      <c r="CW23" s="37">
        <f>_xlfn.XLOOKUP(Crops[[#This Row],[Crop]]&amp;Crops[[#This Row],[Product]]&amp;Crops[[#This Row],[Unit]],Products[ID],Products[Trim (s)])*Crops[[#This Row],[Custom Yield Per Bed]]/3600</f>
        <v>0</v>
      </c>
      <c r="CX23" s="37">
        <f>_xlfn.XLOOKUP(Crops[[#This Row],[Crop]]&amp;Crops[[#This Row],[Product]]&amp;Crops[[#This Row],[Unit]],Products[ID],Products[Pack (s)])*Crops[[#This Row],[Custom Yield Per Bed]]/3600</f>
        <v>1</v>
      </c>
      <c r="CY23" s="37">
        <f>_xlfn.XLOOKUP(Crops[[#This Row],[Crop]]&amp;Crops[[#This Row],[Product]]&amp;Crops[[#This Row],[Unit]],Products[ID],Products[Clean (s)])*Crops[[#This Row],[Custom Yield Per Bed]]/3600</f>
        <v>0</v>
      </c>
      <c r="CZ23" s="37">
        <f>_xlfn.XLOOKUP(Crops[[#This Row],[Crop]]&amp;Crops[[#This Row],[Product]]&amp;Crops[[#This Row],[Unit]],Products[ID],Products[Rehandle (s)])*Crops[[#This Row],[Custom Yield Per Bed]]/3600</f>
        <v>0</v>
      </c>
      <c r="DA23" s="37">
        <f>_xlfn.XLOOKUP(Crops[[#This Row],[Crop]]&amp;Crops[[#This Row],[Product]]&amp;Crops[[#This Row],[Unit]],Products[ID],Products[Market Transport (s)])*Crops[[#This Row],[Custom Yield Per Bed]]/3600</f>
        <v>1.875</v>
      </c>
      <c r="DC23" s="37">
        <f>Crops[[#This Row],[Direct Revenue Per Bed2]]</f>
        <v>1200</v>
      </c>
      <c r="DD23" s="173">
        <f>_xlfn.AGGREGATE(9,6,Crops[[#This Row],[Bed Prep]:[Remove Crop Residue]])</f>
        <v>15.429840959821428</v>
      </c>
      <c r="DE23" s="173">
        <f>_xlfn.AGGREGATE(9,6,Crops[[#This Row],[Bed Prep]:[Remove Crop Residue]])-0.75*Crops[[#This Row],[Market &amp; Sell]]</f>
        <v>14.529840959821428</v>
      </c>
      <c r="DF23" s="36">
        <f>Crops[[#This Row],[Direct Revenue Per Bed2]]/Crops[[#This Row],[Direct Time]]</f>
        <v>77.771378404012253</v>
      </c>
      <c r="DG23" s="36">
        <f>_xlfn.XLOOKUP(Crops[[#This Row],[ProductIndex]],Products[ID],Products[Packaging Cost])*(Crops[[#This Row],[Custom Yield Per Bed]]/_xlfn.XLOOKUP(Crops[[#This Row],[ProductIndex]],Products[ID],Products[Units Per Pack]))</f>
        <v>114</v>
      </c>
      <c r="DH23" s="36"/>
      <c r="DI23" s="36"/>
      <c r="DJ23" s="36"/>
      <c r="DK23" s="36"/>
      <c r="DL23" s="36"/>
      <c r="DM23" s="33">
        <f>IFERROR(Crops[[#This Row],[Custom Yield Per Bed]]*Crops[[#This Row],[Direct Price]],"")</f>
        <v>1200</v>
      </c>
      <c r="DN23" s="36">
        <f>Crops[[#This Row],[Direct Time]]*LaborRate</f>
        <v>385.74602399553572</v>
      </c>
      <c r="DO23" s="36">
        <f>SUM(Crops[[#This Row],[Irrigation Cost]])</f>
        <v>0</v>
      </c>
      <c r="DP23" s="36">
        <f>Crops[[#This Row],[Direct Labor Cost]]+Crops[[#This Row],[Direct Non-Labor Cost]]</f>
        <v>385.74602399553572</v>
      </c>
      <c r="DQ23" s="36">
        <f>Crops[[#This Row],[Direct Revenue Per Bed2]]-Crops[[#This Row],[Direct Total Cost]]</f>
        <v>814.25397600446422</v>
      </c>
      <c r="DR23" s="36">
        <f>Crops[[#This Row],[Direct Profit]]*BedsPerAcre</f>
        <v>130280.63616071428</v>
      </c>
      <c r="DS23" s="36">
        <f>Crops[[#This Row],[Direct Profit]]*BedsPerAcre*GrowingDays/Crops[[#This Row],[Days In Field]]</f>
        <v>136340.20063330565</v>
      </c>
      <c r="DT23" s="36">
        <f>Crops[[#This Row],[Direct Profit]]/MIN(Crops[[#This Row],[Days In Field]],GrowingDays)</f>
        <v>4.7340347442120017</v>
      </c>
      <c r="DU23" s="36">
        <f>Crops[[#This Row],[Direct Time]] * BedsPerAcre</f>
        <v>2468.7745535714284</v>
      </c>
      <c r="DV23" s="36">
        <f>(Crops[[#This Row],[Direct Revenue Per Bed2]]-Crops[[#This Row],[Direct Non-Labor Cost]])/Crops[[#This Row],[Direct Time]]</f>
        <v>77.771378404012253</v>
      </c>
      <c r="DW23" s="33">
        <f>IFERROR(Crops[[#This Row],[Custom Yield Per Bed]]*Crops[[#This Row],[Rough Wholesale Price]],"")</f>
        <v>720</v>
      </c>
      <c r="DX23" s="36">
        <f>Crops[[#This Row],[Wholesale Time]]*LaborRate</f>
        <v>363.24602399553567</v>
      </c>
      <c r="DY23" s="36">
        <f>SUM(Crops[[#This Row],[Packaging Costs]:[Irrigation Cost]])</f>
        <v>114</v>
      </c>
      <c r="DZ23" s="36">
        <f>Crops[[#This Row],[Wholesale Labor Cost]]+Crops[[#This Row],[Wholesale Non-Labor Cost]]</f>
        <v>477.24602399553567</v>
      </c>
      <c r="EA23" s="36">
        <f>Crops[[#This Row],[Wholesale Revenue Per Bed]]-Crops[[#This Row],[Wholesale Total Cost]]</f>
        <v>242.75397600446433</v>
      </c>
      <c r="EB23" s="36">
        <f>Crops[[#This Row],[Wholesale Profit]]*BedsPerAcre</f>
        <v>38840.63616071429</v>
      </c>
      <c r="EC23" s="36">
        <f>Crops[[#This Row],[Wholesale Profit]]*BedsPerAcre*GrowingDays/Crops[[#This Row],[Days In Field]]</f>
        <v>40647.177377491695</v>
      </c>
      <c r="ED23" s="36">
        <f>Crops[[#This Row],[Wholesale Time]] * BedsPerAcre</f>
        <v>2324.7745535714284</v>
      </c>
      <c r="EE23" s="36">
        <f>Crops[[#This Row],[Wholesale Profit]]/MIN(Crops[[#This Row],[Days In Field]],GrowingDays)</f>
        <v>1.4113603256073508</v>
      </c>
      <c r="EF23" s="36">
        <f>(Crops[[#This Row],[Wholesale Revenue Per Bed]]-Crops[[#This Row],[Wholesale Non-Labor Cost]])/Crops[[#This Row],[Direct Time]]</f>
        <v>39.274546094026192</v>
      </c>
      <c r="EG23" s="174">
        <f>Crops[[#This Row],[Packaging Costs]]/Crops[[#This Row],[Wholesale Revenue Per Bed]]</f>
        <v>0.15833333333333333</v>
      </c>
      <c r="EH23" s="36" t="str">
        <f>Crops[[#This Row],[Crop]]&amp;Crops[[#This Row],[Product]]&amp;Crops[[#This Row],[Unit]]</f>
        <v>BasilMature StemStem</v>
      </c>
      <c r="EI23" s="36" t="b">
        <f>_xlfn.XLOOKUP(Crops[[#This Row],[ProductIndex]],Products[ID],Products[Target])</f>
        <v>1</v>
      </c>
      <c r="EJ23" s="36">
        <f>Crops[[#This Row],[Custom Yield Per Bed]]</f>
        <v>1200</v>
      </c>
      <c r="EK23" s="210">
        <f>Crops[[#This Row],[Units Per Harvest]]/Crops[[#This Row],[Days Between Harvest]]*7</f>
        <v>66.666666666666671</v>
      </c>
      <c r="EL23" s="210" t="e">
        <f>Crops[[#This Row],[Custom Yield Per Bed]]/_xlfn.XLOOKUP(Crops[[#This Row],[ProductIndex]],Products[ID],Products[CSA Portion])</f>
        <v>#DIV/0!</v>
      </c>
      <c r="EM23" s="210" t="e">
        <f>Crops[[#This Row],[Units Per Harvest]]/Crops[[#This Row],[Days Between Harvest]]*7/_xlfn.XLOOKUP(Crops[[#This Row],[ProductIndex]],Products[ID],Products[CSA Portion])</f>
        <v>#DIV/0!</v>
      </c>
      <c r="EN23" s="210" t="e">
        <f>Crops[[#This Row],[CSA Portions Per Week]]/CSAMembers</f>
        <v>#DIV/0!</v>
      </c>
      <c r="EO23" s="210"/>
      <c r="EP23" s="210"/>
      <c r="EQ23" s="36"/>
      <c r="ER23" s="36">
        <f>Crops[[#This Row],[Harvests]]*Crops[[#This Row],[Days Between Harvest]]/7</f>
        <v>18</v>
      </c>
      <c r="ES23" s="208">
        <f>_xlfn.XLOOKUP(Crops[[#This Row],[ProductIndex]],Products[ID],Products[CSA Need])</f>
        <v>0</v>
      </c>
      <c r="ET23" s="208">
        <f>_xlfn.XLOOKUP(Crops[[#This Row],[ProductIndex]],Products[ID],Products[CSA Times])</f>
        <v>0</v>
      </c>
      <c r="EU23" s="208" t="e">
        <f>Crops[[#This Row],[Custom Yield Per Bed]]/(Crops[[#This Row],[CSA Need]]*(_xlfn.XLOOKUP(Crops[[#This Row],[ProductIndex]],Products[ID],Products[CSA Portion])*CSAMembers))</f>
        <v>#DIV/0!</v>
      </c>
      <c r="EV23" s="208">
        <f>_xlfn.XLOOKUP(Crops[[#This Row],[ProductIndex]],Products[ID],Products[CSA Portion])*CSAMembers*Crops[[#This Row],[CSA Need]]/Crops[[#This Row],[Custom Yield Per Bed]]</f>
        <v>0</v>
      </c>
      <c r="EW23" s="208">
        <f>IFERROR(Crops[[#This Row],[Days In Field]]*Crops[[#This Row],[CSA Beds]],"")</f>
        <v>0</v>
      </c>
      <c r="EX23" s="208" t="e">
        <f>Crops[[#This Row],[CSA Bed Days]]*#REF!</f>
        <v>#REF!</v>
      </c>
      <c r="EY23" t="s">
        <v>1526</v>
      </c>
    </row>
    <row r="24" spans="1:155" ht="15" customHeight="1">
      <c r="A24"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Bean (Bush) - Young Pod 1X | Field TP SpSu</v>
      </c>
      <c r="B24" s="28"/>
      <c r="C24" s="1"/>
      <c r="D24" s="1"/>
      <c r="E24" s="1" t="b">
        <v>0</v>
      </c>
      <c r="F24" s="1" t="b">
        <f>IFERROR(IF(ISNUMBER(MATCH(Crops[[#This Row],[Identifier]],BedPlan[Crop], 0)), TRUE, FALSE), FALSE)</f>
        <v>0</v>
      </c>
      <c r="G24" s="1" t="b">
        <f>IFERROR(IF(ISNUMBER(MATCH(Crops[[#This Row],[Identifier]],BedPlan[Crop], 0)), TRUE, FALSE), FALSE)</f>
        <v>0</v>
      </c>
      <c r="H24" s="1"/>
      <c r="I24" t="s">
        <v>44</v>
      </c>
      <c r="J24" t="s">
        <v>151</v>
      </c>
      <c r="K24" t="s">
        <v>183</v>
      </c>
      <c r="M24" t="s">
        <v>45</v>
      </c>
      <c r="N24" t="s">
        <v>1301</v>
      </c>
      <c r="O24" t="s">
        <v>210</v>
      </c>
      <c r="P24" t="str">
        <f>IF(OR(Crops[[#This Row],[Days in Cells]]="",Crops[[#This Row],[Days in Cells]]=0), "DS","TP")</f>
        <v>TP</v>
      </c>
      <c r="Q24" t="s">
        <v>144</v>
      </c>
      <c r="R24" t="s">
        <v>144</v>
      </c>
      <c r="V24" t="str">
        <f xml:space="preserve"> IF(Crops[[#This Row],[Sp]], "Sp", "") &amp; IF(Crops[[#This Row],[Su]], "Su", "") &amp; IF(Crops[[#This Row],[Fa]], "Fa", "") &amp; IF(Crops[[#This Row],[Wi]], "Wi", "") &amp; IF(Crops[[#This Row],[OW]], "Ow","")</f>
        <v>SpSu</v>
      </c>
      <c r="W24" t="s">
        <v>144</v>
      </c>
      <c r="X24">
        <v>2</v>
      </c>
      <c r="Y24">
        <v>12</v>
      </c>
      <c r="Z24" t="s">
        <v>432</v>
      </c>
      <c r="AA24" t="s">
        <v>334</v>
      </c>
      <c r="AB24" t="b">
        <v>1</v>
      </c>
      <c r="AC24">
        <v>5</v>
      </c>
      <c r="AD24" s="32">
        <f>IFERROR(12/Crops[[#This Row],[Spacing]]*Crops[[#This Row],[Rows]]*BedLength,"")</f>
        <v>100</v>
      </c>
      <c r="AE24">
        <v>1</v>
      </c>
      <c r="AG24">
        <f>IF(Crops[[#This Row],[Custom Safety Factor]]="",PlantingSafetyFactor,Crops[[#This Row],[Custom Safety Factor]])</f>
        <v>1.3</v>
      </c>
      <c r="AH24">
        <f>1</f>
        <v>1</v>
      </c>
      <c r="AI24" s="33">
        <f>IFERROR(Crops[[#This Row],[Plantings Per Bed]]*Crops[[#This Row],[Seeds Per Planting]]*Crops[[#This Row],[Safety Factor]]*Crops[[#This Row],[Seeding Factor]],"")</f>
        <v>130</v>
      </c>
      <c r="AL24">
        <f>_xlfn.FLOOR.MATH(IFERROR(AVERAGE(Crops[[#This Row],[DTG Lower]:[DTG Upper]]),0))</f>
        <v>0</v>
      </c>
      <c r="AM24">
        <f>SUM(Crops[[#This Row],[Tray 1 Days]],Crops[[#This Row],[Tray 2 Days]],Crops[[#This Row],[Tray 3 Days]])</f>
        <v>21</v>
      </c>
      <c r="AN24" s="32">
        <v>21</v>
      </c>
      <c r="AP24">
        <v>50</v>
      </c>
      <c r="AQ24">
        <f>IFERROR(_xlfn.FLOOR.MATH(AVERAGE(Crops[[#This Row],[DTM Lower]:[DTM Upper]])),"")</f>
        <v>50</v>
      </c>
      <c r="AR24" cm="1">
        <f t="array" ref="AR24">_xlfn.SWITCH(Crops[[#This Row],[Normal Method]],"DS",Crops[[#This Row],[Days to Germination]]+Crops[[#This Row],[DTM]] + IF(Crops[[#This Row],[Days in Cells]]&gt;0,15,0), "TP",Crops[[#This Row],[DTM]]+Crops[[#This Row],[Days in Cells]] + IF(Crops[[#This Row],[Days in Cells]]&lt;=0,20,0), "X", Crops[[#This Row],[DTM]])</f>
        <v>50</v>
      </c>
      <c r="AS24" t="s">
        <v>347</v>
      </c>
      <c r="AT24">
        <f>(Crops[[#This Row],[Harvests]]-1)*Crops[[#This Row],[Days Between Harvest]]+7</f>
        <v>14</v>
      </c>
      <c r="AU24">
        <f>Crops[[#This Row],[STH]]-Crops[[#This Row],[Days in Cells]]+Crops[[#This Row],[Harvest window]]</f>
        <v>43</v>
      </c>
      <c r="AX24">
        <v>128</v>
      </c>
      <c r="AY24">
        <v>21</v>
      </c>
      <c r="AZ24" s="49">
        <f>IFERROR(IF(Crops[[#This Row],[Tray 1 Days]]=0,"",Crops[[#This Row],[Plantings Per Bed]]/Crops[[#This Row],[Tray 1 Size]]*Crops[[#This Row],[Safety Factor]]),"")</f>
        <v>1.015625</v>
      </c>
      <c r="BC24" t="str">
        <f>IFERROR(IF(Crops[[#This Row],[Tray 2 Days]]=0,"",Crops[[#This Row],[Plantings Per Bed]]/Crops[[#This Row],[Tray 2 Size]]*Crops[[#This Row],[Safety Factor]]),"")</f>
        <v/>
      </c>
      <c r="BE24" s="32"/>
      <c r="BF24" s="49" t="str">
        <f>IFERROR(IF(Crops[[#This Row],[Tray 3 Days]]=0,"",Crops[[#This Row],[Plantings Per Bed]]/Crops[[#This Row],[Tray 3 Size]]*Crops[[#This Row],[Safety Factor]]),"")</f>
        <v/>
      </c>
      <c r="BG24" s="33">
        <f>65*BedLength/StandardBedLength</f>
        <v>32.5</v>
      </c>
      <c r="BH24" s="33">
        <v>2</v>
      </c>
      <c r="BI24" s="33">
        <v>7</v>
      </c>
      <c r="BJ24" s="33">
        <f>_xlfn.XLOOKUP(Crops[[#This Row],[ProductIndex]],Products[ID],Products[Holding Period])</f>
        <v>4</v>
      </c>
      <c r="BK24" s="33"/>
      <c r="BL24" s="33">
        <f>Crops[[#This Row],[Units Per Harvest]]*Crops[[#This Row],[Harvests]]</f>
        <v>65</v>
      </c>
      <c r="BM24" s="35">
        <v>8</v>
      </c>
      <c r="BN24" s="35">
        <v>2.5</v>
      </c>
      <c r="BO24" s="35"/>
      <c r="BP24" t="s">
        <v>383</v>
      </c>
      <c r="BQ24">
        <f>Crops[[#This Row],[Custom Yield Per Bed]]*Crops[[#This Row],[Direct Price]]</f>
        <v>520</v>
      </c>
      <c r="BR24" t="b">
        <v>1</v>
      </c>
      <c r="BS24" t="b">
        <f>Crops[[#This Row],[Harvests]]&gt;1</f>
        <v>1</v>
      </c>
      <c r="BT24" s="36">
        <f>IFERROR(Crops[[#This Row],[Direct Revenue Per Bed]]/Crops[[#This Row],[Days In Field]],-1)</f>
        <v>12.093023255813954</v>
      </c>
      <c r="BU24" s="33">
        <f>IFERROR(Crops[[#This Row],[Direct Revenue Per Bed Day]]*GrowingDays*BedsPerAcre,"")</f>
        <v>348279.06976744183</v>
      </c>
      <c r="BV24" s="38">
        <f>LastFrostDate-5*Crops[[#This Row],[Sewing Rel Last Frost]]</f>
        <v>45733</v>
      </c>
      <c r="BW24" s="38">
        <f>Crops[[#This Row],[Target Sewing Date]]+Crops[[#This Row],[Days in Cells]]</f>
        <v>45754</v>
      </c>
      <c r="BX24" s="38">
        <f>Crops[[#This Row],[Target Sewing Date]]+Crops[[#This Row],[STH]]</f>
        <v>45783</v>
      </c>
      <c r="BY24" s="38">
        <f>Crops[[#This Row],[Target Harvest Data]]+Crops[[#This Row],[Harvest window]]</f>
        <v>45797</v>
      </c>
      <c r="BZ24">
        <v>3</v>
      </c>
      <c r="CA24" t="s">
        <v>373</v>
      </c>
      <c r="CB24">
        <f>1</f>
        <v>1</v>
      </c>
      <c r="CC24">
        <f>IF(Crops[[#This Row],[Transplanting]]&gt;0, 2, 3)*BedLength/StandardBedLength</f>
        <v>1</v>
      </c>
      <c r="CD24" s="173">
        <f>IF(Crops[[#This Row],[Days in Cells]]&lt;=0,0,Crops[[#This Row],[Plantings Per Bed]]/StartsPerHourSeeding+Crops[[#This Row],[Tray 1 Count]]*5/60)</f>
        <v>0.47526041666666669</v>
      </c>
      <c r="CE24" s="173">
        <f>IF(ISBLANK(Crops[[#This Row],[Tray 2 Days]]),0,Crops[[#This Row],[Plantings Per Bed]]/UpPottingPerHour)+IF(Crops[[#This Row],[Tray 3 Days]]="",0,Crops[[#This Row],[Plantings Per Bed]]/UpPottingPerHour)</f>
        <v>0</v>
      </c>
      <c r="CF24" s="173">
        <f>IFERROR(Crops[[#This Row],[Tray 1 Count]]/HomeStartFlatIrrigationPerHour,0)*Crops[[#This Row],[Days in Cells]]/DaysBetweenStartIrrigation</f>
        <v>8.88671875E-2</v>
      </c>
      <c r="CG24" s="173">
        <f>0.5/16*MAX(Crops[[#This Row],[Tray 1 Count]],Crops[[#This Row],[Tray 2 Count]],Crops[[#This Row],[Tray 3 Count]])</f>
        <v>3.173828125E-2</v>
      </c>
      <c r="CH24" s="173">
        <f>IF(Crops[[#This Row],[Days in Cells]]&gt;0,IF(IF(Crops[[#This Row],[Tray 3 Size]]&gt;0,Crops[[#This Row],[Tray 3 Size]],IF(Crops[[#This Row],[Tray 2 Size]]&gt;0,Crops[[#This Row],[Tray 2 Size]],Crops[[#This Row],[Tray 1 Size]]))&lt;=18,LargeTransplantTime,SmallTransplantTime)*Crops[[#This Row],[Plantings Per Bed]],0)</f>
        <v>0.5</v>
      </c>
      <c r="CI24" s="173"/>
      <c r="CJ24" s="173">
        <f>_xlfn.XLOOKUP(Crops[[#This Row],[Trellis Type]],TrellisMethods[Trellis Type],TrellisMethods[Hours],0,0)</f>
        <v>0</v>
      </c>
      <c r="CK24">
        <f>IF(Crops[[#This Row],[Days in Cells]]&lt;=0,Crops[[#This Row],[Rows]]*1/10,0)*BedLength/50</f>
        <v>0</v>
      </c>
      <c r="CL24" cm="1">
        <f t="array" ref="CL24">_xlfn.SWITCH(Crops[[#This Row],[Irrigation]],"DR", 0.5, "OH", 0.25,0)*BedLength/50</f>
        <v>0.5</v>
      </c>
      <c r="CM24">
        <f>IF(OR(ISBLANK(Crops[[#This Row],[Row Cover]]),Crops[[#This Row],[Row Cover]]="None"),0,1)*BedLength/50</f>
        <v>1</v>
      </c>
      <c r="CN24" s="173">
        <f>HoursPerWeedingPass*Crops[[#This Row],[Days In Field]]/14*Crops[[#This Row],[Rows]]+1*BedLength/50</f>
        <v>2.0238095238095237</v>
      </c>
      <c r="CO24" s="49"/>
      <c r="CQ24" s="37">
        <f>_xlfn.XLOOKUP(Crops[[#This Row],[Crop]]&amp;Crops[[#This Row],[Product]]&amp;Crops[[#This Row],[Unit]],Products[ID],Products[Marketing (hr)])*Crops[[#This Row],[Direct Revenue Per Bed]]/2000</f>
        <v>0.26</v>
      </c>
      <c r="CR24" s="37">
        <f>_xlfn.XLOOKUP(Crops[[#This Row],[Crop]]&amp;Crops[[#This Row],[Product]]&amp;Crops[[#This Row],[Unit]],Products[ID],Products[Harvest (s)])*Crops[[#This Row],[Custom Yield Per Bed]]/3600</f>
        <v>3.25</v>
      </c>
      <c r="CS24" s="37">
        <f>_xlfn.XLOOKUP(Crops[[#This Row],[Crop]]&amp;Crops[[#This Row],[Product]]&amp;Crops[[#This Row],[Unit]],Products[ID],Products[Bunch (s)])*Crops[[#This Row],[Custom Yield Per Bed]]/3600</f>
        <v>0</v>
      </c>
      <c r="CT24" s="37">
        <f>_xlfn.XLOOKUP(Crops[[#This Row],[Crop]]&amp;Crops[[#This Row],[Product]]&amp;Crops[[#This Row],[Unit]],Products[ID],Products[Haul (s)])*Crops[[#This Row],[Custom Yield Per Bed]]/3600</f>
        <v>4.0625000000000001E-2</v>
      </c>
      <c r="CU24" s="37">
        <f>_xlfn.XLOOKUP(Crops[[#This Row],[Crop]]&amp;Crops[[#This Row],[Product]]&amp;Crops[[#This Row],[Unit]],Products[ID],Products[Wash (s)])*Crops[[#This Row],[Custom Yield Per Bed]]/3600</f>
        <v>0</v>
      </c>
      <c r="CV24" s="37">
        <f>_xlfn.XLOOKUP(Crops[[#This Row],[Crop]]&amp;Crops[[#This Row],[Product]]&amp;Crops[[#This Row],[Unit]],Products[ID],Products[Condition (s)])*Crops[[#This Row],[Custom Yield Per Bed]]/3600</f>
        <v>0</v>
      </c>
      <c r="CW24" s="37">
        <f>_xlfn.XLOOKUP(Crops[[#This Row],[Crop]]&amp;Crops[[#This Row],[Product]]&amp;Crops[[#This Row],[Unit]],Products[ID],Products[Trim (s)])*Crops[[#This Row],[Custom Yield Per Bed]]/3600</f>
        <v>0</v>
      </c>
      <c r="CX24" s="37">
        <f>_xlfn.XLOOKUP(Crops[[#This Row],[Crop]]&amp;Crops[[#This Row],[Product]]&amp;Crops[[#This Row],[Unit]],Products[ID],Products[Pack (s)])*Crops[[#This Row],[Custom Yield Per Bed]]/3600</f>
        <v>5.4166666666666669E-2</v>
      </c>
      <c r="CY24" s="37">
        <f>_xlfn.XLOOKUP(Crops[[#This Row],[Crop]]&amp;Crops[[#This Row],[Product]]&amp;Crops[[#This Row],[Unit]],Products[ID],Products[Clean (s)])*Crops[[#This Row],[Custom Yield Per Bed]]/3600</f>
        <v>0</v>
      </c>
      <c r="CZ24" s="37">
        <f>_xlfn.XLOOKUP(Crops[[#This Row],[Crop]]&amp;Crops[[#This Row],[Product]]&amp;Crops[[#This Row],[Unit]],Products[ID],Products[Rehandle (s)])*Crops[[#This Row],[Custom Yield Per Bed]]/3600</f>
        <v>0</v>
      </c>
      <c r="DA24" s="37">
        <f>_xlfn.XLOOKUP(Crops[[#This Row],[Crop]]&amp;Crops[[#This Row],[Product]]&amp;Crops[[#This Row],[Unit]],Products[ID],Products[Market Transport (s)])*Crops[[#This Row],[Custom Yield Per Bed]]/3600</f>
        <v>0.1015625</v>
      </c>
      <c r="DC24" s="37">
        <f>Crops[[#This Row],[Direct Revenue Per Bed2]]</f>
        <v>520</v>
      </c>
      <c r="DD24" s="173">
        <f>_xlfn.AGGREGATE(9,6,Crops[[#This Row],[Bed Prep]:[Remove Crop Residue]])</f>
        <v>9.3260295758928589</v>
      </c>
      <c r="DE24" s="173">
        <f>_xlfn.AGGREGATE(9,6,Crops[[#This Row],[Bed Prep]:[Remove Crop Residue]])-0.75*Crops[[#This Row],[Market &amp; Sell]]</f>
        <v>9.1310295758928586</v>
      </c>
      <c r="DF24" s="36">
        <f>Crops[[#This Row],[Direct Revenue Per Bed2]]/Crops[[#This Row],[Direct Time]]</f>
        <v>55.757918819404566</v>
      </c>
      <c r="DG24" s="36">
        <f>_xlfn.XLOOKUP(Crops[[#This Row],[ProductIndex]],Products[ID],Products[Packaging Cost])*(Crops[[#This Row],[Custom Yield Per Bed]]/_xlfn.XLOOKUP(Crops[[#This Row],[ProductIndex]],Products[ID],Products[Units Per Pack]))</f>
        <v>9.879999999999999</v>
      </c>
      <c r="DH24" s="36"/>
      <c r="DI24" s="36"/>
      <c r="DJ24" s="36"/>
      <c r="DK24" s="36"/>
      <c r="DL24" s="36"/>
      <c r="DM24" s="33">
        <f>IFERROR(Crops[[#This Row],[Custom Yield Per Bed]]*Crops[[#This Row],[Direct Price]],"")</f>
        <v>520</v>
      </c>
      <c r="DN24" s="36">
        <f>Crops[[#This Row],[Direct Time]]*LaborRate</f>
        <v>233.15073939732147</v>
      </c>
      <c r="DO24" s="36">
        <f>SUM(Crops[[#This Row],[Irrigation Cost]])</f>
        <v>0</v>
      </c>
      <c r="DP24" s="36">
        <f>Crops[[#This Row],[Direct Labor Cost]]+Crops[[#This Row],[Direct Non-Labor Cost]]</f>
        <v>233.15073939732147</v>
      </c>
      <c r="DQ24" s="36">
        <f>Crops[[#This Row],[Direct Revenue Per Bed2]]-Crops[[#This Row],[Direct Total Cost]]</f>
        <v>286.84926060267856</v>
      </c>
      <c r="DR24" s="36">
        <f>Crops[[#This Row],[Direct Profit]]*BedsPerAcre</f>
        <v>45895.881696428565</v>
      </c>
      <c r="DS24" s="36">
        <f>Crops[[#This Row],[Direct Profit]]*BedsPerAcre*GrowingDays/Crops[[#This Row],[Days In Field]]</f>
        <v>192122.29547342189</v>
      </c>
      <c r="DT24" s="36">
        <f>Crops[[#This Row],[Direct Profit]]/MIN(Crops[[#This Row],[Days In Field]],GrowingDays)</f>
        <v>6.6709130372715943</v>
      </c>
      <c r="DU24" s="33">
        <f>Crops[[#This Row],[Direct Time]] * BedsPerAcre</f>
        <v>1492.1647321428575</v>
      </c>
      <c r="DV24" s="36">
        <f>(Crops[[#This Row],[Direct Revenue Per Bed2]]-Crops[[#This Row],[Direct Non-Labor Cost]])/Crops[[#This Row],[Direct Time]]</f>
        <v>55.757918819404566</v>
      </c>
      <c r="DW24" s="33">
        <f>IFERROR(Crops[[#This Row],[Custom Yield Per Bed]]*Crops[[#This Row],[Rough Wholesale Price]],"")</f>
        <v>162.5</v>
      </c>
      <c r="DX24" s="36">
        <f>Crops[[#This Row],[Wholesale Time]]*LaborRate</f>
        <v>228.27573939732147</v>
      </c>
      <c r="DY24" s="36">
        <f>SUM(Crops[[#This Row],[Packaging Costs]:[Irrigation Cost]])</f>
        <v>9.879999999999999</v>
      </c>
      <c r="DZ24" s="36">
        <f>Crops[[#This Row],[Wholesale Labor Cost]]+Crops[[#This Row],[Wholesale Non-Labor Cost]]</f>
        <v>238.15573939732147</v>
      </c>
      <c r="EA24" s="36">
        <f>Crops[[#This Row],[Wholesale Revenue Per Bed]]-Crops[[#This Row],[Wholesale Total Cost]]</f>
        <v>-75.655739397321469</v>
      </c>
      <c r="EB24" s="36">
        <f>Crops[[#This Row],[Wholesale Profit]]*BedsPerAcre</f>
        <v>-12104.918303571434</v>
      </c>
      <c r="EC24" s="36">
        <f>Crops[[#This Row],[Wholesale Profit]]*BedsPerAcre*GrowingDays/Crops[[#This Row],[Days In Field]]</f>
        <v>-50671.751038206006</v>
      </c>
      <c r="ED24" s="33">
        <f>Crops[[#This Row],[Wholesale Time]] * BedsPerAcre</f>
        <v>1460.9647321428574</v>
      </c>
      <c r="EE24" s="221">
        <f>Crops[[#This Row],[Wholesale Profit]]/MIN(Crops[[#This Row],[Days In Field]],GrowingDays)</f>
        <v>-1.7594357999377086</v>
      </c>
      <c r="EF24" s="36">
        <f>(Crops[[#This Row],[Wholesale Revenue Per Bed]]-Crops[[#This Row],[Wholesale Non-Labor Cost]])/Crops[[#This Row],[Direct Time]]</f>
        <v>16.364949173495241</v>
      </c>
      <c r="EG24" s="174">
        <f>Crops[[#This Row],[Packaging Costs]]/Crops[[#This Row],[Wholesale Revenue Per Bed]]</f>
        <v>6.0799999999999993E-2</v>
      </c>
      <c r="EH24" s="36" t="str">
        <f>Crops[[#This Row],[Crop]]&amp;Crops[[#This Row],[Product]]&amp;Crops[[#This Row],[Unit]]</f>
        <v>BeanYoung PodLb</v>
      </c>
      <c r="EI24" s="36" t="b">
        <f>_xlfn.XLOOKUP(Crops[[#This Row],[ProductIndex]],Products[ID],Products[Target])</f>
        <v>1</v>
      </c>
      <c r="EJ24" s="36">
        <f>Crops[[#This Row],[Custom Yield Per Bed]]</f>
        <v>65</v>
      </c>
      <c r="EK24" s="210">
        <f>Crops[[#This Row],[Units Per Harvest]]/Crops[[#This Row],[Days Between Harvest]]*7</f>
        <v>32.5</v>
      </c>
      <c r="EL24" s="210">
        <f>Crops[[#This Row],[Custom Yield Per Bed]]/_xlfn.XLOOKUP(Crops[[#This Row],[ProductIndex]],Products[ID],Products[CSA Portion])</f>
        <v>130</v>
      </c>
      <c r="EM24" s="210">
        <f>Crops[[#This Row],[Units Per Harvest]]/Crops[[#This Row],[Days Between Harvest]]*7/_xlfn.XLOOKUP(Crops[[#This Row],[ProductIndex]],Products[ID],Products[CSA Portion])</f>
        <v>65</v>
      </c>
      <c r="EN24" s="210">
        <f>Crops[[#This Row],[CSA Portions Per Week]]/CSAMembers</f>
        <v>1.3</v>
      </c>
      <c r="EO24" s="210"/>
      <c r="EP24" s="210"/>
      <c r="EQ24" s="210"/>
      <c r="ER24" s="210">
        <f>Crops[[#This Row],[Harvests]]*Crops[[#This Row],[Days Between Harvest]]/7</f>
        <v>2</v>
      </c>
      <c r="ES24" s="217">
        <f>_xlfn.XLOOKUP(Crops[[#This Row],[ProductIndex]],Products[ID],Products[CSA Need])</f>
        <v>1.5</v>
      </c>
      <c r="ET24" s="217">
        <f>_xlfn.XLOOKUP(Crops[[#This Row],[ProductIndex]],Products[ID],Products[CSA Times])</f>
        <v>3</v>
      </c>
      <c r="EU24" s="208">
        <f>Crops[[#This Row],[Custom Yield Per Bed]]/(Crops[[#This Row],[CSA Need]]*(_xlfn.XLOOKUP(Crops[[#This Row],[ProductIndex]],Products[ID],Products[CSA Portion])*CSAMembers))</f>
        <v>1.7333333333333334</v>
      </c>
      <c r="EV24" s="208">
        <f>_xlfn.XLOOKUP(Crops[[#This Row],[ProductIndex]],Products[ID],Products[CSA Portion])*CSAMembers*Crops[[#This Row],[CSA Need]]/Crops[[#This Row],[Custom Yield Per Bed]]</f>
        <v>0.57692307692307687</v>
      </c>
      <c r="EW24" s="208">
        <f>IFERROR(Crops[[#This Row],[Days In Field]]*Crops[[#This Row],[CSA Beds]],"")</f>
        <v>24.807692307692307</v>
      </c>
      <c r="EX24" s="208" t="e">
        <f>Crops[[#This Row],[CSA Bed Days]]*#REF!</f>
        <v>#REF!</v>
      </c>
      <c r="EY24" s="30" t="s">
        <v>349</v>
      </c>
    </row>
    <row r="25" spans="1:155" ht="15" customHeight="1">
      <c r="A25"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Bean (Pole) - Young Pod 3X | Field TP SuFa</v>
      </c>
      <c r="B25" s="28"/>
      <c r="C25" s="1" t="b">
        <v>1</v>
      </c>
      <c r="D25" s="1" t="s">
        <v>2589</v>
      </c>
      <c r="E25" s="1" t="b">
        <v>0</v>
      </c>
      <c r="F25" s="1" t="b">
        <f>IFERROR(IF(ISNUMBER(MATCH(Crops[[#This Row],[Identifier]],BedPlan[Crop], 0)), TRUE, FALSE), FALSE)</f>
        <v>1</v>
      </c>
      <c r="G25" s="1" t="b">
        <f>IFERROR(IF(ISNUMBER(MATCH(Crops[[#This Row],[Identifier]],BedPlan[Crop], 0)), TRUE, FALSE), FALSE)</f>
        <v>1</v>
      </c>
      <c r="H25" s="1" t="b">
        <v>1</v>
      </c>
      <c r="I25" t="s">
        <v>44</v>
      </c>
      <c r="J25" t="s">
        <v>150</v>
      </c>
      <c r="K25" t="s">
        <v>183</v>
      </c>
      <c r="M25" t="s">
        <v>45</v>
      </c>
      <c r="N25" t="str">
        <f>Crops[[#This Row],[Crop]]</f>
        <v>Bean</v>
      </c>
      <c r="O25" t="s">
        <v>210</v>
      </c>
      <c r="P25" t="str">
        <f>IF(OR(Crops[[#This Row],[Days in Cells]]="",Crops[[#This Row],[Days in Cells]]=0), "DS","TP")</f>
        <v>TP</v>
      </c>
      <c r="R25" t="s">
        <v>144</v>
      </c>
      <c r="S25" t="s">
        <v>144</v>
      </c>
      <c r="V25" t="str">
        <f xml:space="preserve"> IF(Crops[[#This Row],[Sp]], "Sp", "") &amp; IF(Crops[[#This Row],[Su]], "Su", "") &amp; IF(Crops[[#This Row],[Fa]], "Fa", "") &amp; IF(Crops[[#This Row],[Wi]], "Wi", "") &amp; IF(Crops[[#This Row],[OW]], "Ow","")</f>
        <v>SuFa</v>
      </c>
      <c r="W25" t="s">
        <v>144</v>
      </c>
      <c r="X25">
        <v>1</v>
      </c>
      <c r="Y25">
        <v>6</v>
      </c>
      <c r="AA25" t="s">
        <v>334</v>
      </c>
      <c r="AB25" t="b">
        <v>0</v>
      </c>
      <c r="AC25">
        <v>6</v>
      </c>
      <c r="AD25" s="32">
        <f>IFERROR(12/Crops[[#This Row],[Spacing]]*Crops[[#This Row],[Rows]]*BedLength,"")</f>
        <v>100</v>
      </c>
      <c r="AE25">
        <v>3</v>
      </c>
      <c r="AG25">
        <v>1</v>
      </c>
      <c r="AH25">
        <f>1</f>
        <v>1</v>
      </c>
      <c r="AI25" s="33">
        <f>IFERROR(Crops[[#This Row],[Plantings Per Bed]]*Crops[[#This Row],[Seeds Per Planting]]*Crops[[#This Row],[Safety Factor]]*Crops[[#This Row],[Seeding Factor]],"")</f>
        <v>300</v>
      </c>
      <c r="AL25">
        <f>_xlfn.FLOOR.MATH(IFERROR(AVERAGE(Crops[[#This Row],[DTG Lower]:[DTG Upper]]),0))</f>
        <v>0</v>
      </c>
      <c r="AM25">
        <f>SUM(Crops[[#This Row],[Tray 1 Days]],Crops[[#This Row],[Tray 2 Days]],Crops[[#This Row],[Tray 3 Days]])</f>
        <v>14</v>
      </c>
      <c r="AN25">
        <v>14</v>
      </c>
      <c r="AP25">
        <v>90</v>
      </c>
      <c r="AQ25">
        <f>IFERROR(_xlfn.FLOOR.MATH(AVERAGE(Crops[[#This Row],[DTM Lower]:[DTM Upper]])),"")</f>
        <v>90</v>
      </c>
      <c r="AR25" cm="1">
        <f t="array" ref="AR25">_xlfn.SWITCH(Crops[[#This Row],[Normal Method]],"DS",Crops[[#This Row],[Days to Germination]]+Crops[[#This Row],[DTM]] + IF(Crops[[#This Row],[Days in Cells]]&gt;0,15,0), "TP",Crops[[#This Row],[DTM]]+Crops[[#This Row],[Days in Cells]] + IF(Crops[[#This Row],[Days in Cells]]&lt;=0,20,0), "X", Crops[[#This Row],[DTM]])</f>
        <v>90</v>
      </c>
      <c r="AS25" t="s">
        <v>347</v>
      </c>
      <c r="AT25">
        <f>(Crops[[#This Row],[Harvests]]-1)*Crops[[#This Row],[Days Between Harvest]]+7</f>
        <v>43</v>
      </c>
      <c r="AU25">
        <f>Crops[[#This Row],[STH]]-Crops[[#This Row],[Days in Cells]]+Crops[[#This Row],[Harvest window]]</f>
        <v>119</v>
      </c>
      <c r="AX25">
        <v>128</v>
      </c>
      <c r="AY25">
        <v>14</v>
      </c>
      <c r="AZ25">
        <f>IFERROR(IF(Crops[[#This Row],[Tray 1 Days]]=0,"",Crops[[#This Row],[Plantings Per Bed]]/Crops[[#This Row],[Tray 1 Size]]*Crops[[#This Row],[Safety Factor]]),"")</f>
        <v>0.78125</v>
      </c>
      <c r="BC25" t="str">
        <f>IFERROR(IF(Crops[[#This Row],[Tray 2 Days]]=0,"",Crops[[#This Row],[Plantings Per Bed]]/Crops[[#This Row],[Tray 2 Size]]*Crops[[#This Row],[Safety Factor]]),"")</f>
        <v/>
      </c>
      <c r="BE25" s="32" t="str">
        <f>IF(NOT(ISBLANK(Crops[[#This Row],[Tray 3 Size]])), Crops[[#This Row],[Days in Cells Old]]-SUM(Crops[[#This Row],[Tray 1 Days]],Crops[[#This Row],[Tray 2 Days]]), "")</f>
        <v/>
      </c>
      <c r="BF25" t="str">
        <f>IFERROR(IF(Crops[[#This Row],[Tray 3 Days]]=0,"",Crops[[#This Row],[Plantings Per Bed]]/Crops[[#This Row],[Tray 3 Size]]*Crops[[#This Row],[Safety Factor]]),"")</f>
        <v/>
      </c>
      <c r="BG25" s="33">
        <f>20*BedLength/StandardBedLength</f>
        <v>10</v>
      </c>
      <c r="BH25" s="33">
        <v>13</v>
      </c>
      <c r="BI25" s="33">
        <v>3</v>
      </c>
      <c r="BJ25" s="33">
        <f>_xlfn.XLOOKUP(Crops[[#This Row],[ProductIndex]],Products[ID],Products[Holding Period])</f>
        <v>4</v>
      </c>
      <c r="BK25" s="33"/>
      <c r="BL25" s="33">
        <f>Crops[[#This Row],[Units Per Harvest]]*Crops[[#This Row],[Harvests]]</f>
        <v>130</v>
      </c>
      <c r="BM25" s="35">
        <v>8</v>
      </c>
      <c r="BN25" s="35">
        <v>2.5</v>
      </c>
      <c r="BO25" s="35"/>
      <c r="BP25" t="s">
        <v>383</v>
      </c>
      <c r="BQ25">
        <f>Crops[[#This Row],[Custom Yield Per Bed]]*Crops[[#This Row],[Direct Price]]</f>
        <v>1040</v>
      </c>
      <c r="BR25" t="b">
        <v>1</v>
      </c>
      <c r="BS25" t="b">
        <f>Crops[[#This Row],[Harvests]]&gt;1</f>
        <v>1</v>
      </c>
      <c r="BT25" s="36">
        <f>IFERROR(Crops[[#This Row],[Direct Revenue Per Bed]]/Crops[[#This Row],[Days In Field]],-1)</f>
        <v>8.7394957983193269</v>
      </c>
      <c r="BU25" s="33">
        <f>IFERROR(Crops[[#This Row],[Direct Revenue Per Bed Day]]*GrowingDays*BedsPerAcre,"")</f>
        <v>251697.47899159661</v>
      </c>
      <c r="BV25" s="38">
        <f>LastFrostDate-5*Crops[[#This Row],[Sewing Rel Last Frost]]</f>
        <v>45783</v>
      </c>
      <c r="BW25" s="38">
        <f>Crops[[#This Row],[Target Sewing Date]]+Crops[[#This Row],[Days in Cells]]</f>
        <v>45797</v>
      </c>
      <c r="BX25" s="38">
        <f>Crops[[#This Row],[Target Sewing Date]]+Crops[[#This Row],[STH]]</f>
        <v>45873</v>
      </c>
      <c r="BY25" s="38">
        <f>Crops[[#This Row],[Target Harvest Data]]+Crops[[#This Row],[Harvest window]]</f>
        <v>45916</v>
      </c>
      <c r="BZ25">
        <v>-7</v>
      </c>
      <c r="CB25">
        <f>1</f>
        <v>1</v>
      </c>
      <c r="CC25">
        <f>IF(Crops[[#This Row],[Transplanting]]&gt;0, 2, 3)*BedLength/StandardBedLength</f>
        <v>1</v>
      </c>
      <c r="CD25" s="173">
        <f>IF(Crops[[#This Row],[Days in Cells]]&lt;=0,0,Crops[[#This Row],[Plantings Per Bed]]/StartsPerHourSeeding+Crops[[#This Row],[Tray 1 Count]]*5/60)</f>
        <v>0.45572916666666669</v>
      </c>
      <c r="CE25" s="173">
        <f>IF(ISBLANK(Crops[[#This Row],[Tray 2 Days]]),0,Crops[[#This Row],[Plantings Per Bed]]/UpPottingPerHour)+IF(Crops[[#This Row],[Tray 3 Days]]="",0,Crops[[#This Row],[Plantings Per Bed]]/UpPottingPerHour)</f>
        <v>0</v>
      </c>
      <c r="CF25" s="173">
        <f>IFERROR(Crops[[#This Row],[Tray 1 Count]]/HomeStartFlatIrrigationPerHour,0)*Crops[[#This Row],[Days in Cells]]/DaysBetweenStartIrrigation</f>
        <v>4.5572916666666671E-2</v>
      </c>
      <c r="CG25" s="173">
        <f>0.5/16*MAX(Crops[[#This Row],[Tray 1 Count]],Crops[[#This Row],[Tray 2 Count]],Crops[[#This Row],[Tray 3 Count]])</f>
        <v>2.44140625E-2</v>
      </c>
      <c r="CH25" s="173">
        <f>IF(Crops[[#This Row],[Days in Cells]]&gt;0,IF(IF(Crops[[#This Row],[Tray 3 Size]]&gt;0,Crops[[#This Row],[Tray 3 Size]],IF(Crops[[#This Row],[Tray 2 Size]]&gt;0,Crops[[#This Row],[Tray 2 Size]],Crops[[#This Row],[Tray 1 Size]]))&lt;=18,LargeTransplantTime,SmallTransplantTime)*Crops[[#This Row],[Plantings Per Bed]],0)</f>
        <v>0.5</v>
      </c>
      <c r="CI25" s="173"/>
      <c r="CJ25" s="173">
        <f>_xlfn.XLOOKUP(Crops[[#This Row],[Trellis Type]],TrellisMethods[Trellis Type],TrellisMethods[Hours],0,0)</f>
        <v>0</v>
      </c>
      <c r="CK25">
        <f>IF(Crops[[#This Row],[Days in Cells]]&lt;=0,Crops[[#This Row],[Rows]]*1/10,0)*BedLength/50</f>
        <v>0</v>
      </c>
      <c r="CL25" cm="1">
        <f t="array" ref="CL25">_xlfn.SWITCH(Crops[[#This Row],[Irrigation]],"DR", 0.5, "OH", 0.25,0)*BedLength/50</f>
        <v>0</v>
      </c>
      <c r="CM25">
        <f>IF(OR(ISBLANK(Crops[[#This Row],[Row Cover]]),Crops[[#This Row],[Row Cover]]="None"),0,1)*BedLength/50</f>
        <v>1</v>
      </c>
      <c r="CN25" s="173">
        <f>HoursPerWeedingPass*Crops[[#This Row],[Days In Field]]/14*Crops[[#This Row],[Rows]]+1*BedLength/50</f>
        <v>2.4166666666666665</v>
      </c>
      <c r="CO25" s="49"/>
      <c r="CQ25" s="37">
        <f>_xlfn.XLOOKUP(Crops[[#This Row],[Crop]]&amp;Crops[[#This Row],[Product]]&amp;Crops[[#This Row],[Unit]],Products[ID],Products[Marketing (hr)])*Crops[[#This Row],[Direct Revenue Per Bed]]/2000</f>
        <v>0.52</v>
      </c>
      <c r="CR25" s="37">
        <f>_xlfn.XLOOKUP(Crops[[#This Row],[Crop]]&amp;Crops[[#This Row],[Product]]&amp;Crops[[#This Row],[Unit]],Products[ID],Products[Harvest (s)])*Crops[[#This Row],[Custom Yield Per Bed]]/3600</f>
        <v>6.5</v>
      </c>
      <c r="CS25" s="37">
        <f>_xlfn.XLOOKUP(Crops[[#This Row],[Crop]]&amp;Crops[[#This Row],[Product]]&amp;Crops[[#This Row],[Unit]],Products[ID],Products[Bunch (s)])*Crops[[#This Row],[Custom Yield Per Bed]]/3600</f>
        <v>0</v>
      </c>
      <c r="CT25" s="37">
        <f>_xlfn.XLOOKUP(Crops[[#This Row],[Crop]]&amp;Crops[[#This Row],[Product]]&amp;Crops[[#This Row],[Unit]],Products[ID],Products[Haul (s)])*Crops[[#This Row],[Custom Yield Per Bed]]/3600</f>
        <v>8.1250000000000003E-2</v>
      </c>
      <c r="CU25" s="37">
        <f>_xlfn.XLOOKUP(Crops[[#This Row],[Crop]]&amp;Crops[[#This Row],[Product]]&amp;Crops[[#This Row],[Unit]],Products[ID],Products[Wash (s)])*Crops[[#This Row],[Custom Yield Per Bed]]/3600</f>
        <v>0</v>
      </c>
      <c r="CV25" s="37">
        <f>_xlfn.XLOOKUP(Crops[[#This Row],[Crop]]&amp;Crops[[#This Row],[Product]]&amp;Crops[[#This Row],[Unit]],Products[ID],Products[Condition (s)])*Crops[[#This Row],[Custom Yield Per Bed]]/3600</f>
        <v>0</v>
      </c>
      <c r="CW25" s="37">
        <f>_xlfn.XLOOKUP(Crops[[#This Row],[Crop]]&amp;Crops[[#This Row],[Product]]&amp;Crops[[#This Row],[Unit]],Products[ID],Products[Trim (s)])*Crops[[#This Row],[Custom Yield Per Bed]]/3600</f>
        <v>0</v>
      </c>
      <c r="CX25" s="37">
        <f>_xlfn.XLOOKUP(Crops[[#This Row],[Crop]]&amp;Crops[[#This Row],[Product]]&amp;Crops[[#This Row],[Unit]],Products[ID],Products[Pack (s)])*Crops[[#This Row],[Custom Yield Per Bed]]/3600</f>
        <v>0.10833333333333334</v>
      </c>
      <c r="CY25" s="37">
        <f>_xlfn.XLOOKUP(Crops[[#This Row],[Crop]]&amp;Crops[[#This Row],[Product]]&amp;Crops[[#This Row],[Unit]],Products[ID],Products[Clean (s)])*Crops[[#This Row],[Custom Yield Per Bed]]/3600</f>
        <v>0</v>
      </c>
      <c r="CZ25" s="37">
        <f>_xlfn.XLOOKUP(Crops[[#This Row],[Crop]]&amp;Crops[[#This Row],[Product]]&amp;Crops[[#This Row],[Unit]],Products[ID],Products[Rehandle (s)])*Crops[[#This Row],[Custom Yield Per Bed]]/3600</f>
        <v>0</v>
      </c>
      <c r="DA25" s="37">
        <f>_xlfn.XLOOKUP(Crops[[#This Row],[Crop]]&amp;Crops[[#This Row],[Product]]&amp;Crops[[#This Row],[Unit]],Products[ID],Products[Market Transport (s)])*Crops[[#This Row],[Custom Yield Per Bed]]/3600</f>
        <v>0.203125</v>
      </c>
      <c r="DC25" s="37">
        <f>Crops[[#This Row],[Direct Revenue Per Bed2]]</f>
        <v>1040</v>
      </c>
      <c r="DD25" s="173">
        <f>_xlfn.AGGREGATE(9,6,Crops[[#This Row],[Bed Prep]:[Remove Crop Residue]])</f>
        <v>12.855091145833333</v>
      </c>
      <c r="DE25" s="173">
        <f>_xlfn.AGGREGATE(9,6,Crops[[#This Row],[Bed Prep]:[Remove Crop Residue]])-0.75*Crops[[#This Row],[Market &amp; Sell]]</f>
        <v>12.465091145833332</v>
      </c>
      <c r="DF25" s="36">
        <f>Crops[[#This Row],[Direct Revenue Per Bed2]]/Crops[[#This Row],[Direct Time]]</f>
        <v>80.901798999464177</v>
      </c>
      <c r="DG25" s="36">
        <f>_xlfn.XLOOKUP(Crops[[#This Row],[ProductIndex]],Products[ID],Products[Packaging Cost])*(Crops[[#This Row],[Custom Yield Per Bed]]/_xlfn.XLOOKUP(Crops[[#This Row],[ProductIndex]],Products[ID],Products[Units Per Pack]))</f>
        <v>19.759999999999998</v>
      </c>
      <c r="DH25" s="36"/>
      <c r="DI25" s="36"/>
      <c r="DJ25" s="36"/>
      <c r="DK25" s="36"/>
      <c r="DL25" s="36"/>
      <c r="DM25" s="33">
        <f>IFERROR(Crops[[#This Row],[Custom Yield Per Bed]]*Crops[[#This Row],[Direct Price]],"")</f>
        <v>1040</v>
      </c>
      <c r="DN25" s="36">
        <f>Crops[[#This Row],[Direct Time]]*LaborRate</f>
        <v>321.37727864583331</v>
      </c>
      <c r="DO25" s="36">
        <f>SUM(Crops[[#This Row],[Irrigation Cost]])</f>
        <v>0</v>
      </c>
      <c r="DP25" s="36">
        <f>Crops[[#This Row],[Direct Labor Cost]]+Crops[[#This Row],[Direct Non-Labor Cost]]</f>
        <v>321.37727864583331</v>
      </c>
      <c r="DQ25" s="36">
        <f>Crops[[#This Row],[Direct Revenue Per Bed2]]-Crops[[#This Row],[Direct Total Cost]]</f>
        <v>718.62272135416674</v>
      </c>
      <c r="DR25" s="36">
        <f>Crops[[#This Row],[Direct Profit]]*BedsPerAcre</f>
        <v>114979.63541666669</v>
      </c>
      <c r="DS25" s="36">
        <f>Crops[[#This Row],[Direct Profit]]*BedsPerAcre*GrowingDays/Crops[[#This Row],[Days In Field]]</f>
        <v>173918.77626050424</v>
      </c>
      <c r="DT25" s="36">
        <f>Crops[[#This Row],[Direct Profit]]/MIN(Crops[[#This Row],[Days In Field]],GrowingDays)</f>
        <v>6.038846397934174</v>
      </c>
      <c r="DU25" s="33">
        <f>Crops[[#This Row],[Direct Time]] * BedsPerAcre</f>
        <v>2056.8145833333333</v>
      </c>
      <c r="DV25" s="36">
        <f>(Crops[[#This Row],[Direct Revenue Per Bed2]]-Crops[[#This Row],[Direct Non-Labor Cost]])/Crops[[#This Row],[Direct Time]]</f>
        <v>80.901798999464177</v>
      </c>
      <c r="DW25" s="33">
        <f>IFERROR(Crops[[#This Row],[Custom Yield Per Bed]]*Crops[[#This Row],[Rough Wholesale Price]],"")</f>
        <v>325</v>
      </c>
      <c r="DX25" s="36">
        <f>Crops[[#This Row],[Wholesale Time]]*LaborRate</f>
        <v>311.62727864583331</v>
      </c>
      <c r="DY25" s="36">
        <f>SUM(Crops[[#This Row],[Packaging Costs]:[Irrigation Cost]])</f>
        <v>19.759999999999998</v>
      </c>
      <c r="DZ25" s="36">
        <f>Crops[[#This Row],[Wholesale Labor Cost]]+Crops[[#This Row],[Wholesale Non-Labor Cost]]</f>
        <v>331.38727864583331</v>
      </c>
      <c r="EA25" s="36">
        <f>Crops[[#This Row],[Wholesale Revenue Per Bed]]-Crops[[#This Row],[Wholesale Total Cost]]</f>
        <v>-6.3872786458333053</v>
      </c>
      <c r="EB25" s="36">
        <f>Crops[[#This Row],[Wholesale Profit]]*BedsPerAcre</f>
        <v>-1021.9645833333288</v>
      </c>
      <c r="EC25" s="36">
        <f>Crops[[#This Row],[Wholesale Profit]]*BedsPerAcre*GrowingDays/Crops[[#This Row],[Days In Field]]</f>
        <v>-1545.8287815125982</v>
      </c>
      <c r="ED25" s="33">
        <f>Crops[[#This Row],[Wholesale Time]] * BedsPerAcre</f>
        <v>1994.4145833333332</v>
      </c>
      <c r="EE25" s="221">
        <f>Crops[[#This Row],[Wholesale Profit]]/MIN(Crops[[#This Row],[Days In Field]],GrowingDays)</f>
        <v>-5.3674610469187437E-2</v>
      </c>
      <c r="EF25" s="36">
        <f>(Crops[[#This Row],[Wholesale Revenue Per Bed]]-Crops[[#This Row],[Wholesale Non-Labor Cost]])/Crops[[#This Row],[Direct Time]]</f>
        <v>23.744678006342738</v>
      </c>
      <c r="EG25" s="174">
        <f>Crops[[#This Row],[Packaging Costs]]/Crops[[#This Row],[Wholesale Revenue Per Bed]]</f>
        <v>6.0799999999999993E-2</v>
      </c>
      <c r="EH25" s="36" t="str">
        <f>Crops[[#This Row],[Crop]]&amp;Crops[[#This Row],[Product]]&amp;Crops[[#This Row],[Unit]]</f>
        <v>BeanYoung PodLb</v>
      </c>
      <c r="EI25" s="36" t="b">
        <f>_xlfn.XLOOKUP(Crops[[#This Row],[ProductIndex]],Products[ID],Products[Target])</f>
        <v>1</v>
      </c>
      <c r="EJ25" s="33">
        <f>Crops[[#This Row],[Custom Yield Per Bed]]</f>
        <v>130</v>
      </c>
      <c r="EK25" s="210">
        <f>Crops[[#This Row],[Units Per Harvest]]/Crops[[#This Row],[Days Between Harvest]]*7</f>
        <v>23.333333333333336</v>
      </c>
      <c r="EL25" s="210">
        <f>Crops[[#This Row],[Custom Yield Per Bed]]/_xlfn.XLOOKUP(Crops[[#This Row],[ProductIndex]],Products[ID],Products[CSA Portion])</f>
        <v>260</v>
      </c>
      <c r="EM25" s="210">
        <f>Crops[[#This Row],[Units Per Harvest]]/Crops[[#This Row],[Days Between Harvest]]*7/_xlfn.XLOOKUP(Crops[[#This Row],[ProductIndex]],Products[ID],Products[CSA Portion])</f>
        <v>46.666666666666671</v>
      </c>
      <c r="EN25" s="210">
        <f>Crops[[#This Row],[CSA Portions Per Week]]/CSAMembers</f>
        <v>0.93333333333333346</v>
      </c>
      <c r="EO25" s="216">
        <v>1</v>
      </c>
      <c r="EP25" s="216">
        <v>1</v>
      </c>
      <c r="EQ25" s="210"/>
      <c r="ER25" s="210">
        <f>Crops[[#This Row],[Harvests]]*Crops[[#This Row],[Days Between Harvest]]/7</f>
        <v>5.5714285714285712</v>
      </c>
      <c r="ES25" s="217">
        <f>_xlfn.XLOOKUP(Crops[[#This Row],[ProductIndex]],Products[ID],Products[CSA Need])</f>
        <v>1.5</v>
      </c>
      <c r="ET25" s="217">
        <f>_xlfn.XLOOKUP(Crops[[#This Row],[ProductIndex]],Products[ID],Products[CSA Times])</f>
        <v>3</v>
      </c>
      <c r="EU25" s="208">
        <f>Crops[[#This Row],[Custom Yield Per Bed]]/(Crops[[#This Row],[CSA Need]]*(_xlfn.XLOOKUP(Crops[[#This Row],[ProductIndex]],Products[ID],Products[CSA Portion])*CSAMembers))</f>
        <v>3.4666666666666668</v>
      </c>
      <c r="EV25" s="208">
        <f>_xlfn.XLOOKUP(Crops[[#This Row],[ProductIndex]],Products[ID],Products[CSA Portion])*CSAMembers*Crops[[#This Row],[CSA Need]]/Crops[[#This Row],[Custom Yield Per Bed]]</f>
        <v>0.28846153846153844</v>
      </c>
      <c r="EW25" s="208">
        <f>IFERROR(Crops[[#This Row],[Days In Field]]*Crops[[#This Row],[CSA Beds]],"")</f>
        <v>34.326923076923073</v>
      </c>
      <c r="EX25" s="208" t="e">
        <f>Crops[[#This Row],[CSA Bed Days]]*#REF!</f>
        <v>#REF!</v>
      </c>
      <c r="EY25" t="s">
        <v>274</v>
      </c>
    </row>
    <row r="26" spans="1:155" ht="15" customHeight="1">
      <c r="A26"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(Ruby Moon Beans) - Flowering Tendril 1X | Field TP </v>
      </c>
      <c r="B26" s="28"/>
      <c r="C26" s="1" t="b">
        <v>0</v>
      </c>
      <c r="D26" s="1"/>
      <c r="E26" s="1" t="b">
        <v>0</v>
      </c>
      <c r="F26" s="1" t="b">
        <f>IFERROR(IF(ISNUMBER(MATCH(Crops[[#This Row],[Identifier]],BedPlan[Crop], 0)), TRUE, FALSE), FALSE)</f>
        <v>0</v>
      </c>
      <c r="G26" s="1" t="b">
        <f>IFERROR(IF(ISNUMBER(MATCH(Crops[[#This Row],[Identifier]],BedPlan[Crop], 0)), TRUE, FALSE), FALSE)</f>
        <v>0</v>
      </c>
      <c r="H26" s="1"/>
      <c r="I26" t="s">
        <v>44</v>
      </c>
      <c r="J26" t="s">
        <v>152</v>
      </c>
      <c r="K26" t="s">
        <v>184</v>
      </c>
      <c r="M26" t="s">
        <v>406</v>
      </c>
      <c r="N26" t="s">
        <v>1311</v>
      </c>
      <c r="O26" t="s">
        <v>210</v>
      </c>
      <c r="P26" t="str">
        <f>IF(OR(Crops[[#This Row],[Days in Cells]]="",Crops[[#This Row],[Days in Cells]]=0), "DS","TP")</f>
        <v>TP</v>
      </c>
      <c r="V26" t="str">
        <f xml:space="preserve"> IF(Crops[[#This Row],[Sp]], "Sp", "") &amp; IF(Crops[[#This Row],[Su]], "Su", "") &amp; IF(Crops[[#This Row],[Fa]], "Fa", "") &amp; IF(Crops[[#This Row],[Wi]], "Wi", "") &amp; IF(Crops[[#This Row],[OW]], "Ow","")</f>
        <v/>
      </c>
      <c r="W26" t="s">
        <v>144</v>
      </c>
      <c r="X26">
        <v>1</v>
      </c>
      <c r="Y26">
        <v>12</v>
      </c>
      <c r="Z26" t="s">
        <v>432</v>
      </c>
      <c r="AA26" t="s">
        <v>334</v>
      </c>
      <c r="AB26" t="b">
        <v>1</v>
      </c>
      <c r="AC26">
        <v>5</v>
      </c>
      <c r="AD26" s="32">
        <f>IFERROR(12/Crops[[#This Row],[Spacing]]*Crops[[#This Row],[Rows]]*BedLength,"")</f>
        <v>50</v>
      </c>
      <c r="AE26">
        <v>1</v>
      </c>
      <c r="AG26">
        <f>IF(Crops[[#This Row],[Custom Safety Factor]]="",PlantingSafetyFactor,Crops[[#This Row],[Custom Safety Factor]])</f>
        <v>1.3</v>
      </c>
      <c r="AH26">
        <f>1</f>
        <v>1</v>
      </c>
      <c r="AI26" s="33">
        <f>IFERROR(Crops[[#This Row],[Plantings Per Bed]]*Crops[[#This Row],[Seeds Per Planting]]*Crops[[#This Row],[Safety Factor]]*Crops[[#This Row],[Seeding Factor]],"")</f>
        <v>65</v>
      </c>
      <c r="AJ26">
        <v>5</v>
      </c>
      <c r="AK26">
        <v>12</v>
      </c>
      <c r="AL26">
        <f>_xlfn.FLOOR.MATH(IFERROR(AVERAGE(Crops[[#This Row],[DTG Lower]:[DTG Upper]]),0))</f>
        <v>8</v>
      </c>
      <c r="AM26">
        <f>SUM(Crops[[#This Row],[Tray 1 Days]],Crops[[#This Row],[Tray 2 Days]],Crops[[#This Row],[Tray 3 Days]])</f>
        <v>30</v>
      </c>
      <c r="AN26" s="32">
        <v>30</v>
      </c>
      <c r="AO26">
        <v>110</v>
      </c>
      <c r="AP26">
        <v>120</v>
      </c>
      <c r="AQ26">
        <f>IFERROR(_xlfn.FLOOR.MATH(AVERAGE(Crops[[#This Row],[DTM Lower]:[DTM Upper]])),"")</f>
        <v>115</v>
      </c>
      <c r="AR26" cm="1">
        <f t="array" ref="AR26">_xlfn.SWITCH(Crops[[#This Row],[Normal Method]],"DS",Crops[[#This Row],[Days to Germination]]+Crops[[#This Row],[DTM]] + IF(Crops[[#This Row],[Days in Cells]]&gt;0,15,0), "TP",Crops[[#This Row],[DTM]]+Crops[[#This Row],[Days in Cells]] + IF(Crops[[#This Row],[Days in Cells]]&lt;=0,20,0), "X", Crops[[#This Row],[DTM]])</f>
        <v>145</v>
      </c>
      <c r="AS26" t="s">
        <v>346</v>
      </c>
      <c r="AT26">
        <f>(Crops[[#This Row],[Harvests]]-1)*Crops[[#This Row],[Days Between Harvest]]+7</f>
        <v>70</v>
      </c>
      <c r="AU26">
        <f>Crops[[#This Row],[STH]]-Crops[[#This Row],[Days in Cells]]+Crops[[#This Row],[Harvest window]]</f>
        <v>185</v>
      </c>
      <c r="AX26">
        <v>128</v>
      </c>
      <c r="AY26">
        <v>30</v>
      </c>
      <c r="AZ26" s="49">
        <f>IFERROR(IF(Crops[[#This Row],[Tray 1 Days]]=0,"",Crops[[#This Row],[Plantings Per Bed]]/Crops[[#This Row],[Tray 1 Size]]*Crops[[#This Row],[Safety Factor]]),"")</f>
        <v>0.5078125</v>
      </c>
      <c r="BC26" t="str">
        <f>IFERROR(IF(Crops[[#This Row],[Tray 2 Days]]=0,"",Crops[[#This Row],[Plantings Per Bed]]/Crops[[#This Row],[Tray 2 Size]]*Crops[[#This Row],[Safety Factor]]),"")</f>
        <v/>
      </c>
      <c r="BE26" s="32" t="str">
        <f>IF(NOT(ISBLANK(Crops[[#This Row],[Tray 3 Size]])), Crops[[#This Row],[Days in Cells Old]]-SUM(Crops[[#This Row],[Tray 1 Days]],Crops[[#This Row],[Tray 2 Days]]), "")</f>
        <v/>
      </c>
      <c r="BF26" s="49" t="str">
        <f>IFERROR(IF(Crops[[#This Row],[Tray 3 Days]]=0,"",Crops[[#This Row],[Plantings Per Bed]]/Crops[[#This Row],[Tray 3 Size]]*Crops[[#This Row],[Safety Factor]]),"")</f>
        <v/>
      </c>
      <c r="BG26" s="33">
        <f>Crops[[#This Row],[Plantings Per Bed]]*2</f>
        <v>100</v>
      </c>
      <c r="BH26" s="33">
        <v>10</v>
      </c>
      <c r="BI26" s="33">
        <v>7</v>
      </c>
      <c r="BJ26" s="33">
        <f>_xlfn.XLOOKUP(Crops[[#This Row],[ProductIndex]],Products[ID],Products[Holding Period])</f>
        <v>0</v>
      </c>
      <c r="BK26" s="33"/>
      <c r="BL26" s="33">
        <f>Crops[[#This Row],[Units Per Harvest]]*Crops[[#This Row],[Harvests]]</f>
        <v>1000</v>
      </c>
      <c r="BM26" s="35">
        <v>4</v>
      </c>
      <c r="BN26" s="35">
        <f>Crops[[#This Row],[Direct Price]]*0.6</f>
        <v>2.4</v>
      </c>
      <c r="BO26" s="35"/>
      <c r="BP26" t="s">
        <v>213</v>
      </c>
      <c r="BQ26">
        <f>Crops[[#This Row],[Custom Yield Per Bed]]*Crops[[#This Row],[Direct Price]]</f>
        <v>4000</v>
      </c>
      <c r="BR26" t="b">
        <v>0</v>
      </c>
      <c r="BS26" t="b">
        <f>Crops[[#This Row],[Harvests]]&gt;1</f>
        <v>1</v>
      </c>
      <c r="BT26" s="36">
        <f>IFERROR(Crops[[#This Row],[Direct Revenue Per Bed]]/Crops[[#This Row],[Days In Field]],-1)</f>
        <v>21.621621621621621</v>
      </c>
      <c r="BU26" s="33">
        <f>IFERROR(Crops[[#This Row],[Direct Revenue Per Bed Day]]*GrowingDays*BedsPerAcre,"")</f>
        <v>622702.70270270272</v>
      </c>
      <c r="BV26" s="38">
        <f>LastFrostDate-5*Crops[[#This Row],[Sewing Rel Last Frost]]</f>
        <v>45728</v>
      </c>
      <c r="BW26" s="38">
        <f>Crops[[#This Row],[Target Sewing Date]]+Crops[[#This Row],[Days in Cells]]</f>
        <v>45758</v>
      </c>
      <c r="BX26" s="38">
        <f>Crops[[#This Row],[Target Sewing Date]]+Crops[[#This Row],[STH]]</f>
        <v>45873</v>
      </c>
      <c r="BY26" s="38">
        <f>Crops[[#This Row],[Target Harvest Data]]+Crops[[#This Row],[Harvest window]]</f>
        <v>45943</v>
      </c>
      <c r="BZ26">
        <v>4</v>
      </c>
      <c r="CB26">
        <f>1</f>
        <v>1</v>
      </c>
      <c r="CC26">
        <f>IF(Crops[[#This Row],[Transplanting]]&gt;0, 2, 3)*BedLength/StandardBedLength</f>
        <v>1</v>
      </c>
      <c r="CD26" s="173">
        <f>IF(Crops[[#This Row],[Days in Cells]]&lt;=0,0,Crops[[#This Row],[Plantings Per Bed]]/StartsPerHourSeeding+Crops[[#This Row],[Tray 1 Count]]*5/60)</f>
        <v>0.23763020833333334</v>
      </c>
      <c r="CE26" s="173">
        <f>IF(ISBLANK(Crops[[#This Row],[Tray 2 Days]]),0,Crops[[#This Row],[Plantings Per Bed]]/UpPottingPerHour)+IF(Crops[[#This Row],[Tray 3 Days]]="",0,Crops[[#This Row],[Plantings Per Bed]]/UpPottingPerHour)</f>
        <v>0</v>
      </c>
      <c r="CF26" s="173">
        <f>IFERROR(Crops[[#This Row],[Tray 1 Count]]/HomeStartFlatIrrigationPerHour,0)*Crops[[#This Row],[Days in Cells]]/DaysBetweenStartIrrigation</f>
        <v>6.34765625E-2</v>
      </c>
      <c r="CG26" s="173">
        <f>0.5/16*MAX(Crops[[#This Row],[Tray 1 Count]],Crops[[#This Row],[Tray 2 Count]],Crops[[#This Row],[Tray 3 Count]])</f>
        <v>1.5869140625E-2</v>
      </c>
      <c r="CH26" s="173">
        <f>IF(Crops[[#This Row],[Days in Cells]]&gt;0,IF(IF(Crops[[#This Row],[Tray 3 Size]]&gt;0,Crops[[#This Row],[Tray 3 Size]],IF(Crops[[#This Row],[Tray 2 Size]]&gt;0,Crops[[#This Row],[Tray 2 Size]],Crops[[#This Row],[Tray 1 Size]]))&lt;=18,LargeTransplantTime,SmallTransplantTime)*Crops[[#This Row],[Plantings Per Bed]],0)</f>
        <v>0.25</v>
      </c>
      <c r="CI26" s="173"/>
      <c r="CJ26" s="173">
        <f>_xlfn.XLOOKUP(Crops[[#This Row],[Trellis Type]],TrellisMethods[Trellis Type],TrellisMethods[Hours],0,0)</f>
        <v>0</v>
      </c>
      <c r="CK26">
        <f>IF(Crops[[#This Row],[Days in Cells]]&lt;=0,Crops[[#This Row],[Rows]]*1/10,0)*BedLength/50</f>
        <v>0</v>
      </c>
      <c r="CL26" cm="1">
        <f t="array" ref="CL26">_xlfn.SWITCH(Crops[[#This Row],[Irrigation]],"DR", 0.5, "OH", 0.25,0)*BedLength/50</f>
        <v>0.5</v>
      </c>
      <c r="CM26">
        <f>IF(OR(ISBLANK(Crops[[#This Row],[Row Cover]]),Crops[[#This Row],[Row Cover]]="None"),0,1)*BedLength/50</f>
        <v>1</v>
      </c>
      <c r="CN26" s="173">
        <f>HoursPerWeedingPass*Crops[[#This Row],[Days In Field]]/14*Crops[[#This Row],[Rows]]+1*BedLength/50</f>
        <v>3.2023809523809521</v>
      </c>
      <c r="CQ26" s="37">
        <f>_xlfn.XLOOKUP(Crops[[#This Row],[Crop]]&amp;Crops[[#This Row],[Product]]&amp;Crops[[#This Row],[Unit]],Products[ID],Products[Marketing (hr)])*Crops[[#This Row],[Direct Revenue Per Bed]]/2000</f>
        <v>12</v>
      </c>
      <c r="CR26" s="37">
        <f>_xlfn.XLOOKUP(Crops[[#This Row],[Crop]]&amp;Crops[[#This Row],[Product]]&amp;Crops[[#This Row],[Unit]],Products[ID],Products[Harvest (s)])*Crops[[#This Row],[Custom Yield Per Bed]]/3600</f>
        <v>16.666666666666668</v>
      </c>
      <c r="CS26" s="37">
        <f>_xlfn.XLOOKUP(Crops[[#This Row],[Crop]]&amp;Crops[[#This Row],[Product]]&amp;Crops[[#This Row],[Unit]],Products[ID],Products[Bunch (s)])*Crops[[#This Row],[Custom Yield Per Bed]]/3600</f>
        <v>0</v>
      </c>
      <c r="CT26" s="37">
        <f>_xlfn.XLOOKUP(Crops[[#This Row],[Crop]]&amp;Crops[[#This Row],[Product]]&amp;Crops[[#This Row],[Unit]],Products[ID],Products[Haul (s)])*Crops[[#This Row],[Custom Yield Per Bed]]/3600</f>
        <v>0.5</v>
      </c>
      <c r="CU26" s="37">
        <f>_xlfn.XLOOKUP(Crops[[#This Row],[Crop]]&amp;Crops[[#This Row],[Product]]&amp;Crops[[#This Row],[Unit]],Products[ID],Products[Wash (s)])*Crops[[#This Row],[Custom Yield Per Bed]]/3600</f>
        <v>0</v>
      </c>
      <c r="CV26" s="37">
        <f>_xlfn.XLOOKUP(Crops[[#This Row],[Crop]]&amp;Crops[[#This Row],[Product]]&amp;Crops[[#This Row],[Unit]],Products[ID],Products[Condition (s)])*Crops[[#This Row],[Custom Yield Per Bed]]/3600</f>
        <v>0</v>
      </c>
      <c r="CW26" s="37">
        <f>_xlfn.XLOOKUP(Crops[[#This Row],[Crop]]&amp;Crops[[#This Row],[Product]]&amp;Crops[[#This Row],[Unit]],Products[ID],Products[Trim (s)])*Crops[[#This Row],[Custom Yield Per Bed]]/3600</f>
        <v>0</v>
      </c>
      <c r="CX26" s="37">
        <f>_xlfn.XLOOKUP(Crops[[#This Row],[Crop]]&amp;Crops[[#This Row],[Product]]&amp;Crops[[#This Row],[Unit]],Products[ID],Products[Pack (s)])*Crops[[#This Row],[Custom Yield Per Bed]]/3600</f>
        <v>0.83333333333333337</v>
      </c>
      <c r="CY26" s="37">
        <f>_xlfn.XLOOKUP(Crops[[#This Row],[Crop]]&amp;Crops[[#This Row],[Product]]&amp;Crops[[#This Row],[Unit]],Products[ID],Products[Clean (s)])*Crops[[#This Row],[Custom Yield Per Bed]]/3600</f>
        <v>0</v>
      </c>
      <c r="CZ26" s="37">
        <f>_xlfn.XLOOKUP(Crops[[#This Row],[Crop]]&amp;Crops[[#This Row],[Product]]&amp;Crops[[#This Row],[Unit]],Products[ID],Products[Rehandle (s)])*Crops[[#This Row],[Custom Yield Per Bed]]/3600</f>
        <v>0</v>
      </c>
      <c r="DA26" s="37">
        <f>_xlfn.XLOOKUP(Crops[[#This Row],[Crop]]&amp;Crops[[#This Row],[Product]]&amp;Crops[[#This Row],[Unit]],Products[ID],Products[Market Transport (s)])*Crops[[#This Row],[Custom Yield Per Bed]]/3600</f>
        <v>1.25</v>
      </c>
      <c r="DC26" s="37">
        <f>Crops[[#This Row],[Direct Revenue Per Bed2]]</f>
        <v>4000</v>
      </c>
      <c r="DD26" s="173">
        <f>_xlfn.AGGREGATE(9,6,Crops[[#This Row],[Bed Prep]:[Remove Crop Residue]])</f>
        <v>37.519356863839285</v>
      </c>
      <c r="DE26" s="173">
        <f>_xlfn.AGGREGATE(9,6,Crops[[#This Row],[Bed Prep]:[Remove Crop Residue]])-0.75*Crops[[#This Row],[Market &amp; Sell]]</f>
        <v>28.519356863839285</v>
      </c>
      <c r="DF26" s="36">
        <f>Crops[[#This Row],[Direct Revenue Per Bed2]]/Crops[[#This Row],[Direct Time]]</f>
        <v>106.61163554898653</v>
      </c>
      <c r="DG26" s="36">
        <f>_xlfn.XLOOKUP(Crops[[#This Row],[ProductIndex]],Products[ID],Products[Packaging Cost])*(Crops[[#This Row],[Custom Yield Per Bed]]/_xlfn.XLOOKUP(Crops[[#This Row],[ProductIndex]],Products[ID],Products[Units Per Pack]))</f>
        <v>80</v>
      </c>
      <c r="DH26" s="36"/>
      <c r="DI26" s="36"/>
      <c r="DJ26" s="36"/>
      <c r="DK26" s="36"/>
      <c r="DL26" s="36"/>
      <c r="DM26" s="33">
        <f>IFERROR(Crops[[#This Row],[Custom Yield Per Bed]]*Crops[[#This Row],[Direct Price]],"")</f>
        <v>4000</v>
      </c>
      <c r="DN26" s="36">
        <f>Crops[[#This Row],[Direct Time]]*LaborRate</f>
        <v>937.98392159598211</v>
      </c>
      <c r="DO26" s="36">
        <f>SUM(Crops[[#This Row],[Irrigation Cost]])</f>
        <v>0</v>
      </c>
      <c r="DP26" s="36">
        <f>Crops[[#This Row],[Direct Labor Cost]]+Crops[[#This Row],[Direct Non-Labor Cost]]</f>
        <v>937.98392159598211</v>
      </c>
      <c r="DQ26" s="36">
        <f>Crops[[#This Row],[Direct Revenue Per Bed2]]-Crops[[#This Row],[Direct Total Cost]]</f>
        <v>3062.0160784040181</v>
      </c>
      <c r="DR26" s="36">
        <f>Crops[[#This Row],[Direct Profit]]*BedsPerAcre</f>
        <v>489922.5725446429</v>
      </c>
      <c r="DS26" s="36">
        <f>Crops[[#This Row],[Direct Profit]]*BedsPerAcre*GrowingDays/Crops[[#This Row],[Days In Field]]</f>
        <v>476681.42193532822</v>
      </c>
      <c r="DT26" s="36">
        <f>Crops[[#This Row],[Direct Profit]]/MIN(Crops[[#This Row],[Days In Field]],GrowingDays)</f>
        <v>17.01120043557788</v>
      </c>
      <c r="DU26" s="36">
        <f>Crops[[#This Row],[Direct Time]] * BedsPerAcre</f>
        <v>6003.0970982142853</v>
      </c>
      <c r="DV26" s="36">
        <f>(Crops[[#This Row],[Direct Revenue Per Bed2]]-Crops[[#This Row],[Direct Non-Labor Cost]])/Crops[[#This Row],[Direct Time]]</f>
        <v>106.61163554898653</v>
      </c>
      <c r="DW26" s="33">
        <f>IFERROR(Crops[[#This Row],[Custom Yield Per Bed]]*Crops[[#This Row],[Rough Wholesale Price]],"")</f>
        <v>2400</v>
      </c>
      <c r="DX26" s="36">
        <f>Crops[[#This Row],[Wholesale Time]]*LaborRate</f>
        <v>712.98392159598211</v>
      </c>
      <c r="DY26" s="36">
        <f>SUM(Crops[[#This Row],[Packaging Costs]:[Irrigation Cost]])</f>
        <v>80</v>
      </c>
      <c r="DZ26" s="36">
        <f>Crops[[#This Row],[Wholesale Labor Cost]]+Crops[[#This Row],[Wholesale Non-Labor Cost]]</f>
        <v>792.98392159598211</v>
      </c>
      <c r="EA26" s="36">
        <f>Crops[[#This Row],[Wholesale Revenue Per Bed]]-Crops[[#This Row],[Wholesale Total Cost]]</f>
        <v>1607.0160784040179</v>
      </c>
      <c r="EB26" s="36">
        <f>Crops[[#This Row],[Wholesale Profit]]*BedsPerAcre</f>
        <v>257122.57254464287</v>
      </c>
      <c r="EC26" s="36">
        <f>Crops[[#This Row],[Wholesale Profit]]*BedsPerAcre*GrowingDays/Crops[[#This Row],[Days In Field]]</f>
        <v>250173.31382722009</v>
      </c>
      <c r="ED26" s="36">
        <f>Crops[[#This Row],[Wholesale Time]] * BedsPerAcre</f>
        <v>4563.0970982142853</v>
      </c>
      <c r="EE26" s="36">
        <f>Crops[[#This Row],[Wholesale Profit]]/MIN(Crops[[#This Row],[Days In Field]],GrowingDays)</f>
        <v>8.9278671022445444</v>
      </c>
      <c r="EF26" s="36">
        <f>(Crops[[#This Row],[Wholesale Revenue Per Bed]]-Crops[[#This Row],[Wholesale Non-Labor Cost]])/Crops[[#This Row],[Direct Time]]</f>
        <v>61.834748618412185</v>
      </c>
      <c r="EG26" s="174">
        <f>Crops[[#This Row],[Packaging Costs]]/Crops[[#This Row],[Wholesale Revenue Per Bed]]</f>
        <v>3.3333333333333333E-2</v>
      </c>
      <c r="EH26" s="36" t="str">
        <f>Crops[[#This Row],[Crop]]&amp;Crops[[#This Row],[Product]]&amp;Crops[[#This Row],[Unit]]</f>
        <v>BeanFlowering TendrilStem</v>
      </c>
      <c r="EI26" s="36" t="b">
        <f>_xlfn.XLOOKUP(Crops[[#This Row],[ProductIndex]],Products[ID],Products[Target])</f>
        <v>0</v>
      </c>
      <c r="EJ26" s="36">
        <f>Crops[[#This Row],[Custom Yield Per Bed]]</f>
        <v>1000</v>
      </c>
      <c r="EK26" s="210">
        <f>Crops[[#This Row],[Units Per Harvest]]/Crops[[#This Row],[Days Between Harvest]]*7</f>
        <v>100</v>
      </c>
      <c r="EL26" s="210" t="e">
        <f>Crops[[#This Row],[Custom Yield Per Bed]]/_xlfn.XLOOKUP(Crops[[#This Row],[ProductIndex]],Products[ID],Products[CSA Portion])</f>
        <v>#DIV/0!</v>
      </c>
      <c r="EM26" s="210" t="e">
        <f>Crops[[#This Row],[Units Per Harvest]]/Crops[[#This Row],[Days Between Harvest]]*7/_xlfn.XLOOKUP(Crops[[#This Row],[ProductIndex]],Products[ID],Products[CSA Portion])</f>
        <v>#DIV/0!</v>
      </c>
      <c r="EN26" s="210" t="e">
        <f>Crops[[#This Row],[CSA Portions Per Week]]/CSAMembers</f>
        <v>#DIV/0!</v>
      </c>
      <c r="EO26" s="210"/>
      <c r="EP26" s="210"/>
      <c r="EQ26" s="36"/>
      <c r="ER26" s="36">
        <f>Crops[[#This Row],[Harvests]]*Crops[[#This Row],[Days Between Harvest]]/7</f>
        <v>10</v>
      </c>
      <c r="ES26" s="208">
        <f>_xlfn.XLOOKUP(Crops[[#This Row],[ProductIndex]],Products[ID],Products[CSA Need])</f>
        <v>0</v>
      </c>
      <c r="ET26" s="208">
        <f>_xlfn.XLOOKUP(Crops[[#This Row],[ProductIndex]],Products[ID],Products[CSA Times])</f>
        <v>0</v>
      </c>
      <c r="EU26" s="208" t="e">
        <f>Crops[[#This Row],[Custom Yield Per Bed]]/(Crops[[#This Row],[CSA Need]]*(_xlfn.XLOOKUP(Crops[[#This Row],[ProductIndex]],Products[ID],Products[CSA Portion])*CSAMembers))</f>
        <v>#DIV/0!</v>
      </c>
      <c r="EV26" s="208">
        <f>_xlfn.XLOOKUP(Crops[[#This Row],[ProductIndex]],Products[ID],Products[CSA Portion])*CSAMembers*Crops[[#This Row],[CSA Need]]/Crops[[#This Row],[Custom Yield Per Bed]]</f>
        <v>0</v>
      </c>
      <c r="EW26" s="208">
        <f>IFERROR(Crops[[#This Row],[Days In Field]]*Crops[[#This Row],[CSA Beds]],"")</f>
        <v>0</v>
      </c>
      <c r="EX26" s="208" t="e">
        <f>Crops[[#This Row],[CSA Bed Days]]*#REF!</f>
        <v>#REF!</v>
      </c>
      <c r="EY26" t="s">
        <v>275</v>
      </c>
    </row>
    <row r="27" spans="1:155" ht="15" customHeight="1">
      <c r="A27"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(Runner Bean) - Flowering Tendril 1X | Field TP </v>
      </c>
      <c r="B27" s="28"/>
      <c r="C27" s="1" t="b">
        <v>0</v>
      </c>
      <c r="D27" s="1"/>
      <c r="E27" s="1" t="b">
        <v>0</v>
      </c>
      <c r="F27" s="1" t="b">
        <f>IFERROR(IF(ISNUMBER(MATCH(Crops[[#This Row],[Identifier]],BedPlan[Crop], 0)), TRUE, FALSE), FALSE)</f>
        <v>0</v>
      </c>
      <c r="G27" s="1" t="b">
        <f>IFERROR(IF(ISNUMBER(MATCH(Crops[[#This Row],[Identifier]],BedPlan[Crop], 0)), TRUE, FALSE), FALSE)</f>
        <v>0</v>
      </c>
      <c r="H27" s="1"/>
      <c r="I27" t="s">
        <v>44</v>
      </c>
      <c r="J27" t="s">
        <v>2255</v>
      </c>
      <c r="K27" t="s">
        <v>184</v>
      </c>
      <c r="M27" t="s">
        <v>45</v>
      </c>
      <c r="N27" t="s">
        <v>1311</v>
      </c>
      <c r="O27" t="s">
        <v>210</v>
      </c>
      <c r="P27" t="str">
        <f>IF(OR(Crops[[#This Row],[Days in Cells]]="",Crops[[#This Row],[Days in Cells]]=0), "DS","TP")</f>
        <v>TP</v>
      </c>
      <c r="V27" t="str">
        <f xml:space="preserve"> IF(Crops[[#This Row],[Sp]], "Sp", "") &amp; IF(Crops[[#This Row],[Su]], "Su", "") &amp; IF(Crops[[#This Row],[Fa]], "Fa", "") &amp; IF(Crops[[#This Row],[Wi]], "Wi", "") &amp; IF(Crops[[#This Row],[OW]], "Ow","")</f>
        <v/>
      </c>
      <c r="W27" t="s">
        <v>144</v>
      </c>
      <c r="X27">
        <v>1</v>
      </c>
      <c r="Y27">
        <v>6</v>
      </c>
      <c r="Z27" t="s">
        <v>432</v>
      </c>
      <c r="AA27" t="s">
        <v>334</v>
      </c>
      <c r="AB27" t="b">
        <v>0</v>
      </c>
      <c r="AC27">
        <v>5</v>
      </c>
      <c r="AD27" s="32">
        <f>IFERROR(12/Crops[[#This Row],[Spacing]]*Crops[[#This Row],[Rows]]*BedLength,"")</f>
        <v>100</v>
      </c>
      <c r="AE27">
        <v>1</v>
      </c>
      <c r="AG27">
        <f>IF(Crops[[#This Row],[Custom Safety Factor]]="",PlantingSafetyFactor,Crops[[#This Row],[Custom Safety Factor]])</f>
        <v>1.3</v>
      </c>
      <c r="AH27">
        <f>1</f>
        <v>1</v>
      </c>
      <c r="AI27" s="33">
        <f>IFERROR(Crops[[#This Row],[Plantings Per Bed]]*Crops[[#This Row],[Seeds Per Planting]]*Crops[[#This Row],[Safety Factor]]*Crops[[#This Row],[Seeding Factor]],"")</f>
        <v>130</v>
      </c>
      <c r="AJ27">
        <v>4</v>
      </c>
      <c r="AK27">
        <v>7</v>
      </c>
      <c r="AL27">
        <f>_xlfn.FLOOR.MATH(IFERROR(AVERAGE(Crops[[#This Row],[DTG Lower]:[DTG Upper]]),0))</f>
        <v>5</v>
      </c>
      <c r="AM27">
        <f>SUM(Crops[[#This Row],[Tray 1 Days]],Crops[[#This Row],[Tray 2 Days]],Crops[[#This Row],[Tray 3 Days]])</f>
        <v>18</v>
      </c>
      <c r="AN27" s="32">
        <v>20</v>
      </c>
      <c r="AP27">
        <v>90</v>
      </c>
      <c r="AQ27">
        <f>IFERROR(_xlfn.FLOOR.MATH(AVERAGE(Crops[[#This Row],[DTM Lower]:[DTM Upper]])),"")</f>
        <v>90</v>
      </c>
      <c r="AR27" cm="1">
        <f t="array" ref="AR27">_xlfn.SWITCH(Crops[[#This Row],[Normal Method]],"DS",Crops[[#This Row],[Days to Germination]]+Crops[[#This Row],[DTM]] + IF(Crops[[#This Row],[Days in Cells]]&gt;0,15,0), "TP",Crops[[#This Row],[DTM]]+Crops[[#This Row],[Days in Cells]] + IF(Crops[[#This Row],[Days in Cells]]&lt;=0,20,0), "X", Crops[[#This Row],[DTM]])</f>
        <v>110</v>
      </c>
      <c r="AS27" t="s">
        <v>338</v>
      </c>
      <c r="AT27">
        <f>(Crops[[#This Row],[Harvests]]-1)*Crops[[#This Row],[Days Between Harvest]]+7</f>
        <v>70</v>
      </c>
      <c r="AU27">
        <f>Crops[[#This Row],[STH]]-Crops[[#This Row],[Days in Cells]]+Crops[[#This Row],[Harvest window]]</f>
        <v>162</v>
      </c>
      <c r="AX27">
        <v>72</v>
      </c>
      <c r="AY27">
        <f>18</f>
        <v>18</v>
      </c>
      <c r="AZ27" s="49">
        <f>IFERROR(IF(Crops[[#This Row],[Tray 1 Days]]=0,"",Crops[[#This Row],[Plantings Per Bed]]/Crops[[#This Row],[Tray 1 Size]]*Crops[[#This Row],[Safety Factor]]),"")</f>
        <v>1.8055555555555556</v>
      </c>
      <c r="BC27" t="str">
        <f>IFERROR(IF(Crops[[#This Row],[Tray 2 Days]]=0,"",Crops[[#This Row],[Plantings Per Bed]]/Crops[[#This Row],[Tray 2 Size]]*Crops[[#This Row],[Safety Factor]]),"")</f>
        <v/>
      </c>
      <c r="BE27" s="32" t="str">
        <f>IF(NOT(ISBLANK(Crops[[#This Row],[Tray 3 Size]])), Crops[[#This Row],[Days in Cells Old]]-SUM(Crops[[#This Row],[Tray 1 Days]],Crops[[#This Row],[Tray 2 Days]]), "")</f>
        <v/>
      </c>
      <c r="BF27" s="49" t="str">
        <f>IFERROR(IF(Crops[[#This Row],[Tray 3 Days]]=0,"",Crops[[#This Row],[Plantings Per Bed]]/Crops[[#This Row],[Tray 3 Size]]*Crops[[#This Row],[Safety Factor]]),"")</f>
        <v/>
      </c>
      <c r="BG27" s="33">
        <f>Crops[[#This Row],[Plantings Per Bed]]*2</f>
        <v>200</v>
      </c>
      <c r="BH27" s="33">
        <v>10</v>
      </c>
      <c r="BI27" s="33">
        <v>7</v>
      </c>
      <c r="BJ27" s="33">
        <f>_xlfn.XLOOKUP(Crops[[#This Row],[ProductIndex]],Products[ID],Products[Holding Period])</f>
        <v>0</v>
      </c>
      <c r="BK27" s="33"/>
      <c r="BL27" s="33">
        <f>Crops[[#This Row],[Units Per Harvest]]*Crops[[#This Row],[Harvests]]</f>
        <v>2000</v>
      </c>
      <c r="BM27" s="35">
        <v>1</v>
      </c>
      <c r="BN27" s="35">
        <f>Crops[[#This Row],[Direct Price]]*0.6</f>
        <v>0.6</v>
      </c>
      <c r="BO27" s="35"/>
      <c r="BP27" t="s">
        <v>213</v>
      </c>
      <c r="BQ27">
        <f>Crops[[#This Row],[Custom Yield Per Bed]]*Crops[[#This Row],[Direct Price]]</f>
        <v>2000</v>
      </c>
      <c r="BR27" t="b">
        <v>1</v>
      </c>
      <c r="BS27" t="b">
        <f>Crops[[#This Row],[Harvests]]&gt;1</f>
        <v>1</v>
      </c>
      <c r="BT27" s="36">
        <f>IFERROR(Crops[[#This Row],[Direct Revenue Per Bed]]/Crops[[#This Row],[Days In Field]],-1)</f>
        <v>12.345679012345679</v>
      </c>
      <c r="BU27" s="33">
        <f>IFERROR(Crops[[#This Row],[Direct Revenue Per Bed Day]]*GrowingDays*BedsPerAcre,"")</f>
        <v>355555.55555555556</v>
      </c>
      <c r="BV27" s="38">
        <f>LastFrostDate-5*Crops[[#This Row],[Sewing Rel Last Frost]]</f>
        <v>45778</v>
      </c>
      <c r="BW27" s="38">
        <f>Crops[[#This Row],[Target Sewing Date]]+Crops[[#This Row],[Days in Cells]]</f>
        <v>45796</v>
      </c>
      <c r="BX27" s="38">
        <f>Crops[[#This Row],[Target Sewing Date]]+Crops[[#This Row],[STH]]</f>
        <v>45888</v>
      </c>
      <c r="BY27" s="38">
        <f>Crops[[#This Row],[Target Harvest Data]]+Crops[[#This Row],[Harvest window]]</f>
        <v>45958</v>
      </c>
      <c r="BZ27">
        <v>-6</v>
      </c>
      <c r="CB27">
        <f>1</f>
        <v>1</v>
      </c>
      <c r="CC27">
        <f>IF(Crops[[#This Row],[Transplanting]]&gt;0, 2, 3)*BedLength/StandardBedLength</f>
        <v>1</v>
      </c>
      <c r="CD27" s="173">
        <f>IF(Crops[[#This Row],[Days in Cells]]&lt;=0,0,Crops[[#This Row],[Plantings Per Bed]]/StartsPerHourSeeding+Crops[[#This Row],[Tray 1 Count]]*5/60)</f>
        <v>0.54108796296296302</v>
      </c>
      <c r="CE27" s="173">
        <f>IF(ISBLANK(Crops[[#This Row],[Tray 2 Days]]),0,Crops[[#This Row],[Plantings Per Bed]]/UpPottingPerHour)+IF(Crops[[#This Row],[Tray 3 Days]]="",0,Crops[[#This Row],[Plantings Per Bed]]/UpPottingPerHour)</f>
        <v>0</v>
      </c>
      <c r="CF27" s="173">
        <f>IFERROR(Crops[[#This Row],[Tray 1 Count]]/HomeStartFlatIrrigationPerHour,0)*Crops[[#This Row],[Days in Cells]]/DaysBetweenStartIrrigation</f>
        <v>0.13541666666666669</v>
      </c>
      <c r="CG27" s="173">
        <f>0.5/16*MAX(Crops[[#This Row],[Tray 1 Count]],Crops[[#This Row],[Tray 2 Count]],Crops[[#This Row],[Tray 3 Count]])</f>
        <v>5.6423611111111112E-2</v>
      </c>
      <c r="CH27" s="173">
        <f>IF(Crops[[#This Row],[Days in Cells]]&gt;0,IF(IF(Crops[[#This Row],[Tray 3 Size]]&gt;0,Crops[[#This Row],[Tray 3 Size]],IF(Crops[[#This Row],[Tray 2 Size]]&gt;0,Crops[[#This Row],[Tray 2 Size]],Crops[[#This Row],[Tray 1 Size]]))&lt;=18,LargeTransplantTime,SmallTransplantTime)*Crops[[#This Row],[Plantings Per Bed]],0)</f>
        <v>0.5</v>
      </c>
      <c r="CI27" s="173"/>
      <c r="CJ27" s="173">
        <f>_xlfn.XLOOKUP(Crops[[#This Row],[Trellis Type]],TrellisMethods[Trellis Type],TrellisMethods[Hours],0,0)</f>
        <v>0</v>
      </c>
      <c r="CK27">
        <f>IF(Crops[[#This Row],[Days in Cells]]&lt;=0,Crops[[#This Row],[Rows]]*1/10,0)*BedLength/50</f>
        <v>0</v>
      </c>
      <c r="CL27" cm="1">
        <f t="array" ref="CL27">_xlfn.SWITCH(Crops[[#This Row],[Irrigation]],"DR", 0.5, "OH", 0.25,0)*BedLength/50</f>
        <v>0.5</v>
      </c>
      <c r="CM27">
        <f>IF(OR(ISBLANK(Crops[[#This Row],[Row Cover]]),Crops[[#This Row],[Row Cover]]="None"),0,1)*BedLength/50</f>
        <v>1</v>
      </c>
      <c r="CN27" s="173">
        <f>HoursPerWeedingPass*Crops[[#This Row],[Days In Field]]/14*Crops[[#This Row],[Rows]]+1*BedLength/50</f>
        <v>2.9285714285714288</v>
      </c>
      <c r="CQ27" s="37">
        <f>_xlfn.XLOOKUP(Crops[[#This Row],[Crop]]&amp;Crops[[#This Row],[Product]]&amp;Crops[[#This Row],[Unit]],Products[ID],Products[Marketing (hr)])*Crops[[#This Row],[Direct Revenue Per Bed]]/2000</f>
        <v>6</v>
      </c>
      <c r="CR27" s="37">
        <f>_xlfn.XLOOKUP(Crops[[#This Row],[Crop]]&amp;Crops[[#This Row],[Product]]&amp;Crops[[#This Row],[Unit]],Products[ID],Products[Harvest (s)])*Crops[[#This Row],[Custom Yield Per Bed]]/3600</f>
        <v>33.333333333333336</v>
      </c>
      <c r="CS27" s="37">
        <f>_xlfn.XLOOKUP(Crops[[#This Row],[Crop]]&amp;Crops[[#This Row],[Product]]&amp;Crops[[#This Row],[Unit]],Products[ID],Products[Bunch (s)])*Crops[[#This Row],[Custom Yield Per Bed]]/3600</f>
        <v>0</v>
      </c>
      <c r="CT27" s="37">
        <f>_xlfn.XLOOKUP(Crops[[#This Row],[Crop]]&amp;Crops[[#This Row],[Product]]&amp;Crops[[#This Row],[Unit]],Products[ID],Products[Haul (s)])*Crops[[#This Row],[Custom Yield Per Bed]]/3600</f>
        <v>1</v>
      </c>
      <c r="CU27" s="37">
        <f>_xlfn.XLOOKUP(Crops[[#This Row],[Crop]]&amp;Crops[[#This Row],[Product]]&amp;Crops[[#This Row],[Unit]],Products[ID],Products[Wash (s)])*Crops[[#This Row],[Custom Yield Per Bed]]/3600</f>
        <v>0</v>
      </c>
      <c r="CV27" s="37">
        <f>_xlfn.XLOOKUP(Crops[[#This Row],[Crop]]&amp;Crops[[#This Row],[Product]]&amp;Crops[[#This Row],[Unit]],Products[ID],Products[Condition (s)])*Crops[[#This Row],[Custom Yield Per Bed]]/3600</f>
        <v>0</v>
      </c>
      <c r="CW27" s="37">
        <f>_xlfn.XLOOKUP(Crops[[#This Row],[Crop]]&amp;Crops[[#This Row],[Product]]&amp;Crops[[#This Row],[Unit]],Products[ID],Products[Trim (s)])*Crops[[#This Row],[Custom Yield Per Bed]]/3600</f>
        <v>0</v>
      </c>
      <c r="CX27" s="37">
        <f>_xlfn.XLOOKUP(Crops[[#This Row],[Crop]]&amp;Crops[[#This Row],[Product]]&amp;Crops[[#This Row],[Unit]],Products[ID],Products[Pack (s)])*Crops[[#This Row],[Custom Yield Per Bed]]/3600</f>
        <v>1.6666666666666667</v>
      </c>
      <c r="CY27" s="37">
        <f>_xlfn.XLOOKUP(Crops[[#This Row],[Crop]]&amp;Crops[[#This Row],[Product]]&amp;Crops[[#This Row],[Unit]],Products[ID],Products[Clean (s)])*Crops[[#This Row],[Custom Yield Per Bed]]/3600</f>
        <v>0</v>
      </c>
      <c r="CZ27" s="37">
        <f>_xlfn.XLOOKUP(Crops[[#This Row],[Crop]]&amp;Crops[[#This Row],[Product]]&amp;Crops[[#This Row],[Unit]],Products[ID],Products[Rehandle (s)])*Crops[[#This Row],[Custom Yield Per Bed]]/3600</f>
        <v>0</v>
      </c>
      <c r="DA27" s="37">
        <f>_xlfn.XLOOKUP(Crops[[#This Row],[Crop]]&amp;Crops[[#This Row],[Product]]&amp;Crops[[#This Row],[Unit]],Products[ID],Products[Market Transport (s)])*Crops[[#This Row],[Custom Yield Per Bed]]/3600</f>
        <v>2.5</v>
      </c>
      <c r="DC27" s="37">
        <f>Crops[[#This Row],[Direct Revenue Per Bed2]]</f>
        <v>2000</v>
      </c>
      <c r="DD27" s="173">
        <f>_xlfn.AGGREGATE(9,6,Crops[[#This Row],[Bed Prep]:[Remove Crop Residue]])</f>
        <v>51.161499669312171</v>
      </c>
      <c r="DE27" s="173">
        <f>_xlfn.AGGREGATE(9,6,Crops[[#This Row],[Bed Prep]:[Remove Crop Residue]])-0.75*Crops[[#This Row],[Market &amp; Sell]]</f>
        <v>46.661499669312171</v>
      </c>
      <c r="DF27" s="36">
        <f>Crops[[#This Row],[Direct Revenue Per Bed2]]/Crops[[#This Row],[Direct Time]]</f>
        <v>39.09189552548721</v>
      </c>
      <c r="DG27" s="36">
        <f>_xlfn.XLOOKUP(Crops[[#This Row],[ProductIndex]],Products[ID],Products[Packaging Cost])*(Crops[[#This Row],[Custom Yield Per Bed]]/_xlfn.XLOOKUP(Crops[[#This Row],[ProductIndex]],Products[ID],Products[Units Per Pack]))</f>
        <v>160</v>
      </c>
      <c r="DH27" s="36"/>
      <c r="DI27" s="36"/>
      <c r="DJ27" s="36"/>
      <c r="DK27" s="36"/>
      <c r="DL27" s="36"/>
      <c r="DM27" s="33">
        <f>IFERROR(Crops[[#This Row],[Custom Yield Per Bed]]*Crops[[#This Row],[Direct Price]],"")</f>
        <v>2000</v>
      </c>
      <c r="DN27" s="36">
        <f>Crops[[#This Row],[Direct Time]]*LaborRate</f>
        <v>1279.0374917328043</v>
      </c>
      <c r="DO27" s="36">
        <f>SUM(Crops[[#This Row],[Irrigation Cost]])</f>
        <v>0</v>
      </c>
      <c r="DP27" s="36">
        <f>Crops[[#This Row],[Direct Labor Cost]]+Crops[[#This Row],[Direct Non-Labor Cost]]</f>
        <v>1279.0374917328043</v>
      </c>
      <c r="DQ27" s="36">
        <f>Crops[[#This Row],[Direct Revenue Per Bed2]]-Crops[[#This Row],[Direct Total Cost]]</f>
        <v>720.96250826719574</v>
      </c>
      <c r="DR27" s="36">
        <f>Crops[[#This Row],[Direct Profit]]*BedsPerAcre</f>
        <v>115354.00132275131</v>
      </c>
      <c r="DS27" s="36">
        <f>Crops[[#This Row],[Direct Profit]]*BedsPerAcre*GrowingDays/Crops[[#This Row],[Days In Field]]</f>
        <v>128171.11258083479</v>
      </c>
      <c r="DT27" s="36">
        <f>Crops[[#This Row],[Direct Profit]]/MIN(Crops[[#This Row],[Days In Field]],GrowingDays)</f>
        <v>4.4503858535012082</v>
      </c>
      <c r="DU27" s="36">
        <f>Crops[[#This Row],[Direct Time]] * BedsPerAcre</f>
        <v>8185.8399470899476</v>
      </c>
      <c r="DV27" s="36">
        <f>(Crops[[#This Row],[Direct Revenue Per Bed2]]-Crops[[#This Row],[Direct Non-Labor Cost]])/Crops[[#This Row],[Direct Time]]</f>
        <v>39.09189552548721</v>
      </c>
      <c r="DW27" s="33">
        <f>IFERROR(Crops[[#This Row],[Custom Yield Per Bed]]*Crops[[#This Row],[Rough Wholesale Price]],"")</f>
        <v>1200</v>
      </c>
      <c r="DX27" s="36">
        <f>Crops[[#This Row],[Wholesale Time]]*LaborRate</f>
        <v>1166.5374917328043</v>
      </c>
      <c r="DY27" s="36">
        <f>SUM(Crops[[#This Row],[Packaging Costs]:[Irrigation Cost]])</f>
        <v>160</v>
      </c>
      <c r="DZ27" s="36">
        <f>Crops[[#This Row],[Wholesale Labor Cost]]+Crops[[#This Row],[Wholesale Non-Labor Cost]]</f>
        <v>1326.5374917328043</v>
      </c>
      <c r="EA27" s="36">
        <f>Crops[[#This Row],[Wholesale Revenue Per Bed]]-Crops[[#This Row],[Wholesale Total Cost]]</f>
        <v>-126.53749173280426</v>
      </c>
      <c r="EB27" s="36">
        <f>Crops[[#This Row],[Wholesale Profit]]*BedsPerAcre</f>
        <v>-20245.998677248681</v>
      </c>
      <c r="EC27" s="36">
        <f>Crops[[#This Row],[Wholesale Profit]]*BedsPerAcre*GrowingDays/Crops[[#This Row],[Days In Field]]</f>
        <v>-22495.554085831867</v>
      </c>
      <c r="ED27" s="36">
        <f>Crops[[#This Row],[Wholesale Time]] * BedsPerAcre</f>
        <v>7465.8399470899476</v>
      </c>
      <c r="EE27" s="36">
        <f>Crops[[#This Row],[Wholesale Profit]]/MIN(Crops[[#This Row],[Days In Field]],GrowingDays)</f>
        <v>-0.78109562798027321</v>
      </c>
      <c r="EF27" s="36">
        <f>(Crops[[#This Row],[Wholesale Revenue Per Bed]]-Crops[[#This Row],[Wholesale Non-Labor Cost]])/Crops[[#This Row],[Direct Time]]</f>
        <v>20.327785673253352</v>
      </c>
      <c r="EG27" s="174">
        <f>Crops[[#This Row],[Packaging Costs]]/Crops[[#This Row],[Wholesale Revenue Per Bed]]</f>
        <v>0.13333333333333333</v>
      </c>
      <c r="EH27" s="36" t="str">
        <f>Crops[[#This Row],[Crop]]&amp;Crops[[#This Row],[Product]]&amp;Crops[[#This Row],[Unit]]</f>
        <v>BeanFlowering TendrilStem</v>
      </c>
      <c r="EI27" s="36" t="b">
        <f>_xlfn.XLOOKUP(Crops[[#This Row],[ProductIndex]],Products[ID],Products[Target])</f>
        <v>0</v>
      </c>
      <c r="EJ27" s="36">
        <f>Crops[[#This Row],[Custom Yield Per Bed]]</f>
        <v>2000</v>
      </c>
      <c r="EK27" s="210">
        <f>Crops[[#This Row],[Units Per Harvest]]/Crops[[#This Row],[Days Between Harvest]]*7</f>
        <v>200</v>
      </c>
      <c r="EL27" s="210" t="e">
        <f>Crops[[#This Row],[Custom Yield Per Bed]]/_xlfn.XLOOKUP(Crops[[#This Row],[ProductIndex]],Products[ID],Products[CSA Portion])</f>
        <v>#DIV/0!</v>
      </c>
      <c r="EM27" s="210" t="e">
        <f>Crops[[#This Row],[Units Per Harvest]]/Crops[[#This Row],[Days Between Harvest]]*7/_xlfn.XLOOKUP(Crops[[#This Row],[ProductIndex]],Products[ID],Products[CSA Portion])</f>
        <v>#DIV/0!</v>
      </c>
      <c r="EN27" s="210" t="e">
        <f>Crops[[#This Row],[CSA Portions Per Week]]/CSAMembers</f>
        <v>#DIV/0!</v>
      </c>
      <c r="EO27" s="210"/>
      <c r="EP27" s="210"/>
      <c r="EQ27" s="36"/>
      <c r="ER27" s="36">
        <f>Crops[[#This Row],[Harvests]]*Crops[[#This Row],[Days Between Harvest]]/7</f>
        <v>10</v>
      </c>
      <c r="ES27" s="208">
        <f>_xlfn.XLOOKUP(Crops[[#This Row],[ProductIndex]],Products[ID],Products[CSA Need])</f>
        <v>0</v>
      </c>
      <c r="ET27" s="208">
        <f>_xlfn.XLOOKUP(Crops[[#This Row],[ProductIndex]],Products[ID],Products[CSA Times])</f>
        <v>0</v>
      </c>
      <c r="EU27" s="208" t="e">
        <f>Crops[[#This Row],[Custom Yield Per Bed]]/(Crops[[#This Row],[CSA Need]]*(_xlfn.XLOOKUP(Crops[[#This Row],[ProductIndex]],Products[ID],Products[CSA Portion])*CSAMembers))</f>
        <v>#DIV/0!</v>
      </c>
      <c r="EV27" s="208">
        <f>_xlfn.XLOOKUP(Crops[[#This Row],[ProductIndex]],Products[ID],Products[CSA Portion])*CSAMembers*Crops[[#This Row],[CSA Need]]/Crops[[#This Row],[Custom Yield Per Bed]]</f>
        <v>0</v>
      </c>
      <c r="EW27" s="208">
        <f>IFERROR(Crops[[#This Row],[Days In Field]]*Crops[[#This Row],[CSA Beds]],"")</f>
        <v>0</v>
      </c>
      <c r="EX27" s="208" t="e">
        <f>Crops[[#This Row],[CSA Bed Days]]*#REF!</f>
        <v>#REF!</v>
      </c>
      <c r="EY27" t="s">
        <v>276</v>
      </c>
    </row>
    <row r="28" spans="1:155" ht="15" customHeight="1">
      <c r="A2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(Runner Bean) - Flowering Tendril 3X | Field DS </v>
      </c>
      <c r="B28" s="28"/>
      <c r="C28" s="1" t="b">
        <v>0</v>
      </c>
      <c r="D28" s="1"/>
      <c r="E28" s="1" t="b">
        <v>0</v>
      </c>
      <c r="F28" s="1" t="b">
        <f>IFERROR(IF(ISNUMBER(MATCH(Crops[[#This Row],[Identifier]],BedPlan[Crop], 0)), TRUE, FALSE), FALSE)</f>
        <v>0</v>
      </c>
      <c r="G28" s="1" t="b">
        <f>IFERROR(IF(ISNUMBER(MATCH(Crops[[#This Row],[Identifier]],BedPlan[Crop], 0)), TRUE, FALSE), FALSE)</f>
        <v>0</v>
      </c>
      <c r="H28" s="1"/>
      <c r="I28" t="s">
        <v>44</v>
      </c>
      <c r="J28" t="s">
        <v>2255</v>
      </c>
      <c r="K28" t="s">
        <v>184</v>
      </c>
      <c r="M28" t="s">
        <v>406</v>
      </c>
      <c r="N28" t="s">
        <v>1311</v>
      </c>
      <c r="O28" t="s">
        <v>210</v>
      </c>
      <c r="P28" t="str">
        <f>IF(OR(Crops[[#This Row],[Days in Cells]]="",Crops[[#This Row],[Days in Cells]]=0), "DS","TP")</f>
        <v>DS</v>
      </c>
      <c r="V28" t="str">
        <f xml:space="preserve"> IF(Crops[[#This Row],[Sp]], "Sp", "") &amp; IF(Crops[[#This Row],[Su]], "Su", "") &amp; IF(Crops[[#This Row],[Fa]], "Fa", "") &amp; IF(Crops[[#This Row],[Wi]], "Wi", "") &amp; IF(Crops[[#This Row],[OW]], "Ow","")</f>
        <v/>
      </c>
      <c r="W28" t="s">
        <v>144</v>
      </c>
      <c r="X28">
        <v>1</v>
      </c>
      <c r="Y28">
        <v>6</v>
      </c>
      <c r="Z28" t="s">
        <v>432</v>
      </c>
      <c r="AA28" t="s">
        <v>334</v>
      </c>
      <c r="AB28" t="b">
        <v>0</v>
      </c>
      <c r="AC28">
        <v>5</v>
      </c>
      <c r="AD28" s="32">
        <f>IFERROR(12/Crops[[#This Row],[Spacing]]*Crops[[#This Row],[Rows]]*BedLength,"")</f>
        <v>100</v>
      </c>
      <c r="AE28">
        <v>3</v>
      </c>
      <c r="AG28">
        <v>1</v>
      </c>
      <c r="AH28">
        <f>1</f>
        <v>1</v>
      </c>
      <c r="AI28" s="33">
        <f>IFERROR(Crops[[#This Row],[Plantings Per Bed]]*Crops[[#This Row],[Seeds Per Planting]]*Crops[[#This Row],[Safety Factor]]*Crops[[#This Row],[Seeding Factor]],"")</f>
        <v>300</v>
      </c>
      <c r="AJ28">
        <v>4</v>
      </c>
      <c r="AK28">
        <v>7</v>
      </c>
      <c r="AL28">
        <f>_xlfn.FLOOR.MATH(IFERROR(AVERAGE(Crops[[#This Row],[DTG Lower]:[DTG Upper]]),0))</f>
        <v>5</v>
      </c>
      <c r="AM28">
        <f>SUM(Crops[[#This Row],[Tray 1 Days]],Crops[[#This Row],[Tray 2 Days]],Crops[[#This Row],[Tray 3 Days]])</f>
        <v>0</v>
      </c>
      <c r="AN28" s="32">
        <v>20</v>
      </c>
      <c r="AP28">
        <v>90</v>
      </c>
      <c r="AQ28">
        <f>IFERROR(_xlfn.FLOOR.MATH(AVERAGE(Crops[[#This Row],[DTM Lower]:[DTM Upper]])),"")</f>
        <v>90</v>
      </c>
      <c r="AR28" cm="1">
        <f t="array" ref="AR28">_xlfn.SWITCH(Crops[[#This Row],[Normal Method]],"DS",Crops[[#This Row],[Days to Germination]]+Crops[[#This Row],[DTM]] + IF(Crops[[#This Row],[Days in Cells]]&gt;0,15,0), "TP",Crops[[#This Row],[DTM]]+Crops[[#This Row],[Days in Cells]] + IF(Crops[[#This Row],[Days in Cells]]&lt;=0,20,0), "X", Crops[[#This Row],[DTM]])</f>
        <v>95</v>
      </c>
      <c r="AS28" t="s">
        <v>338</v>
      </c>
      <c r="AT28">
        <f>(Crops[[#This Row],[Harvests]]-1)*Crops[[#This Row],[Days Between Harvest]]+7</f>
        <v>70</v>
      </c>
      <c r="AU28">
        <f>Crops[[#This Row],[STH]]-Crops[[#This Row],[Days in Cells]]+Crops[[#This Row],[Harvest window]]</f>
        <v>165</v>
      </c>
      <c r="AZ28" s="49" t="str">
        <f>IFERROR(IF(Crops[[#This Row],[Tray 1 Days]]=0,"",Crops[[#This Row],[Plantings Per Bed]]/Crops[[#This Row],[Tray 1 Size]]*Crops[[#This Row],[Safety Factor]]),"")</f>
        <v/>
      </c>
      <c r="BC28" t="str">
        <f>IFERROR(IF(Crops[[#This Row],[Tray 2 Days]]=0,"",Crops[[#This Row],[Plantings Per Bed]]/Crops[[#This Row],[Tray 2 Size]]*Crops[[#This Row],[Safety Factor]]),"")</f>
        <v/>
      </c>
      <c r="BE28" s="32" t="str">
        <f>IF(NOT(ISBLANK(Crops[[#This Row],[Tray 3 Size]])), Crops[[#This Row],[Days in Cells Old]]-SUM(Crops[[#This Row],[Tray 1 Days]],Crops[[#This Row],[Tray 2 Days]]), "")</f>
        <v/>
      </c>
      <c r="BF28" s="49" t="str">
        <f>IFERROR(IF(Crops[[#This Row],[Tray 3 Days]]=0,"",Crops[[#This Row],[Plantings Per Bed]]/Crops[[#This Row],[Tray 3 Size]]*Crops[[#This Row],[Safety Factor]]),"")</f>
        <v/>
      </c>
      <c r="BG28" s="33">
        <f>Crops[[#This Row],[Plantings Per Bed]]*2</f>
        <v>200</v>
      </c>
      <c r="BH28" s="33">
        <v>10</v>
      </c>
      <c r="BI28" s="33">
        <v>7</v>
      </c>
      <c r="BJ28" s="33">
        <f>_xlfn.XLOOKUP(Crops[[#This Row],[ProductIndex]],Products[ID],Products[Holding Period])</f>
        <v>0</v>
      </c>
      <c r="BK28" s="33"/>
      <c r="BL28" s="33">
        <f>Crops[[#This Row],[Units Per Harvest]]*Crops[[#This Row],[Harvests]]</f>
        <v>2000</v>
      </c>
      <c r="BM28" s="35">
        <v>1</v>
      </c>
      <c r="BN28" s="35">
        <f>Crops[[#This Row],[Direct Price]]*0.6</f>
        <v>0.6</v>
      </c>
      <c r="BO28" s="35"/>
      <c r="BP28" t="s">
        <v>213</v>
      </c>
      <c r="BQ28">
        <f>Crops[[#This Row],[Custom Yield Per Bed]]*Crops[[#This Row],[Direct Price]]</f>
        <v>2000</v>
      </c>
      <c r="BR28" t="b">
        <v>1</v>
      </c>
      <c r="BS28" t="b">
        <f>Crops[[#This Row],[Harvests]]&gt;1</f>
        <v>1</v>
      </c>
      <c r="BT28" s="36">
        <f>IFERROR(Crops[[#This Row],[Direct Revenue Per Bed]]/Crops[[#This Row],[Days In Field]],-1)</f>
        <v>12.121212121212121</v>
      </c>
      <c r="BU28" s="33">
        <f>IFERROR(Crops[[#This Row],[Direct Revenue Per Bed Day]]*GrowingDays*BedsPerAcre,"")</f>
        <v>349090.90909090912</v>
      </c>
      <c r="BV28" s="38">
        <f>LastFrostDate-5*Crops[[#This Row],[Sewing Rel Last Frost]]</f>
        <v>45783</v>
      </c>
      <c r="BW28" s="38">
        <f>Crops[[#This Row],[Target Sewing Date]]+Crops[[#This Row],[Days in Cells]]</f>
        <v>45783</v>
      </c>
      <c r="BX28" s="38">
        <f>Crops[[#This Row],[Target Sewing Date]]+Crops[[#This Row],[STH]]</f>
        <v>45878</v>
      </c>
      <c r="BY28" s="38">
        <f>Crops[[#This Row],[Target Harvest Data]]+Crops[[#This Row],[Harvest window]]</f>
        <v>45948</v>
      </c>
      <c r="BZ28">
        <v>-7</v>
      </c>
      <c r="CB28">
        <f>1</f>
        <v>1</v>
      </c>
      <c r="CC28">
        <f>IF(Crops[[#This Row],[Transplanting]]&gt;0, 2, 3)*BedLength/StandardBedLength</f>
        <v>1.5</v>
      </c>
      <c r="CD28" s="173">
        <f>IF(Crops[[#This Row],[Days in Cells]]&lt;=0,0,Crops[[#This Row],[Plantings Per Bed]]/StartsPerHourSeeding+Crops[[#This Row],[Tray 1 Count]]*5/60)</f>
        <v>0</v>
      </c>
      <c r="CE28" s="173">
        <f>IF(ISBLANK(Crops[[#This Row],[Tray 2 Days]]),0,Crops[[#This Row],[Plantings Per Bed]]/UpPottingPerHour)+IF(Crops[[#This Row],[Tray 3 Days]]="",0,Crops[[#This Row],[Plantings Per Bed]]/UpPottingPerHour)</f>
        <v>0</v>
      </c>
      <c r="CF28" s="173">
        <f>IFERROR(Crops[[#This Row],[Tray 1 Count]]/HomeStartFlatIrrigationPerHour,0)*Crops[[#This Row],[Days in Cells]]/DaysBetweenStartIrrigation</f>
        <v>0</v>
      </c>
      <c r="CG28" s="173">
        <f>0.5/16*MAX(Crops[[#This Row],[Tray 1 Count]],Crops[[#This Row],[Tray 2 Count]],Crops[[#This Row],[Tray 3 Count]])</f>
        <v>0</v>
      </c>
      <c r="CH28" s="173">
        <f>IF(Crops[[#This Row],[Days in Cells]]&gt;0,IF(IF(Crops[[#This Row],[Tray 3 Size]]&gt;0,Crops[[#This Row],[Tray 3 Size]],IF(Crops[[#This Row],[Tray 2 Size]]&gt;0,Crops[[#This Row],[Tray 2 Size]],Crops[[#This Row],[Tray 1 Size]]))&lt;=18,LargeTransplantTime,SmallTransplantTime)*Crops[[#This Row],[Plantings Per Bed]],0)</f>
        <v>0</v>
      </c>
      <c r="CI28" s="173"/>
      <c r="CJ28" s="173">
        <f>_xlfn.XLOOKUP(Crops[[#This Row],[Trellis Type]],TrellisMethods[Trellis Type],TrellisMethods[Hours],0,0)</f>
        <v>0</v>
      </c>
      <c r="CK28">
        <f>IF(Crops[[#This Row],[Days in Cells]]&lt;=0,Crops[[#This Row],[Rows]]*1/10,0)*BedLength/50</f>
        <v>0.1</v>
      </c>
      <c r="CL28" cm="1">
        <f t="array" ref="CL28">_xlfn.SWITCH(Crops[[#This Row],[Irrigation]],"DR", 0.5, "OH", 0.25,0)*BedLength/50</f>
        <v>0.5</v>
      </c>
      <c r="CM28">
        <f>IF(OR(ISBLANK(Crops[[#This Row],[Row Cover]]),Crops[[#This Row],[Row Cover]]="None"),0,1)*BedLength/50</f>
        <v>1</v>
      </c>
      <c r="CN28" s="173">
        <f>HoursPerWeedingPass*Crops[[#This Row],[Days In Field]]/14*Crops[[#This Row],[Rows]]+1*BedLength/50</f>
        <v>2.9642857142857144</v>
      </c>
      <c r="CQ28" s="37">
        <f>_xlfn.XLOOKUP(Crops[[#This Row],[Crop]]&amp;Crops[[#This Row],[Product]]&amp;Crops[[#This Row],[Unit]],Products[ID],Products[Marketing (hr)])*Crops[[#This Row],[Direct Revenue Per Bed]]/2000</f>
        <v>6</v>
      </c>
      <c r="CR28" s="37">
        <f>_xlfn.XLOOKUP(Crops[[#This Row],[Crop]]&amp;Crops[[#This Row],[Product]]&amp;Crops[[#This Row],[Unit]],Products[ID],Products[Harvest (s)])*Crops[[#This Row],[Custom Yield Per Bed]]/3600</f>
        <v>33.333333333333336</v>
      </c>
      <c r="CS28" s="37">
        <f>_xlfn.XLOOKUP(Crops[[#This Row],[Crop]]&amp;Crops[[#This Row],[Product]]&amp;Crops[[#This Row],[Unit]],Products[ID],Products[Bunch (s)])*Crops[[#This Row],[Custom Yield Per Bed]]/3600</f>
        <v>0</v>
      </c>
      <c r="CT28" s="37">
        <f>_xlfn.XLOOKUP(Crops[[#This Row],[Crop]]&amp;Crops[[#This Row],[Product]]&amp;Crops[[#This Row],[Unit]],Products[ID],Products[Haul (s)])*Crops[[#This Row],[Custom Yield Per Bed]]/3600</f>
        <v>1</v>
      </c>
      <c r="CU28" s="37">
        <f>_xlfn.XLOOKUP(Crops[[#This Row],[Crop]]&amp;Crops[[#This Row],[Product]]&amp;Crops[[#This Row],[Unit]],Products[ID],Products[Wash (s)])*Crops[[#This Row],[Custom Yield Per Bed]]/3600</f>
        <v>0</v>
      </c>
      <c r="CV28" s="37">
        <f>_xlfn.XLOOKUP(Crops[[#This Row],[Crop]]&amp;Crops[[#This Row],[Product]]&amp;Crops[[#This Row],[Unit]],Products[ID],Products[Condition (s)])*Crops[[#This Row],[Custom Yield Per Bed]]/3600</f>
        <v>0</v>
      </c>
      <c r="CW28" s="37">
        <f>_xlfn.XLOOKUP(Crops[[#This Row],[Crop]]&amp;Crops[[#This Row],[Product]]&amp;Crops[[#This Row],[Unit]],Products[ID],Products[Trim (s)])*Crops[[#This Row],[Custom Yield Per Bed]]/3600</f>
        <v>0</v>
      </c>
      <c r="CX28" s="37">
        <f>_xlfn.XLOOKUP(Crops[[#This Row],[Crop]]&amp;Crops[[#This Row],[Product]]&amp;Crops[[#This Row],[Unit]],Products[ID],Products[Pack (s)])*Crops[[#This Row],[Custom Yield Per Bed]]/3600</f>
        <v>1.6666666666666667</v>
      </c>
      <c r="CY28" s="37">
        <f>_xlfn.XLOOKUP(Crops[[#This Row],[Crop]]&amp;Crops[[#This Row],[Product]]&amp;Crops[[#This Row],[Unit]],Products[ID],Products[Clean (s)])*Crops[[#This Row],[Custom Yield Per Bed]]/3600</f>
        <v>0</v>
      </c>
      <c r="CZ28" s="37">
        <f>_xlfn.XLOOKUP(Crops[[#This Row],[Crop]]&amp;Crops[[#This Row],[Product]]&amp;Crops[[#This Row],[Unit]],Products[ID],Products[Rehandle (s)])*Crops[[#This Row],[Custom Yield Per Bed]]/3600</f>
        <v>0</v>
      </c>
      <c r="DA28" s="37">
        <f>_xlfn.XLOOKUP(Crops[[#This Row],[Crop]]&amp;Crops[[#This Row],[Product]]&amp;Crops[[#This Row],[Unit]],Products[ID],Products[Market Transport (s)])*Crops[[#This Row],[Custom Yield Per Bed]]/3600</f>
        <v>2.5</v>
      </c>
      <c r="DC28" s="37">
        <f>Crops[[#This Row],[Direct Revenue Per Bed2]]</f>
        <v>2000</v>
      </c>
      <c r="DD28" s="173">
        <f>_xlfn.AGGREGATE(9,6,Crops[[#This Row],[Bed Prep]:[Remove Crop Residue]])</f>
        <v>50.564285714285717</v>
      </c>
      <c r="DE28" s="173">
        <f>_xlfn.AGGREGATE(9,6,Crops[[#This Row],[Bed Prep]:[Remove Crop Residue]])-0.75*Crops[[#This Row],[Market &amp; Sell]]</f>
        <v>46.064285714285717</v>
      </c>
      <c r="DF28" s="36">
        <f>Crops[[#This Row],[Direct Revenue Per Bed2]]/Crops[[#This Row],[Direct Time]]</f>
        <v>39.553609266845598</v>
      </c>
      <c r="DG28" s="36">
        <f>_xlfn.XLOOKUP(Crops[[#This Row],[ProductIndex]],Products[ID],Products[Packaging Cost])*(Crops[[#This Row],[Custom Yield Per Bed]]/_xlfn.XLOOKUP(Crops[[#This Row],[ProductIndex]],Products[ID],Products[Units Per Pack]))</f>
        <v>160</v>
      </c>
      <c r="DH28" s="36"/>
      <c r="DI28" s="36"/>
      <c r="DJ28" s="36"/>
      <c r="DK28" s="36"/>
      <c r="DL28" s="36"/>
      <c r="DM28" s="33">
        <f>IFERROR(Crops[[#This Row],[Custom Yield Per Bed]]*Crops[[#This Row],[Direct Price]],"")</f>
        <v>2000</v>
      </c>
      <c r="DN28" s="36">
        <f>Crops[[#This Row],[Direct Time]]*LaborRate</f>
        <v>1264.1071428571429</v>
      </c>
      <c r="DO28" s="36">
        <f>SUM(Crops[[#This Row],[Irrigation Cost]])</f>
        <v>0</v>
      </c>
      <c r="DP28" s="36">
        <f>Crops[[#This Row],[Direct Labor Cost]]+Crops[[#This Row],[Direct Non-Labor Cost]]</f>
        <v>1264.1071428571429</v>
      </c>
      <c r="DQ28" s="36">
        <f>Crops[[#This Row],[Direct Revenue Per Bed2]]-Crops[[#This Row],[Direct Total Cost]]</f>
        <v>735.89285714285711</v>
      </c>
      <c r="DR28" s="36">
        <f>Crops[[#This Row],[Direct Profit]]*BedsPerAcre</f>
        <v>117742.85714285713</v>
      </c>
      <c r="DS28" s="36">
        <f>Crops[[#This Row],[Direct Profit]]*BedsPerAcre*GrowingDays/Crops[[#This Row],[Days In Field]]</f>
        <v>128446.75324675323</v>
      </c>
      <c r="DT28" s="36">
        <f>Crops[[#This Row],[Direct Profit]]/MIN(Crops[[#This Row],[Days In Field]],GrowingDays)</f>
        <v>4.4599567099567095</v>
      </c>
      <c r="DU28" s="36">
        <f>Crops[[#This Row],[Direct Time]] * BedsPerAcre</f>
        <v>8090.2857142857147</v>
      </c>
      <c r="DV28" s="36">
        <f>(Crops[[#This Row],[Direct Revenue Per Bed2]]-Crops[[#This Row],[Direct Non-Labor Cost]])/Crops[[#This Row],[Direct Time]]</f>
        <v>39.553609266845598</v>
      </c>
      <c r="DW28" s="33">
        <f>IFERROR(Crops[[#This Row],[Custom Yield Per Bed]]*Crops[[#This Row],[Rough Wholesale Price]],"")</f>
        <v>1200</v>
      </c>
      <c r="DX28" s="36">
        <f>Crops[[#This Row],[Wholesale Time]]*LaborRate</f>
        <v>1151.6071428571429</v>
      </c>
      <c r="DY28" s="36">
        <f>SUM(Crops[[#This Row],[Packaging Costs]:[Irrigation Cost]])</f>
        <v>160</v>
      </c>
      <c r="DZ28" s="36">
        <f>Crops[[#This Row],[Wholesale Labor Cost]]+Crops[[#This Row],[Wholesale Non-Labor Cost]]</f>
        <v>1311.6071428571429</v>
      </c>
      <c r="EA28" s="36">
        <f>Crops[[#This Row],[Wholesale Revenue Per Bed]]-Crops[[#This Row],[Wholesale Total Cost]]</f>
        <v>-111.60714285714289</v>
      </c>
      <c r="EB28" s="36">
        <f>Crops[[#This Row],[Wholesale Profit]]*BedsPerAcre</f>
        <v>-17857.142857142862</v>
      </c>
      <c r="EC28" s="36">
        <f>Crops[[#This Row],[Wholesale Profit]]*BedsPerAcre*GrowingDays/Crops[[#This Row],[Days In Field]]</f>
        <v>-19480.519480519484</v>
      </c>
      <c r="ED28" s="36">
        <f>Crops[[#This Row],[Wholesale Time]] * BedsPerAcre</f>
        <v>7370.2857142857147</v>
      </c>
      <c r="EE28" s="36">
        <f>Crops[[#This Row],[Wholesale Profit]]/MIN(Crops[[#This Row],[Days In Field]],GrowingDays)</f>
        <v>-0.67640692640692657</v>
      </c>
      <c r="EF28" s="36">
        <f>(Crops[[#This Row],[Wholesale Revenue Per Bed]]-Crops[[#This Row],[Wholesale Non-Labor Cost]])/Crops[[#This Row],[Direct Time]]</f>
        <v>20.567876818759711</v>
      </c>
      <c r="EG28" s="174">
        <f>Crops[[#This Row],[Packaging Costs]]/Crops[[#This Row],[Wholesale Revenue Per Bed]]</f>
        <v>0.13333333333333333</v>
      </c>
      <c r="EH28" s="36" t="str">
        <f>Crops[[#This Row],[Crop]]&amp;Crops[[#This Row],[Product]]&amp;Crops[[#This Row],[Unit]]</f>
        <v>BeanFlowering TendrilStem</v>
      </c>
      <c r="EI28" s="36" t="b">
        <f>_xlfn.XLOOKUP(Crops[[#This Row],[ProductIndex]],Products[ID],Products[Target])</f>
        <v>0</v>
      </c>
      <c r="EJ28" s="36">
        <f>Crops[[#This Row],[Custom Yield Per Bed]]</f>
        <v>2000</v>
      </c>
      <c r="EK28" s="210">
        <f>Crops[[#This Row],[Units Per Harvest]]/Crops[[#This Row],[Days Between Harvest]]*7</f>
        <v>200</v>
      </c>
      <c r="EL28" s="210" t="e">
        <f>Crops[[#This Row],[Custom Yield Per Bed]]/_xlfn.XLOOKUP(Crops[[#This Row],[ProductIndex]],Products[ID],Products[CSA Portion])</f>
        <v>#DIV/0!</v>
      </c>
      <c r="EM28" s="210" t="e">
        <f>Crops[[#This Row],[Units Per Harvest]]/Crops[[#This Row],[Days Between Harvest]]*7/_xlfn.XLOOKUP(Crops[[#This Row],[ProductIndex]],Products[ID],Products[CSA Portion])</f>
        <v>#DIV/0!</v>
      </c>
      <c r="EN28" s="210" t="e">
        <f>Crops[[#This Row],[CSA Portions Per Week]]/CSAMembers</f>
        <v>#DIV/0!</v>
      </c>
      <c r="EO28" s="210"/>
      <c r="EP28" s="210"/>
      <c r="EQ28" s="36"/>
      <c r="ER28" s="36">
        <f>Crops[[#This Row],[Harvests]]*Crops[[#This Row],[Days Between Harvest]]/7</f>
        <v>10</v>
      </c>
      <c r="ES28" s="208">
        <f>_xlfn.XLOOKUP(Crops[[#This Row],[ProductIndex]],Products[ID],Products[CSA Need])</f>
        <v>0</v>
      </c>
      <c r="ET28" s="208">
        <f>_xlfn.XLOOKUP(Crops[[#This Row],[ProductIndex]],Products[ID],Products[CSA Times])</f>
        <v>0</v>
      </c>
      <c r="EU28" s="208" t="e">
        <f>Crops[[#This Row],[Custom Yield Per Bed]]/(Crops[[#This Row],[CSA Need]]*(_xlfn.XLOOKUP(Crops[[#This Row],[ProductIndex]],Products[ID],Products[CSA Portion])*CSAMembers))</f>
        <v>#DIV/0!</v>
      </c>
      <c r="EV28" s="208">
        <f>_xlfn.XLOOKUP(Crops[[#This Row],[ProductIndex]],Products[ID],Products[CSA Portion])*CSAMembers*Crops[[#This Row],[CSA Need]]/Crops[[#This Row],[Custom Yield Per Bed]]</f>
        <v>0</v>
      </c>
      <c r="EW28" s="208">
        <f>IFERROR(Crops[[#This Row],[Days In Field]]*Crops[[#This Row],[CSA Beds]],"")</f>
        <v>0</v>
      </c>
      <c r="EX28" s="208" t="e">
        <f>Crops[[#This Row],[CSA Bed Days]]*#REF!</f>
        <v>#REF!</v>
      </c>
      <c r="EY28" t="s">
        <v>276</v>
      </c>
    </row>
    <row r="29" spans="1:155" ht="15" customHeight="1">
      <c r="A29"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(Winged) - Flowering Tendril 1X | Field TP </v>
      </c>
      <c r="B29" s="28"/>
      <c r="C29" s="1" t="b">
        <v>0</v>
      </c>
      <c r="D29" s="1"/>
      <c r="E29" s="1" t="b">
        <v>0</v>
      </c>
      <c r="F29" s="1" t="b">
        <f>IFERROR(IF(ISNUMBER(MATCH(Crops[[#This Row],[Identifier]],BedPlan[Crop], 0)), TRUE, FALSE), FALSE)</f>
        <v>0</v>
      </c>
      <c r="G29" s="1" t="b">
        <f>IFERROR(IF(ISNUMBER(MATCH(Crops[[#This Row],[Identifier]],BedPlan[Crop], 0)), TRUE, FALSE), FALSE)</f>
        <v>0</v>
      </c>
      <c r="H29" s="1"/>
      <c r="I29" t="s">
        <v>44</v>
      </c>
      <c r="J29" t="s">
        <v>153</v>
      </c>
      <c r="K29" t="s">
        <v>184</v>
      </c>
      <c r="M29" t="s">
        <v>406</v>
      </c>
      <c r="N29" t="s">
        <v>1311</v>
      </c>
      <c r="O29" t="s">
        <v>210</v>
      </c>
      <c r="P29" t="str">
        <f>IF(OR(Crops[[#This Row],[Days in Cells]]="",Crops[[#This Row],[Days in Cells]]=0), "DS","TP")</f>
        <v>TP</v>
      </c>
      <c r="V29" t="str">
        <f xml:space="preserve"> IF(Crops[[#This Row],[Sp]], "Sp", "") &amp; IF(Crops[[#This Row],[Su]], "Su", "") &amp; IF(Crops[[#This Row],[Fa]], "Fa", "") &amp; IF(Crops[[#This Row],[Wi]], "Wi", "") &amp; IF(Crops[[#This Row],[OW]], "Ow","")</f>
        <v/>
      </c>
      <c r="W29" t="s">
        <v>144</v>
      </c>
      <c r="X29">
        <v>1</v>
      </c>
      <c r="Y29">
        <v>12</v>
      </c>
      <c r="Z29" t="s">
        <v>432</v>
      </c>
      <c r="AA29" t="s">
        <v>334</v>
      </c>
      <c r="AB29" t="b">
        <v>1</v>
      </c>
      <c r="AC29">
        <v>5</v>
      </c>
      <c r="AD29" s="32">
        <f>IFERROR(12/Crops[[#This Row],[Spacing]]*Crops[[#This Row],[Rows]]*BedLength,"")</f>
        <v>50</v>
      </c>
      <c r="AE29">
        <v>1</v>
      </c>
      <c r="AG29">
        <f>IF(Crops[[#This Row],[Custom Safety Factor]]="",PlantingSafetyFactor,Crops[[#This Row],[Custom Safety Factor]])</f>
        <v>1.3</v>
      </c>
      <c r="AH29">
        <f>1</f>
        <v>1</v>
      </c>
      <c r="AI29" s="33">
        <f>IFERROR(Crops[[#This Row],[Plantings Per Bed]]*Crops[[#This Row],[Seeds Per Planting]]*Crops[[#This Row],[Safety Factor]]*Crops[[#This Row],[Seeding Factor]],"")</f>
        <v>65</v>
      </c>
      <c r="AJ29">
        <v>7</v>
      </c>
      <c r="AK29">
        <v>14</v>
      </c>
      <c r="AL29">
        <f>_xlfn.FLOOR.MATH(IFERROR(AVERAGE(Crops[[#This Row],[DTG Lower]:[DTG Upper]]),0))</f>
        <v>10</v>
      </c>
      <c r="AM29">
        <f>SUM(Crops[[#This Row],[Tray 1 Days]],Crops[[#This Row],[Tray 2 Days]],Crops[[#This Row],[Tray 3 Days]])</f>
        <v>21</v>
      </c>
      <c r="AN29" s="32">
        <v>30</v>
      </c>
      <c r="AO29">
        <v>90</v>
      </c>
      <c r="AP29">
        <v>90</v>
      </c>
      <c r="AQ29">
        <f>IFERROR(_xlfn.FLOOR.MATH(AVERAGE(Crops[[#This Row],[DTM Lower]:[DTM Upper]])),"")</f>
        <v>90</v>
      </c>
      <c r="AR29" cm="1">
        <f t="array" ref="AR29">_xlfn.SWITCH(Crops[[#This Row],[Normal Method]],"DS",Crops[[#This Row],[Days to Germination]]+Crops[[#This Row],[DTM]] + IF(Crops[[#This Row],[Days in Cells]]&gt;0,15,0), "TP",Crops[[#This Row],[DTM]]+Crops[[#This Row],[Days in Cells]] + IF(Crops[[#This Row],[Days in Cells]]&lt;=0,20,0), "X", Crops[[#This Row],[DTM]])</f>
        <v>115</v>
      </c>
      <c r="AS29" t="s">
        <v>338</v>
      </c>
      <c r="AT29">
        <f>(Crops[[#This Row],[Harvests]]-1)*Crops[[#This Row],[Days Between Harvest]]+7</f>
        <v>70</v>
      </c>
      <c r="AU29">
        <f>Crops[[#This Row],[STH]]-Crops[[#This Row],[Days in Cells]]+Crops[[#This Row],[Harvest window]]</f>
        <v>164</v>
      </c>
      <c r="AX29">
        <v>128</v>
      </c>
      <c r="AY29">
        <v>21</v>
      </c>
      <c r="AZ29" s="49">
        <f>IFERROR(IF(Crops[[#This Row],[Tray 1 Days]]=0,"",Crops[[#This Row],[Plantings Per Bed]]/Crops[[#This Row],[Tray 1 Size]]*Crops[[#This Row],[Safety Factor]]),"")</f>
        <v>0.5078125</v>
      </c>
      <c r="BC29" t="str">
        <f>IFERROR(IF(Crops[[#This Row],[Tray 2 Days]]=0,"",Crops[[#This Row],[Plantings Per Bed]]/Crops[[#This Row],[Tray 2 Size]]*Crops[[#This Row],[Safety Factor]]),"")</f>
        <v/>
      </c>
      <c r="BE29" s="32" t="str">
        <f>IF(NOT(ISBLANK(Crops[[#This Row],[Tray 3 Size]])), Crops[[#This Row],[Days in Cells Old]]-SUM(Crops[[#This Row],[Tray 1 Days]],Crops[[#This Row],[Tray 2 Days]]), "")</f>
        <v/>
      </c>
      <c r="BF29" s="49" t="str">
        <f>IFERROR(IF(Crops[[#This Row],[Tray 3 Days]]=0,"",Crops[[#This Row],[Plantings Per Bed]]/Crops[[#This Row],[Tray 3 Size]]*Crops[[#This Row],[Safety Factor]]),"")</f>
        <v/>
      </c>
      <c r="BG29" s="33">
        <f>Crops[[#This Row],[Plantings Per Bed]]*2</f>
        <v>100</v>
      </c>
      <c r="BH29" s="33">
        <v>10</v>
      </c>
      <c r="BI29" s="33">
        <v>7</v>
      </c>
      <c r="BJ29" s="33">
        <f>_xlfn.XLOOKUP(Crops[[#This Row],[ProductIndex]],Products[ID],Products[Holding Period])</f>
        <v>0</v>
      </c>
      <c r="BK29" s="33"/>
      <c r="BL29" s="33">
        <f>Crops[[#This Row],[Units Per Harvest]]*Crops[[#This Row],[Harvests]]</f>
        <v>1000</v>
      </c>
      <c r="BM29" s="35">
        <v>1</v>
      </c>
      <c r="BN29" s="35">
        <f>Crops[[#This Row],[Direct Price]]*0.6</f>
        <v>0.6</v>
      </c>
      <c r="BO29" s="35"/>
      <c r="BP29" t="s">
        <v>213</v>
      </c>
      <c r="BQ29">
        <f>Crops[[#This Row],[Custom Yield Per Bed]]*Crops[[#This Row],[Direct Price]]</f>
        <v>1000</v>
      </c>
      <c r="BR29" t="b">
        <v>0</v>
      </c>
      <c r="BS29" t="b">
        <f>Crops[[#This Row],[Harvests]]&gt;1</f>
        <v>1</v>
      </c>
      <c r="BT29" s="36">
        <f>IFERROR(Crops[[#This Row],[Direct Revenue Per Bed]]/Crops[[#This Row],[Days In Field]],-1)</f>
        <v>6.0975609756097562</v>
      </c>
      <c r="BU29" s="33">
        <f>IFERROR(Crops[[#This Row],[Direct Revenue Per Bed Day]]*GrowingDays*BedsPerAcre,"")</f>
        <v>175609.75609756098</v>
      </c>
      <c r="BV29" s="38">
        <f>LastFrostDate-5*Crops[[#This Row],[Sewing Rel Last Frost]]</f>
        <v>45778</v>
      </c>
      <c r="BW29" s="38">
        <f>Crops[[#This Row],[Target Sewing Date]]+Crops[[#This Row],[Days in Cells]]</f>
        <v>45799</v>
      </c>
      <c r="BX29" s="38">
        <f>Crops[[#This Row],[Target Sewing Date]]+Crops[[#This Row],[STH]]</f>
        <v>45893</v>
      </c>
      <c r="BY29" s="38">
        <f>Crops[[#This Row],[Target Harvest Data]]+Crops[[#This Row],[Harvest window]]</f>
        <v>45963</v>
      </c>
      <c r="BZ29">
        <v>-6</v>
      </c>
      <c r="CB29">
        <f>1</f>
        <v>1</v>
      </c>
      <c r="CC29">
        <f>IF(Crops[[#This Row],[Transplanting]]&gt;0, 2, 3)*BedLength/StandardBedLength</f>
        <v>1</v>
      </c>
      <c r="CD29" s="173">
        <f>IF(Crops[[#This Row],[Days in Cells]]&lt;=0,0,Crops[[#This Row],[Plantings Per Bed]]/StartsPerHourSeeding+Crops[[#This Row],[Tray 1 Count]]*5/60)</f>
        <v>0.23763020833333334</v>
      </c>
      <c r="CE29" s="173">
        <f>IF(ISBLANK(Crops[[#This Row],[Tray 2 Days]]),0,Crops[[#This Row],[Plantings Per Bed]]/UpPottingPerHour)+IF(Crops[[#This Row],[Tray 3 Days]]="",0,Crops[[#This Row],[Plantings Per Bed]]/UpPottingPerHour)</f>
        <v>0</v>
      </c>
      <c r="CF29" s="173">
        <f>IFERROR(Crops[[#This Row],[Tray 1 Count]]/HomeStartFlatIrrigationPerHour,0)*Crops[[#This Row],[Days in Cells]]/DaysBetweenStartIrrigation</f>
        <v>4.443359375E-2</v>
      </c>
      <c r="CG29" s="173">
        <f>0.5/16*MAX(Crops[[#This Row],[Tray 1 Count]],Crops[[#This Row],[Tray 2 Count]],Crops[[#This Row],[Tray 3 Count]])</f>
        <v>1.5869140625E-2</v>
      </c>
      <c r="CH29" s="173">
        <f>IF(Crops[[#This Row],[Days in Cells]]&gt;0,IF(IF(Crops[[#This Row],[Tray 3 Size]]&gt;0,Crops[[#This Row],[Tray 3 Size]],IF(Crops[[#This Row],[Tray 2 Size]]&gt;0,Crops[[#This Row],[Tray 2 Size]],Crops[[#This Row],[Tray 1 Size]]))&lt;=18,LargeTransplantTime,SmallTransplantTime)*Crops[[#This Row],[Plantings Per Bed]],0)</f>
        <v>0.25</v>
      </c>
      <c r="CI29" s="173"/>
      <c r="CJ29" s="173">
        <f>_xlfn.XLOOKUP(Crops[[#This Row],[Trellis Type]],TrellisMethods[Trellis Type],TrellisMethods[Hours],0,0)</f>
        <v>0</v>
      </c>
      <c r="CK29">
        <f>IF(Crops[[#This Row],[Days in Cells]]&lt;=0,Crops[[#This Row],[Rows]]*1/10,0)*BedLength/50</f>
        <v>0</v>
      </c>
      <c r="CL29" cm="1">
        <f t="array" ref="CL29">_xlfn.SWITCH(Crops[[#This Row],[Irrigation]],"DR", 0.5, "OH", 0.25,0)*BedLength/50</f>
        <v>0.5</v>
      </c>
      <c r="CM29">
        <f>IF(OR(ISBLANK(Crops[[#This Row],[Row Cover]]),Crops[[#This Row],[Row Cover]]="None"),0,1)*BedLength/50</f>
        <v>1</v>
      </c>
      <c r="CN29" s="173">
        <f>HoursPerWeedingPass*Crops[[#This Row],[Days In Field]]/14*Crops[[#This Row],[Rows]]+1*BedLength/50</f>
        <v>2.9523809523809526</v>
      </c>
      <c r="CQ29" s="37">
        <f>_xlfn.XLOOKUP(Crops[[#This Row],[Crop]]&amp;Crops[[#This Row],[Product]]&amp;Crops[[#This Row],[Unit]],Products[ID],Products[Marketing (hr)])*Crops[[#This Row],[Direct Revenue Per Bed]]/2000</f>
        <v>3</v>
      </c>
      <c r="CR29" s="37">
        <f>_xlfn.XLOOKUP(Crops[[#This Row],[Crop]]&amp;Crops[[#This Row],[Product]]&amp;Crops[[#This Row],[Unit]],Products[ID],Products[Harvest (s)])*Crops[[#This Row],[Custom Yield Per Bed]]/3600</f>
        <v>16.666666666666668</v>
      </c>
      <c r="CS29" s="37">
        <f>_xlfn.XLOOKUP(Crops[[#This Row],[Crop]]&amp;Crops[[#This Row],[Product]]&amp;Crops[[#This Row],[Unit]],Products[ID],Products[Bunch (s)])*Crops[[#This Row],[Custom Yield Per Bed]]/3600</f>
        <v>0</v>
      </c>
      <c r="CT29" s="37">
        <f>_xlfn.XLOOKUP(Crops[[#This Row],[Crop]]&amp;Crops[[#This Row],[Product]]&amp;Crops[[#This Row],[Unit]],Products[ID],Products[Haul (s)])*Crops[[#This Row],[Custom Yield Per Bed]]/3600</f>
        <v>0.5</v>
      </c>
      <c r="CU29" s="37">
        <f>_xlfn.XLOOKUP(Crops[[#This Row],[Crop]]&amp;Crops[[#This Row],[Product]]&amp;Crops[[#This Row],[Unit]],Products[ID],Products[Wash (s)])*Crops[[#This Row],[Custom Yield Per Bed]]/3600</f>
        <v>0</v>
      </c>
      <c r="CV29" s="37">
        <f>_xlfn.XLOOKUP(Crops[[#This Row],[Crop]]&amp;Crops[[#This Row],[Product]]&amp;Crops[[#This Row],[Unit]],Products[ID],Products[Condition (s)])*Crops[[#This Row],[Custom Yield Per Bed]]/3600</f>
        <v>0</v>
      </c>
      <c r="CW29" s="37">
        <f>_xlfn.XLOOKUP(Crops[[#This Row],[Crop]]&amp;Crops[[#This Row],[Product]]&amp;Crops[[#This Row],[Unit]],Products[ID],Products[Trim (s)])*Crops[[#This Row],[Custom Yield Per Bed]]/3600</f>
        <v>0</v>
      </c>
      <c r="CX29" s="37">
        <f>_xlfn.XLOOKUP(Crops[[#This Row],[Crop]]&amp;Crops[[#This Row],[Product]]&amp;Crops[[#This Row],[Unit]],Products[ID],Products[Pack (s)])*Crops[[#This Row],[Custom Yield Per Bed]]/3600</f>
        <v>0.83333333333333337</v>
      </c>
      <c r="CY29" s="37">
        <f>_xlfn.XLOOKUP(Crops[[#This Row],[Crop]]&amp;Crops[[#This Row],[Product]]&amp;Crops[[#This Row],[Unit]],Products[ID],Products[Clean (s)])*Crops[[#This Row],[Custom Yield Per Bed]]/3600</f>
        <v>0</v>
      </c>
      <c r="CZ29" s="37">
        <f>_xlfn.XLOOKUP(Crops[[#This Row],[Crop]]&amp;Crops[[#This Row],[Product]]&amp;Crops[[#This Row],[Unit]],Products[ID],Products[Rehandle (s)])*Crops[[#This Row],[Custom Yield Per Bed]]/3600</f>
        <v>0</v>
      </c>
      <c r="DA29" s="37">
        <f>_xlfn.XLOOKUP(Crops[[#This Row],[Crop]]&amp;Crops[[#This Row],[Product]]&amp;Crops[[#This Row],[Unit]],Products[ID],Products[Market Transport (s)])*Crops[[#This Row],[Custom Yield Per Bed]]/3600</f>
        <v>1.25</v>
      </c>
      <c r="DC29" s="37">
        <f>Crops[[#This Row],[Direct Revenue Per Bed2]]</f>
        <v>1000</v>
      </c>
      <c r="DD29" s="173">
        <f>_xlfn.AGGREGATE(9,6,Crops[[#This Row],[Bed Prep]:[Remove Crop Residue]])</f>
        <v>28.250313895089285</v>
      </c>
      <c r="DE29" s="173">
        <f>_xlfn.AGGREGATE(9,6,Crops[[#This Row],[Bed Prep]:[Remove Crop Residue]])-0.75*Crops[[#This Row],[Market &amp; Sell]]</f>
        <v>26.000313895089285</v>
      </c>
      <c r="DF29" s="36">
        <f>Crops[[#This Row],[Direct Revenue Per Bed2]]/Crops[[#This Row],[Direct Time]]</f>
        <v>35.397836771428892</v>
      </c>
      <c r="DG29" s="36">
        <f>_xlfn.XLOOKUP(Crops[[#This Row],[ProductIndex]],Products[ID],Products[Packaging Cost])*(Crops[[#This Row],[Custom Yield Per Bed]]/_xlfn.XLOOKUP(Crops[[#This Row],[ProductIndex]],Products[ID],Products[Units Per Pack]))</f>
        <v>80</v>
      </c>
      <c r="DH29" s="36"/>
      <c r="DI29" s="36"/>
      <c r="DJ29" s="36"/>
      <c r="DK29" s="36"/>
      <c r="DL29" s="36"/>
      <c r="DM29" s="33">
        <f>IFERROR(Crops[[#This Row],[Custom Yield Per Bed]]*Crops[[#This Row],[Direct Price]],"")</f>
        <v>1000</v>
      </c>
      <c r="DN29" s="36">
        <f>Crops[[#This Row],[Direct Time]]*LaborRate</f>
        <v>706.25784737723211</v>
      </c>
      <c r="DO29" s="36">
        <f>SUM(Crops[[#This Row],[Irrigation Cost]])</f>
        <v>0</v>
      </c>
      <c r="DP29" s="36">
        <f>Crops[[#This Row],[Direct Labor Cost]]+Crops[[#This Row],[Direct Non-Labor Cost]]</f>
        <v>706.25784737723211</v>
      </c>
      <c r="DQ29" s="36">
        <f>Crops[[#This Row],[Direct Revenue Per Bed2]]-Crops[[#This Row],[Direct Total Cost]]</f>
        <v>293.74215262276789</v>
      </c>
      <c r="DR29" s="36">
        <f>Crops[[#This Row],[Direct Profit]]*BedsPerAcre</f>
        <v>46998.744419642862</v>
      </c>
      <c r="DS29" s="36">
        <f>Crops[[#This Row],[Direct Profit]]*BedsPerAcre*GrowingDays/Crops[[#This Row],[Days In Field]]</f>
        <v>51583.987777656796</v>
      </c>
      <c r="DT29" s="36">
        <f>Crops[[#This Row],[Direct Profit]]/MIN(Crops[[#This Row],[Days In Field]],GrowingDays)</f>
        <v>1.7911106867241944</v>
      </c>
      <c r="DU29" s="36">
        <f>Crops[[#This Row],[Direct Time]] * BedsPerAcre</f>
        <v>4520.0502232142853</v>
      </c>
      <c r="DV29" s="36">
        <f>(Crops[[#This Row],[Direct Revenue Per Bed2]]-Crops[[#This Row],[Direct Non-Labor Cost]])/Crops[[#This Row],[Direct Time]]</f>
        <v>35.397836771428892</v>
      </c>
      <c r="DW29" s="33">
        <f>IFERROR(Crops[[#This Row],[Custom Yield Per Bed]]*Crops[[#This Row],[Rough Wholesale Price]],"")</f>
        <v>600</v>
      </c>
      <c r="DX29" s="36">
        <f>Crops[[#This Row],[Wholesale Time]]*LaborRate</f>
        <v>650.00784737723211</v>
      </c>
      <c r="DY29" s="36">
        <f>SUM(Crops[[#This Row],[Packaging Costs]:[Irrigation Cost]])</f>
        <v>80</v>
      </c>
      <c r="DZ29" s="36">
        <f>Crops[[#This Row],[Wholesale Labor Cost]]+Crops[[#This Row],[Wholesale Non-Labor Cost]]</f>
        <v>730.00784737723211</v>
      </c>
      <c r="EA29" s="36">
        <f>Crops[[#This Row],[Wholesale Revenue Per Bed]]-Crops[[#This Row],[Wholesale Total Cost]]</f>
        <v>-130.00784737723211</v>
      </c>
      <c r="EB29" s="36">
        <f>Crops[[#This Row],[Wholesale Profit]]*BedsPerAcre</f>
        <v>-20801.255580357138</v>
      </c>
      <c r="EC29" s="36">
        <f>Crops[[#This Row],[Wholesale Profit]]*BedsPerAcre*GrowingDays/Crops[[#This Row],[Days In Field]]</f>
        <v>-22830.646368684666</v>
      </c>
      <c r="ED29" s="36">
        <f>Crops[[#This Row],[Wholesale Time]] * BedsPerAcre</f>
        <v>4160.0502232142853</v>
      </c>
      <c r="EE29" s="36">
        <f>Crops[[#This Row],[Wholesale Profit]]/MIN(Crops[[#This Row],[Days In Field]],GrowingDays)</f>
        <v>-0.79273077669043968</v>
      </c>
      <c r="EF29" s="36">
        <f>(Crops[[#This Row],[Wholesale Revenue Per Bed]]-Crops[[#This Row],[Wholesale Non-Labor Cost]])/Crops[[#This Row],[Direct Time]]</f>
        <v>18.406875121143024</v>
      </c>
      <c r="EG29" s="174">
        <f>Crops[[#This Row],[Packaging Costs]]/Crops[[#This Row],[Wholesale Revenue Per Bed]]</f>
        <v>0.13333333333333333</v>
      </c>
      <c r="EH29" s="36" t="str">
        <f>Crops[[#This Row],[Crop]]&amp;Crops[[#This Row],[Product]]&amp;Crops[[#This Row],[Unit]]</f>
        <v>BeanFlowering TendrilStem</v>
      </c>
      <c r="EI29" s="36" t="b">
        <f>_xlfn.XLOOKUP(Crops[[#This Row],[ProductIndex]],Products[ID],Products[Target])</f>
        <v>0</v>
      </c>
      <c r="EJ29" s="36">
        <f>Crops[[#This Row],[Custom Yield Per Bed]]</f>
        <v>1000</v>
      </c>
      <c r="EK29" s="210">
        <f>Crops[[#This Row],[Units Per Harvest]]/Crops[[#This Row],[Days Between Harvest]]*7</f>
        <v>100</v>
      </c>
      <c r="EL29" s="210" t="e">
        <f>Crops[[#This Row],[Custom Yield Per Bed]]/_xlfn.XLOOKUP(Crops[[#This Row],[ProductIndex]],Products[ID],Products[CSA Portion])</f>
        <v>#DIV/0!</v>
      </c>
      <c r="EM29" s="210" t="e">
        <f>Crops[[#This Row],[Units Per Harvest]]/Crops[[#This Row],[Days Between Harvest]]*7/_xlfn.XLOOKUP(Crops[[#This Row],[ProductIndex]],Products[ID],Products[CSA Portion])</f>
        <v>#DIV/0!</v>
      </c>
      <c r="EN29" s="210" t="e">
        <f>Crops[[#This Row],[CSA Portions Per Week]]/CSAMembers</f>
        <v>#DIV/0!</v>
      </c>
      <c r="EO29" s="210"/>
      <c r="EP29" s="210"/>
      <c r="EQ29" s="36"/>
      <c r="ER29" s="36">
        <f>Crops[[#This Row],[Harvests]]*Crops[[#This Row],[Days Between Harvest]]/7</f>
        <v>10</v>
      </c>
      <c r="ES29" s="208">
        <f>_xlfn.XLOOKUP(Crops[[#This Row],[ProductIndex]],Products[ID],Products[CSA Need])</f>
        <v>0</v>
      </c>
      <c r="ET29" s="208">
        <f>_xlfn.XLOOKUP(Crops[[#This Row],[ProductIndex]],Products[ID],Products[CSA Times])</f>
        <v>0</v>
      </c>
      <c r="EU29" s="208" t="e">
        <f>Crops[[#This Row],[Custom Yield Per Bed]]/(Crops[[#This Row],[CSA Need]]*(_xlfn.XLOOKUP(Crops[[#This Row],[ProductIndex]],Products[ID],Products[CSA Portion])*CSAMembers))</f>
        <v>#DIV/0!</v>
      </c>
      <c r="EV29" s="208">
        <f>_xlfn.XLOOKUP(Crops[[#This Row],[ProductIndex]],Products[ID],Products[CSA Portion])*CSAMembers*Crops[[#This Row],[CSA Need]]/Crops[[#This Row],[Custom Yield Per Bed]]</f>
        <v>0</v>
      </c>
      <c r="EW29" s="208">
        <f>IFERROR(Crops[[#This Row],[Days In Field]]*Crops[[#This Row],[CSA Beds]],"")</f>
        <v>0</v>
      </c>
      <c r="EX29" s="208" t="e">
        <f>Crops[[#This Row],[CSA Bed Days]]*#REF!</f>
        <v>#REF!</v>
      </c>
      <c r="EY29" t="s">
        <v>1716</v>
      </c>
    </row>
    <row r="30" spans="1:155" ht="15" customHeight="1">
      <c r="A30"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Baby Root 1X | Field TP Sp</v>
      </c>
      <c r="B30" s="183"/>
      <c r="C30" s="1"/>
      <c r="D30" s="1"/>
      <c r="E30" s="1" t="b">
        <v>0</v>
      </c>
      <c r="F30" s="1" t="b">
        <f>IFERROR(IF(ISNUMBER(MATCH(Crops[[#This Row],[Identifier]],BedPlan[Crop], 0)), TRUE, FALSE), FALSE)</f>
        <v>0</v>
      </c>
      <c r="G30" s="1" t="b">
        <f>IFERROR(IF(ISNUMBER(MATCH(Crops[[#This Row],[Identifier]],BedPlan[Crop], 0)), TRUE, FALSE), FALSE)</f>
        <v>0</v>
      </c>
      <c r="H30" s="1" t="b">
        <v>1</v>
      </c>
      <c r="I30" t="s">
        <v>46</v>
      </c>
      <c r="J30" t="s">
        <v>145</v>
      </c>
      <c r="K30" t="s">
        <v>1755</v>
      </c>
      <c r="N30" t="str">
        <f>Crops[[#This Row],[Crop]]</f>
        <v>Beet</v>
      </c>
      <c r="O30" t="s">
        <v>210</v>
      </c>
      <c r="P30" t="str">
        <f>IF(OR(Crops[[#This Row],[Days in Cells]]="",Crops[[#This Row],[Days in Cells]]=0), "DS","TP")</f>
        <v>TP</v>
      </c>
      <c r="Q30" t="s">
        <v>144</v>
      </c>
      <c r="V30" t="str">
        <f xml:space="preserve"> IF(Crops[[#This Row],[Sp]], "Sp", "") &amp; IF(Crops[[#This Row],[Su]], "Su", "") &amp; IF(Crops[[#This Row],[Fa]], "Fa", "") &amp; IF(Crops[[#This Row],[Wi]], "Wi", "") &amp; IF(Crops[[#This Row],[OW]], "Ow","")</f>
        <v>Sp</v>
      </c>
      <c r="W30" t="s">
        <v>144</v>
      </c>
      <c r="X30">
        <v>3</v>
      </c>
      <c r="Y30">
        <v>6</v>
      </c>
      <c r="AC30">
        <v>1</v>
      </c>
      <c r="AD30" s="32">
        <f>IFERROR(12/Crops[[#This Row],[Spacing]]*Crops[[#This Row],[Rows]]*BedLength,"")</f>
        <v>300</v>
      </c>
      <c r="AE30">
        <v>1</v>
      </c>
      <c r="AG30">
        <f>IF(Crops[[#This Row],[Custom Safety Factor]]="",PlantingSafetyFactor,Crops[[#This Row],[Custom Safety Factor]])</f>
        <v>1.3</v>
      </c>
      <c r="AH30">
        <f>1</f>
        <v>1</v>
      </c>
      <c r="AI30" s="33">
        <f>IFERROR(Crops[[#This Row],[Plantings Per Bed]]*Crops[[#This Row],[Seeds Per Planting]]*Crops[[#This Row],[Safety Factor]]*Crops[[#This Row],[Seeding Factor]],"")</f>
        <v>390</v>
      </c>
      <c r="AL30">
        <f>_xlfn.FLOOR.MATH(IFERROR(AVERAGE(Crops[[#This Row],[DTG Lower]:[DTG Upper]]),0))</f>
        <v>0</v>
      </c>
      <c r="AM30">
        <f>SUM(Crops[[#This Row],[Tray 1 Days]],Crops[[#This Row],[Tray 2 Days]],Crops[[#This Row],[Tray 3 Days]])</f>
        <v>35</v>
      </c>
      <c r="AN30">
        <v>35</v>
      </c>
      <c r="AP30">
        <v>50</v>
      </c>
      <c r="AQ30">
        <f>IFERROR(_xlfn.FLOOR.MATH(AVERAGE(Crops[[#This Row],[DTM Lower]:[DTM Upper]])),"")</f>
        <v>50</v>
      </c>
      <c r="AR30" cm="1">
        <f t="array" ref="AR30">_xlfn.SWITCH(Crops[[#This Row],[Normal Method]],"DS",Crops[[#This Row],[Days to Germination]]+Crops[[#This Row],[DTM]] + IF(Crops[[#This Row],[Days in Cells]]&gt;0,15,0), "TP",Crops[[#This Row],[DTM]]+Crops[[#This Row],[Days in Cells]] + IF(Crops[[#This Row],[Days in Cells]]&lt;=0,20,0), "X", Crops[[#This Row],[DTM]])</f>
        <v>85</v>
      </c>
      <c r="AS30" t="s">
        <v>346</v>
      </c>
      <c r="AT30">
        <f>(Crops[[#This Row],[Harvests]]-1)*Crops[[#This Row],[Days Between Harvest]]+7</f>
        <v>14</v>
      </c>
      <c r="AU30">
        <f>Crops[[#This Row],[STH]]-Crops[[#This Row],[Days in Cells]]+Crops[[#This Row],[Harvest window]]</f>
        <v>64</v>
      </c>
      <c r="AX30">
        <v>128</v>
      </c>
      <c r="AY30">
        <v>35</v>
      </c>
      <c r="AZ30">
        <f>IFERROR(IF(Crops[[#This Row],[Tray 1 Days]]=0,"",Crops[[#This Row],[Plantings Per Bed]]/Crops[[#This Row],[Tray 1 Size]]*Crops[[#This Row],[Safety Factor]]),"")</f>
        <v>3.046875</v>
      </c>
      <c r="BC30" t="str">
        <f>IFERROR(IF(Crops[[#This Row],[Tray 2 Days]]=0,"",Crops[[#This Row],[Plantings Per Bed]]/Crops[[#This Row],[Tray 2 Size]]*Crops[[#This Row],[Safety Factor]]),"")</f>
        <v/>
      </c>
      <c r="BE30" s="32" t="str">
        <f>IF(NOT(ISBLANK(Crops[[#This Row],[Tray 3 Size]])), Crops[[#This Row],[Days in Cells Old]]-SUM(Crops[[#This Row],[Tray 1 Days]],Crops[[#This Row],[Tray 2 Days]]), "")</f>
        <v/>
      </c>
      <c r="BF30" t="str">
        <f>IFERROR(IF(Crops[[#This Row],[Tray 3 Days]]=0,"",Crops[[#This Row],[Plantings Per Bed]]/Crops[[#This Row],[Tray 3 Size]]*Crops[[#This Row],[Safety Factor]]),"")</f>
        <v/>
      </c>
      <c r="BG30" s="33">
        <f>Crops[[#This Row],[Plantings Per Bed]]/5/Crops[[#This Row],[Harvests]]</f>
        <v>30</v>
      </c>
      <c r="BH30" s="33">
        <v>2</v>
      </c>
      <c r="BI30" s="33">
        <v>7</v>
      </c>
      <c r="BJ30" s="33">
        <f>_xlfn.XLOOKUP(Crops[[#This Row],[ProductIndex]],Products[ID],Products[Holding Period])</f>
        <v>0</v>
      </c>
      <c r="BK30" s="33"/>
      <c r="BL30" s="33">
        <f>Crops[[#This Row],[Units Per Harvest]]*Crops[[#This Row],[Harvests]]</f>
        <v>60</v>
      </c>
      <c r="BM30" s="35">
        <v>3.25</v>
      </c>
      <c r="BN30" s="35">
        <f>Crops[[#This Row],[Direct Price]]*0.6</f>
        <v>1.95</v>
      </c>
      <c r="BO30" s="35"/>
      <c r="BP30" t="s">
        <v>215</v>
      </c>
      <c r="BQ30">
        <f>Crops[[#This Row],[Custom Yield Per Bed]]*Crops[[#This Row],[Direct Price]]</f>
        <v>195</v>
      </c>
      <c r="BR30" t="b">
        <v>1</v>
      </c>
      <c r="BS30" t="b">
        <f>Crops[[#This Row],[Harvests]]&gt;1</f>
        <v>1</v>
      </c>
      <c r="BT30" s="36">
        <f>IFERROR(Crops[[#This Row],[Direct Revenue Per Bed]]/Crops[[#This Row],[Days In Field]],-1)</f>
        <v>3.046875</v>
      </c>
      <c r="BU30" s="33">
        <f>IFERROR(Crops[[#This Row],[Direct Revenue Per Bed Day]]*GrowingDays*BedsPerAcre,"")</f>
        <v>87750</v>
      </c>
      <c r="BV30" s="38">
        <f>LastFrostDate-5*Crops[[#This Row],[Sewing Rel Last Frost]]</f>
        <v>45738</v>
      </c>
      <c r="BW30" s="38">
        <f>Crops[[#This Row],[Target Sewing Date]]+Crops[[#This Row],[Days in Cells]]</f>
        <v>45773</v>
      </c>
      <c r="BX30" s="38">
        <f>Crops[[#This Row],[Target Sewing Date]]+Crops[[#This Row],[STH]]</f>
        <v>45823</v>
      </c>
      <c r="BY30" s="38">
        <f>Crops[[#This Row],[Target Harvest Data]]+Crops[[#This Row],[Harvest window]]</f>
        <v>45837</v>
      </c>
      <c r="BZ30">
        <v>2</v>
      </c>
      <c r="CA30" t="s">
        <v>376</v>
      </c>
      <c r="CB30">
        <f>1</f>
        <v>1</v>
      </c>
      <c r="CC30">
        <f>IF(Crops[[#This Row],[Transplanting]]&gt;0, 2, 3)*BedLength/StandardBedLength</f>
        <v>1</v>
      </c>
      <c r="CD30" s="173">
        <f>IF(Crops[[#This Row],[Days in Cells]]&lt;=0,0,Crops[[#This Row],[Plantings Per Bed]]/StartsPerHourSeeding+Crops[[#This Row],[Tray 1 Count]]*5/60)</f>
        <v>1.42578125</v>
      </c>
      <c r="CE30" s="173">
        <f>IF(ISBLANK(Crops[[#This Row],[Tray 2 Days]]),0,Crops[[#This Row],[Plantings Per Bed]]/UpPottingPerHour)+IF(Crops[[#This Row],[Tray 3 Days]]="",0,Crops[[#This Row],[Plantings Per Bed]]/UpPottingPerHour)</f>
        <v>0</v>
      </c>
      <c r="CF30" s="173">
        <f>IFERROR(Crops[[#This Row],[Tray 1 Count]]/HomeStartFlatIrrigationPerHour,0)*Crops[[#This Row],[Days in Cells]]/DaysBetweenStartIrrigation</f>
        <v>0.4443359375</v>
      </c>
      <c r="CG30" s="173">
        <f>0.5/16*MAX(Crops[[#This Row],[Tray 1 Count]],Crops[[#This Row],[Tray 2 Count]],Crops[[#This Row],[Tray 3 Count]])</f>
        <v>9.521484375E-2</v>
      </c>
      <c r="CH30" s="173">
        <f>IF(Crops[[#This Row],[Days in Cells]]&gt;0,IF(IF(Crops[[#This Row],[Tray 3 Size]]&gt;0,Crops[[#This Row],[Tray 3 Size]],IF(Crops[[#This Row],[Tray 2 Size]]&gt;0,Crops[[#This Row],[Tray 2 Size]],Crops[[#This Row],[Tray 1 Size]]))&lt;=18,LargeTransplantTime,SmallTransplantTime)*Crops[[#This Row],[Plantings Per Bed]],0)</f>
        <v>1.5</v>
      </c>
      <c r="CI30" s="173"/>
      <c r="CJ30" s="173">
        <f>_xlfn.XLOOKUP(Crops[[#This Row],[Trellis Type]],TrellisMethods[Trellis Type],TrellisMethods[Hours],0,0)</f>
        <v>0</v>
      </c>
      <c r="CK30">
        <f>IF(Crops[[#This Row],[Days in Cells]]&lt;=0,Crops[[#This Row],[Rows]]*1/10,0)*BedLength/50</f>
        <v>0</v>
      </c>
      <c r="CL30" cm="1">
        <f t="array" ref="CL30">_xlfn.SWITCH(Crops[[#This Row],[Irrigation]],"DR", 0.5, "OH", 0.25,0)*BedLength/50</f>
        <v>0</v>
      </c>
      <c r="CM30">
        <f>IF(OR(ISBLANK(Crops[[#This Row],[Row Cover]]),Crops[[#This Row],[Row Cover]]="None"),0,1)*BedLength/50</f>
        <v>0</v>
      </c>
      <c r="CN30" s="173">
        <f>HoursPerWeedingPass*Crops[[#This Row],[Days In Field]]/14*Crops[[#This Row],[Rows]]+1*BedLength/50</f>
        <v>3.2857142857142856</v>
      </c>
      <c r="CQ30" s="37">
        <f>_xlfn.XLOOKUP(Crops[[#This Row],[Crop]]&amp;Crops[[#This Row],[Product]]&amp;Crops[[#This Row],[Unit]],Products[ID],Products[Marketing (hr)])*Crops[[#This Row],[Direct Revenue Per Bed]]/2000</f>
        <v>0.19500000000000001</v>
      </c>
      <c r="CR30" s="37">
        <f>_xlfn.XLOOKUP(Crops[[#This Row],[Crop]]&amp;Crops[[#This Row],[Product]]&amp;Crops[[#This Row],[Unit]],Products[ID],Products[Harvest (s)])*Crops[[#This Row],[Custom Yield Per Bed]]/3600</f>
        <v>0.4</v>
      </c>
      <c r="CS30" s="37">
        <f>_xlfn.XLOOKUP(Crops[[#This Row],[Crop]]&amp;Crops[[#This Row],[Product]]&amp;Crops[[#This Row],[Unit]],Products[ID],Products[Bunch (s)])*Crops[[#This Row],[Custom Yield Per Bed]]/3600</f>
        <v>0.16666666666666666</v>
      </c>
      <c r="CT30" s="37">
        <f>_xlfn.XLOOKUP(Crops[[#This Row],[Crop]]&amp;Crops[[#This Row],[Product]]&amp;Crops[[#This Row],[Unit]],Products[ID],Products[Haul (s)])*Crops[[#This Row],[Custom Yield Per Bed]]/3600</f>
        <v>6.25E-2</v>
      </c>
      <c r="CU30" s="37">
        <f>_xlfn.XLOOKUP(Crops[[#This Row],[Crop]]&amp;Crops[[#This Row],[Product]]&amp;Crops[[#This Row],[Unit]],Products[ID],Products[Wash (s)])*Crops[[#This Row],[Custom Yield Per Bed]]/3600</f>
        <v>0.5</v>
      </c>
      <c r="CV30" s="37">
        <f>_xlfn.XLOOKUP(Crops[[#This Row],[Crop]]&amp;Crops[[#This Row],[Product]]&amp;Crops[[#This Row],[Unit]],Products[ID],Products[Condition (s)])*Crops[[#This Row],[Custom Yield Per Bed]]/3600</f>
        <v>0</v>
      </c>
      <c r="CW30" s="37">
        <f>_xlfn.XLOOKUP(Crops[[#This Row],[Crop]]&amp;Crops[[#This Row],[Product]]&amp;Crops[[#This Row],[Unit]],Products[ID],Products[Trim (s)])*Crops[[#This Row],[Custom Yield Per Bed]]/3600</f>
        <v>0.16666666666666666</v>
      </c>
      <c r="CX30" s="37">
        <f>_xlfn.XLOOKUP(Crops[[#This Row],[Crop]]&amp;Crops[[#This Row],[Product]]&amp;Crops[[#This Row],[Unit]],Products[ID],Products[Pack (s)])*Crops[[#This Row],[Custom Yield Per Bed]]/3600</f>
        <v>0.05</v>
      </c>
      <c r="CY30" s="37">
        <f>_xlfn.XLOOKUP(Crops[[#This Row],[Crop]]&amp;Crops[[#This Row],[Product]]&amp;Crops[[#This Row],[Unit]],Products[ID],Products[Clean (s)])*Crops[[#This Row],[Custom Yield Per Bed]]/3600</f>
        <v>0</v>
      </c>
      <c r="CZ30" s="37">
        <f>_xlfn.XLOOKUP(Crops[[#This Row],[Crop]]&amp;Crops[[#This Row],[Product]]&amp;Crops[[#This Row],[Unit]],Products[ID],Products[Rehandle (s)])*Crops[[#This Row],[Custom Yield Per Bed]]/3600</f>
        <v>0</v>
      </c>
      <c r="DA30" s="37">
        <f>_xlfn.XLOOKUP(Crops[[#This Row],[Crop]]&amp;Crops[[#This Row],[Product]]&amp;Crops[[#This Row],[Unit]],Products[ID],Products[Market Transport (s)])*Crops[[#This Row],[Custom Yield Per Bed]]/3600</f>
        <v>0.15625</v>
      </c>
      <c r="DC30" s="37">
        <f>Crops[[#This Row],[Direct Revenue Per Bed2]]</f>
        <v>195</v>
      </c>
      <c r="DD30" s="173">
        <f>_xlfn.AGGREGATE(9,6,Crops[[#This Row],[Bed Prep]:[Remove Crop Residue]])</f>
        <v>9.4481296502976182</v>
      </c>
      <c r="DE30" s="173">
        <f>_xlfn.AGGREGATE(9,6,Crops[[#This Row],[Bed Prep]:[Remove Crop Residue]])-0.75*Crops[[#This Row],[Market &amp; Sell]]</f>
        <v>9.301879650297618</v>
      </c>
      <c r="DF30" s="36">
        <f>Crops[[#This Row],[Direct Revenue Per Bed2]]/Crops[[#This Row],[Direct Time]]</f>
        <v>20.639005519347151</v>
      </c>
      <c r="DG30" s="36">
        <f>_xlfn.XLOOKUP(Crops[[#This Row],[ProductIndex]],Products[ID],Products[Packaging Cost])*(Crops[[#This Row],[Custom Yield Per Bed]]/_xlfn.XLOOKUP(Crops[[#This Row],[ProductIndex]],Products[ID],Products[Units Per Pack]))</f>
        <v>9.5</v>
      </c>
      <c r="DH30" s="36"/>
      <c r="DI30" s="36"/>
      <c r="DJ30" s="36"/>
      <c r="DK30" s="36"/>
      <c r="DL30" s="36"/>
      <c r="DM30" s="33">
        <f>IFERROR(Crops[[#This Row],[Custom Yield Per Bed]]*Crops[[#This Row],[Direct Price]],"")</f>
        <v>195</v>
      </c>
      <c r="DN30" s="36">
        <f>Crops[[#This Row],[Direct Time]]*LaborRate</f>
        <v>236.20324125744045</v>
      </c>
      <c r="DO30" s="36">
        <f>SUM(Crops[[#This Row],[Irrigation Cost]])</f>
        <v>0</v>
      </c>
      <c r="DP30" s="36">
        <f>Crops[[#This Row],[Direct Labor Cost]]+Crops[[#This Row],[Direct Non-Labor Cost]]</f>
        <v>236.20324125744045</v>
      </c>
      <c r="DQ30" s="36">
        <f>Crops[[#This Row],[Direct Revenue Per Bed2]]-Crops[[#This Row],[Direct Total Cost]]</f>
        <v>-41.203241257440453</v>
      </c>
      <c r="DR30" s="36">
        <f>Crops[[#This Row],[Direct Profit]]*BedsPerAcre</f>
        <v>-6592.5186011904725</v>
      </c>
      <c r="DS30" s="36">
        <f>Crops[[#This Row],[Direct Profit]]*BedsPerAcre*GrowingDays/Crops[[#This Row],[Days In Field]]</f>
        <v>-18541.458565848203</v>
      </c>
      <c r="DT30" s="36">
        <f>Crops[[#This Row],[Direct Profit]]/MIN(Crops[[#This Row],[Days In Field]],GrowingDays)</f>
        <v>-0.64380064464750708</v>
      </c>
      <c r="DU30" s="36">
        <f>Crops[[#This Row],[Direct Time]] * BedsPerAcre</f>
        <v>1511.7007440476189</v>
      </c>
      <c r="DV30" s="36">
        <f>(Crops[[#This Row],[Direct Revenue Per Bed2]]-Crops[[#This Row],[Direct Non-Labor Cost]])/Crops[[#This Row],[Direct Time]]</f>
        <v>20.639005519347151</v>
      </c>
      <c r="DW30" s="33">
        <f>IFERROR(Crops[[#This Row],[Custom Yield Per Bed]]*Crops[[#This Row],[Rough Wholesale Price]],"")</f>
        <v>117</v>
      </c>
      <c r="DX30" s="36">
        <f>Crops[[#This Row],[Wholesale Time]]*LaborRate</f>
        <v>232.54699125744045</v>
      </c>
      <c r="DY30" s="36">
        <f>SUM(Crops[[#This Row],[Packaging Costs]:[Irrigation Cost]])</f>
        <v>9.5</v>
      </c>
      <c r="DZ30" s="36">
        <f>Crops[[#This Row],[Wholesale Labor Cost]]+Crops[[#This Row],[Wholesale Non-Labor Cost]]</f>
        <v>242.04699125744045</v>
      </c>
      <c r="EA30" s="36">
        <f>Crops[[#This Row],[Wholesale Revenue Per Bed]]-Crops[[#This Row],[Wholesale Total Cost]]</f>
        <v>-125.04699125744045</v>
      </c>
      <c r="EB30" s="36">
        <f>Crops[[#This Row],[Wholesale Profit]]*BedsPerAcre</f>
        <v>-20007.518601190473</v>
      </c>
      <c r="EC30" s="36">
        <f>Crops[[#This Row],[Wholesale Profit]]*BedsPerAcre*GrowingDays/Crops[[#This Row],[Days In Field]]</f>
        <v>-56271.14606584821</v>
      </c>
      <c r="ED30" s="36">
        <f>Crops[[#This Row],[Wholesale Time]] * BedsPerAcre</f>
        <v>1488.300744047619</v>
      </c>
      <c r="EE30" s="36">
        <f>Crops[[#This Row],[Wholesale Profit]]/MIN(Crops[[#This Row],[Days In Field]],GrowingDays)</f>
        <v>-1.9538592383975071</v>
      </c>
      <c r="EF30" s="36">
        <f>(Crops[[#This Row],[Wholesale Revenue Per Bed]]-Crops[[#This Row],[Wholesale Non-Labor Cost]])/Crops[[#This Row],[Direct Time]]</f>
        <v>11.377913299127275</v>
      </c>
      <c r="EG30" s="174">
        <f>Crops[[#This Row],[Packaging Costs]]/Crops[[#This Row],[Wholesale Revenue Per Bed]]</f>
        <v>8.11965811965812E-2</v>
      </c>
      <c r="EH30" s="36" t="str">
        <f>Crops[[#This Row],[Crop]]&amp;Crops[[#This Row],[Product]]&amp;Crops[[#This Row],[Unit]]</f>
        <v>BeetBaby RootBunch</v>
      </c>
      <c r="EI30" s="36" t="b">
        <f>_xlfn.XLOOKUP(Crops[[#This Row],[ProductIndex]],Products[ID],Products[Target])</f>
        <v>0</v>
      </c>
      <c r="EJ30" s="36">
        <f>Crops[[#This Row],[Custom Yield Per Bed]]</f>
        <v>60</v>
      </c>
      <c r="EK30" s="210">
        <f>Crops[[#This Row],[Units Per Harvest]]/Crops[[#This Row],[Days Between Harvest]]*7</f>
        <v>30</v>
      </c>
      <c r="EL30" s="210" t="e">
        <f>Crops[[#This Row],[Custom Yield Per Bed]]/_xlfn.XLOOKUP(Crops[[#This Row],[ProductIndex]],Products[ID],Products[CSA Portion])</f>
        <v>#DIV/0!</v>
      </c>
      <c r="EM30" s="210" t="e">
        <f>Crops[[#This Row],[Units Per Harvest]]/Crops[[#This Row],[Days Between Harvest]]*7/_xlfn.XLOOKUP(Crops[[#This Row],[ProductIndex]],Products[ID],Products[CSA Portion])</f>
        <v>#DIV/0!</v>
      </c>
      <c r="EN30" s="210" t="e">
        <f>Crops[[#This Row],[CSA Portions Per Week]]/CSAMembers</f>
        <v>#DIV/0!</v>
      </c>
      <c r="EO30" s="210"/>
      <c r="EP30" s="210"/>
      <c r="EQ30" s="36"/>
      <c r="ER30" s="36">
        <f>Crops[[#This Row],[Harvests]]*Crops[[#This Row],[Days Between Harvest]]/7</f>
        <v>2</v>
      </c>
      <c r="ES30" s="208">
        <f>_xlfn.XLOOKUP(Crops[[#This Row],[ProductIndex]],Products[ID],Products[CSA Need])</f>
        <v>0</v>
      </c>
      <c r="ET30" s="208">
        <f>_xlfn.XLOOKUP(Crops[[#This Row],[ProductIndex]],Products[ID],Products[CSA Times])</f>
        <v>0</v>
      </c>
      <c r="EU30" s="208" t="e">
        <f>Crops[[#This Row],[Custom Yield Per Bed]]/(Crops[[#This Row],[CSA Need]]*(_xlfn.XLOOKUP(Crops[[#This Row],[ProductIndex]],Products[ID],Products[CSA Portion])*CSAMembers))</f>
        <v>#DIV/0!</v>
      </c>
      <c r="EV30" s="208">
        <f>_xlfn.XLOOKUP(Crops[[#This Row],[ProductIndex]],Products[ID],Products[CSA Portion])*CSAMembers*Crops[[#This Row],[CSA Need]]/Crops[[#This Row],[Custom Yield Per Bed]]</f>
        <v>0</v>
      </c>
      <c r="EW30" s="208">
        <f>IFERROR(Crops[[#This Row],[Days In Field]]*Crops[[#This Row],[CSA Beds]],"")</f>
        <v>0</v>
      </c>
      <c r="EX30" s="208" t="e">
        <f>Crops[[#This Row],[CSA Bed Days]]*#REF!</f>
        <v>#REF!</v>
      </c>
      <c r="EY30" t="s">
        <v>277</v>
      </c>
    </row>
    <row r="31" spans="1:155">
      <c r="A31"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1X | Field DS Sp</v>
      </c>
      <c r="B31" s="183"/>
      <c r="C31" s="1"/>
      <c r="D31" s="1"/>
      <c r="E31" s="1" t="b">
        <v>0</v>
      </c>
      <c r="F31" s="1" t="b">
        <f>IFERROR(IF(ISNUMBER(MATCH(Crops[[#This Row],[Identifier]],BedPlan[Crop], 0)), TRUE, FALSE), FALSE)</f>
        <v>0</v>
      </c>
      <c r="G31" s="1" t="b">
        <f>IFERROR(IF(ISNUMBER(MATCH(Crops[[#This Row],[Identifier]],BedPlan[Crop], 0)), TRUE, FALSE), FALSE)</f>
        <v>0</v>
      </c>
      <c r="H31" s="1" t="b">
        <v>1</v>
      </c>
      <c r="I31" t="s">
        <v>46</v>
      </c>
      <c r="J31" t="s">
        <v>145</v>
      </c>
      <c r="K31" t="s">
        <v>185</v>
      </c>
      <c r="N31" t="str">
        <f>Crops[[#This Row],[Crop]]</f>
        <v>Beet</v>
      </c>
      <c r="O31" t="s">
        <v>210</v>
      </c>
      <c r="P31" t="str">
        <f>IF(OR(Crops[[#This Row],[Days in Cells]]="",Crops[[#This Row],[Days in Cells]]=0), "DS","TP")</f>
        <v>DS</v>
      </c>
      <c r="Q31" t="s">
        <v>144</v>
      </c>
      <c r="V31" t="str">
        <f xml:space="preserve"> IF(Crops[[#This Row],[Sp]], "Sp", "") &amp; IF(Crops[[#This Row],[Su]], "Su", "") &amp; IF(Crops[[#This Row],[Fa]], "Fa", "") &amp; IF(Crops[[#This Row],[Wi]], "Wi", "") &amp; IF(Crops[[#This Row],[OW]], "Ow","")</f>
        <v>Sp</v>
      </c>
      <c r="W31" t="s">
        <v>144</v>
      </c>
      <c r="X31">
        <v>3</v>
      </c>
      <c r="Y31">
        <v>1</v>
      </c>
      <c r="AD31" s="32">
        <f>IFERROR(12/Crops[[#This Row],[Spacing]]*Crops[[#This Row],[Rows]]*BedLength,"")</f>
        <v>1800</v>
      </c>
      <c r="AE31">
        <v>1</v>
      </c>
      <c r="AG31">
        <v>1.3</v>
      </c>
      <c r="AH31">
        <f>1</f>
        <v>1</v>
      </c>
      <c r="AI31" s="33">
        <f>IFERROR(Crops[[#This Row],[Plantings Per Bed]]*Crops[[#This Row],[Seeds Per Planting]]*Crops[[#This Row],[Safety Factor]]*Crops[[#This Row],[Seeding Factor]],"")</f>
        <v>2340</v>
      </c>
      <c r="AL31">
        <f>_xlfn.FLOOR.MATH(IFERROR(AVERAGE(Crops[[#This Row],[DTG Lower]:[DTG Upper]]),0))</f>
        <v>0</v>
      </c>
      <c r="AM31">
        <f>SUM(Crops[[#This Row],[Tray 1 Days]],Crops[[#This Row],[Tray 2 Days]],Crops[[#This Row],[Tray 3 Days]])</f>
        <v>0</v>
      </c>
      <c r="AN31">
        <v>35</v>
      </c>
      <c r="AP31">
        <v>85</v>
      </c>
      <c r="AQ31">
        <f>IFERROR(_xlfn.FLOOR.MATH(AVERAGE(Crops[[#This Row],[DTM Lower]:[DTM Upper]])),"")</f>
        <v>85</v>
      </c>
      <c r="AR31" cm="1">
        <f t="array" ref="AR31">_xlfn.SWITCH(Crops[[#This Row],[Normal Method]],"DS",Crops[[#This Row],[Days to Germination]]+Crops[[#This Row],[DTM]] + IF(Crops[[#This Row],[Days in Cells]]&gt;0,15,0), "TP",Crops[[#This Row],[DTM]]+Crops[[#This Row],[Days in Cells]] + IF(Crops[[#This Row],[Days in Cells]]&lt;=0,20,0), "X", Crops[[#This Row],[DTM]])</f>
        <v>85</v>
      </c>
      <c r="AS31" t="s">
        <v>347</v>
      </c>
      <c r="AT31">
        <f>(Crops[[#This Row],[Harvests]]-1)*Crops[[#This Row],[Days Between Harvest]]+7</f>
        <v>14</v>
      </c>
      <c r="AU31">
        <f>Crops[[#This Row],[STH]]-Crops[[#This Row],[Days in Cells]]+Crops[[#This Row],[Harvest window]]</f>
        <v>99</v>
      </c>
      <c r="AZ31" t="str">
        <f>IFERROR(IF(Crops[[#This Row],[Tray 1 Days]]=0,"",Crops[[#This Row],[Plantings Per Bed]]/Crops[[#This Row],[Tray 1 Size]]*Crops[[#This Row],[Safety Factor]]),"")</f>
        <v/>
      </c>
      <c r="BC31" t="str">
        <f>IFERROR(IF(Crops[[#This Row],[Tray 2 Days]]=0,"",Crops[[#This Row],[Plantings Per Bed]]/Crops[[#This Row],[Tray 2 Size]]*Crops[[#This Row],[Safety Factor]]),"")</f>
        <v/>
      </c>
      <c r="BE31" s="32" t="str">
        <f>IF(NOT(ISBLANK(Crops[[#This Row],[Tray 3 Size]])), Crops[[#This Row],[Days in Cells Old]]-SUM(Crops[[#This Row],[Tray 1 Days]],Crops[[#This Row],[Tray 2 Days]]), "")</f>
        <v/>
      </c>
      <c r="BF31" t="str">
        <f>IFERROR(IF(Crops[[#This Row],[Tray 3 Days]]=0,"",Crops[[#This Row],[Plantings Per Bed]]/Crops[[#This Row],[Tray 3 Size]]*Crops[[#This Row],[Safety Factor]]),"")</f>
        <v/>
      </c>
      <c r="BG31" s="33">
        <f>Crops[[#This Row],[Plantings Per Bed]]/15/Crops[[#This Row],[Harvests]]</f>
        <v>60</v>
      </c>
      <c r="BH31" s="33">
        <v>2</v>
      </c>
      <c r="BI31" s="33">
        <v>7</v>
      </c>
      <c r="BJ31" s="33">
        <f>_xlfn.XLOOKUP(Crops[[#This Row],[ProductIndex]],Products[ID],Products[Holding Period])</f>
        <v>7</v>
      </c>
      <c r="BK31" s="33"/>
      <c r="BL31" s="33">
        <f>Crops[[#This Row],[Units Per Harvest]]*Crops[[#This Row],[Harvests]]</f>
        <v>120</v>
      </c>
      <c r="BM31" s="35">
        <v>4</v>
      </c>
      <c r="BN31" s="212">
        <v>1.4</v>
      </c>
      <c r="BO31" s="212"/>
      <c r="BP31" t="s">
        <v>215</v>
      </c>
      <c r="BQ31">
        <f>Crops[[#This Row],[Custom Yield Per Bed]]*Crops[[#This Row],[Direct Price]]</f>
        <v>480</v>
      </c>
      <c r="BR31" t="b">
        <v>1</v>
      </c>
      <c r="BS31" t="b">
        <f>Crops[[#This Row],[Harvests]]&gt;1</f>
        <v>1</v>
      </c>
      <c r="BT31" s="36">
        <f>IFERROR(Crops[[#This Row],[Direct Revenue Per Bed]]/Crops[[#This Row],[Days In Field]],-1)</f>
        <v>4.8484848484848486</v>
      </c>
      <c r="BU31" s="33">
        <f>IFERROR(Crops[[#This Row],[Direct Revenue Per Bed Day]]*GrowingDays*BedsPerAcre,"")</f>
        <v>139636.36363636365</v>
      </c>
      <c r="BV31" s="38">
        <f>LastFrostDate-5*Crops[[#This Row],[Sewing Rel Last Frost]]</f>
        <v>45748</v>
      </c>
      <c r="BW31" s="38">
        <f>Crops[[#This Row],[Target Sewing Date]]+Crops[[#This Row],[Days in Cells]]</f>
        <v>45748</v>
      </c>
      <c r="BX31" s="38">
        <f>Crops[[#This Row],[Target Sewing Date]]+Crops[[#This Row],[STH]]</f>
        <v>45833</v>
      </c>
      <c r="BY31" s="38">
        <f>Crops[[#This Row],[Target Harvest Data]]+Crops[[#This Row],[Harvest window]]</f>
        <v>45847</v>
      </c>
      <c r="BZ31">
        <v>0</v>
      </c>
      <c r="CA31" t="s">
        <v>376</v>
      </c>
      <c r="CB31">
        <f>1</f>
        <v>1</v>
      </c>
      <c r="CC31">
        <f>IF(Crops[[#This Row],[Transplanting]]&gt;0, 2, 3)*BedLength/StandardBedLength</f>
        <v>1.5</v>
      </c>
      <c r="CD31" s="173">
        <f>IF(Crops[[#This Row],[Days in Cells]]&lt;=0,0,Crops[[#This Row],[Plantings Per Bed]]/StartsPerHourSeeding+Crops[[#This Row],[Tray 1 Count]]*5/60)</f>
        <v>0</v>
      </c>
      <c r="CE31" s="173">
        <f>IF(ISBLANK(Crops[[#This Row],[Tray 2 Days]]),0,Crops[[#This Row],[Plantings Per Bed]]/UpPottingPerHour)+IF(Crops[[#This Row],[Tray 3 Days]]="",0,Crops[[#This Row],[Plantings Per Bed]]/UpPottingPerHour)</f>
        <v>0</v>
      </c>
      <c r="CF31" s="173">
        <f>IFERROR(Crops[[#This Row],[Tray 1 Count]]/HomeStartFlatIrrigationPerHour,0)*Crops[[#This Row],[Days in Cells]]/DaysBetweenStartIrrigation</f>
        <v>0</v>
      </c>
      <c r="CG31" s="173">
        <f>0.5/16*MAX(Crops[[#This Row],[Tray 1 Count]],Crops[[#This Row],[Tray 2 Count]],Crops[[#This Row],[Tray 3 Count]])</f>
        <v>0</v>
      </c>
      <c r="CH31" s="173">
        <f>IF(Crops[[#This Row],[Days in Cells]]&gt;0,IF(IF(Crops[[#This Row],[Tray 3 Size]]&gt;0,Crops[[#This Row],[Tray 3 Size]],IF(Crops[[#This Row],[Tray 2 Size]]&gt;0,Crops[[#This Row],[Tray 2 Size]],Crops[[#This Row],[Tray 1 Size]]))&lt;=18,LargeTransplantTime,SmallTransplantTime)*Crops[[#This Row],[Plantings Per Bed]],0)</f>
        <v>0</v>
      </c>
      <c r="CI31" s="173"/>
      <c r="CJ31" s="173">
        <f>_xlfn.XLOOKUP(Crops[[#This Row],[Trellis Type]],TrellisMethods[Trellis Type],TrellisMethods[Hours],0,0)</f>
        <v>0</v>
      </c>
      <c r="CK31">
        <f>IF(Crops[[#This Row],[Days in Cells]]&lt;=0,Crops[[#This Row],[Rows]]*1/10,0)*BedLength/50</f>
        <v>0.3</v>
      </c>
      <c r="CL31" cm="1">
        <f t="array" ref="CL31">_xlfn.SWITCH(Crops[[#This Row],[Irrigation]],"DR", 0.5, "OH", 0.25,0)*BedLength/50</f>
        <v>0</v>
      </c>
      <c r="CM31">
        <f>IF(OR(ISBLANK(Crops[[#This Row],[Row Cover]]),Crops[[#This Row],[Row Cover]]="None"),0,1)*BedLength/50</f>
        <v>0</v>
      </c>
      <c r="CN31" s="173">
        <f>HoursPerWeedingPass*Crops[[#This Row],[Days In Field]]/14*Crops[[#This Row],[Rows]]+1*BedLength/50</f>
        <v>4.5357142857142856</v>
      </c>
      <c r="CO31" s="49"/>
      <c r="CQ31" s="37">
        <f>_xlfn.XLOOKUP(Crops[[#This Row],[Crop]]&amp;Crops[[#This Row],[Product]]&amp;Crops[[#This Row],[Unit]],Products[ID],Products[Marketing (hr)])*Crops[[#This Row],[Direct Revenue Per Bed]]/2000</f>
        <v>1.44</v>
      </c>
      <c r="CR31" s="37">
        <f>_xlfn.XLOOKUP(Crops[[#This Row],[Crop]]&amp;Crops[[#This Row],[Product]]&amp;Crops[[#This Row],[Unit]],Products[ID],Products[Harvest (s)])*Crops[[#This Row],[Custom Yield Per Bed]]/3600</f>
        <v>0.33333333333333331</v>
      </c>
      <c r="CS31" s="37">
        <f>_xlfn.XLOOKUP(Crops[[#This Row],[Crop]]&amp;Crops[[#This Row],[Product]]&amp;Crops[[#This Row],[Unit]],Products[ID],Products[Bunch (s)])*Crops[[#This Row],[Custom Yield Per Bed]]/3600</f>
        <v>0.33333333333333331</v>
      </c>
      <c r="CT31" s="37">
        <f>_xlfn.XLOOKUP(Crops[[#This Row],[Crop]]&amp;Crops[[#This Row],[Product]]&amp;Crops[[#This Row],[Unit]],Products[ID],Products[Haul (s)])*Crops[[#This Row],[Custom Yield Per Bed]]/3600</f>
        <v>0.125</v>
      </c>
      <c r="CU31" s="37">
        <f>_xlfn.XLOOKUP(Crops[[#This Row],[Crop]]&amp;Crops[[#This Row],[Product]]&amp;Crops[[#This Row],[Unit]],Products[ID],Products[Wash (s)])*Crops[[#This Row],[Custom Yield Per Bed]]/3600</f>
        <v>0.5</v>
      </c>
      <c r="CV31" s="37">
        <f>_xlfn.XLOOKUP(Crops[[#This Row],[Crop]]&amp;Crops[[#This Row],[Product]]&amp;Crops[[#This Row],[Unit]],Products[ID],Products[Condition (s)])*Crops[[#This Row],[Custom Yield Per Bed]]/3600</f>
        <v>0</v>
      </c>
      <c r="CW31" s="37">
        <f>_xlfn.XLOOKUP(Crops[[#This Row],[Crop]]&amp;Crops[[#This Row],[Product]]&amp;Crops[[#This Row],[Unit]],Products[ID],Products[Trim (s)])*Crops[[#This Row],[Custom Yield Per Bed]]/3600</f>
        <v>0.33333333333333331</v>
      </c>
      <c r="CX31" s="37">
        <f>_xlfn.XLOOKUP(Crops[[#This Row],[Crop]]&amp;Crops[[#This Row],[Product]]&amp;Crops[[#This Row],[Unit]],Products[ID],Products[Pack (s)])*Crops[[#This Row],[Custom Yield Per Bed]]/3600</f>
        <v>0.1</v>
      </c>
      <c r="CY31" s="37">
        <f>_xlfn.XLOOKUP(Crops[[#This Row],[Crop]]&amp;Crops[[#This Row],[Product]]&amp;Crops[[#This Row],[Unit]],Products[ID],Products[Clean (s)])*Crops[[#This Row],[Custom Yield Per Bed]]/3600</f>
        <v>0</v>
      </c>
      <c r="CZ31" s="37">
        <f>_xlfn.XLOOKUP(Crops[[#This Row],[Crop]]&amp;Crops[[#This Row],[Product]]&amp;Crops[[#This Row],[Unit]],Products[ID],Products[Rehandle (s)])*Crops[[#This Row],[Custom Yield Per Bed]]/3600</f>
        <v>0</v>
      </c>
      <c r="DA31" s="37">
        <f>_xlfn.XLOOKUP(Crops[[#This Row],[Crop]]&amp;Crops[[#This Row],[Product]]&amp;Crops[[#This Row],[Unit]],Products[ID],Products[Market Transport (s)])*Crops[[#This Row],[Custom Yield Per Bed]]/3600</f>
        <v>0.3125</v>
      </c>
      <c r="DC31" s="37">
        <f>Crops[[#This Row],[Direct Revenue Per Bed2]]</f>
        <v>480</v>
      </c>
      <c r="DD31" s="173">
        <f>_xlfn.AGGREGATE(9,6,Crops[[#This Row],[Bed Prep]:[Remove Crop Residue]])</f>
        <v>9.8132142857142863</v>
      </c>
      <c r="DE31" s="173">
        <f>_xlfn.AGGREGATE(9,6,Crops[[#This Row],[Bed Prep]:[Remove Crop Residue]])-0.75*Crops[[#This Row],[Market &amp; Sell]]</f>
        <v>8.7332142857142863</v>
      </c>
      <c r="DF31" s="36">
        <f>Crops[[#This Row],[Direct Revenue Per Bed2]]/Crops[[#This Row],[Direct Time]]</f>
        <v>48.913636859919201</v>
      </c>
      <c r="DG31" s="36">
        <f>_xlfn.XLOOKUP(Crops[[#This Row],[ProductIndex]],Products[ID],Products[Packaging Cost])*(Crops[[#This Row],[Custom Yield Per Bed]]/_xlfn.XLOOKUP(Crops[[#This Row],[ProductIndex]],Products[ID],Products[Units Per Pack]))</f>
        <v>19</v>
      </c>
      <c r="DH31" s="36"/>
      <c r="DI31" s="36"/>
      <c r="DJ31" s="36"/>
      <c r="DK31" s="36"/>
      <c r="DL31" s="36"/>
      <c r="DM31" s="33">
        <f>IFERROR(Crops[[#This Row],[Custom Yield Per Bed]]*Crops[[#This Row],[Direct Price]],"")</f>
        <v>480</v>
      </c>
      <c r="DN31" s="36">
        <f>Crops[[#This Row],[Direct Time]]*LaborRate</f>
        <v>245.33035714285717</v>
      </c>
      <c r="DO31" s="36">
        <f>SUM(Crops[[#This Row],[Irrigation Cost]])</f>
        <v>0</v>
      </c>
      <c r="DP31" s="36">
        <f>Crops[[#This Row],[Direct Labor Cost]]+Crops[[#This Row],[Direct Non-Labor Cost]]</f>
        <v>245.33035714285717</v>
      </c>
      <c r="DQ31" s="36">
        <f>Crops[[#This Row],[Direct Revenue Per Bed2]]-Crops[[#This Row],[Direct Total Cost]]</f>
        <v>234.66964285714283</v>
      </c>
      <c r="DR31" s="36">
        <f>Crops[[#This Row],[Direct Profit]]*BedsPerAcre</f>
        <v>37547.142857142855</v>
      </c>
      <c r="DS31" s="36">
        <f>Crops[[#This Row],[Direct Profit]]*BedsPerAcre*GrowingDays/Crops[[#This Row],[Days In Field]]</f>
        <v>68267.532467532466</v>
      </c>
      <c r="DT31" s="36">
        <f>Crops[[#This Row],[Direct Profit]]/MIN(Crops[[#This Row],[Days In Field]],GrowingDays)</f>
        <v>2.3704004329004325</v>
      </c>
      <c r="DU31" s="33">
        <f>Crops[[#This Row],[Direct Time]] * BedsPerAcre</f>
        <v>1570.1142857142859</v>
      </c>
      <c r="DV31" s="36">
        <f>(Crops[[#This Row],[Direct Revenue Per Bed2]]-Crops[[#This Row],[Direct Non-Labor Cost]])/Crops[[#This Row],[Direct Time]]</f>
        <v>48.913636859919201</v>
      </c>
      <c r="DW31" s="33">
        <f>IFERROR(Crops[[#This Row],[Custom Yield Per Bed]]*Crops[[#This Row],[Rough Wholesale Price]],"")</f>
        <v>168</v>
      </c>
      <c r="DX31" s="36">
        <f>Crops[[#This Row],[Wholesale Time]]*LaborRate</f>
        <v>218.33035714285717</v>
      </c>
      <c r="DY31" s="36">
        <f>SUM(Crops[[#This Row],[Packaging Costs]:[Irrigation Cost]])</f>
        <v>19</v>
      </c>
      <c r="DZ31" s="36">
        <f>Crops[[#This Row],[Wholesale Labor Cost]]+Crops[[#This Row],[Wholesale Non-Labor Cost]]</f>
        <v>237.33035714285717</v>
      </c>
      <c r="EA31" s="36">
        <f>Crops[[#This Row],[Wholesale Revenue Per Bed]]-Crops[[#This Row],[Wholesale Total Cost]]</f>
        <v>-69.330357142857167</v>
      </c>
      <c r="EB31" s="36">
        <f>Crops[[#This Row],[Wholesale Profit]]*BedsPerAcre</f>
        <v>-11092.857142857147</v>
      </c>
      <c r="EC31" s="36">
        <f>Crops[[#This Row],[Wholesale Profit]]*BedsPerAcre*GrowingDays/Crops[[#This Row],[Days In Field]]</f>
        <v>-20168.831168831177</v>
      </c>
      <c r="ED31" s="33">
        <f>Crops[[#This Row],[Wholesale Time]] * BedsPerAcre</f>
        <v>1397.3142857142857</v>
      </c>
      <c r="EE31" s="221">
        <f>Crops[[#This Row],[Wholesale Profit]]/MIN(Crops[[#This Row],[Days In Field]],GrowingDays)</f>
        <v>-0.70030663780663804</v>
      </c>
      <c r="EF31" s="36">
        <f>(Crops[[#This Row],[Wholesale Revenue Per Bed]]-Crops[[#This Row],[Wholesale Non-Labor Cost]])/Crops[[#This Row],[Direct Time]]</f>
        <v>15.18360810859992</v>
      </c>
      <c r="EG31" s="174">
        <f>Crops[[#This Row],[Packaging Costs]]/Crops[[#This Row],[Wholesale Revenue Per Bed]]</f>
        <v>0.1130952380952381</v>
      </c>
      <c r="EH31" s="36" t="str">
        <f>Crops[[#This Row],[Crop]]&amp;Crops[[#This Row],[Product]]&amp;Crops[[#This Row],[Unit]]</f>
        <v>BeetMature RootBunch</v>
      </c>
      <c r="EI31" s="36" t="b">
        <f>_xlfn.XLOOKUP(Crops[[#This Row],[ProductIndex]],Products[ID],Products[Target])</f>
        <v>1</v>
      </c>
      <c r="EJ31" s="36">
        <f>Crops[[#This Row],[Custom Yield Per Bed]]</f>
        <v>120</v>
      </c>
      <c r="EK31" s="210">
        <f>Crops[[#This Row],[Units Per Harvest]]/Crops[[#This Row],[Days Between Harvest]]*7</f>
        <v>60</v>
      </c>
      <c r="EL31" s="210">
        <f>Crops[[#This Row],[Custom Yield Per Bed]]/_xlfn.XLOOKUP(Crops[[#This Row],[ProductIndex]],Products[ID],Products[CSA Portion])</f>
        <v>120</v>
      </c>
      <c r="EM31" s="210">
        <f>Crops[[#This Row],[Units Per Harvest]]/Crops[[#This Row],[Days Between Harvest]]*7/_xlfn.XLOOKUP(Crops[[#This Row],[ProductIndex]],Products[ID],Products[CSA Portion])</f>
        <v>60</v>
      </c>
      <c r="EN31" s="210">
        <f>Crops[[#This Row],[CSA Portions Per Week]]/CSAMembers</f>
        <v>1.2</v>
      </c>
      <c r="EO31" s="210"/>
      <c r="EP31" s="210"/>
      <c r="EQ31" s="210"/>
      <c r="ER31" s="210">
        <f>Crops[[#This Row],[Harvests]]*Crops[[#This Row],[Days Between Harvest]]/7</f>
        <v>2</v>
      </c>
      <c r="ES31" s="217">
        <f>_xlfn.XLOOKUP(Crops[[#This Row],[ProductIndex]],Products[ID],Products[CSA Need])</f>
        <v>3</v>
      </c>
      <c r="ET31" s="217">
        <f>_xlfn.XLOOKUP(Crops[[#This Row],[ProductIndex]],Products[ID],Products[CSA Times])</f>
        <v>3</v>
      </c>
      <c r="EU31" s="208">
        <f>Crops[[#This Row],[Custom Yield Per Bed]]/(Crops[[#This Row],[CSA Need]]*(_xlfn.XLOOKUP(Crops[[#This Row],[ProductIndex]],Products[ID],Products[CSA Portion])*CSAMembers))</f>
        <v>0.8</v>
      </c>
      <c r="EV31" s="208">
        <f>_xlfn.XLOOKUP(Crops[[#This Row],[ProductIndex]],Products[ID],Products[CSA Portion])*CSAMembers*Crops[[#This Row],[CSA Need]]/Crops[[#This Row],[Custom Yield Per Bed]]</f>
        <v>1.25</v>
      </c>
      <c r="EW31" s="208">
        <f>IFERROR(Crops[[#This Row],[Days In Field]]*Crops[[#This Row],[CSA Beds]],"")</f>
        <v>123.75</v>
      </c>
      <c r="EX31" s="208" t="e">
        <f>Crops[[#This Row],[CSA Bed Days]]*#REF!</f>
        <v>#REF!</v>
      </c>
      <c r="EY31" t="s">
        <v>1752</v>
      </c>
    </row>
    <row r="32" spans="1:155">
      <c r="A32"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1X | Field TP Sp</v>
      </c>
      <c r="B32" s="183"/>
      <c r="C32" s="1"/>
      <c r="D32" s="1"/>
      <c r="E32" s="1" t="b">
        <v>0</v>
      </c>
      <c r="F32" s="1" t="b">
        <f>IFERROR(IF(ISNUMBER(MATCH(Crops[[#This Row],[Identifier]],BedPlan[Crop], 0)), TRUE, FALSE), FALSE)</f>
        <v>0</v>
      </c>
      <c r="G32" s="1" t="b">
        <f>IFERROR(IF(ISNUMBER(MATCH(Crops[[#This Row],[Identifier]],BedPlan[Crop], 0)), TRUE, FALSE), FALSE)</f>
        <v>0</v>
      </c>
      <c r="H32" s="1"/>
      <c r="I32" t="s">
        <v>46</v>
      </c>
      <c r="J32" t="s">
        <v>145</v>
      </c>
      <c r="K32" t="s">
        <v>185</v>
      </c>
      <c r="N32" t="str">
        <f>Crops[[#This Row],[Crop]]</f>
        <v>Beet</v>
      </c>
      <c r="O32" t="s">
        <v>210</v>
      </c>
      <c r="P32" t="str">
        <f>IF(OR(Crops[[#This Row],[Days in Cells]]="",Crops[[#This Row],[Days in Cells]]=0), "DS","TP")</f>
        <v>TP</v>
      </c>
      <c r="Q32" t="b">
        <v>1</v>
      </c>
      <c r="V32" t="str">
        <f xml:space="preserve"> IF(Crops[[#This Row],[Sp]], "Sp", "") &amp; IF(Crops[[#This Row],[Su]], "Su", "") &amp; IF(Crops[[#This Row],[Fa]], "Fa", "") &amp; IF(Crops[[#This Row],[Wi]], "Wi", "") &amp; IF(Crops[[#This Row],[OW]], "Ow","")</f>
        <v>Sp</v>
      </c>
      <c r="X32">
        <v>3</v>
      </c>
      <c r="Y32">
        <v>6</v>
      </c>
      <c r="AA32" t="s">
        <v>370</v>
      </c>
      <c r="AB32" t="b">
        <v>1</v>
      </c>
      <c r="AC32">
        <v>1</v>
      </c>
      <c r="AD32" s="32">
        <f>IFERROR(12/Crops[[#This Row],[Spacing]]*Crops[[#This Row],[Rows]]*BedLength,"")</f>
        <v>300</v>
      </c>
      <c r="AE32">
        <v>1</v>
      </c>
      <c r="AG32">
        <f>IF(Crops[[#This Row],[Custom Safety Factor]]="",PlantingSafetyFactor,Crops[[#This Row],[Custom Safety Factor]])</f>
        <v>1.3</v>
      </c>
      <c r="AH32">
        <f>1</f>
        <v>1</v>
      </c>
      <c r="AI32" s="33">
        <f>IFERROR(Crops[[#This Row],[Plantings Per Bed]]*Crops[[#This Row],[Seeds Per Planting]]*Crops[[#This Row],[Safety Factor]]*Crops[[#This Row],[Seeding Factor]],"")</f>
        <v>390</v>
      </c>
      <c r="AL32">
        <f>_xlfn.FLOOR.MATH(IFERROR(AVERAGE(Crops[[#This Row],[DTG Lower]:[DTG Upper]]),0))</f>
        <v>0</v>
      </c>
      <c r="AM32">
        <f>SUM(Crops[[#This Row],[Tray 1 Days]],Crops[[#This Row],[Tray 2 Days]],Crops[[#This Row],[Tray 3 Days]])</f>
        <v>35</v>
      </c>
      <c r="AN32">
        <v>35</v>
      </c>
      <c r="AP32">
        <v>110</v>
      </c>
      <c r="AQ32">
        <f>IFERROR(_xlfn.FLOOR.MATH(AVERAGE(Crops[[#This Row],[DTM Lower]:[DTM Upper]])),"")</f>
        <v>110</v>
      </c>
      <c r="AR32" cm="1">
        <f t="array" ref="AR32">_xlfn.SWITCH(Crops[[#This Row],[Normal Method]],"DS",Crops[[#This Row],[Days to Germination]]+Crops[[#This Row],[DTM]] + IF(Crops[[#This Row],[Days in Cells]]&gt;0,15,0), "TP",Crops[[#This Row],[DTM]]+Crops[[#This Row],[Days in Cells]] + IF(Crops[[#This Row],[Days in Cells]]&lt;=0,20,0), "X", Crops[[#This Row],[DTM]])</f>
        <v>110</v>
      </c>
      <c r="AS32" t="s">
        <v>347</v>
      </c>
      <c r="AT32">
        <f>(Crops[[#This Row],[Harvests]]-1)*Crops[[#This Row],[Days Between Harvest]]+7</f>
        <v>21</v>
      </c>
      <c r="AU32">
        <f>Crops[[#This Row],[STH]]-Crops[[#This Row],[Days in Cells]]+Crops[[#This Row],[Harvest window]]</f>
        <v>96</v>
      </c>
      <c r="AX32">
        <v>128</v>
      </c>
      <c r="AY32">
        <v>35</v>
      </c>
      <c r="AZ32" s="49">
        <f>IFERROR(IF(Crops[[#This Row],[Tray 1 Days]]=0,"",Crops[[#This Row],[Plantings Per Bed]]/Crops[[#This Row],[Tray 1 Size]]*Crops[[#This Row],[Safety Factor]]),"")</f>
        <v>3.046875</v>
      </c>
      <c r="BC32" t="str">
        <f>IFERROR(IF(Crops[[#This Row],[Tray 2 Days]]=0,"",Crops[[#This Row],[Plantings Per Bed]]/Crops[[#This Row],[Tray 2 Size]]*Crops[[#This Row],[Safety Factor]]),"")</f>
        <v/>
      </c>
      <c r="BE32" s="32" t="str">
        <f>IF(NOT(ISBLANK(Crops[[#This Row],[Tray 3 Size]])), Crops[[#This Row],[Days in Cells Old]]-SUM(Crops[[#This Row],[Tray 1 Days]],Crops[[#This Row],[Tray 2 Days]]), "")</f>
        <v/>
      </c>
      <c r="BF32" t="str">
        <f>IFERROR(IF(Crops[[#This Row],[Tray 3 Days]]=0,"",Crops[[#This Row],[Plantings Per Bed]]/Crops[[#This Row],[Tray 3 Size]]*Crops[[#This Row],[Safety Factor]]),"")</f>
        <v/>
      </c>
      <c r="BG32" s="33">
        <f>Crops[[#This Row],[Plantings Per Bed]]/3/Crops[[#This Row],[Harvests]]</f>
        <v>50</v>
      </c>
      <c r="BH32" s="33">
        <v>2</v>
      </c>
      <c r="BI32" s="33">
        <v>14</v>
      </c>
      <c r="BJ32" s="33">
        <f>_xlfn.XLOOKUP(Crops[[#This Row],[ProductIndex]],Products[ID],Products[Holding Period])</f>
        <v>7</v>
      </c>
      <c r="BK32" s="33"/>
      <c r="BL32" s="33">
        <f>Crops[[#This Row],[Units Per Harvest]]*Crops[[#This Row],[Harvests]]</f>
        <v>100</v>
      </c>
      <c r="BM32" s="35">
        <v>4</v>
      </c>
      <c r="BN32" s="35">
        <v>1.4</v>
      </c>
      <c r="BO32" s="35"/>
      <c r="BP32" t="s">
        <v>215</v>
      </c>
      <c r="BQ32">
        <f>Crops[[#This Row],[Custom Yield Per Bed]]*Crops[[#This Row],[Direct Price]]</f>
        <v>400</v>
      </c>
      <c r="BR32" t="b">
        <v>1</v>
      </c>
      <c r="BS32" t="b">
        <f>Crops[[#This Row],[Harvests]]&gt;1</f>
        <v>1</v>
      </c>
      <c r="BT32" s="36">
        <f>IFERROR(Crops[[#This Row],[Direct Revenue Per Bed]]/Crops[[#This Row],[Days In Field]],-1)</f>
        <v>4.166666666666667</v>
      </c>
      <c r="BU32" s="33">
        <f>IFERROR(Crops[[#This Row],[Direct Revenue Per Bed Day]]*GrowingDays*BedsPerAcre,"")</f>
        <v>120000</v>
      </c>
      <c r="BV32" s="38">
        <f>LastFrostDate-5*Crops[[#This Row],[Sewing Rel Last Frost]]</f>
        <v>45738</v>
      </c>
      <c r="BW32" s="38">
        <f>Crops[[#This Row],[Target Sewing Date]]+Crops[[#This Row],[Days in Cells]]</f>
        <v>45773</v>
      </c>
      <c r="BX32" s="38">
        <f>Crops[[#This Row],[Target Sewing Date]]+Crops[[#This Row],[STH]]</f>
        <v>45848</v>
      </c>
      <c r="BY32" s="38">
        <f>Crops[[#This Row],[Target Harvest Data]]+Crops[[#This Row],[Harvest window]]</f>
        <v>45869</v>
      </c>
      <c r="BZ32">
        <v>2</v>
      </c>
      <c r="CA32" t="s">
        <v>373</v>
      </c>
      <c r="CB32">
        <f>1</f>
        <v>1</v>
      </c>
      <c r="CC32">
        <f>IF(Crops[[#This Row],[Transplanting]]&gt;0, 2, 3)*BedLength/StandardBedLength</f>
        <v>1</v>
      </c>
      <c r="CD32" s="173">
        <f>IF(Crops[[#This Row],[Days in Cells]]&lt;=0,0,Crops[[#This Row],[Plantings Per Bed]]/StartsPerHourSeeding+Crops[[#This Row],[Tray 1 Count]]*5/60)</f>
        <v>1.42578125</v>
      </c>
      <c r="CE32" s="173">
        <f>IF(ISBLANK(Crops[[#This Row],[Tray 2 Days]]),0,Crops[[#This Row],[Plantings Per Bed]]/UpPottingPerHour)+IF(Crops[[#This Row],[Tray 3 Days]]="",0,Crops[[#This Row],[Plantings Per Bed]]/UpPottingPerHour)</f>
        <v>0</v>
      </c>
      <c r="CF32" s="173">
        <f>IFERROR(Crops[[#This Row],[Tray 1 Count]]/HomeStartFlatIrrigationPerHour,0)*Crops[[#This Row],[Days in Cells]]/DaysBetweenStartIrrigation</f>
        <v>0.4443359375</v>
      </c>
      <c r="CG32" s="173">
        <f>0.5/16*MAX(Crops[[#This Row],[Tray 1 Count]],Crops[[#This Row],[Tray 2 Count]],Crops[[#This Row],[Tray 3 Count]])</f>
        <v>9.521484375E-2</v>
      </c>
      <c r="CH32" s="173">
        <f>IF(Crops[[#This Row],[Days in Cells]]&gt;0,IF(IF(Crops[[#This Row],[Tray 3 Size]]&gt;0,Crops[[#This Row],[Tray 3 Size]],IF(Crops[[#This Row],[Tray 2 Size]]&gt;0,Crops[[#This Row],[Tray 2 Size]],Crops[[#This Row],[Tray 1 Size]]))&lt;=18,LargeTransplantTime,SmallTransplantTime)*Crops[[#This Row],[Plantings Per Bed]],0)</f>
        <v>1.5</v>
      </c>
      <c r="CI32" s="173"/>
      <c r="CJ32" s="173">
        <f>_xlfn.XLOOKUP(Crops[[#This Row],[Trellis Type]],TrellisMethods[Trellis Type],TrellisMethods[Hours],0,0)</f>
        <v>0</v>
      </c>
      <c r="CK32">
        <f>IF(Crops[[#This Row],[Days in Cells]]&lt;=0,Crops[[#This Row],[Rows]]*1/10,0)*BedLength/50</f>
        <v>0</v>
      </c>
      <c r="CL32" cm="1">
        <f t="array" ref="CL32">_xlfn.SWITCH(Crops[[#This Row],[Irrigation]],"DR", 0.5, "OH", 0.25,0)*BedLength/50</f>
        <v>0</v>
      </c>
      <c r="CM32">
        <f>IF(OR(ISBLANK(Crops[[#This Row],[Row Cover]]),Crops[[#This Row],[Row Cover]]="None"),0,1)*BedLength/50</f>
        <v>1</v>
      </c>
      <c r="CN32" s="173">
        <f>HoursPerWeedingPass*Crops[[#This Row],[Days In Field]]/14*Crops[[#This Row],[Rows]]+1*BedLength/50</f>
        <v>4.4285714285714288</v>
      </c>
      <c r="CO32" s="49"/>
      <c r="CQ32" s="37">
        <f>_xlfn.XLOOKUP(Crops[[#This Row],[Crop]]&amp;Crops[[#This Row],[Product]]&amp;Crops[[#This Row],[Unit]],Products[ID],Products[Marketing (hr)])*Crops[[#This Row],[Direct Revenue Per Bed]]/2000</f>
        <v>1.2</v>
      </c>
      <c r="CR32" s="37">
        <f>_xlfn.XLOOKUP(Crops[[#This Row],[Crop]]&amp;Crops[[#This Row],[Product]]&amp;Crops[[#This Row],[Unit]],Products[ID],Products[Harvest (s)])*Crops[[#This Row],[Custom Yield Per Bed]]/3600</f>
        <v>0.27777777777777779</v>
      </c>
      <c r="CS32" s="37">
        <f>_xlfn.XLOOKUP(Crops[[#This Row],[Crop]]&amp;Crops[[#This Row],[Product]]&amp;Crops[[#This Row],[Unit]],Products[ID],Products[Bunch (s)])*Crops[[#This Row],[Custom Yield Per Bed]]/3600</f>
        <v>0.27777777777777779</v>
      </c>
      <c r="CT32" s="37">
        <f>_xlfn.XLOOKUP(Crops[[#This Row],[Crop]]&amp;Crops[[#This Row],[Product]]&amp;Crops[[#This Row],[Unit]],Products[ID],Products[Haul (s)])*Crops[[#This Row],[Custom Yield Per Bed]]/3600</f>
        <v>0.10416666666666667</v>
      </c>
      <c r="CU32" s="37">
        <f>_xlfn.XLOOKUP(Crops[[#This Row],[Crop]]&amp;Crops[[#This Row],[Product]]&amp;Crops[[#This Row],[Unit]],Products[ID],Products[Wash (s)])*Crops[[#This Row],[Custom Yield Per Bed]]/3600</f>
        <v>0.41666666666666669</v>
      </c>
      <c r="CV32" s="37">
        <f>_xlfn.XLOOKUP(Crops[[#This Row],[Crop]]&amp;Crops[[#This Row],[Product]]&amp;Crops[[#This Row],[Unit]],Products[ID],Products[Condition (s)])*Crops[[#This Row],[Custom Yield Per Bed]]/3600</f>
        <v>0</v>
      </c>
      <c r="CW32" s="37">
        <f>_xlfn.XLOOKUP(Crops[[#This Row],[Crop]]&amp;Crops[[#This Row],[Product]]&amp;Crops[[#This Row],[Unit]],Products[ID],Products[Trim (s)])*Crops[[#This Row],[Custom Yield Per Bed]]/3600</f>
        <v>0.27777777777777779</v>
      </c>
      <c r="CX32" s="37">
        <f>_xlfn.XLOOKUP(Crops[[#This Row],[Crop]]&amp;Crops[[#This Row],[Product]]&amp;Crops[[#This Row],[Unit]],Products[ID],Products[Pack (s)])*Crops[[#This Row],[Custom Yield Per Bed]]/3600</f>
        <v>8.3333333333333329E-2</v>
      </c>
      <c r="CY32" s="37">
        <f>_xlfn.XLOOKUP(Crops[[#This Row],[Crop]]&amp;Crops[[#This Row],[Product]]&amp;Crops[[#This Row],[Unit]],Products[ID],Products[Clean (s)])*Crops[[#This Row],[Custom Yield Per Bed]]/3600</f>
        <v>0</v>
      </c>
      <c r="CZ32" s="37">
        <f>_xlfn.XLOOKUP(Crops[[#This Row],[Crop]]&amp;Crops[[#This Row],[Product]]&amp;Crops[[#This Row],[Unit]],Products[ID],Products[Rehandle (s)])*Crops[[#This Row],[Custom Yield Per Bed]]/3600</f>
        <v>0</v>
      </c>
      <c r="DA32" s="37">
        <f>_xlfn.XLOOKUP(Crops[[#This Row],[Crop]]&amp;Crops[[#This Row],[Product]]&amp;Crops[[#This Row],[Unit]],Products[ID],Products[Market Transport (s)])*Crops[[#This Row],[Custom Yield Per Bed]]/3600</f>
        <v>0.26041666666666669</v>
      </c>
      <c r="DC32" s="37">
        <f>Crops[[#This Row],[Direct Revenue Per Bed2]]</f>
        <v>400</v>
      </c>
      <c r="DD32" s="173">
        <f>_xlfn.AGGREGATE(9,6,Crops[[#This Row],[Bed Prep]:[Remove Crop Residue]])</f>
        <v>12.791820126488096</v>
      </c>
      <c r="DE32" s="173">
        <f>_xlfn.AGGREGATE(9,6,Crops[[#This Row],[Bed Prep]:[Remove Crop Residue]])-0.75*Crops[[#This Row],[Market &amp; Sell]]</f>
        <v>11.891820126488096</v>
      </c>
      <c r="DF32" s="36">
        <f>Crops[[#This Row],[Direct Revenue Per Bed2]]/Crops[[#This Row],[Direct Time]]</f>
        <v>31.269983164609833</v>
      </c>
      <c r="DG32" s="36">
        <f>_xlfn.XLOOKUP(Crops[[#This Row],[ProductIndex]],Products[ID],Products[Packaging Cost])*(Crops[[#This Row],[Custom Yield Per Bed]]/_xlfn.XLOOKUP(Crops[[#This Row],[ProductIndex]],Products[ID],Products[Units Per Pack]))</f>
        <v>15.833333333333334</v>
      </c>
      <c r="DH32" s="36"/>
      <c r="DI32" s="36"/>
      <c r="DJ32" s="36"/>
      <c r="DK32" s="36"/>
      <c r="DL32" s="36"/>
      <c r="DM32" s="33">
        <f>IFERROR(Crops[[#This Row],[Custom Yield Per Bed]]*Crops[[#This Row],[Direct Price]],"")</f>
        <v>400</v>
      </c>
      <c r="DN32" s="36">
        <f>Crops[[#This Row],[Direct Time]]*LaborRate</f>
        <v>319.79550316220241</v>
      </c>
      <c r="DO32" s="36">
        <f>SUM(Crops[[#This Row],[Irrigation Cost]])</f>
        <v>0</v>
      </c>
      <c r="DP32" s="36">
        <f>Crops[[#This Row],[Direct Labor Cost]]+Crops[[#This Row],[Direct Non-Labor Cost]]</f>
        <v>319.79550316220241</v>
      </c>
      <c r="DQ32" s="36">
        <f>Crops[[#This Row],[Direct Revenue Per Bed2]]-Crops[[#This Row],[Direct Total Cost]]</f>
        <v>80.204496837797592</v>
      </c>
      <c r="DR32" s="36">
        <f>Crops[[#This Row],[Direct Profit]]*BedsPerAcre</f>
        <v>12832.719494047615</v>
      </c>
      <c r="DS32" s="36">
        <f>Crops[[#This Row],[Direct Profit]]*BedsPerAcre*GrowingDays/Crops[[#This Row],[Days In Field]]</f>
        <v>24061.349051339275</v>
      </c>
      <c r="DT32" s="36">
        <f>Crops[[#This Row],[Direct Profit]]/MIN(Crops[[#This Row],[Days In Field]],GrowingDays)</f>
        <v>0.83546350872705821</v>
      </c>
      <c r="DU32" s="33">
        <f>Crops[[#This Row],[Direct Time]] * BedsPerAcre</f>
        <v>2046.6912202380954</v>
      </c>
      <c r="DV32" s="36">
        <f>(Crops[[#This Row],[Direct Revenue Per Bed2]]-Crops[[#This Row],[Direct Non-Labor Cost]])/Crops[[#This Row],[Direct Time]]</f>
        <v>31.269983164609833</v>
      </c>
      <c r="DW32" s="33">
        <f>IFERROR(Crops[[#This Row],[Custom Yield Per Bed]]*Crops[[#This Row],[Rough Wholesale Price]],"")</f>
        <v>140</v>
      </c>
      <c r="DX32" s="36">
        <f>Crops[[#This Row],[Wholesale Time]]*LaborRate</f>
        <v>297.29550316220241</v>
      </c>
      <c r="DY32" s="36">
        <f>SUM(Crops[[#This Row],[Packaging Costs]:[Irrigation Cost]])</f>
        <v>15.833333333333334</v>
      </c>
      <c r="DZ32" s="36">
        <f>Crops[[#This Row],[Wholesale Labor Cost]]+Crops[[#This Row],[Wholesale Non-Labor Cost]]</f>
        <v>313.12883649553572</v>
      </c>
      <c r="EA32" s="36">
        <f>Crops[[#This Row],[Wholesale Revenue Per Bed]]-Crops[[#This Row],[Wholesale Total Cost]]</f>
        <v>-173.12883649553572</v>
      </c>
      <c r="EB32" s="36">
        <f>Crops[[#This Row],[Wholesale Profit]]*BedsPerAcre</f>
        <v>-27700.613839285717</v>
      </c>
      <c r="EC32" s="36">
        <f>Crops[[#This Row],[Wholesale Profit]]*BedsPerAcre*GrowingDays/Crops[[#This Row],[Days In Field]]</f>
        <v>-51938.650948660717</v>
      </c>
      <c r="ED32" s="33">
        <f>Crops[[#This Row],[Wholesale Time]] * BedsPerAcre</f>
        <v>1902.6912202380954</v>
      </c>
      <c r="EE32" s="221">
        <f>Crops[[#This Row],[Wholesale Profit]]/MIN(Crops[[#This Row],[Days In Field]],GrowingDays)</f>
        <v>-1.8034253801618305</v>
      </c>
      <c r="EF32" s="36">
        <f>(Crops[[#This Row],[Wholesale Revenue Per Bed]]-Crops[[#This Row],[Wholesale Non-Labor Cost]])/Crops[[#This Row],[Direct Time]]</f>
        <v>9.7067239406809698</v>
      </c>
      <c r="EG32" s="174">
        <f>Crops[[#This Row],[Packaging Costs]]/Crops[[#This Row],[Wholesale Revenue Per Bed]]</f>
        <v>0.1130952380952381</v>
      </c>
      <c r="EH32" s="36" t="str">
        <f>Crops[[#This Row],[Crop]]&amp;Crops[[#This Row],[Product]]&amp;Crops[[#This Row],[Unit]]</f>
        <v>BeetMature RootBunch</v>
      </c>
      <c r="EI32" s="36" t="b">
        <f>_xlfn.XLOOKUP(Crops[[#This Row],[ProductIndex]],Products[ID],Products[Target])</f>
        <v>1</v>
      </c>
      <c r="EJ32" s="36">
        <f>Crops[[#This Row],[Custom Yield Per Bed]]</f>
        <v>100</v>
      </c>
      <c r="EK32" s="210">
        <f>Crops[[#This Row],[Units Per Harvest]]/Crops[[#This Row],[Days Between Harvest]]*7</f>
        <v>25</v>
      </c>
      <c r="EL32" s="210">
        <f>Crops[[#This Row],[Custom Yield Per Bed]]/_xlfn.XLOOKUP(Crops[[#This Row],[ProductIndex]],Products[ID],Products[CSA Portion])</f>
        <v>100</v>
      </c>
      <c r="EM32" s="210">
        <f>Crops[[#This Row],[Units Per Harvest]]/Crops[[#This Row],[Days Between Harvest]]*7/_xlfn.XLOOKUP(Crops[[#This Row],[ProductIndex]],Products[ID],Products[CSA Portion])</f>
        <v>25</v>
      </c>
      <c r="EN32" s="210">
        <f>Crops[[#This Row],[CSA Portions Per Week]]/CSAMembers</f>
        <v>0.5</v>
      </c>
      <c r="EO32" s="210"/>
      <c r="EP32" s="210"/>
      <c r="EQ32" s="210"/>
      <c r="ER32" s="210">
        <f>Crops[[#This Row],[Harvests]]*Crops[[#This Row],[Days Between Harvest]]/7</f>
        <v>4</v>
      </c>
      <c r="ES32" s="217">
        <f>_xlfn.XLOOKUP(Crops[[#This Row],[ProductIndex]],Products[ID],Products[CSA Need])</f>
        <v>3</v>
      </c>
      <c r="ET32" s="217">
        <f>_xlfn.XLOOKUP(Crops[[#This Row],[ProductIndex]],Products[ID],Products[CSA Times])</f>
        <v>3</v>
      </c>
      <c r="EU32" s="208">
        <f>Crops[[#This Row],[Custom Yield Per Bed]]/(Crops[[#This Row],[CSA Need]]*(_xlfn.XLOOKUP(Crops[[#This Row],[ProductIndex]],Products[ID],Products[CSA Portion])*CSAMembers))</f>
        <v>0.66666666666666663</v>
      </c>
      <c r="EV32" s="208">
        <f>_xlfn.XLOOKUP(Crops[[#This Row],[ProductIndex]],Products[ID],Products[CSA Portion])*CSAMembers*Crops[[#This Row],[CSA Need]]/Crops[[#This Row],[Custom Yield Per Bed]]</f>
        <v>1.5</v>
      </c>
      <c r="EW32" s="208">
        <f>IFERROR(Crops[[#This Row],[Days In Field]]*Crops[[#This Row],[CSA Beds]],"")</f>
        <v>144</v>
      </c>
      <c r="EX32" s="208" t="e">
        <f>Crops[[#This Row],[CSA Bed Days]]*#REF!</f>
        <v>#REF!</v>
      </c>
      <c r="EY32" t="s">
        <v>1406</v>
      </c>
    </row>
    <row r="33" spans="1:155">
      <c r="A33"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1X | Field TP SuFa</v>
      </c>
      <c r="B33" s="183"/>
      <c r="C33" s="1"/>
      <c r="D33" s="1"/>
      <c r="E33" s="1" t="b">
        <v>0</v>
      </c>
      <c r="F33" s="1" t="b">
        <f>IFERROR(IF(ISNUMBER(MATCH(Crops[[#This Row],[Identifier]],BedPlan[Crop], 0)), TRUE, FALSE), FALSE)</f>
        <v>0</v>
      </c>
      <c r="G33" s="1" t="b">
        <f>IFERROR(IF(ISNUMBER(MATCH(Crops[[#This Row],[Identifier]],BedPlan[Crop], 0)), TRUE, FALSE), FALSE)</f>
        <v>0</v>
      </c>
      <c r="H33" s="1"/>
      <c r="I33" t="s">
        <v>46</v>
      </c>
      <c r="J33" t="s">
        <v>145</v>
      </c>
      <c r="K33" t="s">
        <v>185</v>
      </c>
      <c r="N33" t="str">
        <f>Crops[[#This Row],[Crop]]</f>
        <v>Beet</v>
      </c>
      <c r="O33" t="s">
        <v>210</v>
      </c>
      <c r="P33" t="str">
        <f>IF(OR(Crops[[#This Row],[Days in Cells]]="",Crops[[#This Row],[Days in Cells]]=0), "DS","TP")</f>
        <v>TP</v>
      </c>
      <c r="R33" t="b">
        <v>1</v>
      </c>
      <c r="S33" t="b">
        <v>1</v>
      </c>
      <c r="V33" t="str">
        <f xml:space="preserve"> IF(Crops[[#This Row],[Sp]], "Sp", "") &amp; IF(Crops[[#This Row],[Su]], "Su", "") &amp; IF(Crops[[#This Row],[Fa]], "Fa", "") &amp; IF(Crops[[#This Row],[Wi]], "Wi", "") &amp; IF(Crops[[#This Row],[OW]], "Ow","")</f>
        <v>SuFa</v>
      </c>
      <c r="X33">
        <v>3</v>
      </c>
      <c r="Y33">
        <v>6</v>
      </c>
      <c r="AA33" t="s">
        <v>370</v>
      </c>
      <c r="AB33" t="b">
        <v>1</v>
      </c>
      <c r="AC33">
        <v>1</v>
      </c>
      <c r="AD33" s="32">
        <f>IFERROR(12/Crops[[#This Row],[Spacing]]*Crops[[#This Row],[Rows]]*BedLength,"")</f>
        <v>300</v>
      </c>
      <c r="AE33">
        <v>1</v>
      </c>
      <c r="AG33">
        <f>IF(Crops[[#This Row],[Custom Safety Factor]]="",PlantingSafetyFactor,Crops[[#This Row],[Custom Safety Factor]])</f>
        <v>1.3</v>
      </c>
      <c r="AH33">
        <f>1</f>
        <v>1</v>
      </c>
      <c r="AI33" s="33">
        <f>IFERROR(Crops[[#This Row],[Plantings Per Bed]]*Crops[[#This Row],[Seeds Per Planting]]*Crops[[#This Row],[Safety Factor]]*Crops[[#This Row],[Seeding Factor]],"")</f>
        <v>390</v>
      </c>
      <c r="AL33">
        <f>_xlfn.FLOOR.MATH(IFERROR(AVERAGE(Crops[[#This Row],[DTG Lower]:[DTG Upper]]),0))</f>
        <v>0</v>
      </c>
      <c r="AM33">
        <f>SUM(Crops[[#This Row],[Tray 1 Days]],Crops[[#This Row],[Tray 2 Days]],Crops[[#This Row],[Tray 3 Days]])</f>
        <v>35</v>
      </c>
      <c r="AN33">
        <v>35</v>
      </c>
      <c r="AP33">
        <v>95</v>
      </c>
      <c r="AQ33">
        <f>IFERROR(_xlfn.FLOOR.MATH(AVERAGE(Crops[[#This Row],[DTM Lower]:[DTM Upper]])),"")</f>
        <v>95</v>
      </c>
      <c r="AR33" cm="1">
        <f t="array" ref="AR33">_xlfn.SWITCH(Crops[[#This Row],[Normal Method]],"DS",Crops[[#This Row],[Days to Germination]]+Crops[[#This Row],[DTM]] + IF(Crops[[#This Row],[Days in Cells]]&gt;0,15,0), "TP",Crops[[#This Row],[DTM]]+Crops[[#This Row],[Days in Cells]] + IF(Crops[[#This Row],[Days in Cells]]&lt;=0,20,0), "X", Crops[[#This Row],[DTM]])</f>
        <v>95</v>
      </c>
      <c r="AS33" t="s">
        <v>347</v>
      </c>
      <c r="AT33">
        <f>(Crops[[#This Row],[Harvests]]-1)*Crops[[#This Row],[Days Between Harvest]]+7</f>
        <v>21</v>
      </c>
      <c r="AU33">
        <f>Crops[[#This Row],[STH]]-Crops[[#This Row],[Days in Cells]]+Crops[[#This Row],[Harvest window]]</f>
        <v>81</v>
      </c>
      <c r="AX33">
        <v>128</v>
      </c>
      <c r="AY33">
        <v>35</v>
      </c>
      <c r="AZ33" s="49">
        <f>IFERROR(IF(Crops[[#This Row],[Tray 1 Days]]=0,"",Crops[[#This Row],[Plantings Per Bed]]/Crops[[#This Row],[Tray 1 Size]]*Crops[[#This Row],[Safety Factor]]),"")</f>
        <v>3.046875</v>
      </c>
      <c r="BC33" t="str">
        <f>IFERROR(IF(Crops[[#This Row],[Tray 2 Days]]=0,"",Crops[[#This Row],[Plantings Per Bed]]/Crops[[#This Row],[Tray 2 Size]]*Crops[[#This Row],[Safety Factor]]),"")</f>
        <v/>
      </c>
      <c r="BE33" s="32" t="str">
        <f>IF(NOT(ISBLANK(Crops[[#This Row],[Tray 3 Size]])), Crops[[#This Row],[Days in Cells Old]]-SUM(Crops[[#This Row],[Tray 1 Days]],Crops[[#This Row],[Tray 2 Days]]), "")</f>
        <v/>
      </c>
      <c r="BF33" t="str">
        <f>IFERROR(IF(Crops[[#This Row],[Tray 3 Days]]=0,"",Crops[[#This Row],[Plantings Per Bed]]/Crops[[#This Row],[Tray 3 Size]]*Crops[[#This Row],[Safety Factor]]),"")</f>
        <v/>
      </c>
      <c r="BG33" s="33">
        <f>Crops[[#This Row],[Plantings Per Bed]]/3/Crops[[#This Row],[Harvests]]</f>
        <v>50</v>
      </c>
      <c r="BH33" s="33">
        <v>2</v>
      </c>
      <c r="BI33" s="33">
        <v>14</v>
      </c>
      <c r="BJ33" s="33">
        <f>_xlfn.XLOOKUP(Crops[[#This Row],[ProductIndex]],Products[ID],Products[Holding Period])</f>
        <v>7</v>
      </c>
      <c r="BK33" s="33"/>
      <c r="BL33" s="33">
        <f>Crops[[#This Row],[Units Per Harvest]]*Crops[[#This Row],[Harvests]]</f>
        <v>100</v>
      </c>
      <c r="BM33" s="35">
        <v>4</v>
      </c>
      <c r="BN33" s="35">
        <v>1.4</v>
      </c>
      <c r="BO33" s="35"/>
      <c r="BP33" t="s">
        <v>215</v>
      </c>
      <c r="BQ33">
        <f>Crops[[#This Row],[Custom Yield Per Bed]]*Crops[[#This Row],[Direct Price]]</f>
        <v>400</v>
      </c>
      <c r="BR33" t="b">
        <v>1</v>
      </c>
      <c r="BS33" t="b">
        <f>Crops[[#This Row],[Harvests]]&gt;1</f>
        <v>1</v>
      </c>
      <c r="BT33" s="36">
        <f>IFERROR(Crops[[#This Row],[Direct Revenue Per Bed]]/Crops[[#This Row],[Days In Field]],-1)</f>
        <v>4.9382716049382713</v>
      </c>
      <c r="BU33" s="33">
        <f>IFERROR(Crops[[#This Row],[Direct Revenue Per Bed Day]]*GrowingDays*BedsPerAcre,"")</f>
        <v>142222.22222222222</v>
      </c>
      <c r="BV33" s="38">
        <f>LastFrostDate-5*Crops[[#This Row],[Sewing Rel Last Frost]]</f>
        <v>45808</v>
      </c>
      <c r="BW33" s="38">
        <f>Crops[[#This Row],[Target Sewing Date]]+Crops[[#This Row],[Days in Cells]]</f>
        <v>45843</v>
      </c>
      <c r="BX33" s="38">
        <f>Crops[[#This Row],[Target Sewing Date]]+Crops[[#This Row],[STH]]</f>
        <v>45903</v>
      </c>
      <c r="BY33" s="38">
        <f>Crops[[#This Row],[Target Harvest Data]]+Crops[[#This Row],[Harvest window]]</f>
        <v>45924</v>
      </c>
      <c r="BZ33">
        <v>-12</v>
      </c>
      <c r="CA33" t="s">
        <v>373</v>
      </c>
      <c r="CB33">
        <f>1</f>
        <v>1</v>
      </c>
      <c r="CC33">
        <f>IF(Crops[[#This Row],[Transplanting]]&gt;0, 2, 3)*BedLength/StandardBedLength</f>
        <v>1</v>
      </c>
      <c r="CD33" s="173">
        <f>IF(Crops[[#This Row],[Days in Cells]]&lt;=0,0,Crops[[#This Row],[Plantings Per Bed]]/StartsPerHourSeeding+Crops[[#This Row],[Tray 1 Count]]*5/60)</f>
        <v>1.42578125</v>
      </c>
      <c r="CE33" s="173">
        <f>IF(ISBLANK(Crops[[#This Row],[Tray 2 Days]]),0,Crops[[#This Row],[Plantings Per Bed]]/UpPottingPerHour)+IF(Crops[[#This Row],[Tray 3 Days]]="",0,Crops[[#This Row],[Plantings Per Bed]]/UpPottingPerHour)</f>
        <v>0</v>
      </c>
      <c r="CF33" s="173">
        <f>IFERROR(Crops[[#This Row],[Tray 1 Count]]/HomeStartFlatIrrigationPerHour,0)*Crops[[#This Row],[Days in Cells]]/DaysBetweenStartIrrigation</f>
        <v>0.4443359375</v>
      </c>
      <c r="CG33" s="173">
        <f>0.5/16*MAX(Crops[[#This Row],[Tray 1 Count]],Crops[[#This Row],[Tray 2 Count]],Crops[[#This Row],[Tray 3 Count]])</f>
        <v>9.521484375E-2</v>
      </c>
      <c r="CH33" s="173">
        <f>IF(Crops[[#This Row],[Days in Cells]]&gt;0,IF(IF(Crops[[#This Row],[Tray 3 Size]]&gt;0,Crops[[#This Row],[Tray 3 Size]],IF(Crops[[#This Row],[Tray 2 Size]]&gt;0,Crops[[#This Row],[Tray 2 Size]],Crops[[#This Row],[Tray 1 Size]]))&lt;=18,LargeTransplantTime,SmallTransplantTime)*Crops[[#This Row],[Plantings Per Bed]],0)</f>
        <v>1.5</v>
      </c>
      <c r="CI33" s="173"/>
      <c r="CJ33" s="173">
        <f>_xlfn.XLOOKUP(Crops[[#This Row],[Trellis Type]],TrellisMethods[Trellis Type],TrellisMethods[Hours],0,0)</f>
        <v>0</v>
      </c>
      <c r="CK33">
        <f>IF(Crops[[#This Row],[Days in Cells]]&lt;=0,Crops[[#This Row],[Rows]]*1/10,0)*BedLength/50</f>
        <v>0</v>
      </c>
      <c r="CL33" cm="1">
        <f t="array" ref="CL33">_xlfn.SWITCH(Crops[[#This Row],[Irrigation]],"DR", 0.5, "OH", 0.25,0)*BedLength/50</f>
        <v>0</v>
      </c>
      <c r="CM33">
        <f>IF(OR(ISBLANK(Crops[[#This Row],[Row Cover]]),Crops[[#This Row],[Row Cover]]="None"),0,1)*BedLength/50</f>
        <v>1</v>
      </c>
      <c r="CN33" s="173">
        <f>HoursPerWeedingPass*Crops[[#This Row],[Days In Field]]/14*Crops[[#This Row],[Rows]]+1*BedLength/50</f>
        <v>3.8928571428571428</v>
      </c>
      <c r="CO33" s="49"/>
      <c r="CQ33" s="37">
        <f>_xlfn.XLOOKUP(Crops[[#This Row],[Crop]]&amp;Crops[[#This Row],[Product]]&amp;Crops[[#This Row],[Unit]],Products[ID],Products[Marketing (hr)])*Crops[[#This Row],[Direct Revenue Per Bed]]/2000</f>
        <v>1.2</v>
      </c>
      <c r="CR33" s="37">
        <f>_xlfn.XLOOKUP(Crops[[#This Row],[Crop]]&amp;Crops[[#This Row],[Product]]&amp;Crops[[#This Row],[Unit]],Products[ID],Products[Harvest (s)])*Crops[[#This Row],[Custom Yield Per Bed]]/3600</f>
        <v>0.27777777777777779</v>
      </c>
      <c r="CS33" s="37">
        <f>_xlfn.XLOOKUP(Crops[[#This Row],[Crop]]&amp;Crops[[#This Row],[Product]]&amp;Crops[[#This Row],[Unit]],Products[ID],Products[Bunch (s)])*Crops[[#This Row],[Custom Yield Per Bed]]/3600</f>
        <v>0.27777777777777779</v>
      </c>
      <c r="CT33" s="37">
        <f>_xlfn.XLOOKUP(Crops[[#This Row],[Crop]]&amp;Crops[[#This Row],[Product]]&amp;Crops[[#This Row],[Unit]],Products[ID],Products[Haul (s)])*Crops[[#This Row],[Custom Yield Per Bed]]/3600</f>
        <v>0.10416666666666667</v>
      </c>
      <c r="CU33" s="37">
        <f>_xlfn.XLOOKUP(Crops[[#This Row],[Crop]]&amp;Crops[[#This Row],[Product]]&amp;Crops[[#This Row],[Unit]],Products[ID],Products[Wash (s)])*Crops[[#This Row],[Custom Yield Per Bed]]/3600</f>
        <v>0.41666666666666669</v>
      </c>
      <c r="CV33" s="37">
        <f>_xlfn.XLOOKUP(Crops[[#This Row],[Crop]]&amp;Crops[[#This Row],[Product]]&amp;Crops[[#This Row],[Unit]],Products[ID],Products[Condition (s)])*Crops[[#This Row],[Custom Yield Per Bed]]/3600</f>
        <v>0</v>
      </c>
      <c r="CW33" s="37">
        <f>_xlfn.XLOOKUP(Crops[[#This Row],[Crop]]&amp;Crops[[#This Row],[Product]]&amp;Crops[[#This Row],[Unit]],Products[ID],Products[Trim (s)])*Crops[[#This Row],[Custom Yield Per Bed]]/3600</f>
        <v>0.27777777777777779</v>
      </c>
      <c r="CX33" s="37">
        <f>_xlfn.XLOOKUP(Crops[[#This Row],[Crop]]&amp;Crops[[#This Row],[Product]]&amp;Crops[[#This Row],[Unit]],Products[ID],Products[Pack (s)])*Crops[[#This Row],[Custom Yield Per Bed]]/3600</f>
        <v>8.3333333333333329E-2</v>
      </c>
      <c r="CY33" s="37">
        <f>_xlfn.XLOOKUP(Crops[[#This Row],[Crop]]&amp;Crops[[#This Row],[Product]]&amp;Crops[[#This Row],[Unit]],Products[ID],Products[Clean (s)])*Crops[[#This Row],[Custom Yield Per Bed]]/3600</f>
        <v>0</v>
      </c>
      <c r="CZ33" s="37">
        <f>_xlfn.XLOOKUP(Crops[[#This Row],[Crop]]&amp;Crops[[#This Row],[Product]]&amp;Crops[[#This Row],[Unit]],Products[ID],Products[Rehandle (s)])*Crops[[#This Row],[Custom Yield Per Bed]]/3600</f>
        <v>0</v>
      </c>
      <c r="DA33" s="37">
        <f>_xlfn.XLOOKUP(Crops[[#This Row],[Crop]]&amp;Crops[[#This Row],[Product]]&amp;Crops[[#This Row],[Unit]],Products[ID],Products[Market Transport (s)])*Crops[[#This Row],[Custom Yield Per Bed]]/3600</f>
        <v>0.26041666666666669</v>
      </c>
      <c r="DC33" s="37">
        <f>Crops[[#This Row],[Direct Revenue Per Bed2]]</f>
        <v>400</v>
      </c>
      <c r="DD33" s="173">
        <f>_xlfn.AGGREGATE(9,6,Crops[[#This Row],[Bed Prep]:[Remove Crop Residue]])</f>
        <v>12.256105840773809</v>
      </c>
      <c r="DE33" s="173">
        <f>_xlfn.AGGREGATE(9,6,Crops[[#This Row],[Bed Prep]:[Remove Crop Residue]])-0.75*Crops[[#This Row],[Market &amp; Sell]]</f>
        <v>11.356105840773809</v>
      </c>
      <c r="DF33" s="36">
        <f>Crops[[#This Row],[Direct Revenue Per Bed2]]/Crops[[#This Row],[Direct Time]]</f>
        <v>32.636793872101983</v>
      </c>
      <c r="DG33" s="36">
        <f>_xlfn.XLOOKUP(Crops[[#This Row],[ProductIndex]],Products[ID],Products[Packaging Cost])*(Crops[[#This Row],[Custom Yield Per Bed]]/_xlfn.XLOOKUP(Crops[[#This Row],[ProductIndex]],Products[ID],Products[Units Per Pack]))</f>
        <v>15.833333333333334</v>
      </c>
      <c r="DH33" s="36"/>
      <c r="DI33" s="36"/>
      <c r="DJ33" s="36"/>
      <c r="DK33" s="36"/>
      <c r="DL33" s="36"/>
      <c r="DM33" s="33">
        <f>IFERROR(Crops[[#This Row],[Custom Yield Per Bed]]*Crops[[#This Row],[Direct Price]],"")</f>
        <v>400</v>
      </c>
      <c r="DN33" s="36">
        <f>Crops[[#This Row],[Direct Time]]*LaborRate</f>
        <v>306.40264601934524</v>
      </c>
      <c r="DO33" s="36">
        <f>SUM(Crops[[#This Row],[Irrigation Cost]])</f>
        <v>0</v>
      </c>
      <c r="DP33" s="36">
        <f>Crops[[#This Row],[Direct Labor Cost]]+Crops[[#This Row],[Direct Non-Labor Cost]]</f>
        <v>306.40264601934524</v>
      </c>
      <c r="DQ33" s="36">
        <f>Crops[[#This Row],[Direct Revenue Per Bed2]]-Crops[[#This Row],[Direct Total Cost]]</f>
        <v>93.597353980654759</v>
      </c>
      <c r="DR33" s="36">
        <f>Crops[[#This Row],[Direct Profit]]*BedsPerAcre</f>
        <v>14975.576636904761</v>
      </c>
      <c r="DS33" s="36">
        <f>Crops[[#This Row],[Direct Profit]]*BedsPerAcre*GrowingDays/Crops[[#This Row],[Days In Field]]</f>
        <v>33279.059193121691</v>
      </c>
      <c r="DT33" s="36">
        <f>Crops[[#This Row],[Direct Profit]]/MIN(Crops[[#This Row],[Days In Field]],GrowingDays)</f>
        <v>1.1555228886500588</v>
      </c>
      <c r="DU33" s="33">
        <f>Crops[[#This Row],[Direct Time]] * BedsPerAcre</f>
        <v>1960.9769345238096</v>
      </c>
      <c r="DV33" s="36">
        <f>(Crops[[#This Row],[Direct Revenue Per Bed2]]-Crops[[#This Row],[Direct Non-Labor Cost]])/Crops[[#This Row],[Direct Time]]</f>
        <v>32.636793872101983</v>
      </c>
      <c r="DW33" s="33">
        <f>IFERROR(Crops[[#This Row],[Custom Yield Per Bed]]*Crops[[#This Row],[Rough Wholesale Price]],"")</f>
        <v>140</v>
      </c>
      <c r="DX33" s="36">
        <f>Crops[[#This Row],[Wholesale Time]]*LaborRate</f>
        <v>283.90264601934524</v>
      </c>
      <c r="DY33" s="36">
        <f>SUM(Crops[[#This Row],[Packaging Costs]:[Irrigation Cost]])</f>
        <v>15.833333333333334</v>
      </c>
      <c r="DZ33" s="36">
        <f>Crops[[#This Row],[Wholesale Labor Cost]]+Crops[[#This Row],[Wholesale Non-Labor Cost]]</f>
        <v>299.73597935267856</v>
      </c>
      <c r="EA33" s="36">
        <f>Crops[[#This Row],[Wholesale Revenue Per Bed]]-Crops[[#This Row],[Wholesale Total Cost]]</f>
        <v>-159.73597935267856</v>
      </c>
      <c r="EB33" s="36">
        <f>Crops[[#This Row],[Wholesale Profit]]*BedsPerAcre</f>
        <v>-25557.756696428569</v>
      </c>
      <c r="EC33" s="36">
        <f>Crops[[#This Row],[Wholesale Profit]]*BedsPerAcre*GrowingDays/Crops[[#This Row],[Days In Field]]</f>
        <v>-56795.014880952382</v>
      </c>
      <c r="ED33" s="33">
        <f>Crops[[#This Row],[Wholesale Time]] * BedsPerAcre</f>
        <v>1816.9769345238094</v>
      </c>
      <c r="EE33" s="221">
        <f>Crops[[#This Row],[Wholesale Profit]]/MIN(Crops[[#This Row],[Days In Field]],GrowingDays)</f>
        <v>-1.9720491278108463</v>
      </c>
      <c r="EF33" s="36">
        <f>(Crops[[#This Row],[Wholesale Revenue Per Bed]]-Crops[[#This Row],[Wholesale Non-Labor Cost]])/Crops[[#This Row],[Direct Time]]</f>
        <v>10.131004764464992</v>
      </c>
      <c r="EG33" s="174">
        <f>Crops[[#This Row],[Packaging Costs]]/Crops[[#This Row],[Wholesale Revenue Per Bed]]</f>
        <v>0.1130952380952381</v>
      </c>
      <c r="EH33" s="36" t="str">
        <f>Crops[[#This Row],[Crop]]&amp;Crops[[#This Row],[Product]]&amp;Crops[[#This Row],[Unit]]</f>
        <v>BeetMature RootBunch</v>
      </c>
      <c r="EI33" s="36" t="b">
        <f>_xlfn.XLOOKUP(Crops[[#This Row],[ProductIndex]],Products[ID],Products[Target])</f>
        <v>1</v>
      </c>
      <c r="EJ33" s="36">
        <f>Crops[[#This Row],[Custom Yield Per Bed]]</f>
        <v>100</v>
      </c>
      <c r="EK33" s="210">
        <f>Crops[[#This Row],[Units Per Harvest]]/Crops[[#This Row],[Days Between Harvest]]*7</f>
        <v>25</v>
      </c>
      <c r="EL33" s="210">
        <f>Crops[[#This Row],[Custom Yield Per Bed]]/_xlfn.XLOOKUP(Crops[[#This Row],[ProductIndex]],Products[ID],Products[CSA Portion])</f>
        <v>100</v>
      </c>
      <c r="EM33" s="210">
        <f>Crops[[#This Row],[Units Per Harvest]]/Crops[[#This Row],[Days Between Harvest]]*7/_xlfn.XLOOKUP(Crops[[#This Row],[ProductIndex]],Products[ID],Products[CSA Portion])</f>
        <v>25</v>
      </c>
      <c r="EN33" s="210">
        <f>Crops[[#This Row],[CSA Portions Per Week]]/CSAMembers</f>
        <v>0.5</v>
      </c>
      <c r="EO33" s="210"/>
      <c r="EP33" s="210"/>
      <c r="EQ33" s="210"/>
      <c r="ER33" s="210">
        <f>Crops[[#This Row],[Harvests]]*Crops[[#This Row],[Days Between Harvest]]/7</f>
        <v>4</v>
      </c>
      <c r="ES33" s="217">
        <f>_xlfn.XLOOKUP(Crops[[#This Row],[ProductIndex]],Products[ID],Products[CSA Need])</f>
        <v>3</v>
      </c>
      <c r="ET33" s="217">
        <f>_xlfn.XLOOKUP(Crops[[#This Row],[ProductIndex]],Products[ID],Products[CSA Times])</f>
        <v>3</v>
      </c>
      <c r="EU33" s="208">
        <f>Crops[[#This Row],[Custom Yield Per Bed]]/(Crops[[#This Row],[CSA Need]]*(_xlfn.XLOOKUP(Crops[[#This Row],[ProductIndex]],Products[ID],Products[CSA Portion])*CSAMembers))</f>
        <v>0.66666666666666663</v>
      </c>
      <c r="EV33" s="208">
        <f>_xlfn.XLOOKUP(Crops[[#This Row],[ProductIndex]],Products[ID],Products[CSA Portion])*CSAMembers*Crops[[#This Row],[CSA Need]]/Crops[[#This Row],[Custom Yield Per Bed]]</f>
        <v>1.5</v>
      </c>
      <c r="EW33" s="208">
        <f>IFERROR(Crops[[#This Row],[Days In Field]]*Crops[[#This Row],[CSA Beds]],"")</f>
        <v>121.5</v>
      </c>
      <c r="EX33" s="208" t="e">
        <f>Crops[[#This Row],[CSA Bed Days]]*#REF!</f>
        <v>#REF!</v>
      </c>
      <c r="EY33" t="s">
        <v>1406</v>
      </c>
    </row>
    <row r="34" spans="1:155">
      <c r="A34"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3X | Field TP Sp</v>
      </c>
      <c r="B34" s="183"/>
      <c r="C34" s="1" t="b">
        <v>1</v>
      </c>
      <c r="D34" s="1"/>
      <c r="E34" s="1" t="b">
        <v>0</v>
      </c>
      <c r="F34" s="1" t="b">
        <f>IFERROR(IF(ISNUMBER(MATCH(Crops[[#This Row],[Identifier]],BedPlan[Crop], 0)), TRUE, FALSE), FALSE)</f>
        <v>1</v>
      </c>
      <c r="G34" s="1" t="b">
        <f>IFERROR(IF(ISNUMBER(MATCH(Crops[[#This Row],[Identifier]],BedPlan[Crop], 0)), TRUE, FALSE), FALSE)</f>
        <v>1</v>
      </c>
      <c r="H34" s="1"/>
      <c r="I34" t="s">
        <v>46</v>
      </c>
      <c r="J34" t="s">
        <v>145</v>
      </c>
      <c r="K34" t="s">
        <v>185</v>
      </c>
      <c r="M34" t="s">
        <v>443</v>
      </c>
      <c r="N34" t="str">
        <f>Crops[[#This Row],[Crop]]</f>
        <v>Beet</v>
      </c>
      <c r="O34" t="s">
        <v>210</v>
      </c>
      <c r="P34" t="str">
        <f>IF(OR(Crops[[#This Row],[Days in Cells]]="",Crops[[#This Row],[Days in Cells]]=0), "DS","TP")</f>
        <v>TP</v>
      </c>
      <c r="Q34" t="s">
        <v>144</v>
      </c>
      <c r="V34" t="str">
        <f xml:space="preserve"> IF(Crops[[#This Row],[Sp]], "Sp", "") &amp; IF(Crops[[#This Row],[Su]], "Su", "") &amp; IF(Crops[[#This Row],[Fa]], "Fa", "") &amp; IF(Crops[[#This Row],[Wi]], "Wi", "") &amp; IF(Crops[[#This Row],[OW]], "Ow","")</f>
        <v>Sp</v>
      </c>
      <c r="W34" t="s">
        <v>144</v>
      </c>
      <c r="X34">
        <v>3</v>
      </c>
      <c r="Y34">
        <v>12</v>
      </c>
      <c r="AA34" t="s">
        <v>474</v>
      </c>
      <c r="AB34" t="b">
        <v>1</v>
      </c>
      <c r="AC34">
        <v>1</v>
      </c>
      <c r="AD34" s="32">
        <f>IFERROR(12/Crops[[#This Row],[Spacing]]*Crops[[#This Row],[Rows]]*BedLength,"")</f>
        <v>150</v>
      </c>
      <c r="AE34">
        <v>3</v>
      </c>
      <c r="AG34">
        <v>1.1000000000000001</v>
      </c>
      <c r="AH34">
        <f>1</f>
        <v>1</v>
      </c>
      <c r="AI34" s="33">
        <f>IFERROR(Crops[[#This Row],[Plantings Per Bed]]*Crops[[#This Row],[Seeds Per Planting]]*Crops[[#This Row],[Safety Factor]]*Crops[[#This Row],[Seeding Factor]],"")</f>
        <v>495.00000000000006</v>
      </c>
      <c r="AL34">
        <f>_xlfn.FLOOR.MATH(IFERROR(AVERAGE(Crops[[#This Row],[DTG Lower]:[DTG Upper]]),0))</f>
        <v>0</v>
      </c>
      <c r="AM34">
        <f>SUM(Crops[[#This Row],[Tray 1 Days]],Crops[[#This Row],[Tray 2 Days]],Crops[[#This Row],[Tray 3 Days]])</f>
        <v>35</v>
      </c>
      <c r="AN34" s="32">
        <v>35</v>
      </c>
      <c r="AO34">
        <f>13*7</f>
        <v>91</v>
      </c>
      <c r="AQ34">
        <f>IFERROR(_xlfn.FLOOR.MATH(AVERAGE(Crops[[#This Row],[DTM Lower]:[DTM Upper]])),"")</f>
        <v>91</v>
      </c>
      <c r="AR34" cm="1">
        <f t="array" ref="AR34">_xlfn.SWITCH(Crops[[#This Row],[Normal Method]],"DS",Crops[[#This Row],[Days to Germination]]+Crops[[#This Row],[DTM]] + IF(Crops[[#This Row],[Days in Cells]]&gt;0,15,0), "TP",Crops[[#This Row],[DTM]]+Crops[[#This Row],[Days in Cells]] + IF(Crops[[#This Row],[Days in Cells]]&lt;=0,20,0), "X", Crops[[#This Row],[DTM]])</f>
        <v>91</v>
      </c>
      <c r="AS34" t="s">
        <v>347</v>
      </c>
      <c r="AT34">
        <f>(Crops[[#This Row],[Harvests]]-1)*Crops[[#This Row],[Days Between Harvest]]+7</f>
        <v>35</v>
      </c>
      <c r="AU34">
        <f>Crops[[#This Row],[STH]]-Crops[[#This Row],[Days in Cells]]+Crops[[#This Row],[Harvest window]]</f>
        <v>91</v>
      </c>
      <c r="AX34">
        <v>128</v>
      </c>
      <c r="AY34">
        <v>35</v>
      </c>
      <c r="AZ34" s="49">
        <f>IFERROR(IF(Crops[[#This Row],[Tray 1 Days]]=0,"",Crops[[#This Row],[Plantings Per Bed]]/Crops[[#This Row],[Tray 1 Size]]*Crops[[#This Row],[Safety Factor]]),"")</f>
        <v>1.2890625</v>
      </c>
      <c r="BC34" t="str">
        <f>IFERROR(IF(Crops[[#This Row],[Tray 2 Days]]=0,"",Crops[[#This Row],[Plantings Per Bed]]/Crops[[#This Row],[Tray 2 Size]]*Crops[[#This Row],[Safety Factor]]),"")</f>
        <v/>
      </c>
      <c r="BE34" s="32" t="str">
        <f>IF(NOT(ISBLANK(Crops[[#This Row],[Tray 3 Size]])), Crops[[#This Row],[Days in Cells Old]]-SUM(Crops[[#This Row],[Tray 1 Days]],Crops[[#This Row],[Tray 2 Days]]), "")</f>
        <v/>
      </c>
      <c r="BF34" s="49" t="str">
        <f>IFERROR(IF(Crops[[#This Row],[Tray 3 Days]]=0,"",Crops[[#This Row],[Plantings Per Bed]]/Crops[[#This Row],[Tray 3 Size]]*Crops[[#This Row],[Safety Factor]]),"")</f>
        <v/>
      </c>
      <c r="BG34" s="33">
        <f>Crops[[#This Row],[Plantings Per Bed]]/1.5/Crops[[#This Row],[Harvests]]</f>
        <v>33.333333333333336</v>
      </c>
      <c r="BH34" s="33">
        <v>3</v>
      </c>
      <c r="BI34" s="33">
        <v>14</v>
      </c>
      <c r="BJ34" s="33">
        <f>_xlfn.XLOOKUP(Crops[[#This Row],[ProductIndex]],Products[ID],Products[Holding Period])</f>
        <v>7</v>
      </c>
      <c r="BK34" s="33"/>
      <c r="BL34" s="33">
        <f>Crops[[#This Row],[Units Per Harvest]]*Crops[[#This Row],[Harvests]]</f>
        <v>100</v>
      </c>
      <c r="BM34" s="35">
        <v>4</v>
      </c>
      <c r="BN34" s="35">
        <v>1.4</v>
      </c>
      <c r="BO34" s="35"/>
      <c r="BP34" t="s">
        <v>215</v>
      </c>
      <c r="BQ34">
        <f>Crops[[#This Row],[Custom Yield Per Bed]]*Crops[[#This Row],[Direct Price]]</f>
        <v>400</v>
      </c>
      <c r="BR34" t="b">
        <v>1</v>
      </c>
      <c r="BS34" t="b">
        <f>Crops[[#This Row],[Harvests]]&gt;1</f>
        <v>1</v>
      </c>
      <c r="BT34" s="36">
        <f>IFERROR(Crops[[#This Row],[Direct Revenue Per Bed]]/Crops[[#This Row],[Days In Field]],-1)</f>
        <v>4.395604395604396</v>
      </c>
      <c r="BU34" s="33">
        <f>IFERROR(Crops[[#This Row],[Direct Revenue Per Bed Day]]*GrowingDays*BedsPerAcre,"")</f>
        <v>126593.4065934066</v>
      </c>
      <c r="BV34" s="38">
        <f>LastFrostDate-5*Crops[[#This Row],[Sewing Rel Last Frost]]</f>
        <v>45738</v>
      </c>
      <c r="BW34" s="38">
        <f>Crops[[#This Row],[Target Sewing Date]]+Crops[[#This Row],[Days in Cells]]</f>
        <v>45773</v>
      </c>
      <c r="BX34" s="38">
        <f>Crops[[#This Row],[Target Sewing Date]]+Crops[[#This Row],[STH]]</f>
        <v>45829</v>
      </c>
      <c r="BY34" s="38">
        <f>Crops[[#This Row],[Target Harvest Data]]+Crops[[#This Row],[Harvest window]]</f>
        <v>45864</v>
      </c>
      <c r="BZ34">
        <v>2</v>
      </c>
      <c r="CA34" t="s">
        <v>373</v>
      </c>
      <c r="CB34">
        <f>1</f>
        <v>1</v>
      </c>
      <c r="CC34">
        <f>IF(Crops[[#This Row],[Transplanting]]&gt;0, 2, 3)*BedLength/StandardBedLength</f>
        <v>1</v>
      </c>
      <c r="CD34" s="173">
        <f>IF(Crops[[#This Row],[Days in Cells]]&lt;=0,0,Crops[[#This Row],[Plantings Per Bed]]/StartsPerHourSeeding+Crops[[#This Row],[Tray 1 Count]]*5/60)</f>
        <v>0.693359375</v>
      </c>
      <c r="CE34" s="173">
        <f>IF(ISBLANK(Crops[[#This Row],[Tray 2 Days]]),0,Crops[[#This Row],[Plantings Per Bed]]/UpPottingPerHour)+IF(Crops[[#This Row],[Tray 3 Days]]="",0,Crops[[#This Row],[Plantings Per Bed]]/UpPottingPerHour)</f>
        <v>0</v>
      </c>
      <c r="CF34" s="173">
        <f>IFERROR(Crops[[#This Row],[Tray 1 Count]]/HomeStartFlatIrrigationPerHour,0)*Crops[[#This Row],[Days in Cells]]/DaysBetweenStartIrrigation</f>
        <v>0.18798828125</v>
      </c>
      <c r="CG34" s="173">
        <f>0.5/16*MAX(Crops[[#This Row],[Tray 1 Count]],Crops[[#This Row],[Tray 2 Count]],Crops[[#This Row],[Tray 3 Count]])</f>
        <v>4.0283203125E-2</v>
      </c>
      <c r="CH34" s="173">
        <f>IF(Crops[[#This Row],[Days in Cells]]&gt;0,IF(IF(Crops[[#This Row],[Tray 3 Size]]&gt;0,Crops[[#This Row],[Tray 3 Size]],IF(Crops[[#This Row],[Tray 2 Size]]&gt;0,Crops[[#This Row],[Tray 2 Size]],Crops[[#This Row],[Tray 1 Size]]))&lt;=18,LargeTransplantTime,SmallTransplantTime)*Crops[[#This Row],[Plantings Per Bed]],0)</f>
        <v>0.75</v>
      </c>
      <c r="CI34" s="173"/>
      <c r="CJ34" s="173">
        <f>_xlfn.XLOOKUP(Crops[[#This Row],[Trellis Type]],TrellisMethods[Trellis Type],TrellisMethods[Hours],0,0)</f>
        <v>0</v>
      </c>
      <c r="CK34">
        <f>IF(Crops[[#This Row],[Days in Cells]]&lt;=0,Crops[[#This Row],[Rows]]*1/10,0)*BedLength/50</f>
        <v>0</v>
      </c>
      <c r="CL34" cm="1">
        <f t="array" ref="CL34">_xlfn.SWITCH(Crops[[#This Row],[Irrigation]],"DR", 0.5, "OH", 0.25,0)*BedLength/50</f>
        <v>0</v>
      </c>
      <c r="CM34">
        <f>IF(OR(ISBLANK(Crops[[#This Row],[Row Cover]]),Crops[[#This Row],[Row Cover]]="None"),0,1)*BedLength/50</f>
        <v>0</v>
      </c>
      <c r="CN34" s="173">
        <f>HoursPerWeedingPass*Crops[[#This Row],[Days In Field]]/14*Crops[[#This Row],[Rows]]+1*BedLength/50</f>
        <v>4.25</v>
      </c>
      <c r="CO34" s="49"/>
      <c r="CQ34" s="37">
        <f>_xlfn.XLOOKUP(Crops[[#This Row],[Crop]]&amp;Crops[[#This Row],[Product]]&amp;Crops[[#This Row],[Unit]],Products[ID],Products[Marketing (hr)])*Crops[[#This Row],[Direct Revenue Per Bed]]/2000</f>
        <v>1.2</v>
      </c>
      <c r="CR34" s="37">
        <f>_xlfn.XLOOKUP(Crops[[#This Row],[Crop]]&amp;Crops[[#This Row],[Product]]&amp;Crops[[#This Row],[Unit]],Products[ID],Products[Harvest (s)])*Crops[[#This Row],[Custom Yield Per Bed]]/3600</f>
        <v>0.27777777777777779</v>
      </c>
      <c r="CS34" s="37">
        <f>_xlfn.XLOOKUP(Crops[[#This Row],[Crop]]&amp;Crops[[#This Row],[Product]]&amp;Crops[[#This Row],[Unit]],Products[ID],Products[Bunch (s)])*Crops[[#This Row],[Custom Yield Per Bed]]/3600</f>
        <v>0.27777777777777779</v>
      </c>
      <c r="CT34" s="37">
        <f>_xlfn.XLOOKUP(Crops[[#This Row],[Crop]]&amp;Crops[[#This Row],[Product]]&amp;Crops[[#This Row],[Unit]],Products[ID],Products[Haul (s)])*Crops[[#This Row],[Custom Yield Per Bed]]/3600</f>
        <v>0.10416666666666667</v>
      </c>
      <c r="CU34" s="37">
        <f>_xlfn.XLOOKUP(Crops[[#This Row],[Crop]]&amp;Crops[[#This Row],[Product]]&amp;Crops[[#This Row],[Unit]],Products[ID],Products[Wash (s)])*Crops[[#This Row],[Custom Yield Per Bed]]/3600</f>
        <v>0.41666666666666669</v>
      </c>
      <c r="CV34" s="37">
        <f>_xlfn.XLOOKUP(Crops[[#This Row],[Crop]]&amp;Crops[[#This Row],[Product]]&amp;Crops[[#This Row],[Unit]],Products[ID],Products[Condition (s)])*Crops[[#This Row],[Custom Yield Per Bed]]/3600</f>
        <v>0</v>
      </c>
      <c r="CW34" s="37">
        <f>_xlfn.XLOOKUP(Crops[[#This Row],[Crop]]&amp;Crops[[#This Row],[Product]]&amp;Crops[[#This Row],[Unit]],Products[ID],Products[Trim (s)])*Crops[[#This Row],[Custom Yield Per Bed]]/3600</f>
        <v>0.27777777777777779</v>
      </c>
      <c r="CX34" s="37">
        <f>_xlfn.XLOOKUP(Crops[[#This Row],[Crop]]&amp;Crops[[#This Row],[Product]]&amp;Crops[[#This Row],[Unit]],Products[ID],Products[Pack (s)])*Crops[[#This Row],[Custom Yield Per Bed]]/3600</f>
        <v>8.3333333333333329E-2</v>
      </c>
      <c r="CY34" s="37">
        <f>_xlfn.XLOOKUP(Crops[[#This Row],[Crop]]&amp;Crops[[#This Row],[Product]]&amp;Crops[[#This Row],[Unit]],Products[ID],Products[Clean (s)])*Crops[[#This Row],[Custom Yield Per Bed]]/3600</f>
        <v>0</v>
      </c>
      <c r="CZ34" s="37">
        <f>_xlfn.XLOOKUP(Crops[[#This Row],[Crop]]&amp;Crops[[#This Row],[Product]]&amp;Crops[[#This Row],[Unit]],Products[ID],Products[Rehandle (s)])*Crops[[#This Row],[Custom Yield Per Bed]]/3600</f>
        <v>0</v>
      </c>
      <c r="DA34" s="37">
        <f>_xlfn.XLOOKUP(Crops[[#This Row],[Crop]]&amp;Crops[[#This Row],[Product]]&amp;Crops[[#This Row],[Unit]],Products[ID],Products[Market Transport (s)])*Crops[[#This Row],[Custom Yield Per Bed]]/3600</f>
        <v>0.26041666666666669</v>
      </c>
      <c r="DC34" s="37">
        <f>Crops[[#This Row],[Direct Revenue Per Bed2]]</f>
        <v>400</v>
      </c>
      <c r="DD34" s="173">
        <f>_xlfn.AGGREGATE(9,6,Crops[[#This Row],[Bed Prep]:[Remove Crop Residue]])</f>
        <v>9.8195475260416671</v>
      </c>
      <c r="DE34" s="173">
        <f>_xlfn.AGGREGATE(9,6,Crops[[#This Row],[Bed Prep]:[Remove Crop Residue]])-0.75*Crops[[#This Row],[Market &amp; Sell]]</f>
        <v>8.9195475260416668</v>
      </c>
      <c r="DF34" s="36">
        <f>Crops[[#This Row],[Direct Revenue Per Bed2]]/Crops[[#This Row],[Direct Time]]</f>
        <v>40.73507449698581</v>
      </c>
      <c r="DG34" s="36">
        <f>_xlfn.XLOOKUP(Crops[[#This Row],[ProductIndex]],Products[ID],Products[Packaging Cost])*(Crops[[#This Row],[Custom Yield Per Bed]]/_xlfn.XLOOKUP(Crops[[#This Row],[ProductIndex]],Products[ID],Products[Units Per Pack]))</f>
        <v>15.833333333333334</v>
      </c>
      <c r="DH34" s="36"/>
      <c r="DI34" s="36"/>
      <c r="DJ34" s="36"/>
      <c r="DK34" s="36"/>
      <c r="DL34" s="36"/>
      <c r="DM34" s="33">
        <f>IFERROR(Crops[[#This Row],[Custom Yield Per Bed]]*Crops[[#This Row],[Direct Price]],"")</f>
        <v>400</v>
      </c>
      <c r="DN34" s="36">
        <f>Crops[[#This Row],[Direct Time]]*LaborRate</f>
        <v>245.48868815104169</v>
      </c>
      <c r="DO34" s="36">
        <f>SUM(Crops[[#This Row],[Irrigation Cost]])</f>
        <v>0</v>
      </c>
      <c r="DP34" s="36">
        <f>Crops[[#This Row],[Direct Labor Cost]]+Crops[[#This Row],[Direct Non-Labor Cost]]</f>
        <v>245.48868815104169</v>
      </c>
      <c r="DQ34" s="36">
        <f>Crops[[#This Row],[Direct Revenue Per Bed2]]-Crops[[#This Row],[Direct Total Cost]]</f>
        <v>154.51131184895831</v>
      </c>
      <c r="DR34" s="36">
        <f>Crops[[#This Row],[Direct Profit]]*BedsPerAcre</f>
        <v>24721.809895833328</v>
      </c>
      <c r="DS34" s="36">
        <f>Crops[[#This Row],[Direct Profit]]*BedsPerAcre*GrowingDays/Crops[[#This Row],[Days In Field]]</f>
        <v>48900.283310439547</v>
      </c>
      <c r="DT34" s="36">
        <f>Crops[[#This Row],[Direct Profit]]/MIN(Crops[[#This Row],[Days In Field]],GrowingDays)</f>
        <v>1.6979265038347067</v>
      </c>
      <c r="DU34" s="33">
        <f>Crops[[#This Row],[Direct Time]] * BedsPerAcre</f>
        <v>1571.1276041666667</v>
      </c>
      <c r="DV34" s="36">
        <f>(Crops[[#This Row],[Direct Revenue Per Bed2]]-Crops[[#This Row],[Direct Non-Labor Cost]])/Crops[[#This Row],[Direct Time]]</f>
        <v>40.73507449698581</v>
      </c>
      <c r="DW34" s="33">
        <f>IFERROR(Crops[[#This Row],[Custom Yield Per Bed]]*Crops[[#This Row],[Rough Wholesale Price]],"")</f>
        <v>140</v>
      </c>
      <c r="DX34" s="36">
        <f>Crops[[#This Row],[Wholesale Time]]*LaborRate</f>
        <v>222.98868815104166</v>
      </c>
      <c r="DY34" s="36">
        <f>SUM(Crops[[#This Row],[Packaging Costs]:[Irrigation Cost]])</f>
        <v>15.833333333333334</v>
      </c>
      <c r="DZ34" s="36">
        <f>Crops[[#This Row],[Wholesale Labor Cost]]+Crops[[#This Row],[Wholesale Non-Labor Cost]]</f>
        <v>238.822021484375</v>
      </c>
      <c r="EA34" s="36">
        <f>Crops[[#This Row],[Wholesale Revenue Per Bed]]-Crops[[#This Row],[Wholesale Total Cost]]</f>
        <v>-98.822021484375</v>
      </c>
      <c r="EB34" s="36">
        <f>Crops[[#This Row],[Wholesale Profit]]*BedsPerAcre</f>
        <v>-15811.5234375</v>
      </c>
      <c r="EC34" s="36">
        <f>Crops[[#This Row],[Wholesale Profit]]*BedsPerAcre*GrowingDays/Crops[[#This Row],[Days In Field]]</f>
        <v>-31275.540865384617</v>
      </c>
      <c r="ED34" s="33">
        <f>Crops[[#This Row],[Wholesale Time]] * BedsPerAcre</f>
        <v>1427.1276041666667</v>
      </c>
      <c r="EE34" s="221">
        <f>Crops[[#This Row],[Wholesale Profit]]/MIN(Crops[[#This Row],[Days In Field]],GrowingDays)</f>
        <v>-1.0859562800480769</v>
      </c>
      <c r="EF34" s="36">
        <f>(Crops[[#This Row],[Wholesale Revenue Per Bed]]-Crops[[#This Row],[Wholesale Non-Labor Cost]])/Crops[[#This Row],[Direct Time]]</f>
        <v>12.644846041772679</v>
      </c>
      <c r="EG34" s="174">
        <f>Crops[[#This Row],[Packaging Costs]]/Crops[[#This Row],[Wholesale Revenue Per Bed]]</f>
        <v>0.1130952380952381</v>
      </c>
      <c r="EH34" s="36" t="str">
        <f>Crops[[#This Row],[Crop]]&amp;Crops[[#This Row],[Product]]&amp;Crops[[#This Row],[Unit]]</f>
        <v>BeetMature RootBunch</v>
      </c>
      <c r="EI34" s="36" t="b">
        <f>_xlfn.XLOOKUP(Crops[[#This Row],[ProductIndex]],Products[ID],Products[Target])</f>
        <v>1</v>
      </c>
      <c r="EJ34" s="33">
        <f>Crops[[#This Row],[Custom Yield Per Bed]]</f>
        <v>100</v>
      </c>
      <c r="EK34" s="210">
        <f>Crops[[#This Row],[Units Per Harvest]]/Crops[[#This Row],[Days Between Harvest]]*7</f>
        <v>16.666666666666668</v>
      </c>
      <c r="EL34" s="210">
        <f>Crops[[#This Row],[Custom Yield Per Bed]]/_xlfn.XLOOKUP(Crops[[#This Row],[ProductIndex]],Products[ID],Products[CSA Portion])</f>
        <v>100</v>
      </c>
      <c r="EM34" s="210">
        <f>Crops[[#This Row],[Units Per Harvest]]/Crops[[#This Row],[Days Between Harvest]]*7/_xlfn.XLOOKUP(Crops[[#This Row],[ProductIndex]],Products[ID],Products[CSA Portion])</f>
        <v>16.666666666666668</v>
      </c>
      <c r="EN34" s="210">
        <f>Crops[[#This Row],[CSA Portions Per Week]]/CSAMembers</f>
        <v>0.33333333333333337</v>
      </c>
      <c r="EO34" s="216">
        <v>1</v>
      </c>
      <c r="EP34" s="216">
        <v>2</v>
      </c>
      <c r="EQ34" s="210"/>
      <c r="ER34" s="210">
        <f>Crops[[#This Row],[Harvests]]*Crops[[#This Row],[Days Between Harvest]]/7</f>
        <v>6</v>
      </c>
      <c r="ES34" s="217">
        <f>_xlfn.XLOOKUP(Crops[[#This Row],[ProductIndex]],Products[ID],Products[CSA Need])</f>
        <v>3</v>
      </c>
      <c r="ET34" s="217">
        <f>_xlfn.XLOOKUP(Crops[[#This Row],[ProductIndex]],Products[ID],Products[CSA Times])</f>
        <v>3</v>
      </c>
      <c r="EU34" s="208">
        <f>Crops[[#This Row],[Custom Yield Per Bed]]/(Crops[[#This Row],[CSA Need]]*(_xlfn.XLOOKUP(Crops[[#This Row],[ProductIndex]],Products[ID],Products[CSA Portion])*CSAMembers))</f>
        <v>0.66666666666666663</v>
      </c>
      <c r="EV34" s="208">
        <f>_xlfn.XLOOKUP(Crops[[#This Row],[ProductIndex]],Products[ID],Products[CSA Portion])*CSAMembers*Crops[[#This Row],[CSA Need]]/Crops[[#This Row],[Custom Yield Per Bed]]</f>
        <v>1.5</v>
      </c>
      <c r="EW34" s="208">
        <f>IFERROR(Crops[[#This Row],[Days In Field]]*Crops[[#This Row],[CSA Beds]],"")</f>
        <v>136.5</v>
      </c>
      <c r="EX34" s="208" t="e">
        <f>Crops[[#This Row],[CSA Bed Days]]*#REF!</f>
        <v>#REF!</v>
      </c>
      <c r="EY34" t="s">
        <v>1754</v>
      </c>
    </row>
    <row r="35" spans="1:155" ht="15" customHeight="1">
      <c r="A35"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3X | Field TP SuFa</v>
      </c>
      <c r="B35" s="183"/>
      <c r="C35" s="1" t="b">
        <v>1</v>
      </c>
      <c r="D35" s="1"/>
      <c r="E35" s="1" t="b">
        <v>0</v>
      </c>
      <c r="F35" s="1" t="b">
        <f>IFERROR(IF(ISNUMBER(MATCH(Crops[[#This Row],[Identifier]],BedPlan[Crop], 0)), TRUE, FALSE), FALSE)</f>
        <v>1</v>
      </c>
      <c r="G35" s="1" t="b">
        <f>IFERROR(IF(ISNUMBER(MATCH(Crops[[#This Row],[Identifier]],BedPlan[Crop], 0)), TRUE, FALSE), FALSE)</f>
        <v>1</v>
      </c>
      <c r="H35" s="1"/>
      <c r="I35" t="s">
        <v>46</v>
      </c>
      <c r="J35" t="s">
        <v>145</v>
      </c>
      <c r="K35" t="s">
        <v>185</v>
      </c>
      <c r="M35" t="s">
        <v>443</v>
      </c>
      <c r="N35" t="str">
        <f>Crops[[#This Row],[Crop]]</f>
        <v>Beet</v>
      </c>
      <c r="O35" t="s">
        <v>210</v>
      </c>
      <c r="P35" t="str">
        <f>IF(OR(Crops[[#This Row],[Days in Cells]]="",Crops[[#This Row],[Days in Cells]]=0), "DS","TP")</f>
        <v>TP</v>
      </c>
      <c r="R35" t="b">
        <v>1</v>
      </c>
      <c r="S35" t="b">
        <v>1</v>
      </c>
      <c r="V35" t="str">
        <f xml:space="preserve"> IF(Crops[[#This Row],[Sp]], "Sp", "") &amp; IF(Crops[[#This Row],[Su]], "Su", "") &amp; IF(Crops[[#This Row],[Fa]], "Fa", "") &amp; IF(Crops[[#This Row],[Wi]], "Wi", "") &amp; IF(Crops[[#This Row],[OW]], "Ow","")</f>
        <v>SuFa</v>
      </c>
      <c r="X35">
        <v>3</v>
      </c>
      <c r="Y35">
        <v>12</v>
      </c>
      <c r="AA35" t="s">
        <v>370</v>
      </c>
      <c r="AB35" t="b">
        <v>1</v>
      </c>
      <c r="AC35">
        <v>1</v>
      </c>
      <c r="AD35" s="32">
        <f>IFERROR(12/Crops[[#This Row],[Spacing]]*Crops[[#This Row],[Rows]]*BedLength,"")</f>
        <v>150</v>
      </c>
      <c r="AE35">
        <v>3</v>
      </c>
      <c r="AG35">
        <v>1.1000000000000001</v>
      </c>
      <c r="AH35">
        <f>1</f>
        <v>1</v>
      </c>
      <c r="AI35" s="33">
        <f>IFERROR(Crops[[#This Row],[Plantings Per Bed]]*Crops[[#This Row],[Seeds Per Planting]]*Crops[[#This Row],[Safety Factor]]*Crops[[#This Row],[Seeding Factor]],"")</f>
        <v>495.00000000000006</v>
      </c>
      <c r="AL35">
        <f>_xlfn.FLOOR.MATH(IFERROR(AVERAGE(Crops[[#This Row],[DTG Lower]:[DTG Upper]]),0))</f>
        <v>0</v>
      </c>
      <c r="AM35">
        <f>SUM(Crops[[#This Row],[Tray 1 Days]],Crops[[#This Row],[Tray 2 Days]],Crops[[#This Row],[Tray 3 Days]])</f>
        <v>35</v>
      </c>
      <c r="AN35">
        <v>35</v>
      </c>
      <c r="AP35">
        <v>80</v>
      </c>
      <c r="AQ35">
        <f>IFERROR(_xlfn.FLOOR.MATH(AVERAGE(Crops[[#This Row],[DTM Lower]:[DTM Upper]])),"")</f>
        <v>80</v>
      </c>
      <c r="AR35" cm="1">
        <f t="array" ref="AR35">_xlfn.SWITCH(Crops[[#This Row],[Normal Method]],"DS",Crops[[#This Row],[Days to Germination]]+Crops[[#This Row],[DTM]] + IF(Crops[[#This Row],[Days in Cells]]&gt;0,15,0), "TP",Crops[[#This Row],[DTM]]+Crops[[#This Row],[Days in Cells]] + IF(Crops[[#This Row],[Days in Cells]]&lt;=0,20,0), "X", Crops[[#This Row],[DTM]])</f>
        <v>80</v>
      </c>
      <c r="AS35" t="s">
        <v>347</v>
      </c>
      <c r="AT35">
        <f>(Crops[[#This Row],[Harvests]]-1)*Crops[[#This Row],[Days Between Harvest]]+7</f>
        <v>35</v>
      </c>
      <c r="AU35">
        <f>Crops[[#This Row],[STH]]-Crops[[#This Row],[Days in Cells]]+Crops[[#This Row],[Harvest window]]</f>
        <v>80</v>
      </c>
      <c r="AX35">
        <v>128</v>
      </c>
      <c r="AY35">
        <v>35</v>
      </c>
      <c r="AZ35" s="49">
        <f>IFERROR(IF(Crops[[#This Row],[Tray 1 Days]]=0,"",Crops[[#This Row],[Plantings Per Bed]]/Crops[[#This Row],[Tray 1 Size]]*Crops[[#This Row],[Safety Factor]]),"")</f>
        <v>1.2890625</v>
      </c>
      <c r="BC35" t="str">
        <f>IFERROR(IF(Crops[[#This Row],[Tray 2 Days]]=0,"",Crops[[#This Row],[Plantings Per Bed]]/Crops[[#This Row],[Tray 2 Size]]*Crops[[#This Row],[Safety Factor]]),"")</f>
        <v/>
      </c>
      <c r="BE35" s="32" t="str">
        <f>IF(NOT(ISBLANK(Crops[[#This Row],[Tray 3 Size]])), Crops[[#This Row],[Days in Cells Old]]-SUM(Crops[[#This Row],[Tray 1 Days]],Crops[[#This Row],[Tray 2 Days]]), "")</f>
        <v/>
      </c>
      <c r="BF35" t="str">
        <f>IFERROR(IF(Crops[[#This Row],[Tray 3 Days]]=0,"",Crops[[#This Row],[Plantings Per Bed]]/Crops[[#This Row],[Tray 3 Size]]*Crops[[#This Row],[Safety Factor]]),"")</f>
        <v/>
      </c>
      <c r="BG35" s="33">
        <f>Crops[[#This Row],[Plantings Per Bed]]/1.5/Crops[[#This Row],[Harvests]]</f>
        <v>33.333333333333336</v>
      </c>
      <c r="BH35" s="33">
        <v>3</v>
      </c>
      <c r="BI35" s="33">
        <v>14</v>
      </c>
      <c r="BJ35" s="33">
        <f>_xlfn.XLOOKUP(Crops[[#This Row],[ProductIndex]],Products[ID],Products[Holding Period])</f>
        <v>7</v>
      </c>
      <c r="BK35" s="33"/>
      <c r="BL35" s="33">
        <f>Crops[[#This Row],[Units Per Harvest]]*Crops[[#This Row],[Harvests]]</f>
        <v>100</v>
      </c>
      <c r="BM35" s="35">
        <v>4</v>
      </c>
      <c r="BN35" s="35">
        <v>1.4</v>
      </c>
      <c r="BO35" s="35"/>
      <c r="BP35" t="s">
        <v>215</v>
      </c>
      <c r="BQ35">
        <f>Crops[[#This Row],[Custom Yield Per Bed]]*Crops[[#This Row],[Direct Price]]</f>
        <v>400</v>
      </c>
      <c r="BR35" t="b">
        <v>1</v>
      </c>
      <c r="BS35" t="b">
        <f>Crops[[#This Row],[Harvests]]&gt;1</f>
        <v>1</v>
      </c>
      <c r="BT35" s="36">
        <f>IFERROR(Crops[[#This Row],[Direct Revenue Per Bed]]/Crops[[#This Row],[Days In Field]],-1)</f>
        <v>5</v>
      </c>
      <c r="BU35" s="33">
        <f>IFERROR(Crops[[#This Row],[Direct Revenue Per Bed Day]]*GrowingDays*BedsPerAcre,"")</f>
        <v>144000</v>
      </c>
      <c r="BV35" s="38">
        <f>LastFrostDate-5*Crops[[#This Row],[Sewing Rel Last Frost]]</f>
        <v>45808</v>
      </c>
      <c r="BW35" s="38">
        <f>Crops[[#This Row],[Target Sewing Date]]+Crops[[#This Row],[Days in Cells]]</f>
        <v>45843</v>
      </c>
      <c r="BX35" s="38">
        <f>Crops[[#This Row],[Target Sewing Date]]+Crops[[#This Row],[STH]]</f>
        <v>45888</v>
      </c>
      <c r="BY35" s="38">
        <f>Crops[[#This Row],[Target Harvest Data]]+Crops[[#This Row],[Harvest window]]</f>
        <v>45923</v>
      </c>
      <c r="BZ35">
        <v>-12</v>
      </c>
      <c r="CA35" t="s">
        <v>373</v>
      </c>
      <c r="CB35">
        <f>1</f>
        <v>1</v>
      </c>
      <c r="CC35">
        <f>IF(Crops[[#This Row],[Transplanting]]&gt;0, 2, 3)*BedLength/StandardBedLength</f>
        <v>1</v>
      </c>
      <c r="CD35" s="173">
        <f>IF(Crops[[#This Row],[Days in Cells]]&lt;=0,0,Crops[[#This Row],[Plantings Per Bed]]/StartsPerHourSeeding+Crops[[#This Row],[Tray 1 Count]]*5/60)</f>
        <v>0.693359375</v>
      </c>
      <c r="CE35" s="173">
        <f>IF(ISBLANK(Crops[[#This Row],[Tray 2 Days]]),0,Crops[[#This Row],[Plantings Per Bed]]/UpPottingPerHour)+IF(Crops[[#This Row],[Tray 3 Days]]="",0,Crops[[#This Row],[Plantings Per Bed]]/UpPottingPerHour)</f>
        <v>0</v>
      </c>
      <c r="CF35" s="173">
        <f>IFERROR(Crops[[#This Row],[Tray 1 Count]]/HomeStartFlatIrrigationPerHour,0)*Crops[[#This Row],[Days in Cells]]/DaysBetweenStartIrrigation</f>
        <v>0.18798828125</v>
      </c>
      <c r="CG35" s="173">
        <f>0.5/16*MAX(Crops[[#This Row],[Tray 1 Count]],Crops[[#This Row],[Tray 2 Count]],Crops[[#This Row],[Tray 3 Count]])</f>
        <v>4.0283203125E-2</v>
      </c>
      <c r="CH35" s="173">
        <f>IF(Crops[[#This Row],[Days in Cells]]&gt;0,IF(IF(Crops[[#This Row],[Tray 3 Size]]&gt;0,Crops[[#This Row],[Tray 3 Size]],IF(Crops[[#This Row],[Tray 2 Size]]&gt;0,Crops[[#This Row],[Tray 2 Size]],Crops[[#This Row],[Tray 1 Size]]))&lt;=18,LargeTransplantTime,SmallTransplantTime)*Crops[[#This Row],[Plantings Per Bed]],0)</f>
        <v>0.75</v>
      </c>
      <c r="CI35" s="173"/>
      <c r="CJ35" s="173">
        <f>_xlfn.XLOOKUP(Crops[[#This Row],[Trellis Type]],TrellisMethods[Trellis Type],TrellisMethods[Hours],0,0)</f>
        <v>0</v>
      </c>
      <c r="CK35">
        <f>IF(Crops[[#This Row],[Days in Cells]]&lt;=0,Crops[[#This Row],[Rows]]*1/10,0)*BedLength/50</f>
        <v>0</v>
      </c>
      <c r="CL35" cm="1">
        <f t="array" ref="CL35">_xlfn.SWITCH(Crops[[#This Row],[Irrigation]],"DR", 0.5, "OH", 0.25,0)*BedLength/50</f>
        <v>0</v>
      </c>
      <c r="CM35">
        <f>IF(OR(ISBLANK(Crops[[#This Row],[Row Cover]]),Crops[[#This Row],[Row Cover]]="None"),0,1)*BedLength/50</f>
        <v>1</v>
      </c>
      <c r="CN35" s="173">
        <f>HoursPerWeedingPass*Crops[[#This Row],[Days In Field]]/14*Crops[[#This Row],[Rows]]+1*BedLength/50</f>
        <v>3.8571428571428568</v>
      </c>
      <c r="CO35" s="49"/>
      <c r="CQ35" s="37">
        <f>_xlfn.XLOOKUP(Crops[[#This Row],[Crop]]&amp;Crops[[#This Row],[Product]]&amp;Crops[[#This Row],[Unit]],Products[ID],Products[Marketing (hr)])*Crops[[#This Row],[Direct Revenue Per Bed]]/2000</f>
        <v>1.2</v>
      </c>
      <c r="CR35" s="37">
        <f>_xlfn.XLOOKUP(Crops[[#This Row],[Crop]]&amp;Crops[[#This Row],[Product]]&amp;Crops[[#This Row],[Unit]],Products[ID],Products[Harvest (s)])*Crops[[#This Row],[Custom Yield Per Bed]]/3600</f>
        <v>0.27777777777777779</v>
      </c>
      <c r="CS35" s="37">
        <f>_xlfn.XLOOKUP(Crops[[#This Row],[Crop]]&amp;Crops[[#This Row],[Product]]&amp;Crops[[#This Row],[Unit]],Products[ID],Products[Bunch (s)])*Crops[[#This Row],[Custom Yield Per Bed]]/3600</f>
        <v>0.27777777777777779</v>
      </c>
      <c r="CT35" s="37">
        <f>_xlfn.XLOOKUP(Crops[[#This Row],[Crop]]&amp;Crops[[#This Row],[Product]]&amp;Crops[[#This Row],[Unit]],Products[ID],Products[Haul (s)])*Crops[[#This Row],[Custom Yield Per Bed]]/3600</f>
        <v>0.10416666666666667</v>
      </c>
      <c r="CU35" s="37">
        <f>_xlfn.XLOOKUP(Crops[[#This Row],[Crop]]&amp;Crops[[#This Row],[Product]]&amp;Crops[[#This Row],[Unit]],Products[ID],Products[Wash (s)])*Crops[[#This Row],[Custom Yield Per Bed]]/3600</f>
        <v>0.41666666666666669</v>
      </c>
      <c r="CV35" s="37">
        <f>_xlfn.XLOOKUP(Crops[[#This Row],[Crop]]&amp;Crops[[#This Row],[Product]]&amp;Crops[[#This Row],[Unit]],Products[ID],Products[Condition (s)])*Crops[[#This Row],[Custom Yield Per Bed]]/3600</f>
        <v>0</v>
      </c>
      <c r="CW35" s="37">
        <f>_xlfn.XLOOKUP(Crops[[#This Row],[Crop]]&amp;Crops[[#This Row],[Product]]&amp;Crops[[#This Row],[Unit]],Products[ID],Products[Trim (s)])*Crops[[#This Row],[Custom Yield Per Bed]]/3600</f>
        <v>0.27777777777777779</v>
      </c>
      <c r="CX35" s="37">
        <f>_xlfn.XLOOKUP(Crops[[#This Row],[Crop]]&amp;Crops[[#This Row],[Product]]&amp;Crops[[#This Row],[Unit]],Products[ID],Products[Pack (s)])*Crops[[#This Row],[Custom Yield Per Bed]]/3600</f>
        <v>8.3333333333333329E-2</v>
      </c>
      <c r="CY35" s="37">
        <f>_xlfn.XLOOKUP(Crops[[#This Row],[Crop]]&amp;Crops[[#This Row],[Product]]&amp;Crops[[#This Row],[Unit]],Products[ID],Products[Clean (s)])*Crops[[#This Row],[Custom Yield Per Bed]]/3600</f>
        <v>0</v>
      </c>
      <c r="CZ35" s="37">
        <f>_xlfn.XLOOKUP(Crops[[#This Row],[Crop]]&amp;Crops[[#This Row],[Product]]&amp;Crops[[#This Row],[Unit]],Products[ID],Products[Rehandle (s)])*Crops[[#This Row],[Custom Yield Per Bed]]/3600</f>
        <v>0</v>
      </c>
      <c r="DA35" s="37">
        <f>_xlfn.XLOOKUP(Crops[[#This Row],[Crop]]&amp;Crops[[#This Row],[Product]]&amp;Crops[[#This Row],[Unit]],Products[ID],Products[Market Transport (s)])*Crops[[#This Row],[Custom Yield Per Bed]]/3600</f>
        <v>0.26041666666666669</v>
      </c>
      <c r="DC35" s="37">
        <f>Crops[[#This Row],[Direct Revenue Per Bed2]]</f>
        <v>400</v>
      </c>
      <c r="DD35" s="173">
        <f>_xlfn.AGGREGATE(9,6,Crops[[#This Row],[Bed Prep]:[Remove Crop Residue]])</f>
        <v>10.426690383184525</v>
      </c>
      <c r="DE35" s="173">
        <f>_xlfn.AGGREGATE(9,6,Crops[[#This Row],[Bed Prep]:[Remove Crop Residue]])-0.75*Crops[[#This Row],[Market &amp; Sell]]</f>
        <v>9.5266903831845244</v>
      </c>
      <c r="DF35" s="36">
        <f>Crops[[#This Row],[Direct Revenue Per Bed2]]/Crops[[#This Row],[Direct Time]]</f>
        <v>38.363084094747215</v>
      </c>
      <c r="DG35" s="36">
        <f>_xlfn.XLOOKUP(Crops[[#This Row],[ProductIndex]],Products[ID],Products[Packaging Cost])*(Crops[[#This Row],[Custom Yield Per Bed]]/_xlfn.XLOOKUP(Crops[[#This Row],[ProductIndex]],Products[ID],Products[Units Per Pack]))</f>
        <v>15.833333333333334</v>
      </c>
      <c r="DH35" s="36"/>
      <c r="DI35" s="36"/>
      <c r="DJ35" s="36"/>
      <c r="DK35" s="36"/>
      <c r="DL35" s="36"/>
      <c r="DM35" s="33">
        <f>IFERROR(Crops[[#This Row],[Custom Yield Per Bed]]*Crops[[#This Row],[Direct Price]],"")</f>
        <v>400</v>
      </c>
      <c r="DN35" s="36">
        <f>Crops[[#This Row],[Direct Time]]*LaborRate</f>
        <v>260.66725957961313</v>
      </c>
      <c r="DO35" s="36">
        <f>SUM(Crops[[#This Row],[Irrigation Cost]])</f>
        <v>0</v>
      </c>
      <c r="DP35" s="36">
        <f>Crops[[#This Row],[Direct Labor Cost]]+Crops[[#This Row],[Direct Non-Labor Cost]]</f>
        <v>260.66725957961313</v>
      </c>
      <c r="DQ35" s="36">
        <f>Crops[[#This Row],[Direct Revenue Per Bed2]]-Crops[[#This Row],[Direct Total Cost]]</f>
        <v>139.33274042038687</v>
      </c>
      <c r="DR35" s="36">
        <f>Crops[[#This Row],[Direct Profit]]*BedsPerAcre</f>
        <v>22293.238467261901</v>
      </c>
      <c r="DS35" s="36">
        <f>Crops[[#This Row],[Direct Profit]]*BedsPerAcre*GrowingDays/Crops[[#This Row],[Days In Field]]</f>
        <v>50159.786551339275</v>
      </c>
      <c r="DT35" s="36">
        <f>Crops[[#This Row],[Direct Profit]]/MIN(Crops[[#This Row],[Days In Field]],GrowingDays)</f>
        <v>1.7416592552548358</v>
      </c>
      <c r="DU35" s="33">
        <f>Crops[[#This Row],[Direct Time]] * BedsPerAcre</f>
        <v>1668.2704613095239</v>
      </c>
      <c r="DV35" s="36">
        <f>(Crops[[#This Row],[Direct Revenue Per Bed2]]-Crops[[#This Row],[Direct Non-Labor Cost]])/Crops[[#This Row],[Direct Time]]</f>
        <v>38.363084094747215</v>
      </c>
      <c r="DW35" s="33">
        <f>IFERROR(Crops[[#This Row],[Custom Yield Per Bed]]*Crops[[#This Row],[Rough Wholesale Price]],"")</f>
        <v>140</v>
      </c>
      <c r="DX35" s="36">
        <f>Crops[[#This Row],[Wholesale Time]]*LaborRate</f>
        <v>238.1672595796131</v>
      </c>
      <c r="DY35" s="36">
        <f>SUM(Crops[[#This Row],[Packaging Costs]:[Irrigation Cost]])</f>
        <v>15.833333333333334</v>
      </c>
      <c r="DZ35" s="36">
        <f>Crops[[#This Row],[Wholesale Labor Cost]]+Crops[[#This Row],[Wholesale Non-Labor Cost]]</f>
        <v>254.00059291294644</v>
      </c>
      <c r="EA35" s="36">
        <f>Crops[[#This Row],[Wholesale Revenue Per Bed]]-Crops[[#This Row],[Wholesale Total Cost]]</f>
        <v>-114.00059291294644</v>
      </c>
      <c r="EB35" s="36">
        <f>Crops[[#This Row],[Wholesale Profit]]*BedsPerAcre</f>
        <v>-18240.094866071431</v>
      </c>
      <c r="EC35" s="36">
        <f>Crops[[#This Row],[Wholesale Profit]]*BedsPerAcre*GrowingDays/Crops[[#This Row],[Days In Field]]</f>
        <v>-41040.213448660725</v>
      </c>
      <c r="ED35" s="33">
        <f>Crops[[#This Row],[Wholesale Time]] * BedsPerAcre</f>
        <v>1524.2704613095239</v>
      </c>
      <c r="EE35" s="221">
        <f>Crops[[#This Row],[Wholesale Profit]]/MIN(Crops[[#This Row],[Days In Field]],GrowingDays)</f>
        <v>-1.4250074114118305</v>
      </c>
      <c r="EF35" s="36">
        <f>(Crops[[#This Row],[Wholesale Revenue Per Bed]]-Crops[[#This Row],[Wholesale Non-Labor Cost]])/Crops[[#This Row],[Direct Time]]</f>
        <v>11.908540687744448</v>
      </c>
      <c r="EG35" s="174">
        <f>Crops[[#This Row],[Packaging Costs]]/Crops[[#This Row],[Wholesale Revenue Per Bed]]</f>
        <v>0.1130952380952381</v>
      </c>
      <c r="EH35" s="36" t="str">
        <f>Crops[[#This Row],[Crop]]&amp;Crops[[#This Row],[Product]]&amp;Crops[[#This Row],[Unit]]</f>
        <v>BeetMature RootBunch</v>
      </c>
      <c r="EI35" s="36" t="b">
        <f>_xlfn.XLOOKUP(Crops[[#This Row],[ProductIndex]],Products[ID],Products[Target])</f>
        <v>1</v>
      </c>
      <c r="EJ35" s="33">
        <f>Crops[[#This Row],[Custom Yield Per Bed]]</f>
        <v>100</v>
      </c>
      <c r="EK35" s="210">
        <f>Crops[[#This Row],[Units Per Harvest]]/Crops[[#This Row],[Days Between Harvest]]*7</f>
        <v>16.666666666666668</v>
      </c>
      <c r="EL35" s="210">
        <f>Crops[[#This Row],[Custom Yield Per Bed]]/_xlfn.XLOOKUP(Crops[[#This Row],[ProductIndex]],Products[ID],Products[CSA Portion])</f>
        <v>100</v>
      </c>
      <c r="EM35" s="210">
        <f>Crops[[#This Row],[Units Per Harvest]]/Crops[[#This Row],[Days Between Harvest]]*7/_xlfn.XLOOKUP(Crops[[#This Row],[ProductIndex]],Products[ID],Products[CSA Portion])</f>
        <v>16.666666666666668</v>
      </c>
      <c r="EN35" s="210">
        <f>Crops[[#This Row],[CSA Portions Per Week]]/CSAMembers</f>
        <v>0.33333333333333337</v>
      </c>
      <c r="EO35" s="216">
        <v>1</v>
      </c>
      <c r="EP35" s="216">
        <v>1</v>
      </c>
      <c r="EQ35" s="210"/>
      <c r="ER35" s="210">
        <f>Crops[[#This Row],[Harvests]]*Crops[[#This Row],[Days Between Harvest]]/7</f>
        <v>6</v>
      </c>
      <c r="ES35" s="217">
        <f>_xlfn.XLOOKUP(Crops[[#This Row],[ProductIndex]],Products[ID],Products[CSA Need])</f>
        <v>3</v>
      </c>
      <c r="ET35" s="217">
        <f>_xlfn.XLOOKUP(Crops[[#This Row],[ProductIndex]],Products[ID],Products[CSA Times])</f>
        <v>3</v>
      </c>
      <c r="EU35" s="208">
        <f>Crops[[#This Row],[Custom Yield Per Bed]]/(Crops[[#This Row],[CSA Need]]*(_xlfn.XLOOKUP(Crops[[#This Row],[ProductIndex]],Products[ID],Products[CSA Portion])*CSAMembers))</f>
        <v>0.66666666666666663</v>
      </c>
      <c r="EV35" s="208">
        <f>_xlfn.XLOOKUP(Crops[[#This Row],[ProductIndex]],Products[ID],Products[CSA Portion])*CSAMembers*Crops[[#This Row],[CSA Need]]/Crops[[#This Row],[Custom Yield Per Bed]]</f>
        <v>1.5</v>
      </c>
      <c r="EW35" s="208">
        <f>IFERROR(Crops[[#This Row],[Days In Field]]*Crops[[#This Row],[CSA Beds]],"")</f>
        <v>120</v>
      </c>
      <c r="EX35" s="208" t="e">
        <f>Crops[[#This Row],[CSA Bed Days]]*#REF!</f>
        <v>#REF!</v>
      </c>
      <c r="EY35" t="s">
        <v>1406</v>
      </c>
    </row>
    <row r="36" spans="1:155" ht="15" customHeight="1">
      <c r="A36"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3X | Tunnel TP Ow</v>
      </c>
      <c r="B36" s="183"/>
      <c r="C36" s="1"/>
      <c r="D36" s="1"/>
      <c r="E36" s="1" t="b">
        <v>0</v>
      </c>
      <c r="F36" s="1" t="b">
        <f>IFERROR(IF(ISNUMBER(MATCH(Crops[[#This Row],[Identifier]],BedPlan[Crop], 0)), TRUE, FALSE), FALSE)</f>
        <v>0</v>
      </c>
      <c r="G36" s="1" t="b">
        <f>IFERROR(IF(ISNUMBER(MATCH(Crops[[#This Row],[Identifier]],BedPlan[Crop], 0)), TRUE, FALSE), FALSE)</f>
        <v>0</v>
      </c>
      <c r="H36" s="1"/>
      <c r="I36" t="s">
        <v>46</v>
      </c>
      <c r="J36" t="s">
        <v>145</v>
      </c>
      <c r="K36" t="s">
        <v>185</v>
      </c>
      <c r="M36" t="s">
        <v>443</v>
      </c>
      <c r="N36" t="str">
        <f>Crops[[#This Row],[Crop]]</f>
        <v>Beet</v>
      </c>
      <c r="O36" t="s">
        <v>1413</v>
      </c>
      <c r="P36" t="str">
        <f>IF(OR(Crops[[#This Row],[Days in Cells]]="",Crops[[#This Row],[Days in Cells]]=0), "DS","TP")</f>
        <v>TP</v>
      </c>
      <c r="U36" t="b">
        <v>1</v>
      </c>
      <c r="V36" t="str">
        <f xml:space="preserve"> IF(Crops[[#This Row],[Sp]], "Sp", "") &amp; IF(Crops[[#This Row],[Su]], "Su", "") &amp; IF(Crops[[#This Row],[Fa]], "Fa", "") &amp; IF(Crops[[#This Row],[Wi]], "Wi", "") &amp; IF(Crops[[#This Row],[OW]], "Ow","")</f>
        <v>Ow</v>
      </c>
      <c r="W36" t="b">
        <v>1</v>
      </c>
      <c r="X36">
        <v>3</v>
      </c>
      <c r="Y36">
        <v>12</v>
      </c>
      <c r="AA36" t="s">
        <v>370</v>
      </c>
      <c r="AB36" t="b">
        <v>1</v>
      </c>
      <c r="AC36">
        <v>1</v>
      </c>
      <c r="AD36" s="32">
        <f>IFERROR(12/Crops[[#This Row],[Spacing]]*Crops[[#This Row],[Rows]]*BedLength,"")</f>
        <v>150</v>
      </c>
      <c r="AE36">
        <v>3</v>
      </c>
      <c r="AG36">
        <v>1.1000000000000001</v>
      </c>
      <c r="AH36">
        <f>1</f>
        <v>1</v>
      </c>
      <c r="AI36" s="33">
        <f>IFERROR(Crops[[#This Row],[Plantings Per Bed]]*Crops[[#This Row],[Seeds Per Planting]]*Crops[[#This Row],[Safety Factor]]*Crops[[#This Row],[Seeding Factor]],"")</f>
        <v>495.00000000000006</v>
      </c>
      <c r="AL36">
        <f>_xlfn.FLOOR.MATH(IFERROR(AVERAGE(Crops[[#This Row],[DTG Lower]:[DTG Upper]]),0))</f>
        <v>0</v>
      </c>
      <c r="AM36">
        <f>SUM(Crops[[#This Row],[Tray 1 Days]],Crops[[#This Row],[Tray 2 Days]],Crops[[#This Row],[Tray 3 Days]])</f>
        <v>35</v>
      </c>
      <c r="AN36">
        <v>35</v>
      </c>
      <c r="AP36">
        <v>180</v>
      </c>
      <c r="AQ36">
        <f>IFERROR(_xlfn.FLOOR.MATH(AVERAGE(Crops[[#This Row],[DTM Lower]:[DTM Upper]])),"")</f>
        <v>180</v>
      </c>
      <c r="AR36" cm="1">
        <f t="array" ref="AR36">_xlfn.SWITCH(Crops[[#This Row],[Normal Method]],"DS",Crops[[#This Row],[Days to Germination]]+Crops[[#This Row],[DTM]] + IF(Crops[[#This Row],[Days in Cells]]&gt;0,15,0), "TP",Crops[[#This Row],[DTM]]+Crops[[#This Row],[Days in Cells]] + IF(Crops[[#This Row],[Days in Cells]]&lt;=0,20,0), "X", Crops[[#This Row],[DTM]])</f>
        <v>180</v>
      </c>
      <c r="AS36" t="s">
        <v>347</v>
      </c>
      <c r="AT36">
        <f>(Crops[[#This Row],[Harvests]]-1)*Crops[[#This Row],[Days Between Harvest]]+7</f>
        <v>35</v>
      </c>
      <c r="AU36">
        <f>Crops[[#This Row],[STH]]-Crops[[#This Row],[Days in Cells]]+Crops[[#This Row],[Harvest window]]</f>
        <v>180</v>
      </c>
      <c r="AX36">
        <v>128</v>
      </c>
      <c r="AY36">
        <v>35</v>
      </c>
      <c r="AZ36" s="49">
        <f>IFERROR(IF(Crops[[#This Row],[Tray 1 Days]]=0,"",Crops[[#This Row],[Plantings Per Bed]]/Crops[[#This Row],[Tray 1 Size]]*Crops[[#This Row],[Safety Factor]]),"")</f>
        <v>1.2890625</v>
      </c>
      <c r="BC36" t="str">
        <f>IFERROR(IF(Crops[[#This Row],[Tray 2 Days]]=0,"",Crops[[#This Row],[Plantings Per Bed]]/Crops[[#This Row],[Tray 2 Size]]*Crops[[#This Row],[Safety Factor]]),"")</f>
        <v/>
      </c>
      <c r="BE36" s="32" t="str">
        <f>IF(NOT(ISBLANK(Crops[[#This Row],[Tray 3 Size]])), Crops[[#This Row],[Days in Cells Old]]-SUM(Crops[[#This Row],[Tray 1 Days]],Crops[[#This Row],[Tray 2 Days]]), "")</f>
        <v/>
      </c>
      <c r="BF36" t="str">
        <f>IFERROR(IF(Crops[[#This Row],[Tray 3 Days]]=0,"",Crops[[#This Row],[Plantings Per Bed]]/Crops[[#This Row],[Tray 3 Size]]*Crops[[#This Row],[Safety Factor]]),"")</f>
        <v/>
      </c>
      <c r="BG36" s="33">
        <f>Crops[[#This Row],[Plantings Per Bed]]/1.5/Crops[[#This Row],[Harvests]]</f>
        <v>33.333333333333336</v>
      </c>
      <c r="BH36" s="33">
        <v>3</v>
      </c>
      <c r="BI36" s="33">
        <v>14</v>
      </c>
      <c r="BJ36" s="33">
        <f>_xlfn.XLOOKUP(Crops[[#This Row],[ProductIndex]],Products[ID],Products[Holding Period])</f>
        <v>7</v>
      </c>
      <c r="BK36" s="33"/>
      <c r="BL36" s="33">
        <f>Crops[[#This Row],[Units Per Harvest]]*Crops[[#This Row],[Harvests]]</f>
        <v>100</v>
      </c>
      <c r="BM36" s="35">
        <v>4</v>
      </c>
      <c r="BN36" s="35">
        <v>1.4</v>
      </c>
      <c r="BO36" s="35"/>
      <c r="BP36" t="s">
        <v>215</v>
      </c>
      <c r="BQ36">
        <f>Crops[[#This Row],[Custom Yield Per Bed]]*Crops[[#This Row],[Direct Price]]</f>
        <v>400</v>
      </c>
      <c r="BR36" t="b">
        <v>1</v>
      </c>
      <c r="BS36" t="b">
        <f>Crops[[#This Row],[Harvests]]&gt;1</f>
        <v>1</v>
      </c>
      <c r="BT36" s="36">
        <f>IFERROR(Crops[[#This Row],[Direct Revenue Per Bed]]/Crops[[#This Row],[Days In Field]],-1)</f>
        <v>2.2222222222222223</v>
      </c>
      <c r="BU36" s="33">
        <f>IFERROR(Crops[[#This Row],[Direct Revenue Per Bed Day]]*GrowingDays*BedsPerAcre,"")</f>
        <v>64000</v>
      </c>
      <c r="BV36" s="38">
        <f>LastFrostDate-5*Crops[[#This Row],[Sewing Rel Last Frost]]</f>
        <v>45858</v>
      </c>
      <c r="BW36" s="38">
        <f>Crops[[#This Row],[Target Sewing Date]]+Crops[[#This Row],[Days in Cells]]</f>
        <v>45893</v>
      </c>
      <c r="BX36" s="38">
        <f>Crops[[#This Row],[Target Sewing Date]]+Crops[[#This Row],[STH]]</f>
        <v>46038</v>
      </c>
      <c r="BY36" s="38">
        <f>Crops[[#This Row],[Target Harvest Data]]+Crops[[#This Row],[Harvest window]]</f>
        <v>46073</v>
      </c>
      <c r="BZ36">
        <v>-22</v>
      </c>
      <c r="CA36" t="s">
        <v>373</v>
      </c>
      <c r="CB36">
        <f>1</f>
        <v>1</v>
      </c>
      <c r="CC36">
        <f>IF(Crops[[#This Row],[Transplanting]]&gt;0, 2, 3)*BedLength/StandardBedLength</f>
        <v>1</v>
      </c>
      <c r="CD36" s="173">
        <f>IF(Crops[[#This Row],[Days in Cells]]&lt;=0,0,Crops[[#This Row],[Plantings Per Bed]]/StartsPerHourSeeding+Crops[[#This Row],[Tray 1 Count]]*5/60)</f>
        <v>0.693359375</v>
      </c>
      <c r="CE36" s="173">
        <f>IF(ISBLANK(Crops[[#This Row],[Tray 2 Days]]),0,Crops[[#This Row],[Plantings Per Bed]]/UpPottingPerHour)+IF(Crops[[#This Row],[Tray 3 Days]]="",0,Crops[[#This Row],[Plantings Per Bed]]/UpPottingPerHour)</f>
        <v>0</v>
      </c>
      <c r="CF36" s="173">
        <f>IFERROR(Crops[[#This Row],[Tray 1 Count]]/HomeStartFlatIrrigationPerHour,0)*Crops[[#This Row],[Days in Cells]]/DaysBetweenStartIrrigation</f>
        <v>0.18798828125</v>
      </c>
      <c r="CG36" s="173">
        <f>0.5/16*MAX(Crops[[#This Row],[Tray 1 Count]],Crops[[#This Row],[Tray 2 Count]],Crops[[#This Row],[Tray 3 Count]])</f>
        <v>4.0283203125E-2</v>
      </c>
      <c r="CH36" s="173">
        <f>IF(Crops[[#This Row],[Days in Cells]]&gt;0,IF(IF(Crops[[#This Row],[Tray 3 Size]]&gt;0,Crops[[#This Row],[Tray 3 Size]],IF(Crops[[#This Row],[Tray 2 Size]]&gt;0,Crops[[#This Row],[Tray 2 Size]],Crops[[#This Row],[Tray 1 Size]]))&lt;=18,LargeTransplantTime,SmallTransplantTime)*Crops[[#This Row],[Plantings Per Bed]],0)</f>
        <v>0.75</v>
      </c>
      <c r="CI36" s="173"/>
      <c r="CJ36" s="173">
        <f>_xlfn.XLOOKUP(Crops[[#This Row],[Trellis Type]],TrellisMethods[Trellis Type],TrellisMethods[Hours],0,0)</f>
        <v>0</v>
      </c>
      <c r="CK36">
        <f>IF(Crops[[#This Row],[Days in Cells]]&lt;=0,Crops[[#This Row],[Rows]]*1/10,0)*BedLength/50</f>
        <v>0</v>
      </c>
      <c r="CL36" cm="1">
        <f t="array" ref="CL36">_xlfn.SWITCH(Crops[[#This Row],[Irrigation]],"DR", 0.5, "OH", 0.25,0)*BedLength/50</f>
        <v>0</v>
      </c>
      <c r="CM36">
        <f>IF(OR(ISBLANK(Crops[[#This Row],[Row Cover]]),Crops[[#This Row],[Row Cover]]="None"),0,1)*BedLength/50</f>
        <v>1</v>
      </c>
      <c r="CN36" s="173">
        <f>HoursPerWeedingPass*Crops[[#This Row],[Days In Field]]/14*Crops[[#This Row],[Rows]]+1*BedLength/50</f>
        <v>7.4285714285714288</v>
      </c>
      <c r="CO36" s="49"/>
      <c r="CQ36" s="37">
        <f>_xlfn.XLOOKUP(Crops[[#This Row],[Crop]]&amp;Crops[[#This Row],[Product]]&amp;Crops[[#This Row],[Unit]],Products[ID],Products[Marketing (hr)])*Crops[[#This Row],[Direct Revenue Per Bed]]/2000</f>
        <v>1.2</v>
      </c>
      <c r="CR36" s="37">
        <f>_xlfn.XLOOKUP(Crops[[#This Row],[Crop]]&amp;Crops[[#This Row],[Product]]&amp;Crops[[#This Row],[Unit]],Products[ID],Products[Harvest (s)])*Crops[[#This Row],[Custom Yield Per Bed]]/3600</f>
        <v>0.27777777777777779</v>
      </c>
      <c r="CS36" s="37">
        <f>_xlfn.XLOOKUP(Crops[[#This Row],[Crop]]&amp;Crops[[#This Row],[Product]]&amp;Crops[[#This Row],[Unit]],Products[ID],Products[Bunch (s)])*Crops[[#This Row],[Custom Yield Per Bed]]/3600</f>
        <v>0.27777777777777779</v>
      </c>
      <c r="CT36" s="37">
        <f>_xlfn.XLOOKUP(Crops[[#This Row],[Crop]]&amp;Crops[[#This Row],[Product]]&amp;Crops[[#This Row],[Unit]],Products[ID],Products[Haul (s)])*Crops[[#This Row],[Custom Yield Per Bed]]/3600</f>
        <v>0.10416666666666667</v>
      </c>
      <c r="CU36" s="37">
        <f>_xlfn.XLOOKUP(Crops[[#This Row],[Crop]]&amp;Crops[[#This Row],[Product]]&amp;Crops[[#This Row],[Unit]],Products[ID],Products[Wash (s)])*Crops[[#This Row],[Custom Yield Per Bed]]/3600</f>
        <v>0.41666666666666669</v>
      </c>
      <c r="CV36" s="37">
        <f>_xlfn.XLOOKUP(Crops[[#This Row],[Crop]]&amp;Crops[[#This Row],[Product]]&amp;Crops[[#This Row],[Unit]],Products[ID],Products[Condition (s)])*Crops[[#This Row],[Custom Yield Per Bed]]/3600</f>
        <v>0</v>
      </c>
      <c r="CW36" s="37">
        <f>_xlfn.XLOOKUP(Crops[[#This Row],[Crop]]&amp;Crops[[#This Row],[Product]]&amp;Crops[[#This Row],[Unit]],Products[ID],Products[Trim (s)])*Crops[[#This Row],[Custom Yield Per Bed]]/3600</f>
        <v>0.27777777777777779</v>
      </c>
      <c r="CX36" s="37">
        <f>_xlfn.XLOOKUP(Crops[[#This Row],[Crop]]&amp;Crops[[#This Row],[Product]]&amp;Crops[[#This Row],[Unit]],Products[ID],Products[Pack (s)])*Crops[[#This Row],[Custom Yield Per Bed]]/3600</f>
        <v>8.3333333333333329E-2</v>
      </c>
      <c r="CY36" s="37">
        <f>_xlfn.XLOOKUP(Crops[[#This Row],[Crop]]&amp;Crops[[#This Row],[Product]]&amp;Crops[[#This Row],[Unit]],Products[ID],Products[Clean (s)])*Crops[[#This Row],[Custom Yield Per Bed]]/3600</f>
        <v>0</v>
      </c>
      <c r="CZ36" s="37">
        <f>_xlfn.XLOOKUP(Crops[[#This Row],[Crop]]&amp;Crops[[#This Row],[Product]]&amp;Crops[[#This Row],[Unit]],Products[ID],Products[Rehandle (s)])*Crops[[#This Row],[Custom Yield Per Bed]]/3600</f>
        <v>0</v>
      </c>
      <c r="DA36" s="37">
        <f>_xlfn.XLOOKUP(Crops[[#This Row],[Crop]]&amp;Crops[[#This Row],[Product]]&amp;Crops[[#This Row],[Unit]],Products[ID],Products[Market Transport (s)])*Crops[[#This Row],[Custom Yield Per Bed]]/3600</f>
        <v>0.26041666666666669</v>
      </c>
      <c r="DC36" s="37">
        <f>Crops[[#This Row],[Direct Revenue Per Bed2]]</f>
        <v>400</v>
      </c>
      <c r="DD36" s="173">
        <f>_xlfn.AGGREGATE(9,6,Crops[[#This Row],[Bed Prep]:[Remove Crop Residue]])</f>
        <v>13.998118954613096</v>
      </c>
      <c r="DE36" s="173">
        <f>_xlfn.AGGREGATE(9,6,Crops[[#This Row],[Bed Prep]:[Remove Crop Residue]])-0.75*Crops[[#This Row],[Market &amp; Sell]]</f>
        <v>13.098118954613096</v>
      </c>
      <c r="DF36" s="36">
        <f>Crops[[#This Row],[Direct Revenue Per Bed2]]/Crops[[#This Row],[Direct Time]]</f>
        <v>28.57526795542622</v>
      </c>
      <c r="DG36" s="36">
        <f>_xlfn.XLOOKUP(Crops[[#This Row],[ProductIndex]],Products[ID],Products[Packaging Cost])*(Crops[[#This Row],[Custom Yield Per Bed]]/_xlfn.XLOOKUP(Crops[[#This Row],[ProductIndex]],Products[ID],Products[Units Per Pack]))</f>
        <v>15.833333333333334</v>
      </c>
      <c r="DH36" s="36"/>
      <c r="DI36" s="36"/>
      <c r="DJ36" s="36"/>
      <c r="DK36" s="36"/>
      <c r="DL36" s="36"/>
      <c r="DM36" s="33">
        <f>IFERROR(Crops[[#This Row],[Custom Yield Per Bed]]*Crops[[#This Row],[Direct Price]],"")</f>
        <v>400</v>
      </c>
      <c r="DN36" s="36">
        <f>Crops[[#This Row],[Direct Time]]*LaborRate</f>
        <v>349.95297386532741</v>
      </c>
      <c r="DO36" s="36">
        <f>SUM(Crops[[#This Row],[Irrigation Cost]])</f>
        <v>0</v>
      </c>
      <c r="DP36" s="36">
        <f>Crops[[#This Row],[Direct Labor Cost]]+Crops[[#This Row],[Direct Non-Labor Cost]]</f>
        <v>349.95297386532741</v>
      </c>
      <c r="DQ36" s="36">
        <f>Crops[[#This Row],[Direct Revenue Per Bed2]]-Crops[[#This Row],[Direct Total Cost]]</f>
        <v>50.047026134672592</v>
      </c>
      <c r="DR36" s="36">
        <f>Crops[[#This Row],[Direct Profit]]*BedsPerAcre</f>
        <v>8007.5241815476147</v>
      </c>
      <c r="DS36" s="36">
        <f>Crops[[#This Row],[Direct Profit]]*BedsPerAcre*GrowingDays/Crops[[#This Row],[Days In Field]]</f>
        <v>8007.5241815476147</v>
      </c>
      <c r="DT36" s="36">
        <f>Crops[[#This Row],[Direct Profit]]/MIN(Crops[[#This Row],[Days In Field]],GrowingDays)</f>
        <v>0.27803903408151442</v>
      </c>
      <c r="DU36" s="33">
        <f>Crops[[#This Row],[Direct Time]] * BedsPerAcre</f>
        <v>2239.6990327380954</v>
      </c>
      <c r="DV36" s="36">
        <f>(Crops[[#This Row],[Direct Revenue Per Bed2]]-Crops[[#This Row],[Direct Non-Labor Cost]])/Crops[[#This Row],[Direct Time]]</f>
        <v>28.57526795542622</v>
      </c>
      <c r="DW36" s="33">
        <f>IFERROR(Crops[[#This Row],[Custom Yield Per Bed]]*Crops[[#This Row],[Rough Wholesale Price]],"")</f>
        <v>140</v>
      </c>
      <c r="DX36" s="36">
        <f>Crops[[#This Row],[Wholesale Time]]*LaborRate</f>
        <v>327.45297386532741</v>
      </c>
      <c r="DY36" s="36">
        <f>SUM(Crops[[#This Row],[Packaging Costs]:[Irrigation Cost]])</f>
        <v>15.833333333333334</v>
      </c>
      <c r="DZ36" s="36">
        <f>Crops[[#This Row],[Wholesale Labor Cost]]+Crops[[#This Row],[Wholesale Non-Labor Cost]]</f>
        <v>343.28630719866072</v>
      </c>
      <c r="EA36" s="36">
        <f>Crops[[#This Row],[Wholesale Revenue Per Bed]]-Crops[[#This Row],[Wholesale Total Cost]]</f>
        <v>-203.28630719866072</v>
      </c>
      <c r="EB36" s="36">
        <f>Crops[[#This Row],[Wholesale Profit]]*BedsPerAcre</f>
        <v>-32525.809151785717</v>
      </c>
      <c r="EC36" s="36">
        <f>Crops[[#This Row],[Wholesale Profit]]*BedsPerAcre*GrowingDays/Crops[[#This Row],[Days In Field]]</f>
        <v>-32525.809151785717</v>
      </c>
      <c r="ED36" s="33">
        <f>Crops[[#This Row],[Wholesale Time]] * BedsPerAcre</f>
        <v>2095.6990327380954</v>
      </c>
      <c r="EE36" s="221">
        <f>Crops[[#This Row],[Wholesale Profit]]/MIN(Crops[[#This Row],[Days In Field]],GrowingDays)</f>
        <v>-1.1293683733258928</v>
      </c>
      <c r="EF36" s="36">
        <f>(Crops[[#This Row],[Wholesale Revenue Per Bed]]-Crops[[#This Row],[Wholesale Non-Labor Cost]])/Crops[[#This Row],[Direct Time]]</f>
        <v>8.8702394278302226</v>
      </c>
      <c r="EG36" s="174">
        <f>Crops[[#This Row],[Packaging Costs]]/Crops[[#This Row],[Wholesale Revenue Per Bed]]</f>
        <v>0.1130952380952381</v>
      </c>
      <c r="EH36" s="36" t="str">
        <f>Crops[[#This Row],[Crop]]&amp;Crops[[#This Row],[Product]]&amp;Crops[[#This Row],[Unit]]</f>
        <v>BeetMature RootBunch</v>
      </c>
      <c r="EI36" s="36" t="b">
        <f>_xlfn.XLOOKUP(Crops[[#This Row],[ProductIndex]],Products[ID],Products[Target])</f>
        <v>1</v>
      </c>
      <c r="EJ36" s="36">
        <f>Crops[[#This Row],[Custom Yield Per Bed]]</f>
        <v>100</v>
      </c>
      <c r="EK36" s="210">
        <f>Crops[[#This Row],[Units Per Harvest]]/Crops[[#This Row],[Days Between Harvest]]*7</f>
        <v>16.666666666666668</v>
      </c>
      <c r="EL36" s="210">
        <f>Crops[[#This Row],[Custom Yield Per Bed]]/_xlfn.XLOOKUP(Crops[[#This Row],[ProductIndex]],Products[ID],Products[CSA Portion])</f>
        <v>100</v>
      </c>
      <c r="EM36" s="210">
        <f>Crops[[#This Row],[Units Per Harvest]]/Crops[[#This Row],[Days Between Harvest]]*7/_xlfn.XLOOKUP(Crops[[#This Row],[ProductIndex]],Products[ID],Products[CSA Portion])</f>
        <v>16.666666666666668</v>
      </c>
      <c r="EN36" s="210">
        <f>Crops[[#This Row],[CSA Portions Per Week]]/CSAMembers</f>
        <v>0.33333333333333337</v>
      </c>
      <c r="EO36" s="210"/>
      <c r="EP36" s="210"/>
      <c r="EQ36" s="210"/>
      <c r="ER36" s="210">
        <f>Crops[[#This Row],[Harvests]]*Crops[[#This Row],[Days Between Harvest]]/7</f>
        <v>6</v>
      </c>
      <c r="ES36" s="217">
        <f>_xlfn.XLOOKUP(Crops[[#This Row],[ProductIndex]],Products[ID],Products[CSA Need])</f>
        <v>3</v>
      </c>
      <c r="ET36" s="217">
        <f>_xlfn.XLOOKUP(Crops[[#This Row],[ProductIndex]],Products[ID],Products[CSA Times])</f>
        <v>3</v>
      </c>
      <c r="EU36" s="208">
        <f>Crops[[#This Row],[Custom Yield Per Bed]]/(Crops[[#This Row],[CSA Need]]*(_xlfn.XLOOKUP(Crops[[#This Row],[ProductIndex]],Products[ID],Products[CSA Portion])*CSAMembers))</f>
        <v>0.66666666666666663</v>
      </c>
      <c r="EV36" s="208">
        <f>_xlfn.XLOOKUP(Crops[[#This Row],[ProductIndex]],Products[ID],Products[CSA Portion])*CSAMembers*Crops[[#This Row],[CSA Need]]/Crops[[#This Row],[Custom Yield Per Bed]]</f>
        <v>1.5</v>
      </c>
      <c r="EW36" s="208">
        <f>IFERROR(Crops[[#This Row],[Days In Field]]*Crops[[#This Row],[CSA Beds]],"")</f>
        <v>270</v>
      </c>
      <c r="EX36" s="208" t="e">
        <f>Crops[[#This Row],[CSA Bed Days]]*#REF!</f>
        <v>#REF!</v>
      </c>
      <c r="EY36" t="s">
        <v>1406</v>
      </c>
    </row>
    <row r="37" spans="1:155">
      <c r="A3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Bok Choy - Mature Head 1X | Field TP SpFaWiOw</v>
      </c>
      <c r="B37" s="191"/>
      <c r="C37" s="1" t="b">
        <v>1</v>
      </c>
      <c r="D37" s="1"/>
      <c r="E37" s="1" t="b">
        <v>0</v>
      </c>
      <c r="F37" s="1" t="b">
        <f>IFERROR(IF(ISNUMBER(MATCH(Crops[[#This Row],[Identifier]],BedPlan[Crop], 0)), TRUE, FALSE), FALSE)</f>
        <v>1</v>
      </c>
      <c r="G37" s="1" t="b">
        <f>IFERROR(IF(ISNUMBER(MATCH(Crops[[#This Row],[Identifier]],BedPlan[Crop], 0)), TRUE, FALSE), FALSE)</f>
        <v>1</v>
      </c>
      <c r="H37" s="1" t="b">
        <v>1</v>
      </c>
      <c r="I37" t="s">
        <v>47</v>
      </c>
      <c r="J37" t="s">
        <v>145</v>
      </c>
      <c r="K37" t="s">
        <v>186</v>
      </c>
      <c r="N37" t="str">
        <f>Crops[[#This Row],[Crop]]</f>
        <v>Bok Choy</v>
      </c>
      <c r="O37" t="s">
        <v>210</v>
      </c>
      <c r="P37" t="str">
        <f>IF(OR(Crops[[#This Row],[Days in Cells]]="",Crops[[#This Row],[Days in Cells]]=0), "DS","TP")</f>
        <v>TP</v>
      </c>
      <c r="Q37" t="s">
        <v>144</v>
      </c>
      <c r="S37" t="s">
        <v>144</v>
      </c>
      <c r="T37" t="s">
        <v>144</v>
      </c>
      <c r="U37" t="s">
        <v>144</v>
      </c>
      <c r="V37" t="str">
        <f xml:space="preserve"> IF(Crops[[#This Row],[Sp]], "Sp", "") &amp; IF(Crops[[#This Row],[Su]], "Su", "") &amp; IF(Crops[[#This Row],[Fa]], "Fa", "") &amp; IF(Crops[[#This Row],[Wi]], "Wi", "") &amp; IF(Crops[[#This Row],[OW]], "Ow","")</f>
        <v>SpFaWiOw</v>
      </c>
      <c r="W37" t="s">
        <v>144</v>
      </c>
      <c r="X37">
        <v>4</v>
      </c>
      <c r="Y37">
        <v>9</v>
      </c>
      <c r="AD37" s="32">
        <f>IFERROR(12/Crops[[#This Row],[Spacing]]*Crops[[#This Row],[Rows]]*BedLength,"")</f>
        <v>266.66666666666663</v>
      </c>
      <c r="AE37">
        <v>1</v>
      </c>
      <c r="AG37">
        <f>IF(Crops[[#This Row],[Custom Safety Factor]]="",PlantingSafetyFactor,Crops[[#This Row],[Custom Safety Factor]])</f>
        <v>1.3</v>
      </c>
      <c r="AH37">
        <f>1</f>
        <v>1</v>
      </c>
      <c r="AI37" s="33">
        <f>IFERROR(Crops[[#This Row],[Plantings Per Bed]]*Crops[[#This Row],[Seeds Per Planting]]*Crops[[#This Row],[Safety Factor]]*Crops[[#This Row],[Seeding Factor]],"")</f>
        <v>346.66666666666663</v>
      </c>
      <c r="AL37">
        <f>_xlfn.FLOOR.MATH(IFERROR(AVERAGE(Crops[[#This Row],[DTG Lower]:[DTG Upper]]),0))</f>
        <v>0</v>
      </c>
      <c r="AM37">
        <f>SUM(Crops[[#This Row],[Tray 1 Days]],Crops[[#This Row],[Tray 2 Days]],Crops[[#This Row],[Tray 3 Days]])</f>
        <v>28</v>
      </c>
      <c r="AN37">
        <v>35</v>
      </c>
      <c r="AP37">
        <v>50</v>
      </c>
      <c r="AQ37">
        <f>IFERROR(_xlfn.FLOOR.MATH(AVERAGE(Crops[[#This Row],[DTM Lower]:[DTM Upper]])),"")</f>
        <v>50</v>
      </c>
      <c r="AR37" cm="1">
        <f t="array" ref="AR37">_xlfn.SWITCH(Crops[[#This Row],[Normal Method]],"DS",Crops[[#This Row],[Days to Germination]]+Crops[[#This Row],[DTM]] + IF(Crops[[#This Row],[Days in Cells]]&gt;0,15,0), "TP",Crops[[#This Row],[DTM]]+Crops[[#This Row],[Days in Cells]] + IF(Crops[[#This Row],[Days in Cells]]&lt;=0,20,0), "X", Crops[[#This Row],[DTM]])</f>
        <v>78</v>
      </c>
      <c r="AS37" t="s">
        <v>346</v>
      </c>
      <c r="AT37">
        <f>(Crops[[#This Row],[Harvests]]-1)*Crops[[#This Row],[Days Between Harvest]]+7</f>
        <v>14</v>
      </c>
      <c r="AU37">
        <f>Crops[[#This Row],[STH]]-Crops[[#This Row],[Days in Cells]]+Crops[[#This Row],[Harvest window]]</f>
        <v>64</v>
      </c>
      <c r="AX37">
        <v>128</v>
      </c>
      <c r="AY37">
        <v>28</v>
      </c>
      <c r="AZ37">
        <f>IFERROR(IF(Crops[[#This Row],[Tray 1 Days]]=0,"",Crops[[#This Row],[Plantings Per Bed]]/Crops[[#This Row],[Tray 1 Size]]*Crops[[#This Row],[Safety Factor]]),"")</f>
        <v>2.708333333333333</v>
      </c>
      <c r="BC37" t="str">
        <f>IFERROR(IF(Crops[[#This Row],[Tray 2 Days]]=0,"",Crops[[#This Row],[Plantings Per Bed]]/Crops[[#This Row],[Tray 2 Size]]*Crops[[#This Row],[Safety Factor]]),"")</f>
        <v/>
      </c>
      <c r="BE37" s="32" t="str">
        <f>IF(NOT(ISBLANK(Crops[[#This Row],[Tray 3 Size]])), Crops[[#This Row],[Days in Cells Old]]-SUM(Crops[[#This Row],[Tray 1 Days]],Crops[[#This Row],[Tray 2 Days]]), "")</f>
        <v/>
      </c>
      <c r="BF37" t="str">
        <f>IFERROR(IF(Crops[[#This Row],[Tray 3 Days]]=0,"",Crops[[#This Row],[Plantings Per Bed]]/Crops[[#This Row],[Tray 3 Size]]*Crops[[#This Row],[Safety Factor]]),"")</f>
        <v/>
      </c>
      <c r="BG37" s="33">
        <f>Crops[[#This Row],[Plantings Per Bed]]/Crops[[#This Row],[Harvests]]</f>
        <v>133.33333333333331</v>
      </c>
      <c r="BH37" s="33">
        <v>2</v>
      </c>
      <c r="BI37" s="33">
        <v>7</v>
      </c>
      <c r="BJ37" s="33">
        <f>_xlfn.XLOOKUP(Crops[[#This Row],[ProductIndex]],Products[ID],Products[Holding Period])</f>
        <v>7</v>
      </c>
      <c r="BK37" s="33"/>
      <c r="BL37" s="33">
        <f>Crops[[#This Row],[Units Per Harvest]]*Crops[[#This Row],[Harvests]]</f>
        <v>266.66666666666663</v>
      </c>
      <c r="BM37" s="35">
        <v>2.5</v>
      </c>
      <c r="BN37" s="35">
        <v>1.5</v>
      </c>
      <c r="BO37" s="35"/>
      <c r="BP37" t="s">
        <v>214</v>
      </c>
      <c r="BQ37">
        <f>Crops[[#This Row],[Custom Yield Per Bed]]*Crops[[#This Row],[Direct Price]]</f>
        <v>666.66666666666652</v>
      </c>
      <c r="BR37" t="b">
        <v>1</v>
      </c>
      <c r="BS37" t="b">
        <f>Crops[[#This Row],[Harvests]]&gt;1</f>
        <v>1</v>
      </c>
      <c r="BT37" s="36">
        <f>IFERROR(Crops[[#This Row],[Direct Revenue Per Bed]]/Crops[[#This Row],[Days In Field]],-1)</f>
        <v>10.416666666666664</v>
      </c>
      <c r="BU37" s="33">
        <f>IFERROR(Crops[[#This Row],[Direct Revenue Per Bed Day]]*GrowingDays*BedsPerAcre,"")</f>
        <v>299999.99999999994</v>
      </c>
      <c r="BV37" s="38">
        <f>LastFrostDate-5*Crops[[#This Row],[Sewing Rel Last Frost]]</f>
        <v>45748</v>
      </c>
      <c r="BW37" s="38">
        <f>Crops[[#This Row],[Target Sewing Date]]+Crops[[#This Row],[Days in Cells]]</f>
        <v>45776</v>
      </c>
      <c r="BX37" s="38">
        <f>Crops[[#This Row],[Target Sewing Date]]+Crops[[#This Row],[STH]]</f>
        <v>45826</v>
      </c>
      <c r="BY37" s="38">
        <f>Crops[[#This Row],[Target Harvest Data]]+Crops[[#This Row],[Harvest window]]</f>
        <v>45840</v>
      </c>
      <c r="CB37">
        <f>1</f>
        <v>1</v>
      </c>
      <c r="CC37">
        <f>IF(Crops[[#This Row],[Transplanting]]&gt;0, 2, 3)*BedLength/StandardBedLength</f>
        <v>1</v>
      </c>
      <c r="CD37" s="173">
        <f>IF(Crops[[#This Row],[Days in Cells]]&lt;=0,0,Crops[[#This Row],[Plantings Per Bed]]/StartsPerHourSeeding+Crops[[#This Row],[Tray 1 Count]]*5/60)</f>
        <v>1.2673611111111109</v>
      </c>
      <c r="CE37" s="173">
        <f>IF(ISBLANK(Crops[[#This Row],[Tray 2 Days]]),0,Crops[[#This Row],[Plantings Per Bed]]/UpPottingPerHour)+IF(Crops[[#This Row],[Tray 3 Days]]="",0,Crops[[#This Row],[Plantings Per Bed]]/UpPottingPerHour)</f>
        <v>0</v>
      </c>
      <c r="CF37" s="173">
        <f>IFERROR(Crops[[#This Row],[Tray 1 Count]]/HomeStartFlatIrrigationPerHour,0)*Crops[[#This Row],[Days in Cells]]/DaysBetweenStartIrrigation</f>
        <v>0.31597222222222215</v>
      </c>
      <c r="CG37" s="173">
        <f>0.5/16*MAX(Crops[[#This Row],[Tray 1 Count]],Crops[[#This Row],[Tray 2 Count]],Crops[[#This Row],[Tray 3 Count]])</f>
        <v>8.4635416666666657E-2</v>
      </c>
      <c r="CH37" s="173">
        <f>IF(Crops[[#This Row],[Days in Cells]]&gt;0,IF(IF(Crops[[#This Row],[Tray 3 Size]]&gt;0,Crops[[#This Row],[Tray 3 Size]],IF(Crops[[#This Row],[Tray 2 Size]]&gt;0,Crops[[#This Row],[Tray 2 Size]],Crops[[#This Row],[Tray 1 Size]]))&lt;=18,LargeTransplantTime,SmallTransplantTime)*Crops[[#This Row],[Plantings Per Bed]],0)</f>
        <v>1.3333333333333333</v>
      </c>
      <c r="CI37" s="173"/>
      <c r="CJ37" s="173">
        <f>_xlfn.XLOOKUP(Crops[[#This Row],[Trellis Type]],TrellisMethods[Trellis Type],TrellisMethods[Hours],0,0)</f>
        <v>0</v>
      </c>
      <c r="CK37">
        <f>IF(Crops[[#This Row],[Days in Cells]]&lt;=0,Crops[[#This Row],[Rows]]*1/10,0)*BedLength/50</f>
        <v>0</v>
      </c>
      <c r="CL37" cm="1">
        <f t="array" ref="CL37">_xlfn.SWITCH(Crops[[#This Row],[Irrigation]],"DR", 0.5, "OH", 0.25,0)*BedLength/50</f>
        <v>0</v>
      </c>
      <c r="CM37">
        <f>IF(OR(ISBLANK(Crops[[#This Row],[Row Cover]]),Crops[[#This Row],[Row Cover]]="None"),0,1)*BedLength/50</f>
        <v>0</v>
      </c>
      <c r="CN37" s="173">
        <f>HoursPerWeedingPass*Crops[[#This Row],[Days In Field]]/14*Crops[[#This Row],[Rows]]+1*BedLength/50</f>
        <v>4.0476190476190474</v>
      </c>
      <c r="CO37" s="49"/>
      <c r="CQ37" s="37">
        <f>_xlfn.XLOOKUP(Crops[[#This Row],[Crop]]&amp;Crops[[#This Row],[Product]]&amp;Crops[[#This Row],[Unit]],Products[ID],Products[Marketing (hr)])*Crops[[#This Row],[Direct Revenue Per Bed]]/2000</f>
        <v>0.66666666666666652</v>
      </c>
      <c r="CR37" s="37">
        <f>_xlfn.XLOOKUP(Crops[[#This Row],[Crop]]&amp;Crops[[#This Row],[Product]]&amp;Crops[[#This Row],[Unit]],Products[ID],Products[Harvest (s)])*Crops[[#This Row],[Custom Yield Per Bed]]/3600</f>
        <v>0.37037037037037029</v>
      </c>
      <c r="CS37" s="37">
        <f>_xlfn.XLOOKUP(Crops[[#This Row],[Crop]]&amp;Crops[[#This Row],[Product]]&amp;Crops[[#This Row],[Unit]],Products[ID],Products[Bunch (s)])*Crops[[#This Row],[Custom Yield Per Bed]]/3600</f>
        <v>0</v>
      </c>
      <c r="CT37" s="37">
        <f>_xlfn.XLOOKUP(Crops[[#This Row],[Crop]]&amp;Crops[[#This Row],[Product]]&amp;Crops[[#This Row],[Unit]],Products[ID],Products[Haul (s)])*Crops[[#This Row],[Custom Yield Per Bed]]/3600</f>
        <v>0.27777777777777773</v>
      </c>
      <c r="CU37" s="37">
        <f>_xlfn.XLOOKUP(Crops[[#This Row],[Crop]]&amp;Crops[[#This Row],[Product]]&amp;Crops[[#This Row],[Unit]],Products[ID],Products[Wash (s)])*Crops[[#This Row],[Custom Yield Per Bed]]/3600</f>
        <v>0</v>
      </c>
      <c r="CV37" s="37">
        <f>_xlfn.XLOOKUP(Crops[[#This Row],[Crop]]&amp;Crops[[#This Row],[Product]]&amp;Crops[[#This Row],[Unit]],Products[ID],Products[Condition (s)])*Crops[[#This Row],[Custom Yield Per Bed]]/3600</f>
        <v>0.74074074074074059</v>
      </c>
      <c r="CW37" s="37">
        <f>_xlfn.XLOOKUP(Crops[[#This Row],[Crop]]&amp;Crops[[#This Row],[Product]]&amp;Crops[[#This Row],[Unit]],Products[ID],Products[Trim (s)])*Crops[[#This Row],[Custom Yield Per Bed]]/3600</f>
        <v>0.74074074074074059</v>
      </c>
      <c r="CX37" s="37">
        <f>_xlfn.XLOOKUP(Crops[[#This Row],[Crop]]&amp;Crops[[#This Row],[Product]]&amp;Crops[[#This Row],[Unit]],Products[ID],Products[Pack (s)])*Crops[[#This Row],[Custom Yield Per Bed]]/3600</f>
        <v>0.22222222222222218</v>
      </c>
      <c r="CY37" s="37">
        <f>_xlfn.XLOOKUP(Crops[[#This Row],[Crop]]&amp;Crops[[#This Row],[Product]]&amp;Crops[[#This Row],[Unit]],Products[ID],Products[Clean (s)])*Crops[[#This Row],[Custom Yield Per Bed]]/3600</f>
        <v>0</v>
      </c>
      <c r="CZ37" s="37">
        <f>_xlfn.XLOOKUP(Crops[[#This Row],[Crop]]&amp;Crops[[#This Row],[Product]]&amp;Crops[[#This Row],[Unit]],Products[ID],Products[Rehandle (s)])*Crops[[#This Row],[Custom Yield Per Bed]]/3600</f>
        <v>0</v>
      </c>
      <c r="DA37" s="37">
        <f>_xlfn.XLOOKUP(Crops[[#This Row],[Crop]]&amp;Crops[[#This Row],[Product]]&amp;Crops[[#This Row],[Unit]],Products[ID],Products[Market Transport (s)])*Crops[[#This Row],[Custom Yield Per Bed]]/3600</f>
        <v>0.69444444444444431</v>
      </c>
      <c r="DC37" s="37">
        <f>Crops[[#This Row],[Direct Revenue Per Bed2]]</f>
        <v>666.66666666666652</v>
      </c>
      <c r="DD37" s="173">
        <f>_xlfn.AGGREGATE(9,6,Crops[[#This Row],[Bed Prep]:[Remove Crop Residue]])</f>
        <v>11.761884093915342</v>
      </c>
      <c r="DE37" s="173">
        <f>_xlfn.AGGREGATE(9,6,Crops[[#This Row],[Bed Prep]:[Remove Crop Residue]])-0.75*Crops[[#This Row],[Market &amp; Sell]]</f>
        <v>11.261884093915342</v>
      </c>
      <c r="DF37" s="36">
        <f>Crops[[#This Row],[Direct Revenue Per Bed2]]/Crops[[#This Row],[Direct Time]]</f>
        <v>56.680261541732634</v>
      </c>
      <c r="DG37" s="36">
        <f>_xlfn.XLOOKUP(Crops[[#This Row],[ProductIndex]],Products[ID],Products[Packaging Cost])*(Crops[[#This Row],[Custom Yield Per Bed]]/_xlfn.XLOOKUP(Crops[[#This Row],[ProductIndex]],Products[ID],Products[Units Per Pack]))</f>
        <v>42.222222222222214</v>
      </c>
      <c r="DH37" s="36"/>
      <c r="DI37" s="36"/>
      <c r="DJ37" s="36"/>
      <c r="DK37" s="36"/>
      <c r="DL37" s="36"/>
      <c r="DM37" s="33">
        <f>IFERROR(Crops[[#This Row],[Custom Yield Per Bed]]*Crops[[#This Row],[Direct Price]],"")</f>
        <v>666.66666666666652</v>
      </c>
      <c r="DN37" s="36">
        <f>Crops[[#This Row],[Direct Time]]*LaborRate</f>
        <v>294.04710234788354</v>
      </c>
      <c r="DO37" s="36">
        <f>SUM(Crops[[#This Row],[Irrigation Cost]])</f>
        <v>0</v>
      </c>
      <c r="DP37" s="36">
        <f>Crops[[#This Row],[Direct Labor Cost]]+Crops[[#This Row],[Direct Non-Labor Cost]]</f>
        <v>294.04710234788354</v>
      </c>
      <c r="DQ37" s="36">
        <f>Crops[[#This Row],[Direct Revenue Per Bed2]]-Crops[[#This Row],[Direct Total Cost]]</f>
        <v>372.61956431878298</v>
      </c>
      <c r="DR37" s="36">
        <f>Crops[[#This Row],[Direct Profit]]*BedsPerAcre</f>
        <v>59619.130291005276</v>
      </c>
      <c r="DS37" s="36">
        <f>Crops[[#This Row],[Direct Profit]]*BedsPerAcre*GrowingDays/Crops[[#This Row],[Days In Field]]</f>
        <v>167678.80394345234</v>
      </c>
      <c r="DT37" s="36">
        <f>Crops[[#This Row],[Direct Profit]]/MIN(Crops[[#This Row],[Days In Field]],GrowingDays)</f>
        <v>5.822180692480984</v>
      </c>
      <c r="DU37" s="33">
        <f>Crops[[#This Row],[Direct Time]] * BedsPerAcre</f>
        <v>1881.9014550264546</v>
      </c>
      <c r="DV37" s="36">
        <f>(Crops[[#This Row],[Direct Revenue Per Bed2]]-Crops[[#This Row],[Direct Non-Labor Cost]])/Crops[[#This Row],[Direct Time]]</f>
        <v>56.680261541732634</v>
      </c>
      <c r="DW37" s="33">
        <f>IFERROR(Crops[[#This Row],[Custom Yield Per Bed]]*Crops[[#This Row],[Rough Wholesale Price]],"")</f>
        <v>399.99999999999994</v>
      </c>
      <c r="DX37" s="36">
        <f>Crops[[#This Row],[Wholesale Time]]*LaborRate</f>
        <v>281.54710234788354</v>
      </c>
      <c r="DY37" s="36">
        <f>SUM(Crops[[#This Row],[Packaging Costs]:[Irrigation Cost]])</f>
        <v>42.222222222222214</v>
      </c>
      <c r="DZ37" s="36">
        <f>Crops[[#This Row],[Wholesale Labor Cost]]+Crops[[#This Row],[Wholesale Non-Labor Cost]]</f>
        <v>323.76932457010577</v>
      </c>
      <c r="EA37" s="36">
        <f>Crops[[#This Row],[Wholesale Revenue Per Bed]]-Crops[[#This Row],[Wholesale Total Cost]]</f>
        <v>76.230675429894177</v>
      </c>
      <c r="EB37" s="36">
        <f>Crops[[#This Row],[Wholesale Profit]]*BedsPerAcre</f>
        <v>12196.908068783068</v>
      </c>
      <c r="EC37" s="36">
        <f>Crops[[#This Row],[Wholesale Profit]]*BedsPerAcre*GrowingDays/Crops[[#This Row],[Days In Field]]</f>
        <v>34303.803943452382</v>
      </c>
      <c r="ED37" s="33">
        <f>Crops[[#This Row],[Wholesale Time]] * BedsPerAcre</f>
        <v>1801.9014550264546</v>
      </c>
      <c r="EE37" s="221">
        <f>Crops[[#This Row],[Wholesale Profit]]/MIN(Crops[[#This Row],[Days In Field]],GrowingDays)</f>
        <v>1.1911043035920965</v>
      </c>
      <c r="EF37" s="36">
        <f>(Crops[[#This Row],[Wholesale Revenue Per Bed]]-Crops[[#This Row],[Wholesale Non-Labor Cost]])/Crops[[#This Row],[Direct Time]]</f>
        <v>30.418407027396515</v>
      </c>
      <c r="EG37" s="174">
        <f>Crops[[#This Row],[Packaging Costs]]/Crops[[#This Row],[Wholesale Revenue Per Bed]]</f>
        <v>0.10555555555555556</v>
      </c>
      <c r="EH37" s="36" t="str">
        <f>Crops[[#This Row],[Crop]]&amp;Crops[[#This Row],[Product]]&amp;Crops[[#This Row],[Unit]]</f>
        <v>Bok ChoyMature HeadHead</v>
      </c>
      <c r="EI37" s="36" t="b">
        <f>_xlfn.XLOOKUP(Crops[[#This Row],[ProductIndex]],Products[ID],Products[Target])</f>
        <v>1</v>
      </c>
      <c r="EJ37" s="33">
        <f>Crops[[#This Row],[Custom Yield Per Bed]]</f>
        <v>266.66666666666663</v>
      </c>
      <c r="EK37" s="210">
        <f>Crops[[#This Row],[Units Per Harvest]]/Crops[[#This Row],[Days Between Harvest]]*7</f>
        <v>133.33333333333331</v>
      </c>
      <c r="EL37" s="210">
        <f>Crops[[#This Row],[Custom Yield Per Bed]]/_xlfn.XLOOKUP(Crops[[#This Row],[ProductIndex]],Products[ID],Products[CSA Portion])</f>
        <v>266.66666666666663</v>
      </c>
      <c r="EM37" s="210">
        <f>Crops[[#This Row],[Units Per Harvest]]/Crops[[#This Row],[Days Between Harvest]]*7/_xlfn.XLOOKUP(Crops[[#This Row],[ProductIndex]],Products[ID],Products[CSA Portion])</f>
        <v>133.33333333333331</v>
      </c>
      <c r="EN37" s="210">
        <f>Crops[[#This Row],[CSA Portions Per Week]]/CSAMembers</f>
        <v>2.6666666666666661</v>
      </c>
      <c r="EO37" s="216">
        <v>1</v>
      </c>
      <c r="EP37" s="216">
        <v>1</v>
      </c>
      <c r="EQ37" s="210"/>
      <c r="ER37" s="210">
        <f>Crops[[#This Row],[Harvests]]*Crops[[#This Row],[Days Between Harvest]]/7</f>
        <v>2</v>
      </c>
      <c r="ES37" s="217">
        <f>_xlfn.XLOOKUP(Crops[[#This Row],[ProductIndex]],Products[ID],Products[CSA Need])</f>
        <v>1</v>
      </c>
      <c r="ET37" s="217">
        <f>_xlfn.XLOOKUP(Crops[[#This Row],[ProductIndex]],Products[ID],Products[CSA Times])</f>
        <v>1</v>
      </c>
      <c r="EU37" s="208">
        <f>Crops[[#This Row],[Custom Yield Per Bed]]/(Crops[[#This Row],[CSA Need]]*(_xlfn.XLOOKUP(Crops[[#This Row],[ProductIndex]],Products[ID],Products[CSA Portion])*CSAMembers))</f>
        <v>5.3333333333333321</v>
      </c>
      <c r="EV37" s="208">
        <f>_xlfn.XLOOKUP(Crops[[#This Row],[ProductIndex]],Products[ID],Products[CSA Portion])*CSAMembers*Crops[[#This Row],[CSA Need]]/Crops[[#This Row],[Custom Yield Per Bed]]</f>
        <v>0.18750000000000003</v>
      </c>
      <c r="EW37" s="208">
        <f>IFERROR(Crops[[#This Row],[Days In Field]]*Crops[[#This Row],[CSA Beds]],"")</f>
        <v>12.000000000000002</v>
      </c>
      <c r="EX37" s="208" t="e">
        <f>Crops[[#This Row],[CSA Bed Days]]*#REF!</f>
        <v>#REF!</v>
      </c>
      <c r="EY37" t="s">
        <v>1795</v>
      </c>
    </row>
    <row r="38" spans="1:155">
      <c r="A3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(1r) - Edible Bloom 1X | Field DS </v>
      </c>
      <c r="B38" s="189"/>
      <c r="C38" s="1" t="b">
        <v>0</v>
      </c>
      <c r="D38" s="1" t="s">
        <v>2571</v>
      </c>
      <c r="E38" s="1" t="b">
        <v>0</v>
      </c>
      <c r="F38" s="1" t="b">
        <f>IFERROR(IF(ISNUMBER(MATCH(Crops[[#This Row],[Identifier]],BedPlan[Crop], 0)), TRUE, FALSE), FALSE)</f>
        <v>0</v>
      </c>
      <c r="G38" s="1" t="b">
        <f>IFERROR(IF(ISNUMBER(MATCH(Crops[[#This Row],[Identifier]],BedPlan[Crop], 0)), TRUE, FALSE), FALSE)</f>
        <v>0</v>
      </c>
      <c r="H38" s="1"/>
      <c r="I38" t="s">
        <v>48</v>
      </c>
      <c r="J38" t="s">
        <v>1743</v>
      </c>
      <c r="K38" t="s">
        <v>1746</v>
      </c>
      <c r="M38" t="s">
        <v>406</v>
      </c>
      <c r="N38" t="str">
        <f>Crops[[#This Row],[Crop]]</f>
        <v>Borage</v>
      </c>
      <c r="O38" t="s">
        <v>210</v>
      </c>
      <c r="P38" t="str">
        <f>IF(OR(Crops[[#This Row],[Days in Cells]]="",Crops[[#This Row],[Days in Cells]]=0), "DS","TP")</f>
        <v>DS</v>
      </c>
      <c r="V38" t="str">
        <f xml:space="preserve"> IF(Crops[[#This Row],[Sp]], "Sp", "") &amp; IF(Crops[[#This Row],[Su]], "Su", "") &amp; IF(Crops[[#This Row],[Fa]], "Fa", "") &amp; IF(Crops[[#This Row],[Wi]], "Wi", "") &amp; IF(Crops[[#This Row],[OW]], "Ow","")</f>
        <v/>
      </c>
      <c r="W38" t="s">
        <v>144</v>
      </c>
      <c r="X38">
        <v>1</v>
      </c>
      <c r="Y38">
        <v>6</v>
      </c>
      <c r="AA38" t="s">
        <v>474</v>
      </c>
      <c r="AB38" t="b">
        <v>1</v>
      </c>
      <c r="AC38">
        <v>3</v>
      </c>
      <c r="AD38" s="32">
        <f>IFERROR(12/Crops[[#This Row],[Spacing]]*Crops[[#This Row],[Rows]]*BedLength,"")</f>
        <v>100</v>
      </c>
      <c r="AE38">
        <v>1</v>
      </c>
      <c r="AG38">
        <f>IF(Crops[[#This Row],[Custom Safety Factor]]="",PlantingSafetyFactor,Crops[[#This Row],[Custom Safety Factor]])</f>
        <v>1.3</v>
      </c>
      <c r="AH38">
        <f>1</f>
        <v>1</v>
      </c>
      <c r="AI38" s="33">
        <f>IFERROR(Crops[[#This Row],[Plantings Per Bed]]*Crops[[#This Row],[Seeds Per Planting]]*Crops[[#This Row],[Safety Factor]]*Crops[[#This Row],[Seeding Factor]],"")</f>
        <v>130</v>
      </c>
      <c r="AJ38">
        <v>7</v>
      </c>
      <c r="AK38">
        <v>14</v>
      </c>
      <c r="AL38">
        <f>_xlfn.FLOOR.MATH(IFERROR(AVERAGE(Crops[[#This Row],[DTG Lower]:[DTG Upper]]),0))</f>
        <v>10</v>
      </c>
      <c r="AM38">
        <f>SUM(Crops[[#This Row],[Tray 1 Days]],Crops[[#This Row],[Tray 2 Days]],Crops[[#This Row],[Tray 3 Days]])</f>
        <v>0</v>
      </c>
      <c r="AO38">
        <v>50</v>
      </c>
      <c r="AP38">
        <v>60</v>
      </c>
      <c r="AQ38">
        <f>IFERROR(_xlfn.FLOOR.MATH(AVERAGE(Crops[[#This Row],[DTM Lower]:[DTM Upper]])),"")</f>
        <v>55</v>
      </c>
      <c r="AR38" cm="1">
        <f t="array" ref="AR38">_xlfn.SWITCH(Crops[[#This Row],[Normal Method]],"DS",Crops[[#This Row],[Days to Germination]]+Crops[[#This Row],[DTM]] + IF(Crops[[#This Row],[Days in Cells]]&gt;0,15,0), "TP",Crops[[#This Row],[DTM]]+Crops[[#This Row],[Days in Cells]] + IF(Crops[[#This Row],[Days in Cells]]&lt;=0,20,0), "X", Crops[[#This Row],[DTM]])</f>
        <v>65</v>
      </c>
      <c r="AS38" t="s">
        <v>338</v>
      </c>
      <c r="AT38">
        <f>(Crops[[#This Row],[Harvests]]-1)*Crops[[#This Row],[Days Between Harvest]]+7</f>
        <v>98</v>
      </c>
      <c r="AU38">
        <f>Crops[[#This Row],[STH]]-Crops[[#This Row],[Days in Cells]]+Crops[[#This Row],[Harvest window]]</f>
        <v>163</v>
      </c>
      <c r="AW38">
        <v>128</v>
      </c>
      <c r="AZ38" t="str">
        <f>IFERROR(IF(Crops[[#This Row],[Tray 1 Days]]=0,"",Crops[[#This Row],[Plantings Per Bed]]/Crops[[#This Row],[Tray 1 Size]]*Crops[[#This Row],[Safety Factor]]),"")</f>
        <v/>
      </c>
      <c r="BC38" t="str">
        <f>IFERROR(IF(Crops[[#This Row],[Tray 2 Days]]=0,"",Crops[[#This Row],[Plantings Per Bed]]/Crops[[#This Row],[Tray 2 Size]]*Crops[[#This Row],[Safety Factor]]),"")</f>
        <v/>
      </c>
      <c r="BE38" s="32" t="str">
        <f>IF(NOT(ISBLANK(Crops[[#This Row],[Tray 3 Size]])), Crops[[#This Row],[Days in Cells Old]]-SUM(Crops[[#This Row],[Tray 1 Days]],Crops[[#This Row],[Tray 2 Days]]), "")</f>
        <v/>
      </c>
      <c r="BF38" t="str">
        <f>IFERROR(IF(Crops[[#This Row],[Tray 3 Days]]=0,"",Crops[[#This Row],[Plantings Per Bed]]/Crops[[#This Row],[Tray 3 Size]]*Crops[[#This Row],[Safety Factor]]),"")</f>
        <v/>
      </c>
      <c r="BG38" s="33">
        <f>Crops[[#This Row],[Plantings Per Bed]]*6</f>
        <v>600</v>
      </c>
      <c r="BH38" s="33">
        <v>14</v>
      </c>
      <c r="BI38" s="33">
        <v>7</v>
      </c>
      <c r="BJ38" s="33">
        <f>_xlfn.XLOOKUP(Crops[[#This Row],[ProductIndex]],Products[ID],Products[Holding Period])</f>
        <v>0</v>
      </c>
      <c r="BK38" s="33"/>
      <c r="BL38" s="33">
        <f>Crops[[#This Row],[Units Per Harvest]]*Crops[[#This Row],[Harvests]]</f>
        <v>8400</v>
      </c>
      <c r="BM38" s="35">
        <v>0.2</v>
      </c>
      <c r="BN38" s="35">
        <f>Crops[[#This Row],[Direct Price]]*0.6</f>
        <v>0.12</v>
      </c>
      <c r="BO38" s="35"/>
      <c r="BP38" t="s">
        <v>2357</v>
      </c>
      <c r="BQ38">
        <f>Crops[[#This Row],[Custom Yield Per Bed]]*Crops[[#This Row],[Direct Price]]</f>
        <v>1680</v>
      </c>
      <c r="BR38" t="b">
        <v>0</v>
      </c>
      <c r="BS38" t="b">
        <f>Crops[[#This Row],[Harvests]]&gt;1</f>
        <v>1</v>
      </c>
      <c r="BT38" s="36">
        <f>IFERROR(Crops[[#This Row],[Direct Revenue Per Bed]]/Crops[[#This Row],[Days In Field]],-1)</f>
        <v>10.306748466257668</v>
      </c>
      <c r="BU38" s="33">
        <f>IFERROR(Crops[[#This Row],[Direct Revenue Per Bed Day]]*GrowingDays*BedsPerAcre,"")</f>
        <v>296834.35582822084</v>
      </c>
      <c r="BV38" s="38">
        <f>LastFrostDate-5*Crops[[#This Row],[Sewing Rel Last Frost]]</f>
        <v>45753</v>
      </c>
      <c r="BW38" s="38">
        <f>Crops[[#This Row],[Target Sewing Date]]+Crops[[#This Row],[Days in Cells]]</f>
        <v>45753</v>
      </c>
      <c r="BX38" s="38">
        <f>Crops[[#This Row],[Target Sewing Date]]+Crops[[#This Row],[STH]]</f>
        <v>45818</v>
      </c>
      <c r="BY38" s="38">
        <f>Crops[[#This Row],[Target Harvest Data]]+Crops[[#This Row],[Harvest window]]</f>
        <v>45916</v>
      </c>
      <c r="BZ38">
        <v>-1</v>
      </c>
      <c r="CB38">
        <f>1</f>
        <v>1</v>
      </c>
      <c r="CC38">
        <f>IF(Crops[[#This Row],[Transplanting]]&gt;0, 2, 3)*BedLength/StandardBedLength</f>
        <v>1.5</v>
      </c>
      <c r="CD38" s="173">
        <f>IF(Crops[[#This Row],[Days in Cells]]&lt;=0,0,Crops[[#This Row],[Plantings Per Bed]]/StartsPerHourSeeding+Crops[[#This Row],[Tray 1 Count]]*5/60)</f>
        <v>0</v>
      </c>
      <c r="CE38" s="173">
        <f>IF(ISBLANK(Crops[[#This Row],[Tray 2 Days]]),0,Crops[[#This Row],[Plantings Per Bed]]/UpPottingPerHour)+IF(Crops[[#This Row],[Tray 3 Days]]="",0,Crops[[#This Row],[Plantings Per Bed]]/UpPottingPerHour)</f>
        <v>0</v>
      </c>
      <c r="CF38" s="173">
        <f>IFERROR(Crops[[#This Row],[Tray 1 Count]]/HomeStartFlatIrrigationPerHour,0)*Crops[[#This Row],[Days in Cells]]/DaysBetweenStartIrrigation</f>
        <v>0</v>
      </c>
      <c r="CG38" s="173">
        <f>0.5/16*MAX(Crops[[#This Row],[Tray 1 Count]],Crops[[#This Row],[Tray 2 Count]],Crops[[#This Row],[Tray 3 Count]])</f>
        <v>0</v>
      </c>
      <c r="CH38" s="173">
        <f>IF(Crops[[#This Row],[Days in Cells]]&gt;0,IF(IF(Crops[[#This Row],[Tray 3 Size]]&gt;0,Crops[[#This Row],[Tray 3 Size]],IF(Crops[[#This Row],[Tray 2 Size]]&gt;0,Crops[[#This Row],[Tray 2 Size]],Crops[[#This Row],[Tray 1 Size]]))&lt;=18,LargeTransplantTime,SmallTransplantTime)*Crops[[#This Row],[Plantings Per Bed]],0)</f>
        <v>0</v>
      </c>
      <c r="CI38" s="173"/>
      <c r="CJ38" s="173">
        <f>_xlfn.XLOOKUP(Crops[[#This Row],[Trellis Type]],TrellisMethods[Trellis Type],TrellisMethods[Hours],0,0)</f>
        <v>0</v>
      </c>
      <c r="CK38">
        <f>IF(Crops[[#This Row],[Days in Cells]]&lt;=0,Crops[[#This Row],[Rows]]*1/10,0)*BedLength/50</f>
        <v>0.1</v>
      </c>
      <c r="CL38" cm="1">
        <f t="array" ref="CL38">_xlfn.SWITCH(Crops[[#This Row],[Irrigation]],"DR", 0.5, "OH", 0.25,0)*BedLength/50</f>
        <v>0</v>
      </c>
      <c r="CM38">
        <f>IF(OR(ISBLANK(Crops[[#This Row],[Row Cover]]),Crops[[#This Row],[Row Cover]]="None"),0,1)*BedLength/50</f>
        <v>0</v>
      </c>
      <c r="CN38" s="173">
        <f>HoursPerWeedingPass*Crops[[#This Row],[Days In Field]]/14*Crops[[#This Row],[Rows]]+1*BedLength/50</f>
        <v>2.9404761904761902</v>
      </c>
      <c r="CQ38" s="37">
        <f>_xlfn.XLOOKUP(Crops[[#This Row],[Crop]]&amp;Crops[[#This Row],[Product]]&amp;Crops[[#This Row],[Unit]],Products[ID],Products[Marketing (hr)])*Crops[[#This Row],[Direct Revenue Per Bed]]/2000</f>
        <v>2.52</v>
      </c>
      <c r="CR38" s="37">
        <f>_xlfn.XLOOKUP(Crops[[#This Row],[Crop]]&amp;Crops[[#This Row],[Product]]&amp;Crops[[#This Row],[Unit]],Products[ID],Products[Harvest (s)])*Crops[[#This Row],[Custom Yield Per Bed]]/3600</f>
        <v>7</v>
      </c>
      <c r="CS38" s="37">
        <f>_xlfn.XLOOKUP(Crops[[#This Row],[Crop]]&amp;Crops[[#This Row],[Product]]&amp;Crops[[#This Row],[Unit]],Products[ID],Products[Bunch (s)])*Crops[[#This Row],[Custom Yield Per Bed]]/3600</f>
        <v>0</v>
      </c>
      <c r="CT38" s="37">
        <f>_xlfn.XLOOKUP(Crops[[#This Row],[Crop]]&amp;Crops[[#This Row],[Product]]&amp;Crops[[#This Row],[Unit]],Products[ID],Products[Haul (s)])*Crops[[#This Row],[Custom Yield Per Bed]]/3600</f>
        <v>5.8333333333333334E-2</v>
      </c>
      <c r="CU38" s="37">
        <f>_xlfn.XLOOKUP(Crops[[#This Row],[Crop]]&amp;Crops[[#This Row],[Product]]&amp;Crops[[#This Row],[Unit]],Products[ID],Products[Wash (s)])*Crops[[#This Row],[Custom Yield Per Bed]]/3600</f>
        <v>0</v>
      </c>
      <c r="CV38" s="37">
        <f>_xlfn.XLOOKUP(Crops[[#This Row],[Crop]]&amp;Crops[[#This Row],[Product]]&amp;Crops[[#This Row],[Unit]],Products[ID],Products[Condition (s)])*Crops[[#This Row],[Custom Yield Per Bed]]/3600</f>
        <v>0</v>
      </c>
      <c r="CW38" s="37">
        <f>_xlfn.XLOOKUP(Crops[[#This Row],[Crop]]&amp;Crops[[#This Row],[Product]]&amp;Crops[[#This Row],[Unit]],Products[ID],Products[Trim (s)])*Crops[[#This Row],[Custom Yield Per Bed]]/3600</f>
        <v>0</v>
      </c>
      <c r="CX38" s="37">
        <f>_xlfn.XLOOKUP(Crops[[#This Row],[Crop]]&amp;Crops[[#This Row],[Product]]&amp;Crops[[#This Row],[Unit]],Products[ID],Products[Pack (s)])*Crops[[#This Row],[Custom Yield Per Bed]]/3600</f>
        <v>7</v>
      </c>
      <c r="CY38" s="37">
        <f>_xlfn.XLOOKUP(Crops[[#This Row],[Crop]]&amp;Crops[[#This Row],[Product]]&amp;Crops[[#This Row],[Unit]],Products[ID],Products[Clean (s)])*Crops[[#This Row],[Custom Yield Per Bed]]/3600</f>
        <v>0</v>
      </c>
      <c r="CZ38" s="37">
        <f>_xlfn.XLOOKUP(Crops[[#This Row],[Crop]]&amp;Crops[[#This Row],[Product]]&amp;Crops[[#This Row],[Unit]],Products[ID],Products[Rehandle (s)])*Crops[[#This Row],[Custom Yield Per Bed]]/3600</f>
        <v>0</v>
      </c>
      <c r="DA38" s="37">
        <f>_xlfn.XLOOKUP(Crops[[#This Row],[Crop]]&amp;Crops[[#This Row],[Product]]&amp;Crops[[#This Row],[Unit]],Products[ID],Products[Market Transport (s)])*Crops[[#This Row],[Custom Yield Per Bed]]/3600</f>
        <v>0.14583333333333334</v>
      </c>
      <c r="DC38" s="37">
        <f>Crops[[#This Row],[Direct Revenue Per Bed2]]</f>
        <v>1680</v>
      </c>
      <c r="DD38" s="173">
        <f>_xlfn.AGGREGATE(9,6,Crops[[#This Row],[Bed Prep]:[Remove Crop Residue]])</f>
        <v>21.264642857142857</v>
      </c>
      <c r="DE38" s="173">
        <f>_xlfn.AGGREGATE(9,6,Crops[[#This Row],[Bed Prep]:[Remove Crop Residue]])-0.75*Crops[[#This Row],[Market &amp; Sell]]</f>
        <v>19.374642857142856</v>
      </c>
      <c r="DF38" s="36">
        <f>Crops[[#This Row],[Direct Revenue Per Bed2]]/Crops[[#This Row],[Direct Time]]</f>
        <v>79.00438353403537</v>
      </c>
      <c r="DG38" s="36">
        <f>_xlfn.XLOOKUP(Crops[[#This Row],[ProductIndex]],Products[ID],Products[Packaging Cost])*(Crops[[#This Row],[Custom Yield Per Bed]]/_xlfn.XLOOKUP(Crops[[#This Row],[ProductIndex]],Products[ID],Products[Units Per Pack]))</f>
        <v>54.6</v>
      </c>
      <c r="DH38" s="36"/>
      <c r="DI38" s="36"/>
      <c r="DJ38" s="36"/>
      <c r="DK38" s="36"/>
      <c r="DL38" s="36"/>
      <c r="DM38" s="33">
        <f>IFERROR(Crops[[#This Row],[Custom Yield Per Bed]]*Crops[[#This Row],[Direct Price]],"")</f>
        <v>1680</v>
      </c>
      <c r="DN38" s="36">
        <f>Crops[[#This Row],[Direct Time]]*LaborRate</f>
        <v>531.61607142857144</v>
      </c>
      <c r="DO38" s="36">
        <f>SUM(Crops[[#This Row],[Irrigation Cost]])</f>
        <v>0</v>
      </c>
      <c r="DP38" s="36">
        <f>Crops[[#This Row],[Direct Labor Cost]]+Crops[[#This Row],[Direct Non-Labor Cost]]</f>
        <v>531.61607142857144</v>
      </c>
      <c r="DQ38" s="36">
        <f>Crops[[#This Row],[Direct Revenue Per Bed2]]-Crops[[#This Row],[Direct Total Cost]]</f>
        <v>1148.3839285714284</v>
      </c>
      <c r="DR38" s="36">
        <f>Crops[[#This Row],[Direct Profit]]*BedsPerAcre</f>
        <v>183741.42857142855</v>
      </c>
      <c r="DS38" s="36">
        <f>Crops[[#This Row],[Direct Profit]]*BedsPerAcre*GrowingDays/Crops[[#This Row],[Days In Field]]</f>
        <v>202904.6450482033</v>
      </c>
      <c r="DT38" s="36">
        <f>Crops[[#This Row],[Direct Profit]]/MIN(Crops[[#This Row],[Days In Field]],GrowingDays)</f>
        <v>7.0453001752848374</v>
      </c>
      <c r="DU38" s="36">
        <f>Crops[[#This Row],[Direct Time]] * BedsPerAcre</f>
        <v>3402.3428571428572</v>
      </c>
      <c r="DV38" s="36">
        <f>(Crops[[#This Row],[Direct Revenue Per Bed2]]-Crops[[#This Row],[Direct Non-Labor Cost]])/Crops[[#This Row],[Direct Time]]</f>
        <v>79.00438353403537</v>
      </c>
      <c r="DW38" s="33">
        <f>IFERROR(Crops[[#This Row],[Custom Yield Per Bed]]*Crops[[#This Row],[Rough Wholesale Price]],"")</f>
        <v>1008</v>
      </c>
      <c r="DX38" s="36">
        <f>Crops[[#This Row],[Wholesale Time]]*LaborRate</f>
        <v>484.36607142857139</v>
      </c>
      <c r="DY38" s="36">
        <f>SUM(Crops[[#This Row],[Packaging Costs]:[Irrigation Cost]])</f>
        <v>54.6</v>
      </c>
      <c r="DZ38" s="36">
        <f>Crops[[#This Row],[Wholesale Labor Cost]]+Crops[[#This Row],[Wholesale Non-Labor Cost]]</f>
        <v>538.96607142857135</v>
      </c>
      <c r="EA38" s="36">
        <f>Crops[[#This Row],[Wholesale Revenue Per Bed]]-Crops[[#This Row],[Wholesale Total Cost]]</f>
        <v>469.03392857142865</v>
      </c>
      <c r="EB38" s="36">
        <f>Crops[[#This Row],[Wholesale Profit]]*BedsPerAcre</f>
        <v>75045.42857142858</v>
      </c>
      <c r="EC38" s="36">
        <f>Crops[[#This Row],[Wholesale Profit]]*BedsPerAcre*GrowingDays/Crops[[#This Row],[Days In Field]]</f>
        <v>82872.252410166519</v>
      </c>
      <c r="ED38" s="36">
        <f>Crops[[#This Row],[Wholesale Time]] * BedsPerAcre</f>
        <v>3099.9428571428571</v>
      </c>
      <c r="EE38" s="36">
        <f>Crops[[#This Row],[Wholesale Profit]]/MIN(Crops[[#This Row],[Days In Field]],GrowingDays)</f>
        <v>2.8775087642418935</v>
      </c>
      <c r="EF38" s="36">
        <f>(Crops[[#This Row],[Wholesale Revenue Per Bed]]-Crops[[#This Row],[Wholesale Non-Labor Cost]])/Crops[[#This Row],[Direct Time]]</f>
        <v>44.834987655565072</v>
      </c>
      <c r="EG38" s="174">
        <f>Crops[[#This Row],[Packaging Costs]]/Crops[[#This Row],[Wholesale Revenue Per Bed]]</f>
        <v>5.4166666666666669E-2</v>
      </c>
      <c r="EH38" s="36" t="str">
        <f>Crops[[#This Row],[Crop]]&amp;Crops[[#This Row],[Product]]&amp;Crops[[#This Row],[Unit]]</f>
        <v>BorageEdible BloomBloom</v>
      </c>
      <c r="EI38" s="36" t="b">
        <f>_xlfn.XLOOKUP(Crops[[#This Row],[ProductIndex]],Products[ID],Products[Target])</f>
        <v>1</v>
      </c>
      <c r="EJ38" s="36">
        <f>Crops[[#This Row],[Custom Yield Per Bed]]</f>
        <v>8400</v>
      </c>
      <c r="EK38" s="210">
        <f>Crops[[#This Row],[Units Per Harvest]]/Crops[[#This Row],[Days Between Harvest]]*7</f>
        <v>600</v>
      </c>
      <c r="EL38" s="210" t="e">
        <f>Crops[[#This Row],[Custom Yield Per Bed]]/_xlfn.XLOOKUP(Crops[[#This Row],[ProductIndex]],Products[ID],Products[CSA Portion])</f>
        <v>#DIV/0!</v>
      </c>
      <c r="EM38" s="210" t="e">
        <f>Crops[[#This Row],[Units Per Harvest]]/Crops[[#This Row],[Days Between Harvest]]*7/_xlfn.XLOOKUP(Crops[[#This Row],[ProductIndex]],Products[ID],Products[CSA Portion])</f>
        <v>#DIV/0!</v>
      </c>
      <c r="EN38" s="210" t="e">
        <f>Crops[[#This Row],[CSA Portions Per Week]]/CSAMembers</f>
        <v>#DIV/0!</v>
      </c>
      <c r="EO38" s="210"/>
      <c r="EP38" s="210"/>
      <c r="EQ38" s="36"/>
      <c r="ER38" s="36">
        <f>Crops[[#This Row],[Harvests]]*Crops[[#This Row],[Days Between Harvest]]/7</f>
        <v>14</v>
      </c>
      <c r="ES38" s="208">
        <f>_xlfn.XLOOKUP(Crops[[#This Row],[ProductIndex]],Products[ID],Products[CSA Need])</f>
        <v>0</v>
      </c>
      <c r="ET38" s="208">
        <f>_xlfn.XLOOKUP(Crops[[#This Row],[ProductIndex]],Products[ID],Products[CSA Times])</f>
        <v>0</v>
      </c>
      <c r="EU38" s="208" t="e">
        <f>Crops[[#This Row],[Custom Yield Per Bed]]/(Crops[[#This Row],[CSA Need]]*(_xlfn.XLOOKUP(Crops[[#This Row],[ProductIndex]],Products[ID],Products[CSA Portion])*CSAMembers))</f>
        <v>#DIV/0!</v>
      </c>
      <c r="EV38" s="208">
        <f>_xlfn.XLOOKUP(Crops[[#This Row],[ProductIndex]],Products[ID],Products[CSA Portion])*CSAMembers*Crops[[#This Row],[CSA Need]]/Crops[[#This Row],[Custom Yield Per Bed]]</f>
        <v>0</v>
      </c>
      <c r="EW38" s="208">
        <f>IFERROR(Crops[[#This Row],[Days In Field]]*Crops[[#This Row],[CSA Beds]],"")</f>
        <v>0</v>
      </c>
      <c r="EX38" s="208" t="e">
        <f>Crops[[#This Row],[CSA Bed Days]]*#REF!</f>
        <v>#REF!</v>
      </c>
      <c r="EY38" t="s">
        <v>1745</v>
      </c>
    </row>
    <row r="39" spans="1:155">
      <c r="A3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(1r) - Mature Stem 1X | Field DS </v>
      </c>
      <c r="B39" s="189"/>
      <c r="C39" s="1" t="b">
        <v>0</v>
      </c>
      <c r="D39" s="1"/>
      <c r="E39" s="1" t="b">
        <v>0</v>
      </c>
      <c r="F39" s="1" t="b">
        <f>IFERROR(IF(ISNUMBER(MATCH(Crops[[#This Row],[Identifier]],BedPlan[Crop], 0)), TRUE, FALSE), FALSE)</f>
        <v>0</v>
      </c>
      <c r="G39" s="1" t="b">
        <f>IFERROR(IF(ISNUMBER(MATCH(Crops[[#This Row],[Identifier]],BedPlan[Crop], 0)), TRUE, FALSE), FALSE)</f>
        <v>0</v>
      </c>
      <c r="H39" s="1"/>
      <c r="I39" t="s">
        <v>48</v>
      </c>
      <c r="J39" t="s">
        <v>1743</v>
      </c>
      <c r="K39" t="s">
        <v>181</v>
      </c>
      <c r="M39" t="s">
        <v>406</v>
      </c>
      <c r="N39" t="str">
        <f>Crops[[#This Row],[Crop]]</f>
        <v>Borage</v>
      </c>
      <c r="O39" t="s">
        <v>210</v>
      </c>
      <c r="P39" t="str">
        <f>IF(OR(Crops[[#This Row],[Days in Cells]]="",Crops[[#This Row],[Days in Cells]]=0), "DS","TP")</f>
        <v>DS</v>
      </c>
      <c r="V39" t="str">
        <f xml:space="preserve"> IF(Crops[[#This Row],[Sp]], "Sp", "") &amp; IF(Crops[[#This Row],[Su]], "Su", "") &amp; IF(Crops[[#This Row],[Fa]], "Fa", "") &amp; IF(Crops[[#This Row],[Wi]], "Wi", "") &amp; IF(Crops[[#This Row],[OW]], "Ow","")</f>
        <v/>
      </c>
      <c r="W39" t="s">
        <v>144</v>
      </c>
      <c r="X39">
        <v>1</v>
      </c>
      <c r="Y39">
        <v>6</v>
      </c>
      <c r="AA39" t="s">
        <v>474</v>
      </c>
      <c r="AB39" t="b">
        <v>1</v>
      </c>
      <c r="AD39" s="32">
        <f>IFERROR(12/Crops[[#This Row],[Spacing]]*Crops[[#This Row],[Rows]]*BedLength,"")</f>
        <v>100</v>
      </c>
      <c r="AE39">
        <v>1</v>
      </c>
      <c r="AG39">
        <f>IF(Crops[[#This Row],[Custom Safety Factor]]="",PlantingSafetyFactor,Crops[[#This Row],[Custom Safety Factor]])</f>
        <v>1.3</v>
      </c>
      <c r="AH39">
        <f>1</f>
        <v>1</v>
      </c>
      <c r="AI39" s="33">
        <f>IFERROR(Crops[[#This Row],[Plantings Per Bed]]*Crops[[#This Row],[Seeds Per Planting]]*Crops[[#This Row],[Safety Factor]]*Crops[[#This Row],[Seeding Factor]],"")</f>
        <v>130</v>
      </c>
      <c r="AJ39">
        <v>7</v>
      </c>
      <c r="AK39">
        <v>14</v>
      </c>
      <c r="AL39">
        <f>_xlfn.FLOOR.MATH(IFERROR(AVERAGE(Crops[[#This Row],[DTG Lower]:[DTG Upper]]),0))</f>
        <v>10</v>
      </c>
      <c r="AM39">
        <f>SUM(Crops[[#This Row],[Tray 1 Days]],Crops[[#This Row],[Tray 2 Days]],Crops[[#This Row],[Tray 3 Days]])</f>
        <v>0</v>
      </c>
      <c r="AO39">
        <v>50</v>
      </c>
      <c r="AP39">
        <v>60</v>
      </c>
      <c r="AQ39">
        <f>IFERROR(_xlfn.FLOOR.MATH(AVERAGE(Crops[[#This Row],[DTM Lower]:[DTM Upper]])),"")</f>
        <v>55</v>
      </c>
      <c r="AR39" cm="1">
        <f t="array" ref="AR39">_xlfn.SWITCH(Crops[[#This Row],[Normal Method]],"DS",Crops[[#This Row],[Days to Germination]]+Crops[[#This Row],[DTM]] + IF(Crops[[#This Row],[Days in Cells]]&gt;0,15,0), "TP",Crops[[#This Row],[DTM]]+Crops[[#This Row],[Days in Cells]] + IF(Crops[[#This Row],[Days in Cells]]&lt;=0,20,0), "X", Crops[[#This Row],[DTM]])</f>
        <v>65</v>
      </c>
      <c r="AS39" t="s">
        <v>338</v>
      </c>
      <c r="AT39">
        <f>(Crops[[#This Row],[Harvests]]-1)*Crops[[#This Row],[Days Between Harvest]]+7</f>
        <v>98</v>
      </c>
      <c r="AU39">
        <f>Crops[[#This Row],[STH]]-Crops[[#This Row],[Days in Cells]]+Crops[[#This Row],[Harvest window]]</f>
        <v>163</v>
      </c>
      <c r="AW39">
        <v>128</v>
      </c>
      <c r="AZ39" t="str">
        <f>IFERROR(IF(Crops[[#This Row],[Tray 1 Days]]=0,"",Crops[[#This Row],[Plantings Per Bed]]/Crops[[#This Row],[Tray 1 Size]]*Crops[[#This Row],[Safety Factor]]),"")</f>
        <v/>
      </c>
      <c r="BC39" t="str">
        <f>IFERROR(IF(Crops[[#This Row],[Tray 2 Days]]=0,"",Crops[[#This Row],[Plantings Per Bed]]/Crops[[#This Row],[Tray 2 Size]]*Crops[[#This Row],[Safety Factor]]),"")</f>
        <v/>
      </c>
      <c r="BE39" s="32" t="str">
        <f>IF(NOT(ISBLANK(Crops[[#This Row],[Tray 3 Size]])), Crops[[#This Row],[Days in Cells Old]]-SUM(Crops[[#This Row],[Tray 1 Days]],Crops[[#This Row],[Tray 2 Days]]), "")</f>
        <v/>
      </c>
      <c r="BF39" t="str">
        <f>IFERROR(IF(Crops[[#This Row],[Tray 3 Days]]=0,"",Crops[[#This Row],[Plantings Per Bed]]/Crops[[#This Row],[Tray 3 Size]]*Crops[[#This Row],[Safety Factor]]),"")</f>
        <v/>
      </c>
      <c r="BG39" s="33">
        <f>Crops[[#This Row],[Plantings Per Bed]]*3</f>
        <v>300</v>
      </c>
      <c r="BH39" s="33">
        <v>14</v>
      </c>
      <c r="BI39" s="33">
        <v>7</v>
      </c>
      <c r="BJ39" s="33">
        <f>_xlfn.XLOOKUP(Crops[[#This Row],[ProductIndex]],Products[ID],Products[Holding Period])</f>
        <v>0</v>
      </c>
      <c r="BK39" s="33"/>
      <c r="BL39" s="33">
        <f>Crops[[#This Row],[Units Per Harvest]]*Crops[[#This Row],[Harvests]]</f>
        <v>4200</v>
      </c>
      <c r="BM39" s="35">
        <v>1</v>
      </c>
      <c r="BN39" s="35">
        <f>Crops[[#This Row],[Direct Price]]*0.6</f>
        <v>0.6</v>
      </c>
      <c r="BO39" s="35"/>
      <c r="BP39" t="s">
        <v>213</v>
      </c>
      <c r="BQ39">
        <f>Crops[[#This Row],[Custom Yield Per Bed]]*Crops[[#This Row],[Direct Price]]</f>
        <v>4200</v>
      </c>
      <c r="BR39" t="b">
        <v>0</v>
      </c>
      <c r="BS39" t="b">
        <f>Crops[[#This Row],[Harvests]]&gt;1</f>
        <v>1</v>
      </c>
      <c r="BT39" s="36">
        <f>IFERROR(Crops[[#This Row],[Direct Revenue Per Bed]]/Crops[[#This Row],[Days In Field]],-1)</f>
        <v>25.766871165644172</v>
      </c>
      <c r="BU39" s="33">
        <f>IFERROR(Crops[[#This Row],[Direct Revenue Per Bed Day]]*GrowingDays*BedsPerAcre,"")</f>
        <v>742085.88957055216</v>
      </c>
      <c r="BV39" s="38">
        <f>LastFrostDate-5*Crops[[#This Row],[Sewing Rel Last Frost]]</f>
        <v>45753</v>
      </c>
      <c r="BW39" s="38">
        <f>Crops[[#This Row],[Target Sewing Date]]+Crops[[#This Row],[Days in Cells]]</f>
        <v>45753</v>
      </c>
      <c r="BX39" s="38">
        <f>Crops[[#This Row],[Target Sewing Date]]+Crops[[#This Row],[STH]]</f>
        <v>45818</v>
      </c>
      <c r="BY39" s="38">
        <f>Crops[[#This Row],[Target Harvest Data]]+Crops[[#This Row],[Harvest window]]</f>
        <v>45916</v>
      </c>
      <c r="BZ39">
        <v>-1</v>
      </c>
      <c r="CB39">
        <f>1</f>
        <v>1</v>
      </c>
      <c r="CC39">
        <f>IF(Crops[[#This Row],[Transplanting]]&gt;0, 2, 3)*BedLength/StandardBedLength</f>
        <v>1.5</v>
      </c>
      <c r="CD39" s="173">
        <f>IF(Crops[[#This Row],[Days in Cells]]&lt;=0,0,Crops[[#This Row],[Plantings Per Bed]]/StartsPerHourSeeding+Crops[[#This Row],[Tray 1 Count]]*5/60)</f>
        <v>0</v>
      </c>
      <c r="CE39" s="173">
        <f>IF(ISBLANK(Crops[[#This Row],[Tray 2 Days]]),0,Crops[[#This Row],[Plantings Per Bed]]/UpPottingPerHour)+IF(Crops[[#This Row],[Tray 3 Days]]="",0,Crops[[#This Row],[Plantings Per Bed]]/UpPottingPerHour)</f>
        <v>0</v>
      </c>
      <c r="CF39" s="173">
        <f>IFERROR(Crops[[#This Row],[Tray 1 Count]]/HomeStartFlatIrrigationPerHour,0)*Crops[[#This Row],[Days in Cells]]/DaysBetweenStartIrrigation</f>
        <v>0</v>
      </c>
      <c r="CG39" s="173">
        <f>0.5/16*MAX(Crops[[#This Row],[Tray 1 Count]],Crops[[#This Row],[Tray 2 Count]],Crops[[#This Row],[Tray 3 Count]])</f>
        <v>0</v>
      </c>
      <c r="CH39" s="173">
        <f>IF(Crops[[#This Row],[Days in Cells]]&gt;0,IF(IF(Crops[[#This Row],[Tray 3 Size]]&gt;0,Crops[[#This Row],[Tray 3 Size]],IF(Crops[[#This Row],[Tray 2 Size]]&gt;0,Crops[[#This Row],[Tray 2 Size]],Crops[[#This Row],[Tray 1 Size]]))&lt;=18,LargeTransplantTime,SmallTransplantTime)*Crops[[#This Row],[Plantings Per Bed]],0)</f>
        <v>0</v>
      </c>
      <c r="CI39" s="173"/>
      <c r="CJ39" s="173">
        <f>_xlfn.XLOOKUP(Crops[[#This Row],[Trellis Type]],TrellisMethods[Trellis Type],TrellisMethods[Hours],0,0)</f>
        <v>0</v>
      </c>
      <c r="CK39">
        <f>IF(Crops[[#This Row],[Days in Cells]]&lt;=0,Crops[[#This Row],[Rows]]*1/10,0)*BedLength/50</f>
        <v>0.1</v>
      </c>
      <c r="CL39" cm="1">
        <f t="array" ref="CL39">_xlfn.SWITCH(Crops[[#This Row],[Irrigation]],"DR", 0.5, "OH", 0.25,0)*BedLength/50</f>
        <v>0</v>
      </c>
      <c r="CM39">
        <f>IF(OR(ISBLANK(Crops[[#This Row],[Row Cover]]),Crops[[#This Row],[Row Cover]]="None"),0,1)*BedLength/50</f>
        <v>0</v>
      </c>
      <c r="CN39" s="173">
        <f>HoursPerWeedingPass*Crops[[#This Row],[Days In Field]]/14*Crops[[#This Row],[Rows]]+1*BedLength/50</f>
        <v>2.9404761904761902</v>
      </c>
      <c r="CQ39" s="37">
        <f>_xlfn.XLOOKUP(Crops[[#This Row],[Crop]]&amp;Crops[[#This Row],[Product]]&amp;Crops[[#This Row],[Unit]],Products[ID],Products[Marketing (hr)])*Crops[[#This Row],[Direct Revenue Per Bed]]/2000</f>
        <v>6.3</v>
      </c>
      <c r="CR39" s="37">
        <f>_xlfn.XLOOKUP(Crops[[#This Row],[Crop]]&amp;Crops[[#This Row],[Product]]&amp;Crops[[#This Row],[Unit]],Products[ID],Products[Harvest (s)])*Crops[[#This Row],[Custom Yield Per Bed]]/3600</f>
        <v>11.666666666666666</v>
      </c>
      <c r="CS39" s="37">
        <f>_xlfn.XLOOKUP(Crops[[#This Row],[Crop]]&amp;Crops[[#This Row],[Product]]&amp;Crops[[#This Row],[Unit]],Products[ID],Products[Bunch (s)])*Crops[[#This Row],[Custom Yield Per Bed]]/3600</f>
        <v>0</v>
      </c>
      <c r="CT39" s="37">
        <f>_xlfn.XLOOKUP(Crops[[#This Row],[Crop]]&amp;Crops[[#This Row],[Product]]&amp;Crops[[#This Row],[Unit]],Products[ID],Products[Haul (s)])*Crops[[#This Row],[Custom Yield Per Bed]]/3600</f>
        <v>3.5</v>
      </c>
      <c r="CU39" s="37">
        <f>_xlfn.XLOOKUP(Crops[[#This Row],[Crop]]&amp;Crops[[#This Row],[Product]]&amp;Crops[[#This Row],[Unit]],Products[ID],Products[Wash (s)])*Crops[[#This Row],[Custom Yield Per Bed]]/3600</f>
        <v>0</v>
      </c>
      <c r="CV39" s="37">
        <f>_xlfn.XLOOKUP(Crops[[#This Row],[Crop]]&amp;Crops[[#This Row],[Product]]&amp;Crops[[#This Row],[Unit]],Products[ID],Products[Condition (s)])*Crops[[#This Row],[Custom Yield Per Bed]]/3600</f>
        <v>0</v>
      </c>
      <c r="CW39" s="37">
        <f>_xlfn.XLOOKUP(Crops[[#This Row],[Crop]]&amp;Crops[[#This Row],[Product]]&amp;Crops[[#This Row],[Unit]],Products[ID],Products[Trim (s)])*Crops[[#This Row],[Custom Yield Per Bed]]/3600</f>
        <v>5.833333333333333</v>
      </c>
      <c r="CX39" s="37">
        <f>_xlfn.XLOOKUP(Crops[[#This Row],[Crop]]&amp;Crops[[#This Row],[Product]]&amp;Crops[[#This Row],[Unit]],Products[ID],Products[Pack (s)])*Crops[[#This Row],[Custom Yield Per Bed]]/3600</f>
        <v>3.5</v>
      </c>
      <c r="CY39" s="37">
        <f>_xlfn.XLOOKUP(Crops[[#This Row],[Crop]]&amp;Crops[[#This Row],[Product]]&amp;Crops[[#This Row],[Unit]],Products[ID],Products[Clean (s)])*Crops[[#This Row],[Custom Yield Per Bed]]/3600</f>
        <v>0</v>
      </c>
      <c r="CZ39" s="37">
        <f>_xlfn.XLOOKUP(Crops[[#This Row],[Crop]]&amp;Crops[[#This Row],[Product]]&amp;Crops[[#This Row],[Unit]],Products[ID],Products[Rehandle (s)])*Crops[[#This Row],[Custom Yield Per Bed]]/3600</f>
        <v>0</v>
      </c>
      <c r="DA39" s="37">
        <f>_xlfn.XLOOKUP(Crops[[#This Row],[Crop]]&amp;Crops[[#This Row],[Product]]&amp;Crops[[#This Row],[Unit]],Products[ID],Products[Market Transport (s)])*Crops[[#This Row],[Custom Yield Per Bed]]/3600</f>
        <v>8.75</v>
      </c>
      <c r="DC39" s="37">
        <f>Crops[[#This Row],[Direct Revenue Per Bed2]]</f>
        <v>4200</v>
      </c>
      <c r="DD39" s="173">
        <f>_xlfn.AGGREGATE(9,6,Crops[[#This Row],[Bed Prep]:[Remove Crop Residue]])</f>
        <v>44.090476190476188</v>
      </c>
      <c r="DE39" s="173">
        <f>_xlfn.AGGREGATE(9,6,Crops[[#This Row],[Bed Prep]:[Remove Crop Residue]])-0.75*Crops[[#This Row],[Market &amp; Sell]]</f>
        <v>39.365476190476187</v>
      </c>
      <c r="DF39" s="36">
        <f>Crops[[#This Row],[Direct Revenue Per Bed2]]/Crops[[#This Row],[Direct Time]]</f>
        <v>95.258667242682804</v>
      </c>
      <c r="DG39" s="36">
        <f>_xlfn.XLOOKUP(Crops[[#This Row],[ProductIndex]],Products[ID],Products[Packaging Cost])*(Crops[[#This Row],[Custom Yield Per Bed]]/_xlfn.XLOOKUP(Crops[[#This Row],[ProductIndex]],Products[ID],Products[Units Per Pack]))</f>
        <v>560</v>
      </c>
      <c r="DH39" s="36"/>
      <c r="DI39" s="36"/>
      <c r="DJ39" s="36"/>
      <c r="DK39" s="36"/>
      <c r="DL39" s="36"/>
      <c r="DM39" s="33">
        <f>IFERROR(Crops[[#This Row],[Custom Yield Per Bed]]*Crops[[#This Row],[Direct Price]],"")</f>
        <v>4200</v>
      </c>
      <c r="DN39" s="36">
        <f>Crops[[#This Row],[Direct Time]]*LaborRate</f>
        <v>1102.2619047619048</v>
      </c>
      <c r="DO39" s="36">
        <f>SUM(Crops[[#This Row],[Irrigation Cost]])</f>
        <v>0</v>
      </c>
      <c r="DP39" s="36">
        <f>Crops[[#This Row],[Direct Labor Cost]]+Crops[[#This Row],[Direct Non-Labor Cost]]</f>
        <v>1102.2619047619048</v>
      </c>
      <c r="DQ39" s="36">
        <f>Crops[[#This Row],[Direct Revenue Per Bed2]]-Crops[[#This Row],[Direct Total Cost]]</f>
        <v>3097.7380952380954</v>
      </c>
      <c r="DR39" s="36">
        <f>Crops[[#This Row],[Direct Profit]]*BedsPerAcre</f>
        <v>495638.09523809527</v>
      </c>
      <c r="DS39" s="36">
        <f>Crops[[#This Row],[Direct Profit]]*BedsPerAcre*GrowingDays/Crops[[#This Row],[Days In Field]]</f>
        <v>547330.41191936901</v>
      </c>
      <c r="DT39" s="36">
        <f>Crops[[#This Row],[Direct Profit]]/MIN(Crops[[#This Row],[Days In Field]],GrowingDays)</f>
        <v>19.004528191644756</v>
      </c>
      <c r="DU39" s="36">
        <f>Crops[[#This Row],[Direct Time]] * BedsPerAcre</f>
        <v>7054.4761904761899</v>
      </c>
      <c r="DV39" s="36">
        <f>(Crops[[#This Row],[Direct Revenue Per Bed2]]-Crops[[#This Row],[Direct Non-Labor Cost]])/Crops[[#This Row],[Direct Time]]</f>
        <v>95.258667242682804</v>
      </c>
      <c r="DW39" s="33">
        <f>IFERROR(Crops[[#This Row],[Custom Yield Per Bed]]*Crops[[#This Row],[Rough Wholesale Price]],"")</f>
        <v>2520</v>
      </c>
      <c r="DX39" s="36">
        <f>Crops[[#This Row],[Wholesale Time]]*LaborRate</f>
        <v>984.1369047619047</v>
      </c>
      <c r="DY39" s="36">
        <f>SUM(Crops[[#This Row],[Packaging Costs]:[Irrigation Cost]])</f>
        <v>560</v>
      </c>
      <c r="DZ39" s="36">
        <f>Crops[[#This Row],[Wholesale Labor Cost]]+Crops[[#This Row],[Wholesale Non-Labor Cost]]</f>
        <v>1544.1369047619046</v>
      </c>
      <c r="EA39" s="36">
        <f>Crops[[#This Row],[Wholesale Revenue Per Bed]]-Crops[[#This Row],[Wholesale Total Cost]]</f>
        <v>975.86309523809541</v>
      </c>
      <c r="EB39" s="36">
        <f>Crops[[#This Row],[Wholesale Profit]]*BedsPerAcre</f>
        <v>156138.09523809527</v>
      </c>
      <c r="EC39" s="36">
        <f>Crops[[#This Row],[Wholesale Profit]]*BedsPerAcre*GrowingDays/Crops[[#This Row],[Days In Field]]</f>
        <v>172422.43645924632</v>
      </c>
      <c r="ED39" s="36">
        <f>Crops[[#This Row],[Wholesale Time]] * BedsPerAcre</f>
        <v>6298.4761904761899</v>
      </c>
      <c r="EE39" s="36">
        <f>Crops[[#This Row],[Wholesale Profit]]/MIN(Crops[[#This Row],[Days In Field]],GrowingDays)</f>
        <v>5.9868901548349411</v>
      </c>
      <c r="EF39" s="36">
        <f>(Crops[[#This Row],[Wholesale Revenue Per Bed]]-Crops[[#This Row],[Wholesale Non-Labor Cost]])/Crops[[#This Row],[Direct Time]]</f>
        <v>44.454044713251974</v>
      </c>
      <c r="EG39" s="174">
        <f>Crops[[#This Row],[Packaging Costs]]/Crops[[#This Row],[Wholesale Revenue Per Bed]]</f>
        <v>0.22222222222222221</v>
      </c>
      <c r="EH39" s="36" t="str">
        <f>Crops[[#This Row],[Crop]]&amp;Crops[[#This Row],[Product]]&amp;Crops[[#This Row],[Unit]]</f>
        <v>BorageMature StemStem</v>
      </c>
      <c r="EI39" s="36" t="b">
        <f>_xlfn.XLOOKUP(Crops[[#This Row],[ProductIndex]],Products[ID],Products[Target])</f>
        <v>1</v>
      </c>
      <c r="EJ39" s="36">
        <f>Crops[[#This Row],[Custom Yield Per Bed]]</f>
        <v>4200</v>
      </c>
      <c r="EK39" s="210">
        <f>Crops[[#This Row],[Units Per Harvest]]/Crops[[#This Row],[Days Between Harvest]]*7</f>
        <v>300</v>
      </c>
      <c r="EL39" s="210" t="e">
        <f>Crops[[#This Row],[Custom Yield Per Bed]]/_xlfn.XLOOKUP(Crops[[#This Row],[ProductIndex]],Products[ID],Products[CSA Portion])</f>
        <v>#DIV/0!</v>
      </c>
      <c r="EM39" s="210" t="e">
        <f>Crops[[#This Row],[Units Per Harvest]]/Crops[[#This Row],[Days Between Harvest]]*7/_xlfn.XLOOKUP(Crops[[#This Row],[ProductIndex]],Products[ID],Products[CSA Portion])</f>
        <v>#DIV/0!</v>
      </c>
      <c r="EN39" s="210" t="e">
        <f>Crops[[#This Row],[CSA Portions Per Week]]/CSAMembers</f>
        <v>#DIV/0!</v>
      </c>
      <c r="EO39" s="210"/>
      <c r="EP39" s="210"/>
      <c r="EQ39" s="36"/>
      <c r="ER39" s="36">
        <f>Crops[[#This Row],[Harvests]]*Crops[[#This Row],[Days Between Harvest]]/7</f>
        <v>14</v>
      </c>
      <c r="ES39" s="208">
        <f>_xlfn.XLOOKUP(Crops[[#This Row],[ProductIndex]],Products[ID],Products[CSA Need])</f>
        <v>0</v>
      </c>
      <c r="ET39" s="208">
        <f>_xlfn.XLOOKUP(Crops[[#This Row],[ProductIndex]],Products[ID],Products[CSA Times])</f>
        <v>0</v>
      </c>
      <c r="EU39" s="208" t="e">
        <f>Crops[[#This Row],[Custom Yield Per Bed]]/(Crops[[#This Row],[CSA Need]]*(_xlfn.XLOOKUP(Crops[[#This Row],[ProductIndex]],Products[ID],Products[CSA Portion])*CSAMembers))</f>
        <v>#DIV/0!</v>
      </c>
      <c r="EV39" s="208">
        <f>_xlfn.XLOOKUP(Crops[[#This Row],[ProductIndex]],Products[ID],Products[CSA Portion])*CSAMembers*Crops[[#This Row],[CSA Need]]/Crops[[#This Row],[Custom Yield Per Bed]]</f>
        <v>0</v>
      </c>
      <c r="EW39" s="208">
        <f>IFERROR(Crops[[#This Row],[Days In Field]]*Crops[[#This Row],[CSA Beds]],"")</f>
        <v>0</v>
      </c>
      <c r="EX39" s="208" t="e">
        <f>Crops[[#This Row],[CSA Bed Days]]*#REF!</f>
        <v>#REF!</v>
      </c>
      <c r="EY39" t="s">
        <v>1745</v>
      </c>
    </row>
    <row r="40" spans="1:155">
      <c r="A4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(2r) - Edible Bloom 1X | Field DS </v>
      </c>
      <c r="B40" s="189"/>
      <c r="C40" s="1" t="b">
        <v>0</v>
      </c>
      <c r="D40" s="1"/>
      <c r="E40" s="1" t="b">
        <v>0</v>
      </c>
      <c r="F40" s="1" t="b">
        <f>IFERROR(IF(ISNUMBER(MATCH(Crops[[#This Row],[Identifier]],BedPlan[Crop], 0)), TRUE, FALSE), FALSE)</f>
        <v>0</v>
      </c>
      <c r="G40" s="1" t="b">
        <f>IFERROR(IF(ISNUMBER(MATCH(Crops[[#This Row],[Identifier]],BedPlan[Crop], 0)), TRUE, FALSE), FALSE)</f>
        <v>0</v>
      </c>
      <c r="H40" s="1"/>
      <c r="I40" t="s">
        <v>48</v>
      </c>
      <c r="J40" t="s">
        <v>1744</v>
      </c>
      <c r="K40" t="s">
        <v>1746</v>
      </c>
      <c r="M40" t="s">
        <v>406</v>
      </c>
      <c r="N40" t="str">
        <f>Crops[[#This Row],[Crop]]</f>
        <v>Borage</v>
      </c>
      <c r="O40" t="s">
        <v>210</v>
      </c>
      <c r="P40" t="str">
        <f>IF(OR(Crops[[#This Row],[Days in Cells]]="",Crops[[#This Row],[Days in Cells]]=0), "DS","TP")</f>
        <v>DS</v>
      </c>
      <c r="V40" t="str">
        <f xml:space="preserve"> IF(Crops[[#This Row],[Sp]], "Sp", "") &amp; IF(Crops[[#This Row],[Su]], "Su", "") &amp; IF(Crops[[#This Row],[Fa]], "Fa", "") &amp; IF(Crops[[#This Row],[Wi]], "Wi", "") &amp; IF(Crops[[#This Row],[OW]], "Ow","")</f>
        <v/>
      </c>
      <c r="W40" t="s">
        <v>144</v>
      </c>
      <c r="X40">
        <v>2</v>
      </c>
      <c r="Y40">
        <v>12</v>
      </c>
      <c r="Z40" t="s">
        <v>432</v>
      </c>
      <c r="AA40" t="s">
        <v>474</v>
      </c>
      <c r="AB40" t="b">
        <v>1</v>
      </c>
      <c r="AD40" s="32">
        <f>IFERROR(12/Crops[[#This Row],[Spacing]]*Crops[[#This Row],[Rows]]*BedLength,"")</f>
        <v>100</v>
      </c>
      <c r="AE40">
        <v>1</v>
      </c>
      <c r="AG40">
        <f>IF(Crops[[#This Row],[Custom Safety Factor]]="",PlantingSafetyFactor,Crops[[#This Row],[Custom Safety Factor]])</f>
        <v>1.3</v>
      </c>
      <c r="AH40">
        <f>1</f>
        <v>1</v>
      </c>
      <c r="AI40" s="33">
        <f>IFERROR(Crops[[#This Row],[Plantings Per Bed]]*Crops[[#This Row],[Seeds Per Planting]]*Crops[[#This Row],[Safety Factor]]*Crops[[#This Row],[Seeding Factor]],"")</f>
        <v>130</v>
      </c>
      <c r="AJ40">
        <v>7</v>
      </c>
      <c r="AK40">
        <v>14</v>
      </c>
      <c r="AL40">
        <f>_xlfn.FLOOR.MATH(IFERROR(AVERAGE(Crops[[#This Row],[DTG Lower]:[DTG Upper]]),0))</f>
        <v>10</v>
      </c>
      <c r="AM40">
        <f>SUM(Crops[[#This Row],[Tray 1 Days]],Crops[[#This Row],[Tray 2 Days]],Crops[[#This Row],[Tray 3 Days]])</f>
        <v>0</v>
      </c>
      <c r="AN40" s="32"/>
      <c r="AO40">
        <v>50</v>
      </c>
      <c r="AP40">
        <v>60</v>
      </c>
      <c r="AQ40">
        <f>IFERROR(_xlfn.FLOOR.MATH(AVERAGE(Crops[[#This Row],[DTM Lower]:[DTM Upper]])),"")</f>
        <v>55</v>
      </c>
      <c r="AR40" cm="1">
        <f t="array" ref="AR40">_xlfn.SWITCH(Crops[[#This Row],[Normal Method]],"DS",Crops[[#This Row],[Days to Germination]]+Crops[[#This Row],[DTM]] + IF(Crops[[#This Row],[Days in Cells]]&gt;0,15,0), "TP",Crops[[#This Row],[DTM]]+Crops[[#This Row],[Days in Cells]] + IF(Crops[[#This Row],[Days in Cells]]&lt;=0,20,0), "X", Crops[[#This Row],[DTM]])</f>
        <v>65</v>
      </c>
      <c r="AS40" t="s">
        <v>338</v>
      </c>
      <c r="AT40">
        <f>(Crops[[#This Row],[Harvests]]-1)*Crops[[#This Row],[Days Between Harvest]]+7</f>
        <v>98</v>
      </c>
      <c r="AU40">
        <f>Crops[[#This Row],[STH]]-Crops[[#This Row],[Days in Cells]]+Crops[[#This Row],[Harvest window]]</f>
        <v>163</v>
      </c>
      <c r="AW40">
        <v>128</v>
      </c>
      <c r="AZ40" t="str">
        <f>IFERROR(IF(Crops[[#This Row],[Tray 1 Days]]=0,"",Crops[[#This Row],[Plantings Per Bed]]/Crops[[#This Row],[Tray 1 Size]]*Crops[[#This Row],[Safety Factor]]),"")</f>
        <v/>
      </c>
      <c r="BC40" t="str">
        <f>IFERROR(IF(Crops[[#This Row],[Tray 2 Days]]=0,"",Crops[[#This Row],[Plantings Per Bed]]/Crops[[#This Row],[Tray 2 Size]]*Crops[[#This Row],[Safety Factor]]),"")</f>
        <v/>
      </c>
      <c r="BE40" s="32" t="str">
        <f>IF(NOT(ISBLANK(Crops[[#This Row],[Tray 3 Size]])), Crops[[#This Row],[Days in Cells Old]]-SUM(Crops[[#This Row],[Tray 1 Days]],Crops[[#This Row],[Tray 2 Days]]), "")</f>
        <v/>
      </c>
      <c r="BF40" t="str">
        <f>IFERROR(IF(Crops[[#This Row],[Tray 3 Days]]=0,"",Crops[[#This Row],[Plantings Per Bed]]/Crops[[#This Row],[Tray 3 Size]]*Crops[[#This Row],[Safety Factor]]),"")</f>
        <v/>
      </c>
      <c r="BG40" s="33">
        <f>Crops[[#This Row],[Plantings Per Bed]]*6</f>
        <v>600</v>
      </c>
      <c r="BH40" s="33">
        <v>14</v>
      </c>
      <c r="BI40" s="33">
        <v>7</v>
      </c>
      <c r="BJ40" s="33">
        <f>_xlfn.XLOOKUP(Crops[[#This Row],[ProductIndex]],Products[ID],Products[Holding Period])</f>
        <v>0</v>
      </c>
      <c r="BK40" s="33"/>
      <c r="BL40" s="33">
        <f>Crops[[#This Row],[Units Per Harvest]]*Crops[[#This Row],[Harvests]]</f>
        <v>8400</v>
      </c>
      <c r="BM40" s="35">
        <v>0.2</v>
      </c>
      <c r="BN40" s="35">
        <f>Crops[[#This Row],[Direct Price]]*0.6</f>
        <v>0.12</v>
      </c>
      <c r="BO40" s="35"/>
      <c r="BP40" t="s">
        <v>2357</v>
      </c>
      <c r="BQ40">
        <f>Crops[[#This Row],[Custom Yield Per Bed]]*Crops[[#This Row],[Direct Price]]</f>
        <v>1680</v>
      </c>
      <c r="BR40" t="b">
        <v>0</v>
      </c>
      <c r="BS40" t="b">
        <f>Crops[[#This Row],[Harvests]]&gt;1</f>
        <v>1</v>
      </c>
      <c r="BT40" s="36">
        <f>IFERROR(Crops[[#This Row],[Direct Revenue Per Bed]]/Crops[[#This Row],[Days In Field]],-1)</f>
        <v>10.306748466257668</v>
      </c>
      <c r="BU40" s="33">
        <f>IFERROR(Crops[[#This Row],[Direct Revenue Per Bed Day]]*GrowingDays*BedsPerAcre,"")</f>
        <v>296834.35582822084</v>
      </c>
      <c r="BV40" s="38">
        <f>LastFrostDate-5*Crops[[#This Row],[Sewing Rel Last Frost]]</f>
        <v>45753</v>
      </c>
      <c r="BW40" s="38">
        <f>Crops[[#This Row],[Target Sewing Date]]+Crops[[#This Row],[Days in Cells]]</f>
        <v>45753</v>
      </c>
      <c r="BX40" s="38">
        <f>Crops[[#This Row],[Target Sewing Date]]+Crops[[#This Row],[STH]]</f>
        <v>45818</v>
      </c>
      <c r="BY40" s="38">
        <f>Crops[[#This Row],[Target Harvest Data]]+Crops[[#This Row],[Harvest window]]</f>
        <v>45916</v>
      </c>
      <c r="BZ40">
        <v>-1</v>
      </c>
      <c r="CB40">
        <f>1</f>
        <v>1</v>
      </c>
      <c r="CC40">
        <f>IF(Crops[[#This Row],[Transplanting]]&gt;0, 2, 3)*BedLength/StandardBedLength</f>
        <v>1.5</v>
      </c>
      <c r="CD40" s="173">
        <f>IF(Crops[[#This Row],[Days in Cells]]&lt;=0,0,Crops[[#This Row],[Plantings Per Bed]]/StartsPerHourSeeding+Crops[[#This Row],[Tray 1 Count]]*5/60)</f>
        <v>0</v>
      </c>
      <c r="CE40" s="173">
        <f>IF(ISBLANK(Crops[[#This Row],[Tray 2 Days]]),0,Crops[[#This Row],[Plantings Per Bed]]/UpPottingPerHour)+IF(Crops[[#This Row],[Tray 3 Days]]="",0,Crops[[#This Row],[Plantings Per Bed]]/UpPottingPerHour)</f>
        <v>0</v>
      </c>
      <c r="CF40" s="173">
        <f>IFERROR(Crops[[#This Row],[Tray 1 Count]]/HomeStartFlatIrrigationPerHour,0)*Crops[[#This Row],[Days in Cells]]/DaysBetweenStartIrrigation</f>
        <v>0</v>
      </c>
      <c r="CG40" s="173">
        <f>0.5/16*MAX(Crops[[#This Row],[Tray 1 Count]],Crops[[#This Row],[Tray 2 Count]],Crops[[#This Row],[Tray 3 Count]])</f>
        <v>0</v>
      </c>
      <c r="CH40" s="173">
        <f>IF(Crops[[#This Row],[Days in Cells]]&gt;0,IF(IF(Crops[[#This Row],[Tray 3 Size]]&gt;0,Crops[[#This Row],[Tray 3 Size]],IF(Crops[[#This Row],[Tray 2 Size]]&gt;0,Crops[[#This Row],[Tray 2 Size]],Crops[[#This Row],[Tray 1 Size]]))&lt;=18,LargeTransplantTime,SmallTransplantTime)*Crops[[#This Row],[Plantings Per Bed]],0)</f>
        <v>0</v>
      </c>
      <c r="CI40" s="173"/>
      <c r="CJ40" s="173">
        <f>_xlfn.XLOOKUP(Crops[[#This Row],[Trellis Type]],TrellisMethods[Trellis Type],TrellisMethods[Hours],0,0)</f>
        <v>0</v>
      </c>
      <c r="CK40">
        <f>IF(Crops[[#This Row],[Days in Cells]]&lt;=0,Crops[[#This Row],[Rows]]*1/10,0)*BedLength/50</f>
        <v>0.2</v>
      </c>
      <c r="CL40" cm="1">
        <f t="array" ref="CL40">_xlfn.SWITCH(Crops[[#This Row],[Irrigation]],"DR", 0.5, "OH", 0.25,0)*BedLength/50</f>
        <v>0.5</v>
      </c>
      <c r="CM40">
        <f>IF(OR(ISBLANK(Crops[[#This Row],[Row Cover]]),Crops[[#This Row],[Row Cover]]="None"),0,1)*BedLength/50</f>
        <v>0</v>
      </c>
      <c r="CN40" s="173">
        <f>HoursPerWeedingPass*Crops[[#This Row],[Days In Field]]/14*Crops[[#This Row],[Rows]]+1*BedLength/50</f>
        <v>4.8809523809523805</v>
      </c>
      <c r="CQ40" s="37">
        <f>_xlfn.XLOOKUP(Crops[[#This Row],[Crop]]&amp;Crops[[#This Row],[Product]]&amp;Crops[[#This Row],[Unit]],Products[ID],Products[Marketing (hr)])*Crops[[#This Row],[Direct Revenue Per Bed]]/2000</f>
        <v>2.52</v>
      </c>
      <c r="CR40" s="37">
        <f>_xlfn.XLOOKUP(Crops[[#This Row],[Crop]]&amp;Crops[[#This Row],[Product]]&amp;Crops[[#This Row],[Unit]],Products[ID],Products[Harvest (s)])*Crops[[#This Row],[Custom Yield Per Bed]]/3600</f>
        <v>7</v>
      </c>
      <c r="CS40" s="37">
        <f>_xlfn.XLOOKUP(Crops[[#This Row],[Crop]]&amp;Crops[[#This Row],[Product]]&amp;Crops[[#This Row],[Unit]],Products[ID],Products[Bunch (s)])*Crops[[#This Row],[Custom Yield Per Bed]]/3600</f>
        <v>0</v>
      </c>
      <c r="CT40" s="37">
        <f>_xlfn.XLOOKUP(Crops[[#This Row],[Crop]]&amp;Crops[[#This Row],[Product]]&amp;Crops[[#This Row],[Unit]],Products[ID],Products[Haul (s)])*Crops[[#This Row],[Custom Yield Per Bed]]/3600</f>
        <v>5.8333333333333334E-2</v>
      </c>
      <c r="CU40" s="37">
        <f>_xlfn.XLOOKUP(Crops[[#This Row],[Crop]]&amp;Crops[[#This Row],[Product]]&amp;Crops[[#This Row],[Unit]],Products[ID],Products[Wash (s)])*Crops[[#This Row],[Custom Yield Per Bed]]/3600</f>
        <v>0</v>
      </c>
      <c r="CV40" s="37">
        <f>_xlfn.XLOOKUP(Crops[[#This Row],[Crop]]&amp;Crops[[#This Row],[Product]]&amp;Crops[[#This Row],[Unit]],Products[ID],Products[Condition (s)])*Crops[[#This Row],[Custom Yield Per Bed]]/3600</f>
        <v>0</v>
      </c>
      <c r="CW40" s="37">
        <f>_xlfn.XLOOKUP(Crops[[#This Row],[Crop]]&amp;Crops[[#This Row],[Product]]&amp;Crops[[#This Row],[Unit]],Products[ID],Products[Trim (s)])*Crops[[#This Row],[Custom Yield Per Bed]]/3600</f>
        <v>0</v>
      </c>
      <c r="CX40" s="37">
        <f>_xlfn.XLOOKUP(Crops[[#This Row],[Crop]]&amp;Crops[[#This Row],[Product]]&amp;Crops[[#This Row],[Unit]],Products[ID],Products[Pack (s)])*Crops[[#This Row],[Custom Yield Per Bed]]/3600</f>
        <v>7</v>
      </c>
      <c r="CY40" s="37">
        <f>_xlfn.XLOOKUP(Crops[[#This Row],[Crop]]&amp;Crops[[#This Row],[Product]]&amp;Crops[[#This Row],[Unit]],Products[ID],Products[Clean (s)])*Crops[[#This Row],[Custom Yield Per Bed]]/3600</f>
        <v>0</v>
      </c>
      <c r="CZ40" s="37">
        <f>_xlfn.XLOOKUP(Crops[[#This Row],[Crop]]&amp;Crops[[#This Row],[Product]]&amp;Crops[[#This Row],[Unit]],Products[ID],Products[Rehandle (s)])*Crops[[#This Row],[Custom Yield Per Bed]]/3600</f>
        <v>0</v>
      </c>
      <c r="DA40" s="37">
        <f>_xlfn.XLOOKUP(Crops[[#This Row],[Crop]]&amp;Crops[[#This Row],[Product]]&amp;Crops[[#This Row],[Unit]],Products[ID],Products[Market Transport (s)])*Crops[[#This Row],[Custom Yield Per Bed]]/3600</f>
        <v>0.14583333333333334</v>
      </c>
      <c r="DC40" s="37">
        <f>Crops[[#This Row],[Direct Revenue Per Bed2]]</f>
        <v>1680</v>
      </c>
      <c r="DD40" s="173">
        <f>_xlfn.AGGREGATE(9,6,Crops[[#This Row],[Bed Prep]:[Remove Crop Residue]])</f>
        <v>23.805119047619044</v>
      </c>
      <c r="DE40" s="173">
        <f>_xlfn.AGGREGATE(9,6,Crops[[#This Row],[Bed Prep]:[Remove Crop Residue]])-0.75*Crops[[#This Row],[Market &amp; Sell]]</f>
        <v>21.915119047619044</v>
      </c>
      <c r="DF40" s="36">
        <f>Crops[[#This Row],[Direct Revenue Per Bed2]]/Crops[[#This Row],[Direct Time]]</f>
        <v>70.573056015362852</v>
      </c>
      <c r="DG40" s="36">
        <f>_xlfn.XLOOKUP(Crops[[#This Row],[ProductIndex]],Products[ID],Products[Packaging Cost])*(Crops[[#This Row],[Custom Yield Per Bed]]/_xlfn.XLOOKUP(Crops[[#This Row],[ProductIndex]],Products[ID],Products[Units Per Pack]))</f>
        <v>54.6</v>
      </c>
      <c r="DH40" s="36"/>
      <c r="DI40" s="36"/>
      <c r="DJ40" s="36"/>
      <c r="DK40" s="36"/>
      <c r="DL40" s="36"/>
      <c r="DM40" s="33">
        <f>IFERROR(Crops[[#This Row],[Custom Yield Per Bed]]*Crops[[#This Row],[Direct Price]],"")</f>
        <v>1680</v>
      </c>
      <c r="DN40" s="36">
        <f>Crops[[#This Row],[Direct Time]]*LaborRate</f>
        <v>595.12797619047615</v>
      </c>
      <c r="DO40" s="36">
        <f>SUM(Crops[[#This Row],[Irrigation Cost]])</f>
        <v>0</v>
      </c>
      <c r="DP40" s="36">
        <f>Crops[[#This Row],[Direct Labor Cost]]+Crops[[#This Row],[Direct Non-Labor Cost]]</f>
        <v>595.12797619047615</v>
      </c>
      <c r="DQ40" s="36">
        <f>Crops[[#This Row],[Direct Revenue Per Bed2]]-Crops[[#This Row],[Direct Total Cost]]</f>
        <v>1084.8720238095239</v>
      </c>
      <c r="DR40" s="36">
        <f>Crops[[#This Row],[Direct Profit]]*BedsPerAcre</f>
        <v>173579.52380952382</v>
      </c>
      <c r="DS40" s="36">
        <f>Crops[[#This Row],[Direct Profit]]*BedsPerAcre*GrowingDays/Crops[[#This Row],[Days In Field]]</f>
        <v>191682.9097283085</v>
      </c>
      <c r="DT40" s="36">
        <f>Crops[[#This Row],[Direct Profit]]/MIN(Crops[[#This Row],[Days In Field]],GrowingDays)</f>
        <v>6.6556565877884895</v>
      </c>
      <c r="DU40" s="36">
        <f>Crops[[#This Row],[Direct Time]] * BedsPerAcre</f>
        <v>3808.8190476190471</v>
      </c>
      <c r="DV40" s="36">
        <f>(Crops[[#This Row],[Direct Revenue Per Bed2]]-Crops[[#This Row],[Direct Non-Labor Cost]])/Crops[[#This Row],[Direct Time]]</f>
        <v>70.573056015362852</v>
      </c>
      <c r="DW40" s="33">
        <f>IFERROR(Crops[[#This Row],[Custom Yield Per Bed]]*Crops[[#This Row],[Rough Wholesale Price]],"")</f>
        <v>1008</v>
      </c>
      <c r="DX40" s="36">
        <f>Crops[[#This Row],[Wholesale Time]]*LaborRate</f>
        <v>547.87797619047615</v>
      </c>
      <c r="DY40" s="36">
        <f>SUM(Crops[[#This Row],[Packaging Costs]:[Irrigation Cost]])</f>
        <v>54.6</v>
      </c>
      <c r="DZ40" s="36">
        <f>Crops[[#This Row],[Wholesale Labor Cost]]+Crops[[#This Row],[Wholesale Non-Labor Cost]]</f>
        <v>602.47797619047617</v>
      </c>
      <c r="EA40" s="36">
        <f>Crops[[#This Row],[Wholesale Revenue Per Bed]]-Crops[[#This Row],[Wholesale Total Cost]]</f>
        <v>405.52202380952383</v>
      </c>
      <c r="EB40" s="36">
        <f>Crops[[#This Row],[Wholesale Profit]]*BedsPerAcre</f>
        <v>64883.523809523816</v>
      </c>
      <c r="EC40" s="36">
        <f>Crops[[#This Row],[Wholesale Profit]]*BedsPerAcre*GrowingDays/Crops[[#This Row],[Days In Field]]</f>
        <v>71650.517090271707</v>
      </c>
      <c r="ED40" s="36">
        <f>Crops[[#This Row],[Wholesale Time]] * BedsPerAcre</f>
        <v>3506.419047619047</v>
      </c>
      <c r="EE40" s="36">
        <f>Crops[[#This Row],[Wholesale Profit]]/MIN(Crops[[#This Row],[Days In Field]],GrowingDays)</f>
        <v>2.4878651767455451</v>
      </c>
      <c r="EF40" s="36">
        <f>(Crops[[#This Row],[Wholesale Revenue Per Bed]]-Crops[[#This Row],[Wholesale Non-Labor Cost]])/Crops[[#This Row],[Direct Time]]</f>
        <v>40.05020928871842</v>
      </c>
      <c r="EG40" s="174">
        <f>Crops[[#This Row],[Packaging Costs]]/Crops[[#This Row],[Wholesale Revenue Per Bed]]</f>
        <v>5.4166666666666669E-2</v>
      </c>
      <c r="EH40" s="36" t="str">
        <f>Crops[[#This Row],[Crop]]&amp;Crops[[#This Row],[Product]]&amp;Crops[[#This Row],[Unit]]</f>
        <v>BorageEdible BloomBloom</v>
      </c>
      <c r="EI40" s="36" t="b">
        <f>_xlfn.XLOOKUP(Crops[[#This Row],[ProductIndex]],Products[ID],Products[Target])</f>
        <v>1</v>
      </c>
      <c r="EJ40" s="36">
        <f>Crops[[#This Row],[Custom Yield Per Bed]]</f>
        <v>8400</v>
      </c>
      <c r="EK40" s="210">
        <f>Crops[[#This Row],[Units Per Harvest]]/Crops[[#This Row],[Days Between Harvest]]*7</f>
        <v>600</v>
      </c>
      <c r="EL40" s="210" t="e">
        <f>Crops[[#This Row],[Custom Yield Per Bed]]/_xlfn.XLOOKUP(Crops[[#This Row],[ProductIndex]],Products[ID],Products[CSA Portion])</f>
        <v>#DIV/0!</v>
      </c>
      <c r="EM40" s="210" t="e">
        <f>Crops[[#This Row],[Units Per Harvest]]/Crops[[#This Row],[Days Between Harvest]]*7/_xlfn.XLOOKUP(Crops[[#This Row],[ProductIndex]],Products[ID],Products[CSA Portion])</f>
        <v>#DIV/0!</v>
      </c>
      <c r="EN40" s="210" t="e">
        <f>Crops[[#This Row],[CSA Portions Per Week]]/CSAMembers</f>
        <v>#DIV/0!</v>
      </c>
      <c r="EO40" s="210"/>
      <c r="EP40" s="210"/>
      <c r="EQ40" s="36"/>
      <c r="ER40" s="36">
        <f>Crops[[#This Row],[Harvests]]*Crops[[#This Row],[Days Between Harvest]]/7</f>
        <v>14</v>
      </c>
      <c r="ES40" s="208">
        <f>_xlfn.XLOOKUP(Crops[[#This Row],[ProductIndex]],Products[ID],Products[CSA Need])</f>
        <v>0</v>
      </c>
      <c r="ET40" s="208">
        <f>_xlfn.XLOOKUP(Crops[[#This Row],[ProductIndex]],Products[ID],Products[CSA Times])</f>
        <v>0</v>
      </c>
      <c r="EU40" s="208" t="e">
        <f>Crops[[#This Row],[Custom Yield Per Bed]]/(Crops[[#This Row],[CSA Need]]*(_xlfn.XLOOKUP(Crops[[#This Row],[ProductIndex]],Products[ID],Products[CSA Portion])*CSAMembers))</f>
        <v>#DIV/0!</v>
      </c>
      <c r="EV40" s="208">
        <f>_xlfn.XLOOKUP(Crops[[#This Row],[ProductIndex]],Products[ID],Products[CSA Portion])*CSAMembers*Crops[[#This Row],[CSA Need]]/Crops[[#This Row],[Custom Yield Per Bed]]</f>
        <v>0</v>
      </c>
      <c r="EW40" s="208">
        <f>IFERROR(Crops[[#This Row],[Days In Field]]*Crops[[#This Row],[CSA Beds]],"")</f>
        <v>0</v>
      </c>
      <c r="EX40" s="208" t="e">
        <f>Crops[[#This Row],[CSA Bed Days]]*#REF!</f>
        <v>#REF!</v>
      </c>
      <c r="EY40" t="s">
        <v>313</v>
      </c>
    </row>
    <row r="41" spans="1:155">
      <c r="A4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(2r) - Mature Stem 1X | Field DS </v>
      </c>
      <c r="B41" s="189"/>
      <c r="C41" s="1" t="b">
        <v>0</v>
      </c>
      <c r="D41" s="1"/>
      <c r="E41" s="1" t="b">
        <v>0</v>
      </c>
      <c r="F41" s="1" t="b">
        <f>IFERROR(IF(ISNUMBER(MATCH(Crops[[#This Row],[Identifier]],BedPlan[Crop], 0)), TRUE, FALSE), FALSE)</f>
        <v>0</v>
      </c>
      <c r="G41" s="1" t="b">
        <f>IFERROR(IF(ISNUMBER(MATCH(Crops[[#This Row],[Identifier]],BedPlan[Crop], 0)), TRUE, FALSE), FALSE)</f>
        <v>0</v>
      </c>
      <c r="H41" s="1"/>
      <c r="I41" t="s">
        <v>48</v>
      </c>
      <c r="J41" t="s">
        <v>1744</v>
      </c>
      <c r="K41" t="s">
        <v>181</v>
      </c>
      <c r="M41" t="s">
        <v>406</v>
      </c>
      <c r="N41" t="str">
        <f>Crops[[#This Row],[Crop]]</f>
        <v>Borage</v>
      </c>
      <c r="O41" t="s">
        <v>210</v>
      </c>
      <c r="P41" t="str">
        <f>IF(OR(Crops[[#This Row],[Days in Cells]]="",Crops[[#This Row],[Days in Cells]]=0), "DS","TP")</f>
        <v>DS</v>
      </c>
      <c r="V41" t="str">
        <f xml:space="preserve"> IF(Crops[[#This Row],[Sp]], "Sp", "") &amp; IF(Crops[[#This Row],[Su]], "Su", "") &amp; IF(Crops[[#This Row],[Fa]], "Fa", "") &amp; IF(Crops[[#This Row],[Wi]], "Wi", "") &amp; IF(Crops[[#This Row],[OW]], "Ow","")</f>
        <v/>
      </c>
      <c r="W41" t="s">
        <v>144</v>
      </c>
      <c r="X41">
        <v>2</v>
      </c>
      <c r="Y41">
        <v>12</v>
      </c>
      <c r="Z41" t="s">
        <v>432</v>
      </c>
      <c r="AA41" t="s">
        <v>474</v>
      </c>
      <c r="AB41" t="b">
        <v>1</v>
      </c>
      <c r="AD41" s="32">
        <f>IFERROR(12/Crops[[#This Row],[Spacing]]*Crops[[#This Row],[Rows]]*BedLength,"")</f>
        <v>100</v>
      </c>
      <c r="AE41">
        <v>1</v>
      </c>
      <c r="AG41">
        <f>IF(Crops[[#This Row],[Custom Safety Factor]]="",PlantingSafetyFactor,Crops[[#This Row],[Custom Safety Factor]])</f>
        <v>1.3</v>
      </c>
      <c r="AH41">
        <f>1</f>
        <v>1</v>
      </c>
      <c r="AI41" s="33">
        <f>IFERROR(Crops[[#This Row],[Plantings Per Bed]]*Crops[[#This Row],[Seeds Per Planting]]*Crops[[#This Row],[Safety Factor]]*Crops[[#This Row],[Seeding Factor]],"")</f>
        <v>130</v>
      </c>
      <c r="AJ41">
        <v>7</v>
      </c>
      <c r="AK41">
        <v>14</v>
      </c>
      <c r="AL41">
        <f>_xlfn.FLOOR.MATH(IFERROR(AVERAGE(Crops[[#This Row],[DTG Lower]:[DTG Upper]]),0))</f>
        <v>10</v>
      </c>
      <c r="AM41">
        <f>SUM(Crops[[#This Row],[Tray 1 Days]],Crops[[#This Row],[Tray 2 Days]],Crops[[#This Row],[Tray 3 Days]])</f>
        <v>0</v>
      </c>
      <c r="AN41" s="32"/>
      <c r="AO41">
        <v>50</v>
      </c>
      <c r="AP41">
        <v>60</v>
      </c>
      <c r="AQ41">
        <f>IFERROR(_xlfn.FLOOR.MATH(AVERAGE(Crops[[#This Row],[DTM Lower]:[DTM Upper]])),"")</f>
        <v>55</v>
      </c>
      <c r="AR41" cm="1">
        <f t="array" ref="AR41">_xlfn.SWITCH(Crops[[#This Row],[Normal Method]],"DS",Crops[[#This Row],[Days to Germination]]+Crops[[#This Row],[DTM]] + IF(Crops[[#This Row],[Days in Cells]]&gt;0,15,0), "TP",Crops[[#This Row],[DTM]]+Crops[[#This Row],[Days in Cells]] + IF(Crops[[#This Row],[Days in Cells]]&lt;=0,20,0), "X", Crops[[#This Row],[DTM]])</f>
        <v>65</v>
      </c>
      <c r="AS41" t="s">
        <v>338</v>
      </c>
      <c r="AT41">
        <f>(Crops[[#This Row],[Harvests]]-1)*Crops[[#This Row],[Days Between Harvest]]+7</f>
        <v>98</v>
      </c>
      <c r="AU41">
        <f>Crops[[#This Row],[STH]]-Crops[[#This Row],[Days in Cells]]+Crops[[#This Row],[Harvest window]]</f>
        <v>163</v>
      </c>
      <c r="AW41">
        <v>128</v>
      </c>
      <c r="AZ41" t="str">
        <f>IFERROR(IF(Crops[[#This Row],[Tray 1 Days]]=0,"",Crops[[#This Row],[Plantings Per Bed]]/Crops[[#This Row],[Tray 1 Size]]*Crops[[#This Row],[Safety Factor]]),"")</f>
        <v/>
      </c>
      <c r="BC41" t="str">
        <f>IFERROR(IF(Crops[[#This Row],[Tray 2 Days]]=0,"",Crops[[#This Row],[Plantings Per Bed]]/Crops[[#This Row],[Tray 2 Size]]*Crops[[#This Row],[Safety Factor]]),"")</f>
        <v/>
      </c>
      <c r="BE41" s="32" t="str">
        <f>IF(NOT(ISBLANK(Crops[[#This Row],[Tray 3 Size]])), Crops[[#This Row],[Days in Cells Old]]-SUM(Crops[[#This Row],[Tray 1 Days]],Crops[[#This Row],[Tray 2 Days]]), "")</f>
        <v/>
      </c>
      <c r="BF41" t="str">
        <f>IFERROR(IF(Crops[[#This Row],[Tray 3 Days]]=0,"",Crops[[#This Row],[Plantings Per Bed]]/Crops[[#This Row],[Tray 3 Size]]*Crops[[#This Row],[Safety Factor]]),"")</f>
        <v/>
      </c>
      <c r="BG41" s="33">
        <f>Crops[[#This Row],[Plantings Per Bed]]*3</f>
        <v>300</v>
      </c>
      <c r="BH41" s="33">
        <v>14</v>
      </c>
      <c r="BI41" s="33">
        <v>7</v>
      </c>
      <c r="BJ41" s="33">
        <f>_xlfn.XLOOKUP(Crops[[#This Row],[ProductIndex]],Products[ID],Products[Holding Period])</f>
        <v>0</v>
      </c>
      <c r="BK41" s="33"/>
      <c r="BL41" s="33">
        <f>Crops[[#This Row],[Units Per Harvest]]*Crops[[#This Row],[Harvests]]</f>
        <v>4200</v>
      </c>
      <c r="BM41" s="35">
        <v>1</v>
      </c>
      <c r="BN41" s="35">
        <f>Crops[[#This Row],[Direct Price]]*0.6</f>
        <v>0.6</v>
      </c>
      <c r="BO41" s="35"/>
      <c r="BP41" t="s">
        <v>213</v>
      </c>
      <c r="BQ41">
        <f>Crops[[#This Row],[Custom Yield Per Bed]]*Crops[[#This Row],[Direct Price]]</f>
        <v>4200</v>
      </c>
      <c r="BR41" t="b">
        <v>0</v>
      </c>
      <c r="BS41" t="b">
        <f>Crops[[#This Row],[Harvests]]&gt;1</f>
        <v>1</v>
      </c>
      <c r="BT41" s="36">
        <f>IFERROR(Crops[[#This Row],[Direct Revenue Per Bed]]/Crops[[#This Row],[Days In Field]],-1)</f>
        <v>25.766871165644172</v>
      </c>
      <c r="BU41" s="33">
        <f>IFERROR(Crops[[#This Row],[Direct Revenue Per Bed Day]]*GrowingDays*BedsPerAcre,"")</f>
        <v>742085.88957055216</v>
      </c>
      <c r="BV41" s="38">
        <f>LastFrostDate-5*Crops[[#This Row],[Sewing Rel Last Frost]]</f>
        <v>45753</v>
      </c>
      <c r="BW41" s="38">
        <f>Crops[[#This Row],[Target Sewing Date]]+Crops[[#This Row],[Days in Cells]]</f>
        <v>45753</v>
      </c>
      <c r="BX41" s="38">
        <f>Crops[[#This Row],[Target Sewing Date]]+Crops[[#This Row],[STH]]</f>
        <v>45818</v>
      </c>
      <c r="BY41" s="38">
        <f>Crops[[#This Row],[Target Harvest Data]]+Crops[[#This Row],[Harvest window]]</f>
        <v>45916</v>
      </c>
      <c r="BZ41">
        <v>-1</v>
      </c>
      <c r="CB41">
        <f>1</f>
        <v>1</v>
      </c>
      <c r="CC41">
        <f>IF(Crops[[#This Row],[Transplanting]]&gt;0, 2, 3)*BedLength/StandardBedLength</f>
        <v>1.5</v>
      </c>
      <c r="CD41" s="173">
        <f>IF(Crops[[#This Row],[Days in Cells]]&lt;=0,0,Crops[[#This Row],[Plantings Per Bed]]/StartsPerHourSeeding+Crops[[#This Row],[Tray 1 Count]]*5/60)</f>
        <v>0</v>
      </c>
      <c r="CE41" s="173">
        <f>IF(ISBLANK(Crops[[#This Row],[Tray 2 Days]]),0,Crops[[#This Row],[Plantings Per Bed]]/UpPottingPerHour)+IF(Crops[[#This Row],[Tray 3 Days]]="",0,Crops[[#This Row],[Plantings Per Bed]]/UpPottingPerHour)</f>
        <v>0</v>
      </c>
      <c r="CF41" s="173">
        <f>IFERROR(Crops[[#This Row],[Tray 1 Count]]/HomeStartFlatIrrigationPerHour,0)*Crops[[#This Row],[Days in Cells]]/DaysBetweenStartIrrigation</f>
        <v>0</v>
      </c>
      <c r="CG41" s="173">
        <f>0.5/16*MAX(Crops[[#This Row],[Tray 1 Count]],Crops[[#This Row],[Tray 2 Count]],Crops[[#This Row],[Tray 3 Count]])</f>
        <v>0</v>
      </c>
      <c r="CH41" s="173">
        <f>IF(Crops[[#This Row],[Days in Cells]]&gt;0,IF(IF(Crops[[#This Row],[Tray 3 Size]]&gt;0,Crops[[#This Row],[Tray 3 Size]],IF(Crops[[#This Row],[Tray 2 Size]]&gt;0,Crops[[#This Row],[Tray 2 Size]],Crops[[#This Row],[Tray 1 Size]]))&lt;=18,LargeTransplantTime,SmallTransplantTime)*Crops[[#This Row],[Plantings Per Bed]],0)</f>
        <v>0</v>
      </c>
      <c r="CI41" s="173"/>
      <c r="CJ41" s="173">
        <f>_xlfn.XLOOKUP(Crops[[#This Row],[Trellis Type]],TrellisMethods[Trellis Type],TrellisMethods[Hours],0,0)</f>
        <v>0</v>
      </c>
      <c r="CK41">
        <f>IF(Crops[[#This Row],[Days in Cells]]&lt;=0,Crops[[#This Row],[Rows]]*1/10,0)*BedLength/50</f>
        <v>0.2</v>
      </c>
      <c r="CL41" cm="1">
        <f t="array" ref="CL41">_xlfn.SWITCH(Crops[[#This Row],[Irrigation]],"DR", 0.5, "OH", 0.25,0)*BedLength/50</f>
        <v>0.5</v>
      </c>
      <c r="CM41">
        <f>IF(OR(ISBLANK(Crops[[#This Row],[Row Cover]]),Crops[[#This Row],[Row Cover]]="None"),0,1)*BedLength/50</f>
        <v>0</v>
      </c>
      <c r="CN41" s="173">
        <f>HoursPerWeedingPass*Crops[[#This Row],[Days In Field]]/14*Crops[[#This Row],[Rows]]+1*BedLength/50</f>
        <v>4.8809523809523805</v>
      </c>
      <c r="CQ41" s="37">
        <f>_xlfn.XLOOKUP(Crops[[#This Row],[Crop]]&amp;Crops[[#This Row],[Product]]&amp;Crops[[#This Row],[Unit]],Products[ID],Products[Marketing (hr)])*Crops[[#This Row],[Direct Revenue Per Bed]]/2000</f>
        <v>6.3</v>
      </c>
      <c r="CR41" s="37">
        <f>_xlfn.XLOOKUP(Crops[[#This Row],[Crop]]&amp;Crops[[#This Row],[Product]]&amp;Crops[[#This Row],[Unit]],Products[ID],Products[Harvest (s)])*Crops[[#This Row],[Custom Yield Per Bed]]/3600</f>
        <v>11.666666666666666</v>
      </c>
      <c r="CS41" s="37">
        <f>_xlfn.XLOOKUP(Crops[[#This Row],[Crop]]&amp;Crops[[#This Row],[Product]]&amp;Crops[[#This Row],[Unit]],Products[ID],Products[Bunch (s)])*Crops[[#This Row],[Custom Yield Per Bed]]/3600</f>
        <v>0</v>
      </c>
      <c r="CT41" s="37">
        <f>_xlfn.XLOOKUP(Crops[[#This Row],[Crop]]&amp;Crops[[#This Row],[Product]]&amp;Crops[[#This Row],[Unit]],Products[ID],Products[Haul (s)])*Crops[[#This Row],[Custom Yield Per Bed]]/3600</f>
        <v>3.5</v>
      </c>
      <c r="CU41" s="37">
        <f>_xlfn.XLOOKUP(Crops[[#This Row],[Crop]]&amp;Crops[[#This Row],[Product]]&amp;Crops[[#This Row],[Unit]],Products[ID],Products[Wash (s)])*Crops[[#This Row],[Custom Yield Per Bed]]/3600</f>
        <v>0</v>
      </c>
      <c r="CV41" s="37">
        <f>_xlfn.XLOOKUP(Crops[[#This Row],[Crop]]&amp;Crops[[#This Row],[Product]]&amp;Crops[[#This Row],[Unit]],Products[ID],Products[Condition (s)])*Crops[[#This Row],[Custom Yield Per Bed]]/3600</f>
        <v>0</v>
      </c>
      <c r="CW41" s="37">
        <f>_xlfn.XLOOKUP(Crops[[#This Row],[Crop]]&amp;Crops[[#This Row],[Product]]&amp;Crops[[#This Row],[Unit]],Products[ID],Products[Trim (s)])*Crops[[#This Row],[Custom Yield Per Bed]]/3600</f>
        <v>5.833333333333333</v>
      </c>
      <c r="CX41" s="37">
        <f>_xlfn.XLOOKUP(Crops[[#This Row],[Crop]]&amp;Crops[[#This Row],[Product]]&amp;Crops[[#This Row],[Unit]],Products[ID],Products[Pack (s)])*Crops[[#This Row],[Custom Yield Per Bed]]/3600</f>
        <v>3.5</v>
      </c>
      <c r="CY41" s="37">
        <f>_xlfn.XLOOKUP(Crops[[#This Row],[Crop]]&amp;Crops[[#This Row],[Product]]&amp;Crops[[#This Row],[Unit]],Products[ID],Products[Clean (s)])*Crops[[#This Row],[Custom Yield Per Bed]]/3600</f>
        <v>0</v>
      </c>
      <c r="CZ41" s="37">
        <f>_xlfn.XLOOKUP(Crops[[#This Row],[Crop]]&amp;Crops[[#This Row],[Product]]&amp;Crops[[#This Row],[Unit]],Products[ID],Products[Rehandle (s)])*Crops[[#This Row],[Custom Yield Per Bed]]/3600</f>
        <v>0</v>
      </c>
      <c r="DA41" s="37">
        <f>_xlfn.XLOOKUP(Crops[[#This Row],[Crop]]&amp;Crops[[#This Row],[Product]]&amp;Crops[[#This Row],[Unit]],Products[ID],Products[Market Transport (s)])*Crops[[#This Row],[Custom Yield Per Bed]]/3600</f>
        <v>8.75</v>
      </c>
      <c r="DC41" s="37">
        <f>Crops[[#This Row],[Direct Revenue Per Bed2]]</f>
        <v>4200</v>
      </c>
      <c r="DD41" s="173">
        <f>_xlfn.AGGREGATE(9,6,Crops[[#This Row],[Bed Prep]:[Remove Crop Residue]])</f>
        <v>46.63095238095238</v>
      </c>
      <c r="DE41" s="173">
        <f>_xlfn.AGGREGATE(9,6,Crops[[#This Row],[Bed Prep]:[Remove Crop Residue]])-0.75*Crops[[#This Row],[Market &amp; Sell]]</f>
        <v>41.905952380952378</v>
      </c>
      <c r="DF41" s="36">
        <f>Crops[[#This Row],[Direct Revenue Per Bed2]]/Crops[[#This Row],[Direct Time]]</f>
        <v>90.068930303803938</v>
      </c>
      <c r="DG41" s="36">
        <f>_xlfn.XLOOKUP(Crops[[#This Row],[ProductIndex]],Products[ID],Products[Packaging Cost])*(Crops[[#This Row],[Custom Yield Per Bed]]/_xlfn.XLOOKUP(Crops[[#This Row],[ProductIndex]],Products[ID],Products[Units Per Pack]))</f>
        <v>560</v>
      </c>
      <c r="DH41" s="36"/>
      <c r="DI41" s="36"/>
      <c r="DJ41" s="36"/>
      <c r="DK41" s="36"/>
      <c r="DL41" s="36"/>
      <c r="DM41" s="33">
        <f>IFERROR(Crops[[#This Row],[Custom Yield Per Bed]]*Crops[[#This Row],[Direct Price]],"")</f>
        <v>4200</v>
      </c>
      <c r="DN41" s="36">
        <f>Crops[[#This Row],[Direct Time]]*LaborRate</f>
        <v>1165.7738095238094</v>
      </c>
      <c r="DO41" s="36">
        <f>SUM(Crops[[#This Row],[Irrigation Cost]])</f>
        <v>0</v>
      </c>
      <c r="DP41" s="36">
        <f>Crops[[#This Row],[Direct Labor Cost]]+Crops[[#This Row],[Direct Non-Labor Cost]]</f>
        <v>1165.7738095238094</v>
      </c>
      <c r="DQ41" s="36">
        <f>Crops[[#This Row],[Direct Revenue Per Bed2]]-Crops[[#This Row],[Direct Total Cost]]</f>
        <v>3034.2261904761908</v>
      </c>
      <c r="DR41" s="36">
        <f>Crops[[#This Row],[Direct Profit]]*BedsPerAcre</f>
        <v>485476.19047619053</v>
      </c>
      <c r="DS41" s="36">
        <f>Crops[[#This Row],[Direct Profit]]*BedsPerAcre*GrowingDays/Crops[[#This Row],[Days In Field]]</f>
        <v>536108.67659947427</v>
      </c>
      <c r="DT41" s="36">
        <f>Crops[[#This Row],[Direct Profit]]/MIN(Crops[[#This Row],[Days In Field]],GrowingDays)</f>
        <v>18.614884604148411</v>
      </c>
      <c r="DU41" s="36">
        <f>Crops[[#This Row],[Direct Time]] * BedsPerAcre</f>
        <v>7460.9523809523807</v>
      </c>
      <c r="DV41" s="36">
        <f>(Crops[[#This Row],[Direct Revenue Per Bed2]]-Crops[[#This Row],[Direct Non-Labor Cost]])/Crops[[#This Row],[Direct Time]]</f>
        <v>90.068930303803938</v>
      </c>
      <c r="DW41" s="33">
        <f>IFERROR(Crops[[#This Row],[Custom Yield Per Bed]]*Crops[[#This Row],[Rough Wholesale Price]],"")</f>
        <v>2520</v>
      </c>
      <c r="DX41" s="36">
        <f>Crops[[#This Row],[Wholesale Time]]*LaborRate</f>
        <v>1047.6488095238094</v>
      </c>
      <c r="DY41" s="36">
        <f>SUM(Crops[[#This Row],[Packaging Costs]:[Irrigation Cost]])</f>
        <v>560</v>
      </c>
      <c r="DZ41" s="36">
        <f>Crops[[#This Row],[Wholesale Labor Cost]]+Crops[[#This Row],[Wholesale Non-Labor Cost]]</f>
        <v>1607.6488095238094</v>
      </c>
      <c r="EA41" s="36">
        <f>Crops[[#This Row],[Wholesale Revenue Per Bed]]-Crops[[#This Row],[Wholesale Total Cost]]</f>
        <v>912.3511904761906</v>
      </c>
      <c r="EB41" s="36">
        <f>Crops[[#This Row],[Wholesale Profit]]*BedsPerAcre</f>
        <v>145976.1904761905</v>
      </c>
      <c r="EC41" s="36">
        <f>Crops[[#This Row],[Wholesale Profit]]*BedsPerAcre*GrowingDays/Crops[[#This Row],[Days In Field]]</f>
        <v>161200.70113935147</v>
      </c>
      <c r="ED41" s="36">
        <f>Crops[[#This Row],[Wholesale Time]] * BedsPerAcre</f>
        <v>6704.9523809523807</v>
      </c>
      <c r="EE41" s="36">
        <f>Crops[[#This Row],[Wholesale Profit]]/MIN(Crops[[#This Row],[Days In Field]],GrowingDays)</f>
        <v>5.5972465673385923</v>
      </c>
      <c r="EF41" s="36">
        <f>(Crops[[#This Row],[Wholesale Revenue Per Bed]]-Crops[[#This Row],[Wholesale Non-Labor Cost]])/Crops[[#This Row],[Direct Time]]</f>
        <v>42.032167475108501</v>
      </c>
      <c r="EG41" s="174">
        <f>Crops[[#This Row],[Packaging Costs]]/Crops[[#This Row],[Wholesale Revenue Per Bed]]</f>
        <v>0.22222222222222221</v>
      </c>
      <c r="EH41" s="36" t="str">
        <f>Crops[[#This Row],[Crop]]&amp;Crops[[#This Row],[Product]]&amp;Crops[[#This Row],[Unit]]</f>
        <v>BorageMature StemStem</v>
      </c>
      <c r="EI41" s="36" t="b">
        <f>_xlfn.XLOOKUP(Crops[[#This Row],[ProductIndex]],Products[ID],Products[Target])</f>
        <v>1</v>
      </c>
      <c r="EJ41" s="36">
        <f>Crops[[#This Row],[Custom Yield Per Bed]]</f>
        <v>4200</v>
      </c>
      <c r="EK41" s="210">
        <f>Crops[[#This Row],[Units Per Harvest]]/Crops[[#This Row],[Days Between Harvest]]*7</f>
        <v>300</v>
      </c>
      <c r="EL41" s="210" t="e">
        <f>Crops[[#This Row],[Custom Yield Per Bed]]/_xlfn.XLOOKUP(Crops[[#This Row],[ProductIndex]],Products[ID],Products[CSA Portion])</f>
        <v>#DIV/0!</v>
      </c>
      <c r="EM41" s="210" t="e">
        <f>Crops[[#This Row],[Units Per Harvest]]/Crops[[#This Row],[Days Between Harvest]]*7/_xlfn.XLOOKUP(Crops[[#This Row],[ProductIndex]],Products[ID],Products[CSA Portion])</f>
        <v>#DIV/0!</v>
      </c>
      <c r="EN41" s="210" t="e">
        <f>Crops[[#This Row],[CSA Portions Per Week]]/CSAMembers</f>
        <v>#DIV/0!</v>
      </c>
      <c r="EO41" s="210"/>
      <c r="EP41" s="210"/>
      <c r="EQ41" s="36"/>
      <c r="ER41" s="36">
        <f>Crops[[#This Row],[Harvests]]*Crops[[#This Row],[Days Between Harvest]]/7</f>
        <v>14</v>
      </c>
      <c r="ES41" s="208">
        <f>_xlfn.XLOOKUP(Crops[[#This Row],[ProductIndex]],Products[ID],Products[CSA Need])</f>
        <v>0</v>
      </c>
      <c r="ET41" s="208">
        <f>_xlfn.XLOOKUP(Crops[[#This Row],[ProductIndex]],Products[ID],Products[CSA Times])</f>
        <v>0</v>
      </c>
      <c r="EU41" s="208" t="e">
        <f>Crops[[#This Row],[Custom Yield Per Bed]]/(Crops[[#This Row],[CSA Need]]*(_xlfn.XLOOKUP(Crops[[#This Row],[ProductIndex]],Products[ID],Products[CSA Portion])*CSAMembers))</f>
        <v>#DIV/0!</v>
      </c>
      <c r="EV41" s="208">
        <f>_xlfn.XLOOKUP(Crops[[#This Row],[ProductIndex]],Products[ID],Products[CSA Portion])*CSAMembers*Crops[[#This Row],[CSA Need]]/Crops[[#This Row],[Custom Yield Per Bed]]</f>
        <v>0</v>
      </c>
      <c r="EW41" s="208">
        <f>IFERROR(Crops[[#This Row],[Days In Field]]*Crops[[#This Row],[CSA Beds]],"")</f>
        <v>0</v>
      </c>
      <c r="EX41" s="208" t="e">
        <f>Crops[[#This Row],[CSA Bed Days]]*#REF!</f>
        <v>#REF!</v>
      </c>
      <c r="EY41" t="s">
        <v>313</v>
      </c>
    </row>
    <row r="42" spans="1:155">
      <c r="A4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Broccoli - Mature Head 1X | Field DS SpFaWiOw</v>
      </c>
      <c r="B42" s="191"/>
      <c r="C42" s="1" t="b">
        <v>0</v>
      </c>
      <c r="D42" s="1"/>
      <c r="E42" s="1" t="b">
        <v>0</v>
      </c>
      <c r="F42" s="1" t="b">
        <f>IFERROR(IF(ISNUMBER(MATCH(Crops[[#This Row],[Identifier]],BedPlan[Crop], 0)), TRUE, FALSE), FALSE)</f>
        <v>0</v>
      </c>
      <c r="G42" s="1" t="b">
        <f>IFERROR(IF(ISNUMBER(MATCH(Crops[[#This Row],[Identifier]],BedPlan[Crop], 0)), TRUE, FALSE), FALSE)</f>
        <v>0</v>
      </c>
      <c r="H42" s="1" t="b">
        <v>1</v>
      </c>
      <c r="I42" t="s">
        <v>49</v>
      </c>
      <c r="J42" t="s">
        <v>145</v>
      </c>
      <c r="K42" t="s">
        <v>186</v>
      </c>
      <c r="N42" t="str">
        <f>Crops[[#This Row],[Crop]]</f>
        <v>Broccoli</v>
      </c>
      <c r="O42" t="s">
        <v>210</v>
      </c>
      <c r="P42" t="str">
        <f>IF(OR(Crops[[#This Row],[Days in Cells]]="",Crops[[#This Row],[Days in Cells]]=0), "DS","TP")</f>
        <v>DS</v>
      </c>
      <c r="Q42" t="s">
        <v>144</v>
      </c>
      <c r="S42" t="s">
        <v>144</v>
      </c>
      <c r="T42" t="s">
        <v>144</v>
      </c>
      <c r="U42" t="s">
        <v>144</v>
      </c>
      <c r="V42" t="str">
        <f xml:space="preserve"> IF(Crops[[#This Row],[Sp]], "Sp", "") &amp; IF(Crops[[#This Row],[Su]], "Su", "") &amp; IF(Crops[[#This Row],[Fa]], "Fa", "") &amp; IF(Crops[[#This Row],[Wi]], "Wi", "") &amp; IF(Crops[[#This Row],[OW]], "Ow","")</f>
        <v>SpFaWiOw</v>
      </c>
      <c r="W42" t="s">
        <v>144</v>
      </c>
      <c r="X42">
        <v>2</v>
      </c>
      <c r="Y42">
        <v>18</v>
      </c>
      <c r="AD42" s="32">
        <f>IFERROR(12/Crops[[#This Row],[Spacing]]*Crops[[#This Row],[Rows]]*BedLength,"")</f>
        <v>66.666666666666657</v>
      </c>
      <c r="AE42">
        <v>1</v>
      </c>
      <c r="AG42">
        <f>IF(Crops[[#This Row],[Custom Safety Factor]]="",PlantingSafetyFactor,Crops[[#This Row],[Custom Safety Factor]])</f>
        <v>1.3</v>
      </c>
      <c r="AH42">
        <f>1</f>
        <v>1</v>
      </c>
      <c r="AI42" s="33">
        <f>IFERROR(Crops[[#This Row],[Plantings Per Bed]]*Crops[[#This Row],[Seeds Per Planting]]*Crops[[#This Row],[Safety Factor]]*Crops[[#This Row],[Seeding Factor]],"")</f>
        <v>86.666666666666657</v>
      </c>
      <c r="AL42">
        <f>_xlfn.FLOOR.MATH(IFERROR(AVERAGE(Crops[[#This Row],[DTG Lower]:[DTG Upper]]),0))</f>
        <v>0</v>
      </c>
      <c r="AM42">
        <f>SUM(Crops[[#This Row],[Tray 1 Days]],Crops[[#This Row],[Tray 2 Days]],Crops[[#This Row],[Tray 3 Days]])</f>
        <v>0</v>
      </c>
      <c r="AN42">
        <v>28</v>
      </c>
      <c r="AP42">
        <v>85</v>
      </c>
      <c r="AQ42">
        <f>IFERROR(_xlfn.FLOOR.MATH(AVERAGE(Crops[[#This Row],[DTM Lower]:[DTM Upper]])),"")</f>
        <v>85</v>
      </c>
      <c r="AR42" cm="1">
        <f t="array" ref="AR42">_xlfn.SWITCH(Crops[[#This Row],[Normal Method]],"DS",Crops[[#This Row],[Days to Germination]]+Crops[[#This Row],[DTM]] + IF(Crops[[#This Row],[Days in Cells]]&gt;0,15,0), "TP",Crops[[#This Row],[DTM]]+Crops[[#This Row],[Days in Cells]] + IF(Crops[[#This Row],[Days in Cells]]&lt;=0,20,0), "X", Crops[[#This Row],[DTM]])</f>
        <v>105</v>
      </c>
      <c r="AS42" t="s">
        <v>346</v>
      </c>
      <c r="AT42">
        <f>(Crops[[#This Row],[Harvests]]-1)*Crops[[#This Row],[Days Between Harvest]]+7</f>
        <v>14</v>
      </c>
      <c r="AU42">
        <f>Crops[[#This Row],[STH]]-Crops[[#This Row],[Days in Cells]]+Crops[[#This Row],[Harvest window]]</f>
        <v>119</v>
      </c>
      <c r="AW42">
        <v>72</v>
      </c>
      <c r="AZ42" t="str">
        <f>IFERROR(IF(Crops[[#This Row],[Tray 1 Days]]=0,"",Crops[[#This Row],[Plantings Per Bed]]/Crops[[#This Row],[Tray 1 Size]]*Crops[[#This Row],[Safety Factor]]),"")</f>
        <v/>
      </c>
      <c r="BC42" t="str">
        <f>IFERROR(IF(Crops[[#This Row],[Tray 2 Days]]=0,"",Crops[[#This Row],[Plantings Per Bed]]/Crops[[#This Row],[Tray 2 Size]]*Crops[[#This Row],[Safety Factor]]),"")</f>
        <v/>
      </c>
      <c r="BE42" s="32" t="str">
        <f>IF(NOT(ISBLANK(Crops[[#This Row],[Tray 3 Size]])), Crops[[#This Row],[Days in Cells Old]]-SUM(Crops[[#This Row],[Tray 1 Days]],Crops[[#This Row],[Tray 2 Days]]), "")</f>
        <v/>
      </c>
      <c r="BF42" t="str">
        <f>IFERROR(IF(Crops[[#This Row],[Tray 3 Days]]=0,"",Crops[[#This Row],[Plantings Per Bed]]/Crops[[#This Row],[Tray 3 Size]]*Crops[[#This Row],[Safety Factor]]),"")</f>
        <v/>
      </c>
      <c r="BG42" s="33">
        <f>Crops[[#This Row],[Plantings Per Bed]]/Crops[[#This Row],[Harvests]]</f>
        <v>33.333333333333329</v>
      </c>
      <c r="BH42" s="33">
        <v>2</v>
      </c>
      <c r="BI42" s="33">
        <v>7</v>
      </c>
      <c r="BJ42" s="33">
        <f>_xlfn.XLOOKUP(Crops[[#This Row],[ProductIndex]],Products[ID],Products[Holding Period])</f>
        <v>0</v>
      </c>
      <c r="BK42" s="33"/>
      <c r="BL42" s="33">
        <f>Crops[[#This Row],[Units Per Harvest]]*Crops[[#This Row],[Harvests]]</f>
        <v>66.666666666666657</v>
      </c>
      <c r="BM42" s="35">
        <v>3.25</v>
      </c>
      <c r="BN42" s="35">
        <f>Crops[[#This Row],[Direct Price]]*0.6</f>
        <v>1.95</v>
      </c>
      <c r="BO42" s="35"/>
      <c r="BP42" t="s">
        <v>214</v>
      </c>
      <c r="BQ42">
        <f>Crops[[#This Row],[Custom Yield Per Bed]]*Crops[[#This Row],[Direct Price]]</f>
        <v>216.66666666666663</v>
      </c>
      <c r="BR42" t="b">
        <v>1</v>
      </c>
      <c r="BS42" t="b">
        <f>Crops[[#This Row],[Harvests]]&gt;1</f>
        <v>1</v>
      </c>
      <c r="BT42" s="36">
        <f>IFERROR(Crops[[#This Row],[Direct Revenue Per Bed]]/Crops[[#This Row],[Days In Field]],-1)</f>
        <v>1.8207282913165264</v>
      </c>
      <c r="BU42" s="33">
        <f>IFERROR(Crops[[#This Row],[Direct Revenue Per Bed Day]]*GrowingDays*BedsPerAcre,"")</f>
        <v>52436.974789915956</v>
      </c>
      <c r="BV42" s="38">
        <f>LastFrostDate-5*Crops[[#This Row],[Sewing Rel Last Frost]]</f>
        <v>45748</v>
      </c>
      <c r="BW42" s="38">
        <f>Crops[[#This Row],[Target Sewing Date]]+Crops[[#This Row],[Days in Cells]]</f>
        <v>45748</v>
      </c>
      <c r="BX42" s="38">
        <f>Crops[[#This Row],[Target Sewing Date]]+Crops[[#This Row],[STH]]</f>
        <v>45853</v>
      </c>
      <c r="BY42" s="38">
        <f>Crops[[#This Row],[Target Harvest Data]]+Crops[[#This Row],[Harvest window]]</f>
        <v>45867</v>
      </c>
      <c r="CB42">
        <f>1</f>
        <v>1</v>
      </c>
      <c r="CC42">
        <f>IF(Crops[[#This Row],[Transplanting]]&gt;0, 2, 3)*BedLength/StandardBedLength</f>
        <v>1.5</v>
      </c>
      <c r="CD42" s="173">
        <f>IF(Crops[[#This Row],[Days in Cells]]&lt;=0,0,Crops[[#This Row],[Plantings Per Bed]]/StartsPerHourSeeding+Crops[[#This Row],[Tray 1 Count]]*5/60)</f>
        <v>0</v>
      </c>
      <c r="CE42" s="173">
        <f>IF(ISBLANK(Crops[[#This Row],[Tray 2 Days]]),0,Crops[[#This Row],[Plantings Per Bed]]/UpPottingPerHour)+IF(Crops[[#This Row],[Tray 3 Days]]="",0,Crops[[#This Row],[Plantings Per Bed]]/UpPottingPerHour)</f>
        <v>0</v>
      </c>
      <c r="CF42" s="173">
        <f>IFERROR(Crops[[#This Row],[Tray 1 Count]]/HomeStartFlatIrrigationPerHour,0)*Crops[[#This Row],[Days in Cells]]/DaysBetweenStartIrrigation</f>
        <v>0</v>
      </c>
      <c r="CG42" s="173">
        <f>0.5/16*MAX(Crops[[#This Row],[Tray 1 Count]],Crops[[#This Row],[Tray 2 Count]],Crops[[#This Row],[Tray 3 Count]])</f>
        <v>0</v>
      </c>
      <c r="CH42" s="173">
        <f>IF(Crops[[#This Row],[Days in Cells]]&gt;0,IF(IF(Crops[[#This Row],[Tray 3 Size]]&gt;0,Crops[[#This Row],[Tray 3 Size]],IF(Crops[[#This Row],[Tray 2 Size]]&gt;0,Crops[[#This Row],[Tray 2 Size]],Crops[[#This Row],[Tray 1 Size]]))&lt;=18,LargeTransplantTime,SmallTransplantTime)*Crops[[#This Row],[Plantings Per Bed]],0)</f>
        <v>0</v>
      </c>
      <c r="CI42" s="173"/>
      <c r="CJ42" s="173">
        <f>_xlfn.XLOOKUP(Crops[[#This Row],[Trellis Type]],TrellisMethods[Trellis Type],TrellisMethods[Hours],0,0)</f>
        <v>0</v>
      </c>
      <c r="CK42">
        <f>IF(Crops[[#This Row],[Days in Cells]]&lt;=0,Crops[[#This Row],[Rows]]*1/10,0)*BedLength/50</f>
        <v>0.2</v>
      </c>
      <c r="CL42" cm="1">
        <f t="array" ref="CL42">_xlfn.SWITCH(Crops[[#This Row],[Irrigation]],"DR", 0.5, "OH", 0.25,0)*BedLength/50</f>
        <v>0</v>
      </c>
      <c r="CM42">
        <f>IF(OR(ISBLANK(Crops[[#This Row],[Row Cover]]),Crops[[#This Row],[Row Cover]]="None"),0,1)*BedLength/50</f>
        <v>0</v>
      </c>
      <c r="CN42" s="173">
        <f>HoursPerWeedingPass*Crops[[#This Row],[Days In Field]]/14*Crops[[#This Row],[Rows]]+1*BedLength/50</f>
        <v>3.833333333333333</v>
      </c>
      <c r="CQ42" s="37">
        <f>_xlfn.XLOOKUP(Crops[[#This Row],[Crop]]&amp;Crops[[#This Row],[Product]]&amp;Crops[[#This Row],[Unit]],Products[ID],Products[Marketing (hr)])*Crops[[#This Row],[Direct Revenue Per Bed]]/2000</f>
        <v>0.21666666666666662</v>
      </c>
      <c r="CR42" s="37">
        <f>_xlfn.XLOOKUP(Crops[[#This Row],[Crop]]&amp;Crops[[#This Row],[Product]]&amp;Crops[[#This Row],[Unit]],Products[ID],Products[Harvest (s)])*Crops[[#This Row],[Custom Yield Per Bed]]/3600</f>
        <v>0.18518518518518515</v>
      </c>
      <c r="CS42" s="37">
        <f>_xlfn.XLOOKUP(Crops[[#This Row],[Crop]]&amp;Crops[[#This Row],[Product]]&amp;Crops[[#This Row],[Unit]],Products[ID],Products[Bunch (s)])*Crops[[#This Row],[Custom Yield Per Bed]]/3600</f>
        <v>0</v>
      </c>
      <c r="CT42" s="37">
        <f>_xlfn.XLOOKUP(Crops[[#This Row],[Crop]]&amp;Crops[[#This Row],[Product]]&amp;Crops[[#This Row],[Unit]],Products[ID],Products[Haul (s)])*Crops[[#This Row],[Custom Yield Per Bed]]/3600</f>
        <v>0.13888888888888887</v>
      </c>
      <c r="CU42" s="37">
        <f>_xlfn.XLOOKUP(Crops[[#This Row],[Crop]]&amp;Crops[[#This Row],[Product]]&amp;Crops[[#This Row],[Unit]],Products[ID],Products[Wash (s)])*Crops[[#This Row],[Custom Yield Per Bed]]/3600</f>
        <v>0</v>
      </c>
      <c r="CV42" s="37">
        <f>_xlfn.XLOOKUP(Crops[[#This Row],[Crop]]&amp;Crops[[#This Row],[Product]]&amp;Crops[[#This Row],[Unit]],Products[ID],Products[Condition (s)])*Crops[[#This Row],[Custom Yield Per Bed]]/3600</f>
        <v>0.18518518518518515</v>
      </c>
      <c r="CW42" s="37">
        <f>_xlfn.XLOOKUP(Crops[[#This Row],[Crop]]&amp;Crops[[#This Row],[Product]]&amp;Crops[[#This Row],[Unit]],Products[ID],Products[Trim (s)])*Crops[[#This Row],[Custom Yield Per Bed]]/3600</f>
        <v>5.5555555555555546E-2</v>
      </c>
      <c r="CX42" s="37">
        <f>_xlfn.XLOOKUP(Crops[[#This Row],[Crop]]&amp;Crops[[#This Row],[Product]]&amp;Crops[[#This Row],[Unit]],Products[ID],Products[Pack (s)])*Crops[[#This Row],[Custom Yield Per Bed]]/3600</f>
        <v>5.5555555555555546E-2</v>
      </c>
      <c r="CY42" s="37">
        <f>_xlfn.XLOOKUP(Crops[[#This Row],[Crop]]&amp;Crops[[#This Row],[Product]]&amp;Crops[[#This Row],[Unit]],Products[ID],Products[Clean (s)])*Crops[[#This Row],[Custom Yield Per Bed]]/3600</f>
        <v>0</v>
      </c>
      <c r="CZ42" s="37">
        <f>_xlfn.XLOOKUP(Crops[[#This Row],[Crop]]&amp;Crops[[#This Row],[Product]]&amp;Crops[[#This Row],[Unit]],Products[ID],Products[Rehandle (s)])*Crops[[#This Row],[Custom Yield Per Bed]]/3600</f>
        <v>0</v>
      </c>
      <c r="DA42" s="37">
        <f>_xlfn.XLOOKUP(Crops[[#This Row],[Crop]]&amp;Crops[[#This Row],[Product]]&amp;Crops[[#This Row],[Unit]],Products[ID],Products[Market Transport (s)])*Crops[[#This Row],[Custom Yield Per Bed]]/3600</f>
        <v>0.34722222222222215</v>
      </c>
      <c r="DC42" s="37">
        <f>Crops[[#This Row],[Direct Revenue Per Bed2]]</f>
        <v>216.66666666666663</v>
      </c>
      <c r="DD42" s="173">
        <f>_xlfn.AGGREGATE(9,6,Crops[[#This Row],[Bed Prep]:[Remove Crop Residue]])</f>
        <v>6.7175925925925926</v>
      </c>
      <c r="DE42" s="173">
        <f>_xlfn.AGGREGATE(9,6,Crops[[#This Row],[Bed Prep]:[Remove Crop Residue]])-0.75*Crops[[#This Row],[Market &amp; Sell]]</f>
        <v>6.5550925925925929</v>
      </c>
      <c r="DF42" s="36">
        <f>Crops[[#This Row],[Direct Revenue Per Bed2]]/Crops[[#This Row],[Direct Time]]</f>
        <v>32.253618194348718</v>
      </c>
      <c r="DG42" s="36">
        <f>_xlfn.XLOOKUP(Crops[[#This Row],[ProductIndex]],Products[ID],Products[Packaging Cost])*(Crops[[#This Row],[Custom Yield Per Bed]]/_xlfn.XLOOKUP(Crops[[#This Row],[ProductIndex]],Products[ID],Products[Units Per Pack]))</f>
        <v>21.111111111111107</v>
      </c>
      <c r="DH42" s="36"/>
      <c r="DI42" s="36"/>
      <c r="DJ42" s="36"/>
      <c r="DK42" s="36"/>
      <c r="DL42" s="36"/>
      <c r="DM42" s="33">
        <f>IFERROR(Crops[[#This Row],[Custom Yield Per Bed]]*Crops[[#This Row],[Direct Price]],"")</f>
        <v>216.66666666666663</v>
      </c>
      <c r="DN42" s="36">
        <f>Crops[[#This Row],[Direct Time]]*LaborRate</f>
        <v>167.93981481481481</v>
      </c>
      <c r="DO42" s="36">
        <f>SUM(Crops[[#This Row],[Irrigation Cost]])</f>
        <v>0</v>
      </c>
      <c r="DP42" s="36">
        <f>Crops[[#This Row],[Direct Labor Cost]]+Crops[[#This Row],[Direct Non-Labor Cost]]</f>
        <v>167.93981481481481</v>
      </c>
      <c r="DQ42" s="36">
        <f>Crops[[#This Row],[Direct Revenue Per Bed2]]-Crops[[#This Row],[Direct Total Cost]]</f>
        <v>48.726851851851819</v>
      </c>
      <c r="DR42" s="36">
        <f>Crops[[#This Row],[Direct Profit]]*BedsPerAcre</f>
        <v>7796.2962962962911</v>
      </c>
      <c r="DS42" s="36">
        <f>Crops[[#This Row],[Direct Profit]]*BedsPerAcre*GrowingDays/Crops[[#This Row],[Days In Field]]</f>
        <v>11792.717086834726</v>
      </c>
      <c r="DT42" s="36">
        <f>Crops[[#This Row],[Direct Profit]]/MIN(Crops[[#This Row],[Days In Field]],GrowingDays)</f>
        <v>0.40946934329287243</v>
      </c>
      <c r="DU42" s="36">
        <f>Crops[[#This Row],[Direct Time]] * BedsPerAcre</f>
        <v>1074.8148148148148</v>
      </c>
      <c r="DV42" s="36">
        <f>(Crops[[#This Row],[Direct Revenue Per Bed2]]-Crops[[#This Row],[Direct Non-Labor Cost]])/Crops[[#This Row],[Direct Time]]</f>
        <v>32.253618194348718</v>
      </c>
      <c r="DW42" s="33">
        <f>IFERROR(Crops[[#This Row],[Custom Yield Per Bed]]*Crops[[#This Row],[Rough Wholesale Price]],"")</f>
        <v>129.99999999999997</v>
      </c>
      <c r="DX42" s="36">
        <f>Crops[[#This Row],[Wholesale Time]]*LaborRate</f>
        <v>163.87731481481481</v>
      </c>
      <c r="DY42" s="36">
        <f>SUM(Crops[[#This Row],[Packaging Costs]:[Irrigation Cost]])</f>
        <v>21.111111111111107</v>
      </c>
      <c r="DZ42" s="36">
        <f>Crops[[#This Row],[Wholesale Labor Cost]]+Crops[[#This Row],[Wholesale Non-Labor Cost]]</f>
        <v>184.98842592592592</v>
      </c>
      <c r="EA42" s="36">
        <f>Crops[[#This Row],[Wholesale Revenue Per Bed]]-Crops[[#This Row],[Wholesale Total Cost]]</f>
        <v>-54.988425925925952</v>
      </c>
      <c r="EB42" s="36">
        <f>Crops[[#This Row],[Wholesale Profit]]*BedsPerAcre</f>
        <v>-8798.1481481481533</v>
      </c>
      <c r="EC42" s="36">
        <f>Crops[[#This Row],[Wholesale Profit]]*BedsPerAcre*GrowingDays/Crops[[#This Row],[Days In Field]]</f>
        <v>-13308.123249299728</v>
      </c>
      <c r="ED42" s="36">
        <f>Crops[[#This Row],[Wholesale Time]] * BedsPerAcre</f>
        <v>1048.8148148148148</v>
      </c>
      <c r="EE42" s="36">
        <f>Crops[[#This Row],[Wholesale Profit]]/MIN(Crops[[#This Row],[Days In Field]],GrowingDays)</f>
        <v>-0.46208761282290717</v>
      </c>
      <c r="EF42" s="36">
        <f>(Crops[[#This Row],[Wholesale Revenue Per Bed]]-Crops[[#This Row],[Wholesale Non-Labor Cost]])/Crops[[#This Row],[Direct Time]]</f>
        <v>16.209510682288073</v>
      </c>
      <c r="EG42" s="174">
        <f>Crops[[#This Row],[Packaging Costs]]/Crops[[#This Row],[Wholesale Revenue Per Bed]]</f>
        <v>0.1623931623931624</v>
      </c>
      <c r="EH42" s="36" t="str">
        <f>Crops[[#This Row],[Crop]]&amp;Crops[[#This Row],[Product]]&amp;Crops[[#This Row],[Unit]]</f>
        <v>BroccoliMature HeadHead</v>
      </c>
      <c r="EI42" s="36" t="b">
        <f>_xlfn.XLOOKUP(Crops[[#This Row],[ProductIndex]],Products[ID],Products[Target])</f>
        <v>1</v>
      </c>
      <c r="EJ42" s="36">
        <f>Crops[[#This Row],[Custom Yield Per Bed]]</f>
        <v>66.666666666666657</v>
      </c>
      <c r="EK42" s="210">
        <f>Crops[[#This Row],[Units Per Harvest]]/Crops[[#This Row],[Days Between Harvest]]*7</f>
        <v>33.333333333333329</v>
      </c>
      <c r="EL42" s="210" t="e">
        <f>Crops[[#This Row],[Custom Yield Per Bed]]/_xlfn.XLOOKUP(Crops[[#This Row],[ProductIndex]],Products[ID],Products[CSA Portion])</f>
        <v>#DIV/0!</v>
      </c>
      <c r="EM42" s="210" t="e">
        <f>Crops[[#This Row],[Units Per Harvest]]/Crops[[#This Row],[Days Between Harvest]]*7/_xlfn.XLOOKUP(Crops[[#This Row],[ProductIndex]],Products[ID],Products[CSA Portion])</f>
        <v>#DIV/0!</v>
      </c>
      <c r="EN42" s="210" t="e">
        <f>Crops[[#This Row],[CSA Portions Per Week]]/CSAMembers</f>
        <v>#DIV/0!</v>
      </c>
      <c r="EO42" s="210"/>
      <c r="EP42" s="210"/>
      <c r="EQ42" s="36"/>
      <c r="ER42" s="36">
        <f>Crops[[#This Row],[Harvests]]*Crops[[#This Row],[Days Between Harvest]]/7</f>
        <v>2</v>
      </c>
      <c r="ES42" s="208">
        <f>_xlfn.XLOOKUP(Crops[[#This Row],[ProductIndex]],Products[ID],Products[CSA Need])</f>
        <v>0</v>
      </c>
      <c r="ET42" s="208">
        <f>_xlfn.XLOOKUP(Crops[[#This Row],[ProductIndex]],Products[ID],Products[CSA Times])</f>
        <v>0</v>
      </c>
      <c r="EU42" s="208" t="e">
        <f>Crops[[#This Row],[Custom Yield Per Bed]]/(Crops[[#This Row],[CSA Need]]*(_xlfn.XLOOKUP(Crops[[#This Row],[ProductIndex]],Products[ID],Products[CSA Portion])*CSAMembers))</f>
        <v>#DIV/0!</v>
      </c>
      <c r="EV42" s="208">
        <f>_xlfn.XLOOKUP(Crops[[#This Row],[ProductIndex]],Products[ID],Products[CSA Portion])*CSAMembers*Crops[[#This Row],[CSA Need]]/Crops[[#This Row],[Custom Yield Per Bed]]</f>
        <v>0</v>
      </c>
      <c r="EW42" s="208">
        <f>IFERROR(Crops[[#This Row],[Days In Field]]*Crops[[#This Row],[CSA Beds]],"")</f>
        <v>0</v>
      </c>
      <c r="EX42" s="208" t="e">
        <f>Crops[[#This Row],[CSA Bed Days]]*#REF!</f>
        <v>#REF!</v>
      </c>
      <c r="EY42" t="s">
        <v>278</v>
      </c>
    </row>
    <row r="43" spans="1:155">
      <c r="A4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Broccoli (Sprouting) - Loose Florets 1X | Field TP SuFa</v>
      </c>
      <c r="B43" s="191"/>
      <c r="C43" s="1" t="b">
        <v>0</v>
      </c>
      <c r="D43" s="1"/>
      <c r="E43" s="1" t="b">
        <v>0</v>
      </c>
      <c r="F43" s="1" t="b">
        <f>IFERROR(IF(ISNUMBER(MATCH(Crops[[#This Row],[Identifier]],BedPlan[Crop], 0)), TRUE, FALSE), FALSE)</f>
        <v>1</v>
      </c>
      <c r="G43" s="1" t="b">
        <f>IFERROR(IF(ISNUMBER(MATCH(Crops[[#This Row],[Identifier]],BedPlan[Crop], 0)), TRUE, FALSE), FALSE)</f>
        <v>1</v>
      </c>
      <c r="H43" s="1"/>
      <c r="I43" t="s">
        <v>49</v>
      </c>
      <c r="J43" t="s">
        <v>1602</v>
      </c>
      <c r="K43" t="s">
        <v>367</v>
      </c>
      <c r="M43" t="s">
        <v>445</v>
      </c>
      <c r="N43" t="s">
        <v>1312</v>
      </c>
      <c r="O43" t="s">
        <v>210</v>
      </c>
      <c r="P43" t="str">
        <f>IF(OR(Crops[[#This Row],[Days in Cells]]="",Crops[[#This Row],[Days in Cells]]=0), "DS","TP")</f>
        <v>TP</v>
      </c>
      <c r="R43" t="b">
        <v>1</v>
      </c>
      <c r="S43" t="b">
        <v>1</v>
      </c>
      <c r="V43" t="str">
        <f xml:space="preserve"> IF(Crops[[#This Row],[Sp]], "Sp", "") &amp; IF(Crops[[#This Row],[Su]], "Su", "") &amp; IF(Crops[[#This Row],[Fa]], "Fa", "") &amp; IF(Crops[[#This Row],[Wi]], "Wi", "") &amp; IF(Crops[[#This Row],[OW]], "Ow","")</f>
        <v>SuFa</v>
      </c>
      <c r="W43" t="b">
        <v>1</v>
      </c>
      <c r="X43">
        <v>2</v>
      </c>
      <c r="Y43">
        <v>12</v>
      </c>
      <c r="AA43" t="s">
        <v>475</v>
      </c>
      <c r="AB43" t="b">
        <v>1</v>
      </c>
      <c r="AC43">
        <v>2</v>
      </c>
      <c r="AD43" s="32">
        <f>IFERROR(12/Crops[[#This Row],[Spacing]]*Crops[[#This Row],[Rows]]*BedLength,"")</f>
        <v>100</v>
      </c>
      <c r="AE43">
        <v>1</v>
      </c>
      <c r="AG43">
        <f>IF(Crops[[#This Row],[Custom Safety Factor]]="",PlantingSafetyFactor,Crops[[#This Row],[Custom Safety Factor]])</f>
        <v>1.3</v>
      </c>
      <c r="AH43">
        <v>2</v>
      </c>
      <c r="AI43" s="37">
        <f>IFERROR(Crops[[#This Row],[Plantings Per Bed]]*Crops[[#This Row],[Seeds Per Planting]]*Crops[[#This Row],[Safety Factor]]*Crops[[#This Row],[Seeding Factor]],"")</f>
        <v>260</v>
      </c>
      <c r="AL43">
        <f>_xlfn.FLOOR.MATH(IFERROR(AVERAGE(Crops[[#This Row],[DTG Lower]:[DTG Upper]]),0))</f>
        <v>0</v>
      </c>
      <c r="AM43">
        <f>SUM(Crops[[#This Row],[Tray 1 Days]],Crops[[#This Row],[Tray 2 Days]],Crops[[#This Row],[Tray 3 Days]])</f>
        <v>28</v>
      </c>
      <c r="AN43" s="32">
        <f>5*7</f>
        <v>35</v>
      </c>
      <c r="AP43">
        <v>45</v>
      </c>
      <c r="AQ43">
        <f>IFERROR(_xlfn.FLOOR.MATH(AVERAGE(Crops[[#This Row],[DTM Lower]:[DTM Upper]])),"")</f>
        <v>45</v>
      </c>
      <c r="AR43" cm="1">
        <f t="array" ref="AR43">_xlfn.SWITCH(Crops[[#This Row],[Normal Method]],"DS",Crops[[#This Row],[Days to Germination]]+Crops[[#This Row],[DTM]] + IF(Crops[[#This Row],[Days in Cells]]&gt;0,15,0), "TP",Crops[[#This Row],[DTM]]+Crops[[#This Row],[Days in Cells]] + IF(Crops[[#This Row],[Days in Cells]]&lt;=0,20,0), "X", Crops[[#This Row],[DTM]])</f>
        <v>73</v>
      </c>
      <c r="AS43" t="s">
        <v>346</v>
      </c>
      <c r="AT43">
        <f>(Crops[[#This Row],[Harvests]]-1)*Crops[[#This Row],[Days Between Harvest]]+7</f>
        <v>21</v>
      </c>
      <c r="AU43">
        <f>Crops[[#This Row],[STH]]-Crops[[#This Row],[Days in Cells]]+Crops[[#This Row],[Harvest window]]</f>
        <v>66</v>
      </c>
      <c r="AX43">
        <v>72</v>
      </c>
      <c r="AY43">
        <v>28</v>
      </c>
      <c r="AZ43" s="49">
        <f>IFERROR(IF(Crops[[#This Row],[Tray 1 Days]]=0,"",Crops[[#This Row],[Plantings Per Bed]]/Crops[[#This Row],[Tray 1 Size]]*Crops[[#This Row],[Safety Factor]]),"")</f>
        <v>1.8055555555555556</v>
      </c>
      <c r="BC43" t="str">
        <f>IFERROR(IF(Crops[[#This Row],[Tray 2 Days]]=0,"",Crops[[#This Row],[Plantings Per Bed]]/Crops[[#This Row],[Tray 2 Size]]*Crops[[#This Row],[Safety Factor]]),"")</f>
        <v/>
      </c>
      <c r="BE43" s="32" t="str">
        <f>IF(NOT(ISBLANK(Crops[[#This Row],[Tray 3 Size]])), Crops[[#This Row],[Days in Cells Old]]-SUM(Crops[[#This Row],[Tray 1 Days]],Crops[[#This Row],[Tray 2 Days]]), "")</f>
        <v/>
      </c>
      <c r="BF43" s="49" t="str">
        <f>IFERROR(IF(Crops[[#This Row],[Tray 3 Days]]=0,"",Crops[[#This Row],[Plantings Per Bed]]/Crops[[#This Row],[Tray 3 Size]]*Crops[[#This Row],[Safety Factor]]),"")</f>
        <v/>
      </c>
      <c r="BG43" s="32">
        <f>Crops[[#This Row],[Plantings Per Bed]]</f>
        <v>100</v>
      </c>
      <c r="BH43">
        <v>2</v>
      </c>
      <c r="BI43">
        <v>14</v>
      </c>
      <c r="BJ43" s="37">
        <f>_xlfn.XLOOKUP(Crops[[#This Row],[ProductIndex]],Products[ID],Products[Holding Period])</f>
        <v>7</v>
      </c>
      <c r="BL43" s="37">
        <f>Crops[[#This Row],[Units Per Harvest]]*Crops[[#This Row],[Harvests]]</f>
        <v>200</v>
      </c>
      <c r="BM43">
        <v>4</v>
      </c>
      <c r="BN43" s="211">
        <f>Crops[[#This Row],[Direct Price]]*0.6</f>
        <v>2.4</v>
      </c>
      <c r="BO43" s="211"/>
      <c r="BP43" t="s">
        <v>215</v>
      </c>
      <c r="BQ43">
        <f>Crops[[#This Row],[Custom Yield Per Bed]]*Crops[[#This Row],[Direct Price]]</f>
        <v>800</v>
      </c>
      <c r="BR43" t="b">
        <v>1</v>
      </c>
      <c r="BS43" t="b">
        <f>Crops[[#This Row],[Harvests]]&gt;1</f>
        <v>1</v>
      </c>
      <c r="BT43" s="36">
        <f>IFERROR(Crops[[#This Row],[Direct Revenue Per Bed]]/Crops[[#This Row],[Days In Field]],-1)</f>
        <v>12.121212121212121</v>
      </c>
      <c r="BU43" s="33">
        <f>IFERROR(Crops[[#This Row],[Direct Revenue Per Bed Day]]*GrowingDays*BedsPerAcre,"")</f>
        <v>349090.90909090912</v>
      </c>
      <c r="BV43" s="38">
        <f>LastFrostDate-5*Crops[[#This Row],[Sewing Rel Last Frost]]</f>
        <v>45818</v>
      </c>
      <c r="BW43" s="38">
        <f>Crops[[#This Row],[Target Sewing Date]]+Crops[[#This Row],[Days in Cells]]</f>
        <v>45846</v>
      </c>
      <c r="BX43" s="38">
        <f>Crops[[#This Row],[Target Sewing Date]]+Crops[[#This Row],[STH]]</f>
        <v>45891</v>
      </c>
      <c r="BY43" s="38">
        <f>Crops[[#This Row],[Target Harvest Data]]+Crops[[#This Row],[Harvest window]]</f>
        <v>45912</v>
      </c>
      <c r="BZ43">
        <v>-14</v>
      </c>
      <c r="CA43" t="s">
        <v>373</v>
      </c>
      <c r="CB43">
        <f>1</f>
        <v>1</v>
      </c>
      <c r="CC43">
        <f>IF(Crops[[#This Row],[Transplanting]]&gt;0, 2, 3)*BedLength/StandardBedLength</f>
        <v>1</v>
      </c>
      <c r="CD43" s="173">
        <f>IF(Crops[[#This Row],[Days in Cells]]&lt;=0,0,Crops[[#This Row],[Plantings Per Bed]]/StartsPerHourSeeding+Crops[[#This Row],[Tray 1 Count]]*5/60)</f>
        <v>0.54108796296296302</v>
      </c>
      <c r="CE43" s="173">
        <f>IF(ISBLANK(Crops[[#This Row],[Tray 2 Days]]),0,Crops[[#This Row],[Plantings Per Bed]]/UpPottingPerHour)+IF(Crops[[#This Row],[Tray 3 Days]]="",0,Crops[[#This Row],[Plantings Per Bed]]/UpPottingPerHour)</f>
        <v>0</v>
      </c>
      <c r="CF43" s="173">
        <f>IFERROR(Crops[[#This Row],[Tray 1 Count]]/HomeStartFlatIrrigationPerHour,0)*Crops[[#This Row],[Days in Cells]]/DaysBetweenStartIrrigation</f>
        <v>0.21064814814814817</v>
      </c>
      <c r="CG43" s="173">
        <f>0.5/16*MAX(Crops[[#This Row],[Tray 1 Count]],Crops[[#This Row],[Tray 2 Count]],Crops[[#This Row],[Tray 3 Count]])</f>
        <v>5.6423611111111112E-2</v>
      </c>
      <c r="CH43" s="173">
        <f>IF(Crops[[#This Row],[Days in Cells]]&gt;0,IF(IF(Crops[[#This Row],[Tray 3 Size]]&gt;0,Crops[[#This Row],[Tray 3 Size]],IF(Crops[[#This Row],[Tray 2 Size]]&gt;0,Crops[[#This Row],[Tray 2 Size]],Crops[[#This Row],[Tray 1 Size]]))&lt;=18,LargeTransplantTime,SmallTransplantTime)*Crops[[#This Row],[Plantings Per Bed]],0)</f>
        <v>0.5</v>
      </c>
      <c r="CI43" s="173"/>
      <c r="CJ43" s="173">
        <f>_xlfn.XLOOKUP(Crops[[#This Row],[Trellis Type]],TrellisMethods[Trellis Type],TrellisMethods[Hours],0,0)</f>
        <v>0</v>
      </c>
      <c r="CK43">
        <f>IF(Crops[[#This Row],[Days in Cells]]&lt;=0,Crops[[#This Row],[Rows]]*1/10,0)*BedLength/50</f>
        <v>0</v>
      </c>
      <c r="CL43" cm="1">
        <f t="array" ref="CL43">_xlfn.SWITCH(Crops[[#This Row],[Irrigation]],"DR", 0.5, "OH", 0.25,0)*BedLength/50</f>
        <v>0</v>
      </c>
      <c r="CM43">
        <f>IF(OR(ISBLANK(Crops[[#This Row],[Row Cover]]),Crops[[#This Row],[Row Cover]]="None"),0,1)*BedLength/50</f>
        <v>1</v>
      </c>
      <c r="CN43" s="173">
        <f>HoursPerWeedingPass*Crops[[#This Row],[Days In Field]]/14*Crops[[#This Row],[Rows]]+1*BedLength/50</f>
        <v>2.5714285714285712</v>
      </c>
      <c r="CQ43" s="37">
        <f>_xlfn.XLOOKUP(Crops[[#This Row],[Crop]]&amp;Crops[[#This Row],[Product]]&amp;Crops[[#This Row],[Unit]],Products[ID],Products[Marketing (hr)])*Crops[[#This Row],[Direct Revenue Per Bed]]/2000</f>
        <v>0.8</v>
      </c>
      <c r="CR43" s="37">
        <f>_xlfn.XLOOKUP(Crops[[#This Row],[Crop]]&amp;Crops[[#This Row],[Product]]&amp;Crops[[#This Row],[Unit]],Products[ID],Products[Harvest (s)])*Crops[[#This Row],[Custom Yield Per Bed]]/3600</f>
        <v>2.2222222222222223</v>
      </c>
      <c r="CS43" s="37">
        <f>_xlfn.XLOOKUP(Crops[[#This Row],[Crop]]&amp;Crops[[#This Row],[Product]]&amp;Crops[[#This Row],[Unit]],Products[ID],Products[Bunch (s)])*Crops[[#This Row],[Custom Yield Per Bed]]/3600</f>
        <v>0.55555555555555558</v>
      </c>
      <c r="CT43" s="37">
        <f>_xlfn.XLOOKUP(Crops[[#This Row],[Crop]]&amp;Crops[[#This Row],[Product]]&amp;Crops[[#This Row],[Unit]],Products[ID],Products[Haul (s)])*Crops[[#This Row],[Custom Yield Per Bed]]/3600</f>
        <v>0.20833333333333334</v>
      </c>
      <c r="CU43" s="37">
        <f>_xlfn.XLOOKUP(Crops[[#This Row],[Crop]]&amp;Crops[[#This Row],[Product]]&amp;Crops[[#This Row],[Unit]],Products[ID],Products[Wash (s)])*Crops[[#This Row],[Custom Yield Per Bed]]/3600</f>
        <v>0</v>
      </c>
      <c r="CV43" s="37">
        <f>_xlfn.XLOOKUP(Crops[[#This Row],[Crop]]&amp;Crops[[#This Row],[Product]]&amp;Crops[[#This Row],[Unit]],Products[ID],Products[Condition (s)])*Crops[[#This Row],[Custom Yield Per Bed]]/3600</f>
        <v>0</v>
      </c>
      <c r="CW43" s="37">
        <f>_xlfn.XLOOKUP(Crops[[#This Row],[Crop]]&amp;Crops[[#This Row],[Product]]&amp;Crops[[#This Row],[Unit]],Products[ID],Products[Trim (s)])*Crops[[#This Row],[Custom Yield Per Bed]]/3600</f>
        <v>0.16666666666666666</v>
      </c>
      <c r="CX43" s="37">
        <f>_xlfn.XLOOKUP(Crops[[#This Row],[Crop]]&amp;Crops[[#This Row],[Product]]&amp;Crops[[#This Row],[Unit]],Products[ID],Products[Pack (s)])*Crops[[#This Row],[Custom Yield Per Bed]]/3600</f>
        <v>0.16666666666666666</v>
      </c>
      <c r="CY43" s="37">
        <f>_xlfn.XLOOKUP(Crops[[#This Row],[Crop]]&amp;Crops[[#This Row],[Product]]&amp;Crops[[#This Row],[Unit]],Products[ID],Products[Clean (s)])*Crops[[#This Row],[Custom Yield Per Bed]]/3600</f>
        <v>0</v>
      </c>
      <c r="CZ43" s="37">
        <f>_xlfn.XLOOKUP(Crops[[#This Row],[Crop]]&amp;Crops[[#This Row],[Product]]&amp;Crops[[#This Row],[Unit]],Products[ID],Products[Rehandle (s)])*Crops[[#This Row],[Custom Yield Per Bed]]/3600</f>
        <v>0</v>
      </c>
      <c r="DA43" s="37">
        <f>_xlfn.XLOOKUP(Crops[[#This Row],[Crop]]&amp;Crops[[#This Row],[Product]]&amp;Crops[[#This Row],[Unit]],Products[ID],Products[Market Transport (s)])*Crops[[#This Row],[Custom Yield Per Bed]]/3600</f>
        <v>0.52083333333333337</v>
      </c>
      <c r="DC43" s="37">
        <f>Crops[[#This Row],[Direct Revenue Per Bed2]]</f>
        <v>800</v>
      </c>
      <c r="DD43" s="173">
        <f>_xlfn.AGGREGATE(9,6,Crops[[#This Row],[Bed Prep]:[Remove Crop Residue]])</f>
        <v>10.519866071428572</v>
      </c>
      <c r="DE43" s="173">
        <f>_xlfn.AGGREGATE(9,6,Crops[[#This Row],[Bed Prep]:[Remove Crop Residue]])-0.75*Crops[[#This Row],[Market &amp; Sell]]</f>
        <v>9.9198660714285722</v>
      </c>
      <c r="DF43" s="36">
        <f>Crops[[#This Row],[Direct Revenue Per Bed2]]/Crops[[#This Row],[Direct Time]]</f>
        <v>76.04659551443909</v>
      </c>
      <c r="DG43" s="36">
        <f>_xlfn.XLOOKUP(Crops[[#This Row],[ProductIndex]],Products[ID],Products[Packaging Cost])*(Crops[[#This Row],[Custom Yield Per Bed]]/_xlfn.XLOOKUP(Crops[[#This Row],[ProductIndex]],Products[ID],Products[Units Per Pack]))</f>
        <v>31.666666666666668</v>
      </c>
      <c r="DH43" s="36"/>
      <c r="DI43" s="36"/>
      <c r="DJ43" s="36"/>
      <c r="DK43" s="36"/>
      <c r="DL43" s="36"/>
      <c r="DM43" s="37">
        <f>IFERROR(Crops[[#This Row],[Custom Yield Per Bed]]*Crops[[#This Row],[Direct Price]],"")</f>
        <v>800</v>
      </c>
      <c r="DN43" s="36">
        <f>Crops[[#This Row],[Direct Time]]*LaborRate</f>
        <v>262.99665178571428</v>
      </c>
      <c r="DO43" s="36">
        <f>SUM(Crops[[#This Row],[Irrigation Cost]])</f>
        <v>0</v>
      </c>
      <c r="DP43" s="36">
        <f>Crops[[#This Row],[Direct Labor Cost]]+Crops[[#This Row],[Direct Non-Labor Cost]]</f>
        <v>262.99665178571428</v>
      </c>
      <c r="DQ43" s="36">
        <f>Crops[[#This Row],[Direct Revenue Per Bed2]]-Crops[[#This Row],[Direct Total Cost]]</f>
        <v>537.00334821428578</v>
      </c>
      <c r="DR43" s="36">
        <f>Crops[[#This Row],[Direct Profit]]*BedsPerAcre</f>
        <v>85920.535714285725</v>
      </c>
      <c r="DS43" s="36">
        <f>Crops[[#This Row],[Direct Profit]]*BedsPerAcre*GrowingDays/Crops[[#This Row],[Days In Field]]</f>
        <v>234328.73376623381</v>
      </c>
      <c r="DT43" s="36">
        <f>Crops[[#This Row],[Direct Profit]]/MIN(Crops[[#This Row],[Days In Field]],GrowingDays)</f>
        <v>8.1364143668831179</v>
      </c>
      <c r="DU43" s="36">
        <f>Crops[[#This Row],[Direct Time]] * BedsPerAcre</f>
        <v>1683.1785714285716</v>
      </c>
      <c r="DV43" s="36">
        <f>(Crops[[#This Row],[Direct Revenue Per Bed2]]-Crops[[#This Row],[Direct Non-Labor Cost]])/Crops[[#This Row],[Direct Time]]</f>
        <v>76.04659551443909</v>
      </c>
      <c r="DW43" s="37">
        <f>IFERROR(Crops[[#This Row],[Custom Yield Per Bed]]*Crops[[#This Row],[Rough Wholesale Price]],"")</f>
        <v>480</v>
      </c>
      <c r="DX43" s="36">
        <f>Crops[[#This Row],[Wholesale Time]]*LaborRate</f>
        <v>247.99665178571431</v>
      </c>
      <c r="DY43" s="36">
        <f>SUM(Crops[[#This Row],[Packaging Costs]:[Irrigation Cost]])</f>
        <v>31.666666666666668</v>
      </c>
      <c r="DZ43" s="36">
        <f>Crops[[#This Row],[Wholesale Labor Cost]]+Crops[[#This Row],[Wholesale Non-Labor Cost]]</f>
        <v>279.66331845238096</v>
      </c>
      <c r="EA43" s="36">
        <f>Crops[[#This Row],[Wholesale Revenue Per Bed]]-Crops[[#This Row],[Wholesale Total Cost]]</f>
        <v>200.33668154761904</v>
      </c>
      <c r="EB43" s="36">
        <f>Crops[[#This Row],[Wholesale Profit]]*BedsPerAcre</f>
        <v>32053.869047619046</v>
      </c>
      <c r="EC43" s="36">
        <f>Crops[[#This Row],[Wholesale Profit]]*BedsPerAcre*GrowingDays/Crops[[#This Row],[Days In Field]]</f>
        <v>87419.642857142855</v>
      </c>
      <c r="ED43" s="36">
        <f>Crops[[#This Row],[Wholesale Time]] * BedsPerAcre</f>
        <v>1587.1785714285716</v>
      </c>
      <c r="EE43" s="36">
        <f>Crops[[#This Row],[Wholesale Profit]]/MIN(Crops[[#This Row],[Days In Field]],GrowingDays)</f>
        <v>3.0354042658730158</v>
      </c>
      <c r="EF43" s="36">
        <f>(Crops[[#This Row],[Wholesale Revenue Per Bed]]-Crops[[#This Row],[Wholesale Non-Labor Cost]])/Crops[[#This Row],[Direct Time]]</f>
        <v>42.617779569550237</v>
      </c>
      <c r="EG43" s="174">
        <f>Crops[[#This Row],[Packaging Costs]]/Crops[[#This Row],[Wholesale Revenue Per Bed]]</f>
        <v>6.5972222222222224E-2</v>
      </c>
      <c r="EH43" s="36" t="str">
        <f>Crops[[#This Row],[Crop]]&amp;Crops[[#This Row],[Product]]&amp;Crops[[#This Row],[Unit]]</f>
        <v>BroccoliLoose FloretsBunch</v>
      </c>
      <c r="EI43" s="36" t="b">
        <f>_xlfn.XLOOKUP(Crops[[#This Row],[ProductIndex]],Products[ID],Products[Target])</f>
        <v>1</v>
      </c>
      <c r="EJ43" s="36">
        <f>Crops[[#This Row],[Custom Yield Per Bed]]</f>
        <v>200</v>
      </c>
      <c r="EK43" s="210">
        <f>Crops[[#This Row],[Units Per Harvest]]/Crops[[#This Row],[Days Between Harvest]]*7</f>
        <v>50</v>
      </c>
      <c r="EL43" s="210">
        <f>Crops[[#This Row],[Custom Yield Per Bed]]/_xlfn.XLOOKUP(Crops[[#This Row],[ProductIndex]],Products[ID],Products[CSA Portion])</f>
        <v>200</v>
      </c>
      <c r="EM43" s="210">
        <f>Crops[[#This Row],[Units Per Harvest]]/Crops[[#This Row],[Days Between Harvest]]*7/_xlfn.XLOOKUP(Crops[[#This Row],[ProductIndex]],Products[ID],Products[CSA Portion])</f>
        <v>50</v>
      </c>
      <c r="EN43" s="210">
        <f>Crops[[#This Row],[CSA Portions Per Week]]/CSAMembers</f>
        <v>1</v>
      </c>
      <c r="EO43" s="210"/>
      <c r="EP43" s="210"/>
      <c r="EQ43" s="36"/>
      <c r="ER43" s="36">
        <f>Crops[[#This Row],[Harvests]]*Crops[[#This Row],[Days Between Harvest]]/7</f>
        <v>4</v>
      </c>
      <c r="ES43" s="208">
        <f>_xlfn.XLOOKUP(Crops[[#This Row],[ProductIndex]],Products[ID],Products[CSA Need])</f>
        <v>1</v>
      </c>
      <c r="ET43" s="208">
        <f>_xlfn.XLOOKUP(Crops[[#This Row],[ProductIndex]],Products[ID],Products[CSA Times])</f>
        <v>1</v>
      </c>
      <c r="EU43" s="208">
        <f>Crops[[#This Row],[Custom Yield Per Bed]]/(Crops[[#This Row],[CSA Need]]*(_xlfn.XLOOKUP(Crops[[#This Row],[ProductIndex]],Products[ID],Products[CSA Portion])*CSAMembers))</f>
        <v>4</v>
      </c>
      <c r="EV43" s="208">
        <f>_xlfn.XLOOKUP(Crops[[#This Row],[ProductIndex]],Products[ID],Products[CSA Portion])*CSAMembers*Crops[[#This Row],[CSA Need]]/Crops[[#This Row],[Custom Yield Per Bed]]</f>
        <v>0.25</v>
      </c>
      <c r="EW43" s="208">
        <f>IFERROR(Crops[[#This Row],[Days In Field]]*Crops[[#This Row],[CSA Beds]],"")</f>
        <v>16.5</v>
      </c>
      <c r="EX43" s="208" t="e">
        <f>Crops[[#This Row],[CSA Bed Days]]*#REF!</f>
        <v>#REF!</v>
      </c>
      <c r="EY43" t="s">
        <v>378</v>
      </c>
    </row>
    <row r="44" spans="1:155">
      <c r="A4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Brussel Sprouts (Early) - Mature Sprouts 1X | Field TP Wi</v>
      </c>
      <c r="B44" s="191"/>
      <c r="C44" s="1" t="b">
        <v>0</v>
      </c>
      <c r="D44" s="1"/>
      <c r="E44" s="1" t="b">
        <v>0</v>
      </c>
      <c r="F44" s="1" t="b">
        <f>IFERROR(IF(ISNUMBER(MATCH(Crops[[#This Row],[Identifier]],BedPlan[Crop], 0)), TRUE, FALSE), FALSE)</f>
        <v>0</v>
      </c>
      <c r="G44" s="1" t="b">
        <f>IFERROR(IF(ISNUMBER(MATCH(Crops[[#This Row],[Identifier]],BedPlan[Crop], 0)), TRUE, FALSE), FALSE)</f>
        <v>0</v>
      </c>
      <c r="H44" s="1" t="b">
        <v>1</v>
      </c>
      <c r="I44" t="s">
        <v>50</v>
      </c>
      <c r="J44" t="s">
        <v>334</v>
      </c>
      <c r="K44" t="s">
        <v>399</v>
      </c>
      <c r="N44" t="str">
        <f>Crops[[#This Row],[Crop]]</f>
        <v>Brussel Sprouts</v>
      </c>
      <c r="O44" t="s">
        <v>210</v>
      </c>
      <c r="P44" t="str">
        <f>IF(OR(Crops[[#This Row],[Days in Cells]]="",Crops[[#This Row],[Days in Cells]]=0), "DS","TP")</f>
        <v>TP</v>
      </c>
      <c r="T44" t="b">
        <v>1</v>
      </c>
      <c r="V44" t="str">
        <f xml:space="preserve"> IF(Crops[[#This Row],[Sp]], "Sp", "") &amp; IF(Crops[[#This Row],[Su]], "Su", "") &amp; IF(Crops[[#This Row],[Fa]], "Fa", "") &amp; IF(Crops[[#This Row],[Wi]], "Wi", "") &amp; IF(Crops[[#This Row],[OW]], "Ow","")</f>
        <v>Wi</v>
      </c>
      <c r="W44" t="b">
        <v>1</v>
      </c>
      <c r="X44">
        <v>2</v>
      </c>
      <c r="Y44">
        <v>24</v>
      </c>
      <c r="AD44" s="32">
        <f>IFERROR(12/Crops[[#This Row],[Spacing]]*Crops[[#This Row],[Rows]]*BedLength,"")</f>
        <v>50</v>
      </c>
      <c r="AE44">
        <v>1</v>
      </c>
      <c r="AG44">
        <f>IF(Crops[[#This Row],[Custom Safety Factor]]="",PlantingSafetyFactor,Crops[[#This Row],[Custom Safety Factor]])</f>
        <v>1.3</v>
      </c>
      <c r="AH44">
        <f>1</f>
        <v>1</v>
      </c>
      <c r="AI44" s="37">
        <f>IFERROR(Crops[[#This Row],[Plantings Per Bed]]*Crops[[#This Row],[Seeds Per Planting]]*Crops[[#This Row],[Safety Factor]]*Crops[[#This Row],[Seeding Factor]],"")</f>
        <v>65</v>
      </c>
      <c r="AL44">
        <f>_xlfn.FLOOR.MATH(IFERROR(AVERAGE(Crops[[#This Row],[DTG Lower]:[DTG Upper]]),0))</f>
        <v>0</v>
      </c>
      <c r="AM44">
        <f>SUM(Crops[[#This Row],[Tray 1 Days]],Crops[[#This Row],[Tray 2 Days]],Crops[[#This Row],[Tray 3 Days]])</f>
        <v>42</v>
      </c>
      <c r="AN44">
        <v>8</v>
      </c>
      <c r="AO44">
        <v>120</v>
      </c>
      <c r="AP44">
        <v>180</v>
      </c>
      <c r="AQ44">
        <f>IFERROR(_xlfn.FLOOR.MATH(AVERAGE(Crops[[#This Row],[DTM Lower]:[DTM Upper]])),"")</f>
        <v>150</v>
      </c>
      <c r="AR44" cm="1">
        <f t="array" ref="AR44">_xlfn.SWITCH(Crops[[#This Row],[Normal Method]],"DS",Crops[[#This Row],[Days to Germination]]+Crops[[#This Row],[DTM]] + IF(Crops[[#This Row],[Days in Cells]]&gt;0,15,0), "TP",Crops[[#This Row],[DTM]]+Crops[[#This Row],[Days in Cells]] + IF(Crops[[#This Row],[Days in Cells]]&lt;=0,20,0), "X", Crops[[#This Row],[DTM]])</f>
        <v>150</v>
      </c>
      <c r="AS44" t="s">
        <v>347</v>
      </c>
      <c r="AT44">
        <f>(Crops[[#This Row],[Harvests]]-1)*Crops[[#This Row],[Days Between Harvest]]+7</f>
        <v>112</v>
      </c>
      <c r="AU44">
        <f>Crops[[#This Row],[STH]]-Crops[[#This Row],[Days in Cells]]+Crops[[#This Row],[Harvest window]]</f>
        <v>220</v>
      </c>
      <c r="AX44">
        <v>400</v>
      </c>
      <c r="AY44">
        <v>14</v>
      </c>
      <c r="AZ44">
        <f>IFERROR(IF(Crops[[#This Row],[Tray 1 Days]]=0,"",Crops[[#This Row],[Plantings Per Bed]]/Crops[[#This Row],[Tray 1 Size]]*Crops[[#This Row],[Safety Factor]]),"")</f>
        <v>0.16250000000000001</v>
      </c>
      <c r="BA44">
        <v>128</v>
      </c>
      <c r="BB44">
        <v>14</v>
      </c>
      <c r="BC44">
        <f>IFERROR(IF(Crops[[#This Row],[Tray 2 Days]]=0,"",Crops[[#This Row],[Plantings Per Bed]]/Crops[[#This Row],[Tray 2 Size]]*Crops[[#This Row],[Safety Factor]]),"")</f>
        <v>0.5078125</v>
      </c>
      <c r="BD44">
        <v>50</v>
      </c>
      <c r="BE44" s="32">
        <v>14</v>
      </c>
      <c r="BF44">
        <f>IFERROR(IF(Crops[[#This Row],[Tray 3 Days]]=0,"",Crops[[#This Row],[Plantings Per Bed]]/Crops[[#This Row],[Tray 3 Size]]*Crops[[#This Row],[Safety Factor]]),"")</f>
        <v>1.3</v>
      </c>
      <c r="BG44">
        <f>Crops[[#This Row],[Plantings Per Bed]]*2.5/Crops[[#This Row],[Harvests]]</f>
        <v>7.8125</v>
      </c>
      <c r="BH44">
        <f>4*4</f>
        <v>16</v>
      </c>
      <c r="BI44">
        <v>7</v>
      </c>
      <c r="BJ44" s="37">
        <f>_xlfn.XLOOKUP(Crops[[#This Row],[ProductIndex]],Products[ID],Products[Holding Period])</f>
        <v>0</v>
      </c>
      <c r="BL44" s="37">
        <f>Crops[[#This Row],[Units Per Harvest]]*Crops[[#This Row],[Harvests]]</f>
        <v>125</v>
      </c>
      <c r="BM44">
        <v>5</v>
      </c>
      <c r="BN44" s="211">
        <f>Crops[[#This Row],[Direct Price]]*0.6</f>
        <v>3</v>
      </c>
      <c r="BO44" s="211"/>
      <c r="BP44" t="s">
        <v>383</v>
      </c>
      <c r="BQ44">
        <f>Crops[[#This Row],[Custom Yield Per Bed]]*Crops[[#This Row],[Direct Price]]</f>
        <v>625</v>
      </c>
      <c r="BR44" t="b">
        <v>0</v>
      </c>
      <c r="BS44" t="b">
        <f>Crops[[#This Row],[Harvests]]&gt;1</f>
        <v>1</v>
      </c>
      <c r="BT44" s="36">
        <f>IFERROR(Crops[[#This Row],[Direct Revenue Per Bed]]/Crops[[#This Row],[Days In Field]],-1)</f>
        <v>2.8409090909090908</v>
      </c>
      <c r="BU44" s="33">
        <f>IFERROR(Crops[[#This Row],[Direct Revenue Per Bed Day]]*GrowingDays*BedsPerAcre,"")</f>
        <v>81818.181818181823</v>
      </c>
      <c r="BV44" s="38">
        <f>LastFrostDate-5*Crops[[#This Row],[Sewing Rel Last Frost]]</f>
        <v>45773</v>
      </c>
      <c r="BW44" s="38">
        <f>Crops[[#This Row],[Target Sewing Date]]+Crops[[#This Row],[Days in Cells]]</f>
        <v>45815</v>
      </c>
      <c r="BX44" s="38">
        <f>Crops[[#This Row],[Target Sewing Date]]+Crops[[#This Row],[STH]]</f>
        <v>45923</v>
      </c>
      <c r="BY44" s="38">
        <f>Crops[[#This Row],[Target Harvest Data]]+Crops[[#This Row],[Harvest window]]</f>
        <v>46035</v>
      </c>
      <c r="BZ44">
        <v>-5</v>
      </c>
      <c r="CA44" t="s">
        <v>373</v>
      </c>
      <c r="CB44">
        <f>1</f>
        <v>1</v>
      </c>
      <c r="CC44">
        <f>IF(Crops[[#This Row],[Transplanting]]&gt;0, 2, 3)*BedLength/StandardBedLength</f>
        <v>1</v>
      </c>
      <c r="CD44" s="173">
        <f>IF(Crops[[#This Row],[Days in Cells]]&lt;=0,0,Crops[[#This Row],[Plantings Per Bed]]/StartsPerHourSeeding+Crops[[#This Row],[Tray 1 Count]]*5/60)</f>
        <v>0.20885416666666667</v>
      </c>
      <c r="CE44" s="173">
        <f>IF(ISBLANK(Crops[[#This Row],[Tray 2 Days]]),0,Crops[[#This Row],[Plantings Per Bed]]/UpPottingPerHour)+IF(Crops[[#This Row],[Tray 3 Days]]="",0,Crops[[#This Row],[Plantings Per Bed]]/UpPottingPerHour)</f>
        <v>0.83333333333333337</v>
      </c>
      <c r="CF44" s="173">
        <f>IFERROR(Crops[[#This Row],[Tray 1 Count]]/HomeStartFlatIrrigationPerHour,0)*Crops[[#This Row],[Days in Cells]]/DaysBetweenStartIrrigation</f>
        <v>2.8437500000000001E-2</v>
      </c>
      <c r="CG44" s="173">
        <f>0.5/16*MAX(Crops[[#This Row],[Tray 1 Count]],Crops[[#This Row],[Tray 2 Count]],Crops[[#This Row],[Tray 3 Count]])</f>
        <v>4.0625000000000001E-2</v>
      </c>
      <c r="CH44" s="173">
        <f>IF(Crops[[#This Row],[Days in Cells]]&gt;0,IF(IF(Crops[[#This Row],[Tray 3 Size]]&gt;0,Crops[[#This Row],[Tray 3 Size]],IF(Crops[[#This Row],[Tray 2 Size]]&gt;0,Crops[[#This Row],[Tray 2 Size]],Crops[[#This Row],[Tray 1 Size]]))&lt;=18,LargeTransplantTime,SmallTransplantTime)*Crops[[#This Row],[Plantings Per Bed]],0)</f>
        <v>0.25</v>
      </c>
      <c r="CI44" s="173"/>
      <c r="CJ44" s="173">
        <f>_xlfn.XLOOKUP(Crops[[#This Row],[Trellis Type]],TrellisMethods[Trellis Type],TrellisMethods[Hours],0,0)</f>
        <v>0</v>
      </c>
      <c r="CK44">
        <f>IF(Crops[[#This Row],[Days in Cells]]&lt;=0,Crops[[#This Row],[Rows]]*1/10,0)*BedLength/50</f>
        <v>0</v>
      </c>
      <c r="CL44" cm="1">
        <f t="array" ref="CL44">_xlfn.SWITCH(Crops[[#This Row],[Irrigation]],"DR", 0.5, "OH", 0.25,0)*BedLength/50</f>
        <v>0</v>
      </c>
      <c r="CM44">
        <f>IF(OR(ISBLANK(Crops[[#This Row],[Row Cover]]),Crops[[#This Row],[Row Cover]]="None"),0,1)*BedLength/50</f>
        <v>0</v>
      </c>
      <c r="CN44" s="173">
        <f>HoursPerWeedingPass*Crops[[#This Row],[Days In Field]]/14*Crops[[#This Row],[Rows]]+1*BedLength/50</f>
        <v>6.2380952380952381</v>
      </c>
      <c r="CQ44" s="37">
        <f>_xlfn.XLOOKUP(Crops[[#This Row],[Crop]]&amp;Crops[[#This Row],[Product]]&amp;Crops[[#This Row],[Unit]],Products[ID],Products[Marketing (hr)])*Crops[[#This Row],[Direct Revenue Per Bed]]/2000</f>
        <v>0.625</v>
      </c>
      <c r="CR44" s="37">
        <f>_xlfn.XLOOKUP(Crops[[#This Row],[Crop]]&amp;Crops[[#This Row],[Product]]&amp;Crops[[#This Row],[Unit]],Products[ID],Products[Harvest (s)])*Crops[[#This Row],[Custom Yield Per Bed]]/3600</f>
        <v>0.69444444444444442</v>
      </c>
      <c r="CS44" s="37">
        <f>_xlfn.XLOOKUP(Crops[[#This Row],[Crop]]&amp;Crops[[#This Row],[Product]]&amp;Crops[[#This Row],[Unit]],Products[ID],Products[Bunch (s)])*Crops[[#This Row],[Custom Yield Per Bed]]/3600</f>
        <v>0</v>
      </c>
      <c r="CT44" s="37">
        <f>_xlfn.XLOOKUP(Crops[[#This Row],[Crop]]&amp;Crops[[#This Row],[Product]]&amp;Crops[[#This Row],[Unit]],Products[ID],Products[Haul (s)])*Crops[[#This Row],[Custom Yield Per Bed]]/3600</f>
        <v>7.8125E-2</v>
      </c>
      <c r="CU44" s="37">
        <f>_xlfn.XLOOKUP(Crops[[#This Row],[Crop]]&amp;Crops[[#This Row],[Product]]&amp;Crops[[#This Row],[Unit]],Products[ID],Products[Wash (s)])*Crops[[#This Row],[Custom Yield Per Bed]]/3600</f>
        <v>0</v>
      </c>
      <c r="CV44" s="37">
        <f>_xlfn.XLOOKUP(Crops[[#This Row],[Crop]]&amp;Crops[[#This Row],[Product]]&amp;Crops[[#This Row],[Unit]],Products[ID],Products[Condition (s)])*Crops[[#This Row],[Custom Yield Per Bed]]/3600</f>
        <v>0</v>
      </c>
      <c r="CW44" s="37">
        <f>_xlfn.XLOOKUP(Crops[[#This Row],[Crop]]&amp;Crops[[#This Row],[Product]]&amp;Crops[[#This Row],[Unit]],Products[ID],Products[Trim (s)])*Crops[[#This Row],[Custom Yield Per Bed]]/3600</f>
        <v>0</v>
      </c>
      <c r="CX44" s="37">
        <f>_xlfn.XLOOKUP(Crops[[#This Row],[Crop]]&amp;Crops[[#This Row],[Product]]&amp;Crops[[#This Row],[Unit]],Products[ID],Products[Pack (s)])*Crops[[#This Row],[Custom Yield Per Bed]]/3600</f>
        <v>0.10416666666666667</v>
      </c>
      <c r="CY44" s="37">
        <f>_xlfn.XLOOKUP(Crops[[#This Row],[Crop]]&amp;Crops[[#This Row],[Product]]&amp;Crops[[#This Row],[Unit]],Products[ID],Products[Clean (s)])*Crops[[#This Row],[Custom Yield Per Bed]]/3600</f>
        <v>0</v>
      </c>
      <c r="CZ44" s="37">
        <f>_xlfn.XLOOKUP(Crops[[#This Row],[Crop]]&amp;Crops[[#This Row],[Product]]&amp;Crops[[#This Row],[Unit]],Products[ID],Products[Rehandle (s)])*Crops[[#This Row],[Custom Yield Per Bed]]/3600</f>
        <v>0</v>
      </c>
      <c r="DA44" s="37">
        <f>_xlfn.XLOOKUP(Crops[[#This Row],[Crop]]&amp;Crops[[#This Row],[Product]]&amp;Crops[[#This Row],[Unit]],Products[ID],Products[Market Transport (s)])*Crops[[#This Row],[Custom Yield Per Bed]]/3600</f>
        <v>0.1953125</v>
      </c>
      <c r="DC44" s="37">
        <f>Crops[[#This Row],[Direct Revenue Per Bed2]]</f>
        <v>625</v>
      </c>
      <c r="DD44" s="173">
        <f>_xlfn.AGGREGATE(9,6,Crops[[#This Row],[Bed Prep]:[Remove Crop Residue]])</f>
        <v>10.29639384920635</v>
      </c>
      <c r="DE44" s="173">
        <f>_xlfn.AGGREGATE(9,6,Crops[[#This Row],[Bed Prep]:[Remove Crop Residue]])-0.75*Crops[[#This Row],[Market &amp; Sell]]</f>
        <v>9.8276438492063498</v>
      </c>
      <c r="DF44" s="36">
        <f>Crops[[#This Row],[Direct Revenue Per Bed2]]/Crops[[#This Row],[Direct Time]]</f>
        <v>60.700863734750712</v>
      </c>
      <c r="DG44" s="36">
        <f>_xlfn.XLOOKUP(Crops[[#This Row],[ProductIndex]],Products[ID],Products[Packaging Cost])*(Crops[[#This Row],[Custom Yield Per Bed]]/_xlfn.XLOOKUP(Crops[[#This Row],[ProductIndex]],Products[ID],Products[Units Per Pack]))</f>
        <v>15.833333333333334</v>
      </c>
      <c r="DH44" s="36"/>
      <c r="DI44" s="36"/>
      <c r="DJ44" s="36"/>
      <c r="DK44" s="36"/>
      <c r="DL44" s="36"/>
      <c r="DM44" s="37">
        <f>IFERROR(Crops[[#This Row],[Custom Yield Per Bed]]*Crops[[#This Row],[Direct Price]],"")</f>
        <v>625</v>
      </c>
      <c r="DN44" s="36">
        <f>Crops[[#This Row],[Direct Time]]*LaborRate</f>
        <v>257.40984623015873</v>
      </c>
      <c r="DO44" s="36">
        <f>SUM(Crops[[#This Row],[Irrigation Cost]])</f>
        <v>0</v>
      </c>
      <c r="DP44" s="36">
        <f>Crops[[#This Row],[Direct Labor Cost]]+Crops[[#This Row],[Direct Non-Labor Cost]]</f>
        <v>257.40984623015873</v>
      </c>
      <c r="DQ44" s="36">
        <f>Crops[[#This Row],[Direct Revenue Per Bed2]]-Crops[[#This Row],[Direct Total Cost]]</f>
        <v>367.59015376984127</v>
      </c>
      <c r="DR44" s="36">
        <f>Crops[[#This Row],[Direct Profit]]*BedsPerAcre</f>
        <v>58814.424603174601</v>
      </c>
      <c r="DS44" s="36">
        <f>Crops[[#This Row],[Direct Profit]]*BedsPerAcre*GrowingDays/Crops[[#This Row],[Days In Field]]</f>
        <v>48120.892857142848</v>
      </c>
      <c r="DT44" s="36">
        <f>Crops[[#This Row],[Direct Profit]]/MIN(Crops[[#This Row],[Days In Field]],GrowingDays)</f>
        <v>2.0421675209435626</v>
      </c>
      <c r="DU44" s="36">
        <f>Crops[[#This Row],[Direct Time]] * BedsPerAcre</f>
        <v>1647.4230158730161</v>
      </c>
      <c r="DV44" s="36">
        <f>(Crops[[#This Row],[Direct Revenue Per Bed2]]-Crops[[#This Row],[Direct Non-Labor Cost]])/Crops[[#This Row],[Direct Time]]</f>
        <v>60.700863734750712</v>
      </c>
      <c r="DW44" s="37">
        <f>IFERROR(Crops[[#This Row],[Custom Yield Per Bed]]*Crops[[#This Row],[Rough Wholesale Price]],"")</f>
        <v>375</v>
      </c>
      <c r="DX44" s="36">
        <f>Crops[[#This Row],[Wholesale Time]]*LaborRate</f>
        <v>245.69109623015873</v>
      </c>
      <c r="DY44" s="36">
        <f>SUM(Crops[[#This Row],[Packaging Costs]:[Irrigation Cost]])</f>
        <v>15.833333333333334</v>
      </c>
      <c r="DZ44" s="36">
        <f>Crops[[#This Row],[Wholesale Labor Cost]]+Crops[[#This Row],[Wholesale Non-Labor Cost]]</f>
        <v>261.52442956349205</v>
      </c>
      <c r="EA44" s="36">
        <f>Crops[[#This Row],[Wholesale Revenue Per Bed]]-Crops[[#This Row],[Wholesale Total Cost]]</f>
        <v>113.47557043650795</v>
      </c>
      <c r="EB44" s="36">
        <f>Crops[[#This Row],[Wholesale Profit]]*BedsPerAcre</f>
        <v>18156.091269841272</v>
      </c>
      <c r="EC44" s="36">
        <f>Crops[[#This Row],[Wholesale Profit]]*BedsPerAcre*GrowingDays/Crops[[#This Row],[Days In Field]]</f>
        <v>14854.983766233769</v>
      </c>
      <c r="ED44" s="36">
        <f>Crops[[#This Row],[Wholesale Time]] * BedsPerAcre</f>
        <v>1572.4230158730161</v>
      </c>
      <c r="EE44" s="36">
        <f>Crops[[#This Row],[Wholesale Profit]]/MIN(Crops[[#This Row],[Days In Field]],GrowingDays)</f>
        <v>0.63041983575837746</v>
      </c>
      <c r="EF44" s="36">
        <f>(Crops[[#This Row],[Wholesale Revenue Per Bed]]-Crops[[#This Row],[Wholesale Non-Labor Cost]])/Crops[[#This Row],[Direct Time]]</f>
        <v>34.882763026236745</v>
      </c>
      <c r="EG44" s="174">
        <f>Crops[[#This Row],[Packaging Costs]]/Crops[[#This Row],[Wholesale Revenue Per Bed]]</f>
        <v>4.2222222222222223E-2</v>
      </c>
      <c r="EH44" s="36" t="str">
        <f>Crops[[#This Row],[Crop]]&amp;Crops[[#This Row],[Product]]&amp;Crops[[#This Row],[Unit]]</f>
        <v>Brussel SproutsMature SproutsLb</v>
      </c>
      <c r="EI44" s="36" t="b">
        <f>_xlfn.XLOOKUP(Crops[[#This Row],[ProductIndex]],Products[ID],Products[Target])</f>
        <v>1</v>
      </c>
      <c r="EJ44" s="36">
        <f>Crops[[#This Row],[Custom Yield Per Bed]]</f>
        <v>125</v>
      </c>
      <c r="EK44" s="210">
        <f>Crops[[#This Row],[Units Per Harvest]]/Crops[[#This Row],[Days Between Harvest]]*7</f>
        <v>7.8125</v>
      </c>
      <c r="EL44" s="210" t="e">
        <f>Crops[[#This Row],[Custom Yield Per Bed]]/_xlfn.XLOOKUP(Crops[[#This Row],[ProductIndex]],Products[ID],Products[CSA Portion])</f>
        <v>#DIV/0!</v>
      </c>
      <c r="EM44" s="210" t="e">
        <f>Crops[[#This Row],[Units Per Harvest]]/Crops[[#This Row],[Days Between Harvest]]*7/_xlfn.XLOOKUP(Crops[[#This Row],[ProductIndex]],Products[ID],Products[CSA Portion])</f>
        <v>#DIV/0!</v>
      </c>
      <c r="EN44" s="210" t="e">
        <f>Crops[[#This Row],[CSA Portions Per Week]]/CSAMembers</f>
        <v>#DIV/0!</v>
      </c>
      <c r="EO44" s="210"/>
      <c r="EP44" s="210"/>
      <c r="EQ44" s="36"/>
      <c r="ER44" s="36">
        <f>Crops[[#This Row],[Harvests]]*Crops[[#This Row],[Days Between Harvest]]/7</f>
        <v>16</v>
      </c>
      <c r="ES44" s="208">
        <f>_xlfn.XLOOKUP(Crops[[#This Row],[ProductIndex]],Products[ID],Products[CSA Need])</f>
        <v>0</v>
      </c>
      <c r="ET44" s="208">
        <f>_xlfn.XLOOKUP(Crops[[#This Row],[ProductIndex]],Products[ID],Products[CSA Times])</f>
        <v>0</v>
      </c>
      <c r="EU44" s="208" t="e">
        <f>Crops[[#This Row],[Custom Yield Per Bed]]/(Crops[[#This Row],[CSA Need]]*(_xlfn.XLOOKUP(Crops[[#This Row],[ProductIndex]],Products[ID],Products[CSA Portion])*CSAMembers))</f>
        <v>#DIV/0!</v>
      </c>
      <c r="EV44" s="208">
        <f>_xlfn.XLOOKUP(Crops[[#This Row],[ProductIndex]],Products[ID],Products[CSA Portion])*CSAMembers*Crops[[#This Row],[CSA Need]]/Crops[[#This Row],[Custom Yield Per Bed]]</f>
        <v>0</v>
      </c>
      <c r="EW44" s="208">
        <f>IFERROR(Crops[[#This Row],[Days In Field]]*Crops[[#This Row],[CSA Beds]],"")</f>
        <v>0</v>
      </c>
      <c r="EX44" s="208" t="e">
        <f>Crops[[#This Row],[CSA Bed Days]]*#REF!</f>
        <v>#REF!</v>
      </c>
      <c r="EY44" t="s">
        <v>1414</v>
      </c>
    </row>
    <row r="45" spans="1:155">
      <c r="A4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Brussel Sprouts (Late) - Mature Sprouts 1X | Field TP Wi</v>
      </c>
      <c r="B45" s="191"/>
      <c r="C45" s="1" t="b">
        <v>0</v>
      </c>
      <c r="D45" s="1"/>
      <c r="E45" s="1" t="b">
        <v>0</v>
      </c>
      <c r="F45" s="1" t="b">
        <f>IFERROR(IF(ISNUMBER(MATCH(Crops[[#This Row],[Identifier]],BedPlan[Crop], 0)), TRUE, FALSE), FALSE)</f>
        <v>0</v>
      </c>
      <c r="G45" s="1" t="b">
        <f>IFERROR(IF(ISNUMBER(MATCH(Crops[[#This Row],[Identifier]],BedPlan[Crop], 0)), TRUE, FALSE), FALSE)</f>
        <v>0</v>
      </c>
      <c r="H45" s="1" t="b">
        <v>1</v>
      </c>
      <c r="I45" t="s">
        <v>50</v>
      </c>
      <c r="J45" t="s">
        <v>370</v>
      </c>
      <c r="K45" t="s">
        <v>399</v>
      </c>
      <c r="N45" t="str">
        <f>Crops[[#This Row],[Crop]]</f>
        <v>Brussel Sprouts</v>
      </c>
      <c r="O45" t="s">
        <v>210</v>
      </c>
      <c r="P45" t="str">
        <f>IF(OR(Crops[[#This Row],[Days in Cells]]="",Crops[[#This Row],[Days in Cells]]=0), "DS","TP")</f>
        <v>TP</v>
      </c>
      <c r="T45" t="b">
        <v>1</v>
      </c>
      <c r="V45" t="str">
        <f xml:space="preserve"> IF(Crops[[#This Row],[Sp]], "Sp", "") &amp; IF(Crops[[#This Row],[Su]], "Su", "") &amp; IF(Crops[[#This Row],[Fa]], "Fa", "") &amp; IF(Crops[[#This Row],[Wi]], "Wi", "") &amp; IF(Crops[[#This Row],[OW]], "Ow","")</f>
        <v>Wi</v>
      </c>
      <c r="W45" t="b">
        <v>1</v>
      </c>
      <c r="X45">
        <v>2</v>
      </c>
      <c r="Y45">
        <v>24</v>
      </c>
      <c r="AD45" s="32">
        <f>IFERROR(12/Crops[[#This Row],[Spacing]]*Crops[[#This Row],[Rows]]*BedLength,"")</f>
        <v>50</v>
      </c>
      <c r="AE45">
        <v>1</v>
      </c>
      <c r="AG45">
        <f>IF(Crops[[#This Row],[Custom Safety Factor]]="",PlantingSafetyFactor,Crops[[#This Row],[Custom Safety Factor]])</f>
        <v>1.3</v>
      </c>
      <c r="AH45">
        <f>1</f>
        <v>1</v>
      </c>
      <c r="AI45" s="37">
        <f>IFERROR(Crops[[#This Row],[Plantings Per Bed]]*Crops[[#This Row],[Seeds Per Planting]]*Crops[[#This Row],[Safety Factor]]*Crops[[#This Row],[Seeding Factor]],"")</f>
        <v>65</v>
      </c>
      <c r="AL45">
        <f>_xlfn.FLOOR.MATH(IFERROR(AVERAGE(Crops[[#This Row],[DTG Lower]:[DTG Upper]]),0))</f>
        <v>0</v>
      </c>
      <c r="AM45">
        <f>SUM(Crops[[#This Row],[Tray 1 Days]],Crops[[#This Row],[Tray 2 Days]],Crops[[#This Row],[Tray 3 Days]])</f>
        <v>42</v>
      </c>
      <c r="AN45">
        <v>8</v>
      </c>
      <c r="AO45">
        <v>180</v>
      </c>
      <c r="AP45">
        <v>240</v>
      </c>
      <c r="AQ45">
        <f>IFERROR(_xlfn.FLOOR.MATH(AVERAGE(Crops[[#This Row],[DTM Lower]:[DTM Upper]])),"")</f>
        <v>210</v>
      </c>
      <c r="AR45" cm="1">
        <f t="array" ref="AR45">_xlfn.SWITCH(Crops[[#This Row],[Normal Method]],"DS",Crops[[#This Row],[Days to Germination]]+Crops[[#This Row],[DTM]] + IF(Crops[[#This Row],[Days in Cells]]&gt;0,15,0), "TP",Crops[[#This Row],[DTM]]+Crops[[#This Row],[Days in Cells]] + IF(Crops[[#This Row],[Days in Cells]]&lt;=0,20,0), "X", Crops[[#This Row],[DTM]])</f>
        <v>210</v>
      </c>
      <c r="AS45" t="s">
        <v>347</v>
      </c>
      <c r="AT45">
        <f>(Crops[[#This Row],[Harvests]]-1)*Crops[[#This Row],[Days Between Harvest]]+7</f>
        <v>112</v>
      </c>
      <c r="AU45">
        <f>Crops[[#This Row],[STH]]-Crops[[#This Row],[Days in Cells]]+Crops[[#This Row],[Harvest window]]</f>
        <v>280</v>
      </c>
      <c r="AX45">
        <v>400</v>
      </c>
      <c r="AY45">
        <v>14</v>
      </c>
      <c r="AZ45">
        <f>IFERROR(IF(Crops[[#This Row],[Tray 1 Days]]=0,"",Crops[[#This Row],[Plantings Per Bed]]/Crops[[#This Row],[Tray 1 Size]]*Crops[[#This Row],[Safety Factor]]),"")</f>
        <v>0.16250000000000001</v>
      </c>
      <c r="BA45">
        <v>128</v>
      </c>
      <c r="BB45">
        <v>14</v>
      </c>
      <c r="BC45">
        <f>IFERROR(IF(Crops[[#This Row],[Tray 2 Days]]=0,"",Crops[[#This Row],[Plantings Per Bed]]/Crops[[#This Row],[Tray 2 Size]]*Crops[[#This Row],[Safety Factor]]),"")</f>
        <v>0.5078125</v>
      </c>
      <c r="BD45">
        <v>50</v>
      </c>
      <c r="BE45" s="32">
        <v>14</v>
      </c>
      <c r="BF45">
        <f>IFERROR(IF(Crops[[#This Row],[Tray 3 Days]]=0,"",Crops[[#This Row],[Plantings Per Bed]]/Crops[[#This Row],[Tray 3 Size]]*Crops[[#This Row],[Safety Factor]]),"")</f>
        <v>1.3</v>
      </c>
      <c r="BG45">
        <f>Crops[[#This Row],[Plantings Per Bed]]*2.5/Crops[[#This Row],[Harvests]]</f>
        <v>7.8125</v>
      </c>
      <c r="BH45">
        <f>4*4</f>
        <v>16</v>
      </c>
      <c r="BI45">
        <v>7</v>
      </c>
      <c r="BJ45" s="37">
        <f>_xlfn.XLOOKUP(Crops[[#This Row],[ProductIndex]],Products[ID],Products[Holding Period])</f>
        <v>0</v>
      </c>
      <c r="BL45" s="37">
        <f>Crops[[#This Row],[Units Per Harvest]]*Crops[[#This Row],[Harvests]]</f>
        <v>125</v>
      </c>
      <c r="BM45">
        <v>5</v>
      </c>
      <c r="BN45" s="211">
        <f>Crops[[#This Row],[Direct Price]]*0.6</f>
        <v>3</v>
      </c>
      <c r="BO45" s="211"/>
      <c r="BP45" t="s">
        <v>383</v>
      </c>
      <c r="BQ45">
        <f>Crops[[#This Row],[Custom Yield Per Bed]]*Crops[[#This Row],[Direct Price]]</f>
        <v>625</v>
      </c>
      <c r="BR45" t="b">
        <v>0</v>
      </c>
      <c r="BS45" t="b">
        <f>Crops[[#This Row],[Harvests]]&gt;1</f>
        <v>1</v>
      </c>
      <c r="BT45" s="36">
        <f>IFERROR(Crops[[#This Row],[Direct Revenue Per Bed]]/Crops[[#This Row],[Days In Field]],-1)</f>
        <v>2.2321428571428572</v>
      </c>
      <c r="BU45" s="33">
        <f>IFERROR(Crops[[#This Row],[Direct Revenue Per Bed Day]]*GrowingDays*BedsPerAcre,"")</f>
        <v>64285.714285714283</v>
      </c>
      <c r="BV45" s="38">
        <f>LastFrostDate-5*Crops[[#This Row],[Sewing Rel Last Frost]]</f>
        <v>45773</v>
      </c>
      <c r="BW45" s="38">
        <f>Crops[[#This Row],[Target Sewing Date]]+Crops[[#This Row],[Days in Cells]]</f>
        <v>45815</v>
      </c>
      <c r="BX45" s="38">
        <f>Crops[[#This Row],[Target Sewing Date]]+Crops[[#This Row],[STH]]</f>
        <v>45983</v>
      </c>
      <c r="BY45" s="38">
        <f>Crops[[#This Row],[Target Harvest Data]]+Crops[[#This Row],[Harvest window]]</f>
        <v>46095</v>
      </c>
      <c r="BZ45">
        <v>-5</v>
      </c>
      <c r="CA45" t="s">
        <v>373</v>
      </c>
      <c r="CB45">
        <f>1</f>
        <v>1</v>
      </c>
      <c r="CC45">
        <f>IF(Crops[[#This Row],[Transplanting]]&gt;0, 2, 3)*BedLength/StandardBedLength</f>
        <v>1</v>
      </c>
      <c r="CD45" s="173">
        <f>IF(Crops[[#This Row],[Days in Cells]]&lt;=0,0,Crops[[#This Row],[Plantings Per Bed]]/StartsPerHourSeeding+Crops[[#This Row],[Tray 1 Count]]*5/60)</f>
        <v>0.20885416666666667</v>
      </c>
      <c r="CE45" s="173">
        <f>IF(ISBLANK(Crops[[#This Row],[Tray 2 Days]]),0,Crops[[#This Row],[Plantings Per Bed]]/UpPottingPerHour)+IF(Crops[[#This Row],[Tray 3 Days]]="",0,Crops[[#This Row],[Plantings Per Bed]]/UpPottingPerHour)</f>
        <v>0.83333333333333337</v>
      </c>
      <c r="CF45" s="173">
        <f>IFERROR(Crops[[#This Row],[Tray 1 Count]]/HomeStartFlatIrrigationPerHour,0)*Crops[[#This Row],[Days in Cells]]/DaysBetweenStartIrrigation</f>
        <v>2.8437500000000001E-2</v>
      </c>
      <c r="CG45" s="173">
        <f>0.5/16*MAX(Crops[[#This Row],[Tray 1 Count]],Crops[[#This Row],[Tray 2 Count]],Crops[[#This Row],[Tray 3 Count]])</f>
        <v>4.0625000000000001E-2</v>
      </c>
      <c r="CH45" s="173">
        <f>IF(Crops[[#This Row],[Days in Cells]]&gt;0,IF(IF(Crops[[#This Row],[Tray 3 Size]]&gt;0,Crops[[#This Row],[Tray 3 Size]],IF(Crops[[#This Row],[Tray 2 Size]]&gt;0,Crops[[#This Row],[Tray 2 Size]],Crops[[#This Row],[Tray 1 Size]]))&lt;=18,LargeTransplantTime,SmallTransplantTime)*Crops[[#This Row],[Plantings Per Bed]],0)</f>
        <v>0.25</v>
      </c>
      <c r="CI45" s="173"/>
      <c r="CJ45" s="173">
        <f>_xlfn.XLOOKUP(Crops[[#This Row],[Trellis Type]],TrellisMethods[Trellis Type],TrellisMethods[Hours],0,0)</f>
        <v>0</v>
      </c>
      <c r="CK45">
        <f>IF(Crops[[#This Row],[Days in Cells]]&lt;=0,Crops[[#This Row],[Rows]]*1/10,0)*BedLength/50</f>
        <v>0</v>
      </c>
      <c r="CL45" cm="1">
        <f t="array" ref="CL45">_xlfn.SWITCH(Crops[[#This Row],[Irrigation]],"DR", 0.5, "OH", 0.25,0)*BedLength/50</f>
        <v>0</v>
      </c>
      <c r="CM45">
        <f>IF(OR(ISBLANK(Crops[[#This Row],[Row Cover]]),Crops[[#This Row],[Row Cover]]="None"),0,1)*BedLength/50</f>
        <v>0</v>
      </c>
      <c r="CN45" s="173">
        <f>HoursPerWeedingPass*Crops[[#This Row],[Days In Field]]/14*Crops[[#This Row],[Rows]]+1*BedLength/50</f>
        <v>7.6666666666666661</v>
      </c>
      <c r="CQ45" s="37">
        <f>_xlfn.XLOOKUP(Crops[[#This Row],[Crop]]&amp;Crops[[#This Row],[Product]]&amp;Crops[[#This Row],[Unit]],Products[ID],Products[Marketing (hr)])*Crops[[#This Row],[Direct Revenue Per Bed]]/2000</f>
        <v>0.625</v>
      </c>
      <c r="CR45" s="37">
        <f>_xlfn.XLOOKUP(Crops[[#This Row],[Crop]]&amp;Crops[[#This Row],[Product]]&amp;Crops[[#This Row],[Unit]],Products[ID],Products[Harvest (s)])*Crops[[#This Row],[Custom Yield Per Bed]]/3600</f>
        <v>0.69444444444444442</v>
      </c>
      <c r="CS45" s="37">
        <f>_xlfn.XLOOKUP(Crops[[#This Row],[Crop]]&amp;Crops[[#This Row],[Product]]&amp;Crops[[#This Row],[Unit]],Products[ID],Products[Bunch (s)])*Crops[[#This Row],[Custom Yield Per Bed]]/3600</f>
        <v>0</v>
      </c>
      <c r="CT45" s="37">
        <f>_xlfn.XLOOKUP(Crops[[#This Row],[Crop]]&amp;Crops[[#This Row],[Product]]&amp;Crops[[#This Row],[Unit]],Products[ID],Products[Haul (s)])*Crops[[#This Row],[Custom Yield Per Bed]]/3600</f>
        <v>7.8125E-2</v>
      </c>
      <c r="CU45" s="37">
        <f>_xlfn.XLOOKUP(Crops[[#This Row],[Crop]]&amp;Crops[[#This Row],[Product]]&amp;Crops[[#This Row],[Unit]],Products[ID],Products[Wash (s)])*Crops[[#This Row],[Custom Yield Per Bed]]/3600</f>
        <v>0</v>
      </c>
      <c r="CV45" s="37">
        <f>_xlfn.XLOOKUP(Crops[[#This Row],[Crop]]&amp;Crops[[#This Row],[Product]]&amp;Crops[[#This Row],[Unit]],Products[ID],Products[Condition (s)])*Crops[[#This Row],[Custom Yield Per Bed]]/3600</f>
        <v>0</v>
      </c>
      <c r="CW45" s="37">
        <f>_xlfn.XLOOKUP(Crops[[#This Row],[Crop]]&amp;Crops[[#This Row],[Product]]&amp;Crops[[#This Row],[Unit]],Products[ID],Products[Trim (s)])*Crops[[#This Row],[Custom Yield Per Bed]]/3600</f>
        <v>0</v>
      </c>
      <c r="CX45" s="37">
        <f>_xlfn.XLOOKUP(Crops[[#This Row],[Crop]]&amp;Crops[[#This Row],[Product]]&amp;Crops[[#This Row],[Unit]],Products[ID],Products[Pack (s)])*Crops[[#This Row],[Custom Yield Per Bed]]/3600</f>
        <v>0.10416666666666667</v>
      </c>
      <c r="CY45" s="37">
        <f>_xlfn.XLOOKUP(Crops[[#This Row],[Crop]]&amp;Crops[[#This Row],[Product]]&amp;Crops[[#This Row],[Unit]],Products[ID],Products[Clean (s)])*Crops[[#This Row],[Custom Yield Per Bed]]/3600</f>
        <v>0</v>
      </c>
      <c r="CZ45" s="37">
        <f>_xlfn.XLOOKUP(Crops[[#This Row],[Crop]]&amp;Crops[[#This Row],[Product]]&amp;Crops[[#This Row],[Unit]],Products[ID],Products[Rehandle (s)])*Crops[[#This Row],[Custom Yield Per Bed]]/3600</f>
        <v>0</v>
      </c>
      <c r="DA45" s="37">
        <f>_xlfn.XLOOKUP(Crops[[#This Row],[Crop]]&amp;Crops[[#This Row],[Product]]&amp;Crops[[#This Row],[Unit]],Products[ID],Products[Market Transport (s)])*Crops[[#This Row],[Custom Yield Per Bed]]/3600</f>
        <v>0.1953125</v>
      </c>
      <c r="DC45" s="37">
        <f>Crops[[#This Row],[Direct Revenue Per Bed2]]</f>
        <v>625</v>
      </c>
      <c r="DD45" s="173">
        <f>_xlfn.AGGREGATE(9,6,Crops[[#This Row],[Bed Prep]:[Remove Crop Residue]])</f>
        <v>11.724965277777777</v>
      </c>
      <c r="DE45" s="173">
        <f>_xlfn.AGGREGATE(9,6,Crops[[#This Row],[Bed Prep]:[Remove Crop Residue]])-0.75*Crops[[#This Row],[Market &amp; Sell]]</f>
        <v>11.256215277777777</v>
      </c>
      <c r="DF45" s="36">
        <f>Crops[[#This Row],[Direct Revenue Per Bed2]]/Crops[[#This Row],[Direct Time]]</f>
        <v>53.305061907906627</v>
      </c>
      <c r="DG45" s="36">
        <f>_xlfn.XLOOKUP(Crops[[#This Row],[ProductIndex]],Products[ID],Products[Packaging Cost])*(Crops[[#This Row],[Custom Yield Per Bed]]/_xlfn.XLOOKUP(Crops[[#This Row],[ProductIndex]],Products[ID],Products[Units Per Pack]))</f>
        <v>15.833333333333334</v>
      </c>
      <c r="DH45" s="36"/>
      <c r="DI45" s="36"/>
      <c r="DJ45" s="36"/>
      <c r="DK45" s="36"/>
      <c r="DL45" s="36"/>
      <c r="DM45" s="37">
        <f>IFERROR(Crops[[#This Row],[Custom Yield Per Bed]]*Crops[[#This Row],[Direct Price]],"")</f>
        <v>625</v>
      </c>
      <c r="DN45" s="36">
        <f>Crops[[#This Row],[Direct Time]]*LaborRate</f>
        <v>293.1241319444444</v>
      </c>
      <c r="DO45" s="36">
        <f>SUM(Crops[[#This Row],[Irrigation Cost]])</f>
        <v>0</v>
      </c>
      <c r="DP45" s="36">
        <f>Crops[[#This Row],[Direct Labor Cost]]+Crops[[#This Row],[Direct Non-Labor Cost]]</f>
        <v>293.1241319444444</v>
      </c>
      <c r="DQ45" s="36">
        <f>Crops[[#This Row],[Direct Revenue Per Bed2]]-Crops[[#This Row],[Direct Total Cost]]</f>
        <v>331.8758680555556</v>
      </c>
      <c r="DR45" s="36">
        <f>Crops[[#This Row],[Direct Profit]]*BedsPerAcre</f>
        <v>53100.138888888898</v>
      </c>
      <c r="DS45" s="36">
        <f>Crops[[#This Row],[Direct Profit]]*BedsPerAcre*GrowingDays/Crops[[#This Row],[Days In Field]]</f>
        <v>34135.80357142858</v>
      </c>
      <c r="DT45" s="36">
        <f>Crops[[#This Row],[Direct Profit]]/MIN(Crops[[#This Row],[Days In Field]],GrowingDays)</f>
        <v>1.8437548225308644</v>
      </c>
      <c r="DU45" s="36">
        <f>Crops[[#This Row],[Direct Time]] * BedsPerAcre</f>
        <v>1875.9944444444443</v>
      </c>
      <c r="DV45" s="36">
        <f>(Crops[[#This Row],[Direct Revenue Per Bed2]]-Crops[[#This Row],[Direct Non-Labor Cost]])/Crops[[#This Row],[Direct Time]]</f>
        <v>53.305061907906627</v>
      </c>
      <c r="DW45" s="37">
        <f>IFERROR(Crops[[#This Row],[Custom Yield Per Bed]]*Crops[[#This Row],[Rough Wholesale Price]],"")</f>
        <v>375</v>
      </c>
      <c r="DX45" s="36">
        <f>Crops[[#This Row],[Wholesale Time]]*LaborRate</f>
        <v>281.4053819444444</v>
      </c>
      <c r="DY45" s="36">
        <f>SUM(Crops[[#This Row],[Packaging Costs]:[Irrigation Cost]])</f>
        <v>15.833333333333334</v>
      </c>
      <c r="DZ45" s="36">
        <f>Crops[[#This Row],[Wholesale Labor Cost]]+Crops[[#This Row],[Wholesale Non-Labor Cost]]</f>
        <v>297.23871527777771</v>
      </c>
      <c r="EA45" s="36">
        <f>Crops[[#This Row],[Wholesale Revenue Per Bed]]-Crops[[#This Row],[Wholesale Total Cost]]</f>
        <v>77.761284722222285</v>
      </c>
      <c r="EB45" s="36">
        <f>Crops[[#This Row],[Wholesale Profit]]*BedsPerAcre</f>
        <v>12441.805555555566</v>
      </c>
      <c r="EC45" s="36">
        <f>Crops[[#This Row],[Wholesale Profit]]*BedsPerAcre*GrowingDays/Crops[[#This Row],[Days In Field]]</f>
        <v>7998.3035714285779</v>
      </c>
      <c r="ED45" s="36">
        <f>Crops[[#This Row],[Wholesale Time]] * BedsPerAcre</f>
        <v>1800.9944444444443</v>
      </c>
      <c r="EE45" s="36">
        <f>Crops[[#This Row],[Wholesale Profit]]/MIN(Crops[[#This Row],[Days In Field]],GrowingDays)</f>
        <v>0.43200713734567936</v>
      </c>
      <c r="EF45" s="36">
        <f>(Crops[[#This Row],[Wholesale Revenue Per Bed]]-Crops[[#This Row],[Wholesale Non-Labor Cost]])/Crops[[#This Row],[Direct Time]]</f>
        <v>30.632642243077008</v>
      </c>
      <c r="EG45" s="174">
        <f>Crops[[#This Row],[Packaging Costs]]/Crops[[#This Row],[Wholesale Revenue Per Bed]]</f>
        <v>4.2222222222222223E-2</v>
      </c>
      <c r="EH45" s="36" t="str">
        <f>Crops[[#This Row],[Crop]]&amp;Crops[[#This Row],[Product]]&amp;Crops[[#This Row],[Unit]]</f>
        <v>Brussel SproutsMature SproutsLb</v>
      </c>
      <c r="EI45" s="36" t="b">
        <f>_xlfn.XLOOKUP(Crops[[#This Row],[ProductIndex]],Products[ID],Products[Target])</f>
        <v>1</v>
      </c>
      <c r="EJ45" s="36">
        <f>Crops[[#This Row],[Custom Yield Per Bed]]</f>
        <v>125</v>
      </c>
      <c r="EK45" s="210">
        <f>Crops[[#This Row],[Units Per Harvest]]/Crops[[#This Row],[Days Between Harvest]]*7</f>
        <v>7.8125</v>
      </c>
      <c r="EL45" s="210" t="e">
        <f>Crops[[#This Row],[Custom Yield Per Bed]]/_xlfn.XLOOKUP(Crops[[#This Row],[ProductIndex]],Products[ID],Products[CSA Portion])</f>
        <v>#DIV/0!</v>
      </c>
      <c r="EM45" s="210" t="e">
        <f>Crops[[#This Row],[Units Per Harvest]]/Crops[[#This Row],[Days Between Harvest]]*7/_xlfn.XLOOKUP(Crops[[#This Row],[ProductIndex]],Products[ID],Products[CSA Portion])</f>
        <v>#DIV/0!</v>
      </c>
      <c r="EN45" s="210" t="e">
        <f>Crops[[#This Row],[CSA Portions Per Week]]/CSAMembers</f>
        <v>#DIV/0!</v>
      </c>
      <c r="EO45" s="210"/>
      <c r="EP45" s="210"/>
      <c r="EQ45" s="36"/>
      <c r="ER45" s="36">
        <f>Crops[[#This Row],[Harvests]]*Crops[[#This Row],[Days Between Harvest]]/7</f>
        <v>16</v>
      </c>
      <c r="ES45" s="208">
        <f>_xlfn.XLOOKUP(Crops[[#This Row],[ProductIndex]],Products[ID],Products[CSA Need])</f>
        <v>0</v>
      </c>
      <c r="ET45" s="208">
        <f>_xlfn.XLOOKUP(Crops[[#This Row],[ProductIndex]],Products[ID],Products[CSA Times])</f>
        <v>0</v>
      </c>
      <c r="EU45" s="208" t="e">
        <f>Crops[[#This Row],[Custom Yield Per Bed]]/(Crops[[#This Row],[CSA Need]]*(_xlfn.XLOOKUP(Crops[[#This Row],[ProductIndex]],Products[ID],Products[CSA Portion])*CSAMembers))</f>
        <v>#DIV/0!</v>
      </c>
      <c r="EV45" s="208">
        <f>_xlfn.XLOOKUP(Crops[[#This Row],[ProductIndex]],Products[ID],Products[CSA Portion])*CSAMembers*Crops[[#This Row],[CSA Need]]/Crops[[#This Row],[Custom Yield Per Bed]]</f>
        <v>0</v>
      </c>
      <c r="EW45" s="208">
        <f>IFERROR(Crops[[#This Row],[Days In Field]]*Crops[[#This Row],[CSA Beds]],"")</f>
        <v>0</v>
      </c>
      <c r="EX45" s="208" t="e">
        <f>Crops[[#This Row],[CSA Bed Days]]*#REF!</f>
        <v>#REF!</v>
      </c>
      <c r="EY45" t="s">
        <v>401</v>
      </c>
    </row>
    <row r="46" spans="1:155">
      <c r="A4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Buckwheat (Floral) - Flowering Stem 1X | Field DS Su</v>
      </c>
      <c r="B46" s="189"/>
      <c r="C46" s="1" t="b">
        <v>0</v>
      </c>
      <c r="D46" s="1" t="s">
        <v>2570</v>
      </c>
      <c r="E46" s="1" t="b">
        <v>0</v>
      </c>
      <c r="F46" s="1" t="b">
        <f>IFERROR(IF(ISNUMBER(MATCH(Crops[[#This Row],[Identifier]],BedPlan[Crop], 0)), TRUE, FALSE), FALSE)</f>
        <v>0</v>
      </c>
      <c r="G46" s="1" t="b">
        <f>IFERROR(IF(ISNUMBER(MATCH(Crops[[#This Row],[Identifier]],BedPlan[Crop], 0)), TRUE, FALSE), FALSE)</f>
        <v>0</v>
      </c>
      <c r="H46" s="1"/>
      <c r="I46" t="s">
        <v>348</v>
      </c>
      <c r="J46" t="s">
        <v>1788</v>
      </c>
      <c r="K46" t="s">
        <v>1789</v>
      </c>
      <c r="M46" t="s">
        <v>406</v>
      </c>
      <c r="N46" t="str">
        <f>Crops[[#This Row],[Crop]]</f>
        <v>Buckwheat</v>
      </c>
      <c r="O46" t="s">
        <v>210</v>
      </c>
      <c r="P46" t="str">
        <f>IF(OR(Crops[[#This Row],[Days in Cells]]="",Crops[[#This Row],[Days in Cells]]=0), "DS","TP")</f>
        <v>DS</v>
      </c>
      <c r="R46" t="b">
        <v>1</v>
      </c>
      <c r="V46" t="str">
        <f xml:space="preserve"> IF(Crops[[#This Row],[Sp]], "Sp", "") &amp; IF(Crops[[#This Row],[Su]], "Su", "") &amp; IF(Crops[[#This Row],[Fa]], "Fa", "") &amp; IF(Crops[[#This Row],[Wi]], "Wi", "") &amp; IF(Crops[[#This Row],[OW]], "Ow","")</f>
        <v>Su</v>
      </c>
      <c r="X46">
        <v>4</v>
      </c>
      <c r="Y46">
        <v>1</v>
      </c>
      <c r="AB46" t="b">
        <v>0</v>
      </c>
      <c r="AC46">
        <v>4</v>
      </c>
      <c r="AD46" s="32">
        <f>IFERROR(12/Crops[[#This Row],[Spacing]]*Crops[[#This Row],[Rows]]*BedLength,"")</f>
        <v>2400</v>
      </c>
      <c r="AE46">
        <v>1</v>
      </c>
      <c r="AG46">
        <f>IF(Crops[[#This Row],[Custom Safety Factor]]="",PlantingSafetyFactor,Crops[[#This Row],[Custom Safety Factor]])</f>
        <v>1.3</v>
      </c>
      <c r="AH46">
        <f>1</f>
        <v>1</v>
      </c>
      <c r="AI46" s="37">
        <f>IFERROR(Crops[[#This Row],[Plantings Per Bed]]*Crops[[#This Row],[Seeds Per Planting]]*Crops[[#This Row],[Safety Factor]]*Crops[[#This Row],[Seeding Factor]],"")</f>
        <v>3120</v>
      </c>
      <c r="AL46">
        <f>_xlfn.FLOOR.MATH(IFERROR(AVERAGE(Crops[[#This Row],[DTG Lower]:[DTG Upper]]),0))</f>
        <v>0</v>
      </c>
      <c r="AM46">
        <f>SUM(Crops[[#This Row],[Tray 1 Days]],Crops[[#This Row],[Tray 2 Days]],Crops[[#This Row],[Tray 3 Days]])</f>
        <v>0</v>
      </c>
      <c r="AO46">
        <v>35</v>
      </c>
      <c r="AP46">
        <v>42</v>
      </c>
      <c r="AQ46">
        <f>IFERROR(_xlfn.FLOOR.MATH(AVERAGE(Crops[[#This Row],[DTM Lower]:[DTM Upper]])),"")</f>
        <v>38</v>
      </c>
      <c r="AR46" cm="1">
        <f t="array" ref="AR46">_xlfn.SWITCH(Crops[[#This Row],[Normal Method]],"DS",Crops[[#This Row],[Days to Germination]]+Crops[[#This Row],[DTM]] + IF(Crops[[#This Row],[Days in Cells]]&gt;0,15,0), "TP",Crops[[#This Row],[DTM]]+Crops[[#This Row],[Days in Cells]] + IF(Crops[[#This Row],[Days in Cells]]&lt;=0,20,0), "X", Crops[[#This Row],[DTM]])</f>
        <v>38</v>
      </c>
      <c r="AS46" t="s">
        <v>338</v>
      </c>
      <c r="AT46">
        <f>(Crops[[#This Row],[Harvests]]-1)*Crops[[#This Row],[Days Between Harvest]]+7</f>
        <v>97</v>
      </c>
      <c r="AU46">
        <f>Crops[[#This Row],[STH]]-Crops[[#This Row],[Days in Cells]]+Crops[[#This Row],[Harvest window]]</f>
        <v>135</v>
      </c>
      <c r="AZ46" t="str">
        <f>IFERROR(IF(Crops[[#This Row],[Tray 1 Days]]=0,"",Crops[[#This Row],[Plantings Per Bed]]/Crops[[#This Row],[Tray 1 Size]]*Crops[[#This Row],[Safety Factor]]),"")</f>
        <v/>
      </c>
      <c r="BC46" t="str">
        <f>IFERROR(IF(Crops[[#This Row],[Tray 2 Days]]=0,"",Crops[[#This Row],[Plantings Per Bed]]/Crops[[#This Row],[Tray 2 Size]]*Crops[[#This Row],[Safety Factor]]),"")</f>
        <v/>
      </c>
      <c r="BE46" s="32" t="str">
        <f>IF(NOT(ISBLANK(Crops[[#This Row],[Tray 3 Size]])), Crops[[#This Row],[Days in Cells Old]]-SUM(Crops[[#This Row],[Tray 1 Days]],Crops[[#This Row],[Tray 2 Days]]), "")</f>
        <v/>
      </c>
      <c r="BF46" t="str">
        <f>IFERROR(IF(Crops[[#This Row],[Tray 3 Days]]=0,"",Crops[[#This Row],[Plantings Per Bed]]/Crops[[#This Row],[Tray 3 Size]]*Crops[[#This Row],[Safety Factor]]),"")</f>
        <v/>
      </c>
      <c r="BG46">
        <f>Crops[[#This Row],[Plantings Per Bed]]/3</f>
        <v>800</v>
      </c>
      <c r="BH46">
        <v>4</v>
      </c>
      <c r="BI46">
        <v>30</v>
      </c>
      <c r="BJ46" s="37">
        <f>_xlfn.XLOOKUP(Crops[[#This Row],[ProductIndex]],Products[ID],Products[Holding Period])</f>
        <v>0</v>
      </c>
      <c r="BK46" s="33"/>
      <c r="BL46" s="37">
        <f>Crops[[#This Row],[Units Per Harvest]]*Crops[[#This Row],[Harvests]]</f>
        <v>3200</v>
      </c>
      <c r="BM46">
        <v>0.3</v>
      </c>
      <c r="BN46" s="211">
        <f>Crops[[#This Row],[Direct Price]]*0.6</f>
        <v>0.18</v>
      </c>
      <c r="BO46" s="211"/>
      <c r="BP46" t="s">
        <v>213</v>
      </c>
      <c r="BQ46">
        <f>Crops[[#This Row],[Custom Yield Per Bed]]*Crops[[#This Row],[Direct Price]]</f>
        <v>960</v>
      </c>
      <c r="BR46" t="b">
        <v>0</v>
      </c>
      <c r="BS46" t="b">
        <f>Crops[[#This Row],[Harvests]]&gt;1</f>
        <v>1</v>
      </c>
      <c r="BT46" s="36">
        <f>IFERROR(Crops[[#This Row],[Direct Revenue Per Bed]]/Crops[[#This Row],[Days In Field]],-1)</f>
        <v>7.1111111111111107</v>
      </c>
      <c r="BU46" s="33">
        <f>IFERROR(Crops[[#This Row],[Direct Revenue Per Bed Day]]*GrowingDays*BedsPerAcre,"")</f>
        <v>204800</v>
      </c>
      <c r="BV46" s="38">
        <f>LastFrostDate-5*Crops[[#This Row],[Sewing Rel Last Frost]]</f>
        <v>45768</v>
      </c>
      <c r="BW46" s="38">
        <f>Crops[[#This Row],[Target Sewing Date]]+Crops[[#This Row],[Days in Cells]]</f>
        <v>45768</v>
      </c>
      <c r="BX46" s="38">
        <f>Crops[[#This Row],[Target Sewing Date]]+Crops[[#This Row],[STH]]</f>
        <v>45806</v>
      </c>
      <c r="BY46" s="38">
        <f>Crops[[#This Row],[Target Harvest Data]]+Crops[[#This Row],[Harvest window]]</f>
        <v>45903</v>
      </c>
      <c r="BZ46">
        <v>-4</v>
      </c>
      <c r="CB46">
        <f>1</f>
        <v>1</v>
      </c>
      <c r="CC46">
        <f>IF(Crops[[#This Row],[Transplanting]]&gt;0, 2, 3)*BedLength/StandardBedLength</f>
        <v>1.5</v>
      </c>
      <c r="CD46" s="173">
        <f>IF(Crops[[#This Row],[Days in Cells]]&lt;=0,0,Crops[[#This Row],[Plantings Per Bed]]/StartsPerHourSeeding+Crops[[#This Row],[Tray 1 Count]]*5/60)</f>
        <v>0</v>
      </c>
      <c r="CE46" s="173">
        <f>IF(ISBLANK(Crops[[#This Row],[Tray 2 Days]]),0,Crops[[#This Row],[Plantings Per Bed]]/UpPottingPerHour)+IF(Crops[[#This Row],[Tray 3 Days]]="",0,Crops[[#This Row],[Plantings Per Bed]]/UpPottingPerHour)</f>
        <v>0</v>
      </c>
      <c r="CF46" s="173">
        <f>IFERROR(Crops[[#This Row],[Tray 1 Count]]/HomeStartFlatIrrigationPerHour,0)*Crops[[#This Row],[Days in Cells]]/DaysBetweenStartIrrigation</f>
        <v>0</v>
      </c>
      <c r="CG46" s="173">
        <f>0.5/16*MAX(Crops[[#This Row],[Tray 1 Count]],Crops[[#This Row],[Tray 2 Count]],Crops[[#This Row],[Tray 3 Count]])</f>
        <v>0</v>
      </c>
      <c r="CH46" s="173">
        <f>IF(Crops[[#This Row],[Days in Cells]]&gt;0,IF(IF(Crops[[#This Row],[Tray 3 Size]]&gt;0,Crops[[#This Row],[Tray 3 Size]],IF(Crops[[#This Row],[Tray 2 Size]]&gt;0,Crops[[#This Row],[Tray 2 Size]],Crops[[#This Row],[Tray 1 Size]]))&lt;=18,LargeTransplantTime,SmallTransplantTime)*Crops[[#This Row],[Plantings Per Bed]],0)</f>
        <v>0</v>
      </c>
      <c r="CI46" s="173"/>
      <c r="CJ46" s="173">
        <f>_xlfn.XLOOKUP(Crops[[#This Row],[Trellis Type]],TrellisMethods[Trellis Type],TrellisMethods[Hours],0,0)</f>
        <v>0</v>
      </c>
      <c r="CK46">
        <f>IF(Crops[[#This Row],[Days in Cells]]&lt;=0,Crops[[#This Row],[Rows]]*1/10,0)*BedLength/50</f>
        <v>0.4</v>
      </c>
      <c r="CL46" cm="1">
        <f t="array" ref="CL46">_xlfn.SWITCH(Crops[[#This Row],[Irrigation]],"DR", 0.5, "OH", 0.25,0)*BedLength/50</f>
        <v>0</v>
      </c>
      <c r="CM46">
        <f>IF(OR(ISBLANK(Crops[[#This Row],[Row Cover]]),Crops[[#This Row],[Row Cover]]="None"),0,1)*BedLength/50</f>
        <v>0</v>
      </c>
      <c r="CN46" s="173">
        <f>HoursPerWeedingPass*Crops[[#This Row],[Days In Field]]/14*Crops[[#This Row],[Rows]]+1*BedLength/50</f>
        <v>7.4285714285714288</v>
      </c>
      <c r="CQ46" s="37">
        <f>_xlfn.XLOOKUP(Crops[[#This Row],[Crop]]&amp;Crops[[#This Row],[Product]]&amp;Crops[[#This Row],[Unit]],Products[ID],Products[Marketing (hr)])*Crops[[#This Row],[Direct Revenue Per Bed]]/2000</f>
        <v>2.88</v>
      </c>
      <c r="CR46" s="37">
        <f>_xlfn.XLOOKUP(Crops[[#This Row],[Crop]]&amp;Crops[[#This Row],[Product]]&amp;Crops[[#This Row],[Unit]],Products[ID],Products[Harvest (s)])*Crops[[#This Row],[Custom Yield Per Bed]]/3600</f>
        <v>4.4444444444444446</v>
      </c>
      <c r="CS46" s="37">
        <f>_xlfn.XLOOKUP(Crops[[#This Row],[Crop]]&amp;Crops[[#This Row],[Product]]&amp;Crops[[#This Row],[Unit]],Products[ID],Products[Bunch (s)])*Crops[[#This Row],[Custom Yield Per Bed]]/3600</f>
        <v>0</v>
      </c>
      <c r="CT46" s="37">
        <f>_xlfn.XLOOKUP(Crops[[#This Row],[Crop]]&amp;Crops[[#This Row],[Product]]&amp;Crops[[#This Row],[Unit]],Products[ID],Products[Haul (s)])*Crops[[#This Row],[Custom Yield Per Bed]]/3600</f>
        <v>1</v>
      </c>
      <c r="CU46" s="37">
        <f>_xlfn.XLOOKUP(Crops[[#This Row],[Crop]]&amp;Crops[[#This Row],[Product]]&amp;Crops[[#This Row],[Unit]],Products[ID],Products[Wash (s)])*Crops[[#This Row],[Custom Yield Per Bed]]/3600</f>
        <v>0</v>
      </c>
      <c r="CV46" s="37">
        <f>_xlfn.XLOOKUP(Crops[[#This Row],[Crop]]&amp;Crops[[#This Row],[Product]]&amp;Crops[[#This Row],[Unit]],Products[ID],Products[Condition (s)])*Crops[[#This Row],[Custom Yield Per Bed]]/3600</f>
        <v>0</v>
      </c>
      <c r="CW46" s="37">
        <f>_xlfn.XLOOKUP(Crops[[#This Row],[Crop]]&amp;Crops[[#This Row],[Product]]&amp;Crops[[#This Row],[Unit]],Products[ID],Products[Trim (s)])*Crops[[#This Row],[Custom Yield Per Bed]]/3600</f>
        <v>2.6666666666666665</v>
      </c>
      <c r="CX46" s="37">
        <f>_xlfn.XLOOKUP(Crops[[#This Row],[Crop]]&amp;Crops[[#This Row],[Product]]&amp;Crops[[#This Row],[Unit]],Products[ID],Products[Pack (s)])*Crops[[#This Row],[Custom Yield Per Bed]]/3600</f>
        <v>2.6666666666666665</v>
      </c>
      <c r="CY46" s="37">
        <f>_xlfn.XLOOKUP(Crops[[#This Row],[Crop]]&amp;Crops[[#This Row],[Product]]&amp;Crops[[#This Row],[Unit]],Products[ID],Products[Clean (s)])*Crops[[#This Row],[Custom Yield Per Bed]]/3600</f>
        <v>0</v>
      </c>
      <c r="CZ46" s="37">
        <f>_xlfn.XLOOKUP(Crops[[#This Row],[Crop]]&amp;Crops[[#This Row],[Product]]&amp;Crops[[#This Row],[Unit]],Products[ID],Products[Rehandle (s)])*Crops[[#This Row],[Custom Yield Per Bed]]/3600</f>
        <v>0</v>
      </c>
      <c r="DA46" s="37">
        <f>_xlfn.XLOOKUP(Crops[[#This Row],[Crop]]&amp;Crops[[#This Row],[Product]]&amp;Crops[[#This Row],[Unit]],Products[ID],Products[Market Transport (s)])*Crops[[#This Row],[Custom Yield Per Bed]]/3600</f>
        <v>2.5</v>
      </c>
      <c r="DC46" s="37">
        <f>Crops[[#This Row],[Direct Revenue Per Bed2]]</f>
        <v>960</v>
      </c>
      <c r="DD46" s="173">
        <f>_xlfn.AGGREGATE(9,6,Crops[[#This Row],[Bed Prep]:[Remove Crop Residue]])</f>
        <v>25.48634920634921</v>
      </c>
      <c r="DE46" s="173">
        <f>_xlfn.AGGREGATE(9,6,Crops[[#This Row],[Bed Prep]:[Remove Crop Residue]])-0.75*Crops[[#This Row],[Market &amp; Sell]]</f>
        <v>23.32634920634921</v>
      </c>
      <c r="DF46" s="36">
        <f>Crops[[#This Row],[Direct Revenue Per Bed2]]/Crops[[#This Row],[Direct Time]]</f>
        <v>37.667223038788265</v>
      </c>
      <c r="DG46" s="36">
        <f>_xlfn.XLOOKUP(Crops[[#This Row],[ProductIndex]],Products[ID],Products[Packaging Cost])*(Crops[[#This Row],[Custom Yield Per Bed]]/_xlfn.XLOOKUP(Crops[[#This Row],[ProductIndex]],Products[ID],Products[Units Per Pack]))</f>
        <v>160</v>
      </c>
      <c r="DH46" s="36"/>
      <c r="DI46" s="36"/>
      <c r="DJ46" s="36"/>
      <c r="DK46" s="36"/>
      <c r="DL46" s="36"/>
      <c r="DM46" s="37">
        <f>IFERROR(Crops[[#This Row],[Custom Yield Per Bed]]*Crops[[#This Row],[Direct Price]],"")</f>
        <v>960</v>
      </c>
      <c r="DN46" s="36">
        <f>Crops[[#This Row],[Direct Time]]*LaborRate</f>
        <v>637.15873015873024</v>
      </c>
      <c r="DO46" s="36">
        <f>SUM(Crops[[#This Row],[Irrigation Cost]])</f>
        <v>0</v>
      </c>
      <c r="DP46" s="36">
        <f>Crops[[#This Row],[Direct Labor Cost]]+Crops[[#This Row],[Direct Non-Labor Cost]]</f>
        <v>637.15873015873024</v>
      </c>
      <c r="DQ46" s="36">
        <f>Crops[[#This Row],[Direct Revenue Per Bed2]]-Crops[[#This Row],[Direct Total Cost]]</f>
        <v>322.84126984126976</v>
      </c>
      <c r="DR46" s="36">
        <f>Crops[[#This Row],[Direct Profit]]*BedsPerAcre</f>
        <v>51654.603174603166</v>
      </c>
      <c r="DS46" s="36">
        <f>Crops[[#This Row],[Direct Profit]]*BedsPerAcre*GrowingDays/Crops[[#This Row],[Days In Field]]</f>
        <v>68872.804232804221</v>
      </c>
      <c r="DT46" s="36">
        <f>Crops[[#This Row],[Direct Profit]]/MIN(Crops[[#This Row],[Days In Field]],GrowingDays)</f>
        <v>2.3914168136390352</v>
      </c>
      <c r="DU46" s="36">
        <f>Crops[[#This Row],[Direct Time]] * BedsPerAcre</f>
        <v>4077.8158730158739</v>
      </c>
      <c r="DV46" s="36">
        <f>(Crops[[#This Row],[Direct Revenue Per Bed2]]-Crops[[#This Row],[Direct Non-Labor Cost]])/Crops[[#This Row],[Direct Time]]</f>
        <v>37.667223038788265</v>
      </c>
      <c r="DW46" s="37">
        <f>IFERROR(Crops[[#This Row],[Custom Yield Per Bed]]*Crops[[#This Row],[Rough Wholesale Price]],"")</f>
        <v>576</v>
      </c>
      <c r="DX46" s="36">
        <f>Crops[[#This Row],[Wholesale Time]]*LaborRate</f>
        <v>583.15873015873024</v>
      </c>
      <c r="DY46" s="36">
        <f>SUM(Crops[[#This Row],[Packaging Costs]:[Irrigation Cost]])</f>
        <v>160</v>
      </c>
      <c r="DZ46" s="36">
        <f>Crops[[#This Row],[Wholesale Labor Cost]]+Crops[[#This Row],[Wholesale Non-Labor Cost]]</f>
        <v>743.15873015873024</v>
      </c>
      <c r="EA46" s="36">
        <f>Crops[[#This Row],[Wholesale Revenue Per Bed]]-Crops[[#This Row],[Wholesale Total Cost]]</f>
        <v>-167.15873015873024</v>
      </c>
      <c r="EB46" s="36">
        <f>Crops[[#This Row],[Wholesale Profit]]*BedsPerAcre</f>
        <v>-26745.396825396838</v>
      </c>
      <c r="EC46" s="36">
        <f>Crops[[#This Row],[Wholesale Profit]]*BedsPerAcre*GrowingDays/Crops[[#This Row],[Days In Field]]</f>
        <v>-35660.529100529115</v>
      </c>
      <c r="ED46" s="36">
        <f>Crops[[#This Row],[Wholesale Time]] * BedsPerAcre</f>
        <v>3732.2158730158735</v>
      </c>
      <c r="EE46" s="36">
        <f>Crops[[#This Row],[Wholesale Profit]]/MIN(Crops[[#This Row],[Days In Field]],GrowingDays)</f>
        <v>-1.2382128159905943</v>
      </c>
      <c r="EF46" s="36">
        <f>(Crops[[#This Row],[Wholesale Revenue Per Bed]]-Crops[[#This Row],[Wholesale Non-Labor Cost]])/Crops[[#This Row],[Direct Time]]</f>
        <v>16.32246331680825</v>
      </c>
      <c r="EG46" s="174">
        <f>Crops[[#This Row],[Packaging Costs]]/Crops[[#This Row],[Wholesale Revenue Per Bed]]</f>
        <v>0.27777777777777779</v>
      </c>
      <c r="EH46" s="36" t="str">
        <f>Crops[[#This Row],[Crop]]&amp;Crops[[#This Row],[Product]]&amp;Crops[[#This Row],[Unit]]</f>
        <v>BuckwheatFlowering StemStem</v>
      </c>
      <c r="EI46" s="36" t="b">
        <f>_xlfn.XLOOKUP(Crops[[#This Row],[ProductIndex]],Products[ID],Products[Target])</f>
        <v>0</v>
      </c>
      <c r="EJ46" s="36">
        <f>Crops[[#This Row],[Custom Yield Per Bed]]</f>
        <v>3200</v>
      </c>
      <c r="EK46" s="210">
        <f>Crops[[#This Row],[Units Per Harvest]]/Crops[[#This Row],[Days Between Harvest]]*7</f>
        <v>186.66666666666669</v>
      </c>
      <c r="EL46" s="210" t="e">
        <f>Crops[[#This Row],[Custom Yield Per Bed]]/_xlfn.XLOOKUP(Crops[[#This Row],[ProductIndex]],Products[ID],Products[CSA Portion])</f>
        <v>#DIV/0!</v>
      </c>
      <c r="EM46" s="210" t="e">
        <f>Crops[[#This Row],[Units Per Harvest]]/Crops[[#This Row],[Days Between Harvest]]*7/_xlfn.XLOOKUP(Crops[[#This Row],[ProductIndex]],Products[ID],Products[CSA Portion])</f>
        <v>#DIV/0!</v>
      </c>
      <c r="EN46" s="210" t="e">
        <f>Crops[[#This Row],[CSA Portions Per Week]]/CSAMembers</f>
        <v>#DIV/0!</v>
      </c>
      <c r="EO46" s="210"/>
      <c r="EP46" s="210"/>
      <c r="EQ46" s="36"/>
      <c r="ER46" s="36">
        <f>Crops[[#This Row],[Harvests]]*Crops[[#This Row],[Days Between Harvest]]/7</f>
        <v>17.142857142857142</v>
      </c>
      <c r="ES46" s="208">
        <f>_xlfn.XLOOKUP(Crops[[#This Row],[ProductIndex]],Products[ID],Products[CSA Need])</f>
        <v>0</v>
      </c>
      <c r="ET46" s="208">
        <f>_xlfn.XLOOKUP(Crops[[#This Row],[ProductIndex]],Products[ID],Products[CSA Times])</f>
        <v>0</v>
      </c>
      <c r="EU46" s="208" t="e">
        <f>Crops[[#This Row],[Custom Yield Per Bed]]/(Crops[[#This Row],[CSA Need]]*(_xlfn.XLOOKUP(Crops[[#This Row],[ProductIndex]],Products[ID],Products[CSA Portion])*CSAMembers))</f>
        <v>#DIV/0!</v>
      </c>
      <c r="EV46" s="208">
        <f>_xlfn.XLOOKUP(Crops[[#This Row],[ProductIndex]],Products[ID],Products[CSA Portion])*CSAMembers*Crops[[#This Row],[CSA Need]]/Crops[[#This Row],[Custom Yield Per Bed]]</f>
        <v>0</v>
      </c>
      <c r="EW46" s="208">
        <f>IFERROR(Crops[[#This Row],[Days In Field]]*Crops[[#This Row],[CSA Beds]],"")</f>
        <v>0</v>
      </c>
      <c r="EX46" s="208" t="e">
        <f>Crops[[#This Row],[CSA Bed Days]]*#REF!</f>
        <v>#REF!</v>
      </c>
      <c r="EY46" t="s">
        <v>1790</v>
      </c>
    </row>
    <row r="47" spans="1:155">
      <c r="A4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Bupleurum - Mature Stem 1X | Field DS Sp</v>
      </c>
      <c r="B47" s="189"/>
      <c r="C47" s="1" t="s">
        <v>2588</v>
      </c>
      <c r="D47" s="1" t="s">
        <v>2572</v>
      </c>
      <c r="E47" s="1" t="b">
        <v>0</v>
      </c>
      <c r="F47" s="1" t="b">
        <f>IFERROR(IF(ISNUMBER(MATCH(Crops[[#This Row],[Identifier]],BedPlan[Crop], 0)), TRUE, FALSE), FALSE)</f>
        <v>0</v>
      </c>
      <c r="G47" s="1" t="b">
        <f>IFERROR(IF(ISNUMBER(MATCH(Crops[[#This Row],[Identifier]],BedPlan[Crop], 0)), TRUE, FALSE), FALSE)</f>
        <v>0</v>
      </c>
      <c r="H47" s="1"/>
      <c r="I47" t="s">
        <v>1763</v>
      </c>
      <c r="J47" t="s">
        <v>145</v>
      </c>
      <c r="K47" t="s">
        <v>181</v>
      </c>
      <c r="M47" t="s">
        <v>406</v>
      </c>
      <c r="N47" t="str">
        <f>Crops[[#This Row],[Crop]]</f>
        <v>Bupleurum</v>
      </c>
      <c r="O47" t="s">
        <v>210</v>
      </c>
      <c r="P47" t="str">
        <f>IF(OR(Crops[[#This Row],[Days in Cells]]="",Crops[[#This Row],[Days in Cells]]=0), "DS","TP")</f>
        <v>DS</v>
      </c>
      <c r="Q47" t="b">
        <v>1</v>
      </c>
      <c r="V47" t="str">
        <f xml:space="preserve"> IF(Crops[[#This Row],[Sp]], "Sp", "") &amp; IF(Crops[[#This Row],[Su]], "Su", "") &amp; IF(Crops[[#This Row],[Fa]], "Fa", "") &amp; IF(Crops[[#This Row],[Wi]], "Wi", "") &amp; IF(Crops[[#This Row],[OW]], "Ow","")</f>
        <v>Sp</v>
      </c>
      <c r="X47">
        <v>3</v>
      </c>
      <c r="Y47">
        <v>12</v>
      </c>
      <c r="AB47" t="b">
        <v>0</v>
      </c>
      <c r="AC47">
        <v>4</v>
      </c>
      <c r="AD47" s="32">
        <f>IFERROR(12/Crops[[#This Row],[Spacing]]*Crops[[#This Row],[Rows]]*BedLength,"")</f>
        <v>150</v>
      </c>
      <c r="AE47">
        <v>1</v>
      </c>
      <c r="AG47">
        <f>IF(Crops[[#This Row],[Custom Safety Factor]]="",PlantingSafetyFactor,Crops[[#This Row],[Custom Safety Factor]])</f>
        <v>1.3</v>
      </c>
      <c r="AH47">
        <f>1</f>
        <v>1</v>
      </c>
      <c r="AI47" s="37">
        <f>IFERROR(Crops[[#This Row],[Plantings Per Bed]]*Crops[[#This Row],[Seeds Per Planting]]*Crops[[#This Row],[Safety Factor]]*Crops[[#This Row],[Seeding Factor]],"")</f>
        <v>195</v>
      </c>
      <c r="AJ47">
        <v>14</v>
      </c>
      <c r="AK47">
        <v>21</v>
      </c>
      <c r="AL47">
        <f>_xlfn.FLOOR.MATH(IFERROR(AVERAGE(Crops[[#This Row],[DTG Lower]:[DTG Upper]]),0))</f>
        <v>17</v>
      </c>
      <c r="AM47">
        <f>SUM(Crops[[#This Row],[Tray 1 Days]],Crops[[#This Row],[Tray 2 Days]],Crops[[#This Row],[Tray 3 Days]])</f>
        <v>0</v>
      </c>
      <c r="AO47">
        <v>80</v>
      </c>
      <c r="AP47">
        <v>90</v>
      </c>
      <c r="AQ47">
        <f>IFERROR(_xlfn.FLOOR.MATH(AVERAGE(Crops[[#This Row],[DTM Lower]:[DTM Upper]])),"")</f>
        <v>85</v>
      </c>
      <c r="AR47" cm="1">
        <f t="array" ref="AR47">_xlfn.SWITCH(Crops[[#This Row],[Normal Method]],"DS",Crops[[#This Row],[Days to Germination]]+Crops[[#This Row],[DTM]] + IF(Crops[[#This Row],[Days in Cells]]&gt;0,15,0), "TP",Crops[[#This Row],[DTM]]+Crops[[#This Row],[Days in Cells]] + IF(Crops[[#This Row],[Days in Cells]]&lt;=0,20,0), "X", Crops[[#This Row],[DTM]])</f>
        <v>102</v>
      </c>
      <c r="AS47" t="s">
        <v>338</v>
      </c>
      <c r="AT47">
        <f>(Crops[[#This Row],[Harvests]]-1)*Crops[[#This Row],[Days Between Harvest]]+7</f>
        <v>84</v>
      </c>
      <c r="AU47">
        <f>Crops[[#This Row],[STH]]-Crops[[#This Row],[Days in Cells]]+Crops[[#This Row],[Harvest window]]</f>
        <v>186</v>
      </c>
      <c r="AZ47" t="str">
        <f>IFERROR(IF(Crops[[#This Row],[Tray 1 Days]]=0,"",Crops[[#This Row],[Plantings Per Bed]]/Crops[[#This Row],[Tray 1 Size]]*Crops[[#This Row],[Safety Factor]]),"")</f>
        <v/>
      </c>
      <c r="BC47" t="str">
        <f>IFERROR(IF(Crops[[#This Row],[Tray 2 Days]]=0,"",Crops[[#This Row],[Plantings Per Bed]]/Crops[[#This Row],[Tray 2 Size]]*Crops[[#This Row],[Safety Factor]]),"")</f>
        <v/>
      </c>
      <c r="BE47" s="32" t="str">
        <f>IF(NOT(ISBLANK(Crops[[#This Row],[Tray 3 Size]])), Crops[[#This Row],[Days in Cells Old]]-SUM(Crops[[#This Row],[Tray 1 Days]],Crops[[#This Row],[Tray 2 Days]]), "")</f>
        <v/>
      </c>
      <c r="BF47" t="str">
        <f>IFERROR(IF(Crops[[#This Row],[Tray 3 Days]]=0,"",Crops[[#This Row],[Plantings Per Bed]]/Crops[[#This Row],[Tray 3 Size]]*Crops[[#This Row],[Safety Factor]]),"")</f>
        <v/>
      </c>
      <c r="BG47">
        <f>Crops[[#This Row],[Plantings Per Bed]]*3</f>
        <v>450</v>
      </c>
      <c r="BH47">
        <v>12</v>
      </c>
      <c r="BI47">
        <v>7</v>
      </c>
      <c r="BJ47" s="37">
        <f>_xlfn.XLOOKUP(Crops[[#This Row],[ProductIndex]],Products[ID],Products[Holding Period])</f>
        <v>0</v>
      </c>
      <c r="BK47" s="33"/>
      <c r="BL47" s="37">
        <f>Crops[[#This Row],[Units Per Harvest]]*Crops[[#This Row],[Harvests]]</f>
        <v>5400</v>
      </c>
      <c r="BM47">
        <v>0.3</v>
      </c>
      <c r="BN47" s="211">
        <f>Crops[[#This Row],[Direct Price]]*0.6</f>
        <v>0.18</v>
      </c>
      <c r="BO47" s="211"/>
      <c r="BP47" t="s">
        <v>213</v>
      </c>
      <c r="BQ47">
        <f>Crops[[#This Row],[Custom Yield Per Bed]]*Crops[[#This Row],[Direct Price]]</f>
        <v>1620</v>
      </c>
      <c r="BR47" t="b">
        <v>0</v>
      </c>
      <c r="BS47" t="b">
        <f>Crops[[#This Row],[Harvests]]&gt;1</f>
        <v>1</v>
      </c>
      <c r="BT47" s="36">
        <f>IFERROR(Crops[[#This Row],[Direct Revenue Per Bed]]/Crops[[#This Row],[Days In Field]],-1)</f>
        <v>8.7096774193548381</v>
      </c>
      <c r="BU47" s="33">
        <f>IFERROR(Crops[[#This Row],[Direct Revenue Per Bed Day]]*GrowingDays*BedsPerAcre,"")</f>
        <v>250838.70967741933</v>
      </c>
      <c r="BV47" s="38">
        <f>LastFrostDate-5*Crops[[#This Row],[Sewing Rel Last Frost]]</f>
        <v>45748</v>
      </c>
      <c r="BW47" s="38">
        <f>Crops[[#This Row],[Target Sewing Date]]+Crops[[#This Row],[Days in Cells]]</f>
        <v>45748</v>
      </c>
      <c r="BX47" s="38">
        <f>Crops[[#This Row],[Target Sewing Date]]+Crops[[#This Row],[STH]]</f>
        <v>45850</v>
      </c>
      <c r="BY47" s="38">
        <f>Crops[[#This Row],[Target Harvest Data]]+Crops[[#This Row],[Harvest window]]</f>
        <v>45934</v>
      </c>
      <c r="BZ47">
        <v>0</v>
      </c>
      <c r="CA47" t="s">
        <v>490</v>
      </c>
      <c r="CB47">
        <f>1</f>
        <v>1</v>
      </c>
      <c r="CC47">
        <f>IF(Crops[[#This Row],[Transplanting]]&gt;0, 2, 3)*BedLength/StandardBedLength</f>
        <v>1.5</v>
      </c>
      <c r="CD47" s="173">
        <f>IF(Crops[[#This Row],[Days in Cells]]&lt;=0,0,Crops[[#This Row],[Plantings Per Bed]]/StartsPerHourSeeding+Crops[[#This Row],[Tray 1 Count]]*5/60)</f>
        <v>0</v>
      </c>
      <c r="CE47" s="173">
        <f>IF(ISBLANK(Crops[[#This Row],[Tray 2 Days]]),0,Crops[[#This Row],[Plantings Per Bed]]/UpPottingPerHour)+IF(Crops[[#This Row],[Tray 3 Days]]="",0,Crops[[#This Row],[Plantings Per Bed]]/UpPottingPerHour)</f>
        <v>0</v>
      </c>
      <c r="CF47" s="173">
        <f>IFERROR(Crops[[#This Row],[Tray 1 Count]]/HomeStartFlatIrrigationPerHour,0)*Crops[[#This Row],[Days in Cells]]/DaysBetweenStartIrrigation</f>
        <v>0</v>
      </c>
      <c r="CG47" s="173">
        <f>0.5/16*MAX(Crops[[#This Row],[Tray 1 Count]],Crops[[#This Row],[Tray 2 Count]],Crops[[#This Row],[Tray 3 Count]])</f>
        <v>0</v>
      </c>
      <c r="CH47" s="173">
        <f>IF(Crops[[#This Row],[Days in Cells]]&gt;0,IF(IF(Crops[[#This Row],[Tray 3 Size]]&gt;0,Crops[[#This Row],[Tray 3 Size]],IF(Crops[[#This Row],[Tray 2 Size]]&gt;0,Crops[[#This Row],[Tray 2 Size]],Crops[[#This Row],[Tray 1 Size]]))&lt;=18,LargeTransplantTime,SmallTransplantTime)*Crops[[#This Row],[Plantings Per Bed]],0)</f>
        <v>0</v>
      </c>
      <c r="CI47" s="173"/>
      <c r="CJ47" s="173">
        <f>_xlfn.XLOOKUP(Crops[[#This Row],[Trellis Type]],TrellisMethods[Trellis Type],TrellisMethods[Hours],0,0)</f>
        <v>0</v>
      </c>
      <c r="CK47">
        <f>IF(Crops[[#This Row],[Days in Cells]]&lt;=0,Crops[[#This Row],[Rows]]*1/10,0)*BedLength/50</f>
        <v>0.3</v>
      </c>
      <c r="CL47" cm="1">
        <f t="array" ref="CL47">_xlfn.SWITCH(Crops[[#This Row],[Irrigation]],"DR", 0.5, "OH", 0.25,0)*BedLength/50</f>
        <v>0</v>
      </c>
      <c r="CM47">
        <f>IF(OR(ISBLANK(Crops[[#This Row],[Row Cover]]),Crops[[#This Row],[Row Cover]]="None"),0,1)*BedLength/50</f>
        <v>0</v>
      </c>
      <c r="CN47" s="173">
        <f>HoursPerWeedingPass*Crops[[#This Row],[Days In Field]]/14*Crops[[#This Row],[Rows]]+1*BedLength/50</f>
        <v>7.6428571428571432</v>
      </c>
      <c r="CQ47" s="37">
        <f>_xlfn.XLOOKUP(Crops[[#This Row],[Crop]]&amp;Crops[[#This Row],[Product]]&amp;Crops[[#This Row],[Unit]],Products[ID],Products[Marketing (hr)])*Crops[[#This Row],[Direct Revenue Per Bed]]/2000</f>
        <v>4.8600000000000003</v>
      </c>
      <c r="CR47" s="37">
        <f>_xlfn.XLOOKUP(Crops[[#This Row],[Crop]]&amp;Crops[[#This Row],[Product]]&amp;Crops[[#This Row],[Unit]],Products[ID],Products[Harvest (s)])*Crops[[#This Row],[Custom Yield Per Bed]]/3600</f>
        <v>22.5</v>
      </c>
      <c r="CS47" s="37">
        <f>_xlfn.XLOOKUP(Crops[[#This Row],[Crop]]&amp;Crops[[#This Row],[Product]]&amp;Crops[[#This Row],[Unit]],Products[ID],Products[Bunch (s)])*Crops[[#This Row],[Custom Yield Per Bed]]/3600</f>
        <v>0</v>
      </c>
      <c r="CT47" s="37">
        <f>_xlfn.XLOOKUP(Crops[[#This Row],[Crop]]&amp;Crops[[#This Row],[Product]]&amp;Crops[[#This Row],[Unit]],Products[ID],Products[Haul (s)])*Crops[[#This Row],[Custom Yield Per Bed]]/3600</f>
        <v>2.7</v>
      </c>
      <c r="CU47" s="37">
        <f>_xlfn.XLOOKUP(Crops[[#This Row],[Crop]]&amp;Crops[[#This Row],[Product]]&amp;Crops[[#This Row],[Unit]],Products[ID],Products[Wash (s)])*Crops[[#This Row],[Custom Yield Per Bed]]/3600</f>
        <v>0</v>
      </c>
      <c r="CV47" s="37">
        <f>_xlfn.XLOOKUP(Crops[[#This Row],[Crop]]&amp;Crops[[#This Row],[Product]]&amp;Crops[[#This Row],[Unit]],Products[ID],Products[Condition (s)])*Crops[[#This Row],[Custom Yield Per Bed]]/3600</f>
        <v>0</v>
      </c>
      <c r="CW47" s="37">
        <f>_xlfn.XLOOKUP(Crops[[#This Row],[Crop]]&amp;Crops[[#This Row],[Product]]&amp;Crops[[#This Row],[Unit]],Products[ID],Products[Trim (s)])*Crops[[#This Row],[Custom Yield Per Bed]]/3600</f>
        <v>4.5</v>
      </c>
      <c r="CX47" s="37">
        <f>_xlfn.XLOOKUP(Crops[[#This Row],[Crop]]&amp;Crops[[#This Row],[Product]]&amp;Crops[[#This Row],[Unit]],Products[ID],Products[Pack (s)])*Crops[[#This Row],[Custom Yield Per Bed]]/3600</f>
        <v>4.5</v>
      </c>
      <c r="CY47" s="37">
        <f>_xlfn.XLOOKUP(Crops[[#This Row],[Crop]]&amp;Crops[[#This Row],[Product]]&amp;Crops[[#This Row],[Unit]],Products[ID],Products[Clean (s)])*Crops[[#This Row],[Custom Yield Per Bed]]/3600</f>
        <v>0</v>
      </c>
      <c r="CZ47" s="37">
        <f>_xlfn.XLOOKUP(Crops[[#This Row],[Crop]]&amp;Crops[[#This Row],[Product]]&amp;Crops[[#This Row],[Unit]],Products[ID],Products[Rehandle (s)])*Crops[[#This Row],[Custom Yield Per Bed]]/3600</f>
        <v>0</v>
      </c>
      <c r="DA47" s="37">
        <f>_xlfn.XLOOKUP(Crops[[#This Row],[Crop]]&amp;Crops[[#This Row],[Product]]&amp;Crops[[#This Row],[Unit]],Products[ID],Products[Market Transport (s)])*Crops[[#This Row],[Custom Yield Per Bed]]/3600</f>
        <v>6.75</v>
      </c>
      <c r="DC47" s="37">
        <f>Crops[[#This Row],[Direct Revenue Per Bed2]]</f>
        <v>1620</v>
      </c>
      <c r="DD47" s="173">
        <f>_xlfn.AGGREGATE(9,6,Crops[[#This Row],[Bed Prep]:[Remove Crop Residue]])</f>
        <v>55.252857142857145</v>
      </c>
      <c r="DE47" s="173">
        <f>_xlfn.AGGREGATE(9,6,Crops[[#This Row],[Bed Prep]:[Remove Crop Residue]])-0.75*Crops[[#This Row],[Market &amp; Sell]]</f>
        <v>51.607857142857142</v>
      </c>
      <c r="DF47" s="36">
        <f>Crops[[#This Row],[Direct Revenue Per Bed2]]/Crops[[#This Row],[Direct Time]]</f>
        <v>29.31975075626341</v>
      </c>
      <c r="DG47" s="36">
        <f>_xlfn.XLOOKUP(Crops[[#This Row],[ProductIndex]],Products[ID],Products[Packaging Cost])*(Crops[[#This Row],[Custom Yield Per Bed]]/_xlfn.XLOOKUP(Crops[[#This Row],[ProductIndex]],Products[ID],Products[Units Per Pack]))</f>
        <v>432</v>
      </c>
      <c r="DH47" s="36"/>
      <c r="DI47" s="36"/>
      <c r="DJ47" s="36"/>
      <c r="DK47" s="36"/>
      <c r="DL47" s="36"/>
      <c r="DM47" s="37">
        <f>IFERROR(Crops[[#This Row],[Custom Yield Per Bed]]*Crops[[#This Row],[Direct Price]],"")</f>
        <v>1620</v>
      </c>
      <c r="DN47" s="36">
        <f>Crops[[#This Row],[Direct Time]]*LaborRate</f>
        <v>1381.3214285714287</v>
      </c>
      <c r="DO47" s="36">
        <f>SUM(Crops[[#This Row],[Irrigation Cost]])</f>
        <v>0</v>
      </c>
      <c r="DP47" s="36">
        <f>Crops[[#This Row],[Direct Labor Cost]]+Crops[[#This Row],[Direct Non-Labor Cost]]</f>
        <v>1381.3214285714287</v>
      </c>
      <c r="DQ47" s="36">
        <f>Crops[[#This Row],[Direct Revenue Per Bed2]]-Crops[[#This Row],[Direct Total Cost]]</f>
        <v>238.67857142857133</v>
      </c>
      <c r="DR47" s="36">
        <f>Crops[[#This Row],[Direct Profit]]*BedsPerAcre</f>
        <v>38188.571428571413</v>
      </c>
      <c r="DS47" s="36">
        <f>Crops[[#This Row],[Direct Profit]]*BedsPerAcre*GrowingDays/Crops[[#This Row],[Days In Field]]</f>
        <v>36956.682027649753</v>
      </c>
      <c r="DT47" s="36">
        <f>Crops[[#This Row],[Direct Profit]]/MIN(Crops[[#This Row],[Days In Field]],GrowingDays)</f>
        <v>1.325992063492063</v>
      </c>
      <c r="DU47" s="36">
        <f>Crops[[#This Row],[Direct Time]] * BedsPerAcre</f>
        <v>8840.4571428571435</v>
      </c>
      <c r="DV47" s="36">
        <f>(Crops[[#This Row],[Direct Revenue Per Bed2]]-Crops[[#This Row],[Direct Non-Labor Cost]])/Crops[[#This Row],[Direct Time]]</f>
        <v>29.31975075626341</v>
      </c>
      <c r="DW47" s="37">
        <f>IFERROR(Crops[[#This Row],[Custom Yield Per Bed]]*Crops[[#This Row],[Rough Wholesale Price]],"")</f>
        <v>972</v>
      </c>
      <c r="DX47" s="36">
        <f>Crops[[#This Row],[Wholesale Time]]*LaborRate</f>
        <v>1290.1964285714284</v>
      </c>
      <c r="DY47" s="36">
        <f>SUM(Crops[[#This Row],[Packaging Costs]:[Irrigation Cost]])</f>
        <v>432</v>
      </c>
      <c r="DZ47" s="36">
        <f>Crops[[#This Row],[Wholesale Labor Cost]]+Crops[[#This Row],[Wholesale Non-Labor Cost]]</f>
        <v>1722.1964285714284</v>
      </c>
      <c r="EA47" s="36">
        <f>Crops[[#This Row],[Wholesale Revenue Per Bed]]-Crops[[#This Row],[Wholesale Total Cost]]</f>
        <v>-750.19642857142844</v>
      </c>
      <c r="EB47" s="36">
        <f>Crops[[#This Row],[Wholesale Profit]]*BedsPerAcre</f>
        <v>-120031.42857142855</v>
      </c>
      <c r="EC47" s="36">
        <f>Crops[[#This Row],[Wholesale Profit]]*BedsPerAcre*GrowingDays/Crops[[#This Row],[Days In Field]]</f>
        <v>-116159.44700460827</v>
      </c>
      <c r="ED47" s="36">
        <f>Crops[[#This Row],[Wholesale Time]] * BedsPerAcre</f>
        <v>8257.2571428571428</v>
      </c>
      <c r="EE47" s="36">
        <f>Crops[[#This Row],[Wholesale Profit]]/MIN(Crops[[#This Row],[Days In Field]],GrowingDays)</f>
        <v>-4.167757936507936</v>
      </c>
      <c r="EF47" s="36">
        <f>(Crops[[#This Row],[Wholesale Revenue Per Bed]]-Crops[[#This Row],[Wholesale Non-Labor Cost]])/Crops[[#This Row],[Direct Time]]</f>
        <v>9.773250252087804</v>
      </c>
      <c r="EG47" s="174">
        <f>Crops[[#This Row],[Packaging Costs]]/Crops[[#This Row],[Wholesale Revenue Per Bed]]</f>
        <v>0.44444444444444442</v>
      </c>
      <c r="EH47" s="36" t="str">
        <f>Crops[[#This Row],[Crop]]&amp;Crops[[#This Row],[Product]]&amp;Crops[[#This Row],[Unit]]</f>
        <v>BupleurumMature StemStem</v>
      </c>
      <c r="EI47" s="36" t="b">
        <f>_xlfn.XLOOKUP(Crops[[#This Row],[ProductIndex]],Products[ID],Products[Target])</f>
        <v>1</v>
      </c>
      <c r="EJ47" s="36">
        <f>Crops[[#This Row],[Custom Yield Per Bed]]</f>
        <v>5400</v>
      </c>
      <c r="EK47" s="210">
        <f>Crops[[#This Row],[Units Per Harvest]]/Crops[[#This Row],[Days Between Harvest]]*7</f>
        <v>450.00000000000006</v>
      </c>
      <c r="EL47" s="210" t="e">
        <f>Crops[[#This Row],[Custom Yield Per Bed]]/_xlfn.XLOOKUP(Crops[[#This Row],[ProductIndex]],Products[ID],Products[CSA Portion])</f>
        <v>#DIV/0!</v>
      </c>
      <c r="EM47" s="210" t="e">
        <f>Crops[[#This Row],[Units Per Harvest]]/Crops[[#This Row],[Days Between Harvest]]*7/_xlfn.XLOOKUP(Crops[[#This Row],[ProductIndex]],Products[ID],Products[CSA Portion])</f>
        <v>#DIV/0!</v>
      </c>
      <c r="EN47" s="210" t="e">
        <f>Crops[[#This Row],[CSA Portions Per Week]]/CSAMembers</f>
        <v>#DIV/0!</v>
      </c>
      <c r="EO47" s="210"/>
      <c r="EP47" s="210"/>
      <c r="EQ47" s="36"/>
      <c r="ER47" s="36">
        <f>Crops[[#This Row],[Harvests]]*Crops[[#This Row],[Days Between Harvest]]/7</f>
        <v>12</v>
      </c>
      <c r="ES47" s="208">
        <f>_xlfn.XLOOKUP(Crops[[#This Row],[ProductIndex]],Products[ID],Products[CSA Need])</f>
        <v>0</v>
      </c>
      <c r="ET47" s="208">
        <f>_xlfn.XLOOKUP(Crops[[#This Row],[ProductIndex]],Products[ID],Products[CSA Times])</f>
        <v>0</v>
      </c>
      <c r="EU47" s="208" t="e">
        <f>Crops[[#This Row],[Custom Yield Per Bed]]/(Crops[[#This Row],[CSA Need]]*(_xlfn.XLOOKUP(Crops[[#This Row],[ProductIndex]],Products[ID],Products[CSA Portion])*CSAMembers))</f>
        <v>#DIV/0!</v>
      </c>
      <c r="EV47" s="208">
        <f>_xlfn.XLOOKUP(Crops[[#This Row],[ProductIndex]],Products[ID],Products[CSA Portion])*CSAMembers*Crops[[#This Row],[CSA Need]]/Crops[[#This Row],[Custom Yield Per Bed]]</f>
        <v>0</v>
      </c>
      <c r="EW47" s="208">
        <f>IFERROR(Crops[[#This Row],[Days In Field]]*Crops[[#This Row],[CSA Beds]],"")</f>
        <v>0</v>
      </c>
      <c r="EX47" s="208" t="e">
        <f>Crops[[#This Row],[CSA Bed Days]]*#REF!</f>
        <v>#REF!</v>
      </c>
    </row>
    <row r="48" spans="1:155">
      <c r="A4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Butterfly Flowers - Flowering Tendril 1X | Field TP </v>
      </c>
      <c r="B48" s="189"/>
      <c r="C48" s="1"/>
      <c r="D48" s="1"/>
      <c r="E48" s="1" t="b">
        <v>0</v>
      </c>
      <c r="F48" s="1" t="b">
        <f>IFERROR(IF(ISNUMBER(MATCH(Crops[[#This Row],[Identifier]],BedPlan[Crop], 0)), TRUE, FALSE), FALSE)</f>
        <v>0</v>
      </c>
      <c r="G48" s="1" t="b">
        <f>IFERROR(IF(ISNUMBER(MATCH(Crops[[#This Row],[Identifier]],BedPlan[Crop], 0)), TRUE, FALSE), FALSE)</f>
        <v>0</v>
      </c>
      <c r="H48" s="1"/>
      <c r="I48" t="s">
        <v>51</v>
      </c>
      <c r="J48" t="s">
        <v>145</v>
      </c>
      <c r="K48" t="s">
        <v>184</v>
      </c>
      <c r="M48" t="s">
        <v>406</v>
      </c>
      <c r="N48" t="str">
        <f>Crops[[#This Row],[Crop]]</f>
        <v>Butterfly Flowers</v>
      </c>
      <c r="O48" t="s">
        <v>210</v>
      </c>
      <c r="P48" t="str">
        <f>IF(OR(Crops[[#This Row],[Days in Cells]]="",Crops[[#This Row],[Days in Cells]]=0), "DS","TP")</f>
        <v>TP</v>
      </c>
      <c r="V48" t="str">
        <f xml:space="preserve"> IF(Crops[[#This Row],[Sp]], "Sp", "") &amp; IF(Crops[[#This Row],[Su]], "Su", "") &amp; IF(Crops[[#This Row],[Fa]], "Fa", "") &amp; IF(Crops[[#This Row],[Wi]], "Wi", "") &amp; IF(Crops[[#This Row],[OW]], "Ow","")</f>
        <v/>
      </c>
      <c r="W48" t="s">
        <v>144</v>
      </c>
      <c r="X48">
        <v>1</v>
      </c>
      <c r="Y48">
        <v>6</v>
      </c>
      <c r="Z48" t="s">
        <v>434</v>
      </c>
      <c r="AA48" t="s">
        <v>475</v>
      </c>
      <c r="AB48" t="b">
        <v>0</v>
      </c>
      <c r="AD48" s="32">
        <f>IFERROR(12/Crops[[#This Row],[Spacing]]*Crops[[#This Row],[Rows]]*BedLength,"")</f>
        <v>100</v>
      </c>
      <c r="AE48">
        <v>1</v>
      </c>
      <c r="AG48">
        <f>IF(Crops[[#This Row],[Custom Safety Factor]]="",PlantingSafetyFactor,Crops[[#This Row],[Custom Safety Factor]])</f>
        <v>1.3</v>
      </c>
      <c r="AH48">
        <f>1</f>
        <v>1</v>
      </c>
      <c r="AI48" s="33">
        <f>IFERROR(Crops[[#This Row],[Plantings Per Bed]]*Crops[[#This Row],[Seeds Per Planting]]*Crops[[#This Row],[Safety Factor]]*Crops[[#This Row],[Seeding Factor]],"")</f>
        <v>130</v>
      </c>
      <c r="AJ48">
        <v>14</v>
      </c>
      <c r="AK48">
        <v>21</v>
      </c>
      <c r="AL48">
        <f>_xlfn.FLOOR.MATH(IFERROR(AVERAGE(Crops[[#This Row],[DTG Lower]:[DTG Upper]]),0))</f>
        <v>17</v>
      </c>
      <c r="AM48">
        <f>SUM(Crops[[#This Row],[Tray 1 Days]],Crops[[#This Row],[Tray 2 Days]],Crops[[#This Row],[Tray 3 Days]])</f>
        <v>60</v>
      </c>
      <c r="AN48" s="32">
        <v>60</v>
      </c>
      <c r="AO48">
        <v>110</v>
      </c>
      <c r="AP48">
        <v>120</v>
      </c>
      <c r="AQ48">
        <f>IFERROR(_xlfn.FLOOR.MATH(AVERAGE(Crops[[#This Row],[DTM Lower]:[DTM Upper]])),"")</f>
        <v>115</v>
      </c>
      <c r="AR48" cm="1">
        <f t="array" ref="AR48">_xlfn.SWITCH(Crops[[#This Row],[Normal Method]],"DS",Crops[[#This Row],[Days to Germination]]+Crops[[#This Row],[DTM]] + IF(Crops[[#This Row],[Days in Cells]]&gt;0,15,0), "TP",Crops[[#This Row],[DTM]]+Crops[[#This Row],[Days in Cells]] + IF(Crops[[#This Row],[Days in Cells]]&lt;=0,20,0), "X", Crops[[#This Row],[DTM]])</f>
        <v>147</v>
      </c>
      <c r="AS48" t="s">
        <v>338</v>
      </c>
      <c r="AT48">
        <f>(Crops[[#This Row],[Harvests]]-1)*Crops[[#This Row],[Days Between Harvest]]+7</f>
        <v>70</v>
      </c>
      <c r="AU48">
        <f>Crops[[#This Row],[STH]]-Crops[[#This Row],[Days in Cells]]+Crops[[#This Row],[Harvest window]]</f>
        <v>157</v>
      </c>
      <c r="AX48">
        <v>50</v>
      </c>
      <c r="AY48">
        <v>60</v>
      </c>
      <c r="AZ48" s="49">
        <f>IFERROR(IF(Crops[[#This Row],[Tray 1 Days]]=0,"",Crops[[#This Row],[Plantings Per Bed]]/Crops[[#This Row],[Tray 1 Size]]*Crops[[#This Row],[Safety Factor]]),"")</f>
        <v>2.6</v>
      </c>
      <c r="BC48" t="str">
        <f>IFERROR(IF(Crops[[#This Row],[Tray 2 Days]]=0,"",Crops[[#This Row],[Plantings Per Bed]]/Crops[[#This Row],[Tray 2 Size]]*Crops[[#This Row],[Safety Factor]]),"")</f>
        <v/>
      </c>
      <c r="BE48" s="32" t="str">
        <f>IF(NOT(ISBLANK(Crops[[#This Row],[Tray 3 Size]])), Crops[[#This Row],[Days in Cells Old]]-SUM(Crops[[#This Row],[Tray 1 Days]],Crops[[#This Row],[Tray 2 Days]]), "")</f>
        <v/>
      </c>
      <c r="BF48" s="49" t="str">
        <f>IFERROR(IF(Crops[[#This Row],[Tray 3 Days]]=0,"",Crops[[#This Row],[Plantings Per Bed]]/Crops[[#This Row],[Tray 3 Size]]*Crops[[#This Row],[Safety Factor]]),"")</f>
        <v/>
      </c>
      <c r="BG48" s="33">
        <f>Crops[[#This Row],[Plantings Per Bed]]*2</f>
        <v>200</v>
      </c>
      <c r="BH48" s="33">
        <v>10</v>
      </c>
      <c r="BI48" s="33">
        <v>7</v>
      </c>
      <c r="BJ48" s="33">
        <f>_xlfn.XLOOKUP(Crops[[#This Row],[ProductIndex]],Products[ID],Products[Holding Period])</f>
        <v>0</v>
      </c>
      <c r="BK48" s="33"/>
      <c r="BL48" s="33">
        <f>Crops[[#This Row],[Units Per Harvest]]*Crops[[#This Row],[Harvests]]</f>
        <v>2000</v>
      </c>
      <c r="BM48" s="35">
        <v>1</v>
      </c>
      <c r="BN48" s="212">
        <f>Crops[[#This Row],[Direct Price]]*0.6</f>
        <v>0.6</v>
      </c>
      <c r="BO48" s="35"/>
      <c r="BP48" t="s">
        <v>213</v>
      </c>
      <c r="BQ48">
        <f>Crops[[#This Row],[Custom Yield Per Bed]]*Crops[[#This Row],[Direct Price]]</f>
        <v>2000</v>
      </c>
      <c r="BR48" t="b">
        <v>0</v>
      </c>
      <c r="BS48" t="b">
        <f>Crops[[#This Row],[Harvests]]&gt;1</f>
        <v>1</v>
      </c>
      <c r="BT48" s="36">
        <f>IFERROR(Crops[[#This Row],[Direct Revenue Per Bed]]/Crops[[#This Row],[Days In Field]],-1)</f>
        <v>12.738853503184714</v>
      </c>
      <c r="BU48" s="33">
        <f>IFERROR(Crops[[#This Row],[Direct Revenue Per Bed Day]]*GrowingDays*BedsPerAcre,"")</f>
        <v>366878.98089171975</v>
      </c>
      <c r="BV48" s="38">
        <f>LastFrostDate-5*Crops[[#This Row],[Sewing Rel Last Frost]]</f>
        <v>45733</v>
      </c>
      <c r="BW48" s="38">
        <f>Crops[[#This Row],[Target Sewing Date]]+Crops[[#This Row],[Days in Cells]]</f>
        <v>45793</v>
      </c>
      <c r="BX48" s="38">
        <f>Crops[[#This Row],[Target Sewing Date]]+Crops[[#This Row],[STH]]</f>
        <v>45880</v>
      </c>
      <c r="BY48" s="38">
        <f>Crops[[#This Row],[Target Harvest Data]]+Crops[[#This Row],[Harvest window]]</f>
        <v>45950</v>
      </c>
      <c r="BZ48">
        <v>3</v>
      </c>
      <c r="CB48">
        <f>1</f>
        <v>1</v>
      </c>
      <c r="CC48">
        <f>IF(Crops[[#This Row],[Transplanting]]&gt;0, 2, 3)*BedLength/StandardBedLength</f>
        <v>1</v>
      </c>
      <c r="CD48" s="173">
        <f>IF(Crops[[#This Row],[Days in Cells]]&lt;=0,0,Crops[[#This Row],[Plantings Per Bed]]/StartsPerHourSeeding+Crops[[#This Row],[Tray 1 Count]]*5/60)</f>
        <v>0.60729166666666667</v>
      </c>
      <c r="CE48" s="173">
        <f>IF(ISBLANK(Crops[[#This Row],[Tray 2 Days]]),0,Crops[[#This Row],[Plantings Per Bed]]/UpPottingPerHour)+IF(Crops[[#This Row],[Tray 3 Days]]="",0,Crops[[#This Row],[Plantings Per Bed]]/UpPottingPerHour)</f>
        <v>0</v>
      </c>
      <c r="CF48" s="173">
        <f>IFERROR(Crops[[#This Row],[Tray 1 Count]]/HomeStartFlatIrrigationPerHour,0)*Crops[[#This Row],[Days in Cells]]/DaysBetweenStartIrrigation</f>
        <v>0.65</v>
      </c>
      <c r="CG48" s="173">
        <f>0.5/16*MAX(Crops[[#This Row],[Tray 1 Count]],Crops[[#This Row],[Tray 2 Count]],Crops[[#This Row],[Tray 3 Count]])</f>
        <v>8.1250000000000003E-2</v>
      </c>
      <c r="CH48" s="173">
        <f>IF(Crops[[#This Row],[Days in Cells]]&gt;0,IF(IF(Crops[[#This Row],[Tray 3 Size]]&gt;0,Crops[[#This Row],[Tray 3 Size]],IF(Crops[[#This Row],[Tray 2 Size]]&gt;0,Crops[[#This Row],[Tray 2 Size]],Crops[[#This Row],[Tray 1 Size]]))&lt;=18,LargeTransplantTime,SmallTransplantTime)*Crops[[#This Row],[Plantings Per Bed]],0)</f>
        <v>0.5</v>
      </c>
      <c r="CI48" s="173"/>
      <c r="CJ48" s="173">
        <f>_xlfn.XLOOKUP(Crops[[#This Row],[Trellis Type]],TrellisMethods[Trellis Type],TrellisMethods[Hours],0,0)</f>
        <v>0</v>
      </c>
      <c r="CK48">
        <f>IF(Crops[[#This Row],[Days in Cells]]&lt;=0,Crops[[#This Row],[Rows]]*1/10,0)*BedLength/50</f>
        <v>0</v>
      </c>
      <c r="CL48" cm="1">
        <f t="array" ref="CL48">_xlfn.SWITCH(Crops[[#This Row],[Irrigation]],"DR", 0.5, "OH", 0.25,0)*BedLength/50</f>
        <v>0</v>
      </c>
      <c r="CM48">
        <f>IF(OR(ISBLANK(Crops[[#This Row],[Row Cover]]),Crops[[#This Row],[Row Cover]]="None"),0,1)*BedLength/50</f>
        <v>1</v>
      </c>
      <c r="CN48" s="173">
        <f>HoursPerWeedingPass*Crops[[#This Row],[Days In Field]]/14*Crops[[#This Row],[Rows]]+1*BedLength/50</f>
        <v>2.8690476190476186</v>
      </c>
      <c r="CQ48" s="37">
        <f>_xlfn.XLOOKUP(Crops[[#This Row],[Crop]]&amp;Crops[[#This Row],[Product]]&amp;Crops[[#This Row],[Unit]],Products[ID],Products[Marketing (hr)])*Crops[[#This Row],[Direct Revenue Per Bed]]/2000</f>
        <v>6</v>
      </c>
      <c r="CR48" s="37">
        <f>_xlfn.XLOOKUP(Crops[[#This Row],[Crop]]&amp;Crops[[#This Row],[Product]]&amp;Crops[[#This Row],[Unit]],Products[ID],Products[Harvest (s)])*Crops[[#This Row],[Custom Yield Per Bed]]/3600</f>
        <v>33.333333333333336</v>
      </c>
      <c r="CS48" s="37">
        <f>_xlfn.XLOOKUP(Crops[[#This Row],[Crop]]&amp;Crops[[#This Row],[Product]]&amp;Crops[[#This Row],[Unit]],Products[ID],Products[Bunch (s)])*Crops[[#This Row],[Custom Yield Per Bed]]/3600</f>
        <v>0</v>
      </c>
      <c r="CT48" s="37">
        <f>_xlfn.XLOOKUP(Crops[[#This Row],[Crop]]&amp;Crops[[#This Row],[Product]]&amp;Crops[[#This Row],[Unit]],Products[ID],Products[Haul (s)])*Crops[[#This Row],[Custom Yield Per Bed]]/3600</f>
        <v>1</v>
      </c>
      <c r="CU48" s="37">
        <f>_xlfn.XLOOKUP(Crops[[#This Row],[Crop]]&amp;Crops[[#This Row],[Product]]&amp;Crops[[#This Row],[Unit]],Products[ID],Products[Wash (s)])*Crops[[#This Row],[Custom Yield Per Bed]]/3600</f>
        <v>0</v>
      </c>
      <c r="CV48" s="37">
        <f>_xlfn.XLOOKUP(Crops[[#This Row],[Crop]]&amp;Crops[[#This Row],[Product]]&amp;Crops[[#This Row],[Unit]],Products[ID],Products[Condition (s)])*Crops[[#This Row],[Custom Yield Per Bed]]/3600</f>
        <v>0</v>
      </c>
      <c r="CW48" s="37">
        <f>_xlfn.XLOOKUP(Crops[[#This Row],[Crop]]&amp;Crops[[#This Row],[Product]]&amp;Crops[[#This Row],[Unit]],Products[ID],Products[Trim (s)])*Crops[[#This Row],[Custom Yield Per Bed]]/3600</f>
        <v>0</v>
      </c>
      <c r="CX48" s="37">
        <f>_xlfn.XLOOKUP(Crops[[#This Row],[Crop]]&amp;Crops[[#This Row],[Product]]&amp;Crops[[#This Row],[Unit]],Products[ID],Products[Pack (s)])*Crops[[#This Row],[Custom Yield Per Bed]]/3600</f>
        <v>1.6666666666666667</v>
      </c>
      <c r="CY48" s="37">
        <f>_xlfn.XLOOKUP(Crops[[#This Row],[Crop]]&amp;Crops[[#This Row],[Product]]&amp;Crops[[#This Row],[Unit]],Products[ID],Products[Clean (s)])*Crops[[#This Row],[Custom Yield Per Bed]]/3600</f>
        <v>0</v>
      </c>
      <c r="CZ48" s="37">
        <f>_xlfn.XLOOKUP(Crops[[#This Row],[Crop]]&amp;Crops[[#This Row],[Product]]&amp;Crops[[#This Row],[Unit]],Products[ID],Products[Rehandle (s)])*Crops[[#This Row],[Custom Yield Per Bed]]/3600</f>
        <v>0</v>
      </c>
      <c r="DA48" s="37">
        <f>_xlfn.XLOOKUP(Crops[[#This Row],[Crop]]&amp;Crops[[#This Row],[Product]]&amp;Crops[[#This Row],[Unit]],Products[ID],Products[Market Transport (s)])*Crops[[#This Row],[Custom Yield Per Bed]]/3600</f>
        <v>2.5</v>
      </c>
      <c r="DC48" s="37">
        <f>Crops[[#This Row],[Direct Revenue Per Bed2]]</f>
        <v>2000</v>
      </c>
      <c r="DD48" s="173">
        <f>_xlfn.AGGREGATE(9,6,Crops[[#This Row],[Bed Prep]:[Remove Crop Residue]])</f>
        <v>51.207589285714285</v>
      </c>
      <c r="DE48" s="173">
        <f>_xlfn.AGGREGATE(9,6,Crops[[#This Row],[Bed Prep]:[Remove Crop Residue]])-0.75*Crops[[#This Row],[Market &amp; Sell]]</f>
        <v>46.707589285714285</v>
      </c>
      <c r="DF48" s="36">
        <f>Crops[[#This Row],[Direct Revenue Per Bed2]]/Crops[[#This Row],[Direct Time]]</f>
        <v>39.056710692646355</v>
      </c>
      <c r="DG48" s="36">
        <f>_xlfn.XLOOKUP(Crops[[#This Row],[ProductIndex]],Products[ID],Products[Packaging Cost])*(Crops[[#This Row],[Custom Yield Per Bed]]/_xlfn.XLOOKUP(Crops[[#This Row],[ProductIndex]],Products[ID],Products[Units Per Pack]))</f>
        <v>160</v>
      </c>
      <c r="DH48" s="36"/>
      <c r="DI48" s="36"/>
      <c r="DJ48" s="36"/>
      <c r="DK48" s="36"/>
      <c r="DL48" s="36"/>
      <c r="DM48" s="33">
        <f>IFERROR(Crops[[#This Row],[Custom Yield Per Bed]]*Crops[[#This Row],[Direct Price]],"")</f>
        <v>2000</v>
      </c>
      <c r="DN48" s="36">
        <f>Crops[[#This Row],[Direct Time]]*LaborRate</f>
        <v>1280.1897321428571</v>
      </c>
      <c r="DO48" s="36">
        <f>SUM(Crops[[#This Row],[Irrigation Cost]])</f>
        <v>0</v>
      </c>
      <c r="DP48" s="36">
        <f>Crops[[#This Row],[Direct Labor Cost]]+Crops[[#This Row],[Direct Non-Labor Cost]]</f>
        <v>1280.1897321428571</v>
      </c>
      <c r="DQ48" s="36">
        <f>Crops[[#This Row],[Direct Revenue Per Bed2]]-Crops[[#This Row],[Direct Total Cost]]</f>
        <v>719.81026785714289</v>
      </c>
      <c r="DR48" s="36">
        <f>Crops[[#This Row],[Direct Profit]]*BedsPerAcre</f>
        <v>115169.64285714287</v>
      </c>
      <c r="DS48" s="36">
        <f>Crops[[#This Row],[Direct Profit]]*BedsPerAcre*GrowingDays/Crops[[#This Row],[Days In Field]]</f>
        <v>132041.62875341219</v>
      </c>
      <c r="DT48" s="36">
        <f>Crops[[#This Row],[Direct Profit]]/MIN(Crops[[#This Row],[Days In Field]],GrowingDays)</f>
        <v>4.584778776160146</v>
      </c>
      <c r="DU48" s="36">
        <f>Crops[[#This Row],[Direct Time]] * BedsPerAcre</f>
        <v>8193.2142857142862</v>
      </c>
      <c r="DV48" s="36">
        <f>(Crops[[#This Row],[Direct Revenue Per Bed2]]-Crops[[#This Row],[Direct Non-Labor Cost]])/Crops[[#This Row],[Direct Time]]</f>
        <v>39.056710692646355</v>
      </c>
      <c r="DW48" s="33">
        <f>IFERROR(Crops[[#This Row],[Custom Yield Per Bed]]*Crops[[#This Row],[Rough Wholesale Price]],"")</f>
        <v>1200</v>
      </c>
      <c r="DX48" s="36">
        <f>Crops[[#This Row],[Wholesale Time]]*LaborRate</f>
        <v>1167.6897321428571</v>
      </c>
      <c r="DY48" s="36">
        <f>SUM(Crops[[#This Row],[Packaging Costs]:[Irrigation Cost]])</f>
        <v>160</v>
      </c>
      <c r="DZ48" s="36">
        <f>Crops[[#This Row],[Wholesale Labor Cost]]+Crops[[#This Row],[Wholesale Non-Labor Cost]]</f>
        <v>1327.6897321428571</v>
      </c>
      <c r="EA48" s="36">
        <f>Crops[[#This Row],[Wholesale Revenue Per Bed]]-Crops[[#This Row],[Wholesale Total Cost]]</f>
        <v>-127.68973214285711</v>
      </c>
      <c r="EB48" s="36">
        <f>Crops[[#This Row],[Wholesale Profit]]*BedsPerAcre</f>
        <v>-20430.357142857138</v>
      </c>
      <c r="EC48" s="36">
        <f>Crops[[#This Row],[Wholesale Profit]]*BedsPerAcre*GrowingDays/Crops[[#This Row],[Days In Field]]</f>
        <v>-23423.339399454046</v>
      </c>
      <c r="ED48" s="36">
        <f>Crops[[#This Row],[Wholesale Time]] * BedsPerAcre</f>
        <v>7473.2142857142853</v>
      </c>
      <c r="EE48" s="36">
        <f>Crops[[#This Row],[Wholesale Profit]]/MIN(Crops[[#This Row],[Days In Field]],GrowingDays)</f>
        <v>-0.81331039581437647</v>
      </c>
      <c r="EF48" s="36">
        <f>(Crops[[#This Row],[Wholesale Revenue Per Bed]]-Crops[[#This Row],[Wholesale Non-Labor Cost]])/Crops[[#This Row],[Direct Time]]</f>
        <v>20.309489560176104</v>
      </c>
      <c r="EG48" s="174">
        <f>Crops[[#This Row],[Packaging Costs]]/Crops[[#This Row],[Wholesale Revenue Per Bed]]</f>
        <v>0.13333333333333333</v>
      </c>
      <c r="EH48" s="36" t="str">
        <f>Crops[[#This Row],[Crop]]&amp;Crops[[#This Row],[Product]]&amp;Crops[[#This Row],[Unit]]</f>
        <v>Butterfly FlowersFlowering TendrilStem</v>
      </c>
      <c r="EI48" s="36" t="b">
        <f>_xlfn.XLOOKUP(Crops[[#This Row],[ProductIndex]],Products[ID],Products[Target])</f>
        <v>0</v>
      </c>
      <c r="EJ48" s="36">
        <f>Crops[[#This Row],[Custom Yield Per Bed]]</f>
        <v>2000</v>
      </c>
      <c r="EK48" s="210">
        <f>Crops[[#This Row],[Units Per Harvest]]/Crops[[#This Row],[Days Between Harvest]]*7</f>
        <v>200</v>
      </c>
      <c r="EL48" s="210" t="e">
        <f>Crops[[#This Row],[Custom Yield Per Bed]]/_xlfn.XLOOKUP(Crops[[#This Row],[ProductIndex]],Products[ID],Products[CSA Portion])</f>
        <v>#DIV/0!</v>
      </c>
      <c r="EM48" s="210" t="e">
        <f>Crops[[#This Row],[Units Per Harvest]]/Crops[[#This Row],[Days Between Harvest]]*7/_xlfn.XLOOKUP(Crops[[#This Row],[ProductIndex]],Products[ID],Products[CSA Portion])</f>
        <v>#DIV/0!</v>
      </c>
      <c r="EN48" s="210" t="e">
        <f>Crops[[#This Row],[CSA Portions Per Week]]/CSAMembers</f>
        <v>#DIV/0!</v>
      </c>
      <c r="EO48" s="210"/>
      <c r="EP48" s="210"/>
      <c r="EQ48" s="36"/>
      <c r="ER48" s="36">
        <f>Crops[[#This Row],[Harvests]]*Crops[[#This Row],[Days Between Harvest]]/7</f>
        <v>10</v>
      </c>
      <c r="ES48" s="208">
        <f>_xlfn.XLOOKUP(Crops[[#This Row],[ProductIndex]],Products[ID],Products[CSA Need])</f>
        <v>0</v>
      </c>
      <c r="ET48" s="208">
        <f>_xlfn.XLOOKUP(Crops[[#This Row],[ProductIndex]],Products[ID],Products[CSA Times])</f>
        <v>0</v>
      </c>
      <c r="EU48" s="208" t="e">
        <f>Crops[[#This Row],[Custom Yield Per Bed]]/(Crops[[#This Row],[CSA Need]]*(_xlfn.XLOOKUP(Crops[[#This Row],[ProductIndex]],Products[ID],Products[CSA Portion])*CSAMembers))</f>
        <v>#DIV/0!</v>
      </c>
      <c r="EV48" s="208">
        <f>_xlfn.XLOOKUP(Crops[[#This Row],[ProductIndex]],Products[ID],Products[CSA Portion])*CSAMembers*Crops[[#This Row],[CSA Need]]/Crops[[#This Row],[Custom Yield Per Bed]]</f>
        <v>0</v>
      </c>
      <c r="EW48" s="208">
        <f>IFERROR(Crops[[#This Row],[Days In Field]]*Crops[[#This Row],[CSA Beds]],"")</f>
        <v>0</v>
      </c>
      <c r="EX48" s="208" t="e">
        <f>Crops[[#This Row],[CSA Bed Days]]*#REF!</f>
        <v>#REF!</v>
      </c>
      <c r="EY48" t="s">
        <v>279</v>
      </c>
    </row>
    <row r="49" spans="1:158">
      <c r="A4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 Large Head 1X | Field TP Fa</v>
      </c>
      <c r="B49" s="191"/>
      <c r="C49" s="1" t="b">
        <v>1</v>
      </c>
      <c r="D49" s="1"/>
      <c r="E49" s="1" t="b">
        <v>0</v>
      </c>
      <c r="F49" s="1" t="b">
        <f>IFERROR(IF(ISNUMBER(MATCH(Crops[[#This Row],[Identifier]],BedPlan[Crop], 0)), TRUE, FALSE), FALSE)</f>
        <v>1</v>
      </c>
      <c r="G49" s="1" t="b">
        <f>IFERROR(IF(ISNUMBER(MATCH(Crops[[#This Row],[Identifier]],BedPlan[Crop], 0)), TRUE, FALSE), FALSE)</f>
        <v>1</v>
      </c>
      <c r="H49" s="1"/>
      <c r="I49" t="s">
        <v>52</v>
      </c>
      <c r="J49" t="s">
        <v>145</v>
      </c>
      <c r="K49" t="s">
        <v>2360</v>
      </c>
      <c r="M49" t="s">
        <v>445</v>
      </c>
      <c r="N49" t="str">
        <f>Crops[[#This Row],[Crop]]</f>
        <v>Cabbage</v>
      </c>
      <c r="O49" t="s">
        <v>210</v>
      </c>
      <c r="P49" t="str">
        <f>IF(OR(Crops[[#This Row],[Days in Cells]]="",Crops[[#This Row],[Days in Cells]]=0), "DS","TP")</f>
        <v>TP</v>
      </c>
      <c r="S49" t="b">
        <v>1</v>
      </c>
      <c r="V49" t="str">
        <f xml:space="preserve"> IF(Crops[[#This Row],[Sp]], "Sp", "") &amp; IF(Crops[[#This Row],[Su]], "Su", "") &amp; IF(Crops[[#This Row],[Fa]], "Fa", "") &amp; IF(Crops[[#This Row],[Wi]], "Wi", "") &amp; IF(Crops[[#This Row],[OW]], "Ow","")</f>
        <v>Fa</v>
      </c>
      <c r="W49" t="s">
        <v>144</v>
      </c>
      <c r="X49">
        <v>2</v>
      </c>
      <c r="Y49">
        <v>18</v>
      </c>
      <c r="AA49" t="s">
        <v>475</v>
      </c>
      <c r="AB49" t="b">
        <v>1</v>
      </c>
      <c r="AC49">
        <v>1.5</v>
      </c>
      <c r="AD49" s="32">
        <f>IFERROR(12/Crops[[#This Row],[Spacing]]*Crops[[#This Row],[Rows]]*BedLength,"")</f>
        <v>66.666666666666657</v>
      </c>
      <c r="AE49">
        <v>1</v>
      </c>
      <c r="AG49">
        <v>1.1000000000000001</v>
      </c>
      <c r="AH49">
        <v>2</v>
      </c>
      <c r="AI49" s="33">
        <f>IFERROR(Crops[[#This Row],[Plantings Per Bed]]*Crops[[#This Row],[Seeds Per Planting]]*Crops[[#This Row],[Safety Factor]]*Crops[[#This Row],[Seeding Factor]],"")</f>
        <v>146.66666666666666</v>
      </c>
      <c r="AL49">
        <f>_xlfn.FLOOR.MATH(IFERROR(AVERAGE(Crops[[#This Row],[DTG Lower]:[DTG Upper]]),0))</f>
        <v>0</v>
      </c>
      <c r="AM49">
        <f>SUM(Crops[[#This Row],[Tray 1 Days]],Crops[[#This Row],[Tray 2 Days]],Crops[[#This Row],[Tray 3 Days]])</f>
        <v>35</v>
      </c>
      <c r="AN49" s="32">
        <v>35</v>
      </c>
      <c r="AO49">
        <f>4*30</f>
        <v>120</v>
      </c>
      <c r="AP49">
        <f>4*30</f>
        <v>120</v>
      </c>
      <c r="AQ49">
        <f>IFERROR(_xlfn.FLOOR.MATH(AVERAGE(Crops[[#This Row],[DTM Lower]:[DTM Upper]])),"")</f>
        <v>120</v>
      </c>
      <c r="AR49" cm="1">
        <f t="array" ref="AR49">_xlfn.SWITCH(Crops[[#This Row],[Normal Method]],"DS",Crops[[#This Row],[Days to Germination]]+Crops[[#This Row],[DTM]] + IF(Crops[[#This Row],[Days in Cells]]&gt;0,15,0), "TP",Crops[[#This Row],[DTM]]+Crops[[#This Row],[Days in Cells]] + IF(Crops[[#This Row],[Days in Cells]]&lt;=0,20,0), "X", Crops[[#This Row],[DTM]])</f>
        <v>120</v>
      </c>
      <c r="AS49" t="s">
        <v>347</v>
      </c>
      <c r="AT49">
        <f>(Crops[[#This Row],[Harvests]]-1)*Crops[[#This Row],[Days Between Harvest]]+7</f>
        <v>21</v>
      </c>
      <c r="AU49">
        <f>Crops[[#This Row],[STH]]-Crops[[#This Row],[Days in Cells]]+Crops[[#This Row],[Harvest window]]</f>
        <v>106</v>
      </c>
      <c r="AX49">
        <v>400</v>
      </c>
      <c r="AY49">
        <v>7</v>
      </c>
      <c r="AZ49" s="49">
        <f>IFERROR(IF(Crops[[#This Row],[Tray 1 Days]]=0,"",Crops[[#This Row],[Plantings Per Bed]]/Crops[[#This Row],[Tray 1 Size]]*Crops[[#This Row],[Safety Factor]]),"")</f>
        <v>0.18333333333333332</v>
      </c>
      <c r="BA49">
        <v>72</v>
      </c>
      <c r="BB49">
        <v>28</v>
      </c>
      <c r="BC49">
        <f>IFERROR(IF(Crops[[#This Row],[Tray 2 Days]]=0,"",Crops[[#This Row],[Plantings Per Bed]]/Crops[[#This Row],[Tray 2 Size]]*Crops[[#This Row],[Safety Factor]]),"")</f>
        <v>1.0185185185185184</v>
      </c>
      <c r="BE49" s="32" t="str">
        <f>IF(NOT(ISBLANK(Crops[[#This Row],[Tray 3 Size]])), Crops[[#This Row],[Days in Cells Old]]-SUM(Crops[[#This Row],[Tray 1 Days]],Crops[[#This Row],[Tray 2 Days]]), "")</f>
        <v/>
      </c>
      <c r="BF49" t="str">
        <f>IFERROR(IF(Crops[[#This Row],[Tray 3 Days]]=0,"",Crops[[#This Row],[Plantings Per Bed]]/Crops[[#This Row],[Tray 3 Size]]*Crops[[#This Row],[Safety Factor]]),"")</f>
        <v/>
      </c>
      <c r="BG49" s="33">
        <f>Crops[[#This Row],[Plantings Per Bed]]/Crops[[#This Row],[Harvests]]</f>
        <v>33.333333333333329</v>
      </c>
      <c r="BH49" s="33">
        <v>2</v>
      </c>
      <c r="BI49" s="33">
        <v>14</v>
      </c>
      <c r="BJ49" s="33">
        <f>_xlfn.XLOOKUP(Crops[[#This Row],[ProductIndex]],Products[ID],Products[Holding Period])</f>
        <v>45</v>
      </c>
      <c r="BK49" s="33"/>
      <c r="BL49" s="33">
        <f>Crops[[#This Row],[Units Per Harvest]]*Crops[[#This Row],[Harvests]]</f>
        <v>66.666666666666657</v>
      </c>
      <c r="BM49" s="35">
        <f>8*1.1</f>
        <v>8.8000000000000007</v>
      </c>
      <c r="BN49" s="35">
        <v>8.8000000000000007</v>
      </c>
      <c r="BO49" s="35"/>
      <c r="BP49" t="s">
        <v>214</v>
      </c>
      <c r="BQ49">
        <f>Crops[[#This Row],[Custom Yield Per Bed]]*Crops[[#This Row],[Direct Price]]</f>
        <v>586.66666666666663</v>
      </c>
      <c r="BR49" t="b">
        <v>1</v>
      </c>
      <c r="BS49" t="b">
        <f>Crops[[#This Row],[Harvests]]&gt;1</f>
        <v>1</v>
      </c>
      <c r="BT49" s="36">
        <f>IFERROR(Crops[[#This Row],[Direct Revenue Per Bed]]/Crops[[#This Row],[Days In Field]],-1)</f>
        <v>5.5345911949685531</v>
      </c>
      <c r="BU49" s="36">
        <f>IFERROR(Crops[[#This Row],[Direct Revenue Per Bed Day]]*GrowingDays*BedsPerAcre,"")</f>
        <v>159396.22641509434</v>
      </c>
      <c r="BV49" s="38">
        <f>LastFrostDate-5*Crops[[#This Row],[Sewing Rel Last Frost]]</f>
        <v>45768</v>
      </c>
      <c r="BW49" s="38">
        <f>Crops[[#This Row],[Target Sewing Date]]+Crops[[#This Row],[Days in Cells]]</f>
        <v>45803</v>
      </c>
      <c r="BX49" s="38">
        <f>Crops[[#This Row],[Target Sewing Date]]+Crops[[#This Row],[STH]]</f>
        <v>45888</v>
      </c>
      <c r="BY49" s="38">
        <f>Crops[[#This Row],[Target Harvest Data]]+Crops[[#This Row],[Harvest window]]</f>
        <v>45909</v>
      </c>
      <c r="BZ49">
        <v>-4</v>
      </c>
      <c r="CA49" t="s">
        <v>373</v>
      </c>
      <c r="CB49">
        <f>1</f>
        <v>1</v>
      </c>
      <c r="CC49">
        <f>IF(Crops[[#This Row],[Transplanting]]&gt;0, 2, 3)*BedLength/StandardBedLength</f>
        <v>1</v>
      </c>
      <c r="CD49" s="173">
        <f>IF(Crops[[#This Row],[Days in Cells]]&lt;=0,0,Crops[[#This Row],[Plantings Per Bed]]/StartsPerHourSeeding+Crops[[#This Row],[Tray 1 Count]]*5/60)</f>
        <v>0.27569444444444441</v>
      </c>
      <c r="CE49" s="173">
        <f>IF(ISBLANK(Crops[[#This Row],[Tray 2 Days]]),0,Crops[[#This Row],[Plantings Per Bed]]/UpPottingPerHour)+IF(Crops[[#This Row],[Tray 3 Days]]="",0,Crops[[#This Row],[Plantings Per Bed]]/UpPottingPerHour)</f>
        <v>0.55555555555555547</v>
      </c>
      <c r="CF49" s="173">
        <f>IFERROR(Crops[[#This Row],[Tray 1 Count]]/HomeStartFlatIrrigationPerHour,0)*Crops[[#This Row],[Days in Cells]]/DaysBetweenStartIrrigation</f>
        <v>2.673611111111111E-2</v>
      </c>
      <c r="CG49" s="173">
        <f>0.5/16*MAX(Crops[[#This Row],[Tray 1 Count]],Crops[[#This Row],[Tray 2 Count]],Crops[[#This Row],[Tray 3 Count]])</f>
        <v>3.1828703703703699E-2</v>
      </c>
      <c r="CH49" s="173">
        <f>IF(Crops[[#This Row],[Days in Cells]]&gt;0,IF(IF(Crops[[#This Row],[Tray 3 Size]]&gt;0,Crops[[#This Row],[Tray 3 Size]],IF(Crops[[#This Row],[Tray 2 Size]]&gt;0,Crops[[#This Row],[Tray 2 Size]],Crops[[#This Row],[Tray 1 Size]]))&lt;=18,LargeTransplantTime,SmallTransplantTime)*Crops[[#This Row],[Plantings Per Bed]],0)</f>
        <v>0.33333333333333331</v>
      </c>
      <c r="CI49" s="173"/>
      <c r="CJ49" s="173">
        <f>_xlfn.XLOOKUP(Crops[[#This Row],[Trellis Type]],TrellisMethods[Trellis Type],TrellisMethods[Hours],0,0)</f>
        <v>0</v>
      </c>
      <c r="CK49">
        <f>IF(Crops[[#This Row],[Days in Cells]]&lt;=0,Crops[[#This Row],[Rows]]*1/10,0)*BedLength/50</f>
        <v>0</v>
      </c>
      <c r="CL49" cm="1">
        <f t="array" ref="CL49">_xlfn.SWITCH(Crops[[#This Row],[Irrigation]],"DR", 0.5, "OH", 0.25,0)*BedLength/50</f>
        <v>0</v>
      </c>
      <c r="CM49">
        <f>IF(OR(ISBLANK(Crops[[#This Row],[Row Cover]]),Crops[[#This Row],[Row Cover]]="None"),0,1)*BedLength/50</f>
        <v>1</v>
      </c>
      <c r="CN49" s="173">
        <f>HoursPerWeedingPass*Crops[[#This Row],[Days In Field]]/14*Crops[[#This Row],[Rows]]+1*BedLength/50</f>
        <v>3.5238095238095233</v>
      </c>
      <c r="CO49" s="49">
        <v>1</v>
      </c>
      <c r="CQ49" s="37">
        <f>_xlfn.XLOOKUP(Crops[[#This Row],[Crop]]&amp;Crops[[#This Row],[Product]]&amp;Crops[[#This Row],[Unit]],Products[ID],Products[Marketing (hr)])*Crops[[#This Row],[Direct Revenue Per Bed]]/2000</f>
        <v>0.58666666666666667</v>
      </c>
      <c r="CR49" s="37">
        <f>_xlfn.XLOOKUP(Crops[[#This Row],[Crop]]&amp;Crops[[#This Row],[Product]]&amp;Crops[[#This Row],[Unit]],Products[ID],Products[Harvest (s)])*Crops[[#This Row],[Custom Yield Per Bed]]/3600</f>
        <v>0.18518518518518515</v>
      </c>
      <c r="CS49" s="37">
        <f>_xlfn.XLOOKUP(Crops[[#This Row],[Crop]]&amp;Crops[[#This Row],[Product]]&amp;Crops[[#This Row],[Unit]],Products[ID],Products[Bunch (s)])*Crops[[#This Row],[Custom Yield Per Bed]]/3600</f>
        <v>0</v>
      </c>
      <c r="CT49" s="37">
        <f>_xlfn.XLOOKUP(Crops[[#This Row],[Crop]]&amp;Crops[[#This Row],[Product]]&amp;Crops[[#This Row],[Unit]],Products[ID],Products[Haul (s)])*Crops[[#This Row],[Custom Yield Per Bed]]/3600</f>
        <v>0.20833333333333331</v>
      </c>
      <c r="CU49" s="37">
        <f>_xlfn.XLOOKUP(Crops[[#This Row],[Crop]]&amp;Crops[[#This Row],[Product]]&amp;Crops[[#This Row],[Unit]],Products[ID],Products[Wash (s)])*Crops[[#This Row],[Custom Yield Per Bed]]/3600</f>
        <v>9.2592592592592574E-2</v>
      </c>
      <c r="CV49" s="37">
        <f>_xlfn.XLOOKUP(Crops[[#This Row],[Crop]]&amp;Crops[[#This Row],[Product]]&amp;Crops[[#This Row],[Unit]],Products[ID],Products[Condition (s)])*Crops[[#This Row],[Custom Yield Per Bed]]/3600</f>
        <v>0</v>
      </c>
      <c r="CW49" s="37">
        <f>_xlfn.XLOOKUP(Crops[[#This Row],[Crop]]&amp;Crops[[#This Row],[Product]]&amp;Crops[[#This Row],[Unit]],Products[ID],Products[Trim (s)])*Crops[[#This Row],[Custom Yield Per Bed]]/3600</f>
        <v>0.18518518518518515</v>
      </c>
      <c r="CX49" s="37">
        <f>_xlfn.XLOOKUP(Crops[[#This Row],[Crop]]&amp;Crops[[#This Row],[Product]]&amp;Crops[[#This Row],[Unit]],Products[ID],Products[Pack (s)])*Crops[[#This Row],[Custom Yield Per Bed]]/3600</f>
        <v>5.5555555555555546E-2</v>
      </c>
      <c r="CY49" s="37">
        <f>_xlfn.XLOOKUP(Crops[[#This Row],[Crop]]&amp;Crops[[#This Row],[Product]]&amp;Crops[[#This Row],[Unit]],Products[ID],Products[Clean (s)])*Crops[[#This Row],[Custom Yield Per Bed]]/3600</f>
        <v>0</v>
      </c>
      <c r="CZ49" s="37">
        <f>_xlfn.XLOOKUP(Crops[[#This Row],[Crop]]&amp;Crops[[#This Row],[Product]]&amp;Crops[[#This Row],[Unit]],Products[ID],Products[Rehandle (s)])*Crops[[#This Row],[Custom Yield Per Bed]]/3600</f>
        <v>0</v>
      </c>
      <c r="DA49" s="37">
        <f>_xlfn.XLOOKUP(Crops[[#This Row],[Crop]]&amp;Crops[[#This Row],[Product]]&amp;Crops[[#This Row],[Unit]],Products[ID],Products[Market Transport (s)])*Crops[[#This Row],[Custom Yield Per Bed]]/3600</f>
        <v>0.52083333333333326</v>
      </c>
      <c r="DC49" s="37">
        <f>Crops[[#This Row],[Direct Revenue Per Bed2]]</f>
        <v>586.66666666666663</v>
      </c>
      <c r="DD49" s="173">
        <f>_xlfn.AGGREGATE(9,6,Crops[[#This Row],[Bed Prep]:[Remove Crop Residue]])</f>
        <v>9.5813095238095247</v>
      </c>
      <c r="DE49" s="173">
        <f>_xlfn.AGGREGATE(9,6,Crops[[#This Row],[Bed Prep]:[Remove Crop Residue]])-0.75*Crops[[#This Row],[Market &amp; Sell]]</f>
        <v>9.1413095238095252</v>
      </c>
      <c r="DF49" s="36">
        <f>Crops[[#This Row],[Direct Revenue Per Bed2]]/Crops[[#This Row],[Direct Time]]</f>
        <v>61.230321931339525</v>
      </c>
      <c r="DG49" s="36">
        <f>_xlfn.XLOOKUP(Crops[[#This Row],[ProductIndex]],Products[ID],Products[Packaging Cost])*(Crops[[#This Row],[Custom Yield Per Bed]]/_xlfn.XLOOKUP(Crops[[#This Row],[ProductIndex]],Products[ID],Products[Units Per Pack]))</f>
        <v>31.666666666666661</v>
      </c>
      <c r="DH49" s="36"/>
      <c r="DI49" s="36"/>
      <c r="DJ49" s="36"/>
      <c r="DK49" s="36"/>
      <c r="DL49" s="36"/>
      <c r="DM49" s="33">
        <f>IFERROR(Crops[[#This Row],[Custom Yield Per Bed]]*Crops[[#This Row],[Direct Price]],"")</f>
        <v>586.66666666666663</v>
      </c>
      <c r="DN49" s="36">
        <f>Crops[[#This Row],[Direct Time]]*LaborRate</f>
        <v>239.53273809523813</v>
      </c>
      <c r="DO49" s="36">
        <f>SUM(Crops[[#This Row],[Irrigation Cost]])</f>
        <v>0</v>
      </c>
      <c r="DP49" s="36">
        <f>Crops[[#This Row],[Direct Labor Cost]]+Crops[[#This Row],[Direct Non-Labor Cost]]</f>
        <v>239.53273809523813</v>
      </c>
      <c r="DQ49" s="36">
        <f>Crops[[#This Row],[Direct Revenue Per Bed2]]-Crops[[#This Row],[Direct Total Cost]]</f>
        <v>347.1339285714285</v>
      </c>
      <c r="DR49" s="36">
        <f>Crops[[#This Row],[Direct Profit]]*BedsPerAcre</f>
        <v>55541.428571428558</v>
      </c>
      <c r="DS49" s="36">
        <f>Crops[[#This Row],[Direct Profit]]*BedsPerAcre*GrowingDays/Crops[[#This Row],[Days In Field]]</f>
        <v>94315.633423180567</v>
      </c>
      <c r="DT49" s="36">
        <f>Crops[[#This Row],[Direct Profit]]/MIN(Crops[[#This Row],[Days In Field]],GrowingDays)</f>
        <v>3.2748483827493255</v>
      </c>
      <c r="DU49" s="33">
        <f>Crops[[#This Row],[Direct Time]] * BedsPerAcre</f>
        <v>1533.0095238095239</v>
      </c>
      <c r="DV49" s="36">
        <f>(Crops[[#This Row],[Direct Revenue Per Bed2]]-Crops[[#This Row],[Direct Non-Labor Cost]])/Crops[[#This Row],[Direct Time]]</f>
        <v>61.230321931339525</v>
      </c>
      <c r="DW49" s="33">
        <f>IFERROR(Crops[[#This Row],[Custom Yield Per Bed]]*Crops[[#This Row],[Rough Wholesale Price]],"")</f>
        <v>586.66666666666663</v>
      </c>
      <c r="DX49" s="36">
        <f>Crops[[#This Row],[Wholesale Time]]*LaborRate</f>
        <v>228.53273809523813</v>
      </c>
      <c r="DY49" s="36">
        <f>SUM(Crops[[#This Row],[Packaging Costs]:[Irrigation Cost]])</f>
        <v>31.666666666666661</v>
      </c>
      <c r="DZ49" s="36">
        <f>Crops[[#This Row],[Wholesale Labor Cost]]+Crops[[#This Row],[Wholesale Non-Labor Cost]]</f>
        <v>260.19940476190482</v>
      </c>
      <c r="EA49" s="36">
        <f>Crops[[#This Row],[Wholesale Revenue Per Bed]]-Crops[[#This Row],[Wholesale Total Cost]]</f>
        <v>326.46726190476181</v>
      </c>
      <c r="EB49" s="36">
        <f>Crops[[#This Row],[Wholesale Profit]]*BedsPerAcre</f>
        <v>52234.761904761894</v>
      </c>
      <c r="EC49" s="36">
        <f>Crops[[#This Row],[Wholesale Profit]]*BedsPerAcre*GrowingDays/Crops[[#This Row],[Days In Field]]</f>
        <v>88700.539083557946</v>
      </c>
      <c r="ED49" s="33">
        <f>Crops[[#This Row],[Wholesale Time]] * BedsPerAcre</f>
        <v>1462.609523809524</v>
      </c>
      <c r="EE49" s="221">
        <f>Crops[[#This Row],[Wholesale Profit]]/MIN(Crops[[#This Row],[Days In Field]],GrowingDays)</f>
        <v>3.0798798292902059</v>
      </c>
      <c r="EF49" s="36">
        <f>(Crops[[#This Row],[Wholesale Revenue Per Bed]]-Crops[[#This Row],[Wholesale Non-Labor Cost]])/Crops[[#This Row],[Direct Time]]</f>
        <v>57.92527614527291</v>
      </c>
      <c r="EG49" s="174">
        <f>Crops[[#This Row],[Packaging Costs]]/Crops[[#This Row],[Wholesale Revenue Per Bed]]</f>
        <v>5.3977272727272721E-2</v>
      </c>
      <c r="EH49" s="36" t="str">
        <f>Crops[[#This Row],[Crop]]&amp;Crops[[#This Row],[Product]]&amp;Crops[[#This Row],[Unit]]</f>
        <v>CabbageLarge HeadHead</v>
      </c>
      <c r="EI49" s="36" t="b">
        <f>_xlfn.XLOOKUP(Crops[[#This Row],[ProductIndex]],Products[ID],Products[Target])</f>
        <v>1</v>
      </c>
      <c r="EJ49" s="33">
        <f>Crops[[#This Row],[Custom Yield Per Bed]]</f>
        <v>66.666666666666657</v>
      </c>
      <c r="EK49" s="210">
        <f>Crops[[#This Row],[Units Per Harvest]]/Crops[[#This Row],[Days Between Harvest]]*7</f>
        <v>16.666666666666664</v>
      </c>
      <c r="EL49" s="210">
        <f>Crops[[#This Row],[Custom Yield Per Bed]]/_xlfn.XLOOKUP(Crops[[#This Row],[ProductIndex]],Products[ID],Products[CSA Portion])</f>
        <v>66.666666666666657</v>
      </c>
      <c r="EM49" s="210">
        <f>Crops[[#This Row],[Units Per Harvest]]/Crops[[#This Row],[Days Between Harvest]]*7/_xlfn.XLOOKUP(Crops[[#This Row],[ProductIndex]],Products[ID],Products[CSA Portion])</f>
        <v>16.666666666666664</v>
      </c>
      <c r="EN49" s="210">
        <f>Crops[[#This Row],[CSA Portions Per Week]]/CSAMembers</f>
        <v>0.33333333333333326</v>
      </c>
      <c r="EO49" s="216">
        <v>1</v>
      </c>
      <c r="EP49" s="216">
        <v>1</v>
      </c>
      <c r="EQ49" s="210"/>
      <c r="ER49" s="210">
        <f>Crops[[#This Row],[Harvests]]*Crops[[#This Row],[Days Between Harvest]]/7</f>
        <v>4</v>
      </c>
      <c r="ES49" s="217">
        <f>_xlfn.XLOOKUP(Crops[[#This Row],[ProductIndex]],Products[ID],Products[CSA Need])</f>
        <v>2</v>
      </c>
      <c r="ET49" s="217">
        <f>_xlfn.XLOOKUP(Crops[[#This Row],[ProductIndex]],Products[ID],Products[CSA Times])</f>
        <v>2</v>
      </c>
      <c r="EU49" s="208">
        <f>Crops[[#This Row],[Custom Yield Per Bed]]/(Crops[[#This Row],[CSA Need]]*(_xlfn.XLOOKUP(Crops[[#This Row],[ProductIndex]],Products[ID],Products[CSA Portion])*CSAMembers))</f>
        <v>0.66666666666666652</v>
      </c>
      <c r="EV49" s="208">
        <f>_xlfn.XLOOKUP(Crops[[#This Row],[ProductIndex]],Products[ID],Products[CSA Portion])*CSAMembers*Crops[[#This Row],[CSA Need]]/Crops[[#This Row],[Custom Yield Per Bed]]</f>
        <v>1.5000000000000002</v>
      </c>
      <c r="EW49" s="208">
        <f>IFERROR(Crops[[#This Row],[Days In Field]]*Crops[[#This Row],[CSA Beds]],"")</f>
        <v>159.00000000000003</v>
      </c>
      <c r="EX49" s="208" t="e">
        <f>Crops[[#This Row],[CSA Bed Days]]*#REF!</f>
        <v>#REF!</v>
      </c>
      <c r="EY49">
        <v>0</v>
      </c>
    </row>
    <row r="50" spans="1:158">
      <c r="A5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(Chinese) - Large Head 1X | Field TP Wi</v>
      </c>
      <c r="B50" s="191"/>
      <c r="C50" s="1" t="b">
        <v>1</v>
      </c>
      <c r="D50" s="1"/>
      <c r="E50" s="1" t="b">
        <v>0</v>
      </c>
      <c r="F50" s="1" t="b">
        <f>IFERROR(IF(ISNUMBER(MATCH(Crops[[#This Row],[Identifier]],BedPlan[Crop], 0)), TRUE, FALSE), FALSE)</f>
        <v>1</v>
      </c>
      <c r="G50" s="1" t="b">
        <f>IFERROR(IF(ISNUMBER(MATCH(Crops[[#This Row],[Identifier]],BedPlan[Crop], 0)), TRUE, FALSE), FALSE)</f>
        <v>1</v>
      </c>
      <c r="H50" s="1"/>
      <c r="I50" t="s">
        <v>52</v>
      </c>
      <c r="J50" t="s">
        <v>155</v>
      </c>
      <c r="K50" t="s">
        <v>2360</v>
      </c>
      <c r="M50" t="s">
        <v>445</v>
      </c>
      <c r="N50" t="str">
        <f>Crops[[#This Row],[Crop]]</f>
        <v>Cabbage</v>
      </c>
      <c r="O50" t="s">
        <v>210</v>
      </c>
      <c r="P50" t="str">
        <f>IF(OR(Crops[[#This Row],[Days in Cells]]="",Crops[[#This Row],[Days in Cells]]=0), "DS","TP")</f>
        <v>TP</v>
      </c>
      <c r="T50" t="b">
        <v>1</v>
      </c>
      <c r="V50" t="str">
        <f xml:space="preserve"> IF(Crops[[#This Row],[Sp]], "Sp", "") &amp; IF(Crops[[#This Row],[Su]], "Su", "") &amp; IF(Crops[[#This Row],[Fa]], "Fa", "") &amp; IF(Crops[[#This Row],[Wi]], "Wi", "") &amp; IF(Crops[[#This Row],[OW]], "Ow","")</f>
        <v>Wi</v>
      </c>
      <c r="W50" t="s">
        <v>144</v>
      </c>
      <c r="X50">
        <v>2</v>
      </c>
      <c r="Y50">
        <v>15</v>
      </c>
      <c r="AA50" t="s">
        <v>475</v>
      </c>
      <c r="AB50" t="b">
        <v>1</v>
      </c>
      <c r="AC50">
        <v>2</v>
      </c>
      <c r="AD50" s="32">
        <f>IFERROR(12/Crops[[#This Row],[Spacing]]*Crops[[#This Row],[Rows]]*BedLength,"")</f>
        <v>80</v>
      </c>
      <c r="AE50">
        <v>1</v>
      </c>
      <c r="AG50">
        <v>1.1000000000000001</v>
      </c>
      <c r="AH50">
        <v>2</v>
      </c>
      <c r="AI50" s="33">
        <f>IFERROR(Crops[[#This Row],[Plantings Per Bed]]*Crops[[#This Row],[Seeds Per Planting]]*Crops[[#This Row],[Safety Factor]]*Crops[[#This Row],[Seeding Factor]],"")</f>
        <v>176</v>
      </c>
      <c r="AL50">
        <f>_xlfn.FLOOR.MATH(IFERROR(AVERAGE(Crops[[#This Row],[DTG Lower]:[DTG Upper]]),0))</f>
        <v>0</v>
      </c>
      <c r="AM50">
        <f>SUM(Crops[[#This Row],[Tray 1 Days]],Crops[[#This Row],[Tray 2 Days]],Crops[[#This Row],[Tray 3 Days]])</f>
        <v>28</v>
      </c>
      <c r="AN50" s="32">
        <v>21</v>
      </c>
      <c r="AO50">
        <v>55</v>
      </c>
      <c r="AP50">
        <v>60</v>
      </c>
      <c r="AQ50">
        <f>IFERROR(_xlfn.FLOOR.MATH(AVERAGE(Crops[[#This Row],[DTM Lower]:[DTM Upper]])),"")</f>
        <v>57</v>
      </c>
      <c r="AR50" cm="1">
        <f t="array" ref="AR50">_xlfn.SWITCH(Crops[[#This Row],[Normal Method]],"DS",Crops[[#This Row],[Days to Germination]]+Crops[[#This Row],[DTM]] + IF(Crops[[#This Row],[Days in Cells]]&gt;0,15,0), "TP",Crops[[#This Row],[DTM]]+Crops[[#This Row],[Days in Cells]] + IF(Crops[[#This Row],[Days in Cells]]&lt;=0,20,0), "X", Crops[[#This Row],[DTM]])</f>
        <v>85</v>
      </c>
      <c r="AS50" t="s">
        <v>346</v>
      </c>
      <c r="AT50">
        <f>(Crops[[#This Row],[Harvests]]-1)*Crops[[#This Row],[Days Between Harvest]]+7</f>
        <v>14</v>
      </c>
      <c r="AU50">
        <f>Crops[[#This Row],[STH]]-Crops[[#This Row],[Days in Cells]]+Crops[[#This Row],[Harvest window]]</f>
        <v>71</v>
      </c>
      <c r="AX50">
        <v>400</v>
      </c>
      <c r="AY50">
        <v>7</v>
      </c>
      <c r="AZ50" s="49">
        <f>IFERROR(IF(Crops[[#This Row],[Tray 1 Days]]=0,"",Crops[[#This Row],[Plantings Per Bed]]/Crops[[#This Row],[Tray 1 Size]]*Crops[[#This Row],[Safety Factor]]),"")</f>
        <v>0.22000000000000003</v>
      </c>
      <c r="BA50">
        <v>72</v>
      </c>
      <c r="BB50">
        <v>21</v>
      </c>
      <c r="BC50">
        <f>IFERROR(IF(Crops[[#This Row],[Tray 2 Days]]=0,"",Crops[[#This Row],[Plantings Per Bed]]/Crops[[#This Row],[Tray 2 Size]]*Crops[[#This Row],[Safety Factor]]),"")</f>
        <v>1.2222222222222223</v>
      </c>
      <c r="BE50" s="32" t="str">
        <f>IF(NOT(ISBLANK(Crops[[#This Row],[Tray 3 Size]])), Crops[[#This Row],[Days in Cells Old]]-SUM(Crops[[#This Row],[Tray 1 Days]],Crops[[#This Row],[Tray 2 Days]]), "")</f>
        <v/>
      </c>
      <c r="BF50" s="49" t="str">
        <f>IFERROR(IF(Crops[[#This Row],[Tray 3 Days]]=0,"",Crops[[#This Row],[Plantings Per Bed]]/Crops[[#This Row],[Tray 3 Size]]*Crops[[#This Row],[Safety Factor]]),"")</f>
        <v/>
      </c>
      <c r="BG50" s="33">
        <f>Crops[[#This Row],[Plantings Per Bed]]/Crops[[#This Row],[Harvests]]</f>
        <v>40</v>
      </c>
      <c r="BH50" s="33">
        <v>2</v>
      </c>
      <c r="BI50" s="33">
        <v>7</v>
      </c>
      <c r="BJ50" s="33">
        <f>_xlfn.XLOOKUP(Crops[[#This Row],[ProductIndex]],Products[ID],Products[Holding Period])</f>
        <v>45</v>
      </c>
      <c r="BK50" s="33"/>
      <c r="BL50" s="33">
        <f>Crops[[#This Row],[Units Per Harvest]]*Crops[[#This Row],[Harvests]]</f>
        <v>80</v>
      </c>
      <c r="BM50" s="35">
        <f>1.5*3</f>
        <v>4.5</v>
      </c>
      <c r="BN50" s="35">
        <f>1.5*3</f>
        <v>4.5</v>
      </c>
      <c r="BO50" s="35"/>
      <c r="BP50" t="s">
        <v>214</v>
      </c>
      <c r="BQ50">
        <f>Crops[[#This Row],[Custom Yield Per Bed]]*Crops[[#This Row],[Direct Price]]</f>
        <v>360</v>
      </c>
      <c r="BR50" t="b">
        <v>1</v>
      </c>
      <c r="BS50" t="b">
        <f>Crops[[#This Row],[Harvests]]&gt;1</f>
        <v>1</v>
      </c>
      <c r="BT50" s="36">
        <f>IFERROR(Crops[[#This Row],[Direct Revenue Per Bed]]/Crops[[#This Row],[Days In Field]],-1)</f>
        <v>5.070422535211268</v>
      </c>
      <c r="BU50" s="36">
        <f>IFERROR(Crops[[#This Row],[Direct Revenue Per Bed Day]]*GrowingDays*BedsPerAcre,"")</f>
        <v>146028.16901408453</v>
      </c>
      <c r="BV50" s="38">
        <f>LastFrostDate-5*Crops[[#This Row],[Sewing Rel Last Frost]]</f>
        <v>45808</v>
      </c>
      <c r="BW50" s="38">
        <f>Crops[[#This Row],[Target Sewing Date]]+Crops[[#This Row],[Days in Cells]]</f>
        <v>45836</v>
      </c>
      <c r="BX50" s="38">
        <f>Crops[[#This Row],[Target Sewing Date]]+Crops[[#This Row],[STH]]</f>
        <v>45893</v>
      </c>
      <c r="BY50" s="38">
        <f>Crops[[#This Row],[Target Harvest Data]]+Crops[[#This Row],[Harvest window]]</f>
        <v>45907</v>
      </c>
      <c r="BZ50">
        <v>-12</v>
      </c>
      <c r="CA50" t="s">
        <v>373</v>
      </c>
      <c r="CB50">
        <f>1</f>
        <v>1</v>
      </c>
      <c r="CC50">
        <f>IF(Crops[[#This Row],[Transplanting]]&gt;0, 2, 3)*BedLength/StandardBedLength</f>
        <v>1</v>
      </c>
      <c r="CD50" s="173">
        <f>IF(Crops[[#This Row],[Days in Cells]]&lt;=0,0,Crops[[#This Row],[Plantings Per Bed]]/StartsPerHourSeeding+Crops[[#This Row],[Tray 1 Count]]*5/60)</f>
        <v>0.33083333333333331</v>
      </c>
      <c r="CE50" s="173">
        <f>IF(ISBLANK(Crops[[#This Row],[Tray 2 Days]]),0,Crops[[#This Row],[Plantings Per Bed]]/UpPottingPerHour)+IF(Crops[[#This Row],[Tray 3 Days]]="",0,Crops[[#This Row],[Plantings Per Bed]]/UpPottingPerHour)</f>
        <v>0.66666666666666663</v>
      </c>
      <c r="CF50" s="173">
        <f>IFERROR(Crops[[#This Row],[Tray 1 Count]]/HomeStartFlatIrrigationPerHour,0)*Crops[[#This Row],[Days in Cells]]/DaysBetweenStartIrrigation</f>
        <v>2.5666666666666671E-2</v>
      </c>
      <c r="CG50" s="173">
        <f>0.5/16*MAX(Crops[[#This Row],[Tray 1 Count]],Crops[[#This Row],[Tray 2 Count]],Crops[[#This Row],[Tray 3 Count]])</f>
        <v>3.8194444444444448E-2</v>
      </c>
      <c r="CH50" s="173">
        <f>IF(Crops[[#This Row],[Days in Cells]]&gt;0,IF(IF(Crops[[#This Row],[Tray 3 Size]]&gt;0,Crops[[#This Row],[Tray 3 Size]],IF(Crops[[#This Row],[Tray 2 Size]]&gt;0,Crops[[#This Row],[Tray 2 Size]],Crops[[#This Row],[Tray 1 Size]]))&lt;=18,LargeTransplantTime,SmallTransplantTime)*Crops[[#This Row],[Plantings Per Bed]],0)</f>
        <v>0.4</v>
      </c>
      <c r="CI50" s="173"/>
      <c r="CJ50" s="173">
        <f>_xlfn.XLOOKUP(Crops[[#This Row],[Trellis Type]],TrellisMethods[Trellis Type],TrellisMethods[Hours],0,0)</f>
        <v>0</v>
      </c>
      <c r="CK50">
        <f>IF(Crops[[#This Row],[Days in Cells]]&lt;=0,Crops[[#This Row],[Rows]]*1/10,0)*BedLength/50</f>
        <v>0</v>
      </c>
      <c r="CL50" cm="1">
        <f t="array" ref="CL50">_xlfn.SWITCH(Crops[[#This Row],[Irrigation]],"DR", 0.5, "OH", 0.25,0)*BedLength/50</f>
        <v>0</v>
      </c>
      <c r="CM50">
        <f>IF(OR(ISBLANK(Crops[[#This Row],[Row Cover]]),Crops[[#This Row],[Row Cover]]="None"),0,1)*BedLength/50</f>
        <v>1</v>
      </c>
      <c r="CN50" s="173">
        <f>HoursPerWeedingPass*Crops[[#This Row],[Days In Field]]/14*Crops[[#This Row],[Rows]]+1*BedLength/50</f>
        <v>2.6904761904761902</v>
      </c>
      <c r="CO50" s="49">
        <v>1</v>
      </c>
      <c r="CQ50" s="37">
        <f>_xlfn.XLOOKUP(Crops[[#This Row],[Crop]]&amp;Crops[[#This Row],[Product]]&amp;Crops[[#This Row],[Unit]],Products[ID],Products[Marketing (hr)])*Crops[[#This Row],[Direct Revenue Per Bed]]/2000</f>
        <v>0.36</v>
      </c>
      <c r="CR50" s="37">
        <f>_xlfn.XLOOKUP(Crops[[#This Row],[Crop]]&amp;Crops[[#This Row],[Product]]&amp;Crops[[#This Row],[Unit]],Products[ID],Products[Harvest (s)])*Crops[[#This Row],[Custom Yield Per Bed]]/3600</f>
        <v>0.22222222222222221</v>
      </c>
      <c r="CS50" s="37">
        <f>_xlfn.XLOOKUP(Crops[[#This Row],[Crop]]&amp;Crops[[#This Row],[Product]]&amp;Crops[[#This Row],[Unit]],Products[ID],Products[Bunch (s)])*Crops[[#This Row],[Custom Yield Per Bed]]/3600</f>
        <v>0</v>
      </c>
      <c r="CT50" s="37">
        <f>_xlfn.XLOOKUP(Crops[[#This Row],[Crop]]&amp;Crops[[#This Row],[Product]]&amp;Crops[[#This Row],[Unit]],Products[ID],Products[Haul (s)])*Crops[[#This Row],[Custom Yield Per Bed]]/3600</f>
        <v>0.25</v>
      </c>
      <c r="CU50" s="37">
        <f>_xlfn.XLOOKUP(Crops[[#This Row],[Crop]]&amp;Crops[[#This Row],[Product]]&amp;Crops[[#This Row],[Unit]],Products[ID],Products[Wash (s)])*Crops[[#This Row],[Custom Yield Per Bed]]/3600</f>
        <v>0.1111111111111111</v>
      </c>
      <c r="CV50" s="37">
        <f>_xlfn.XLOOKUP(Crops[[#This Row],[Crop]]&amp;Crops[[#This Row],[Product]]&amp;Crops[[#This Row],[Unit]],Products[ID],Products[Condition (s)])*Crops[[#This Row],[Custom Yield Per Bed]]/3600</f>
        <v>0</v>
      </c>
      <c r="CW50" s="37">
        <f>_xlfn.XLOOKUP(Crops[[#This Row],[Crop]]&amp;Crops[[#This Row],[Product]]&amp;Crops[[#This Row],[Unit]],Products[ID],Products[Trim (s)])*Crops[[#This Row],[Custom Yield Per Bed]]/3600</f>
        <v>0.22222222222222221</v>
      </c>
      <c r="CX50" s="37">
        <f>_xlfn.XLOOKUP(Crops[[#This Row],[Crop]]&amp;Crops[[#This Row],[Product]]&amp;Crops[[#This Row],[Unit]],Products[ID],Products[Pack (s)])*Crops[[#This Row],[Custom Yield Per Bed]]/3600</f>
        <v>6.6666666666666666E-2</v>
      </c>
      <c r="CY50" s="37">
        <f>_xlfn.XLOOKUP(Crops[[#This Row],[Crop]]&amp;Crops[[#This Row],[Product]]&amp;Crops[[#This Row],[Unit]],Products[ID],Products[Clean (s)])*Crops[[#This Row],[Custom Yield Per Bed]]/3600</f>
        <v>0</v>
      </c>
      <c r="CZ50" s="37">
        <f>_xlfn.XLOOKUP(Crops[[#This Row],[Crop]]&amp;Crops[[#This Row],[Product]]&amp;Crops[[#This Row],[Unit]],Products[ID],Products[Rehandle (s)])*Crops[[#This Row],[Custom Yield Per Bed]]/3600</f>
        <v>0</v>
      </c>
      <c r="DA50" s="37">
        <f>_xlfn.XLOOKUP(Crops[[#This Row],[Crop]]&amp;Crops[[#This Row],[Product]]&amp;Crops[[#This Row],[Unit]],Products[ID],Products[Market Transport (s)])*Crops[[#This Row],[Custom Yield Per Bed]]/3600</f>
        <v>0.625</v>
      </c>
      <c r="DC50" s="37">
        <f>Crops[[#This Row],[Direct Revenue Per Bed2]]</f>
        <v>360</v>
      </c>
      <c r="DD50" s="173">
        <f>_xlfn.AGGREGATE(9,6,Crops[[#This Row],[Bed Prep]:[Remove Crop Residue]])</f>
        <v>9.0090595238095226</v>
      </c>
      <c r="DE50" s="173">
        <f>_xlfn.AGGREGATE(9,6,Crops[[#This Row],[Bed Prep]:[Remove Crop Residue]])-0.75*Crops[[#This Row],[Market &amp; Sell]]</f>
        <v>8.739059523809523</v>
      </c>
      <c r="DF50" s="36">
        <f>Crops[[#This Row],[Direct Revenue Per Bed2]]/Crops[[#This Row],[Direct Time]]</f>
        <v>39.959775939827772</v>
      </c>
      <c r="DG50" s="36">
        <f>_xlfn.XLOOKUP(Crops[[#This Row],[ProductIndex]],Products[ID],Products[Packaging Cost])*(Crops[[#This Row],[Custom Yield Per Bed]]/_xlfn.XLOOKUP(Crops[[#This Row],[ProductIndex]],Products[ID],Products[Units Per Pack]))</f>
        <v>38</v>
      </c>
      <c r="DH50" s="36"/>
      <c r="DI50" s="36"/>
      <c r="DJ50" s="36"/>
      <c r="DK50" s="36"/>
      <c r="DL50" s="36"/>
      <c r="DM50" s="33">
        <f>IFERROR(Crops[[#This Row],[Custom Yield Per Bed]]*Crops[[#This Row],[Direct Price]],"")</f>
        <v>360</v>
      </c>
      <c r="DN50" s="36">
        <f>Crops[[#This Row],[Direct Time]]*LaborRate</f>
        <v>225.22648809523807</v>
      </c>
      <c r="DO50" s="36">
        <f>SUM(Crops[[#This Row],[Irrigation Cost]])</f>
        <v>0</v>
      </c>
      <c r="DP50" s="36">
        <f>Crops[[#This Row],[Direct Labor Cost]]+Crops[[#This Row],[Direct Non-Labor Cost]]</f>
        <v>225.22648809523807</v>
      </c>
      <c r="DQ50" s="36">
        <f>Crops[[#This Row],[Direct Revenue Per Bed2]]-Crops[[#This Row],[Direct Total Cost]]</f>
        <v>134.77351190476193</v>
      </c>
      <c r="DR50" s="36">
        <f>Crops[[#This Row],[Direct Profit]]*BedsPerAcre</f>
        <v>21563.761904761908</v>
      </c>
      <c r="DS50" s="36">
        <f>Crops[[#This Row],[Direct Profit]]*BedsPerAcre*GrowingDays/Crops[[#This Row],[Days In Field]]</f>
        <v>54668.692152917516</v>
      </c>
      <c r="DT50" s="36">
        <f>Crops[[#This Row],[Direct Profit]]/MIN(Crops[[#This Row],[Days In Field]],GrowingDays)</f>
        <v>1.8982184775318582</v>
      </c>
      <c r="DU50" s="33">
        <f>Crops[[#This Row],[Direct Time]] * BedsPerAcre</f>
        <v>1441.4495238095237</v>
      </c>
      <c r="DV50" s="36">
        <f>(Crops[[#This Row],[Direct Revenue Per Bed2]]-Crops[[#This Row],[Direct Non-Labor Cost]])/Crops[[#This Row],[Direct Time]]</f>
        <v>39.959775939827772</v>
      </c>
      <c r="DW50" s="33">
        <f>IFERROR(Crops[[#This Row],[Custom Yield Per Bed]]*Crops[[#This Row],[Rough Wholesale Price]],"")</f>
        <v>360</v>
      </c>
      <c r="DX50" s="36">
        <f>Crops[[#This Row],[Wholesale Time]]*LaborRate</f>
        <v>218.47648809523807</v>
      </c>
      <c r="DY50" s="36">
        <f>SUM(Crops[[#This Row],[Packaging Costs]:[Irrigation Cost]])</f>
        <v>38</v>
      </c>
      <c r="DZ50" s="36">
        <f>Crops[[#This Row],[Wholesale Labor Cost]]+Crops[[#This Row],[Wholesale Non-Labor Cost]]</f>
        <v>256.4764880952381</v>
      </c>
      <c r="EA50" s="36">
        <f>Crops[[#This Row],[Wholesale Revenue Per Bed]]-Crops[[#This Row],[Wholesale Total Cost]]</f>
        <v>103.5235119047619</v>
      </c>
      <c r="EB50" s="36">
        <f>Crops[[#This Row],[Wholesale Profit]]*BedsPerAcre</f>
        <v>16563.761904761905</v>
      </c>
      <c r="EC50" s="36">
        <f>Crops[[#This Row],[Wholesale Profit]]*BedsPerAcre*GrowingDays/Crops[[#This Row],[Days In Field]]</f>
        <v>41992.635814889334</v>
      </c>
      <c r="ED50" s="33">
        <f>Crops[[#This Row],[Wholesale Time]] * BedsPerAcre</f>
        <v>1398.2495238095237</v>
      </c>
      <c r="EE50" s="221">
        <f>Crops[[#This Row],[Wholesale Profit]]/MIN(Crops[[#This Row],[Days In Field]],GrowingDays)</f>
        <v>1.4580776324614353</v>
      </c>
      <c r="EF50" s="36">
        <f>(Crops[[#This Row],[Wholesale Revenue Per Bed]]-Crops[[#This Row],[Wholesale Non-Labor Cost]])/Crops[[#This Row],[Direct Time]]</f>
        <v>35.741799590623728</v>
      </c>
      <c r="EG50" s="174">
        <f>Crops[[#This Row],[Packaging Costs]]/Crops[[#This Row],[Wholesale Revenue Per Bed]]</f>
        <v>0.10555555555555556</v>
      </c>
      <c r="EH50" s="36" t="str">
        <f>Crops[[#This Row],[Crop]]&amp;Crops[[#This Row],[Product]]&amp;Crops[[#This Row],[Unit]]</f>
        <v>CabbageLarge HeadHead</v>
      </c>
      <c r="EI50" s="36" t="b">
        <f>_xlfn.XLOOKUP(Crops[[#This Row],[ProductIndex]],Products[ID],Products[Target])</f>
        <v>1</v>
      </c>
      <c r="EJ50" s="33">
        <f>Crops[[#This Row],[Custom Yield Per Bed]]</f>
        <v>80</v>
      </c>
      <c r="EK50" s="210">
        <f>Crops[[#This Row],[Units Per Harvest]]/Crops[[#This Row],[Days Between Harvest]]*7</f>
        <v>40</v>
      </c>
      <c r="EL50" s="210">
        <f>Crops[[#This Row],[Custom Yield Per Bed]]/_xlfn.XLOOKUP(Crops[[#This Row],[ProductIndex]],Products[ID],Products[CSA Portion])</f>
        <v>80</v>
      </c>
      <c r="EM50" s="210">
        <f>Crops[[#This Row],[Units Per Harvest]]/Crops[[#This Row],[Days Between Harvest]]*7/_xlfn.XLOOKUP(Crops[[#This Row],[ProductIndex]],Products[ID],Products[CSA Portion])</f>
        <v>40</v>
      </c>
      <c r="EN50" s="210">
        <f>Crops[[#This Row],[CSA Portions Per Week]]/CSAMembers</f>
        <v>0.8</v>
      </c>
      <c r="EO50" s="216">
        <v>1</v>
      </c>
      <c r="EP50" s="216">
        <v>1</v>
      </c>
      <c r="EQ50" s="210" t="s">
        <v>2683</v>
      </c>
      <c r="ER50" s="210">
        <f>Crops[[#This Row],[Harvests]]*Crops[[#This Row],[Days Between Harvest]]/7</f>
        <v>2</v>
      </c>
      <c r="ES50" s="217">
        <f>_xlfn.XLOOKUP(Crops[[#This Row],[ProductIndex]],Products[ID],Products[CSA Need])</f>
        <v>2</v>
      </c>
      <c r="ET50" s="217">
        <f>_xlfn.XLOOKUP(Crops[[#This Row],[ProductIndex]],Products[ID],Products[CSA Times])</f>
        <v>2</v>
      </c>
      <c r="EU50" s="208">
        <f>Crops[[#This Row],[Custom Yield Per Bed]]/(Crops[[#This Row],[CSA Need]]*(_xlfn.XLOOKUP(Crops[[#This Row],[ProductIndex]],Products[ID],Products[CSA Portion])*CSAMembers))</f>
        <v>0.8</v>
      </c>
      <c r="EV50" s="208">
        <f>_xlfn.XLOOKUP(Crops[[#This Row],[ProductIndex]],Products[ID],Products[CSA Portion])*CSAMembers*Crops[[#This Row],[CSA Need]]/Crops[[#This Row],[Custom Yield Per Bed]]</f>
        <v>1.25</v>
      </c>
      <c r="EW50" s="208">
        <f>IFERROR(Crops[[#This Row],[Days In Field]]*Crops[[#This Row],[CSA Beds]],"")</f>
        <v>88.75</v>
      </c>
      <c r="EX50" s="208" t="e">
        <f>Crops[[#This Row],[CSA Bed Days]]*#REF!</f>
        <v>#REF!</v>
      </c>
      <c r="EY50" t="s">
        <v>364</v>
      </c>
    </row>
    <row r="51" spans="1:158">
      <c r="A5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(Chinese) - Small Head 1X | Field TP Fa</v>
      </c>
      <c r="B51" s="191"/>
      <c r="C51" s="1" t="b">
        <v>1</v>
      </c>
      <c r="D51" s="1"/>
      <c r="E51" s="1" t="b">
        <v>0</v>
      </c>
      <c r="F51" s="1" t="b">
        <f>IFERROR(IF(ISNUMBER(MATCH(Crops[[#This Row],[Identifier]],BedPlan[Crop], 0)), TRUE, FALSE), FALSE)</f>
        <v>1</v>
      </c>
      <c r="G51" s="1" t="b">
        <f>IFERROR(IF(ISNUMBER(MATCH(Crops[[#This Row],[Identifier]],BedPlan[Crop], 0)), TRUE, FALSE), FALSE)</f>
        <v>1</v>
      </c>
      <c r="H51" s="1"/>
      <c r="I51" t="s">
        <v>52</v>
      </c>
      <c r="J51" t="s">
        <v>155</v>
      </c>
      <c r="K51" t="s">
        <v>2361</v>
      </c>
      <c r="M51" t="s">
        <v>445</v>
      </c>
      <c r="N51" t="str">
        <f>Crops[[#This Row],[Crop]]</f>
        <v>Cabbage</v>
      </c>
      <c r="O51" t="s">
        <v>210</v>
      </c>
      <c r="P51" t="str">
        <f>IF(OR(Crops[[#This Row],[Days in Cells]]="",Crops[[#This Row],[Days in Cells]]=0), "DS","TP")</f>
        <v>TP</v>
      </c>
      <c r="S51" t="b">
        <v>1</v>
      </c>
      <c r="V51" t="str">
        <f xml:space="preserve"> IF(Crops[[#This Row],[Sp]], "Sp", "") &amp; IF(Crops[[#This Row],[Su]], "Su", "") &amp; IF(Crops[[#This Row],[Fa]], "Fa", "") &amp; IF(Crops[[#This Row],[Wi]], "Wi", "") &amp; IF(Crops[[#This Row],[OW]], "Ow","")</f>
        <v>Fa</v>
      </c>
      <c r="W51" t="s">
        <v>144</v>
      </c>
      <c r="X51">
        <v>3</v>
      </c>
      <c r="Y51">
        <v>12</v>
      </c>
      <c r="AA51" t="s">
        <v>475</v>
      </c>
      <c r="AB51" t="b">
        <v>1</v>
      </c>
      <c r="AC51">
        <v>2</v>
      </c>
      <c r="AD51" s="32">
        <f>IFERROR(12/Crops[[#This Row],[Spacing]]*Crops[[#This Row],[Rows]]*BedLength,"")</f>
        <v>150</v>
      </c>
      <c r="AE51">
        <v>1</v>
      </c>
      <c r="AG51">
        <v>1.1000000000000001</v>
      </c>
      <c r="AH51">
        <v>2</v>
      </c>
      <c r="AI51" s="33">
        <f>IFERROR(Crops[[#This Row],[Plantings Per Bed]]*Crops[[#This Row],[Seeds Per Planting]]*Crops[[#This Row],[Safety Factor]]*Crops[[#This Row],[Seeding Factor]],"")</f>
        <v>330</v>
      </c>
      <c r="AL51">
        <f>_xlfn.FLOOR.MATH(IFERROR(AVERAGE(Crops[[#This Row],[DTG Lower]:[DTG Upper]]),0))</f>
        <v>0</v>
      </c>
      <c r="AM51">
        <f>SUM(Crops[[#This Row],[Tray 1 Days]],Crops[[#This Row],[Tray 2 Days]],Crops[[#This Row],[Tray 3 Days]])</f>
        <v>28</v>
      </c>
      <c r="AN51" s="32">
        <v>21</v>
      </c>
      <c r="AO51">
        <v>50</v>
      </c>
      <c r="AP51">
        <v>50</v>
      </c>
      <c r="AQ51">
        <f>IFERROR(_xlfn.FLOOR.MATH(AVERAGE(Crops[[#This Row],[DTM Lower]:[DTM Upper]])),"")</f>
        <v>50</v>
      </c>
      <c r="AR51" cm="1">
        <f t="array" ref="AR51">_xlfn.SWITCH(Crops[[#This Row],[Normal Method]],"DS",Crops[[#This Row],[Days to Germination]]+Crops[[#This Row],[DTM]] + IF(Crops[[#This Row],[Days in Cells]]&gt;0,15,0), "TP",Crops[[#This Row],[DTM]]+Crops[[#This Row],[Days in Cells]] + IF(Crops[[#This Row],[Days in Cells]]&lt;=0,20,0), "X", Crops[[#This Row],[DTM]])</f>
        <v>78</v>
      </c>
      <c r="AS51" t="s">
        <v>346</v>
      </c>
      <c r="AT51">
        <f>(Crops[[#This Row],[Harvests]]-1)*Crops[[#This Row],[Days Between Harvest]]+7</f>
        <v>14</v>
      </c>
      <c r="AU51">
        <f>Crops[[#This Row],[STH]]-Crops[[#This Row],[Days in Cells]]+Crops[[#This Row],[Harvest window]]</f>
        <v>64</v>
      </c>
      <c r="AX51">
        <v>400</v>
      </c>
      <c r="AY51">
        <v>7</v>
      </c>
      <c r="AZ51" s="49">
        <f>IFERROR(IF(Crops[[#This Row],[Tray 1 Days]]=0,"",Crops[[#This Row],[Plantings Per Bed]]/Crops[[#This Row],[Tray 1 Size]]*Crops[[#This Row],[Safety Factor]]),"")</f>
        <v>0.41250000000000003</v>
      </c>
      <c r="BA51">
        <v>72</v>
      </c>
      <c r="BB51">
        <v>21</v>
      </c>
      <c r="BC51">
        <f>IFERROR(IF(Crops[[#This Row],[Tray 2 Days]]=0,"",Crops[[#This Row],[Plantings Per Bed]]/Crops[[#This Row],[Tray 2 Size]]*Crops[[#This Row],[Safety Factor]]),"")</f>
        <v>2.291666666666667</v>
      </c>
      <c r="BE51" s="32" t="str">
        <f>IF(NOT(ISBLANK(Crops[[#This Row],[Tray 3 Size]])), Crops[[#This Row],[Days in Cells Old]]-SUM(Crops[[#This Row],[Tray 1 Days]],Crops[[#This Row],[Tray 2 Days]]), "")</f>
        <v/>
      </c>
      <c r="BF51" s="49" t="str">
        <f>IFERROR(IF(Crops[[#This Row],[Tray 3 Days]]=0,"",Crops[[#This Row],[Plantings Per Bed]]/Crops[[#This Row],[Tray 3 Size]]*Crops[[#This Row],[Safety Factor]]),"")</f>
        <v/>
      </c>
      <c r="BG51" s="33">
        <f>Crops[[#This Row],[Plantings Per Bed]]/Crops[[#This Row],[Harvests]]</f>
        <v>75</v>
      </c>
      <c r="BH51" s="33">
        <v>2</v>
      </c>
      <c r="BI51" s="33">
        <v>7</v>
      </c>
      <c r="BJ51" s="33">
        <f>_xlfn.XLOOKUP(Crops[[#This Row],[ProductIndex]],Products[ID],Products[Holding Period])</f>
        <v>25</v>
      </c>
      <c r="BK51" s="33"/>
      <c r="BL51" s="33">
        <f>Crops[[#This Row],[Units Per Harvest]]*Crops[[#This Row],[Harvests]]</f>
        <v>150</v>
      </c>
      <c r="BM51" s="35">
        <v>4</v>
      </c>
      <c r="BN51" s="35">
        <v>2</v>
      </c>
      <c r="BO51" s="35"/>
      <c r="BP51" t="s">
        <v>214</v>
      </c>
      <c r="BQ51">
        <f>Crops[[#This Row],[Custom Yield Per Bed]]*Crops[[#This Row],[Direct Price]]</f>
        <v>600</v>
      </c>
      <c r="BR51" t="b">
        <v>1</v>
      </c>
      <c r="BS51" t="b">
        <f>Crops[[#This Row],[Harvests]]&gt;1</f>
        <v>1</v>
      </c>
      <c r="BT51" s="36">
        <f>IFERROR(Crops[[#This Row],[Direct Revenue Per Bed]]/Crops[[#This Row],[Days In Field]],-1)</f>
        <v>9.375</v>
      </c>
      <c r="BU51" s="36">
        <f>IFERROR(Crops[[#This Row],[Direct Revenue Per Bed Day]]*GrowingDays*BedsPerAcre,"")</f>
        <v>270000</v>
      </c>
      <c r="BV51" s="38">
        <f>LastFrostDate-5*Crops[[#This Row],[Sewing Rel Last Frost]]</f>
        <v>45808</v>
      </c>
      <c r="BW51" s="38">
        <f>Crops[[#This Row],[Target Sewing Date]]+Crops[[#This Row],[Days in Cells]]</f>
        <v>45836</v>
      </c>
      <c r="BX51" s="38">
        <f>Crops[[#This Row],[Target Sewing Date]]+Crops[[#This Row],[STH]]</f>
        <v>45886</v>
      </c>
      <c r="BY51" s="38">
        <f>Crops[[#This Row],[Target Harvest Data]]+Crops[[#This Row],[Harvest window]]</f>
        <v>45900</v>
      </c>
      <c r="BZ51">
        <v>-12</v>
      </c>
      <c r="CA51" t="s">
        <v>373</v>
      </c>
      <c r="CB51">
        <f>1</f>
        <v>1</v>
      </c>
      <c r="CC51">
        <f>IF(Crops[[#This Row],[Transplanting]]&gt;0, 2, 3)*BedLength/StandardBedLength</f>
        <v>1</v>
      </c>
      <c r="CD51" s="173">
        <f>IF(Crops[[#This Row],[Days in Cells]]&lt;=0,0,Crops[[#This Row],[Plantings Per Bed]]/StartsPerHourSeeding+Crops[[#This Row],[Tray 1 Count]]*5/60)</f>
        <v>0.62031250000000004</v>
      </c>
      <c r="CE51" s="173">
        <f>IF(ISBLANK(Crops[[#This Row],[Tray 2 Days]]),0,Crops[[#This Row],[Plantings Per Bed]]/UpPottingPerHour)+IF(Crops[[#This Row],[Tray 3 Days]]="",0,Crops[[#This Row],[Plantings Per Bed]]/UpPottingPerHour)</f>
        <v>1.25</v>
      </c>
      <c r="CF51" s="173">
        <f>IFERROR(Crops[[#This Row],[Tray 1 Count]]/HomeStartFlatIrrigationPerHour,0)*Crops[[#This Row],[Days in Cells]]/DaysBetweenStartIrrigation</f>
        <v>4.8125000000000008E-2</v>
      </c>
      <c r="CG51" s="173">
        <f>0.5/16*MAX(Crops[[#This Row],[Tray 1 Count]],Crops[[#This Row],[Tray 2 Count]],Crops[[#This Row],[Tray 3 Count]])</f>
        <v>7.1614583333333343E-2</v>
      </c>
      <c r="CH51" s="173">
        <f>IF(Crops[[#This Row],[Days in Cells]]&gt;0,IF(IF(Crops[[#This Row],[Tray 3 Size]]&gt;0,Crops[[#This Row],[Tray 3 Size]],IF(Crops[[#This Row],[Tray 2 Size]]&gt;0,Crops[[#This Row],[Tray 2 Size]],Crops[[#This Row],[Tray 1 Size]]))&lt;=18,LargeTransplantTime,SmallTransplantTime)*Crops[[#This Row],[Plantings Per Bed]],0)</f>
        <v>0.75</v>
      </c>
      <c r="CI51" s="173"/>
      <c r="CJ51" s="173">
        <f>_xlfn.XLOOKUP(Crops[[#This Row],[Trellis Type]],TrellisMethods[Trellis Type],TrellisMethods[Hours],0,0)</f>
        <v>0</v>
      </c>
      <c r="CK51">
        <f>IF(Crops[[#This Row],[Days in Cells]]&lt;=0,Crops[[#This Row],[Rows]]*1/10,0)*BedLength/50</f>
        <v>0</v>
      </c>
      <c r="CL51" cm="1">
        <f t="array" ref="CL51">_xlfn.SWITCH(Crops[[#This Row],[Irrigation]],"DR", 0.5, "OH", 0.25,0)*BedLength/50</f>
        <v>0</v>
      </c>
      <c r="CM51">
        <f>IF(OR(ISBLANK(Crops[[#This Row],[Row Cover]]),Crops[[#This Row],[Row Cover]]="None"),0,1)*BedLength/50</f>
        <v>1</v>
      </c>
      <c r="CN51" s="173">
        <f>HoursPerWeedingPass*Crops[[#This Row],[Days In Field]]/14*Crops[[#This Row],[Rows]]+1*BedLength/50</f>
        <v>3.2857142857142856</v>
      </c>
      <c r="CO51" s="49">
        <v>1</v>
      </c>
      <c r="CQ51" s="37">
        <f>_xlfn.XLOOKUP(Crops[[#This Row],[Crop]]&amp;Crops[[#This Row],[Product]]&amp;Crops[[#This Row],[Unit]],Products[ID],Products[Marketing (hr)])*Crops[[#This Row],[Direct Revenue Per Bed]]/2000</f>
        <v>0.6</v>
      </c>
      <c r="CR51" s="37">
        <f>_xlfn.XLOOKUP(Crops[[#This Row],[Crop]]&amp;Crops[[#This Row],[Product]]&amp;Crops[[#This Row],[Unit]],Products[ID],Products[Harvest (s)])*Crops[[#This Row],[Custom Yield Per Bed]]/3600</f>
        <v>0.33333333333333331</v>
      </c>
      <c r="CS51" s="37">
        <f>_xlfn.XLOOKUP(Crops[[#This Row],[Crop]]&amp;Crops[[#This Row],[Product]]&amp;Crops[[#This Row],[Unit]],Products[ID],Products[Bunch (s)])*Crops[[#This Row],[Custom Yield Per Bed]]/3600</f>
        <v>0</v>
      </c>
      <c r="CT51" s="37">
        <f>_xlfn.XLOOKUP(Crops[[#This Row],[Crop]]&amp;Crops[[#This Row],[Product]]&amp;Crops[[#This Row],[Unit]],Products[ID],Products[Haul (s)])*Crops[[#This Row],[Custom Yield Per Bed]]/3600</f>
        <v>0.46875</v>
      </c>
      <c r="CU51" s="37">
        <f>_xlfn.XLOOKUP(Crops[[#This Row],[Crop]]&amp;Crops[[#This Row],[Product]]&amp;Crops[[#This Row],[Unit]],Products[ID],Products[Wash (s)])*Crops[[#This Row],[Custom Yield Per Bed]]/3600</f>
        <v>0.20833333333333334</v>
      </c>
      <c r="CV51" s="37">
        <f>_xlfn.XLOOKUP(Crops[[#This Row],[Crop]]&amp;Crops[[#This Row],[Product]]&amp;Crops[[#This Row],[Unit]],Products[ID],Products[Condition (s)])*Crops[[#This Row],[Custom Yield Per Bed]]/3600</f>
        <v>0</v>
      </c>
      <c r="CW51" s="37">
        <f>_xlfn.XLOOKUP(Crops[[#This Row],[Crop]]&amp;Crops[[#This Row],[Product]]&amp;Crops[[#This Row],[Unit]],Products[ID],Products[Trim (s)])*Crops[[#This Row],[Custom Yield Per Bed]]/3600</f>
        <v>0.41666666666666669</v>
      </c>
      <c r="CX51" s="37">
        <f>_xlfn.XLOOKUP(Crops[[#This Row],[Crop]]&amp;Crops[[#This Row],[Product]]&amp;Crops[[#This Row],[Unit]],Products[ID],Products[Pack (s)])*Crops[[#This Row],[Custom Yield Per Bed]]/3600</f>
        <v>0.125</v>
      </c>
      <c r="CY51" s="37">
        <f>_xlfn.XLOOKUP(Crops[[#This Row],[Crop]]&amp;Crops[[#This Row],[Product]]&amp;Crops[[#This Row],[Unit]],Products[ID],Products[Clean (s)])*Crops[[#This Row],[Custom Yield Per Bed]]/3600</f>
        <v>0</v>
      </c>
      <c r="CZ51" s="37">
        <f>_xlfn.XLOOKUP(Crops[[#This Row],[Crop]]&amp;Crops[[#This Row],[Product]]&amp;Crops[[#This Row],[Unit]],Products[ID],Products[Rehandle (s)])*Crops[[#This Row],[Custom Yield Per Bed]]/3600</f>
        <v>0</v>
      </c>
      <c r="DA51" s="37">
        <f>_xlfn.XLOOKUP(Crops[[#This Row],[Crop]]&amp;Crops[[#This Row],[Product]]&amp;Crops[[#This Row],[Unit]],Products[ID],Products[Market Transport (s)])*Crops[[#This Row],[Custom Yield Per Bed]]/3600</f>
        <v>1.171875</v>
      </c>
      <c r="DC51" s="37">
        <f>Crops[[#This Row],[Direct Revenue Per Bed2]]</f>
        <v>600</v>
      </c>
      <c r="DD51" s="173">
        <f>_xlfn.AGGREGATE(9,6,Crops[[#This Row],[Bed Prep]:[Remove Crop Residue]])</f>
        <v>12.349724702380954</v>
      </c>
      <c r="DE51" s="173">
        <f>_xlfn.AGGREGATE(9,6,Crops[[#This Row],[Bed Prep]:[Remove Crop Residue]])-0.75*Crops[[#This Row],[Market &amp; Sell]]</f>
        <v>11.899724702380954</v>
      </c>
      <c r="DF51" s="36">
        <f>Crops[[#This Row],[Direct Revenue Per Bed2]]/Crops[[#This Row],[Direct Time]]</f>
        <v>48.584078953948143</v>
      </c>
      <c r="DG51" s="36">
        <f>_xlfn.XLOOKUP(Crops[[#This Row],[ProductIndex]],Products[ID],Products[Packaging Cost])*(Crops[[#This Row],[Custom Yield Per Bed]]/_xlfn.XLOOKUP(Crops[[#This Row],[ProductIndex]],Products[ID],Products[Units Per Pack]))</f>
        <v>47.5</v>
      </c>
      <c r="DH51" s="36"/>
      <c r="DI51" s="36"/>
      <c r="DJ51" s="36"/>
      <c r="DK51" s="36"/>
      <c r="DL51" s="36"/>
      <c r="DM51" s="33">
        <f>IFERROR(Crops[[#This Row],[Custom Yield Per Bed]]*Crops[[#This Row],[Direct Price]],"")</f>
        <v>600</v>
      </c>
      <c r="DN51" s="36">
        <f>Crops[[#This Row],[Direct Time]]*LaborRate</f>
        <v>308.74311755952385</v>
      </c>
      <c r="DO51" s="36">
        <f>SUM(Crops[[#This Row],[Irrigation Cost]])</f>
        <v>0</v>
      </c>
      <c r="DP51" s="36">
        <f>Crops[[#This Row],[Direct Labor Cost]]+Crops[[#This Row],[Direct Non-Labor Cost]]</f>
        <v>308.74311755952385</v>
      </c>
      <c r="DQ51" s="36">
        <f>Crops[[#This Row],[Direct Revenue Per Bed2]]-Crops[[#This Row],[Direct Total Cost]]</f>
        <v>291.25688244047615</v>
      </c>
      <c r="DR51" s="36">
        <f>Crops[[#This Row],[Direct Profit]]*BedsPerAcre</f>
        <v>46601.101190476184</v>
      </c>
      <c r="DS51" s="36">
        <f>Crops[[#This Row],[Direct Profit]]*BedsPerAcre*GrowingDays/Crops[[#This Row],[Days In Field]]</f>
        <v>131065.59709821426</v>
      </c>
      <c r="DT51" s="36">
        <f>Crops[[#This Row],[Direct Profit]]/MIN(Crops[[#This Row],[Days In Field]],GrowingDays)</f>
        <v>4.5508887881324398</v>
      </c>
      <c r="DU51" s="33">
        <f>Crops[[#This Row],[Direct Time]] * BedsPerAcre</f>
        <v>1975.9559523809526</v>
      </c>
      <c r="DV51" s="36">
        <f>(Crops[[#This Row],[Direct Revenue Per Bed2]]-Crops[[#This Row],[Direct Non-Labor Cost]])/Crops[[#This Row],[Direct Time]]</f>
        <v>48.584078953948143</v>
      </c>
      <c r="DW51" s="33">
        <f>IFERROR(Crops[[#This Row],[Custom Yield Per Bed]]*Crops[[#This Row],[Rough Wholesale Price]],"")</f>
        <v>300</v>
      </c>
      <c r="DX51" s="36">
        <f>Crops[[#This Row],[Wholesale Time]]*LaborRate</f>
        <v>297.49311755952385</v>
      </c>
      <c r="DY51" s="36">
        <f>SUM(Crops[[#This Row],[Packaging Costs]:[Irrigation Cost]])</f>
        <v>47.5</v>
      </c>
      <c r="DZ51" s="36">
        <f>Crops[[#This Row],[Wholesale Labor Cost]]+Crops[[#This Row],[Wholesale Non-Labor Cost]]</f>
        <v>344.99311755952385</v>
      </c>
      <c r="EA51" s="36">
        <f>Crops[[#This Row],[Wholesale Revenue Per Bed]]-Crops[[#This Row],[Wholesale Total Cost]]</f>
        <v>-44.993117559523853</v>
      </c>
      <c r="EB51" s="36">
        <f>Crops[[#This Row],[Wholesale Profit]]*BedsPerAcre</f>
        <v>-7198.8988095238165</v>
      </c>
      <c r="EC51" s="36">
        <f>Crops[[#This Row],[Wholesale Profit]]*BedsPerAcre*GrowingDays/Crops[[#This Row],[Days In Field]]</f>
        <v>-20246.902901785732</v>
      </c>
      <c r="ED51" s="33">
        <f>Crops[[#This Row],[Wholesale Time]] * BedsPerAcre</f>
        <v>1903.9559523809526</v>
      </c>
      <c r="EE51" s="221">
        <f>Crops[[#This Row],[Wholesale Profit]]/MIN(Crops[[#This Row],[Days In Field]],GrowingDays)</f>
        <v>-0.7030174618675602</v>
      </c>
      <c r="EF51" s="36">
        <f>(Crops[[#This Row],[Wholesale Revenue Per Bed]]-Crops[[#This Row],[Wholesale Non-Labor Cost]])/Crops[[#This Row],[Direct Time]]</f>
        <v>20.445799893119844</v>
      </c>
      <c r="EG51" s="174">
        <f>Crops[[#This Row],[Packaging Costs]]/Crops[[#This Row],[Wholesale Revenue Per Bed]]</f>
        <v>0.15833333333333333</v>
      </c>
      <c r="EH51" s="36" t="str">
        <f>Crops[[#This Row],[Crop]]&amp;Crops[[#This Row],[Product]]&amp;Crops[[#This Row],[Unit]]</f>
        <v>CabbageSmall HeadHead</v>
      </c>
      <c r="EI51" s="36" t="b">
        <f>_xlfn.XLOOKUP(Crops[[#This Row],[ProductIndex]],Products[ID],Products[Target])</f>
        <v>1</v>
      </c>
      <c r="EJ51" s="33">
        <f>Crops[[#This Row],[Custom Yield Per Bed]]</f>
        <v>150</v>
      </c>
      <c r="EK51" s="210">
        <f>Crops[[#This Row],[Units Per Harvest]]/Crops[[#This Row],[Days Between Harvest]]*7</f>
        <v>75</v>
      </c>
      <c r="EL51" s="210">
        <f>Crops[[#This Row],[Custom Yield Per Bed]]/_xlfn.XLOOKUP(Crops[[#This Row],[ProductIndex]],Products[ID],Products[CSA Portion])</f>
        <v>150</v>
      </c>
      <c r="EM51" s="210">
        <f>Crops[[#This Row],[Units Per Harvest]]/Crops[[#This Row],[Days Between Harvest]]*7/_xlfn.XLOOKUP(Crops[[#This Row],[ProductIndex]],Products[ID],Products[CSA Portion])</f>
        <v>75</v>
      </c>
      <c r="EN51" s="210">
        <f>Crops[[#This Row],[CSA Portions Per Week]]/CSAMembers</f>
        <v>1.5</v>
      </c>
      <c r="EO51" s="216">
        <v>1</v>
      </c>
      <c r="EP51" s="216">
        <v>1</v>
      </c>
      <c r="EQ51" s="210" t="s">
        <v>2683</v>
      </c>
      <c r="ER51" s="210">
        <f>Crops[[#This Row],[Harvests]]*Crops[[#This Row],[Days Between Harvest]]/7</f>
        <v>2</v>
      </c>
      <c r="ES51" s="217">
        <f>_xlfn.XLOOKUP(Crops[[#This Row],[ProductIndex]],Products[ID],Products[CSA Need])</f>
        <v>1</v>
      </c>
      <c r="ET51" s="217">
        <f>_xlfn.XLOOKUP(Crops[[#This Row],[ProductIndex]],Products[ID],Products[CSA Times])</f>
        <v>1</v>
      </c>
      <c r="EU51" s="208">
        <f>Crops[[#This Row],[Custom Yield Per Bed]]/(Crops[[#This Row],[CSA Need]]*(_xlfn.XLOOKUP(Crops[[#This Row],[ProductIndex]],Products[ID],Products[CSA Portion])*CSAMembers))</f>
        <v>3</v>
      </c>
      <c r="EV51" s="208">
        <f>_xlfn.XLOOKUP(Crops[[#This Row],[ProductIndex]],Products[ID],Products[CSA Portion])*CSAMembers*Crops[[#This Row],[CSA Need]]/Crops[[#This Row],[Custom Yield Per Bed]]</f>
        <v>0.33333333333333331</v>
      </c>
      <c r="EW51" s="208">
        <f>IFERROR(Crops[[#This Row],[Days In Field]]*Crops[[#This Row],[CSA Beds]],"")</f>
        <v>21.333333333333332</v>
      </c>
      <c r="EX51" s="208" t="e">
        <f>Crops[[#This Row],[CSA Bed Days]]*#REF!</f>
        <v>#REF!</v>
      </c>
      <c r="EY51" t="s">
        <v>364</v>
      </c>
    </row>
    <row r="52" spans="1:158">
      <c r="A5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Early 9") - Large Head 1X | Field TP Sp</v>
      </c>
      <c r="B52" s="191"/>
      <c r="C52" s="1" t="b">
        <v>1</v>
      </c>
      <c r="D52" s="1"/>
      <c r="E52" s="1" t="b">
        <v>0</v>
      </c>
      <c r="F52" s="1" t="b">
        <f>IFERROR(IF(ISNUMBER(MATCH(Crops[[#This Row],[Identifier]],BedPlan[Crop], 0)), TRUE, FALSE), FALSE)</f>
        <v>1</v>
      </c>
      <c r="G52" s="1" t="b">
        <f>IFERROR(IF(ISNUMBER(MATCH(Crops[[#This Row],[Identifier]],BedPlan[Crop], 0)), TRUE, FALSE), FALSE)</f>
        <v>1</v>
      </c>
      <c r="H52" s="1"/>
      <c r="I52" t="s">
        <v>52</v>
      </c>
      <c r="J52" t="s">
        <v>2796</v>
      </c>
      <c r="K52" t="s">
        <v>2360</v>
      </c>
      <c r="M52" t="s">
        <v>445</v>
      </c>
      <c r="N52" t="str">
        <f>Crops[[#This Row],[Crop]]</f>
        <v>Cabbage</v>
      </c>
      <c r="O52" t="s">
        <v>210</v>
      </c>
      <c r="P52" t="str">
        <f>IF(OR(Crops[[#This Row],[Days in Cells]]="",Crops[[#This Row],[Days in Cells]]=0), "DS","TP")</f>
        <v>TP</v>
      </c>
      <c r="Q52" t="b">
        <v>1</v>
      </c>
      <c r="V52" t="str">
        <f xml:space="preserve"> IF(Crops[[#This Row],[Sp]], "Sp", "") &amp; IF(Crops[[#This Row],[Su]], "Su", "") &amp; IF(Crops[[#This Row],[Fa]], "Fa", "") &amp; IF(Crops[[#This Row],[Wi]], "Wi", "") &amp; IF(Crops[[#This Row],[OW]], "Ow","")</f>
        <v>Sp</v>
      </c>
      <c r="W52" t="s">
        <v>144</v>
      </c>
      <c r="X52">
        <v>3</v>
      </c>
      <c r="Y52">
        <v>9</v>
      </c>
      <c r="AB52" t="b">
        <v>1</v>
      </c>
      <c r="AD52" s="32">
        <f>IFERROR(12/Crops[[#This Row],[Spacing]]*Crops[[#This Row],[Rows]]*BedLength,"")</f>
        <v>200</v>
      </c>
      <c r="AE52">
        <v>1</v>
      </c>
      <c r="AG52">
        <v>1.1000000000000001</v>
      </c>
      <c r="AH52">
        <v>2</v>
      </c>
      <c r="AI52" s="33">
        <f>IFERROR(Crops[[#This Row],[Plantings Per Bed]]*Crops[[#This Row],[Seeds Per Planting]]*Crops[[#This Row],[Safety Factor]]*Crops[[#This Row],[Seeding Factor]],"")</f>
        <v>440.00000000000006</v>
      </c>
      <c r="AL52">
        <f>_xlfn.FLOOR.MATH(IFERROR(AVERAGE(Crops[[#This Row],[DTG Lower]:[DTG Upper]]),0))</f>
        <v>0</v>
      </c>
      <c r="AM52">
        <f>SUM(Crops[[#This Row],[Tray 1 Days]],Crops[[#This Row],[Tray 2 Days]],Crops[[#This Row],[Tray 3 Days]])</f>
        <v>35</v>
      </c>
      <c r="AN52" s="32">
        <v>35</v>
      </c>
      <c r="AP52">
        <v>70</v>
      </c>
      <c r="AQ52">
        <f>IFERROR(_xlfn.FLOOR.MATH(AVERAGE(Crops[[#This Row],[DTM Lower]:[DTM Upper]])),"")</f>
        <v>70</v>
      </c>
      <c r="AR52" cm="1">
        <f t="array" ref="AR52">_xlfn.SWITCH(Crops[[#This Row],[Normal Method]],"DS",Crops[[#This Row],[Days to Germination]]+Crops[[#This Row],[DTM]] + IF(Crops[[#This Row],[Days in Cells]]&gt;0,15,0), "TP",Crops[[#This Row],[DTM]]+Crops[[#This Row],[Days in Cells]] + IF(Crops[[#This Row],[Days in Cells]]&lt;=0,20,0), "X", Crops[[#This Row],[DTM]])</f>
        <v>105</v>
      </c>
      <c r="AS52" t="s">
        <v>346</v>
      </c>
      <c r="AT52">
        <f>(Crops[[#This Row],[Harvests]]-1)*Crops[[#This Row],[Days Between Harvest]]+7</f>
        <v>7</v>
      </c>
      <c r="AU52">
        <f>Crops[[#This Row],[STH]]-Crops[[#This Row],[Days in Cells]]+Crops[[#This Row],[Harvest window]]</f>
        <v>77</v>
      </c>
      <c r="AX52">
        <v>400</v>
      </c>
      <c r="AY52">
        <v>7</v>
      </c>
      <c r="AZ52" s="49">
        <f>IFERROR(IF(Crops[[#This Row],[Tray 1 Days]]=0,"",Crops[[#This Row],[Plantings Per Bed]]/Crops[[#This Row],[Tray 1 Size]]*Crops[[#This Row],[Safety Factor]]),"")</f>
        <v>0.55000000000000004</v>
      </c>
      <c r="BA52">
        <v>72</v>
      </c>
      <c r="BB52">
        <v>28</v>
      </c>
      <c r="BC52">
        <f>IFERROR(IF(Crops[[#This Row],[Tray 2 Days]]=0,"",Crops[[#This Row],[Plantings Per Bed]]/Crops[[#This Row],[Tray 2 Size]]*Crops[[#This Row],[Safety Factor]]),"")</f>
        <v>3.0555555555555558</v>
      </c>
      <c r="BE52" s="32" t="str">
        <f>IF(NOT(ISBLANK(Crops[[#This Row],[Tray 3 Size]])), Crops[[#This Row],[Days in Cells Old]]-SUM(Crops[[#This Row],[Tray 1 Days]],Crops[[#This Row],[Tray 2 Days]]), "")</f>
        <v/>
      </c>
      <c r="BF52" t="str">
        <f>IFERROR(IF(Crops[[#This Row],[Tray 3 Days]]=0,"",Crops[[#This Row],[Plantings Per Bed]]/Crops[[#This Row],[Tray 3 Size]]*Crops[[#This Row],[Safety Factor]]),"")</f>
        <v/>
      </c>
      <c r="BG52" s="33">
        <f>Crops[[#This Row],[Plantings Per Bed]]/Crops[[#This Row],[Harvests]]</f>
        <v>200</v>
      </c>
      <c r="BH52" s="33">
        <v>1</v>
      </c>
      <c r="BI52" s="33">
        <v>7</v>
      </c>
      <c r="BJ52" s="33">
        <f>_xlfn.XLOOKUP(Crops[[#This Row],[ProductIndex]],Products[ID],Products[Holding Period])</f>
        <v>45</v>
      </c>
      <c r="BK52" s="33"/>
      <c r="BL52" s="33">
        <f>Crops[[#This Row],[Units Per Harvest]]*Crops[[#This Row],[Harvests]]</f>
        <v>200</v>
      </c>
      <c r="BM52" s="35">
        <f>3*1.1</f>
        <v>3.3000000000000003</v>
      </c>
      <c r="BN52" s="35">
        <f>3*1.1</f>
        <v>3.3000000000000003</v>
      </c>
      <c r="BO52" s="35"/>
      <c r="BP52" t="s">
        <v>214</v>
      </c>
      <c r="BQ52">
        <f>Crops[[#This Row],[Custom Yield Per Bed]]*Crops[[#This Row],[Direct Price]]</f>
        <v>660</v>
      </c>
      <c r="BR52" t="b">
        <v>1</v>
      </c>
      <c r="BS52" t="b">
        <f>Crops[[#This Row],[Harvests]]&gt;1</f>
        <v>0</v>
      </c>
      <c r="BT52" s="36">
        <f>IFERROR(Crops[[#This Row],[Direct Revenue Per Bed]]/Crops[[#This Row],[Days In Field]],-1)</f>
        <v>8.5714285714285712</v>
      </c>
      <c r="BU52" s="36">
        <f>IFERROR(Crops[[#This Row],[Direct Revenue Per Bed Day]]*GrowingDays*BedsPerAcre,"")</f>
        <v>246857.14285714287</v>
      </c>
      <c r="BV52" s="38">
        <f>LastFrostDate-5*Crops[[#This Row],[Sewing Rel Last Frost]]</f>
        <v>45713</v>
      </c>
      <c r="BW52" s="38">
        <f>Crops[[#This Row],[Target Sewing Date]]+Crops[[#This Row],[Days in Cells]]</f>
        <v>45748</v>
      </c>
      <c r="BX52" s="38">
        <f>Crops[[#This Row],[Target Sewing Date]]+Crops[[#This Row],[STH]]</f>
        <v>45818</v>
      </c>
      <c r="BY52" s="38">
        <f>Crops[[#This Row],[Target Harvest Data]]+Crops[[#This Row],[Harvest window]]</f>
        <v>45825</v>
      </c>
      <c r="BZ52">
        <v>7</v>
      </c>
      <c r="CA52" t="s">
        <v>482</v>
      </c>
      <c r="CB52">
        <f>1</f>
        <v>1</v>
      </c>
      <c r="CC52">
        <f>IF(Crops[[#This Row],[Transplanting]]&gt;0, 2, 3)*BedLength/StandardBedLength</f>
        <v>1</v>
      </c>
      <c r="CD52" s="173">
        <f>IF(Crops[[#This Row],[Days in Cells]]&lt;=0,0,Crops[[#This Row],[Plantings Per Bed]]/StartsPerHourSeeding+Crops[[#This Row],[Tray 1 Count]]*5/60)</f>
        <v>0.82708333333333328</v>
      </c>
      <c r="CE52" s="173">
        <f>IF(ISBLANK(Crops[[#This Row],[Tray 2 Days]]),0,Crops[[#This Row],[Plantings Per Bed]]/UpPottingPerHour)+IF(Crops[[#This Row],[Tray 3 Days]]="",0,Crops[[#This Row],[Plantings Per Bed]]/UpPottingPerHour)</f>
        <v>1.6666666666666667</v>
      </c>
      <c r="CF52" s="173">
        <f>IFERROR(Crops[[#This Row],[Tray 1 Count]]/HomeStartFlatIrrigationPerHour,0)*Crops[[#This Row],[Days in Cells]]/DaysBetweenStartIrrigation</f>
        <v>8.020833333333334E-2</v>
      </c>
      <c r="CG52" s="173">
        <f>0.5/16*MAX(Crops[[#This Row],[Tray 1 Count]],Crops[[#This Row],[Tray 2 Count]],Crops[[#This Row],[Tray 3 Count]])</f>
        <v>9.5486111111111119E-2</v>
      </c>
      <c r="CH52" s="173">
        <f>IF(Crops[[#This Row],[Days in Cells]]&gt;0,IF(IF(Crops[[#This Row],[Tray 3 Size]]&gt;0,Crops[[#This Row],[Tray 3 Size]],IF(Crops[[#This Row],[Tray 2 Size]]&gt;0,Crops[[#This Row],[Tray 2 Size]],Crops[[#This Row],[Tray 1 Size]]))&lt;=18,LargeTransplantTime,SmallTransplantTime)*Crops[[#This Row],[Plantings Per Bed]],0)</f>
        <v>1</v>
      </c>
      <c r="CI52" s="173"/>
      <c r="CJ52" s="173">
        <f>_xlfn.XLOOKUP(Crops[[#This Row],[Trellis Type]],TrellisMethods[Trellis Type],TrellisMethods[Hours],0,0)</f>
        <v>0</v>
      </c>
      <c r="CK52">
        <f>IF(Crops[[#This Row],[Days in Cells]]&lt;=0,Crops[[#This Row],[Rows]]*1/10,0)*BedLength/50</f>
        <v>0</v>
      </c>
      <c r="CL52" cm="1">
        <f t="array" ref="CL52">_xlfn.SWITCH(Crops[[#This Row],[Irrigation]],"DR", 0.5, "OH", 0.25,0)*BedLength/50</f>
        <v>0</v>
      </c>
      <c r="CM52">
        <f>IF(OR(ISBLANK(Crops[[#This Row],[Row Cover]]),Crops[[#This Row],[Row Cover]]="None"),0,1)*BedLength/50</f>
        <v>0</v>
      </c>
      <c r="CN52" s="173">
        <f>HoursPerWeedingPass*Crops[[#This Row],[Days In Field]]/14*Crops[[#This Row],[Rows]]+1*BedLength/50</f>
        <v>3.75</v>
      </c>
      <c r="CO52" s="49">
        <f>1*BedLength/50</f>
        <v>1</v>
      </c>
      <c r="CQ52" s="37">
        <f>_xlfn.XLOOKUP(Crops[[#This Row],[Crop]]&amp;Crops[[#This Row],[Product]]&amp;Crops[[#This Row],[Unit]],Products[ID],Products[Marketing (hr)])*Crops[[#This Row],[Direct Revenue Per Bed]]/2000</f>
        <v>0.66</v>
      </c>
      <c r="CR52" s="37">
        <f>_xlfn.XLOOKUP(Crops[[#This Row],[Crop]]&amp;Crops[[#This Row],[Product]]&amp;Crops[[#This Row],[Unit]],Products[ID],Products[Harvest (s)])*Crops[[#This Row],[Custom Yield Per Bed]]/3600</f>
        <v>0.55555555555555558</v>
      </c>
      <c r="CS52" s="37">
        <f>_xlfn.XLOOKUP(Crops[[#This Row],[Crop]]&amp;Crops[[#This Row],[Product]]&amp;Crops[[#This Row],[Unit]],Products[ID],Products[Bunch (s)])*Crops[[#This Row],[Custom Yield Per Bed]]/3600</f>
        <v>0</v>
      </c>
      <c r="CT52" s="37">
        <f>_xlfn.XLOOKUP(Crops[[#This Row],[Crop]]&amp;Crops[[#This Row],[Product]]&amp;Crops[[#This Row],[Unit]],Products[ID],Products[Haul (s)])*Crops[[#This Row],[Custom Yield Per Bed]]/3600</f>
        <v>0.625</v>
      </c>
      <c r="CU52" s="37">
        <f>_xlfn.XLOOKUP(Crops[[#This Row],[Crop]]&amp;Crops[[#This Row],[Product]]&amp;Crops[[#This Row],[Unit]],Products[ID],Products[Wash (s)])*Crops[[#This Row],[Custom Yield Per Bed]]/3600</f>
        <v>0.27777777777777779</v>
      </c>
      <c r="CV52" s="37">
        <f>_xlfn.XLOOKUP(Crops[[#This Row],[Crop]]&amp;Crops[[#This Row],[Product]]&amp;Crops[[#This Row],[Unit]],Products[ID],Products[Condition (s)])*Crops[[#This Row],[Custom Yield Per Bed]]/3600</f>
        <v>0</v>
      </c>
      <c r="CW52" s="37">
        <f>_xlfn.XLOOKUP(Crops[[#This Row],[Crop]]&amp;Crops[[#This Row],[Product]]&amp;Crops[[#This Row],[Unit]],Products[ID],Products[Trim (s)])*Crops[[#This Row],[Custom Yield Per Bed]]/3600</f>
        <v>0.55555555555555558</v>
      </c>
      <c r="CX52" s="37">
        <f>_xlfn.XLOOKUP(Crops[[#This Row],[Crop]]&amp;Crops[[#This Row],[Product]]&amp;Crops[[#This Row],[Unit]],Products[ID],Products[Pack (s)])*Crops[[#This Row],[Custom Yield Per Bed]]/3600</f>
        <v>0.16666666666666666</v>
      </c>
      <c r="CY52" s="37">
        <f>_xlfn.XLOOKUP(Crops[[#This Row],[Crop]]&amp;Crops[[#This Row],[Product]]&amp;Crops[[#This Row],[Unit]],Products[ID],Products[Clean (s)])*Crops[[#This Row],[Custom Yield Per Bed]]/3600</f>
        <v>0</v>
      </c>
      <c r="CZ52" s="37">
        <f>_xlfn.XLOOKUP(Crops[[#This Row],[Crop]]&amp;Crops[[#This Row],[Product]]&amp;Crops[[#This Row],[Unit]],Products[ID],Products[Rehandle (s)])*Crops[[#This Row],[Custom Yield Per Bed]]/3600</f>
        <v>0</v>
      </c>
      <c r="DA52" s="37">
        <f>_xlfn.XLOOKUP(Crops[[#This Row],[Crop]]&amp;Crops[[#This Row],[Product]]&amp;Crops[[#This Row],[Unit]],Products[ID],Products[Market Transport (s)])*Crops[[#This Row],[Custom Yield Per Bed]]/3600</f>
        <v>1.5625</v>
      </c>
      <c r="DC52" s="37">
        <f>Crops[[#This Row],[Direct Revenue Per Bed2]]</f>
        <v>660</v>
      </c>
      <c r="DD52" s="173">
        <f>_xlfn.AGGREGATE(9,6,Crops[[#This Row],[Bed Prep]:[Remove Crop Residue]])</f>
        <v>13.8225</v>
      </c>
      <c r="DE52" s="173">
        <f>_xlfn.AGGREGATE(9,6,Crops[[#This Row],[Bed Prep]:[Remove Crop Residue]])-0.75*Crops[[#This Row],[Market &amp; Sell]]</f>
        <v>13.327500000000001</v>
      </c>
      <c r="DF52" s="36">
        <f>Crops[[#This Row],[Direct Revenue Per Bed2]]/Crops[[#This Row],[Direct Time]]</f>
        <v>47.748236570808466</v>
      </c>
      <c r="DG52" s="36">
        <f>_xlfn.XLOOKUP(Crops[[#This Row],[ProductIndex]],Products[ID],Products[Packaging Cost])*(Crops[[#This Row],[Custom Yield Per Bed]]/_xlfn.XLOOKUP(Crops[[#This Row],[ProductIndex]],Products[ID],Products[Units Per Pack]))</f>
        <v>95</v>
      </c>
      <c r="DH52" s="36"/>
      <c r="DI52" s="36"/>
      <c r="DJ52" s="36"/>
      <c r="DK52" s="36"/>
      <c r="DL52" s="36"/>
      <c r="DM52" s="33">
        <f>IFERROR(Crops[[#This Row],[Custom Yield Per Bed]]*Crops[[#This Row],[Direct Price]],"")</f>
        <v>660</v>
      </c>
      <c r="DN52" s="36">
        <f>Crops[[#This Row],[Direct Time]]*LaborRate</f>
        <v>345.5625</v>
      </c>
      <c r="DO52" s="36">
        <f>SUM(Crops[[#This Row],[Irrigation Cost]])</f>
        <v>0</v>
      </c>
      <c r="DP52" s="36">
        <f>Crops[[#This Row],[Direct Labor Cost]]+Crops[[#This Row],[Direct Non-Labor Cost]]</f>
        <v>345.5625</v>
      </c>
      <c r="DQ52" s="36">
        <f>Crops[[#This Row],[Direct Revenue Per Bed2]]-Crops[[#This Row],[Direct Total Cost]]</f>
        <v>314.4375</v>
      </c>
      <c r="DR52" s="36">
        <f>Crops[[#This Row],[Direct Profit]]*BedsPerAcre</f>
        <v>50310</v>
      </c>
      <c r="DS52" s="36">
        <f>Crops[[#This Row],[Direct Profit]]*BedsPerAcre*GrowingDays/Crops[[#This Row],[Days In Field]]</f>
        <v>117607.79220779221</v>
      </c>
      <c r="DT52" s="36">
        <f>Crops[[#This Row],[Direct Profit]]/MIN(Crops[[#This Row],[Days In Field]],GrowingDays)</f>
        <v>4.0836038961038961</v>
      </c>
      <c r="DU52" s="33">
        <f>Crops[[#This Row],[Direct Time]] * BedsPerAcre</f>
        <v>2211.6</v>
      </c>
      <c r="DV52" s="36">
        <f>(Crops[[#This Row],[Direct Revenue Per Bed2]]-Crops[[#This Row],[Direct Non-Labor Cost]])/Crops[[#This Row],[Direct Time]]</f>
        <v>47.748236570808466</v>
      </c>
      <c r="DW52" s="33">
        <f>IFERROR(Crops[[#This Row],[Custom Yield Per Bed]]*Crops[[#This Row],[Rough Wholesale Price]],"")</f>
        <v>660</v>
      </c>
      <c r="DX52" s="36">
        <f>Crops[[#This Row],[Wholesale Time]]*LaborRate</f>
        <v>333.1875</v>
      </c>
      <c r="DY52" s="36">
        <f>SUM(Crops[[#This Row],[Packaging Costs]:[Irrigation Cost]])</f>
        <v>95</v>
      </c>
      <c r="DZ52" s="36">
        <f>Crops[[#This Row],[Wholesale Labor Cost]]+Crops[[#This Row],[Wholesale Non-Labor Cost]]</f>
        <v>428.1875</v>
      </c>
      <c r="EA52" s="36">
        <f>Crops[[#This Row],[Wholesale Revenue Per Bed]]-Crops[[#This Row],[Wholesale Total Cost]]</f>
        <v>231.8125</v>
      </c>
      <c r="EB52" s="36">
        <f>Crops[[#This Row],[Wholesale Profit]]*BedsPerAcre</f>
        <v>37090</v>
      </c>
      <c r="EC52" s="36">
        <f>Crops[[#This Row],[Wholesale Profit]]*BedsPerAcre*GrowingDays/Crops[[#This Row],[Days In Field]]</f>
        <v>86703.896103896099</v>
      </c>
      <c r="ED52" s="33">
        <f>Crops[[#This Row],[Wholesale Time]] * BedsPerAcre</f>
        <v>2132.4</v>
      </c>
      <c r="EE52" s="221">
        <f>Crops[[#This Row],[Wholesale Profit]]/MIN(Crops[[#This Row],[Days In Field]],GrowingDays)</f>
        <v>3.010551948051948</v>
      </c>
      <c r="EF52" s="36">
        <f>(Crops[[#This Row],[Wholesale Revenue Per Bed]]-Crops[[#This Row],[Wholesale Non-Labor Cost]])/Crops[[#This Row],[Direct Time]]</f>
        <v>40.875384337131486</v>
      </c>
      <c r="EG52" s="174">
        <f>Crops[[#This Row],[Packaging Costs]]/Crops[[#This Row],[Wholesale Revenue Per Bed]]</f>
        <v>0.14393939393939395</v>
      </c>
      <c r="EH52" s="36" t="str">
        <f>Crops[[#This Row],[Crop]]&amp;Crops[[#This Row],[Product]]&amp;Crops[[#This Row],[Unit]]</f>
        <v>CabbageLarge HeadHead</v>
      </c>
      <c r="EI52" s="36" t="b">
        <f>_xlfn.XLOOKUP(Crops[[#This Row],[ProductIndex]],Products[ID],Products[Target])</f>
        <v>1</v>
      </c>
      <c r="EJ52" s="33">
        <f>Crops[[#This Row],[Custom Yield Per Bed]]</f>
        <v>200</v>
      </c>
      <c r="EK52" s="210">
        <f>Crops[[#This Row],[Units Per Harvest]]/Crops[[#This Row],[Days Between Harvest]]*7</f>
        <v>200</v>
      </c>
      <c r="EL52" s="210">
        <f>Crops[[#This Row],[Custom Yield Per Bed]]/_xlfn.XLOOKUP(Crops[[#This Row],[ProductIndex]],Products[ID],Products[CSA Portion])</f>
        <v>200</v>
      </c>
      <c r="EM52" s="210">
        <f>Crops[[#This Row],[Units Per Harvest]]/Crops[[#This Row],[Days Between Harvest]]*7/_xlfn.XLOOKUP(Crops[[#This Row],[ProductIndex]],Products[ID],Products[CSA Portion])</f>
        <v>200</v>
      </c>
      <c r="EN52" s="210">
        <f>Crops[[#This Row],[CSA Portions Per Week]]/CSAMembers</f>
        <v>4</v>
      </c>
      <c r="EO52" s="216"/>
      <c r="EP52" s="216"/>
      <c r="EQ52" s="210"/>
      <c r="ER52" s="210">
        <f>Crops[[#This Row],[Harvests]]*Crops[[#This Row],[Days Between Harvest]]/7</f>
        <v>1</v>
      </c>
      <c r="ES52" s="217">
        <f>_xlfn.XLOOKUP(Crops[[#This Row],[ProductIndex]],Products[ID],Products[CSA Need])</f>
        <v>2</v>
      </c>
      <c r="ET52" s="217">
        <f>_xlfn.XLOOKUP(Crops[[#This Row],[ProductIndex]],Products[ID],Products[CSA Times])</f>
        <v>2</v>
      </c>
      <c r="EU52" s="208">
        <f>Crops[[#This Row],[Custom Yield Per Bed]]/(Crops[[#This Row],[CSA Need]]*(_xlfn.XLOOKUP(Crops[[#This Row],[ProductIndex]],Products[ID],Products[CSA Portion])*CSAMembers))</f>
        <v>2</v>
      </c>
      <c r="EV52" s="208">
        <f>_xlfn.XLOOKUP(Crops[[#This Row],[ProductIndex]],Products[ID],Products[CSA Portion])*CSAMembers*Crops[[#This Row],[CSA Need]]/Crops[[#This Row],[Custom Yield Per Bed]]</f>
        <v>0.5</v>
      </c>
      <c r="EW52" s="208">
        <f>IFERROR(Crops[[#This Row],[Days In Field]]*Crops[[#This Row],[CSA Beds]],"")</f>
        <v>38.5</v>
      </c>
      <c r="EX52" s="208" t="e">
        <f>Crops[[#This Row],[CSA Bed Days]]*#REF!</f>
        <v>#REF!</v>
      </c>
      <c r="EY52" t="s">
        <v>314</v>
      </c>
    </row>
    <row r="53" spans="1:158">
      <c r="A5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Early) - Large Head 1X | Field TP Su</v>
      </c>
      <c r="B53" s="191"/>
      <c r="C53" s="1" t="b">
        <v>1</v>
      </c>
      <c r="D53" s="1"/>
      <c r="E53" s="1" t="b">
        <v>0</v>
      </c>
      <c r="F53" s="1" t="b">
        <f>IFERROR(IF(ISNUMBER(MATCH(Crops[[#This Row],[Identifier]],BedPlan[Crop], 0)), TRUE, FALSE), FALSE)</f>
        <v>0</v>
      </c>
      <c r="G53" s="1" t="b">
        <f>IFERROR(IF(ISNUMBER(MATCH(Crops[[#This Row],[Identifier]],BedPlan[Crop], 0)), TRUE, FALSE), FALSE)</f>
        <v>0</v>
      </c>
      <c r="H53" s="1"/>
      <c r="I53" t="s">
        <v>52</v>
      </c>
      <c r="J53" t="s">
        <v>1885</v>
      </c>
      <c r="K53" t="s">
        <v>2360</v>
      </c>
      <c r="M53" t="s">
        <v>445</v>
      </c>
      <c r="N53" t="str">
        <f>Crops[[#This Row],[Crop]]</f>
        <v>Cabbage</v>
      </c>
      <c r="O53" t="s">
        <v>210</v>
      </c>
      <c r="P53" t="str">
        <f>IF(OR(Crops[[#This Row],[Days in Cells]]="",Crops[[#This Row],[Days in Cells]]=0), "DS","TP")</f>
        <v>TP</v>
      </c>
      <c r="R53" t="b">
        <v>1</v>
      </c>
      <c r="V53" t="str">
        <f xml:space="preserve"> IF(Crops[[#This Row],[Sp]], "Sp", "") &amp; IF(Crops[[#This Row],[Su]], "Su", "") &amp; IF(Crops[[#This Row],[Fa]], "Fa", "") &amp; IF(Crops[[#This Row],[Wi]], "Wi", "") &amp; IF(Crops[[#This Row],[OW]], "Ow","")</f>
        <v>Su</v>
      </c>
      <c r="W53" t="s">
        <v>144</v>
      </c>
      <c r="X53">
        <v>3</v>
      </c>
      <c r="Y53">
        <v>9</v>
      </c>
      <c r="AD53" s="32">
        <f>IFERROR(12/Crops[[#This Row],[Spacing]]*Crops[[#This Row],[Rows]]*BedLength,"")</f>
        <v>200</v>
      </c>
      <c r="AE53">
        <v>1</v>
      </c>
      <c r="AG53">
        <v>1.1000000000000001</v>
      </c>
      <c r="AH53">
        <v>2</v>
      </c>
      <c r="AI53" s="33">
        <f>IFERROR(Crops[[#This Row],[Plantings Per Bed]]*Crops[[#This Row],[Seeds Per Planting]]*Crops[[#This Row],[Safety Factor]]*Crops[[#This Row],[Seeding Factor]],"")</f>
        <v>440.00000000000006</v>
      </c>
      <c r="AL53">
        <f>_xlfn.FLOOR.MATH(IFERROR(AVERAGE(Crops[[#This Row],[DTG Lower]:[DTG Upper]]),0))</f>
        <v>0</v>
      </c>
      <c r="AM53">
        <f>SUM(Crops[[#This Row],[Tray 1 Days]],Crops[[#This Row],[Tray 2 Days]],Crops[[#This Row],[Tray 3 Days]])</f>
        <v>35</v>
      </c>
      <c r="AN53" s="32">
        <v>35</v>
      </c>
      <c r="AP53">
        <v>65</v>
      </c>
      <c r="AQ53">
        <f>IFERROR(_xlfn.FLOOR.MATH(AVERAGE(Crops[[#This Row],[DTM Lower]:[DTM Upper]])),"")</f>
        <v>65</v>
      </c>
      <c r="AR53" cm="1">
        <f t="array" ref="AR53">_xlfn.SWITCH(Crops[[#This Row],[Normal Method]],"DS",Crops[[#This Row],[Days to Germination]]+Crops[[#This Row],[DTM]] + IF(Crops[[#This Row],[Days in Cells]]&gt;0,15,0), "TP",Crops[[#This Row],[DTM]]+Crops[[#This Row],[Days in Cells]] + IF(Crops[[#This Row],[Days in Cells]]&lt;=0,20,0), "X", Crops[[#This Row],[DTM]])</f>
        <v>100</v>
      </c>
      <c r="AS53" t="s">
        <v>346</v>
      </c>
      <c r="AT53">
        <f>(Crops[[#This Row],[Harvests]]-1)*Crops[[#This Row],[Days Between Harvest]]+7</f>
        <v>7</v>
      </c>
      <c r="AU53">
        <f>Crops[[#This Row],[STH]]-Crops[[#This Row],[Days in Cells]]+Crops[[#This Row],[Harvest window]]</f>
        <v>72</v>
      </c>
      <c r="AX53">
        <v>400</v>
      </c>
      <c r="AY53">
        <v>7</v>
      </c>
      <c r="AZ53" s="49">
        <f>IFERROR(IF(Crops[[#This Row],[Tray 1 Days]]=0,"",Crops[[#This Row],[Plantings Per Bed]]/Crops[[#This Row],[Tray 1 Size]]*Crops[[#This Row],[Safety Factor]]),"")</f>
        <v>0.55000000000000004</v>
      </c>
      <c r="BA53">
        <v>72</v>
      </c>
      <c r="BB53">
        <v>28</v>
      </c>
      <c r="BC53">
        <f>IFERROR(IF(Crops[[#This Row],[Tray 2 Days]]=0,"",Crops[[#This Row],[Plantings Per Bed]]/Crops[[#This Row],[Tray 2 Size]]*Crops[[#This Row],[Safety Factor]]),"")</f>
        <v>3.0555555555555558</v>
      </c>
      <c r="BE53" s="32" t="str">
        <f>IF(NOT(ISBLANK(Crops[[#This Row],[Tray 3 Size]])), Crops[[#This Row],[Days in Cells Old]]-SUM(Crops[[#This Row],[Tray 1 Days]],Crops[[#This Row],[Tray 2 Days]]), "")</f>
        <v/>
      </c>
      <c r="BF53" t="str">
        <f>IFERROR(IF(Crops[[#This Row],[Tray 3 Days]]=0,"",Crops[[#This Row],[Plantings Per Bed]]/Crops[[#This Row],[Tray 3 Size]]*Crops[[#This Row],[Safety Factor]]),"")</f>
        <v/>
      </c>
      <c r="BG53" s="33">
        <f>Crops[[#This Row],[Plantings Per Bed]]/Crops[[#This Row],[Harvests]]</f>
        <v>200</v>
      </c>
      <c r="BH53" s="33">
        <v>1</v>
      </c>
      <c r="BI53" s="33">
        <v>7</v>
      </c>
      <c r="BJ53" s="33">
        <f>_xlfn.XLOOKUP(Crops[[#This Row],[ProductIndex]],Products[ID],Products[Holding Period])</f>
        <v>45</v>
      </c>
      <c r="BK53" s="33"/>
      <c r="BL53" s="33">
        <f>Crops[[#This Row],[Units Per Harvest]]*Crops[[#This Row],[Harvests]]</f>
        <v>200</v>
      </c>
      <c r="BM53" s="35">
        <f>5*1.1</f>
        <v>5.5</v>
      </c>
      <c r="BN53" s="35">
        <f>Crops[[#This Row],[Direct Price]]*0.6</f>
        <v>3.3</v>
      </c>
      <c r="BO53" s="35"/>
      <c r="BP53" t="s">
        <v>214</v>
      </c>
      <c r="BQ53">
        <f>Crops[[#This Row],[Custom Yield Per Bed]]*Crops[[#This Row],[Direct Price]]</f>
        <v>1100</v>
      </c>
      <c r="BR53" t="b">
        <v>1</v>
      </c>
      <c r="BS53" t="b">
        <f>Crops[[#This Row],[Harvests]]&gt;1</f>
        <v>0</v>
      </c>
      <c r="BT53" s="36">
        <f>IFERROR(Crops[[#This Row],[Direct Revenue Per Bed]]/Crops[[#This Row],[Days In Field]],-1)</f>
        <v>15.277777777777779</v>
      </c>
      <c r="BU53" s="36">
        <f>IFERROR(Crops[[#This Row],[Direct Revenue Per Bed Day]]*GrowingDays*BedsPerAcre,"")</f>
        <v>440000</v>
      </c>
      <c r="BV53" s="38">
        <f>LastFrostDate-5*Crops[[#This Row],[Sewing Rel Last Frost]]</f>
        <v>45713</v>
      </c>
      <c r="BW53" s="38">
        <f>Crops[[#This Row],[Target Sewing Date]]+Crops[[#This Row],[Days in Cells]]</f>
        <v>45748</v>
      </c>
      <c r="BX53" s="38">
        <f>Crops[[#This Row],[Target Sewing Date]]+Crops[[#This Row],[STH]]</f>
        <v>45813</v>
      </c>
      <c r="BY53" s="38">
        <f>Crops[[#This Row],[Target Harvest Data]]+Crops[[#This Row],[Harvest window]]</f>
        <v>45820</v>
      </c>
      <c r="BZ53">
        <v>7</v>
      </c>
      <c r="CA53" t="s">
        <v>482</v>
      </c>
      <c r="CB53">
        <f>1</f>
        <v>1</v>
      </c>
      <c r="CC53">
        <f>IF(Crops[[#This Row],[Transplanting]]&gt;0, 2, 3)*BedLength/StandardBedLength</f>
        <v>1</v>
      </c>
      <c r="CD53" s="173">
        <f>IF(Crops[[#This Row],[Days in Cells]]&lt;=0,0,Crops[[#This Row],[Plantings Per Bed]]/StartsPerHourSeeding+Crops[[#This Row],[Tray 1 Count]]*5/60)</f>
        <v>0.82708333333333328</v>
      </c>
      <c r="CE53" s="173">
        <f>IF(ISBLANK(Crops[[#This Row],[Tray 2 Days]]),0,Crops[[#This Row],[Plantings Per Bed]]/UpPottingPerHour)+IF(Crops[[#This Row],[Tray 3 Days]]="",0,Crops[[#This Row],[Plantings Per Bed]]/UpPottingPerHour)</f>
        <v>1.6666666666666667</v>
      </c>
      <c r="CF53" s="173">
        <f>IFERROR(Crops[[#This Row],[Tray 1 Count]]/HomeStartFlatIrrigationPerHour,0)*Crops[[#This Row],[Days in Cells]]/DaysBetweenStartIrrigation</f>
        <v>8.020833333333334E-2</v>
      </c>
      <c r="CG53" s="173">
        <f>0.5/16*MAX(Crops[[#This Row],[Tray 1 Count]],Crops[[#This Row],[Tray 2 Count]],Crops[[#This Row],[Tray 3 Count]])</f>
        <v>9.5486111111111119E-2</v>
      </c>
      <c r="CH53" s="173">
        <f>IF(Crops[[#This Row],[Days in Cells]]&gt;0,IF(IF(Crops[[#This Row],[Tray 3 Size]]&gt;0,Crops[[#This Row],[Tray 3 Size]],IF(Crops[[#This Row],[Tray 2 Size]]&gt;0,Crops[[#This Row],[Tray 2 Size]],Crops[[#This Row],[Tray 1 Size]]))&lt;=18,LargeTransplantTime,SmallTransplantTime)*Crops[[#This Row],[Plantings Per Bed]],0)</f>
        <v>1</v>
      </c>
      <c r="CI53" s="173"/>
      <c r="CJ53" s="173">
        <f>_xlfn.XLOOKUP(Crops[[#This Row],[Trellis Type]],TrellisMethods[Trellis Type],TrellisMethods[Hours],0,0)</f>
        <v>0</v>
      </c>
      <c r="CK53">
        <f>IF(Crops[[#This Row],[Days in Cells]]&lt;=0,Crops[[#This Row],[Rows]]*1/10,0)*BedLength/50</f>
        <v>0</v>
      </c>
      <c r="CL53" cm="1">
        <f t="array" ref="CL53">_xlfn.SWITCH(Crops[[#This Row],[Irrigation]],"DR", 0.5, "OH", 0.25,0)*BedLength/50</f>
        <v>0</v>
      </c>
      <c r="CM53">
        <f>IF(OR(ISBLANK(Crops[[#This Row],[Row Cover]]),Crops[[#This Row],[Row Cover]]="None"),0,1)*BedLength/50</f>
        <v>0</v>
      </c>
      <c r="CN53" s="173">
        <f>HoursPerWeedingPass*Crops[[#This Row],[Days In Field]]/14*Crops[[#This Row],[Rows]]+1*BedLength/50</f>
        <v>3.5714285714285712</v>
      </c>
      <c r="CO53" s="49">
        <v>1</v>
      </c>
      <c r="CQ53" s="37">
        <f>_xlfn.XLOOKUP(Crops[[#This Row],[Crop]]&amp;Crops[[#This Row],[Product]]&amp;Crops[[#This Row],[Unit]],Products[ID],Products[Marketing (hr)])*Crops[[#This Row],[Direct Revenue Per Bed]]/2000</f>
        <v>1.1000000000000001</v>
      </c>
      <c r="CR53" s="37">
        <f>_xlfn.XLOOKUP(Crops[[#This Row],[Crop]]&amp;Crops[[#This Row],[Product]]&amp;Crops[[#This Row],[Unit]],Products[ID],Products[Harvest (s)])*Crops[[#This Row],[Custom Yield Per Bed]]/3600</f>
        <v>0.55555555555555558</v>
      </c>
      <c r="CS53" s="37">
        <f>_xlfn.XLOOKUP(Crops[[#This Row],[Crop]]&amp;Crops[[#This Row],[Product]]&amp;Crops[[#This Row],[Unit]],Products[ID],Products[Bunch (s)])*Crops[[#This Row],[Custom Yield Per Bed]]/3600</f>
        <v>0</v>
      </c>
      <c r="CT53" s="37">
        <f>_xlfn.XLOOKUP(Crops[[#This Row],[Crop]]&amp;Crops[[#This Row],[Product]]&amp;Crops[[#This Row],[Unit]],Products[ID],Products[Haul (s)])*Crops[[#This Row],[Custom Yield Per Bed]]/3600</f>
        <v>0.625</v>
      </c>
      <c r="CU53" s="37">
        <f>_xlfn.XLOOKUP(Crops[[#This Row],[Crop]]&amp;Crops[[#This Row],[Product]]&amp;Crops[[#This Row],[Unit]],Products[ID],Products[Wash (s)])*Crops[[#This Row],[Custom Yield Per Bed]]/3600</f>
        <v>0.27777777777777779</v>
      </c>
      <c r="CV53" s="37">
        <f>_xlfn.XLOOKUP(Crops[[#This Row],[Crop]]&amp;Crops[[#This Row],[Product]]&amp;Crops[[#This Row],[Unit]],Products[ID],Products[Condition (s)])*Crops[[#This Row],[Custom Yield Per Bed]]/3600</f>
        <v>0</v>
      </c>
      <c r="CW53" s="37">
        <f>_xlfn.XLOOKUP(Crops[[#This Row],[Crop]]&amp;Crops[[#This Row],[Product]]&amp;Crops[[#This Row],[Unit]],Products[ID],Products[Trim (s)])*Crops[[#This Row],[Custom Yield Per Bed]]/3600</f>
        <v>0.55555555555555558</v>
      </c>
      <c r="CX53" s="37">
        <f>_xlfn.XLOOKUP(Crops[[#This Row],[Crop]]&amp;Crops[[#This Row],[Product]]&amp;Crops[[#This Row],[Unit]],Products[ID],Products[Pack (s)])*Crops[[#This Row],[Custom Yield Per Bed]]/3600</f>
        <v>0.16666666666666666</v>
      </c>
      <c r="CY53" s="37">
        <f>_xlfn.XLOOKUP(Crops[[#This Row],[Crop]]&amp;Crops[[#This Row],[Product]]&amp;Crops[[#This Row],[Unit]],Products[ID],Products[Clean (s)])*Crops[[#This Row],[Custom Yield Per Bed]]/3600</f>
        <v>0</v>
      </c>
      <c r="CZ53" s="37">
        <f>_xlfn.XLOOKUP(Crops[[#This Row],[Crop]]&amp;Crops[[#This Row],[Product]]&amp;Crops[[#This Row],[Unit]],Products[ID],Products[Rehandle (s)])*Crops[[#This Row],[Custom Yield Per Bed]]/3600</f>
        <v>0</v>
      </c>
      <c r="DA53" s="37">
        <f>_xlfn.XLOOKUP(Crops[[#This Row],[Crop]]&amp;Crops[[#This Row],[Product]]&amp;Crops[[#This Row],[Unit]],Products[ID],Products[Market Transport (s)])*Crops[[#This Row],[Custom Yield Per Bed]]/3600</f>
        <v>1.5625</v>
      </c>
      <c r="DC53" s="37">
        <f>Crops[[#This Row],[Direct Revenue Per Bed2]]</f>
        <v>1100</v>
      </c>
      <c r="DD53" s="173">
        <f>_xlfn.AGGREGATE(9,6,Crops[[#This Row],[Bed Prep]:[Remove Crop Residue]])</f>
        <v>14.08392857142857</v>
      </c>
      <c r="DE53" s="173">
        <f>_xlfn.AGGREGATE(9,6,Crops[[#This Row],[Bed Prep]:[Remove Crop Residue]])-0.75*Crops[[#This Row],[Market &amp; Sell]]</f>
        <v>13.258928571428571</v>
      </c>
      <c r="DF53" s="36">
        <f>Crops[[#This Row],[Direct Revenue Per Bed2]]/Crops[[#This Row],[Direct Time]]</f>
        <v>78.103207810320782</v>
      </c>
      <c r="DG53" s="36">
        <f>_xlfn.XLOOKUP(Crops[[#This Row],[ProductIndex]],Products[ID],Products[Packaging Cost])*(Crops[[#This Row],[Custom Yield Per Bed]]/_xlfn.XLOOKUP(Crops[[#This Row],[ProductIndex]],Products[ID],Products[Units Per Pack]))</f>
        <v>95</v>
      </c>
      <c r="DH53" s="36"/>
      <c r="DI53" s="36"/>
      <c r="DJ53" s="36"/>
      <c r="DK53" s="36"/>
      <c r="DL53" s="36"/>
      <c r="DM53" s="33">
        <f>IFERROR(Crops[[#This Row],[Custom Yield Per Bed]]*Crops[[#This Row],[Direct Price]],"")</f>
        <v>1100</v>
      </c>
      <c r="DN53" s="36">
        <f>Crops[[#This Row],[Direct Time]]*LaborRate</f>
        <v>352.09821428571428</v>
      </c>
      <c r="DO53" s="36">
        <f>SUM(Crops[[#This Row],[Irrigation Cost]])</f>
        <v>0</v>
      </c>
      <c r="DP53" s="36">
        <f>Crops[[#This Row],[Direct Labor Cost]]+Crops[[#This Row],[Direct Non-Labor Cost]]</f>
        <v>352.09821428571428</v>
      </c>
      <c r="DQ53" s="36">
        <f>Crops[[#This Row],[Direct Revenue Per Bed2]]-Crops[[#This Row],[Direct Total Cost]]</f>
        <v>747.90178571428578</v>
      </c>
      <c r="DR53" s="36">
        <f>Crops[[#This Row],[Direct Profit]]*BedsPerAcre</f>
        <v>119664.28571428572</v>
      </c>
      <c r="DS53" s="36">
        <f>Crops[[#This Row],[Direct Profit]]*BedsPerAcre*GrowingDays/Crops[[#This Row],[Days In Field]]</f>
        <v>299160.71428571432</v>
      </c>
      <c r="DT53" s="36">
        <f>Crops[[#This Row],[Direct Profit]]/MIN(Crops[[#This Row],[Days In Field]],GrowingDays)</f>
        <v>10.387524801587302</v>
      </c>
      <c r="DU53" s="33">
        <f>Crops[[#This Row],[Direct Time]] * BedsPerAcre</f>
        <v>2253.4285714285711</v>
      </c>
      <c r="DV53" s="36">
        <f>(Crops[[#This Row],[Direct Revenue Per Bed2]]-Crops[[#This Row],[Direct Non-Labor Cost]])/Crops[[#This Row],[Direct Time]]</f>
        <v>78.103207810320782</v>
      </c>
      <c r="DW53" s="33">
        <f>IFERROR(Crops[[#This Row],[Custom Yield Per Bed]]*Crops[[#This Row],[Rough Wholesale Price]],"")</f>
        <v>660</v>
      </c>
      <c r="DX53" s="36">
        <f>Crops[[#This Row],[Wholesale Time]]*LaborRate</f>
        <v>331.47321428571428</v>
      </c>
      <c r="DY53" s="36">
        <f>SUM(Crops[[#This Row],[Packaging Costs]:[Irrigation Cost]])</f>
        <v>95</v>
      </c>
      <c r="DZ53" s="36">
        <f>Crops[[#This Row],[Wholesale Labor Cost]]+Crops[[#This Row],[Wholesale Non-Labor Cost]]</f>
        <v>426.47321428571428</v>
      </c>
      <c r="EA53" s="36">
        <f>Crops[[#This Row],[Wholesale Revenue Per Bed]]-Crops[[#This Row],[Wholesale Total Cost]]</f>
        <v>233.52678571428572</v>
      </c>
      <c r="EB53" s="36">
        <f>Crops[[#This Row],[Wholesale Profit]]*BedsPerAcre</f>
        <v>37364.285714285717</v>
      </c>
      <c r="EC53" s="36">
        <f>Crops[[#This Row],[Wholesale Profit]]*BedsPerAcre*GrowingDays/Crops[[#This Row],[Days In Field]]</f>
        <v>93410.71428571429</v>
      </c>
      <c r="ED53" s="33">
        <f>Crops[[#This Row],[Wholesale Time]] * BedsPerAcre</f>
        <v>2121.4285714285716</v>
      </c>
      <c r="EE53" s="221">
        <f>Crops[[#This Row],[Wholesale Profit]]/MIN(Crops[[#This Row],[Days In Field]],GrowingDays)</f>
        <v>3.2434275793650795</v>
      </c>
      <c r="EF53" s="36">
        <f>(Crops[[#This Row],[Wholesale Revenue Per Bed]]-Crops[[#This Row],[Wholesale Non-Labor Cost]])/Crops[[#This Row],[Direct Time]]</f>
        <v>40.116647648028405</v>
      </c>
      <c r="EG53" s="174">
        <f>Crops[[#This Row],[Packaging Costs]]/Crops[[#This Row],[Wholesale Revenue Per Bed]]</f>
        <v>0.14393939393939395</v>
      </c>
      <c r="EH53" s="36" t="str">
        <f>Crops[[#This Row],[Crop]]&amp;Crops[[#This Row],[Product]]&amp;Crops[[#This Row],[Unit]]</f>
        <v>CabbageLarge HeadHead</v>
      </c>
      <c r="EI53" s="36" t="b">
        <f>_xlfn.XLOOKUP(Crops[[#This Row],[ProductIndex]],Products[ID],Products[Target])</f>
        <v>1</v>
      </c>
      <c r="EJ53" s="33">
        <f>Crops[[#This Row],[Custom Yield Per Bed]]</f>
        <v>200</v>
      </c>
      <c r="EK53" s="210">
        <f>Crops[[#This Row],[Units Per Harvest]]/Crops[[#This Row],[Days Between Harvest]]*7</f>
        <v>200</v>
      </c>
      <c r="EL53" s="210">
        <f>Crops[[#This Row],[Custom Yield Per Bed]]/_xlfn.XLOOKUP(Crops[[#This Row],[ProductIndex]],Products[ID],Products[CSA Portion])</f>
        <v>200</v>
      </c>
      <c r="EM53" s="210">
        <f>Crops[[#This Row],[Units Per Harvest]]/Crops[[#This Row],[Days Between Harvest]]*7/_xlfn.XLOOKUP(Crops[[#This Row],[ProductIndex]],Products[ID],Products[CSA Portion])</f>
        <v>200</v>
      </c>
      <c r="EN53" s="210">
        <f>Crops[[#This Row],[CSA Portions Per Week]]/CSAMembers</f>
        <v>4</v>
      </c>
      <c r="EO53" s="216"/>
      <c r="EP53" s="216"/>
      <c r="EQ53" s="210"/>
      <c r="ER53" s="210">
        <f>Crops[[#This Row],[Harvests]]*Crops[[#This Row],[Days Between Harvest]]/7</f>
        <v>1</v>
      </c>
      <c r="ES53" s="217">
        <f>_xlfn.XLOOKUP(Crops[[#This Row],[ProductIndex]],Products[ID],Products[CSA Need])</f>
        <v>2</v>
      </c>
      <c r="ET53" s="217">
        <f>_xlfn.XLOOKUP(Crops[[#This Row],[ProductIndex]],Products[ID],Products[CSA Times])</f>
        <v>2</v>
      </c>
      <c r="EU53" s="208">
        <f>Crops[[#This Row],[Custom Yield Per Bed]]/(Crops[[#This Row],[CSA Need]]*(_xlfn.XLOOKUP(Crops[[#This Row],[ProductIndex]],Products[ID],Products[CSA Portion])*CSAMembers))</f>
        <v>2</v>
      </c>
      <c r="EV53" s="208">
        <f>_xlfn.XLOOKUP(Crops[[#This Row],[ProductIndex]],Products[ID],Products[CSA Portion])*CSAMembers*Crops[[#This Row],[CSA Need]]/Crops[[#This Row],[Custom Yield Per Bed]]</f>
        <v>0.5</v>
      </c>
      <c r="EW53" s="208">
        <f>IFERROR(Crops[[#This Row],[Days In Field]]*Crops[[#This Row],[CSA Beds]],"")</f>
        <v>36</v>
      </c>
      <c r="EX53" s="208" t="e">
        <f>Crops[[#This Row],[CSA Bed Days]]*#REF!</f>
        <v>#REF!</v>
      </c>
      <c r="EY53" t="s">
        <v>314</v>
      </c>
    </row>
    <row r="54" spans="1:158">
      <c r="A5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Mid 12") - Large Head 1X | Field TP Su</v>
      </c>
      <c r="B54" s="191"/>
      <c r="C54" s="1" t="b">
        <v>1</v>
      </c>
      <c r="D54" s="1"/>
      <c r="E54" s="1" t="b">
        <v>0</v>
      </c>
      <c r="F54" s="1" t="b">
        <f>IFERROR(IF(ISNUMBER(MATCH(Crops[[#This Row],[Identifier]],BedPlan[Crop], 0)), TRUE, FALSE), FALSE)</f>
        <v>0</v>
      </c>
      <c r="G54" s="1" t="b">
        <f>IFERROR(IF(ISNUMBER(MATCH(Crops[[#This Row],[Identifier]],BedPlan[Crop], 0)), TRUE, FALSE), FALSE)</f>
        <v>0</v>
      </c>
      <c r="H54" s="1"/>
      <c r="I54" t="s">
        <v>52</v>
      </c>
      <c r="J54" t="s">
        <v>1911</v>
      </c>
      <c r="K54" t="s">
        <v>2360</v>
      </c>
      <c r="M54" t="s">
        <v>445</v>
      </c>
      <c r="N54" t="str">
        <f>Crops[[#This Row],[Crop]]</f>
        <v>Cabbage</v>
      </c>
      <c r="O54" t="s">
        <v>210</v>
      </c>
      <c r="P54" t="str">
        <f>IF(OR(Crops[[#This Row],[Days in Cells]]="",Crops[[#This Row],[Days in Cells]]=0), "DS","TP")</f>
        <v>TP</v>
      </c>
      <c r="R54" t="b">
        <v>1</v>
      </c>
      <c r="V54" t="str">
        <f xml:space="preserve"> IF(Crops[[#This Row],[Sp]], "Sp", "") &amp; IF(Crops[[#This Row],[Su]], "Su", "") &amp; IF(Crops[[#This Row],[Fa]], "Fa", "") &amp; IF(Crops[[#This Row],[Wi]], "Wi", "") &amp; IF(Crops[[#This Row],[OW]], "Ow","")</f>
        <v>Su</v>
      </c>
      <c r="W54" t="s">
        <v>144</v>
      </c>
      <c r="X54">
        <v>2</v>
      </c>
      <c r="Y54">
        <v>12</v>
      </c>
      <c r="AB54" t="b">
        <v>1</v>
      </c>
      <c r="AD54" s="32">
        <f>IFERROR(12/Crops[[#This Row],[Spacing]]*Crops[[#This Row],[Rows]]*BedLength,"")</f>
        <v>100</v>
      </c>
      <c r="AE54">
        <v>1</v>
      </c>
      <c r="AG54">
        <v>1.1000000000000001</v>
      </c>
      <c r="AH54">
        <v>2</v>
      </c>
      <c r="AI54" s="33">
        <f>IFERROR(Crops[[#This Row],[Plantings Per Bed]]*Crops[[#This Row],[Seeds Per Planting]]*Crops[[#This Row],[Safety Factor]]*Crops[[#This Row],[Seeding Factor]],"")</f>
        <v>220.00000000000003</v>
      </c>
      <c r="AL54">
        <f>_xlfn.FLOOR.MATH(IFERROR(AVERAGE(Crops[[#This Row],[DTG Lower]:[DTG Upper]]),0))</f>
        <v>0</v>
      </c>
      <c r="AM54">
        <f>SUM(Crops[[#This Row],[Tray 1 Days]],Crops[[#This Row],[Tray 2 Days]],Crops[[#This Row],[Tray 3 Days]])</f>
        <v>35</v>
      </c>
      <c r="AN54" s="32">
        <v>35</v>
      </c>
      <c r="AP54">
        <v>65</v>
      </c>
      <c r="AQ54">
        <f>IFERROR(_xlfn.FLOOR.MATH(AVERAGE(Crops[[#This Row],[DTM Lower]:[DTM Upper]])),"")</f>
        <v>65</v>
      </c>
      <c r="AR54" cm="1">
        <f t="array" ref="AR54">_xlfn.SWITCH(Crops[[#This Row],[Normal Method]],"DS",Crops[[#This Row],[Days to Germination]]+Crops[[#This Row],[DTM]] + IF(Crops[[#This Row],[Days in Cells]]&gt;0,15,0), "TP",Crops[[#This Row],[DTM]]+Crops[[#This Row],[Days in Cells]] + IF(Crops[[#This Row],[Days in Cells]]&lt;=0,20,0), "X", Crops[[#This Row],[DTM]])</f>
        <v>100</v>
      </c>
      <c r="AS54" t="s">
        <v>346</v>
      </c>
      <c r="AT54">
        <f>(Crops[[#This Row],[Harvests]]-1)*Crops[[#This Row],[Days Between Harvest]]+7</f>
        <v>7</v>
      </c>
      <c r="AU54">
        <f>Crops[[#This Row],[STH]]-Crops[[#This Row],[Days in Cells]]+Crops[[#This Row],[Harvest window]]</f>
        <v>72</v>
      </c>
      <c r="AX54">
        <v>400</v>
      </c>
      <c r="AY54">
        <v>7</v>
      </c>
      <c r="AZ54" s="49">
        <f>IFERROR(IF(Crops[[#This Row],[Tray 1 Days]]=0,"",Crops[[#This Row],[Plantings Per Bed]]/Crops[[#This Row],[Tray 1 Size]]*Crops[[#This Row],[Safety Factor]]),"")</f>
        <v>0.27500000000000002</v>
      </c>
      <c r="BA54">
        <v>72</v>
      </c>
      <c r="BB54">
        <v>28</v>
      </c>
      <c r="BC54">
        <f>IFERROR(IF(Crops[[#This Row],[Tray 2 Days]]=0,"",Crops[[#This Row],[Plantings Per Bed]]/Crops[[#This Row],[Tray 2 Size]]*Crops[[#This Row],[Safety Factor]]),"")</f>
        <v>1.5277777777777779</v>
      </c>
      <c r="BE54" s="32" t="str">
        <f>IF(NOT(ISBLANK(Crops[[#This Row],[Tray 3 Size]])), Crops[[#This Row],[Days in Cells Old]]-SUM(Crops[[#This Row],[Tray 1 Days]],Crops[[#This Row],[Tray 2 Days]]), "")</f>
        <v/>
      </c>
      <c r="BF54" t="str">
        <f>IFERROR(IF(Crops[[#This Row],[Tray 3 Days]]=0,"",Crops[[#This Row],[Plantings Per Bed]]/Crops[[#This Row],[Tray 3 Size]]*Crops[[#This Row],[Safety Factor]]),"")</f>
        <v/>
      </c>
      <c r="BG54" s="33">
        <f>Crops[[#This Row],[Plantings Per Bed]]/Crops[[#This Row],[Harvests]]</f>
        <v>100</v>
      </c>
      <c r="BH54" s="33">
        <v>1</v>
      </c>
      <c r="BI54" s="33">
        <v>7</v>
      </c>
      <c r="BJ54" s="33">
        <f>_xlfn.XLOOKUP(Crops[[#This Row],[ProductIndex]],Products[ID],Products[Holding Period])</f>
        <v>45</v>
      </c>
      <c r="BK54" s="33"/>
      <c r="BL54" s="33">
        <f>Crops[[#This Row],[Units Per Harvest]]*Crops[[#This Row],[Harvests]]</f>
        <v>100</v>
      </c>
      <c r="BM54" s="35">
        <f>6*1.1</f>
        <v>6.6000000000000005</v>
      </c>
      <c r="BN54" s="35">
        <f>6*1.1</f>
        <v>6.6000000000000005</v>
      </c>
      <c r="BO54" s="35"/>
      <c r="BP54" t="s">
        <v>214</v>
      </c>
      <c r="BQ54">
        <f>Crops[[#This Row],[Custom Yield Per Bed]]*Crops[[#This Row],[Direct Price]]</f>
        <v>660</v>
      </c>
      <c r="BR54" t="b">
        <v>1</v>
      </c>
      <c r="BS54" t="b">
        <f>Crops[[#This Row],[Harvests]]&gt;1</f>
        <v>0</v>
      </c>
      <c r="BT54" s="36">
        <f>IFERROR(Crops[[#This Row],[Direct Revenue Per Bed]]/Crops[[#This Row],[Days In Field]],-1)</f>
        <v>9.1666666666666661</v>
      </c>
      <c r="BU54" s="36">
        <f>IFERROR(Crops[[#This Row],[Direct Revenue Per Bed Day]]*GrowingDays*BedsPerAcre,"")</f>
        <v>264000</v>
      </c>
      <c r="BV54" s="38">
        <f>LastFrostDate-5*Crops[[#This Row],[Sewing Rel Last Frost]]</f>
        <v>45733</v>
      </c>
      <c r="BW54" s="38">
        <f>Crops[[#This Row],[Target Sewing Date]]+Crops[[#This Row],[Days in Cells]]</f>
        <v>45768</v>
      </c>
      <c r="BX54" s="38">
        <f>Crops[[#This Row],[Target Sewing Date]]+Crops[[#This Row],[STH]]</f>
        <v>45833</v>
      </c>
      <c r="BY54" s="38">
        <f>Crops[[#This Row],[Target Harvest Data]]+Crops[[#This Row],[Harvest window]]</f>
        <v>45840</v>
      </c>
      <c r="BZ54">
        <v>3</v>
      </c>
      <c r="CA54" t="s">
        <v>482</v>
      </c>
      <c r="CB54">
        <f>1</f>
        <v>1</v>
      </c>
      <c r="CC54">
        <f>IF(Crops[[#This Row],[Transplanting]]&gt;0, 2, 3)*BedLength/StandardBedLength</f>
        <v>1</v>
      </c>
      <c r="CD54" s="173">
        <f>IF(Crops[[#This Row],[Days in Cells]]&lt;=0,0,Crops[[#This Row],[Plantings Per Bed]]/StartsPerHourSeeding+Crops[[#This Row],[Tray 1 Count]]*5/60)</f>
        <v>0.41354166666666664</v>
      </c>
      <c r="CE54" s="173">
        <f>IF(ISBLANK(Crops[[#This Row],[Tray 2 Days]]),0,Crops[[#This Row],[Plantings Per Bed]]/UpPottingPerHour)+IF(Crops[[#This Row],[Tray 3 Days]]="",0,Crops[[#This Row],[Plantings Per Bed]]/UpPottingPerHour)</f>
        <v>0.83333333333333337</v>
      </c>
      <c r="CF54" s="173">
        <f>IFERROR(Crops[[#This Row],[Tray 1 Count]]/HomeStartFlatIrrigationPerHour,0)*Crops[[#This Row],[Days in Cells]]/DaysBetweenStartIrrigation</f>
        <v>4.010416666666667E-2</v>
      </c>
      <c r="CG54" s="173">
        <f>0.5/16*MAX(Crops[[#This Row],[Tray 1 Count]],Crops[[#This Row],[Tray 2 Count]],Crops[[#This Row],[Tray 3 Count]])</f>
        <v>4.7743055555555559E-2</v>
      </c>
      <c r="CH54" s="173">
        <f>IF(Crops[[#This Row],[Days in Cells]]&gt;0,IF(IF(Crops[[#This Row],[Tray 3 Size]]&gt;0,Crops[[#This Row],[Tray 3 Size]],IF(Crops[[#This Row],[Tray 2 Size]]&gt;0,Crops[[#This Row],[Tray 2 Size]],Crops[[#This Row],[Tray 1 Size]]))&lt;=18,LargeTransplantTime,SmallTransplantTime)*Crops[[#This Row],[Plantings Per Bed]],0)</f>
        <v>0.5</v>
      </c>
      <c r="CI54" s="173"/>
      <c r="CJ54" s="173">
        <f>_xlfn.XLOOKUP(Crops[[#This Row],[Trellis Type]],TrellisMethods[Trellis Type],TrellisMethods[Hours],0,0)</f>
        <v>0</v>
      </c>
      <c r="CK54">
        <f>IF(Crops[[#This Row],[Days in Cells]]&lt;=0,Crops[[#This Row],[Rows]]*1/10,0)*BedLength/50</f>
        <v>0</v>
      </c>
      <c r="CL54" cm="1">
        <f t="array" ref="CL54">_xlfn.SWITCH(Crops[[#This Row],[Irrigation]],"DR", 0.5, "OH", 0.25,0)*BedLength/50</f>
        <v>0</v>
      </c>
      <c r="CM54">
        <f>IF(OR(ISBLANK(Crops[[#This Row],[Row Cover]]),Crops[[#This Row],[Row Cover]]="None"),0,1)*BedLength/50</f>
        <v>0</v>
      </c>
      <c r="CN54" s="173">
        <f>HoursPerWeedingPass*Crops[[#This Row],[Days In Field]]/14*Crops[[#This Row],[Rows]]+1*BedLength/50</f>
        <v>2.7142857142857144</v>
      </c>
      <c r="CO54" s="49">
        <f t="shared" ref="CO54:CO62" si="0">1*BedLength/50</f>
        <v>1</v>
      </c>
      <c r="CQ54" s="37">
        <f>_xlfn.XLOOKUP(Crops[[#This Row],[Crop]]&amp;Crops[[#This Row],[Product]]&amp;Crops[[#This Row],[Unit]],Products[ID],Products[Marketing (hr)])*Crops[[#This Row],[Direct Revenue Per Bed]]/2000</f>
        <v>0.66</v>
      </c>
      <c r="CR54" s="37">
        <f>_xlfn.XLOOKUP(Crops[[#This Row],[Crop]]&amp;Crops[[#This Row],[Product]]&amp;Crops[[#This Row],[Unit]],Products[ID],Products[Harvest (s)])*Crops[[#This Row],[Custom Yield Per Bed]]/3600</f>
        <v>0.27777777777777779</v>
      </c>
      <c r="CS54" s="37">
        <f>_xlfn.XLOOKUP(Crops[[#This Row],[Crop]]&amp;Crops[[#This Row],[Product]]&amp;Crops[[#This Row],[Unit]],Products[ID],Products[Bunch (s)])*Crops[[#This Row],[Custom Yield Per Bed]]/3600</f>
        <v>0</v>
      </c>
      <c r="CT54" s="37">
        <f>_xlfn.XLOOKUP(Crops[[#This Row],[Crop]]&amp;Crops[[#This Row],[Product]]&amp;Crops[[#This Row],[Unit]],Products[ID],Products[Haul (s)])*Crops[[#This Row],[Custom Yield Per Bed]]/3600</f>
        <v>0.3125</v>
      </c>
      <c r="CU54" s="37">
        <f>_xlfn.XLOOKUP(Crops[[#This Row],[Crop]]&amp;Crops[[#This Row],[Product]]&amp;Crops[[#This Row],[Unit]],Products[ID],Products[Wash (s)])*Crops[[#This Row],[Custom Yield Per Bed]]/3600</f>
        <v>0.1388888888888889</v>
      </c>
      <c r="CV54" s="37">
        <f>_xlfn.XLOOKUP(Crops[[#This Row],[Crop]]&amp;Crops[[#This Row],[Product]]&amp;Crops[[#This Row],[Unit]],Products[ID],Products[Condition (s)])*Crops[[#This Row],[Custom Yield Per Bed]]/3600</f>
        <v>0</v>
      </c>
      <c r="CW54" s="37">
        <f>_xlfn.XLOOKUP(Crops[[#This Row],[Crop]]&amp;Crops[[#This Row],[Product]]&amp;Crops[[#This Row],[Unit]],Products[ID],Products[Trim (s)])*Crops[[#This Row],[Custom Yield Per Bed]]/3600</f>
        <v>0.27777777777777779</v>
      </c>
      <c r="CX54" s="37">
        <f>_xlfn.XLOOKUP(Crops[[#This Row],[Crop]]&amp;Crops[[#This Row],[Product]]&amp;Crops[[#This Row],[Unit]],Products[ID],Products[Pack (s)])*Crops[[#This Row],[Custom Yield Per Bed]]/3600</f>
        <v>8.3333333333333329E-2</v>
      </c>
      <c r="CY54" s="37">
        <f>_xlfn.XLOOKUP(Crops[[#This Row],[Crop]]&amp;Crops[[#This Row],[Product]]&amp;Crops[[#This Row],[Unit]],Products[ID],Products[Clean (s)])*Crops[[#This Row],[Custom Yield Per Bed]]/3600</f>
        <v>0</v>
      </c>
      <c r="CZ54" s="37">
        <f>_xlfn.XLOOKUP(Crops[[#This Row],[Crop]]&amp;Crops[[#This Row],[Product]]&amp;Crops[[#This Row],[Unit]],Products[ID],Products[Rehandle (s)])*Crops[[#This Row],[Custom Yield Per Bed]]/3600</f>
        <v>0</v>
      </c>
      <c r="DA54" s="37">
        <f>_xlfn.XLOOKUP(Crops[[#This Row],[Crop]]&amp;Crops[[#This Row],[Product]]&amp;Crops[[#This Row],[Unit]],Products[ID],Products[Market Transport (s)])*Crops[[#This Row],[Custom Yield Per Bed]]/3600</f>
        <v>0.78125</v>
      </c>
      <c r="DC54" s="37">
        <f>Crops[[#This Row],[Direct Revenue Per Bed2]]</f>
        <v>660</v>
      </c>
      <c r="DD54" s="173">
        <f>_xlfn.AGGREGATE(9,6,Crops[[#This Row],[Bed Prep]:[Remove Crop Residue]])</f>
        <v>9.0805357142857162</v>
      </c>
      <c r="DE54" s="173">
        <f>_xlfn.AGGREGATE(9,6,Crops[[#This Row],[Bed Prep]:[Remove Crop Residue]])-0.75*Crops[[#This Row],[Market &amp; Sell]]</f>
        <v>8.5855357142857169</v>
      </c>
      <c r="DF54" s="36">
        <f>Crops[[#This Row],[Direct Revenue Per Bed2]]/Crops[[#This Row],[Direct Time]]</f>
        <v>72.682936422095906</v>
      </c>
      <c r="DG54" s="36">
        <f>_xlfn.XLOOKUP(Crops[[#This Row],[ProductIndex]],Products[ID],Products[Packaging Cost])*(Crops[[#This Row],[Custom Yield Per Bed]]/_xlfn.XLOOKUP(Crops[[#This Row],[ProductIndex]],Products[ID],Products[Units Per Pack]))</f>
        <v>47.5</v>
      </c>
      <c r="DH54" s="36"/>
      <c r="DI54" s="36"/>
      <c r="DJ54" s="36"/>
      <c r="DK54" s="36"/>
      <c r="DL54" s="36"/>
      <c r="DM54" s="33">
        <f>IFERROR(Crops[[#This Row],[Custom Yield Per Bed]]*Crops[[#This Row],[Direct Price]],"")</f>
        <v>660</v>
      </c>
      <c r="DN54" s="36">
        <f>Crops[[#This Row],[Direct Time]]*LaborRate</f>
        <v>227.01339285714289</v>
      </c>
      <c r="DO54" s="36">
        <f>SUM(Crops[[#This Row],[Irrigation Cost]])</f>
        <v>0</v>
      </c>
      <c r="DP54" s="36">
        <f>Crops[[#This Row],[Direct Labor Cost]]+Crops[[#This Row],[Direct Non-Labor Cost]]</f>
        <v>227.01339285714289</v>
      </c>
      <c r="DQ54" s="36">
        <f>Crops[[#This Row],[Direct Revenue Per Bed2]]-Crops[[#This Row],[Direct Total Cost]]</f>
        <v>432.98660714285711</v>
      </c>
      <c r="DR54" s="36">
        <f>Crops[[#This Row],[Direct Profit]]*BedsPerAcre</f>
        <v>69277.85714285713</v>
      </c>
      <c r="DS54" s="36">
        <f>Crops[[#This Row],[Direct Profit]]*BedsPerAcre*GrowingDays/Crops[[#This Row],[Days In Field]]</f>
        <v>173194.64285714284</v>
      </c>
      <c r="DT54" s="36">
        <f>Crops[[#This Row],[Direct Profit]]/MIN(Crops[[#This Row],[Days In Field]],GrowingDays)</f>
        <v>6.0137028769841265</v>
      </c>
      <c r="DU54" s="33">
        <f>Crops[[#This Row],[Direct Time]] * BedsPerAcre</f>
        <v>1452.8857142857146</v>
      </c>
      <c r="DV54" s="36">
        <f>(Crops[[#This Row],[Direct Revenue Per Bed2]]-Crops[[#This Row],[Direct Non-Labor Cost]])/Crops[[#This Row],[Direct Time]]</f>
        <v>72.682936422095906</v>
      </c>
      <c r="DW54" s="33">
        <f>IFERROR(Crops[[#This Row],[Custom Yield Per Bed]]*Crops[[#This Row],[Rough Wholesale Price]],"")</f>
        <v>660</v>
      </c>
      <c r="DX54" s="36">
        <f>Crops[[#This Row],[Wholesale Time]]*LaborRate</f>
        <v>214.63839285714292</v>
      </c>
      <c r="DY54" s="36">
        <f>SUM(Crops[[#This Row],[Packaging Costs]:[Irrigation Cost]])</f>
        <v>47.5</v>
      </c>
      <c r="DZ54" s="36">
        <f>Crops[[#This Row],[Wholesale Labor Cost]]+Crops[[#This Row],[Wholesale Non-Labor Cost]]</f>
        <v>262.13839285714289</v>
      </c>
      <c r="EA54" s="36">
        <f>Crops[[#This Row],[Wholesale Revenue Per Bed]]-Crops[[#This Row],[Wholesale Total Cost]]</f>
        <v>397.86160714285711</v>
      </c>
      <c r="EB54" s="36">
        <f>Crops[[#This Row],[Wholesale Profit]]*BedsPerAcre</f>
        <v>63657.857142857138</v>
      </c>
      <c r="EC54" s="36">
        <f>Crops[[#This Row],[Wholesale Profit]]*BedsPerAcre*GrowingDays/Crops[[#This Row],[Days In Field]]</f>
        <v>159144.64285714284</v>
      </c>
      <c r="ED54" s="33">
        <f>Crops[[#This Row],[Wholesale Time]] * BedsPerAcre</f>
        <v>1373.6857142857148</v>
      </c>
      <c r="EE54" s="221">
        <f>Crops[[#This Row],[Wholesale Profit]]/MIN(Crops[[#This Row],[Days In Field]],GrowingDays)</f>
        <v>5.5258556547619042</v>
      </c>
      <c r="EF54" s="36">
        <f>(Crops[[#This Row],[Wholesale Revenue Per Bed]]-Crops[[#This Row],[Wholesale Non-Labor Cost]])/Crops[[#This Row],[Direct Time]]</f>
        <v>67.451967512929912</v>
      </c>
      <c r="EG54" s="174">
        <f>Crops[[#This Row],[Packaging Costs]]/Crops[[#This Row],[Wholesale Revenue Per Bed]]</f>
        <v>7.1969696969696975E-2</v>
      </c>
      <c r="EH54" s="36" t="str">
        <f>Crops[[#This Row],[Crop]]&amp;Crops[[#This Row],[Product]]&amp;Crops[[#This Row],[Unit]]</f>
        <v>CabbageLarge HeadHead</v>
      </c>
      <c r="EI54" s="36" t="b">
        <f>_xlfn.XLOOKUP(Crops[[#This Row],[ProductIndex]],Products[ID],Products[Target])</f>
        <v>1</v>
      </c>
      <c r="EJ54" s="33">
        <f>Crops[[#This Row],[Custom Yield Per Bed]]</f>
        <v>100</v>
      </c>
      <c r="EK54" s="210">
        <f>Crops[[#This Row],[Units Per Harvest]]/Crops[[#This Row],[Days Between Harvest]]*7</f>
        <v>100</v>
      </c>
      <c r="EL54" s="210">
        <f>Crops[[#This Row],[Custom Yield Per Bed]]/_xlfn.XLOOKUP(Crops[[#This Row],[ProductIndex]],Products[ID],Products[CSA Portion])</f>
        <v>100</v>
      </c>
      <c r="EM54" s="210">
        <f>Crops[[#This Row],[Units Per Harvest]]/Crops[[#This Row],[Days Between Harvest]]*7/_xlfn.XLOOKUP(Crops[[#This Row],[ProductIndex]],Products[ID],Products[CSA Portion])</f>
        <v>100</v>
      </c>
      <c r="EN54" s="210">
        <f>Crops[[#This Row],[CSA Portions Per Week]]/CSAMembers</f>
        <v>2</v>
      </c>
      <c r="EO54" s="216">
        <v>1</v>
      </c>
      <c r="EP54" s="216">
        <v>1</v>
      </c>
      <c r="EQ54" s="210"/>
      <c r="ER54" s="210">
        <f>Crops[[#This Row],[Harvests]]*Crops[[#This Row],[Days Between Harvest]]/7</f>
        <v>1</v>
      </c>
      <c r="ES54" s="217">
        <f>_xlfn.XLOOKUP(Crops[[#This Row],[ProductIndex]],Products[ID],Products[CSA Need])</f>
        <v>2</v>
      </c>
      <c r="ET54" s="217">
        <f>_xlfn.XLOOKUP(Crops[[#This Row],[ProductIndex]],Products[ID],Products[CSA Times])</f>
        <v>2</v>
      </c>
      <c r="EU54" s="208">
        <f>Crops[[#This Row],[Custom Yield Per Bed]]/(Crops[[#This Row],[CSA Need]]*(_xlfn.XLOOKUP(Crops[[#This Row],[ProductIndex]],Products[ID],Products[CSA Portion])*CSAMembers))</f>
        <v>1</v>
      </c>
      <c r="EV54" s="208">
        <f>_xlfn.XLOOKUP(Crops[[#This Row],[ProductIndex]],Products[ID],Products[CSA Portion])*CSAMembers*Crops[[#This Row],[CSA Need]]/Crops[[#This Row],[Custom Yield Per Bed]]</f>
        <v>1</v>
      </c>
      <c r="EW54" s="208">
        <f>IFERROR(Crops[[#This Row],[Days In Field]]*Crops[[#This Row],[CSA Beds]],"")</f>
        <v>72</v>
      </c>
      <c r="EX54" s="208" t="e">
        <f>Crops[[#This Row],[CSA Bed Days]]*#REF!</f>
        <v>#REF!</v>
      </c>
      <c r="EY54" t="s">
        <v>314</v>
      </c>
    </row>
    <row r="55" spans="1:158">
      <c r="A5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Mid 9") - Large Head 1X | Field TP Sp</v>
      </c>
      <c r="B55" s="191"/>
      <c r="C55" s="1" t="b">
        <v>1</v>
      </c>
      <c r="D55" s="1"/>
      <c r="E55" s="1" t="b">
        <v>0</v>
      </c>
      <c r="F55" s="1" t="b">
        <f>IFERROR(IF(ISNUMBER(MATCH(Crops[[#This Row],[Identifier]],BedPlan[Crop], 0)), TRUE, FALSE), FALSE)</f>
        <v>1</v>
      </c>
      <c r="G55" s="1" t="b">
        <f>IFERROR(IF(ISNUMBER(MATCH(Crops[[#This Row],[Identifier]],BedPlan[Crop], 0)), TRUE, FALSE), FALSE)</f>
        <v>1</v>
      </c>
      <c r="H55" s="1"/>
      <c r="I55" t="s">
        <v>52</v>
      </c>
      <c r="J55" t="s">
        <v>1910</v>
      </c>
      <c r="K55" t="s">
        <v>2360</v>
      </c>
      <c r="M55" t="s">
        <v>445</v>
      </c>
      <c r="N55" t="str">
        <f>Crops[[#This Row],[Crop]]</f>
        <v>Cabbage</v>
      </c>
      <c r="O55" t="s">
        <v>210</v>
      </c>
      <c r="P55" t="str">
        <f>IF(OR(Crops[[#This Row],[Days in Cells]]="",Crops[[#This Row],[Days in Cells]]=0), "DS","TP")</f>
        <v>TP</v>
      </c>
      <c r="Q55" t="b">
        <v>1</v>
      </c>
      <c r="V55" t="str">
        <f xml:space="preserve"> IF(Crops[[#This Row],[Sp]], "Sp", "") &amp; IF(Crops[[#This Row],[Su]], "Su", "") &amp; IF(Crops[[#This Row],[Fa]], "Fa", "") &amp; IF(Crops[[#This Row],[Wi]], "Wi", "") &amp; IF(Crops[[#This Row],[OW]], "Ow","")</f>
        <v>Sp</v>
      </c>
      <c r="W55" t="s">
        <v>144</v>
      </c>
      <c r="X55">
        <v>3</v>
      </c>
      <c r="Y55">
        <v>9</v>
      </c>
      <c r="AB55" t="b">
        <v>1</v>
      </c>
      <c r="AD55" s="32">
        <f>IFERROR(12/Crops[[#This Row],[Spacing]]*Crops[[#This Row],[Rows]]*BedLength,"")</f>
        <v>200</v>
      </c>
      <c r="AE55">
        <v>1</v>
      </c>
      <c r="AG55">
        <v>1.1000000000000001</v>
      </c>
      <c r="AH55">
        <v>2</v>
      </c>
      <c r="AI55" s="33">
        <f>IFERROR(Crops[[#This Row],[Plantings Per Bed]]*Crops[[#This Row],[Seeds Per Planting]]*Crops[[#This Row],[Safety Factor]]*Crops[[#This Row],[Seeding Factor]],"")</f>
        <v>440.00000000000006</v>
      </c>
      <c r="AL55">
        <f>_xlfn.FLOOR.MATH(IFERROR(AVERAGE(Crops[[#This Row],[DTG Lower]:[DTG Upper]]),0))</f>
        <v>0</v>
      </c>
      <c r="AM55">
        <f>SUM(Crops[[#This Row],[Tray 1 Days]],Crops[[#This Row],[Tray 2 Days]],Crops[[#This Row],[Tray 3 Days]])</f>
        <v>35</v>
      </c>
      <c r="AN55" s="32">
        <v>35</v>
      </c>
      <c r="AP55">
        <v>55</v>
      </c>
      <c r="AQ55">
        <f>IFERROR(_xlfn.FLOOR.MATH(AVERAGE(Crops[[#This Row],[DTM Lower]:[DTM Upper]])),"")</f>
        <v>55</v>
      </c>
      <c r="AR55" cm="1">
        <f t="array" ref="AR55">_xlfn.SWITCH(Crops[[#This Row],[Normal Method]],"DS",Crops[[#This Row],[Days to Germination]]+Crops[[#This Row],[DTM]] + IF(Crops[[#This Row],[Days in Cells]]&gt;0,15,0), "TP",Crops[[#This Row],[DTM]]+Crops[[#This Row],[Days in Cells]] + IF(Crops[[#This Row],[Days in Cells]]&lt;=0,20,0), "X", Crops[[#This Row],[DTM]])</f>
        <v>90</v>
      </c>
      <c r="AS55" t="s">
        <v>346</v>
      </c>
      <c r="AT55">
        <f>(Crops[[#This Row],[Harvests]]-1)*Crops[[#This Row],[Days Between Harvest]]+7</f>
        <v>7</v>
      </c>
      <c r="AU55">
        <f>Crops[[#This Row],[STH]]-Crops[[#This Row],[Days in Cells]]+Crops[[#This Row],[Harvest window]]</f>
        <v>62</v>
      </c>
      <c r="AX55">
        <v>400</v>
      </c>
      <c r="AY55">
        <v>7</v>
      </c>
      <c r="AZ55" s="49">
        <f>IFERROR(IF(Crops[[#This Row],[Tray 1 Days]]=0,"",Crops[[#This Row],[Plantings Per Bed]]/Crops[[#This Row],[Tray 1 Size]]*Crops[[#This Row],[Safety Factor]]),"")</f>
        <v>0.55000000000000004</v>
      </c>
      <c r="BA55">
        <v>72</v>
      </c>
      <c r="BB55">
        <v>28</v>
      </c>
      <c r="BC55">
        <f>IFERROR(IF(Crops[[#This Row],[Tray 2 Days]]=0,"",Crops[[#This Row],[Plantings Per Bed]]/Crops[[#This Row],[Tray 2 Size]]*Crops[[#This Row],[Safety Factor]]),"")</f>
        <v>3.0555555555555558</v>
      </c>
      <c r="BE55" s="32" t="str">
        <f>IF(NOT(ISBLANK(Crops[[#This Row],[Tray 3 Size]])), Crops[[#This Row],[Days in Cells Old]]-SUM(Crops[[#This Row],[Tray 1 Days]],Crops[[#This Row],[Tray 2 Days]]), "")</f>
        <v/>
      </c>
      <c r="BF55" t="str">
        <f>IFERROR(IF(Crops[[#This Row],[Tray 3 Days]]=0,"",Crops[[#This Row],[Plantings Per Bed]]/Crops[[#This Row],[Tray 3 Size]]*Crops[[#This Row],[Safety Factor]]),"")</f>
        <v/>
      </c>
      <c r="BG55" s="33">
        <f>Crops[[#This Row],[Plantings Per Bed]]/Crops[[#This Row],[Harvests]]</f>
        <v>200</v>
      </c>
      <c r="BH55" s="33">
        <v>1</v>
      </c>
      <c r="BI55" s="33">
        <v>7</v>
      </c>
      <c r="BJ55" s="33">
        <f>_xlfn.XLOOKUP(Crops[[#This Row],[ProductIndex]],Products[ID],Products[Holding Period])</f>
        <v>45</v>
      </c>
      <c r="BK55" s="33"/>
      <c r="BL55" s="33">
        <f>Crops[[#This Row],[Units Per Harvest]]*Crops[[#This Row],[Harvests]]</f>
        <v>200</v>
      </c>
      <c r="BM55" s="35">
        <f>3*1.1</f>
        <v>3.3000000000000003</v>
      </c>
      <c r="BN55" s="35">
        <f>3*1.1</f>
        <v>3.3000000000000003</v>
      </c>
      <c r="BO55" s="35"/>
      <c r="BP55" t="s">
        <v>214</v>
      </c>
      <c r="BQ55">
        <f>Crops[[#This Row],[Custom Yield Per Bed]]*Crops[[#This Row],[Direct Price]]</f>
        <v>660</v>
      </c>
      <c r="BR55" t="b">
        <v>1</v>
      </c>
      <c r="BS55" t="b">
        <f>Crops[[#This Row],[Harvests]]&gt;1</f>
        <v>0</v>
      </c>
      <c r="BT55" s="36">
        <f>IFERROR(Crops[[#This Row],[Direct Revenue Per Bed]]/Crops[[#This Row],[Days In Field]],-1)</f>
        <v>10.64516129032258</v>
      </c>
      <c r="BU55" s="36">
        <f>IFERROR(Crops[[#This Row],[Direct Revenue Per Bed Day]]*GrowingDays*BedsPerAcre,"")</f>
        <v>306580.6451612903</v>
      </c>
      <c r="BV55" s="38">
        <f>LastFrostDate-5*Crops[[#This Row],[Sewing Rel Last Frost]]</f>
        <v>45733</v>
      </c>
      <c r="BW55" s="38">
        <f>Crops[[#This Row],[Target Sewing Date]]+Crops[[#This Row],[Days in Cells]]</f>
        <v>45768</v>
      </c>
      <c r="BX55" s="38">
        <f>Crops[[#This Row],[Target Sewing Date]]+Crops[[#This Row],[STH]]</f>
        <v>45823</v>
      </c>
      <c r="BY55" s="38">
        <f>Crops[[#This Row],[Target Harvest Data]]+Crops[[#This Row],[Harvest window]]</f>
        <v>45830</v>
      </c>
      <c r="BZ55">
        <v>3</v>
      </c>
      <c r="CA55" t="s">
        <v>482</v>
      </c>
      <c r="CB55">
        <f>1</f>
        <v>1</v>
      </c>
      <c r="CC55">
        <f>IF(Crops[[#This Row],[Transplanting]]&gt;0, 2, 3)*BedLength/StandardBedLength</f>
        <v>1</v>
      </c>
      <c r="CD55" s="173">
        <f>IF(Crops[[#This Row],[Days in Cells]]&lt;=0,0,Crops[[#This Row],[Plantings Per Bed]]/StartsPerHourSeeding+Crops[[#This Row],[Tray 1 Count]]*5/60)</f>
        <v>0.82708333333333328</v>
      </c>
      <c r="CE55" s="173">
        <f>IF(ISBLANK(Crops[[#This Row],[Tray 2 Days]]),0,Crops[[#This Row],[Plantings Per Bed]]/UpPottingPerHour)+IF(Crops[[#This Row],[Tray 3 Days]]="",0,Crops[[#This Row],[Plantings Per Bed]]/UpPottingPerHour)</f>
        <v>1.6666666666666667</v>
      </c>
      <c r="CF55" s="173">
        <f>IFERROR(Crops[[#This Row],[Tray 1 Count]]/HomeStartFlatIrrigationPerHour,0)*Crops[[#This Row],[Days in Cells]]/DaysBetweenStartIrrigation</f>
        <v>8.020833333333334E-2</v>
      </c>
      <c r="CG55" s="173">
        <f>0.5/16*MAX(Crops[[#This Row],[Tray 1 Count]],Crops[[#This Row],[Tray 2 Count]],Crops[[#This Row],[Tray 3 Count]])</f>
        <v>9.5486111111111119E-2</v>
      </c>
      <c r="CH55" s="173">
        <f>IF(Crops[[#This Row],[Days in Cells]]&gt;0,IF(IF(Crops[[#This Row],[Tray 3 Size]]&gt;0,Crops[[#This Row],[Tray 3 Size]],IF(Crops[[#This Row],[Tray 2 Size]]&gt;0,Crops[[#This Row],[Tray 2 Size]],Crops[[#This Row],[Tray 1 Size]]))&lt;=18,LargeTransplantTime,SmallTransplantTime)*Crops[[#This Row],[Plantings Per Bed]],0)</f>
        <v>1</v>
      </c>
      <c r="CI55" s="173"/>
      <c r="CJ55" s="173">
        <f>_xlfn.XLOOKUP(Crops[[#This Row],[Trellis Type]],TrellisMethods[Trellis Type],TrellisMethods[Hours],0,0)</f>
        <v>0</v>
      </c>
      <c r="CK55">
        <f>IF(Crops[[#This Row],[Days in Cells]]&lt;=0,Crops[[#This Row],[Rows]]*1/10,0)*BedLength/50</f>
        <v>0</v>
      </c>
      <c r="CL55" cm="1">
        <f t="array" ref="CL55">_xlfn.SWITCH(Crops[[#This Row],[Irrigation]],"DR", 0.5, "OH", 0.25,0)*BedLength/50</f>
        <v>0</v>
      </c>
      <c r="CM55">
        <f>IF(OR(ISBLANK(Crops[[#This Row],[Row Cover]]),Crops[[#This Row],[Row Cover]]="None"),0,1)*BedLength/50</f>
        <v>0</v>
      </c>
      <c r="CN55" s="173">
        <f>HoursPerWeedingPass*Crops[[#This Row],[Days In Field]]/14*Crops[[#This Row],[Rows]]+1*BedLength/50</f>
        <v>3.214285714285714</v>
      </c>
      <c r="CO55" s="49">
        <f t="shared" si="0"/>
        <v>1</v>
      </c>
      <c r="CQ55" s="37">
        <f>_xlfn.XLOOKUP(Crops[[#This Row],[Crop]]&amp;Crops[[#This Row],[Product]]&amp;Crops[[#This Row],[Unit]],Products[ID],Products[Marketing (hr)])*Crops[[#This Row],[Direct Revenue Per Bed]]/2000</f>
        <v>0.66</v>
      </c>
      <c r="CR55" s="37">
        <f>_xlfn.XLOOKUP(Crops[[#This Row],[Crop]]&amp;Crops[[#This Row],[Product]]&amp;Crops[[#This Row],[Unit]],Products[ID],Products[Harvest (s)])*Crops[[#This Row],[Custom Yield Per Bed]]/3600</f>
        <v>0.55555555555555558</v>
      </c>
      <c r="CS55" s="37">
        <f>_xlfn.XLOOKUP(Crops[[#This Row],[Crop]]&amp;Crops[[#This Row],[Product]]&amp;Crops[[#This Row],[Unit]],Products[ID],Products[Bunch (s)])*Crops[[#This Row],[Custom Yield Per Bed]]/3600</f>
        <v>0</v>
      </c>
      <c r="CT55" s="37">
        <f>_xlfn.XLOOKUP(Crops[[#This Row],[Crop]]&amp;Crops[[#This Row],[Product]]&amp;Crops[[#This Row],[Unit]],Products[ID],Products[Haul (s)])*Crops[[#This Row],[Custom Yield Per Bed]]/3600</f>
        <v>0.625</v>
      </c>
      <c r="CU55" s="37">
        <f>_xlfn.XLOOKUP(Crops[[#This Row],[Crop]]&amp;Crops[[#This Row],[Product]]&amp;Crops[[#This Row],[Unit]],Products[ID],Products[Wash (s)])*Crops[[#This Row],[Custom Yield Per Bed]]/3600</f>
        <v>0.27777777777777779</v>
      </c>
      <c r="CV55" s="37">
        <f>_xlfn.XLOOKUP(Crops[[#This Row],[Crop]]&amp;Crops[[#This Row],[Product]]&amp;Crops[[#This Row],[Unit]],Products[ID],Products[Condition (s)])*Crops[[#This Row],[Custom Yield Per Bed]]/3600</f>
        <v>0</v>
      </c>
      <c r="CW55" s="37">
        <f>_xlfn.XLOOKUP(Crops[[#This Row],[Crop]]&amp;Crops[[#This Row],[Product]]&amp;Crops[[#This Row],[Unit]],Products[ID],Products[Trim (s)])*Crops[[#This Row],[Custom Yield Per Bed]]/3600</f>
        <v>0.55555555555555558</v>
      </c>
      <c r="CX55" s="37">
        <f>_xlfn.XLOOKUP(Crops[[#This Row],[Crop]]&amp;Crops[[#This Row],[Product]]&amp;Crops[[#This Row],[Unit]],Products[ID],Products[Pack (s)])*Crops[[#This Row],[Custom Yield Per Bed]]/3600</f>
        <v>0.16666666666666666</v>
      </c>
      <c r="CY55" s="37">
        <f>_xlfn.XLOOKUP(Crops[[#This Row],[Crop]]&amp;Crops[[#This Row],[Product]]&amp;Crops[[#This Row],[Unit]],Products[ID],Products[Clean (s)])*Crops[[#This Row],[Custom Yield Per Bed]]/3600</f>
        <v>0</v>
      </c>
      <c r="CZ55" s="37">
        <f>_xlfn.XLOOKUP(Crops[[#This Row],[Crop]]&amp;Crops[[#This Row],[Product]]&amp;Crops[[#This Row],[Unit]],Products[ID],Products[Rehandle (s)])*Crops[[#This Row],[Custom Yield Per Bed]]/3600</f>
        <v>0</v>
      </c>
      <c r="DA55" s="37">
        <f>_xlfn.XLOOKUP(Crops[[#This Row],[Crop]]&amp;Crops[[#This Row],[Product]]&amp;Crops[[#This Row],[Unit]],Products[ID],Products[Market Transport (s)])*Crops[[#This Row],[Custom Yield Per Bed]]/3600</f>
        <v>1.5625</v>
      </c>
      <c r="DC55" s="37">
        <f>Crops[[#This Row],[Direct Revenue Per Bed2]]</f>
        <v>660</v>
      </c>
      <c r="DD55" s="173">
        <f>_xlfn.AGGREGATE(9,6,Crops[[#This Row],[Bed Prep]:[Remove Crop Residue]])</f>
        <v>13.286785714285713</v>
      </c>
      <c r="DE55" s="173">
        <f>_xlfn.AGGREGATE(9,6,Crops[[#This Row],[Bed Prep]:[Remove Crop Residue]])-0.75*Crops[[#This Row],[Market &amp; Sell]]</f>
        <v>12.791785714285714</v>
      </c>
      <c r="DF55" s="36">
        <f>Crops[[#This Row],[Direct Revenue Per Bed2]]/Crops[[#This Row],[Direct Time]]</f>
        <v>49.673413434400459</v>
      </c>
      <c r="DG55" s="36">
        <f>_xlfn.XLOOKUP(Crops[[#This Row],[ProductIndex]],Products[ID],Products[Packaging Cost])*(Crops[[#This Row],[Custom Yield Per Bed]]/_xlfn.XLOOKUP(Crops[[#This Row],[ProductIndex]],Products[ID],Products[Units Per Pack]))</f>
        <v>95</v>
      </c>
      <c r="DH55" s="36"/>
      <c r="DI55" s="36"/>
      <c r="DJ55" s="36"/>
      <c r="DK55" s="36"/>
      <c r="DL55" s="36"/>
      <c r="DM55" s="33">
        <f>IFERROR(Crops[[#This Row],[Custom Yield Per Bed]]*Crops[[#This Row],[Direct Price]],"")</f>
        <v>660</v>
      </c>
      <c r="DN55" s="36">
        <f>Crops[[#This Row],[Direct Time]]*LaborRate</f>
        <v>332.16964285714283</v>
      </c>
      <c r="DO55" s="36">
        <f>SUM(Crops[[#This Row],[Irrigation Cost]])</f>
        <v>0</v>
      </c>
      <c r="DP55" s="36">
        <f>Crops[[#This Row],[Direct Labor Cost]]+Crops[[#This Row],[Direct Non-Labor Cost]]</f>
        <v>332.16964285714283</v>
      </c>
      <c r="DQ55" s="36">
        <f>Crops[[#This Row],[Direct Revenue Per Bed2]]-Crops[[#This Row],[Direct Total Cost]]</f>
        <v>327.83035714285717</v>
      </c>
      <c r="DR55" s="36">
        <f>Crops[[#This Row],[Direct Profit]]*BedsPerAcre</f>
        <v>52452.857142857145</v>
      </c>
      <c r="DS55" s="36">
        <f>Crops[[#This Row],[Direct Profit]]*BedsPerAcre*GrowingDays/Crops[[#This Row],[Days In Field]]</f>
        <v>152282.48847926265</v>
      </c>
      <c r="DT55" s="36">
        <f>Crops[[#This Row],[Direct Profit]]/MIN(Crops[[#This Row],[Days In Field]],GrowingDays)</f>
        <v>5.2875864055299546</v>
      </c>
      <c r="DU55" s="33">
        <f>Crops[[#This Row],[Direct Time]] * BedsPerAcre</f>
        <v>2125.8857142857141</v>
      </c>
      <c r="DV55" s="36">
        <f>(Crops[[#This Row],[Direct Revenue Per Bed2]]-Crops[[#This Row],[Direct Non-Labor Cost]])/Crops[[#This Row],[Direct Time]]</f>
        <v>49.673413434400459</v>
      </c>
      <c r="DW55" s="33">
        <f>IFERROR(Crops[[#This Row],[Custom Yield Per Bed]]*Crops[[#This Row],[Rough Wholesale Price]],"")</f>
        <v>660</v>
      </c>
      <c r="DX55" s="36">
        <f>Crops[[#This Row],[Wholesale Time]]*LaborRate</f>
        <v>319.79464285714283</v>
      </c>
      <c r="DY55" s="36">
        <f>SUM(Crops[[#This Row],[Packaging Costs]:[Irrigation Cost]])</f>
        <v>95</v>
      </c>
      <c r="DZ55" s="36">
        <f>Crops[[#This Row],[Wholesale Labor Cost]]+Crops[[#This Row],[Wholesale Non-Labor Cost]]</f>
        <v>414.79464285714283</v>
      </c>
      <c r="EA55" s="36">
        <f>Crops[[#This Row],[Wholesale Revenue Per Bed]]-Crops[[#This Row],[Wholesale Total Cost]]</f>
        <v>245.20535714285717</v>
      </c>
      <c r="EB55" s="36">
        <f>Crops[[#This Row],[Wholesale Profit]]*BedsPerAcre</f>
        <v>39232.857142857145</v>
      </c>
      <c r="EC55" s="36">
        <f>Crops[[#This Row],[Wholesale Profit]]*BedsPerAcre*GrowingDays/Crops[[#This Row],[Days In Field]]</f>
        <v>113901.84331797237</v>
      </c>
      <c r="ED55" s="33">
        <f>Crops[[#This Row],[Wholesale Time]] * BedsPerAcre</f>
        <v>2046.6857142857143</v>
      </c>
      <c r="EE55" s="221">
        <f>Crops[[#This Row],[Wholesale Profit]]/MIN(Crops[[#This Row],[Days In Field]],GrowingDays)</f>
        <v>3.9549251152073737</v>
      </c>
      <c r="EF55" s="36">
        <f>(Crops[[#This Row],[Wholesale Revenue Per Bed]]-Crops[[#This Row],[Wholesale Non-Labor Cost]])/Crops[[#This Row],[Direct Time]]</f>
        <v>42.523452409751904</v>
      </c>
      <c r="EG55" s="174">
        <f>Crops[[#This Row],[Packaging Costs]]/Crops[[#This Row],[Wholesale Revenue Per Bed]]</f>
        <v>0.14393939393939395</v>
      </c>
      <c r="EH55" s="36" t="str">
        <f>Crops[[#This Row],[Crop]]&amp;Crops[[#This Row],[Product]]&amp;Crops[[#This Row],[Unit]]</f>
        <v>CabbageLarge HeadHead</v>
      </c>
      <c r="EI55" s="36" t="b">
        <f>_xlfn.XLOOKUP(Crops[[#This Row],[ProductIndex]],Products[ID],Products[Target])</f>
        <v>1</v>
      </c>
      <c r="EJ55" s="33">
        <f>Crops[[#This Row],[Custom Yield Per Bed]]</f>
        <v>200</v>
      </c>
      <c r="EK55" s="210">
        <f>Crops[[#This Row],[Units Per Harvest]]/Crops[[#This Row],[Days Between Harvest]]*7</f>
        <v>200</v>
      </c>
      <c r="EL55" s="210">
        <f>Crops[[#This Row],[Custom Yield Per Bed]]/_xlfn.XLOOKUP(Crops[[#This Row],[ProductIndex]],Products[ID],Products[CSA Portion])</f>
        <v>200</v>
      </c>
      <c r="EM55" s="210">
        <f>Crops[[#This Row],[Units Per Harvest]]/Crops[[#This Row],[Days Between Harvest]]*7/_xlfn.XLOOKUP(Crops[[#This Row],[ProductIndex]],Products[ID],Products[CSA Portion])</f>
        <v>200</v>
      </c>
      <c r="EN55" s="210">
        <f>Crops[[#This Row],[CSA Portions Per Week]]/CSAMembers</f>
        <v>4</v>
      </c>
      <c r="EO55" s="216"/>
      <c r="EP55" s="216"/>
      <c r="EQ55" s="210"/>
      <c r="ER55" s="210">
        <f>Crops[[#This Row],[Harvests]]*Crops[[#This Row],[Days Between Harvest]]/7</f>
        <v>1</v>
      </c>
      <c r="ES55" s="217">
        <f>_xlfn.XLOOKUP(Crops[[#This Row],[ProductIndex]],Products[ID],Products[CSA Need])</f>
        <v>2</v>
      </c>
      <c r="ET55" s="217">
        <f>_xlfn.XLOOKUP(Crops[[#This Row],[ProductIndex]],Products[ID],Products[CSA Times])</f>
        <v>2</v>
      </c>
      <c r="EU55" s="208">
        <f>Crops[[#This Row],[Custom Yield Per Bed]]/(Crops[[#This Row],[CSA Need]]*(_xlfn.XLOOKUP(Crops[[#This Row],[ProductIndex]],Products[ID],Products[CSA Portion])*CSAMembers))</f>
        <v>2</v>
      </c>
      <c r="EV55" s="208">
        <f>_xlfn.XLOOKUP(Crops[[#This Row],[ProductIndex]],Products[ID],Products[CSA Portion])*CSAMembers*Crops[[#This Row],[CSA Need]]/Crops[[#This Row],[Custom Yield Per Bed]]</f>
        <v>0.5</v>
      </c>
      <c r="EW55" s="208">
        <f>IFERROR(Crops[[#This Row],[Days In Field]]*Crops[[#This Row],[CSA Beds]],"")</f>
        <v>31</v>
      </c>
      <c r="EX55" s="208" t="e">
        <f>Crops[[#This Row],[CSA Bed Days]]*#REF!</f>
        <v>#REF!</v>
      </c>
      <c r="EY55" t="s">
        <v>314</v>
      </c>
    </row>
    <row r="56" spans="1:158">
      <c r="A5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(Large) - Large Head 1X | Field TP Ow</v>
      </c>
      <c r="B56" s="191"/>
      <c r="C56" s="1" t="b">
        <v>1</v>
      </c>
      <c r="D56" s="1"/>
      <c r="E56" s="1" t="b">
        <v>0</v>
      </c>
      <c r="F56" s="1" t="b">
        <f>IFERROR(IF(ISNUMBER(MATCH(Crops[[#This Row],[Identifier]],BedPlan[Crop], 0)), TRUE, FALSE), FALSE)</f>
        <v>0</v>
      </c>
      <c r="G56" s="1" t="b">
        <f>IFERROR(IF(ISNUMBER(MATCH(Crops[[#This Row],[Identifier]],BedPlan[Crop], 0)), TRUE, FALSE), FALSE)</f>
        <v>0</v>
      </c>
      <c r="H56" s="1"/>
      <c r="I56" t="s">
        <v>52</v>
      </c>
      <c r="J56" t="s">
        <v>1511</v>
      </c>
      <c r="K56" t="s">
        <v>2360</v>
      </c>
      <c r="M56" t="s">
        <v>445</v>
      </c>
      <c r="N56" t="str">
        <f>Crops[[#This Row],[Crop]]</f>
        <v>Cabbage</v>
      </c>
      <c r="O56" t="s">
        <v>210</v>
      </c>
      <c r="P56" t="str">
        <f>IF(OR(Crops[[#This Row],[Days in Cells]]="",Crops[[#This Row],[Days in Cells]]=0), "DS","TP")</f>
        <v>TP</v>
      </c>
      <c r="U56" t="b">
        <v>1</v>
      </c>
      <c r="V56" t="str">
        <f xml:space="preserve"> IF(Crops[[#This Row],[Sp]], "Sp", "") &amp; IF(Crops[[#This Row],[Su]], "Su", "") &amp; IF(Crops[[#This Row],[Fa]], "Fa", "") &amp; IF(Crops[[#This Row],[Wi]], "Wi", "") &amp; IF(Crops[[#This Row],[OW]], "Ow","")</f>
        <v>Ow</v>
      </c>
      <c r="W56" t="b">
        <v>1</v>
      </c>
      <c r="X56">
        <v>2</v>
      </c>
      <c r="Y56">
        <v>18</v>
      </c>
      <c r="AA56" t="s">
        <v>475</v>
      </c>
      <c r="AB56" t="b">
        <v>1</v>
      </c>
      <c r="AC56">
        <v>1.5</v>
      </c>
      <c r="AD56" s="32">
        <f>IFERROR(12/Crops[[#This Row],[Spacing]]*Crops[[#This Row],[Rows]]*BedLength,"")</f>
        <v>66.666666666666657</v>
      </c>
      <c r="AE56">
        <v>1</v>
      </c>
      <c r="AG56">
        <v>1.1000000000000001</v>
      </c>
      <c r="AH56">
        <v>2</v>
      </c>
      <c r="AI56" s="33">
        <f>IFERROR(Crops[[#This Row],[Plantings Per Bed]]*Crops[[#This Row],[Seeds Per Planting]]*Crops[[#This Row],[Safety Factor]]*Crops[[#This Row],[Seeding Factor]],"")</f>
        <v>146.66666666666666</v>
      </c>
      <c r="AL56">
        <f>_xlfn.FLOOR.MATH(IFERROR(AVERAGE(Crops[[#This Row],[DTG Lower]:[DTG Upper]]),0))</f>
        <v>0</v>
      </c>
      <c r="AM56">
        <f>SUM(Crops[[#This Row],[Tray 1 Days]],Crops[[#This Row],[Tray 2 Days]],Crops[[#This Row],[Tray 3 Days]])</f>
        <v>35</v>
      </c>
      <c r="AN56" s="32">
        <v>35</v>
      </c>
      <c r="AO56">
        <f>7*30</f>
        <v>210</v>
      </c>
      <c r="AP56">
        <f>8*30</f>
        <v>240</v>
      </c>
      <c r="AQ56">
        <f>IFERROR(_xlfn.FLOOR.MATH(AVERAGE(Crops[[#This Row],[DTM Lower]:[DTM Upper]])),"")</f>
        <v>225</v>
      </c>
      <c r="AR56" cm="1">
        <f t="array" ref="AR56">_xlfn.SWITCH(Crops[[#This Row],[Normal Method]],"DS",Crops[[#This Row],[Days to Germination]]+Crops[[#This Row],[DTM]] + IF(Crops[[#This Row],[Days in Cells]]&gt;0,15,0), "TP",Crops[[#This Row],[DTM]]+Crops[[#This Row],[Days in Cells]] + IF(Crops[[#This Row],[Days in Cells]]&lt;=0,20,0), "X", Crops[[#This Row],[DTM]])</f>
        <v>225</v>
      </c>
      <c r="AS56" t="s">
        <v>347</v>
      </c>
      <c r="AT56">
        <f>(Crops[[#This Row],[Harvests]]-1)*Crops[[#This Row],[Days Between Harvest]]+7</f>
        <v>14</v>
      </c>
      <c r="AU56">
        <f>Crops[[#This Row],[STH]]-Crops[[#This Row],[Days in Cells]]+Crops[[#This Row],[Harvest window]]</f>
        <v>204</v>
      </c>
      <c r="AX56">
        <v>400</v>
      </c>
      <c r="AY56">
        <v>7</v>
      </c>
      <c r="AZ56" s="49">
        <f>IFERROR(IF(Crops[[#This Row],[Tray 1 Days]]=0,"",Crops[[#This Row],[Plantings Per Bed]]/Crops[[#This Row],[Tray 1 Size]]*Crops[[#This Row],[Safety Factor]]),"")</f>
        <v>0.18333333333333332</v>
      </c>
      <c r="BA56">
        <v>72</v>
      </c>
      <c r="BB56">
        <v>28</v>
      </c>
      <c r="BC56">
        <f>IFERROR(IF(Crops[[#This Row],[Tray 2 Days]]=0,"",Crops[[#This Row],[Plantings Per Bed]]/Crops[[#This Row],[Tray 2 Size]]*Crops[[#This Row],[Safety Factor]]),"")</f>
        <v>1.0185185185185184</v>
      </c>
      <c r="BE56" s="32" t="str">
        <f>IF(NOT(ISBLANK(Crops[[#This Row],[Tray 3 Size]])), Crops[[#This Row],[Days in Cells Old]]-SUM(Crops[[#This Row],[Tray 1 Days]],Crops[[#This Row],[Tray 2 Days]]), "")</f>
        <v/>
      </c>
      <c r="BF56" s="49" t="str">
        <f>IFERROR(IF(Crops[[#This Row],[Tray 3 Days]]=0,"",Crops[[#This Row],[Plantings Per Bed]]/Crops[[#This Row],[Tray 3 Size]]*Crops[[#This Row],[Safety Factor]]),"")</f>
        <v/>
      </c>
      <c r="BG56" s="33">
        <f>Crops[[#This Row],[Plantings Per Bed]]/Crops[[#This Row],[Harvests]]</f>
        <v>33.333333333333329</v>
      </c>
      <c r="BH56" s="33">
        <v>2</v>
      </c>
      <c r="BI56" s="33">
        <v>7</v>
      </c>
      <c r="BJ56" s="33">
        <f>_xlfn.XLOOKUP(Crops[[#This Row],[ProductIndex]],Products[ID],Products[Holding Period])</f>
        <v>45</v>
      </c>
      <c r="BK56" s="33"/>
      <c r="BL56" s="33">
        <f>Crops[[#This Row],[Units Per Harvest]]*Crops[[#This Row],[Harvests]]</f>
        <v>66.666666666666657</v>
      </c>
      <c r="BM56" s="35">
        <f>6*1.1</f>
        <v>6.6000000000000005</v>
      </c>
      <c r="BN56" s="35">
        <f>Crops[[#This Row],[Direct Price]]</f>
        <v>6.6000000000000005</v>
      </c>
      <c r="BO56" s="35"/>
      <c r="BP56" t="s">
        <v>214</v>
      </c>
      <c r="BQ56">
        <f>Crops[[#This Row],[Custom Yield Per Bed]]*Crops[[#This Row],[Direct Price]]</f>
        <v>440</v>
      </c>
      <c r="BR56" t="b">
        <v>1</v>
      </c>
      <c r="BS56" t="b">
        <f>Crops[[#This Row],[Harvests]]&gt;1</f>
        <v>1</v>
      </c>
      <c r="BT56" s="36">
        <f>IFERROR(Crops[[#This Row],[Direct Revenue Per Bed]]/Crops[[#This Row],[Days In Field]],-1)</f>
        <v>2.1568627450980391</v>
      </c>
      <c r="BU56" s="33">
        <f>IFERROR(Crops[[#This Row],[Direct Revenue Per Bed Day]]*GrowingDays*BedsPerAcre,"")</f>
        <v>62117.647058823524</v>
      </c>
      <c r="BV56" s="38">
        <f>LastFrostDate-5*Crops[[#This Row],[Sewing Rel Last Frost]]</f>
        <v>45843</v>
      </c>
      <c r="BW56" s="38">
        <f>Crops[[#This Row],[Target Sewing Date]]+Crops[[#This Row],[Days in Cells]]</f>
        <v>45878</v>
      </c>
      <c r="BX56" s="38">
        <f>Crops[[#This Row],[Target Sewing Date]]+Crops[[#This Row],[STH]]</f>
        <v>46068</v>
      </c>
      <c r="BY56" s="38">
        <f>Crops[[#This Row],[Target Harvest Data]]+Crops[[#This Row],[Harvest window]]</f>
        <v>46082</v>
      </c>
      <c r="BZ56">
        <v>-19</v>
      </c>
      <c r="CA56" t="s">
        <v>373</v>
      </c>
      <c r="CB56">
        <f>1</f>
        <v>1</v>
      </c>
      <c r="CC56">
        <f>IF(Crops[[#This Row],[Transplanting]]&gt;0, 2, 3)*BedLength/StandardBedLength</f>
        <v>1</v>
      </c>
      <c r="CD56" s="173">
        <f>IF(Crops[[#This Row],[Days in Cells]]&lt;=0,0,Crops[[#This Row],[Plantings Per Bed]]/StartsPerHourSeeding+Crops[[#This Row],[Tray 1 Count]]*5/60)</f>
        <v>0.27569444444444441</v>
      </c>
      <c r="CE56" s="173">
        <f>IF(ISBLANK(Crops[[#This Row],[Tray 2 Days]]),0,Crops[[#This Row],[Plantings Per Bed]]/UpPottingPerHour)+IF(Crops[[#This Row],[Tray 3 Days]]="",0,Crops[[#This Row],[Plantings Per Bed]]/UpPottingPerHour)</f>
        <v>0.55555555555555547</v>
      </c>
      <c r="CF56" s="173">
        <f>IFERROR(Crops[[#This Row],[Tray 1 Count]]/HomeStartFlatIrrigationPerHour,0)*Crops[[#This Row],[Days in Cells]]/DaysBetweenStartIrrigation</f>
        <v>2.673611111111111E-2</v>
      </c>
      <c r="CG56" s="173">
        <f>0.5/16*MAX(Crops[[#This Row],[Tray 1 Count]],Crops[[#This Row],[Tray 2 Count]],Crops[[#This Row],[Tray 3 Count]])</f>
        <v>3.1828703703703699E-2</v>
      </c>
      <c r="CH56" s="173">
        <f>IF(Crops[[#This Row],[Days in Cells]]&gt;0,IF(IF(Crops[[#This Row],[Tray 3 Size]]&gt;0,Crops[[#This Row],[Tray 3 Size]],IF(Crops[[#This Row],[Tray 2 Size]]&gt;0,Crops[[#This Row],[Tray 2 Size]],Crops[[#This Row],[Tray 1 Size]]))&lt;=18,LargeTransplantTime,SmallTransplantTime)*Crops[[#This Row],[Plantings Per Bed]],0)</f>
        <v>0.33333333333333331</v>
      </c>
      <c r="CI56" s="173"/>
      <c r="CJ56" s="173">
        <f>_xlfn.XLOOKUP(Crops[[#This Row],[Trellis Type]],TrellisMethods[Trellis Type],TrellisMethods[Hours],0,0)</f>
        <v>0</v>
      </c>
      <c r="CK56">
        <f>IF(Crops[[#This Row],[Days in Cells]]&lt;=0,Crops[[#This Row],[Rows]]*1/10,0)*BedLength/50</f>
        <v>0</v>
      </c>
      <c r="CL56" cm="1">
        <f t="array" ref="CL56">_xlfn.SWITCH(Crops[[#This Row],[Irrigation]],"DR", 0.5, "OH", 0.25,0)*BedLength/50</f>
        <v>0</v>
      </c>
      <c r="CM56">
        <f>IF(OR(ISBLANK(Crops[[#This Row],[Row Cover]]),Crops[[#This Row],[Row Cover]]="None"),0,1)*BedLength/50</f>
        <v>1</v>
      </c>
      <c r="CN56" s="173">
        <f>HoursPerWeedingPass*Crops[[#This Row],[Days In Field]]/14*Crops[[#This Row],[Rows]]+1*BedLength/50</f>
        <v>5.8571428571428568</v>
      </c>
      <c r="CO56" s="49">
        <f t="shared" si="0"/>
        <v>1</v>
      </c>
      <c r="CQ56" s="37">
        <f>_xlfn.XLOOKUP(Crops[[#This Row],[Crop]]&amp;Crops[[#This Row],[Product]]&amp;Crops[[#This Row],[Unit]],Products[ID],Products[Marketing (hr)])*Crops[[#This Row],[Direct Revenue Per Bed]]/2000</f>
        <v>0.44</v>
      </c>
      <c r="CR56" s="37">
        <f>_xlfn.XLOOKUP(Crops[[#This Row],[Crop]]&amp;Crops[[#This Row],[Product]]&amp;Crops[[#This Row],[Unit]],Products[ID],Products[Harvest (s)])*Crops[[#This Row],[Custom Yield Per Bed]]/3600</f>
        <v>0.18518518518518515</v>
      </c>
      <c r="CS56" s="37">
        <f>_xlfn.XLOOKUP(Crops[[#This Row],[Crop]]&amp;Crops[[#This Row],[Product]]&amp;Crops[[#This Row],[Unit]],Products[ID],Products[Bunch (s)])*Crops[[#This Row],[Custom Yield Per Bed]]/3600</f>
        <v>0</v>
      </c>
      <c r="CT56" s="37">
        <f>_xlfn.XLOOKUP(Crops[[#This Row],[Crop]]&amp;Crops[[#This Row],[Product]]&amp;Crops[[#This Row],[Unit]],Products[ID],Products[Haul (s)])*Crops[[#This Row],[Custom Yield Per Bed]]/3600</f>
        <v>0.20833333333333331</v>
      </c>
      <c r="CU56" s="37">
        <f>_xlfn.XLOOKUP(Crops[[#This Row],[Crop]]&amp;Crops[[#This Row],[Product]]&amp;Crops[[#This Row],[Unit]],Products[ID],Products[Wash (s)])*Crops[[#This Row],[Custom Yield Per Bed]]/3600</f>
        <v>9.2592592592592574E-2</v>
      </c>
      <c r="CV56" s="37">
        <f>_xlfn.XLOOKUP(Crops[[#This Row],[Crop]]&amp;Crops[[#This Row],[Product]]&amp;Crops[[#This Row],[Unit]],Products[ID],Products[Condition (s)])*Crops[[#This Row],[Custom Yield Per Bed]]/3600</f>
        <v>0</v>
      </c>
      <c r="CW56" s="37">
        <f>_xlfn.XLOOKUP(Crops[[#This Row],[Crop]]&amp;Crops[[#This Row],[Product]]&amp;Crops[[#This Row],[Unit]],Products[ID],Products[Trim (s)])*Crops[[#This Row],[Custom Yield Per Bed]]/3600</f>
        <v>0.18518518518518515</v>
      </c>
      <c r="CX56" s="37">
        <f>_xlfn.XLOOKUP(Crops[[#This Row],[Crop]]&amp;Crops[[#This Row],[Product]]&amp;Crops[[#This Row],[Unit]],Products[ID],Products[Pack (s)])*Crops[[#This Row],[Custom Yield Per Bed]]/3600</f>
        <v>5.5555555555555546E-2</v>
      </c>
      <c r="CY56" s="37">
        <f>_xlfn.XLOOKUP(Crops[[#This Row],[Crop]]&amp;Crops[[#This Row],[Product]]&amp;Crops[[#This Row],[Unit]],Products[ID],Products[Clean (s)])*Crops[[#This Row],[Custom Yield Per Bed]]/3600</f>
        <v>0</v>
      </c>
      <c r="CZ56" s="37">
        <f>_xlfn.XLOOKUP(Crops[[#This Row],[Crop]]&amp;Crops[[#This Row],[Product]]&amp;Crops[[#This Row],[Unit]],Products[ID],Products[Rehandle (s)])*Crops[[#This Row],[Custom Yield Per Bed]]/3600</f>
        <v>0</v>
      </c>
      <c r="DA56" s="37">
        <f>_xlfn.XLOOKUP(Crops[[#This Row],[Crop]]&amp;Crops[[#This Row],[Product]]&amp;Crops[[#This Row],[Unit]],Products[ID],Products[Market Transport (s)])*Crops[[#This Row],[Custom Yield Per Bed]]/3600</f>
        <v>0.52083333333333326</v>
      </c>
      <c r="DC56" s="37">
        <f>Crops[[#This Row],[Direct Revenue Per Bed2]]</f>
        <v>440</v>
      </c>
      <c r="DD56" s="173">
        <f>_xlfn.AGGREGATE(9,6,Crops[[#This Row],[Bed Prep]:[Remove Crop Residue]])</f>
        <v>11.767976190476192</v>
      </c>
      <c r="DE56" s="173">
        <f>_xlfn.AGGREGATE(9,6,Crops[[#This Row],[Bed Prep]:[Remove Crop Residue]])-0.75*Crops[[#This Row],[Market &amp; Sell]]</f>
        <v>11.437976190476192</v>
      </c>
      <c r="DF56" s="36">
        <f>Crops[[#This Row],[Direct Revenue Per Bed2]]/Crops[[#This Row],[Direct Time]]</f>
        <v>37.389606579599594</v>
      </c>
      <c r="DG56" s="36">
        <f>_xlfn.XLOOKUP(Crops[[#This Row],[ProductIndex]],Products[ID],Products[Packaging Cost])*(Crops[[#This Row],[Custom Yield Per Bed]]/_xlfn.XLOOKUP(Crops[[#This Row],[ProductIndex]],Products[ID],Products[Units Per Pack]))</f>
        <v>31.666666666666661</v>
      </c>
      <c r="DH56" s="36"/>
      <c r="DI56" s="36"/>
      <c r="DJ56" s="36"/>
      <c r="DK56" s="36"/>
      <c r="DL56" s="36"/>
      <c r="DM56" s="33">
        <f>IFERROR(Crops[[#This Row],[Custom Yield Per Bed]]*Crops[[#This Row],[Direct Price]],"")</f>
        <v>440</v>
      </c>
      <c r="DN56" s="36">
        <f>Crops[[#This Row],[Direct Time]]*LaborRate</f>
        <v>294.19940476190482</v>
      </c>
      <c r="DO56" s="36">
        <f>SUM(Crops[[#This Row],[Irrigation Cost]])</f>
        <v>0</v>
      </c>
      <c r="DP56" s="36">
        <f>Crops[[#This Row],[Direct Labor Cost]]+Crops[[#This Row],[Direct Non-Labor Cost]]</f>
        <v>294.19940476190482</v>
      </c>
      <c r="DQ56" s="36">
        <f>Crops[[#This Row],[Direct Revenue Per Bed2]]-Crops[[#This Row],[Direct Total Cost]]</f>
        <v>145.80059523809518</v>
      </c>
      <c r="DR56" s="36">
        <f>Crops[[#This Row],[Direct Profit]]*BedsPerAcre</f>
        <v>23328.095238095229</v>
      </c>
      <c r="DS56" s="36">
        <f>Crops[[#This Row],[Direct Profit]]*BedsPerAcre*GrowingDays/Crops[[#This Row],[Days In Field]]</f>
        <v>20583.613445378141</v>
      </c>
      <c r="DT56" s="36">
        <f>Crops[[#This Row],[Direct Profit]]/MIN(Crops[[#This Row],[Days In Field]],GrowingDays)</f>
        <v>0.81000330687830657</v>
      </c>
      <c r="DU56" s="33">
        <f>Crops[[#This Row],[Direct Time]] * BedsPerAcre</f>
        <v>1882.8761904761907</v>
      </c>
      <c r="DV56" s="36">
        <f>(Crops[[#This Row],[Direct Revenue Per Bed2]]-Crops[[#This Row],[Direct Non-Labor Cost]])/Crops[[#This Row],[Direct Time]]</f>
        <v>37.389606579599594</v>
      </c>
      <c r="DW56" s="33">
        <f>IFERROR(Crops[[#This Row],[Custom Yield Per Bed]]*Crops[[#This Row],[Rough Wholesale Price]],"")</f>
        <v>440</v>
      </c>
      <c r="DX56" s="36">
        <f>Crops[[#This Row],[Wholesale Time]]*LaborRate</f>
        <v>285.94940476190482</v>
      </c>
      <c r="DY56" s="36">
        <f>SUM(Crops[[#This Row],[Packaging Costs]:[Irrigation Cost]])</f>
        <v>31.666666666666661</v>
      </c>
      <c r="DZ56" s="36">
        <f>Crops[[#This Row],[Wholesale Labor Cost]]+Crops[[#This Row],[Wholesale Non-Labor Cost]]</f>
        <v>317.6160714285715</v>
      </c>
      <c r="EA56" s="36">
        <f>Crops[[#This Row],[Wholesale Revenue Per Bed]]-Crops[[#This Row],[Wholesale Total Cost]]</f>
        <v>122.3839285714285</v>
      </c>
      <c r="EB56" s="36">
        <f>Crops[[#This Row],[Wholesale Profit]]*BedsPerAcre</f>
        <v>19581.428571428558</v>
      </c>
      <c r="EC56" s="36">
        <f>Crops[[#This Row],[Wholesale Profit]]*BedsPerAcre*GrowingDays/Crops[[#This Row],[Days In Field]]</f>
        <v>17277.731092436963</v>
      </c>
      <c r="ED56" s="33">
        <f>Crops[[#This Row],[Wholesale Time]] * BedsPerAcre</f>
        <v>1830.0761904761907</v>
      </c>
      <c r="EE56" s="221">
        <f>Crops[[#This Row],[Wholesale Profit]]/MIN(Crops[[#This Row],[Days In Field]],GrowingDays)</f>
        <v>0.67991071428571392</v>
      </c>
      <c r="EF56" s="36">
        <f>(Crops[[#This Row],[Wholesale Revenue Per Bed]]-Crops[[#This Row],[Wholesale Non-Labor Cost]])/Crops[[#This Row],[Direct Time]]</f>
        <v>34.698687924249619</v>
      </c>
      <c r="EG56" s="174">
        <f>Crops[[#This Row],[Packaging Costs]]/Crops[[#This Row],[Wholesale Revenue Per Bed]]</f>
        <v>7.1969696969696961E-2</v>
      </c>
      <c r="EH56" s="36" t="str">
        <f>Crops[[#This Row],[Crop]]&amp;Crops[[#This Row],[Product]]&amp;Crops[[#This Row],[Unit]]</f>
        <v>CabbageLarge HeadHead</v>
      </c>
      <c r="EI56" s="36" t="b">
        <f>_xlfn.XLOOKUP(Crops[[#This Row],[ProductIndex]],Products[ID],Products[Target])</f>
        <v>1</v>
      </c>
      <c r="EJ56" s="33">
        <f>Crops[[#This Row],[Custom Yield Per Bed]]</f>
        <v>66.666666666666657</v>
      </c>
      <c r="EK56" s="210">
        <f>Crops[[#This Row],[Units Per Harvest]]/Crops[[#This Row],[Days Between Harvest]]*7</f>
        <v>33.333333333333329</v>
      </c>
      <c r="EL56" s="210">
        <f>Crops[[#This Row],[Custom Yield Per Bed]]/_xlfn.XLOOKUP(Crops[[#This Row],[ProductIndex]],Products[ID],Products[CSA Portion])</f>
        <v>66.666666666666657</v>
      </c>
      <c r="EM56" s="210">
        <f>Crops[[#This Row],[Units Per Harvest]]/Crops[[#This Row],[Days Between Harvest]]*7/_xlfn.XLOOKUP(Crops[[#This Row],[ProductIndex]],Products[ID],Products[CSA Portion])</f>
        <v>33.333333333333329</v>
      </c>
      <c r="EN56" s="210">
        <f>Crops[[#This Row],[CSA Portions Per Week]]/CSAMembers</f>
        <v>0.66666666666666652</v>
      </c>
      <c r="EO56" s="216"/>
      <c r="EP56" s="216"/>
      <c r="EQ56" s="210"/>
      <c r="ER56" s="210">
        <f>Crops[[#This Row],[Harvests]]*Crops[[#This Row],[Days Between Harvest]]/7</f>
        <v>2</v>
      </c>
      <c r="ES56" s="217">
        <f>_xlfn.XLOOKUP(Crops[[#This Row],[ProductIndex]],Products[ID],Products[CSA Need])</f>
        <v>2</v>
      </c>
      <c r="ET56" s="217">
        <f>_xlfn.XLOOKUP(Crops[[#This Row],[ProductIndex]],Products[ID],Products[CSA Times])</f>
        <v>2</v>
      </c>
      <c r="EU56" s="208">
        <f>Crops[[#This Row],[Custom Yield Per Bed]]/(Crops[[#This Row],[CSA Need]]*(_xlfn.XLOOKUP(Crops[[#This Row],[ProductIndex]],Products[ID],Products[CSA Portion])*CSAMembers))</f>
        <v>0.66666666666666652</v>
      </c>
      <c r="EV56" s="208">
        <f>_xlfn.XLOOKUP(Crops[[#This Row],[ProductIndex]],Products[ID],Products[CSA Portion])*CSAMembers*Crops[[#This Row],[CSA Need]]/Crops[[#This Row],[Custom Yield Per Bed]]</f>
        <v>1.5000000000000002</v>
      </c>
      <c r="EW56" s="208">
        <f>IFERROR(Crops[[#This Row],[Days In Field]]*Crops[[#This Row],[CSA Beds]],"")</f>
        <v>306.00000000000006</v>
      </c>
      <c r="EX56" s="208" t="e">
        <f>Crops[[#This Row],[CSA Bed Days]]*#REF!</f>
        <v>#REF!</v>
      </c>
      <c r="EY56">
        <v>0</v>
      </c>
      <c r="FA56" s="145"/>
      <c r="FB56" s="145"/>
    </row>
    <row r="57" spans="1:158">
      <c r="A5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(Large) - Mature Leaf 1X | Field TP Ow</v>
      </c>
      <c r="B57" s="191"/>
      <c r="C57" s="1" t="b">
        <v>1</v>
      </c>
      <c r="D57" s="1" t="s">
        <v>2574</v>
      </c>
      <c r="E57" s="1" t="b">
        <v>0</v>
      </c>
      <c r="F57" s="1" t="b">
        <f>IFERROR(IF(ISNUMBER(MATCH(Crops[[#This Row],[Identifier]],BedPlan[Crop], 0)), TRUE, FALSE), FALSE)</f>
        <v>0</v>
      </c>
      <c r="G57" s="1" t="b">
        <f>IFERROR(IF(ISNUMBER(MATCH(Crops[[#This Row],[Identifier]],BedPlan[Crop], 0)), TRUE, FALSE), FALSE)</f>
        <v>0</v>
      </c>
      <c r="H57" s="1"/>
      <c r="I57" t="s">
        <v>52</v>
      </c>
      <c r="J57" t="s">
        <v>1511</v>
      </c>
      <c r="K57" t="s">
        <v>179</v>
      </c>
      <c r="M57" t="s">
        <v>445</v>
      </c>
      <c r="N57" t="str">
        <f>Crops[[#This Row],[Crop]]</f>
        <v>Cabbage</v>
      </c>
      <c r="O57" t="s">
        <v>210</v>
      </c>
      <c r="P57" t="str">
        <f>IF(OR(Crops[[#This Row],[Days in Cells]]="",Crops[[#This Row],[Days in Cells]]=0), "DS","TP")</f>
        <v>TP</v>
      </c>
      <c r="U57" t="b">
        <v>1</v>
      </c>
      <c r="V57" t="str">
        <f xml:space="preserve"> IF(Crops[[#This Row],[Sp]], "Sp", "") &amp; IF(Crops[[#This Row],[Su]], "Su", "") &amp; IF(Crops[[#This Row],[Fa]], "Fa", "") &amp; IF(Crops[[#This Row],[Wi]], "Wi", "") &amp; IF(Crops[[#This Row],[OW]], "Ow","")</f>
        <v>Ow</v>
      </c>
      <c r="W57" t="b">
        <v>1</v>
      </c>
      <c r="X57">
        <v>2</v>
      </c>
      <c r="Y57">
        <v>18</v>
      </c>
      <c r="AA57" t="s">
        <v>475</v>
      </c>
      <c r="AB57" t="b">
        <v>1</v>
      </c>
      <c r="AC57">
        <v>1.5</v>
      </c>
      <c r="AD57" s="32">
        <f>IFERROR(12/Crops[[#This Row],[Spacing]]*Crops[[#This Row],[Rows]]*BedLength,"")</f>
        <v>66.666666666666657</v>
      </c>
      <c r="AE57">
        <v>1</v>
      </c>
      <c r="AG57">
        <v>1.1000000000000001</v>
      </c>
      <c r="AH57">
        <v>2</v>
      </c>
      <c r="AI57" s="33">
        <f>IFERROR(Crops[[#This Row],[Plantings Per Bed]]*Crops[[#This Row],[Seeds Per Planting]]*Crops[[#This Row],[Safety Factor]]*Crops[[#This Row],[Seeding Factor]],"")</f>
        <v>146.66666666666666</v>
      </c>
      <c r="AL57">
        <f>_xlfn.FLOOR.MATH(IFERROR(AVERAGE(Crops[[#This Row],[DTG Lower]:[DTG Upper]]),0))</f>
        <v>0</v>
      </c>
      <c r="AM57">
        <f>SUM(Crops[[#This Row],[Tray 1 Days]],Crops[[#This Row],[Tray 2 Days]],Crops[[#This Row],[Tray 3 Days]])</f>
        <v>35</v>
      </c>
      <c r="AN57" s="32">
        <v>28</v>
      </c>
      <c r="AO57">
        <v>70</v>
      </c>
      <c r="AP57">
        <v>90</v>
      </c>
      <c r="AQ57">
        <f>IFERROR(_xlfn.FLOOR.MATH(AVERAGE(Crops[[#This Row],[DTM Lower]:[DTM Upper]])),"")</f>
        <v>80</v>
      </c>
      <c r="AR57" cm="1">
        <f t="array" ref="AR57">_xlfn.SWITCH(Crops[[#This Row],[Normal Method]],"DS",Crops[[#This Row],[Days to Germination]]+Crops[[#This Row],[DTM]] + IF(Crops[[#This Row],[Days in Cells]]&gt;0,15,0), "TP",Crops[[#This Row],[DTM]]+Crops[[#This Row],[Days in Cells]] + IF(Crops[[#This Row],[Days in Cells]]&lt;=0,20,0), "X", Crops[[#This Row],[DTM]])</f>
        <v>80</v>
      </c>
      <c r="AS57" t="s">
        <v>347</v>
      </c>
      <c r="AT57">
        <f>(Crops[[#This Row],[Harvests]]-1)*Crops[[#This Row],[Days Between Harvest]]+7</f>
        <v>147</v>
      </c>
      <c r="AU57">
        <f>Crops[[#This Row],[STH]]-Crops[[#This Row],[Days in Cells]]+Crops[[#This Row],[Harvest window]]</f>
        <v>192</v>
      </c>
      <c r="AX57">
        <v>400</v>
      </c>
      <c r="AY57">
        <v>7</v>
      </c>
      <c r="AZ57" s="49">
        <f>IFERROR(IF(Crops[[#This Row],[Tray 1 Days]]=0,"",Crops[[#This Row],[Plantings Per Bed]]/Crops[[#This Row],[Tray 1 Size]]*Crops[[#This Row],[Safety Factor]]),"")</f>
        <v>0.18333333333333332</v>
      </c>
      <c r="BA57">
        <v>72</v>
      </c>
      <c r="BB57">
        <v>28</v>
      </c>
      <c r="BC57">
        <f>IFERROR(IF(Crops[[#This Row],[Tray 2 Days]]=0,"",Crops[[#This Row],[Plantings Per Bed]]/Crops[[#This Row],[Tray 2 Size]]*Crops[[#This Row],[Safety Factor]]),"")</f>
        <v>1.0185185185185184</v>
      </c>
      <c r="BE57" s="32" t="str">
        <f>IF(NOT(ISBLANK(Crops[[#This Row],[Tray 3 Size]])), Crops[[#This Row],[Days in Cells Old]]-SUM(Crops[[#This Row],[Tray 1 Days]],Crops[[#This Row],[Tray 2 Days]]), "")</f>
        <v/>
      </c>
      <c r="BF57" s="49" t="str">
        <f>IFERROR(IF(Crops[[#This Row],[Tray 3 Days]]=0,"",Crops[[#This Row],[Plantings Per Bed]]/Crops[[#This Row],[Tray 3 Size]]*Crops[[#This Row],[Safety Factor]]),"")</f>
        <v/>
      </c>
      <c r="BG57" s="33">
        <f>Crops[[#This Row],[Plantings Per Bed]]/5</f>
        <v>13.333333333333332</v>
      </c>
      <c r="BH57" s="33">
        <v>6</v>
      </c>
      <c r="BI57" s="33">
        <v>28</v>
      </c>
      <c r="BJ57" s="33">
        <f>_xlfn.XLOOKUP(Crops[[#This Row],[ProductIndex]],Products[ID],Products[Holding Period])</f>
        <v>7</v>
      </c>
      <c r="BK57" s="33"/>
      <c r="BL57" s="33">
        <f>Crops[[#This Row],[Units Per Harvest]]*Crops[[#This Row],[Harvests]]</f>
        <v>80</v>
      </c>
      <c r="BM57" s="35">
        <v>2.75</v>
      </c>
      <c r="BN57" s="35">
        <f>Crops[[#This Row],[Direct Price]]*0.6</f>
        <v>1.65</v>
      </c>
      <c r="BO57" s="35"/>
      <c r="BP57" t="s">
        <v>215</v>
      </c>
      <c r="BQ57">
        <f>Crops[[#This Row],[Custom Yield Per Bed]]*Crops[[#This Row],[Direct Price]]</f>
        <v>220</v>
      </c>
      <c r="BR57" t="b">
        <v>1</v>
      </c>
      <c r="BS57" t="b">
        <f>Crops[[#This Row],[Harvests]]&gt;1</f>
        <v>1</v>
      </c>
      <c r="BT57" s="36">
        <f>IFERROR(Crops[[#This Row],[Direct Revenue Per Bed]]/Crops[[#This Row],[Days In Field]],-1)</f>
        <v>1.1458333333333333</v>
      </c>
      <c r="BU57" s="33">
        <f>IFERROR(Crops[[#This Row],[Direct Revenue Per Bed Day]]*GrowingDays*BedsPerAcre,"")</f>
        <v>33000</v>
      </c>
      <c r="BV57" s="38">
        <f>LastFrostDate-5*Crops[[#This Row],[Sewing Rel Last Frost]]</f>
        <v>45843</v>
      </c>
      <c r="BW57" s="38">
        <f>Crops[[#This Row],[Target Sewing Date]]+Crops[[#This Row],[Days in Cells]]</f>
        <v>45878</v>
      </c>
      <c r="BX57" s="38">
        <f>Crops[[#This Row],[Target Sewing Date]]+Crops[[#This Row],[STH]]</f>
        <v>45923</v>
      </c>
      <c r="BY57" s="38">
        <f>Crops[[#This Row],[Target Harvest Data]]+Crops[[#This Row],[Harvest window]]</f>
        <v>46070</v>
      </c>
      <c r="BZ57">
        <v>-19</v>
      </c>
      <c r="CA57" t="s">
        <v>373</v>
      </c>
      <c r="CB57">
        <f>1</f>
        <v>1</v>
      </c>
      <c r="CC57">
        <f>IF(Crops[[#This Row],[Transplanting]]&gt;0, 2, 3)*BedLength/StandardBedLength</f>
        <v>1</v>
      </c>
      <c r="CD57" s="173">
        <f>IF(Crops[[#This Row],[Days in Cells]]&lt;=0,0,Crops[[#This Row],[Plantings Per Bed]]/StartsPerHourSeeding+Crops[[#This Row],[Tray 1 Count]]*5/60)</f>
        <v>0.27569444444444441</v>
      </c>
      <c r="CE57" s="173">
        <f>IF(ISBLANK(Crops[[#This Row],[Tray 2 Days]]),0,Crops[[#This Row],[Plantings Per Bed]]/UpPottingPerHour)+IF(Crops[[#This Row],[Tray 3 Days]]="",0,Crops[[#This Row],[Plantings Per Bed]]/UpPottingPerHour)</f>
        <v>0.55555555555555547</v>
      </c>
      <c r="CF57" s="173">
        <f>IFERROR(Crops[[#This Row],[Tray 1 Count]]/HomeStartFlatIrrigationPerHour,0)*Crops[[#This Row],[Days in Cells]]/DaysBetweenStartIrrigation</f>
        <v>2.673611111111111E-2</v>
      </c>
      <c r="CG57" s="173">
        <f>0.5/16*MAX(Crops[[#This Row],[Tray 1 Count]],Crops[[#This Row],[Tray 2 Count]],Crops[[#This Row],[Tray 3 Count]])</f>
        <v>3.1828703703703699E-2</v>
      </c>
      <c r="CH57" s="173">
        <f>IF(Crops[[#This Row],[Days in Cells]]&gt;0,IF(IF(Crops[[#This Row],[Tray 3 Size]]&gt;0,Crops[[#This Row],[Tray 3 Size]],IF(Crops[[#This Row],[Tray 2 Size]]&gt;0,Crops[[#This Row],[Tray 2 Size]],Crops[[#This Row],[Tray 1 Size]]))&lt;=18,LargeTransplantTime,SmallTransplantTime)*Crops[[#This Row],[Plantings Per Bed]],0)</f>
        <v>0.33333333333333331</v>
      </c>
      <c r="CI57" s="173"/>
      <c r="CJ57" s="173">
        <f>_xlfn.XLOOKUP(Crops[[#This Row],[Trellis Type]],TrellisMethods[Trellis Type],TrellisMethods[Hours],0,0)</f>
        <v>0</v>
      </c>
      <c r="CK57">
        <f>IF(Crops[[#This Row],[Days in Cells]]&lt;=0,Crops[[#This Row],[Rows]]*1/10,0)*BedLength/50</f>
        <v>0</v>
      </c>
      <c r="CL57" cm="1">
        <f t="array" ref="CL57">_xlfn.SWITCH(Crops[[#This Row],[Irrigation]],"DR", 0.5, "OH", 0.25,0)*BedLength/50</f>
        <v>0</v>
      </c>
      <c r="CM57">
        <f>IF(OR(ISBLANK(Crops[[#This Row],[Row Cover]]),Crops[[#This Row],[Row Cover]]="None"),0,1)*BedLength/50</f>
        <v>1</v>
      </c>
      <c r="CN57" s="173">
        <f>HoursPerWeedingPass*Crops[[#This Row],[Days In Field]]/14*Crops[[#This Row],[Rows]]+1*BedLength/50</f>
        <v>5.5714285714285712</v>
      </c>
      <c r="CO57">
        <f t="shared" si="0"/>
        <v>1</v>
      </c>
      <c r="CQ57" s="37">
        <f>_xlfn.XLOOKUP(Crops[[#This Row],[Crop]]&amp;Crops[[#This Row],[Product]]&amp;Crops[[#This Row],[Unit]],Products[ID],Products[Marketing (hr)])*Crops[[#This Row],[Direct Revenue Per Bed]]/2000</f>
        <v>0.22</v>
      </c>
      <c r="CR57" s="37">
        <f>_xlfn.XLOOKUP(Crops[[#This Row],[Crop]]&amp;Crops[[#This Row],[Product]]&amp;Crops[[#This Row],[Unit]],Products[ID],Products[Harvest (s)])*Crops[[#This Row],[Custom Yield Per Bed]]/3600</f>
        <v>0.33333333333333331</v>
      </c>
      <c r="CS57" s="37">
        <f>_xlfn.XLOOKUP(Crops[[#This Row],[Crop]]&amp;Crops[[#This Row],[Product]]&amp;Crops[[#This Row],[Unit]],Products[ID],Products[Bunch (s)])*Crops[[#This Row],[Custom Yield Per Bed]]/3600</f>
        <v>0.22222222222222221</v>
      </c>
      <c r="CT57" s="37">
        <f>_xlfn.XLOOKUP(Crops[[#This Row],[Crop]]&amp;Crops[[#This Row],[Product]]&amp;Crops[[#This Row],[Unit]],Products[ID],Products[Haul (s)])*Crops[[#This Row],[Custom Yield Per Bed]]/3600</f>
        <v>0.16666666666666666</v>
      </c>
      <c r="CU57" s="37">
        <f>_xlfn.XLOOKUP(Crops[[#This Row],[Crop]]&amp;Crops[[#This Row],[Product]]&amp;Crops[[#This Row],[Unit]],Products[ID],Products[Wash (s)])*Crops[[#This Row],[Custom Yield Per Bed]]/3600</f>
        <v>0.26666666666666666</v>
      </c>
      <c r="CV57" s="37">
        <f>_xlfn.XLOOKUP(Crops[[#This Row],[Crop]]&amp;Crops[[#This Row],[Product]]&amp;Crops[[#This Row],[Unit]],Products[ID],Products[Condition (s)])*Crops[[#This Row],[Custom Yield Per Bed]]/3600</f>
        <v>0</v>
      </c>
      <c r="CW57" s="37">
        <f>_xlfn.XLOOKUP(Crops[[#This Row],[Crop]]&amp;Crops[[#This Row],[Product]]&amp;Crops[[#This Row],[Unit]],Products[ID],Products[Trim (s)])*Crops[[#This Row],[Custom Yield Per Bed]]/3600</f>
        <v>0.66666666666666663</v>
      </c>
      <c r="CX57" s="37">
        <f>_xlfn.XLOOKUP(Crops[[#This Row],[Crop]]&amp;Crops[[#This Row],[Product]]&amp;Crops[[#This Row],[Unit]],Products[ID],Products[Pack (s)])*Crops[[#This Row],[Custom Yield Per Bed]]/3600</f>
        <v>6.6666666666666666E-2</v>
      </c>
      <c r="CY57" s="37">
        <f>_xlfn.XLOOKUP(Crops[[#This Row],[Crop]]&amp;Crops[[#This Row],[Product]]&amp;Crops[[#This Row],[Unit]],Products[ID],Products[Clean (s)])*Crops[[#This Row],[Custom Yield Per Bed]]/3600</f>
        <v>0</v>
      </c>
      <c r="CZ57" s="37">
        <f>_xlfn.XLOOKUP(Crops[[#This Row],[Crop]]&amp;Crops[[#This Row],[Product]]&amp;Crops[[#This Row],[Unit]],Products[ID],Products[Rehandle (s)])*Crops[[#This Row],[Custom Yield Per Bed]]/3600</f>
        <v>0</v>
      </c>
      <c r="DA57" s="37">
        <f>_xlfn.XLOOKUP(Crops[[#This Row],[Crop]]&amp;Crops[[#This Row],[Product]]&amp;Crops[[#This Row],[Unit]],Products[ID],Products[Market Transport (s)])*Crops[[#This Row],[Custom Yield Per Bed]]/3600</f>
        <v>0.41666666666666669</v>
      </c>
      <c r="DC57" s="37">
        <f>Crops[[#This Row],[Direct Revenue Per Bed2]]</f>
        <v>486.66666666666663</v>
      </c>
      <c r="DD57" s="173">
        <f>_xlfn.AGGREGATE(9,6,Crops[[#This Row],[Bed Prep]:[Remove Crop Residue]])</f>
        <v>12.153465608465607</v>
      </c>
      <c r="DE57" s="173">
        <f>_xlfn.AGGREGATE(9,6,Crops[[#This Row],[Bed Prep]:[Remove Crop Residue]])-0.75*Crops[[#This Row],[Market &amp; Sell]]</f>
        <v>11.988465608465608</v>
      </c>
      <c r="DF57" s="36">
        <f>Crops[[#This Row],[Direct Revenue Per Bed2]]/Crops[[#This Row],[Direct Time]]</f>
        <v>40.043447881045097</v>
      </c>
      <c r="DG57" s="36">
        <f>_xlfn.XLOOKUP(Crops[[#This Row],[ProductIndex]],Products[ID],Products[Packaging Cost])*(Crops[[#This Row],[Custom Yield Per Bed]]/_xlfn.XLOOKUP(Crops[[#This Row],[ProductIndex]],Products[ID],Products[Units Per Pack]))</f>
        <v>25.333333333333332</v>
      </c>
      <c r="DH57" s="36"/>
      <c r="DI57" s="36"/>
      <c r="DJ57" s="36"/>
      <c r="DK57" s="36"/>
      <c r="DL57" s="36"/>
      <c r="DM57" s="33">
        <f>IFERROR(Crops[[#This Row],[Custom Yield Per Bed]]*Crops[[#This Row],[Direct Price]],"")+Crops[[#This Row],[Plantings Per Bed]]*4</f>
        <v>486.66666666666663</v>
      </c>
      <c r="DN57" s="36">
        <f>Crops[[#This Row],[Direct Time]]*LaborRate</f>
        <v>303.8366402116402</v>
      </c>
      <c r="DO57" s="36">
        <f>SUM(Crops[[#This Row],[Irrigation Cost]])</f>
        <v>0</v>
      </c>
      <c r="DP57" s="36">
        <f>Crops[[#This Row],[Direct Labor Cost]]+Crops[[#This Row],[Direct Non-Labor Cost]]</f>
        <v>303.8366402116402</v>
      </c>
      <c r="DQ57" s="36">
        <f>Crops[[#This Row],[Direct Revenue Per Bed2]]-Crops[[#This Row],[Direct Total Cost]]</f>
        <v>182.83002645502643</v>
      </c>
      <c r="DR57" s="36">
        <f>Crops[[#This Row],[Direct Profit]]*BedsPerAcre</f>
        <v>29252.804232804228</v>
      </c>
      <c r="DS57" s="36">
        <f>Crops[[#This Row],[Direct Profit]]*BedsPerAcre*GrowingDays/Crops[[#This Row],[Days In Field]]</f>
        <v>27424.503968253965</v>
      </c>
      <c r="DT57" s="36">
        <f>Crops[[#This Row],[Direct Profit]]/MIN(Crops[[#This Row],[Days In Field]],GrowingDays)</f>
        <v>1.0157223691945914</v>
      </c>
      <c r="DU57" s="36">
        <f>Crops[[#This Row],[Direct Time]] * BedsPerAcre</f>
        <v>1944.5544973544972</v>
      </c>
      <c r="DV57" s="36">
        <f>(Crops[[#This Row],[Direct Revenue Per Bed2]]-Crops[[#This Row],[Direct Non-Labor Cost]])/Crops[[#This Row],[Direct Time]]</f>
        <v>40.043447881045097</v>
      </c>
      <c r="DW57" s="33">
        <f>IFERROR(Crops[[#This Row],[Custom Yield Per Bed]]*Crops[[#This Row],[Rough Wholesale Price]],"")</f>
        <v>132</v>
      </c>
      <c r="DX57" s="36">
        <f>Crops[[#This Row],[Wholesale Time]]*LaborRate</f>
        <v>299.7116402116402</v>
      </c>
      <c r="DY57" s="36">
        <f>SUM(Crops[[#This Row],[Packaging Costs]:[Irrigation Cost]])</f>
        <v>25.333333333333332</v>
      </c>
      <c r="DZ57" s="36">
        <f>Crops[[#This Row],[Wholesale Labor Cost]]+Crops[[#This Row],[Wholesale Non-Labor Cost]]</f>
        <v>325.04497354497352</v>
      </c>
      <c r="EA57" s="36">
        <f>Crops[[#This Row],[Wholesale Revenue Per Bed]]-Crops[[#This Row],[Wholesale Total Cost]]</f>
        <v>-193.04497354497352</v>
      </c>
      <c r="EB57" s="36">
        <f>Crops[[#This Row],[Wholesale Profit]]*BedsPerAcre</f>
        <v>-30887.195767195764</v>
      </c>
      <c r="EC57" s="36">
        <f>Crops[[#This Row],[Wholesale Profit]]*BedsPerAcre*GrowingDays/Crops[[#This Row],[Days In Field]]</f>
        <v>-28956.746031746032</v>
      </c>
      <c r="ED57" s="36">
        <f>Crops[[#This Row],[Wholesale Time]] * BedsPerAcre</f>
        <v>1918.1544973544974</v>
      </c>
      <c r="EE57" s="36">
        <f>Crops[[#This Row],[Wholesale Profit]]/MIN(Crops[[#This Row],[Days In Field]],GrowingDays)</f>
        <v>-1.0724720752498529</v>
      </c>
      <c r="EF57" s="36">
        <f>(Crops[[#This Row],[Wholesale Revenue Per Bed]]-Crops[[#This Row],[Wholesale Non-Labor Cost]])/Crops[[#This Row],[Direct Time]]</f>
        <v>8.7766461109139957</v>
      </c>
      <c r="EG57" s="174">
        <f>Crops[[#This Row],[Packaging Costs]]/Crops[[#This Row],[Wholesale Revenue Per Bed]]</f>
        <v>0.19191919191919191</v>
      </c>
      <c r="EH57" s="36" t="str">
        <f>Crops[[#This Row],[Crop]]&amp;Crops[[#This Row],[Product]]&amp;Crops[[#This Row],[Unit]]</f>
        <v>CabbageMature LeafBunch</v>
      </c>
      <c r="EI57" s="36" t="b">
        <f>_xlfn.XLOOKUP(Crops[[#This Row],[ProductIndex]],Products[ID],Products[Target])</f>
        <v>1</v>
      </c>
      <c r="EJ57" s="36">
        <f>Crops[[#This Row],[Custom Yield Per Bed]]</f>
        <v>80</v>
      </c>
      <c r="EK57" s="210">
        <f>Crops[[#This Row],[Units Per Harvest]]/Crops[[#This Row],[Days Between Harvest]]*7</f>
        <v>3.333333333333333</v>
      </c>
      <c r="EL57" s="210">
        <f>Crops[[#This Row],[Custom Yield Per Bed]]/_xlfn.XLOOKUP(Crops[[#This Row],[ProductIndex]],Products[ID],Products[CSA Portion])</f>
        <v>80</v>
      </c>
      <c r="EM57" s="210">
        <f>Crops[[#This Row],[Units Per Harvest]]/Crops[[#This Row],[Days Between Harvest]]*7/_xlfn.XLOOKUP(Crops[[#This Row],[ProductIndex]],Products[ID],Products[CSA Portion])</f>
        <v>3.333333333333333</v>
      </c>
      <c r="EN57" s="210">
        <f>Crops[[#This Row],[CSA Portions Per Week]]/CSAMembers</f>
        <v>6.6666666666666666E-2</v>
      </c>
      <c r="EO57" s="210"/>
      <c r="EP57" s="210"/>
      <c r="EQ57" s="36"/>
      <c r="ER57" s="36">
        <f>Crops[[#This Row],[Harvests]]*Crops[[#This Row],[Days Between Harvest]]/7</f>
        <v>24</v>
      </c>
      <c r="ES57" s="208">
        <f>_xlfn.XLOOKUP(Crops[[#This Row],[ProductIndex]],Products[ID],Products[CSA Need])</f>
        <v>0</v>
      </c>
      <c r="ET57" s="208">
        <f>_xlfn.XLOOKUP(Crops[[#This Row],[ProductIndex]],Products[ID],Products[CSA Times])</f>
        <v>0</v>
      </c>
      <c r="EU57" s="208" t="e">
        <f>Crops[[#This Row],[Custom Yield Per Bed]]/(Crops[[#This Row],[CSA Need]]*(_xlfn.XLOOKUP(Crops[[#This Row],[ProductIndex]],Products[ID],Products[CSA Portion])*CSAMembers))</f>
        <v>#DIV/0!</v>
      </c>
      <c r="EV57" s="208">
        <f>_xlfn.XLOOKUP(Crops[[#This Row],[ProductIndex]],Products[ID],Products[CSA Portion])*CSAMembers*Crops[[#This Row],[CSA Need]]/Crops[[#This Row],[Custom Yield Per Bed]]</f>
        <v>0</v>
      </c>
      <c r="EW57" s="208">
        <f>IFERROR(Crops[[#This Row],[Days In Field]]*Crops[[#This Row],[CSA Beds]],"")</f>
        <v>0</v>
      </c>
      <c r="EX57" s="208" t="e">
        <f>Crops[[#This Row],[CSA Bed Days]]*#REF!</f>
        <v>#REF!</v>
      </c>
      <c r="EY57">
        <v>0</v>
      </c>
    </row>
    <row r="58" spans="1:158">
      <c r="A5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(Late) - Large Head 1X | Field TP Su</v>
      </c>
      <c r="B58" s="191"/>
      <c r="C58" s="1" t="b">
        <v>1</v>
      </c>
      <c r="D58" s="1"/>
      <c r="E58" s="1" t="b">
        <v>0</v>
      </c>
      <c r="F58" s="1" t="b">
        <f>IFERROR(IF(ISNUMBER(MATCH(Crops[[#This Row],[Identifier]],BedPlan[Crop], 0)), TRUE, FALSE), FALSE)</f>
        <v>0</v>
      </c>
      <c r="G58" s="1" t="b">
        <f>IFERROR(IF(ISNUMBER(MATCH(Crops[[#This Row],[Identifier]],BedPlan[Crop], 0)), TRUE, FALSE), FALSE)</f>
        <v>0</v>
      </c>
      <c r="H58" s="1"/>
      <c r="I58" t="s">
        <v>52</v>
      </c>
      <c r="J58" t="s">
        <v>370</v>
      </c>
      <c r="K58" t="s">
        <v>2360</v>
      </c>
      <c r="M58" t="s">
        <v>445</v>
      </c>
      <c r="N58" t="str">
        <f>Crops[[#This Row],[Crop]]</f>
        <v>Cabbage</v>
      </c>
      <c r="O58" t="s">
        <v>210</v>
      </c>
      <c r="P58" t="str">
        <f>IF(OR(Crops[[#This Row],[Days in Cells]]="",Crops[[#This Row],[Days in Cells]]=0), "DS","TP")</f>
        <v>TP</v>
      </c>
      <c r="R58" t="b">
        <v>1</v>
      </c>
      <c r="V58" t="str">
        <f xml:space="preserve"> IF(Crops[[#This Row],[Sp]], "Sp", "") &amp; IF(Crops[[#This Row],[Su]], "Su", "") &amp; IF(Crops[[#This Row],[Fa]], "Fa", "") &amp; IF(Crops[[#This Row],[Wi]], "Wi", "") &amp; IF(Crops[[#This Row],[OW]], "Ow","")</f>
        <v>Su</v>
      </c>
      <c r="W58" t="s">
        <v>144</v>
      </c>
      <c r="X58">
        <v>2</v>
      </c>
      <c r="Y58">
        <v>15</v>
      </c>
      <c r="AD58" s="32">
        <f>IFERROR(12/Crops[[#This Row],[Spacing]]*Crops[[#This Row],[Rows]]*BedLength,"")</f>
        <v>80</v>
      </c>
      <c r="AE58">
        <v>1</v>
      </c>
      <c r="AG58">
        <v>1.1000000000000001</v>
      </c>
      <c r="AH58">
        <v>2</v>
      </c>
      <c r="AI58" s="33">
        <f>IFERROR(Crops[[#This Row],[Plantings Per Bed]]*Crops[[#This Row],[Seeds Per Planting]]*Crops[[#This Row],[Safety Factor]]*Crops[[#This Row],[Seeding Factor]],"")</f>
        <v>176</v>
      </c>
      <c r="AL58">
        <f>_xlfn.FLOOR.MATH(IFERROR(AVERAGE(Crops[[#This Row],[DTG Lower]:[DTG Upper]]),0))</f>
        <v>0</v>
      </c>
      <c r="AM58">
        <f>SUM(Crops[[#This Row],[Tray 1 Days]],Crops[[#This Row],[Tray 2 Days]],Crops[[#This Row],[Tray 3 Days]])</f>
        <v>35</v>
      </c>
      <c r="AN58" s="32">
        <v>35</v>
      </c>
      <c r="AO58">
        <f>4*30</f>
        <v>120</v>
      </c>
      <c r="AP58">
        <f>4*30</f>
        <v>120</v>
      </c>
      <c r="AQ58">
        <f>IFERROR(_xlfn.FLOOR.MATH(AVERAGE(Crops[[#This Row],[DTM Lower]:[DTM Upper]])),"")</f>
        <v>120</v>
      </c>
      <c r="AR58" cm="1">
        <f t="array" ref="AR58">_xlfn.SWITCH(Crops[[#This Row],[Normal Method]],"DS",Crops[[#This Row],[Days to Germination]]+Crops[[#This Row],[DTM]] + IF(Crops[[#This Row],[Days in Cells]]&gt;0,15,0), "TP",Crops[[#This Row],[DTM]]+Crops[[#This Row],[Days in Cells]] + IF(Crops[[#This Row],[Days in Cells]]&lt;=0,20,0), "X", Crops[[#This Row],[DTM]])</f>
        <v>120</v>
      </c>
      <c r="AS58" t="s">
        <v>347</v>
      </c>
      <c r="AT58">
        <f>(Crops[[#This Row],[Harvests]]-1)*Crops[[#This Row],[Days Between Harvest]]+7</f>
        <v>7</v>
      </c>
      <c r="AU58">
        <f>Crops[[#This Row],[STH]]-Crops[[#This Row],[Days in Cells]]+Crops[[#This Row],[Harvest window]]</f>
        <v>92</v>
      </c>
      <c r="AX58">
        <v>400</v>
      </c>
      <c r="AY58">
        <v>7</v>
      </c>
      <c r="AZ58" s="49">
        <f>IFERROR(IF(Crops[[#This Row],[Tray 1 Days]]=0,"",Crops[[#This Row],[Plantings Per Bed]]/Crops[[#This Row],[Tray 1 Size]]*Crops[[#This Row],[Safety Factor]]),"")</f>
        <v>0.22000000000000003</v>
      </c>
      <c r="BA58">
        <v>72</v>
      </c>
      <c r="BB58">
        <v>28</v>
      </c>
      <c r="BC58">
        <f>IFERROR(IF(Crops[[#This Row],[Tray 2 Days]]=0,"",Crops[[#This Row],[Plantings Per Bed]]/Crops[[#This Row],[Tray 2 Size]]*Crops[[#This Row],[Safety Factor]]),"")</f>
        <v>1.2222222222222223</v>
      </c>
      <c r="BE58" s="32" t="str">
        <f>IF(NOT(ISBLANK(Crops[[#This Row],[Tray 3 Size]])), Crops[[#This Row],[Days in Cells Old]]-SUM(Crops[[#This Row],[Tray 1 Days]],Crops[[#This Row],[Tray 2 Days]]), "")</f>
        <v/>
      </c>
      <c r="BF58" t="str">
        <f>IFERROR(IF(Crops[[#This Row],[Tray 3 Days]]=0,"",Crops[[#This Row],[Plantings Per Bed]]/Crops[[#This Row],[Tray 3 Size]]*Crops[[#This Row],[Safety Factor]]),"")</f>
        <v/>
      </c>
      <c r="BG58" s="33">
        <f>Crops[[#This Row],[Plantings Per Bed]]/Crops[[#This Row],[Harvests]]</f>
        <v>80</v>
      </c>
      <c r="BH58" s="33">
        <v>1</v>
      </c>
      <c r="BI58" s="33">
        <v>7</v>
      </c>
      <c r="BJ58" s="33">
        <f>_xlfn.XLOOKUP(Crops[[#This Row],[ProductIndex]],Products[ID],Products[Holding Period])</f>
        <v>45</v>
      </c>
      <c r="BK58" s="33"/>
      <c r="BL58" s="33">
        <f>Crops[[#This Row],[Units Per Harvest]]*Crops[[#This Row],[Harvests]]</f>
        <v>80</v>
      </c>
      <c r="BM58" s="35">
        <f>6*1.1</f>
        <v>6.6000000000000005</v>
      </c>
      <c r="BN58" s="35">
        <f>Crops[[#This Row],[Direct Price]]</f>
        <v>6.6000000000000005</v>
      </c>
      <c r="BO58" s="35"/>
      <c r="BP58" t="s">
        <v>214</v>
      </c>
      <c r="BQ58">
        <f>Crops[[#This Row],[Custom Yield Per Bed]]*Crops[[#This Row],[Direct Price]]</f>
        <v>528</v>
      </c>
      <c r="BR58" t="b">
        <v>1</v>
      </c>
      <c r="BS58" t="b">
        <f>Crops[[#This Row],[Harvests]]&gt;1</f>
        <v>0</v>
      </c>
      <c r="BT58" s="36">
        <f>IFERROR(Crops[[#This Row],[Direct Revenue Per Bed]]/Crops[[#This Row],[Days In Field]],-1)</f>
        <v>5.7391304347826084</v>
      </c>
      <c r="BU58" s="36">
        <f>IFERROR(Crops[[#This Row],[Direct Revenue Per Bed Day]]*GrowingDays*BedsPerAcre,"")</f>
        <v>165286.95652173914</v>
      </c>
      <c r="BV58" s="38">
        <f>LastFrostDate-5*Crops[[#This Row],[Sewing Rel Last Frost]]</f>
        <v>45743</v>
      </c>
      <c r="BW58" s="38">
        <f>Crops[[#This Row],[Target Sewing Date]]+Crops[[#This Row],[Days in Cells]]</f>
        <v>45778</v>
      </c>
      <c r="BX58" s="38">
        <f>Crops[[#This Row],[Target Sewing Date]]+Crops[[#This Row],[STH]]</f>
        <v>45863</v>
      </c>
      <c r="BY58" s="38">
        <f>Crops[[#This Row],[Target Harvest Data]]+Crops[[#This Row],[Harvest window]]</f>
        <v>45870</v>
      </c>
      <c r="BZ58">
        <v>1</v>
      </c>
      <c r="CA58" t="s">
        <v>373</v>
      </c>
      <c r="CB58">
        <f>1</f>
        <v>1</v>
      </c>
      <c r="CC58">
        <f>IF(Crops[[#This Row],[Transplanting]]&gt;0, 2, 3)*BedLength/StandardBedLength</f>
        <v>1</v>
      </c>
      <c r="CD58" s="173">
        <f>IF(Crops[[#This Row],[Days in Cells]]&lt;=0,0,Crops[[#This Row],[Plantings Per Bed]]/StartsPerHourSeeding+Crops[[#This Row],[Tray 1 Count]]*5/60)</f>
        <v>0.33083333333333331</v>
      </c>
      <c r="CE58" s="173">
        <f>IF(ISBLANK(Crops[[#This Row],[Tray 2 Days]]),0,Crops[[#This Row],[Plantings Per Bed]]/UpPottingPerHour)+IF(Crops[[#This Row],[Tray 3 Days]]="",0,Crops[[#This Row],[Plantings Per Bed]]/UpPottingPerHour)</f>
        <v>0.66666666666666663</v>
      </c>
      <c r="CF58" s="173">
        <f>IFERROR(Crops[[#This Row],[Tray 1 Count]]/HomeStartFlatIrrigationPerHour,0)*Crops[[#This Row],[Days in Cells]]/DaysBetweenStartIrrigation</f>
        <v>3.2083333333333339E-2</v>
      </c>
      <c r="CG58" s="173">
        <f>0.5/16*MAX(Crops[[#This Row],[Tray 1 Count]],Crops[[#This Row],[Tray 2 Count]],Crops[[#This Row],[Tray 3 Count]])</f>
        <v>3.8194444444444448E-2</v>
      </c>
      <c r="CH58" s="173">
        <f>IF(Crops[[#This Row],[Days in Cells]]&gt;0,IF(IF(Crops[[#This Row],[Tray 3 Size]]&gt;0,Crops[[#This Row],[Tray 3 Size]],IF(Crops[[#This Row],[Tray 2 Size]]&gt;0,Crops[[#This Row],[Tray 2 Size]],Crops[[#This Row],[Tray 1 Size]]))&lt;=18,LargeTransplantTime,SmallTransplantTime)*Crops[[#This Row],[Plantings Per Bed]],0)</f>
        <v>0.4</v>
      </c>
      <c r="CI58" s="173"/>
      <c r="CJ58" s="173">
        <f>_xlfn.XLOOKUP(Crops[[#This Row],[Trellis Type]],TrellisMethods[Trellis Type],TrellisMethods[Hours],0,0)</f>
        <v>0</v>
      </c>
      <c r="CK58">
        <f>IF(Crops[[#This Row],[Days in Cells]]&lt;=0,Crops[[#This Row],[Rows]]*1/10,0)*BedLength/50</f>
        <v>0</v>
      </c>
      <c r="CL58" cm="1">
        <f t="array" ref="CL58">_xlfn.SWITCH(Crops[[#This Row],[Irrigation]],"DR", 0.5, "OH", 0.25,0)*BedLength/50</f>
        <v>0</v>
      </c>
      <c r="CM58">
        <f>IF(OR(ISBLANK(Crops[[#This Row],[Row Cover]]),Crops[[#This Row],[Row Cover]]="None"),0,1)*BedLength/50</f>
        <v>0</v>
      </c>
      <c r="CN58" s="173">
        <f>HoursPerWeedingPass*Crops[[#This Row],[Days In Field]]/14*Crops[[#This Row],[Rows]]+1*BedLength/50</f>
        <v>3.1904761904761902</v>
      </c>
      <c r="CO58" s="49">
        <f t="shared" si="0"/>
        <v>1</v>
      </c>
      <c r="CQ58" s="37">
        <f>_xlfn.XLOOKUP(Crops[[#This Row],[Crop]]&amp;Crops[[#This Row],[Product]]&amp;Crops[[#This Row],[Unit]],Products[ID],Products[Marketing (hr)])*Crops[[#This Row],[Direct Revenue Per Bed]]/2000</f>
        <v>0.52800000000000002</v>
      </c>
      <c r="CR58" s="37">
        <f>_xlfn.XLOOKUP(Crops[[#This Row],[Crop]]&amp;Crops[[#This Row],[Product]]&amp;Crops[[#This Row],[Unit]],Products[ID],Products[Harvest (s)])*Crops[[#This Row],[Custom Yield Per Bed]]/3600</f>
        <v>0.22222222222222221</v>
      </c>
      <c r="CS58" s="37">
        <f>_xlfn.XLOOKUP(Crops[[#This Row],[Crop]]&amp;Crops[[#This Row],[Product]]&amp;Crops[[#This Row],[Unit]],Products[ID],Products[Bunch (s)])*Crops[[#This Row],[Custom Yield Per Bed]]/3600</f>
        <v>0</v>
      </c>
      <c r="CT58" s="37">
        <f>_xlfn.XLOOKUP(Crops[[#This Row],[Crop]]&amp;Crops[[#This Row],[Product]]&amp;Crops[[#This Row],[Unit]],Products[ID],Products[Haul (s)])*Crops[[#This Row],[Custom Yield Per Bed]]/3600</f>
        <v>0.25</v>
      </c>
      <c r="CU58" s="37">
        <f>_xlfn.XLOOKUP(Crops[[#This Row],[Crop]]&amp;Crops[[#This Row],[Product]]&amp;Crops[[#This Row],[Unit]],Products[ID],Products[Wash (s)])*Crops[[#This Row],[Custom Yield Per Bed]]/3600</f>
        <v>0.1111111111111111</v>
      </c>
      <c r="CV58" s="37">
        <f>_xlfn.XLOOKUP(Crops[[#This Row],[Crop]]&amp;Crops[[#This Row],[Product]]&amp;Crops[[#This Row],[Unit]],Products[ID],Products[Condition (s)])*Crops[[#This Row],[Custom Yield Per Bed]]/3600</f>
        <v>0</v>
      </c>
      <c r="CW58" s="37">
        <f>_xlfn.XLOOKUP(Crops[[#This Row],[Crop]]&amp;Crops[[#This Row],[Product]]&amp;Crops[[#This Row],[Unit]],Products[ID],Products[Trim (s)])*Crops[[#This Row],[Custom Yield Per Bed]]/3600</f>
        <v>0.22222222222222221</v>
      </c>
      <c r="CX58" s="37">
        <f>_xlfn.XLOOKUP(Crops[[#This Row],[Crop]]&amp;Crops[[#This Row],[Product]]&amp;Crops[[#This Row],[Unit]],Products[ID],Products[Pack (s)])*Crops[[#This Row],[Custom Yield Per Bed]]/3600</f>
        <v>6.6666666666666666E-2</v>
      </c>
      <c r="CY58" s="37">
        <f>_xlfn.XLOOKUP(Crops[[#This Row],[Crop]]&amp;Crops[[#This Row],[Product]]&amp;Crops[[#This Row],[Unit]],Products[ID],Products[Clean (s)])*Crops[[#This Row],[Custom Yield Per Bed]]/3600</f>
        <v>0</v>
      </c>
      <c r="CZ58" s="37">
        <f>_xlfn.XLOOKUP(Crops[[#This Row],[Crop]]&amp;Crops[[#This Row],[Product]]&amp;Crops[[#This Row],[Unit]],Products[ID],Products[Rehandle (s)])*Crops[[#This Row],[Custom Yield Per Bed]]/3600</f>
        <v>0</v>
      </c>
      <c r="DA58" s="37">
        <f>_xlfn.XLOOKUP(Crops[[#This Row],[Crop]]&amp;Crops[[#This Row],[Product]]&amp;Crops[[#This Row],[Unit]],Products[ID],Products[Market Transport (s)])*Crops[[#This Row],[Custom Yield Per Bed]]/3600</f>
        <v>0.625</v>
      </c>
      <c r="DC58" s="37">
        <f>Crops[[#This Row],[Direct Revenue Per Bed2]]</f>
        <v>528</v>
      </c>
      <c r="DD58" s="173">
        <f>_xlfn.AGGREGATE(9,6,Crops[[#This Row],[Bed Prep]:[Remove Crop Residue]])</f>
        <v>8.6834761904761901</v>
      </c>
      <c r="DE58" s="173">
        <f>_xlfn.AGGREGATE(9,6,Crops[[#This Row],[Bed Prep]:[Remove Crop Residue]])-0.75*Crops[[#This Row],[Market &amp; Sell]]</f>
        <v>8.2874761904761893</v>
      </c>
      <c r="DF58" s="36">
        <f>Crops[[#This Row],[Direct Revenue Per Bed2]]/Crops[[#This Row],[Direct Time]]</f>
        <v>60.805141675760751</v>
      </c>
      <c r="DG58" s="36">
        <f>_xlfn.XLOOKUP(Crops[[#This Row],[ProductIndex]],Products[ID],Products[Packaging Cost])*(Crops[[#This Row],[Custom Yield Per Bed]]/_xlfn.XLOOKUP(Crops[[#This Row],[ProductIndex]],Products[ID],Products[Units Per Pack]))</f>
        <v>38</v>
      </c>
      <c r="DH58" s="36"/>
      <c r="DI58" s="36"/>
      <c r="DJ58" s="36"/>
      <c r="DK58" s="36"/>
      <c r="DL58" s="36"/>
      <c r="DM58" s="33">
        <f>IFERROR(Crops[[#This Row],[Custom Yield Per Bed]]*Crops[[#This Row],[Direct Price]],"")</f>
        <v>528</v>
      </c>
      <c r="DN58" s="36">
        <f>Crops[[#This Row],[Direct Time]]*LaborRate</f>
        <v>217.08690476190475</v>
      </c>
      <c r="DO58" s="36">
        <f>SUM(Crops[[#This Row],[Irrigation Cost]])</f>
        <v>0</v>
      </c>
      <c r="DP58" s="36">
        <f>Crops[[#This Row],[Direct Labor Cost]]+Crops[[#This Row],[Direct Non-Labor Cost]]</f>
        <v>217.08690476190475</v>
      </c>
      <c r="DQ58" s="36">
        <f>Crops[[#This Row],[Direct Revenue Per Bed2]]-Crops[[#This Row],[Direct Total Cost]]</f>
        <v>310.91309523809525</v>
      </c>
      <c r="DR58" s="36">
        <f>Crops[[#This Row],[Direct Profit]]*BedsPerAcre</f>
        <v>49746.095238095237</v>
      </c>
      <c r="DS58" s="36">
        <f>Crops[[#This Row],[Direct Profit]]*BedsPerAcre*GrowingDays/Crops[[#This Row],[Days In Field]]</f>
        <v>97329.316770186328</v>
      </c>
      <c r="DT58" s="36">
        <f>Crops[[#This Row],[Direct Profit]]/MIN(Crops[[#This Row],[Days In Field]],GrowingDays)</f>
        <v>3.37949016563147</v>
      </c>
      <c r="DU58" s="33">
        <f>Crops[[#This Row],[Direct Time]] * BedsPerAcre</f>
        <v>1389.3561904761905</v>
      </c>
      <c r="DV58" s="36">
        <f>(Crops[[#This Row],[Direct Revenue Per Bed2]]-Crops[[#This Row],[Direct Non-Labor Cost]])/Crops[[#This Row],[Direct Time]]</f>
        <v>60.805141675760751</v>
      </c>
      <c r="DW58" s="33">
        <f>IFERROR(Crops[[#This Row],[Custom Yield Per Bed]]*Crops[[#This Row],[Rough Wholesale Price]],"")</f>
        <v>528</v>
      </c>
      <c r="DX58" s="36">
        <f>Crops[[#This Row],[Wholesale Time]]*LaborRate</f>
        <v>207.18690476190474</v>
      </c>
      <c r="DY58" s="36">
        <f>SUM(Crops[[#This Row],[Packaging Costs]:[Irrigation Cost]])</f>
        <v>38</v>
      </c>
      <c r="DZ58" s="36">
        <f>Crops[[#This Row],[Wholesale Labor Cost]]+Crops[[#This Row],[Wholesale Non-Labor Cost]]</f>
        <v>245.18690476190474</v>
      </c>
      <c r="EA58" s="36">
        <f>Crops[[#This Row],[Wholesale Revenue Per Bed]]-Crops[[#This Row],[Wholesale Total Cost]]</f>
        <v>282.81309523809523</v>
      </c>
      <c r="EB58" s="36">
        <f>Crops[[#This Row],[Wholesale Profit]]*BedsPerAcre</f>
        <v>45250.095238095237</v>
      </c>
      <c r="EC58" s="36">
        <f>Crops[[#This Row],[Wholesale Profit]]*BedsPerAcre*GrowingDays/Crops[[#This Row],[Days In Field]]</f>
        <v>88532.795031055895</v>
      </c>
      <c r="ED58" s="33">
        <f>Crops[[#This Row],[Wholesale Time]] * BedsPerAcre</f>
        <v>1325.9961904761903</v>
      </c>
      <c r="EE58" s="221">
        <f>Crops[[#This Row],[Wholesale Profit]]/MIN(Crops[[#This Row],[Days In Field]],GrowingDays)</f>
        <v>3.0740553830227744</v>
      </c>
      <c r="EF58" s="36">
        <f>(Crops[[#This Row],[Wholesale Revenue Per Bed]]-Crops[[#This Row],[Wholesale Non-Labor Cost]])/Crops[[#This Row],[Direct Time]]</f>
        <v>56.429014055156756</v>
      </c>
      <c r="EG58" s="174">
        <f>Crops[[#This Row],[Packaging Costs]]/Crops[[#This Row],[Wholesale Revenue Per Bed]]</f>
        <v>7.1969696969696975E-2</v>
      </c>
      <c r="EH58" s="36" t="str">
        <f>Crops[[#This Row],[Crop]]&amp;Crops[[#This Row],[Product]]&amp;Crops[[#This Row],[Unit]]</f>
        <v>CabbageLarge HeadHead</v>
      </c>
      <c r="EI58" s="36" t="b">
        <f>_xlfn.XLOOKUP(Crops[[#This Row],[ProductIndex]],Products[ID],Products[Target])</f>
        <v>1</v>
      </c>
      <c r="EJ58" s="33">
        <f>Crops[[#This Row],[Custom Yield Per Bed]]</f>
        <v>80</v>
      </c>
      <c r="EK58" s="210">
        <f>Crops[[#This Row],[Units Per Harvest]]/Crops[[#This Row],[Days Between Harvest]]*7</f>
        <v>80</v>
      </c>
      <c r="EL58" s="210">
        <f>Crops[[#This Row],[Custom Yield Per Bed]]/_xlfn.XLOOKUP(Crops[[#This Row],[ProductIndex]],Products[ID],Products[CSA Portion])</f>
        <v>80</v>
      </c>
      <c r="EM58" s="210">
        <f>Crops[[#This Row],[Units Per Harvest]]/Crops[[#This Row],[Days Between Harvest]]*7/_xlfn.XLOOKUP(Crops[[#This Row],[ProductIndex]],Products[ID],Products[CSA Portion])</f>
        <v>80</v>
      </c>
      <c r="EN58" s="210">
        <f>Crops[[#This Row],[CSA Portions Per Week]]/CSAMembers</f>
        <v>1.6</v>
      </c>
      <c r="EO58" s="216"/>
      <c r="EP58" s="216"/>
      <c r="EQ58" s="210"/>
      <c r="ER58" s="210">
        <f>Crops[[#This Row],[Harvests]]*Crops[[#This Row],[Days Between Harvest]]/7</f>
        <v>1</v>
      </c>
      <c r="ES58" s="217">
        <f>_xlfn.XLOOKUP(Crops[[#This Row],[ProductIndex]],Products[ID],Products[CSA Need])</f>
        <v>2</v>
      </c>
      <c r="ET58" s="217">
        <f>_xlfn.XLOOKUP(Crops[[#This Row],[ProductIndex]],Products[ID],Products[CSA Times])</f>
        <v>2</v>
      </c>
      <c r="EU58" s="208">
        <f>Crops[[#This Row],[Custom Yield Per Bed]]/(Crops[[#This Row],[CSA Need]]*(_xlfn.XLOOKUP(Crops[[#This Row],[ProductIndex]],Products[ID],Products[CSA Portion])*CSAMembers))</f>
        <v>0.8</v>
      </c>
      <c r="EV58" s="208">
        <f>_xlfn.XLOOKUP(Crops[[#This Row],[ProductIndex]],Products[ID],Products[CSA Portion])*CSAMembers*Crops[[#This Row],[CSA Need]]/Crops[[#This Row],[Custom Yield Per Bed]]</f>
        <v>1.25</v>
      </c>
      <c r="EW58" s="208">
        <f>IFERROR(Crops[[#This Row],[Days In Field]]*Crops[[#This Row],[CSA Beds]],"")</f>
        <v>115</v>
      </c>
      <c r="EX58" s="208" t="e">
        <f>Crops[[#This Row],[CSA Bed Days]]*#REF!</f>
        <v>#REF!</v>
      </c>
      <c r="EY58" t="s">
        <v>314</v>
      </c>
    </row>
    <row r="59" spans="1:158">
      <c r="A5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(Lg) - Large Head 1X | Field TP Wi</v>
      </c>
      <c r="B59" s="191"/>
      <c r="C59" s="1" t="b">
        <v>1</v>
      </c>
      <c r="D59" s="1"/>
      <c r="E59" s="1" t="b">
        <v>0</v>
      </c>
      <c r="F59" s="1" t="b">
        <f>IFERROR(IF(ISNUMBER(MATCH(Crops[[#This Row],[Identifier]],BedPlan[Crop], 0)), TRUE, FALSE), FALSE)</f>
        <v>0</v>
      </c>
      <c r="G59" s="1" t="b">
        <f>IFERROR(IF(ISNUMBER(MATCH(Crops[[#This Row],[Identifier]],BedPlan[Crop], 0)), TRUE, FALSE), FALSE)</f>
        <v>0</v>
      </c>
      <c r="H59" s="1"/>
      <c r="I59" t="s">
        <v>52</v>
      </c>
      <c r="J59" t="s">
        <v>1887</v>
      </c>
      <c r="K59" t="s">
        <v>2360</v>
      </c>
      <c r="M59" t="s">
        <v>445</v>
      </c>
      <c r="N59" t="str">
        <f>Crops[[#This Row],[Crop]]</f>
        <v>Cabbage</v>
      </c>
      <c r="O59" t="s">
        <v>210</v>
      </c>
      <c r="P59" t="str">
        <f>IF(OR(Crops[[#This Row],[Days in Cells]]="",Crops[[#This Row],[Days in Cells]]=0), "DS","TP")</f>
        <v>TP</v>
      </c>
      <c r="T59" t="b">
        <v>1</v>
      </c>
      <c r="V59" t="str">
        <f xml:space="preserve"> IF(Crops[[#This Row],[Sp]], "Sp", "") &amp; IF(Crops[[#This Row],[Su]], "Su", "") &amp; IF(Crops[[#This Row],[Fa]], "Fa", "") &amp; IF(Crops[[#This Row],[Wi]], "Wi", "") &amp; IF(Crops[[#This Row],[OW]], "Ow","")</f>
        <v>Wi</v>
      </c>
      <c r="W59" t="s">
        <v>144</v>
      </c>
      <c r="X59">
        <v>2</v>
      </c>
      <c r="Y59">
        <v>18</v>
      </c>
      <c r="AA59" t="s">
        <v>475</v>
      </c>
      <c r="AB59" t="b">
        <v>1</v>
      </c>
      <c r="AC59">
        <v>1.5</v>
      </c>
      <c r="AD59" s="32">
        <f>IFERROR(12/Crops[[#This Row],[Spacing]]*Crops[[#This Row],[Rows]]*BedLength,"")</f>
        <v>66.666666666666657</v>
      </c>
      <c r="AE59">
        <v>1</v>
      </c>
      <c r="AG59">
        <v>1.1000000000000001</v>
      </c>
      <c r="AH59">
        <v>2</v>
      </c>
      <c r="AI59" s="33">
        <f>IFERROR(Crops[[#This Row],[Plantings Per Bed]]*Crops[[#This Row],[Seeds Per Planting]]*Crops[[#This Row],[Safety Factor]]*Crops[[#This Row],[Seeding Factor]],"")</f>
        <v>146.66666666666666</v>
      </c>
      <c r="AL59">
        <f>_xlfn.FLOOR.MATH(IFERROR(AVERAGE(Crops[[#This Row],[DTG Lower]:[DTG Upper]]),0))</f>
        <v>0</v>
      </c>
      <c r="AM59">
        <f>SUM(Crops[[#This Row],[Tray 1 Days]],Crops[[#This Row],[Tray 2 Days]],Crops[[#This Row],[Tray 3 Days]])</f>
        <v>35</v>
      </c>
      <c r="AN59" s="32">
        <v>35</v>
      </c>
      <c r="AP59">
        <v>100</v>
      </c>
      <c r="AQ59">
        <f>IFERROR(_xlfn.FLOOR.MATH(AVERAGE(Crops[[#This Row],[DTM Lower]:[DTM Upper]])),"")</f>
        <v>100</v>
      </c>
      <c r="AR59" cm="1">
        <f t="array" ref="AR59">_xlfn.SWITCH(Crops[[#This Row],[Normal Method]],"DS",Crops[[#This Row],[Days to Germination]]+Crops[[#This Row],[DTM]] + IF(Crops[[#This Row],[Days in Cells]]&gt;0,15,0), "TP",Crops[[#This Row],[DTM]]+Crops[[#This Row],[Days in Cells]] + IF(Crops[[#This Row],[Days in Cells]]&lt;=0,20,0), "X", Crops[[#This Row],[DTM]])</f>
        <v>135</v>
      </c>
      <c r="AS59" t="s">
        <v>346</v>
      </c>
      <c r="AT59">
        <f>(Crops[[#This Row],[Harvests]]-1)*Crops[[#This Row],[Days Between Harvest]]+7</f>
        <v>49</v>
      </c>
      <c r="AU59">
        <f>Crops[[#This Row],[STH]]-Crops[[#This Row],[Days in Cells]]+Crops[[#This Row],[Harvest window]]</f>
        <v>149</v>
      </c>
      <c r="AX59">
        <v>400</v>
      </c>
      <c r="AY59">
        <v>7</v>
      </c>
      <c r="AZ59" s="49">
        <f>IFERROR(IF(Crops[[#This Row],[Tray 1 Days]]=0,"",Crops[[#This Row],[Plantings Per Bed]]/Crops[[#This Row],[Tray 1 Size]]*Crops[[#This Row],[Safety Factor]]),"")</f>
        <v>0.18333333333333332</v>
      </c>
      <c r="BA59">
        <v>72</v>
      </c>
      <c r="BB59">
        <v>28</v>
      </c>
      <c r="BC59">
        <f>IFERROR(IF(Crops[[#This Row],[Tray 2 Days]]=0,"",Crops[[#This Row],[Plantings Per Bed]]/Crops[[#This Row],[Tray 2 Size]]*Crops[[#This Row],[Safety Factor]]),"")</f>
        <v>1.0185185185185184</v>
      </c>
      <c r="BE59" s="32" t="str">
        <f>IF(NOT(ISBLANK(Crops[[#This Row],[Tray 3 Size]])), Crops[[#This Row],[Days in Cells Old]]-SUM(Crops[[#This Row],[Tray 1 Days]],Crops[[#This Row],[Tray 2 Days]]), "")</f>
        <v/>
      </c>
      <c r="BF59" s="49" t="str">
        <f>IFERROR(IF(Crops[[#This Row],[Tray 3 Days]]=0,"",Crops[[#This Row],[Plantings Per Bed]]/Crops[[#This Row],[Tray 3 Size]]*Crops[[#This Row],[Safety Factor]]),"")</f>
        <v/>
      </c>
      <c r="BG59" s="33">
        <f>Crops[[#This Row],[Plantings Per Bed]]/Crops[[#This Row],[Harvests]]</f>
        <v>22.222222222222218</v>
      </c>
      <c r="BH59" s="33">
        <v>3</v>
      </c>
      <c r="BI59" s="33">
        <v>21</v>
      </c>
      <c r="BJ59" s="33">
        <f>_xlfn.XLOOKUP(Crops[[#This Row],[ProductIndex]],Products[ID],Products[Holding Period])</f>
        <v>45</v>
      </c>
      <c r="BK59" s="33"/>
      <c r="BL59" s="33">
        <f>Crops[[#This Row],[Units Per Harvest]]*Crops[[#This Row],[Harvests]]</f>
        <v>66.666666666666657</v>
      </c>
      <c r="BM59" s="35">
        <f>6*1.1</f>
        <v>6.6000000000000005</v>
      </c>
      <c r="BN59" s="35">
        <f>Crops[[#This Row],[Direct Price]]</f>
        <v>6.6000000000000005</v>
      </c>
      <c r="BO59" s="35"/>
      <c r="BP59" t="s">
        <v>214</v>
      </c>
      <c r="BQ59">
        <f>Crops[[#This Row],[Custom Yield Per Bed]]*Crops[[#This Row],[Direct Price]]</f>
        <v>440</v>
      </c>
      <c r="BR59" t="b">
        <v>1</v>
      </c>
      <c r="BS59" t="b">
        <f>Crops[[#This Row],[Harvests]]&gt;1</f>
        <v>1</v>
      </c>
      <c r="BT59" s="36">
        <f>IFERROR(Crops[[#This Row],[Direct Revenue Per Bed]]/Crops[[#This Row],[Days In Field]],-1)</f>
        <v>2.9530201342281881</v>
      </c>
      <c r="BU59" s="36">
        <f>IFERROR(Crops[[#This Row],[Direct Revenue Per Bed Day]]*GrowingDays*BedsPerAcre,"")</f>
        <v>85046.979865771806</v>
      </c>
      <c r="BV59" s="38">
        <f>LastFrostDate-5*Crops[[#This Row],[Sewing Rel Last Frost]]</f>
        <v>45808</v>
      </c>
      <c r="BW59" s="38">
        <f>Crops[[#This Row],[Target Sewing Date]]+Crops[[#This Row],[Days in Cells]]</f>
        <v>45843</v>
      </c>
      <c r="BX59" s="38">
        <f>Crops[[#This Row],[Target Sewing Date]]+Crops[[#This Row],[STH]]</f>
        <v>45943</v>
      </c>
      <c r="BY59" s="38">
        <f>Crops[[#This Row],[Target Harvest Data]]+Crops[[#This Row],[Harvest window]]</f>
        <v>45992</v>
      </c>
      <c r="BZ59">
        <v>-12</v>
      </c>
      <c r="CA59" t="s">
        <v>373</v>
      </c>
      <c r="CB59">
        <f>1</f>
        <v>1</v>
      </c>
      <c r="CC59">
        <f>IF(Crops[[#This Row],[Transplanting]]&gt;0, 2, 3)*BedLength/StandardBedLength</f>
        <v>1</v>
      </c>
      <c r="CD59" s="173">
        <f>IF(Crops[[#This Row],[Days in Cells]]&lt;=0,0,Crops[[#This Row],[Plantings Per Bed]]/StartsPerHourSeeding+Crops[[#This Row],[Tray 1 Count]]*5/60)</f>
        <v>0.27569444444444441</v>
      </c>
      <c r="CE59" s="173">
        <f>IF(ISBLANK(Crops[[#This Row],[Tray 2 Days]]),0,Crops[[#This Row],[Plantings Per Bed]]/UpPottingPerHour)+IF(Crops[[#This Row],[Tray 3 Days]]="",0,Crops[[#This Row],[Plantings Per Bed]]/UpPottingPerHour)</f>
        <v>0.55555555555555547</v>
      </c>
      <c r="CF59" s="173">
        <f>IFERROR(Crops[[#This Row],[Tray 1 Count]]/HomeStartFlatIrrigationPerHour,0)*Crops[[#This Row],[Days in Cells]]/DaysBetweenStartIrrigation</f>
        <v>2.673611111111111E-2</v>
      </c>
      <c r="CG59" s="173">
        <f>0.5/16*MAX(Crops[[#This Row],[Tray 1 Count]],Crops[[#This Row],[Tray 2 Count]],Crops[[#This Row],[Tray 3 Count]])</f>
        <v>3.1828703703703699E-2</v>
      </c>
      <c r="CH59" s="173">
        <f>IF(Crops[[#This Row],[Days in Cells]]&gt;0,IF(IF(Crops[[#This Row],[Tray 3 Size]]&gt;0,Crops[[#This Row],[Tray 3 Size]],IF(Crops[[#This Row],[Tray 2 Size]]&gt;0,Crops[[#This Row],[Tray 2 Size]],Crops[[#This Row],[Tray 1 Size]]))&lt;=18,LargeTransplantTime,SmallTransplantTime)*Crops[[#This Row],[Plantings Per Bed]],0)</f>
        <v>0.33333333333333331</v>
      </c>
      <c r="CI59" s="173"/>
      <c r="CJ59" s="173">
        <f>_xlfn.XLOOKUP(Crops[[#This Row],[Trellis Type]],TrellisMethods[Trellis Type],TrellisMethods[Hours],0,0)</f>
        <v>0</v>
      </c>
      <c r="CK59">
        <f>IF(Crops[[#This Row],[Days in Cells]]&lt;=0,Crops[[#This Row],[Rows]]*1/10,0)*BedLength/50</f>
        <v>0</v>
      </c>
      <c r="CL59" cm="1">
        <f t="array" ref="CL59">_xlfn.SWITCH(Crops[[#This Row],[Irrigation]],"DR", 0.5, "OH", 0.25,0)*BedLength/50</f>
        <v>0</v>
      </c>
      <c r="CM59">
        <f>IF(OR(ISBLANK(Crops[[#This Row],[Row Cover]]),Crops[[#This Row],[Row Cover]]="None"),0,1)*BedLength/50</f>
        <v>1</v>
      </c>
      <c r="CN59" s="173">
        <f>HoursPerWeedingPass*Crops[[#This Row],[Days In Field]]/14*Crops[[#This Row],[Rows]]+1*BedLength/50</f>
        <v>4.5476190476190474</v>
      </c>
      <c r="CO59" s="49">
        <f t="shared" si="0"/>
        <v>1</v>
      </c>
      <c r="CQ59" s="37">
        <f>_xlfn.XLOOKUP(Crops[[#This Row],[Crop]]&amp;Crops[[#This Row],[Product]]&amp;Crops[[#This Row],[Unit]],Products[ID],Products[Marketing (hr)])*Crops[[#This Row],[Direct Revenue Per Bed]]/2000</f>
        <v>0.44</v>
      </c>
      <c r="CR59" s="37">
        <f>_xlfn.XLOOKUP(Crops[[#This Row],[Crop]]&amp;Crops[[#This Row],[Product]]&amp;Crops[[#This Row],[Unit]],Products[ID],Products[Harvest (s)])*Crops[[#This Row],[Custom Yield Per Bed]]/3600</f>
        <v>0.18518518518518515</v>
      </c>
      <c r="CS59" s="37">
        <f>_xlfn.XLOOKUP(Crops[[#This Row],[Crop]]&amp;Crops[[#This Row],[Product]]&amp;Crops[[#This Row],[Unit]],Products[ID],Products[Bunch (s)])*Crops[[#This Row],[Custom Yield Per Bed]]/3600</f>
        <v>0</v>
      </c>
      <c r="CT59" s="37">
        <f>_xlfn.XLOOKUP(Crops[[#This Row],[Crop]]&amp;Crops[[#This Row],[Product]]&amp;Crops[[#This Row],[Unit]],Products[ID],Products[Haul (s)])*Crops[[#This Row],[Custom Yield Per Bed]]/3600</f>
        <v>0.20833333333333331</v>
      </c>
      <c r="CU59" s="37">
        <f>_xlfn.XLOOKUP(Crops[[#This Row],[Crop]]&amp;Crops[[#This Row],[Product]]&amp;Crops[[#This Row],[Unit]],Products[ID],Products[Wash (s)])*Crops[[#This Row],[Custom Yield Per Bed]]/3600</f>
        <v>9.2592592592592574E-2</v>
      </c>
      <c r="CV59" s="37">
        <f>_xlfn.XLOOKUP(Crops[[#This Row],[Crop]]&amp;Crops[[#This Row],[Product]]&amp;Crops[[#This Row],[Unit]],Products[ID],Products[Condition (s)])*Crops[[#This Row],[Custom Yield Per Bed]]/3600</f>
        <v>0</v>
      </c>
      <c r="CW59" s="37">
        <f>_xlfn.XLOOKUP(Crops[[#This Row],[Crop]]&amp;Crops[[#This Row],[Product]]&amp;Crops[[#This Row],[Unit]],Products[ID],Products[Trim (s)])*Crops[[#This Row],[Custom Yield Per Bed]]/3600</f>
        <v>0.18518518518518515</v>
      </c>
      <c r="CX59" s="37">
        <f>_xlfn.XLOOKUP(Crops[[#This Row],[Crop]]&amp;Crops[[#This Row],[Product]]&amp;Crops[[#This Row],[Unit]],Products[ID],Products[Pack (s)])*Crops[[#This Row],[Custom Yield Per Bed]]/3600</f>
        <v>5.5555555555555546E-2</v>
      </c>
      <c r="CY59" s="37">
        <f>_xlfn.XLOOKUP(Crops[[#This Row],[Crop]]&amp;Crops[[#This Row],[Product]]&amp;Crops[[#This Row],[Unit]],Products[ID],Products[Clean (s)])*Crops[[#This Row],[Custom Yield Per Bed]]/3600</f>
        <v>0</v>
      </c>
      <c r="CZ59" s="37">
        <f>_xlfn.XLOOKUP(Crops[[#This Row],[Crop]]&amp;Crops[[#This Row],[Product]]&amp;Crops[[#This Row],[Unit]],Products[ID],Products[Rehandle (s)])*Crops[[#This Row],[Custom Yield Per Bed]]/3600</f>
        <v>0</v>
      </c>
      <c r="DA59" s="37">
        <f>_xlfn.XLOOKUP(Crops[[#This Row],[Crop]]&amp;Crops[[#This Row],[Product]]&amp;Crops[[#This Row],[Unit]],Products[ID],Products[Market Transport (s)])*Crops[[#This Row],[Custom Yield Per Bed]]/3600</f>
        <v>0.52083333333333326</v>
      </c>
      <c r="DC59" s="37">
        <f>Crops[[#This Row],[Direct Revenue Per Bed2]]</f>
        <v>440</v>
      </c>
      <c r="DD59" s="173">
        <f>_xlfn.AGGREGATE(9,6,Crops[[#This Row],[Bed Prep]:[Remove Crop Residue]])</f>
        <v>10.458452380952382</v>
      </c>
      <c r="DE59" s="173">
        <f>_xlfn.AGGREGATE(9,6,Crops[[#This Row],[Bed Prep]:[Remove Crop Residue]])-0.75*Crops[[#This Row],[Market &amp; Sell]]</f>
        <v>10.128452380952382</v>
      </c>
      <c r="DF59" s="36">
        <f>Crops[[#This Row],[Direct Revenue Per Bed2]]/Crops[[#This Row],[Direct Time]]</f>
        <v>42.071234248898698</v>
      </c>
      <c r="DG59" s="36">
        <f>_xlfn.XLOOKUP(Crops[[#This Row],[ProductIndex]],Products[ID],Products[Packaging Cost])*(Crops[[#This Row],[Custom Yield Per Bed]]/_xlfn.XLOOKUP(Crops[[#This Row],[ProductIndex]],Products[ID],Products[Units Per Pack]))</f>
        <v>31.666666666666661</v>
      </c>
      <c r="DH59" s="36"/>
      <c r="DI59" s="36"/>
      <c r="DJ59" s="36"/>
      <c r="DK59" s="36"/>
      <c r="DL59" s="36"/>
      <c r="DM59" s="33">
        <f>IFERROR(Crops[[#This Row],[Custom Yield Per Bed]]*Crops[[#This Row],[Direct Price]],"")</f>
        <v>440</v>
      </c>
      <c r="DN59" s="36">
        <f>Crops[[#This Row],[Direct Time]]*LaborRate</f>
        <v>261.46130952380958</v>
      </c>
      <c r="DO59" s="36">
        <f>SUM(Crops[[#This Row],[Irrigation Cost]])</f>
        <v>0</v>
      </c>
      <c r="DP59" s="36">
        <f>Crops[[#This Row],[Direct Labor Cost]]+Crops[[#This Row],[Direct Non-Labor Cost]]</f>
        <v>261.46130952380958</v>
      </c>
      <c r="DQ59" s="36">
        <f>Crops[[#This Row],[Direct Revenue Per Bed2]]-Crops[[#This Row],[Direct Total Cost]]</f>
        <v>178.53869047619042</v>
      </c>
      <c r="DR59" s="36">
        <f>Crops[[#This Row],[Direct Profit]]*BedsPerAcre</f>
        <v>28566.190476190466</v>
      </c>
      <c r="DS59" s="36">
        <f>Crops[[#This Row],[Direct Profit]]*BedsPerAcre*GrowingDays/Crops[[#This Row],[Days In Field]]</f>
        <v>34509.491850431434</v>
      </c>
      <c r="DT59" s="36">
        <f>Crops[[#This Row],[Direct Profit]]/MIN(Crops[[#This Row],[Days In Field]],GrowingDays)</f>
        <v>1.1982462448066471</v>
      </c>
      <c r="DU59" s="33">
        <f>Crops[[#This Row],[Direct Time]] * BedsPerAcre</f>
        <v>1673.3523809523811</v>
      </c>
      <c r="DV59" s="36">
        <f>(Crops[[#This Row],[Direct Revenue Per Bed2]]-Crops[[#This Row],[Direct Non-Labor Cost]])/Crops[[#This Row],[Direct Time]]</f>
        <v>42.071234248898698</v>
      </c>
      <c r="DW59" s="33">
        <f>IFERROR(Crops[[#This Row],[Custom Yield Per Bed]]*Crops[[#This Row],[Rough Wholesale Price]],"")</f>
        <v>440</v>
      </c>
      <c r="DX59" s="36">
        <f>Crops[[#This Row],[Wholesale Time]]*LaborRate</f>
        <v>253.21130952380955</v>
      </c>
      <c r="DY59" s="36">
        <f>SUM(Crops[[#This Row],[Packaging Costs]:[Irrigation Cost]])</f>
        <v>31.666666666666661</v>
      </c>
      <c r="DZ59" s="36">
        <f>Crops[[#This Row],[Wholesale Labor Cost]]+Crops[[#This Row],[Wholesale Non-Labor Cost]]</f>
        <v>284.8779761904762</v>
      </c>
      <c r="EA59" s="36">
        <f>Crops[[#This Row],[Wholesale Revenue Per Bed]]-Crops[[#This Row],[Wholesale Total Cost]]</f>
        <v>155.1220238095238</v>
      </c>
      <c r="EB59" s="36">
        <f>Crops[[#This Row],[Wholesale Profit]]*BedsPerAcre</f>
        <v>24819.523809523809</v>
      </c>
      <c r="EC59" s="36">
        <f>Crops[[#This Row],[Wholesale Profit]]*BedsPerAcre*GrowingDays/Crops[[#This Row],[Days In Field]]</f>
        <v>29983.317353787152</v>
      </c>
      <c r="ED59" s="33">
        <f>Crops[[#This Row],[Wholesale Time]] * BedsPerAcre</f>
        <v>1620.5523809523811</v>
      </c>
      <c r="EE59" s="221">
        <f>Crops[[#This Row],[Wholesale Profit]]/MIN(Crops[[#This Row],[Days In Field]],GrowingDays)</f>
        <v>1.0410874081176094</v>
      </c>
      <c r="EF59" s="36">
        <f>(Crops[[#This Row],[Wholesale Revenue Per Bed]]-Crops[[#This Row],[Wholesale Non-Labor Cost]])/Crops[[#This Row],[Direct Time]]</f>
        <v>39.043380268864318</v>
      </c>
      <c r="EG59" s="174">
        <f>Crops[[#This Row],[Packaging Costs]]/Crops[[#This Row],[Wholesale Revenue Per Bed]]</f>
        <v>7.1969696969696961E-2</v>
      </c>
      <c r="EH59" s="36" t="str">
        <f>Crops[[#This Row],[Crop]]&amp;Crops[[#This Row],[Product]]&amp;Crops[[#This Row],[Unit]]</f>
        <v>CabbageLarge HeadHead</v>
      </c>
      <c r="EI59" s="36" t="b">
        <f>_xlfn.XLOOKUP(Crops[[#This Row],[ProductIndex]],Products[ID],Products[Target])</f>
        <v>1</v>
      </c>
      <c r="EJ59" s="33">
        <f>Crops[[#This Row],[Custom Yield Per Bed]]</f>
        <v>66.666666666666657</v>
      </c>
      <c r="EK59" s="210">
        <f>Crops[[#This Row],[Units Per Harvest]]/Crops[[#This Row],[Days Between Harvest]]*7</f>
        <v>7.4074074074074057</v>
      </c>
      <c r="EL59" s="210">
        <f>Crops[[#This Row],[Custom Yield Per Bed]]/_xlfn.XLOOKUP(Crops[[#This Row],[ProductIndex]],Products[ID],Products[CSA Portion])</f>
        <v>66.666666666666657</v>
      </c>
      <c r="EM59" s="210">
        <f>Crops[[#This Row],[Units Per Harvest]]/Crops[[#This Row],[Days Between Harvest]]*7/_xlfn.XLOOKUP(Crops[[#This Row],[ProductIndex]],Products[ID],Products[CSA Portion])</f>
        <v>7.4074074074074057</v>
      </c>
      <c r="EN59" s="210">
        <f>Crops[[#This Row],[CSA Portions Per Week]]/CSAMembers</f>
        <v>0.14814814814814811</v>
      </c>
      <c r="EO59" s="216"/>
      <c r="EP59" s="216"/>
      <c r="EQ59" s="210"/>
      <c r="ER59" s="210">
        <f>Crops[[#This Row],[Harvests]]*Crops[[#This Row],[Days Between Harvest]]/7</f>
        <v>9</v>
      </c>
      <c r="ES59" s="217">
        <f>_xlfn.XLOOKUP(Crops[[#This Row],[ProductIndex]],Products[ID],Products[CSA Need])</f>
        <v>2</v>
      </c>
      <c r="ET59" s="217">
        <f>_xlfn.XLOOKUP(Crops[[#This Row],[ProductIndex]],Products[ID],Products[CSA Times])</f>
        <v>2</v>
      </c>
      <c r="EU59" s="208">
        <f>Crops[[#This Row],[Custom Yield Per Bed]]/(Crops[[#This Row],[CSA Need]]*(_xlfn.XLOOKUP(Crops[[#This Row],[ProductIndex]],Products[ID],Products[CSA Portion])*CSAMembers))</f>
        <v>0.66666666666666652</v>
      </c>
      <c r="EV59" s="208">
        <f>_xlfn.XLOOKUP(Crops[[#This Row],[ProductIndex]],Products[ID],Products[CSA Portion])*CSAMembers*Crops[[#This Row],[CSA Need]]/Crops[[#This Row],[Custom Yield Per Bed]]</f>
        <v>1.5000000000000002</v>
      </c>
      <c r="EW59" s="208">
        <f>IFERROR(Crops[[#This Row],[Days In Field]]*Crops[[#This Row],[CSA Beds]],"")</f>
        <v>223.50000000000003</v>
      </c>
      <c r="EX59" s="208" t="e">
        <f>Crops[[#This Row],[CSA Bed Days]]*#REF!</f>
        <v>#REF!</v>
      </c>
      <c r="EY59" t="s">
        <v>364</v>
      </c>
    </row>
    <row r="60" spans="1:158">
      <c r="A6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(Megaton) - Large Head 1X | Field TP Fa</v>
      </c>
      <c r="B60" s="191"/>
      <c r="C60" s="1"/>
      <c r="D60" s="1"/>
      <c r="E60" s="1" t="b">
        <v>0</v>
      </c>
      <c r="F60" s="1" t="b">
        <f>IFERROR(IF(ISNUMBER(MATCH(Crops[[#This Row],[Identifier]],BedPlan[Crop], 0)), TRUE, FALSE), FALSE)</f>
        <v>0</v>
      </c>
      <c r="G60" s="1" t="b">
        <f>IFERROR(IF(ISNUMBER(MATCH(Crops[[#This Row],[Identifier]],BedPlan[Crop], 0)), TRUE, FALSE), FALSE)</f>
        <v>0</v>
      </c>
      <c r="H60" s="1"/>
      <c r="I60" t="s">
        <v>52</v>
      </c>
      <c r="J60" t="s">
        <v>2798</v>
      </c>
      <c r="K60" t="s">
        <v>2360</v>
      </c>
      <c r="M60" t="s">
        <v>445</v>
      </c>
      <c r="N60" t="str">
        <f>Crops[[#This Row],[Crop]]</f>
        <v>Cabbage</v>
      </c>
      <c r="O60" t="s">
        <v>210</v>
      </c>
      <c r="P60" t="str">
        <f>IF(OR(Crops[[#This Row],[Days in Cells]]="",Crops[[#This Row],[Days in Cells]]=0), "DS","TP")</f>
        <v>TP</v>
      </c>
      <c r="S60" t="b">
        <v>1</v>
      </c>
      <c r="V60" t="str">
        <f xml:space="preserve"> IF(Crops[[#This Row],[Sp]], "Sp", "") &amp; IF(Crops[[#This Row],[Su]], "Su", "") &amp; IF(Crops[[#This Row],[Fa]], "Fa", "") &amp; IF(Crops[[#This Row],[Wi]], "Wi", "") &amp; IF(Crops[[#This Row],[OW]], "Ow","")</f>
        <v>Fa</v>
      </c>
      <c r="W60" t="s">
        <v>144</v>
      </c>
      <c r="X60">
        <v>2</v>
      </c>
      <c r="Y60">
        <v>24</v>
      </c>
      <c r="AA60" t="s">
        <v>475</v>
      </c>
      <c r="AB60" t="b">
        <v>1</v>
      </c>
      <c r="AC60">
        <v>1.5</v>
      </c>
      <c r="AD60" s="32">
        <f>IFERROR(12/Crops[[#This Row],[Spacing]]*Crops[[#This Row],[Rows]]*BedLength,"")</f>
        <v>50</v>
      </c>
      <c r="AE60">
        <v>1</v>
      </c>
      <c r="AG60">
        <v>1.1000000000000001</v>
      </c>
      <c r="AH60">
        <v>2</v>
      </c>
      <c r="AI60" s="33">
        <f>IFERROR(Crops[[#This Row],[Plantings Per Bed]]*Crops[[#This Row],[Seeds Per Planting]]*Crops[[#This Row],[Safety Factor]]*Crops[[#This Row],[Seeding Factor]],"")</f>
        <v>110.00000000000001</v>
      </c>
      <c r="AL60">
        <f>_xlfn.FLOOR.MATH(IFERROR(AVERAGE(Crops[[#This Row],[DTG Lower]:[DTG Upper]]),0))</f>
        <v>0</v>
      </c>
      <c r="AM60">
        <f>SUM(Crops[[#This Row],[Tray 1 Days]],Crops[[#This Row],[Tray 2 Days]],Crops[[#This Row],[Tray 3 Days]])</f>
        <v>35</v>
      </c>
      <c r="AN60" s="32">
        <v>35</v>
      </c>
      <c r="AP60">
        <v>77</v>
      </c>
      <c r="AQ60">
        <f>IFERROR(_xlfn.FLOOR.MATH(AVERAGE(Crops[[#This Row],[DTM Lower]:[DTM Upper]])),"")</f>
        <v>77</v>
      </c>
      <c r="AR60" cm="1">
        <f t="array" ref="AR60">_xlfn.SWITCH(Crops[[#This Row],[Normal Method]],"DS",Crops[[#This Row],[Days to Germination]]+Crops[[#This Row],[DTM]] + IF(Crops[[#This Row],[Days in Cells]]&gt;0,15,0), "TP",Crops[[#This Row],[DTM]]+Crops[[#This Row],[Days in Cells]] + IF(Crops[[#This Row],[Days in Cells]]&lt;=0,20,0), "X", Crops[[#This Row],[DTM]])</f>
        <v>112</v>
      </c>
      <c r="AS60" t="s">
        <v>346</v>
      </c>
      <c r="AT60">
        <f>(Crops[[#This Row],[Harvests]]-1)*Crops[[#This Row],[Days Between Harvest]]+7</f>
        <v>49</v>
      </c>
      <c r="AU60">
        <f>Crops[[#This Row],[STH]]-Crops[[#This Row],[Days in Cells]]+Crops[[#This Row],[Harvest window]]</f>
        <v>126</v>
      </c>
      <c r="AX60">
        <v>400</v>
      </c>
      <c r="AY60">
        <v>7</v>
      </c>
      <c r="AZ60" s="49">
        <f>IFERROR(IF(Crops[[#This Row],[Tray 1 Days]]=0,"",Crops[[#This Row],[Plantings Per Bed]]/Crops[[#This Row],[Tray 1 Size]]*Crops[[#This Row],[Safety Factor]]),"")</f>
        <v>0.13750000000000001</v>
      </c>
      <c r="BA60">
        <v>72</v>
      </c>
      <c r="BB60">
        <v>28</v>
      </c>
      <c r="BC60">
        <f>IFERROR(IF(Crops[[#This Row],[Tray 2 Days]]=0,"",Crops[[#This Row],[Plantings Per Bed]]/Crops[[#This Row],[Tray 2 Size]]*Crops[[#This Row],[Safety Factor]]),"")</f>
        <v>0.76388888888888895</v>
      </c>
      <c r="BE60" s="32" t="str">
        <f>IF(NOT(ISBLANK(Crops[[#This Row],[Tray 3 Size]])), Crops[[#This Row],[Days in Cells Old]]-SUM(Crops[[#This Row],[Tray 1 Days]],Crops[[#This Row],[Tray 2 Days]]), "")</f>
        <v/>
      </c>
      <c r="BF60" s="49" t="str">
        <f>IFERROR(IF(Crops[[#This Row],[Tray 3 Days]]=0,"",Crops[[#This Row],[Plantings Per Bed]]/Crops[[#This Row],[Tray 3 Size]]*Crops[[#This Row],[Safety Factor]]),"")</f>
        <v/>
      </c>
      <c r="BG60" s="33">
        <f>Crops[[#This Row],[Plantings Per Bed]]/Crops[[#This Row],[Harvests]]</f>
        <v>16.666666666666668</v>
      </c>
      <c r="BH60" s="33">
        <v>3</v>
      </c>
      <c r="BI60" s="33">
        <v>21</v>
      </c>
      <c r="BJ60" s="33">
        <f>_xlfn.XLOOKUP(Crops[[#This Row],[ProductIndex]],Products[ID],Products[Holding Period])</f>
        <v>45</v>
      </c>
      <c r="BK60" s="33"/>
      <c r="BL60" s="33">
        <f>Crops[[#This Row],[Units Per Harvest]]*Crops[[#This Row],[Harvests]]</f>
        <v>50</v>
      </c>
      <c r="BM60" s="35">
        <f>13*1.1</f>
        <v>14.3</v>
      </c>
      <c r="BN60" s="212">
        <f>Crops[[#This Row],[Direct Price]]</f>
        <v>14.3</v>
      </c>
      <c r="BO60" s="212"/>
      <c r="BP60" t="s">
        <v>214</v>
      </c>
      <c r="BQ60">
        <f>Crops[[#This Row],[Custom Yield Per Bed]]*Crops[[#This Row],[Direct Price]]</f>
        <v>715</v>
      </c>
      <c r="BR60" t="b">
        <v>1</v>
      </c>
      <c r="BS60" t="b">
        <f>Crops[[#This Row],[Harvests]]&gt;1</f>
        <v>1</v>
      </c>
      <c r="BT60" s="36">
        <f>IFERROR(Crops[[#This Row],[Direct Revenue Per Bed]]/Crops[[#This Row],[Days In Field]],-1)</f>
        <v>5.6746031746031749</v>
      </c>
      <c r="BU60" s="36">
        <f>IFERROR(Crops[[#This Row],[Direct Revenue Per Bed Day]]*GrowingDays*BedsPerAcre,"")</f>
        <v>163428.57142857142</v>
      </c>
      <c r="BV60" s="38">
        <f>LastFrostDate-5*Crops[[#This Row],[Sewing Rel Last Frost]]</f>
        <v>45808</v>
      </c>
      <c r="BW60" s="38">
        <f>Crops[[#This Row],[Target Sewing Date]]+Crops[[#This Row],[Days in Cells]]</f>
        <v>45843</v>
      </c>
      <c r="BX60" s="38">
        <f>Crops[[#This Row],[Target Sewing Date]]+Crops[[#This Row],[STH]]</f>
        <v>45920</v>
      </c>
      <c r="BY60" s="38">
        <f>Crops[[#This Row],[Target Harvest Data]]+Crops[[#This Row],[Harvest window]]</f>
        <v>45969</v>
      </c>
      <c r="BZ60">
        <v>-12</v>
      </c>
      <c r="CA60" t="s">
        <v>373</v>
      </c>
      <c r="CB60">
        <f>1</f>
        <v>1</v>
      </c>
      <c r="CC60">
        <f>IF(Crops[[#This Row],[Transplanting]]&gt;0, 2, 3)*BedLength/StandardBedLength</f>
        <v>1</v>
      </c>
      <c r="CD60" s="173">
        <f>IF(Crops[[#This Row],[Days in Cells]]&lt;=0,0,Crops[[#This Row],[Plantings Per Bed]]/StartsPerHourSeeding+Crops[[#This Row],[Tray 1 Count]]*5/60)</f>
        <v>0.20677083333333332</v>
      </c>
      <c r="CE60" s="173">
        <f>IF(ISBLANK(Crops[[#This Row],[Tray 2 Days]]),0,Crops[[#This Row],[Plantings Per Bed]]/UpPottingPerHour)+IF(Crops[[#This Row],[Tray 3 Days]]="",0,Crops[[#This Row],[Plantings Per Bed]]/UpPottingPerHour)</f>
        <v>0.41666666666666669</v>
      </c>
      <c r="CF60" s="173">
        <f>IFERROR(Crops[[#This Row],[Tray 1 Count]]/HomeStartFlatIrrigationPerHour,0)*Crops[[#This Row],[Days in Cells]]/DaysBetweenStartIrrigation</f>
        <v>2.0052083333333335E-2</v>
      </c>
      <c r="CG60" s="173">
        <f>0.5/16*MAX(Crops[[#This Row],[Tray 1 Count]],Crops[[#This Row],[Tray 2 Count]],Crops[[#This Row],[Tray 3 Count]])</f>
        <v>2.387152777777778E-2</v>
      </c>
      <c r="CH60" s="173">
        <f>IF(Crops[[#This Row],[Days in Cells]]&gt;0,IF(IF(Crops[[#This Row],[Tray 3 Size]]&gt;0,Crops[[#This Row],[Tray 3 Size]],IF(Crops[[#This Row],[Tray 2 Size]]&gt;0,Crops[[#This Row],[Tray 2 Size]],Crops[[#This Row],[Tray 1 Size]]))&lt;=18,LargeTransplantTime,SmallTransplantTime)*Crops[[#This Row],[Plantings Per Bed]],0)</f>
        <v>0.25</v>
      </c>
      <c r="CI60" s="173"/>
      <c r="CJ60" s="173">
        <f>_xlfn.XLOOKUP(Crops[[#This Row],[Trellis Type]],TrellisMethods[Trellis Type],TrellisMethods[Hours],0,0)</f>
        <v>0</v>
      </c>
      <c r="CK60">
        <f>IF(Crops[[#This Row],[Days in Cells]]&lt;=0,Crops[[#This Row],[Rows]]*1/10,0)*BedLength/50</f>
        <v>0</v>
      </c>
      <c r="CL60" cm="1">
        <f t="array" ref="CL60">_xlfn.SWITCH(Crops[[#This Row],[Irrigation]],"DR", 0.5, "OH", 0.25,0)*BedLength/50</f>
        <v>0</v>
      </c>
      <c r="CM60">
        <f>IF(OR(ISBLANK(Crops[[#This Row],[Row Cover]]),Crops[[#This Row],[Row Cover]]="None"),0,1)*BedLength/50</f>
        <v>1</v>
      </c>
      <c r="CN60" s="173">
        <f>HoursPerWeedingPass*Crops[[#This Row],[Days In Field]]/14*Crops[[#This Row],[Rows]]+1*BedLength/50</f>
        <v>4</v>
      </c>
      <c r="CO60" s="49">
        <f t="shared" si="0"/>
        <v>1</v>
      </c>
      <c r="CQ60" s="37">
        <f>_xlfn.XLOOKUP(Crops[[#This Row],[Crop]]&amp;Crops[[#This Row],[Product]]&amp;Crops[[#This Row],[Unit]],Products[ID],Products[Marketing (hr)])*Crops[[#This Row],[Direct Revenue Per Bed]]/2000</f>
        <v>0.71499999999999997</v>
      </c>
      <c r="CR60" s="37">
        <f>_xlfn.XLOOKUP(Crops[[#This Row],[Crop]]&amp;Crops[[#This Row],[Product]]&amp;Crops[[#This Row],[Unit]],Products[ID],Products[Harvest (s)])*Crops[[#This Row],[Custom Yield Per Bed]]/3600</f>
        <v>0.1388888888888889</v>
      </c>
      <c r="CS60" s="37">
        <f>_xlfn.XLOOKUP(Crops[[#This Row],[Crop]]&amp;Crops[[#This Row],[Product]]&amp;Crops[[#This Row],[Unit]],Products[ID],Products[Bunch (s)])*Crops[[#This Row],[Custom Yield Per Bed]]/3600</f>
        <v>0</v>
      </c>
      <c r="CT60" s="37">
        <f>_xlfn.XLOOKUP(Crops[[#This Row],[Crop]]&amp;Crops[[#This Row],[Product]]&amp;Crops[[#This Row],[Unit]],Products[ID],Products[Haul (s)])*Crops[[#This Row],[Custom Yield Per Bed]]/3600</f>
        <v>0.15625</v>
      </c>
      <c r="CU60" s="37">
        <f>_xlfn.XLOOKUP(Crops[[#This Row],[Crop]]&amp;Crops[[#This Row],[Product]]&amp;Crops[[#This Row],[Unit]],Products[ID],Products[Wash (s)])*Crops[[#This Row],[Custom Yield Per Bed]]/3600</f>
        <v>6.9444444444444448E-2</v>
      </c>
      <c r="CV60" s="37">
        <f>_xlfn.XLOOKUP(Crops[[#This Row],[Crop]]&amp;Crops[[#This Row],[Product]]&amp;Crops[[#This Row],[Unit]],Products[ID],Products[Condition (s)])*Crops[[#This Row],[Custom Yield Per Bed]]/3600</f>
        <v>0</v>
      </c>
      <c r="CW60" s="37">
        <f>_xlfn.XLOOKUP(Crops[[#This Row],[Crop]]&amp;Crops[[#This Row],[Product]]&amp;Crops[[#This Row],[Unit]],Products[ID],Products[Trim (s)])*Crops[[#This Row],[Custom Yield Per Bed]]/3600</f>
        <v>0.1388888888888889</v>
      </c>
      <c r="CX60" s="37">
        <f>_xlfn.XLOOKUP(Crops[[#This Row],[Crop]]&amp;Crops[[#This Row],[Product]]&amp;Crops[[#This Row],[Unit]],Products[ID],Products[Pack (s)])*Crops[[#This Row],[Custom Yield Per Bed]]/3600</f>
        <v>4.1666666666666664E-2</v>
      </c>
      <c r="CY60" s="37">
        <f>_xlfn.XLOOKUP(Crops[[#This Row],[Crop]]&amp;Crops[[#This Row],[Product]]&amp;Crops[[#This Row],[Unit]],Products[ID],Products[Clean (s)])*Crops[[#This Row],[Custom Yield Per Bed]]/3600</f>
        <v>0</v>
      </c>
      <c r="CZ60" s="37">
        <f>_xlfn.XLOOKUP(Crops[[#This Row],[Crop]]&amp;Crops[[#This Row],[Product]]&amp;Crops[[#This Row],[Unit]],Products[ID],Products[Rehandle (s)])*Crops[[#This Row],[Custom Yield Per Bed]]/3600</f>
        <v>0</v>
      </c>
      <c r="DA60" s="37">
        <f>_xlfn.XLOOKUP(Crops[[#This Row],[Crop]]&amp;Crops[[#This Row],[Product]]&amp;Crops[[#This Row],[Unit]],Products[ID],Products[Market Transport (s)])*Crops[[#This Row],[Custom Yield Per Bed]]/3600</f>
        <v>0.390625</v>
      </c>
      <c r="DC60" s="37">
        <f>Crops[[#This Row],[Direct Revenue Per Bed2]]</f>
        <v>715</v>
      </c>
      <c r="DD60" s="173">
        <f>_xlfn.AGGREGATE(9,6,Crops[[#This Row],[Bed Prep]:[Remove Crop Residue]])</f>
        <v>9.5681250000000002</v>
      </c>
      <c r="DE60" s="173">
        <f>_xlfn.AGGREGATE(9,6,Crops[[#This Row],[Bed Prep]:[Remove Crop Residue]])-0.75*Crops[[#This Row],[Market &amp; Sell]]</f>
        <v>9.0318749999999994</v>
      </c>
      <c r="DF60" s="36">
        <f>Crops[[#This Row],[Direct Revenue Per Bed2]]/Crops[[#This Row],[Direct Time]]</f>
        <v>74.727284603827812</v>
      </c>
      <c r="DG60" s="36">
        <f>_xlfn.XLOOKUP(Crops[[#This Row],[ProductIndex]],Products[ID],Products[Packaging Cost])*(Crops[[#This Row],[Custom Yield Per Bed]]/_xlfn.XLOOKUP(Crops[[#This Row],[ProductIndex]],Products[ID],Products[Units Per Pack]))</f>
        <v>23.75</v>
      </c>
      <c r="DH60" s="36"/>
      <c r="DI60" s="36"/>
      <c r="DJ60" s="36"/>
      <c r="DK60" s="36"/>
      <c r="DL60" s="36"/>
      <c r="DM60" s="33">
        <f>IFERROR(Crops[[#This Row],[Custom Yield Per Bed]]*Crops[[#This Row],[Direct Price]],"")</f>
        <v>715</v>
      </c>
      <c r="DN60" s="36">
        <f>Crops[[#This Row],[Direct Time]]*LaborRate</f>
        <v>239.203125</v>
      </c>
      <c r="DO60" s="36">
        <f>SUM(Crops[[#This Row],[Irrigation Cost]])</f>
        <v>0</v>
      </c>
      <c r="DP60" s="36">
        <f>Crops[[#This Row],[Direct Labor Cost]]+Crops[[#This Row],[Direct Non-Labor Cost]]</f>
        <v>239.203125</v>
      </c>
      <c r="DQ60" s="36">
        <f>Crops[[#This Row],[Direct Revenue Per Bed2]]-Crops[[#This Row],[Direct Total Cost]]</f>
        <v>475.796875</v>
      </c>
      <c r="DR60" s="36">
        <f>Crops[[#This Row],[Direct Profit]]*BedsPerAcre</f>
        <v>76127.5</v>
      </c>
      <c r="DS60" s="36">
        <f>Crops[[#This Row],[Direct Profit]]*BedsPerAcre*GrowingDays/Crops[[#This Row],[Days In Field]]</f>
        <v>108753.57142857143</v>
      </c>
      <c r="DT60" s="36">
        <f>Crops[[#This Row],[Direct Profit]]/MIN(Crops[[#This Row],[Days In Field]],GrowingDays)</f>
        <v>3.7761656746031744</v>
      </c>
      <c r="DU60" s="33">
        <f>Crops[[#This Row],[Direct Time]] * BedsPerAcre</f>
        <v>1530.9</v>
      </c>
      <c r="DV60" s="36">
        <f>(Crops[[#This Row],[Direct Revenue Per Bed2]]-Crops[[#This Row],[Direct Non-Labor Cost]])/Crops[[#This Row],[Direct Time]]</f>
        <v>74.727284603827812</v>
      </c>
      <c r="DW60" s="33">
        <f>IFERROR(Crops[[#This Row],[Custom Yield Per Bed]]*Crops[[#This Row],[Rough Wholesale Price]],"")</f>
        <v>715</v>
      </c>
      <c r="DX60" s="36">
        <f>Crops[[#This Row],[Wholesale Time]]*LaborRate</f>
        <v>225.796875</v>
      </c>
      <c r="DY60" s="36">
        <f>SUM(Crops[[#This Row],[Packaging Costs]:[Irrigation Cost]])</f>
        <v>23.75</v>
      </c>
      <c r="DZ60" s="36">
        <f>Crops[[#This Row],[Wholesale Labor Cost]]+Crops[[#This Row],[Wholesale Non-Labor Cost]]</f>
        <v>249.546875</v>
      </c>
      <c r="EA60" s="36">
        <f>Crops[[#This Row],[Wholesale Revenue Per Bed]]-Crops[[#This Row],[Wholesale Total Cost]]</f>
        <v>465.453125</v>
      </c>
      <c r="EB60" s="36">
        <f>Crops[[#This Row],[Wholesale Profit]]*BedsPerAcre</f>
        <v>74472.5</v>
      </c>
      <c r="EC60" s="36">
        <f>Crops[[#This Row],[Wholesale Profit]]*BedsPerAcre*GrowingDays/Crops[[#This Row],[Days In Field]]</f>
        <v>106389.28571428571</v>
      </c>
      <c r="ED60" s="33">
        <f>Crops[[#This Row],[Wholesale Time]] * BedsPerAcre</f>
        <v>1445.1</v>
      </c>
      <c r="EE60" s="221">
        <f>Crops[[#This Row],[Wholesale Profit]]/MIN(Crops[[#This Row],[Days In Field]],GrowingDays)</f>
        <v>3.6940724206349205</v>
      </c>
      <c r="EF60" s="36">
        <f>(Crops[[#This Row],[Wholesale Revenue Per Bed]]-Crops[[#This Row],[Wholesale Non-Labor Cost]])/Crops[[#This Row],[Direct Time]]</f>
        <v>72.245084590763597</v>
      </c>
      <c r="EG60" s="174">
        <f>Crops[[#This Row],[Packaging Costs]]/Crops[[#This Row],[Wholesale Revenue Per Bed]]</f>
        <v>3.3216783216783216E-2</v>
      </c>
      <c r="EH60" s="36" t="str">
        <f>Crops[[#This Row],[Crop]]&amp;Crops[[#This Row],[Product]]&amp;Crops[[#This Row],[Unit]]</f>
        <v>CabbageLarge HeadHead</v>
      </c>
      <c r="EI60" s="36" t="b">
        <f>_xlfn.XLOOKUP(Crops[[#This Row],[ProductIndex]],Products[ID],Products[Target])</f>
        <v>1</v>
      </c>
      <c r="EJ60" s="36">
        <f>Crops[[#This Row],[Custom Yield Per Bed]]</f>
        <v>50</v>
      </c>
      <c r="EK60" s="210">
        <f>Crops[[#This Row],[Units Per Harvest]]/Crops[[#This Row],[Days Between Harvest]]*7</f>
        <v>5.5555555555555562</v>
      </c>
      <c r="EL60" s="210">
        <f>Crops[[#This Row],[Custom Yield Per Bed]]/_xlfn.XLOOKUP(Crops[[#This Row],[ProductIndex]],Products[ID],Products[CSA Portion])</f>
        <v>50</v>
      </c>
      <c r="EM60" s="210">
        <f>Crops[[#This Row],[Units Per Harvest]]/Crops[[#This Row],[Days Between Harvest]]*7/_xlfn.XLOOKUP(Crops[[#This Row],[ProductIndex]],Products[ID],Products[CSA Portion])</f>
        <v>5.5555555555555562</v>
      </c>
      <c r="EN60" s="210">
        <f>Crops[[#This Row],[CSA Portions Per Week]]/CSAMembers</f>
        <v>0.11111111111111112</v>
      </c>
      <c r="EO60" s="210"/>
      <c r="EP60" s="210"/>
      <c r="EQ60" s="210"/>
      <c r="ER60" s="210">
        <f>Crops[[#This Row],[Harvests]]*Crops[[#This Row],[Days Between Harvest]]/7</f>
        <v>9</v>
      </c>
      <c r="ES60" s="217">
        <f>_xlfn.XLOOKUP(Crops[[#This Row],[ProductIndex]],Products[ID],Products[CSA Need])</f>
        <v>2</v>
      </c>
      <c r="ET60" s="217">
        <f>_xlfn.XLOOKUP(Crops[[#This Row],[ProductIndex]],Products[ID],Products[CSA Times])</f>
        <v>2</v>
      </c>
      <c r="EU60" s="208">
        <f>Crops[[#This Row],[Custom Yield Per Bed]]/(Crops[[#This Row],[CSA Need]]*(_xlfn.XLOOKUP(Crops[[#This Row],[ProductIndex]],Products[ID],Products[CSA Portion])*CSAMembers))</f>
        <v>0.5</v>
      </c>
      <c r="EV60" s="208">
        <f>_xlfn.XLOOKUP(Crops[[#This Row],[ProductIndex]],Products[ID],Products[CSA Portion])*CSAMembers*Crops[[#This Row],[CSA Need]]/Crops[[#This Row],[Custom Yield Per Bed]]</f>
        <v>2</v>
      </c>
      <c r="EW60" s="208">
        <f>IFERROR(Crops[[#This Row],[Days In Field]]*Crops[[#This Row],[CSA Beds]],"")</f>
        <v>252</v>
      </c>
      <c r="EX60" s="208" t="e">
        <f>Crops[[#This Row],[CSA Bed Days]]*#REF!</f>
        <v>#REF!</v>
      </c>
      <c r="EY60" t="s">
        <v>364</v>
      </c>
    </row>
    <row r="61" spans="1:158">
      <c r="A6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(Savoy) - Large Head 1X | Field TP Ow</v>
      </c>
      <c r="B61" s="191"/>
      <c r="C61" s="1" t="b">
        <v>1</v>
      </c>
      <c r="D61" s="1"/>
      <c r="E61" s="1" t="b">
        <v>0</v>
      </c>
      <c r="F61" s="1" t="b">
        <f>IFERROR(IF(ISNUMBER(MATCH(Crops[[#This Row],[Identifier]],BedPlan[Crop], 0)), TRUE, FALSE), FALSE)</f>
        <v>0</v>
      </c>
      <c r="G61" s="1" t="b">
        <f>IFERROR(IF(ISNUMBER(MATCH(Crops[[#This Row],[Identifier]],BedPlan[Crop], 0)), TRUE, FALSE), FALSE)</f>
        <v>0</v>
      </c>
      <c r="H61" s="1" t="b">
        <v>1</v>
      </c>
      <c r="I61" t="s">
        <v>52</v>
      </c>
      <c r="J61" t="s">
        <v>154</v>
      </c>
      <c r="K61" t="s">
        <v>2360</v>
      </c>
      <c r="M61" t="s">
        <v>445</v>
      </c>
      <c r="N61" t="str">
        <f>Crops[[#This Row],[Crop]]</f>
        <v>Cabbage</v>
      </c>
      <c r="O61" t="s">
        <v>210</v>
      </c>
      <c r="P61" t="str">
        <f>IF(OR(Crops[[#This Row],[Days in Cells]]="",Crops[[#This Row],[Days in Cells]]=0), "DS","TP")</f>
        <v>TP</v>
      </c>
      <c r="U61" t="s">
        <v>144</v>
      </c>
      <c r="V61" t="str">
        <f xml:space="preserve"> IF(Crops[[#This Row],[Sp]], "Sp", "") &amp; IF(Crops[[#This Row],[Su]], "Su", "") &amp; IF(Crops[[#This Row],[Fa]], "Fa", "") &amp; IF(Crops[[#This Row],[Wi]], "Wi", "") &amp; IF(Crops[[#This Row],[OW]], "Ow","")</f>
        <v>Ow</v>
      </c>
      <c r="W61" t="s">
        <v>144</v>
      </c>
      <c r="X61">
        <v>2</v>
      </c>
      <c r="Y61">
        <v>18</v>
      </c>
      <c r="AD61" s="32">
        <f>IFERROR(12/Crops[[#This Row],[Spacing]]*Crops[[#This Row],[Rows]]*BedLength,"")</f>
        <v>66.666666666666657</v>
      </c>
      <c r="AE61">
        <v>1</v>
      </c>
      <c r="AG61">
        <v>1.1000000000000001</v>
      </c>
      <c r="AH61">
        <v>2</v>
      </c>
      <c r="AI61" s="33">
        <f>IFERROR(Crops[[#This Row],[Plantings Per Bed]]*Crops[[#This Row],[Seeds Per Planting]]*Crops[[#This Row],[Safety Factor]]*Crops[[#This Row],[Seeding Factor]],"")</f>
        <v>146.66666666666666</v>
      </c>
      <c r="AL61">
        <f>_xlfn.FLOOR.MATH(IFERROR(AVERAGE(Crops[[#This Row],[DTG Lower]:[DTG Upper]]),0))</f>
        <v>0</v>
      </c>
      <c r="AM61">
        <f>SUM(Crops[[#This Row],[Tray 1 Days]],Crops[[#This Row],[Tray 2 Days]],Crops[[#This Row],[Tray 3 Days]])</f>
        <v>35</v>
      </c>
      <c r="AN61">
        <v>30</v>
      </c>
      <c r="AP61">
        <v>80</v>
      </c>
      <c r="AQ61">
        <f>IFERROR(_xlfn.FLOOR.MATH(AVERAGE(Crops[[#This Row],[DTM Lower]:[DTM Upper]])),"")</f>
        <v>80</v>
      </c>
      <c r="AR61" cm="1">
        <f t="array" ref="AR61">_xlfn.SWITCH(Crops[[#This Row],[Normal Method]],"DS",Crops[[#This Row],[Days to Germination]]+Crops[[#This Row],[DTM]] + IF(Crops[[#This Row],[Days in Cells]]&gt;0,15,0), "TP",Crops[[#This Row],[DTM]]+Crops[[#This Row],[Days in Cells]] + IF(Crops[[#This Row],[Days in Cells]]&lt;=0,20,0), "X", Crops[[#This Row],[DTM]])</f>
        <v>80</v>
      </c>
      <c r="AS61" t="s">
        <v>347</v>
      </c>
      <c r="AT61">
        <f>(Crops[[#This Row],[Harvests]]-1)*Crops[[#This Row],[Days Between Harvest]]+7</f>
        <v>49</v>
      </c>
      <c r="AU61">
        <f>Crops[[#This Row],[STH]]-Crops[[#This Row],[Days in Cells]]+Crops[[#This Row],[Harvest window]]</f>
        <v>94</v>
      </c>
      <c r="AX61">
        <v>400</v>
      </c>
      <c r="AY61">
        <v>7</v>
      </c>
      <c r="AZ61" s="49">
        <f>IFERROR(IF(Crops[[#This Row],[Tray 1 Days]]=0,"",Crops[[#This Row],[Plantings Per Bed]]/Crops[[#This Row],[Tray 1 Size]]*Crops[[#This Row],[Safety Factor]]),"")</f>
        <v>0.18333333333333332</v>
      </c>
      <c r="BA61">
        <v>72</v>
      </c>
      <c r="BB61">
        <v>28</v>
      </c>
      <c r="BC61">
        <f>IFERROR(IF(Crops[[#This Row],[Tray 2 Days]]=0,"",Crops[[#This Row],[Plantings Per Bed]]/Crops[[#This Row],[Tray 2 Size]]*Crops[[#This Row],[Safety Factor]]),"")</f>
        <v>1.0185185185185184</v>
      </c>
      <c r="BE61" s="32" t="str">
        <f>IF(NOT(ISBLANK(Crops[[#This Row],[Tray 3 Size]])), Crops[[#This Row],[Days in Cells Old]]-SUM(Crops[[#This Row],[Tray 1 Days]],Crops[[#This Row],[Tray 2 Days]]), "")</f>
        <v/>
      </c>
      <c r="BF61" t="str">
        <f>IFERROR(IF(Crops[[#This Row],[Tray 3 Days]]=0,"",Crops[[#This Row],[Plantings Per Bed]]/Crops[[#This Row],[Tray 3 Size]]*Crops[[#This Row],[Safety Factor]]),"")</f>
        <v/>
      </c>
      <c r="BG61" s="33">
        <f>Crops[[#This Row],[Plantings Per Bed]]/Crops[[#This Row],[Harvests]]</f>
        <v>22.222222222222218</v>
      </c>
      <c r="BH61" s="33">
        <v>3</v>
      </c>
      <c r="BI61" s="33">
        <v>21</v>
      </c>
      <c r="BJ61" s="33">
        <f>_xlfn.XLOOKUP(Crops[[#This Row],[ProductIndex]],Products[ID],Products[Holding Period])</f>
        <v>45</v>
      </c>
      <c r="BK61" s="33"/>
      <c r="BL61" s="33">
        <f>Crops[[#This Row],[Units Per Harvest]]*Crops[[#This Row],[Harvests]]</f>
        <v>66.666666666666657</v>
      </c>
      <c r="BM61" s="35">
        <f>4*1.1</f>
        <v>4.4000000000000004</v>
      </c>
      <c r="BN61" s="212">
        <f>Crops[[#This Row],[Direct Price]]</f>
        <v>4.4000000000000004</v>
      </c>
      <c r="BO61" s="212"/>
      <c r="BP61" t="s">
        <v>214</v>
      </c>
      <c r="BQ61">
        <f>Crops[[#This Row],[Custom Yield Per Bed]]*Crops[[#This Row],[Direct Price]]</f>
        <v>293.33333333333331</v>
      </c>
      <c r="BR61" t="b">
        <v>1</v>
      </c>
      <c r="BS61" t="b">
        <f>Crops[[#This Row],[Harvests]]&gt;1</f>
        <v>1</v>
      </c>
      <c r="BT61" s="36">
        <f>IFERROR(Crops[[#This Row],[Direct Revenue Per Bed]]/Crops[[#This Row],[Days In Field]],-1)</f>
        <v>3.1205673758865244</v>
      </c>
      <c r="BU61" s="36">
        <f>IFERROR(Crops[[#This Row],[Direct Revenue Per Bed Day]]*GrowingDays*BedsPerAcre,"")</f>
        <v>89872.340425531904</v>
      </c>
      <c r="BV61" s="38">
        <f>LastFrostDate-5*Crops[[#This Row],[Sewing Rel Last Frost]]</f>
        <v>45748</v>
      </c>
      <c r="BW61" s="38">
        <f>Crops[[#This Row],[Target Sewing Date]]+Crops[[#This Row],[Days in Cells]]</f>
        <v>45783</v>
      </c>
      <c r="BX61" s="38">
        <f>Crops[[#This Row],[Target Sewing Date]]+Crops[[#This Row],[STH]]</f>
        <v>45828</v>
      </c>
      <c r="BY61" s="38">
        <f>Crops[[#This Row],[Target Harvest Data]]+Crops[[#This Row],[Harvest window]]</f>
        <v>45877</v>
      </c>
      <c r="CB61">
        <f>1</f>
        <v>1</v>
      </c>
      <c r="CC61">
        <f>IF(Crops[[#This Row],[Transplanting]]&gt;0, 2, 3)*BedLength/StandardBedLength</f>
        <v>1</v>
      </c>
      <c r="CD61" s="173">
        <f>IF(Crops[[#This Row],[Days in Cells]]&lt;=0,0,Crops[[#This Row],[Plantings Per Bed]]/StartsPerHourSeeding+Crops[[#This Row],[Tray 1 Count]]*5/60)</f>
        <v>0.27569444444444441</v>
      </c>
      <c r="CE61" s="173">
        <f>IF(ISBLANK(Crops[[#This Row],[Tray 2 Days]]),0,Crops[[#This Row],[Plantings Per Bed]]/UpPottingPerHour)+IF(Crops[[#This Row],[Tray 3 Days]]="",0,Crops[[#This Row],[Plantings Per Bed]]/UpPottingPerHour)</f>
        <v>0.55555555555555547</v>
      </c>
      <c r="CF61" s="173">
        <f>IFERROR(Crops[[#This Row],[Tray 1 Count]]/HomeStartFlatIrrigationPerHour,0)*Crops[[#This Row],[Days in Cells]]/DaysBetweenStartIrrigation</f>
        <v>2.673611111111111E-2</v>
      </c>
      <c r="CG61" s="173">
        <f>0.5/16*MAX(Crops[[#This Row],[Tray 1 Count]],Crops[[#This Row],[Tray 2 Count]],Crops[[#This Row],[Tray 3 Count]])</f>
        <v>3.1828703703703699E-2</v>
      </c>
      <c r="CH61" s="173">
        <f>IF(Crops[[#This Row],[Days in Cells]]&gt;0,IF(IF(Crops[[#This Row],[Tray 3 Size]]&gt;0,Crops[[#This Row],[Tray 3 Size]],IF(Crops[[#This Row],[Tray 2 Size]]&gt;0,Crops[[#This Row],[Tray 2 Size]],Crops[[#This Row],[Tray 1 Size]]))&lt;=18,LargeTransplantTime,SmallTransplantTime)*Crops[[#This Row],[Plantings Per Bed]],0)</f>
        <v>0.33333333333333331</v>
      </c>
      <c r="CI61" s="173"/>
      <c r="CJ61" s="173">
        <f>_xlfn.XLOOKUP(Crops[[#This Row],[Trellis Type]],TrellisMethods[Trellis Type],TrellisMethods[Hours],0,0)</f>
        <v>0</v>
      </c>
      <c r="CK61">
        <f>IF(Crops[[#This Row],[Days in Cells]]&lt;=0,Crops[[#This Row],[Rows]]*1/10,0)*BedLength/50</f>
        <v>0</v>
      </c>
      <c r="CL61" cm="1">
        <f t="array" ref="CL61">_xlfn.SWITCH(Crops[[#This Row],[Irrigation]],"DR", 0.5, "OH", 0.25,0)*BedLength/50</f>
        <v>0</v>
      </c>
      <c r="CM61">
        <f>IF(OR(ISBLANK(Crops[[#This Row],[Row Cover]]),Crops[[#This Row],[Row Cover]]="None"),0,1)*BedLength/50</f>
        <v>0</v>
      </c>
      <c r="CN61" s="173">
        <f>HoursPerWeedingPass*Crops[[#This Row],[Days In Field]]/14*Crops[[#This Row],[Rows]]+1*BedLength/50</f>
        <v>3.2380952380952381</v>
      </c>
      <c r="CO61" s="49">
        <f t="shared" si="0"/>
        <v>1</v>
      </c>
      <c r="CQ61" s="37">
        <f>_xlfn.XLOOKUP(Crops[[#This Row],[Crop]]&amp;Crops[[#This Row],[Product]]&amp;Crops[[#This Row],[Unit]],Products[ID],Products[Marketing (hr)])*Crops[[#This Row],[Direct Revenue Per Bed]]/2000</f>
        <v>0.29333333333333333</v>
      </c>
      <c r="CR61" s="37">
        <f>_xlfn.XLOOKUP(Crops[[#This Row],[Crop]]&amp;Crops[[#This Row],[Product]]&amp;Crops[[#This Row],[Unit]],Products[ID],Products[Harvest (s)])*Crops[[#This Row],[Custom Yield Per Bed]]/3600</f>
        <v>0.18518518518518515</v>
      </c>
      <c r="CS61" s="37">
        <f>_xlfn.XLOOKUP(Crops[[#This Row],[Crop]]&amp;Crops[[#This Row],[Product]]&amp;Crops[[#This Row],[Unit]],Products[ID],Products[Bunch (s)])*Crops[[#This Row],[Custom Yield Per Bed]]/3600</f>
        <v>0</v>
      </c>
      <c r="CT61" s="37">
        <f>_xlfn.XLOOKUP(Crops[[#This Row],[Crop]]&amp;Crops[[#This Row],[Product]]&amp;Crops[[#This Row],[Unit]],Products[ID],Products[Haul (s)])*Crops[[#This Row],[Custom Yield Per Bed]]/3600</f>
        <v>0.20833333333333331</v>
      </c>
      <c r="CU61" s="37">
        <f>_xlfn.XLOOKUP(Crops[[#This Row],[Crop]]&amp;Crops[[#This Row],[Product]]&amp;Crops[[#This Row],[Unit]],Products[ID],Products[Wash (s)])*Crops[[#This Row],[Custom Yield Per Bed]]/3600</f>
        <v>9.2592592592592574E-2</v>
      </c>
      <c r="CV61" s="37">
        <f>_xlfn.XLOOKUP(Crops[[#This Row],[Crop]]&amp;Crops[[#This Row],[Product]]&amp;Crops[[#This Row],[Unit]],Products[ID],Products[Condition (s)])*Crops[[#This Row],[Custom Yield Per Bed]]/3600</f>
        <v>0</v>
      </c>
      <c r="CW61" s="37">
        <f>_xlfn.XLOOKUP(Crops[[#This Row],[Crop]]&amp;Crops[[#This Row],[Product]]&amp;Crops[[#This Row],[Unit]],Products[ID],Products[Trim (s)])*Crops[[#This Row],[Custom Yield Per Bed]]/3600</f>
        <v>0.18518518518518515</v>
      </c>
      <c r="CX61" s="37">
        <f>_xlfn.XLOOKUP(Crops[[#This Row],[Crop]]&amp;Crops[[#This Row],[Product]]&amp;Crops[[#This Row],[Unit]],Products[ID],Products[Pack (s)])*Crops[[#This Row],[Custom Yield Per Bed]]/3600</f>
        <v>5.5555555555555546E-2</v>
      </c>
      <c r="CY61" s="37">
        <f>_xlfn.XLOOKUP(Crops[[#This Row],[Crop]]&amp;Crops[[#This Row],[Product]]&amp;Crops[[#This Row],[Unit]],Products[ID],Products[Clean (s)])*Crops[[#This Row],[Custom Yield Per Bed]]/3600</f>
        <v>0</v>
      </c>
      <c r="CZ61" s="37">
        <f>_xlfn.XLOOKUP(Crops[[#This Row],[Crop]]&amp;Crops[[#This Row],[Product]]&amp;Crops[[#This Row],[Unit]],Products[ID],Products[Rehandle (s)])*Crops[[#This Row],[Custom Yield Per Bed]]/3600</f>
        <v>0</v>
      </c>
      <c r="DA61" s="37">
        <f>_xlfn.XLOOKUP(Crops[[#This Row],[Crop]]&amp;Crops[[#This Row],[Product]]&amp;Crops[[#This Row],[Unit]],Products[ID],Products[Market Transport (s)])*Crops[[#This Row],[Custom Yield Per Bed]]/3600</f>
        <v>0.52083333333333326</v>
      </c>
      <c r="DC61" s="37">
        <f>Crops[[#This Row],[Direct Revenue Per Bed2]]</f>
        <v>293.33333333333331</v>
      </c>
      <c r="DD61" s="173">
        <f>_xlfn.AGGREGATE(9,6,Crops[[#This Row],[Bed Prep]:[Remove Crop Residue]])</f>
        <v>8.0022619047619035</v>
      </c>
      <c r="DE61" s="173">
        <f>_xlfn.AGGREGATE(9,6,Crops[[#This Row],[Bed Prep]:[Remove Crop Residue]])-0.75*Crops[[#This Row],[Market &amp; Sell]]</f>
        <v>7.7822619047619037</v>
      </c>
      <c r="DF61" s="36">
        <f>Crops[[#This Row],[Direct Revenue Per Bed2]]/Crops[[#This Row],[Direct Time]]</f>
        <v>36.656302533509873</v>
      </c>
      <c r="DG61" s="36">
        <f>_xlfn.XLOOKUP(Crops[[#This Row],[ProductIndex]],Products[ID],Products[Packaging Cost])*(Crops[[#This Row],[Custom Yield Per Bed]]/_xlfn.XLOOKUP(Crops[[#This Row],[ProductIndex]],Products[ID],Products[Units Per Pack]))</f>
        <v>31.666666666666661</v>
      </c>
      <c r="DH61" s="36"/>
      <c r="DI61" s="36"/>
      <c r="DJ61" s="36"/>
      <c r="DK61" s="36"/>
      <c r="DL61" s="36"/>
      <c r="DM61" s="33">
        <f>IFERROR(Crops[[#This Row],[Custom Yield Per Bed]]*Crops[[#This Row],[Direct Price]],"")</f>
        <v>293.33333333333331</v>
      </c>
      <c r="DN61" s="36">
        <f>Crops[[#This Row],[Direct Time]]*LaborRate</f>
        <v>200.05654761904759</v>
      </c>
      <c r="DO61" s="36">
        <f>SUM(Crops[[#This Row],[Irrigation Cost]])</f>
        <v>0</v>
      </c>
      <c r="DP61" s="36">
        <f>Crops[[#This Row],[Direct Labor Cost]]+Crops[[#This Row],[Direct Non-Labor Cost]]</f>
        <v>200.05654761904759</v>
      </c>
      <c r="DQ61" s="36">
        <f>Crops[[#This Row],[Direct Revenue Per Bed2]]-Crops[[#This Row],[Direct Total Cost]]</f>
        <v>93.276785714285722</v>
      </c>
      <c r="DR61" s="36">
        <f>Crops[[#This Row],[Direct Profit]]*BedsPerAcre</f>
        <v>14924.285714285716</v>
      </c>
      <c r="DS61" s="36">
        <f>Crops[[#This Row],[Direct Profit]]*BedsPerAcre*GrowingDays/Crops[[#This Row],[Days In Field]]</f>
        <v>28578.419452887538</v>
      </c>
      <c r="DT61" s="36">
        <f>Crops[[#This Row],[Direct Profit]]/MIN(Crops[[#This Row],[Days In Field]],GrowingDays)</f>
        <v>0.99230623100303961</v>
      </c>
      <c r="DU61" s="33">
        <f>Crops[[#This Row],[Direct Time]] * BedsPerAcre</f>
        <v>1280.3619047619045</v>
      </c>
      <c r="DV61" s="36">
        <f>(Crops[[#This Row],[Direct Revenue Per Bed2]]-Crops[[#This Row],[Direct Non-Labor Cost]])/Crops[[#This Row],[Direct Time]]</f>
        <v>36.656302533509873</v>
      </c>
      <c r="DW61" s="33">
        <f>IFERROR(Crops[[#This Row],[Custom Yield Per Bed]]*Crops[[#This Row],[Rough Wholesale Price]],"")</f>
        <v>293.33333333333331</v>
      </c>
      <c r="DX61" s="36">
        <f>Crops[[#This Row],[Wholesale Time]]*LaborRate</f>
        <v>194.55654761904759</v>
      </c>
      <c r="DY61" s="36">
        <f>SUM(Crops[[#This Row],[Packaging Costs]:[Irrigation Cost]])</f>
        <v>31.666666666666661</v>
      </c>
      <c r="DZ61" s="36">
        <f>Crops[[#This Row],[Wholesale Labor Cost]]+Crops[[#This Row],[Wholesale Non-Labor Cost]]</f>
        <v>226.22321428571425</v>
      </c>
      <c r="EA61" s="36">
        <f>Crops[[#This Row],[Wholesale Revenue Per Bed]]-Crops[[#This Row],[Wholesale Total Cost]]</f>
        <v>67.110119047619065</v>
      </c>
      <c r="EB61" s="36">
        <f>Crops[[#This Row],[Wholesale Profit]]*BedsPerAcre</f>
        <v>10737.61904761905</v>
      </c>
      <c r="EC61" s="36">
        <f>Crops[[#This Row],[Wholesale Profit]]*BedsPerAcre*GrowingDays/Crops[[#This Row],[Days In Field]]</f>
        <v>20561.398176291797</v>
      </c>
      <c r="ED61" s="33">
        <f>Crops[[#This Row],[Wholesale Time]] * BedsPerAcre</f>
        <v>1245.1619047619047</v>
      </c>
      <c r="EE61" s="221">
        <f>Crops[[#This Row],[Wholesale Profit]]/MIN(Crops[[#This Row],[Days In Field]],GrowingDays)</f>
        <v>0.71393743667679854</v>
      </c>
      <c r="EF61" s="36">
        <f>(Crops[[#This Row],[Wholesale Revenue Per Bed]]-Crops[[#This Row],[Wholesale Non-Labor Cost]])/Crops[[#This Row],[Direct Time]]</f>
        <v>32.699088055460507</v>
      </c>
      <c r="EG61" s="174">
        <f>Crops[[#This Row],[Packaging Costs]]/Crops[[#This Row],[Wholesale Revenue Per Bed]]</f>
        <v>0.10795454545454544</v>
      </c>
      <c r="EH61" s="36" t="str">
        <f>Crops[[#This Row],[Crop]]&amp;Crops[[#This Row],[Product]]&amp;Crops[[#This Row],[Unit]]</f>
        <v>CabbageLarge HeadHead</v>
      </c>
      <c r="EI61" s="36" t="b">
        <f>_xlfn.XLOOKUP(Crops[[#This Row],[ProductIndex]],Products[ID],Products[Target])</f>
        <v>1</v>
      </c>
      <c r="EJ61" s="33">
        <f>Crops[[#This Row],[Custom Yield Per Bed]]</f>
        <v>66.666666666666657</v>
      </c>
      <c r="EK61" s="210">
        <f>Crops[[#This Row],[Units Per Harvest]]/Crops[[#This Row],[Days Between Harvest]]*7</f>
        <v>7.4074074074074057</v>
      </c>
      <c r="EL61" s="210">
        <f>Crops[[#This Row],[Custom Yield Per Bed]]/_xlfn.XLOOKUP(Crops[[#This Row],[ProductIndex]],Products[ID],Products[CSA Portion])</f>
        <v>66.666666666666657</v>
      </c>
      <c r="EM61" s="210">
        <f>Crops[[#This Row],[Units Per Harvest]]/Crops[[#This Row],[Days Between Harvest]]*7/_xlfn.XLOOKUP(Crops[[#This Row],[ProductIndex]],Products[ID],Products[CSA Portion])</f>
        <v>7.4074074074074057</v>
      </c>
      <c r="EN61" s="210">
        <f>Crops[[#This Row],[CSA Portions Per Week]]/CSAMembers</f>
        <v>0.14814814814814811</v>
      </c>
      <c r="EO61" s="216"/>
      <c r="EP61" s="216"/>
      <c r="EQ61" s="210"/>
      <c r="ER61" s="210">
        <f>Crops[[#This Row],[Harvests]]*Crops[[#This Row],[Days Between Harvest]]/7</f>
        <v>9</v>
      </c>
      <c r="ES61" s="217">
        <f>_xlfn.XLOOKUP(Crops[[#This Row],[ProductIndex]],Products[ID],Products[CSA Need])</f>
        <v>2</v>
      </c>
      <c r="ET61" s="217">
        <f>_xlfn.XLOOKUP(Crops[[#This Row],[ProductIndex]],Products[ID],Products[CSA Times])</f>
        <v>2</v>
      </c>
      <c r="EU61" s="208">
        <f>Crops[[#This Row],[Custom Yield Per Bed]]/(Crops[[#This Row],[CSA Need]]*(_xlfn.XLOOKUP(Crops[[#This Row],[ProductIndex]],Products[ID],Products[CSA Portion])*CSAMembers))</f>
        <v>0.66666666666666652</v>
      </c>
      <c r="EV61" s="208">
        <f>_xlfn.XLOOKUP(Crops[[#This Row],[ProductIndex]],Products[ID],Products[CSA Portion])*CSAMembers*Crops[[#This Row],[CSA Need]]/Crops[[#This Row],[Custom Yield Per Bed]]</f>
        <v>1.5000000000000002</v>
      </c>
      <c r="EW61" s="208">
        <f>IFERROR(Crops[[#This Row],[Days In Field]]*Crops[[#This Row],[CSA Beds]],"")</f>
        <v>141.00000000000003</v>
      </c>
      <c r="EX61" s="208" t="e">
        <f>Crops[[#This Row],[CSA Bed Days]]*#REF!</f>
        <v>#REF!</v>
      </c>
      <c r="EY61">
        <v>0</v>
      </c>
    </row>
    <row r="62" spans="1:158">
      <c r="A6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(Sm) - Small Head 1X | Field TP Wi</v>
      </c>
      <c r="B62" s="191"/>
      <c r="C62" s="1"/>
      <c r="D62" s="1"/>
      <c r="E62" s="1" t="b">
        <v>0</v>
      </c>
      <c r="F62" s="1" t="b">
        <f>IFERROR(IF(ISNUMBER(MATCH(Crops[[#This Row],[Identifier]],BedPlan[Crop], 0)), TRUE, FALSE), FALSE)</f>
        <v>0</v>
      </c>
      <c r="G62" s="1" t="b">
        <f>IFERROR(IF(ISNUMBER(MATCH(Crops[[#This Row],[Identifier]],BedPlan[Crop], 0)), TRUE, FALSE), FALSE)</f>
        <v>0</v>
      </c>
      <c r="H62" s="1"/>
      <c r="I62" t="s">
        <v>52</v>
      </c>
      <c r="J62" t="s">
        <v>1888</v>
      </c>
      <c r="K62" t="s">
        <v>2361</v>
      </c>
      <c r="M62" t="s">
        <v>445</v>
      </c>
      <c r="N62" t="str">
        <f>Crops[[#This Row],[Crop]]</f>
        <v>Cabbage</v>
      </c>
      <c r="O62" t="s">
        <v>210</v>
      </c>
      <c r="P62" t="str">
        <f>IF(OR(Crops[[#This Row],[Days in Cells]]="",Crops[[#This Row],[Days in Cells]]=0), "DS","TP")</f>
        <v>TP</v>
      </c>
      <c r="T62" t="b">
        <v>1</v>
      </c>
      <c r="V62" t="str">
        <f xml:space="preserve"> IF(Crops[[#This Row],[Sp]], "Sp", "") &amp; IF(Crops[[#This Row],[Su]], "Su", "") &amp; IF(Crops[[#This Row],[Fa]], "Fa", "") &amp; IF(Crops[[#This Row],[Wi]], "Wi", "") &amp; IF(Crops[[#This Row],[OW]], "Ow","")</f>
        <v>Wi</v>
      </c>
      <c r="W62" t="s">
        <v>144</v>
      </c>
      <c r="X62">
        <v>2</v>
      </c>
      <c r="Y62">
        <v>12</v>
      </c>
      <c r="AA62" t="s">
        <v>475</v>
      </c>
      <c r="AB62" t="b">
        <v>1</v>
      </c>
      <c r="AC62">
        <v>1.5</v>
      </c>
      <c r="AD62" s="32">
        <f>IFERROR(12/Crops[[#This Row],[Spacing]]*Crops[[#This Row],[Rows]]*BedLength,"")</f>
        <v>100</v>
      </c>
      <c r="AE62">
        <v>1</v>
      </c>
      <c r="AG62">
        <v>1.1000000000000001</v>
      </c>
      <c r="AH62">
        <v>2</v>
      </c>
      <c r="AI62" s="33">
        <f>IFERROR(Crops[[#This Row],[Plantings Per Bed]]*Crops[[#This Row],[Seeds Per Planting]]*Crops[[#This Row],[Safety Factor]]*Crops[[#This Row],[Seeding Factor]],"")</f>
        <v>220.00000000000003</v>
      </c>
      <c r="AL62">
        <f>_xlfn.FLOOR.MATH(IFERROR(AVERAGE(Crops[[#This Row],[DTG Lower]:[DTG Upper]]),0))</f>
        <v>0</v>
      </c>
      <c r="AM62">
        <f>SUM(Crops[[#This Row],[Tray 1 Days]],Crops[[#This Row],[Tray 2 Days]],Crops[[#This Row],[Tray 3 Days]])</f>
        <v>35</v>
      </c>
      <c r="AN62" s="32">
        <v>35</v>
      </c>
      <c r="AP62">
        <v>70</v>
      </c>
      <c r="AQ62">
        <f>IFERROR(_xlfn.FLOOR.MATH(AVERAGE(Crops[[#This Row],[DTM Lower]:[DTM Upper]])),"")</f>
        <v>70</v>
      </c>
      <c r="AR62" cm="1">
        <f t="array" ref="AR62">_xlfn.SWITCH(Crops[[#This Row],[Normal Method]],"DS",Crops[[#This Row],[Days to Germination]]+Crops[[#This Row],[DTM]] + IF(Crops[[#This Row],[Days in Cells]]&gt;0,15,0), "TP",Crops[[#This Row],[DTM]]+Crops[[#This Row],[Days in Cells]] + IF(Crops[[#This Row],[Days in Cells]]&lt;=0,20,0), "X", Crops[[#This Row],[DTM]])</f>
        <v>105</v>
      </c>
      <c r="AS62" t="s">
        <v>346</v>
      </c>
      <c r="AT62">
        <f>(Crops[[#This Row],[Harvests]]-1)*Crops[[#This Row],[Days Between Harvest]]+7</f>
        <v>49</v>
      </c>
      <c r="AU62">
        <f>Crops[[#This Row],[STH]]-Crops[[#This Row],[Days in Cells]]+Crops[[#This Row],[Harvest window]]</f>
        <v>119</v>
      </c>
      <c r="AX62">
        <v>400</v>
      </c>
      <c r="AY62">
        <v>7</v>
      </c>
      <c r="AZ62" s="49">
        <f>IFERROR(IF(Crops[[#This Row],[Tray 1 Days]]=0,"",Crops[[#This Row],[Plantings Per Bed]]/Crops[[#This Row],[Tray 1 Size]]*Crops[[#This Row],[Safety Factor]]),"")</f>
        <v>0.27500000000000002</v>
      </c>
      <c r="BA62">
        <v>72</v>
      </c>
      <c r="BB62">
        <v>28</v>
      </c>
      <c r="BC62">
        <f>IFERROR(IF(Crops[[#This Row],[Tray 2 Days]]=0,"",Crops[[#This Row],[Plantings Per Bed]]/Crops[[#This Row],[Tray 2 Size]]*Crops[[#This Row],[Safety Factor]]),"")</f>
        <v>1.5277777777777779</v>
      </c>
      <c r="BE62" s="32" t="str">
        <f>IF(NOT(ISBLANK(Crops[[#This Row],[Tray 3 Size]])), Crops[[#This Row],[Days in Cells Old]]-SUM(Crops[[#This Row],[Tray 1 Days]],Crops[[#This Row],[Tray 2 Days]]), "")</f>
        <v/>
      </c>
      <c r="BF62" s="49" t="str">
        <f>IFERROR(IF(Crops[[#This Row],[Tray 3 Days]]=0,"",Crops[[#This Row],[Plantings Per Bed]]/Crops[[#This Row],[Tray 3 Size]]*Crops[[#This Row],[Safety Factor]]),"")</f>
        <v/>
      </c>
      <c r="BG62" s="33">
        <f>Crops[[#This Row],[Plantings Per Bed]]/Crops[[#This Row],[Harvests]]</f>
        <v>33.333333333333336</v>
      </c>
      <c r="BH62" s="33">
        <v>3</v>
      </c>
      <c r="BI62" s="33">
        <v>21</v>
      </c>
      <c r="BJ62" s="33">
        <f>_xlfn.XLOOKUP(Crops[[#This Row],[ProductIndex]],Products[ID],Products[Holding Period])</f>
        <v>25</v>
      </c>
      <c r="BK62" s="33"/>
      <c r="BL62" s="33">
        <f>Crops[[#This Row],[Units Per Harvest]]*Crops[[#This Row],[Harvests]]</f>
        <v>100</v>
      </c>
      <c r="BM62" s="35">
        <f>4</f>
        <v>4</v>
      </c>
      <c r="BN62" s="212">
        <f>Crops[[#This Row],[Direct Price]]</f>
        <v>4</v>
      </c>
      <c r="BO62" s="212"/>
      <c r="BP62" t="s">
        <v>214</v>
      </c>
      <c r="BQ62">
        <f>Crops[[#This Row],[Custom Yield Per Bed]]*Crops[[#This Row],[Direct Price]]</f>
        <v>400</v>
      </c>
      <c r="BR62" t="b">
        <v>1</v>
      </c>
      <c r="BS62" t="b">
        <f>Crops[[#This Row],[Harvests]]&gt;1</f>
        <v>1</v>
      </c>
      <c r="BT62" s="36">
        <f>IFERROR(Crops[[#This Row],[Direct Revenue Per Bed]]/Crops[[#This Row],[Days In Field]],-1)</f>
        <v>3.3613445378151261</v>
      </c>
      <c r="BU62" s="36">
        <f>IFERROR(Crops[[#This Row],[Direct Revenue Per Bed Day]]*GrowingDays*BedsPerAcre,"")</f>
        <v>96806.722689075628</v>
      </c>
      <c r="BV62" s="38">
        <f>LastFrostDate-5*Crops[[#This Row],[Sewing Rel Last Frost]]</f>
        <v>45808</v>
      </c>
      <c r="BW62" s="38">
        <f>Crops[[#This Row],[Target Sewing Date]]+Crops[[#This Row],[Days in Cells]]</f>
        <v>45843</v>
      </c>
      <c r="BX62" s="38">
        <f>Crops[[#This Row],[Target Sewing Date]]+Crops[[#This Row],[STH]]</f>
        <v>45913</v>
      </c>
      <c r="BY62" s="38">
        <f>Crops[[#This Row],[Target Harvest Data]]+Crops[[#This Row],[Harvest window]]</f>
        <v>45962</v>
      </c>
      <c r="BZ62">
        <v>-12</v>
      </c>
      <c r="CA62" t="s">
        <v>373</v>
      </c>
      <c r="CB62">
        <f>1</f>
        <v>1</v>
      </c>
      <c r="CC62">
        <f>IF(Crops[[#This Row],[Transplanting]]&gt;0, 2, 3)*BedLength/StandardBedLength</f>
        <v>1</v>
      </c>
      <c r="CD62" s="173">
        <f>IF(Crops[[#This Row],[Days in Cells]]&lt;=0,0,Crops[[#This Row],[Plantings Per Bed]]/StartsPerHourSeeding+Crops[[#This Row],[Tray 1 Count]]*5/60)</f>
        <v>0.41354166666666664</v>
      </c>
      <c r="CE62" s="173">
        <f>IF(ISBLANK(Crops[[#This Row],[Tray 2 Days]]),0,Crops[[#This Row],[Plantings Per Bed]]/UpPottingPerHour)+IF(Crops[[#This Row],[Tray 3 Days]]="",0,Crops[[#This Row],[Plantings Per Bed]]/UpPottingPerHour)</f>
        <v>0.83333333333333337</v>
      </c>
      <c r="CF62" s="173">
        <f>IFERROR(Crops[[#This Row],[Tray 1 Count]]/HomeStartFlatIrrigationPerHour,0)*Crops[[#This Row],[Days in Cells]]/DaysBetweenStartIrrigation</f>
        <v>4.010416666666667E-2</v>
      </c>
      <c r="CG62" s="173">
        <f>0.5/16*MAX(Crops[[#This Row],[Tray 1 Count]],Crops[[#This Row],[Tray 2 Count]],Crops[[#This Row],[Tray 3 Count]])</f>
        <v>4.7743055555555559E-2</v>
      </c>
      <c r="CH62" s="173">
        <f>IF(Crops[[#This Row],[Days in Cells]]&gt;0,IF(IF(Crops[[#This Row],[Tray 3 Size]]&gt;0,Crops[[#This Row],[Tray 3 Size]],IF(Crops[[#This Row],[Tray 2 Size]]&gt;0,Crops[[#This Row],[Tray 2 Size]],Crops[[#This Row],[Tray 1 Size]]))&lt;=18,LargeTransplantTime,SmallTransplantTime)*Crops[[#This Row],[Plantings Per Bed]],0)</f>
        <v>0.5</v>
      </c>
      <c r="CI62" s="173"/>
      <c r="CJ62" s="173">
        <f>_xlfn.XLOOKUP(Crops[[#This Row],[Trellis Type]],TrellisMethods[Trellis Type],TrellisMethods[Hours],0,0)</f>
        <v>0</v>
      </c>
      <c r="CK62">
        <f>IF(Crops[[#This Row],[Days in Cells]]&lt;=0,Crops[[#This Row],[Rows]]*1/10,0)*BedLength/50</f>
        <v>0</v>
      </c>
      <c r="CL62" cm="1">
        <f t="array" ref="CL62">_xlfn.SWITCH(Crops[[#This Row],[Irrigation]],"DR", 0.5, "OH", 0.25,0)*BedLength/50</f>
        <v>0</v>
      </c>
      <c r="CM62">
        <f>IF(OR(ISBLANK(Crops[[#This Row],[Row Cover]]),Crops[[#This Row],[Row Cover]]="None"),0,1)*BedLength/50</f>
        <v>1</v>
      </c>
      <c r="CN62" s="173">
        <f>HoursPerWeedingPass*Crops[[#This Row],[Days In Field]]/14*Crops[[#This Row],[Rows]]+1*BedLength/50</f>
        <v>3.833333333333333</v>
      </c>
      <c r="CO62" s="49">
        <f t="shared" si="0"/>
        <v>1</v>
      </c>
      <c r="CQ62" s="37">
        <f>_xlfn.XLOOKUP(Crops[[#This Row],[Crop]]&amp;Crops[[#This Row],[Product]]&amp;Crops[[#This Row],[Unit]],Products[ID],Products[Marketing (hr)])*Crops[[#This Row],[Direct Revenue Per Bed]]/2000</f>
        <v>0.4</v>
      </c>
      <c r="CR62" s="37">
        <f>_xlfn.XLOOKUP(Crops[[#This Row],[Crop]]&amp;Crops[[#This Row],[Product]]&amp;Crops[[#This Row],[Unit]],Products[ID],Products[Harvest (s)])*Crops[[#This Row],[Custom Yield Per Bed]]/3600</f>
        <v>0.22222222222222221</v>
      </c>
      <c r="CS62" s="37">
        <f>_xlfn.XLOOKUP(Crops[[#This Row],[Crop]]&amp;Crops[[#This Row],[Product]]&amp;Crops[[#This Row],[Unit]],Products[ID],Products[Bunch (s)])*Crops[[#This Row],[Custom Yield Per Bed]]/3600</f>
        <v>0</v>
      </c>
      <c r="CT62" s="37">
        <f>_xlfn.XLOOKUP(Crops[[#This Row],[Crop]]&amp;Crops[[#This Row],[Product]]&amp;Crops[[#This Row],[Unit]],Products[ID],Products[Haul (s)])*Crops[[#This Row],[Custom Yield Per Bed]]/3600</f>
        <v>0.3125</v>
      </c>
      <c r="CU62" s="37">
        <f>_xlfn.XLOOKUP(Crops[[#This Row],[Crop]]&amp;Crops[[#This Row],[Product]]&amp;Crops[[#This Row],[Unit]],Products[ID],Products[Wash (s)])*Crops[[#This Row],[Custom Yield Per Bed]]/3600</f>
        <v>0.1388888888888889</v>
      </c>
      <c r="CV62" s="37">
        <f>_xlfn.XLOOKUP(Crops[[#This Row],[Crop]]&amp;Crops[[#This Row],[Product]]&amp;Crops[[#This Row],[Unit]],Products[ID],Products[Condition (s)])*Crops[[#This Row],[Custom Yield Per Bed]]/3600</f>
        <v>0</v>
      </c>
      <c r="CW62" s="37">
        <f>_xlfn.XLOOKUP(Crops[[#This Row],[Crop]]&amp;Crops[[#This Row],[Product]]&amp;Crops[[#This Row],[Unit]],Products[ID],Products[Trim (s)])*Crops[[#This Row],[Custom Yield Per Bed]]/3600</f>
        <v>0.27777777777777779</v>
      </c>
      <c r="CX62" s="37">
        <f>_xlfn.XLOOKUP(Crops[[#This Row],[Crop]]&amp;Crops[[#This Row],[Product]]&amp;Crops[[#This Row],[Unit]],Products[ID],Products[Pack (s)])*Crops[[#This Row],[Custom Yield Per Bed]]/3600</f>
        <v>8.3333333333333329E-2</v>
      </c>
      <c r="CY62" s="37">
        <f>_xlfn.XLOOKUP(Crops[[#This Row],[Crop]]&amp;Crops[[#This Row],[Product]]&amp;Crops[[#This Row],[Unit]],Products[ID],Products[Clean (s)])*Crops[[#This Row],[Custom Yield Per Bed]]/3600</f>
        <v>0</v>
      </c>
      <c r="CZ62" s="37">
        <f>_xlfn.XLOOKUP(Crops[[#This Row],[Crop]]&amp;Crops[[#This Row],[Product]]&amp;Crops[[#This Row],[Unit]],Products[ID],Products[Rehandle (s)])*Crops[[#This Row],[Custom Yield Per Bed]]/3600</f>
        <v>0</v>
      </c>
      <c r="DA62" s="37">
        <f>_xlfn.XLOOKUP(Crops[[#This Row],[Crop]]&amp;Crops[[#This Row],[Product]]&amp;Crops[[#This Row],[Unit]],Products[ID],Products[Market Transport (s)])*Crops[[#This Row],[Custom Yield Per Bed]]/3600</f>
        <v>0.78125</v>
      </c>
      <c r="DC62" s="37">
        <f>Crops[[#This Row],[Direct Revenue Per Bed2]]</f>
        <v>400</v>
      </c>
      <c r="DD62" s="173">
        <f>_xlfn.AGGREGATE(9,6,Crops[[#This Row],[Bed Prep]:[Remove Crop Residue]])</f>
        <v>10.884027777777778</v>
      </c>
      <c r="DE62" s="173">
        <f>_xlfn.AGGREGATE(9,6,Crops[[#This Row],[Bed Prep]:[Remove Crop Residue]])-0.75*Crops[[#This Row],[Market &amp; Sell]]</f>
        <v>10.584027777777777</v>
      </c>
      <c r="DF62" s="36">
        <f>Crops[[#This Row],[Direct Revenue Per Bed2]]/Crops[[#This Row],[Direct Time]]</f>
        <v>36.751100618898739</v>
      </c>
      <c r="DG62" s="36">
        <f>_xlfn.XLOOKUP(Crops[[#This Row],[ProductIndex]],Products[ID],Products[Packaging Cost])*(Crops[[#This Row],[Custom Yield Per Bed]]/_xlfn.XLOOKUP(Crops[[#This Row],[ProductIndex]],Products[ID],Products[Units Per Pack]))</f>
        <v>31.666666666666668</v>
      </c>
      <c r="DH62" s="36"/>
      <c r="DI62" s="36"/>
      <c r="DJ62" s="36"/>
      <c r="DK62" s="36"/>
      <c r="DL62" s="36"/>
      <c r="DM62" s="33">
        <f>IFERROR(Crops[[#This Row],[Custom Yield Per Bed]]*Crops[[#This Row],[Direct Price]],"")</f>
        <v>400</v>
      </c>
      <c r="DN62" s="36">
        <f>Crops[[#This Row],[Direct Time]]*LaborRate</f>
        <v>272.10069444444446</v>
      </c>
      <c r="DO62" s="36">
        <f>SUM(Crops[[#This Row],[Irrigation Cost]])</f>
        <v>0</v>
      </c>
      <c r="DP62" s="36">
        <f>Crops[[#This Row],[Direct Labor Cost]]+Crops[[#This Row],[Direct Non-Labor Cost]]</f>
        <v>272.10069444444446</v>
      </c>
      <c r="DQ62" s="36">
        <f>Crops[[#This Row],[Direct Revenue Per Bed2]]-Crops[[#This Row],[Direct Total Cost]]</f>
        <v>127.89930555555554</v>
      </c>
      <c r="DR62" s="36">
        <f>Crops[[#This Row],[Direct Profit]]*BedsPerAcre</f>
        <v>20463.888888888887</v>
      </c>
      <c r="DS62" s="36">
        <f>Crops[[#This Row],[Direct Profit]]*BedsPerAcre*GrowingDays/Crops[[#This Row],[Days In Field]]</f>
        <v>30953.781512605037</v>
      </c>
      <c r="DT62" s="36">
        <f>Crops[[#This Row],[Direct Profit]]/MIN(Crops[[#This Row],[Days In Field]],GrowingDays)</f>
        <v>1.074784080298786</v>
      </c>
      <c r="DU62" s="33">
        <f>Crops[[#This Row],[Direct Time]] * BedsPerAcre</f>
        <v>1741.4444444444443</v>
      </c>
      <c r="DV62" s="36">
        <f>(Crops[[#This Row],[Direct Revenue Per Bed2]]-Crops[[#This Row],[Direct Non-Labor Cost]])/Crops[[#This Row],[Direct Time]]</f>
        <v>36.751100618898739</v>
      </c>
      <c r="DW62" s="33">
        <f>IFERROR(Crops[[#This Row],[Custom Yield Per Bed]]*Crops[[#This Row],[Rough Wholesale Price]],"")</f>
        <v>400</v>
      </c>
      <c r="DX62" s="36">
        <f>Crops[[#This Row],[Wholesale Time]]*LaborRate</f>
        <v>264.60069444444446</v>
      </c>
      <c r="DY62" s="36">
        <f>SUM(Crops[[#This Row],[Packaging Costs]:[Irrigation Cost]])</f>
        <v>31.666666666666668</v>
      </c>
      <c r="DZ62" s="36">
        <f>Crops[[#This Row],[Wholesale Labor Cost]]+Crops[[#This Row],[Wholesale Non-Labor Cost]]</f>
        <v>296.26736111111114</v>
      </c>
      <c r="EA62" s="36">
        <f>Crops[[#This Row],[Wholesale Revenue Per Bed]]-Crops[[#This Row],[Wholesale Total Cost]]</f>
        <v>103.73263888888886</v>
      </c>
      <c r="EB62" s="36">
        <f>Crops[[#This Row],[Wholesale Profit]]*BedsPerAcre</f>
        <v>16597.222222222219</v>
      </c>
      <c r="EC62" s="36">
        <f>Crops[[#This Row],[Wholesale Profit]]*BedsPerAcre*GrowingDays/Crops[[#This Row],[Days In Field]]</f>
        <v>25105.042016806718</v>
      </c>
      <c r="ED62" s="33">
        <f>Crops[[#This Row],[Wholesale Time]] * BedsPerAcre</f>
        <v>1693.4444444444443</v>
      </c>
      <c r="EE62" s="221">
        <f>Crops[[#This Row],[Wholesale Profit]]/MIN(Crops[[#This Row],[Days In Field]],GrowingDays)</f>
        <v>0.87170284780578877</v>
      </c>
      <c r="EF62" s="36">
        <f>(Crops[[#This Row],[Wholesale Revenue Per Bed]]-Crops[[#This Row],[Wholesale Non-Labor Cost]])/Crops[[#This Row],[Direct Time]]</f>
        <v>33.841638486569259</v>
      </c>
      <c r="EG62" s="174">
        <f>Crops[[#This Row],[Packaging Costs]]/Crops[[#This Row],[Wholesale Revenue Per Bed]]</f>
        <v>7.9166666666666663E-2</v>
      </c>
      <c r="EH62" s="36" t="str">
        <f>Crops[[#This Row],[Crop]]&amp;Crops[[#This Row],[Product]]&amp;Crops[[#This Row],[Unit]]</f>
        <v>CabbageSmall HeadHead</v>
      </c>
      <c r="EI62" s="36" t="b">
        <f>_xlfn.XLOOKUP(Crops[[#This Row],[ProductIndex]],Products[ID],Products[Target])</f>
        <v>1</v>
      </c>
      <c r="EJ62" s="36">
        <f>Crops[[#This Row],[Custom Yield Per Bed]]</f>
        <v>100</v>
      </c>
      <c r="EK62" s="210">
        <f>Crops[[#This Row],[Units Per Harvest]]/Crops[[#This Row],[Days Between Harvest]]*7</f>
        <v>11.111111111111112</v>
      </c>
      <c r="EL62" s="210">
        <f>Crops[[#This Row],[Custom Yield Per Bed]]/_xlfn.XLOOKUP(Crops[[#This Row],[ProductIndex]],Products[ID],Products[CSA Portion])</f>
        <v>100</v>
      </c>
      <c r="EM62" s="210">
        <f>Crops[[#This Row],[Units Per Harvest]]/Crops[[#This Row],[Days Between Harvest]]*7/_xlfn.XLOOKUP(Crops[[#This Row],[ProductIndex]],Products[ID],Products[CSA Portion])</f>
        <v>11.111111111111112</v>
      </c>
      <c r="EN62" s="210">
        <f>Crops[[#This Row],[CSA Portions Per Week]]/CSAMembers</f>
        <v>0.22222222222222224</v>
      </c>
      <c r="EO62" s="210"/>
      <c r="EP62" s="210"/>
      <c r="EQ62" s="210"/>
      <c r="ER62" s="210">
        <f>Crops[[#This Row],[Harvests]]*Crops[[#This Row],[Days Between Harvest]]/7</f>
        <v>9</v>
      </c>
      <c r="ES62" s="217">
        <f>_xlfn.XLOOKUP(Crops[[#This Row],[ProductIndex]],Products[ID],Products[CSA Need])</f>
        <v>1</v>
      </c>
      <c r="ET62" s="217">
        <f>_xlfn.XLOOKUP(Crops[[#This Row],[ProductIndex]],Products[ID],Products[CSA Times])</f>
        <v>1</v>
      </c>
      <c r="EU62" s="208">
        <f>Crops[[#This Row],[Custom Yield Per Bed]]/(Crops[[#This Row],[CSA Need]]*(_xlfn.XLOOKUP(Crops[[#This Row],[ProductIndex]],Products[ID],Products[CSA Portion])*CSAMembers))</f>
        <v>2</v>
      </c>
      <c r="EV62" s="208">
        <f>_xlfn.XLOOKUP(Crops[[#This Row],[ProductIndex]],Products[ID],Products[CSA Portion])*CSAMembers*Crops[[#This Row],[CSA Need]]/Crops[[#This Row],[Custom Yield Per Bed]]</f>
        <v>0.5</v>
      </c>
      <c r="EW62" s="208">
        <f>IFERROR(Crops[[#This Row],[Days In Field]]*Crops[[#This Row],[CSA Beds]],"")</f>
        <v>59.5</v>
      </c>
      <c r="EX62" s="208" t="e">
        <f>Crops[[#This Row],[CSA Bed Days]]*#REF!</f>
        <v>#REF!</v>
      </c>
      <c r="EY62" t="s">
        <v>364</v>
      </c>
    </row>
    <row r="63" spans="1:158">
      <c r="A63"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(Early) - Mature Root 1X | Field DS Sp</v>
      </c>
      <c r="B63" s="180"/>
      <c r="C63" s="1" t="b">
        <v>1</v>
      </c>
      <c r="D63" s="1"/>
      <c r="E63" s="1" t="b">
        <v>0</v>
      </c>
      <c r="F63" s="1" t="b">
        <f>IFERROR(IF(ISNUMBER(MATCH(Crops[[#This Row],[Identifier]],BedPlan[Crop], 0)), TRUE, FALSE), FALSE)</f>
        <v>1</v>
      </c>
      <c r="G63" s="1" t="b">
        <f>IFERROR(IF(ISNUMBER(MATCH(Crops[[#This Row],[Identifier]],BedPlan[Crop], 0)), TRUE, FALSE), FALSE)</f>
        <v>1</v>
      </c>
      <c r="H63" s="1"/>
      <c r="I63" t="s">
        <v>53</v>
      </c>
      <c r="J63" t="s">
        <v>334</v>
      </c>
      <c r="K63" t="s">
        <v>185</v>
      </c>
      <c r="M63" t="s">
        <v>443</v>
      </c>
      <c r="N63" t="str">
        <f>Crops[[#This Row],[Crop]]</f>
        <v>Carrot</v>
      </c>
      <c r="O63" t="s">
        <v>210</v>
      </c>
      <c r="P63" t="str">
        <f>IF(OR(Crops[[#This Row],[Days in Cells]]="",Crops[[#This Row],[Days in Cells]]=0), "DS","TP")</f>
        <v>DS</v>
      </c>
      <c r="Q63" t="s">
        <v>144</v>
      </c>
      <c r="V63" t="str">
        <f xml:space="preserve"> IF(Crops[[#This Row],[Sp]], "Sp", "") &amp; IF(Crops[[#This Row],[Su]], "Su", "") &amp; IF(Crops[[#This Row],[Fa]], "Fa", "") &amp; IF(Crops[[#This Row],[Wi]], "Wi", "") &amp; IF(Crops[[#This Row],[OW]], "Ow","")</f>
        <v>Sp</v>
      </c>
      <c r="W63" t="s">
        <v>144</v>
      </c>
      <c r="X63">
        <v>4</v>
      </c>
      <c r="Y63">
        <v>0.5</v>
      </c>
      <c r="Z63" t="s">
        <v>431</v>
      </c>
      <c r="AA63" t="s">
        <v>475</v>
      </c>
      <c r="AB63" t="b">
        <v>1</v>
      </c>
      <c r="AC63">
        <v>1</v>
      </c>
      <c r="AD63" s="32">
        <f>IFERROR(12/Crops[[#This Row],[Spacing]]*Crops[[#This Row],[Rows]]*BedLength,"")</f>
        <v>4800</v>
      </c>
      <c r="AE63">
        <v>1</v>
      </c>
      <c r="AG63">
        <f>IF(Crops[[#This Row],[Custom Safety Factor]]="",PlantingSafetyFactor,Crops[[#This Row],[Custom Safety Factor]])</f>
        <v>1.3</v>
      </c>
      <c r="AH63">
        <f>1</f>
        <v>1</v>
      </c>
      <c r="AI63" s="33">
        <f>IFERROR(Crops[[#This Row],[Plantings Per Bed]]*Crops[[#This Row],[Seeds Per Planting]]*Crops[[#This Row],[Safety Factor]]*Crops[[#This Row],[Seeding Factor]],"")</f>
        <v>6240</v>
      </c>
      <c r="AL63">
        <f>_xlfn.FLOOR.MATH(IFERROR(AVERAGE(Crops[[#This Row],[DTG Lower]:[DTG Upper]]),0))</f>
        <v>0</v>
      </c>
      <c r="AM63">
        <f>SUM(Crops[[#This Row],[Tray 1 Days]],Crops[[#This Row],[Tray 2 Days]],Crops[[#This Row],[Tray 3 Days]])</f>
        <v>0</v>
      </c>
      <c r="AN63" s="32"/>
      <c r="AP63">
        <v>70</v>
      </c>
      <c r="AQ63">
        <f>IFERROR(_xlfn.FLOOR.MATH(AVERAGE(Crops[[#This Row],[DTM Lower]:[DTM Upper]])),"")</f>
        <v>70</v>
      </c>
      <c r="AR63" cm="1">
        <f t="array" ref="AR63">_xlfn.SWITCH(Crops[[#This Row],[Normal Method]],"DS",Crops[[#This Row],[Days to Germination]]+Crops[[#This Row],[DTM]] + IF(Crops[[#This Row],[Days in Cells]]&gt;0,15,0), "TP",Crops[[#This Row],[DTM]]+Crops[[#This Row],[Days in Cells]] + IF(Crops[[#This Row],[Days in Cells]]&lt;=0,20,0), "X", Crops[[#This Row],[DTM]])</f>
        <v>70</v>
      </c>
      <c r="AS63" t="s">
        <v>338</v>
      </c>
      <c r="AT63">
        <f>(Crops[[#This Row],[Harvests]]-1)*Crops[[#This Row],[Days Between Harvest]]+7</f>
        <v>21</v>
      </c>
      <c r="AU63">
        <f>Crops[[#This Row],[STH]]-Crops[[#This Row],[Days in Cells]]+Crops[[#This Row],[Harvest window]]</f>
        <v>91</v>
      </c>
      <c r="AW63" t="s">
        <v>212</v>
      </c>
      <c r="AZ63" t="str">
        <f>IFERROR(IF(Crops[[#This Row],[Tray 1 Days]]=0,"",Crops[[#This Row],[Plantings Per Bed]]/Crops[[#This Row],[Tray 1 Size]]*Crops[[#This Row],[Safety Factor]]),"")</f>
        <v/>
      </c>
      <c r="BC63" t="str">
        <f>IFERROR(IF(Crops[[#This Row],[Tray 2 Days]]=0,"",Crops[[#This Row],[Plantings Per Bed]]/Crops[[#This Row],[Tray 2 Size]]*Crops[[#This Row],[Safety Factor]]),"")</f>
        <v/>
      </c>
      <c r="BE63" s="32" t="str">
        <f>IF(NOT(ISBLANK(Crops[[#This Row],[Tray 3 Size]])), Crops[[#This Row],[Days in Cells Old]]-SUM(Crops[[#This Row],[Tray 1 Days]],Crops[[#This Row],[Tray 2 Days]]), "")</f>
        <v/>
      </c>
      <c r="BF63" t="str">
        <f>IFERROR(IF(Crops[[#This Row],[Tray 3 Days]]=0,"",Crops[[#This Row],[Plantings Per Bed]]/Crops[[#This Row],[Tray 3 Size]]*Crops[[#This Row],[Safety Factor]]),"")</f>
        <v/>
      </c>
      <c r="BG63" s="33">
        <f>Crops[[#This Row],[Plantings Per Bed]]/7/4/Crops[[#This Row],[Harvests]]</f>
        <v>85.714285714285708</v>
      </c>
      <c r="BH63" s="33">
        <v>2</v>
      </c>
      <c r="BI63" s="33">
        <v>14</v>
      </c>
      <c r="BJ63" s="33">
        <f>_xlfn.XLOOKUP(Crops[[#This Row],[ProductIndex]],Products[ID],Products[Holding Period])</f>
        <v>7</v>
      </c>
      <c r="BK63" s="33"/>
      <c r="BL63" s="33">
        <f>Crops[[#This Row],[Units Per Harvest]]*Crops[[#This Row],[Harvests]]</f>
        <v>171.42857142857142</v>
      </c>
      <c r="BM63" s="35">
        <v>3.25</v>
      </c>
      <c r="BN63" s="35">
        <v>2</v>
      </c>
      <c r="BO63" s="35"/>
      <c r="BP63" t="s">
        <v>215</v>
      </c>
      <c r="BQ63">
        <f>Crops[[#This Row],[Custom Yield Per Bed]]*Crops[[#This Row],[Direct Price]]</f>
        <v>557.14285714285711</v>
      </c>
      <c r="BR63" t="b">
        <v>1</v>
      </c>
      <c r="BS63" t="b">
        <f>Crops[[#This Row],[Harvests]]&gt;1</f>
        <v>1</v>
      </c>
      <c r="BT63" s="36">
        <f>IFERROR(Crops[[#This Row],[Direct Revenue Per Bed]]/Crops[[#This Row],[Days In Field]],-1)</f>
        <v>6.1224489795918364</v>
      </c>
      <c r="BU63" s="36">
        <f>IFERROR(Crops[[#This Row],[Direct Revenue Per Bed Day]]*GrowingDays*BedsPerAcre,"")</f>
        <v>176326.53061224491</v>
      </c>
      <c r="BV63" s="38">
        <f>LastFrostDate-5*Crops[[#This Row],[Sewing Rel Last Frost]]</f>
        <v>45743</v>
      </c>
      <c r="BW63" s="38">
        <f>Crops[[#This Row],[Target Sewing Date]]+Crops[[#This Row],[Days in Cells]]</f>
        <v>45743</v>
      </c>
      <c r="BX63" s="38">
        <f>Crops[[#This Row],[Target Sewing Date]]+Crops[[#This Row],[STH]]</f>
        <v>45813</v>
      </c>
      <c r="BY63" s="38">
        <f>Crops[[#This Row],[Target Harvest Data]]+Crops[[#This Row],[Harvest window]]</f>
        <v>45834</v>
      </c>
      <c r="BZ63">
        <v>1</v>
      </c>
      <c r="CB63">
        <f>1</f>
        <v>1</v>
      </c>
      <c r="CC63">
        <f>IF(Crops[[#This Row],[Transplanting]]&gt;0, 2, 3)*BedLength/StandardBedLength</f>
        <v>1.5</v>
      </c>
      <c r="CD63" s="173">
        <f>IF(Crops[[#This Row],[Days in Cells]]&lt;=0,0,Crops[[#This Row],[Plantings Per Bed]]/StartsPerHourSeeding+Crops[[#This Row],[Tray 1 Count]]*5/60)</f>
        <v>0</v>
      </c>
      <c r="CE63" s="173">
        <f>IF(ISBLANK(Crops[[#This Row],[Tray 2 Days]]),0,Crops[[#This Row],[Plantings Per Bed]]/UpPottingPerHour)+IF(Crops[[#This Row],[Tray 3 Days]]="",0,Crops[[#This Row],[Plantings Per Bed]]/UpPottingPerHour)</f>
        <v>0</v>
      </c>
      <c r="CF63" s="173">
        <f>IFERROR(Crops[[#This Row],[Tray 1 Count]]/HomeStartFlatIrrigationPerHour,0)*Crops[[#This Row],[Days in Cells]]/DaysBetweenStartIrrigation</f>
        <v>0</v>
      </c>
      <c r="CG63" s="173">
        <f>0.5/16*MAX(Crops[[#This Row],[Tray 1 Count]],Crops[[#This Row],[Tray 2 Count]],Crops[[#This Row],[Tray 3 Count]])</f>
        <v>0</v>
      </c>
      <c r="CH63" s="173">
        <f>IF(Crops[[#This Row],[Days in Cells]]&gt;0,IF(IF(Crops[[#This Row],[Tray 3 Size]]&gt;0,Crops[[#This Row],[Tray 3 Size]],IF(Crops[[#This Row],[Tray 2 Size]]&gt;0,Crops[[#This Row],[Tray 2 Size]],Crops[[#This Row],[Tray 1 Size]]))&lt;=18,LargeTransplantTime,SmallTransplantTime)*Crops[[#This Row],[Plantings Per Bed]],0)</f>
        <v>0</v>
      </c>
      <c r="CI63" s="173"/>
      <c r="CJ63" s="173">
        <f>_xlfn.XLOOKUP(Crops[[#This Row],[Trellis Type]],TrellisMethods[Trellis Type],TrellisMethods[Hours],0,0)</f>
        <v>0</v>
      </c>
      <c r="CK63">
        <f>IF(Crops[[#This Row],[Days in Cells]]&lt;=0,Crops[[#This Row],[Rows]]*1/10,0)*BedLength/50</f>
        <v>0.4</v>
      </c>
      <c r="CL63" cm="1">
        <f t="array" ref="CL63">_xlfn.SWITCH(Crops[[#This Row],[Irrigation]],"DR", 0.5, "OH", 0.25,0)*BedLength/50</f>
        <v>0.25</v>
      </c>
      <c r="CM63">
        <f>IF(OR(ISBLANK(Crops[[#This Row],[Row Cover]]),Crops[[#This Row],[Row Cover]]="None"),0,1)*BedLength/50</f>
        <v>1</v>
      </c>
      <c r="CN63" s="173">
        <f>HoursPerWeedingPass*Crops[[#This Row],[Days In Field]]/14*Crops[[#This Row],[Rows]]+1*BedLength/50</f>
        <v>5.333333333333333</v>
      </c>
      <c r="CO63" s="49"/>
      <c r="CQ63" s="37">
        <f>_xlfn.XLOOKUP(Crops[[#This Row],[Crop]]&amp;Crops[[#This Row],[Product]]&amp;Crops[[#This Row],[Unit]],Products[ID],Products[Marketing (hr)])*Crops[[#This Row],[Direct Revenue Per Bed]]/2000</f>
        <v>0.27857142857142858</v>
      </c>
      <c r="CR63" s="37">
        <f>_xlfn.XLOOKUP(Crops[[#This Row],[Crop]]&amp;Crops[[#This Row],[Product]]&amp;Crops[[#This Row],[Unit]],Products[ID],Products[Harvest (s)])*Crops[[#This Row],[Custom Yield Per Bed]]/3600</f>
        <v>0.95238095238095233</v>
      </c>
      <c r="CS63" s="37">
        <f>_xlfn.XLOOKUP(Crops[[#This Row],[Crop]]&amp;Crops[[#This Row],[Product]]&amp;Crops[[#This Row],[Unit]],Products[ID],Products[Bunch (s)])*Crops[[#This Row],[Custom Yield Per Bed]]/3600</f>
        <v>0.47619047619047616</v>
      </c>
      <c r="CT63" s="37">
        <f>_xlfn.XLOOKUP(Crops[[#This Row],[Crop]]&amp;Crops[[#This Row],[Product]]&amp;Crops[[#This Row],[Unit]],Products[ID],Products[Haul (s)])*Crops[[#This Row],[Custom Yield Per Bed]]/3600</f>
        <v>0.17857142857142855</v>
      </c>
      <c r="CU63" s="37">
        <f>_xlfn.XLOOKUP(Crops[[#This Row],[Crop]]&amp;Crops[[#This Row],[Product]]&amp;Crops[[#This Row],[Unit]],Products[ID],Products[Wash (s)])*Crops[[#This Row],[Custom Yield Per Bed]]/3600</f>
        <v>1.1904761904761905</v>
      </c>
      <c r="CV63" s="37">
        <f>_xlfn.XLOOKUP(Crops[[#This Row],[Crop]]&amp;Crops[[#This Row],[Product]]&amp;Crops[[#This Row],[Unit]],Products[ID],Products[Condition (s)])*Crops[[#This Row],[Custom Yield Per Bed]]/3600</f>
        <v>0</v>
      </c>
      <c r="CW63" s="37">
        <f>_xlfn.XLOOKUP(Crops[[#This Row],[Crop]]&amp;Crops[[#This Row],[Product]]&amp;Crops[[#This Row],[Unit]],Products[ID],Products[Trim (s)])*Crops[[#This Row],[Custom Yield Per Bed]]/3600</f>
        <v>0.23809523809523808</v>
      </c>
      <c r="CX63" s="37">
        <f>_xlfn.XLOOKUP(Crops[[#This Row],[Crop]]&amp;Crops[[#This Row],[Product]]&amp;Crops[[#This Row],[Unit]],Products[ID],Products[Pack (s)])*Crops[[#This Row],[Custom Yield Per Bed]]/3600</f>
        <v>0.14285714285714285</v>
      </c>
      <c r="CY63" s="37">
        <f>_xlfn.XLOOKUP(Crops[[#This Row],[Crop]]&amp;Crops[[#This Row],[Product]]&amp;Crops[[#This Row],[Unit]],Products[ID],Products[Clean (s)])*Crops[[#This Row],[Custom Yield Per Bed]]/3600</f>
        <v>0</v>
      </c>
      <c r="CZ63" s="37">
        <f>_xlfn.XLOOKUP(Crops[[#This Row],[Crop]]&amp;Crops[[#This Row],[Product]]&amp;Crops[[#This Row],[Unit]],Products[ID],Products[Rehandle (s)])*Crops[[#This Row],[Custom Yield Per Bed]]/3600</f>
        <v>0</v>
      </c>
      <c r="DA63" s="37">
        <f>_xlfn.XLOOKUP(Crops[[#This Row],[Crop]]&amp;Crops[[#This Row],[Product]]&amp;Crops[[#This Row],[Unit]],Products[ID],Products[Market Transport (s)])*Crops[[#This Row],[Custom Yield Per Bed]]/3600</f>
        <v>0.4464285714285714</v>
      </c>
      <c r="DC63" s="37">
        <f>Crops[[#This Row],[Direct Revenue Per Bed2]]</f>
        <v>557.14285714285711</v>
      </c>
      <c r="DD63" s="173">
        <f>_xlfn.AGGREGATE(9,6,Crops[[#This Row],[Bed Prep]:[Remove Crop Residue]])</f>
        <v>12.386904761904759</v>
      </c>
      <c r="DE63" s="173">
        <f>_xlfn.AGGREGATE(9,6,Crops[[#This Row],[Bed Prep]:[Remove Crop Residue]])-0.75*Crops[[#This Row],[Market &amp; Sell]]</f>
        <v>12.177976190476187</v>
      </c>
      <c r="DF63" s="36">
        <f>Crops[[#This Row],[Direct Revenue Per Bed2]]/Crops[[#This Row],[Direct Time]]</f>
        <v>44.978375780874586</v>
      </c>
      <c r="DG63" s="36">
        <f>_xlfn.XLOOKUP(Crops[[#This Row],[ProductIndex]],Products[ID],Products[Packaging Cost])*(Crops[[#This Row],[Custom Yield Per Bed]]/_xlfn.XLOOKUP(Crops[[#This Row],[ProductIndex]],Products[ID],Products[Units Per Pack]))</f>
        <v>27.142857142857139</v>
      </c>
      <c r="DH63" s="36"/>
      <c r="DI63" s="36"/>
      <c r="DJ63" s="36"/>
      <c r="DK63" s="36"/>
      <c r="DL63" s="36"/>
      <c r="DM63" s="33">
        <f>IFERROR(Crops[[#This Row],[Custom Yield Per Bed]]*Crops[[#This Row],[Direct Price]],"")</f>
        <v>557.14285714285711</v>
      </c>
      <c r="DN63" s="36">
        <f>Crops[[#This Row],[Direct Time]]*LaborRate</f>
        <v>309.67261904761898</v>
      </c>
      <c r="DO63" s="36">
        <f>SUM(Crops[[#This Row],[Irrigation Cost]])</f>
        <v>0</v>
      </c>
      <c r="DP63" s="36">
        <f>Crops[[#This Row],[Direct Labor Cost]]+Crops[[#This Row],[Direct Non-Labor Cost]]</f>
        <v>309.67261904761898</v>
      </c>
      <c r="DQ63" s="36">
        <f>Crops[[#This Row],[Direct Revenue Per Bed2]]-Crops[[#This Row],[Direct Total Cost]]</f>
        <v>247.47023809523813</v>
      </c>
      <c r="DR63" s="36">
        <f>Crops[[#This Row],[Direct Profit]]*BedsPerAcre</f>
        <v>39595.238095238099</v>
      </c>
      <c r="DS63" s="36">
        <f>Crops[[#This Row],[Direct Profit]]*BedsPerAcre*GrowingDays/Crops[[#This Row],[Days In Field]]</f>
        <v>78320.25117739405</v>
      </c>
      <c r="DT63" s="36">
        <f>Crops[[#This Row],[Direct Profit]]/MIN(Crops[[#This Row],[Days In Field]],GrowingDays)</f>
        <v>2.7194531658817378</v>
      </c>
      <c r="DU63" s="33">
        <f>Crops[[#This Row],[Direct Time]] * BedsPerAcre</f>
        <v>1981.9047619047615</v>
      </c>
      <c r="DV63" s="36">
        <f>(Crops[[#This Row],[Direct Revenue Per Bed2]]-Crops[[#This Row],[Direct Non-Labor Cost]])/Crops[[#This Row],[Direct Time]]</f>
        <v>44.978375780874586</v>
      </c>
      <c r="DW63" s="33">
        <f>IFERROR(Crops[[#This Row],[Custom Yield Per Bed]]*Crops[[#This Row],[Rough Wholesale Price]],"")</f>
        <v>342.85714285714283</v>
      </c>
      <c r="DX63" s="36">
        <f>Crops[[#This Row],[Wholesale Time]]*LaborRate</f>
        <v>304.4494047619047</v>
      </c>
      <c r="DY63" s="36">
        <f>SUM(Crops[[#This Row],[Packaging Costs]:[Irrigation Cost]])</f>
        <v>27.142857142857139</v>
      </c>
      <c r="DZ63" s="36">
        <f>Crops[[#This Row],[Wholesale Labor Cost]]+Crops[[#This Row],[Wholesale Non-Labor Cost]]</f>
        <v>331.59226190476181</v>
      </c>
      <c r="EA63" s="36">
        <f>Crops[[#This Row],[Wholesale Revenue Per Bed]]-Crops[[#This Row],[Wholesale Total Cost]]</f>
        <v>11.26488095238102</v>
      </c>
      <c r="EB63" s="36">
        <f>Crops[[#This Row],[Wholesale Profit]]*BedsPerAcre</f>
        <v>1802.3809523809632</v>
      </c>
      <c r="EC63" s="36">
        <f>Crops[[#This Row],[Wholesale Profit]]*BedsPerAcre*GrowingDays/Crops[[#This Row],[Days In Field]]</f>
        <v>3565.1491365777297</v>
      </c>
      <c r="ED63" s="33">
        <f>Crops[[#This Row],[Wholesale Time]] * BedsPerAcre</f>
        <v>1948.4761904761899</v>
      </c>
      <c r="EE63" s="221">
        <f>Crops[[#This Row],[Wholesale Profit]]/MIN(Crops[[#This Row],[Days In Field]],GrowingDays)</f>
        <v>0.12378990057561561</v>
      </c>
      <c r="EF63" s="36">
        <f>(Crops[[#This Row],[Wholesale Revenue Per Bed]]-Crops[[#This Row],[Wholesale Non-Labor Cost]])/Crops[[#This Row],[Direct Time]]</f>
        <v>25.487746275828929</v>
      </c>
      <c r="EG63" s="174">
        <f>Crops[[#This Row],[Packaging Costs]]/Crops[[#This Row],[Wholesale Revenue Per Bed]]</f>
        <v>7.9166666666666663E-2</v>
      </c>
      <c r="EH63" s="36" t="str">
        <f>Crops[[#This Row],[Crop]]&amp;Crops[[#This Row],[Product]]&amp;Crops[[#This Row],[Unit]]</f>
        <v>CarrotMature RootBunch</v>
      </c>
      <c r="EI63" s="36" t="b">
        <f>_xlfn.XLOOKUP(Crops[[#This Row],[ProductIndex]],Products[ID],Products[Target])</f>
        <v>1</v>
      </c>
      <c r="EJ63" s="33">
        <f>Crops[[#This Row],[Custom Yield Per Bed]]</f>
        <v>171.42857142857142</v>
      </c>
      <c r="EK63" s="210">
        <f>Crops[[#This Row],[Units Per Harvest]]/Crops[[#This Row],[Days Between Harvest]]*7</f>
        <v>42.857142857142854</v>
      </c>
      <c r="EL63" s="210">
        <f>Crops[[#This Row],[Custom Yield Per Bed]]/_xlfn.XLOOKUP(Crops[[#This Row],[ProductIndex]],Products[ID],Products[CSA Portion])</f>
        <v>171.42857142857142</v>
      </c>
      <c r="EM63" s="210">
        <f>Crops[[#This Row],[Units Per Harvest]]/Crops[[#This Row],[Days Between Harvest]]*7/_xlfn.XLOOKUP(Crops[[#This Row],[ProductIndex]],Products[ID],Products[CSA Portion])</f>
        <v>42.857142857142854</v>
      </c>
      <c r="EN63" s="210">
        <f>Crops[[#This Row],[CSA Portions Per Week]]/CSAMembers</f>
        <v>0.8571428571428571</v>
      </c>
      <c r="EO63" s="216">
        <v>1</v>
      </c>
      <c r="EP63" s="216">
        <v>2</v>
      </c>
      <c r="EQ63" s="210"/>
      <c r="ER63" s="210">
        <f>Crops[[#This Row],[Harvests]]*Crops[[#This Row],[Days Between Harvest]]/7</f>
        <v>4</v>
      </c>
      <c r="ES63" s="217">
        <f>_xlfn.XLOOKUP(Crops[[#This Row],[ProductIndex]],Products[ID],Products[CSA Need])</f>
        <v>6</v>
      </c>
      <c r="ET63" s="217">
        <f>_xlfn.XLOOKUP(Crops[[#This Row],[ProductIndex]],Products[ID],Products[CSA Times])</f>
        <v>6</v>
      </c>
      <c r="EU63" s="208">
        <f>Crops[[#This Row],[Custom Yield Per Bed]]/(Crops[[#This Row],[CSA Need]]*(_xlfn.XLOOKUP(Crops[[#This Row],[ProductIndex]],Products[ID],Products[CSA Portion])*CSAMembers))</f>
        <v>0.5714285714285714</v>
      </c>
      <c r="EV63" s="208">
        <f>_xlfn.XLOOKUP(Crops[[#This Row],[ProductIndex]],Products[ID],Products[CSA Portion])*CSAMembers*Crops[[#This Row],[CSA Need]]/Crops[[#This Row],[Custom Yield Per Bed]]</f>
        <v>1.7500000000000002</v>
      </c>
      <c r="EW63" s="208">
        <f>IFERROR(Crops[[#This Row],[Days In Field]]*Crops[[#This Row],[CSA Beds]],"")</f>
        <v>159.25000000000003</v>
      </c>
      <c r="EX63" s="208" t="e">
        <f>Crops[[#This Row],[CSA Bed Days]]*#REF!</f>
        <v>#REF!</v>
      </c>
      <c r="EY63" t="s">
        <v>1390</v>
      </c>
    </row>
    <row r="64" spans="1:158">
      <c r="A64"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(Early) - Mature Root 1X | Field DS Su</v>
      </c>
      <c r="B64" s="180"/>
      <c r="C64" s="1" t="b">
        <v>1</v>
      </c>
      <c r="D64" s="1"/>
      <c r="E64" s="1" t="b">
        <v>0</v>
      </c>
      <c r="F64" s="1" t="b">
        <f>IFERROR(IF(ISNUMBER(MATCH(Crops[[#This Row],[Identifier]],BedPlan[Crop], 0)), TRUE, FALSE), FALSE)</f>
        <v>1</v>
      </c>
      <c r="G64" s="1" t="b">
        <f>IFERROR(IF(ISNUMBER(MATCH(Crops[[#This Row],[Identifier]],BedPlan[Crop], 0)), TRUE, FALSE), FALSE)</f>
        <v>1</v>
      </c>
      <c r="H64" s="1"/>
      <c r="I64" t="s">
        <v>53</v>
      </c>
      <c r="J64" t="s">
        <v>334</v>
      </c>
      <c r="K64" t="s">
        <v>185</v>
      </c>
      <c r="M64" t="s">
        <v>443</v>
      </c>
      <c r="N64" t="str">
        <f>Crops[[#This Row],[Crop]]</f>
        <v>Carrot</v>
      </c>
      <c r="O64" t="s">
        <v>210</v>
      </c>
      <c r="P64" t="str">
        <f>IF(OR(Crops[[#This Row],[Days in Cells]]="",Crops[[#This Row],[Days in Cells]]=0), "DS","TP")</f>
        <v>DS</v>
      </c>
      <c r="R64" t="s">
        <v>144</v>
      </c>
      <c r="V64" t="str">
        <f xml:space="preserve"> IF(Crops[[#This Row],[Sp]], "Sp", "") &amp; IF(Crops[[#This Row],[Su]], "Su", "") &amp; IF(Crops[[#This Row],[Fa]], "Fa", "") &amp; IF(Crops[[#This Row],[Wi]], "Wi", "") &amp; IF(Crops[[#This Row],[OW]], "Ow","")</f>
        <v>Su</v>
      </c>
      <c r="W64" t="s">
        <v>144</v>
      </c>
      <c r="X64">
        <v>4</v>
      </c>
      <c r="Y64">
        <v>0.5</v>
      </c>
      <c r="Z64" t="s">
        <v>431</v>
      </c>
      <c r="AA64" t="s">
        <v>475</v>
      </c>
      <c r="AB64" t="b">
        <v>1</v>
      </c>
      <c r="AC64">
        <v>1</v>
      </c>
      <c r="AD64" s="32">
        <f>IFERROR(12/Crops[[#This Row],[Spacing]]*Crops[[#This Row],[Rows]]*BedLength,"")</f>
        <v>4800</v>
      </c>
      <c r="AE64">
        <v>1</v>
      </c>
      <c r="AG64">
        <f>IF(Crops[[#This Row],[Custom Safety Factor]]="",PlantingSafetyFactor,Crops[[#This Row],[Custom Safety Factor]])</f>
        <v>1.3</v>
      </c>
      <c r="AH64">
        <f>1</f>
        <v>1</v>
      </c>
      <c r="AI64" s="33">
        <f>IFERROR(Crops[[#This Row],[Plantings Per Bed]]*Crops[[#This Row],[Seeds Per Planting]]*Crops[[#This Row],[Safety Factor]]*Crops[[#This Row],[Seeding Factor]],"")</f>
        <v>6240</v>
      </c>
      <c r="AL64">
        <f>_xlfn.FLOOR.MATH(IFERROR(AVERAGE(Crops[[#This Row],[DTG Lower]:[DTG Upper]]),0))</f>
        <v>0</v>
      </c>
      <c r="AM64">
        <f>SUM(Crops[[#This Row],[Tray 1 Days]],Crops[[#This Row],[Tray 2 Days]],Crops[[#This Row],[Tray 3 Days]])</f>
        <v>0</v>
      </c>
      <c r="AN64" s="32"/>
      <c r="AP64">
        <v>70</v>
      </c>
      <c r="AQ64">
        <f>IFERROR(_xlfn.FLOOR.MATH(AVERAGE(Crops[[#This Row],[DTM Lower]:[DTM Upper]])),"")</f>
        <v>70</v>
      </c>
      <c r="AR64" cm="1">
        <f t="array" ref="AR64">_xlfn.SWITCH(Crops[[#This Row],[Normal Method]],"DS",Crops[[#This Row],[Days to Germination]]+Crops[[#This Row],[DTM]] + IF(Crops[[#This Row],[Days in Cells]]&gt;0,15,0), "TP",Crops[[#This Row],[DTM]]+Crops[[#This Row],[Days in Cells]] + IF(Crops[[#This Row],[Days in Cells]]&lt;=0,20,0), "X", Crops[[#This Row],[DTM]])</f>
        <v>70</v>
      </c>
      <c r="AS64" t="s">
        <v>338</v>
      </c>
      <c r="AT64">
        <f>(Crops[[#This Row],[Harvests]]-1)*Crops[[#This Row],[Days Between Harvest]]+7</f>
        <v>21</v>
      </c>
      <c r="AU64">
        <f>Crops[[#This Row],[STH]]-Crops[[#This Row],[Days in Cells]]+Crops[[#This Row],[Harvest window]]</f>
        <v>91</v>
      </c>
      <c r="AW64" t="s">
        <v>212</v>
      </c>
      <c r="AZ64" t="str">
        <f>IFERROR(IF(Crops[[#This Row],[Tray 1 Days]]=0,"",Crops[[#This Row],[Plantings Per Bed]]/Crops[[#This Row],[Tray 1 Size]]*Crops[[#This Row],[Safety Factor]]),"")</f>
        <v/>
      </c>
      <c r="BC64" t="str">
        <f>IFERROR(IF(Crops[[#This Row],[Tray 2 Days]]=0,"",Crops[[#This Row],[Plantings Per Bed]]/Crops[[#This Row],[Tray 2 Size]]*Crops[[#This Row],[Safety Factor]]),"")</f>
        <v/>
      </c>
      <c r="BE64" s="32" t="str">
        <f>IF(NOT(ISBLANK(Crops[[#This Row],[Tray 3 Size]])), Crops[[#This Row],[Days in Cells Old]]-SUM(Crops[[#This Row],[Tray 1 Days]],Crops[[#This Row],[Tray 2 Days]]), "")</f>
        <v/>
      </c>
      <c r="BF64" t="str">
        <f>IFERROR(IF(Crops[[#This Row],[Tray 3 Days]]=0,"",Crops[[#This Row],[Plantings Per Bed]]/Crops[[#This Row],[Tray 3 Size]]*Crops[[#This Row],[Safety Factor]]),"")</f>
        <v/>
      </c>
      <c r="BG64" s="33">
        <f>Crops[[#This Row],[Plantings Per Bed]]/7/4/Crops[[#This Row],[Harvests]]</f>
        <v>85.714285714285708</v>
      </c>
      <c r="BH64" s="33">
        <v>2</v>
      </c>
      <c r="BI64" s="33">
        <v>14</v>
      </c>
      <c r="BJ64" s="33">
        <f>_xlfn.XLOOKUP(Crops[[#This Row],[ProductIndex]],Products[ID],Products[Holding Period])</f>
        <v>7</v>
      </c>
      <c r="BK64" s="33"/>
      <c r="BL64" s="33">
        <f>Crops[[#This Row],[Units Per Harvest]]*Crops[[#This Row],[Harvests]]</f>
        <v>171.42857142857142</v>
      </c>
      <c r="BM64" s="35">
        <v>3.25</v>
      </c>
      <c r="BN64" s="35">
        <v>2</v>
      </c>
      <c r="BO64" s="35"/>
      <c r="BP64" t="s">
        <v>215</v>
      </c>
      <c r="BQ64">
        <f>Crops[[#This Row],[Custom Yield Per Bed]]*Crops[[#This Row],[Direct Price]]</f>
        <v>557.14285714285711</v>
      </c>
      <c r="BR64" t="b">
        <v>1</v>
      </c>
      <c r="BS64" t="b">
        <f>Crops[[#This Row],[Harvests]]&gt;1</f>
        <v>1</v>
      </c>
      <c r="BT64" s="36">
        <f>IFERROR(Crops[[#This Row],[Direct Revenue Per Bed]]/Crops[[#This Row],[Days In Field]],-1)</f>
        <v>6.1224489795918364</v>
      </c>
      <c r="BU64" s="36">
        <f>IFERROR(Crops[[#This Row],[Direct Revenue Per Bed Day]]*GrowingDays*BedsPerAcre,"")</f>
        <v>176326.53061224491</v>
      </c>
      <c r="BV64" s="38">
        <f>LastFrostDate-5*Crops[[#This Row],[Sewing Rel Last Frost]]</f>
        <v>45798</v>
      </c>
      <c r="BW64" s="38">
        <f>Crops[[#This Row],[Target Sewing Date]]+Crops[[#This Row],[Days in Cells]]</f>
        <v>45798</v>
      </c>
      <c r="BX64" s="38">
        <f>Crops[[#This Row],[Target Sewing Date]]+Crops[[#This Row],[STH]]</f>
        <v>45868</v>
      </c>
      <c r="BY64" s="38">
        <f>Crops[[#This Row],[Target Harvest Data]]+Crops[[#This Row],[Harvest window]]</f>
        <v>45889</v>
      </c>
      <c r="BZ64">
        <v>-10</v>
      </c>
      <c r="CB64">
        <f>1</f>
        <v>1</v>
      </c>
      <c r="CC64">
        <f>IF(Crops[[#This Row],[Transplanting]]&gt;0, 2, 3)*BedLength/StandardBedLength</f>
        <v>1.5</v>
      </c>
      <c r="CD64" s="173">
        <f>IF(Crops[[#This Row],[Days in Cells]]&lt;=0,0,Crops[[#This Row],[Plantings Per Bed]]/StartsPerHourSeeding+Crops[[#This Row],[Tray 1 Count]]*5/60)</f>
        <v>0</v>
      </c>
      <c r="CE64" s="173">
        <f>IF(ISBLANK(Crops[[#This Row],[Tray 2 Days]]),0,Crops[[#This Row],[Plantings Per Bed]]/UpPottingPerHour)+IF(Crops[[#This Row],[Tray 3 Days]]="",0,Crops[[#This Row],[Plantings Per Bed]]/UpPottingPerHour)</f>
        <v>0</v>
      </c>
      <c r="CF64" s="173">
        <f>IFERROR(Crops[[#This Row],[Tray 1 Count]]/HomeStartFlatIrrigationPerHour,0)*Crops[[#This Row],[Days in Cells]]/DaysBetweenStartIrrigation</f>
        <v>0</v>
      </c>
      <c r="CG64" s="173">
        <f>0.5/16*MAX(Crops[[#This Row],[Tray 1 Count]],Crops[[#This Row],[Tray 2 Count]],Crops[[#This Row],[Tray 3 Count]])</f>
        <v>0</v>
      </c>
      <c r="CH64" s="173">
        <f>IF(Crops[[#This Row],[Days in Cells]]&gt;0,IF(IF(Crops[[#This Row],[Tray 3 Size]]&gt;0,Crops[[#This Row],[Tray 3 Size]],IF(Crops[[#This Row],[Tray 2 Size]]&gt;0,Crops[[#This Row],[Tray 2 Size]],Crops[[#This Row],[Tray 1 Size]]))&lt;=18,LargeTransplantTime,SmallTransplantTime)*Crops[[#This Row],[Plantings Per Bed]],0)</f>
        <v>0</v>
      </c>
      <c r="CI64" s="173"/>
      <c r="CJ64" s="173">
        <f>_xlfn.XLOOKUP(Crops[[#This Row],[Trellis Type]],TrellisMethods[Trellis Type],TrellisMethods[Hours],0,0)</f>
        <v>0</v>
      </c>
      <c r="CK64">
        <f>IF(Crops[[#This Row],[Days in Cells]]&lt;=0,Crops[[#This Row],[Rows]]*1/10,0)*BedLength/50</f>
        <v>0.4</v>
      </c>
      <c r="CL64" cm="1">
        <f t="array" ref="CL64">_xlfn.SWITCH(Crops[[#This Row],[Irrigation]],"DR", 0.5, "OH", 0.25,0)*BedLength/50</f>
        <v>0.25</v>
      </c>
      <c r="CM64">
        <f>IF(OR(ISBLANK(Crops[[#This Row],[Row Cover]]),Crops[[#This Row],[Row Cover]]="None"),0,1)*BedLength/50</f>
        <v>1</v>
      </c>
      <c r="CN64" s="173">
        <f>HoursPerWeedingPass*Crops[[#This Row],[Days In Field]]/14*Crops[[#This Row],[Rows]]+1*BedLength/50</f>
        <v>5.333333333333333</v>
      </c>
      <c r="CO64" s="49"/>
      <c r="CQ64" s="37">
        <f>_xlfn.XLOOKUP(Crops[[#This Row],[Crop]]&amp;Crops[[#This Row],[Product]]&amp;Crops[[#This Row],[Unit]],Products[ID],Products[Marketing (hr)])*Crops[[#This Row],[Direct Revenue Per Bed]]/2000</f>
        <v>0.27857142857142858</v>
      </c>
      <c r="CR64" s="37">
        <f>_xlfn.XLOOKUP(Crops[[#This Row],[Crop]]&amp;Crops[[#This Row],[Product]]&amp;Crops[[#This Row],[Unit]],Products[ID],Products[Harvest (s)])*Crops[[#This Row],[Custom Yield Per Bed]]/3600</f>
        <v>0.95238095238095233</v>
      </c>
      <c r="CS64" s="37">
        <f>_xlfn.XLOOKUP(Crops[[#This Row],[Crop]]&amp;Crops[[#This Row],[Product]]&amp;Crops[[#This Row],[Unit]],Products[ID],Products[Bunch (s)])*Crops[[#This Row],[Custom Yield Per Bed]]/3600</f>
        <v>0.47619047619047616</v>
      </c>
      <c r="CT64" s="37">
        <f>_xlfn.XLOOKUP(Crops[[#This Row],[Crop]]&amp;Crops[[#This Row],[Product]]&amp;Crops[[#This Row],[Unit]],Products[ID],Products[Haul (s)])*Crops[[#This Row],[Custom Yield Per Bed]]/3600</f>
        <v>0.17857142857142855</v>
      </c>
      <c r="CU64" s="37">
        <f>_xlfn.XLOOKUP(Crops[[#This Row],[Crop]]&amp;Crops[[#This Row],[Product]]&amp;Crops[[#This Row],[Unit]],Products[ID],Products[Wash (s)])*Crops[[#This Row],[Custom Yield Per Bed]]/3600</f>
        <v>1.1904761904761905</v>
      </c>
      <c r="CV64" s="37">
        <f>_xlfn.XLOOKUP(Crops[[#This Row],[Crop]]&amp;Crops[[#This Row],[Product]]&amp;Crops[[#This Row],[Unit]],Products[ID],Products[Condition (s)])*Crops[[#This Row],[Custom Yield Per Bed]]/3600</f>
        <v>0</v>
      </c>
      <c r="CW64" s="37">
        <f>_xlfn.XLOOKUP(Crops[[#This Row],[Crop]]&amp;Crops[[#This Row],[Product]]&amp;Crops[[#This Row],[Unit]],Products[ID],Products[Trim (s)])*Crops[[#This Row],[Custom Yield Per Bed]]/3600</f>
        <v>0.23809523809523808</v>
      </c>
      <c r="CX64" s="37">
        <f>_xlfn.XLOOKUP(Crops[[#This Row],[Crop]]&amp;Crops[[#This Row],[Product]]&amp;Crops[[#This Row],[Unit]],Products[ID],Products[Pack (s)])*Crops[[#This Row],[Custom Yield Per Bed]]/3600</f>
        <v>0.14285714285714285</v>
      </c>
      <c r="CY64" s="37">
        <f>_xlfn.XLOOKUP(Crops[[#This Row],[Crop]]&amp;Crops[[#This Row],[Product]]&amp;Crops[[#This Row],[Unit]],Products[ID],Products[Clean (s)])*Crops[[#This Row],[Custom Yield Per Bed]]/3600</f>
        <v>0</v>
      </c>
      <c r="CZ64" s="37">
        <f>_xlfn.XLOOKUP(Crops[[#This Row],[Crop]]&amp;Crops[[#This Row],[Product]]&amp;Crops[[#This Row],[Unit]],Products[ID],Products[Rehandle (s)])*Crops[[#This Row],[Custom Yield Per Bed]]/3600</f>
        <v>0</v>
      </c>
      <c r="DA64" s="37">
        <f>_xlfn.XLOOKUP(Crops[[#This Row],[Crop]]&amp;Crops[[#This Row],[Product]]&amp;Crops[[#This Row],[Unit]],Products[ID],Products[Market Transport (s)])*Crops[[#This Row],[Custom Yield Per Bed]]/3600</f>
        <v>0.4464285714285714</v>
      </c>
      <c r="DC64" s="37">
        <f>Crops[[#This Row],[Direct Revenue Per Bed2]]</f>
        <v>557.14285714285711</v>
      </c>
      <c r="DD64" s="173">
        <f>_xlfn.AGGREGATE(9,6,Crops[[#This Row],[Bed Prep]:[Remove Crop Residue]])</f>
        <v>12.386904761904759</v>
      </c>
      <c r="DE64" s="173">
        <f>_xlfn.AGGREGATE(9,6,Crops[[#This Row],[Bed Prep]:[Remove Crop Residue]])-0.75*Crops[[#This Row],[Market &amp; Sell]]</f>
        <v>12.177976190476187</v>
      </c>
      <c r="DF64" s="36">
        <f>Crops[[#This Row],[Direct Revenue Per Bed2]]/Crops[[#This Row],[Direct Time]]</f>
        <v>44.978375780874586</v>
      </c>
      <c r="DG64" s="36">
        <f>_xlfn.XLOOKUP(Crops[[#This Row],[ProductIndex]],Products[ID],Products[Packaging Cost])*(Crops[[#This Row],[Custom Yield Per Bed]]/_xlfn.XLOOKUP(Crops[[#This Row],[ProductIndex]],Products[ID],Products[Units Per Pack]))</f>
        <v>27.142857142857139</v>
      </c>
      <c r="DH64" s="36"/>
      <c r="DI64" s="36"/>
      <c r="DJ64" s="36"/>
      <c r="DK64" s="36"/>
      <c r="DL64" s="36"/>
      <c r="DM64" s="33">
        <f>IFERROR(Crops[[#This Row],[Custom Yield Per Bed]]*Crops[[#This Row],[Direct Price]],"")</f>
        <v>557.14285714285711</v>
      </c>
      <c r="DN64" s="36">
        <f>Crops[[#This Row],[Direct Time]]*LaborRate</f>
        <v>309.67261904761898</v>
      </c>
      <c r="DO64" s="36">
        <f>SUM(Crops[[#This Row],[Irrigation Cost]])</f>
        <v>0</v>
      </c>
      <c r="DP64" s="36">
        <f>Crops[[#This Row],[Direct Labor Cost]]+Crops[[#This Row],[Direct Non-Labor Cost]]</f>
        <v>309.67261904761898</v>
      </c>
      <c r="DQ64" s="36">
        <f>Crops[[#This Row],[Direct Revenue Per Bed2]]-Crops[[#This Row],[Direct Total Cost]]</f>
        <v>247.47023809523813</v>
      </c>
      <c r="DR64" s="36">
        <f>Crops[[#This Row],[Direct Profit]]*BedsPerAcre</f>
        <v>39595.238095238099</v>
      </c>
      <c r="DS64" s="36">
        <f>Crops[[#This Row],[Direct Profit]]*BedsPerAcre*GrowingDays/Crops[[#This Row],[Days In Field]]</f>
        <v>78320.25117739405</v>
      </c>
      <c r="DT64" s="36">
        <f>Crops[[#This Row],[Direct Profit]]/MIN(Crops[[#This Row],[Days In Field]],GrowingDays)</f>
        <v>2.7194531658817378</v>
      </c>
      <c r="DU64" s="33">
        <f>Crops[[#This Row],[Direct Time]] * BedsPerAcre</f>
        <v>1981.9047619047615</v>
      </c>
      <c r="DV64" s="36">
        <f>(Crops[[#This Row],[Direct Revenue Per Bed2]]-Crops[[#This Row],[Direct Non-Labor Cost]])/Crops[[#This Row],[Direct Time]]</f>
        <v>44.978375780874586</v>
      </c>
      <c r="DW64" s="33">
        <f>IFERROR(Crops[[#This Row],[Custom Yield Per Bed]]*Crops[[#This Row],[Rough Wholesale Price]],"")</f>
        <v>342.85714285714283</v>
      </c>
      <c r="DX64" s="36">
        <f>Crops[[#This Row],[Wholesale Time]]*LaborRate</f>
        <v>304.4494047619047</v>
      </c>
      <c r="DY64" s="36">
        <f>SUM(Crops[[#This Row],[Packaging Costs]:[Irrigation Cost]])</f>
        <v>27.142857142857139</v>
      </c>
      <c r="DZ64" s="36">
        <f>Crops[[#This Row],[Wholesale Labor Cost]]+Crops[[#This Row],[Wholesale Non-Labor Cost]]</f>
        <v>331.59226190476181</v>
      </c>
      <c r="EA64" s="36">
        <f>Crops[[#This Row],[Wholesale Revenue Per Bed]]-Crops[[#This Row],[Wholesale Total Cost]]</f>
        <v>11.26488095238102</v>
      </c>
      <c r="EB64" s="36">
        <f>Crops[[#This Row],[Wholesale Profit]]*BedsPerAcre</f>
        <v>1802.3809523809632</v>
      </c>
      <c r="EC64" s="36">
        <f>Crops[[#This Row],[Wholesale Profit]]*BedsPerAcre*GrowingDays/Crops[[#This Row],[Days In Field]]</f>
        <v>3565.1491365777297</v>
      </c>
      <c r="ED64" s="33">
        <f>Crops[[#This Row],[Wholesale Time]] * BedsPerAcre</f>
        <v>1948.4761904761899</v>
      </c>
      <c r="EE64" s="221">
        <f>Crops[[#This Row],[Wholesale Profit]]/MIN(Crops[[#This Row],[Days In Field]],GrowingDays)</f>
        <v>0.12378990057561561</v>
      </c>
      <c r="EF64" s="36">
        <f>(Crops[[#This Row],[Wholesale Revenue Per Bed]]-Crops[[#This Row],[Wholesale Non-Labor Cost]])/Crops[[#This Row],[Direct Time]]</f>
        <v>25.487746275828929</v>
      </c>
      <c r="EG64" s="174">
        <f>Crops[[#This Row],[Packaging Costs]]/Crops[[#This Row],[Wholesale Revenue Per Bed]]</f>
        <v>7.9166666666666663E-2</v>
      </c>
      <c r="EH64" s="36" t="str">
        <f>Crops[[#This Row],[Crop]]&amp;Crops[[#This Row],[Product]]&amp;Crops[[#This Row],[Unit]]</f>
        <v>CarrotMature RootBunch</v>
      </c>
      <c r="EI64" s="36" t="b">
        <f>_xlfn.XLOOKUP(Crops[[#This Row],[ProductIndex]],Products[ID],Products[Target])</f>
        <v>1</v>
      </c>
      <c r="EJ64" s="33">
        <f>Crops[[#This Row],[Custom Yield Per Bed]]</f>
        <v>171.42857142857142</v>
      </c>
      <c r="EK64" s="210">
        <f>Crops[[#This Row],[Units Per Harvest]]/Crops[[#This Row],[Days Between Harvest]]*7</f>
        <v>42.857142857142854</v>
      </c>
      <c r="EL64" s="210">
        <f>Crops[[#This Row],[Custom Yield Per Bed]]/_xlfn.XLOOKUP(Crops[[#This Row],[ProductIndex]],Products[ID],Products[CSA Portion])</f>
        <v>171.42857142857142</v>
      </c>
      <c r="EM64" s="210">
        <f>Crops[[#This Row],[Units Per Harvest]]/Crops[[#This Row],[Days Between Harvest]]*7/_xlfn.XLOOKUP(Crops[[#This Row],[ProductIndex]],Products[ID],Products[CSA Portion])</f>
        <v>42.857142857142854</v>
      </c>
      <c r="EN64" s="210">
        <f>Crops[[#This Row],[CSA Portions Per Week]]/CSAMembers</f>
        <v>0.8571428571428571</v>
      </c>
      <c r="EO64" s="216">
        <v>1</v>
      </c>
      <c r="EP64" s="216">
        <v>1</v>
      </c>
      <c r="EQ64" s="210"/>
      <c r="ER64" s="210">
        <f>Crops[[#This Row],[Harvests]]*Crops[[#This Row],[Days Between Harvest]]/7</f>
        <v>4</v>
      </c>
      <c r="ES64" s="217">
        <f>_xlfn.XLOOKUP(Crops[[#This Row],[ProductIndex]],Products[ID],Products[CSA Need])</f>
        <v>6</v>
      </c>
      <c r="ET64" s="217">
        <f>_xlfn.XLOOKUP(Crops[[#This Row],[ProductIndex]],Products[ID],Products[CSA Times])</f>
        <v>6</v>
      </c>
      <c r="EU64" s="208">
        <f>Crops[[#This Row],[Custom Yield Per Bed]]/(Crops[[#This Row],[CSA Need]]*(_xlfn.XLOOKUP(Crops[[#This Row],[ProductIndex]],Products[ID],Products[CSA Portion])*CSAMembers))</f>
        <v>0.5714285714285714</v>
      </c>
      <c r="EV64" s="208">
        <f>_xlfn.XLOOKUP(Crops[[#This Row],[ProductIndex]],Products[ID],Products[CSA Portion])*CSAMembers*Crops[[#This Row],[CSA Need]]/Crops[[#This Row],[Custom Yield Per Bed]]</f>
        <v>1.7500000000000002</v>
      </c>
      <c r="EW64" s="208">
        <f>IFERROR(Crops[[#This Row],[Days In Field]]*Crops[[#This Row],[CSA Beds]],"")</f>
        <v>159.25000000000003</v>
      </c>
      <c r="EX64" s="208" t="e">
        <f>Crops[[#This Row],[CSA Bed Days]]*#REF!</f>
        <v>#REF!</v>
      </c>
      <c r="EY64" t="s">
        <v>1390</v>
      </c>
    </row>
    <row r="65" spans="1:155">
      <c r="A65"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(Maincrop) - Storage Root 1X | Field DS FaWi</v>
      </c>
      <c r="B65" s="180"/>
      <c r="C65" s="1" t="b">
        <v>1</v>
      </c>
      <c r="D65" s="1"/>
      <c r="E65" s="1" t="b">
        <v>0</v>
      </c>
      <c r="F65" s="1" t="b">
        <f>IFERROR(IF(ISNUMBER(MATCH(Crops[[#This Row],[Identifier]],BedPlan[Crop], 0)), TRUE, FALSE), FALSE)</f>
        <v>1</v>
      </c>
      <c r="G65" s="1" t="b">
        <f>IFERROR(IF(ISNUMBER(MATCH(Crops[[#This Row],[Identifier]],BedPlan[Crop], 0)), TRUE, FALSE), FALSE)</f>
        <v>1</v>
      </c>
      <c r="H65" s="1"/>
      <c r="I65" t="s">
        <v>53</v>
      </c>
      <c r="J65" t="s">
        <v>351</v>
      </c>
      <c r="K65" t="s">
        <v>205</v>
      </c>
      <c r="M65" t="s">
        <v>443</v>
      </c>
      <c r="N65" t="str">
        <f>Crops[[#This Row],[Crop]]</f>
        <v>Carrot</v>
      </c>
      <c r="O65" t="s">
        <v>210</v>
      </c>
      <c r="P65" t="str">
        <f>IF(OR(Crops[[#This Row],[Days in Cells]]="",Crops[[#This Row],[Days in Cells]]=0), "DS","TP")</f>
        <v>DS</v>
      </c>
      <c r="S65" t="s">
        <v>144</v>
      </c>
      <c r="T65" t="s">
        <v>144</v>
      </c>
      <c r="V65" t="str">
        <f xml:space="preserve"> IF(Crops[[#This Row],[Sp]], "Sp", "") &amp; IF(Crops[[#This Row],[Su]], "Su", "") &amp; IF(Crops[[#This Row],[Fa]], "Fa", "") &amp; IF(Crops[[#This Row],[Wi]], "Wi", "") &amp; IF(Crops[[#This Row],[OW]], "Ow","")</f>
        <v>FaWi</v>
      </c>
      <c r="W65" t="s">
        <v>144</v>
      </c>
      <c r="X65">
        <v>4</v>
      </c>
      <c r="Y65">
        <v>0.5</v>
      </c>
      <c r="Z65" t="s">
        <v>431</v>
      </c>
      <c r="AA65" t="s">
        <v>475</v>
      </c>
      <c r="AB65" t="b">
        <v>1</v>
      </c>
      <c r="AC65">
        <v>1</v>
      </c>
      <c r="AD65" s="32">
        <f>IFERROR(12/Crops[[#This Row],[Spacing]]*Crops[[#This Row],[Rows]]*BedLength,"")</f>
        <v>4800</v>
      </c>
      <c r="AE65">
        <v>1</v>
      </c>
      <c r="AG65">
        <f>IF(Crops[[#This Row],[Custom Safety Factor]]="",PlantingSafetyFactor,Crops[[#This Row],[Custom Safety Factor]])</f>
        <v>1.3</v>
      </c>
      <c r="AH65">
        <f>1</f>
        <v>1</v>
      </c>
      <c r="AI65" s="33">
        <f>IFERROR(Crops[[#This Row],[Plantings Per Bed]]*Crops[[#This Row],[Seeds Per Planting]]*Crops[[#This Row],[Safety Factor]]*Crops[[#This Row],[Seeding Factor]],"")</f>
        <v>6240</v>
      </c>
      <c r="AL65">
        <f>_xlfn.FLOOR.MATH(IFERROR(AVERAGE(Crops[[#This Row],[DTG Lower]:[DTG Upper]]),0))</f>
        <v>0</v>
      </c>
      <c r="AM65">
        <f>SUM(Crops[[#This Row],[Tray 1 Days]],Crops[[#This Row],[Tray 2 Days]],Crops[[#This Row],[Tray 3 Days]])</f>
        <v>0</v>
      </c>
      <c r="AN65" s="32"/>
      <c r="AP65">
        <f>7*12</f>
        <v>84</v>
      </c>
      <c r="AQ65">
        <f>IFERROR(_xlfn.FLOOR.MATH(AVERAGE(Crops[[#This Row],[DTM Lower]:[DTM Upper]])),"")</f>
        <v>84</v>
      </c>
      <c r="AR65" cm="1">
        <f t="array" ref="AR65">_xlfn.SWITCH(Crops[[#This Row],[Normal Method]],"DS",Crops[[#This Row],[Days to Germination]]+Crops[[#This Row],[DTM]] + IF(Crops[[#This Row],[Days in Cells]]&gt;0,15,0), "TP",Crops[[#This Row],[DTM]]+Crops[[#This Row],[Days in Cells]] + IF(Crops[[#This Row],[Days in Cells]]&lt;=0,20,0), "X", Crops[[#This Row],[DTM]])</f>
        <v>84</v>
      </c>
      <c r="AS65" t="s">
        <v>338</v>
      </c>
      <c r="AT65">
        <f>(Crops[[#This Row],[Harvests]]-1)*Crops[[#This Row],[Days Between Harvest]]+7</f>
        <v>21</v>
      </c>
      <c r="AU65">
        <f>Crops[[#This Row],[STH]]-Crops[[#This Row],[Days in Cells]]+Crops[[#This Row],[Harvest window]]</f>
        <v>105</v>
      </c>
      <c r="AW65" t="s">
        <v>212</v>
      </c>
      <c r="AZ65" t="str">
        <f>IFERROR(IF(Crops[[#This Row],[Tray 1 Days]]=0,"",Crops[[#This Row],[Plantings Per Bed]]/Crops[[#This Row],[Tray 1 Size]]*Crops[[#This Row],[Safety Factor]]),"")</f>
        <v/>
      </c>
      <c r="BC65" t="str">
        <f>IFERROR(IF(Crops[[#This Row],[Tray 2 Days]]=0,"",Crops[[#This Row],[Plantings Per Bed]]/Crops[[#This Row],[Tray 2 Size]]*Crops[[#This Row],[Safety Factor]]),"")</f>
        <v/>
      </c>
      <c r="BE65" s="32" t="str">
        <f>IF(NOT(ISBLANK(Crops[[#This Row],[Tray 3 Size]])), Crops[[#This Row],[Days in Cells Old]]-SUM(Crops[[#This Row],[Tray 1 Days]],Crops[[#This Row],[Tray 2 Days]]), "")</f>
        <v/>
      </c>
      <c r="BF65" t="str">
        <f>IFERROR(IF(Crops[[#This Row],[Tray 3 Days]]=0,"",Crops[[#This Row],[Plantings Per Bed]]/Crops[[#This Row],[Tray 3 Size]]*Crops[[#This Row],[Safety Factor]]),"")</f>
        <v/>
      </c>
      <c r="BG65" s="33">
        <f>Crops[[#This Row],[Plantings Per Bed]]/4*0.15/Crops[[#This Row],[Harvests]]</f>
        <v>90</v>
      </c>
      <c r="BH65" s="33">
        <v>2</v>
      </c>
      <c r="BI65" s="33">
        <v>14</v>
      </c>
      <c r="BJ65" s="33">
        <f>_xlfn.XLOOKUP(Crops[[#This Row],[ProductIndex]],Products[ID],Products[Holding Period])</f>
        <v>45</v>
      </c>
      <c r="BK65" s="33"/>
      <c r="BL65" s="33">
        <f>Crops[[#This Row],[Units Per Harvest]]*Crops[[#This Row],[Harvests]]</f>
        <v>180</v>
      </c>
      <c r="BM65" s="35">
        <v>3.5</v>
      </c>
      <c r="BN65" s="35">
        <v>1.1000000000000001</v>
      </c>
      <c r="BO65" s="35"/>
      <c r="BP65" t="s">
        <v>383</v>
      </c>
      <c r="BQ65">
        <f>Crops[[#This Row],[Custom Yield Per Bed]]*Crops[[#This Row],[Direct Price]]</f>
        <v>630</v>
      </c>
      <c r="BR65" t="b">
        <v>1</v>
      </c>
      <c r="BS65" t="b">
        <f>Crops[[#This Row],[Harvests]]&gt;1</f>
        <v>1</v>
      </c>
      <c r="BT65" s="36">
        <f>IFERROR(Crops[[#This Row],[Direct Revenue Per Bed]]/Crops[[#This Row],[Days In Field]],-1)</f>
        <v>6</v>
      </c>
      <c r="BU65" s="36">
        <f>IFERROR(Crops[[#This Row],[Direct Revenue Per Bed Day]]*GrowingDays*BedsPerAcre,"")</f>
        <v>172800</v>
      </c>
      <c r="BV65" s="38">
        <f>LastFrostDate-5*Crops[[#This Row],[Sewing Rel Last Frost]]</f>
        <v>45808</v>
      </c>
      <c r="BW65" s="38">
        <f>Crops[[#This Row],[Target Sewing Date]]+Crops[[#This Row],[Days in Cells]]</f>
        <v>45808</v>
      </c>
      <c r="BX65" s="38">
        <f>Crops[[#This Row],[Target Sewing Date]]+Crops[[#This Row],[STH]]</f>
        <v>45892</v>
      </c>
      <c r="BY65" s="38">
        <f>Crops[[#This Row],[Target Harvest Data]]+Crops[[#This Row],[Harvest window]]</f>
        <v>45913</v>
      </c>
      <c r="BZ65">
        <v>-12</v>
      </c>
      <c r="CB65">
        <f>1</f>
        <v>1</v>
      </c>
      <c r="CC65">
        <f>IF(Crops[[#This Row],[Transplanting]]&gt;0, 2, 3)*BedLength/StandardBedLength</f>
        <v>1.5</v>
      </c>
      <c r="CD65" s="173">
        <f>IF(Crops[[#This Row],[Days in Cells]]&lt;=0,0,Crops[[#This Row],[Plantings Per Bed]]/StartsPerHourSeeding+Crops[[#This Row],[Tray 1 Count]]*5/60)</f>
        <v>0</v>
      </c>
      <c r="CE65" s="173">
        <f>IF(ISBLANK(Crops[[#This Row],[Tray 2 Days]]),0,Crops[[#This Row],[Plantings Per Bed]]/UpPottingPerHour)+IF(Crops[[#This Row],[Tray 3 Days]]="",0,Crops[[#This Row],[Plantings Per Bed]]/UpPottingPerHour)</f>
        <v>0</v>
      </c>
      <c r="CF65" s="173">
        <f>IFERROR(Crops[[#This Row],[Tray 1 Count]]/HomeStartFlatIrrigationPerHour,0)*Crops[[#This Row],[Days in Cells]]/DaysBetweenStartIrrigation</f>
        <v>0</v>
      </c>
      <c r="CG65" s="173">
        <f>0.5/16*MAX(Crops[[#This Row],[Tray 1 Count]],Crops[[#This Row],[Tray 2 Count]],Crops[[#This Row],[Tray 3 Count]])</f>
        <v>0</v>
      </c>
      <c r="CH65" s="173">
        <f>IF(Crops[[#This Row],[Days in Cells]]&gt;0,IF(IF(Crops[[#This Row],[Tray 3 Size]]&gt;0,Crops[[#This Row],[Tray 3 Size]],IF(Crops[[#This Row],[Tray 2 Size]]&gt;0,Crops[[#This Row],[Tray 2 Size]],Crops[[#This Row],[Tray 1 Size]]))&lt;=18,LargeTransplantTime,SmallTransplantTime)*Crops[[#This Row],[Plantings Per Bed]],0)</f>
        <v>0</v>
      </c>
      <c r="CI65" s="173"/>
      <c r="CJ65" s="173">
        <f>_xlfn.XLOOKUP(Crops[[#This Row],[Trellis Type]],TrellisMethods[Trellis Type],TrellisMethods[Hours],0,0)</f>
        <v>0</v>
      </c>
      <c r="CK65">
        <f>IF(Crops[[#This Row],[Days in Cells]]&lt;=0,Crops[[#This Row],[Rows]]*1/10,0)*BedLength/50</f>
        <v>0.4</v>
      </c>
      <c r="CL65" cm="1">
        <f t="array" ref="CL65">_xlfn.SWITCH(Crops[[#This Row],[Irrigation]],"DR", 0.5, "OH", 0.25,0)*BedLength/50</f>
        <v>0.25</v>
      </c>
      <c r="CM65">
        <f>IF(OR(ISBLANK(Crops[[#This Row],[Row Cover]]),Crops[[#This Row],[Row Cover]]="None"),0,1)*BedLength/50</f>
        <v>1</v>
      </c>
      <c r="CN65" s="173">
        <f>HoursPerWeedingPass*Crops[[#This Row],[Days In Field]]/14*Crops[[#This Row],[Rows]]+1*BedLength/50</f>
        <v>6</v>
      </c>
      <c r="CO65" s="49"/>
      <c r="CQ65" s="37">
        <f>_xlfn.XLOOKUP(Crops[[#This Row],[Crop]]&amp;Crops[[#This Row],[Product]]&amp;Crops[[#This Row],[Unit]],Products[ID],Products[Marketing (hr)])*Crops[[#This Row],[Direct Revenue Per Bed]]/2000</f>
        <v>0.315</v>
      </c>
      <c r="CR65" s="37">
        <f>_xlfn.XLOOKUP(Crops[[#This Row],[Crop]]&amp;Crops[[#This Row],[Product]]&amp;Crops[[#This Row],[Unit]],Products[ID],Products[Harvest (s)])*Crops[[#This Row],[Custom Yield Per Bed]]/3600</f>
        <v>1</v>
      </c>
      <c r="CS65" s="37">
        <f>_xlfn.XLOOKUP(Crops[[#This Row],[Crop]]&amp;Crops[[#This Row],[Product]]&amp;Crops[[#This Row],[Unit]],Products[ID],Products[Bunch (s)])*Crops[[#This Row],[Custom Yield Per Bed]]/3600</f>
        <v>0</v>
      </c>
      <c r="CT65" s="37">
        <f>_xlfn.XLOOKUP(Crops[[#This Row],[Crop]]&amp;Crops[[#This Row],[Product]]&amp;Crops[[#This Row],[Unit]],Products[ID],Products[Haul (s)])*Crops[[#This Row],[Custom Yield Per Bed]]/3600</f>
        <v>0.1125</v>
      </c>
      <c r="CU65" s="37">
        <f>_xlfn.XLOOKUP(Crops[[#This Row],[Crop]]&amp;Crops[[#This Row],[Product]]&amp;Crops[[#This Row],[Unit]],Products[ID],Products[Wash (s)])*Crops[[#This Row],[Custom Yield Per Bed]]/3600</f>
        <v>1.25</v>
      </c>
      <c r="CV65" s="37">
        <f>_xlfn.XLOOKUP(Crops[[#This Row],[Crop]]&amp;Crops[[#This Row],[Product]]&amp;Crops[[#This Row],[Unit]],Products[ID],Products[Condition (s)])*Crops[[#This Row],[Custom Yield Per Bed]]/3600</f>
        <v>0</v>
      </c>
      <c r="CW65" s="37">
        <f>_xlfn.XLOOKUP(Crops[[#This Row],[Crop]]&amp;Crops[[#This Row],[Product]]&amp;Crops[[#This Row],[Unit]],Products[ID],Products[Trim (s)])*Crops[[#This Row],[Custom Yield Per Bed]]/3600</f>
        <v>0.5</v>
      </c>
      <c r="CX65" s="37">
        <f>_xlfn.XLOOKUP(Crops[[#This Row],[Crop]]&amp;Crops[[#This Row],[Product]]&amp;Crops[[#This Row],[Unit]],Products[ID],Products[Pack (s)])*Crops[[#This Row],[Custom Yield Per Bed]]/3600</f>
        <v>0.15</v>
      </c>
      <c r="CY65" s="37">
        <f>_xlfn.XLOOKUP(Crops[[#This Row],[Crop]]&amp;Crops[[#This Row],[Product]]&amp;Crops[[#This Row],[Unit]],Products[ID],Products[Clean (s)])*Crops[[#This Row],[Custom Yield Per Bed]]/3600</f>
        <v>0</v>
      </c>
      <c r="CZ65" s="37">
        <f>_xlfn.XLOOKUP(Crops[[#This Row],[Crop]]&amp;Crops[[#This Row],[Product]]&amp;Crops[[#This Row],[Unit]],Products[ID],Products[Rehandle (s)])*Crops[[#This Row],[Custom Yield Per Bed]]/3600</f>
        <v>0</v>
      </c>
      <c r="DA65" s="37">
        <f>_xlfn.XLOOKUP(Crops[[#This Row],[Crop]]&amp;Crops[[#This Row],[Product]]&amp;Crops[[#This Row],[Unit]],Products[ID],Products[Market Transport (s)])*Crops[[#This Row],[Custom Yield Per Bed]]/3600</f>
        <v>0.28125</v>
      </c>
      <c r="DC65" s="37">
        <f>Crops[[#This Row],[Direct Revenue Per Bed2]]</f>
        <v>630</v>
      </c>
      <c r="DD65" s="173">
        <f>_xlfn.AGGREGATE(9,6,Crops[[#This Row],[Bed Prep]:[Remove Crop Residue]])</f>
        <v>12.758750000000001</v>
      </c>
      <c r="DE65" s="173">
        <f>_xlfn.AGGREGATE(9,6,Crops[[#This Row],[Bed Prep]:[Remove Crop Residue]])-0.75*Crops[[#This Row],[Market &amp; Sell]]</f>
        <v>12.522500000000001</v>
      </c>
      <c r="DF65" s="36">
        <f>Crops[[#This Row],[Direct Revenue Per Bed2]]/Crops[[#This Row],[Direct Time]]</f>
        <v>49.377877926912902</v>
      </c>
      <c r="DG65" s="36">
        <f>_xlfn.XLOOKUP(Crops[[#This Row],[ProductIndex]],Products[ID],Products[Packaging Cost])*(Crops[[#This Row],[Custom Yield Per Bed]]/_xlfn.XLOOKUP(Crops[[#This Row],[ProductIndex]],Products[ID],Products[Units Per Pack]))</f>
        <v>22.799999999999997</v>
      </c>
      <c r="DH65" s="36"/>
      <c r="DI65" s="36"/>
      <c r="DJ65" s="36"/>
      <c r="DK65" s="36"/>
      <c r="DL65" s="36"/>
      <c r="DM65" s="33">
        <f>IFERROR(Crops[[#This Row],[Custom Yield Per Bed]]*Crops[[#This Row],[Direct Price]],"")</f>
        <v>630</v>
      </c>
      <c r="DN65" s="36">
        <f>Crops[[#This Row],[Direct Time]]*LaborRate</f>
        <v>318.96875</v>
      </c>
      <c r="DO65" s="36">
        <f>SUM(Crops[[#This Row],[Irrigation Cost]])</f>
        <v>0</v>
      </c>
      <c r="DP65" s="36">
        <f>Crops[[#This Row],[Direct Labor Cost]]+Crops[[#This Row],[Direct Non-Labor Cost]]</f>
        <v>318.96875</v>
      </c>
      <c r="DQ65" s="36">
        <f>Crops[[#This Row],[Direct Revenue Per Bed2]]-Crops[[#This Row],[Direct Total Cost]]</f>
        <v>311.03125</v>
      </c>
      <c r="DR65" s="36">
        <f>Crops[[#This Row],[Direct Profit]]*BedsPerAcre</f>
        <v>49765</v>
      </c>
      <c r="DS65" s="36">
        <f>Crops[[#This Row],[Direct Profit]]*BedsPerAcre*GrowingDays/Crops[[#This Row],[Days In Field]]</f>
        <v>85311.428571428565</v>
      </c>
      <c r="DT65" s="36">
        <f>Crops[[#This Row],[Direct Profit]]/MIN(Crops[[#This Row],[Days In Field]],GrowingDays)</f>
        <v>2.9622023809523808</v>
      </c>
      <c r="DU65" s="33">
        <f>Crops[[#This Row],[Direct Time]] * BedsPerAcre</f>
        <v>2041.4</v>
      </c>
      <c r="DV65" s="36">
        <f>(Crops[[#This Row],[Direct Revenue Per Bed2]]-Crops[[#This Row],[Direct Non-Labor Cost]])/Crops[[#This Row],[Direct Time]]</f>
        <v>49.377877926912902</v>
      </c>
      <c r="DW65" s="33">
        <f>IFERROR(Crops[[#This Row],[Custom Yield Per Bed]]*Crops[[#This Row],[Rough Wholesale Price]],"")</f>
        <v>198.00000000000003</v>
      </c>
      <c r="DX65" s="36">
        <f>Crops[[#This Row],[Wholesale Time]]*LaborRate</f>
        <v>313.0625</v>
      </c>
      <c r="DY65" s="36">
        <f>SUM(Crops[[#This Row],[Packaging Costs]:[Irrigation Cost]])</f>
        <v>22.799999999999997</v>
      </c>
      <c r="DZ65" s="36">
        <f>Crops[[#This Row],[Wholesale Labor Cost]]+Crops[[#This Row],[Wholesale Non-Labor Cost]]</f>
        <v>335.86250000000001</v>
      </c>
      <c r="EA65" s="36">
        <f>Crops[[#This Row],[Wholesale Revenue Per Bed]]-Crops[[#This Row],[Wholesale Total Cost]]</f>
        <v>-137.86249999999998</v>
      </c>
      <c r="EB65" s="36">
        <f>Crops[[#This Row],[Wholesale Profit]]*BedsPerAcre</f>
        <v>-22057.999999999996</v>
      </c>
      <c r="EC65" s="36">
        <f>Crops[[#This Row],[Wholesale Profit]]*BedsPerAcre*GrowingDays/Crops[[#This Row],[Days In Field]]</f>
        <v>-37813.714285714283</v>
      </c>
      <c r="ED65" s="33">
        <f>Crops[[#This Row],[Wholesale Time]] * BedsPerAcre</f>
        <v>2003.6000000000001</v>
      </c>
      <c r="EE65" s="221">
        <f>Crops[[#This Row],[Wholesale Profit]]/MIN(Crops[[#This Row],[Days In Field]],GrowingDays)</f>
        <v>-1.3129761904761903</v>
      </c>
      <c r="EF65" s="36">
        <f>(Crops[[#This Row],[Wholesale Revenue Per Bed]]-Crops[[#This Row],[Wholesale Non-Labor Cost]])/Crops[[#This Row],[Direct Time]]</f>
        <v>13.731752718722447</v>
      </c>
      <c r="EG65" s="174">
        <f>Crops[[#This Row],[Packaging Costs]]/Crops[[#This Row],[Wholesale Revenue Per Bed]]</f>
        <v>0.11515151515151512</v>
      </c>
      <c r="EH65" s="36" t="str">
        <f>Crops[[#This Row],[Crop]]&amp;Crops[[#This Row],[Product]]&amp;Crops[[#This Row],[Unit]]</f>
        <v>CarrotStorage RootLb</v>
      </c>
      <c r="EI65" s="36" t="b">
        <f>_xlfn.XLOOKUP(Crops[[#This Row],[ProductIndex]],Products[ID],Products[Target])</f>
        <v>1</v>
      </c>
      <c r="EJ65" s="33">
        <f>Crops[[#This Row],[Custom Yield Per Bed]]</f>
        <v>180</v>
      </c>
      <c r="EK65" s="210">
        <f>Crops[[#This Row],[Units Per Harvest]]/Crops[[#This Row],[Days Between Harvest]]*7</f>
        <v>45</v>
      </c>
      <c r="EL65" s="210">
        <f>Crops[[#This Row],[Custom Yield Per Bed]]/_xlfn.XLOOKUP(Crops[[#This Row],[ProductIndex]],Products[ID],Products[CSA Portion])</f>
        <v>180</v>
      </c>
      <c r="EM65" s="210">
        <f>Crops[[#This Row],[Units Per Harvest]]/Crops[[#This Row],[Days Between Harvest]]*7/_xlfn.XLOOKUP(Crops[[#This Row],[ProductIndex]],Products[ID],Products[CSA Portion])</f>
        <v>45</v>
      </c>
      <c r="EN65" s="210">
        <f>Crops[[#This Row],[CSA Portions Per Week]]/CSAMembers</f>
        <v>0.9</v>
      </c>
      <c r="EO65" s="216"/>
      <c r="EP65" s="216"/>
      <c r="EQ65" s="210"/>
      <c r="ER65" s="210">
        <f>Crops[[#This Row],[Harvests]]*Crops[[#This Row],[Days Between Harvest]]/7</f>
        <v>4</v>
      </c>
      <c r="ES65" s="217">
        <f>_xlfn.XLOOKUP(Crops[[#This Row],[ProductIndex]],Products[ID],Products[CSA Need])</f>
        <v>4</v>
      </c>
      <c r="ET65" s="217">
        <f>_xlfn.XLOOKUP(Crops[[#This Row],[ProductIndex]],Products[ID],Products[CSA Times])</f>
        <v>4</v>
      </c>
      <c r="EU65" s="208">
        <f>Crops[[#This Row],[Custom Yield Per Bed]]/(Crops[[#This Row],[CSA Need]]*(_xlfn.XLOOKUP(Crops[[#This Row],[ProductIndex]],Products[ID],Products[CSA Portion])*CSAMembers))</f>
        <v>0.9</v>
      </c>
      <c r="EV65" s="208">
        <f>_xlfn.XLOOKUP(Crops[[#This Row],[ProductIndex]],Products[ID],Products[CSA Portion])*CSAMembers*Crops[[#This Row],[CSA Need]]/Crops[[#This Row],[Custom Yield Per Bed]]</f>
        <v>1.1111111111111112</v>
      </c>
      <c r="EW65" s="208">
        <f>IFERROR(Crops[[#This Row],[Days In Field]]*Crops[[#This Row],[CSA Beds]],"")</f>
        <v>116.66666666666667</v>
      </c>
      <c r="EX65" s="208" t="e">
        <f>Crops[[#This Row],[CSA Bed Days]]*#REF!</f>
        <v>#REF!</v>
      </c>
      <c r="EY65" t="s">
        <v>352</v>
      </c>
    </row>
    <row r="66" spans="1:155">
      <c r="A66"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(Oxheart) - Mature Root 1X | Field DS SpSuFa</v>
      </c>
      <c r="B66" s="180"/>
      <c r="C66" s="1"/>
      <c r="D66" s="1"/>
      <c r="E66" s="1" t="b">
        <v>0</v>
      </c>
      <c r="F66" s="1" t="b">
        <f>IFERROR(IF(ISNUMBER(MATCH(Crops[[#This Row],[Identifier]],BedPlan[Crop], 0)), TRUE, FALSE), FALSE)</f>
        <v>0</v>
      </c>
      <c r="G66" s="1" t="b">
        <f>IFERROR(IF(ISNUMBER(MATCH(Crops[[#This Row],[Identifier]],BedPlan[Crop], 0)), TRUE, FALSE), FALSE)</f>
        <v>0</v>
      </c>
      <c r="H66" s="1" t="b">
        <v>1</v>
      </c>
      <c r="I66" t="s">
        <v>53</v>
      </c>
      <c r="J66" t="s">
        <v>156</v>
      </c>
      <c r="K66" t="s">
        <v>185</v>
      </c>
      <c r="N66" t="str">
        <f>Crops[[#This Row],[Crop]]</f>
        <v>Carrot</v>
      </c>
      <c r="O66" t="s">
        <v>210</v>
      </c>
      <c r="P66" t="str">
        <f>IF(OR(Crops[[#This Row],[Days in Cells]]="",Crops[[#This Row],[Days in Cells]]=0), "DS","TP")</f>
        <v>DS</v>
      </c>
      <c r="Q66" t="s">
        <v>144</v>
      </c>
      <c r="R66" t="s">
        <v>144</v>
      </c>
      <c r="S66" t="s">
        <v>144</v>
      </c>
      <c r="V66" t="str">
        <f xml:space="preserve"> IF(Crops[[#This Row],[Sp]], "Sp", "") &amp; IF(Crops[[#This Row],[Su]], "Su", "") &amp; IF(Crops[[#This Row],[Fa]], "Fa", "") &amp; IF(Crops[[#This Row],[Wi]], "Wi", "") &amp; IF(Crops[[#This Row],[OW]], "Ow","")</f>
        <v>SpSuFa</v>
      </c>
      <c r="W66" t="s">
        <v>144</v>
      </c>
      <c r="X66">
        <v>4</v>
      </c>
      <c r="Y66">
        <v>0.5</v>
      </c>
      <c r="AD66" s="32">
        <f>IFERROR(12/Crops[[#This Row],[Spacing]]*Crops[[#This Row],[Rows]]*BedLength,"")</f>
        <v>4800</v>
      </c>
      <c r="AE66">
        <v>1</v>
      </c>
      <c r="AG66">
        <f>IF(Crops[[#This Row],[Custom Safety Factor]]="",PlantingSafetyFactor,Crops[[#This Row],[Custom Safety Factor]])</f>
        <v>1.3</v>
      </c>
      <c r="AH66">
        <f>1</f>
        <v>1</v>
      </c>
      <c r="AI66" s="33">
        <f>IFERROR(Crops[[#This Row],[Plantings Per Bed]]*Crops[[#This Row],[Seeds Per Planting]]*Crops[[#This Row],[Safety Factor]]*Crops[[#This Row],[Seeding Factor]],"")</f>
        <v>6240</v>
      </c>
      <c r="AL66">
        <f>_xlfn.FLOOR.MATH(IFERROR(AVERAGE(Crops[[#This Row],[DTG Lower]:[DTG Upper]]),0))</f>
        <v>0</v>
      </c>
      <c r="AM66">
        <f>SUM(Crops[[#This Row],[Tray 1 Days]],Crops[[#This Row],[Tray 2 Days]],Crops[[#This Row],[Tray 3 Days]])</f>
        <v>0</v>
      </c>
      <c r="AP66">
        <v>90</v>
      </c>
      <c r="AQ66">
        <f>IFERROR(_xlfn.FLOOR.MATH(AVERAGE(Crops[[#This Row],[DTM Lower]:[DTM Upper]])),"")</f>
        <v>90</v>
      </c>
      <c r="AR66" cm="1">
        <f t="array" ref="AR66">_xlfn.SWITCH(Crops[[#This Row],[Normal Method]],"DS",Crops[[#This Row],[Days to Germination]]+Crops[[#This Row],[DTM]] + IF(Crops[[#This Row],[Days in Cells]]&gt;0,15,0), "TP",Crops[[#This Row],[DTM]]+Crops[[#This Row],[Days in Cells]] + IF(Crops[[#This Row],[Days in Cells]]&lt;=0,20,0), "X", Crops[[#This Row],[DTM]])</f>
        <v>90</v>
      </c>
      <c r="AS66" t="s">
        <v>338</v>
      </c>
      <c r="AT66">
        <f>(Crops[[#This Row],[Harvests]]-1)*Crops[[#This Row],[Days Between Harvest]]+7</f>
        <v>21</v>
      </c>
      <c r="AU66">
        <f>Crops[[#This Row],[STH]]-Crops[[#This Row],[Days in Cells]]+Crops[[#This Row],[Harvest window]]</f>
        <v>111</v>
      </c>
      <c r="AW66" t="s">
        <v>212</v>
      </c>
      <c r="AZ66" t="str">
        <f>IFERROR(IF(Crops[[#This Row],[Tray 1 Days]]=0,"",Crops[[#This Row],[Plantings Per Bed]]/Crops[[#This Row],[Tray 1 Size]]*Crops[[#This Row],[Safety Factor]]),"")</f>
        <v/>
      </c>
      <c r="BC66" t="str">
        <f>IFERROR(IF(Crops[[#This Row],[Tray 2 Days]]=0,"",Crops[[#This Row],[Plantings Per Bed]]/Crops[[#This Row],[Tray 2 Size]]*Crops[[#This Row],[Safety Factor]]),"")</f>
        <v/>
      </c>
      <c r="BE66" s="32" t="str">
        <f>IF(NOT(ISBLANK(Crops[[#This Row],[Tray 3 Size]])), Crops[[#This Row],[Days in Cells Old]]-SUM(Crops[[#This Row],[Tray 1 Days]],Crops[[#This Row],[Tray 2 Days]]), "")</f>
        <v/>
      </c>
      <c r="BF66" t="str">
        <f>IFERROR(IF(Crops[[#This Row],[Tray 3 Days]]=0,"",Crops[[#This Row],[Plantings Per Bed]]/Crops[[#This Row],[Tray 3 Size]]*Crops[[#This Row],[Safety Factor]]),"")</f>
        <v/>
      </c>
      <c r="BG66" s="33">
        <f>Crops[[#This Row],[Plantings Per Bed]]/5/4/Crops[[#This Row],[Harvests]]</f>
        <v>120</v>
      </c>
      <c r="BH66" s="33">
        <v>2</v>
      </c>
      <c r="BI66" s="33">
        <v>14</v>
      </c>
      <c r="BJ66" s="33">
        <f>_xlfn.XLOOKUP(Crops[[#This Row],[ProductIndex]],Products[ID],Products[Holding Period])</f>
        <v>7</v>
      </c>
      <c r="BK66" s="33"/>
      <c r="BL66" s="33">
        <f>Crops[[#This Row],[Units Per Harvest]]*Crops[[#This Row],[Harvests]]</f>
        <v>240</v>
      </c>
      <c r="BM66" s="35">
        <v>4</v>
      </c>
      <c r="BN66" s="35">
        <v>2</v>
      </c>
      <c r="BO66" s="35"/>
      <c r="BP66" t="s">
        <v>215</v>
      </c>
      <c r="BQ66">
        <f>Crops[[#This Row],[Custom Yield Per Bed]]*Crops[[#This Row],[Direct Price]]</f>
        <v>960</v>
      </c>
      <c r="BR66" t="b">
        <v>1</v>
      </c>
      <c r="BS66" t="b">
        <f>Crops[[#This Row],[Harvests]]&gt;1</f>
        <v>1</v>
      </c>
      <c r="BT66" s="36">
        <f>IFERROR(Crops[[#This Row],[Direct Revenue Per Bed]]/Crops[[#This Row],[Days In Field]],-1)</f>
        <v>8.6486486486486491</v>
      </c>
      <c r="BU66" s="36">
        <f>IFERROR(Crops[[#This Row],[Direct Revenue Per Bed Day]]*GrowingDays*BedsPerAcre,"")</f>
        <v>249081.08108108109</v>
      </c>
      <c r="BV66" s="38">
        <f>LastFrostDate-5*Crops[[#This Row],[Sewing Rel Last Frost]]</f>
        <v>45748</v>
      </c>
      <c r="BW66" s="38">
        <f>Crops[[#This Row],[Target Sewing Date]]+Crops[[#This Row],[Days in Cells]]</f>
        <v>45748</v>
      </c>
      <c r="BX66" s="38">
        <f>Crops[[#This Row],[Target Sewing Date]]+Crops[[#This Row],[STH]]</f>
        <v>45838</v>
      </c>
      <c r="BY66" s="38">
        <f>Crops[[#This Row],[Target Harvest Data]]+Crops[[#This Row],[Harvest window]]</f>
        <v>45859</v>
      </c>
      <c r="CB66">
        <f>1</f>
        <v>1</v>
      </c>
      <c r="CC66">
        <f>IF(Crops[[#This Row],[Transplanting]]&gt;0, 2, 3)*BedLength/StandardBedLength</f>
        <v>1.5</v>
      </c>
      <c r="CD66" s="173">
        <f>IF(Crops[[#This Row],[Days in Cells]]&lt;=0,0,Crops[[#This Row],[Plantings Per Bed]]/StartsPerHourSeeding+Crops[[#This Row],[Tray 1 Count]]*5/60)</f>
        <v>0</v>
      </c>
      <c r="CE66" s="173">
        <f>IF(ISBLANK(Crops[[#This Row],[Tray 2 Days]]),0,Crops[[#This Row],[Plantings Per Bed]]/UpPottingPerHour)+IF(Crops[[#This Row],[Tray 3 Days]]="",0,Crops[[#This Row],[Plantings Per Bed]]/UpPottingPerHour)</f>
        <v>0</v>
      </c>
      <c r="CF66" s="173">
        <f>IFERROR(Crops[[#This Row],[Tray 1 Count]]/HomeStartFlatIrrigationPerHour,0)*Crops[[#This Row],[Days in Cells]]/DaysBetweenStartIrrigation</f>
        <v>0</v>
      </c>
      <c r="CG66" s="173">
        <f>0.5/16*MAX(Crops[[#This Row],[Tray 1 Count]],Crops[[#This Row],[Tray 2 Count]],Crops[[#This Row],[Tray 3 Count]])</f>
        <v>0</v>
      </c>
      <c r="CH66" s="173">
        <f>IF(Crops[[#This Row],[Days in Cells]]&gt;0,IF(IF(Crops[[#This Row],[Tray 3 Size]]&gt;0,Crops[[#This Row],[Tray 3 Size]],IF(Crops[[#This Row],[Tray 2 Size]]&gt;0,Crops[[#This Row],[Tray 2 Size]],Crops[[#This Row],[Tray 1 Size]]))&lt;=18,LargeTransplantTime,SmallTransplantTime)*Crops[[#This Row],[Plantings Per Bed]],0)</f>
        <v>0</v>
      </c>
      <c r="CI66" s="173"/>
      <c r="CJ66" s="173">
        <f>_xlfn.XLOOKUP(Crops[[#This Row],[Trellis Type]],TrellisMethods[Trellis Type],TrellisMethods[Hours],0,0)</f>
        <v>0</v>
      </c>
      <c r="CK66">
        <f>IF(Crops[[#This Row],[Days in Cells]]&lt;=0,Crops[[#This Row],[Rows]]*1/10,0)*BedLength/50</f>
        <v>0.4</v>
      </c>
      <c r="CL66" cm="1">
        <f t="array" ref="CL66">_xlfn.SWITCH(Crops[[#This Row],[Irrigation]],"DR", 0.5, "OH", 0.25,0)*BedLength/50</f>
        <v>0</v>
      </c>
      <c r="CM66">
        <f>IF(OR(ISBLANK(Crops[[#This Row],[Row Cover]]),Crops[[#This Row],[Row Cover]]="None"),0,1)*BedLength/50</f>
        <v>0</v>
      </c>
      <c r="CN66" s="173">
        <f>HoursPerWeedingPass*Crops[[#This Row],[Days In Field]]/14*Crops[[#This Row],[Rows]]+1*BedLength/50</f>
        <v>6.2857142857142856</v>
      </c>
      <c r="CO66" s="49"/>
      <c r="CQ66" s="37">
        <f>_xlfn.XLOOKUP(Crops[[#This Row],[Crop]]&amp;Crops[[#This Row],[Product]]&amp;Crops[[#This Row],[Unit]],Products[ID],Products[Marketing (hr)])*Crops[[#This Row],[Direct Revenue Per Bed]]/2000</f>
        <v>0.48</v>
      </c>
      <c r="CR66" s="37">
        <f>_xlfn.XLOOKUP(Crops[[#This Row],[Crop]]&amp;Crops[[#This Row],[Product]]&amp;Crops[[#This Row],[Unit]],Products[ID],Products[Harvest (s)])*Crops[[#This Row],[Custom Yield Per Bed]]/3600</f>
        <v>1.3333333333333333</v>
      </c>
      <c r="CS66" s="37">
        <f>_xlfn.XLOOKUP(Crops[[#This Row],[Crop]]&amp;Crops[[#This Row],[Product]]&amp;Crops[[#This Row],[Unit]],Products[ID],Products[Bunch (s)])*Crops[[#This Row],[Custom Yield Per Bed]]/3600</f>
        <v>0.66666666666666663</v>
      </c>
      <c r="CT66" s="37">
        <f>_xlfn.XLOOKUP(Crops[[#This Row],[Crop]]&amp;Crops[[#This Row],[Product]]&amp;Crops[[#This Row],[Unit]],Products[ID],Products[Haul (s)])*Crops[[#This Row],[Custom Yield Per Bed]]/3600</f>
        <v>0.25</v>
      </c>
      <c r="CU66" s="37">
        <f>_xlfn.XLOOKUP(Crops[[#This Row],[Crop]]&amp;Crops[[#This Row],[Product]]&amp;Crops[[#This Row],[Unit]],Products[ID],Products[Wash (s)])*Crops[[#This Row],[Custom Yield Per Bed]]/3600</f>
        <v>1.6666666666666667</v>
      </c>
      <c r="CV66" s="37">
        <f>_xlfn.XLOOKUP(Crops[[#This Row],[Crop]]&amp;Crops[[#This Row],[Product]]&amp;Crops[[#This Row],[Unit]],Products[ID],Products[Condition (s)])*Crops[[#This Row],[Custom Yield Per Bed]]/3600</f>
        <v>0</v>
      </c>
      <c r="CW66" s="37">
        <f>_xlfn.XLOOKUP(Crops[[#This Row],[Crop]]&amp;Crops[[#This Row],[Product]]&amp;Crops[[#This Row],[Unit]],Products[ID],Products[Trim (s)])*Crops[[#This Row],[Custom Yield Per Bed]]/3600</f>
        <v>0.33333333333333331</v>
      </c>
      <c r="CX66" s="37">
        <f>_xlfn.XLOOKUP(Crops[[#This Row],[Crop]]&amp;Crops[[#This Row],[Product]]&amp;Crops[[#This Row],[Unit]],Products[ID],Products[Pack (s)])*Crops[[#This Row],[Custom Yield Per Bed]]/3600</f>
        <v>0.2</v>
      </c>
      <c r="CY66" s="37">
        <f>_xlfn.XLOOKUP(Crops[[#This Row],[Crop]]&amp;Crops[[#This Row],[Product]]&amp;Crops[[#This Row],[Unit]],Products[ID],Products[Clean (s)])*Crops[[#This Row],[Custom Yield Per Bed]]/3600</f>
        <v>0</v>
      </c>
      <c r="CZ66" s="37">
        <f>_xlfn.XLOOKUP(Crops[[#This Row],[Crop]]&amp;Crops[[#This Row],[Product]]&amp;Crops[[#This Row],[Unit]],Products[ID],Products[Rehandle (s)])*Crops[[#This Row],[Custom Yield Per Bed]]/3600</f>
        <v>0</v>
      </c>
      <c r="DA66" s="37">
        <f>_xlfn.XLOOKUP(Crops[[#This Row],[Crop]]&amp;Crops[[#This Row],[Product]]&amp;Crops[[#This Row],[Unit]],Products[ID],Products[Market Transport (s)])*Crops[[#This Row],[Custom Yield Per Bed]]/3600</f>
        <v>0.625</v>
      </c>
      <c r="DC66" s="37">
        <f>Crops[[#This Row],[Direct Revenue Per Bed2]]</f>
        <v>960</v>
      </c>
      <c r="DD66" s="173">
        <f>_xlfn.AGGREGATE(9,6,Crops[[#This Row],[Bed Prep]:[Remove Crop Residue]])</f>
        <v>13.740714285714285</v>
      </c>
      <c r="DE66" s="173">
        <f>_xlfn.AGGREGATE(9,6,Crops[[#This Row],[Bed Prep]:[Remove Crop Residue]])-0.75*Crops[[#This Row],[Market &amp; Sell]]</f>
        <v>13.380714285714285</v>
      </c>
      <c r="DF66" s="36">
        <f>Crops[[#This Row],[Direct Revenue Per Bed2]]/Crops[[#This Row],[Direct Time]]</f>
        <v>69.865363622186422</v>
      </c>
      <c r="DG66" s="36">
        <f>_xlfn.XLOOKUP(Crops[[#This Row],[ProductIndex]],Products[ID],Products[Packaging Cost])*(Crops[[#This Row],[Custom Yield Per Bed]]/_xlfn.XLOOKUP(Crops[[#This Row],[ProductIndex]],Products[ID],Products[Units Per Pack]))</f>
        <v>38</v>
      </c>
      <c r="DH66" s="36"/>
      <c r="DI66" s="36"/>
      <c r="DJ66" s="36"/>
      <c r="DK66" s="36"/>
      <c r="DL66" s="36"/>
      <c r="DM66" s="33">
        <f>IFERROR(Crops[[#This Row],[Custom Yield Per Bed]]*Crops[[#This Row],[Direct Price]],"")</f>
        <v>960</v>
      </c>
      <c r="DN66" s="36">
        <f>Crops[[#This Row],[Direct Time]]*LaborRate</f>
        <v>343.51785714285711</v>
      </c>
      <c r="DO66" s="36">
        <f>SUM(Crops[[#This Row],[Irrigation Cost]])</f>
        <v>0</v>
      </c>
      <c r="DP66" s="36">
        <f>Crops[[#This Row],[Direct Labor Cost]]+Crops[[#This Row],[Direct Non-Labor Cost]]</f>
        <v>343.51785714285711</v>
      </c>
      <c r="DQ66" s="36">
        <f>Crops[[#This Row],[Direct Revenue Per Bed2]]-Crops[[#This Row],[Direct Total Cost]]</f>
        <v>616.48214285714289</v>
      </c>
      <c r="DR66" s="36">
        <f>Crops[[#This Row],[Direct Profit]]*BedsPerAcre</f>
        <v>98637.14285714287</v>
      </c>
      <c r="DS66" s="36">
        <f>Crops[[#This Row],[Direct Profit]]*BedsPerAcre*GrowingDays/Crops[[#This Row],[Days In Field]]</f>
        <v>159952.12355212358</v>
      </c>
      <c r="DT66" s="36">
        <f>Crops[[#This Row],[Direct Profit]]/MIN(Crops[[#This Row],[Days In Field]],GrowingDays)</f>
        <v>5.5538931788931789</v>
      </c>
      <c r="DU66" s="33">
        <f>Crops[[#This Row],[Direct Time]] * BedsPerAcre</f>
        <v>2198.5142857142855</v>
      </c>
      <c r="DV66" s="36">
        <f>(Crops[[#This Row],[Direct Revenue Per Bed2]]-Crops[[#This Row],[Direct Non-Labor Cost]])/Crops[[#This Row],[Direct Time]]</f>
        <v>69.865363622186422</v>
      </c>
      <c r="DW66" s="33">
        <f>IFERROR(Crops[[#This Row],[Custom Yield Per Bed]]*Crops[[#This Row],[Rough Wholesale Price]],"")</f>
        <v>480</v>
      </c>
      <c r="DX66" s="36">
        <f>Crops[[#This Row],[Wholesale Time]]*LaborRate</f>
        <v>334.51785714285711</v>
      </c>
      <c r="DY66" s="36">
        <f>SUM(Crops[[#This Row],[Packaging Costs]:[Irrigation Cost]])</f>
        <v>38</v>
      </c>
      <c r="DZ66" s="36">
        <f>Crops[[#This Row],[Wholesale Labor Cost]]+Crops[[#This Row],[Wholesale Non-Labor Cost]]</f>
        <v>372.51785714285711</v>
      </c>
      <c r="EA66" s="36">
        <f>Crops[[#This Row],[Wholesale Revenue Per Bed]]-Crops[[#This Row],[Wholesale Total Cost]]</f>
        <v>107.48214285714289</v>
      </c>
      <c r="EB66" s="36">
        <f>Crops[[#This Row],[Wholesale Profit]]*BedsPerAcre</f>
        <v>17197.142857142862</v>
      </c>
      <c r="EC66" s="36">
        <f>Crops[[#This Row],[Wholesale Profit]]*BedsPerAcre*GrowingDays/Crops[[#This Row],[Days In Field]]</f>
        <v>27887.258687258694</v>
      </c>
      <c r="ED66" s="33">
        <f>Crops[[#This Row],[Wholesale Time]] * BedsPerAcre</f>
        <v>2140.9142857142856</v>
      </c>
      <c r="EE66" s="221">
        <f>Crops[[#This Row],[Wholesale Profit]]/MIN(Crops[[#This Row],[Days In Field]],GrowingDays)</f>
        <v>0.96830759330759364</v>
      </c>
      <c r="EF66" s="36">
        <f>(Crops[[#This Row],[Wholesale Revenue Per Bed]]-Crops[[#This Row],[Wholesale Non-Labor Cost]])/Crops[[#This Row],[Direct Time]]</f>
        <v>32.167177834381661</v>
      </c>
      <c r="EG66" s="174">
        <f>Crops[[#This Row],[Packaging Costs]]/Crops[[#This Row],[Wholesale Revenue Per Bed]]</f>
        <v>7.9166666666666663E-2</v>
      </c>
      <c r="EH66" s="36" t="str">
        <f>Crops[[#This Row],[Crop]]&amp;Crops[[#This Row],[Product]]&amp;Crops[[#This Row],[Unit]]</f>
        <v>CarrotMature RootBunch</v>
      </c>
      <c r="EI66" s="36" t="b">
        <f>_xlfn.XLOOKUP(Crops[[#This Row],[ProductIndex]],Products[ID],Products[Target])</f>
        <v>1</v>
      </c>
      <c r="EJ66" s="36">
        <f>Crops[[#This Row],[Custom Yield Per Bed]]</f>
        <v>240</v>
      </c>
      <c r="EK66" s="210">
        <f>Crops[[#This Row],[Units Per Harvest]]/Crops[[#This Row],[Days Between Harvest]]*7</f>
        <v>60</v>
      </c>
      <c r="EL66" s="210">
        <f>Crops[[#This Row],[Custom Yield Per Bed]]/_xlfn.XLOOKUP(Crops[[#This Row],[ProductIndex]],Products[ID],Products[CSA Portion])</f>
        <v>240</v>
      </c>
      <c r="EM66" s="210">
        <f>Crops[[#This Row],[Units Per Harvest]]/Crops[[#This Row],[Days Between Harvest]]*7/_xlfn.XLOOKUP(Crops[[#This Row],[ProductIndex]],Products[ID],Products[CSA Portion])</f>
        <v>60</v>
      </c>
      <c r="EN66" s="210">
        <f>Crops[[#This Row],[CSA Portions Per Week]]/CSAMembers</f>
        <v>1.2</v>
      </c>
      <c r="EO66" s="210"/>
      <c r="EP66" s="210"/>
      <c r="EQ66" s="210"/>
      <c r="ER66" s="210">
        <f>Crops[[#This Row],[Harvests]]*Crops[[#This Row],[Days Between Harvest]]/7</f>
        <v>4</v>
      </c>
      <c r="ES66" s="217">
        <f>_xlfn.XLOOKUP(Crops[[#This Row],[ProductIndex]],Products[ID],Products[CSA Need])</f>
        <v>6</v>
      </c>
      <c r="ET66" s="217">
        <f>_xlfn.XLOOKUP(Crops[[#This Row],[ProductIndex]],Products[ID],Products[CSA Times])</f>
        <v>6</v>
      </c>
      <c r="EU66" s="208">
        <f>Crops[[#This Row],[Custom Yield Per Bed]]/(Crops[[#This Row],[CSA Need]]*(_xlfn.XLOOKUP(Crops[[#This Row],[ProductIndex]],Products[ID],Products[CSA Portion])*CSAMembers))</f>
        <v>0.8</v>
      </c>
      <c r="EV66" s="208">
        <f>_xlfn.XLOOKUP(Crops[[#This Row],[ProductIndex]],Products[ID],Products[CSA Portion])*CSAMembers*Crops[[#This Row],[CSA Need]]/Crops[[#This Row],[Custom Yield Per Bed]]</f>
        <v>1.25</v>
      </c>
      <c r="EW66" s="208">
        <f>IFERROR(Crops[[#This Row],[Days In Field]]*Crops[[#This Row],[CSA Beds]],"")</f>
        <v>138.75</v>
      </c>
      <c r="EX66" s="208" t="e">
        <f>Crops[[#This Row],[CSA Bed Days]]*#REF!</f>
        <v>#REF!</v>
      </c>
      <c r="EY66" t="s">
        <v>280</v>
      </c>
    </row>
    <row r="67" spans="1:155" ht="15.75" customHeight="1">
      <c r="A6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Catnip - Mature Stem 3X | Field TP Su</v>
      </c>
      <c r="C67" s="1" t="b">
        <v>0</v>
      </c>
      <c r="D67" s="1" t="s">
        <v>2576</v>
      </c>
      <c r="E67" s="1" t="b">
        <v>0</v>
      </c>
      <c r="F67" s="1" t="b">
        <f>IFERROR(IF(ISNUMBER(MATCH(Crops[[#This Row],[Identifier]],BedPlan[Crop], 0)), TRUE, FALSE), FALSE)</f>
        <v>0</v>
      </c>
      <c r="G67" s="1" t="b">
        <f>IFERROR(IF(ISNUMBER(MATCH(Crops[[#This Row],[Identifier]],BedPlan[Crop], 0)), TRUE, FALSE), FALSE)</f>
        <v>0</v>
      </c>
      <c r="H67" s="1"/>
      <c r="I67" t="s">
        <v>2295</v>
      </c>
      <c r="J67" t="s">
        <v>145</v>
      </c>
      <c r="K67" t="s">
        <v>181</v>
      </c>
      <c r="M67" t="s">
        <v>442</v>
      </c>
      <c r="N67" t="str">
        <f>Crops[[#This Row],[Crop]]</f>
        <v>Catnip</v>
      </c>
      <c r="O67" t="s">
        <v>210</v>
      </c>
      <c r="P67" t="str">
        <f>IF(OR(Crops[[#This Row],[Days in Cells]]="",Crops[[#This Row],[Days in Cells]]=0), "DS","TP")</f>
        <v>TP</v>
      </c>
      <c r="R67" t="b">
        <v>1</v>
      </c>
      <c r="V67" t="str">
        <f xml:space="preserve"> IF(Crops[[#This Row],[Sp]], "Sp", "") &amp; IF(Crops[[#This Row],[Su]], "Su", "") &amp; IF(Crops[[#This Row],[Fa]], "Fa", "") &amp; IF(Crops[[#This Row],[Wi]], "Wi", "") &amp; IF(Crops[[#This Row],[OW]], "Ow","")</f>
        <v>Su</v>
      </c>
      <c r="X67">
        <v>2</v>
      </c>
      <c r="Y67">
        <v>16</v>
      </c>
      <c r="AC67">
        <v>2</v>
      </c>
      <c r="AD67" s="32">
        <f>IFERROR(12/Crops[[#This Row],[Spacing]]*Crops[[#This Row],[Rows]]*BedLength,"")</f>
        <v>75</v>
      </c>
      <c r="AE67">
        <v>3</v>
      </c>
      <c r="AG67">
        <f>IF(Crops[[#This Row],[Custom Safety Factor]]="",PlantingSafetyFactor,Crops[[#This Row],[Custom Safety Factor]])</f>
        <v>1.3</v>
      </c>
      <c r="AH67">
        <f>1</f>
        <v>1</v>
      </c>
      <c r="AI67" s="37">
        <f>IFERROR(Crops[[#This Row],[Plantings Per Bed]]*Crops[[#This Row],[Seeds Per Planting]]*Crops[[#This Row],[Safety Factor]]*Crops[[#This Row],[Seeding Factor]],"")</f>
        <v>292.5</v>
      </c>
      <c r="AJ67">
        <v>7</v>
      </c>
      <c r="AK67">
        <v>10</v>
      </c>
      <c r="AL67">
        <f>_xlfn.FLOOR.MATH(IFERROR(AVERAGE(Crops[[#This Row],[DTG Lower]:[DTG Upper]]),0))</f>
        <v>8</v>
      </c>
      <c r="AM67">
        <f>SUM(Crops[[#This Row],[Tray 1 Days]],Crops[[#This Row],[Tray 2 Days]],Crops[[#This Row],[Tray 3 Days]])</f>
        <v>63</v>
      </c>
      <c r="AO67">
        <v>75</v>
      </c>
      <c r="AP67">
        <v>85</v>
      </c>
      <c r="AQ67">
        <f>IFERROR(_xlfn.FLOOR.MATH(AVERAGE(Crops[[#This Row],[DTM Lower]:[DTM Upper]])),"")</f>
        <v>80</v>
      </c>
      <c r="AR67" cm="1">
        <f t="array" ref="AR67">_xlfn.SWITCH(Crops[[#This Row],[Normal Method]],"DS",Crops[[#This Row],[Days to Germination]]+Crops[[#This Row],[DTM]] + IF(Crops[[#This Row],[Days in Cells]]&gt;0,15,0), "TP",Crops[[#This Row],[DTM]]+Crops[[#This Row],[Days in Cells]] + IF(Crops[[#This Row],[Days in Cells]]&lt;=0,20,0), "X", Crops[[#This Row],[DTM]])</f>
        <v>143</v>
      </c>
      <c r="AS67" t="s">
        <v>346</v>
      </c>
      <c r="AT67">
        <f>(Crops[[#This Row],[Harvests]]-1)*Crops[[#This Row],[Days Between Harvest]]+7</f>
        <v>105</v>
      </c>
      <c r="AU67">
        <f>Crops[[#This Row],[STH]]-Crops[[#This Row],[Days in Cells]]+Crops[[#This Row],[Harvest window]]</f>
        <v>185</v>
      </c>
      <c r="AX67">
        <v>72</v>
      </c>
      <c r="AY67">
        <f>9*7</f>
        <v>63</v>
      </c>
      <c r="AZ67">
        <f>IFERROR(IF(Crops[[#This Row],[Tray 1 Days]]=0,"",Crops[[#This Row],[Plantings Per Bed]]/Crops[[#This Row],[Tray 1 Size]]*Crops[[#This Row],[Safety Factor]]),"")</f>
        <v>1.3541666666666667</v>
      </c>
      <c r="BC67" t="str">
        <f>IFERROR(IF(Crops[[#This Row],[Tray 2 Days]]=0,"",Crops[[#This Row],[Plantings Per Bed]]/Crops[[#This Row],[Tray 2 Size]]*Crops[[#This Row],[Safety Factor]]),"")</f>
        <v/>
      </c>
      <c r="BE67" s="32" t="str">
        <f>IF(NOT(ISBLANK(Crops[[#This Row],[Tray 3 Size]])), Crops[[#This Row],[Days in Cells Old]]-SUM(Crops[[#This Row],[Tray 1 Days]],Crops[[#This Row],[Tray 2 Days]]), "")</f>
        <v/>
      </c>
      <c r="BF67" t="str">
        <f>IFERROR(IF(Crops[[#This Row],[Tray 3 Days]]=0,"",Crops[[#This Row],[Plantings Per Bed]]/Crops[[#This Row],[Tray 3 Size]]*Crops[[#This Row],[Safety Factor]]),"")</f>
        <v/>
      </c>
      <c r="BG67" s="33">
        <f>Crops[[#This Row],[Plantings Per Bed]]</f>
        <v>75</v>
      </c>
      <c r="BH67">
        <v>8</v>
      </c>
      <c r="BI67">
        <v>14</v>
      </c>
      <c r="BJ67" s="37">
        <f>_xlfn.XLOOKUP(Crops[[#This Row],[ProductIndex]],Products[ID],Products[Holding Period])</f>
        <v>0</v>
      </c>
      <c r="BK67" s="33"/>
      <c r="BL67" s="32">
        <f>Crops[[#This Row],[Units Per Harvest]]*Crops[[#This Row],[Harvests]]</f>
        <v>600</v>
      </c>
      <c r="BM67" s="35">
        <v>2.5</v>
      </c>
      <c r="BN67" s="35">
        <f>Crops[[#This Row],[Direct Price]]*0.6</f>
        <v>1.5</v>
      </c>
      <c r="BO67" s="35"/>
      <c r="BP67" t="s">
        <v>215</v>
      </c>
      <c r="BQ67" s="193">
        <f>Crops[[#This Row],[Custom Yield Per Bed]]*Crops[[#This Row],[Direct Price]]</f>
        <v>1500</v>
      </c>
      <c r="BR67" s="193" t="b">
        <v>0</v>
      </c>
      <c r="BS67" t="b">
        <f>Crops[[#This Row],[Harvests]]&gt;1</f>
        <v>1</v>
      </c>
      <c r="BT67" s="36">
        <f>IFERROR(Crops[[#This Row],[Direct Revenue Per Bed]]/Crops[[#This Row],[Days In Field]],-1)</f>
        <v>8.1081081081081088</v>
      </c>
      <c r="BU67" s="33">
        <f>IFERROR(Crops[[#This Row],[Direct Revenue Per Bed Day]]*GrowingDays*BedsPerAcre,"")</f>
        <v>233513.51351351355</v>
      </c>
      <c r="BV67" s="38">
        <f>LastFrostDate-5*Crops[[#This Row],[Sewing Rel Last Frost]]</f>
        <v>45723</v>
      </c>
      <c r="BW67" s="38">
        <f>Crops[[#This Row],[Target Sewing Date]]+Crops[[#This Row],[Days in Cells]]</f>
        <v>45786</v>
      </c>
      <c r="BX67" s="38">
        <f>Crops[[#This Row],[Target Sewing Date]]+Crops[[#This Row],[STH]]</f>
        <v>45866</v>
      </c>
      <c r="BY67" s="38">
        <f>Crops[[#This Row],[Target Harvest Data]]+Crops[[#This Row],[Harvest window]]</f>
        <v>45971</v>
      </c>
      <c r="BZ67">
        <v>5</v>
      </c>
      <c r="CB67">
        <f>1</f>
        <v>1</v>
      </c>
      <c r="CC67">
        <f>IF(Crops[[#This Row],[Transplanting]]&gt;0, 2, 3)*BedLength/StandardBedLength</f>
        <v>1</v>
      </c>
      <c r="CD67" s="173">
        <f>IF(Crops[[#This Row],[Days in Cells]]&lt;=0,0,Crops[[#This Row],[Plantings Per Bed]]/StartsPerHourSeeding+Crops[[#This Row],[Tray 1 Count]]*5/60)</f>
        <v>0.40581597222222221</v>
      </c>
      <c r="CE67" s="173">
        <f>IF(ISBLANK(Crops[[#This Row],[Tray 2 Days]]),0,Crops[[#This Row],[Plantings Per Bed]]/UpPottingPerHour)+IF(Crops[[#This Row],[Tray 3 Days]]="",0,Crops[[#This Row],[Plantings Per Bed]]/UpPottingPerHour)</f>
        <v>0</v>
      </c>
      <c r="CF67" s="173">
        <f>IFERROR(Crops[[#This Row],[Tray 1 Count]]/HomeStartFlatIrrigationPerHour,0)*Crops[[#This Row],[Days in Cells]]/DaysBetweenStartIrrigation</f>
        <v>0.35546875</v>
      </c>
      <c r="CG67" s="173">
        <f>0.5/16*MAX(Crops[[#This Row],[Tray 1 Count]],Crops[[#This Row],[Tray 2 Count]],Crops[[#This Row],[Tray 3 Count]])</f>
        <v>4.2317708333333336E-2</v>
      </c>
      <c r="CH67" s="173">
        <f>IF(Crops[[#This Row],[Days in Cells]]&gt;0,IF(IF(Crops[[#This Row],[Tray 3 Size]]&gt;0,Crops[[#This Row],[Tray 3 Size]],IF(Crops[[#This Row],[Tray 2 Size]]&gt;0,Crops[[#This Row],[Tray 2 Size]],Crops[[#This Row],[Tray 1 Size]]))&lt;=18,LargeTransplantTime,SmallTransplantTime)*Crops[[#This Row],[Plantings Per Bed]],0)</f>
        <v>0.375</v>
      </c>
      <c r="CI67" s="173"/>
      <c r="CJ67" s="173">
        <f>_xlfn.XLOOKUP(Crops[[#This Row],[Trellis Type]],TrellisMethods[Trellis Type],TrellisMethods[Hours],0,0)</f>
        <v>0</v>
      </c>
      <c r="CK67">
        <f>IF(Crops[[#This Row],[Days in Cells]]&lt;=0,Crops[[#This Row],[Rows]]*1/10,0)*BedLength/50</f>
        <v>0</v>
      </c>
      <c r="CL67" cm="1">
        <f t="array" ref="CL67">_xlfn.SWITCH(Crops[[#This Row],[Irrigation]],"DR", 0.5, "OH", 0.25,0)*BedLength/50</f>
        <v>0</v>
      </c>
      <c r="CM67">
        <f>IF(OR(ISBLANK(Crops[[#This Row],[Row Cover]]),Crops[[#This Row],[Row Cover]]="None"),0,1)*BedLength/50</f>
        <v>0</v>
      </c>
      <c r="CN67" s="173">
        <f>HoursPerWeedingPass*Crops[[#This Row],[Days In Field]]/14*Crops[[#This Row],[Rows]]+1*BedLength/50</f>
        <v>5.4047619047619042</v>
      </c>
      <c r="CQ67" s="37">
        <f>_xlfn.XLOOKUP(Crops[[#This Row],[Crop]]&amp;Crops[[#This Row],[Product]]&amp;Crops[[#This Row],[Unit]],Products[ID],Products[Marketing (hr)])*Crops[[#This Row],[Direct Revenue Per Bed]]/2000</f>
        <v>3</v>
      </c>
      <c r="CR67" s="37">
        <f>_xlfn.XLOOKUP(Crops[[#This Row],[Crop]]&amp;Crops[[#This Row],[Product]]&amp;Crops[[#This Row],[Unit]],Products[ID],Products[Harvest (s)])*Crops[[#This Row],[Custom Yield Per Bed]]/3600</f>
        <v>3.3333333333333335</v>
      </c>
      <c r="CS67" s="37">
        <f>_xlfn.XLOOKUP(Crops[[#This Row],[Crop]]&amp;Crops[[#This Row],[Product]]&amp;Crops[[#This Row],[Unit]],Products[ID],Products[Bunch (s)])*Crops[[#This Row],[Custom Yield Per Bed]]/3600</f>
        <v>1.6666666666666667</v>
      </c>
      <c r="CT67" s="37">
        <f>_xlfn.XLOOKUP(Crops[[#This Row],[Crop]]&amp;Crops[[#This Row],[Product]]&amp;Crops[[#This Row],[Unit]],Products[ID],Products[Haul (s)])*Crops[[#This Row],[Custom Yield Per Bed]]/3600</f>
        <v>0.375</v>
      </c>
      <c r="CU67" s="37">
        <f>_xlfn.XLOOKUP(Crops[[#This Row],[Crop]]&amp;Crops[[#This Row],[Product]]&amp;Crops[[#This Row],[Unit]],Products[ID],Products[Wash (s)])*Crops[[#This Row],[Custom Yield Per Bed]]/3600</f>
        <v>0</v>
      </c>
      <c r="CV67" s="37">
        <f>_xlfn.XLOOKUP(Crops[[#This Row],[Crop]]&amp;Crops[[#This Row],[Product]]&amp;Crops[[#This Row],[Unit]],Products[ID],Products[Condition (s)])*Crops[[#This Row],[Custom Yield Per Bed]]/3600</f>
        <v>0</v>
      </c>
      <c r="CW67" s="37">
        <f>_xlfn.XLOOKUP(Crops[[#This Row],[Crop]]&amp;Crops[[#This Row],[Product]]&amp;Crops[[#This Row],[Unit]],Products[ID],Products[Trim (s)])*Crops[[#This Row],[Custom Yield Per Bed]]/3600</f>
        <v>0</v>
      </c>
      <c r="CX67" s="37">
        <f>_xlfn.XLOOKUP(Crops[[#This Row],[Crop]]&amp;Crops[[#This Row],[Product]]&amp;Crops[[#This Row],[Unit]],Products[ID],Products[Pack (s)])*Crops[[#This Row],[Custom Yield Per Bed]]/3600</f>
        <v>0.5</v>
      </c>
      <c r="CY67" s="37">
        <f>_xlfn.XLOOKUP(Crops[[#This Row],[Crop]]&amp;Crops[[#This Row],[Product]]&amp;Crops[[#This Row],[Unit]],Products[ID],Products[Clean (s)])*Crops[[#This Row],[Custom Yield Per Bed]]/3600</f>
        <v>0</v>
      </c>
      <c r="CZ67" s="37">
        <f>_xlfn.XLOOKUP(Crops[[#This Row],[Crop]]&amp;Crops[[#This Row],[Product]]&amp;Crops[[#This Row],[Unit]],Products[ID],Products[Rehandle (s)])*Crops[[#This Row],[Custom Yield Per Bed]]/3600</f>
        <v>0</v>
      </c>
      <c r="DA67" s="37">
        <f>_xlfn.XLOOKUP(Crops[[#This Row],[Crop]]&amp;Crops[[#This Row],[Product]]&amp;Crops[[#This Row],[Unit]],Products[ID],Products[Market Transport (s)])*Crops[[#This Row],[Custom Yield Per Bed]]/3600</f>
        <v>0.9375</v>
      </c>
      <c r="DC67" s="37">
        <f>Crops[[#This Row],[Direct Revenue Per Bed2]]</f>
        <v>1500</v>
      </c>
      <c r="DD67" s="173">
        <f>_xlfn.AGGREGATE(9,6,Crops[[#This Row],[Bed Prep]:[Remove Crop Residue]])</f>
        <v>17.395864335317459</v>
      </c>
      <c r="DE67" s="173">
        <f>_xlfn.AGGREGATE(9,6,Crops[[#This Row],[Bed Prep]:[Remove Crop Residue]])-0.75*Crops[[#This Row],[Market &amp; Sell]]</f>
        <v>15.145864335317459</v>
      </c>
      <c r="DF67" s="36">
        <f>Crops[[#This Row],[Direct Revenue Per Bed2]]/Crops[[#This Row],[Direct Time]]</f>
        <v>86.227391240035587</v>
      </c>
      <c r="DG67" s="36">
        <f>_xlfn.XLOOKUP(Crops[[#This Row],[ProductIndex]],Products[ID],Products[Packaging Cost])*(Crops[[#This Row],[Custom Yield Per Bed]]/_xlfn.XLOOKUP(Crops[[#This Row],[ProductIndex]],Products[ID],Products[Units Per Pack]))</f>
        <v>57</v>
      </c>
      <c r="DH67" s="36"/>
      <c r="DI67" s="36"/>
      <c r="DJ67" s="36"/>
      <c r="DK67" s="36"/>
      <c r="DL67" s="36"/>
      <c r="DM67" s="37">
        <f>IFERROR(Crops[[#This Row],[Custom Yield Per Bed]]*Crops[[#This Row],[Direct Price]],"")</f>
        <v>1500</v>
      </c>
      <c r="DN67" s="36">
        <f>Crops[[#This Row],[Direct Time]]*LaborRate</f>
        <v>434.89660838293645</v>
      </c>
      <c r="DO67" s="36">
        <f>SUM(Crops[[#This Row],[Irrigation Cost]])</f>
        <v>0</v>
      </c>
      <c r="DP67" s="36">
        <f>Crops[[#This Row],[Direct Labor Cost]]+Crops[[#This Row],[Direct Non-Labor Cost]]</f>
        <v>434.89660838293645</v>
      </c>
      <c r="DQ67" s="36">
        <f>Crops[[#This Row],[Direct Revenue Per Bed2]]-Crops[[#This Row],[Direct Total Cost]]</f>
        <v>1065.1033916170636</v>
      </c>
      <c r="DR67" s="36">
        <f>Crops[[#This Row],[Direct Profit]]*BedsPerAcre</f>
        <v>170416.54265873018</v>
      </c>
      <c r="DS67" s="36">
        <f>Crops[[#This Row],[Direct Profit]]*BedsPerAcre*GrowingDays/Crops[[#This Row],[Days In Field]]</f>
        <v>165810.69015444018</v>
      </c>
      <c r="DT67" s="36">
        <f>Crops[[#This Row],[Direct Profit]]/MIN(Crops[[#This Row],[Days In Field]],GrowingDays)</f>
        <v>5.9172410645392421</v>
      </c>
      <c r="DU67" s="36">
        <f>Crops[[#This Row],[Direct Time]] * BedsPerAcre</f>
        <v>2783.3382936507933</v>
      </c>
      <c r="DV67" s="36">
        <f>(Crops[[#This Row],[Direct Revenue Per Bed2]]-Crops[[#This Row],[Direct Non-Labor Cost]])/Crops[[#This Row],[Direct Time]]</f>
        <v>86.227391240035587</v>
      </c>
      <c r="DW67" s="37">
        <f>IFERROR(Crops[[#This Row],[Custom Yield Per Bed]]*Crops[[#This Row],[Rough Wholesale Price]],"")</f>
        <v>900</v>
      </c>
      <c r="DX67" s="36">
        <f>Crops[[#This Row],[Wholesale Time]]*LaborRate</f>
        <v>378.64660838293645</v>
      </c>
      <c r="DY67" s="36">
        <f>SUM(Crops[[#This Row],[Packaging Costs]:[Irrigation Cost]])</f>
        <v>57</v>
      </c>
      <c r="DZ67" s="36">
        <f>Crops[[#This Row],[Wholesale Labor Cost]]+Crops[[#This Row],[Wholesale Non-Labor Cost]]</f>
        <v>435.64660838293645</v>
      </c>
      <c r="EA67" s="36">
        <f>Crops[[#This Row],[Wholesale Revenue Per Bed]]-Crops[[#This Row],[Wholesale Total Cost]]</f>
        <v>464.35339161706355</v>
      </c>
      <c r="EB67" s="36">
        <f>Crops[[#This Row],[Wholesale Profit]]*BedsPerAcre</f>
        <v>74296.542658730163</v>
      </c>
      <c r="EC67" s="36">
        <f>Crops[[#This Row],[Wholesale Profit]]*BedsPerAcre*GrowingDays/Crops[[#This Row],[Days In Field]]</f>
        <v>72288.527992277988</v>
      </c>
      <c r="ED67" s="36">
        <f>Crops[[#This Row],[Wholesale Time]] * BedsPerAcre</f>
        <v>2423.3382936507933</v>
      </c>
      <c r="EE67" s="36">
        <f>Crops[[#This Row],[Wholesale Profit]]/MIN(Crops[[#This Row],[Days In Field]],GrowingDays)</f>
        <v>2.5797410645392418</v>
      </c>
      <c r="EF67" s="36">
        <f>(Crops[[#This Row],[Wholesale Revenue Per Bed]]-Crops[[#This Row],[Wholesale Non-Labor Cost]])/Crops[[#This Row],[Direct Time]]</f>
        <v>48.459793876899994</v>
      </c>
      <c r="EG67" s="174">
        <f>Crops[[#This Row],[Packaging Costs]]/Crops[[#This Row],[Wholesale Revenue Per Bed]]</f>
        <v>6.3333333333333339E-2</v>
      </c>
      <c r="EH67" s="36" t="str">
        <f>Crops[[#This Row],[Crop]]&amp;Crops[[#This Row],[Product]]&amp;Crops[[#This Row],[Unit]]</f>
        <v>CatnipMature StemBunch</v>
      </c>
      <c r="EI67" s="36" t="b">
        <f>_xlfn.XLOOKUP(Crops[[#This Row],[ProductIndex]],Products[ID],Products[Target])</f>
        <v>0</v>
      </c>
      <c r="EJ67" s="36">
        <f>Crops[[#This Row],[Custom Yield Per Bed]]</f>
        <v>600</v>
      </c>
      <c r="EK67" s="210">
        <f>Crops[[#This Row],[Units Per Harvest]]/Crops[[#This Row],[Days Between Harvest]]*7</f>
        <v>37.5</v>
      </c>
      <c r="EL67" s="210" t="e">
        <f>Crops[[#This Row],[Custom Yield Per Bed]]/_xlfn.XLOOKUP(Crops[[#This Row],[ProductIndex]],Products[ID],Products[CSA Portion])</f>
        <v>#DIV/0!</v>
      </c>
      <c r="EM67" s="210" t="e">
        <f>Crops[[#This Row],[Units Per Harvest]]/Crops[[#This Row],[Days Between Harvest]]*7/_xlfn.XLOOKUP(Crops[[#This Row],[ProductIndex]],Products[ID],Products[CSA Portion])</f>
        <v>#DIV/0!</v>
      </c>
      <c r="EN67" s="210" t="e">
        <f>Crops[[#This Row],[CSA Portions Per Week]]/CSAMembers</f>
        <v>#DIV/0!</v>
      </c>
      <c r="EO67" s="210"/>
      <c r="EP67" s="210"/>
      <c r="EQ67" s="36"/>
      <c r="ER67" s="36">
        <f>Crops[[#This Row],[Harvests]]*Crops[[#This Row],[Days Between Harvest]]/7</f>
        <v>16</v>
      </c>
      <c r="ES67" s="208">
        <f>_xlfn.XLOOKUP(Crops[[#This Row],[ProductIndex]],Products[ID],Products[CSA Need])</f>
        <v>0</v>
      </c>
      <c r="ET67" s="208">
        <f>_xlfn.XLOOKUP(Crops[[#This Row],[ProductIndex]],Products[ID],Products[CSA Times])</f>
        <v>0</v>
      </c>
      <c r="EU67" s="208" t="e">
        <f>Crops[[#This Row],[Custom Yield Per Bed]]/(Crops[[#This Row],[CSA Need]]*(_xlfn.XLOOKUP(Crops[[#This Row],[ProductIndex]],Products[ID],Products[CSA Portion])*CSAMembers))</f>
        <v>#DIV/0!</v>
      </c>
      <c r="EV67" s="208">
        <f>_xlfn.XLOOKUP(Crops[[#This Row],[ProductIndex]],Products[ID],Products[CSA Portion])*CSAMembers*Crops[[#This Row],[CSA Need]]/Crops[[#This Row],[Custom Yield Per Bed]]</f>
        <v>0</v>
      </c>
      <c r="EW67" s="208">
        <f>IFERROR(Crops[[#This Row],[Days In Field]]*Crops[[#This Row],[CSA Beds]],"")</f>
        <v>0</v>
      </c>
      <c r="EX67" s="208" t="e">
        <f>Crops[[#This Row],[CSA Bed Days]]*#REF!</f>
        <v>#REF!</v>
      </c>
    </row>
    <row r="68" spans="1:155">
      <c r="A6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 Mature Head 1X | Field TP Fa</v>
      </c>
      <c r="B68" s="191"/>
      <c r="C68" s="1" t="b">
        <v>1</v>
      </c>
      <c r="D68" s="1"/>
      <c r="E68" s="1" t="b">
        <v>0</v>
      </c>
      <c r="F68" s="1" t="b">
        <f>IFERROR(IF(ISNUMBER(MATCH(Crops[[#This Row],[Identifier]],BedPlan[Crop], 0)), TRUE, FALSE), FALSE)</f>
        <v>1</v>
      </c>
      <c r="G68" s="1" t="b">
        <f>IFERROR(IF(ISNUMBER(MATCH(Crops[[#This Row],[Identifier]],BedPlan[Crop], 0)), TRUE, FALSE), FALSE)</f>
        <v>1</v>
      </c>
      <c r="H68" s="1"/>
      <c r="I68" t="s">
        <v>54</v>
      </c>
      <c r="J68" t="s">
        <v>145</v>
      </c>
      <c r="K68" t="s">
        <v>186</v>
      </c>
      <c r="M68" t="s">
        <v>445</v>
      </c>
      <c r="N68" t="str">
        <f>Crops[[#This Row],[Crop]]</f>
        <v>Cauliflower</v>
      </c>
      <c r="O68" t="s">
        <v>210</v>
      </c>
      <c r="P68" t="str">
        <f>IF(OR(Crops[[#This Row],[Days in Cells]]="",Crops[[#This Row],[Days in Cells]]=0), "DS","TP")</f>
        <v>TP</v>
      </c>
      <c r="S68" t="b">
        <v>1</v>
      </c>
      <c r="V68" t="str">
        <f xml:space="preserve"> IF(Crops[[#This Row],[Sp]], "Sp", "") &amp; IF(Crops[[#This Row],[Su]], "Su", "") &amp; IF(Crops[[#This Row],[Fa]], "Fa", "") &amp; IF(Crops[[#This Row],[Wi]], "Wi", "") &amp; IF(Crops[[#This Row],[OW]], "Ow","")</f>
        <v>Fa</v>
      </c>
      <c r="W68" t="s">
        <v>144</v>
      </c>
      <c r="X68">
        <v>2</v>
      </c>
      <c r="Y68">
        <v>21</v>
      </c>
      <c r="AA68" t="s">
        <v>475</v>
      </c>
      <c r="AB68" t="b">
        <v>1</v>
      </c>
      <c r="AC68">
        <v>1.5</v>
      </c>
      <c r="AD68" s="32">
        <f>IFERROR(12/Crops[[#This Row],[Spacing]]*Crops[[#This Row],[Rows]]*BedLength,"")</f>
        <v>57.142857142857139</v>
      </c>
      <c r="AE68">
        <v>1</v>
      </c>
      <c r="AG68">
        <v>1</v>
      </c>
      <c r="AH68">
        <v>1.5</v>
      </c>
      <c r="AI68" s="33">
        <f>IFERROR(Crops[[#This Row],[Plantings Per Bed]]*Crops[[#This Row],[Seeds Per Planting]]*Crops[[#This Row],[Safety Factor]]*Crops[[#This Row],[Seeding Factor]],"")</f>
        <v>85.714285714285708</v>
      </c>
      <c r="AL68">
        <f>_xlfn.FLOOR.MATH(IFERROR(AVERAGE(Crops[[#This Row],[DTG Lower]:[DTG Upper]]),0))</f>
        <v>0</v>
      </c>
      <c r="AM68">
        <f>SUM(Crops[[#This Row],[Tray 1 Days]],Crops[[#This Row],[Tray 2 Days]],Crops[[#This Row],[Tray 3 Days]])</f>
        <v>35</v>
      </c>
      <c r="AN68" s="32">
        <v>35</v>
      </c>
      <c r="AP68">
        <f>4*30</f>
        <v>120</v>
      </c>
      <c r="AQ68">
        <f>IFERROR(_xlfn.FLOOR.MATH(AVERAGE(Crops[[#This Row],[DTM Lower]:[DTM Upper]])),"")</f>
        <v>120</v>
      </c>
      <c r="AR68" cm="1">
        <f t="array" ref="AR68">_xlfn.SWITCH(Crops[[#This Row],[Normal Method]],"DS",Crops[[#This Row],[Days to Germination]]+Crops[[#This Row],[DTM]] + IF(Crops[[#This Row],[Days in Cells]]&gt;0,15,0), "TP",Crops[[#This Row],[DTM]]+Crops[[#This Row],[Days in Cells]] + IF(Crops[[#This Row],[Days in Cells]]&lt;=0,20,0), "X", Crops[[#This Row],[DTM]])</f>
        <v>120</v>
      </c>
      <c r="AS68" t="s">
        <v>347</v>
      </c>
      <c r="AT68">
        <f>(Crops[[#This Row],[Harvests]]-1)*Crops[[#This Row],[Days Between Harvest]]+7</f>
        <v>21</v>
      </c>
      <c r="AU68">
        <f>Crops[[#This Row],[STH]]-Crops[[#This Row],[Days in Cells]]+Crops[[#This Row],[Harvest window]]</f>
        <v>106</v>
      </c>
      <c r="AX68">
        <v>400</v>
      </c>
      <c r="AY68">
        <v>7</v>
      </c>
      <c r="AZ68" s="49">
        <f>IFERROR(IF(Crops[[#This Row],[Tray 1 Days]]=0,"",Crops[[#This Row],[Plantings Per Bed]]/Crops[[#This Row],[Tray 1 Size]]*Crops[[#This Row],[Safety Factor]]),"")</f>
        <v>0.14285714285714285</v>
      </c>
      <c r="BA68">
        <v>128</v>
      </c>
      <c r="BB68">
        <v>28</v>
      </c>
      <c r="BC68">
        <f>IFERROR(IF(Crops[[#This Row],[Tray 2 Days]]=0,"",Crops[[#This Row],[Plantings Per Bed]]/Crops[[#This Row],[Tray 2 Size]]*Crops[[#This Row],[Safety Factor]]),"")</f>
        <v>0.4464285714285714</v>
      </c>
      <c r="BE68" s="32" t="str">
        <f>IF(NOT(ISBLANK(Crops[[#This Row],[Tray 3 Size]])), Crops[[#This Row],[Days in Cells Old]]-SUM(Crops[[#This Row],[Tray 1 Days]],Crops[[#This Row],[Tray 2 Days]]), "")</f>
        <v/>
      </c>
      <c r="BF68" s="49" t="str">
        <f>IFERROR(IF(Crops[[#This Row],[Tray 3 Days]]=0,"",Crops[[#This Row],[Plantings Per Bed]]/Crops[[#This Row],[Tray 3 Size]]*Crops[[#This Row],[Safety Factor]]),"")</f>
        <v/>
      </c>
      <c r="BG68" s="33">
        <f>Crops[[#This Row],[Plantings Per Bed]]/Crops[[#This Row],[Harvests]]</f>
        <v>28.571428571428569</v>
      </c>
      <c r="BH68" s="33">
        <v>2</v>
      </c>
      <c r="BI68" s="33">
        <v>14</v>
      </c>
      <c r="BJ68" s="33">
        <f>_xlfn.XLOOKUP(Crops[[#This Row],[ProductIndex]],Products[ID],Products[Holding Period])</f>
        <v>7</v>
      </c>
      <c r="BK68" s="33"/>
      <c r="BL68" s="33">
        <f>Crops[[#This Row],[Units Per Harvest]]*Crops[[#This Row],[Harvests]]</f>
        <v>57.142857142857139</v>
      </c>
      <c r="BM68" s="35">
        <f>3*3</f>
        <v>9</v>
      </c>
      <c r="BN68" s="35">
        <f>3*1.69</f>
        <v>5.07</v>
      </c>
      <c r="BO68" s="35"/>
      <c r="BP68" t="s">
        <v>214</v>
      </c>
      <c r="BQ68">
        <f>Crops[[#This Row],[Custom Yield Per Bed]]*Crops[[#This Row],[Direct Price]]</f>
        <v>514.28571428571422</v>
      </c>
      <c r="BR68" t="b">
        <v>1</v>
      </c>
      <c r="BS68" t="b">
        <f>Crops[[#This Row],[Harvests]]&gt;1</f>
        <v>1</v>
      </c>
      <c r="BT68" s="36">
        <f>IFERROR(Crops[[#This Row],[Direct Revenue Per Bed]]/Crops[[#This Row],[Days In Field]],-1)</f>
        <v>4.8517520215633416</v>
      </c>
      <c r="BU68" s="36">
        <f>IFERROR(Crops[[#This Row],[Direct Revenue Per Bed Day]]*GrowingDays*BedsPerAcre,"")</f>
        <v>139730.45822102425</v>
      </c>
      <c r="BV68" s="38">
        <f>LastFrostDate-5*Crops[[#This Row],[Sewing Rel Last Frost]]</f>
        <v>45808</v>
      </c>
      <c r="BW68" s="38">
        <f>Crops[[#This Row],[Target Sewing Date]]+Crops[[#This Row],[Days in Cells]]</f>
        <v>45843</v>
      </c>
      <c r="BX68" s="38">
        <f>Crops[[#This Row],[Target Sewing Date]]+Crops[[#This Row],[STH]]</f>
        <v>45928</v>
      </c>
      <c r="BY68" s="38">
        <f>Crops[[#This Row],[Target Harvest Data]]+Crops[[#This Row],[Harvest window]]</f>
        <v>45949</v>
      </c>
      <c r="BZ68">
        <v>-12</v>
      </c>
      <c r="CA68" t="s">
        <v>373</v>
      </c>
      <c r="CB68">
        <f>1</f>
        <v>1</v>
      </c>
      <c r="CC68">
        <f>IF(Crops[[#This Row],[Transplanting]]&gt;0, 2, 3)*BedLength/StandardBedLength</f>
        <v>1</v>
      </c>
      <c r="CD68" s="173">
        <f>IF(Crops[[#This Row],[Days in Cells]]&lt;=0,0,Crops[[#This Row],[Plantings Per Bed]]/StartsPerHourSeeding+Crops[[#This Row],[Tray 1 Count]]*5/60)</f>
        <v>0.23511904761904759</v>
      </c>
      <c r="CE68" s="173">
        <f>IF(ISBLANK(Crops[[#This Row],[Tray 2 Days]]),0,Crops[[#This Row],[Plantings Per Bed]]/UpPottingPerHour)+IF(Crops[[#This Row],[Tray 3 Days]]="",0,Crops[[#This Row],[Plantings Per Bed]]/UpPottingPerHour)</f>
        <v>0.47619047619047616</v>
      </c>
      <c r="CF68" s="173">
        <f>IFERROR(Crops[[#This Row],[Tray 1 Count]]/HomeStartFlatIrrigationPerHour,0)*Crops[[#This Row],[Days in Cells]]/DaysBetweenStartIrrigation</f>
        <v>2.0833333333333332E-2</v>
      </c>
      <c r="CG68" s="173">
        <f>0.5/16*MAX(Crops[[#This Row],[Tray 1 Count]],Crops[[#This Row],[Tray 2 Count]],Crops[[#This Row],[Tray 3 Count]])</f>
        <v>1.3950892857142856E-2</v>
      </c>
      <c r="CH68" s="173">
        <f>IF(Crops[[#This Row],[Days in Cells]]&gt;0,IF(IF(Crops[[#This Row],[Tray 3 Size]]&gt;0,Crops[[#This Row],[Tray 3 Size]],IF(Crops[[#This Row],[Tray 2 Size]]&gt;0,Crops[[#This Row],[Tray 2 Size]],Crops[[#This Row],[Tray 1 Size]]))&lt;=18,LargeTransplantTime,SmallTransplantTime)*Crops[[#This Row],[Plantings Per Bed]],0)</f>
        <v>0.2857142857142857</v>
      </c>
      <c r="CI68" s="173"/>
      <c r="CJ68" s="173">
        <f>_xlfn.XLOOKUP(Crops[[#This Row],[Trellis Type]],TrellisMethods[Trellis Type],TrellisMethods[Hours],0,0)</f>
        <v>0</v>
      </c>
      <c r="CK68">
        <f>IF(Crops[[#This Row],[Days in Cells]]&lt;=0,Crops[[#This Row],[Rows]]*1/10,0)*BedLength/50</f>
        <v>0</v>
      </c>
      <c r="CL68" cm="1">
        <f t="array" ref="CL68">_xlfn.SWITCH(Crops[[#This Row],[Irrigation]],"DR", 0.5, "OH", 0.25,0)*BedLength/50</f>
        <v>0</v>
      </c>
      <c r="CM68">
        <f>IF(OR(ISBLANK(Crops[[#This Row],[Row Cover]]),Crops[[#This Row],[Row Cover]]="None"),0,1)*BedLength/50</f>
        <v>1</v>
      </c>
      <c r="CN68" s="173">
        <f>HoursPerWeedingPass*Crops[[#This Row],[Days In Field]]/14*Crops[[#This Row],[Rows]]+1*BedLength/50</f>
        <v>3.5238095238095233</v>
      </c>
      <c r="CO68" s="49"/>
      <c r="CQ68" s="37">
        <f>_xlfn.XLOOKUP(Crops[[#This Row],[Crop]]&amp;Crops[[#This Row],[Product]]&amp;Crops[[#This Row],[Unit]],Products[ID],Products[Marketing (hr)])*Crops[[#This Row],[Direct Revenue Per Bed]]/2000</f>
        <v>0.51428571428571423</v>
      </c>
      <c r="CR68" s="37">
        <f>_xlfn.XLOOKUP(Crops[[#This Row],[Crop]]&amp;Crops[[#This Row],[Product]]&amp;Crops[[#This Row],[Unit]],Products[ID],Products[Harvest (s)])*Crops[[#This Row],[Custom Yield Per Bed]]/3600</f>
        <v>0.15873015873015869</v>
      </c>
      <c r="CS68" s="37">
        <f>_xlfn.XLOOKUP(Crops[[#This Row],[Crop]]&amp;Crops[[#This Row],[Product]]&amp;Crops[[#This Row],[Unit]],Products[ID],Products[Bunch (s)])*Crops[[#This Row],[Custom Yield Per Bed]]/3600</f>
        <v>0</v>
      </c>
      <c r="CT68" s="37">
        <f>_xlfn.XLOOKUP(Crops[[#This Row],[Crop]]&amp;Crops[[#This Row],[Product]]&amp;Crops[[#This Row],[Unit]],Products[ID],Products[Haul (s)])*Crops[[#This Row],[Custom Yield Per Bed]]/3600</f>
        <v>0.17857142857142855</v>
      </c>
      <c r="CU68" s="37">
        <f>_xlfn.XLOOKUP(Crops[[#This Row],[Crop]]&amp;Crops[[#This Row],[Product]]&amp;Crops[[#This Row],[Unit]],Products[ID],Products[Wash (s)])*Crops[[#This Row],[Custom Yield Per Bed]]/3600</f>
        <v>0</v>
      </c>
      <c r="CV68" s="37">
        <f>_xlfn.XLOOKUP(Crops[[#This Row],[Crop]]&amp;Crops[[#This Row],[Product]]&amp;Crops[[#This Row],[Unit]],Products[ID],Products[Condition (s)])*Crops[[#This Row],[Custom Yield Per Bed]]/3600</f>
        <v>0</v>
      </c>
      <c r="CW68" s="37">
        <f>_xlfn.XLOOKUP(Crops[[#This Row],[Crop]]&amp;Crops[[#This Row],[Product]]&amp;Crops[[#This Row],[Unit]],Products[ID],Products[Trim (s)])*Crops[[#This Row],[Custom Yield Per Bed]]/3600</f>
        <v>0</v>
      </c>
      <c r="CX68" s="37">
        <f>_xlfn.XLOOKUP(Crops[[#This Row],[Crop]]&amp;Crops[[#This Row],[Product]]&amp;Crops[[#This Row],[Unit]],Products[ID],Products[Pack (s)])*Crops[[#This Row],[Custom Yield Per Bed]]/3600</f>
        <v>4.7619047619047616E-2</v>
      </c>
      <c r="CY68" s="37">
        <f>_xlfn.XLOOKUP(Crops[[#This Row],[Crop]]&amp;Crops[[#This Row],[Product]]&amp;Crops[[#This Row],[Unit]],Products[ID],Products[Clean (s)])*Crops[[#This Row],[Custom Yield Per Bed]]/3600</f>
        <v>0</v>
      </c>
      <c r="CZ68" s="37">
        <f>_xlfn.XLOOKUP(Crops[[#This Row],[Crop]]&amp;Crops[[#This Row],[Product]]&amp;Crops[[#This Row],[Unit]],Products[ID],Products[Rehandle (s)])*Crops[[#This Row],[Custom Yield Per Bed]]/3600</f>
        <v>0</v>
      </c>
      <c r="DA68" s="37">
        <f>_xlfn.XLOOKUP(Crops[[#This Row],[Crop]]&amp;Crops[[#This Row],[Product]]&amp;Crops[[#This Row],[Unit]],Products[ID],Products[Market Transport (s)])*Crops[[#This Row],[Custom Yield Per Bed]]/3600</f>
        <v>0.4464285714285714</v>
      </c>
      <c r="DC68" s="37">
        <f>Crops[[#This Row],[Direct Revenue Per Bed2]]</f>
        <v>514.28571428571422</v>
      </c>
      <c r="DD68" s="173">
        <f>_xlfn.AGGREGATE(9,6,Crops[[#This Row],[Bed Prep]:[Remove Crop Residue]])</f>
        <v>7.9012524801587292</v>
      </c>
      <c r="DE68" s="173">
        <f>_xlfn.AGGREGATE(9,6,Crops[[#This Row],[Bed Prep]:[Remove Crop Residue]])-0.75*Crops[[#This Row],[Market &amp; Sell]]</f>
        <v>7.5155381944444439</v>
      </c>
      <c r="DF68" s="36">
        <f>Crops[[#This Row],[Direct Revenue Per Bed2]]/Crops[[#This Row],[Direct Time]]</f>
        <v>65.089138155901921</v>
      </c>
      <c r="DG68" s="36">
        <f>_xlfn.XLOOKUP(Crops[[#This Row],[ProductIndex]],Products[ID],Products[Packaging Cost])*(Crops[[#This Row],[Custom Yield Per Bed]]/_xlfn.XLOOKUP(Crops[[#This Row],[ProductIndex]],Products[ID],Products[Units Per Pack]))</f>
        <v>27.142857142857139</v>
      </c>
      <c r="DH68" s="36"/>
      <c r="DI68" s="36"/>
      <c r="DJ68" s="36"/>
      <c r="DK68" s="36"/>
      <c r="DL68" s="36"/>
      <c r="DM68" s="33">
        <f>IFERROR(Crops[[#This Row],[Custom Yield Per Bed]]*Crops[[#This Row],[Direct Price]],"")</f>
        <v>514.28571428571422</v>
      </c>
      <c r="DN68" s="36">
        <f>Crops[[#This Row],[Direct Time]]*LaborRate</f>
        <v>197.53131200396822</v>
      </c>
      <c r="DO68" s="36">
        <f>SUM(Crops[[#This Row],[Irrigation Cost]])</f>
        <v>0</v>
      </c>
      <c r="DP68" s="36">
        <f>Crops[[#This Row],[Direct Labor Cost]]+Crops[[#This Row],[Direct Non-Labor Cost]]</f>
        <v>197.53131200396822</v>
      </c>
      <c r="DQ68" s="36">
        <f>Crops[[#This Row],[Direct Revenue Per Bed2]]-Crops[[#This Row],[Direct Total Cost]]</f>
        <v>316.75440228174602</v>
      </c>
      <c r="DR68" s="36">
        <f>Crops[[#This Row],[Direct Profit]]*BedsPerAcre</f>
        <v>50680.704365079364</v>
      </c>
      <c r="DS68" s="36">
        <f>Crops[[#This Row],[Direct Profit]]*BedsPerAcre*GrowingDays/Crops[[#This Row],[Days In Field]]</f>
        <v>86061.573450134762</v>
      </c>
      <c r="DT68" s="36">
        <f>Crops[[#This Row],[Direct Profit]]/MIN(Crops[[#This Row],[Days In Field]],GrowingDays)</f>
        <v>2.9882490781296793</v>
      </c>
      <c r="DU68" s="33">
        <f>Crops[[#This Row],[Direct Time]] * BedsPerAcre</f>
        <v>1264.2003968253966</v>
      </c>
      <c r="DV68" s="36">
        <f>(Crops[[#This Row],[Direct Revenue Per Bed2]]-Crops[[#This Row],[Direct Non-Labor Cost]])/Crops[[#This Row],[Direct Time]]</f>
        <v>65.089138155901921</v>
      </c>
      <c r="DW68" s="33">
        <f>IFERROR(Crops[[#This Row],[Custom Yield Per Bed]]*Crops[[#This Row],[Rough Wholesale Price]],"")</f>
        <v>289.71428571428572</v>
      </c>
      <c r="DX68" s="36">
        <f>Crops[[#This Row],[Wholesale Time]]*LaborRate</f>
        <v>187.88845486111109</v>
      </c>
      <c r="DY68" s="36">
        <f>SUM(Crops[[#This Row],[Packaging Costs]:[Irrigation Cost]])</f>
        <v>27.142857142857139</v>
      </c>
      <c r="DZ68" s="36">
        <f>Crops[[#This Row],[Wholesale Labor Cost]]+Crops[[#This Row],[Wholesale Non-Labor Cost]]</f>
        <v>215.03131200396822</v>
      </c>
      <c r="EA68" s="36">
        <f>Crops[[#This Row],[Wholesale Revenue Per Bed]]-Crops[[#This Row],[Wholesale Total Cost]]</f>
        <v>74.682973710317498</v>
      </c>
      <c r="EB68" s="36">
        <f>Crops[[#This Row],[Wholesale Profit]]*BedsPerAcre</f>
        <v>11949.275793650799</v>
      </c>
      <c r="EC68" s="36">
        <f>Crops[[#This Row],[Wholesale Profit]]*BedsPerAcre*GrowingDays/Crops[[#This Row],[Days In Field]]</f>
        <v>20291.223045822109</v>
      </c>
      <c r="ED68" s="33">
        <f>Crops[[#This Row],[Wholesale Time]] * BedsPerAcre</f>
        <v>1202.4861111111111</v>
      </c>
      <c r="EE68" s="221">
        <f>Crops[[#This Row],[Wholesale Profit]]/MIN(Crops[[#This Row],[Days In Field]],GrowingDays)</f>
        <v>0.70455635575771225</v>
      </c>
      <c r="EF68" s="36">
        <f>(Crops[[#This Row],[Wholesale Revenue Per Bed]]-Crops[[#This Row],[Wholesale Non-Labor Cost]])/Crops[[#This Row],[Direct Time]]</f>
        <v>33.231621091818816</v>
      </c>
      <c r="EG68" s="174">
        <f>Crops[[#This Row],[Packaging Costs]]/Crops[[#This Row],[Wholesale Revenue Per Bed]]</f>
        <v>9.3688362919132129E-2</v>
      </c>
      <c r="EH68" s="36" t="str">
        <f>Crops[[#This Row],[Crop]]&amp;Crops[[#This Row],[Product]]&amp;Crops[[#This Row],[Unit]]</f>
        <v>CauliflowerMature HeadHead</v>
      </c>
      <c r="EI68" s="36" t="b">
        <f>_xlfn.XLOOKUP(Crops[[#This Row],[ProductIndex]],Products[ID],Products[Target])</f>
        <v>1</v>
      </c>
      <c r="EJ68" s="33">
        <f>Crops[[#This Row],[Custom Yield Per Bed]]</f>
        <v>57.142857142857139</v>
      </c>
      <c r="EK68" s="210">
        <f>Crops[[#This Row],[Units Per Harvest]]/Crops[[#This Row],[Days Between Harvest]]*7</f>
        <v>14.285714285714286</v>
      </c>
      <c r="EL68" s="210">
        <f>Crops[[#This Row],[Custom Yield Per Bed]]/_xlfn.XLOOKUP(Crops[[#This Row],[ProductIndex]],Products[ID],Products[CSA Portion])</f>
        <v>57.142857142857139</v>
      </c>
      <c r="EM68" s="210">
        <f>Crops[[#This Row],[Units Per Harvest]]/Crops[[#This Row],[Days Between Harvest]]*7/_xlfn.XLOOKUP(Crops[[#This Row],[ProductIndex]],Products[ID],Products[CSA Portion])</f>
        <v>14.285714285714286</v>
      </c>
      <c r="EN68" s="210">
        <f>Crops[[#This Row],[CSA Portions Per Week]]/CSAMembers</f>
        <v>0.28571428571428575</v>
      </c>
      <c r="EO68" s="216">
        <v>1</v>
      </c>
      <c r="EP68" s="216">
        <v>1</v>
      </c>
      <c r="EQ68" s="210" t="s">
        <v>2684</v>
      </c>
      <c r="ER68" s="210">
        <f>Crops[[#This Row],[Harvests]]*Crops[[#This Row],[Days Between Harvest]]/7</f>
        <v>4</v>
      </c>
      <c r="ES68" s="217">
        <f>_xlfn.XLOOKUP(Crops[[#This Row],[ProductIndex]],Products[ID],Products[CSA Need])</f>
        <v>1</v>
      </c>
      <c r="ET68" s="217">
        <f>_xlfn.XLOOKUP(Crops[[#This Row],[ProductIndex]],Products[ID],Products[CSA Times])</f>
        <v>1</v>
      </c>
      <c r="EU68" s="208">
        <f>Crops[[#This Row],[Custom Yield Per Bed]]/(Crops[[#This Row],[CSA Need]]*(_xlfn.XLOOKUP(Crops[[#This Row],[ProductIndex]],Products[ID],Products[CSA Portion])*CSAMembers))</f>
        <v>1.1428571428571428</v>
      </c>
      <c r="EV68" s="208">
        <f>_xlfn.XLOOKUP(Crops[[#This Row],[ProductIndex]],Products[ID],Products[CSA Portion])*CSAMembers*Crops[[#This Row],[CSA Need]]/Crops[[#This Row],[Custom Yield Per Bed]]</f>
        <v>0.87500000000000011</v>
      </c>
      <c r="EW68" s="208">
        <f>IFERROR(Crops[[#This Row],[Days In Field]]*Crops[[#This Row],[CSA Beds]],"")</f>
        <v>92.750000000000014</v>
      </c>
      <c r="EX68" s="208" t="e">
        <f>Crops[[#This Row],[CSA Bed Days]]*#REF!</f>
        <v>#REF!</v>
      </c>
      <c r="EY68" t="s">
        <v>365</v>
      </c>
    </row>
    <row r="69" spans="1:155">
      <c r="A6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 Mature Head 1X | Field TP Ow</v>
      </c>
      <c r="B69" s="191"/>
      <c r="C69" s="1" t="b">
        <v>1</v>
      </c>
      <c r="D69" s="1"/>
      <c r="E69" s="1" t="b">
        <v>0</v>
      </c>
      <c r="F69" s="1" t="b">
        <f>IFERROR(IF(ISNUMBER(MATCH(Crops[[#This Row],[Identifier]],BedPlan[Crop], 0)), TRUE, FALSE), FALSE)</f>
        <v>0</v>
      </c>
      <c r="G69" s="1" t="b">
        <f>IFERROR(IF(ISNUMBER(MATCH(Crops[[#This Row],[Identifier]],BedPlan[Crop], 0)), TRUE, FALSE), FALSE)</f>
        <v>0</v>
      </c>
      <c r="H69" s="1"/>
      <c r="I69" t="s">
        <v>54</v>
      </c>
      <c r="J69" t="s">
        <v>145</v>
      </c>
      <c r="K69" t="s">
        <v>186</v>
      </c>
      <c r="M69" t="s">
        <v>445</v>
      </c>
      <c r="N69" t="str">
        <f>Crops[[#This Row],[Crop]]</f>
        <v>Cauliflower</v>
      </c>
      <c r="O69" t="s">
        <v>210</v>
      </c>
      <c r="P69" t="str">
        <f>IF(OR(Crops[[#This Row],[Days in Cells]]="",Crops[[#This Row],[Days in Cells]]=0), "DS","TP")</f>
        <v>TP</v>
      </c>
      <c r="U69" t="b">
        <v>1</v>
      </c>
      <c r="V69" t="str">
        <f xml:space="preserve"> IF(Crops[[#This Row],[Sp]], "Sp", "") &amp; IF(Crops[[#This Row],[Su]], "Su", "") &amp; IF(Crops[[#This Row],[Fa]], "Fa", "") &amp; IF(Crops[[#This Row],[Wi]], "Wi", "") &amp; IF(Crops[[#This Row],[OW]], "Ow","")</f>
        <v>Ow</v>
      </c>
      <c r="W69" t="s">
        <v>144</v>
      </c>
      <c r="X69">
        <v>2</v>
      </c>
      <c r="Y69">
        <v>21</v>
      </c>
      <c r="AB69" t="b">
        <v>1</v>
      </c>
      <c r="AC69">
        <v>2.5</v>
      </c>
      <c r="AD69" s="32">
        <f>IFERROR(12/Crops[[#This Row],[Spacing]]*Crops[[#This Row],[Rows]]*BedLength,"")</f>
        <v>57.142857142857139</v>
      </c>
      <c r="AE69">
        <v>1</v>
      </c>
      <c r="AG69">
        <v>1</v>
      </c>
      <c r="AH69">
        <v>1.5</v>
      </c>
      <c r="AI69" s="33">
        <f>IFERROR(Crops[[#This Row],[Plantings Per Bed]]*Crops[[#This Row],[Seeds Per Planting]]*Crops[[#This Row],[Safety Factor]]*Crops[[#This Row],[Seeding Factor]],"")</f>
        <v>85.714285714285708</v>
      </c>
      <c r="AL69">
        <f>_xlfn.FLOOR.MATH(IFERROR(AVERAGE(Crops[[#This Row],[DTG Lower]:[DTG Upper]]),0))</f>
        <v>0</v>
      </c>
      <c r="AM69">
        <f>SUM(Crops[[#This Row],[Tray 1 Days]],Crops[[#This Row],[Tray 2 Days]],Crops[[#This Row],[Tray 3 Days]])</f>
        <v>35</v>
      </c>
      <c r="AN69" s="32">
        <v>35</v>
      </c>
      <c r="AP69">
        <f>8*30</f>
        <v>240</v>
      </c>
      <c r="AQ69">
        <f>IFERROR(_xlfn.FLOOR.MATH(AVERAGE(Crops[[#This Row],[DTM Lower]:[DTM Upper]])),"")</f>
        <v>240</v>
      </c>
      <c r="AR69" cm="1">
        <f t="array" ref="AR69">_xlfn.SWITCH(Crops[[#This Row],[Normal Method]],"DS",Crops[[#This Row],[Days to Germination]]+Crops[[#This Row],[DTM]] + IF(Crops[[#This Row],[Days in Cells]]&gt;0,15,0), "TP",Crops[[#This Row],[DTM]]+Crops[[#This Row],[Days in Cells]] + IF(Crops[[#This Row],[Days in Cells]]&lt;=0,20,0), "X", Crops[[#This Row],[DTM]])</f>
        <v>240</v>
      </c>
      <c r="AS69" t="s">
        <v>347</v>
      </c>
      <c r="AT69">
        <f>(Crops[[#This Row],[Harvests]]-1)*Crops[[#This Row],[Days Between Harvest]]+7</f>
        <v>21</v>
      </c>
      <c r="AU69">
        <f>Crops[[#This Row],[STH]]-Crops[[#This Row],[Days in Cells]]+Crops[[#This Row],[Harvest window]]</f>
        <v>226</v>
      </c>
      <c r="AX69">
        <v>400</v>
      </c>
      <c r="AY69">
        <v>7</v>
      </c>
      <c r="AZ69" s="49">
        <f>IFERROR(IF(Crops[[#This Row],[Tray 1 Days]]=0,"",Crops[[#This Row],[Plantings Per Bed]]/Crops[[#This Row],[Tray 1 Size]]*Crops[[#This Row],[Safety Factor]]),"")</f>
        <v>0.14285714285714285</v>
      </c>
      <c r="BA69">
        <v>128</v>
      </c>
      <c r="BB69">
        <v>28</v>
      </c>
      <c r="BC69">
        <f>IFERROR(IF(Crops[[#This Row],[Tray 2 Days]]=0,"",Crops[[#This Row],[Plantings Per Bed]]/Crops[[#This Row],[Tray 2 Size]]*Crops[[#This Row],[Safety Factor]]),"")</f>
        <v>0.4464285714285714</v>
      </c>
      <c r="BE69" s="32" t="str">
        <f>IF(NOT(ISBLANK(Crops[[#This Row],[Tray 3 Size]])), Crops[[#This Row],[Days in Cells Old]]-SUM(Crops[[#This Row],[Tray 1 Days]],Crops[[#This Row],[Tray 2 Days]]), "")</f>
        <v/>
      </c>
      <c r="BF69" t="str">
        <f>IFERROR(IF(Crops[[#This Row],[Tray 3 Days]]=0,"",Crops[[#This Row],[Plantings Per Bed]]/Crops[[#This Row],[Tray 3 Size]]*Crops[[#This Row],[Safety Factor]]),"")</f>
        <v/>
      </c>
      <c r="BG69" s="33">
        <f>Crops[[#This Row],[Plantings Per Bed]]/Crops[[#This Row],[Harvests]]</f>
        <v>28.571428571428569</v>
      </c>
      <c r="BH69" s="33">
        <v>2</v>
      </c>
      <c r="BI69" s="33">
        <v>14</v>
      </c>
      <c r="BJ69" s="33">
        <f>_xlfn.XLOOKUP(Crops[[#This Row],[ProductIndex]],Products[ID],Products[Holding Period])</f>
        <v>7</v>
      </c>
      <c r="BK69" s="33"/>
      <c r="BL69" s="33">
        <f>Crops[[#This Row],[Units Per Harvest]]*Crops[[#This Row],[Harvests]]</f>
        <v>57.142857142857139</v>
      </c>
      <c r="BM69" s="35">
        <f>3*3</f>
        <v>9</v>
      </c>
      <c r="BN69" s="35">
        <f>3*1.69</f>
        <v>5.07</v>
      </c>
      <c r="BO69" s="35"/>
      <c r="BP69" t="s">
        <v>214</v>
      </c>
      <c r="BQ69">
        <f>Crops[[#This Row],[Custom Yield Per Bed]]*Crops[[#This Row],[Direct Price]]</f>
        <v>514.28571428571422</v>
      </c>
      <c r="BR69" t="b">
        <v>1</v>
      </c>
      <c r="BS69" t="b">
        <f>Crops[[#This Row],[Harvests]]&gt;1</f>
        <v>1</v>
      </c>
      <c r="BT69" s="36">
        <f>IFERROR(Crops[[#This Row],[Direct Revenue Per Bed]]/Crops[[#This Row],[Days In Field]],-1)</f>
        <v>2.2756005056890012</v>
      </c>
      <c r="BU69" s="36">
        <f>IFERROR(Crops[[#This Row],[Direct Revenue Per Bed Day]]*GrowingDays*BedsPerAcre,"")</f>
        <v>65537.294563843228</v>
      </c>
      <c r="BV69" s="38">
        <f>LastFrostDate-5*Crops[[#This Row],[Sewing Rel Last Frost]]</f>
        <v>45828</v>
      </c>
      <c r="BW69" s="38">
        <f>Crops[[#This Row],[Target Sewing Date]]+Crops[[#This Row],[Days in Cells]]</f>
        <v>45863</v>
      </c>
      <c r="BX69" s="38">
        <f>Crops[[#This Row],[Target Sewing Date]]+Crops[[#This Row],[STH]]</f>
        <v>46068</v>
      </c>
      <c r="BY69" s="38">
        <f>Crops[[#This Row],[Target Harvest Data]]+Crops[[#This Row],[Harvest window]]</f>
        <v>46089</v>
      </c>
      <c r="BZ69">
        <v>-16</v>
      </c>
      <c r="CA69" t="s">
        <v>373</v>
      </c>
      <c r="CB69">
        <f>1</f>
        <v>1</v>
      </c>
      <c r="CC69">
        <f>IF(Crops[[#This Row],[Transplanting]]&gt;0, 2, 3)*BedLength/StandardBedLength</f>
        <v>1</v>
      </c>
      <c r="CD69" s="173">
        <f>IF(Crops[[#This Row],[Days in Cells]]&lt;=0,0,Crops[[#This Row],[Plantings Per Bed]]/StartsPerHourSeeding+Crops[[#This Row],[Tray 1 Count]]*5/60)</f>
        <v>0.23511904761904759</v>
      </c>
      <c r="CE69" s="173">
        <f>IF(ISBLANK(Crops[[#This Row],[Tray 2 Days]]),0,Crops[[#This Row],[Plantings Per Bed]]/UpPottingPerHour)+IF(Crops[[#This Row],[Tray 3 Days]]="",0,Crops[[#This Row],[Plantings Per Bed]]/UpPottingPerHour)</f>
        <v>0.47619047619047616</v>
      </c>
      <c r="CF69" s="173">
        <f>IFERROR(Crops[[#This Row],[Tray 1 Count]]/HomeStartFlatIrrigationPerHour,0)*Crops[[#This Row],[Days in Cells]]/DaysBetweenStartIrrigation</f>
        <v>2.0833333333333332E-2</v>
      </c>
      <c r="CG69" s="173">
        <f>0.5/16*MAX(Crops[[#This Row],[Tray 1 Count]],Crops[[#This Row],[Tray 2 Count]],Crops[[#This Row],[Tray 3 Count]])</f>
        <v>1.3950892857142856E-2</v>
      </c>
      <c r="CH69" s="173">
        <f>IF(Crops[[#This Row],[Days in Cells]]&gt;0,IF(IF(Crops[[#This Row],[Tray 3 Size]]&gt;0,Crops[[#This Row],[Tray 3 Size]],IF(Crops[[#This Row],[Tray 2 Size]]&gt;0,Crops[[#This Row],[Tray 2 Size]],Crops[[#This Row],[Tray 1 Size]]))&lt;=18,LargeTransplantTime,SmallTransplantTime)*Crops[[#This Row],[Plantings Per Bed]],0)</f>
        <v>0.2857142857142857</v>
      </c>
      <c r="CI69" s="173"/>
      <c r="CJ69" s="173">
        <f>_xlfn.XLOOKUP(Crops[[#This Row],[Trellis Type]],TrellisMethods[Trellis Type],TrellisMethods[Hours],0,0)</f>
        <v>0</v>
      </c>
      <c r="CK69">
        <f>IF(Crops[[#This Row],[Days in Cells]]&lt;=0,Crops[[#This Row],[Rows]]*1/10,0)*BedLength/50</f>
        <v>0</v>
      </c>
      <c r="CL69" cm="1">
        <f t="array" ref="CL69">_xlfn.SWITCH(Crops[[#This Row],[Irrigation]],"DR", 0.5, "OH", 0.25,0)*BedLength/50</f>
        <v>0</v>
      </c>
      <c r="CM69">
        <f>IF(OR(ISBLANK(Crops[[#This Row],[Row Cover]]),Crops[[#This Row],[Row Cover]]="None"),0,1)*BedLength/50</f>
        <v>0</v>
      </c>
      <c r="CN69" s="173">
        <f>HoursPerWeedingPass*Crops[[#This Row],[Days In Field]]/14*Crops[[#This Row],[Rows]]+1*BedLength/50</f>
        <v>6.3809523809523805</v>
      </c>
      <c r="CO69" s="49"/>
      <c r="CQ69" s="37">
        <f>_xlfn.XLOOKUP(Crops[[#This Row],[Crop]]&amp;Crops[[#This Row],[Product]]&amp;Crops[[#This Row],[Unit]],Products[ID],Products[Marketing (hr)])*Crops[[#This Row],[Direct Revenue Per Bed]]/2000</f>
        <v>0.51428571428571423</v>
      </c>
      <c r="CR69" s="37">
        <f>_xlfn.XLOOKUP(Crops[[#This Row],[Crop]]&amp;Crops[[#This Row],[Product]]&amp;Crops[[#This Row],[Unit]],Products[ID],Products[Harvest (s)])*Crops[[#This Row],[Custom Yield Per Bed]]/3600</f>
        <v>0.15873015873015869</v>
      </c>
      <c r="CS69" s="37">
        <f>_xlfn.XLOOKUP(Crops[[#This Row],[Crop]]&amp;Crops[[#This Row],[Product]]&amp;Crops[[#This Row],[Unit]],Products[ID],Products[Bunch (s)])*Crops[[#This Row],[Custom Yield Per Bed]]/3600</f>
        <v>0</v>
      </c>
      <c r="CT69" s="37">
        <f>_xlfn.XLOOKUP(Crops[[#This Row],[Crop]]&amp;Crops[[#This Row],[Product]]&amp;Crops[[#This Row],[Unit]],Products[ID],Products[Haul (s)])*Crops[[#This Row],[Custom Yield Per Bed]]/3600</f>
        <v>0.17857142857142855</v>
      </c>
      <c r="CU69" s="37">
        <f>_xlfn.XLOOKUP(Crops[[#This Row],[Crop]]&amp;Crops[[#This Row],[Product]]&amp;Crops[[#This Row],[Unit]],Products[ID],Products[Wash (s)])*Crops[[#This Row],[Custom Yield Per Bed]]/3600</f>
        <v>0</v>
      </c>
      <c r="CV69" s="37">
        <f>_xlfn.XLOOKUP(Crops[[#This Row],[Crop]]&amp;Crops[[#This Row],[Product]]&amp;Crops[[#This Row],[Unit]],Products[ID],Products[Condition (s)])*Crops[[#This Row],[Custom Yield Per Bed]]/3600</f>
        <v>0</v>
      </c>
      <c r="CW69" s="37">
        <f>_xlfn.XLOOKUP(Crops[[#This Row],[Crop]]&amp;Crops[[#This Row],[Product]]&amp;Crops[[#This Row],[Unit]],Products[ID],Products[Trim (s)])*Crops[[#This Row],[Custom Yield Per Bed]]/3600</f>
        <v>0</v>
      </c>
      <c r="CX69" s="37">
        <f>_xlfn.XLOOKUP(Crops[[#This Row],[Crop]]&amp;Crops[[#This Row],[Product]]&amp;Crops[[#This Row],[Unit]],Products[ID],Products[Pack (s)])*Crops[[#This Row],[Custom Yield Per Bed]]/3600</f>
        <v>4.7619047619047616E-2</v>
      </c>
      <c r="CY69" s="37">
        <f>_xlfn.XLOOKUP(Crops[[#This Row],[Crop]]&amp;Crops[[#This Row],[Product]]&amp;Crops[[#This Row],[Unit]],Products[ID],Products[Clean (s)])*Crops[[#This Row],[Custom Yield Per Bed]]/3600</f>
        <v>0</v>
      </c>
      <c r="CZ69" s="37">
        <f>_xlfn.XLOOKUP(Crops[[#This Row],[Crop]]&amp;Crops[[#This Row],[Product]]&amp;Crops[[#This Row],[Unit]],Products[ID],Products[Rehandle (s)])*Crops[[#This Row],[Custom Yield Per Bed]]/3600</f>
        <v>0</v>
      </c>
      <c r="DA69" s="37">
        <f>_xlfn.XLOOKUP(Crops[[#This Row],[Crop]]&amp;Crops[[#This Row],[Product]]&amp;Crops[[#This Row],[Unit]],Products[ID],Products[Market Transport (s)])*Crops[[#This Row],[Custom Yield Per Bed]]/3600</f>
        <v>0.4464285714285714</v>
      </c>
      <c r="DC69" s="37">
        <f>Crops[[#This Row],[Direct Revenue Per Bed2]]</f>
        <v>514.28571428571422</v>
      </c>
      <c r="DD69" s="173">
        <f>_xlfn.AGGREGATE(9,6,Crops[[#This Row],[Bed Prep]:[Remove Crop Residue]])</f>
        <v>9.7583953373015859</v>
      </c>
      <c r="DE69" s="173">
        <f>_xlfn.AGGREGATE(9,6,Crops[[#This Row],[Bed Prep]:[Remove Crop Residue]])-0.75*Crops[[#This Row],[Market &amp; Sell]]</f>
        <v>9.3726810515872998</v>
      </c>
      <c r="DF69" s="36">
        <f>Crops[[#This Row],[Direct Revenue Per Bed2]]/Crops[[#This Row],[Direct Time]]</f>
        <v>52.701873259822825</v>
      </c>
      <c r="DG69" s="36">
        <f>_xlfn.XLOOKUP(Crops[[#This Row],[ProductIndex]],Products[ID],Products[Packaging Cost])*(Crops[[#This Row],[Custom Yield Per Bed]]/_xlfn.XLOOKUP(Crops[[#This Row],[ProductIndex]],Products[ID],Products[Units Per Pack]))</f>
        <v>27.142857142857139</v>
      </c>
      <c r="DH69" s="36"/>
      <c r="DI69" s="36"/>
      <c r="DJ69" s="36"/>
      <c r="DK69" s="36"/>
      <c r="DL69" s="36"/>
      <c r="DM69" s="33">
        <f>IFERROR(Crops[[#This Row],[Custom Yield Per Bed]]*Crops[[#This Row],[Direct Price]],"")</f>
        <v>514.28571428571422</v>
      </c>
      <c r="DN69" s="36">
        <f>Crops[[#This Row],[Direct Time]]*LaborRate</f>
        <v>243.95988343253964</v>
      </c>
      <c r="DO69" s="36">
        <f>SUM(Crops[[#This Row],[Irrigation Cost]])</f>
        <v>0</v>
      </c>
      <c r="DP69" s="36">
        <f>Crops[[#This Row],[Direct Labor Cost]]+Crops[[#This Row],[Direct Non-Labor Cost]]</f>
        <v>243.95988343253964</v>
      </c>
      <c r="DQ69" s="36">
        <f>Crops[[#This Row],[Direct Revenue Per Bed2]]-Crops[[#This Row],[Direct Total Cost]]</f>
        <v>270.32583085317458</v>
      </c>
      <c r="DR69" s="36">
        <f>Crops[[#This Row],[Direct Profit]]*BedsPerAcre</f>
        <v>43252.132936507929</v>
      </c>
      <c r="DS69" s="36">
        <f>Crops[[#This Row],[Direct Profit]]*BedsPerAcre*GrowingDays/Crops[[#This Row],[Days In Field]]</f>
        <v>34448.601453855874</v>
      </c>
      <c r="DT69" s="36">
        <f>Crops[[#This Row],[Direct Profit]]/MIN(Crops[[#This Row],[Days In Field]],GrowingDays)</f>
        <v>1.5018101714065255</v>
      </c>
      <c r="DU69" s="33">
        <f>Crops[[#This Row],[Direct Time]] * BedsPerAcre</f>
        <v>1561.3432539682537</v>
      </c>
      <c r="DV69" s="36">
        <f>(Crops[[#This Row],[Direct Revenue Per Bed2]]-Crops[[#This Row],[Direct Non-Labor Cost]])/Crops[[#This Row],[Direct Time]]</f>
        <v>52.701873259822825</v>
      </c>
      <c r="DW69" s="33">
        <f>IFERROR(Crops[[#This Row],[Custom Yield Per Bed]]*Crops[[#This Row],[Rough Wholesale Price]],"")</f>
        <v>289.71428571428572</v>
      </c>
      <c r="DX69" s="36">
        <f>Crops[[#This Row],[Wholesale Time]]*LaborRate</f>
        <v>234.3170262896825</v>
      </c>
      <c r="DY69" s="36">
        <f>SUM(Crops[[#This Row],[Packaging Costs]:[Irrigation Cost]])</f>
        <v>27.142857142857139</v>
      </c>
      <c r="DZ69" s="36">
        <f>Crops[[#This Row],[Wholesale Labor Cost]]+Crops[[#This Row],[Wholesale Non-Labor Cost]]</f>
        <v>261.45988343253964</v>
      </c>
      <c r="EA69" s="36">
        <f>Crops[[#This Row],[Wholesale Revenue Per Bed]]-Crops[[#This Row],[Wholesale Total Cost]]</f>
        <v>28.254402281746081</v>
      </c>
      <c r="EB69" s="36">
        <f>Crops[[#This Row],[Wholesale Profit]]*BedsPerAcre</f>
        <v>4520.704365079373</v>
      </c>
      <c r="EC69" s="36">
        <f>Crops[[#This Row],[Wholesale Profit]]*BedsPerAcre*GrowingDays/Crops[[#This Row],[Days In Field]]</f>
        <v>3600.5609987357839</v>
      </c>
      <c r="ED69" s="33">
        <f>Crops[[#This Row],[Wholesale Time]] * BedsPerAcre</f>
        <v>1499.628968253968</v>
      </c>
      <c r="EE69" s="221">
        <f>Crops[[#This Row],[Wholesale Profit]]/MIN(Crops[[#This Row],[Days In Field]],GrowingDays)</f>
        <v>0.156968901565256</v>
      </c>
      <c r="EF69" s="36">
        <f>(Crops[[#This Row],[Wholesale Revenue Per Bed]]-Crops[[#This Row],[Wholesale Non-Labor Cost]])/Crops[[#This Row],[Direct Time]]</f>
        <v>26.907234180987324</v>
      </c>
      <c r="EG69" s="174">
        <f>Crops[[#This Row],[Packaging Costs]]/Crops[[#This Row],[Wholesale Revenue Per Bed]]</f>
        <v>9.3688362919132129E-2</v>
      </c>
      <c r="EH69" s="36" t="str">
        <f>Crops[[#This Row],[Crop]]&amp;Crops[[#This Row],[Product]]&amp;Crops[[#This Row],[Unit]]</f>
        <v>CauliflowerMature HeadHead</v>
      </c>
      <c r="EI69" s="36" t="b">
        <f>_xlfn.XLOOKUP(Crops[[#This Row],[ProductIndex]],Products[ID],Products[Target])</f>
        <v>1</v>
      </c>
      <c r="EJ69" s="33">
        <f>Crops[[#This Row],[Custom Yield Per Bed]]</f>
        <v>57.142857142857139</v>
      </c>
      <c r="EK69" s="210">
        <f>Crops[[#This Row],[Units Per Harvest]]/Crops[[#This Row],[Days Between Harvest]]*7</f>
        <v>14.285714285714286</v>
      </c>
      <c r="EL69" s="210">
        <f>Crops[[#This Row],[Custom Yield Per Bed]]/_xlfn.XLOOKUP(Crops[[#This Row],[ProductIndex]],Products[ID],Products[CSA Portion])</f>
        <v>57.142857142857139</v>
      </c>
      <c r="EM69" s="210">
        <f>Crops[[#This Row],[Units Per Harvest]]/Crops[[#This Row],[Days Between Harvest]]*7/_xlfn.XLOOKUP(Crops[[#This Row],[ProductIndex]],Products[ID],Products[CSA Portion])</f>
        <v>14.285714285714286</v>
      </c>
      <c r="EN69" s="210">
        <f>Crops[[#This Row],[CSA Portions Per Week]]/CSAMembers</f>
        <v>0.28571428571428575</v>
      </c>
      <c r="EO69" s="216"/>
      <c r="EP69" s="216"/>
      <c r="EQ69" s="210"/>
      <c r="ER69" s="210">
        <f>Crops[[#This Row],[Harvests]]*Crops[[#This Row],[Days Between Harvest]]/7</f>
        <v>4</v>
      </c>
      <c r="ES69" s="217">
        <f>_xlfn.XLOOKUP(Crops[[#This Row],[ProductIndex]],Products[ID],Products[CSA Need])</f>
        <v>1</v>
      </c>
      <c r="ET69" s="217">
        <f>_xlfn.XLOOKUP(Crops[[#This Row],[ProductIndex]],Products[ID],Products[CSA Times])</f>
        <v>1</v>
      </c>
      <c r="EU69" s="208">
        <f>Crops[[#This Row],[Custom Yield Per Bed]]/(Crops[[#This Row],[CSA Need]]*(_xlfn.XLOOKUP(Crops[[#This Row],[ProductIndex]],Products[ID],Products[CSA Portion])*CSAMembers))</f>
        <v>1.1428571428571428</v>
      </c>
      <c r="EV69" s="208">
        <f>_xlfn.XLOOKUP(Crops[[#This Row],[ProductIndex]],Products[ID],Products[CSA Portion])*CSAMembers*Crops[[#This Row],[CSA Need]]/Crops[[#This Row],[Custom Yield Per Bed]]</f>
        <v>0.87500000000000011</v>
      </c>
      <c r="EW69" s="208">
        <f>IFERROR(Crops[[#This Row],[Days In Field]]*Crops[[#This Row],[CSA Beds]],"")</f>
        <v>197.75000000000003</v>
      </c>
      <c r="EX69" s="208" t="e">
        <f>Crops[[#This Row],[CSA Bed Days]]*#REF!</f>
        <v>#REF!</v>
      </c>
      <c r="EY69" t="s">
        <v>365</v>
      </c>
    </row>
    <row r="70" spans="1:155">
      <c r="A7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 Mature Head 1X | Field TP Su</v>
      </c>
      <c r="B70" s="191"/>
      <c r="C70" s="1"/>
      <c r="D70" s="1"/>
      <c r="E70" s="1" t="b">
        <v>0</v>
      </c>
      <c r="F70" s="1" t="b">
        <f>IFERROR(IF(ISNUMBER(MATCH(Crops[[#This Row],[Identifier]],BedPlan[Crop], 0)), TRUE, FALSE), FALSE)</f>
        <v>0</v>
      </c>
      <c r="G70" s="1" t="b">
        <f>IFERROR(IF(ISNUMBER(MATCH(Crops[[#This Row],[Identifier]],BedPlan[Crop], 0)), TRUE, FALSE), FALSE)</f>
        <v>0</v>
      </c>
      <c r="H70" s="1"/>
      <c r="I70" t="s">
        <v>54</v>
      </c>
      <c r="J70" t="s">
        <v>145</v>
      </c>
      <c r="K70" t="s">
        <v>186</v>
      </c>
      <c r="M70" t="s">
        <v>445</v>
      </c>
      <c r="N70" t="str">
        <f>Crops[[#This Row],[Crop]]</f>
        <v>Cauliflower</v>
      </c>
      <c r="O70" t="s">
        <v>210</v>
      </c>
      <c r="P70" t="str">
        <f>IF(OR(Crops[[#This Row],[Days in Cells]]="",Crops[[#This Row],[Days in Cells]]=0), "DS","TP")</f>
        <v>TP</v>
      </c>
      <c r="R70" t="b">
        <v>1</v>
      </c>
      <c r="V70" t="str">
        <f xml:space="preserve"> IF(Crops[[#This Row],[Sp]], "Sp", "") &amp; IF(Crops[[#This Row],[Su]], "Su", "") &amp; IF(Crops[[#This Row],[Fa]], "Fa", "") &amp; IF(Crops[[#This Row],[Wi]], "Wi", "") &amp; IF(Crops[[#This Row],[OW]], "Ow","")</f>
        <v>Su</v>
      </c>
      <c r="W70" t="s">
        <v>144</v>
      </c>
      <c r="X70">
        <v>2</v>
      </c>
      <c r="Y70">
        <v>21</v>
      </c>
      <c r="AA70" t="s">
        <v>475</v>
      </c>
      <c r="AB70" t="b">
        <v>1</v>
      </c>
      <c r="AC70">
        <v>1.5</v>
      </c>
      <c r="AD70" s="32">
        <f>IFERROR(12/Crops[[#This Row],[Spacing]]*Crops[[#This Row],[Rows]]*BedLength,"")</f>
        <v>57.142857142857139</v>
      </c>
      <c r="AE70">
        <v>1</v>
      </c>
      <c r="AG70">
        <v>1</v>
      </c>
      <c r="AH70">
        <v>1.5</v>
      </c>
      <c r="AI70" s="33">
        <f>IFERROR(Crops[[#This Row],[Plantings Per Bed]]*Crops[[#This Row],[Seeds Per Planting]]*Crops[[#This Row],[Safety Factor]]*Crops[[#This Row],[Seeding Factor]],"")</f>
        <v>85.714285714285708</v>
      </c>
      <c r="AL70">
        <f>_xlfn.FLOOR.MATH(IFERROR(AVERAGE(Crops[[#This Row],[DTG Lower]:[DTG Upper]]),0))</f>
        <v>0</v>
      </c>
      <c r="AM70">
        <f>SUM(Crops[[#This Row],[Tray 1 Days]],Crops[[#This Row],[Tray 2 Days]],Crops[[#This Row],[Tray 3 Days]])</f>
        <v>35</v>
      </c>
      <c r="AN70" s="32">
        <v>35</v>
      </c>
      <c r="AP70">
        <v>72</v>
      </c>
      <c r="AQ70">
        <f>IFERROR(_xlfn.FLOOR.MATH(AVERAGE(Crops[[#This Row],[DTM Lower]:[DTM Upper]])),"")</f>
        <v>72</v>
      </c>
      <c r="AR70" cm="1">
        <f t="array" ref="AR70">_xlfn.SWITCH(Crops[[#This Row],[Normal Method]],"DS",Crops[[#This Row],[Days to Germination]]+Crops[[#This Row],[DTM]] + IF(Crops[[#This Row],[Days in Cells]]&gt;0,15,0), "TP",Crops[[#This Row],[DTM]]+Crops[[#This Row],[Days in Cells]] + IF(Crops[[#This Row],[Days in Cells]]&lt;=0,20,0), "X", Crops[[#This Row],[DTM]])</f>
        <v>107</v>
      </c>
      <c r="AS70" t="s">
        <v>346</v>
      </c>
      <c r="AT70">
        <f>(Crops[[#This Row],[Harvests]]-1)*Crops[[#This Row],[Days Between Harvest]]+7</f>
        <v>21</v>
      </c>
      <c r="AU70">
        <f>Crops[[#This Row],[STH]]-Crops[[#This Row],[Days in Cells]]+Crops[[#This Row],[Harvest window]]</f>
        <v>93</v>
      </c>
      <c r="AX70">
        <v>400</v>
      </c>
      <c r="AY70">
        <v>7</v>
      </c>
      <c r="AZ70" s="49">
        <f>IFERROR(IF(Crops[[#This Row],[Tray 1 Days]]=0,"",Crops[[#This Row],[Plantings Per Bed]]/Crops[[#This Row],[Tray 1 Size]]*Crops[[#This Row],[Safety Factor]]),"")</f>
        <v>0.14285714285714285</v>
      </c>
      <c r="BA70">
        <v>128</v>
      </c>
      <c r="BB70">
        <v>28</v>
      </c>
      <c r="BC70">
        <f>IFERROR(IF(Crops[[#This Row],[Tray 2 Days]]=0,"",Crops[[#This Row],[Plantings Per Bed]]/Crops[[#This Row],[Tray 2 Size]]*Crops[[#This Row],[Safety Factor]]),"")</f>
        <v>0.4464285714285714</v>
      </c>
      <c r="BE70" s="32" t="str">
        <f>IF(NOT(ISBLANK(Crops[[#This Row],[Tray 3 Size]])), Crops[[#This Row],[Days in Cells Old]]-SUM(Crops[[#This Row],[Tray 1 Days]],Crops[[#This Row],[Tray 2 Days]]), "")</f>
        <v/>
      </c>
      <c r="BF70" s="49" t="str">
        <f>IFERROR(IF(Crops[[#This Row],[Tray 3 Days]]=0,"",Crops[[#This Row],[Plantings Per Bed]]/Crops[[#This Row],[Tray 3 Size]]*Crops[[#This Row],[Safety Factor]]),"")</f>
        <v/>
      </c>
      <c r="BG70" s="33">
        <f>Crops[[#This Row],[Plantings Per Bed]]/Crops[[#This Row],[Harvests]]</f>
        <v>28.571428571428569</v>
      </c>
      <c r="BH70" s="33">
        <v>2</v>
      </c>
      <c r="BI70" s="33">
        <v>14</v>
      </c>
      <c r="BJ70" s="33">
        <f>_xlfn.XLOOKUP(Crops[[#This Row],[ProductIndex]],Products[ID],Products[Holding Period])</f>
        <v>7</v>
      </c>
      <c r="BK70" s="33"/>
      <c r="BL70" s="33">
        <f>Crops[[#This Row],[Units Per Harvest]]*Crops[[#This Row],[Harvests]]</f>
        <v>57.142857142857139</v>
      </c>
      <c r="BM70" s="35">
        <f>3*3</f>
        <v>9</v>
      </c>
      <c r="BN70" s="35">
        <f>3*1.69</f>
        <v>5.07</v>
      </c>
      <c r="BO70" s="35"/>
      <c r="BP70" t="s">
        <v>214</v>
      </c>
      <c r="BQ70">
        <f>Crops[[#This Row],[Custom Yield Per Bed]]*Crops[[#This Row],[Direct Price]]</f>
        <v>514.28571428571422</v>
      </c>
      <c r="BR70" t="b">
        <v>1</v>
      </c>
      <c r="BS70" t="b">
        <f>Crops[[#This Row],[Harvests]]&gt;1</f>
        <v>1</v>
      </c>
      <c r="BT70" s="36">
        <f>IFERROR(Crops[[#This Row],[Direct Revenue Per Bed]]/Crops[[#This Row],[Days In Field]],-1)</f>
        <v>5.5299539170506904</v>
      </c>
      <c r="BU70" s="36">
        <f>IFERROR(Crops[[#This Row],[Direct Revenue Per Bed Day]]*GrowingDays*BedsPerAcre,"")</f>
        <v>159262.67281105989</v>
      </c>
      <c r="BV70" s="38">
        <f>LastFrostDate-5*Crops[[#This Row],[Sewing Rel Last Frost]]</f>
        <v>45728</v>
      </c>
      <c r="BW70" s="38">
        <f>Crops[[#This Row],[Target Sewing Date]]+Crops[[#This Row],[Days in Cells]]</f>
        <v>45763</v>
      </c>
      <c r="BX70" s="38">
        <f>Crops[[#This Row],[Target Sewing Date]]+Crops[[#This Row],[STH]]</f>
        <v>45835</v>
      </c>
      <c r="BY70" s="38">
        <f>Crops[[#This Row],[Target Harvest Data]]+Crops[[#This Row],[Harvest window]]</f>
        <v>45856</v>
      </c>
      <c r="BZ70">
        <v>4</v>
      </c>
      <c r="CA70" t="s">
        <v>373</v>
      </c>
      <c r="CB70">
        <f>1</f>
        <v>1</v>
      </c>
      <c r="CC70">
        <f>IF(Crops[[#This Row],[Transplanting]]&gt;0, 2, 3)*BedLength/StandardBedLength</f>
        <v>1</v>
      </c>
      <c r="CD70" s="173">
        <f>IF(Crops[[#This Row],[Days in Cells]]&lt;=0,0,Crops[[#This Row],[Plantings Per Bed]]/StartsPerHourSeeding+Crops[[#This Row],[Tray 1 Count]]*5/60)</f>
        <v>0.23511904761904759</v>
      </c>
      <c r="CE70" s="173">
        <f>IF(ISBLANK(Crops[[#This Row],[Tray 2 Days]]),0,Crops[[#This Row],[Plantings Per Bed]]/UpPottingPerHour)+IF(Crops[[#This Row],[Tray 3 Days]]="",0,Crops[[#This Row],[Plantings Per Bed]]/UpPottingPerHour)</f>
        <v>0.47619047619047616</v>
      </c>
      <c r="CF70" s="173">
        <f>IFERROR(Crops[[#This Row],[Tray 1 Count]]/HomeStartFlatIrrigationPerHour,0)*Crops[[#This Row],[Days in Cells]]/DaysBetweenStartIrrigation</f>
        <v>2.0833333333333332E-2</v>
      </c>
      <c r="CG70" s="173">
        <f>0.5/16*MAX(Crops[[#This Row],[Tray 1 Count]],Crops[[#This Row],[Tray 2 Count]],Crops[[#This Row],[Tray 3 Count]])</f>
        <v>1.3950892857142856E-2</v>
      </c>
      <c r="CH70" s="173">
        <f>IF(Crops[[#This Row],[Days in Cells]]&gt;0,IF(IF(Crops[[#This Row],[Tray 3 Size]]&gt;0,Crops[[#This Row],[Tray 3 Size]],IF(Crops[[#This Row],[Tray 2 Size]]&gt;0,Crops[[#This Row],[Tray 2 Size]],Crops[[#This Row],[Tray 1 Size]]))&lt;=18,LargeTransplantTime,SmallTransplantTime)*Crops[[#This Row],[Plantings Per Bed]],0)</f>
        <v>0.2857142857142857</v>
      </c>
      <c r="CI70" s="173"/>
      <c r="CJ70" s="173">
        <f>_xlfn.XLOOKUP(Crops[[#This Row],[Trellis Type]],TrellisMethods[Trellis Type],TrellisMethods[Hours],0,0)</f>
        <v>0</v>
      </c>
      <c r="CK70">
        <f>IF(Crops[[#This Row],[Days in Cells]]&lt;=0,Crops[[#This Row],[Rows]]*1/10,0)*BedLength/50</f>
        <v>0</v>
      </c>
      <c r="CL70" cm="1">
        <f t="array" ref="CL70">_xlfn.SWITCH(Crops[[#This Row],[Irrigation]],"DR", 0.5, "OH", 0.25,0)*BedLength/50</f>
        <v>0</v>
      </c>
      <c r="CM70">
        <f>IF(OR(ISBLANK(Crops[[#This Row],[Row Cover]]),Crops[[#This Row],[Row Cover]]="None"),0,1)*BedLength/50</f>
        <v>1</v>
      </c>
      <c r="CN70" s="173">
        <f>HoursPerWeedingPass*Crops[[#This Row],[Days In Field]]/14*Crops[[#This Row],[Rows]]+1*BedLength/50</f>
        <v>3.2142857142857144</v>
      </c>
      <c r="CO70" s="49"/>
      <c r="CQ70" s="37">
        <f>_xlfn.XLOOKUP(Crops[[#This Row],[Crop]]&amp;Crops[[#This Row],[Product]]&amp;Crops[[#This Row],[Unit]],Products[ID],Products[Marketing (hr)])*Crops[[#This Row],[Direct Revenue Per Bed]]/2000</f>
        <v>0.51428571428571423</v>
      </c>
      <c r="CR70" s="37">
        <f>_xlfn.XLOOKUP(Crops[[#This Row],[Crop]]&amp;Crops[[#This Row],[Product]]&amp;Crops[[#This Row],[Unit]],Products[ID],Products[Harvest (s)])*Crops[[#This Row],[Custom Yield Per Bed]]/3600</f>
        <v>0.15873015873015869</v>
      </c>
      <c r="CS70" s="37">
        <f>_xlfn.XLOOKUP(Crops[[#This Row],[Crop]]&amp;Crops[[#This Row],[Product]]&amp;Crops[[#This Row],[Unit]],Products[ID],Products[Bunch (s)])*Crops[[#This Row],[Custom Yield Per Bed]]/3600</f>
        <v>0</v>
      </c>
      <c r="CT70" s="37">
        <f>_xlfn.XLOOKUP(Crops[[#This Row],[Crop]]&amp;Crops[[#This Row],[Product]]&amp;Crops[[#This Row],[Unit]],Products[ID],Products[Haul (s)])*Crops[[#This Row],[Custom Yield Per Bed]]/3600</f>
        <v>0.17857142857142855</v>
      </c>
      <c r="CU70" s="37">
        <f>_xlfn.XLOOKUP(Crops[[#This Row],[Crop]]&amp;Crops[[#This Row],[Product]]&amp;Crops[[#This Row],[Unit]],Products[ID],Products[Wash (s)])*Crops[[#This Row],[Custom Yield Per Bed]]/3600</f>
        <v>0</v>
      </c>
      <c r="CV70" s="37">
        <f>_xlfn.XLOOKUP(Crops[[#This Row],[Crop]]&amp;Crops[[#This Row],[Product]]&amp;Crops[[#This Row],[Unit]],Products[ID],Products[Condition (s)])*Crops[[#This Row],[Custom Yield Per Bed]]/3600</f>
        <v>0</v>
      </c>
      <c r="CW70" s="37">
        <f>_xlfn.XLOOKUP(Crops[[#This Row],[Crop]]&amp;Crops[[#This Row],[Product]]&amp;Crops[[#This Row],[Unit]],Products[ID],Products[Trim (s)])*Crops[[#This Row],[Custom Yield Per Bed]]/3600</f>
        <v>0</v>
      </c>
      <c r="CX70" s="37">
        <f>_xlfn.XLOOKUP(Crops[[#This Row],[Crop]]&amp;Crops[[#This Row],[Product]]&amp;Crops[[#This Row],[Unit]],Products[ID],Products[Pack (s)])*Crops[[#This Row],[Custom Yield Per Bed]]/3600</f>
        <v>4.7619047619047616E-2</v>
      </c>
      <c r="CY70" s="37">
        <f>_xlfn.XLOOKUP(Crops[[#This Row],[Crop]]&amp;Crops[[#This Row],[Product]]&amp;Crops[[#This Row],[Unit]],Products[ID],Products[Clean (s)])*Crops[[#This Row],[Custom Yield Per Bed]]/3600</f>
        <v>0</v>
      </c>
      <c r="CZ70" s="37">
        <f>_xlfn.XLOOKUP(Crops[[#This Row],[Crop]]&amp;Crops[[#This Row],[Product]]&amp;Crops[[#This Row],[Unit]],Products[ID],Products[Rehandle (s)])*Crops[[#This Row],[Custom Yield Per Bed]]/3600</f>
        <v>0</v>
      </c>
      <c r="DA70" s="37">
        <f>_xlfn.XLOOKUP(Crops[[#This Row],[Crop]]&amp;Crops[[#This Row],[Product]]&amp;Crops[[#This Row],[Unit]],Products[ID],Products[Market Transport (s)])*Crops[[#This Row],[Custom Yield Per Bed]]/3600</f>
        <v>0.4464285714285714</v>
      </c>
      <c r="DC70" s="37">
        <f>Crops[[#This Row],[Direct Revenue Per Bed2]]</f>
        <v>514.28571428571422</v>
      </c>
      <c r="DD70" s="173">
        <f>_xlfn.AGGREGATE(9,6,Crops[[#This Row],[Bed Prep]:[Remove Crop Residue]])</f>
        <v>7.5917286706349207</v>
      </c>
      <c r="DE70" s="173">
        <f>_xlfn.AGGREGATE(9,6,Crops[[#This Row],[Bed Prep]:[Remove Crop Residue]])-0.75*Crops[[#This Row],[Market &amp; Sell]]</f>
        <v>7.2060143849206355</v>
      </c>
      <c r="DF70" s="36">
        <f>Crops[[#This Row],[Direct Revenue Per Bed2]]/Crops[[#This Row],[Direct Time]]</f>
        <v>67.742899752857326</v>
      </c>
      <c r="DG70" s="36">
        <f>_xlfn.XLOOKUP(Crops[[#This Row],[ProductIndex]],Products[ID],Products[Packaging Cost])*(Crops[[#This Row],[Custom Yield Per Bed]]/_xlfn.XLOOKUP(Crops[[#This Row],[ProductIndex]],Products[ID],Products[Units Per Pack]))</f>
        <v>27.142857142857139</v>
      </c>
      <c r="DH70" s="36"/>
      <c r="DI70" s="36"/>
      <c r="DJ70" s="36"/>
      <c r="DK70" s="36"/>
      <c r="DL70" s="36"/>
      <c r="DM70" s="33">
        <f>IFERROR(Crops[[#This Row],[Custom Yield Per Bed]]*Crops[[#This Row],[Direct Price]],"")</f>
        <v>514.28571428571422</v>
      </c>
      <c r="DN70" s="36">
        <f>Crops[[#This Row],[Direct Time]]*LaborRate</f>
        <v>189.79321676587301</v>
      </c>
      <c r="DO70" s="36">
        <f>SUM(Crops[[#This Row],[Irrigation Cost]])</f>
        <v>0</v>
      </c>
      <c r="DP70" s="36">
        <f>Crops[[#This Row],[Direct Labor Cost]]+Crops[[#This Row],[Direct Non-Labor Cost]]</f>
        <v>189.79321676587301</v>
      </c>
      <c r="DQ70" s="36">
        <f>Crops[[#This Row],[Direct Revenue Per Bed2]]-Crops[[#This Row],[Direct Total Cost]]</f>
        <v>324.49249751984121</v>
      </c>
      <c r="DR70" s="36">
        <f>Crops[[#This Row],[Direct Profit]]*BedsPerAcre</f>
        <v>51918.799603174593</v>
      </c>
      <c r="DS70" s="36">
        <f>Crops[[#This Row],[Direct Profit]]*BedsPerAcre*GrowingDays/Crops[[#This Row],[Days In Field]]</f>
        <v>100487.99923195083</v>
      </c>
      <c r="DT70" s="36">
        <f>Crops[[#This Row],[Direct Profit]]/MIN(Crops[[#This Row],[Days In Field]],GrowingDays)</f>
        <v>3.4891666399982926</v>
      </c>
      <c r="DU70" s="33">
        <f>Crops[[#This Row],[Direct Time]] * BedsPerAcre</f>
        <v>1214.6765873015872</v>
      </c>
      <c r="DV70" s="36">
        <f>(Crops[[#This Row],[Direct Revenue Per Bed2]]-Crops[[#This Row],[Direct Non-Labor Cost]])/Crops[[#This Row],[Direct Time]]</f>
        <v>67.742899752857326</v>
      </c>
      <c r="DW70" s="33">
        <f>IFERROR(Crops[[#This Row],[Custom Yield Per Bed]]*Crops[[#This Row],[Rough Wholesale Price]],"")</f>
        <v>289.71428571428572</v>
      </c>
      <c r="DX70" s="36">
        <f>Crops[[#This Row],[Wholesale Time]]*LaborRate</f>
        <v>180.1503596230159</v>
      </c>
      <c r="DY70" s="36">
        <f>SUM(Crops[[#This Row],[Packaging Costs]:[Irrigation Cost]])</f>
        <v>27.142857142857139</v>
      </c>
      <c r="DZ70" s="36">
        <f>Crops[[#This Row],[Wholesale Labor Cost]]+Crops[[#This Row],[Wholesale Non-Labor Cost]]</f>
        <v>207.29321676587304</v>
      </c>
      <c r="EA70" s="36">
        <f>Crops[[#This Row],[Wholesale Revenue Per Bed]]-Crops[[#This Row],[Wholesale Total Cost]]</f>
        <v>82.421068948412682</v>
      </c>
      <c r="EB70" s="36">
        <f>Crops[[#This Row],[Wholesale Profit]]*BedsPerAcre</f>
        <v>13187.371031746028</v>
      </c>
      <c r="EC70" s="36">
        <f>Crops[[#This Row],[Wholesale Profit]]*BedsPerAcre*GrowingDays/Crops[[#This Row],[Days In Field]]</f>
        <v>25523.943932411665</v>
      </c>
      <c r="ED70" s="33">
        <f>Crops[[#This Row],[Wholesale Time]] * BedsPerAcre</f>
        <v>1152.9623015873017</v>
      </c>
      <c r="EE70" s="221">
        <f>Crops[[#This Row],[Wholesale Profit]]/MIN(Crops[[#This Row],[Days In Field]],GrowingDays)</f>
        <v>0.88624805320873856</v>
      </c>
      <c r="EF70" s="36">
        <f>(Crops[[#This Row],[Wholesale Revenue Per Bed]]-Crops[[#This Row],[Wholesale Non-Labor Cost]])/Crops[[#This Row],[Direct Time]]</f>
        <v>34.586513818264379</v>
      </c>
      <c r="EG70" s="174">
        <f>Crops[[#This Row],[Packaging Costs]]/Crops[[#This Row],[Wholesale Revenue Per Bed]]</f>
        <v>9.3688362919132129E-2</v>
      </c>
      <c r="EH70" s="36" t="str">
        <f>Crops[[#This Row],[Crop]]&amp;Crops[[#This Row],[Product]]&amp;Crops[[#This Row],[Unit]]</f>
        <v>CauliflowerMature HeadHead</v>
      </c>
      <c r="EI70" s="36" t="b">
        <f>_xlfn.XLOOKUP(Crops[[#This Row],[ProductIndex]],Products[ID],Products[Target])</f>
        <v>1</v>
      </c>
      <c r="EJ70" s="36">
        <f>Crops[[#This Row],[Custom Yield Per Bed]]</f>
        <v>57.142857142857139</v>
      </c>
      <c r="EK70" s="210">
        <f>Crops[[#This Row],[Units Per Harvest]]/Crops[[#This Row],[Days Between Harvest]]*7</f>
        <v>14.285714285714286</v>
      </c>
      <c r="EL70" s="210">
        <f>Crops[[#This Row],[Custom Yield Per Bed]]/_xlfn.XLOOKUP(Crops[[#This Row],[ProductIndex]],Products[ID],Products[CSA Portion])</f>
        <v>57.142857142857139</v>
      </c>
      <c r="EM70" s="210">
        <f>Crops[[#This Row],[Units Per Harvest]]/Crops[[#This Row],[Days Between Harvest]]*7/_xlfn.XLOOKUP(Crops[[#This Row],[ProductIndex]],Products[ID],Products[CSA Portion])</f>
        <v>14.285714285714286</v>
      </c>
      <c r="EN70" s="210">
        <f>Crops[[#This Row],[CSA Portions Per Week]]/CSAMembers</f>
        <v>0.28571428571428575</v>
      </c>
      <c r="EO70" s="210"/>
      <c r="EP70" s="210"/>
      <c r="EQ70" s="210"/>
      <c r="ER70" s="210">
        <f>Crops[[#This Row],[Harvests]]*Crops[[#This Row],[Days Between Harvest]]/7</f>
        <v>4</v>
      </c>
      <c r="ES70" s="217">
        <f>_xlfn.XLOOKUP(Crops[[#This Row],[ProductIndex]],Products[ID],Products[CSA Need])</f>
        <v>1</v>
      </c>
      <c r="ET70" s="217">
        <f>_xlfn.XLOOKUP(Crops[[#This Row],[ProductIndex]],Products[ID],Products[CSA Times])</f>
        <v>1</v>
      </c>
      <c r="EU70" s="208">
        <f>Crops[[#This Row],[Custom Yield Per Bed]]/(Crops[[#This Row],[CSA Need]]*(_xlfn.XLOOKUP(Crops[[#This Row],[ProductIndex]],Products[ID],Products[CSA Portion])*CSAMembers))</f>
        <v>1.1428571428571428</v>
      </c>
      <c r="EV70" s="208">
        <f>_xlfn.XLOOKUP(Crops[[#This Row],[ProductIndex]],Products[ID],Products[CSA Portion])*CSAMembers*Crops[[#This Row],[CSA Need]]/Crops[[#This Row],[Custom Yield Per Bed]]</f>
        <v>0.87500000000000011</v>
      </c>
      <c r="EW70" s="208">
        <f>IFERROR(Crops[[#This Row],[Days In Field]]*Crops[[#This Row],[CSA Beds]],"")</f>
        <v>81.375000000000014</v>
      </c>
      <c r="EX70" s="208" t="e">
        <f>Crops[[#This Row],[CSA Bed Days]]*#REF!</f>
        <v>#REF!</v>
      </c>
      <c r="EY70" t="s">
        <v>365</v>
      </c>
    </row>
    <row r="71" spans="1:155">
      <c r="A7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(Green-Stem) - Mature Head 1X | Field TP Su</v>
      </c>
      <c r="B71" s="191"/>
      <c r="C71" s="1"/>
      <c r="D71" s="1"/>
      <c r="E71" s="1" t="b">
        <v>0</v>
      </c>
      <c r="F71" s="1" t="b">
        <f>IFERROR(IF(ISNUMBER(MATCH(Crops[[#This Row],[Identifier]],BedPlan[Crop], 0)), TRUE, FALSE), FALSE)</f>
        <v>1</v>
      </c>
      <c r="G71" s="1" t="b">
        <f>IFERROR(IF(ISNUMBER(MATCH(Crops[[#This Row],[Identifier]],BedPlan[Crop], 0)), TRUE, FALSE), FALSE)</f>
        <v>1</v>
      </c>
      <c r="H71" s="1"/>
      <c r="I71" t="s">
        <v>54</v>
      </c>
      <c r="J71" t="s">
        <v>2806</v>
      </c>
      <c r="K71" t="s">
        <v>186</v>
      </c>
      <c r="M71" t="s">
        <v>445</v>
      </c>
      <c r="N71" t="str">
        <f>Crops[[#This Row],[Crop]]</f>
        <v>Cauliflower</v>
      </c>
      <c r="O71" t="s">
        <v>210</v>
      </c>
      <c r="P71" t="str">
        <f>IF(OR(Crops[[#This Row],[Days in Cells]]="",Crops[[#This Row],[Days in Cells]]=0), "DS","TP")</f>
        <v>TP</v>
      </c>
      <c r="R71" t="b">
        <v>1</v>
      </c>
      <c r="V71" t="str">
        <f xml:space="preserve"> IF(Crops[[#This Row],[Sp]], "Sp", "") &amp; IF(Crops[[#This Row],[Su]], "Su", "") &amp; IF(Crops[[#This Row],[Fa]], "Fa", "") &amp; IF(Crops[[#This Row],[Wi]], "Wi", "") &amp; IF(Crops[[#This Row],[OW]], "Ow","")</f>
        <v>Su</v>
      </c>
      <c r="W71" t="s">
        <v>144</v>
      </c>
      <c r="X71">
        <v>2</v>
      </c>
      <c r="Y71">
        <v>21</v>
      </c>
      <c r="AA71" t="s">
        <v>475</v>
      </c>
      <c r="AB71" t="b">
        <v>1</v>
      </c>
      <c r="AC71">
        <v>1.5</v>
      </c>
      <c r="AD71" s="32">
        <f>IFERROR(12/Crops[[#This Row],[Spacing]]*Crops[[#This Row],[Rows]]*BedLength,"")</f>
        <v>57.142857142857139</v>
      </c>
      <c r="AE71">
        <v>1</v>
      </c>
      <c r="AG71">
        <v>1</v>
      </c>
      <c r="AH71">
        <v>1.5</v>
      </c>
      <c r="AI71" s="33">
        <f>IFERROR(Crops[[#This Row],[Plantings Per Bed]]*Crops[[#This Row],[Seeds Per Planting]]*Crops[[#This Row],[Safety Factor]]*Crops[[#This Row],[Seeding Factor]],"")</f>
        <v>85.714285714285708</v>
      </c>
      <c r="AL71">
        <f>_xlfn.FLOOR.MATH(IFERROR(AVERAGE(Crops[[#This Row],[DTG Lower]:[DTG Upper]]),0))</f>
        <v>0</v>
      </c>
      <c r="AM71">
        <f>SUM(Crops[[#This Row],[Tray 1 Days]],Crops[[#This Row],[Tray 2 Days]],Crops[[#This Row],[Tray 3 Days]])</f>
        <v>35</v>
      </c>
      <c r="AN71" s="32">
        <v>35</v>
      </c>
      <c r="AP71">
        <v>42</v>
      </c>
      <c r="AQ71">
        <f>IFERROR(_xlfn.FLOOR.MATH(AVERAGE(Crops[[#This Row],[DTM Lower]:[DTM Upper]])),"")</f>
        <v>42</v>
      </c>
      <c r="AR71" cm="1">
        <f t="array" ref="AR71">_xlfn.SWITCH(Crops[[#This Row],[Normal Method]],"DS",Crops[[#This Row],[Days to Germination]]+Crops[[#This Row],[DTM]] + IF(Crops[[#This Row],[Days in Cells]]&gt;0,15,0), "TP",Crops[[#This Row],[DTM]]+Crops[[#This Row],[Days in Cells]] + IF(Crops[[#This Row],[Days in Cells]]&lt;=0,20,0), "X", Crops[[#This Row],[DTM]])</f>
        <v>77</v>
      </c>
      <c r="AS71" t="s">
        <v>346</v>
      </c>
      <c r="AT71">
        <f>(Crops[[#This Row],[Harvests]]-1)*Crops[[#This Row],[Days Between Harvest]]+7</f>
        <v>21</v>
      </c>
      <c r="AU71">
        <f>Crops[[#This Row],[STH]]-Crops[[#This Row],[Days in Cells]]+Crops[[#This Row],[Harvest window]]</f>
        <v>63</v>
      </c>
      <c r="AX71">
        <v>400</v>
      </c>
      <c r="AY71">
        <v>7</v>
      </c>
      <c r="AZ71" s="49">
        <f>IFERROR(IF(Crops[[#This Row],[Tray 1 Days]]=0,"",Crops[[#This Row],[Plantings Per Bed]]/Crops[[#This Row],[Tray 1 Size]]*Crops[[#This Row],[Safety Factor]]),"")</f>
        <v>0.14285714285714285</v>
      </c>
      <c r="BA71">
        <v>128</v>
      </c>
      <c r="BB71">
        <v>28</v>
      </c>
      <c r="BC71">
        <f>IFERROR(IF(Crops[[#This Row],[Tray 2 Days]]=0,"",Crops[[#This Row],[Plantings Per Bed]]/Crops[[#This Row],[Tray 2 Size]]*Crops[[#This Row],[Safety Factor]]),"")</f>
        <v>0.4464285714285714</v>
      </c>
      <c r="BE71" s="32" t="str">
        <f>IF(NOT(ISBLANK(Crops[[#This Row],[Tray 3 Size]])), Crops[[#This Row],[Days in Cells Old]]-SUM(Crops[[#This Row],[Tray 1 Days]],Crops[[#This Row],[Tray 2 Days]]), "")</f>
        <v/>
      </c>
      <c r="BF71" s="49" t="str">
        <f>IFERROR(IF(Crops[[#This Row],[Tray 3 Days]]=0,"",Crops[[#This Row],[Plantings Per Bed]]/Crops[[#This Row],[Tray 3 Size]]*Crops[[#This Row],[Safety Factor]]),"")</f>
        <v/>
      </c>
      <c r="BG71" s="33">
        <f>Crops[[#This Row],[Plantings Per Bed]]/Crops[[#This Row],[Harvests]]</f>
        <v>28.571428571428569</v>
      </c>
      <c r="BH71" s="33">
        <v>2</v>
      </c>
      <c r="BI71" s="33">
        <v>14</v>
      </c>
      <c r="BJ71" s="33">
        <f>_xlfn.XLOOKUP(Crops[[#This Row],[ProductIndex]],Products[ID],Products[Holding Period])</f>
        <v>7</v>
      </c>
      <c r="BK71" s="33"/>
      <c r="BL71" s="33">
        <f>Crops[[#This Row],[Units Per Harvest]]*Crops[[#This Row],[Harvests]]</f>
        <v>57.142857142857139</v>
      </c>
      <c r="BM71" s="35">
        <f>3*3</f>
        <v>9</v>
      </c>
      <c r="BN71" s="35">
        <f>3*1.69</f>
        <v>5.07</v>
      </c>
      <c r="BO71" s="35"/>
      <c r="BP71" t="s">
        <v>214</v>
      </c>
      <c r="BQ71">
        <f>Crops[[#This Row],[Custom Yield Per Bed]]*Crops[[#This Row],[Direct Price]]</f>
        <v>514.28571428571422</v>
      </c>
      <c r="BR71" t="b">
        <v>1</v>
      </c>
      <c r="BS71" t="b">
        <f>Crops[[#This Row],[Harvests]]&gt;1</f>
        <v>1</v>
      </c>
      <c r="BT71" s="36">
        <f>IFERROR(Crops[[#This Row],[Direct Revenue Per Bed]]/Crops[[#This Row],[Days In Field]],-1)</f>
        <v>8.1632653061224474</v>
      </c>
      <c r="BU71" s="36">
        <f>IFERROR(Crops[[#This Row],[Direct Revenue Per Bed Day]]*GrowingDays*BedsPerAcre,"")</f>
        <v>235102.04081632648</v>
      </c>
      <c r="BV71" s="38">
        <f>LastFrostDate-5*Crops[[#This Row],[Sewing Rel Last Frost]]</f>
        <v>45808</v>
      </c>
      <c r="BW71" s="38">
        <f>Crops[[#This Row],[Target Sewing Date]]+Crops[[#This Row],[Days in Cells]]</f>
        <v>45843</v>
      </c>
      <c r="BX71" s="38">
        <f>Crops[[#This Row],[Target Sewing Date]]+Crops[[#This Row],[STH]]</f>
        <v>45885</v>
      </c>
      <c r="BY71" s="38">
        <f>Crops[[#This Row],[Target Harvest Data]]+Crops[[#This Row],[Harvest window]]</f>
        <v>45906</v>
      </c>
      <c r="BZ71">
        <v>-12</v>
      </c>
      <c r="CA71" t="s">
        <v>373</v>
      </c>
      <c r="CB71">
        <f>1</f>
        <v>1</v>
      </c>
      <c r="CC71">
        <f>IF(Crops[[#This Row],[Transplanting]]&gt;0, 2, 3)*BedLength/StandardBedLength</f>
        <v>1</v>
      </c>
      <c r="CD71" s="173">
        <f>IF(Crops[[#This Row],[Days in Cells]]&lt;=0,0,Crops[[#This Row],[Plantings Per Bed]]/StartsPerHourSeeding+Crops[[#This Row],[Tray 1 Count]]*5/60)</f>
        <v>0.23511904761904759</v>
      </c>
      <c r="CE71" s="173">
        <f>IF(ISBLANK(Crops[[#This Row],[Tray 2 Days]]),0,Crops[[#This Row],[Plantings Per Bed]]/UpPottingPerHour)+IF(Crops[[#This Row],[Tray 3 Days]]="",0,Crops[[#This Row],[Plantings Per Bed]]/UpPottingPerHour)</f>
        <v>0.47619047619047616</v>
      </c>
      <c r="CF71" s="173">
        <f>IFERROR(Crops[[#This Row],[Tray 1 Count]]/HomeStartFlatIrrigationPerHour,0)*Crops[[#This Row],[Days in Cells]]/DaysBetweenStartIrrigation</f>
        <v>2.0833333333333332E-2</v>
      </c>
      <c r="CG71" s="173">
        <f>0.5/16*MAX(Crops[[#This Row],[Tray 1 Count]],Crops[[#This Row],[Tray 2 Count]],Crops[[#This Row],[Tray 3 Count]])</f>
        <v>1.3950892857142856E-2</v>
      </c>
      <c r="CH71" s="173">
        <f>IF(Crops[[#This Row],[Days in Cells]]&gt;0,IF(IF(Crops[[#This Row],[Tray 3 Size]]&gt;0,Crops[[#This Row],[Tray 3 Size]],IF(Crops[[#This Row],[Tray 2 Size]]&gt;0,Crops[[#This Row],[Tray 2 Size]],Crops[[#This Row],[Tray 1 Size]]))&lt;=18,LargeTransplantTime,SmallTransplantTime)*Crops[[#This Row],[Plantings Per Bed]],0)</f>
        <v>0.2857142857142857</v>
      </c>
      <c r="CI71" s="173"/>
      <c r="CJ71" s="173">
        <f>_xlfn.XLOOKUP(Crops[[#This Row],[Trellis Type]],TrellisMethods[Trellis Type],TrellisMethods[Hours],0,0)</f>
        <v>0</v>
      </c>
      <c r="CK71">
        <f>IF(Crops[[#This Row],[Days in Cells]]&lt;=0,Crops[[#This Row],[Rows]]*1/10,0)*BedLength/50</f>
        <v>0</v>
      </c>
      <c r="CL71" cm="1">
        <f t="array" ref="CL71">_xlfn.SWITCH(Crops[[#This Row],[Irrigation]],"DR", 0.5, "OH", 0.25,0)*BedLength/50</f>
        <v>0</v>
      </c>
      <c r="CM71">
        <f>IF(OR(ISBLANK(Crops[[#This Row],[Row Cover]]),Crops[[#This Row],[Row Cover]]="None"),0,1)*BedLength/50</f>
        <v>1</v>
      </c>
      <c r="CN71" s="173">
        <f>HoursPerWeedingPass*Crops[[#This Row],[Days In Field]]/14*Crops[[#This Row],[Rows]]+1*BedLength/50</f>
        <v>2.5</v>
      </c>
      <c r="CO71" s="49"/>
      <c r="CQ71" s="37">
        <f>_xlfn.XLOOKUP(Crops[[#This Row],[Crop]]&amp;Crops[[#This Row],[Product]]&amp;Crops[[#This Row],[Unit]],Products[ID],Products[Marketing (hr)])*Crops[[#This Row],[Direct Revenue Per Bed]]/2000</f>
        <v>0.51428571428571423</v>
      </c>
      <c r="CR71" s="37">
        <f>_xlfn.XLOOKUP(Crops[[#This Row],[Crop]]&amp;Crops[[#This Row],[Product]]&amp;Crops[[#This Row],[Unit]],Products[ID],Products[Harvest (s)])*Crops[[#This Row],[Custom Yield Per Bed]]/3600</f>
        <v>0.15873015873015869</v>
      </c>
      <c r="CS71" s="37">
        <f>_xlfn.XLOOKUP(Crops[[#This Row],[Crop]]&amp;Crops[[#This Row],[Product]]&amp;Crops[[#This Row],[Unit]],Products[ID],Products[Bunch (s)])*Crops[[#This Row],[Custom Yield Per Bed]]/3600</f>
        <v>0</v>
      </c>
      <c r="CT71" s="37">
        <f>_xlfn.XLOOKUP(Crops[[#This Row],[Crop]]&amp;Crops[[#This Row],[Product]]&amp;Crops[[#This Row],[Unit]],Products[ID],Products[Haul (s)])*Crops[[#This Row],[Custom Yield Per Bed]]/3600</f>
        <v>0.17857142857142855</v>
      </c>
      <c r="CU71" s="37">
        <f>_xlfn.XLOOKUP(Crops[[#This Row],[Crop]]&amp;Crops[[#This Row],[Product]]&amp;Crops[[#This Row],[Unit]],Products[ID],Products[Wash (s)])*Crops[[#This Row],[Custom Yield Per Bed]]/3600</f>
        <v>0</v>
      </c>
      <c r="CV71" s="37">
        <f>_xlfn.XLOOKUP(Crops[[#This Row],[Crop]]&amp;Crops[[#This Row],[Product]]&amp;Crops[[#This Row],[Unit]],Products[ID],Products[Condition (s)])*Crops[[#This Row],[Custom Yield Per Bed]]/3600</f>
        <v>0</v>
      </c>
      <c r="CW71" s="37">
        <f>_xlfn.XLOOKUP(Crops[[#This Row],[Crop]]&amp;Crops[[#This Row],[Product]]&amp;Crops[[#This Row],[Unit]],Products[ID],Products[Trim (s)])*Crops[[#This Row],[Custom Yield Per Bed]]/3600</f>
        <v>0</v>
      </c>
      <c r="CX71" s="37">
        <f>_xlfn.XLOOKUP(Crops[[#This Row],[Crop]]&amp;Crops[[#This Row],[Product]]&amp;Crops[[#This Row],[Unit]],Products[ID],Products[Pack (s)])*Crops[[#This Row],[Custom Yield Per Bed]]/3600</f>
        <v>4.7619047619047616E-2</v>
      </c>
      <c r="CY71" s="37">
        <f>_xlfn.XLOOKUP(Crops[[#This Row],[Crop]]&amp;Crops[[#This Row],[Product]]&amp;Crops[[#This Row],[Unit]],Products[ID],Products[Clean (s)])*Crops[[#This Row],[Custom Yield Per Bed]]/3600</f>
        <v>0</v>
      </c>
      <c r="CZ71" s="37">
        <f>_xlfn.XLOOKUP(Crops[[#This Row],[Crop]]&amp;Crops[[#This Row],[Product]]&amp;Crops[[#This Row],[Unit]],Products[ID],Products[Rehandle (s)])*Crops[[#This Row],[Custom Yield Per Bed]]/3600</f>
        <v>0</v>
      </c>
      <c r="DA71" s="37">
        <f>_xlfn.XLOOKUP(Crops[[#This Row],[Crop]]&amp;Crops[[#This Row],[Product]]&amp;Crops[[#This Row],[Unit]],Products[ID],Products[Market Transport (s)])*Crops[[#This Row],[Custom Yield Per Bed]]/3600</f>
        <v>0.4464285714285714</v>
      </c>
      <c r="DC71" s="37">
        <f>Crops[[#This Row],[Direct Revenue Per Bed2]]</f>
        <v>514.28571428571422</v>
      </c>
      <c r="DD71" s="173">
        <f>_xlfn.AGGREGATE(9,6,Crops[[#This Row],[Bed Prep]:[Remove Crop Residue]])</f>
        <v>6.8774429563492063</v>
      </c>
      <c r="DE71" s="173">
        <f>_xlfn.AGGREGATE(9,6,Crops[[#This Row],[Bed Prep]:[Remove Crop Residue]])-0.75*Crops[[#This Row],[Market &amp; Sell]]</f>
        <v>6.4917286706349202</v>
      </c>
      <c r="DF71" s="36">
        <f>Crops[[#This Row],[Direct Revenue Per Bed2]]/Crops[[#This Row],[Direct Time]]</f>
        <v>74.77862303618663</v>
      </c>
      <c r="DG71" s="36">
        <f>_xlfn.XLOOKUP(Crops[[#This Row],[ProductIndex]],Products[ID],Products[Packaging Cost])*(Crops[[#This Row],[Custom Yield Per Bed]]/_xlfn.XLOOKUP(Crops[[#This Row],[ProductIndex]],Products[ID],Products[Units Per Pack]))</f>
        <v>27.142857142857139</v>
      </c>
      <c r="DH71" s="36"/>
      <c r="DI71" s="36"/>
      <c r="DJ71" s="36"/>
      <c r="DK71" s="36"/>
      <c r="DL71" s="36"/>
      <c r="DM71" s="33">
        <f>IFERROR(Crops[[#This Row],[Custom Yield Per Bed]]*Crops[[#This Row],[Direct Price]],"")</f>
        <v>514.28571428571422</v>
      </c>
      <c r="DN71" s="36">
        <f>Crops[[#This Row],[Direct Time]]*LaborRate</f>
        <v>171.93607390873015</v>
      </c>
      <c r="DO71" s="36">
        <f>SUM(Crops[[#This Row],[Irrigation Cost]])</f>
        <v>0</v>
      </c>
      <c r="DP71" s="36">
        <f>Crops[[#This Row],[Direct Labor Cost]]+Crops[[#This Row],[Direct Non-Labor Cost]]</f>
        <v>171.93607390873015</v>
      </c>
      <c r="DQ71" s="36">
        <f>Crops[[#This Row],[Direct Revenue Per Bed2]]-Crops[[#This Row],[Direct Total Cost]]</f>
        <v>342.3496403769841</v>
      </c>
      <c r="DR71" s="36">
        <f>Crops[[#This Row],[Direct Profit]]*BedsPerAcre</f>
        <v>54775.942460317456</v>
      </c>
      <c r="DS71" s="36">
        <f>Crops[[#This Row],[Direct Profit]]*BedsPerAcre*GrowingDays/Crops[[#This Row],[Days In Field]]</f>
        <v>156502.69274376414</v>
      </c>
      <c r="DT71" s="36">
        <f>Crops[[#This Row],[Direct Profit]]/MIN(Crops[[#This Row],[Days In Field]],GrowingDays)</f>
        <v>5.4341212758251443</v>
      </c>
      <c r="DU71" s="33">
        <f>Crops[[#This Row],[Direct Time]] * BedsPerAcre</f>
        <v>1100.390873015873</v>
      </c>
      <c r="DV71" s="36">
        <f>(Crops[[#This Row],[Direct Revenue Per Bed2]]-Crops[[#This Row],[Direct Non-Labor Cost]])/Crops[[#This Row],[Direct Time]]</f>
        <v>74.77862303618663</v>
      </c>
      <c r="DW71" s="33">
        <f>IFERROR(Crops[[#This Row],[Custom Yield Per Bed]]*Crops[[#This Row],[Rough Wholesale Price]],"")</f>
        <v>289.71428571428572</v>
      </c>
      <c r="DX71" s="36">
        <f>Crops[[#This Row],[Wholesale Time]]*LaborRate</f>
        <v>162.29321676587301</v>
      </c>
      <c r="DY71" s="36">
        <f>SUM(Crops[[#This Row],[Packaging Costs]:[Irrigation Cost]])</f>
        <v>27.142857142857139</v>
      </c>
      <c r="DZ71" s="36">
        <f>Crops[[#This Row],[Wholesale Labor Cost]]+Crops[[#This Row],[Wholesale Non-Labor Cost]]</f>
        <v>189.43607390873015</v>
      </c>
      <c r="EA71" s="36">
        <f>Crops[[#This Row],[Wholesale Revenue Per Bed]]-Crops[[#This Row],[Wholesale Total Cost]]</f>
        <v>100.27821180555557</v>
      </c>
      <c r="EB71" s="36">
        <f>Crops[[#This Row],[Wholesale Profit]]*BedsPerAcre</f>
        <v>16044.513888888891</v>
      </c>
      <c r="EC71" s="36">
        <f>Crops[[#This Row],[Wholesale Profit]]*BedsPerAcre*GrowingDays/Crops[[#This Row],[Days In Field]]</f>
        <v>45841.468253968262</v>
      </c>
      <c r="ED71" s="33">
        <f>Crops[[#This Row],[Wholesale Time]] * BedsPerAcre</f>
        <v>1038.6765873015872</v>
      </c>
      <c r="EE71" s="221">
        <f>Crops[[#This Row],[Wholesale Profit]]/MIN(Crops[[#This Row],[Days In Field]],GrowingDays)</f>
        <v>1.5917176477072312</v>
      </c>
      <c r="EF71" s="36">
        <f>(Crops[[#This Row],[Wholesale Revenue Per Bed]]-Crops[[#This Row],[Wholesale Non-Labor Cost]])/Crops[[#This Row],[Direct Time]]</f>
        <v>38.178641427919729</v>
      </c>
      <c r="EG71" s="174">
        <f>Crops[[#This Row],[Packaging Costs]]/Crops[[#This Row],[Wholesale Revenue Per Bed]]</f>
        <v>9.3688362919132129E-2</v>
      </c>
      <c r="EH71" s="36" t="str">
        <f>Crops[[#This Row],[Crop]]&amp;Crops[[#This Row],[Product]]&amp;Crops[[#This Row],[Unit]]</f>
        <v>CauliflowerMature HeadHead</v>
      </c>
      <c r="EI71" s="36" t="b">
        <f>_xlfn.XLOOKUP(Crops[[#This Row],[ProductIndex]],Products[ID],Products[Target])</f>
        <v>1</v>
      </c>
      <c r="EJ71" s="36">
        <f>Crops[[#This Row],[Custom Yield Per Bed]]</f>
        <v>57.142857142857139</v>
      </c>
      <c r="EK71" s="210">
        <f>Crops[[#This Row],[Units Per Harvest]]/Crops[[#This Row],[Days Between Harvest]]*7</f>
        <v>14.285714285714286</v>
      </c>
      <c r="EL71" s="210">
        <f>Crops[[#This Row],[Custom Yield Per Bed]]/_xlfn.XLOOKUP(Crops[[#This Row],[ProductIndex]],Products[ID],Products[CSA Portion])</f>
        <v>57.142857142857139</v>
      </c>
      <c r="EM71" s="210">
        <f>Crops[[#This Row],[Units Per Harvest]]/Crops[[#This Row],[Days Between Harvest]]*7/_xlfn.XLOOKUP(Crops[[#This Row],[ProductIndex]],Products[ID],Products[CSA Portion])</f>
        <v>14.285714285714286</v>
      </c>
      <c r="EN71" s="210">
        <f>Crops[[#This Row],[CSA Portions Per Week]]/CSAMembers</f>
        <v>0.28571428571428575</v>
      </c>
      <c r="EO71" s="210"/>
      <c r="EP71" s="210"/>
      <c r="EQ71" s="210"/>
      <c r="ER71" s="210">
        <f>Crops[[#This Row],[Harvests]]*Crops[[#This Row],[Days Between Harvest]]/7</f>
        <v>4</v>
      </c>
      <c r="ES71" s="217">
        <f>_xlfn.XLOOKUP(Crops[[#This Row],[ProductIndex]],Products[ID],Products[CSA Need])</f>
        <v>1</v>
      </c>
      <c r="ET71" s="217">
        <f>_xlfn.XLOOKUP(Crops[[#This Row],[ProductIndex]],Products[ID],Products[CSA Times])</f>
        <v>1</v>
      </c>
      <c r="EU71" s="208">
        <f>Crops[[#This Row],[Custom Yield Per Bed]]/(Crops[[#This Row],[CSA Need]]*(_xlfn.XLOOKUP(Crops[[#This Row],[ProductIndex]],Products[ID],Products[CSA Portion])*CSAMembers))</f>
        <v>1.1428571428571428</v>
      </c>
      <c r="EV71" s="208">
        <f>_xlfn.XLOOKUP(Crops[[#This Row],[ProductIndex]],Products[ID],Products[CSA Portion])*CSAMembers*Crops[[#This Row],[CSA Need]]/Crops[[#This Row],[Custom Yield Per Bed]]</f>
        <v>0.87500000000000011</v>
      </c>
      <c r="EW71" s="208">
        <f>IFERROR(Crops[[#This Row],[Days In Field]]*Crops[[#This Row],[CSA Beds]],"")</f>
        <v>55.125000000000007</v>
      </c>
      <c r="EX71" s="208" t="e">
        <f>Crops[[#This Row],[CSA Bed Days]]*#REF!</f>
        <v>#REF!</v>
      </c>
      <c r="EY71" t="s">
        <v>365</v>
      </c>
    </row>
    <row r="72" spans="1:155">
      <c r="A72"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Celery - Loose Rib 1X | Field TP SpSu</v>
      </c>
      <c r="B72" s="192"/>
      <c r="C72" s="1" t="b">
        <v>1</v>
      </c>
      <c r="D72" s="1" t="s">
        <v>2577</v>
      </c>
      <c r="E72" s="1" t="b">
        <v>0</v>
      </c>
      <c r="F72" s="1" t="b">
        <f>IFERROR(IF(ISNUMBER(MATCH(Crops[[#This Row],[Identifier]],BedPlan[Crop], 0)), TRUE, FALSE), FALSE)</f>
        <v>1</v>
      </c>
      <c r="G72" s="1" t="b">
        <f>IFERROR(IF(ISNUMBER(MATCH(Crops[[#This Row],[Identifier]],BedPlan[Crop], 0)), TRUE, FALSE), FALSE)</f>
        <v>1</v>
      </c>
      <c r="H72" s="1"/>
      <c r="I72" t="s">
        <v>55</v>
      </c>
      <c r="J72" t="s">
        <v>145</v>
      </c>
      <c r="K72" t="s">
        <v>188</v>
      </c>
      <c r="M72" t="s">
        <v>55</v>
      </c>
      <c r="N72" t="str">
        <f>Crops[[#This Row],[Crop]]</f>
        <v>Celery</v>
      </c>
      <c r="O72" t="s">
        <v>210</v>
      </c>
      <c r="P72" t="str">
        <f>IF(OR(Crops[[#This Row],[Days in Cells]]="",Crops[[#This Row],[Days in Cells]]=0), "DS","TP")</f>
        <v>TP</v>
      </c>
      <c r="Q72" t="s">
        <v>144</v>
      </c>
      <c r="R72" t="s">
        <v>144</v>
      </c>
      <c r="V72" t="str">
        <f xml:space="preserve"> IF(Crops[[#This Row],[Sp]], "Sp", "") &amp; IF(Crops[[#This Row],[Su]], "Su", "") &amp; IF(Crops[[#This Row],[Fa]], "Fa", "") &amp; IF(Crops[[#This Row],[Wi]], "Wi", "") &amp; IF(Crops[[#This Row],[OW]], "Ow","")</f>
        <v>SpSu</v>
      </c>
      <c r="W72" t="s">
        <v>144</v>
      </c>
      <c r="X72">
        <v>3</v>
      </c>
      <c r="Y72">
        <v>12</v>
      </c>
      <c r="AA72" t="s">
        <v>474</v>
      </c>
      <c r="AB72" t="b">
        <v>0</v>
      </c>
      <c r="AC72">
        <v>2</v>
      </c>
      <c r="AD72" s="32">
        <f>IFERROR(12/Crops[[#This Row],[Spacing]]*Crops[[#This Row],[Rows]]*BedLength,"")</f>
        <v>150</v>
      </c>
      <c r="AE72">
        <v>1</v>
      </c>
      <c r="AG72">
        <f>IF(Crops[[#This Row],[Custom Safety Factor]]="",PlantingSafetyFactor,Crops[[#This Row],[Custom Safety Factor]])</f>
        <v>1.3</v>
      </c>
      <c r="AH72">
        <f>1</f>
        <v>1</v>
      </c>
      <c r="AI72" s="33">
        <f>IFERROR(Crops[[#This Row],[Plantings Per Bed]]*Crops[[#This Row],[Seeds Per Planting]]*Crops[[#This Row],[Safety Factor]]*Crops[[#This Row],[Seeding Factor]],"")</f>
        <v>195</v>
      </c>
      <c r="AL72">
        <f>_xlfn.FLOOR.MATH(IFERROR(AVERAGE(Crops[[#This Row],[DTG Lower]:[DTG Upper]]),0))</f>
        <v>0</v>
      </c>
      <c r="AM72">
        <f>SUM(Crops[[#This Row],[Tray 1 Days]],Crops[[#This Row],[Tray 2 Days]],Crops[[#This Row],[Tray 3 Days]])</f>
        <v>69</v>
      </c>
      <c r="AN72" s="32">
        <v>56</v>
      </c>
      <c r="AP72">
        <v>100</v>
      </c>
      <c r="AQ72">
        <f>IFERROR(_xlfn.FLOOR.MATH(AVERAGE(Crops[[#This Row],[DTM Lower]:[DTM Upper]])),"")</f>
        <v>100</v>
      </c>
      <c r="AR72" cm="1">
        <f t="array" ref="AR72">_xlfn.SWITCH(Crops[[#This Row],[Normal Method]],"DS",Crops[[#This Row],[Days to Germination]]+Crops[[#This Row],[DTM]] + IF(Crops[[#This Row],[Days in Cells]]&gt;0,15,0), "TP",Crops[[#This Row],[DTM]]+Crops[[#This Row],[Days in Cells]] + IF(Crops[[#This Row],[Days in Cells]]&lt;=0,20,0), "X", Crops[[#This Row],[DTM]])</f>
        <v>100</v>
      </c>
      <c r="AS72" t="s">
        <v>347</v>
      </c>
      <c r="AT72">
        <f>(Crops[[#This Row],[Harvests]]-1)*Crops[[#This Row],[Days Between Harvest]]+7</f>
        <v>147</v>
      </c>
      <c r="AU72">
        <f>Crops[[#This Row],[STH]]-Crops[[#This Row],[Days in Cells]]+Crops[[#This Row],[Harvest window]]</f>
        <v>178</v>
      </c>
      <c r="AX72">
        <v>400</v>
      </c>
      <c r="AY72">
        <v>21</v>
      </c>
      <c r="AZ72" s="49">
        <f>IFERROR(IF(Crops[[#This Row],[Tray 1 Days]]=0,"",Crops[[#This Row],[Plantings Per Bed]]/Crops[[#This Row],[Tray 1 Size]]*Crops[[#This Row],[Safety Factor]]),"")</f>
        <v>0.48750000000000004</v>
      </c>
      <c r="BA72">
        <v>128</v>
      </c>
      <c r="BB72">
        <v>48</v>
      </c>
      <c r="BC72">
        <f>IFERROR(IF(Crops[[#This Row],[Tray 2 Days]]=0,"",Crops[[#This Row],[Plantings Per Bed]]/Crops[[#This Row],[Tray 2 Size]]*Crops[[#This Row],[Safety Factor]]),"")</f>
        <v>1.5234375</v>
      </c>
      <c r="BE72" s="32" t="str">
        <f>IF(NOT(ISBLANK(Crops[[#This Row],[Tray 3 Size]])), Crops[[#This Row],[Days in Cells Old]]-SUM(Crops[[#This Row],[Tray 1 Days]],Crops[[#This Row],[Tray 2 Days]]), "")</f>
        <v/>
      </c>
      <c r="BF72" s="49" t="str">
        <f>IFERROR(IF(Crops[[#This Row],[Tray 3 Days]]=0,"",Crops[[#This Row],[Plantings Per Bed]]/Crops[[#This Row],[Tray 3 Size]]*Crops[[#This Row],[Safety Factor]]),"")</f>
        <v/>
      </c>
      <c r="BG72" s="33">
        <f>Crops[[#This Row],[Plantings Per Bed]]*4/7</f>
        <v>85.714285714285708</v>
      </c>
      <c r="BH72" s="33">
        <v>21</v>
      </c>
      <c r="BI72" s="33">
        <v>7</v>
      </c>
      <c r="BJ72" s="33">
        <f>_xlfn.XLOOKUP(Crops[[#This Row],[ProductIndex]],Products[ID],Products[Holding Period])</f>
        <v>7</v>
      </c>
      <c r="BK72" s="33"/>
      <c r="BL72" s="33">
        <f>Crops[[#This Row],[Units Per Harvest]]*Crops[[#This Row],[Harvests]]</f>
        <v>1799.9999999999998</v>
      </c>
      <c r="BM72" s="35">
        <v>2.75</v>
      </c>
      <c r="BN72" s="35">
        <f>Crops[[#This Row],[Direct Price]]*0.6</f>
        <v>1.65</v>
      </c>
      <c r="BO72" s="35"/>
      <c r="BP72" t="s">
        <v>215</v>
      </c>
      <c r="BQ72">
        <f>Crops[[#This Row],[Custom Yield Per Bed]]*Crops[[#This Row],[Direct Price]]</f>
        <v>4949.9999999999991</v>
      </c>
      <c r="BR72" t="b">
        <v>1</v>
      </c>
      <c r="BS72" t="b">
        <f>Crops[[#This Row],[Harvests]]&gt;1</f>
        <v>1</v>
      </c>
      <c r="BT72" s="36">
        <f>IFERROR(Crops[[#This Row],[Direct Revenue Per Bed]]/Crops[[#This Row],[Days In Field]],-1)</f>
        <v>27.80898876404494</v>
      </c>
      <c r="BU72" s="36">
        <f>IFERROR(Crops[[#This Row],[Direct Revenue Per Bed Day]]*GrowingDays*BedsPerAcre,"")</f>
        <v>800898.87640449428</v>
      </c>
      <c r="BV72" s="38">
        <f>LastFrostDate-5*Crops[[#This Row],[Sewing Rel Last Frost]]</f>
        <v>45708</v>
      </c>
      <c r="BW72" s="38">
        <f>Crops[[#This Row],[Target Sewing Date]]+Crops[[#This Row],[Days in Cells]]</f>
        <v>45777</v>
      </c>
      <c r="BX72" s="38">
        <f>Crops[[#This Row],[Target Sewing Date]]+Crops[[#This Row],[STH]]</f>
        <v>45808</v>
      </c>
      <c r="BY72" s="38">
        <f>Crops[[#This Row],[Target Harvest Data]]+Crops[[#This Row],[Harvest window]]</f>
        <v>45955</v>
      </c>
      <c r="BZ72">
        <v>8</v>
      </c>
      <c r="CA72" t="s">
        <v>373</v>
      </c>
      <c r="CB72">
        <f>1</f>
        <v>1</v>
      </c>
      <c r="CC72">
        <f>IF(Crops[[#This Row],[Transplanting]]&gt;0, 2, 3)*BedLength/StandardBedLength</f>
        <v>1</v>
      </c>
      <c r="CD72" s="173">
        <f>IF(Crops[[#This Row],[Days in Cells]]&lt;=0,0,Crops[[#This Row],[Plantings Per Bed]]/StartsPerHourSeeding+Crops[[#This Row],[Tray 1 Count]]*5/60)</f>
        <v>0.62656250000000002</v>
      </c>
      <c r="CE72" s="173">
        <f>IF(ISBLANK(Crops[[#This Row],[Tray 2 Days]]),0,Crops[[#This Row],[Plantings Per Bed]]/UpPottingPerHour)+IF(Crops[[#This Row],[Tray 3 Days]]="",0,Crops[[#This Row],[Plantings Per Bed]]/UpPottingPerHour)</f>
        <v>1.25</v>
      </c>
      <c r="CF72" s="173">
        <f>IFERROR(Crops[[#This Row],[Tray 1 Count]]/HomeStartFlatIrrigationPerHour,0)*Crops[[#This Row],[Days in Cells]]/DaysBetweenStartIrrigation</f>
        <v>0.14015625000000001</v>
      </c>
      <c r="CG72" s="173">
        <f>0.5/16*MAX(Crops[[#This Row],[Tray 1 Count]],Crops[[#This Row],[Tray 2 Count]],Crops[[#This Row],[Tray 3 Count]])</f>
        <v>4.7607421875E-2</v>
      </c>
      <c r="CH72" s="173">
        <f>IF(Crops[[#This Row],[Days in Cells]]&gt;0,IF(IF(Crops[[#This Row],[Tray 3 Size]]&gt;0,Crops[[#This Row],[Tray 3 Size]],IF(Crops[[#This Row],[Tray 2 Size]]&gt;0,Crops[[#This Row],[Tray 2 Size]],Crops[[#This Row],[Tray 1 Size]]))&lt;=18,LargeTransplantTime,SmallTransplantTime)*Crops[[#This Row],[Plantings Per Bed]],0)</f>
        <v>0.75</v>
      </c>
      <c r="CI72" s="173"/>
      <c r="CJ72" s="173">
        <f>_xlfn.XLOOKUP(Crops[[#This Row],[Trellis Type]],TrellisMethods[Trellis Type],TrellisMethods[Hours],0,0)</f>
        <v>0</v>
      </c>
      <c r="CK72">
        <f>IF(Crops[[#This Row],[Days in Cells]]&lt;=0,Crops[[#This Row],[Rows]]*1/10,0)*BedLength/50</f>
        <v>0</v>
      </c>
      <c r="CL72" cm="1">
        <f t="array" ref="CL72">_xlfn.SWITCH(Crops[[#This Row],[Irrigation]],"DR", 0.5, "OH", 0.25,0)*BedLength/50</f>
        <v>0</v>
      </c>
      <c r="CM72">
        <f>IF(OR(ISBLANK(Crops[[#This Row],[Row Cover]]),Crops[[#This Row],[Row Cover]]="None"),0,1)*BedLength/50</f>
        <v>0</v>
      </c>
      <c r="CN72" s="173">
        <f>HoursPerWeedingPass*Crops[[#This Row],[Days In Field]]/14*Crops[[#This Row],[Rows]]+1*BedLength/50</f>
        <v>7.3571428571428577</v>
      </c>
      <c r="CO72" s="49"/>
      <c r="CQ72" s="37">
        <f>_xlfn.XLOOKUP(Crops[[#This Row],[Crop]]&amp;Crops[[#This Row],[Product]]&amp;Crops[[#This Row],[Unit]],Products[ID],Products[Marketing (hr)])*Crops[[#This Row],[Direct Revenue Per Bed]]/2000</f>
        <v>7.424999999999998</v>
      </c>
      <c r="CR72" s="37">
        <f>_xlfn.XLOOKUP(Crops[[#This Row],[Crop]]&amp;Crops[[#This Row],[Product]]&amp;Crops[[#This Row],[Unit]],Products[ID],Products[Harvest (s)])*Crops[[#This Row],[Custom Yield Per Bed]]/3600</f>
        <v>11.999999999999998</v>
      </c>
      <c r="CS72" s="37">
        <f>_xlfn.XLOOKUP(Crops[[#This Row],[Crop]]&amp;Crops[[#This Row],[Product]]&amp;Crops[[#This Row],[Unit]],Products[ID],Products[Bunch (s)])*Crops[[#This Row],[Custom Yield Per Bed]]/3600</f>
        <v>4.9999999999999991</v>
      </c>
      <c r="CT72" s="37">
        <f>_xlfn.XLOOKUP(Crops[[#This Row],[Crop]]&amp;Crops[[#This Row],[Product]]&amp;Crops[[#This Row],[Unit]],Products[ID],Products[Haul (s)])*Crops[[#This Row],[Custom Yield Per Bed]]/3600</f>
        <v>2.4999999999999996</v>
      </c>
      <c r="CU72" s="37">
        <f>_xlfn.XLOOKUP(Crops[[#This Row],[Crop]]&amp;Crops[[#This Row],[Product]]&amp;Crops[[#This Row],[Unit]],Products[ID],Products[Wash (s)])*Crops[[#This Row],[Custom Yield Per Bed]]/3600</f>
        <v>7.9999999999999991</v>
      </c>
      <c r="CV72" s="37">
        <f>_xlfn.XLOOKUP(Crops[[#This Row],[Crop]]&amp;Crops[[#This Row],[Product]]&amp;Crops[[#This Row],[Unit]],Products[ID],Products[Condition (s)])*Crops[[#This Row],[Custom Yield Per Bed]]/3600</f>
        <v>0</v>
      </c>
      <c r="CW72" s="37">
        <f>_xlfn.XLOOKUP(Crops[[#This Row],[Crop]]&amp;Crops[[#This Row],[Product]]&amp;Crops[[#This Row],[Unit]],Products[ID],Products[Trim (s)])*Crops[[#This Row],[Custom Yield Per Bed]]/3600</f>
        <v>0</v>
      </c>
      <c r="CX72" s="37">
        <f>_xlfn.XLOOKUP(Crops[[#This Row],[Crop]]&amp;Crops[[#This Row],[Product]]&amp;Crops[[#This Row],[Unit]],Products[ID],Products[Pack (s)])*Crops[[#This Row],[Custom Yield Per Bed]]/3600</f>
        <v>1.4999999999999998</v>
      </c>
      <c r="CY72" s="37">
        <f>_xlfn.XLOOKUP(Crops[[#This Row],[Crop]]&amp;Crops[[#This Row],[Product]]&amp;Crops[[#This Row],[Unit]],Products[ID],Products[Clean (s)])*Crops[[#This Row],[Custom Yield Per Bed]]/3600</f>
        <v>0</v>
      </c>
      <c r="CZ72" s="37">
        <f>_xlfn.XLOOKUP(Crops[[#This Row],[Crop]]&amp;Crops[[#This Row],[Product]]&amp;Crops[[#This Row],[Unit]],Products[ID],Products[Rehandle (s)])*Crops[[#This Row],[Custom Yield Per Bed]]/3600</f>
        <v>0</v>
      </c>
      <c r="DA72" s="37">
        <f>_xlfn.XLOOKUP(Crops[[#This Row],[Crop]]&amp;Crops[[#This Row],[Product]]&amp;Crops[[#This Row],[Unit]],Products[ID],Products[Market Transport (s)])*Crops[[#This Row],[Custom Yield Per Bed]]/3600</f>
        <v>6.2499999999999991</v>
      </c>
      <c r="DC72" s="37">
        <f>Crops[[#This Row],[Direct Revenue Per Bed2]]</f>
        <v>4949.9999999999991</v>
      </c>
      <c r="DD72" s="173">
        <f>_xlfn.AGGREGATE(9,6,Crops[[#This Row],[Bed Prep]:[Remove Crop Residue]])</f>
        <v>53.846469029017854</v>
      </c>
      <c r="DE72" s="173">
        <f>_xlfn.AGGREGATE(9,6,Crops[[#This Row],[Bed Prep]:[Remove Crop Residue]])-0.75*Crops[[#This Row],[Market &amp; Sell]]</f>
        <v>48.277719029017852</v>
      </c>
      <c r="DF72" s="36">
        <f>Crops[[#This Row],[Direct Revenue Per Bed2]]/Crops[[#This Row],[Direct Time]]</f>
        <v>91.928033337384576</v>
      </c>
      <c r="DG72" s="36">
        <f>_xlfn.XLOOKUP(Crops[[#This Row],[ProductIndex]],Products[ID],Products[Packaging Cost])*(Crops[[#This Row],[Custom Yield Per Bed]]/_xlfn.XLOOKUP(Crops[[#This Row],[ProductIndex]],Products[ID],Products[Units Per Pack]))</f>
        <v>379.99999999999994</v>
      </c>
      <c r="DH72" s="36"/>
      <c r="DI72" s="36"/>
      <c r="DJ72" s="36"/>
      <c r="DK72" s="36"/>
      <c r="DL72" s="36"/>
      <c r="DM72" s="33">
        <f>IFERROR(Crops[[#This Row],[Custom Yield Per Bed]]*Crops[[#This Row],[Direct Price]],"")</f>
        <v>4949.9999999999991</v>
      </c>
      <c r="DN72" s="36">
        <f>Crops[[#This Row],[Direct Time]]*LaborRate</f>
        <v>1346.1617257254463</v>
      </c>
      <c r="DO72" s="36">
        <f>SUM(Crops[[#This Row],[Irrigation Cost]])</f>
        <v>0</v>
      </c>
      <c r="DP72" s="36">
        <f>Crops[[#This Row],[Direct Labor Cost]]+Crops[[#This Row],[Direct Non-Labor Cost]]</f>
        <v>1346.1617257254463</v>
      </c>
      <c r="DQ72" s="36">
        <f>Crops[[#This Row],[Direct Revenue Per Bed2]]-Crops[[#This Row],[Direct Total Cost]]</f>
        <v>3603.8382742745525</v>
      </c>
      <c r="DR72" s="36">
        <f>Crops[[#This Row],[Direct Profit]]*BedsPerAcre</f>
        <v>576614.12388392841</v>
      </c>
      <c r="DS72" s="36">
        <f>Crops[[#This Row],[Direct Profit]]*BedsPerAcre*GrowingDays/Crops[[#This Row],[Days In Field]]</f>
        <v>583092.93426464673</v>
      </c>
      <c r="DT72" s="36">
        <f>Crops[[#This Row],[Direct Profit]]/MIN(Crops[[#This Row],[Days In Field]],GrowingDays)</f>
        <v>20.246282439744679</v>
      </c>
      <c r="DU72" s="33">
        <f>Crops[[#This Row],[Direct Time]] * BedsPerAcre</f>
        <v>8615.4350446428562</v>
      </c>
      <c r="DV72" s="36">
        <f>(Crops[[#This Row],[Direct Revenue Per Bed2]]-Crops[[#This Row],[Direct Non-Labor Cost]])/Crops[[#This Row],[Direct Time]]</f>
        <v>91.928033337384576</v>
      </c>
      <c r="DW72" s="33">
        <f>IFERROR(Crops[[#This Row],[Custom Yield Per Bed]]*Crops[[#This Row],[Rough Wholesale Price]],"")</f>
        <v>2969.9999999999995</v>
      </c>
      <c r="DX72" s="36">
        <f>Crops[[#This Row],[Wholesale Time]]*LaborRate</f>
        <v>1206.9429757254463</v>
      </c>
      <c r="DY72" s="36">
        <f>SUM(Crops[[#This Row],[Packaging Costs]:[Irrigation Cost]])</f>
        <v>379.99999999999994</v>
      </c>
      <c r="DZ72" s="36">
        <f>Crops[[#This Row],[Wholesale Labor Cost]]+Crops[[#This Row],[Wholesale Non-Labor Cost]]</f>
        <v>1586.9429757254463</v>
      </c>
      <c r="EA72" s="36">
        <f>Crops[[#This Row],[Wholesale Revenue Per Bed]]-Crops[[#This Row],[Wholesale Total Cost]]</f>
        <v>1383.0570242745532</v>
      </c>
      <c r="EB72" s="36">
        <f>Crops[[#This Row],[Wholesale Profit]]*BedsPerAcre</f>
        <v>221289.12388392852</v>
      </c>
      <c r="EC72" s="36">
        <f>Crops[[#This Row],[Wholesale Profit]]*BedsPerAcre*GrowingDays/Crops[[#This Row],[Days In Field]]</f>
        <v>223775.51853430975</v>
      </c>
      <c r="ED72" s="33">
        <f>Crops[[#This Row],[Wholesale Time]] * BedsPerAcre</f>
        <v>7724.4350446428562</v>
      </c>
      <c r="EE72" s="221">
        <f>Crops[[#This Row],[Wholesale Profit]]/MIN(Crops[[#This Row],[Days In Field]],GrowingDays)</f>
        <v>7.7699832824413102</v>
      </c>
      <c r="EF72" s="36">
        <f>(Crops[[#This Row],[Wholesale Revenue Per Bed]]-Crops[[#This Row],[Wholesale Non-Labor Cost]])/Crops[[#This Row],[Direct Time]]</f>
        <v>48.099718453298188</v>
      </c>
      <c r="EG72" s="174">
        <f>Crops[[#This Row],[Packaging Costs]]/Crops[[#This Row],[Wholesale Revenue Per Bed]]</f>
        <v>0.12794612794612795</v>
      </c>
      <c r="EH72" s="36" t="str">
        <f>Crops[[#This Row],[Crop]]&amp;Crops[[#This Row],[Product]]&amp;Crops[[#This Row],[Unit]]</f>
        <v>CeleryLoose RibBunch</v>
      </c>
      <c r="EI72" s="36" t="b">
        <f>_xlfn.XLOOKUP(Crops[[#This Row],[ProductIndex]],Products[ID],Products[Target])</f>
        <v>1</v>
      </c>
      <c r="EJ72" s="33">
        <f>Crops[[#This Row],[Custom Yield Per Bed]]</f>
        <v>1799.9999999999998</v>
      </c>
      <c r="EK72" s="210">
        <f>Crops[[#This Row],[Units Per Harvest]]/Crops[[#This Row],[Days Between Harvest]]*7</f>
        <v>85.714285714285708</v>
      </c>
      <c r="EL72" s="210">
        <f>Crops[[#This Row],[Custom Yield Per Bed]]/_xlfn.XLOOKUP(Crops[[#This Row],[ProductIndex]],Products[ID],Products[CSA Portion])</f>
        <v>1799.9999999999998</v>
      </c>
      <c r="EM72" s="210">
        <f>Crops[[#This Row],[Units Per Harvest]]/Crops[[#This Row],[Days Between Harvest]]*7/_xlfn.XLOOKUP(Crops[[#This Row],[ProductIndex]],Products[ID],Products[CSA Portion])</f>
        <v>85.714285714285708</v>
      </c>
      <c r="EN72" s="210">
        <f>Crops[[#This Row],[CSA Portions Per Week]]/CSAMembers</f>
        <v>1.7142857142857142</v>
      </c>
      <c r="EO72" s="216">
        <v>1</v>
      </c>
      <c r="EP72" s="216">
        <v>1</v>
      </c>
      <c r="EQ72" s="210"/>
      <c r="ER72" s="210">
        <f>Crops[[#This Row],[Harvests]]*Crops[[#This Row],[Days Between Harvest]]/7</f>
        <v>21</v>
      </c>
      <c r="ES72" s="217">
        <f>_xlfn.XLOOKUP(Crops[[#This Row],[ProductIndex]],Products[ID],Products[CSA Need])</f>
        <v>4</v>
      </c>
      <c r="ET72" s="217">
        <f>_xlfn.XLOOKUP(Crops[[#This Row],[ProductIndex]],Products[ID],Products[CSA Times])</f>
        <v>4</v>
      </c>
      <c r="EU72" s="208">
        <f>Crops[[#This Row],[Custom Yield Per Bed]]/(Crops[[#This Row],[CSA Need]]*(_xlfn.XLOOKUP(Crops[[#This Row],[ProductIndex]],Products[ID],Products[CSA Portion])*CSAMembers))</f>
        <v>8.9999999999999982</v>
      </c>
      <c r="EV72" s="208">
        <f>_xlfn.XLOOKUP(Crops[[#This Row],[ProductIndex]],Products[ID],Products[CSA Portion])*CSAMembers*Crops[[#This Row],[CSA Need]]/Crops[[#This Row],[Custom Yield Per Bed]]</f>
        <v>0.11111111111111112</v>
      </c>
      <c r="EW72" s="208">
        <f>IFERROR(Crops[[#This Row],[Days In Field]]*Crops[[#This Row],[CSA Beds]],"")</f>
        <v>19.777777777777779</v>
      </c>
      <c r="EX72" s="208" t="e">
        <f>Crops[[#This Row],[CSA Bed Days]]*#REF!</f>
        <v>#REF!</v>
      </c>
      <c r="EY72" t="s">
        <v>315</v>
      </c>
    </row>
    <row r="73" spans="1:155">
      <c r="A73"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Celery Root - Mature Root 1X | Field DS SpSuFaWi</v>
      </c>
      <c r="B73" s="192"/>
      <c r="C73" s="1" t="s">
        <v>2588</v>
      </c>
      <c r="D73" s="1"/>
      <c r="E73" s="1" t="b">
        <v>0</v>
      </c>
      <c r="F73" s="1" t="b">
        <f>IFERROR(IF(ISNUMBER(MATCH(Crops[[#This Row],[Identifier]],BedPlan[Crop], 0)), TRUE, FALSE), FALSE)</f>
        <v>0</v>
      </c>
      <c r="G73" s="1" t="b">
        <f>IFERROR(IF(ISNUMBER(MATCH(Crops[[#This Row],[Identifier]],BedPlan[Crop], 0)), TRUE, FALSE), FALSE)</f>
        <v>0</v>
      </c>
      <c r="H73" s="1" t="b">
        <v>1</v>
      </c>
      <c r="I73" t="s">
        <v>56</v>
      </c>
      <c r="J73" t="s">
        <v>145</v>
      </c>
      <c r="K73" t="s">
        <v>185</v>
      </c>
      <c r="N73" t="str">
        <f>Crops[[#This Row],[Crop]]</f>
        <v>Celery Root</v>
      </c>
      <c r="O73" t="s">
        <v>210</v>
      </c>
      <c r="P73" t="str">
        <f>IF(OR(Crops[[#This Row],[Days in Cells]]="",Crops[[#This Row],[Days in Cells]]=0), "DS","TP")</f>
        <v>DS</v>
      </c>
      <c r="Q73" t="s">
        <v>144</v>
      </c>
      <c r="R73" t="s">
        <v>144</v>
      </c>
      <c r="S73" t="s">
        <v>144</v>
      </c>
      <c r="T73" t="s">
        <v>144</v>
      </c>
      <c r="V73" t="str">
        <f xml:space="preserve"> IF(Crops[[#This Row],[Sp]], "Sp", "") &amp; IF(Crops[[#This Row],[Su]], "Su", "") &amp; IF(Crops[[#This Row],[Fa]], "Fa", "") &amp; IF(Crops[[#This Row],[Wi]], "Wi", "") &amp; IF(Crops[[#This Row],[OW]], "Ow","")</f>
        <v>SpSuFaWi</v>
      </c>
      <c r="W73" t="s">
        <v>144</v>
      </c>
      <c r="X73">
        <v>3</v>
      </c>
      <c r="Y73">
        <v>12</v>
      </c>
      <c r="AD73" s="32">
        <f>IFERROR(12/Crops[[#This Row],[Spacing]]*Crops[[#This Row],[Rows]]*BedLength,"")</f>
        <v>150</v>
      </c>
      <c r="AE73">
        <v>1</v>
      </c>
      <c r="AG73">
        <f>IF(Crops[[#This Row],[Custom Safety Factor]]="",PlantingSafetyFactor,Crops[[#This Row],[Custom Safety Factor]])</f>
        <v>1.3</v>
      </c>
      <c r="AH73">
        <f>1</f>
        <v>1</v>
      </c>
      <c r="AI73" s="33">
        <f>IFERROR(Crops[[#This Row],[Plantings Per Bed]]*Crops[[#This Row],[Seeds Per Planting]]*Crops[[#This Row],[Safety Factor]]*Crops[[#This Row],[Seeding Factor]],"")</f>
        <v>195</v>
      </c>
      <c r="AL73">
        <f>_xlfn.FLOOR.MATH(IFERROR(AVERAGE(Crops[[#This Row],[DTG Lower]:[DTG Upper]]),0))</f>
        <v>0</v>
      </c>
      <c r="AM73">
        <f>SUM(Crops[[#This Row],[Tray 1 Days]],Crops[[#This Row],[Tray 2 Days]],Crops[[#This Row],[Tray 3 Days]])</f>
        <v>0</v>
      </c>
      <c r="AN73">
        <v>70</v>
      </c>
      <c r="AP73">
        <v>120</v>
      </c>
      <c r="AQ73">
        <f>IFERROR(_xlfn.FLOOR.MATH(AVERAGE(Crops[[#This Row],[DTM Lower]:[DTM Upper]])),"")</f>
        <v>120</v>
      </c>
      <c r="AR73" cm="1">
        <f t="array" ref="AR73">_xlfn.SWITCH(Crops[[#This Row],[Normal Method]],"DS",Crops[[#This Row],[Days to Germination]]+Crops[[#This Row],[DTM]] + IF(Crops[[#This Row],[Days in Cells]]&gt;0,15,0), "TP",Crops[[#This Row],[DTM]]+Crops[[#This Row],[Days in Cells]] + IF(Crops[[#This Row],[Days in Cells]]&lt;=0,20,0), "X", Crops[[#This Row],[DTM]])</f>
        <v>140</v>
      </c>
      <c r="AS73" t="s">
        <v>346</v>
      </c>
      <c r="AT73">
        <f>(Crops[[#This Row],[Harvests]]-1)*Crops[[#This Row],[Days Between Harvest]]+7</f>
        <v>21</v>
      </c>
      <c r="AU73">
        <f>Crops[[#This Row],[STH]]-Crops[[#This Row],[Days in Cells]]+Crops[[#This Row],[Harvest window]]</f>
        <v>161</v>
      </c>
      <c r="AW73">
        <v>128</v>
      </c>
      <c r="AZ73" t="str">
        <f>IFERROR(IF(Crops[[#This Row],[Tray 1 Days]]=0,"",Crops[[#This Row],[Plantings Per Bed]]/Crops[[#This Row],[Tray 1 Size]]*Crops[[#This Row],[Safety Factor]]),"")</f>
        <v/>
      </c>
      <c r="BC73" t="str">
        <f>IFERROR(IF(Crops[[#This Row],[Tray 2 Days]]=0,"",Crops[[#This Row],[Plantings Per Bed]]/Crops[[#This Row],[Tray 2 Size]]*Crops[[#This Row],[Safety Factor]]),"")</f>
        <v/>
      </c>
      <c r="BE73" s="32" t="str">
        <f>IF(NOT(ISBLANK(Crops[[#This Row],[Tray 3 Size]])), Crops[[#This Row],[Days in Cells Old]]-SUM(Crops[[#This Row],[Tray 1 Days]],Crops[[#This Row],[Tray 2 Days]]), "")</f>
        <v/>
      </c>
      <c r="BF73" t="str">
        <f>IFERROR(IF(Crops[[#This Row],[Tray 3 Days]]=0,"",Crops[[#This Row],[Plantings Per Bed]]/Crops[[#This Row],[Tray 3 Size]]*Crops[[#This Row],[Safety Factor]]),"")</f>
        <v/>
      </c>
      <c r="BG73" s="33">
        <f>Crops[[#This Row],[Plantings Per Bed]]/2</f>
        <v>75</v>
      </c>
      <c r="BH73" s="33">
        <v>2</v>
      </c>
      <c r="BI73" s="33">
        <v>14</v>
      </c>
      <c r="BJ73" s="33">
        <f>_xlfn.XLOOKUP(Crops[[#This Row],[ProductIndex]],Products[ID],Products[Holding Period])</f>
        <v>0</v>
      </c>
      <c r="BK73" s="33"/>
      <c r="BL73" s="33">
        <f>Crops[[#This Row],[Units Per Harvest]]*Crops[[#This Row],[Harvests]]</f>
        <v>150</v>
      </c>
      <c r="BM73" s="35">
        <v>4</v>
      </c>
      <c r="BN73" s="35">
        <f>Crops[[#This Row],[Direct Price]]*0.6</f>
        <v>2.4</v>
      </c>
      <c r="BO73" s="35"/>
      <c r="BP73" t="s">
        <v>443</v>
      </c>
      <c r="BQ73">
        <f>Crops[[#This Row],[Custom Yield Per Bed]]*Crops[[#This Row],[Direct Price]]</f>
        <v>600</v>
      </c>
      <c r="BR73" t="b">
        <v>1</v>
      </c>
      <c r="BS73" t="b">
        <f>Crops[[#This Row],[Harvests]]&gt;1</f>
        <v>1</v>
      </c>
      <c r="BT73" s="36">
        <f>IFERROR(Crops[[#This Row],[Direct Revenue Per Bed]]/Crops[[#This Row],[Days In Field]],-1)</f>
        <v>3.7267080745341614</v>
      </c>
      <c r="BU73" s="36">
        <f>IFERROR(Crops[[#This Row],[Direct Revenue Per Bed Day]]*GrowingDays*BedsPerAcre,"")</f>
        <v>107329.19254658386</v>
      </c>
      <c r="BV73" s="38">
        <f>LastFrostDate-5*Crops[[#This Row],[Sewing Rel Last Frost]]</f>
        <v>45748</v>
      </c>
      <c r="BW73" s="38">
        <f>Crops[[#This Row],[Target Sewing Date]]+Crops[[#This Row],[Days in Cells]]</f>
        <v>45748</v>
      </c>
      <c r="BX73" s="38">
        <f>Crops[[#This Row],[Target Sewing Date]]+Crops[[#This Row],[STH]]</f>
        <v>45888</v>
      </c>
      <c r="BY73" s="38">
        <f>Crops[[#This Row],[Target Harvest Data]]+Crops[[#This Row],[Harvest window]]</f>
        <v>45909</v>
      </c>
      <c r="CB73">
        <f>1</f>
        <v>1</v>
      </c>
      <c r="CC73">
        <f>IF(Crops[[#This Row],[Transplanting]]&gt;0, 2, 3)*BedLength/StandardBedLength</f>
        <v>1.5</v>
      </c>
      <c r="CD73" s="173">
        <f>IF(Crops[[#This Row],[Days in Cells]]&lt;=0,0,Crops[[#This Row],[Plantings Per Bed]]/StartsPerHourSeeding+Crops[[#This Row],[Tray 1 Count]]*5/60)</f>
        <v>0</v>
      </c>
      <c r="CE73" s="173">
        <f>IF(ISBLANK(Crops[[#This Row],[Tray 2 Days]]),0,Crops[[#This Row],[Plantings Per Bed]]/UpPottingPerHour)+IF(Crops[[#This Row],[Tray 3 Days]]="",0,Crops[[#This Row],[Plantings Per Bed]]/UpPottingPerHour)</f>
        <v>0</v>
      </c>
      <c r="CF73" s="173">
        <f>IFERROR(Crops[[#This Row],[Tray 1 Count]]/HomeStartFlatIrrigationPerHour,0)*Crops[[#This Row],[Days in Cells]]/DaysBetweenStartIrrigation</f>
        <v>0</v>
      </c>
      <c r="CG73" s="173">
        <f>0.5/16*MAX(Crops[[#This Row],[Tray 1 Count]],Crops[[#This Row],[Tray 2 Count]],Crops[[#This Row],[Tray 3 Count]])</f>
        <v>0</v>
      </c>
      <c r="CH73" s="173">
        <f>IF(Crops[[#This Row],[Days in Cells]]&gt;0,IF(IF(Crops[[#This Row],[Tray 3 Size]]&gt;0,Crops[[#This Row],[Tray 3 Size]],IF(Crops[[#This Row],[Tray 2 Size]]&gt;0,Crops[[#This Row],[Tray 2 Size]],Crops[[#This Row],[Tray 1 Size]]))&lt;=18,LargeTransplantTime,SmallTransplantTime)*Crops[[#This Row],[Plantings Per Bed]],0)</f>
        <v>0</v>
      </c>
      <c r="CI73" s="173"/>
      <c r="CJ73" s="173">
        <f>_xlfn.XLOOKUP(Crops[[#This Row],[Trellis Type]],TrellisMethods[Trellis Type],TrellisMethods[Hours],0,0)</f>
        <v>0</v>
      </c>
      <c r="CK73">
        <f>IF(Crops[[#This Row],[Days in Cells]]&lt;=0,Crops[[#This Row],[Rows]]*1/10,0)*BedLength/50</f>
        <v>0.3</v>
      </c>
      <c r="CL73" cm="1">
        <f t="array" ref="CL73">_xlfn.SWITCH(Crops[[#This Row],[Irrigation]],"DR", 0.5, "OH", 0.25,0)*BedLength/50</f>
        <v>0</v>
      </c>
      <c r="CM73">
        <f>IF(OR(ISBLANK(Crops[[#This Row],[Row Cover]]),Crops[[#This Row],[Row Cover]]="None"),0,1)*BedLength/50</f>
        <v>0</v>
      </c>
      <c r="CN73" s="173">
        <f>HoursPerWeedingPass*Crops[[#This Row],[Days In Field]]/14*Crops[[#This Row],[Rows]]+1*BedLength/50</f>
        <v>6.75</v>
      </c>
      <c r="CO73" s="49"/>
      <c r="CQ73" s="37">
        <f>_xlfn.XLOOKUP(Crops[[#This Row],[Crop]]&amp;Crops[[#This Row],[Product]]&amp;Crops[[#This Row],[Unit]],Products[ID],Products[Marketing (hr)])*Crops[[#This Row],[Direct Revenue Per Bed]]/2000</f>
        <v>1.2</v>
      </c>
      <c r="CR73" s="37">
        <f>_xlfn.XLOOKUP(Crops[[#This Row],[Crop]]&amp;Crops[[#This Row],[Product]]&amp;Crops[[#This Row],[Unit]],Products[ID],Products[Harvest (s)])*Crops[[#This Row],[Custom Yield Per Bed]]/3600</f>
        <v>0.41666666666666669</v>
      </c>
      <c r="CS73" s="37">
        <f>_xlfn.XLOOKUP(Crops[[#This Row],[Crop]]&amp;Crops[[#This Row],[Product]]&amp;Crops[[#This Row],[Unit]],Products[ID],Products[Bunch (s)])*Crops[[#This Row],[Custom Yield Per Bed]]/3600</f>
        <v>0</v>
      </c>
      <c r="CT73" s="37">
        <f>_xlfn.XLOOKUP(Crops[[#This Row],[Crop]]&amp;Crops[[#This Row],[Product]]&amp;Crops[[#This Row],[Unit]],Products[ID],Products[Haul (s)])*Crops[[#This Row],[Custom Yield Per Bed]]/3600</f>
        <v>0.20833333333333334</v>
      </c>
      <c r="CU73" s="37">
        <f>_xlfn.XLOOKUP(Crops[[#This Row],[Crop]]&amp;Crops[[#This Row],[Product]]&amp;Crops[[#This Row],[Unit]],Products[ID],Products[Wash (s)])*Crops[[#This Row],[Custom Yield Per Bed]]/3600</f>
        <v>0.20833333333333334</v>
      </c>
      <c r="CV73" s="37">
        <f>_xlfn.XLOOKUP(Crops[[#This Row],[Crop]]&amp;Crops[[#This Row],[Product]]&amp;Crops[[#This Row],[Unit]],Products[ID],Products[Condition (s)])*Crops[[#This Row],[Custom Yield Per Bed]]/3600</f>
        <v>0</v>
      </c>
      <c r="CW73" s="37">
        <f>_xlfn.XLOOKUP(Crops[[#This Row],[Crop]]&amp;Crops[[#This Row],[Product]]&amp;Crops[[#This Row],[Unit]],Products[ID],Products[Trim (s)])*Crops[[#This Row],[Custom Yield Per Bed]]/3600</f>
        <v>0.20833333333333334</v>
      </c>
      <c r="CX73" s="37">
        <f>_xlfn.XLOOKUP(Crops[[#This Row],[Crop]]&amp;Crops[[#This Row],[Product]]&amp;Crops[[#This Row],[Unit]],Products[ID],Products[Pack (s)])*Crops[[#This Row],[Custom Yield Per Bed]]/3600</f>
        <v>0.125</v>
      </c>
      <c r="CY73" s="37">
        <f>_xlfn.XLOOKUP(Crops[[#This Row],[Crop]]&amp;Crops[[#This Row],[Product]]&amp;Crops[[#This Row],[Unit]],Products[ID],Products[Clean (s)])*Crops[[#This Row],[Custom Yield Per Bed]]/3600</f>
        <v>0</v>
      </c>
      <c r="CZ73" s="37">
        <f>_xlfn.XLOOKUP(Crops[[#This Row],[Crop]]&amp;Crops[[#This Row],[Product]]&amp;Crops[[#This Row],[Unit]],Products[ID],Products[Rehandle (s)])*Crops[[#This Row],[Custom Yield Per Bed]]/3600</f>
        <v>0</v>
      </c>
      <c r="DA73" s="37">
        <f>_xlfn.XLOOKUP(Crops[[#This Row],[Crop]]&amp;Crops[[#This Row],[Product]]&amp;Crops[[#This Row],[Unit]],Products[ID],Products[Market Transport (s)])*Crops[[#This Row],[Custom Yield Per Bed]]/3600</f>
        <v>0.52083333333333337</v>
      </c>
      <c r="DC73" s="37">
        <f>Crops[[#This Row],[Direct Revenue Per Bed2]]</f>
        <v>600</v>
      </c>
      <c r="DD73" s="173">
        <f>_xlfn.AGGREGATE(9,6,Crops[[#This Row],[Bed Prep]:[Remove Crop Residue]])</f>
        <v>11.437500000000002</v>
      </c>
      <c r="DE73" s="173">
        <f>_xlfn.AGGREGATE(9,6,Crops[[#This Row],[Bed Prep]:[Remove Crop Residue]])-0.75*Crops[[#This Row],[Market &amp; Sell]]</f>
        <v>10.537500000000001</v>
      </c>
      <c r="DF73" s="36">
        <f>Crops[[#This Row],[Direct Revenue Per Bed2]]/Crops[[#This Row],[Direct Time]]</f>
        <v>52.459016393442617</v>
      </c>
      <c r="DG73" s="36">
        <f>_xlfn.XLOOKUP(Crops[[#This Row],[ProductIndex]],Products[ID],Products[Packaging Cost])*(Crops[[#This Row],[Custom Yield Per Bed]]/_xlfn.XLOOKUP(Crops[[#This Row],[ProductIndex]],Products[ID],Products[Units Per Pack]))</f>
        <v>31.666666666666668</v>
      </c>
      <c r="DH73" s="36"/>
      <c r="DI73" s="36"/>
      <c r="DJ73" s="36"/>
      <c r="DK73" s="36"/>
      <c r="DL73" s="36"/>
      <c r="DM73" s="33">
        <f>IFERROR(Crops[[#This Row],[Custom Yield Per Bed]]*Crops[[#This Row],[Direct Price]],"")</f>
        <v>600</v>
      </c>
      <c r="DN73" s="36">
        <f>Crops[[#This Row],[Direct Time]]*LaborRate</f>
        <v>285.93750000000006</v>
      </c>
      <c r="DO73" s="36">
        <f>SUM(Crops[[#This Row],[Irrigation Cost]])</f>
        <v>0</v>
      </c>
      <c r="DP73" s="36">
        <f>Crops[[#This Row],[Direct Labor Cost]]+Crops[[#This Row],[Direct Non-Labor Cost]]</f>
        <v>285.93750000000006</v>
      </c>
      <c r="DQ73" s="36">
        <f>Crops[[#This Row],[Direct Revenue Per Bed2]]-Crops[[#This Row],[Direct Total Cost]]</f>
        <v>314.06249999999994</v>
      </c>
      <c r="DR73" s="36">
        <f>Crops[[#This Row],[Direct Profit]]*BedsPerAcre</f>
        <v>50249.999999999993</v>
      </c>
      <c r="DS73" s="36">
        <f>Crops[[#This Row],[Direct Profit]]*BedsPerAcre*GrowingDays/Crops[[#This Row],[Days In Field]]</f>
        <v>56180.12422360247</v>
      </c>
      <c r="DT73" s="36">
        <f>Crops[[#This Row],[Direct Profit]]/MIN(Crops[[#This Row],[Days In Field]],GrowingDays)</f>
        <v>1.9506987577639747</v>
      </c>
      <c r="DU73" s="36">
        <f>Crops[[#This Row],[Direct Time]] * BedsPerAcre</f>
        <v>1830.0000000000002</v>
      </c>
      <c r="DV73" s="36">
        <f>(Crops[[#This Row],[Direct Revenue Per Bed2]]-Crops[[#This Row],[Direct Non-Labor Cost]])/Crops[[#This Row],[Direct Time]]</f>
        <v>52.459016393442617</v>
      </c>
      <c r="DW73" s="33">
        <f>IFERROR(Crops[[#This Row],[Custom Yield Per Bed]]*Crops[[#This Row],[Rough Wholesale Price]],"")</f>
        <v>360</v>
      </c>
      <c r="DX73" s="36">
        <f>Crops[[#This Row],[Wholesale Time]]*LaborRate</f>
        <v>263.43750000000006</v>
      </c>
      <c r="DY73" s="36">
        <f>SUM(Crops[[#This Row],[Packaging Costs]:[Irrigation Cost]])</f>
        <v>31.666666666666668</v>
      </c>
      <c r="DZ73" s="36">
        <f>Crops[[#This Row],[Wholesale Labor Cost]]+Crops[[#This Row],[Wholesale Non-Labor Cost]]</f>
        <v>295.10416666666674</v>
      </c>
      <c r="EA73" s="36">
        <f>Crops[[#This Row],[Wholesale Revenue Per Bed]]-Crops[[#This Row],[Wholesale Total Cost]]</f>
        <v>64.895833333333258</v>
      </c>
      <c r="EB73" s="36">
        <f>Crops[[#This Row],[Wholesale Profit]]*BedsPerAcre</f>
        <v>10383.333333333321</v>
      </c>
      <c r="EC73" s="36">
        <f>Crops[[#This Row],[Wholesale Profit]]*BedsPerAcre*GrowingDays/Crops[[#This Row],[Days In Field]]</f>
        <v>11608.695652173899</v>
      </c>
      <c r="ED73" s="36">
        <f>Crops[[#This Row],[Wholesale Time]] * BedsPerAcre</f>
        <v>1686.0000000000002</v>
      </c>
      <c r="EE73" s="221">
        <f>Crops[[#This Row],[Wholesale Profit]]/MIN(Crops[[#This Row],[Days In Field]],GrowingDays)</f>
        <v>0.40307971014492705</v>
      </c>
      <c r="EF73" s="36">
        <f>(Crops[[#This Row],[Wholesale Revenue Per Bed]]-Crops[[#This Row],[Wholesale Non-Labor Cost]])/Crops[[#This Row],[Direct Time]]</f>
        <v>28.706739526411653</v>
      </c>
      <c r="EG73" s="174">
        <f>Crops[[#This Row],[Packaging Costs]]/Crops[[#This Row],[Wholesale Revenue Per Bed]]</f>
        <v>8.7962962962962965E-2</v>
      </c>
      <c r="EH73" s="36" t="str">
        <f>Crops[[#This Row],[Crop]]&amp;Crops[[#This Row],[Product]]&amp;Crops[[#This Row],[Unit]]</f>
        <v>Celery RootMature RootRoot</v>
      </c>
      <c r="EI73" s="36" t="b">
        <f>_xlfn.XLOOKUP(Crops[[#This Row],[ProductIndex]],Products[ID],Products[Target])</f>
        <v>1</v>
      </c>
      <c r="EJ73" s="33">
        <f>Crops[[#This Row],[Custom Yield Per Bed]]</f>
        <v>150</v>
      </c>
      <c r="EK73" s="210">
        <f>Crops[[#This Row],[Units Per Harvest]]/Crops[[#This Row],[Days Between Harvest]]*7</f>
        <v>37.5</v>
      </c>
      <c r="EL73" s="210">
        <f>Crops[[#This Row],[Custom Yield Per Bed]]/_xlfn.XLOOKUP(Crops[[#This Row],[ProductIndex]],Products[ID],Products[CSA Portion])</f>
        <v>150</v>
      </c>
      <c r="EM73" s="210">
        <f>Crops[[#This Row],[Units Per Harvest]]/Crops[[#This Row],[Days Between Harvest]]*7/_xlfn.XLOOKUP(Crops[[#This Row],[ProductIndex]],Products[ID],Products[CSA Portion])</f>
        <v>37.5</v>
      </c>
      <c r="EN73" s="210">
        <f>Crops[[#This Row],[CSA Portions Per Week]]/CSAMembers</f>
        <v>0.75</v>
      </c>
      <c r="EO73" s="216">
        <v>1</v>
      </c>
      <c r="EP73" s="216">
        <v>1</v>
      </c>
      <c r="EQ73" s="36"/>
      <c r="ER73" s="36">
        <f>Crops[[#This Row],[Harvests]]*Crops[[#This Row],[Days Between Harvest]]/7</f>
        <v>4</v>
      </c>
      <c r="ES73" s="208">
        <f>_xlfn.XLOOKUP(Crops[[#This Row],[ProductIndex]],Products[ID],Products[CSA Need])</f>
        <v>1</v>
      </c>
      <c r="ET73" s="208">
        <f>_xlfn.XLOOKUP(Crops[[#This Row],[ProductIndex]],Products[ID],Products[CSA Times])</f>
        <v>1</v>
      </c>
      <c r="EU73" s="208">
        <f>Crops[[#This Row],[Custom Yield Per Bed]]/(Crops[[#This Row],[CSA Need]]*(_xlfn.XLOOKUP(Crops[[#This Row],[ProductIndex]],Products[ID],Products[CSA Portion])*CSAMembers))</f>
        <v>3</v>
      </c>
      <c r="EV73" s="208">
        <f>_xlfn.XLOOKUP(Crops[[#This Row],[ProductIndex]],Products[ID],Products[CSA Portion])*CSAMembers*Crops[[#This Row],[CSA Need]]/Crops[[#This Row],[Custom Yield Per Bed]]</f>
        <v>0.33333333333333331</v>
      </c>
      <c r="EW73" s="208">
        <f>IFERROR(Crops[[#This Row],[Days In Field]]*Crops[[#This Row],[CSA Beds]],"")</f>
        <v>53.666666666666664</v>
      </c>
      <c r="EX73" s="208" t="e">
        <f>Crops[[#This Row],[CSA Bed Days]]*#REF!</f>
        <v>#REF!</v>
      </c>
      <c r="EY73" t="s">
        <v>403</v>
      </c>
    </row>
    <row r="74" spans="1:155">
      <c r="A74"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Celery Root - Mini Root 1X | Field DS SpSuFaWi</v>
      </c>
      <c r="B74" s="192"/>
      <c r="C74" s="1"/>
      <c r="D74" s="1"/>
      <c r="E74" s="1" t="b">
        <v>0</v>
      </c>
      <c r="F74" s="1" t="b">
        <f>IFERROR(IF(ISNUMBER(MATCH(Crops[[#This Row],[Identifier]],BedPlan[Crop], 0)), TRUE, FALSE), FALSE)</f>
        <v>0</v>
      </c>
      <c r="G74" s="1" t="b">
        <f>IFERROR(IF(ISNUMBER(MATCH(Crops[[#This Row],[Identifier]],BedPlan[Crop], 0)), TRUE, FALSE), FALSE)</f>
        <v>0</v>
      </c>
      <c r="H74" s="1" t="b">
        <v>1</v>
      </c>
      <c r="I74" t="s">
        <v>56</v>
      </c>
      <c r="J74" t="s">
        <v>145</v>
      </c>
      <c r="K74" t="s">
        <v>189</v>
      </c>
      <c r="N74" t="str">
        <f>Crops[[#This Row],[Crop]]</f>
        <v>Celery Root</v>
      </c>
      <c r="O74" t="s">
        <v>210</v>
      </c>
      <c r="P74" t="str">
        <f>IF(OR(Crops[[#This Row],[Days in Cells]]="",Crops[[#This Row],[Days in Cells]]=0), "DS","TP")</f>
        <v>DS</v>
      </c>
      <c r="Q74" t="s">
        <v>144</v>
      </c>
      <c r="R74" t="s">
        <v>144</v>
      </c>
      <c r="S74" t="s">
        <v>144</v>
      </c>
      <c r="T74" t="s">
        <v>144</v>
      </c>
      <c r="V74" t="str">
        <f xml:space="preserve"> IF(Crops[[#This Row],[Sp]], "Sp", "") &amp; IF(Crops[[#This Row],[Su]], "Su", "") &amp; IF(Crops[[#This Row],[Fa]], "Fa", "") &amp; IF(Crops[[#This Row],[Wi]], "Wi", "") &amp; IF(Crops[[#This Row],[OW]], "Ow","")</f>
        <v>SpSuFaWi</v>
      </c>
      <c r="W74" t="s">
        <v>144</v>
      </c>
      <c r="X74">
        <v>4</v>
      </c>
      <c r="Y74">
        <v>12</v>
      </c>
      <c r="AD74" s="32">
        <f>IFERROR(12/Crops[[#This Row],[Spacing]]*Crops[[#This Row],[Rows]]*BedLength,"")</f>
        <v>200</v>
      </c>
      <c r="AE74">
        <v>1</v>
      </c>
      <c r="AG74">
        <f>IF(Crops[[#This Row],[Custom Safety Factor]]="",PlantingSafetyFactor,Crops[[#This Row],[Custom Safety Factor]])</f>
        <v>1.3</v>
      </c>
      <c r="AH74">
        <f>1</f>
        <v>1</v>
      </c>
      <c r="AI74" s="33">
        <f>IFERROR(Crops[[#This Row],[Plantings Per Bed]]*Crops[[#This Row],[Seeds Per Planting]]*Crops[[#This Row],[Safety Factor]]*Crops[[#This Row],[Seeding Factor]],"")</f>
        <v>260</v>
      </c>
      <c r="AL74">
        <f>_xlfn.FLOOR.MATH(IFERROR(AVERAGE(Crops[[#This Row],[DTG Lower]:[DTG Upper]]),0))</f>
        <v>0</v>
      </c>
      <c r="AM74">
        <f>SUM(Crops[[#This Row],[Tray 1 Days]],Crops[[#This Row],[Tray 2 Days]],Crops[[#This Row],[Tray 3 Days]])</f>
        <v>0</v>
      </c>
      <c r="AN74">
        <v>70</v>
      </c>
      <c r="AP74">
        <v>80</v>
      </c>
      <c r="AQ74">
        <f>IFERROR(_xlfn.FLOOR.MATH(AVERAGE(Crops[[#This Row],[DTM Lower]:[DTM Upper]])),"")</f>
        <v>80</v>
      </c>
      <c r="AR74" cm="1">
        <f t="array" ref="AR74">_xlfn.SWITCH(Crops[[#This Row],[Normal Method]],"DS",Crops[[#This Row],[Days to Germination]]+Crops[[#This Row],[DTM]] + IF(Crops[[#This Row],[Days in Cells]]&gt;0,15,0), "TP",Crops[[#This Row],[DTM]]+Crops[[#This Row],[Days in Cells]] + IF(Crops[[#This Row],[Days in Cells]]&lt;=0,20,0), "X", Crops[[#This Row],[DTM]])</f>
        <v>100</v>
      </c>
      <c r="AS74" t="s">
        <v>346</v>
      </c>
      <c r="AT74">
        <f>(Crops[[#This Row],[Harvests]]-1)*Crops[[#This Row],[Days Between Harvest]]+7</f>
        <v>21</v>
      </c>
      <c r="AU74">
        <f>Crops[[#This Row],[STH]]-Crops[[#This Row],[Days in Cells]]+Crops[[#This Row],[Harvest window]]</f>
        <v>121</v>
      </c>
      <c r="AW74" t="e">
        <v>#N/A</v>
      </c>
      <c r="AZ74" t="str">
        <f>IFERROR(IF(Crops[[#This Row],[Tray 1 Days]]=0,"",Crops[[#This Row],[Plantings Per Bed]]/Crops[[#This Row],[Tray 1 Size]]*Crops[[#This Row],[Safety Factor]]),"")</f>
        <v/>
      </c>
      <c r="BC74" t="str">
        <f>IFERROR(IF(Crops[[#This Row],[Tray 2 Days]]=0,"",Crops[[#This Row],[Plantings Per Bed]]/Crops[[#This Row],[Tray 2 Size]]*Crops[[#This Row],[Safety Factor]]),"")</f>
        <v/>
      </c>
      <c r="BE74" s="32" t="str">
        <f>IF(NOT(ISBLANK(Crops[[#This Row],[Tray 3 Size]])), Crops[[#This Row],[Days in Cells Old]]-SUM(Crops[[#This Row],[Tray 1 Days]],Crops[[#This Row],[Tray 2 Days]]), "")</f>
        <v/>
      </c>
      <c r="BF74" t="str">
        <f>IFERROR(IF(Crops[[#This Row],[Tray 3 Days]]=0,"",Crops[[#This Row],[Plantings Per Bed]]/Crops[[#This Row],[Tray 3 Size]]*Crops[[#This Row],[Safety Factor]]),"")</f>
        <v/>
      </c>
      <c r="BG74" s="33">
        <f>Crops[[#This Row],[Plantings Per Bed]]/2</f>
        <v>100</v>
      </c>
      <c r="BH74" s="33">
        <v>2</v>
      </c>
      <c r="BI74" s="33">
        <v>14</v>
      </c>
      <c r="BJ74" s="33">
        <f>_xlfn.XLOOKUP(Crops[[#This Row],[ProductIndex]],Products[ID],Products[Holding Period])</f>
        <v>0</v>
      </c>
      <c r="BK74" s="33"/>
      <c r="BL74" s="33">
        <f>Crops[[#This Row],[Units Per Harvest]]*Crops[[#This Row],[Harvests]]</f>
        <v>200</v>
      </c>
      <c r="BM74" s="35">
        <v>2</v>
      </c>
      <c r="BN74" s="35">
        <f>Crops[[#This Row],[Direct Price]]*0.6</f>
        <v>1.2</v>
      </c>
      <c r="BO74" s="35"/>
      <c r="BP74" t="s">
        <v>443</v>
      </c>
      <c r="BQ74">
        <f>Crops[[#This Row],[Custom Yield Per Bed]]*Crops[[#This Row],[Direct Price]]</f>
        <v>400</v>
      </c>
      <c r="BR74" t="b">
        <v>1</v>
      </c>
      <c r="BS74" t="b">
        <f>Crops[[#This Row],[Harvests]]&gt;1</f>
        <v>1</v>
      </c>
      <c r="BT74" s="36">
        <f>IFERROR(Crops[[#This Row],[Direct Revenue Per Bed]]/Crops[[#This Row],[Days In Field]],-1)</f>
        <v>3.3057851239669422</v>
      </c>
      <c r="BU74" s="36">
        <f>IFERROR(Crops[[#This Row],[Direct Revenue Per Bed Day]]*GrowingDays*BedsPerAcre,"")</f>
        <v>95206.611570247929</v>
      </c>
      <c r="BV74" s="38">
        <f>LastFrostDate-5*Crops[[#This Row],[Sewing Rel Last Frost]]</f>
        <v>45748</v>
      </c>
      <c r="BW74" s="38">
        <f>Crops[[#This Row],[Target Sewing Date]]+Crops[[#This Row],[Days in Cells]]</f>
        <v>45748</v>
      </c>
      <c r="BX74" s="38">
        <f>Crops[[#This Row],[Target Sewing Date]]+Crops[[#This Row],[STH]]</f>
        <v>45848</v>
      </c>
      <c r="BY74" s="38">
        <f>Crops[[#This Row],[Target Harvest Data]]+Crops[[#This Row],[Harvest window]]</f>
        <v>45869</v>
      </c>
      <c r="CB74">
        <f>1</f>
        <v>1</v>
      </c>
      <c r="CC74">
        <f>IF(Crops[[#This Row],[Transplanting]]&gt;0, 2, 3)*BedLength/StandardBedLength</f>
        <v>1.5</v>
      </c>
      <c r="CD74" s="173">
        <f>IF(Crops[[#This Row],[Days in Cells]]&lt;=0,0,Crops[[#This Row],[Plantings Per Bed]]/StartsPerHourSeeding+Crops[[#This Row],[Tray 1 Count]]*5/60)</f>
        <v>0</v>
      </c>
      <c r="CE74" s="173">
        <f>IF(ISBLANK(Crops[[#This Row],[Tray 2 Days]]),0,Crops[[#This Row],[Plantings Per Bed]]/UpPottingPerHour)+IF(Crops[[#This Row],[Tray 3 Days]]="",0,Crops[[#This Row],[Plantings Per Bed]]/UpPottingPerHour)</f>
        <v>0</v>
      </c>
      <c r="CF74" s="173">
        <f>IFERROR(Crops[[#This Row],[Tray 1 Count]]/HomeStartFlatIrrigationPerHour,0)*Crops[[#This Row],[Days in Cells]]/DaysBetweenStartIrrigation</f>
        <v>0</v>
      </c>
      <c r="CG74" s="173">
        <f>0.5/16*MAX(Crops[[#This Row],[Tray 1 Count]],Crops[[#This Row],[Tray 2 Count]],Crops[[#This Row],[Tray 3 Count]])</f>
        <v>0</v>
      </c>
      <c r="CH74" s="173">
        <f>IF(Crops[[#This Row],[Days in Cells]]&gt;0,IF(IF(Crops[[#This Row],[Tray 3 Size]]&gt;0,Crops[[#This Row],[Tray 3 Size]],IF(Crops[[#This Row],[Tray 2 Size]]&gt;0,Crops[[#This Row],[Tray 2 Size]],Crops[[#This Row],[Tray 1 Size]]))&lt;=18,LargeTransplantTime,SmallTransplantTime)*Crops[[#This Row],[Plantings Per Bed]],0)</f>
        <v>0</v>
      </c>
      <c r="CI74" s="173"/>
      <c r="CJ74" s="173">
        <f>_xlfn.XLOOKUP(Crops[[#This Row],[Trellis Type]],TrellisMethods[Trellis Type],TrellisMethods[Hours],0,0)</f>
        <v>0</v>
      </c>
      <c r="CK74">
        <f>IF(Crops[[#This Row],[Days in Cells]]&lt;=0,Crops[[#This Row],[Rows]]*1/10,0)*BedLength/50</f>
        <v>0.4</v>
      </c>
      <c r="CL74" cm="1">
        <f t="array" ref="CL74">_xlfn.SWITCH(Crops[[#This Row],[Irrigation]],"DR", 0.5, "OH", 0.25,0)*BedLength/50</f>
        <v>0</v>
      </c>
      <c r="CM74">
        <f>IF(OR(ISBLANK(Crops[[#This Row],[Row Cover]]),Crops[[#This Row],[Row Cover]]="None"),0,1)*BedLength/50</f>
        <v>0</v>
      </c>
      <c r="CN74" s="173">
        <f>HoursPerWeedingPass*Crops[[#This Row],[Days In Field]]/14*Crops[[#This Row],[Rows]]+1*BedLength/50</f>
        <v>6.761904761904761</v>
      </c>
      <c r="CQ74" s="37">
        <f>_xlfn.XLOOKUP(Crops[[#This Row],[Crop]]&amp;Crops[[#This Row],[Product]]&amp;Crops[[#This Row],[Unit]],Products[ID],Products[Marketing (hr)])*Crops[[#This Row],[Direct Revenue Per Bed]]/2000</f>
        <v>0.8</v>
      </c>
      <c r="CR74" s="37">
        <f>_xlfn.XLOOKUP(Crops[[#This Row],[Crop]]&amp;Crops[[#This Row],[Product]]&amp;Crops[[#This Row],[Unit]],Products[ID],Products[Harvest (s)])*Crops[[#This Row],[Custom Yield Per Bed]]/3600</f>
        <v>0.55555555555555558</v>
      </c>
      <c r="CS74" s="37">
        <f>_xlfn.XLOOKUP(Crops[[#This Row],[Crop]]&amp;Crops[[#This Row],[Product]]&amp;Crops[[#This Row],[Unit]],Products[ID],Products[Bunch (s)])*Crops[[#This Row],[Custom Yield Per Bed]]/3600</f>
        <v>0</v>
      </c>
      <c r="CT74" s="37">
        <f>_xlfn.XLOOKUP(Crops[[#This Row],[Crop]]&amp;Crops[[#This Row],[Product]]&amp;Crops[[#This Row],[Unit]],Products[ID],Products[Haul (s)])*Crops[[#This Row],[Custom Yield Per Bed]]/3600</f>
        <v>0.20833333333333334</v>
      </c>
      <c r="CU74" s="37">
        <f>_xlfn.XLOOKUP(Crops[[#This Row],[Crop]]&amp;Crops[[#This Row],[Product]]&amp;Crops[[#This Row],[Unit]],Products[ID],Products[Wash (s)])*Crops[[#This Row],[Custom Yield Per Bed]]/3600</f>
        <v>0.27777777777777779</v>
      </c>
      <c r="CV74" s="37">
        <f>_xlfn.XLOOKUP(Crops[[#This Row],[Crop]]&amp;Crops[[#This Row],[Product]]&amp;Crops[[#This Row],[Unit]],Products[ID],Products[Condition (s)])*Crops[[#This Row],[Custom Yield Per Bed]]/3600</f>
        <v>0</v>
      </c>
      <c r="CW74" s="37">
        <f>_xlfn.XLOOKUP(Crops[[#This Row],[Crop]]&amp;Crops[[#This Row],[Product]]&amp;Crops[[#This Row],[Unit]],Products[ID],Products[Trim (s)])*Crops[[#This Row],[Custom Yield Per Bed]]/3600</f>
        <v>0.27777777777777779</v>
      </c>
      <c r="CX74" s="37">
        <f>_xlfn.XLOOKUP(Crops[[#This Row],[Crop]]&amp;Crops[[#This Row],[Product]]&amp;Crops[[#This Row],[Unit]],Products[ID],Products[Pack (s)])*Crops[[#This Row],[Custom Yield Per Bed]]/3600</f>
        <v>0.16666666666666666</v>
      </c>
      <c r="CY74" s="37">
        <f>_xlfn.XLOOKUP(Crops[[#This Row],[Crop]]&amp;Crops[[#This Row],[Product]]&amp;Crops[[#This Row],[Unit]],Products[ID],Products[Clean (s)])*Crops[[#This Row],[Custom Yield Per Bed]]/3600</f>
        <v>0</v>
      </c>
      <c r="CZ74" s="37">
        <f>_xlfn.XLOOKUP(Crops[[#This Row],[Crop]]&amp;Crops[[#This Row],[Product]]&amp;Crops[[#This Row],[Unit]],Products[ID],Products[Rehandle (s)])*Crops[[#This Row],[Custom Yield Per Bed]]/3600</f>
        <v>0</v>
      </c>
      <c r="DA74" s="37">
        <f>_xlfn.XLOOKUP(Crops[[#This Row],[Crop]]&amp;Crops[[#This Row],[Product]]&amp;Crops[[#This Row],[Unit]],Products[ID],Products[Market Transport (s)])*Crops[[#This Row],[Custom Yield Per Bed]]/3600</f>
        <v>0.52083333333333337</v>
      </c>
      <c r="DC74" s="37">
        <f>Crops[[#This Row],[Direct Revenue Per Bed2]]</f>
        <v>400</v>
      </c>
      <c r="DD74" s="173">
        <f>_xlfn.AGGREGATE(9,6,Crops[[#This Row],[Bed Prep]:[Remove Crop Residue]])</f>
        <v>11.468849206349208</v>
      </c>
      <c r="DE74" s="173">
        <f>_xlfn.AGGREGATE(9,6,Crops[[#This Row],[Bed Prep]:[Remove Crop Residue]])-0.75*Crops[[#This Row],[Market &amp; Sell]]</f>
        <v>10.868849206349209</v>
      </c>
      <c r="DF74" s="36">
        <f>Crops[[#This Row],[Direct Revenue Per Bed2]]/Crops[[#This Row],[Direct Time]]</f>
        <v>34.877082504368282</v>
      </c>
      <c r="DG74" s="36">
        <f>_xlfn.XLOOKUP(Crops[[#This Row],[ProductIndex]],Products[ID],Products[Packaging Cost])*(Crops[[#This Row],[Custom Yield Per Bed]]/_xlfn.XLOOKUP(Crops[[#This Row],[ProductIndex]],Products[ID],Products[Units Per Pack]))</f>
        <v>31.666666666666668</v>
      </c>
      <c r="DH74" s="36"/>
      <c r="DI74" s="36"/>
      <c r="DJ74" s="36"/>
      <c r="DK74" s="36"/>
      <c r="DL74" s="36"/>
      <c r="DM74" s="33">
        <f>IFERROR(Crops[[#This Row],[Custom Yield Per Bed]]*Crops[[#This Row],[Direct Price]],"")</f>
        <v>400</v>
      </c>
      <c r="DN74" s="36">
        <f>Crops[[#This Row],[Direct Time]]*LaborRate</f>
        <v>286.72123015873024</v>
      </c>
      <c r="DO74" s="36">
        <f>SUM(Crops[[#This Row],[Irrigation Cost]])</f>
        <v>0</v>
      </c>
      <c r="DP74" s="36">
        <f>Crops[[#This Row],[Direct Labor Cost]]+Crops[[#This Row],[Direct Non-Labor Cost]]</f>
        <v>286.72123015873024</v>
      </c>
      <c r="DQ74" s="36">
        <f>Crops[[#This Row],[Direct Revenue Per Bed2]]-Crops[[#This Row],[Direct Total Cost]]</f>
        <v>113.27876984126976</v>
      </c>
      <c r="DR74" s="36">
        <f>Crops[[#This Row],[Direct Profit]]*BedsPerAcre</f>
        <v>18124.603174603162</v>
      </c>
      <c r="DS74" s="36">
        <f>Crops[[#This Row],[Direct Profit]]*BedsPerAcre*GrowingDays/Crops[[#This Row],[Days In Field]]</f>
        <v>26962.219598583215</v>
      </c>
      <c r="DT74" s="36">
        <f>Crops[[#This Row],[Direct Profit]]/MIN(Crops[[#This Row],[Days In Field]],GrowingDays)</f>
        <v>0.93618818050636166</v>
      </c>
      <c r="DU74" s="36">
        <f>Crops[[#This Row],[Direct Time]] * BedsPerAcre</f>
        <v>1835.0158730158732</v>
      </c>
      <c r="DV74" s="36">
        <f>(Crops[[#This Row],[Direct Revenue Per Bed2]]-Crops[[#This Row],[Direct Non-Labor Cost]])/Crops[[#This Row],[Direct Time]]</f>
        <v>34.877082504368282</v>
      </c>
      <c r="DW74" s="33">
        <f>IFERROR(Crops[[#This Row],[Custom Yield Per Bed]]*Crops[[#This Row],[Rough Wholesale Price]],"")</f>
        <v>240</v>
      </c>
      <c r="DX74" s="36">
        <f>Crops[[#This Row],[Wholesale Time]]*LaborRate</f>
        <v>271.72123015873024</v>
      </c>
      <c r="DY74" s="36">
        <f>SUM(Crops[[#This Row],[Packaging Costs]:[Irrigation Cost]])</f>
        <v>31.666666666666668</v>
      </c>
      <c r="DZ74" s="36">
        <f>Crops[[#This Row],[Wholesale Labor Cost]]+Crops[[#This Row],[Wholesale Non-Labor Cost]]</f>
        <v>303.38789682539692</v>
      </c>
      <c r="EA74" s="36">
        <f>Crops[[#This Row],[Wholesale Revenue Per Bed]]-Crops[[#This Row],[Wholesale Total Cost]]</f>
        <v>-63.387896825396922</v>
      </c>
      <c r="EB74" s="36">
        <f>Crops[[#This Row],[Wholesale Profit]]*BedsPerAcre</f>
        <v>-10142.063492063508</v>
      </c>
      <c r="EC74" s="36">
        <f>Crops[[#This Row],[Wholesale Profit]]*BedsPerAcre*GrowingDays/Crops[[#This Row],[Days In Field]]</f>
        <v>-15087.367178276292</v>
      </c>
      <c r="ED74" s="36">
        <f>Crops[[#This Row],[Wholesale Time]] * BedsPerAcre</f>
        <v>1739.0158730158735</v>
      </c>
      <c r="EE74" s="36">
        <f>Crops[[#This Row],[Wholesale Profit]]/MIN(Crops[[#This Row],[Days In Field]],GrowingDays)</f>
        <v>-0.52386691591237122</v>
      </c>
      <c r="EF74" s="36">
        <f>(Crops[[#This Row],[Wholesale Revenue Per Bed]]-Crops[[#This Row],[Wholesale Non-Labor Cost]])/Crops[[#This Row],[Direct Time]]</f>
        <v>18.165147137691815</v>
      </c>
      <c r="EG74" s="174">
        <f>Crops[[#This Row],[Packaging Costs]]/Crops[[#This Row],[Wholesale Revenue Per Bed]]</f>
        <v>0.13194444444444445</v>
      </c>
      <c r="EH74" s="36" t="str">
        <f>Crops[[#This Row],[Crop]]&amp;Crops[[#This Row],[Product]]&amp;Crops[[#This Row],[Unit]]</f>
        <v>Celery RootMini RootRoot</v>
      </c>
      <c r="EI74" s="36" t="b">
        <f>_xlfn.XLOOKUP(Crops[[#This Row],[ProductIndex]],Products[ID],Products[Target])</f>
        <v>1</v>
      </c>
      <c r="EJ74" s="36">
        <f>Crops[[#This Row],[Custom Yield Per Bed]]</f>
        <v>200</v>
      </c>
      <c r="EK74" s="210">
        <f>Crops[[#This Row],[Units Per Harvest]]/Crops[[#This Row],[Days Between Harvest]]*7</f>
        <v>50</v>
      </c>
      <c r="EL74" s="210" t="e">
        <f>Crops[[#This Row],[Custom Yield Per Bed]]/_xlfn.XLOOKUP(Crops[[#This Row],[ProductIndex]],Products[ID],Products[CSA Portion])</f>
        <v>#DIV/0!</v>
      </c>
      <c r="EM74" s="210" t="e">
        <f>Crops[[#This Row],[Units Per Harvest]]/Crops[[#This Row],[Days Between Harvest]]*7/_xlfn.XLOOKUP(Crops[[#This Row],[ProductIndex]],Products[ID],Products[CSA Portion])</f>
        <v>#DIV/0!</v>
      </c>
      <c r="EN74" s="210" t="e">
        <f>Crops[[#This Row],[CSA Portions Per Week]]/CSAMembers</f>
        <v>#DIV/0!</v>
      </c>
      <c r="EO74" s="210"/>
      <c r="EP74" s="210"/>
      <c r="EQ74" s="36"/>
      <c r="ER74" s="36">
        <f>Crops[[#This Row],[Harvests]]*Crops[[#This Row],[Days Between Harvest]]/7</f>
        <v>4</v>
      </c>
      <c r="ES74" s="208">
        <f>_xlfn.XLOOKUP(Crops[[#This Row],[ProductIndex]],Products[ID],Products[CSA Need])</f>
        <v>0</v>
      </c>
      <c r="ET74" s="208">
        <f>_xlfn.XLOOKUP(Crops[[#This Row],[ProductIndex]],Products[ID],Products[CSA Times])</f>
        <v>0</v>
      </c>
      <c r="EU74" s="208" t="e">
        <f>Crops[[#This Row],[Custom Yield Per Bed]]/(Crops[[#This Row],[CSA Need]]*(_xlfn.XLOOKUP(Crops[[#This Row],[ProductIndex]],Products[ID],Products[CSA Portion])*CSAMembers))</f>
        <v>#DIV/0!</v>
      </c>
      <c r="EV74" s="208">
        <f>_xlfn.XLOOKUP(Crops[[#This Row],[ProductIndex]],Products[ID],Products[CSA Portion])*CSAMembers*Crops[[#This Row],[CSA Need]]/Crops[[#This Row],[Custom Yield Per Bed]]</f>
        <v>0</v>
      </c>
      <c r="EW74" s="208">
        <f>IFERROR(Crops[[#This Row],[Days In Field]]*Crops[[#This Row],[CSA Beds]],"")</f>
        <v>0</v>
      </c>
      <c r="EX74" s="208" t="e">
        <f>Crops[[#This Row],[CSA Bed Days]]*#REF!</f>
        <v>#REF!</v>
      </c>
      <c r="EY74" t="s">
        <v>403</v>
      </c>
    </row>
    <row r="75" spans="1:155">
      <c r="A7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Celosia - Mature Stem 1X | Field DS Sp</v>
      </c>
      <c r="B75" s="189"/>
      <c r="C75" s="242"/>
      <c r="D75" s="1"/>
      <c r="E75" s="1" t="b">
        <v>0</v>
      </c>
      <c r="F75" s="1" t="b">
        <f>IFERROR(IF(ISNUMBER(MATCH(Crops[[#This Row],[Identifier]],BedPlan[Crop], 0)), TRUE, FALSE), FALSE)</f>
        <v>0</v>
      </c>
      <c r="G75" s="1" t="b">
        <f>IFERROR(IF(ISNUMBER(MATCH(Crops[[#This Row],[Identifier]],BedPlan[Crop], 0)), TRUE, FALSE), FALSE)</f>
        <v>0</v>
      </c>
      <c r="H75" s="1"/>
      <c r="I75" t="s">
        <v>57</v>
      </c>
      <c r="J75" t="s">
        <v>145</v>
      </c>
      <c r="K75" t="s">
        <v>181</v>
      </c>
      <c r="M75" t="s">
        <v>406</v>
      </c>
      <c r="N75" t="str">
        <f>Crops[[#This Row],[Crop]]</f>
        <v>Celosia</v>
      </c>
      <c r="O75" t="s">
        <v>210</v>
      </c>
      <c r="P75" t="str">
        <f>IF(OR(Crops[[#This Row],[Days in Cells]]="",Crops[[#This Row],[Days in Cells]]=0), "DS","TP")</f>
        <v>DS</v>
      </c>
      <c r="Q75" t="s">
        <v>144</v>
      </c>
      <c r="V75" t="str">
        <f xml:space="preserve"> IF(Crops[[#This Row],[Sp]], "Sp", "") &amp; IF(Crops[[#This Row],[Su]], "Su", "") &amp; IF(Crops[[#This Row],[Fa]], "Fa", "") &amp; IF(Crops[[#This Row],[Wi]], "Wi", "") &amp; IF(Crops[[#This Row],[OW]], "Ow","")</f>
        <v>Sp</v>
      </c>
      <c r="X75">
        <v>3</v>
      </c>
      <c r="Y75">
        <v>12</v>
      </c>
      <c r="AC75">
        <v>3</v>
      </c>
      <c r="AD75" s="32">
        <f>IFERROR(12/Crops[[#This Row],[Spacing]]*Crops[[#This Row],[Rows]]*BedLength,"")</f>
        <v>150</v>
      </c>
      <c r="AE75">
        <v>1</v>
      </c>
      <c r="AG75">
        <f>IF(Crops[[#This Row],[Custom Safety Factor]]="",PlantingSafetyFactor,Crops[[#This Row],[Custom Safety Factor]])</f>
        <v>1.3</v>
      </c>
      <c r="AH75">
        <f>1</f>
        <v>1</v>
      </c>
      <c r="AI75" s="33">
        <f>IFERROR(Crops[[#This Row],[Plantings Per Bed]]*Crops[[#This Row],[Seeds Per Planting]]*Crops[[#This Row],[Safety Factor]]*Crops[[#This Row],[Seeding Factor]],"")</f>
        <v>195</v>
      </c>
      <c r="AJ75">
        <v>7</v>
      </c>
      <c r="AK75">
        <v>14</v>
      </c>
      <c r="AL75">
        <f>_xlfn.FLOOR.MATH(IFERROR(AVERAGE(Crops[[#This Row],[DTG Lower]:[DTG Upper]]),0))</f>
        <v>10</v>
      </c>
      <c r="AM75">
        <f>SUM(Crops[[#This Row],[Tray 1 Days]],Crops[[#This Row],[Tray 2 Days]],Crops[[#This Row],[Tray 3 Days]])</f>
        <v>0</v>
      </c>
      <c r="AO75">
        <v>90</v>
      </c>
      <c r="AP75">
        <v>120</v>
      </c>
      <c r="AQ75">
        <v>110</v>
      </c>
      <c r="AR75" cm="1">
        <f t="array" ref="AR75">_xlfn.SWITCH(Crops[[#This Row],[Normal Method]],"DS",Crops[[#This Row],[Days to Germination]]+Crops[[#This Row],[DTM]] + IF(Crops[[#This Row],[Days in Cells]]&gt;0,15,0), "TP",Crops[[#This Row],[DTM]]+Crops[[#This Row],[Days in Cells]] + IF(Crops[[#This Row],[Days in Cells]]&lt;=0,20,0), "X", Crops[[#This Row],[DTM]])</f>
        <v>110</v>
      </c>
      <c r="AS75" t="s">
        <v>347</v>
      </c>
      <c r="AT75">
        <f>(Crops[[#This Row],[Harvests]]-1)*Crops[[#This Row],[Days Between Harvest]]+7</f>
        <v>28</v>
      </c>
      <c r="AU75">
        <f>Crops[[#This Row],[STH]]-Crops[[#This Row],[Days in Cells]]+Crops[[#This Row],[Harvest window]]</f>
        <v>138</v>
      </c>
      <c r="AW75" t="s">
        <v>212</v>
      </c>
      <c r="AZ75" s="49" t="str">
        <f>IFERROR(IF(Crops[[#This Row],[Tray 1 Days]]=0,"",Crops[[#This Row],[Plantings Per Bed]]/Crops[[#This Row],[Tray 1 Size]]*Crops[[#This Row],[Safety Factor]]),"")</f>
        <v/>
      </c>
      <c r="BC75" t="str">
        <f>IFERROR(IF(Crops[[#This Row],[Tray 2 Days]]=0,"",Crops[[#This Row],[Plantings Per Bed]]/Crops[[#This Row],[Tray 2 Size]]*Crops[[#This Row],[Safety Factor]]),"")</f>
        <v/>
      </c>
      <c r="BE75" s="32" t="str">
        <f>IF(NOT(ISBLANK(Crops[[#This Row],[Tray 3 Size]])), Crops[[#This Row],[Days in Cells Old]]-SUM(Crops[[#This Row],[Tray 1 Days]],Crops[[#This Row],[Tray 2 Days]]), "")</f>
        <v/>
      </c>
      <c r="BF75" t="str">
        <f>IFERROR(IF(Crops[[#This Row],[Tray 3 Days]]=0,"",Crops[[#This Row],[Plantings Per Bed]]/Crops[[#This Row],[Tray 3 Size]]*Crops[[#This Row],[Safety Factor]]),"")</f>
        <v/>
      </c>
      <c r="BG75" s="33">
        <f>Crops[[#This Row],[Plantings Per Bed]]*14/Crops[[#This Row],[Harvests]]</f>
        <v>525</v>
      </c>
      <c r="BH75" s="33">
        <v>4</v>
      </c>
      <c r="BI75" s="33">
        <v>7</v>
      </c>
      <c r="BJ75" s="33">
        <f>_xlfn.XLOOKUP(Crops[[#This Row],[ProductIndex]],Products[ID],Products[Holding Period])</f>
        <v>0</v>
      </c>
      <c r="BK75" s="33"/>
      <c r="BL75" s="33">
        <f>Crops[[#This Row],[Units Per Harvest]]*Crops[[#This Row],[Harvests]]</f>
        <v>2100</v>
      </c>
      <c r="BM75" s="35">
        <f>2100/3000</f>
        <v>0.7</v>
      </c>
      <c r="BN75" s="35">
        <f>Crops[[#This Row],[Direct Price]]*0.6</f>
        <v>0.42</v>
      </c>
      <c r="BO75" s="35"/>
      <c r="BP75" t="s">
        <v>213</v>
      </c>
      <c r="BQ75">
        <f>Crops[[#This Row],[Custom Yield Per Bed]]*Crops[[#This Row],[Direct Price]]</f>
        <v>1470</v>
      </c>
      <c r="BR75" t="b">
        <v>0</v>
      </c>
      <c r="BS75" t="b">
        <f>Crops[[#This Row],[Harvests]]&gt;1</f>
        <v>1</v>
      </c>
      <c r="BT75" s="36">
        <f>IFERROR(Crops[[#This Row],[Direct Revenue Per Bed]]/Crops[[#This Row],[Days In Field]],-1)</f>
        <v>10.652173913043478</v>
      </c>
      <c r="BU75" s="36">
        <f>IFERROR(Crops[[#This Row],[Direct Revenue Per Bed Day]]*GrowingDays*BedsPerAcre,"")</f>
        <v>306782.60869565222</v>
      </c>
      <c r="BV75" s="38">
        <f>LastFrostDate-5*Crops[[#This Row],[Sewing Rel Last Frost]]</f>
        <v>45773</v>
      </c>
      <c r="BW75" s="38">
        <f>Crops[[#This Row],[Target Sewing Date]]+Crops[[#This Row],[Days in Cells]]</f>
        <v>45773</v>
      </c>
      <c r="BX75" s="38">
        <f>Crops[[#This Row],[Target Sewing Date]]+Crops[[#This Row],[STH]]</f>
        <v>45883</v>
      </c>
      <c r="BY75" s="38">
        <f>Crops[[#This Row],[Target Harvest Data]]+Crops[[#This Row],[Harvest window]]</f>
        <v>45911</v>
      </c>
      <c r="BZ75">
        <v>-5</v>
      </c>
      <c r="CA75" t="s">
        <v>1762</v>
      </c>
      <c r="CB75">
        <f>1</f>
        <v>1</v>
      </c>
      <c r="CC75">
        <f>IF(Crops[[#This Row],[Transplanting]]&gt;0, 2, 3)*BedLength/StandardBedLength</f>
        <v>1.5</v>
      </c>
      <c r="CD75" s="173">
        <f>IF(Crops[[#This Row],[Days in Cells]]&lt;=0,0,Crops[[#This Row],[Plantings Per Bed]]/StartsPerHourSeeding+Crops[[#This Row],[Tray 1 Count]]*5/60)</f>
        <v>0</v>
      </c>
      <c r="CE75" s="173">
        <f>IF(ISBLANK(Crops[[#This Row],[Tray 2 Days]]),0,Crops[[#This Row],[Plantings Per Bed]]/UpPottingPerHour)+IF(Crops[[#This Row],[Tray 3 Days]]="",0,Crops[[#This Row],[Plantings Per Bed]]/UpPottingPerHour)</f>
        <v>0</v>
      </c>
      <c r="CF75" s="173">
        <f>IFERROR(Crops[[#This Row],[Tray 1 Count]]/HomeStartFlatIrrigationPerHour,0)*Crops[[#This Row],[Days in Cells]]/DaysBetweenStartIrrigation</f>
        <v>0</v>
      </c>
      <c r="CG75" s="173">
        <f>0.5/16*MAX(Crops[[#This Row],[Tray 1 Count]],Crops[[#This Row],[Tray 2 Count]],Crops[[#This Row],[Tray 3 Count]])</f>
        <v>0</v>
      </c>
      <c r="CH75" s="173">
        <f>IF(Crops[[#This Row],[Days in Cells]]&gt;0,IF(IF(Crops[[#This Row],[Tray 3 Size]]&gt;0,Crops[[#This Row],[Tray 3 Size]],IF(Crops[[#This Row],[Tray 2 Size]]&gt;0,Crops[[#This Row],[Tray 2 Size]],Crops[[#This Row],[Tray 1 Size]]))&lt;=18,LargeTransplantTime,SmallTransplantTime)*Crops[[#This Row],[Plantings Per Bed]],0)</f>
        <v>0</v>
      </c>
      <c r="CI75" s="173"/>
      <c r="CJ75" s="173">
        <f>_xlfn.XLOOKUP(Crops[[#This Row],[Trellis Type]],TrellisMethods[Trellis Type],TrellisMethods[Hours],0,0)</f>
        <v>0</v>
      </c>
      <c r="CK75">
        <f>IF(Crops[[#This Row],[Days in Cells]]&lt;=0,Crops[[#This Row],[Rows]]*1/10,0)*BedLength/50</f>
        <v>0.3</v>
      </c>
      <c r="CL75" cm="1">
        <f t="array" ref="CL75">_xlfn.SWITCH(Crops[[#This Row],[Irrigation]],"DR", 0.5, "OH", 0.25,0)*BedLength/50</f>
        <v>0</v>
      </c>
      <c r="CM75">
        <f>IF(OR(ISBLANK(Crops[[#This Row],[Row Cover]]),Crops[[#This Row],[Row Cover]]="None"),0,1)*BedLength/50</f>
        <v>0</v>
      </c>
      <c r="CN75" s="173">
        <f>HoursPerWeedingPass*Crops[[#This Row],[Days In Field]]/14*Crops[[#This Row],[Rows]]+1*BedLength/50</f>
        <v>5.9285714285714288</v>
      </c>
      <c r="CQ75" s="37">
        <f>_xlfn.XLOOKUP(Crops[[#This Row],[Crop]]&amp;Crops[[#This Row],[Product]]&amp;Crops[[#This Row],[Unit]],Products[ID],Products[Marketing (hr)])*Crops[[#This Row],[Direct Revenue Per Bed]]/2000</f>
        <v>4.41</v>
      </c>
      <c r="CR75" s="37">
        <f>_xlfn.XLOOKUP(Crops[[#This Row],[Crop]]&amp;Crops[[#This Row],[Product]]&amp;Crops[[#This Row],[Unit]],Products[ID],Products[Harvest (s)])*Crops[[#This Row],[Custom Yield Per Bed]]/3600</f>
        <v>2.9166666666666665</v>
      </c>
      <c r="CS75" s="37">
        <f>_xlfn.XLOOKUP(Crops[[#This Row],[Crop]]&amp;Crops[[#This Row],[Product]]&amp;Crops[[#This Row],[Unit]],Products[ID],Products[Bunch (s)])*Crops[[#This Row],[Custom Yield Per Bed]]/3600</f>
        <v>0</v>
      </c>
      <c r="CT75" s="37">
        <f>_xlfn.XLOOKUP(Crops[[#This Row],[Crop]]&amp;Crops[[#This Row],[Product]]&amp;Crops[[#This Row],[Unit]],Products[ID],Products[Haul (s)])*Crops[[#This Row],[Custom Yield Per Bed]]/3600</f>
        <v>1.05</v>
      </c>
      <c r="CU75" s="37">
        <f>_xlfn.XLOOKUP(Crops[[#This Row],[Crop]]&amp;Crops[[#This Row],[Product]]&amp;Crops[[#This Row],[Unit]],Products[ID],Products[Wash (s)])*Crops[[#This Row],[Custom Yield Per Bed]]/3600</f>
        <v>0</v>
      </c>
      <c r="CV75" s="37">
        <f>_xlfn.XLOOKUP(Crops[[#This Row],[Crop]]&amp;Crops[[#This Row],[Product]]&amp;Crops[[#This Row],[Unit]],Products[ID],Products[Condition (s)])*Crops[[#This Row],[Custom Yield Per Bed]]/3600</f>
        <v>0</v>
      </c>
      <c r="CW75" s="37">
        <f>_xlfn.XLOOKUP(Crops[[#This Row],[Crop]]&amp;Crops[[#This Row],[Product]]&amp;Crops[[#This Row],[Unit]],Products[ID],Products[Trim (s)])*Crops[[#This Row],[Custom Yield Per Bed]]/3600</f>
        <v>1.75</v>
      </c>
      <c r="CX75" s="37">
        <f>_xlfn.XLOOKUP(Crops[[#This Row],[Crop]]&amp;Crops[[#This Row],[Product]]&amp;Crops[[#This Row],[Unit]],Products[ID],Products[Pack (s)])*Crops[[#This Row],[Custom Yield Per Bed]]/3600</f>
        <v>1.75</v>
      </c>
      <c r="CY75" s="37">
        <f>_xlfn.XLOOKUP(Crops[[#This Row],[Crop]]&amp;Crops[[#This Row],[Product]]&amp;Crops[[#This Row],[Unit]],Products[ID],Products[Clean (s)])*Crops[[#This Row],[Custom Yield Per Bed]]/3600</f>
        <v>0</v>
      </c>
      <c r="CZ75" s="37">
        <f>_xlfn.XLOOKUP(Crops[[#This Row],[Crop]]&amp;Crops[[#This Row],[Product]]&amp;Crops[[#This Row],[Unit]],Products[ID],Products[Rehandle (s)])*Crops[[#This Row],[Custom Yield Per Bed]]/3600</f>
        <v>0</v>
      </c>
      <c r="DA75" s="37">
        <f>_xlfn.XLOOKUP(Crops[[#This Row],[Crop]]&amp;Crops[[#This Row],[Product]]&amp;Crops[[#This Row],[Unit]],Products[ID],Products[Market Transport (s)])*Crops[[#This Row],[Custom Yield Per Bed]]/3600</f>
        <v>2.625</v>
      </c>
      <c r="DC75" s="37">
        <f>Crops[[#This Row],[Direct Revenue Per Bed2]]</f>
        <v>1470</v>
      </c>
      <c r="DD75" s="173">
        <f>_xlfn.AGGREGATE(9,6,Crops[[#This Row],[Bed Prep]:[Remove Crop Residue]])</f>
        <v>22.230238095238093</v>
      </c>
      <c r="DE75" s="173">
        <f>_xlfn.AGGREGATE(9,6,Crops[[#This Row],[Bed Prep]:[Remove Crop Residue]])-0.75*Crops[[#This Row],[Market &amp; Sell]]</f>
        <v>18.922738095238092</v>
      </c>
      <c r="DF75" s="36">
        <f>Crops[[#This Row],[Direct Revenue Per Bed2]]/Crops[[#This Row],[Direct Time]]</f>
        <v>66.126147353990177</v>
      </c>
      <c r="DG75" s="36">
        <f>_xlfn.XLOOKUP(Crops[[#This Row],[ProductIndex]],Products[ID],Products[Packaging Cost])*(Crops[[#This Row],[Custom Yield Per Bed]]/_xlfn.XLOOKUP(Crops[[#This Row],[ProductIndex]],Products[ID],Products[Units Per Pack]))</f>
        <v>168</v>
      </c>
      <c r="DH75" s="36"/>
      <c r="DI75" s="36"/>
      <c r="DJ75" s="36"/>
      <c r="DK75" s="36"/>
      <c r="DL75" s="36"/>
      <c r="DM75" s="33">
        <f>IFERROR(Crops[[#This Row],[Custom Yield Per Bed]]*Crops[[#This Row],[Direct Price]],"")</f>
        <v>1470</v>
      </c>
      <c r="DN75" s="36">
        <f>Crops[[#This Row],[Direct Time]]*LaborRate</f>
        <v>555.75595238095229</v>
      </c>
      <c r="DO75" s="36">
        <f>SUM(Crops[[#This Row],[Irrigation Cost]])</f>
        <v>0</v>
      </c>
      <c r="DP75" s="36">
        <f>Crops[[#This Row],[Direct Labor Cost]]+Crops[[#This Row],[Direct Non-Labor Cost]]</f>
        <v>555.75595238095229</v>
      </c>
      <c r="DQ75" s="36">
        <f>Crops[[#This Row],[Direct Revenue Per Bed2]]-Crops[[#This Row],[Direct Total Cost]]</f>
        <v>914.24404761904771</v>
      </c>
      <c r="DR75" s="36">
        <f>Crops[[#This Row],[Direct Profit]]*BedsPerAcre</f>
        <v>146279.04761904763</v>
      </c>
      <c r="DS75" s="36">
        <f>Crops[[#This Row],[Direct Profit]]*BedsPerAcre*GrowingDays/Crops[[#This Row],[Days In Field]]</f>
        <v>190798.75776397518</v>
      </c>
      <c r="DT75" s="36">
        <f>Crops[[#This Row],[Direct Profit]]/MIN(Crops[[#This Row],[Days In Field]],GrowingDays)</f>
        <v>6.6249568668046939</v>
      </c>
      <c r="DU75" s="36">
        <f>Crops[[#This Row],[Direct Time]] * BedsPerAcre</f>
        <v>3556.8380952380949</v>
      </c>
      <c r="DV75" s="36">
        <f>(Crops[[#This Row],[Direct Revenue Per Bed2]]-Crops[[#This Row],[Direct Non-Labor Cost]])/Crops[[#This Row],[Direct Time]]</f>
        <v>66.126147353990177</v>
      </c>
      <c r="DW75" s="33">
        <f>IFERROR(Crops[[#This Row],[Custom Yield Per Bed]]*Crops[[#This Row],[Rough Wholesale Price]],"")</f>
        <v>882</v>
      </c>
      <c r="DX75" s="36">
        <f>Crops[[#This Row],[Wholesale Time]]*LaborRate</f>
        <v>473.06845238095229</v>
      </c>
      <c r="DY75" s="36">
        <f>SUM(Crops[[#This Row],[Packaging Costs]:[Irrigation Cost]])</f>
        <v>168</v>
      </c>
      <c r="DZ75" s="36">
        <f>Crops[[#This Row],[Wholesale Labor Cost]]+Crops[[#This Row],[Wholesale Non-Labor Cost]]</f>
        <v>641.06845238095229</v>
      </c>
      <c r="EA75" s="36">
        <f>Crops[[#This Row],[Wholesale Revenue Per Bed]]-Crops[[#This Row],[Wholesale Total Cost]]</f>
        <v>240.93154761904771</v>
      </c>
      <c r="EB75" s="36">
        <f>Crops[[#This Row],[Wholesale Profit]]*BedsPerAcre</f>
        <v>38549.047619047633</v>
      </c>
      <c r="EC75" s="36">
        <f>Crops[[#This Row],[Wholesale Profit]]*BedsPerAcre*GrowingDays/Crops[[#This Row],[Days In Field]]</f>
        <v>50281.366459627345</v>
      </c>
      <c r="ED75" s="36">
        <f>Crops[[#This Row],[Wholesale Time]] * BedsPerAcre</f>
        <v>3027.6380952380946</v>
      </c>
      <c r="EE75" s="36">
        <f>Crops[[#This Row],[Wholesale Profit]]/MIN(Crops[[#This Row],[Days In Field]],GrowingDays)</f>
        <v>1.7458807798481717</v>
      </c>
      <c r="EF75" s="36">
        <f>(Crops[[#This Row],[Wholesale Revenue Per Bed]]-Crops[[#This Row],[Wholesale Non-Labor Cost]])/Crops[[#This Row],[Direct Time]]</f>
        <v>32.118414429080943</v>
      </c>
      <c r="EG75" s="174">
        <f>Crops[[#This Row],[Packaging Costs]]/Crops[[#This Row],[Wholesale Revenue Per Bed]]</f>
        <v>0.19047619047619047</v>
      </c>
      <c r="EH75" s="36" t="str">
        <f>Crops[[#This Row],[Crop]]&amp;Crops[[#This Row],[Product]]&amp;Crops[[#This Row],[Unit]]</f>
        <v>CelosiaMature StemStem</v>
      </c>
      <c r="EI75" s="36" t="b">
        <f>_xlfn.XLOOKUP(Crops[[#This Row],[ProductIndex]],Products[ID],Products[Target])</f>
        <v>1</v>
      </c>
      <c r="EJ75" s="36">
        <f>Crops[[#This Row],[Custom Yield Per Bed]]</f>
        <v>2100</v>
      </c>
      <c r="EK75" s="210">
        <f>Crops[[#This Row],[Units Per Harvest]]/Crops[[#This Row],[Days Between Harvest]]*7</f>
        <v>525</v>
      </c>
      <c r="EL75" s="210" t="e">
        <f>Crops[[#This Row],[Custom Yield Per Bed]]/_xlfn.XLOOKUP(Crops[[#This Row],[ProductIndex]],Products[ID],Products[CSA Portion])</f>
        <v>#DIV/0!</v>
      </c>
      <c r="EM75" s="210" t="e">
        <f>Crops[[#This Row],[Units Per Harvest]]/Crops[[#This Row],[Days Between Harvest]]*7/_xlfn.XLOOKUP(Crops[[#This Row],[ProductIndex]],Products[ID],Products[CSA Portion])</f>
        <v>#DIV/0!</v>
      </c>
      <c r="EN75" s="210" t="e">
        <f>Crops[[#This Row],[CSA Portions Per Week]]/CSAMembers</f>
        <v>#DIV/0!</v>
      </c>
      <c r="EO75" s="210"/>
      <c r="EP75" s="210"/>
      <c r="EQ75" s="36"/>
      <c r="ER75" s="36">
        <f>Crops[[#This Row],[Harvests]]*Crops[[#This Row],[Days Between Harvest]]/7</f>
        <v>4</v>
      </c>
      <c r="ES75" s="208">
        <f>_xlfn.XLOOKUP(Crops[[#This Row],[ProductIndex]],Products[ID],Products[CSA Need])</f>
        <v>0</v>
      </c>
      <c r="ET75" s="208">
        <f>_xlfn.XLOOKUP(Crops[[#This Row],[ProductIndex]],Products[ID],Products[CSA Times])</f>
        <v>0</v>
      </c>
      <c r="EU75" s="208" t="e">
        <f>Crops[[#This Row],[Custom Yield Per Bed]]/(Crops[[#This Row],[CSA Need]]*(_xlfn.XLOOKUP(Crops[[#This Row],[ProductIndex]],Products[ID],Products[CSA Portion])*CSAMembers))</f>
        <v>#DIV/0!</v>
      </c>
      <c r="EV75" s="208">
        <f>_xlfn.XLOOKUP(Crops[[#This Row],[ProductIndex]],Products[ID],Products[CSA Portion])*CSAMembers*Crops[[#This Row],[CSA Need]]/Crops[[#This Row],[Custom Yield Per Bed]]</f>
        <v>0</v>
      </c>
      <c r="EW75" s="208">
        <f>IFERROR(Crops[[#This Row],[Days In Field]]*Crops[[#This Row],[CSA Beds]],"")</f>
        <v>0</v>
      </c>
      <c r="EX75" s="208" t="e">
        <f>Crops[[#This Row],[CSA Bed Days]]*#REF!</f>
        <v>#REF!</v>
      </c>
    </row>
    <row r="76" spans="1:155">
      <c r="A7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Celosia - Mature Stem 1X | Field TP Sp</v>
      </c>
      <c r="B76" s="189"/>
      <c r="C76" s="225" t="b">
        <v>1</v>
      </c>
      <c r="D76" s="1"/>
      <c r="E76" s="1" t="b">
        <v>0</v>
      </c>
      <c r="F76" s="1" t="b">
        <f>IFERROR(IF(ISNUMBER(MATCH(Crops[[#This Row],[Identifier]],BedPlan[Crop], 0)), TRUE, FALSE), FALSE)</f>
        <v>0</v>
      </c>
      <c r="G76" s="1" t="b">
        <f>IFERROR(IF(ISNUMBER(MATCH(Crops[[#This Row],[Identifier]],BedPlan[Crop], 0)), TRUE, FALSE), FALSE)</f>
        <v>0</v>
      </c>
      <c r="H76" s="1"/>
      <c r="I76" t="s">
        <v>57</v>
      </c>
      <c r="J76" t="s">
        <v>145</v>
      </c>
      <c r="K76" t="s">
        <v>181</v>
      </c>
      <c r="M76" t="s">
        <v>406</v>
      </c>
      <c r="N76" t="str">
        <f>Crops[[#This Row],[Crop]]</f>
        <v>Celosia</v>
      </c>
      <c r="O76" t="s">
        <v>210</v>
      </c>
      <c r="P76" t="str">
        <f>IF(OR(Crops[[#This Row],[Days in Cells]]="",Crops[[#This Row],[Days in Cells]]=0), "DS","TP")</f>
        <v>TP</v>
      </c>
      <c r="Q76" t="s">
        <v>144</v>
      </c>
      <c r="V76" t="str">
        <f xml:space="preserve"> IF(Crops[[#This Row],[Sp]], "Sp", "") &amp; IF(Crops[[#This Row],[Su]], "Su", "") &amp; IF(Crops[[#This Row],[Fa]], "Fa", "") &amp; IF(Crops[[#This Row],[Wi]], "Wi", "") &amp; IF(Crops[[#This Row],[OW]], "Ow","")</f>
        <v>Sp</v>
      </c>
      <c r="X76">
        <v>3</v>
      </c>
      <c r="Y76">
        <v>12</v>
      </c>
      <c r="AB76" t="b">
        <v>0</v>
      </c>
      <c r="AC76">
        <v>3</v>
      </c>
      <c r="AD76" s="32">
        <f>IFERROR(12/Crops[[#This Row],[Spacing]]*Crops[[#This Row],[Rows]]*BedLength,"")</f>
        <v>150</v>
      </c>
      <c r="AE76">
        <v>1</v>
      </c>
      <c r="AG76">
        <f>IF(Crops[[#This Row],[Custom Safety Factor]]="",PlantingSafetyFactor,Crops[[#This Row],[Custom Safety Factor]])</f>
        <v>1.3</v>
      </c>
      <c r="AH76">
        <f>1</f>
        <v>1</v>
      </c>
      <c r="AI76" s="33">
        <f>IFERROR(Crops[[#This Row],[Plantings Per Bed]]*Crops[[#This Row],[Seeds Per Planting]]*Crops[[#This Row],[Safety Factor]]*Crops[[#This Row],[Seeding Factor]],"")</f>
        <v>195</v>
      </c>
      <c r="AJ76">
        <v>7</v>
      </c>
      <c r="AK76">
        <v>14</v>
      </c>
      <c r="AL76">
        <f>_xlfn.FLOOR.MATH(IFERROR(AVERAGE(Crops[[#This Row],[DTG Lower]:[DTG Upper]]),0))</f>
        <v>10</v>
      </c>
      <c r="AM76">
        <f>SUM(Crops[[#This Row],[Tray 1 Days]],Crops[[#This Row],[Tray 2 Days]],Crops[[#This Row],[Tray 3 Days]])</f>
        <v>50</v>
      </c>
      <c r="AO76">
        <v>90</v>
      </c>
      <c r="AP76">
        <v>120</v>
      </c>
      <c r="AQ76">
        <v>110</v>
      </c>
      <c r="AR76" cm="1">
        <f t="array" ref="AR76">_xlfn.SWITCH(Crops[[#This Row],[Normal Method]],"DS",Crops[[#This Row],[Days to Germination]]+Crops[[#This Row],[DTM]] + IF(Crops[[#This Row],[Days in Cells]]&gt;0,15,0), "TP",Crops[[#This Row],[DTM]]+Crops[[#This Row],[Days in Cells]] + IF(Crops[[#This Row],[Days in Cells]]&lt;=0,20,0), "X", Crops[[#This Row],[DTM]])</f>
        <v>135</v>
      </c>
      <c r="AS76" t="s">
        <v>338</v>
      </c>
      <c r="AT76">
        <f>(Crops[[#This Row],[Harvests]]-1)*Crops[[#This Row],[Days Between Harvest]]+7</f>
        <v>56</v>
      </c>
      <c r="AU76">
        <f>Crops[[#This Row],[STH]]-Crops[[#This Row],[Days in Cells]]+Crops[[#This Row],[Harvest window]]</f>
        <v>141</v>
      </c>
      <c r="AW76" t="s">
        <v>212</v>
      </c>
      <c r="AX76">
        <v>72</v>
      </c>
      <c r="AY76">
        <v>50</v>
      </c>
      <c r="AZ76" s="49">
        <f>IFERROR(IF(Crops[[#This Row],[Tray 1 Days]]=0,"",Crops[[#This Row],[Plantings Per Bed]]/Crops[[#This Row],[Tray 1 Size]]*Crops[[#This Row],[Safety Factor]]),"")</f>
        <v>2.7083333333333335</v>
      </c>
      <c r="BC76" t="str">
        <f>IFERROR(IF(Crops[[#This Row],[Tray 2 Days]]=0,"",Crops[[#This Row],[Plantings Per Bed]]/Crops[[#This Row],[Tray 2 Size]]*Crops[[#This Row],[Safety Factor]]),"")</f>
        <v/>
      </c>
      <c r="BE76" s="32" t="str">
        <f>IF(NOT(ISBLANK(Crops[[#This Row],[Tray 3 Size]])), Crops[[#This Row],[Days in Cells Old]]-SUM(Crops[[#This Row],[Tray 1 Days]],Crops[[#This Row],[Tray 2 Days]]), "")</f>
        <v/>
      </c>
      <c r="BF76" t="str">
        <f>IFERROR(IF(Crops[[#This Row],[Tray 3 Days]]=0,"",Crops[[#This Row],[Plantings Per Bed]]/Crops[[#This Row],[Tray 3 Size]]*Crops[[#This Row],[Safety Factor]]),"")</f>
        <v/>
      </c>
      <c r="BG76" s="33">
        <f>Crops[[#This Row],[Plantings Per Bed]]*14/Crops[[#This Row],[Harvests]]</f>
        <v>262.5</v>
      </c>
      <c r="BH76" s="33">
        <v>8</v>
      </c>
      <c r="BI76" s="33">
        <v>7</v>
      </c>
      <c r="BJ76" s="33">
        <f>_xlfn.XLOOKUP(Crops[[#This Row],[ProductIndex]],Products[ID],Products[Holding Period])</f>
        <v>0</v>
      </c>
      <c r="BK76" s="33"/>
      <c r="BL76" s="33">
        <f>Crops[[#This Row],[Units Per Harvest]]*Crops[[#This Row],[Harvests]]</f>
        <v>2100</v>
      </c>
      <c r="BM76" s="35">
        <f>2100/3000</f>
        <v>0.7</v>
      </c>
      <c r="BN76" s="35">
        <f>Crops[[#This Row],[Direct Price]]*0.6</f>
        <v>0.42</v>
      </c>
      <c r="BO76" s="35"/>
      <c r="BP76" t="s">
        <v>213</v>
      </c>
      <c r="BQ76">
        <f>Crops[[#This Row],[Custom Yield Per Bed]]*Crops[[#This Row],[Direct Price]]</f>
        <v>1470</v>
      </c>
      <c r="BR76" t="b">
        <v>0</v>
      </c>
      <c r="BS76" t="b">
        <f>Crops[[#This Row],[Harvests]]&gt;1</f>
        <v>1</v>
      </c>
      <c r="BT76" s="36">
        <f>IFERROR(Crops[[#This Row],[Direct Revenue Per Bed]]/Crops[[#This Row],[Days In Field]],-1)</f>
        <v>10.425531914893616</v>
      </c>
      <c r="BU76" s="36">
        <f>IFERROR(Crops[[#This Row],[Direct Revenue Per Bed Day]]*GrowingDays*BedsPerAcre,"")</f>
        <v>300255.31914893613</v>
      </c>
      <c r="BV76" s="38">
        <f>LastFrostDate-5*Crops[[#This Row],[Sewing Rel Last Frost]]</f>
        <v>45738</v>
      </c>
      <c r="BW76" s="38">
        <f>Crops[[#This Row],[Target Sewing Date]]+Crops[[#This Row],[Days in Cells]]</f>
        <v>45788</v>
      </c>
      <c r="BX76" s="38">
        <f>Crops[[#This Row],[Target Sewing Date]]+Crops[[#This Row],[STH]]</f>
        <v>45873</v>
      </c>
      <c r="BY76" s="38">
        <f>Crops[[#This Row],[Target Harvest Data]]+Crops[[#This Row],[Harvest window]]</f>
        <v>45929</v>
      </c>
      <c r="BZ76">
        <v>2</v>
      </c>
      <c r="CA76" t="s">
        <v>1762</v>
      </c>
      <c r="CB76">
        <f>1</f>
        <v>1</v>
      </c>
      <c r="CC76">
        <f>IF(Crops[[#This Row],[Transplanting]]&gt;0, 2, 3)*BedLength/StandardBedLength</f>
        <v>1</v>
      </c>
      <c r="CD76" s="173">
        <f>IF(Crops[[#This Row],[Days in Cells]]&lt;=0,0,Crops[[#This Row],[Plantings Per Bed]]/StartsPerHourSeeding+Crops[[#This Row],[Tray 1 Count]]*5/60)</f>
        <v>0.81163194444444442</v>
      </c>
      <c r="CE76" s="173">
        <f>IF(ISBLANK(Crops[[#This Row],[Tray 2 Days]]),0,Crops[[#This Row],[Plantings Per Bed]]/UpPottingPerHour)+IF(Crops[[#This Row],[Tray 3 Days]]="",0,Crops[[#This Row],[Plantings Per Bed]]/UpPottingPerHour)</f>
        <v>0</v>
      </c>
      <c r="CF76" s="173">
        <f>IFERROR(Crops[[#This Row],[Tray 1 Count]]/HomeStartFlatIrrigationPerHour,0)*Crops[[#This Row],[Days in Cells]]/DaysBetweenStartIrrigation</f>
        <v>0.56423611111111105</v>
      </c>
      <c r="CG76" s="173">
        <f>0.5/16*MAX(Crops[[#This Row],[Tray 1 Count]],Crops[[#This Row],[Tray 2 Count]],Crops[[#This Row],[Tray 3 Count]])</f>
        <v>8.4635416666666671E-2</v>
      </c>
      <c r="CH76" s="173">
        <f>IF(Crops[[#This Row],[Days in Cells]]&gt;0,IF(IF(Crops[[#This Row],[Tray 3 Size]]&gt;0,Crops[[#This Row],[Tray 3 Size]],IF(Crops[[#This Row],[Tray 2 Size]]&gt;0,Crops[[#This Row],[Tray 2 Size]],Crops[[#This Row],[Tray 1 Size]]))&lt;=18,LargeTransplantTime,SmallTransplantTime)*Crops[[#This Row],[Plantings Per Bed]],0)</f>
        <v>0.75</v>
      </c>
      <c r="CI76" s="173"/>
      <c r="CJ76" s="173">
        <f>_xlfn.XLOOKUP(Crops[[#This Row],[Trellis Type]],TrellisMethods[Trellis Type],TrellisMethods[Hours],0,0)</f>
        <v>0</v>
      </c>
      <c r="CK76">
        <f>IF(Crops[[#This Row],[Days in Cells]]&lt;=0,Crops[[#This Row],[Rows]]*1/10,0)*BedLength/50</f>
        <v>0</v>
      </c>
      <c r="CL76" cm="1">
        <f t="array" ref="CL76">_xlfn.SWITCH(Crops[[#This Row],[Irrigation]],"DR", 0.5, "OH", 0.25,0)*BedLength/50</f>
        <v>0</v>
      </c>
      <c r="CM76">
        <f>IF(OR(ISBLANK(Crops[[#This Row],[Row Cover]]),Crops[[#This Row],[Row Cover]]="None"),0,1)*BedLength/50</f>
        <v>0</v>
      </c>
      <c r="CN76" s="173">
        <f>HoursPerWeedingPass*Crops[[#This Row],[Days In Field]]/14*Crops[[#This Row],[Rows]]+1*BedLength/50</f>
        <v>6.0357142857142856</v>
      </c>
      <c r="CQ76" s="37">
        <f>_xlfn.XLOOKUP(Crops[[#This Row],[Crop]]&amp;Crops[[#This Row],[Product]]&amp;Crops[[#This Row],[Unit]],Products[ID],Products[Marketing (hr)])*Crops[[#This Row],[Direct Revenue Per Bed]]/2000</f>
        <v>4.41</v>
      </c>
      <c r="CR76" s="37">
        <f>_xlfn.XLOOKUP(Crops[[#This Row],[Crop]]&amp;Crops[[#This Row],[Product]]&amp;Crops[[#This Row],[Unit]],Products[ID],Products[Harvest (s)])*Crops[[#This Row],[Custom Yield Per Bed]]/3600</f>
        <v>2.9166666666666665</v>
      </c>
      <c r="CS76" s="37">
        <f>_xlfn.XLOOKUP(Crops[[#This Row],[Crop]]&amp;Crops[[#This Row],[Product]]&amp;Crops[[#This Row],[Unit]],Products[ID],Products[Bunch (s)])*Crops[[#This Row],[Custom Yield Per Bed]]/3600</f>
        <v>0</v>
      </c>
      <c r="CT76" s="37">
        <f>_xlfn.XLOOKUP(Crops[[#This Row],[Crop]]&amp;Crops[[#This Row],[Product]]&amp;Crops[[#This Row],[Unit]],Products[ID],Products[Haul (s)])*Crops[[#This Row],[Custom Yield Per Bed]]/3600</f>
        <v>1.05</v>
      </c>
      <c r="CU76" s="37">
        <f>_xlfn.XLOOKUP(Crops[[#This Row],[Crop]]&amp;Crops[[#This Row],[Product]]&amp;Crops[[#This Row],[Unit]],Products[ID],Products[Wash (s)])*Crops[[#This Row],[Custom Yield Per Bed]]/3600</f>
        <v>0</v>
      </c>
      <c r="CV76" s="37">
        <f>_xlfn.XLOOKUP(Crops[[#This Row],[Crop]]&amp;Crops[[#This Row],[Product]]&amp;Crops[[#This Row],[Unit]],Products[ID],Products[Condition (s)])*Crops[[#This Row],[Custom Yield Per Bed]]/3600</f>
        <v>0</v>
      </c>
      <c r="CW76" s="37">
        <f>_xlfn.XLOOKUP(Crops[[#This Row],[Crop]]&amp;Crops[[#This Row],[Product]]&amp;Crops[[#This Row],[Unit]],Products[ID],Products[Trim (s)])*Crops[[#This Row],[Custom Yield Per Bed]]/3600</f>
        <v>1.75</v>
      </c>
      <c r="CX76" s="37">
        <f>_xlfn.XLOOKUP(Crops[[#This Row],[Crop]]&amp;Crops[[#This Row],[Product]]&amp;Crops[[#This Row],[Unit]],Products[ID],Products[Pack (s)])*Crops[[#This Row],[Custom Yield Per Bed]]/3600</f>
        <v>1.75</v>
      </c>
      <c r="CY76" s="37">
        <f>_xlfn.XLOOKUP(Crops[[#This Row],[Crop]]&amp;Crops[[#This Row],[Product]]&amp;Crops[[#This Row],[Unit]],Products[ID],Products[Clean (s)])*Crops[[#This Row],[Custom Yield Per Bed]]/3600</f>
        <v>0</v>
      </c>
      <c r="CZ76" s="37">
        <f>_xlfn.XLOOKUP(Crops[[#This Row],[Crop]]&amp;Crops[[#This Row],[Product]]&amp;Crops[[#This Row],[Unit]],Products[ID],Products[Rehandle (s)])*Crops[[#This Row],[Custom Yield Per Bed]]/3600</f>
        <v>0</v>
      </c>
      <c r="DA76" s="37">
        <f>_xlfn.XLOOKUP(Crops[[#This Row],[Crop]]&amp;Crops[[#This Row],[Product]]&amp;Crops[[#This Row],[Unit]],Products[ID],Products[Market Transport (s)])*Crops[[#This Row],[Custom Yield Per Bed]]/3600</f>
        <v>2.625</v>
      </c>
      <c r="DC76" s="37">
        <f>Crops[[#This Row],[Direct Revenue Per Bed2]]</f>
        <v>1470</v>
      </c>
      <c r="DD76" s="173">
        <f>_xlfn.AGGREGATE(9,6,Crops[[#This Row],[Bed Prep]:[Remove Crop Residue]])</f>
        <v>23.747884424603175</v>
      </c>
      <c r="DE76" s="173">
        <f>_xlfn.AGGREGATE(9,6,Crops[[#This Row],[Bed Prep]:[Remove Crop Residue]])-0.75*Crops[[#This Row],[Market &amp; Sell]]</f>
        <v>20.440384424603174</v>
      </c>
      <c r="DF76" s="36">
        <f>Crops[[#This Row],[Direct Revenue Per Bed2]]/Crops[[#This Row],[Direct Time]]</f>
        <v>61.900250721999356</v>
      </c>
      <c r="DG76" s="36">
        <f>_xlfn.XLOOKUP(Crops[[#This Row],[ProductIndex]],Products[ID],Products[Packaging Cost])*(Crops[[#This Row],[Custom Yield Per Bed]]/_xlfn.XLOOKUP(Crops[[#This Row],[ProductIndex]],Products[ID],Products[Units Per Pack]))</f>
        <v>168</v>
      </c>
      <c r="DH76" s="36"/>
      <c r="DI76" s="36"/>
      <c r="DJ76" s="36"/>
      <c r="DK76" s="36"/>
      <c r="DL76" s="36"/>
      <c r="DM76" s="33">
        <f>IFERROR(Crops[[#This Row],[Custom Yield Per Bed]]*Crops[[#This Row],[Direct Price]],"")</f>
        <v>1470</v>
      </c>
      <c r="DN76" s="36">
        <f>Crops[[#This Row],[Direct Time]]*LaborRate</f>
        <v>593.6971106150794</v>
      </c>
      <c r="DO76" s="36">
        <f>SUM(Crops[[#This Row],[Irrigation Cost]])</f>
        <v>0</v>
      </c>
      <c r="DP76" s="36">
        <f>Crops[[#This Row],[Direct Labor Cost]]+Crops[[#This Row],[Direct Non-Labor Cost]]</f>
        <v>593.6971106150794</v>
      </c>
      <c r="DQ76" s="36">
        <f>Crops[[#This Row],[Direct Revenue Per Bed2]]-Crops[[#This Row],[Direct Total Cost]]</f>
        <v>876.3028893849206</v>
      </c>
      <c r="DR76" s="36">
        <f>Crops[[#This Row],[Direct Profit]]*BedsPerAcre</f>
        <v>140208.46230158731</v>
      </c>
      <c r="DS76" s="36">
        <f>Crops[[#This Row],[Direct Profit]]*BedsPerAcre*GrowingDays/Crops[[#This Row],[Days In Field]]</f>
        <v>178989.52634245189</v>
      </c>
      <c r="DT76" s="36">
        <f>Crops[[#This Row],[Direct Profit]]/MIN(Crops[[#This Row],[Days In Field]],GrowingDays)</f>
        <v>6.2149141091129119</v>
      </c>
      <c r="DU76" s="36">
        <f>Crops[[#This Row],[Direct Time]] * BedsPerAcre</f>
        <v>3799.6615079365079</v>
      </c>
      <c r="DV76" s="36">
        <f>(Crops[[#This Row],[Direct Revenue Per Bed2]]-Crops[[#This Row],[Direct Non-Labor Cost]])/Crops[[#This Row],[Direct Time]]</f>
        <v>61.900250721999356</v>
      </c>
      <c r="DW76" s="33">
        <f>IFERROR(Crops[[#This Row],[Custom Yield Per Bed]]*Crops[[#This Row],[Rough Wholesale Price]],"")</f>
        <v>882</v>
      </c>
      <c r="DX76" s="36">
        <f>Crops[[#This Row],[Wholesale Time]]*LaborRate</f>
        <v>511.00961061507934</v>
      </c>
      <c r="DY76" s="36">
        <f>SUM(Crops[[#This Row],[Packaging Costs]:[Irrigation Cost]])</f>
        <v>168</v>
      </c>
      <c r="DZ76" s="36">
        <f>Crops[[#This Row],[Wholesale Labor Cost]]+Crops[[#This Row],[Wholesale Non-Labor Cost]]</f>
        <v>679.00961061507928</v>
      </c>
      <c r="EA76" s="36">
        <f>Crops[[#This Row],[Wholesale Revenue Per Bed]]-Crops[[#This Row],[Wholesale Total Cost]]</f>
        <v>202.99038938492072</v>
      </c>
      <c r="EB76" s="36">
        <f>Crops[[#This Row],[Wholesale Profit]]*BedsPerAcre</f>
        <v>32478.462301587315</v>
      </c>
      <c r="EC76" s="36">
        <f>Crops[[#This Row],[Wholesale Profit]]*BedsPerAcre*GrowingDays/Crops[[#This Row],[Days In Field]]</f>
        <v>41461.866767983804</v>
      </c>
      <c r="ED76" s="36">
        <f>Crops[[#This Row],[Wholesale Time]] * BedsPerAcre</f>
        <v>3270.4615079365076</v>
      </c>
      <c r="EE76" s="36">
        <f>Crops[[#This Row],[Wholesale Profit]]/MIN(Crops[[#This Row],[Days In Field]],GrowingDays)</f>
        <v>1.4396481516661044</v>
      </c>
      <c r="EF76" s="36">
        <f>(Crops[[#This Row],[Wholesale Revenue Per Bed]]-Crops[[#This Row],[Wholesale Non-Labor Cost]])/Crops[[#This Row],[Direct Time]]</f>
        <v>30.065836064971116</v>
      </c>
      <c r="EG76" s="174">
        <f>Crops[[#This Row],[Packaging Costs]]/Crops[[#This Row],[Wholesale Revenue Per Bed]]</f>
        <v>0.19047619047619047</v>
      </c>
      <c r="EH76" s="36" t="str">
        <f>Crops[[#This Row],[Crop]]&amp;Crops[[#This Row],[Product]]&amp;Crops[[#This Row],[Unit]]</f>
        <v>CelosiaMature StemStem</v>
      </c>
      <c r="EI76" s="36" t="b">
        <f>_xlfn.XLOOKUP(Crops[[#This Row],[ProductIndex]],Products[ID],Products[Target])</f>
        <v>1</v>
      </c>
      <c r="EJ76" s="36">
        <f>Crops[[#This Row],[Custom Yield Per Bed]]</f>
        <v>2100</v>
      </c>
      <c r="EK76" s="210">
        <f>Crops[[#This Row],[Units Per Harvest]]/Crops[[#This Row],[Days Between Harvest]]*7</f>
        <v>262.5</v>
      </c>
      <c r="EL76" s="210" t="e">
        <f>Crops[[#This Row],[Custom Yield Per Bed]]/_xlfn.XLOOKUP(Crops[[#This Row],[ProductIndex]],Products[ID],Products[CSA Portion])</f>
        <v>#DIV/0!</v>
      </c>
      <c r="EM76" s="210" t="e">
        <f>Crops[[#This Row],[Units Per Harvest]]/Crops[[#This Row],[Days Between Harvest]]*7/_xlfn.XLOOKUP(Crops[[#This Row],[ProductIndex]],Products[ID],Products[CSA Portion])</f>
        <v>#DIV/0!</v>
      </c>
      <c r="EN76" s="210" t="e">
        <f>Crops[[#This Row],[CSA Portions Per Week]]/CSAMembers</f>
        <v>#DIV/0!</v>
      </c>
      <c r="EO76" s="210"/>
      <c r="EP76" s="210"/>
      <c r="EQ76" s="36"/>
      <c r="ER76" s="36">
        <f>Crops[[#This Row],[Harvests]]*Crops[[#This Row],[Days Between Harvest]]/7</f>
        <v>8</v>
      </c>
      <c r="ES76" s="208">
        <f>_xlfn.XLOOKUP(Crops[[#This Row],[ProductIndex]],Products[ID],Products[CSA Need])</f>
        <v>0</v>
      </c>
      <c r="ET76" s="208">
        <f>_xlfn.XLOOKUP(Crops[[#This Row],[ProductIndex]],Products[ID],Products[CSA Times])</f>
        <v>0</v>
      </c>
      <c r="EU76" s="208" t="e">
        <f>Crops[[#This Row],[Custom Yield Per Bed]]/(Crops[[#This Row],[CSA Need]]*(_xlfn.XLOOKUP(Crops[[#This Row],[ProductIndex]],Products[ID],Products[CSA Portion])*CSAMembers))</f>
        <v>#DIV/0!</v>
      </c>
      <c r="EV76" s="208">
        <f>_xlfn.XLOOKUP(Crops[[#This Row],[ProductIndex]],Products[ID],Products[CSA Portion])*CSAMembers*Crops[[#This Row],[CSA Need]]/Crops[[#This Row],[Custom Yield Per Bed]]</f>
        <v>0</v>
      </c>
      <c r="EW76" s="208">
        <f>IFERROR(Crops[[#This Row],[Days In Field]]*Crops[[#This Row],[CSA Beds]],"")</f>
        <v>0</v>
      </c>
      <c r="EX76" s="208" t="e">
        <f>Crops[[#This Row],[CSA Bed Days]]*#REF!</f>
        <v>#REF!</v>
      </c>
    </row>
    <row r="77" spans="1:155">
      <c r="A7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Chervil - Mature Stem 2X | Field TP Su</v>
      </c>
      <c r="C77" s="241" t="b">
        <v>1</v>
      </c>
      <c r="D77" s="1"/>
      <c r="E77" s="1" t="b">
        <v>0</v>
      </c>
      <c r="F77" s="1" t="b">
        <f>IFERROR(IF(ISNUMBER(MATCH(Crops[[#This Row],[Identifier]],BedPlan[Crop], 0)), TRUE, FALSE), FALSE)</f>
        <v>0</v>
      </c>
      <c r="G77" s="1" t="b">
        <f>IFERROR(IF(ISNUMBER(MATCH(Crops[[#This Row],[Identifier]],BedPlan[Crop], 0)), TRUE, FALSE), FALSE)</f>
        <v>0</v>
      </c>
      <c r="H77" s="1"/>
      <c r="I77" t="s">
        <v>2294</v>
      </c>
      <c r="J77" t="s">
        <v>145</v>
      </c>
      <c r="K77" t="s">
        <v>181</v>
      </c>
      <c r="M77" t="s">
        <v>442</v>
      </c>
      <c r="N77" t="str">
        <f>Crops[[#This Row],[Crop]]</f>
        <v>Chervil</v>
      </c>
      <c r="O77" t="s">
        <v>210</v>
      </c>
      <c r="P77" t="str">
        <f>IF(OR(Crops[[#This Row],[Days in Cells]]="",Crops[[#This Row],[Days in Cells]]=0), "DS","TP")</f>
        <v>TP</v>
      </c>
      <c r="R77" t="b">
        <v>1</v>
      </c>
      <c r="V77" t="str">
        <f xml:space="preserve"> IF(Crops[[#This Row],[Sp]], "Sp", "") &amp; IF(Crops[[#This Row],[Su]], "Su", "") &amp; IF(Crops[[#This Row],[Fa]], "Fa", "") &amp; IF(Crops[[#This Row],[Wi]], "Wi", "") &amp; IF(Crops[[#This Row],[OW]], "Ow","")</f>
        <v>Su</v>
      </c>
      <c r="X77">
        <v>2</v>
      </c>
      <c r="Y77">
        <v>6</v>
      </c>
      <c r="AC77">
        <v>2</v>
      </c>
      <c r="AD77" s="32">
        <f>IFERROR(12/Crops[[#This Row],[Spacing]]*Crops[[#This Row],[Rows]]*BedLength,"")</f>
        <v>200</v>
      </c>
      <c r="AE77">
        <v>2</v>
      </c>
      <c r="AG77">
        <f>IF(Crops[[#This Row],[Custom Safety Factor]]="",PlantingSafetyFactor,Crops[[#This Row],[Custom Safety Factor]])</f>
        <v>1.3</v>
      </c>
      <c r="AH77">
        <f>1</f>
        <v>1</v>
      </c>
      <c r="AI77" s="37">
        <f>IFERROR(Crops[[#This Row],[Plantings Per Bed]]*Crops[[#This Row],[Seeds Per Planting]]*Crops[[#This Row],[Safety Factor]]*Crops[[#This Row],[Seeding Factor]],"")</f>
        <v>520</v>
      </c>
      <c r="AJ77">
        <v>10</v>
      </c>
      <c r="AK77">
        <v>14</v>
      </c>
      <c r="AL77">
        <f>_xlfn.FLOOR.MATH(IFERROR(AVERAGE(Crops[[#This Row],[DTG Lower]:[DTG Upper]]),0))</f>
        <v>12</v>
      </c>
      <c r="AM77">
        <f>SUM(Crops[[#This Row],[Tray 1 Days]],Crops[[#This Row],[Tray 2 Days]],Crops[[#This Row],[Tray 3 Days]])</f>
        <v>56</v>
      </c>
      <c r="AO77">
        <v>60</v>
      </c>
      <c r="AQ77">
        <f>IFERROR(_xlfn.FLOOR.MATH(AVERAGE(Crops[[#This Row],[DTM Lower]:[DTM Upper]])),"")</f>
        <v>60</v>
      </c>
      <c r="AR77" cm="1">
        <f t="array" ref="AR77">_xlfn.SWITCH(Crops[[#This Row],[Normal Method]],"DS",Crops[[#This Row],[Days to Germination]]+Crops[[#This Row],[DTM]] + IF(Crops[[#This Row],[Days in Cells]]&gt;0,15,0), "TP",Crops[[#This Row],[DTM]]+Crops[[#This Row],[Days in Cells]] + IF(Crops[[#This Row],[Days in Cells]]&lt;=0,20,0), "X", Crops[[#This Row],[DTM]])</f>
        <v>87</v>
      </c>
      <c r="AS77" t="s">
        <v>338</v>
      </c>
      <c r="AT77">
        <f>(Crops[[#This Row],[Harvests]]-1)*Crops[[#This Row],[Days Between Harvest]]+7</f>
        <v>147</v>
      </c>
      <c r="AU77">
        <f>Crops[[#This Row],[STH]]-Crops[[#This Row],[Days in Cells]]+Crops[[#This Row],[Harvest window]]</f>
        <v>178</v>
      </c>
      <c r="AX77">
        <v>72</v>
      </c>
      <c r="AY77">
        <f>8*7</f>
        <v>56</v>
      </c>
      <c r="AZ77">
        <f>IFERROR(IF(Crops[[#This Row],[Tray 1 Days]]=0,"",Crops[[#This Row],[Plantings Per Bed]]/Crops[[#This Row],[Tray 1 Size]]*Crops[[#This Row],[Safety Factor]]),"")</f>
        <v>3.6111111111111112</v>
      </c>
      <c r="BC77" t="str">
        <f>IFERROR(IF(Crops[[#This Row],[Tray 2 Days]]=0,"",Crops[[#This Row],[Plantings Per Bed]]/Crops[[#This Row],[Tray 2 Size]]*Crops[[#This Row],[Safety Factor]]),"")</f>
        <v/>
      </c>
      <c r="BE77" s="32" t="str">
        <f>IF(NOT(ISBLANK(Crops[[#This Row],[Tray 3 Size]])), Crops[[#This Row],[Days in Cells Old]]-SUM(Crops[[#This Row],[Tray 1 Days]],Crops[[#This Row],[Tray 2 Days]]), "")</f>
        <v/>
      </c>
      <c r="BF77" t="str">
        <f>IFERROR(IF(Crops[[#This Row],[Tray 3 Days]]=0,"",Crops[[#This Row],[Plantings Per Bed]]/Crops[[#This Row],[Tray 3 Size]]*Crops[[#This Row],[Safety Factor]]),"")</f>
        <v/>
      </c>
      <c r="BG77" s="33">
        <f>Crops[[#This Row],[Plantings Per Bed]]</f>
        <v>200</v>
      </c>
      <c r="BH77">
        <v>11</v>
      </c>
      <c r="BI77">
        <v>14</v>
      </c>
      <c r="BJ77" s="37" t="e">
        <f>_xlfn.XLOOKUP(Crops[[#This Row],[ProductIndex]],Products[ID],Products[Holding Period])</f>
        <v>#N/A</v>
      </c>
      <c r="BK77" s="33"/>
      <c r="BL77" s="32">
        <f>Crops[[#This Row],[Units Per Harvest]]*Crops[[#This Row],[Harvests]]</f>
        <v>2200</v>
      </c>
      <c r="BM77" s="35">
        <v>3</v>
      </c>
      <c r="BN77" s="35">
        <f>Crops[[#This Row],[Direct Price]]*0.6</f>
        <v>1.7999999999999998</v>
      </c>
      <c r="BO77" s="35"/>
      <c r="BP77" t="s">
        <v>215</v>
      </c>
      <c r="BQ77" s="193">
        <f>Crops[[#This Row],[Custom Yield Per Bed]]*Crops[[#This Row],[Direct Price]]</f>
        <v>6600</v>
      </c>
      <c r="BR77" s="193" t="b">
        <v>0</v>
      </c>
      <c r="BS77" t="b">
        <f>Crops[[#This Row],[Harvests]]&gt;1</f>
        <v>1</v>
      </c>
      <c r="BT77" s="36">
        <f>IFERROR(Crops[[#This Row],[Direct Revenue Per Bed]]/Crops[[#This Row],[Days In Field]],-1)</f>
        <v>37.078651685393261</v>
      </c>
      <c r="BU77" s="33">
        <f>IFERROR(Crops[[#This Row],[Direct Revenue Per Bed Day]]*GrowingDays*BedsPerAcre,"")</f>
        <v>1067865.1685393259</v>
      </c>
      <c r="BV77" s="38">
        <f>LastFrostDate-5*Crops[[#This Row],[Sewing Rel Last Frost]]</f>
        <v>45728</v>
      </c>
      <c r="BW77" s="38">
        <f>Crops[[#This Row],[Target Sewing Date]]+Crops[[#This Row],[Days in Cells]]</f>
        <v>45784</v>
      </c>
      <c r="BX77" s="38">
        <f>Crops[[#This Row],[Target Sewing Date]]+Crops[[#This Row],[STH]]</f>
        <v>45815</v>
      </c>
      <c r="BY77" s="38">
        <f>Crops[[#This Row],[Target Harvest Data]]+Crops[[#This Row],[Harvest window]]</f>
        <v>45962</v>
      </c>
      <c r="BZ77">
        <v>4</v>
      </c>
      <c r="CB77">
        <f>1</f>
        <v>1</v>
      </c>
      <c r="CC77">
        <f>IF(Crops[[#This Row],[Transplanting]]&gt;0, 2, 3)*BedLength/StandardBedLength</f>
        <v>1</v>
      </c>
      <c r="CD77" s="173">
        <f>IF(Crops[[#This Row],[Days in Cells]]&lt;=0,0,Crops[[#This Row],[Plantings Per Bed]]/StartsPerHourSeeding+Crops[[#This Row],[Tray 1 Count]]*5/60)</f>
        <v>1.082175925925926</v>
      </c>
      <c r="CE77" s="173">
        <f>IF(ISBLANK(Crops[[#This Row],[Tray 2 Days]]),0,Crops[[#This Row],[Plantings Per Bed]]/UpPottingPerHour)+IF(Crops[[#This Row],[Tray 3 Days]]="",0,Crops[[#This Row],[Plantings Per Bed]]/UpPottingPerHour)</f>
        <v>0</v>
      </c>
      <c r="CF77" s="173">
        <f>IFERROR(Crops[[#This Row],[Tray 1 Count]]/HomeStartFlatIrrigationPerHour,0)*Crops[[#This Row],[Days in Cells]]/DaysBetweenStartIrrigation</f>
        <v>0.84259259259259267</v>
      </c>
      <c r="CG77" s="173">
        <f>0.5/16*MAX(Crops[[#This Row],[Tray 1 Count]],Crops[[#This Row],[Tray 2 Count]],Crops[[#This Row],[Tray 3 Count]])</f>
        <v>0.11284722222222222</v>
      </c>
      <c r="CH77" s="173">
        <f>IF(Crops[[#This Row],[Days in Cells]]&gt;0,IF(IF(Crops[[#This Row],[Tray 3 Size]]&gt;0,Crops[[#This Row],[Tray 3 Size]],IF(Crops[[#This Row],[Tray 2 Size]]&gt;0,Crops[[#This Row],[Tray 2 Size]],Crops[[#This Row],[Tray 1 Size]]))&lt;=18,LargeTransplantTime,SmallTransplantTime)*Crops[[#This Row],[Plantings Per Bed]],0)</f>
        <v>1</v>
      </c>
      <c r="CI77" s="173"/>
      <c r="CJ77" s="173">
        <f>_xlfn.XLOOKUP(Crops[[#This Row],[Trellis Type]],TrellisMethods[Trellis Type],TrellisMethods[Hours],0,0)</f>
        <v>0</v>
      </c>
      <c r="CK77">
        <f>IF(Crops[[#This Row],[Days in Cells]]&lt;=0,Crops[[#This Row],[Rows]]*1/10,0)*BedLength/50</f>
        <v>0</v>
      </c>
      <c r="CL77" cm="1">
        <f t="array" ref="CL77">_xlfn.SWITCH(Crops[[#This Row],[Irrigation]],"DR", 0.5, "OH", 0.25,0)*BedLength/50</f>
        <v>0</v>
      </c>
      <c r="CM77">
        <f>IF(OR(ISBLANK(Crops[[#This Row],[Row Cover]]),Crops[[#This Row],[Row Cover]]="None"),0,1)*BedLength/50</f>
        <v>0</v>
      </c>
      <c r="CN77" s="173">
        <f>HoursPerWeedingPass*Crops[[#This Row],[Days In Field]]/14*Crops[[#This Row],[Rows]]+1*BedLength/50</f>
        <v>5.2380952380952381</v>
      </c>
      <c r="CQ77" s="37" t="e">
        <f>_xlfn.XLOOKUP(Crops[[#This Row],[Crop]]&amp;Crops[[#This Row],[Product]]&amp;Crops[[#This Row],[Unit]],Products[ID],Products[Marketing (hr)])*Crops[[#This Row],[Direct Revenue Per Bed]]/2000</f>
        <v>#N/A</v>
      </c>
      <c r="CR77" s="37" t="e">
        <f>_xlfn.XLOOKUP(Crops[[#This Row],[Crop]]&amp;Crops[[#This Row],[Product]]&amp;Crops[[#This Row],[Unit]],Products[ID],Products[Harvest (s)])*Crops[[#This Row],[Custom Yield Per Bed]]/3600</f>
        <v>#N/A</v>
      </c>
      <c r="CS77" s="37" t="e">
        <f>_xlfn.XLOOKUP(Crops[[#This Row],[Crop]]&amp;Crops[[#This Row],[Product]]&amp;Crops[[#This Row],[Unit]],Products[ID],Products[Bunch (s)])*Crops[[#This Row],[Custom Yield Per Bed]]/3600</f>
        <v>#N/A</v>
      </c>
      <c r="CT77" s="37" t="e">
        <f>_xlfn.XLOOKUP(Crops[[#This Row],[Crop]]&amp;Crops[[#This Row],[Product]]&amp;Crops[[#This Row],[Unit]],Products[ID],Products[Haul (s)])*Crops[[#This Row],[Custom Yield Per Bed]]/3600</f>
        <v>#N/A</v>
      </c>
      <c r="CU77" s="37" t="e">
        <f>_xlfn.XLOOKUP(Crops[[#This Row],[Crop]]&amp;Crops[[#This Row],[Product]]&amp;Crops[[#This Row],[Unit]],Products[ID],Products[Wash (s)])*Crops[[#This Row],[Custom Yield Per Bed]]/3600</f>
        <v>#N/A</v>
      </c>
      <c r="CV77" s="37" t="e">
        <f>_xlfn.XLOOKUP(Crops[[#This Row],[Crop]]&amp;Crops[[#This Row],[Product]]&amp;Crops[[#This Row],[Unit]],Products[ID],Products[Condition (s)])*Crops[[#This Row],[Custom Yield Per Bed]]/3600</f>
        <v>#N/A</v>
      </c>
      <c r="CW77" s="37" t="e">
        <f>_xlfn.XLOOKUP(Crops[[#This Row],[Crop]]&amp;Crops[[#This Row],[Product]]&amp;Crops[[#This Row],[Unit]],Products[ID],Products[Trim (s)])*Crops[[#This Row],[Custom Yield Per Bed]]/3600</f>
        <v>#N/A</v>
      </c>
      <c r="CX77" s="37" t="e">
        <f>_xlfn.XLOOKUP(Crops[[#This Row],[Crop]]&amp;Crops[[#This Row],[Product]]&amp;Crops[[#This Row],[Unit]],Products[ID],Products[Pack (s)])*Crops[[#This Row],[Custom Yield Per Bed]]/3600</f>
        <v>#N/A</v>
      </c>
      <c r="CY77" s="37" t="e">
        <f>_xlfn.XLOOKUP(Crops[[#This Row],[Crop]]&amp;Crops[[#This Row],[Product]]&amp;Crops[[#This Row],[Unit]],Products[ID],Products[Clean (s)])*Crops[[#This Row],[Custom Yield Per Bed]]/3600</f>
        <v>#N/A</v>
      </c>
      <c r="CZ77" s="37" t="e">
        <f>_xlfn.XLOOKUP(Crops[[#This Row],[Crop]]&amp;Crops[[#This Row],[Product]]&amp;Crops[[#This Row],[Unit]],Products[ID],Products[Rehandle (s)])*Crops[[#This Row],[Custom Yield Per Bed]]/3600</f>
        <v>#N/A</v>
      </c>
      <c r="DA77" s="37" t="e">
        <f>_xlfn.XLOOKUP(Crops[[#This Row],[Crop]]&amp;Crops[[#This Row],[Product]]&amp;Crops[[#This Row],[Unit]],Products[ID],Products[Market Transport (s)])*Crops[[#This Row],[Custom Yield Per Bed]]/3600</f>
        <v>#N/A</v>
      </c>
      <c r="DC77" s="37">
        <f>Crops[[#This Row],[Direct Revenue Per Bed2]]</f>
        <v>6600</v>
      </c>
      <c r="DD77" s="173">
        <f>_xlfn.AGGREGATE(9,6,Crops[[#This Row],[Bed Prep]:[Remove Crop Residue]])</f>
        <v>9.2757109788359777</v>
      </c>
      <c r="DE77" s="173" t="e">
        <f>_xlfn.AGGREGATE(9,6,Crops[[#This Row],[Bed Prep]:[Remove Crop Residue]])-0.75*Crops[[#This Row],[Market &amp; Sell]]</f>
        <v>#N/A</v>
      </c>
      <c r="DF77" s="36">
        <f>Crops[[#This Row],[Direct Revenue Per Bed2]]/Crops[[#This Row],[Direct Time]]</f>
        <v>711.5357534380878</v>
      </c>
      <c r="DG77" s="36" t="e">
        <f>_xlfn.XLOOKUP(Crops[[#This Row],[ProductIndex]],Products[ID],Products[Packaging Cost])*(Crops[[#This Row],[Custom Yield Per Bed]]/_xlfn.XLOOKUP(Crops[[#This Row],[ProductIndex]],Products[ID],Products[Units Per Pack]))</f>
        <v>#N/A</v>
      </c>
      <c r="DH77" s="36"/>
      <c r="DI77" s="36"/>
      <c r="DJ77" s="36"/>
      <c r="DK77" s="36"/>
      <c r="DL77" s="36"/>
      <c r="DM77" s="37">
        <f>IFERROR(Crops[[#This Row],[Custom Yield Per Bed]]*Crops[[#This Row],[Direct Price]],"")</f>
        <v>6600</v>
      </c>
      <c r="DN77" s="36">
        <f>Crops[[#This Row],[Direct Time]]*LaborRate</f>
        <v>231.89277447089944</v>
      </c>
      <c r="DO77" s="36">
        <f>SUM(Crops[[#This Row],[Irrigation Cost]])</f>
        <v>0</v>
      </c>
      <c r="DP77" s="36">
        <f>Crops[[#This Row],[Direct Labor Cost]]+Crops[[#This Row],[Direct Non-Labor Cost]]</f>
        <v>231.89277447089944</v>
      </c>
      <c r="DQ77" s="36">
        <f>Crops[[#This Row],[Direct Revenue Per Bed2]]-Crops[[#This Row],[Direct Total Cost]]</f>
        <v>6368.1072255291001</v>
      </c>
      <c r="DR77" s="36">
        <f>Crops[[#This Row],[Direct Profit]]*BedsPerAcre</f>
        <v>1018897.156084656</v>
      </c>
      <c r="DS77" s="36">
        <f>Crops[[#This Row],[Direct Profit]]*BedsPerAcre*GrowingDays/Crops[[#This Row],[Days In Field]]</f>
        <v>1030345.4387372927</v>
      </c>
      <c r="DT77" s="36">
        <f>Crops[[#This Row],[Direct Profit]]/MIN(Crops[[#This Row],[Days In Field]],GrowingDays)</f>
        <v>35.775883289489329</v>
      </c>
      <c r="DU77" s="36">
        <f>Crops[[#This Row],[Direct Time]] * BedsPerAcre</f>
        <v>1484.1137566137563</v>
      </c>
      <c r="DV77" s="36">
        <f>(Crops[[#This Row],[Direct Revenue Per Bed2]]-Crops[[#This Row],[Direct Non-Labor Cost]])/Crops[[#This Row],[Direct Time]]</f>
        <v>711.5357534380878</v>
      </c>
      <c r="DW77" s="37">
        <f>IFERROR(Crops[[#This Row],[Custom Yield Per Bed]]*Crops[[#This Row],[Rough Wholesale Price]],"")</f>
        <v>3959.9999999999995</v>
      </c>
      <c r="DX77" s="36" t="e">
        <f>Crops[[#This Row],[Wholesale Time]]*LaborRate</f>
        <v>#N/A</v>
      </c>
      <c r="DY77" s="36" t="e">
        <f>SUM(Crops[[#This Row],[Packaging Costs]:[Irrigation Cost]])</f>
        <v>#N/A</v>
      </c>
      <c r="DZ77" s="36" t="e">
        <f>Crops[[#This Row],[Wholesale Labor Cost]]+Crops[[#This Row],[Wholesale Non-Labor Cost]]</f>
        <v>#N/A</v>
      </c>
      <c r="EA77" s="36" t="e">
        <f>Crops[[#This Row],[Wholesale Revenue Per Bed]]-Crops[[#This Row],[Wholesale Total Cost]]</f>
        <v>#N/A</v>
      </c>
      <c r="EB77" s="36" t="e">
        <f>Crops[[#This Row],[Wholesale Profit]]*BedsPerAcre</f>
        <v>#N/A</v>
      </c>
      <c r="EC77" s="36" t="e">
        <f>Crops[[#This Row],[Wholesale Profit]]*BedsPerAcre*GrowingDays/Crops[[#This Row],[Days In Field]]</f>
        <v>#N/A</v>
      </c>
      <c r="ED77" s="36" t="e">
        <f>Crops[[#This Row],[Wholesale Time]] * BedsPerAcre</f>
        <v>#N/A</v>
      </c>
      <c r="EE77" s="36" t="e">
        <f>Crops[[#This Row],[Wholesale Profit]]/MIN(Crops[[#This Row],[Days In Field]],GrowingDays)</f>
        <v>#N/A</v>
      </c>
      <c r="EF77" s="36" t="e">
        <f>(Crops[[#This Row],[Wholesale Revenue Per Bed]]-Crops[[#This Row],[Wholesale Non-Labor Cost]])/Crops[[#This Row],[Direct Time]]</f>
        <v>#N/A</v>
      </c>
      <c r="EG77" s="174" t="e">
        <f>Crops[[#This Row],[Packaging Costs]]/Crops[[#This Row],[Wholesale Revenue Per Bed]]</f>
        <v>#N/A</v>
      </c>
      <c r="EH77" s="36" t="str">
        <f>Crops[[#This Row],[Crop]]&amp;Crops[[#This Row],[Product]]&amp;Crops[[#This Row],[Unit]]</f>
        <v>ChervilMature StemBunch</v>
      </c>
      <c r="EI77" s="36" t="e">
        <f>_xlfn.XLOOKUP(Crops[[#This Row],[ProductIndex]],Products[ID],Products[Target])</f>
        <v>#N/A</v>
      </c>
      <c r="EJ77" s="36">
        <f>Crops[[#This Row],[Custom Yield Per Bed]]</f>
        <v>2200</v>
      </c>
      <c r="EK77" s="210">
        <f>Crops[[#This Row],[Units Per Harvest]]/Crops[[#This Row],[Days Between Harvest]]*7</f>
        <v>100</v>
      </c>
      <c r="EL77" s="210" t="e">
        <f>Crops[[#This Row],[Custom Yield Per Bed]]/_xlfn.XLOOKUP(Crops[[#This Row],[ProductIndex]],Products[ID],Products[CSA Portion])</f>
        <v>#N/A</v>
      </c>
      <c r="EM77" s="210" t="e">
        <f>Crops[[#This Row],[Units Per Harvest]]/Crops[[#This Row],[Days Between Harvest]]*7/_xlfn.XLOOKUP(Crops[[#This Row],[ProductIndex]],Products[ID],Products[CSA Portion])</f>
        <v>#N/A</v>
      </c>
      <c r="EN77" s="210" t="e">
        <f>Crops[[#This Row],[CSA Portions Per Week]]/CSAMembers</f>
        <v>#N/A</v>
      </c>
      <c r="EO77" s="210"/>
      <c r="EP77" s="210"/>
      <c r="EQ77" s="36"/>
      <c r="ER77" s="36">
        <f>Crops[[#This Row],[Harvests]]*Crops[[#This Row],[Days Between Harvest]]/7</f>
        <v>22</v>
      </c>
      <c r="ES77" s="208" t="e">
        <f>_xlfn.XLOOKUP(Crops[[#This Row],[ProductIndex]],Products[ID],Products[CSA Need])</f>
        <v>#N/A</v>
      </c>
      <c r="ET77" s="208" t="e">
        <f>_xlfn.XLOOKUP(Crops[[#This Row],[ProductIndex]],Products[ID],Products[CSA Times])</f>
        <v>#N/A</v>
      </c>
      <c r="EU77" s="208" t="e">
        <f>Crops[[#This Row],[Custom Yield Per Bed]]/(Crops[[#This Row],[CSA Need]]*(_xlfn.XLOOKUP(Crops[[#This Row],[ProductIndex]],Products[ID],Products[CSA Portion])*CSAMembers))</f>
        <v>#N/A</v>
      </c>
      <c r="EV77" s="208" t="e">
        <f>_xlfn.XLOOKUP(Crops[[#This Row],[ProductIndex]],Products[ID],Products[CSA Portion])*CSAMembers*Crops[[#This Row],[CSA Need]]/Crops[[#This Row],[Custom Yield Per Bed]]</f>
        <v>#N/A</v>
      </c>
      <c r="EW77" s="208" t="str">
        <f>IFERROR(Crops[[#This Row],[Days In Field]]*Crops[[#This Row],[CSA Beds]],"")</f>
        <v/>
      </c>
      <c r="EX77" s="208" t="e">
        <f>Crops[[#This Row],[CSA Bed Days]]*#REF!</f>
        <v>#VALUE!</v>
      </c>
    </row>
    <row r="78" spans="1:155">
      <c r="A7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Chicory - Chicon 1X | Field DS Ow</v>
      </c>
      <c r="B78" s="179"/>
      <c r="C78" s="1"/>
      <c r="D78" s="1"/>
      <c r="E78" s="1" t="b">
        <v>0</v>
      </c>
      <c r="F78" s="1" t="b">
        <f>IFERROR(IF(ISNUMBER(MATCH(Crops[[#This Row],[Identifier]],BedPlan[Crop], 0)), TRUE, FALSE), FALSE)</f>
        <v>0</v>
      </c>
      <c r="G78" s="1" t="b">
        <f>IFERROR(IF(ISNUMBER(MATCH(Crops[[#This Row],[Identifier]],BedPlan[Crop], 0)), TRUE, FALSE), FALSE)</f>
        <v>0</v>
      </c>
      <c r="H78" s="1" t="b">
        <v>1</v>
      </c>
      <c r="I78" t="s">
        <v>58</v>
      </c>
      <c r="J78" t="s">
        <v>145</v>
      </c>
      <c r="K78" t="s">
        <v>355</v>
      </c>
      <c r="N78" t="str">
        <f>Crops[[#This Row],[Crop]]</f>
        <v>Chicory</v>
      </c>
      <c r="O78" t="s">
        <v>210</v>
      </c>
      <c r="P78" t="str">
        <f>IF(OR(Crops[[#This Row],[Days in Cells]]="",Crops[[#This Row],[Days in Cells]]=0), "DS","TP")</f>
        <v>DS</v>
      </c>
      <c r="U78" t="s">
        <v>144</v>
      </c>
      <c r="V78" t="str">
        <f xml:space="preserve"> IF(Crops[[#This Row],[Sp]], "Sp", "") &amp; IF(Crops[[#This Row],[Su]], "Su", "") &amp; IF(Crops[[#This Row],[Fa]], "Fa", "") &amp; IF(Crops[[#This Row],[Wi]], "Wi", "") &amp; IF(Crops[[#This Row],[OW]], "Ow","")</f>
        <v>Ow</v>
      </c>
      <c r="X78">
        <v>2</v>
      </c>
      <c r="Y78">
        <v>12</v>
      </c>
      <c r="AD78" s="32">
        <f>IFERROR(12/Crops[[#This Row],[Spacing]]*Crops[[#This Row],[Rows]]*BedLength,"")</f>
        <v>100</v>
      </c>
      <c r="AE78">
        <v>1</v>
      </c>
      <c r="AG78">
        <f>IF(Crops[[#This Row],[Custom Safety Factor]]="",PlantingSafetyFactor,Crops[[#This Row],[Custom Safety Factor]])</f>
        <v>1.3</v>
      </c>
      <c r="AH78">
        <f>1</f>
        <v>1</v>
      </c>
      <c r="AI78" s="33">
        <f>IFERROR(Crops[[#This Row],[Plantings Per Bed]]*Crops[[#This Row],[Seeds Per Planting]]*Crops[[#This Row],[Safety Factor]]*Crops[[#This Row],[Seeding Factor]],"")</f>
        <v>130</v>
      </c>
      <c r="AL78">
        <f>_xlfn.FLOOR.MATH(IFERROR(AVERAGE(Crops[[#This Row],[DTG Lower]:[DTG Upper]]),0))</f>
        <v>0</v>
      </c>
      <c r="AM78">
        <f>SUM(Crops[[#This Row],[Tray 1 Days]],Crops[[#This Row],[Tray 2 Days]],Crops[[#This Row],[Tray 3 Days]])</f>
        <v>0</v>
      </c>
      <c r="AN78">
        <v>21</v>
      </c>
      <c r="AP78">
        <v>90</v>
      </c>
      <c r="AQ78">
        <f>IFERROR(_xlfn.FLOOR.MATH(AVERAGE(Crops[[#This Row],[DTM Lower]:[DTM Upper]])),"")</f>
        <v>90</v>
      </c>
      <c r="AR78" cm="1">
        <f t="array" ref="AR78">_xlfn.SWITCH(Crops[[#This Row],[Normal Method]],"DS",Crops[[#This Row],[Days to Germination]]+Crops[[#This Row],[DTM]] + IF(Crops[[#This Row],[Days in Cells]]&gt;0,15,0), "TP",Crops[[#This Row],[DTM]]+Crops[[#This Row],[Days in Cells]] + IF(Crops[[#This Row],[Days in Cells]]&lt;=0,20,0), "X", Crops[[#This Row],[DTM]])</f>
        <v>110</v>
      </c>
      <c r="AS78" t="s">
        <v>346</v>
      </c>
      <c r="AT78">
        <f>(Crops[[#This Row],[Harvests]]-1)*Crops[[#This Row],[Days Between Harvest]]+7</f>
        <v>7</v>
      </c>
      <c r="AU78">
        <f>Crops[[#This Row],[STH]]-Crops[[#This Row],[Days in Cells]]+Crops[[#This Row],[Harvest window]]</f>
        <v>117</v>
      </c>
      <c r="AW78">
        <v>128</v>
      </c>
      <c r="AZ78" t="str">
        <f>IFERROR(IF(Crops[[#This Row],[Tray 1 Days]]=0,"",Crops[[#This Row],[Plantings Per Bed]]/Crops[[#This Row],[Tray 1 Size]]*Crops[[#This Row],[Safety Factor]]),"")</f>
        <v/>
      </c>
      <c r="BC78" t="str">
        <f>IFERROR(IF(Crops[[#This Row],[Tray 2 Days]]=0,"",Crops[[#This Row],[Plantings Per Bed]]/Crops[[#This Row],[Tray 2 Size]]*Crops[[#This Row],[Safety Factor]]),"")</f>
        <v/>
      </c>
      <c r="BE78" s="32" t="str">
        <f>IF(NOT(ISBLANK(Crops[[#This Row],[Tray 3 Size]])), Crops[[#This Row],[Days in Cells Old]]-SUM(Crops[[#This Row],[Tray 1 Days]],Crops[[#This Row],[Tray 2 Days]]), "")</f>
        <v/>
      </c>
      <c r="BF78" t="str">
        <f>IFERROR(IF(Crops[[#This Row],[Tray 3 Days]]=0,"",Crops[[#This Row],[Plantings Per Bed]]/Crops[[#This Row],[Tray 3 Size]]*Crops[[#This Row],[Safety Factor]]),"")</f>
        <v/>
      </c>
      <c r="BG78" s="33">
        <f>Crops[[#This Row],[Plantings Per Bed]]*0.75</f>
        <v>75</v>
      </c>
      <c r="BH78" s="33">
        <v>1</v>
      </c>
      <c r="BI78" s="33">
        <v>0</v>
      </c>
      <c r="BJ78" s="33">
        <f>_xlfn.XLOOKUP(Crops[[#This Row],[ProductIndex]],Products[ID],Products[Holding Period])</f>
        <v>0</v>
      </c>
      <c r="BK78" s="33"/>
      <c r="BL78" s="33">
        <f>Crops[[#This Row],[Units Per Harvest]]*Crops[[#This Row],[Harvests]]</f>
        <v>75</v>
      </c>
      <c r="BM78" s="35">
        <v>10</v>
      </c>
      <c r="BN78" s="35">
        <f>Crops[[#This Row],[Direct Price]]*0.6</f>
        <v>6</v>
      </c>
      <c r="BO78" s="35"/>
      <c r="BP78" t="s">
        <v>214</v>
      </c>
      <c r="BQ78">
        <f>Crops[[#This Row],[Custom Yield Per Bed]]*Crops[[#This Row],[Direct Price]]</f>
        <v>750</v>
      </c>
      <c r="BR78" t="b">
        <v>1</v>
      </c>
      <c r="BS78" t="b">
        <f>Crops[[#This Row],[Harvests]]&gt;1</f>
        <v>0</v>
      </c>
      <c r="BT78" s="36">
        <f>IFERROR(Crops[[#This Row],[Direct Revenue Per Bed]]/Crops[[#This Row],[Days In Field]],-1)</f>
        <v>6.4102564102564106</v>
      </c>
      <c r="BU78" s="36">
        <f>IFERROR(Crops[[#This Row],[Direct Revenue Per Bed Day]]*GrowingDays*BedsPerAcre,"")</f>
        <v>184615.38461538462</v>
      </c>
      <c r="BV78" s="38">
        <f>LastFrostDate-5*Crops[[#This Row],[Sewing Rel Last Frost]]</f>
        <v>45748</v>
      </c>
      <c r="BW78" s="38">
        <f>Crops[[#This Row],[Target Sewing Date]]+Crops[[#This Row],[Days in Cells]]</f>
        <v>45748</v>
      </c>
      <c r="BX78" s="38">
        <f>Crops[[#This Row],[Target Sewing Date]]+Crops[[#This Row],[STH]]</f>
        <v>45858</v>
      </c>
      <c r="BY78" s="38">
        <f>Crops[[#This Row],[Target Harvest Data]]+Crops[[#This Row],[Harvest window]]</f>
        <v>45865</v>
      </c>
      <c r="CA78" t="s">
        <v>373</v>
      </c>
      <c r="CB78">
        <f>1</f>
        <v>1</v>
      </c>
      <c r="CC78">
        <f>IF(Crops[[#This Row],[Transplanting]]&gt;0, 2, 3)*BedLength/StandardBedLength</f>
        <v>1.5</v>
      </c>
      <c r="CD78" s="173">
        <f>IF(Crops[[#This Row],[Days in Cells]]&lt;=0,0,Crops[[#This Row],[Plantings Per Bed]]/StartsPerHourSeeding+Crops[[#This Row],[Tray 1 Count]]*5/60)</f>
        <v>0</v>
      </c>
      <c r="CE78" s="173">
        <f>IF(ISBLANK(Crops[[#This Row],[Tray 2 Days]]),0,Crops[[#This Row],[Plantings Per Bed]]/UpPottingPerHour)+IF(Crops[[#This Row],[Tray 3 Days]]="",0,Crops[[#This Row],[Plantings Per Bed]]/UpPottingPerHour)</f>
        <v>0</v>
      </c>
      <c r="CF78" s="173">
        <f>IFERROR(Crops[[#This Row],[Tray 1 Count]]/HomeStartFlatIrrigationPerHour,0)*Crops[[#This Row],[Days in Cells]]/DaysBetweenStartIrrigation</f>
        <v>0</v>
      </c>
      <c r="CG78" s="173">
        <f>0.5/16*MAX(Crops[[#This Row],[Tray 1 Count]],Crops[[#This Row],[Tray 2 Count]],Crops[[#This Row],[Tray 3 Count]])</f>
        <v>0</v>
      </c>
      <c r="CH78" s="173">
        <f>IF(Crops[[#This Row],[Days in Cells]]&gt;0,IF(IF(Crops[[#This Row],[Tray 3 Size]]&gt;0,Crops[[#This Row],[Tray 3 Size]],IF(Crops[[#This Row],[Tray 2 Size]]&gt;0,Crops[[#This Row],[Tray 2 Size]],Crops[[#This Row],[Tray 1 Size]]))&lt;=18,LargeTransplantTime,SmallTransplantTime)*Crops[[#This Row],[Plantings Per Bed]],0)</f>
        <v>0</v>
      </c>
      <c r="CI78" s="173"/>
      <c r="CJ78" s="173">
        <f>_xlfn.XLOOKUP(Crops[[#This Row],[Trellis Type]],TrellisMethods[Trellis Type],TrellisMethods[Hours],0,0)</f>
        <v>0</v>
      </c>
      <c r="CK78">
        <f>IF(Crops[[#This Row],[Days in Cells]]&lt;=0,Crops[[#This Row],[Rows]]*1/10,0)*BedLength/50</f>
        <v>0.2</v>
      </c>
      <c r="CL78" cm="1">
        <f t="array" ref="CL78">_xlfn.SWITCH(Crops[[#This Row],[Irrigation]],"DR", 0.5, "OH", 0.25,0)*BedLength/50</f>
        <v>0</v>
      </c>
      <c r="CM78">
        <f>IF(OR(ISBLANK(Crops[[#This Row],[Row Cover]]),Crops[[#This Row],[Row Cover]]="None"),0,1)*BedLength/50</f>
        <v>0</v>
      </c>
      <c r="CN78" s="173">
        <f>HoursPerWeedingPass*Crops[[#This Row],[Days In Field]]/14*Crops[[#This Row],[Rows]]+1*BedLength/50</f>
        <v>3.7857142857142856</v>
      </c>
      <c r="CQ78" s="37">
        <f>_xlfn.XLOOKUP(Crops[[#This Row],[Crop]]&amp;Crops[[#This Row],[Product]]&amp;Crops[[#This Row],[Unit]],Products[ID],Products[Marketing (hr)])*Crops[[#This Row],[Direct Revenue Per Bed]]/2000</f>
        <v>1.5</v>
      </c>
      <c r="CR78" s="37">
        <f>_xlfn.XLOOKUP(Crops[[#This Row],[Crop]]&amp;Crops[[#This Row],[Product]]&amp;Crops[[#This Row],[Unit]],Products[ID],Products[Harvest (s)])*Crops[[#This Row],[Custom Yield Per Bed]]/3600</f>
        <v>0.20833333333333334</v>
      </c>
      <c r="CS78" s="37">
        <f>_xlfn.XLOOKUP(Crops[[#This Row],[Crop]]&amp;Crops[[#This Row],[Product]]&amp;Crops[[#This Row],[Unit]],Products[ID],Products[Bunch (s)])*Crops[[#This Row],[Custom Yield Per Bed]]/3600</f>
        <v>0</v>
      </c>
      <c r="CT78" s="37">
        <f>_xlfn.XLOOKUP(Crops[[#This Row],[Crop]]&amp;Crops[[#This Row],[Product]]&amp;Crops[[#This Row],[Unit]],Products[ID],Products[Haul (s)])*Crops[[#This Row],[Custom Yield Per Bed]]/3600</f>
        <v>5.2083333333333336E-2</v>
      </c>
      <c r="CU78" s="37">
        <f>_xlfn.XLOOKUP(Crops[[#This Row],[Crop]]&amp;Crops[[#This Row],[Product]]&amp;Crops[[#This Row],[Unit]],Products[ID],Products[Wash (s)])*Crops[[#This Row],[Custom Yield Per Bed]]/3600</f>
        <v>0.41666666666666669</v>
      </c>
      <c r="CV78" s="37">
        <f>_xlfn.XLOOKUP(Crops[[#This Row],[Crop]]&amp;Crops[[#This Row],[Product]]&amp;Crops[[#This Row],[Unit]],Products[ID],Products[Condition (s)])*Crops[[#This Row],[Custom Yield Per Bed]]/3600</f>
        <v>0</v>
      </c>
      <c r="CW78" s="37">
        <f>_xlfn.XLOOKUP(Crops[[#This Row],[Crop]]&amp;Crops[[#This Row],[Product]]&amp;Crops[[#This Row],[Unit]],Products[ID],Products[Trim (s)])*Crops[[#This Row],[Custom Yield Per Bed]]/3600</f>
        <v>0.52083333333333337</v>
      </c>
      <c r="CX78" s="37">
        <f>_xlfn.XLOOKUP(Crops[[#This Row],[Crop]]&amp;Crops[[#This Row],[Product]]&amp;Crops[[#This Row],[Unit]],Products[ID],Products[Pack (s)])*Crops[[#This Row],[Custom Yield Per Bed]]/3600</f>
        <v>6.25E-2</v>
      </c>
      <c r="CY78" s="37">
        <f>_xlfn.XLOOKUP(Crops[[#This Row],[Crop]]&amp;Crops[[#This Row],[Product]]&amp;Crops[[#This Row],[Unit]],Products[ID],Products[Clean (s)])*Crops[[#This Row],[Custom Yield Per Bed]]/3600</f>
        <v>0</v>
      </c>
      <c r="CZ78" s="37">
        <f>_xlfn.XLOOKUP(Crops[[#This Row],[Crop]]&amp;Crops[[#This Row],[Product]]&amp;Crops[[#This Row],[Unit]],Products[ID],Products[Rehandle (s)])*Crops[[#This Row],[Custom Yield Per Bed]]/3600</f>
        <v>0</v>
      </c>
      <c r="DA78" s="37">
        <f>_xlfn.XLOOKUP(Crops[[#This Row],[Crop]]&amp;Crops[[#This Row],[Product]]&amp;Crops[[#This Row],[Unit]],Products[ID],Products[Market Transport (s)])*Crops[[#This Row],[Custom Yield Per Bed]]/3600</f>
        <v>0.13020833333333334</v>
      </c>
      <c r="DC78" s="37">
        <f>Crops[[#This Row],[Direct Revenue Per Bed2]]</f>
        <v>750</v>
      </c>
      <c r="DD78" s="173">
        <f>_xlfn.AGGREGATE(9,6,Crops[[#This Row],[Bed Prep]:[Remove Crop Residue]])</f>
        <v>8.3763392857142858</v>
      </c>
      <c r="DE78" s="173">
        <f>_xlfn.AGGREGATE(9,6,Crops[[#This Row],[Bed Prep]:[Remove Crop Residue]])-0.75*Crops[[#This Row],[Market &amp; Sell]]</f>
        <v>7.2513392857142858</v>
      </c>
      <c r="DF78" s="36">
        <f>Crops[[#This Row],[Direct Revenue Per Bed2]]/Crops[[#This Row],[Direct Time]]</f>
        <v>89.537920375206525</v>
      </c>
      <c r="DG78" s="36">
        <f>_xlfn.XLOOKUP(Crops[[#This Row],[ProductIndex]],Products[ID],Products[Packaging Cost])*(Crops[[#This Row],[Custom Yield Per Bed]]/_xlfn.XLOOKUP(Crops[[#This Row],[ProductIndex]],Products[ID],Products[Units Per Pack]))</f>
        <v>7.916666666666667</v>
      </c>
      <c r="DH78" s="36"/>
      <c r="DI78" s="36"/>
      <c r="DJ78" s="36"/>
      <c r="DK78" s="36"/>
      <c r="DL78" s="36"/>
      <c r="DM78" s="33">
        <f>IFERROR(Crops[[#This Row],[Custom Yield Per Bed]]*Crops[[#This Row],[Direct Price]],"")</f>
        <v>750</v>
      </c>
      <c r="DN78" s="36">
        <f>Crops[[#This Row],[Direct Time]]*LaborRate</f>
        <v>209.40848214285714</v>
      </c>
      <c r="DO78" s="36">
        <f>SUM(Crops[[#This Row],[Irrigation Cost]])</f>
        <v>0</v>
      </c>
      <c r="DP78" s="36">
        <f>Crops[[#This Row],[Direct Labor Cost]]+Crops[[#This Row],[Direct Non-Labor Cost]]</f>
        <v>209.40848214285714</v>
      </c>
      <c r="DQ78" s="36">
        <f>Crops[[#This Row],[Direct Revenue Per Bed2]]-Crops[[#This Row],[Direct Total Cost]]</f>
        <v>540.59151785714289</v>
      </c>
      <c r="DR78" s="36">
        <f>Crops[[#This Row],[Direct Profit]]*BedsPerAcre</f>
        <v>86494.64285714287</v>
      </c>
      <c r="DS78" s="36">
        <f>Crops[[#This Row],[Direct Profit]]*BedsPerAcre*GrowingDays/Crops[[#This Row],[Days In Field]]</f>
        <v>133068.68131868134</v>
      </c>
      <c r="DT78" s="36">
        <f>Crops[[#This Row],[Direct Profit]]/MIN(Crops[[#This Row],[Days In Field]],GrowingDays)</f>
        <v>4.6204403235653242</v>
      </c>
      <c r="DU78" s="36">
        <f>Crops[[#This Row],[Direct Time]] * BedsPerAcre</f>
        <v>1340.2142857142858</v>
      </c>
      <c r="DV78" s="36">
        <f>(Crops[[#This Row],[Direct Revenue Per Bed2]]-Crops[[#This Row],[Direct Non-Labor Cost]])/Crops[[#This Row],[Direct Time]]</f>
        <v>89.537920375206525</v>
      </c>
      <c r="DW78" s="33">
        <f>IFERROR(Crops[[#This Row],[Custom Yield Per Bed]]*Crops[[#This Row],[Rough Wholesale Price]],"")</f>
        <v>450</v>
      </c>
      <c r="DX78" s="36">
        <f>Crops[[#This Row],[Wholesale Time]]*LaborRate</f>
        <v>181.28348214285714</v>
      </c>
      <c r="DY78" s="36">
        <f>SUM(Crops[[#This Row],[Packaging Costs]:[Irrigation Cost]])</f>
        <v>7.916666666666667</v>
      </c>
      <c r="DZ78" s="36">
        <f>Crops[[#This Row],[Wholesale Labor Cost]]+Crops[[#This Row],[Wholesale Non-Labor Cost]]</f>
        <v>189.2001488095238</v>
      </c>
      <c r="EA78" s="36">
        <f>Crops[[#This Row],[Wholesale Revenue Per Bed]]-Crops[[#This Row],[Wholesale Total Cost]]</f>
        <v>260.7998511904762</v>
      </c>
      <c r="EB78" s="36">
        <f>Crops[[#This Row],[Wholesale Profit]]*BedsPerAcre</f>
        <v>41727.976190476191</v>
      </c>
      <c r="EC78" s="36">
        <f>Crops[[#This Row],[Wholesale Profit]]*BedsPerAcre*GrowingDays/Crops[[#This Row],[Days In Field]]</f>
        <v>64196.886446886449</v>
      </c>
      <c r="ED78" s="36">
        <f>Crops[[#This Row],[Wholesale Time]] * BedsPerAcre</f>
        <v>1160.2142857142858</v>
      </c>
      <c r="EE78" s="36">
        <f>Crops[[#This Row],[Wholesale Profit]]/MIN(Crops[[#This Row],[Days In Field]],GrowingDays)</f>
        <v>2.2290585571835573</v>
      </c>
      <c r="EF78" s="36">
        <f>(Crops[[#This Row],[Wholesale Revenue Per Bed]]-Crops[[#This Row],[Wholesale Non-Labor Cost]])/Crops[[#This Row],[Direct Time]]</f>
        <v>52.777629732274512</v>
      </c>
      <c r="EG78" s="174">
        <f>Crops[[#This Row],[Packaging Costs]]/Crops[[#This Row],[Wholesale Revenue Per Bed]]</f>
        <v>1.7592592592592594E-2</v>
      </c>
      <c r="EH78" s="36" t="str">
        <f>Crops[[#This Row],[Crop]]&amp;Crops[[#This Row],[Product]]&amp;Crops[[#This Row],[Unit]]</f>
        <v>ChicoryChiconHead</v>
      </c>
      <c r="EI78" s="36" t="b">
        <f>_xlfn.XLOOKUP(Crops[[#This Row],[ProductIndex]],Products[ID],Products[Target])</f>
        <v>1</v>
      </c>
      <c r="EJ78" s="36">
        <f>Crops[[#This Row],[Custom Yield Per Bed]]</f>
        <v>75</v>
      </c>
      <c r="EK78" s="210" t="e">
        <f>Crops[[#This Row],[Units Per Harvest]]/Crops[[#This Row],[Days Between Harvest]]*7</f>
        <v>#DIV/0!</v>
      </c>
      <c r="EL78" s="210" t="e">
        <f>Crops[[#This Row],[Custom Yield Per Bed]]/_xlfn.XLOOKUP(Crops[[#This Row],[ProductIndex]],Products[ID],Products[CSA Portion])</f>
        <v>#DIV/0!</v>
      </c>
      <c r="EM78" s="210" t="e">
        <f>Crops[[#This Row],[Units Per Harvest]]/Crops[[#This Row],[Days Between Harvest]]*7/_xlfn.XLOOKUP(Crops[[#This Row],[ProductIndex]],Products[ID],Products[CSA Portion])</f>
        <v>#DIV/0!</v>
      </c>
      <c r="EN78" s="210" t="e">
        <f>Crops[[#This Row],[CSA Portions Per Week]]/CSAMembers</f>
        <v>#DIV/0!</v>
      </c>
      <c r="EO78" s="210"/>
      <c r="EP78" s="210"/>
      <c r="EQ78" s="36"/>
      <c r="ER78" s="36">
        <f>Crops[[#This Row],[Harvests]]*Crops[[#This Row],[Days Between Harvest]]/7</f>
        <v>0</v>
      </c>
      <c r="ES78" s="208">
        <f>_xlfn.XLOOKUP(Crops[[#This Row],[ProductIndex]],Products[ID],Products[CSA Need])</f>
        <v>0</v>
      </c>
      <c r="ET78" s="208">
        <f>_xlfn.XLOOKUP(Crops[[#This Row],[ProductIndex]],Products[ID],Products[CSA Times])</f>
        <v>0</v>
      </c>
      <c r="EU78" s="208" t="e">
        <f>Crops[[#This Row],[Custom Yield Per Bed]]/(Crops[[#This Row],[CSA Need]]*(_xlfn.XLOOKUP(Crops[[#This Row],[ProductIndex]],Products[ID],Products[CSA Portion])*CSAMembers))</f>
        <v>#DIV/0!</v>
      </c>
      <c r="EV78" s="208">
        <f>_xlfn.XLOOKUP(Crops[[#This Row],[ProductIndex]],Products[ID],Products[CSA Portion])*CSAMembers*Crops[[#This Row],[CSA Need]]/Crops[[#This Row],[Custom Yield Per Bed]]</f>
        <v>0</v>
      </c>
      <c r="EW78" s="208">
        <f>IFERROR(Crops[[#This Row],[Days In Field]]*Crops[[#This Row],[CSA Beds]],"")</f>
        <v>0</v>
      </c>
      <c r="EX78" s="208" t="e">
        <f>Crops[[#This Row],[CSA Bed Days]]*#REF!</f>
        <v>#REF!</v>
      </c>
      <c r="EY78" t="s">
        <v>374</v>
      </c>
    </row>
    <row r="79" spans="1:155">
      <c r="A7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Chicory - Mature Head 1X | Field DS Ow</v>
      </c>
      <c r="B79" s="179"/>
      <c r="C79" s="1"/>
      <c r="D79" s="1"/>
      <c r="E79" s="1" t="b">
        <v>0</v>
      </c>
      <c r="F79" s="1" t="b">
        <f>IFERROR(IF(ISNUMBER(MATCH(Crops[[#This Row],[Identifier]],BedPlan[Crop], 0)), TRUE, FALSE), FALSE)</f>
        <v>0</v>
      </c>
      <c r="G79" s="1" t="b">
        <f>IFERROR(IF(ISNUMBER(MATCH(Crops[[#This Row],[Identifier]],BedPlan[Crop], 0)), TRUE, FALSE), FALSE)</f>
        <v>0</v>
      </c>
      <c r="H79" s="1" t="b">
        <v>1</v>
      </c>
      <c r="I79" t="s">
        <v>58</v>
      </c>
      <c r="J79" t="s">
        <v>145</v>
      </c>
      <c r="K79" t="s">
        <v>186</v>
      </c>
      <c r="N79" t="str">
        <f>Crops[[#This Row],[Crop]]</f>
        <v>Chicory</v>
      </c>
      <c r="O79" t="s">
        <v>210</v>
      </c>
      <c r="P79" t="str">
        <f>IF(OR(Crops[[#This Row],[Days in Cells]]="",Crops[[#This Row],[Days in Cells]]=0), "DS","TP")</f>
        <v>DS</v>
      </c>
      <c r="U79" t="s">
        <v>144</v>
      </c>
      <c r="V79" t="str">
        <f xml:space="preserve"> IF(Crops[[#This Row],[Sp]], "Sp", "") &amp; IF(Crops[[#This Row],[Su]], "Su", "") &amp; IF(Crops[[#This Row],[Fa]], "Fa", "") &amp; IF(Crops[[#This Row],[Wi]], "Wi", "") &amp; IF(Crops[[#This Row],[OW]], "Ow","")</f>
        <v>Ow</v>
      </c>
      <c r="X79">
        <v>2</v>
      </c>
      <c r="Y79">
        <v>12</v>
      </c>
      <c r="AD79" s="32">
        <f>IFERROR(12/Crops[[#This Row],[Spacing]]*Crops[[#This Row],[Rows]]*BedLength,"")</f>
        <v>100</v>
      </c>
      <c r="AE79">
        <v>1</v>
      </c>
      <c r="AG79">
        <f>IF(Crops[[#This Row],[Custom Safety Factor]]="",PlantingSafetyFactor,Crops[[#This Row],[Custom Safety Factor]])</f>
        <v>1.3</v>
      </c>
      <c r="AH79">
        <f>1</f>
        <v>1</v>
      </c>
      <c r="AI79" s="33">
        <f>IFERROR(Crops[[#This Row],[Plantings Per Bed]]*Crops[[#This Row],[Seeds Per Planting]]*Crops[[#This Row],[Safety Factor]]*Crops[[#This Row],[Seeding Factor]],"")</f>
        <v>130</v>
      </c>
      <c r="AL79">
        <f>_xlfn.FLOOR.MATH(IFERROR(AVERAGE(Crops[[#This Row],[DTG Lower]:[DTG Upper]]),0))</f>
        <v>0</v>
      </c>
      <c r="AM79">
        <f>SUM(Crops[[#This Row],[Tray 1 Days]],Crops[[#This Row],[Tray 2 Days]],Crops[[#This Row],[Tray 3 Days]])</f>
        <v>0</v>
      </c>
      <c r="AN79">
        <v>21</v>
      </c>
      <c r="AP79">
        <v>90</v>
      </c>
      <c r="AQ79">
        <f>IFERROR(_xlfn.FLOOR.MATH(AVERAGE(Crops[[#This Row],[DTM Lower]:[DTM Upper]])),"")</f>
        <v>90</v>
      </c>
      <c r="AR79" cm="1">
        <f t="array" ref="AR79">_xlfn.SWITCH(Crops[[#This Row],[Normal Method]],"DS",Crops[[#This Row],[Days to Germination]]+Crops[[#This Row],[DTM]] + IF(Crops[[#This Row],[Days in Cells]]&gt;0,15,0), "TP",Crops[[#This Row],[DTM]]+Crops[[#This Row],[Days in Cells]] + IF(Crops[[#This Row],[Days in Cells]]&lt;=0,20,0), "X", Crops[[#This Row],[DTM]])</f>
        <v>110</v>
      </c>
      <c r="AS79" t="s">
        <v>346</v>
      </c>
      <c r="AT79">
        <f>(Crops[[#This Row],[Harvests]]-1)*Crops[[#This Row],[Days Between Harvest]]+7</f>
        <v>7</v>
      </c>
      <c r="AU79">
        <f>Crops[[#This Row],[STH]]-Crops[[#This Row],[Days in Cells]]+Crops[[#This Row],[Harvest window]]</f>
        <v>117</v>
      </c>
      <c r="AW79">
        <v>128</v>
      </c>
      <c r="AZ79" t="str">
        <f>IFERROR(IF(Crops[[#This Row],[Tray 1 Days]]=0,"",Crops[[#This Row],[Plantings Per Bed]]/Crops[[#This Row],[Tray 1 Size]]*Crops[[#This Row],[Safety Factor]]),"")</f>
        <v/>
      </c>
      <c r="BC79" t="str">
        <f>IFERROR(IF(Crops[[#This Row],[Tray 2 Days]]=0,"",Crops[[#This Row],[Plantings Per Bed]]/Crops[[#This Row],[Tray 2 Size]]*Crops[[#This Row],[Safety Factor]]),"")</f>
        <v/>
      </c>
      <c r="BE79" s="32" t="str">
        <f>IF(NOT(ISBLANK(Crops[[#This Row],[Tray 3 Size]])), Crops[[#This Row],[Days in Cells Old]]-SUM(Crops[[#This Row],[Tray 1 Days]],Crops[[#This Row],[Tray 2 Days]]), "")</f>
        <v/>
      </c>
      <c r="BF79" t="str">
        <f>IFERROR(IF(Crops[[#This Row],[Tray 3 Days]]=0,"",Crops[[#This Row],[Plantings Per Bed]]/Crops[[#This Row],[Tray 3 Size]]*Crops[[#This Row],[Safety Factor]]),"")</f>
        <v/>
      </c>
      <c r="BG79" s="33">
        <f>Crops[[#This Row],[Plantings Per Bed]]</f>
        <v>100</v>
      </c>
      <c r="BH79" s="33">
        <v>1</v>
      </c>
      <c r="BI79" s="33"/>
      <c r="BJ79" s="33">
        <f>_xlfn.XLOOKUP(Crops[[#This Row],[ProductIndex]],Products[ID],Products[Holding Period])</f>
        <v>0</v>
      </c>
      <c r="BK79" s="33"/>
      <c r="BL79" s="33">
        <f>Crops[[#This Row],[Units Per Harvest]]*Crops[[#This Row],[Harvests]]</f>
        <v>100</v>
      </c>
      <c r="BM79" s="35">
        <v>5</v>
      </c>
      <c r="BN79" s="35">
        <f>Crops[[#This Row],[Direct Price]]*0.6</f>
        <v>3</v>
      </c>
      <c r="BO79" s="35"/>
      <c r="BP79" t="s">
        <v>214</v>
      </c>
      <c r="BQ79">
        <f>Crops[[#This Row],[Custom Yield Per Bed]]*Crops[[#This Row],[Direct Price]]</f>
        <v>500</v>
      </c>
      <c r="BR79" t="b">
        <v>1</v>
      </c>
      <c r="BS79" t="b">
        <f>Crops[[#This Row],[Harvests]]&gt;1</f>
        <v>0</v>
      </c>
      <c r="BT79" s="36">
        <f>IFERROR(Crops[[#This Row],[Direct Revenue Per Bed]]/Crops[[#This Row],[Days In Field]],-1)</f>
        <v>4.2735042735042734</v>
      </c>
      <c r="BU79" s="36">
        <f>IFERROR(Crops[[#This Row],[Direct Revenue Per Bed Day]]*GrowingDays*BedsPerAcre,"")</f>
        <v>123076.92307692306</v>
      </c>
      <c r="BV79" s="38">
        <f>LastFrostDate-5*Crops[[#This Row],[Sewing Rel Last Frost]]</f>
        <v>45748</v>
      </c>
      <c r="BW79" s="38">
        <f>Crops[[#This Row],[Target Sewing Date]]+Crops[[#This Row],[Days in Cells]]</f>
        <v>45748</v>
      </c>
      <c r="BX79" s="38">
        <f>Crops[[#This Row],[Target Sewing Date]]+Crops[[#This Row],[STH]]</f>
        <v>45858</v>
      </c>
      <c r="BY79" s="38">
        <f>Crops[[#This Row],[Target Harvest Data]]+Crops[[#This Row],[Harvest window]]</f>
        <v>45865</v>
      </c>
      <c r="CA79" t="s">
        <v>373</v>
      </c>
      <c r="CB79">
        <f>1</f>
        <v>1</v>
      </c>
      <c r="CC79">
        <f>IF(Crops[[#This Row],[Transplanting]]&gt;0, 2, 3)*BedLength/StandardBedLength</f>
        <v>1.5</v>
      </c>
      <c r="CD79" s="173">
        <f>IF(Crops[[#This Row],[Days in Cells]]&lt;=0,0,Crops[[#This Row],[Plantings Per Bed]]/StartsPerHourSeeding+Crops[[#This Row],[Tray 1 Count]]*5/60)</f>
        <v>0</v>
      </c>
      <c r="CE79" s="173">
        <f>IF(ISBLANK(Crops[[#This Row],[Tray 2 Days]]),0,Crops[[#This Row],[Plantings Per Bed]]/UpPottingPerHour)+IF(Crops[[#This Row],[Tray 3 Days]]="",0,Crops[[#This Row],[Plantings Per Bed]]/UpPottingPerHour)</f>
        <v>0</v>
      </c>
      <c r="CF79" s="173">
        <f>IFERROR(Crops[[#This Row],[Tray 1 Count]]/HomeStartFlatIrrigationPerHour,0)*Crops[[#This Row],[Days in Cells]]/DaysBetweenStartIrrigation</f>
        <v>0</v>
      </c>
      <c r="CG79" s="173">
        <f>0.5/16*MAX(Crops[[#This Row],[Tray 1 Count]],Crops[[#This Row],[Tray 2 Count]],Crops[[#This Row],[Tray 3 Count]])</f>
        <v>0</v>
      </c>
      <c r="CH79" s="173">
        <f>IF(Crops[[#This Row],[Days in Cells]]&gt;0,IF(IF(Crops[[#This Row],[Tray 3 Size]]&gt;0,Crops[[#This Row],[Tray 3 Size]],IF(Crops[[#This Row],[Tray 2 Size]]&gt;0,Crops[[#This Row],[Tray 2 Size]],Crops[[#This Row],[Tray 1 Size]]))&lt;=18,LargeTransplantTime,SmallTransplantTime)*Crops[[#This Row],[Plantings Per Bed]],0)</f>
        <v>0</v>
      </c>
      <c r="CI79" s="173"/>
      <c r="CJ79" s="173">
        <f>_xlfn.XLOOKUP(Crops[[#This Row],[Trellis Type]],TrellisMethods[Trellis Type],TrellisMethods[Hours],0,0)</f>
        <v>0</v>
      </c>
      <c r="CK79">
        <f>IF(Crops[[#This Row],[Days in Cells]]&lt;=0,Crops[[#This Row],[Rows]]*1/10,0)*BedLength/50</f>
        <v>0.2</v>
      </c>
      <c r="CL79" cm="1">
        <f t="array" ref="CL79">_xlfn.SWITCH(Crops[[#This Row],[Irrigation]],"DR", 0.5, "OH", 0.25,0)*BedLength/50</f>
        <v>0</v>
      </c>
      <c r="CM79">
        <f>IF(OR(ISBLANK(Crops[[#This Row],[Row Cover]]),Crops[[#This Row],[Row Cover]]="None"),0,1)*BedLength/50</f>
        <v>0</v>
      </c>
      <c r="CN79" s="173">
        <f>HoursPerWeedingPass*Crops[[#This Row],[Days In Field]]/14*Crops[[#This Row],[Rows]]+1*BedLength/50</f>
        <v>3.7857142857142856</v>
      </c>
      <c r="CQ79" s="37">
        <f>_xlfn.XLOOKUP(Crops[[#This Row],[Crop]]&amp;Crops[[#This Row],[Product]]&amp;Crops[[#This Row],[Unit]],Products[ID],Products[Marketing (hr)])*Crops[[#This Row],[Direct Revenue Per Bed]]/2000</f>
        <v>1</v>
      </c>
      <c r="CR79" s="37">
        <f>_xlfn.XLOOKUP(Crops[[#This Row],[Crop]]&amp;Crops[[#This Row],[Product]]&amp;Crops[[#This Row],[Unit]],Products[ID],Products[Harvest (s)])*Crops[[#This Row],[Custom Yield Per Bed]]/3600</f>
        <v>0.27777777777777779</v>
      </c>
      <c r="CS79" s="37">
        <f>_xlfn.XLOOKUP(Crops[[#This Row],[Crop]]&amp;Crops[[#This Row],[Product]]&amp;Crops[[#This Row],[Unit]],Products[ID],Products[Bunch (s)])*Crops[[#This Row],[Custom Yield Per Bed]]/3600</f>
        <v>0</v>
      </c>
      <c r="CT79" s="37">
        <f>_xlfn.XLOOKUP(Crops[[#This Row],[Crop]]&amp;Crops[[#This Row],[Product]]&amp;Crops[[#This Row],[Unit]],Products[ID],Products[Haul (s)])*Crops[[#This Row],[Custom Yield Per Bed]]/3600</f>
        <v>0.10416666666666667</v>
      </c>
      <c r="CU79" s="37">
        <f>_xlfn.XLOOKUP(Crops[[#This Row],[Crop]]&amp;Crops[[#This Row],[Product]]&amp;Crops[[#This Row],[Unit]],Products[ID],Products[Wash (s)])*Crops[[#This Row],[Custom Yield Per Bed]]/3600</f>
        <v>0.55555555555555558</v>
      </c>
      <c r="CV79" s="37">
        <f>_xlfn.XLOOKUP(Crops[[#This Row],[Crop]]&amp;Crops[[#This Row],[Product]]&amp;Crops[[#This Row],[Unit]],Products[ID],Products[Condition (s)])*Crops[[#This Row],[Custom Yield Per Bed]]/3600</f>
        <v>0</v>
      </c>
      <c r="CW79" s="37">
        <f>_xlfn.XLOOKUP(Crops[[#This Row],[Crop]]&amp;Crops[[#This Row],[Product]]&amp;Crops[[#This Row],[Unit]],Products[ID],Products[Trim (s)])*Crops[[#This Row],[Custom Yield Per Bed]]/3600</f>
        <v>0.27777777777777779</v>
      </c>
      <c r="CX79" s="37">
        <f>_xlfn.XLOOKUP(Crops[[#This Row],[Crop]]&amp;Crops[[#This Row],[Product]]&amp;Crops[[#This Row],[Unit]],Products[ID],Products[Pack (s)])*Crops[[#This Row],[Custom Yield Per Bed]]/3600</f>
        <v>8.3333333333333329E-2</v>
      </c>
      <c r="CY79" s="37">
        <f>_xlfn.XLOOKUP(Crops[[#This Row],[Crop]]&amp;Crops[[#This Row],[Product]]&amp;Crops[[#This Row],[Unit]],Products[ID],Products[Clean (s)])*Crops[[#This Row],[Custom Yield Per Bed]]/3600</f>
        <v>0</v>
      </c>
      <c r="CZ79" s="37">
        <f>_xlfn.XLOOKUP(Crops[[#This Row],[Crop]]&amp;Crops[[#This Row],[Product]]&amp;Crops[[#This Row],[Unit]],Products[ID],Products[Rehandle (s)])*Crops[[#This Row],[Custom Yield Per Bed]]/3600</f>
        <v>0</v>
      </c>
      <c r="DA79" s="37">
        <f>_xlfn.XLOOKUP(Crops[[#This Row],[Crop]]&amp;Crops[[#This Row],[Product]]&amp;Crops[[#This Row],[Unit]],Products[ID],Products[Market Transport (s)])*Crops[[#This Row],[Custom Yield Per Bed]]/3600</f>
        <v>0.26041666666666669</v>
      </c>
      <c r="DC79" s="37">
        <f>Crops[[#This Row],[Direct Revenue Per Bed2]]</f>
        <v>500</v>
      </c>
      <c r="DD79" s="173">
        <f>_xlfn.AGGREGATE(9,6,Crops[[#This Row],[Bed Prep]:[Remove Crop Residue]])</f>
        <v>8.0447420634920626</v>
      </c>
      <c r="DE79" s="173">
        <f>_xlfn.AGGREGATE(9,6,Crops[[#This Row],[Bed Prep]:[Remove Crop Residue]])-0.75*Crops[[#This Row],[Market &amp; Sell]]</f>
        <v>7.2947420634920626</v>
      </c>
      <c r="DF79" s="36">
        <f>Crops[[#This Row],[Direct Revenue Per Bed2]]/Crops[[#This Row],[Direct Time]]</f>
        <v>62.152396690138247</v>
      </c>
      <c r="DG79" s="36">
        <f>_xlfn.XLOOKUP(Crops[[#This Row],[ProductIndex]],Products[ID],Products[Packaging Cost])*(Crops[[#This Row],[Custom Yield Per Bed]]/_xlfn.XLOOKUP(Crops[[#This Row],[ProductIndex]],Products[ID],Products[Units Per Pack]))</f>
        <v>15.833333333333334</v>
      </c>
      <c r="DH79" s="36"/>
      <c r="DI79" s="36"/>
      <c r="DJ79" s="36"/>
      <c r="DK79" s="36"/>
      <c r="DL79" s="36"/>
      <c r="DM79" s="33">
        <f>IFERROR(Crops[[#This Row],[Custom Yield Per Bed]]*Crops[[#This Row],[Direct Price]],"")</f>
        <v>500</v>
      </c>
      <c r="DN79" s="36">
        <f>Crops[[#This Row],[Direct Time]]*LaborRate</f>
        <v>201.11855158730157</v>
      </c>
      <c r="DO79" s="36">
        <f>SUM(Crops[[#This Row],[Irrigation Cost]])</f>
        <v>0</v>
      </c>
      <c r="DP79" s="36">
        <f>Crops[[#This Row],[Direct Labor Cost]]+Crops[[#This Row],[Direct Non-Labor Cost]]</f>
        <v>201.11855158730157</v>
      </c>
      <c r="DQ79" s="36">
        <f>Crops[[#This Row],[Direct Revenue Per Bed2]]-Crops[[#This Row],[Direct Total Cost]]</f>
        <v>298.88144841269843</v>
      </c>
      <c r="DR79" s="36">
        <f>Crops[[#This Row],[Direct Profit]]*BedsPerAcre</f>
        <v>47821.031746031746</v>
      </c>
      <c r="DS79" s="36">
        <f>Crops[[#This Row],[Direct Profit]]*BedsPerAcre*GrowingDays/Crops[[#This Row],[Days In Field]]</f>
        <v>73570.818070818073</v>
      </c>
      <c r="DT79" s="36">
        <f>Crops[[#This Row],[Direct Profit]]/MIN(Crops[[#This Row],[Days In Field]],GrowingDays)</f>
        <v>2.5545422941256275</v>
      </c>
      <c r="DU79" s="36">
        <f>Crops[[#This Row],[Direct Time]] * BedsPerAcre</f>
        <v>1287.1587301587301</v>
      </c>
      <c r="DV79" s="36">
        <f>(Crops[[#This Row],[Direct Revenue Per Bed2]]-Crops[[#This Row],[Direct Non-Labor Cost]])/Crops[[#This Row],[Direct Time]]</f>
        <v>62.152396690138247</v>
      </c>
      <c r="DW79" s="33">
        <f>IFERROR(Crops[[#This Row],[Custom Yield Per Bed]]*Crops[[#This Row],[Rough Wholesale Price]],"")</f>
        <v>300</v>
      </c>
      <c r="DX79" s="36">
        <f>Crops[[#This Row],[Wholesale Time]]*LaborRate</f>
        <v>182.36855158730157</v>
      </c>
      <c r="DY79" s="36">
        <f>SUM(Crops[[#This Row],[Packaging Costs]:[Irrigation Cost]])</f>
        <v>15.833333333333334</v>
      </c>
      <c r="DZ79" s="36">
        <f>Crops[[#This Row],[Wholesale Labor Cost]]+Crops[[#This Row],[Wholesale Non-Labor Cost]]</f>
        <v>198.20188492063491</v>
      </c>
      <c r="EA79" s="36">
        <f>Crops[[#This Row],[Wholesale Revenue Per Bed]]-Crops[[#This Row],[Wholesale Total Cost]]</f>
        <v>101.79811507936509</v>
      </c>
      <c r="EB79" s="36">
        <f>Crops[[#This Row],[Wholesale Profit]]*BedsPerAcre</f>
        <v>16287.698412698413</v>
      </c>
      <c r="EC79" s="36">
        <f>Crops[[#This Row],[Wholesale Profit]]*BedsPerAcre*GrowingDays/Crops[[#This Row],[Days In Field]]</f>
        <v>25057.997557997562</v>
      </c>
      <c r="ED79" s="36">
        <f>Crops[[#This Row],[Wholesale Time]] * BedsPerAcre</f>
        <v>1167.1587301587301</v>
      </c>
      <c r="EE79" s="36">
        <f>Crops[[#This Row],[Wholesale Profit]]/MIN(Crops[[#This Row],[Days In Field]],GrowingDays)</f>
        <v>0.87006935965269305</v>
      </c>
      <c r="EF79" s="36">
        <f>(Crops[[#This Row],[Wholesale Revenue Per Bed]]-Crops[[#This Row],[Wholesale Non-Labor Cost]])/Crops[[#This Row],[Direct Time]]</f>
        <v>35.323278785561904</v>
      </c>
      <c r="EG79" s="174">
        <f>Crops[[#This Row],[Packaging Costs]]/Crops[[#This Row],[Wholesale Revenue Per Bed]]</f>
        <v>5.2777777777777778E-2</v>
      </c>
      <c r="EH79" s="36" t="str">
        <f>Crops[[#This Row],[Crop]]&amp;Crops[[#This Row],[Product]]&amp;Crops[[#This Row],[Unit]]</f>
        <v>ChicoryMature HeadHead</v>
      </c>
      <c r="EI79" s="36" t="b">
        <f>_xlfn.XLOOKUP(Crops[[#This Row],[ProductIndex]],Products[ID],Products[Target])</f>
        <v>1</v>
      </c>
      <c r="EJ79" s="36">
        <f>Crops[[#This Row],[Custom Yield Per Bed]]</f>
        <v>100</v>
      </c>
      <c r="EK79" s="210" t="e">
        <f>Crops[[#This Row],[Units Per Harvest]]/Crops[[#This Row],[Days Between Harvest]]*7</f>
        <v>#DIV/0!</v>
      </c>
      <c r="EL79" s="210" t="e">
        <f>Crops[[#This Row],[Custom Yield Per Bed]]/_xlfn.XLOOKUP(Crops[[#This Row],[ProductIndex]],Products[ID],Products[CSA Portion])</f>
        <v>#DIV/0!</v>
      </c>
      <c r="EM79" s="210" t="e">
        <f>Crops[[#This Row],[Units Per Harvest]]/Crops[[#This Row],[Days Between Harvest]]*7/_xlfn.XLOOKUP(Crops[[#This Row],[ProductIndex]],Products[ID],Products[CSA Portion])</f>
        <v>#DIV/0!</v>
      </c>
      <c r="EN79" s="210" t="e">
        <f>Crops[[#This Row],[CSA Portions Per Week]]/CSAMembers</f>
        <v>#DIV/0!</v>
      </c>
      <c r="EO79" s="210"/>
      <c r="EP79" s="210"/>
      <c r="EQ79" s="36"/>
      <c r="ER79" s="36">
        <f>Crops[[#This Row],[Harvests]]*Crops[[#This Row],[Days Between Harvest]]/7</f>
        <v>0</v>
      </c>
      <c r="ES79" s="208">
        <f>_xlfn.XLOOKUP(Crops[[#This Row],[ProductIndex]],Products[ID],Products[CSA Need])</f>
        <v>0</v>
      </c>
      <c r="ET79" s="208">
        <f>_xlfn.XLOOKUP(Crops[[#This Row],[ProductIndex]],Products[ID],Products[CSA Times])</f>
        <v>0</v>
      </c>
      <c r="EU79" s="208" t="e">
        <f>Crops[[#This Row],[Custom Yield Per Bed]]/(Crops[[#This Row],[CSA Need]]*(_xlfn.XLOOKUP(Crops[[#This Row],[ProductIndex]],Products[ID],Products[CSA Portion])*CSAMembers))</f>
        <v>#DIV/0!</v>
      </c>
      <c r="EV79" s="208">
        <f>_xlfn.XLOOKUP(Crops[[#This Row],[ProductIndex]],Products[ID],Products[CSA Portion])*CSAMembers*Crops[[#This Row],[CSA Need]]/Crops[[#This Row],[Custom Yield Per Bed]]</f>
        <v>0</v>
      </c>
      <c r="EW79" s="208">
        <f>IFERROR(Crops[[#This Row],[Days In Field]]*Crops[[#This Row],[CSA Beds]],"")</f>
        <v>0</v>
      </c>
      <c r="EX79" s="208" t="e">
        <f>Crops[[#This Row],[CSA Bed Days]]*#REF!</f>
        <v>#REF!</v>
      </c>
      <c r="EY79">
        <v>0</v>
      </c>
    </row>
    <row r="80" spans="1:155">
      <c r="A8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Chijimisai - Mature Head 2X | Field TP Ow</v>
      </c>
      <c r="B80" s="191"/>
      <c r="C80" s="242"/>
      <c r="D80" s="1"/>
      <c r="E80" s="1" t="b">
        <v>0</v>
      </c>
      <c r="F80" s="1" t="b">
        <f>IFERROR(IF(ISNUMBER(MATCH(Crops[[#This Row],[Identifier]],BedPlan[Crop], 0)), TRUE, FALSE), FALSE)</f>
        <v>0</v>
      </c>
      <c r="G80" s="1" t="b">
        <f>IFERROR(IF(ISNUMBER(MATCH(Crops[[#This Row],[Identifier]],BedPlan[Crop], 0)), TRUE, FALSE), FALSE)</f>
        <v>0</v>
      </c>
      <c r="H80" s="1"/>
      <c r="I80" t="s">
        <v>59</v>
      </c>
      <c r="J80" t="s">
        <v>145</v>
      </c>
      <c r="K80" t="s">
        <v>186</v>
      </c>
      <c r="M80" t="s">
        <v>445</v>
      </c>
      <c r="N80" t="str">
        <f>Crops[[#This Row],[Crop]]</f>
        <v>Chijimisai</v>
      </c>
      <c r="O80" t="s">
        <v>210</v>
      </c>
      <c r="P80" t="str">
        <f>IF(OR(Crops[[#This Row],[Days in Cells]]="",Crops[[#This Row],[Days in Cells]]=0), "DS","TP")</f>
        <v>TP</v>
      </c>
      <c r="U80" t="b">
        <v>1</v>
      </c>
      <c r="V80" t="str">
        <f xml:space="preserve"> IF(Crops[[#This Row],[Sp]], "Sp", "") &amp; IF(Crops[[#This Row],[Su]], "Su", "") &amp; IF(Crops[[#This Row],[Fa]], "Fa", "") &amp; IF(Crops[[#This Row],[Wi]], "Wi", "") &amp; IF(Crops[[#This Row],[OW]], "Ow","")</f>
        <v>Ow</v>
      </c>
      <c r="X80">
        <v>3</v>
      </c>
      <c r="Y80">
        <v>12</v>
      </c>
      <c r="AA80" t="s">
        <v>475</v>
      </c>
      <c r="AB80" t="b">
        <v>1</v>
      </c>
      <c r="AC80">
        <v>1</v>
      </c>
      <c r="AD80" s="32">
        <f>IFERROR(12/Crops[[#This Row],[Spacing]]*Crops[[#This Row],[Rows]]*BedLength,"")</f>
        <v>150</v>
      </c>
      <c r="AE80">
        <v>2</v>
      </c>
      <c r="AG80">
        <f>IF(Crops[[#This Row],[Custom Safety Factor]]="",PlantingSafetyFactor,Crops[[#This Row],[Custom Safety Factor]])</f>
        <v>1.3</v>
      </c>
      <c r="AH80">
        <f>1</f>
        <v>1</v>
      </c>
      <c r="AI80" s="33">
        <f>IFERROR(Crops[[#This Row],[Plantings Per Bed]]*Crops[[#This Row],[Seeds Per Planting]]*Crops[[#This Row],[Safety Factor]]*Crops[[#This Row],[Seeding Factor]],"")</f>
        <v>390</v>
      </c>
      <c r="AJ80">
        <v>10</v>
      </c>
      <c r="AK80">
        <v>14</v>
      </c>
      <c r="AL80">
        <f>_xlfn.FLOOR.MATH(IFERROR(AVERAGE(Crops[[#This Row],[DTG Lower]:[DTG Upper]]),0))</f>
        <v>12</v>
      </c>
      <c r="AM80">
        <f>SUM(Crops[[#This Row],[Tray 1 Days]],Crops[[#This Row],[Tray 2 Days]],Crops[[#This Row],[Tray 3 Days]])</f>
        <v>28</v>
      </c>
      <c r="AN80" s="32">
        <v>28</v>
      </c>
      <c r="AP80">
        <v>180</v>
      </c>
      <c r="AQ80">
        <f>IFERROR(_xlfn.FLOOR.MATH(AVERAGE(Crops[[#This Row],[DTM Lower]:[DTM Upper]])),"")</f>
        <v>180</v>
      </c>
      <c r="AR80" cm="1">
        <f t="array" ref="AR80">_xlfn.SWITCH(Crops[[#This Row],[Normal Method]],"DS",Crops[[#This Row],[Days to Germination]]+Crops[[#This Row],[DTM]] + IF(Crops[[#This Row],[Days in Cells]]&gt;0,15,0), "TP",Crops[[#This Row],[DTM]]+Crops[[#This Row],[Days in Cells]] + IF(Crops[[#This Row],[Days in Cells]]&lt;=0,20,0), "X", Crops[[#This Row],[DTM]])</f>
        <v>208</v>
      </c>
      <c r="AS80" t="s">
        <v>346</v>
      </c>
      <c r="AT80">
        <f>(Crops[[#This Row],[Harvests]]-1)*Crops[[#This Row],[Days Between Harvest]]+7</f>
        <v>7</v>
      </c>
      <c r="AU80">
        <f>Crops[[#This Row],[STH]]-Crops[[#This Row],[Days in Cells]]+Crops[[#This Row],[Harvest window]]</f>
        <v>187</v>
      </c>
      <c r="AX80">
        <v>128</v>
      </c>
      <c r="AY80">
        <v>28</v>
      </c>
      <c r="AZ80" s="49">
        <f>IFERROR(IF(Crops[[#This Row],[Tray 1 Days]]=0,"",Crops[[#This Row],[Plantings Per Bed]]/Crops[[#This Row],[Tray 1 Size]]*Crops[[#This Row],[Safety Factor]]),"")</f>
        <v>1.5234375</v>
      </c>
      <c r="BC80" t="str">
        <f>IFERROR(IF(Crops[[#This Row],[Tray 2 Days]]=0,"",Crops[[#This Row],[Plantings Per Bed]]/Crops[[#This Row],[Tray 2 Size]]*Crops[[#This Row],[Safety Factor]]),"")</f>
        <v/>
      </c>
      <c r="BE80" s="32" t="str">
        <f>IF(NOT(ISBLANK(Crops[[#This Row],[Tray 3 Size]])), Crops[[#This Row],[Days in Cells Old]]-SUM(Crops[[#This Row],[Tray 1 Days]],Crops[[#This Row],[Tray 2 Days]]), "")</f>
        <v/>
      </c>
      <c r="BF80" s="49" t="str">
        <f>IFERROR(IF(Crops[[#This Row],[Tray 3 Days]]=0,"",Crops[[#This Row],[Plantings Per Bed]]/Crops[[#This Row],[Tray 3 Size]]*Crops[[#This Row],[Safety Factor]]),"")</f>
        <v/>
      </c>
      <c r="BG80" s="33"/>
      <c r="BH80" s="33"/>
      <c r="BI80" s="33"/>
      <c r="BJ80" s="33">
        <f>_xlfn.XLOOKUP(Crops[[#This Row],[ProductIndex]],Products[ID],Products[Holding Period])</f>
        <v>7</v>
      </c>
      <c r="BK80" s="33"/>
      <c r="BL80" s="33">
        <f>Crops[[#This Row],[Units Per Harvest]]*Crops[[#This Row],[Harvests]]</f>
        <v>0</v>
      </c>
      <c r="BM80" s="35">
        <v>3.5</v>
      </c>
      <c r="BN80" s="35">
        <f>Crops[[#This Row],[Direct Price]]*0.6</f>
        <v>2.1</v>
      </c>
      <c r="BO80" s="35"/>
      <c r="BP80" t="s">
        <v>214</v>
      </c>
      <c r="BQ80">
        <f>Crops[[#This Row],[Custom Yield Per Bed]]*Crops[[#This Row],[Direct Price]]</f>
        <v>0</v>
      </c>
      <c r="BR80" t="b">
        <v>1</v>
      </c>
      <c r="BS80" t="b">
        <f>Crops[[#This Row],[Harvests]]&gt;1</f>
        <v>0</v>
      </c>
      <c r="BT80" s="36">
        <f>IFERROR(Crops[[#This Row],[Direct Revenue Per Bed]]/Crops[[#This Row],[Days In Field]],-1)</f>
        <v>0</v>
      </c>
      <c r="BU80" s="36">
        <f>IFERROR(Crops[[#This Row],[Direct Revenue Per Bed Day]]*GrowingDays*BedsPerAcre,"")</f>
        <v>0</v>
      </c>
      <c r="BV80" s="38">
        <f>LastFrostDate-5*Crops[[#This Row],[Sewing Rel Last Frost]]</f>
        <v>45823</v>
      </c>
      <c r="BW80" s="38">
        <f>Crops[[#This Row],[Target Sewing Date]]+Crops[[#This Row],[Days in Cells]]</f>
        <v>45851</v>
      </c>
      <c r="BX80" s="38">
        <f>Crops[[#This Row],[Target Sewing Date]]+Crops[[#This Row],[STH]]</f>
        <v>46031</v>
      </c>
      <c r="BY80" s="38">
        <f>Crops[[#This Row],[Target Harvest Data]]+Crops[[#This Row],[Harvest window]]</f>
        <v>46038</v>
      </c>
      <c r="BZ80">
        <v>-15</v>
      </c>
      <c r="CB80">
        <f>1</f>
        <v>1</v>
      </c>
      <c r="CC80">
        <f>IF(Crops[[#This Row],[Transplanting]]&gt;0, 2, 3)*BedLength/StandardBedLength</f>
        <v>1</v>
      </c>
      <c r="CD80" s="173">
        <f>IF(Crops[[#This Row],[Days in Cells]]&lt;=0,0,Crops[[#This Row],[Plantings Per Bed]]/StartsPerHourSeeding+Crops[[#This Row],[Tray 1 Count]]*5/60)</f>
        <v>0.712890625</v>
      </c>
      <c r="CE80" s="173">
        <f>IF(ISBLANK(Crops[[#This Row],[Tray 2 Days]]),0,Crops[[#This Row],[Plantings Per Bed]]/UpPottingPerHour)+IF(Crops[[#This Row],[Tray 3 Days]]="",0,Crops[[#This Row],[Plantings Per Bed]]/UpPottingPerHour)</f>
        <v>0</v>
      </c>
      <c r="CF80" s="173">
        <f>IFERROR(Crops[[#This Row],[Tray 1 Count]]/HomeStartFlatIrrigationPerHour,0)*Crops[[#This Row],[Days in Cells]]/DaysBetweenStartIrrigation</f>
        <v>0.177734375</v>
      </c>
      <c r="CG80" s="173">
        <f>0.5/16*MAX(Crops[[#This Row],[Tray 1 Count]],Crops[[#This Row],[Tray 2 Count]],Crops[[#This Row],[Tray 3 Count]])</f>
        <v>4.7607421875E-2</v>
      </c>
      <c r="CH80" s="173">
        <f>IF(Crops[[#This Row],[Days in Cells]]&gt;0,IF(IF(Crops[[#This Row],[Tray 3 Size]]&gt;0,Crops[[#This Row],[Tray 3 Size]],IF(Crops[[#This Row],[Tray 2 Size]]&gt;0,Crops[[#This Row],[Tray 2 Size]],Crops[[#This Row],[Tray 1 Size]]))&lt;=18,LargeTransplantTime,SmallTransplantTime)*Crops[[#This Row],[Plantings Per Bed]],0)</f>
        <v>0.75</v>
      </c>
      <c r="CI80" s="173"/>
      <c r="CJ80" s="173">
        <f>_xlfn.XLOOKUP(Crops[[#This Row],[Trellis Type]],TrellisMethods[Trellis Type],TrellisMethods[Hours],0,0)</f>
        <v>0</v>
      </c>
      <c r="CK80">
        <f>IF(Crops[[#This Row],[Days in Cells]]&lt;=0,Crops[[#This Row],[Rows]]*1/10,0)*BedLength/50</f>
        <v>0</v>
      </c>
      <c r="CL80" cm="1">
        <f t="array" ref="CL80">_xlfn.SWITCH(Crops[[#This Row],[Irrigation]],"DR", 0.5, "OH", 0.25,0)*BedLength/50</f>
        <v>0</v>
      </c>
      <c r="CM80">
        <f>IF(OR(ISBLANK(Crops[[#This Row],[Row Cover]]),Crops[[#This Row],[Row Cover]]="None"),0,1)*BedLength/50</f>
        <v>1</v>
      </c>
      <c r="CN80" s="173">
        <f>HoursPerWeedingPass*Crops[[#This Row],[Days In Field]]/14*Crops[[#This Row],[Rows]]+1*BedLength/50</f>
        <v>7.678571428571427</v>
      </c>
      <c r="CO80" s="49"/>
      <c r="CQ80" s="37">
        <f>_xlfn.XLOOKUP(Crops[[#This Row],[Crop]]&amp;Crops[[#This Row],[Product]]&amp;Crops[[#This Row],[Unit]],Products[ID],Products[Marketing (hr)])*Crops[[#This Row],[Direct Revenue Per Bed]]/2000</f>
        <v>0</v>
      </c>
      <c r="CR80" s="37">
        <f>_xlfn.XLOOKUP(Crops[[#This Row],[Crop]]&amp;Crops[[#This Row],[Product]]&amp;Crops[[#This Row],[Unit]],Products[ID],Products[Harvest (s)])*Crops[[#This Row],[Custom Yield Per Bed]]/3600</f>
        <v>0</v>
      </c>
      <c r="CS80" s="37">
        <f>_xlfn.XLOOKUP(Crops[[#This Row],[Crop]]&amp;Crops[[#This Row],[Product]]&amp;Crops[[#This Row],[Unit]],Products[ID],Products[Bunch (s)])*Crops[[#This Row],[Custom Yield Per Bed]]/3600</f>
        <v>0</v>
      </c>
      <c r="CT80" s="37">
        <f>_xlfn.XLOOKUP(Crops[[#This Row],[Crop]]&amp;Crops[[#This Row],[Product]]&amp;Crops[[#This Row],[Unit]],Products[ID],Products[Haul (s)])*Crops[[#This Row],[Custom Yield Per Bed]]/3600</f>
        <v>0</v>
      </c>
      <c r="CU80" s="37">
        <f>_xlfn.XLOOKUP(Crops[[#This Row],[Crop]]&amp;Crops[[#This Row],[Product]]&amp;Crops[[#This Row],[Unit]],Products[ID],Products[Wash (s)])*Crops[[#This Row],[Custom Yield Per Bed]]/3600</f>
        <v>0</v>
      </c>
      <c r="CV80" s="37">
        <f>_xlfn.XLOOKUP(Crops[[#This Row],[Crop]]&amp;Crops[[#This Row],[Product]]&amp;Crops[[#This Row],[Unit]],Products[ID],Products[Condition (s)])*Crops[[#This Row],[Custom Yield Per Bed]]/3600</f>
        <v>0</v>
      </c>
      <c r="CW80" s="37">
        <f>_xlfn.XLOOKUP(Crops[[#This Row],[Crop]]&amp;Crops[[#This Row],[Product]]&amp;Crops[[#This Row],[Unit]],Products[ID],Products[Trim (s)])*Crops[[#This Row],[Custom Yield Per Bed]]/3600</f>
        <v>0</v>
      </c>
      <c r="CX80" s="37">
        <f>_xlfn.XLOOKUP(Crops[[#This Row],[Crop]]&amp;Crops[[#This Row],[Product]]&amp;Crops[[#This Row],[Unit]],Products[ID],Products[Pack (s)])*Crops[[#This Row],[Custom Yield Per Bed]]/3600</f>
        <v>0</v>
      </c>
      <c r="CY80" s="37">
        <f>_xlfn.XLOOKUP(Crops[[#This Row],[Crop]]&amp;Crops[[#This Row],[Product]]&amp;Crops[[#This Row],[Unit]],Products[ID],Products[Clean (s)])*Crops[[#This Row],[Custom Yield Per Bed]]/3600</f>
        <v>0</v>
      </c>
      <c r="CZ80" s="37">
        <f>_xlfn.XLOOKUP(Crops[[#This Row],[Crop]]&amp;Crops[[#This Row],[Product]]&amp;Crops[[#This Row],[Unit]],Products[ID],Products[Rehandle (s)])*Crops[[#This Row],[Custom Yield Per Bed]]/3600</f>
        <v>0</v>
      </c>
      <c r="DA80" s="37">
        <f>_xlfn.XLOOKUP(Crops[[#This Row],[Crop]]&amp;Crops[[#This Row],[Product]]&amp;Crops[[#This Row],[Unit]],Products[ID],Products[Market Transport (s)])*Crops[[#This Row],[Custom Yield Per Bed]]/3600</f>
        <v>0</v>
      </c>
      <c r="DC80" s="37">
        <f>Crops[[#This Row],[Direct Revenue Per Bed2]]</f>
        <v>0</v>
      </c>
      <c r="DD80" s="173">
        <f>_xlfn.AGGREGATE(9,6,Crops[[#This Row],[Bed Prep]:[Remove Crop Residue]])</f>
        <v>11.366803850446427</v>
      </c>
      <c r="DE80" s="173">
        <f>_xlfn.AGGREGATE(9,6,Crops[[#This Row],[Bed Prep]:[Remove Crop Residue]])-0.75*Crops[[#This Row],[Market &amp; Sell]]</f>
        <v>11.366803850446427</v>
      </c>
      <c r="DF80" s="36">
        <f>Crops[[#This Row],[Direct Revenue Per Bed2]]/Crops[[#This Row],[Direct Time]]</f>
        <v>0</v>
      </c>
      <c r="DG80" s="36">
        <f>_xlfn.XLOOKUP(Crops[[#This Row],[ProductIndex]],Products[ID],Products[Packaging Cost])*(Crops[[#This Row],[Custom Yield Per Bed]]/_xlfn.XLOOKUP(Crops[[#This Row],[ProductIndex]],Products[ID],Products[Units Per Pack]))</f>
        <v>0</v>
      </c>
      <c r="DH80" s="36"/>
      <c r="DI80" s="36"/>
      <c r="DJ80" s="36"/>
      <c r="DK80" s="36"/>
      <c r="DL80" s="36"/>
      <c r="DM80" s="33">
        <f>IFERROR(Crops[[#This Row],[Custom Yield Per Bed]]*Crops[[#This Row],[Direct Price]],"")</f>
        <v>0</v>
      </c>
      <c r="DN80" s="36">
        <f>Crops[[#This Row],[Direct Time]]*LaborRate</f>
        <v>284.17009626116067</v>
      </c>
      <c r="DO80" s="36">
        <f>SUM(Crops[[#This Row],[Irrigation Cost]])</f>
        <v>0</v>
      </c>
      <c r="DP80" s="36">
        <f>Crops[[#This Row],[Direct Labor Cost]]+Crops[[#This Row],[Direct Non-Labor Cost]]</f>
        <v>284.17009626116067</v>
      </c>
      <c r="DQ80" s="36">
        <f>Crops[[#This Row],[Direct Revenue Per Bed2]]-Crops[[#This Row],[Direct Total Cost]]</f>
        <v>-284.17009626116067</v>
      </c>
      <c r="DR80" s="36">
        <f>Crops[[#This Row],[Direct Profit]]*BedsPerAcre</f>
        <v>-45467.21540178571</v>
      </c>
      <c r="DS80" s="36">
        <f>Crops[[#This Row],[Direct Profit]]*BedsPerAcre*GrowingDays/Crops[[#This Row],[Days In Field]]</f>
        <v>-43765.234076585177</v>
      </c>
      <c r="DT80" s="36">
        <f>Crops[[#This Row],[Direct Profit]]/MIN(Crops[[#This Row],[Days In Field]],GrowingDays)</f>
        <v>-1.5787227570064482</v>
      </c>
      <c r="DU80" s="33">
        <f>Crops[[#This Row],[Direct Time]] * BedsPerAcre</f>
        <v>1818.6886160714284</v>
      </c>
      <c r="DV80" s="36">
        <f>(Crops[[#This Row],[Direct Revenue Per Bed2]]-Crops[[#This Row],[Direct Non-Labor Cost]])/Crops[[#This Row],[Direct Time]]</f>
        <v>0</v>
      </c>
      <c r="DW80" s="33">
        <f>IFERROR(Crops[[#This Row],[Custom Yield Per Bed]]*Crops[[#This Row],[Rough Wholesale Price]],"")</f>
        <v>0</v>
      </c>
      <c r="DX80" s="36">
        <f>Crops[[#This Row],[Wholesale Time]]*LaborRate</f>
        <v>284.17009626116067</v>
      </c>
      <c r="DY80" s="36">
        <f>SUM(Crops[[#This Row],[Packaging Costs]:[Irrigation Cost]])</f>
        <v>0</v>
      </c>
      <c r="DZ80" s="36">
        <f>Crops[[#This Row],[Wholesale Labor Cost]]+Crops[[#This Row],[Wholesale Non-Labor Cost]]</f>
        <v>284.17009626116067</v>
      </c>
      <c r="EA80" s="36">
        <f>Crops[[#This Row],[Wholesale Revenue Per Bed]]-Crops[[#This Row],[Wholesale Total Cost]]</f>
        <v>-284.17009626116067</v>
      </c>
      <c r="EB80" s="36">
        <f>Crops[[#This Row],[Wholesale Profit]]*BedsPerAcre</f>
        <v>-45467.21540178571</v>
      </c>
      <c r="EC80" s="36">
        <f>Crops[[#This Row],[Wholesale Profit]]*BedsPerAcre*GrowingDays/Crops[[#This Row],[Days In Field]]</f>
        <v>-43765.234076585177</v>
      </c>
      <c r="ED80" s="33">
        <f>Crops[[#This Row],[Wholesale Time]] * BedsPerAcre</f>
        <v>1818.6886160714284</v>
      </c>
      <c r="EE80" s="221">
        <f>Crops[[#This Row],[Wholesale Profit]]/MIN(Crops[[#This Row],[Days In Field]],GrowingDays)</f>
        <v>-1.5787227570064482</v>
      </c>
      <c r="EF80" s="36">
        <f>(Crops[[#This Row],[Wholesale Revenue Per Bed]]-Crops[[#This Row],[Wholesale Non-Labor Cost]])/Crops[[#This Row],[Direct Time]]</f>
        <v>0</v>
      </c>
      <c r="EG80" s="174" t="e">
        <f>Crops[[#This Row],[Packaging Costs]]/Crops[[#This Row],[Wholesale Revenue Per Bed]]</f>
        <v>#DIV/0!</v>
      </c>
      <c r="EH80" s="36" t="str">
        <f>Crops[[#This Row],[Crop]]&amp;Crops[[#This Row],[Product]]&amp;Crops[[#This Row],[Unit]]</f>
        <v>ChijimisaiMature HeadHead</v>
      </c>
      <c r="EI80" s="36" t="b">
        <f>_xlfn.XLOOKUP(Crops[[#This Row],[ProductIndex]],Products[ID],Products[Target])</f>
        <v>1</v>
      </c>
      <c r="EJ80" s="36">
        <f>Crops[[#This Row],[Custom Yield Per Bed]]</f>
        <v>0</v>
      </c>
      <c r="EK80" s="210" t="e">
        <f>Crops[[#This Row],[Units Per Harvest]]/Crops[[#This Row],[Days Between Harvest]]*7</f>
        <v>#DIV/0!</v>
      </c>
      <c r="EL80" s="210">
        <f>Crops[[#This Row],[Custom Yield Per Bed]]/_xlfn.XLOOKUP(Crops[[#This Row],[ProductIndex]],Products[ID],Products[CSA Portion])</f>
        <v>0</v>
      </c>
      <c r="EM80" s="210" t="e">
        <f>Crops[[#This Row],[Units Per Harvest]]/Crops[[#This Row],[Days Between Harvest]]*7/_xlfn.XLOOKUP(Crops[[#This Row],[ProductIndex]],Products[ID],Products[CSA Portion])</f>
        <v>#DIV/0!</v>
      </c>
      <c r="EN80" s="210" t="e">
        <f>Crops[[#This Row],[CSA Portions Per Week]]/CSAMembers</f>
        <v>#DIV/0!</v>
      </c>
      <c r="EO80" s="210"/>
      <c r="EP80" s="210"/>
      <c r="EQ80" s="210"/>
      <c r="ER80" s="210">
        <f>Crops[[#This Row],[Harvests]]*Crops[[#This Row],[Days Between Harvest]]/7</f>
        <v>0</v>
      </c>
      <c r="ES80" s="217">
        <f>_xlfn.XLOOKUP(Crops[[#This Row],[ProductIndex]],Products[ID],Products[CSA Need])</f>
        <v>0</v>
      </c>
      <c r="ET80" s="217">
        <f>_xlfn.XLOOKUP(Crops[[#This Row],[ProductIndex]],Products[ID],Products[CSA Times])</f>
        <v>0</v>
      </c>
      <c r="EU80" s="208" t="e">
        <f>Crops[[#This Row],[Custom Yield Per Bed]]/(Crops[[#This Row],[CSA Need]]*(_xlfn.XLOOKUP(Crops[[#This Row],[ProductIndex]],Products[ID],Products[CSA Portion])*CSAMembers))</f>
        <v>#DIV/0!</v>
      </c>
      <c r="EV80" s="208" t="e">
        <f>_xlfn.XLOOKUP(Crops[[#This Row],[ProductIndex]],Products[ID],Products[CSA Portion])*CSAMembers*Crops[[#This Row],[CSA Need]]/Crops[[#This Row],[Custom Yield Per Bed]]</f>
        <v>#DIV/0!</v>
      </c>
      <c r="EW80" s="208" t="str">
        <f>IFERROR(Crops[[#This Row],[Days In Field]]*Crops[[#This Row],[CSA Beds]],"")</f>
        <v/>
      </c>
      <c r="EX80" s="208" t="e">
        <f>Crops[[#This Row],[CSA Bed Days]]*#REF!</f>
        <v>#VALUE!</v>
      </c>
      <c r="EY80" t="s">
        <v>316</v>
      </c>
    </row>
    <row r="81" spans="1:158">
      <c r="A8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Choi Sum - Mature Head 1X | Field TP </v>
      </c>
      <c r="B81" s="191"/>
      <c r="C81" s="225" t="b">
        <v>1</v>
      </c>
      <c r="D81" s="1"/>
      <c r="E81" s="1" t="b">
        <v>1</v>
      </c>
      <c r="F81" s="1" t="b">
        <f>IFERROR(IF(ISNUMBER(MATCH(Crops[[#This Row],[Identifier]],BedPlan[Crop], 0)), TRUE, FALSE), FALSE)</f>
        <v>1</v>
      </c>
      <c r="G81" s="1" t="b">
        <f>IFERROR(IF(ISNUMBER(MATCH(Crops[[#This Row],[Identifier]],BedPlan[Crop], 0)), TRUE, FALSE), FALSE)</f>
        <v>1</v>
      </c>
      <c r="H81" s="1"/>
      <c r="I81" t="s">
        <v>60</v>
      </c>
      <c r="J81" t="s">
        <v>145</v>
      </c>
      <c r="K81" t="s">
        <v>186</v>
      </c>
      <c r="M81" t="s">
        <v>445</v>
      </c>
      <c r="N81" t="str">
        <f>Crops[[#This Row],[Crop]]</f>
        <v>Choi Sum</v>
      </c>
      <c r="O81" t="s">
        <v>210</v>
      </c>
      <c r="P81" t="str">
        <f>IF(OR(Crops[[#This Row],[Days in Cells]]="",Crops[[#This Row],[Days in Cells]]=0), "DS","TP")</f>
        <v>TP</v>
      </c>
      <c r="V81" t="str">
        <f xml:space="preserve"> IF(Crops[[#This Row],[Sp]], "Sp", "") &amp; IF(Crops[[#This Row],[Su]], "Su", "") &amp; IF(Crops[[#This Row],[Fa]], "Fa", "") &amp; IF(Crops[[#This Row],[Wi]], "Wi", "") &amp; IF(Crops[[#This Row],[OW]], "Ow","")</f>
        <v/>
      </c>
      <c r="X81">
        <v>4</v>
      </c>
      <c r="Y81">
        <v>6</v>
      </c>
      <c r="AA81" t="s">
        <v>475</v>
      </c>
      <c r="AB81" t="b">
        <v>1</v>
      </c>
      <c r="AC81">
        <v>1.5</v>
      </c>
      <c r="AD81" s="32">
        <f>IFERROR(12/Crops[[#This Row],[Spacing]]*Crops[[#This Row],[Rows]]*BedLength,"")</f>
        <v>400</v>
      </c>
      <c r="AE81">
        <v>1</v>
      </c>
      <c r="AG81">
        <f>IF(Crops[[#This Row],[Custom Safety Factor]]="",PlantingSafetyFactor,Crops[[#This Row],[Custom Safety Factor]])</f>
        <v>1.3</v>
      </c>
      <c r="AH81">
        <f>1</f>
        <v>1</v>
      </c>
      <c r="AI81" s="33">
        <f>IFERROR(Crops[[#This Row],[Plantings Per Bed]]*Crops[[#This Row],[Seeds Per Planting]]*Crops[[#This Row],[Safety Factor]]*Crops[[#This Row],[Seeding Factor]],"")</f>
        <v>520</v>
      </c>
      <c r="AL81">
        <f>_xlfn.FLOOR.MATH(IFERROR(AVERAGE(Crops[[#This Row],[DTG Lower]:[DTG Upper]]),0))</f>
        <v>0</v>
      </c>
      <c r="AM81">
        <f>SUM(Crops[[#This Row],[Tray 1 Days]],Crops[[#This Row],[Tray 2 Days]],Crops[[#This Row],[Tray 3 Days]])</f>
        <v>30</v>
      </c>
      <c r="AN81" s="32">
        <v>30</v>
      </c>
      <c r="AP81">
        <v>42</v>
      </c>
      <c r="AQ81">
        <f>IFERROR(_xlfn.FLOOR.MATH(AVERAGE(Crops[[#This Row],[DTM Lower]:[DTM Upper]])),"")</f>
        <v>42</v>
      </c>
      <c r="AR81" cm="1">
        <f t="array" ref="AR81">_xlfn.SWITCH(Crops[[#This Row],[Normal Method]],"DS",Crops[[#This Row],[Days to Germination]]+Crops[[#This Row],[DTM]] + IF(Crops[[#This Row],[Days in Cells]]&gt;0,15,0), "TP",Crops[[#This Row],[DTM]]+Crops[[#This Row],[Days in Cells]] + IF(Crops[[#This Row],[Days in Cells]]&lt;=0,20,0), "X", Crops[[#This Row],[DTM]])</f>
        <v>57</v>
      </c>
      <c r="AS81" t="s">
        <v>338</v>
      </c>
      <c r="AT81">
        <f>(Crops[[#This Row],[Harvests]]-1)*Crops[[#This Row],[Days Between Harvest]]+7</f>
        <v>28</v>
      </c>
      <c r="AU81">
        <f>Crops[[#This Row],[STH]]-Crops[[#This Row],[Days in Cells]]+Crops[[#This Row],[Harvest window]]</f>
        <v>55</v>
      </c>
      <c r="AX81">
        <v>128</v>
      </c>
      <c r="AY81">
        <v>30</v>
      </c>
      <c r="AZ81" s="49">
        <f>IFERROR(IF(Crops[[#This Row],[Tray 1 Days]]=0,"",Crops[[#This Row],[Plantings Per Bed]]/Crops[[#This Row],[Tray 1 Size]]*Crops[[#This Row],[Safety Factor]]),"")</f>
        <v>4.0625</v>
      </c>
      <c r="BC81" t="str">
        <f>IFERROR(IF(Crops[[#This Row],[Tray 2 Days]]=0,"",Crops[[#This Row],[Plantings Per Bed]]/Crops[[#This Row],[Tray 2 Size]]*Crops[[#This Row],[Safety Factor]]),"")</f>
        <v/>
      </c>
      <c r="BE81" s="32" t="str">
        <f>IF(NOT(ISBLANK(Crops[[#This Row],[Tray 3 Size]])), Crops[[#This Row],[Days in Cells Old]]-SUM(Crops[[#This Row],[Tray 1 Days]],Crops[[#This Row],[Tray 2 Days]]), "")</f>
        <v/>
      </c>
      <c r="BF81" s="49" t="str">
        <f>IFERROR(IF(Crops[[#This Row],[Tray 3 Days]]=0,"",Crops[[#This Row],[Plantings Per Bed]]/Crops[[#This Row],[Tray 3 Size]]*Crops[[#This Row],[Safety Factor]]),"")</f>
        <v/>
      </c>
      <c r="BG81" s="33">
        <f>Crops[[#This Row],[Plantings Per Bed]]*2/6/Crops[[#This Row],[Harvests]]</f>
        <v>33.333333333333336</v>
      </c>
      <c r="BH81" s="33">
        <v>4</v>
      </c>
      <c r="BI81" s="33">
        <v>7</v>
      </c>
      <c r="BJ81" s="33">
        <f>_xlfn.XLOOKUP(Crops[[#This Row],[ProductIndex]],Products[ID],Products[Holding Period])</f>
        <v>7</v>
      </c>
      <c r="BK81" s="33"/>
      <c r="BL81" s="33">
        <f>Crops[[#This Row],[Units Per Harvest]]*Crops[[#This Row],[Harvests]]</f>
        <v>133.33333333333334</v>
      </c>
      <c r="BM81" s="35">
        <v>4</v>
      </c>
      <c r="BN81" s="35">
        <v>1.5</v>
      </c>
      <c r="BO81" s="35"/>
      <c r="BP81" t="s">
        <v>215</v>
      </c>
      <c r="BQ81">
        <f>Crops[[#This Row],[Custom Yield Per Bed]]*Crops[[#This Row],[Direct Price]]</f>
        <v>533.33333333333337</v>
      </c>
      <c r="BR81" t="b">
        <v>1</v>
      </c>
      <c r="BS81" t="b">
        <f>Crops[[#This Row],[Harvests]]&gt;1</f>
        <v>1</v>
      </c>
      <c r="BT81" s="36">
        <f>IFERROR(Crops[[#This Row],[Direct Revenue Per Bed]]/Crops[[#This Row],[Days In Field]],-1)</f>
        <v>9.6969696969696972</v>
      </c>
      <c r="BU81" s="36">
        <f>IFERROR(Crops[[#This Row],[Direct Revenue Per Bed Day]]*GrowingDays*BedsPerAcre,"")</f>
        <v>279272.72727272729</v>
      </c>
      <c r="BV81" s="38">
        <f>LastFrostDate-5*Crops[[#This Row],[Sewing Rel Last Frost]]</f>
        <v>45708</v>
      </c>
      <c r="BW81" s="38">
        <f>Crops[[#This Row],[Target Sewing Date]]+Crops[[#This Row],[Days in Cells]]</f>
        <v>45738</v>
      </c>
      <c r="BX81" s="38">
        <f>Crops[[#This Row],[Target Sewing Date]]+Crops[[#This Row],[STH]]</f>
        <v>45765</v>
      </c>
      <c r="BY81" s="38">
        <f>Crops[[#This Row],[Target Harvest Data]]+Crops[[#This Row],[Harvest window]]</f>
        <v>45793</v>
      </c>
      <c r="BZ81">
        <v>8</v>
      </c>
      <c r="CB81">
        <f>1</f>
        <v>1</v>
      </c>
      <c r="CC81">
        <f>IF(Crops[[#This Row],[Transplanting]]&gt;0, 2, 3)*BedLength/StandardBedLength</f>
        <v>1</v>
      </c>
      <c r="CD81" s="173">
        <f>IF(Crops[[#This Row],[Days in Cells]]&lt;=0,0,Crops[[#This Row],[Plantings Per Bed]]/StartsPerHourSeeding+Crops[[#This Row],[Tray 1 Count]]*5/60)</f>
        <v>1.9010416666666667</v>
      </c>
      <c r="CE81" s="173">
        <f>IF(ISBLANK(Crops[[#This Row],[Tray 2 Days]]),0,Crops[[#This Row],[Plantings Per Bed]]/UpPottingPerHour)+IF(Crops[[#This Row],[Tray 3 Days]]="",0,Crops[[#This Row],[Plantings Per Bed]]/UpPottingPerHour)</f>
        <v>0</v>
      </c>
      <c r="CF81" s="173">
        <f>IFERROR(Crops[[#This Row],[Tray 1 Count]]/HomeStartFlatIrrigationPerHour,0)*Crops[[#This Row],[Days in Cells]]/DaysBetweenStartIrrigation</f>
        <v>0.5078125</v>
      </c>
      <c r="CG81" s="173">
        <f>0.5/16*MAX(Crops[[#This Row],[Tray 1 Count]],Crops[[#This Row],[Tray 2 Count]],Crops[[#This Row],[Tray 3 Count]])</f>
        <v>0.126953125</v>
      </c>
      <c r="CH81" s="173">
        <f>IF(Crops[[#This Row],[Days in Cells]]&gt;0,IF(IF(Crops[[#This Row],[Tray 3 Size]]&gt;0,Crops[[#This Row],[Tray 3 Size]],IF(Crops[[#This Row],[Tray 2 Size]]&gt;0,Crops[[#This Row],[Tray 2 Size]],Crops[[#This Row],[Tray 1 Size]]))&lt;=18,LargeTransplantTime,SmallTransplantTime)*Crops[[#This Row],[Plantings Per Bed]],0)</f>
        <v>2</v>
      </c>
      <c r="CI81" s="173"/>
      <c r="CJ81" s="173">
        <f>_xlfn.XLOOKUP(Crops[[#This Row],[Trellis Type]],TrellisMethods[Trellis Type],TrellisMethods[Hours],0,0)</f>
        <v>0</v>
      </c>
      <c r="CK81">
        <f>IF(Crops[[#This Row],[Days in Cells]]&lt;=0,Crops[[#This Row],[Rows]]*1/10,0)*BedLength/50</f>
        <v>0</v>
      </c>
      <c r="CL81" cm="1">
        <f t="array" ref="CL81">_xlfn.SWITCH(Crops[[#This Row],[Irrigation]],"DR", 0.5, "OH", 0.25,0)*BedLength/50</f>
        <v>0</v>
      </c>
      <c r="CM81">
        <f>IF(OR(ISBLANK(Crops[[#This Row],[Row Cover]]),Crops[[#This Row],[Row Cover]]="None"),0,1)*BedLength/50</f>
        <v>1</v>
      </c>
      <c r="CN81" s="173">
        <f>HoursPerWeedingPass*Crops[[#This Row],[Days In Field]]/14*Crops[[#This Row],[Rows]]+1*BedLength/50</f>
        <v>3.6190476190476191</v>
      </c>
      <c r="CO81" s="49"/>
      <c r="CQ81" s="37">
        <f>_xlfn.XLOOKUP(Crops[[#This Row],[Crop]]&amp;Crops[[#This Row],[Product]]&amp;Crops[[#This Row],[Unit]],Products[ID],Products[Marketing (hr)])*Crops[[#This Row],[Direct Revenue Per Bed]]/2000</f>
        <v>1.0666666666666667</v>
      </c>
      <c r="CR81" s="37">
        <f>_xlfn.XLOOKUP(Crops[[#This Row],[Crop]]&amp;Crops[[#This Row],[Product]]&amp;Crops[[#This Row],[Unit]],Products[ID],Products[Harvest (s)])*Crops[[#This Row],[Custom Yield Per Bed]]/3600</f>
        <v>0.55555555555555558</v>
      </c>
      <c r="CS81" s="37">
        <f>_xlfn.XLOOKUP(Crops[[#This Row],[Crop]]&amp;Crops[[#This Row],[Product]]&amp;Crops[[#This Row],[Unit]],Products[ID],Products[Bunch (s)])*Crops[[#This Row],[Custom Yield Per Bed]]/3600</f>
        <v>0.37037037037037041</v>
      </c>
      <c r="CT81" s="37">
        <f>_xlfn.XLOOKUP(Crops[[#This Row],[Crop]]&amp;Crops[[#This Row],[Product]]&amp;Crops[[#This Row],[Unit]],Products[ID],Products[Haul (s)])*Crops[[#This Row],[Custom Yield Per Bed]]/3600</f>
        <v>0.1388888888888889</v>
      </c>
      <c r="CU81" s="37">
        <f>_xlfn.XLOOKUP(Crops[[#This Row],[Crop]]&amp;Crops[[#This Row],[Product]]&amp;Crops[[#This Row],[Unit]],Products[ID],Products[Wash (s)])*Crops[[#This Row],[Custom Yield Per Bed]]/3600</f>
        <v>0</v>
      </c>
      <c r="CV81" s="37">
        <f>_xlfn.XLOOKUP(Crops[[#This Row],[Crop]]&amp;Crops[[#This Row],[Product]]&amp;Crops[[#This Row],[Unit]],Products[ID],Products[Condition (s)])*Crops[[#This Row],[Custom Yield Per Bed]]/3600</f>
        <v>0.37037037037037041</v>
      </c>
      <c r="CW81" s="37">
        <f>_xlfn.XLOOKUP(Crops[[#This Row],[Crop]]&amp;Crops[[#This Row],[Product]]&amp;Crops[[#This Row],[Unit]],Products[ID],Products[Trim (s)])*Crops[[#This Row],[Custom Yield Per Bed]]/3600</f>
        <v>0.37037037037037041</v>
      </c>
      <c r="CX81" s="37">
        <f>_xlfn.XLOOKUP(Crops[[#This Row],[Crop]]&amp;Crops[[#This Row],[Product]]&amp;Crops[[#This Row],[Unit]],Products[ID],Products[Pack (s)])*Crops[[#This Row],[Custom Yield Per Bed]]/3600</f>
        <v>0.1111111111111111</v>
      </c>
      <c r="CY81" s="37">
        <f>_xlfn.XLOOKUP(Crops[[#This Row],[Crop]]&amp;Crops[[#This Row],[Product]]&amp;Crops[[#This Row],[Unit]],Products[ID],Products[Clean (s)])*Crops[[#This Row],[Custom Yield Per Bed]]/3600</f>
        <v>0</v>
      </c>
      <c r="CZ81" s="37">
        <f>_xlfn.XLOOKUP(Crops[[#This Row],[Crop]]&amp;Crops[[#This Row],[Product]]&amp;Crops[[#This Row],[Unit]],Products[ID],Products[Rehandle (s)])*Crops[[#This Row],[Custom Yield Per Bed]]/3600</f>
        <v>0</v>
      </c>
      <c r="DA81" s="37">
        <f>_xlfn.XLOOKUP(Crops[[#This Row],[Crop]]&amp;Crops[[#This Row],[Product]]&amp;Crops[[#This Row],[Unit]],Products[ID],Products[Market Transport (s)])*Crops[[#This Row],[Custom Yield Per Bed]]/3600</f>
        <v>0.34722222222222221</v>
      </c>
      <c r="DC81" s="37">
        <f>Crops[[#This Row],[Direct Revenue Per Bed2]]</f>
        <v>533.33333333333337</v>
      </c>
      <c r="DD81" s="173">
        <f>_xlfn.AGGREGATE(9,6,Crops[[#This Row],[Bed Prep]:[Remove Crop Residue]])</f>
        <v>13.48541046626984</v>
      </c>
      <c r="DE81" s="173">
        <f>_xlfn.AGGREGATE(9,6,Crops[[#This Row],[Bed Prep]:[Remove Crop Residue]])-0.75*Crops[[#This Row],[Market &amp; Sell]]</f>
        <v>12.68541046626984</v>
      </c>
      <c r="DF81" s="36">
        <f>Crops[[#This Row],[Direct Revenue Per Bed2]]/Crops[[#This Row],[Direct Time]]</f>
        <v>39.548913595720691</v>
      </c>
      <c r="DG81" s="36">
        <f>_xlfn.XLOOKUP(Crops[[#This Row],[ProductIndex]],Products[ID],Products[Packaging Cost])*(Crops[[#This Row],[Custom Yield Per Bed]]/_xlfn.XLOOKUP(Crops[[#This Row],[ProductIndex]],Products[ID],Products[Units Per Pack]))</f>
        <v>21.111111111111114</v>
      </c>
      <c r="DH81" s="36"/>
      <c r="DI81" s="36"/>
      <c r="DJ81" s="36"/>
      <c r="DK81" s="36"/>
      <c r="DL81" s="36"/>
      <c r="DM81" s="33">
        <f>IFERROR(Crops[[#This Row],[Custom Yield Per Bed]]*Crops[[#This Row],[Direct Price]],"")</f>
        <v>533.33333333333337</v>
      </c>
      <c r="DN81" s="36">
        <f>Crops[[#This Row],[Direct Time]]*LaborRate</f>
        <v>337.13526165674602</v>
      </c>
      <c r="DO81" s="36">
        <f>SUM(Crops[[#This Row],[Irrigation Cost]])</f>
        <v>0</v>
      </c>
      <c r="DP81" s="36">
        <f>Crops[[#This Row],[Direct Labor Cost]]+Crops[[#This Row],[Direct Non-Labor Cost]]</f>
        <v>337.13526165674602</v>
      </c>
      <c r="DQ81" s="36">
        <f>Crops[[#This Row],[Direct Revenue Per Bed2]]-Crops[[#This Row],[Direct Total Cost]]</f>
        <v>196.19807167658735</v>
      </c>
      <c r="DR81" s="36">
        <f>Crops[[#This Row],[Direct Profit]]*BedsPerAcre</f>
        <v>31391.691468253975</v>
      </c>
      <c r="DS81" s="36">
        <f>Crops[[#This Row],[Direct Profit]]*BedsPerAcre*GrowingDays/Crops[[#This Row],[Days In Field]]</f>
        <v>102736.44480519483</v>
      </c>
      <c r="DT81" s="36">
        <f>Crops[[#This Row],[Direct Profit]]/MIN(Crops[[#This Row],[Days In Field]],GrowingDays)</f>
        <v>3.5672376668470425</v>
      </c>
      <c r="DU81" s="33">
        <f>Crops[[#This Row],[Direct Time]] * BedsPerAcre</f>
        <v>2157.6656746031745</v>
      </c>
      <c r="DV81" s="36">
        <f>(Crops[[#This Row],[Direct Revenue Per Bed2]]-Crops[[#This Row],[Direct Non-Labor Cost]])/Crops[[#This Row],[Direct Time]]</f>
        <v>39.548913595720691</v>
      </c>
      <c r="DW81" s="33">
        <f>IFERROR(Crops[[#This Row],[Custom Yield Per Bed]]*Crops[[#This Row],[Rough Wholesale Price]],"")</f>
        <v>200</v>
      </c>
      <c r="DX81" s="36">
        <f>Crops[[#This Row],[Wholesale Time]]*LaborRate</f>
        <v>317.13526165674597</v>
      </c>
      <c r="DY81" s="36">
        <f>SUM(Crops[[#This Row],[Packaging Costs]:[Irrigation Cost]])</f>
        <v>21.111111111111114</v>
      </c>
      <c r="DZ81" s="36">
        <f>Crops[[#This Row],[Wholesale Labor Cost]]+Crops[[#This Row],[Wholesale Non-Labor Cost]]</f>
        <v>338.24637276785711</v>
      </c>
      <c r="EA81" s="36">
        <f>Crops[[#This Row],[Wholesale Revenue Per Bed]]-Crops[[#This Row],[Wholesale Total Cost]]</f>
        <v>-138.24637276785711</v>
      </c>
      <c r="EB81" s="36">
        <f>Crops[[#This Row],[Wholesale Profit]]*BedsPerAcre</f>
        <v>-22119.419642857138</v>
      </c>
      <c r="EC81" s="36">
        <f>Crops[[#This Row],[Wholesale Profit]]*BedsPerAcre*GrowingDays/Crops[[#This Row],[Days In Field]]</f>
        <v>-72390.827922077908</v>
      </c>
      <c r="ED81" s="33">
        <f>Crops[[#This Row],[Wholesale Time]] * BedsPerAcre</f>
        <v>2029.6656746031745</v>
      </c>
      <c r="EE81" s="221">
        <f>Crops[[#This Row],[Wholesale Profit]]/MIN(Crops[[#This Row],[Days In Field]],GrowingDays)</f>
        <v>-2.5135704139610384</v>
      </c>
      <c r="EF81" s="36">
        <f>(Crops[[#This Row],[Wholesale Revenue Per Bed]]-Crops[[#This Row],[Wholesale Non-Labor Cost]])/Crops[[#This Row],[Direct Time]]</f>
        <v>13.265364768564647</v>
      </c>
      <c r="EG81" s="174">
        <f>Crops[[#This Row],[Packaging Costs]]/Crops[[#This Row],[Wholesale Revenue Per Bed]]</f>
        <v>0.10555555555555557</v>
      </c>
      <c r="EH81" s="36" t="str">
        <f>Crops[[#This Row],[Crop]]&amp;Crops[[#This Row],[Product]]&amp;Crops[[#This Row],[Unit]]</f>
        <v>Choi SumMature HeadBunch</v>
      </c>
      <c r="EI81" s="36" t="b">
        <f>_xlfn.XLOOKUP(Crops[[#This Row],[ProductIndex]],Products[ID],Products[Target])</f>
        <v>1</v>
      </c>
      <c r="EJ81" s="33">
        <f>Crops[[#This Row],[Custom Yield Per Bed]]</f>
        <v>133.33333333333334</v>
      </c>
      <c r="EK81" s="210">
        <f>Crops[[#This Row],[Units Per Harvest]]/Crops[[#This Row],[Days Between Harvest]]*7</f>
        <v>33.333333333333336</v>
      </c>
      <c r="EL81" s="210">
        <f>Crops[[#This Row],[Custom Yield Per Bed]]/_xlfn.XLOOKUP(Crops[[#This Row],[ProductIndex]],Products[ID],Products[CSA Portion])</f>
        <v>133.33333333333334</v>
      </c>
      <c r="EM81" s="210">
        <f>Crops[[#This Row],[Units Per Harvest]]/Crops[[#This Row],[Days Between Harvest]]*7/_xlfn.XLOOKUP(Crops[[#This Row],[ProductIndex]],Products[ID],Products[CSA Portion])</f>
        <v>33.333333333333336</v>
      </c>
      <c r="EN81" s="210">
        <f>Crops[[#This Row],[CSA Portions Per Week]]/CSAMembers</f>
        <v>0.66666666666666674</v>
      </c>
      <c r="EO81" s="216"/>
      <c r="EP81" s="216"/>
      <c r="EQ81" s="210"/>
      <c r="ER81" s="210">
        <f>Crops[[#This Row],[Harvests]]*Crops[[#This Row],[Days Between Harvest]]/7</f>
        <v>4</v>
      </c>
      <c r="ES81" s="217">
        <f>_xlfn.XLOOKUP(Crops[[#This Row],[ProductIndex]],Products[ID],Products[CSA Need])</f>
        <v>2</v>
      </c>
      <c r="ET81" s="217">
        <f>_xlfn.XLOOKUP(Crops[[#This Row],[ProductIndex]],Products[ID],Products[CSA Times])</f>
        <v>2</v>
      </c>
      <c r="EU81" s="208">
        <f>Crops[[#This Row],[Custom Yield Per Bed]]/(Crops[[#This Row],[CSA Need]]*(_xlfn.XLOOKUP(Crops[[#This Row],[ProductIndex]],Products[ID],Products[CSA Portion])*CSAMembers))</f>
        <v>1.3333333333333335</v>
      </c>
      <c r="EV81" s="208">
        <f>_xlfn.XLOOKUP(Crops[[#This Row],[ProductIndex]],Products[ID],Products[CSA Portion])*CSAMembers*Crops[[#This Row],[CSA Need]]/Crops[[#This Row],[Custom Yield Per Bed]]</f>
        <v>0.75</v>
      </c>
      <c r="EW81" s="208">
        <f>IFERROR(Crops[[#This Row],[Days In Field]]*Crops[[#This Row],[CSA Beds]],"")</f>
        <v>41.25</v>
      </c>
      <c r="EX81" s="208" t="e">
        <f>Crops[[#This Row],[CSA Bed Days]]*#REF!</f>
        <v>#REF!</v>
      </c>
      <c r="EY81" t="s">
        <v>317</v>
      </c>
    </row>
    <row r="82" spans="1:158">
      <c r="A8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Choi Sum - Mature Head 4X | Field TP </v>
      </c>
      <c r="B82" s="191"/>
      <c r="C82" s="225" t="b">
        <v>1</v>
      </c>
      <c r="D82" s="1"/>
      <c r="E82" s="1" t="b">
        <v>0</v>
      </c>
      <c r="F82" s="1" t="b">
        <f>IFERROR(IF(ISNUMBER(MATCH(Crops[[#This Row],[Identifier]],BedPlan[Crop], 0)), TRUE, FALSE), FALSE)</f>
        <v>0</v>
      </c>
      <c r="G82" s="1" t="b">
        <f>IFERROR(IF(ISNUMBER(MATCH(Crops[[#This Row],[Identifier]],BedPlan[Crop], 0)), TRUE, FALSE), FALSE)</f>
        <v>0</v>
      </c>
      <c r="H82" s="1"/>
      <c r="I82" t="s">
        <v>60</v>
      </c>
      <c r="J82" t="s">
        <v>145</v>
      </c>
      <c r="K82" t="s">
        <v>186</v>
      </c>
      <c r="M82" t="s">
        <v>445</v>
      </c>
      <c r="N82" t="str">
        <f>Crops[[#This Row],[Crop]]</f>
        <v>Choi Sum</v>
      </c>
      <c r="O82" t="s">
        <v>210</v>
      </c>
      <c r="P82" t="str">
        <f>IF(OR(Crops[[#This Row],[Days in Cells]]="",Crops[[#This Row],[Days in Cells]]=0), "DS","TP")</f>
        <v>TP</v>
      </c>
      <c r="V82" t="str">
        <f xml:space="preserve"> IF(Crops[[#This Row],[Sp]], "Sp", "") &amp; IF(Crops[[#This Row],[Su]], "Su", "") &amp; IF(Crops[[#This Row],[Fa]], "Fa", "") &amp; IF(Crops[[#This Row],[Wi]], "Wi", "") &amp; IF(Crops[[#This Row],[OW]], "Ow","")</f>
        <v/>
      </c>
      <c r="X82">
        <v>2</v>
      </c>
      <c r="Y82">
        <v>1</v>
      </c>
      <c r="AA82" t="s">
        <v>475</v>
      </c>
      <c r="AB82" t="b">
        <v>1</v>
      </c>
      <c r="AC82">
        <v>1.5</v>
      </c>
      <c r="AD82" s="32">
        <f>IFERROR(12/Crops[[#This Row],[Spacing]]*Crops[[#This Row],[Rows]]*BedLength,"")</f>
        <v>1200</v>
      </c>
      <c r="AE82">
        <v>4</v>
      </c>
      <c r="AG82">
        <f>IF(Crops[[#This Row],[Custom Safety Factor]]="",PlantingSafetyFactor,Crops[[#This Row],[Custom Safety Factor]])</f>
        <v>1.3</v>
      </c>
      <c r="AH82">
        <f>1</f>
        <v>1</v>
      </c>
      <c r="AI82" s="33">
        <f>IFERROR(Crops[[#This Row],[Plantings Per Bed]]*Crops[[#This Row],[Seeds Per Planting]]*Crops[[#This Row],[Safety Factor]]*Crops[[#This Row],[Seeding Factor]],"")</f>
        <v>6240</v>
      </c>
      <c r="AL82">
        <f>_xlfn.FLOOR.MATH(IFERROR(AVERAGE(Crops[[#This Row],[DTG Lower]:[DTG Upper]]),0))</f>
        <v>0</v>
      </c>
      <c r="AM82">
        <f>SUM(Crops[[#This Row],[Tray 1 Days]],Crops[[#This Row],[Tray 2 Days]],Crops[[#This Row],[Tray 3 Days]])</f>
        <v>30</v>
      </c>
      <c r="AN82" s="32">
        <v>30</v>
      </c>
      <c r="AP82">
        <v>42</v>
      </c>
      <c r="AQ82">
        <f>IFERROR(_xlfn.FLOOR.MATH(AVERAGE(Crops[[#This Row],[DTM Lower]:[DTM Upper]])),"")</f>
        <v>42</v>
      </c>
      <c r="AR82" cm="1">
        <f t="array" ref="AR82">_xlfn.SWITCH(Crops[[#This Row],[Normal Method]],"DS",Crops[[#This Row],[Days to Germination]]+Crops[[#This Row],[DTM]] + IF(Crops[[#This Row],[Days in Cells]]&gt;0,15,0), "TP",Crops[[#This Row],[DTM]]+Crops[[#This Row],[Days in Cells]] + IF(Crops[[#This Row],[Days in Cells]]&lt;=0,20,0), "X", Crops[[#This Row],[DTM]])</f>
        <v>57</v>
      </c>
      <c r="AS82" t="s">
        <v>338</v>
      </c>
      <c r="AT82">
        <f>(Crops[[#This Row],[Harvests]]-1)*Crops[[#This Row],[Days Between Harvest]]+7</f>
        <v>28</v>
      </c>
      <c r="AU82">
        <f>Crops[[#This Row],[STH]]-Crops[[#This Row],[Days in Cells]]+Crops[[#This Row],[Harvest window]]</f>
        <v>55</v>
      </c>
      <c r="AX82">
        <v>128</v>
      </c>
      <c r="AY82">
        <v>30</v>
      </c>
      <c r="AZ82" s="49">
        <f>IFERROR(IF(Crops[[#This Row],[Tray 1 Days]]=0,"",Crops[[#This Row],[Plantings Per Bed]]/Crops[[#This Row],[Tray 1 Size]]*Crops[[#This Row],[Safety Factor]]),"")</f>
        <v>12.1875</v>
      </c>
      <c r="BC82" t="str">
        <f>IFERROR(IF(Crops[[#This Row],[Tray 2 Days]]=0,"",Crops[[#This Row],[Plantings Per Bed]]/Crops[[#This Row],[Tray 2 Size]]*Crops[[#This Row],[Safety Factor]]),"")</f>
        <v/>
      </c>
      <c r="BE82" s="32" t="str">
        <f>IF(NOT(ISBLANK(Crops[[#This Row],[Tray 3 Size]])), Crops[[#This Row],[Days in Cells Old]]-SUM(Crops[[#This Row],[Tray 1 Days]],Crops[[#This Row],[Tray 2 Days]]), "")</f>
        <v/>
      </c>
      <c r="BF82" s="49" t="str">
        <f>IFERROR(IF(Crops[[#This Row],[Tray 3 Days]]=0,"",Crops[[#This Row],[Plantings Per Bed]]/Crops[[#This Row],[Tray 3 Size]]*Crops[[#This Row],[Safety Factor]]),"")</f>
        <v/>
      </c>
      <c r="BG82" s="33">
        <f>Crops[[#This Row],[Plantings Per Bed]]/2/6/Crops[[#This Row],[Harvests]]</f>
        <v>25</v>
      </c>
      <c r="BH82" s="33">
        <v>4</v>
      </c>
      <c r="BI82" s="33">
        <v>7</v>
      </c>
      <c r="BJ82" s="33">
        <f>_xlfn.XLOOKUP(Crops[[#This Row],[ProductIndex]],Products[ID],Products[Holding Period])</f>
        <v>7</v>
      </c>
      <c r="BK82" s="33"/>
      <c r="BL82" s="33">
        <f>Crops[[#This Row],[Units Per Harvest]]*Crops[[#This Row],[Harvests]]</f>
        <v>100</v>
      </c>
      <c r="BM82" s="35">
        <v>3.5</v>
      </c>
      <c r="BN82" s="35">
        <v>1.5</v>
      </c>
      <c r="BO82" s="35"/>
      <c r="BP82" t="s">
        <v>215</v>
      </c>
      <c r="BQ82">
        <f>Crops[[#This Row],[Custom Yield Per Bed]]*Crops[[#This Row],[Direct Price]]</f>
        <v>350</v>
      </c>
      <c r="BR82" t="b">
        <v>1</v>
      </c>
      <c r="BS82" t="b">
        <f>Crops[[#This Row],[Harvests]]&gt;1</f>
        <v>1</v>
      </c>
      <c r="BT82" s="36">
        <f>IFERROR(Crops[[#This Row],[Direct Revenue Per Bed]]/Crops[[#This Row],[Days In Field]],-1)</f>
        <v>6.3636363636363633</v>
      </c>
      <c r="BU82" s="36">
        <f>IFERROR(Crops[[#This Row],[Direct Revenue Per Bed Day]]*GrowingDays*BedsPerAcre,"")</f>
        <v>183272.72727272729</v>
      </c>
      <c r="BV82" s="38">
        <f>LastFrostDate-5*Crops[[#This Row],[Sewing Rel Last Frost]]</f>
        <v>45708</v>
      </c>
      <c r="BW82" s="38">
        <f>Crops[[#This Row],[Target Sewing Date]]+Crops[[#This Row],[Days in Cells]]</f>
        <v>45738</v>
      </c>
      <c r="BX82" s="38">
        <f>Crops[[#This Row],[Target Sewing Date]]+Crops[[#This Row],[STH]]</f>
        <v>45765</v>
      </c>
      <c r="BY82" s="38">
        <f>Crops[[#This Row],[Target Harvest Data]]+Crops[[#This Row],[Harvest window]]</f>
        <v>45793</v>
      </c>
      <c r="BZ82">
        <v>8</v>
      </c>
      <c r="CB82">
        <f>1</f>
        <v>1</v>
      </c>
      <c r="CC82">
        <f>IF(Crops[[#This Row],[Transplanting]]&gt;0, 2, 3)*BedLength/StandardBedLength</f>
        <v>1</v>
      </c>
      <c r="CD82" s="173">
        <f>IF(Crops[[#This Row],[Days in Cells]]&lt;=0,0,Crops[[#This Row],[Plantings Per Bed]]/StartsPerHourSeeding+Crops[[#This Row],[Tray 1 Count]]*5/60)</f>
        <v>5.703125</v>
      </c>
      <c r="CE82" s="173">
        <f>IF(ISBLANK(Crops[[#This Row],[Tray 2 Days]]),0,Crops[[#This Row],[Plantings Per Bed]]/UpPottingPerHour)+IF(Crops[[#This Row],[Tray 3 Days]]="",0,Crops[[#This Row],[Plantings Per Bed]]/UpPottingPerHour)</f>
        <v>0</v>
      </c>
      <c r="CF82" s="173">
        <f>IFERROR(Crops[[#This Row],[Tray 1 Count]]/HomeStartFlatIrrigationPerHour,0)*Crops[[#This Row],[Days in Cells]]/DaysBetweenStartIrrigation</f>
        <v>1.5234375</v>
      </c>
      <c r="CG82" s="173">
        <f>0.5/16*MAX(Crops[[#This Row],[Tray 1 Count]],Crops[[#This Row],[Tray 2 Count]],Crops[[#This Row],[Tray 3 Count]])</f>
        <v>0.380859375</v>
      </c>
      <c r="CH82" s="173">
        <f>IF(Crops[[#This Row],[Days in Cells]]&gt;0,IF(IF(Crops[[#This Row],[Tray 3 Size]]&gt;0,Crops[[#This Row],[Tray 3 Size]],IF(Crops[[#This Row],[Tray 2 Size]]&gt;0,Crops[[#This Row],[Tray 2 Size]],Crops[[#This Row],[Tray 1 Size]]))&lt;=18,LargeTransplantTime,SmallTransplantTime)*Crops[[#This Row],[Plantings Per Bed]],0)</f>
        <v>6</v>
      </c>
      <c r="CI82" s="173"/>
      <c r="CJ82" s="173">
        <f>_xlfn.XLOOKUP(Crops[[#This Row],[Trellis Type]],TrellisMethods[Trellis Type],TrellisMethods[Hours],0,0)</f>
        <v>0</v>
      </c>
      <c r="CK82">
        <f>IF(Crops[[#This Row],[Days in Cells]]&lt;=0,Crops[[#This Row],[Rows]]*1/10,0)*BedLength/50</f>
        <v>0</v>
      </c>
      <c r="CL82" cm="1">
        <f t="array" ref="CL82">_xlfn.SWITCH(Crops[[#This Row],[Irrigation]],"DR", 0.5, "OH", 0.25,0)*BedLength/50</f>
        <v>0</v>
      </c>
      <c r="CM82">
        <f>IF(OR(ISBLANK(Crops[[#This Row],[Row Cover]]),Crops[[#This Row],[Row Cover]]="None"),0,1)*BedLength/50</f>
        <v>1</v>
      </c>
      <c r="CN82" s="173">
        <f>HoursPerWeedingPass*Crops[[#This Row],[Days In Field]]/14*Crops[[#This Row],[Rows]]+1*BedLength/50</f>
        <v>2.3095238095238093</v>
      </c>
      <c r="CO82" s="49"/>
      <c r="CQ82" s="37">
        <f>_xlfn.XLOOKUP(Crops[[#This Row],[Crop]]&amp;Crops[[#This Row],[Product]]&amp;Crops[[#This Row],[Unit]],Products[ID],Products[Marketing (hr)])*Crops[[#This Row],[Direct Revenue Per Bed]]/2000</f>
        <v>0.7</v>
      </c>
      <c r="CR82" s="37">
        <f>_xlfn.XLOOKUP(Crops[[#This Row],[Crop]]&amp;Crops[[#This Row],[Product]]&amp;Crops[[#This Row],[Unit]],Products[ID],Products[Harvest (s)])*Crops[[#This Row],[Custom Yield Per Bed]]/3600</f>
        <v>0.41666666666666669</v>
      </c>
      <c r="CS82" s="37">
        <f>_xlfn.XLOOKUP(Crops[[#This Row],[Crop]]&amp;Crops[[#This Row],[Product]]&amp;Crops[[#This Row],[Unit]],Products[ID],Products[Bunch (s)])*Crops[[#This Row],[Custom Yield Per Bed]]/3600</f>
        <v>0.27777777777777779</v>
      </c>
      <c r="CT82" s="37">
        <f>_xlfn.XLOOKUP(Crops[[#This Row],[Crop]]&amp;Crops[[#This Row],[Product]]&amp;Crops[[#This Row],[Unit]],Products[ID],Products[Haul (s)])*Crops[[#This Row],[Custom Yield Per Bed]]/3600</f>
        <v>0.10416666666666667</v>
      </c>
      <c r="CU82" s="37">
        <f>_xlfn.XLOOKUP(Crops[[#This Row],[Crop]]&amp;Crops[[#This Row],[Product]]&amp;Crops[[#This Row],[Unit]],Products[ID],Products[Wash (s)])*Crops[[#This Row],[Custom Yield Per Bed]]/3600</f>
        <v>0</v>
      </c>
      <c r="CV82" s="37">
        <f>_xlfn.XLOOKUP(Crops[[#This Row],[Crop]]&amp;Crops[[#This Row],[Product]]&amp;Crops[[#This Row],[Unit]],Products[ID],Products[Condition (s)])*Crops[[#This Row],[Custom Yield Per Bed]]/3600</f>
        <v>0.27777777777777779</v>
      </c>
      <c r="CW82" s="37">
        <f>_xlfn.XLOOKUP(Crops[[#This Row],[Crop]]&amp;Crops[[#This Row],[Product]]&amp;Crops[[#This Row],[Unit]],Products[ID],Products[Trim (s)])*Crops[[#This Row],[Custom Yield Per Bed]]/3600</f>
        <v>0.27777777777777779</v>
      </c>
      <c r="CX82" s="37">
        <f>_xlfn.XLOOKUP(Crops[[#This Row],[Crop]]&amp;Crops[[#This Row],[Product]]&amp;Crops[[#This Row],[Unit]],Products[ID],Products[Pack (s)])*Crops[[#This Row],[Custom Yield Per Bed]]/3600</f>
        <v>8.3333333333333329E-2</v>
      </c>
      <c r="CY82" s="37">
        <f>_xlfn.XLOOKUP(Crops[[#This Row],[Crop]]&amp;Crops[[#This Row],[Product]]&amp;Crops[[#This Row],[Unit]],Products[ID],Products[Clean (s)])*Crops[[#This Row],[Custom Yield Per Bed]]/3600</f>
        <v>0</v>
      </c>
      <c r="CZ82" s="37">
        <f>_xlfn.XLOOKUP(Crops[[#This Row],[Crop]]&amp;Crops[[#This Row],[Product]]&amp;Crops[[#This Row],[Unit]],Products[ID],Products[Rehandle (s)])*Crops[[#This Row],[Custom Yield Per Bed]]/3600</f>
        <v>0</v>
      </c>
      <c r="DA82" s="37">
        <f>_xlfn.XLOOKUP(Crops[[#This Row],[Crop]]&amp;Crops[[#This Row],[Product]]&amp;Crops[[#This Row],[Unit]],Products[ID],Products[Market Transport (s)])*Crops[[#This Row],[Custom Yield Per Bed]]/3600</f>
        <v>0.26041666666666669</v>
      </c>
      <c r="DC82" s="37">
        <f>Crops[[#This Row],[Direct Revenue Per Bed2]]</f>
        <v>350</v>
      </c>
      <c r="DD82" s="173">
        <f>_xlfn.AGGREGATE(9,6,Crops[[#This Row],[Bed Prep]:[Remove Crop Residue]])</f>
        <v>20.314862351190481</v>
      </c>
      <c r="DE82" s="173">
        <f>_xlfn.AGGREGATE(9,6,Crops[[#This Row],[Bed Prep]:[Remove Crop Residue]])-0.75*Crops[[#This Row],[Market &amp; Sell]]</f>
        <v>19.789862351190482</v>
      </c>
      <c r="DF82" s="36">
        <f>Crops[[#This Row],[Direct Revenue Per Bed2]]/Crops[[#This Row],[Direct Time]]</f>
        <v>17.22876551902846</v>
      </c>
      <c r="DG82" s="36">
        <f>_xlfn.XLOOKUP(Crops[[#This Row],[ProductIndex]],Products[ID],Products[Packaging Cost])*(Crops[[#This Row],[Custom Yield Per Bed]]/_xlfn.XLOOKUP(Crops[[#This Row],[ProductIndex]],Products[ID],Products[Units Per Pack]))</f>
        <v>15.833333333333334</v>
      </c>
      <c r="DH82" s="36"/>
      <c r="DI82" s="36"/>
      <c r="DJ82" s="36"/>
      <c r="DK82" s="36"/>
      <c r="DL82" s="36"/>
      <c r="DM82" s="33">
        <f>IFERROR(Crops[[#This Row],[Custom Yield Per Bed]]*Crops[[#This Row],[Direct Price]],"")</f>
        <v>350</v>
      </c>
      <c r="DN82" s="36">
        <f>Crops[[#This Row],[Direct Time]]*LaborRate</f>
        <v>507.87155877976204</v>
      </c>
      <c r="DO82" s="36">
        <f>SUM(Crops[[#This Row],[Irrigation Cost]])</f>
        <v>0</v>
      </c>
      <c r="DP82" s="36">
        <f>Crops[[#This Row],[Direct Labor Cost]]+Crops[[#This Row],[Direct Non-Labor Cost]]</f>
        <v>507.87155877976204</v>
      </c>
      <c r="DQ82" s="36">
        <f>Crops[[#This Row],[Direct Revenue Per Bed2]]-Crops[[#This Row],[Direct Total Cost]]</f>
        <v>-157.87155877976204</v>
      </c>
      <c r="DR82" s="36">
        <f>Crops[[#This Row],[Direct Profit]]*BedsPerAcre</f>
        <v>-25259.449404761926</v>
      </c>
      <c r="DS82" s="36">
        <f>Crops[[#This Row],[Direct Profit]]*BedsPerAcre*GrowingDays/Crops[[#This Row],[Days In Field]]</f>
        <v>-82667.288961039027</v>
      </c>
      <c r="DT82" s="36">
        <f>Crops[[#This Row],[Direct Profit]]/MIN(Crops[[#This Row],[Days In Field]],GrowingDays)</f>
        <v>-2.8703919778138554</v>
      </c>
      <c r="DU82" s="33">
        <f>Crops[[#This Row],[Direct Time]] * BedsPerAcre</f>
        <v>3250.3779761904771</v>
      </c>
      <c r="DV82" s="36">
        <f>(Crops[[#This Row],[Direct Revenue Per Bed2]]-Crops[[#This Row],[Direct Non-Labor Cost]])/Crops[[#This Row],[Direct Time]]</f>
        <v>17.22876551902846</v>
      </c>
      <c r="DW82" s="33">
        <f>IFERROR(Crops[[#This Row],[Custom Yield Per Bed]]*Crops[[#This Row],[Rough Wholesale Price]],"")</f>
        <v>150</v>
      </c>
      <c r="DX82" s="36">
        <f>Crops[[#This Row],[Wholesale Time]]*LaborRate</f>
        <v>494.74655877976204</v>
      </c>
      <c r="DY82" s="36">
        <f>SUM(Crops[[#This Row],[Packaging Costs]:[Irrigation Cost]])</f>
        <v>15.833333333333334</v>
      </c>
      <c r="DZ82" s="36">
        <f>Crops[[#This Row],[Wholesale Labor Cost]]+Crops[[#This Row],[Wholesale Non-Labor Cost]]</f>
        <v>510.57989211309535</v>
      </c>
      <c r="EA82" s="36">
        <f>Crops[[#This Row],[Wholesale Revenue Per Bed]]-Crops[[#This Row],[Wholesale Total Cost]]</f>
        <v>-360.57989211309535</v>
      </c>
      <c r="EB82" s="36">
        <f>Crops[[#This Row],[Wholesale Profit]]*BedsPerAcre</f>
        <v>-57692.782738095259</v>
      </c>
      <c r="EC82" s="36">
        <f>Crops[[#This Row],[Wholesale Profit]]*BedsPerAcre*GrowingDays/Crops[[#This Row],[Days In Field]]</f>
        <v>-188812.7435064936</v>
      </c>
      <c r="ED82" s="33">
        <f>Crops[[#This Row],[Wholesale Time]] * BedsPerAcre</f>
        <v>3166.3779761904771</v>
      </c>
      <c r="EE82" s="221">
        <f>Crops[[#This Row],[Wholesale Profit]]/MIN(Crops[[#This Row],[Days In Field]],GrowingDays)</f>
        <v>-6.5559980384199159</v>
      </c>
      <c r="EF82" s="36">
        <f>(Crops[[#This Row],[Wholesale Revenue Per Bed]]-Crops[[#This Row],[Wholesale Non-Labor Cost]])/Crops[[#This Row],[Direct Time]]</f>
        <v>6.6043601156275757</v>
      </c>
      <c r="EG82" s="174">
        <f>Crops[[#This Row],[Packaging Costs]]/Crops[[#This Row],[Wholesale Revenue Per Bed]]</f>
        <v>0.10555555555555556</v>
      </c>
      <c r="EH82" s="36" t="str">
        <f>Crops[[#This Row],[Crop]]&amp;Crops[[#This Row],[Product]]&amp;Crops[[#This Row],[Unit]]</f>
        <v>Choi SumMature HeadBunch</v>
      </c>
      <c r="EI82" s="36" t="b">
        <f>_xlfn.XLOOKUP(Crops[[#This Row],[ProductIndex]],Products[ID],Products[Target])</f>
        <v>1</v>
      </c>
      <c r="EJ82" s="33">
        <f>Crops[[#This Row],[Custom Yield Per Bed]]</f>
        <v>100</v>
      </c>
      <c r="EK82" s="210">
        <f>Crops[[#This Row],[Units Per Harvest]]/Crops[[#This Row],[Days Between Harvest]]*7</f>
        <v>25</v>
      </c>
      <c r="EL82" s="210">
        <f>Crops[[#This Row],[Custom Yield Per Bed]]/_xlfn.XLOOKUP(Crops[[#This Row],[ProductIndex]],Products[ID],Products[CSA Portion])</f>
        <v>100</v>
      </c>
      <c r="EM82" s="210">
        <f>Crops[[#This Row],[Units Per Harvest]]/Crops[[#This Row],[Days Between Harvest]]*7/_xlfn.XLOOKUP(Crops[[#This Row],[ProductIndex]],Products[ID],Products[CSA Portion])</f>
        <v>25</v>
      </c>
      <c r="EN82" s="210">
        <f>Crops[[#This Row],[CSA Portions Per Week]]/CSAMembers</f>
        <v>0.5</v>
      </c>
      <c r="EO82" s="216"/>
      <c r="EP82" s="216"/>
      <c r="EQ82" s="210"/>
      <c r="ER82" s="210">
        <f>Crops[[#This Row],[Harvests]]*Crops[[#This Row],[Days Between Harvest]]/7</f>
        <v>4</v>
      </c>
      <c r="ES82" s="217">
        <f>_xlfn.XLOOKUP(Crops[[#This Row],[ProductIndex]],Products[ID],Products[CSA Need])</f>
        <v>2</v>
      </c>
      <c r="ET82" s="217">
        <f>_xlfn.XLOOKUP(Crops[[#This Row],[ProductIndex]],Products[ID],Products[CSA Times])</f>
        <v>2</v>
      </c>
      <c r="EU82" s="208">
        <f>Crops[[#This Row],[Custom Yield Per Bed]]/(Crops[[#This Row],[CSA Need]]*(_xlfn.XLOOKUP(Crops[[#This Row],[ProductIndex]],Products[ID],Products[CSA Portion])*CSAMembers))</f>
        <v>1</v>
      </c>
      <c r="EV82" s="208">
        <f>_xlfn.XLOOKUP(Crops[[#This Row],[ProductIndex]],Products[ID],Products[CSA Portion])*CSAMembers*Crops[[#This Row],[CSA Need]]/Crops[[#This Row],[Custom Yield Per Bed]]</f>
        <v>1</v>
      </c>
      <c r="EW82" s="208">
        <f>IFERROR(Crops[[#This Row],[Days In Field]]*Crops[[#This Row],[CSA Beds]],"")</f>
        <v>55</v>
      </c>
      <c r="EX82" s="208" t="e">
        <f>Crops[[#This Row],[CSA Bed Days]]*#REF!</f>
        <v>#REF!</v>
      </c>
      <c r="EY82" t="s">
        <v>317</v>
      </c>
    </row>
    <row r="83" spans="1:158">
      <c r="A8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Chrysanthemum - Mature Stem 1X | Field DS </v>
      </c>
      <c r="B83" s="191"/>
      <c r="C83" s="241" t="b">
        <v>1</v>
      </c>
      <c r="D83" s="1"/>
      <c r="E83" s="1" t="b">
        <v>0</v>
      </c>
      <c r="F83" s="1" t="b">
        <f>IFERROR(IF(ISNUMBER(MATCH(Crops[[#This Row],[Identifier]],BedPlan[Crop], 0)), TRUE, FALSE), FALSE)</f>
        <v>0</v>
      </c>
      <c r="G83" s="1" t="b">
        <f>IFERROR(IF(ISNUMBER(MATCH(Crops[[#This Row],[Identifier]],BedPlan[Crop], 0)), TRUE, FALSE), FALSE)</f>
        <v>0</v>
      </c>
      <c r="H83" s="1"/>
      <c r="I83" t="s">
        <v>143</v>
      </c>
      <c r="J83" t="s">
        <v>145</v>
      </c>
      <c r="K83" t="s">
        <v>181</v>
      </c>
      <c r="M83" t="s">
        <v>445</v>
      </c>
      <c r="N83" t="str">
        <f>Crops[[#This Row],[Crop]]</f>
        <v>Chrysanthemum</v>
      </c>
      <c r="O83" t="s">
        <v>210</v>
      </c>
      <c r="P83" t="str">
        <f>IF(OR(Crops[[#This Row],[Days in Cells]]="",Crops[[#This Row],[Days in Cells]]=0), "DS","TP")</f>
        <v>DS</v>
      </c>
      <c r="V83" t="str">
        <f xml:space="preserve"> IF(Crops[[#This Row],[Sp]], "Sp", "") &amp; IF(Crops[[#This Row],[Su]], "Su", "") &amp; IF(Crops[[#This Row],[Fa]], "Fa", "") &amp; IF(Crops[[#This Row],[Wi]], "Wi", "") &amp; IF(Crops[[#This Row],[OW]], "Ow","")</f>
        <v/>
      </c>
      <c r="X83">
        <v>4</v>
      </c>
      <c r="Y83">
        <v>6</v>
      </c>
      <c r="Z83" t="s">
        <v>431</v>
      </c>
      <c r="AA83" t="s">
        <v>475</v>
      </c>
      <c r="AB83" t="b">
        <v>1</v>
      </c>
      <c r="AC83">
        <v>2</v>
      </c>
      <c r="AD83" s="32">
        <f>IFERROR(12/Crops[[#This Row],[Spacing]]*Crops[[#This Row],[Rows]]*BedLength,"")</f>
        <v>400</v>
      </c>
      <c r="AE83">
        <v>1</v>
      </c>
      <c r="AG83">
        <f>IF(Crops[[#This Row],[Custom Safety Factor]]="",PlantingSafetyFactor,Crops[[#This Row],[Custom Safety Factor]])</f>
        <v>1.3</v>
      </c>
      <c r="AH83">
        <f>1</f>
        <v>1</v>
      </c>
      <c r="AI83" s="33">
        <f>IFERROR(Crops[[#This Row],[Plantings Per Bed]]*Crops[[#This Row],[Seeds Per Planting]]*Crops[[#This Row],[Safety Factor]]*Crops[[#This Row],[Seeding Factor]],"")</f>
        <v>520</v>
      </c>
      <c r="AL83">
        <f>_xlfn.FLOOR.MATH(IFERROR(AVERAGE(Crops[[#This Row],[DTG Lower]:[DTG Upper]]),0))</f>
        <v>0</v>
      </c>
      <c r="AM83">
        <f>SUM(Crops[[#This Row],[Tray 1 Days]],Crops[[#This Row],[Tray 2 Days]],Crops[[#This Row],[Tray 3 Days]])</f>
        <v>0</v>
      </c>
      <c r="AN83" s="32"/>
      <c r="AO83">
        <v>45</v>
      </c>
      <c r="AP83">
        <v>50</v>
      </c>
      <c r="AQ83">
        <f>IFERROR(_xlfn.FLOOR.MATH(AVERAGE(Crops[[#This Row],[DTM Lower]:[DTM Upper]])),"")</f>
        <v>47</v>
      </c>
      <c r="AR83" cm="1">
        <f t="array" ref="AR83">_xlfn.SWITCH(Crops[[#This Row],[Normal Method]],"DS",Crops[[#This Row],[Days to Germination]]+Crops[[#This Row],[DTM]] + IF(Crops[[#This Row],[Days in Cells]]&gt;0,15,0), "TP",Crops[[#This Row],[DTM]]+Crops[[#This Row],[Days in Cells]] + IF(Crops[[#This Row],[Days in Cells]]&lt;=0,20,0), "X", Crops[[#This Row],[DTM]])</f>
        <v>47</v>
      </c>
      <c r="AS83" t="s">
        <v>338</v>
      </c>
      <c r="AT83">
        <f>(Crops[[#This Row],[Harvests]]-1)*Crops[[#This Row],[Days Between Harvest]]+7</f>
        <v>56</v>
      </c>
      <c r="AU83">
        <f>Crops[[#This Row],[STH]]-Crops[[#This Row],[Days in Cells]]+Crops[[#This Row],[Harvest window]]</f>
        <v>103</v>
      </c>
      <c r="AW83">
        <v>128</v>
      </c>
      <c r="AZ83" t="str">
        <f>IFERROR(IF(Crops[[#This Row],[Tray 1 Days]]=0,"",Crops[[#This Row],[Plantings Per Bed]]/Crops[[#This Row],[Tray 1 Size]]*Crops[[#This Row],[Safety Factor]]),"")</f>
        <v/>
      </c>
      <c r="BC83" t="str">
        <f>IFERROR(IF(Crops[[#This Row],[Tray 2 Days]]=0,"",Crops[[#This Row],[Plantings Per Bed]]/Crops[[#This Row],[Tray 2 Size]]*Crops[[#This Row],[Safety Factor]]),"")</f>
        <v/>
      </c>
      <c r="BE83" s="32" t="str">
        <f>IF(NOT(ISBLANK(Crops[[#This Row],[Tray 3 Size]])), Crops[[#This Row],[Days in Cells Old]]-SUM(Crops[[#This Row],[Tray 1 Days]],Crops[[#This Row],[Tray 2 Days]]), "")</f>
        <v/>
      </c>
      <c r="BF83" t="str">
        <f>IFERROR(IF(Crops[[#This Row],[Tray 3 Days]]=0,"",Crops[[#This Row],[Plantings Per Bed]]/Crops[[#This Row],[Tray 3 Size]]*Crops[[#This Row],[Safety Factor]]),"")</f>
        <v/>
      </c>
      <c r="BG83" s="33">
        <f>Crops[[#This Row],[Plantings Per Bed]]</f>
        <v>400</v>
      </c>
      <c r="BH83" s="33">
        <v>8</v>
      </c>
      <c r="BI83" s="33">
        <v>7</v>
      </c>
      <c r="BJ83" s="33">
        <f>_xlfn.XLOOKUP(Crops[[#This Row],[ProductIndex]],Products[ID],Products[Holding Period])</f>
        <v>0</v>
      </c>
      <c r="BK83" s="33"/>
      <c r="BL83" s="33">
        <f>Crops[[#This Row],[Units Per Harvest]]*Crops[[#This Row],[Harvests]]</f>
        <v>3200</v>
      </c>
      <c r="BM83" s="35">
        <v>1</v>
      </c>
      <c r="BN83" s="35">
        <f>Crops[[#This Row],[Direct Price]]*0.6</f>
        <v>0.6</v>
      </c>
      <c r="BO83" s="35"/>
      <c r="BP83" t="s">
        <v>213</v>
      </c>
      <c r="BQ83">
        <f>Crops[[#This Row],[Custom Yield Per Bed]]*Crops[[#This Row],[Direct Price]]</f>
        <v>3200</v>
      </c>
      <c r="BR83" t="b">
        <v>1</v>
      </c>
      <c r="BS83" t="b">
        <f>Crops[[#This Row],[Harvests]]&gt;1</f>
        <v>1</v>
      </c>
      <c r="BT83" s="36">
        <f>IFERROR(Crops[[#This Row],[Direct Revenue Per Bed]]/Crops[[#This Row],[Days In Field]],-1)</f>
        <v>31.067961165048544</v>
      </c>
      <c r="BU83" s="36">
        <f>IFERROR(Crops[[#This Row],[Direct Revenue Per Bed Day]]*GrowingDays*BedsPerAcre,"")</f>
        <v>894757.28155339812</v>
      </c>
      <c r="BV83" s="38">
        <f>LastFrostDate-5*Crops[[#This Row],[Sewing Rel Last Frost]]</f>
        <v>45743</v>
      </c>
      <c r="BW83" s="38">
        <f>Crops[[#This Row],[Target Sewing Date]]+Crops[[#This Row],[Days in Cells]]</f>
        <v>45743</v>
      </c>
      <c r="BX83" s="38">
        <f>Crops[[#This Row],[Target Sewing Date]]+Crops[[#This Row],[STH]]</f>
        <v>45790</v>
      </c>
      <c r="BY83" s="38">
        <f>Crops[[#This Row],[Target Harvest Data]]+Crops[[#This Row],[Harvest window]]</f>
        <v>45846</v>
      </c>
      <c r="BZ83">
        <v>1</v>
      </c>
      <c r="CB83">
        <f>1</f>
        <v>1</v>
      </c>
      <c r="CC83">
        <f>IF(Crops[[#This Row],[Transplanting]]&gt;0, 2, 3)*BedLength/StandardBedLength</f>
        <v>1.5</v>
      </c>
      <c r="CD83" s="173">
        <f>IF(Crops[[#This Row],[Days in Cells]]&lt;=0,0,Crops[[#This Row],[Plantings Per Bed]]/StartsPerHourSeeding+Crops[[#This Row],[Tray 1 Count]]*5/60)</f>
        <v>0</v>
      </c>
      <c r="CE83" s="173">
        <f>IF(ISBLANK(Crops[[#This Row],[Tray 2 Days]]),0,Crops[[#This Row],[Plantings Per Bed]]/UpPottingPerHour)+IF(Crops[[#This Row],[Tray 3 Days]]="",0,Crops[[#This Row],[Plantings Per Bed]]/UpPottingPerHour)</f>
        <v>0</v>
      </c>
      <c r="CF83" s="173">
        <f>IFERROR(Crops[[#This Row],[Tray 1 Count]]/HomeStartFlatIrrigationPerHour,0)*Crops[[#This Row],[Days in Cells]]/DaysBetweenStartIrrigation</f>
        <v>0</v>
      </c>
      <c r="CG83" s="173">
        <f>0.5/16*MAX(Crops[[#This Row],[Tray 1 Count]],Crops[[#This Row],[Tray 2 Count]],Crops[[#This Row],[Tray 3 Count]])</f>
        <v>0</v>
      </c>
      <c r="CH83" s="173">
        <f>IF(Crops[[#This Row],[Days in Cells]]&gt;0,IF(IF(Crops[[#This Row],[Tray 3 Size]]&gt;0,Crops[[#This Row],[Tray 3 Size]],IF(Crops[[#This Row],[Tray 2 Size]]&gt;0,Crops[[#This Row],[Tray 2 Size]],Crops[[#This Row],[Tray 1 Size]]))&lt;=18,LargeTransplantTime,SmallTransplantTime)*Crops[[#This Row],[Plantings Per Bed]],0)</f>
        <v>0</v>
      </c>
      <c r="CI83" s="173"/>
      <c r="CJ83" s="173">
        <f>_xlfn.XLOOKUP(Crops[[#This Row],[Trellis Type]],TrellisMethods[Trellis Type],TrellisMethods[Hours],0,0)</f>
        <v>0</v>
      </c>
      <c r="CK83">
        <f>IF(Crops[[#This Row],[Days in Cells]]&lt;=0,Crops[[#This Row],[Rows]]*1/10,0)*BedLength/50</f>
        <v>0.4</v>
      </c>
      <c r="CL83" cm="1">
        <f t="array" ref="CL83">_xlfn.SWITCH(Crops[[#This Row],[Irrigation]],"DR", 0.5, "OH", 0.25,0)*BedLength/50</f>
        <v>0.25</v>
      </c>
      <c r="CM83">
        <f>IF(OR(ISBLANK(Crops[[#This Row],[Row Cover]]),Crops[[#This Row],[Row Cover]]="None"),0,1)*BedLength/50</f>
        <v>1</v>
      </c>
      <c r="CN83" s="173">
        <f>HoursPerWeedingPass*Crops[[#This Row],[Days In Field]]/14*Crops[[#This Row],[Rows]]+1*BedLength/50</f>
        <v>5.9047619047619042</v>
      </c>
      <c r="CQ83" s="37">
        <f>_xlfn.XLOOKUP(Crops[[#This Row],[Crop]]&amp;Crops[[#This Row],[Product]]&amp;Crops[[#This Row],[Unit]],Products[ID],Products[Marketing (hr)])*Crops[[#This Row],[Direct Revenue Per Bed]]/2000</f>
        <v>6.4</v>
      </c>
      <c r="CR83" s="37">
        <f>_xlfn.XLOOKUP(Crops[[#This Row],[Crop]]&amp;Crops[[#This Row],[Product]]&amp;Crops[[#This Row],[Unit]],Products[ID],Products[Harvest (s)])*Crops[[#This Row],[Custom Yield Per Bed]]/3600</f>
        <v>4.4444444444444446</v>
      </c>
      <c r="CS83" s="37">
        <f>_xlfn.XLOOKUP(Crops[[#This Row],[Crop]]&amp;Crops[[#This Row],[Product]]&amp;Crops[[#This Row],[Unit]],Products[ID],Products[Bunch (s)])*Crops[[#This Row],[Custom Yield Per Bed]]/3600</f>
        <v>0</v>
      </c>
      <c r="CT83" s="37">
        <f>_xlfn.XLOOKUP(Crops[[#This Row],[Crop]]&amp;Crops[[#This Row],[Product]]&amp;Crops[[#This Row],[Unit]],Products[ID],Products[Haul (s)])*Crops[[#This Row],[Custom Yield Per Bed]]/3600</f>
        <v>1.6</v>
      </c>
      <c r="CU83" s="37">
        <f>_xlfn.XLOOKUP(Crops[[#This Row],[Crop]]&amp;Crops[[#This Row],[Product]]&amp;Crops[[#This Row],[Unit]],Products[ID],Products[Wash (s)])*Crops[[#This Row],[Custom Yield Per Bed]]/3600</f>
        <v>0</v>
      </c>
      <c r="CV83" s="37">
        <f>_xlfn.XLOOKUP(Crops[[#This Row],[Crop]]&amp;Crops[[#This Row],[Product]]&amp;Crops[[#This Row],[Unit]],Products[ID],Products[Condition (s)])*Crops[[#This Row],[Custom Yield Per Bed]]/3600</f>
        <v>0</v>
      </c>
      <c r="CW83" s="37">
        <f>_xlfn.XLOOKUP(Crops[[#This Row],[Crop]]&amp;Crops[[#This Row],[Product]]&amp;Crops[[#This Row],[Unit]],Products[ID],Products[Trim (s)])*Crops[[#This Row],[Custom Yield Per Bed]]/3600</f>
        <v>2.6666666666666665</v>
      </c>
      <c r="CX83" s="37">
        <f>_xlfn.XLOOKUP(Crops[[#This Row],[Crop]]&amp;Crops[[#This Row],[Product]]&amp;Crops[[#This Row],[Unit]],Products[ID],Products[Pack (s)])*Crops[[#This Row],[Custom Yield Per Bed]]/3600</f>
        <v>2.6666666666666665</v>
      </c>
      <c r="CY83" s="37">
        <f>_xlfn.XLOOKUP(Crops[[#This Row],[Crop]]&amp;Crops[[#This Row],[Product]]&amp;Crops[[#This Row],[Unit]],Products[ID],Products[Clean (s)])*Crops[[#This Row],[Custom Yield Per Bed]]/3600</f>
        <v>0</v>
      </c>
      <c r="CZ83" s="37">
        <f>_xlfn.XLOOKUP(Crops[[#This Row],[Crop]]&amp;Crops[[#This Row],[Product]]&amp;Crops[[#This Row],[Unit]],Products[ID],Products[Rehandle (s)])*Crops[[#This Row],[Custom Yield Per Bed]]/3600</f>
        <v>0</v>
      </c>
      <c r="DA83" s="37">
        <f>_xlfn.XLOOKUP(Crops[[#This Row],[Crop]]&amp;Crops[[#This Row],[Product]]&amp;Crops[[#This Row],[Unit]],Products[ID],Products[Market Transport (s)])*Crops[[#This Row],[Custom Yield Per Bed]]/3600</f>
        <v>4</v>
      </c>
      <c r="DC83" s="37">
        <f>Crops[[#This Row],[Direct Revenue Per Bed2]]</f>
        <v>3200</v>
      </c>
      <c r="DD83" s="173">
        <f>_xlfn.AGGREGATE(9,6,Crops[[#This Row],[Bed Prep]:[Remove Crop Residue]])</f>
        <v>30.832539682539686</v>
      </c>
      <c r="DE83" s="173">
        <f>_xlfn.AGGREGATE(9,6,Crops[[#This Row],[Bed Prep]:[Remove Crop Residue]])-0.75*Crops[[#This Row],[Market &amp; Sell]]</f>
        <v>26.032539682539685</v>
      </c>
      <c r="DF83" s="36">
        <f>Crops[[#This Row],[Direct Revenue Per Bed2]]/Crops[[#This Row],[Direct Time]]</f>
        <v>103.78645524981337</v>
      </c>
      <c r="DG83" s="36">
        <f>_xlfn.XLOOKUP(Crops[[#This Row],[ProductIndex]],Products[ID],Products[Packaging Cost])*(Crops[[#This Row],[Custom Yield Per Bed]]/_xlfn.XLOOKUP(Crops[[#This Row],[ProductIndex]],Products[ID],Products[Units Per Pack]))</f>
        <v>256</v>
      </c>
      <c r="DH83" s="36"/>
      <c r="DI83" s="36"/>
      <c r="DJ83" s="36"/>
      <c r="DK83" s="36"/>
      <c r="DL83" s="36"/>
      <c r="DM83" s="33">
        <f>IFERROR(Crops[[#This Row],[Custom Yield Per Bed]]*Crops[[#This Row],[Direct Price]],"")</f>
        <v>3200</v>
      </c>
      <c r="DN83" s="36">
        <f>Crops[[#This Row],[Direct Time]]*LaborRate</f>
        <v>770.81349206349216</v>
      </c>
      <c r="DO83" s="36">
        <f>SUM(Crops[[#This Row],[Irrigation Cost]])</f>
        <v>0</v>
      </c>
      <c r="DP83" s="36">
        <f>Crops[[#This Row],[Direct Labor Cost]]+Crops[[#This Row],[Direct Non-Labor Cost]]</f>
        <v>770.81349206349216</v>
      </c>
      <c r="DQ83" s="36">
        <f>Crops[[#This Row],[Direct Revenue Per Bed2]]-Crops[[#This Row],[Direct Total Cost]]</f>
        <v>2429.186507936508</v>
      </c>
      <c r="DR83" s="36">
        <f>Crops[[#This Row],[Direct Profit]]*BedsPerAcre</f>
        <v>388669.8412698413</v>
      </c>
      <c r="DS83" s="36">
        <f>Crops[[#This Row],[Direct Profit]]*BedsPerAcre*GrowingDays/Crops[[#This Row],[Days In Field]]</f>
        <v>679228.84882108192</v>
      </c>
      <c r="DT83" s="36">
        <f>Crops[[#This Row],[Direct Profit]]/MIN(Crops[[#This Row],[Days In Field]],GrowingDays)</f>
        <v>23.584335028509788</v>
      </c>
      <c r="DU83" s="36">
        <f>Crops[[#This Row],[Direct Time]] * BedsPerAcre</f>
        <v>4933.2063492063498</v>
      </c>
      <c r="DV83" s="36">
        <f>(Crops[[#This Row],[Direct Revenue Per Bed2]]-Crops[[#This Row],[Direct Non-Labor Cost]])/Crops[[#This Row],[Direct Time]]</f>
        <v>103.78645524981337</v>
      </c>
      <c r="DW83" s="33">
        <f>IFERROR(Crops[[#This Row],[Custom Yield Per Bed]]*Crops[[#This Row],[Rough Wholesale Price]],"")</f>
        <v>1920</v>
      </c>
      <c r="DX83" s="36">
        <f>Crops[[#This Row],[Wholesale Time]]*LaborRate</f>
        <v>650.81349206349216</v>
      </c>
      <c r="DY83" s="36">
        <f>SUM(Crops[[#This Row],[Packaging Costs]:[Irrigation Cost]])</f>
        <v>256</v>
      </c>
      <c r="DZ83" s="36">
        <f>Crops[[#This Row],[Wholesale Labor Cost]]+Crops[[#This Row],[Wholesale Non-Labor Cost]]</f>
        <v>906.81349206349216</v>
      </c>
      <c r="EA83" s="36">
        <f>Crops[[#This Row],[Wholesale Revenue Per Bed]]-Crops[[#This Row],[Wholesale Total Cost]]</f>
        <v>1013.1865079365078</v>
      </c>
      <c r="EB83" s="36">
        <f>Crops[[#This Row],[Wholesale Profit]]*BedsPerAcre</f>
        <v>162109.84126984124</v>
      </c>
      <c r="EC83" s="36">
        <f>Crops[[#This Row],[Wholesale Profit]]*BedsPerAcre*GrowingDays/Crops[[#This Row],[Days In Field]]</f>
        <v>283298.75173370313</v>
      </c>
      <c r="ED83" s="36">
        <f>Crops[[#This Row],[Wholesale Time]] * BedsPerAcre</f>
        <v>4165.2063492063498</v>
      </c>
      <c r="EE83" s="36">
        <f>Crops[[#This Row],[Wholesale Profit]]/MIN(Crops[[#This Row],[Days In Field]],GrowingDays)</f>
        <v>9.8367622129758043</v>
      </c>
      <c r="EF83" s="36">
        <f>(Crops[[#This Row],[Wholesale Revenue Per Bed]]-Crops[[#This Row],[Wholesale Non-Labor Cost]])/Crops[[#This Row],[Direct Time]]</f>
        <v>53.968956729902949</v>
      </c>
      <c r="EG83" s="174">
        <f>Crops[[#This Row],[Packaging Costs]]/Crops[[#This Row],[Wholesale Revenue Per Bed]]</f>
        <v>0.13333333333333333</v>
      </c>
      <c r="EH83" s="36" t="str">
        <f>Crops[[#This Row],[Crop]]&amp;Crops[[#This Row],[Product]]&amp;Crops[[#This Row],[Unit]]</f>
        <v>ChrysanthemumMature StemStem</v>
      </c>
      <c r="EI83" s="36" t="b">
        <f>_xlfn.XLOOKUP(Crops[[#This Row],[ProductIndex]],Products[ID],Products[Target])</f>
        <v>0</v>
      </c>
      <c r="EJ83" s="36">
        <f>Crops[[#This Row],[Custom Yield Per Bed]]</f>
        <v>3200</v>
      </c>
      <c r="EK83" s="210">
        <f>Crops[[#This Row],[Units Per Harvest]]/Crops[[#This Row],[Days Between Harvest]]*7</f>
        <v>400</v>
      </c>
      <c r="EL83" s="210" t="e">
        <f>Crops[[#This Row],[Custom Yield Per Bed]]/_xlfn.XLOOKUP(Crops[[#This Row],[ProductIndex]],Products[ID],Products[CSA Portion])</f>
        <v>#DIV/0!</v>
      </c>
      <c r="EM83" s="210" t="e">
        <f>Crops[[#This Row],[Units Per Harvest]]/Crops[[#This Row],[Days Between Harvest]]*7/_xlfn.XLOOKUP(Crops[[#This Row],[ProductIndex]],Products[ID],Products[CSA Portion])</f>
        <v>#DIV/0!</v>
      </c>
      <c r="EN83" s="210" t="e">
        <f>Crops[[#This Row],[CSA Portions Per Week]]/CSAMembers</f>
        <v>#DIV/0!</v>
      </c>
      <c r="EO83" s="210"/>
      <c r="EP83" s="210"/>
      <c r="EQ83" s="36"/>
      <c r="ER83" s="36">
        <f>Crops[[#This Row],[Harvests]]*Crops[[#This Row],[Days Between Harvest]]/7</f>
        <v>8</v>
      </c>
      <c r="ES83" s="208">
        <f>_xlfn.XLOOKUP(Crops[[#This Row],[ProductIndex]],Products[ID],Products[CSA Need])</f>
        <v>0</v>
      </c>
      <c r="ET83" s="208">
        <f>_xlfn.XLOOKUP(Crops[[#This Row],[ProductIndex]],Products[ID],Products[CSA Times])</f>
        <v>0</v>
      </c>
      <c r="EU83" s="208" t="e">
        <f>Crops[[#This Row],[Custom Yield Per Bed]]/(Crops[[#This Row],[CSA Need]]*(_xlfn.XLOOKUP(Crops[[#This Row],[ProductIndex]],Products[ID],Products[CSA Portion])*CSAMembers))</f>
        <v>#DIV/0!</v>
      </c>
      <c r="EV83" s="208">
        <f>_xlfn.XLOOKUP(Crops[[#This Row],[ProductIndex]],Products[ID],Products[CSA Portion])*CSAMembers*Crops[[#This Row],[CSA Need]]/Crops[[#This Row],[Custom Yield Per Bed]]</f>
        <v>0</v>
      </c>
      <c r="EW83" s="208">
        <f>IFERROR(Crops[[#This Row],[Days In Field]]*Crops[[#This Row],[CSA Beds]],"")</f>
        <v>0</v>
      </c>
      <c r="EX83" s="208" t="e">
        <f>Crops[[#This Row],[CSA Bed Days]]*#REF!</f>
        <v>#REF!</v>
      </c>
      <c r="EY83" t="s">
        <v>429</v>
      </c>
    </row>
    <row r="84" spans="1:158">
      <c r="A8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Chrysanthemum Greens - Mature Leaf 1X | Field DS Ow</v>
      </c>
      <c r="B84" s="191"/>
      <c r="C84" s="1" t="b">
        <v>1</v>
      </c>
      <c r="D84" s="1" t="s">
        <v>2564</v>
      </c>
      <c r="E84" s="1" t="b">
        <v>0</v>
      </c>
      <c r="F84" s="1" t="b">
        <f>IFERROR(IF(ISNUMBER(MATCH(Crops[[#This Row],[Identifier]],BedPlan[Crop], 0)), TRUE, FALSE), FALSE)</f>
        <v>1</v>
      </c>
      <c r="G84" s="1" t="b">
        <f>IFERROR(IF(ISNUMBER(MATCH(Crops[[#This Row],[Identifier]],BedPlan[Crop], 0)), TRUE, FALSE), FALSE)</f>
        <v>1</v>
      </c>
      <c r="H84" s="1"/>
      <c r="I84" t="s">
        <v>61</v>
      </c>
      <c r="J84" t="s">
        <v>145</v>
      </c>
      <c r="K84" t="s">
        <v>179</v>
      </c>
      <c r="M84" t="s">
        <v>445</v>
      </c>
      <c r="N84" t="str">
        <f>Crops[[#This Row],[Crop]]</f>
        <v>Chrysanthemum Greens</v>
      </c>
      <c r="O84" t="s">
        <v>210</v>
      </c>
      <c r="P84" t="str">
        <f>IF(OR(Crops[[#This Row],[Days in Cells]]="",Crops[[#This Row],[Days in Cells]]=0), "DS","TP")</f>
        <v>DS</v>
      </c>
      <c r="U84" t="s">
        <v>144</v>
      </c>
      <c r="V84" t="str">
        <f xml:space="preserve"> IF(Crops[[#This Row],[Sp]], "Sp", "") &amp; IF(Crops[[#This Row],[Su]], "Su", "") &amp; IF(Crops[[#This Row],[Fa]], "Fa", "") &amp; IF(Crops[[#This Row],[Wi]], "Wi", "") &amp; IF(Crops[[#This Row],[OW]], "Ow","")</f>
        <v>Ow</v>
      </c>
      <c r="X84">
        <v>3</v>
      </c>
      <c r="Y84">
        <v>0.8</v>
      </c>
      <c r="Z84" t="s">
        <v>431</v>
      </c>
      <c r="AA84" t="s">
        <v>475</v>
      </c>
      <c r="AB84" t="b">
        <v>1</v>
      </c>
      <c r="AC84">
        <v>2</v>
      </c>
      <c r="AD84" s="32">
        <f>IFERROR(12/Crops[[#This Row],[Spacing]]*Crops[[#This Row],[Rows]]*BedLength,"")</f>
        <v>2250</v>
      </c>
      <c r="AE84">
        <v>1</v>
      </c>
      <c r="AG84">
        <f>IF(Crops[[#This Row],[Custom Safety Factor]]="",PlantingSafetyFactor,Crops[[#This Row],[Custom Safety Factor]])</f>
        <v>1.3</v>
      </c>
      <c r="AH84">
        <f>1</f>
        <v>1</v>
      </c>
      <c r="AI84" s="33">
        <f>IFERROR(Crops[[#This Row],[Plantings Per Bed]]*Crops[[#This Row],[Seeds Per Planting]]*Crops[[#This Row],[Safety Factor]]*Crops[[#This Row],[Seeding Factor]],"")</f>
        <v>2925</v>
      </c>
      <c r="AL84">
        <f>_xlfn.FLOOR.MATH(IFERROR(AVERAGE(Crops[[#This Row],[DTG Lower]:[DTG Upper]]),0))</f>
        <v>0</v>
      </c>
      <c r="AM84">
        <f>SUM(Crops[[#This Row],[Tray 1 Days]],Crops[[#This Row],[Tray 2 Days]],Crops[[#This Row],[Tray 3 Days]])</f>
        <v>0</v>
      </c>
      <c r="AN84" s="32"/>
      <c r="AO84">
        <v>30</v>
      </c>
      <c r="AP84">
        <v>45</v>
      </c>
      <c r="AQ84">
        <f>IFERROR(_xlfn.FLOOR.MATH(AVERAGE(Crops[[#This Row],[DTM Lower]:[DTM Upper]])),"")</f>
        <v>37</v>
      </c>
      <c r="AR84" cm="1">
        <f t="array" ref="AR84">_xlfn.SWITCH(Crops[[#This Row],[Normal Method]],"DS",Crops[[#This Row],[Days to Germination]]+Crops[[#This Row],[DTM]] + IF(Crops[[#This Row],[Days in Cells]]&gt;0,15,0), "TP",Crops[[#This Row],[DTM]]+Crops[[#This Row],[Days in Cells]] + IF(Crops[[#This Row],[Days in Cells]]&lt;=0,20,0), "X", Crops[[#This Row],[DTM]])</f>
        <v>37</v>
      </c>
      <c r="AS84" t="s">
        <v>338</v>
      </c>
      <c r="AT84">
        <f>(Crops[[#This Row],[Harvests]]-1)*Crops[[#This Row],[Days Between Harvest]]+7</f>
        <v>56</v>
      </c>
      <c r="AU84">
        <f>Crops[[#This Row],[STH]]-Crops[[#This Row],[Days in Cells]]+Crops[[#This Row],[Harvest window]]</f>
        <v>93</v>
      </c>
      <c r="AW84" t="s">
        <v>212</v>
      </c>
      <c r="AZ84" t="str">
        <f>IFERROR(IF(Crops[[#This Row],[Tray 1 Days]]=0,"",Crops[[#This Row],[Plantings Per Bed]]/Crops[[#This Row],[Tray 1 Size]]*Crops[[#This Row],[Safety Factor]]),"")</f>
        <v/>
      </c>
      <c r="BC84" t="str">
        <f>IFERROR(IF(Crops[[#This Row],[Tray 2 Days]]=0,"",Crops[[#This Row],[Plantings Per Bed]]/Crops[[#This Row],[Tray 2 Size]]*Crops[[#This Row],[Safety Factor]]),"")</f>
        <v/>
      </c>
      <c r="BE84" s="32" t="str">
        <f>IF(NOT(ISBLANK(Crops[[#This Row],[Tray 3 Size]])), Crops[[#This Row],[Days in Cells Old]]-SUM(Crops[[#This Row],[Tray 1 Days]],Crops[[#This Row],[Tray 2 Days]]), "")</f>
        <v/>
      </c>
      <c r="BF84" t="str">
        <f>IFERROR(IF(Crops[[#This Row],[Tray 3 Days]]=0,"",Crops[[#This Row],[Plantings Per Bed]]/Crops[[#This Row],[Tray 3 Size]]*Crops[[#This Row],[Safety Factor]]),"")</f>
        <v/>
      </c>
      <c r="BG84" s="33">
        <f>Crops[[#This Row],[Plantings Per Bed]]/30</f>
        <v>75</v>
      </c>
      <c r="BH84" s="33">
        <v>8</v>
      </c>
      <c r="BI84" s="33">
        <v>7</v>
      </c>
      <c r="BJ84" s="33">
        <f>_xlfn.XLOOKUP(Crops[[#This Row],[ProductIndex]],Products[ID],Products[Holding Period])</f>
        <v>0</v>
      </c>
      <c r="BK84" s="33"/>
      <c r="BL84" s="33">
        <f>Crops[[#This Row],[Units Per Harvest]]*Crops[[#This Row],[Harvests]]</f>
        <v>600</v>
      </c>
      <c r="BM84" s="35">
        <v>4</v>
      </c>
      <c r="BN84" s="35">
        <f>Crops[[#This Row],[Direct Price]]*0.6</f>
        <v>2.4</v>
      </c>
      <c r="BO84" s="35"/>
      <c r="BP84" t="s">
        <v>215</v>
      </c>
      <c r="BQ84">
        <f>Crops[[#This Row],[Custom Yield Per Bed]]*Crops[[#This Row],[Direct Price]]</f>
        <v>2400</v>
      </c>
      <c r="BR84" t="b">
        <v>1</v>
      </c>
      <c r="BS84" t="b">
        <f>Crops[[#This Row],[Harvests]]&gt;1</f>
        <v>1</v>
      </c>
      <c r="BT84" s="36">
        <f>IFERROR(Crops[[#This Row],[Direct Revenue Per Bed]]/Crops[[#This Row],[Days In Field]],-1)</f>
        <v>25.806451612903224</v>
      </c>
      <c r="BU84" s="36">
        <f>IFERROR(Crops[[#This Row],[Direct Revenue Per Bed Day]]*GrowingDays*BedsPerAcre,"")</f>
        <v>743225.80645161285</v>
      </c>
      <c r="BV84" s="38">
        <f>LastFrostDate-5*Crops[[#This Row],[Sewing Rel Last Frost]]</f>
        <v>45743</v>
      </c>
      <c r="BW84" s="38">
        <f>Crops[[#This Row],[Target Sewing Date]]+Crops[[#This Row],[Days in Cells]]</f>
        <v>45743</v>
      </c>
      <c r="BX84" s="38">
        <f>Crops[[#This Row],[Target Sewing Date]]+Crops[[#This Row],[STH]]</f>
        <v>45780</v>
      </c>
      <c r="BY84" s="38">
        <f>Crops[[#This Row],[Target Harvest Data]]+Crops[[#This Row],[Harvest window]]</f>
        <v>45836</v>
      </c>
      <c r="BZ84">
        <v>1</v>
      </c>
      <c r="CB84">
        <f>1</f>
        <v>1</v>
      </c>
      <c r="CC84">
        <f>IF(Crops[[#This Row],[Transplanting]]&gt;0, 2, 3)*BedLength/StandardBedLength</f>
        <v>1.5</v>
      </c>
      <c r="CD84" s="173">
        <f>IF(Crops[[#This Row],[Days in Cells]]&lt;=0,0,Crops[[#This Row],[Plantings Per Bed]]/StartsPerHourSeeding+Crops[[#This Row],[Tray 1 Count]]*5/60)</f>
        <v>0</v>
      </c>
      <c r="CE84" s="173">
        <f>IF(ISBLANK(Crops[[#This Row],[Tray 2 Days]]),0,Crops[[#This Row],[Plantings Per Bed]]/UpPottingPerHour)+IF(Crops[[#This Row],[Tray 3 Days]]="",0,Crops[[#This Row],[Plantings Per Bed]]/UpPottingPerHour)</f>
        <v>0</v>
      </c>
      <c r="CF84" s="173">
        <f>IFERROR(Crops[[#This Row],[Tray 1 Count]]/HomeStartFlatIrrigationPerHour,0)*Crops[[#This Row],[Days in Cells]]/DaysBetweenStartIrrigation</f>
        <v>0</v>
      </c>
      <c r="CG84" s="173">
        <f>0.5/16*MAX(Crops[[#This Row],[Tray 1 Count]],Crops[[#This Row],[Tray 2 Count]],Crops[[#This Row],[Tray 3 Count]])</f>
        <v>0</v>
      </c>
      <c r="CH84" s="173">
        <f>IF(Crops[[#This Row],[Days in Cells]]&gt;0,IF(IF(Crops[[#This Row],[Tray 3 Size]]&gt;0,Crops[[#This Row],[Tray 3 Size]],IF(Crops[[#This Row],[Tray 2 Size]]&gt;0,Crops[[#This Row],[Tray 2 Size]],Crops[[#This Row],[Tray 1 Size]]))&lt;=18,LargeTransplantTime,SmallTransplantTime)*Crops[[#This Row],[Plantings Per Bed]],0)</f>
        <v>0</v>
      </c>
      <c r="CI84" s="173"/>
      <c r="CJ84" s="173">
        <f>_xlfn.XLOOKUP(Crops[[#This Row],[Trellis Type]],TrellisMethods[Trellis Type],TrellisMethods[Hours],0,0)</f>
        <v>0</v>
      </c>
      <c r="CK84">
        <f>IF(Crops[[#This Row],[Days in Cells]]&lt;=0,Crops[[#This Row],[Rows]]*1/10,0)*BedLength/50</f>
        <v>0.3</v>
      </c>
      <c r="CL84" cm="1">
        <f t="array" ref="CL84">_xlfn.SWITCH(Crops[[#This Row],[Irrigation]],"DR", 0.5, "OH", 0.25,0)*BedLength/50</f>
        <v>0.25</v>
      </c>
      <c r="CM84">
        <f>IF(OR(ISBLANK(Crops[[#This Row],[Row Cover]]),Crops[[#This Row],[Row Cover]]="None"),0,1)*BedLength/50</f>
        <v>1</v>
      </c>
      <c r="CN84" s="173">
        <f>HoursPerWeedingPass*Crops[[#This Row],[Days In Field]]/14*Crops[[#This Row],[Rows]]+1*BedLength/50</f>
        <v>4.3214285714285712</v>
      </c>
      <c r="CO84" s="49"/>
      <c r="CQ84" s="37">
        <f>_xlfn.XLOOKUP(Crops[[#This Row],[Crop]]&amp;Crops[[#This Row],[Product]]&amp;Crops[[#This Row],[Unit]],Products[ID],Products[Marketing (hr)])*Crops[[#This Row],[Direct Revenue Per Bed]]/2000</f>
        <v>4.8</v>
      </c>
      <c r="CR84" s="37">
        <f>_xlfn.XLOOKUP(Crops[[#This Row],[Crop]]&amp;Crops[[#This Row],[Product]]&amp;Crops[[#This Row],[Unit]],Products[ID],Products[Harvest (s)])*Crops[[#This Row],[Custom Yield Per Bed]]/3600</f>
        <v>5</v>
      </c>
      <c r="CS84" s="37">
        <f>_xlfn.XLOOKUP(Crops[[#This Row],[Crop]]&amp;Crops[[#This Row],[Product]]&amp;Crops[[#This Row],[Unit]],Products[ID],Products[Bunch (s)])*Crops[[#This Row],[Custom Yield Per Bed]]/3600</f>
        <v>1.6666666666666667</v>
      </c>
      <c r="CT84" s="37">
        <f>_xlfn.XLOOKUP(Crops[[#This Row],[Crop]]&amp;Crops[[#This Row],[Product]]&amp;Crops[[#This Row],[Unit]],Products[ID],Products[Haul (s)])*Crops[[#This Row],[Custom Yield Per Bed]]/3600</f>
        <v>0.625</v>
      </c>
      <c r="CU84" s="37">
        <f>_xlfn.XLOOKUP(Crops[[#This Row],[Crop]]&amp;Crops[[#This Row],[Product]]&amp;Crops[[#This Row],[Unit]],Products[ID],Products[Wash (s)])*Crops[[#This Row],[Custom Yield Per Bed]]/3600</f>
        <v>0</v>
      </c>
      <c r="CV84" s="37">
        <f>_xlfn.XLOOKUP(Crops[[#This Row],[Crop]]&amp;Crops[[#This Row],[Product]]&amp;Crops[[#This Row],[Unit]],Products[ID],Products[Condition (s)])*Crops[[#This Row],[Custom Yield Per Bed]]/3600</f>
        <v>1.6666666666666667</v>
      </c>
      <c r="CW84" s="37">
        <f>_xlfn.XLOOKUP(Crops[[#This Row],[Crop]]&amp;Crops[[#This Row],[Product]]&amp;Crops[[#This Row],[Unit]],Products[ID],Products[Trim (s)])*Crops[[#This Row],[Custom Yield Per Bed]]/3600</f>
        <v>0</v>
      </c>
      <c r="CX84" s="37">
        <f>_xlfn.XLOOKUP(Crops[[#This Row],[Crop]]&amp;Crops[[#This Row],[Product]]&amp;Crops[[#This Row],[Unit]],Products[ID],Products[Pack (s)])*Crops[[#This Row],[Custom Yield Per Bed]]/3600</f>
        <v>0.5</v>
      </c>
      <c r="CY84" s="37">
        <f>_xlfn.XLOOKUP(Crops[[#This Row],[Crop]]&amp;Crops[[#This Row],[Product]]&amp;Crops[[#This Row],[Unit]],Products[ID],Products[Clean (s)])*Crops[[#This Row],[Custom Yield Per Bed]]/3600</f>
        <v>0</v>
      </c>
      <c r="CZ84" s="37">
        <f>_xlfn.XLOOKUP(Crops[[#This Row],[Crop]]&amp;Crops[[#This Row],[Product]]&amp;Crops[[#This Row],[Unit]],Products[ID],Products[Rehandle (s)])*Crops[[#This Row],[Custom Yield Per Bed]]/3600</f>
        <v>0</v>
      </c>
      <c r="DA84" s="37">
        <f>_xlfn.XLOOKUP(Crops[[#This Row],[Crop]]&amp;Crops[[#This Row],[Product]]&amp;Crops[[#This Row],[Unit]],Products[ID],Products[Market Transport (s)])*Crops[[#This Row],[Custom Yield Per Bed]]/3600</f>
        <v>1.5625</v>
      </c>
      <c r="DC84" s="37">
        <f>Crops[[#This Row],[Direct Revenue Per Bed2]]</f>
        <v>2400</v>
      </c>
      <c r="DD84" s="173">
        <f>_xlfn.AGGREGATE(9,6,Crops[[#This Row],[Bed Prep]:[Remove Crop Residue]])</f>
        <v>23.192261904761907</v>
      </c>
      <c r="DE84" s="173">
        <f>_xlfn.AGGREGATE(9,6,Crops[[#This Row],[Bed Prep]:[Remove Crop Residue]])-0.75*Crops[[#This Row],[Market &amp; Sell]]</f>
        <v>19.592261904761905</v>
      </c>
      <c r="DF84" s="36">
        <f>Crops[[#This Row],[Direct Revenue Per Bed2]]/Crops[[#This Row],[Direct Time]]</f>
        <v>103.4827913661679</v>
      </c>
      <c r="DG84" s="36">
        <f>_xlfn.XLOOKUP(Crops[[#This Row],[ProductIndex]],Products[ID],Products[Packaging Cost])*(Crops[[#This Row],[Custom Yield Per Bed]]/_xlfn.XLOOKUP(Crops[[#This Row],[ProductIndex]],Products[ID],Products[Units Per Pack]))</f>
        <v>95</v>
      </c>
      <c r="DH84" s="36"/>
      <c r="DI84" s="36"/>
      <c r="DJ84" s="36"/>
      <c r="DK84" s="36"/>
      <c r="DL84" s="36"/>
      <c r="DM84" s="33">
        <f>IFERROR(Crops[[#This Row],[Custom Yield Per Bed]]*Crops[[#This Row],[Direct Price]],"")</f>
        <v>2400</v>
      </c>
      <c r="DN84" s="36">
        <f>Crops[[#This Row],[Direct Time]]*LaborRate</f>
        <v>579.80654761904771</v>
      </c>
      <c r="DO84" s="36">
        <f>SUM(Crops[[#This Row],[Irrigation Cost]])</f>
        <v>0</v>
      </c>
      <c r="DP84" s="36">
        <f>Crops[[#This Row],[Direct Labor Cost]]+Crops[[#This Row],[Direct Non-Labor Cost]]</f>
        <v>579.80654761904771</v>
      </c>
      <c r="DQ84" s="36">
        <f>Crops[[#This Row],[Direct Revenue Per Bed2]]-Crops[[#This Row],[Direct Total Cost]]</f>
        <v>1820.1934523809523</v>
      </c>
      <c r="DR84" s="36">
        <f>Crops[[#This Row],[Direct Profit]]*BedsPerAcre</f>
        <v>291230.95238095237</v>
      </c>
      <c r="DS84" s="36">
        <f>Crops[[#This Row],[Direct Profit]]*BedsPerAcre*GrowingDays/Crops[[#This Row],[Days In Field]]</f>
        <v>563672.81105990778</v>
      </c>
      <c r="DT84" s="36">
        <f>Crops[[#This Row],[Direct Profit]]/MIN(Crops[[#This Row],[Days In Field]],GrowingDays)</f>
        <v>19.571972606246799</v>
      </c>
      <c r="DU84" s="36">
        <f>Crops[[#This Row],[Direct Time]] * BedsPerAcre</f>
        <v>3710.761904761905</v>
      </c>
      <c r="DV84" s="36">
        <f>(Crops[[#This Row],[Direct Revenue Per Bed2]]-Crops[[#This Row],[Direct Non-Labor Cost]])/Crops[[#This Row],[Direct Time]]</f>
        <v>103.4827913661679</v>
      </c>
      <c r="DW84" s="33">
        <f>IFERROR(Crops[[#This Row],[Custom Yield Per Bed]]*Crops[[#This Row],[Rough Wholesale Price]],"")</f>
        <v>1440</v>
      </c>
      <c r="DX84" s="36">
        <f>Crops[[#This Row],[Wholesale Time]]*LaborRate</f>
        <v>489.80654761904765</v>
      </c>
      <c r="DY84" s="36">
        <f>SUM(Crops[[#This Row],[Packaging Costs]:[Irrigation Cost]])</f>
        <v>95</v>
      </c>
      <c r="DZ84" s="36">
        <f>Crops[[#This Row],[Wholesale Labor Cost]]+Crops[[#This Row],[Wholesale Non-Labor Cost]]</f>
        <v>584.80654761904771</v>
      </c>
      <c r="EA84" s="36">
        <f>Crops[[#This Row],[Wholesale Revenue Per Bed]]-Crops[[#This Row],[Wholesale Total Cost]]</f>
        <v>855.19345238095229</v>
      </c>
      <c r="EB84" s="36">
        <f>Crops[[#This Row],[Wholesale Profit]]*BedsPerAcre</f>
        <v>136830.95238095237</v>
      </c>
      <c r="EC84" s="36">
        <f>Crops[[#This Row],[Wholesale Profit]]*BedsPerAcre*GrowingDays/Crops[[#This Row],[Days In Field]]</f>
        <v>264834.10138248844</v>
      </c>
      <c r="ED84" s="36">
        <f>Crops[[#This Row],[Wholesale Time]] * BedsPerAcre</f>
        <v>3134.7619047619046</v>
      </c>
      <c r="EE84" s="221">
        <f>Crops[[#This Row],[Wholesale Profit]]/MIN(Crops[[#This Row],[Days In Field]],GrowingDays)</f>
        <v>9.1956285202252932</v>
      </c>
      <c r="EF84" s="36">
        <f>(Crops[[#This Row],[Wholesale Revenue Per Bed]]-Crops[[#This Row],[Wholesale Non-Labor Cost]])/Crops[[#This Row],[Direct Time]]</f>
        <v>57.993480994789927</v>
      </c>
      <c r="EG84" s="174">
        <f>Crops[[#This Row],[Packaging Costs]]/Crops[[#This Row],[Wholesale Revenue Per Bed]]</f>
        <v>6.5972222222222224E-2</v>
      </c>
      <c r="EH84" s="36" t="str">
        <f>Crops[[#This Row],[Crop]]&amp;Crops[[#This Row],[Product]]&amp;Crops[[#This Row],[Unit]]</f>
        <v>Chrysanthemum GreensMature LeafBunch</v>
      </c>
      <c r="EI84" s="36" t="b">
        <f>_xlfn.XLOOKUP(Crops[[#This Row],[ProductIndex]],Products[ID],Products[Target])</f>
        <v>1</v>
      </c>
      <c r="EJ84" s="33">
        <f>Crops[[#This Row],[Custom Yield Per Bed]]</f>
        <v>600</v>
      </c>
      <c r="EK84" s="210">
        <f>Crops[[#This Row],[Units Per Harvest]]/Crops[[#This Row],[Days Between Harvest]]*7</f>
        <v>75</v>
      </c>
      <c r="EL84" s="210">
        <f>Crops[[#This Row],[Custom Yield Per Bed]]/_xlfn.XLOOKUP(Crops[[#This Row],[ProductIndex]],Products[ID],Products[CSA Portion])</f>
        <v>600</v>
      </c>
      <c r="EM84" s="210">
        <f>Crops[[#This Row],[Units Per Harvest]]/Crops[[#This Row],[Days Between Harvest]]*7/_xlfn.XLOOKUP(Crops[[#This Row],[ProductIndex]],Products[ID],Products[CSA Portion])</f>
        <v>75</v>
      </c>
      <c r="EN84" s="210">
        <f>Crops[[#This Row],[CSA Portions Per Week]]/CSAMembers</f>
        <v>1.5</v>
      </c>
      <c r="EO84" s="216"/>
      <c r="EP84" s="216"/>
      <c r="EQ84" s="36"/>
      <c r="ER84" s="36">
        <f>Crops[[#This Row],[Harvests]]*Crops[[#This Row],[Days Between Harvest]]/7</f>
        <v>8</v>
      </c>
      <c r="ES84" s="208">
        <f>_xlfn.XLOOKUP(Crops[[#This Row],[ProductIndex]],Products[ID],Products[CSA Need])</f>
        <v>1</v>
      </c>
      <c r="ET84" s="208">
        <f>_xlfn.XLOOKUP(Crops[[#This Row],[ProductIndex]],Products[ID],Products[CSA Times])</f>
        <v>1</v>
      </c>
      <c r="EU84" s="208">
        <f>Crops[[#This Row],[Custom Yield Per Bed]]/(Crops[[#This Row],[CSA Need]]*(_xlfn.XLOOKUP(Crops[[#This Row],[ProductIndex]],Products[ID],Products[CSA Portion])*CSAMembers))</f>
        <v>12</v>
      </c>
      <c r="EV84" s="208">
        <f>_xlfn.XLOOKUP(Crops[[#This Row],[ProductIndex]],Products[ID],Products[CSA Portion])*CSAMembers*Crops[[#This Row],[CSA Need]]/Crops[[#This Row],[Custom Yield Per Bed]]</f>
        <v>8.3333333333333329E-2</v>
      </c>
      <c r="EW84" s="208">
        <f>IFERROR(Crops[[#This Row],[Days In Field]]*Crops[[#This Row],[CSA Beds]],"")</f>
        <v>7.75</v>
      </c>
      <c r="EX84" s="208" t="e">
        <f>Crops[[#This Row],[CSA Bed Days]]*#REF!</f>
        <v>#REF!</v>
      </c>
      <c r="EY84" t="s">
        <v>318</v>
      </c>
    </row>
    <row r="85" spans="1:158">
      <c r="A8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Chrysanthemum Greens - Mature Leaf 1X | Tunnel DS Ow</v>
      </c>
      <c r="B85" s="191"/>
      <c r="C85" s="1"/>
      <c r="D85" s="1"/>
      <c r="E85" s="1" t="b">
        <v>0</v>
      </c>
      <c r="F85" s="1" t="b">
        <f>IFERROR(IF(ISNUMBER(MATCH(Crops[[#This Row],[Identifier]],BedPlan[Crop], 0)), TRUE, FALSE), FALSE)</f>
        <v>0</v>
      </c>
      <c r="G85" s="1" t="b">
        <f>IFERROR(IF(ISNUMBER(MATCH(Crops[[#This Row],[Identifier]],BedPlan[Crop], 0)), TRUE, FALSE), FALSE)</f>
        <v>0</v>
      </c>
      <c r="H85" s="1"/>
      <c r="I85" t="s">
        <v>61</v>
      </c>
      <c r="J85" t="s">
        <v>145</v>
      </c>
      <c r="K85" t="s">
        <v>179</v>
      </c>
      <c r="M85" t="s">
        <v>445</v>
      </c>
      <c r="N85" t="str">
        <f>Crops[[#This Row],[Crop]]</f>
        <v>Chrysanthemum Greens</v>
      </c>
      <c r="O85" t="s">
        <v>1413</v>
      </c>
      <c r="P85" t="str">
        <f>IF(OR(Crops[[#This Row],[Days in Cells]]="",Crops[[#This Row],[Days in Cells]]=0), "DS","TP")</f>
        <v>DS</v>
      </c>
      <c r="U85" t="s">
        <v>144</v>
      </c>
      <c r="V85" t="str">
        <f xml:space="preserve"> IF(Crops[[#This Row],[Sp]], "Sp", "") &amp; IF(Crops[[#This Row],[Su]], "Su", "") &amp; IF(Crops[[#This Row],[Fa]], "Fa", "") &amp; IF(Crops[[#This Row],[Wi]], "Wi", "") &amp; IF(Crops[[#This Row],[OW]], "Ow","")</f>
        <v>Ow</v>
      </c>
      <c r="X85">
        <v>3</v>
      </c>
      <c r="Y85">
        <v>0.8</v>
      </c>
      <c r="Z85" t="s">
        <v>431</v>
      </c>
      <c r="AA85" t="s">
        <v>475</v>
      </c>
      <c r="AB85" t="b">
        <v>1</v>
      </c>
      <c r="AC85">
        <v>2</v>
      </c>
      <c r="AD85" s="32">
        <f>IFERROR(12/Crops[[#This Row],[Spacing]]*Crops[[#This Row],[Rows]]*BedLength,"")</f>
        <v>2250</v>
      </c>
      <c r="AE85">
        <v>1</v>
      </c>
      <c r="AG85">
        <f>IF(Crops[[#This Row],[Custom Safety Factor]]="",PlantingSafetyFactor,Crops[[#This Row],[Custom Safety Factor]])</f>
        <v>1.3</v>
      </c>
      <c r="AH85">
        <f>1</f>
        <v>1</v>
      </c>
      <c r="AI85" s="33">
        <f>IFERROR(Crops[[#This Row],[Plantings Per Bed]]*Crops[[#This Row],[Seeds Per Planting]]*Crops[[#This Row],[Safety Factor]]*Crops[[#This Row],[Seeding Factor]],"")</f>
        <v>2925</v>
      </c>
      <c r="AL85">
        <f>_xlfn.FLOOR.MATH(IFERROR(AVERAGE(Crops[[#This Row],[DTG Lower]:[DTG Upper]]),0))</f>
        <v>0</v>
      </c>
      <c r="AM85">
        <f>SUM(Crops[[#This Row],[Tray 1 Days]],Crops[[#This Row],[Tray 2 Days]],Crops[[#This Row],[Tray 3 Days]])</f>
        <v>0</v>
      </c>
      <c r="AN85" s="32"/>
      <c r="AO85">
        <v>30</v>
      </c>
      <c r="AP85">
        <v>45</v>
      </c>
      <c r="AQ85">
        <f>IFERROR(_xlfn.FLOOR.MATH(AVERAGE(Crops[[#This Row],[DTM Lower]:[DTM Upper]])),"")</f>
        <v>37</v>
      </c>
      <c r="AR85" cm="1">
        <f t="array" ref="AR85">_xlfn.SWITCH(Crops[[#This Row],[Normal Method]],"DS",Crops[[#This Row],[Days to Germination]]+Crops[[#This Row],[DTM]] + IF(Crops[[#This Row],[Days in Cells]]&gt;0,15,0), "TP",Crops[[#This Row],[DTM]]+Crops[[#This Row],[Days in Cells]] + IF(Crops[[#This Row],[Days in Cells]]&lt;=0,20,0), "X", Crops[[#This Row],[DTM]])</f>
        <v>37</v>
      </c>
      <c r="AS85" t="s">
        <v>338</v>
      </c>
      <c r="AT85">
        <f>(Crops[[#This Row],[Harvests]]-1)*Crops[[#This Row],[Days Between Harvest]]+7</f>
        <v>56</v>
      </c>
      <c r="AU85">
        <f>Crops[[#This Row],[STH]]-Crops[[#This Row],[Days in Cells]]+Crops[[#This Row],[Harvest window]]</f>
        <v>93</v>
      </c>
      <c r="AW85" t="s">
        <v>212</v>
      </c>
      <c r="AZ85" t="str">
        <f>IFERROR(IF(Crops[[#This Row],[Tray 1 Days]]=0,"",Crops[[#This Row],[Plantings Per Bed]]/Crops[[#This Row],[Tray 1 Size]]*Crops[[#This Row],[Safety Factor]]),"")</f>
        <v/>
      </c>
      <c r="BC85" t="str">
        <f>IFERROR(IF(Crops[[#This Row],[Tray 2 Days]]=0,"",Crops[[#This Row],[Plantings Per Bed]]/Crops[[#This Row],[Tray 2 Size]]*Crops[[#This Row],[Safety Factor]]),"")</f>
        <v/>
      </c>
      <c r="BE85" s="32" t="str">
        <f>IF(NOT(ISBLANK(Crops[[#This Row],[Tray 3 Size]])), Crops[[#This Row],[Days in Cells Old]]-SUM(Crops[[#This Row],[Tray 1 Days]],Crops[[#This Row],[Tray 2 Days]]), "")</f>
        <v/>
      </c>
      <c r="BF85" t="str">
        <f>IFERROR(IF(Crops[[#This Row],[Tray 3 Days]]=0,"",Crops[[#This Row],[Plantings Per Bed]]/Crops[[#This Row],[Tray 3 Size]]*Crops[[#This Row],[Safety Factor]]),"")</f>
        <v/>
      </c>
      <c r="BG85" s="33">
        <f>Crops[[#This Row],[Plantings Per Bed]]/30</f>
        <v>75</v>
      </c>
      <c r="BH85" s="33">
        <v>8</v>
      </c>
      <c r="BI85" s="33">
        <v>7</v>
      </c>
      <c r="BJ85" s="33">
        <f>_xlfn.XLOOKUP(Crops[[#This Row],[ProductIndex]],Products[ID],Products[Holding Period])</f>
        <v>0</v>
      </c>
      <c r="BK85" s="33"/>
      <c r="BL85" s="33">
        <f>Crops[[#This Row],[Units Per Harvest]]*Crops[[#This Row],[Harvests]]</f>
        <v>600</v>
      </c>
      <c r="BM85" s="35">
        <v>4</v>
      </c>
      <c r="BN85" s="35">
        <f>Crops[[#This Row],[Direct Price]]*0.6</f>
        <v>2.4</v>
      </c>
      <c r="BO85" s="35"/>
      <c r="BP85" t="s">
        <v>215</v>
      </c>
      <c r="BQ85">
        <f>Crops[[#This Row],[Custom Yield Per Bed]]*Crops[[#This Row],[Direct Price]]</f>
        <v>2400</v>
      </c>
      <c r="BR85" t="b">
        <v>1</v>
      </c>
      <c r="BS85" t="b">
        <f>Crops[[#This Row],[Harvests]]&gt;1</f>
        <v>1</v>
      </c>
      <c r="BT85" s="36">
        <f>IFERROR(Crops[[#This Row],[Direct Revenue Per Bed]]/Crops[[#This Row],[Days In Field]],-1)</f>
        <v>25.806451612903224</v>
      </c>
      <c r="BU85" s="36">
        <f>IFERROR(Crops[[#This Row],[Direct Revenue Per Bed Day]]*GrowingDays*BedsPerAcre,"")</f>
        <v>743225.80645161285</v>
      </c>
      <c r="BV85" s="38">
        <f>LastFrostDate-5*Crops[[#This Row],[Sewing Rel Last Frost]]</f>
        <v>45878</v>
      </c>
      <c r="BW85" s="38">
        <f>Crops[[#This Row],[Target Sewing Date]]+Crops[[#This Row],[Days in Cells]]</f>
        <v>45878</v>
      </c>
      <c r="BX85" s="38">
        <f>Crops[[#This Row],[Target Sewing Date]]+Crops[[#This Row],[STH]]</f>
        <v>45915</v>
      </c>
      <c r="BY85" s="38">
        <f>Crops[[#This Row],[Target Harvest Data]]+Crops[[#This Row],[Harvest window]]</f>
        <v>45971</v>
      </c>
      <c r="BZ85">
        <v>-26</v>
      </c>
      <c r="CB85">
        <f>1</f>
        <v>1</v>
      </c>
      <c r="CC85">
        <f>IF(Crops[[#This Row],[Transplanting]]&gt;0, 2, 3)*BedLength/StandardBedLength</f>
        <v>1.5</v>
      </c>
      <c r="CD85" s="173">
        <f>IF(Crops[[#This Row],[Days in Cells]]&lt;=0,0,Crops[[#This Row],[Plantings Per Bed]]/StartsPerHourSeeding+Crops[[#This Row],[Tray 1 Count]]*5/60)</f>
        <v>0</v>
      </c>
      <c r="CE85" s="173">
        <f>IF(ISBLANK(Crops[[#This Row],[Tray 2 Days]]),0,Crops[[#This Row],[Plantings Per Bed]]/UpPottingPerHour)+IF(Crops[[#This Row],[Tray 3 Days]]="",0,Crops[[#This Row],[Plantings Per Bed]]/UpPottingPerHour)</f>
        <v>0</v>
      </c>
      <c r="CF85" s="173">
        <f>IFERROR(Crops[[#This Row],[Tray 1 Count]]/HomeStartFlatIrrigationPerHour,0)*Crops[[#This Row],[Days in Cells]]/DaysBetweenStartIrrigation</f>
        <v>0</v>
      </c>
      <c r="CG85" s="173">
        <f>0.5/16*MAX(Crops[[#This Row],[Tray 1 Count]],Crops[[#This Row],[Tray 2 Count]],Crops[[#This Row],[Tray 3 Count]])</f>
        <v>0</v>
      </c>
      <c r="CH85" s="173">
        <f>IF(Crops[[#This Row],[Days in Cells]]&gt;0,IF(IF(Crops[[#This Row],[Tray 3 Size]]&gt;0,Crops[[#This Row],[Tray 3 Size]],IF(Crops[[#This Row],[Tray 2 Size]]&gt;0,Crops[[#This Row],[Tray 2 Size]],Crops[[#This Row],[Tray 1 Size]]))&lt;=18,LargeTransplantTime,SmallTransplantTime)*Crops[[#This Row],[Plantings Per Bed]],0)</f>
        <v>0</v>
      </c>
      <c r="CI85" s="173"/>
      <c r="CJ85" s="173">
        <f>_xlfn.XLOOKUP(Crops[[#This Row],[Trellis Type]],TrellisMethods[Trellis Type],TrellisMethods[Hours],0,0)</f>
        <v>0</v>
      </c>
      <c r="CK85">
        <f>IF(Crops[[#This Row],[Days in Cells]]&lt;=0,Crops[[#This Row],[Rows]]*1/10,0)*BedLength/50</f>
        <v>0.3</v>
      </c>
      <c r="CL85" cm="1">
        <f t="array" ref="CL85">_xlfn.SWITCH(Crops[[#This Row],[Irrigation]],"DR", 0.5, "OH", 0.25,0)*BedLength/50</f>
        <v>0.25</v>
      </c>
      <c r="CM85">
        <f>IF(OR(ISBLANK(Crops[[#This Row],[Row Cover]]),Crops[[#This Row],[Row Cover]]="None"),0,1)*BedLength/50</f>
        <v>1</v>
      </c>
      <c r="CN85" s="173">
        <f>HoursPerWeedingPass*Crops[[#This Row],[Days In Field]]/14*Crops[[#This Row],[Rows]]+1*BedLength/50</f>
        <v>4.3214285714285712</v>
      </c>
      <c r="CO85" s="49"/>
      <c r="CQ85" s="37">
        <f>_xlfn.XLOOKUP(Crops[[#This Row],[Crop]]&amp;Crops[[#This Row],[Product]]&amp;Crops[[#This Row],[Unit]],Products[ID],Products[Marketing (hr)])*Crops[[#This Row],[Direct Revenue Per Bed]]/2000</f>
        <v>4.8</v>
      </c>
      <c r="CR85" s="37">
        <f>_xlfn.XLOOKUP(Crops[[#This Row],[Crop]]&amp;Crops[[#This Row],[Product]]&amp;Crops[[#This Row],[Unit]],Products[ID],Products[Harvest (s)])*Crops[[#This Row],[Custom Yield Per Bed]]/3600</f>
        <v>5</v>
      </c>
      <c r="CS85" s="37">
        <f>_xlfn.XLOOKUP(Crops[[#This Row],[Crop]]&amp;Crops[[#This Row],[Product]]&amp;Crops[[#This Row],[Unit]],Products[ID],Products[Bunch (s)])*Crops[[#This Row],[Custom Yield Per Bed]]/3600</f>
        <v>1.6666666666666667</v>
      </c>
      <c r="CT85" s="37">
        <f>_xlfn.XLOOKUP(Crops[[#This Row],[Crop]]&amp;Crops[[#This Row],[Product]]&amp;Crops[[#This Row],[Unit]],Products[ID],Products[Haul (s)])*Crops[[#This Row],[Custom Yield Per Bed]]/3600</f>
        <v>0.625</v>
      </c>
      <c r="CU85" s="37">
        <f>_xlfn.XLOOKUP(Crops[[#This Row],[Crop]]&amp;Crops[[#This Row],[Product]]&amp;Crops[[#This Row],[Unit]],Products[ID],Products[Wash (s)])*Crops[[#This Row],[Custom Yield Per Bed]]/3600</f>
        <v>0</v>
      </c>
      <c r="CV85" s="37">
        <f>_xlfn.XLOOKUP(Crops[[#This Row],[Crop]]&amp;Crops[[#This Row],[Product]]&amp;Crops[[#This Row],[Unit]],Products[ID],Products[Condition (s)])*Crops[[#This Row],[Custom Yield Per Bed]]/3600</f>
        <v>1.6666666666666667</v>
      </c>
      <c r="CW85" s="37">
        <f>_xlfn.XLOOKUP(Crops[[#This Row],[Crop]]&amp;Crops[[#This Row],[Product]]&amp;Crops[[#This Row],[Unit]],Products[ID],Products[Trim (s)])*Crops[[#This Row],[Custom Yield Per Bed]]/3600</f>
        <v>0</v>
      </c>
      <c r="CX85" s="37">
        <f>_xlfn.XLOOKUP(Crops[[#This Row],[Crop]]&amp;Crops[[#This Row],[Product]]&amp;Crops[[#This Row],[Unit]],Products[ID],Products[Pack (s)])*Crops[[#This Row],[Custom Yield Per Bed]]/3600</f>
        <v>0.5</v>
      </c>
      <c r="CY85" s="37">
        <f>_xlfn.XLOOKUP(Crops[[#This Row],[Crop]]&amp;Crops[[#This Row],[Product]]&amp;Crops[[#This Row],[Unit]],Products[ID],Products[Clean (s)])*Crops[[#This Row],[Custom Yield Per Bed]]/3600</f>
        <v>0</v>
      </c>
      <c r="CZ85" s="37">
        <f>_xlfn.XLOOKUP(Crops[[#This Row],[Crop]]&amp;Crops[[#This Row],[Product]]&amp;Crops[[#This Row],[Unit]],Products[ID],Products[Rehandle (s)])*Crops[[#This Row],[Custom Yield Per Bed]]/3600</f>
        <v>0</v>
      </c>
      <c r="DA85" s="37">
        <f>_xlfn.XLOOKUP(Crops[[#This Row],[Crop]]&amp;Crops[[#This Row],[Product]]&amp;Crops[[#This Row],[Unit]],Products[ID],Products[Market Transport (s)])*Crops[[#This Row],[Custom Yield Per Bed]]/3600</f>
        <v>1.5625</v>
      </c>
      <c r="DC85" s="37">
        <f>Crops[[#This Row],[Direct Revenue Per Bed2]]</f>
        <v>2400</v>
      </c>
      <c r="DD85" s="173">
        <f>_xlfn.AGGREGATE(9,6,Crops[[#This Row],[Bed Prep]:[Remove Crop Residue]])</f>
        <v>23.192261904761907</v>
      </c>
      <c r="DE85" s="173">
        <f>_xlfn.AGGREGATE(9,6,Crops[[#This Row],[Bed Prep]:[Remove Crop Residue]])-0.75*Crops[[#This Row],[Market &amp; Sell]]</f>
        <v>19.592261904761905</v>
      </c>
      <c r="DF85" s="36">
        <f>Crops[[#This Row],[Direct Revenue Per Bed2]]/Crops[[#This Row],[Direct Time]]</f>
        <v>103.4827913661679</v>
      </c>
      <c r="DG85" s="36">
        <f>_xlfn.XLOOKUP(Crops[[#This Row],[ProductIndex]],Products[ID],Products[Packaging Cost])*(Crops[[#This Row],[Custom Yield Per Bed]]/_xlfn.XLOOKUP(Crops[[#This Row],[ProductIndex]],Products[ID],Products[Units Per Pack]))</f>
        <v>95</v>
      </c>
      <c r="DH85" s="36"/>
      <c r="DI85" s="36"/>
      <c r="DJ85" s="36"/>
      <c r="DK85" s="36"/>
      <c r="DL85" s="36"/>
      <c r="DM85" s="33">
        <f>IFERROR(Crops[[#This Row],[Custom Yield Per Bed]]*Crops[[#This Row],[Direct Price]],"")</f>
        <v>2400</v>
      </c>
      <c r="DN85" s="36">
        <f>Crops[[#This Row],[Direct Time]]*LaborRate</f>
        <v>579.80654761904771</v>
      </c>
      <c r="DO85" s="36">
        <f>SUM(Crops[[#This Row],[Irrigation Cost]])</f>
        <v>0</v>
      </c>
      <c r="DP85" s="36">
        <f>Crops[[#This Row],[Direct Labor Cost]]+Crops[[#This Row],[Direct Non-Labor Cost]]</f>
        <v>579.80654761904771</v>
      </c>
      <c r="DQ85" s="36">
        <f>Crops[[#This Row],[Direct Revenue Per Bed2]]-Crops[[#This Row],[Direct Total Cost]]</f>
        <v>1820.1934523809523</v>
      </c>
      <c r="DR85" s="36">
        <f>Crops[[#This Row],[Direct Profit]]*BedsPerAcre</f>
        <v>291230.95238095237</v>
      </c>
      <c r="DS85" s="36">
        <f>Crops[[#This Row],[Direct Profit]]*BedsPerAcre*GrowingDays/Crops[[#This Row],[Days In Field]]</f>
        <v>563672.81105990778</v>
      </c>
      <c r="DT85" s="36">
        <f>Crops[[#This Row],[Direct Profit]]/MIN(Crops[[#This Row],[Days In Field]],GrowingDays)</f>
        <v>19.571972606246799</v>
      </c>
      <c r="DU85" s="36">
        <f>Crops[[#This Row],[Direct Time]] * BedsPerAcre</f>
        <v>3710.761904761905</v>
      </c>
      <c r="DV85" s="36">
        <f>(Crops[[#This Row],[Direct Revenue Per Bed2]]-Crops[[#This Row],[Direct Non-Labor Cost]])/Crops[[#This Row],[Direct Time]]</f>
        <v>103.4827913661679</v>
      </c>
      <c r="DW85" s="33">
        <f>IFERROR(Crops[[#This Row],[Custom Yield Per Bed]]*Crops[[#This Row],[Rough Wholesale Price]],"")</f>
        <v>1440</v>
      </c>
      <c r="DX85" s="36">
        <f>Crops[[#This Row],[Wholesale Time]]*LaborRate</f>
        <v>489.80654761904765</v>
      </c>
      <c r="DY85" s="36">
        <f>SUM(Crops[[#This Row],[Packaging Costs]:[Irrigation Cost]])</f>
        <v>95</v>
      </c>
      <c r="DZ85" s="36">
        <f>Crops[[#This Row],[Wholesale Labor Cost]]+Crops[[#This Row],[Wholesale Non-Labor Cost]]</f>
        <v>584.80654761904771</v>
      </c>
      <c r="EA85" s="36">
        <f>Crops[[#This Row],[Wholesale Revenue Per Bed]]-Crops[[#This Row],[Wholesale Total Cost]]</f>
        <v>855.19345238095229</v>
      </c>
      <c r="EB85" s="36">
        <f>Crops[[#This Row],[Wholesale Profit]]*BedsPerAcre</f>
        <v>136830.95238095237</v>
      </c>
      <c r="EC85" s="36">
        <f>Crops[[#This Row],[Wholesale Profit]]*BedsPerAcre*GrowingDays/Crops[[#This Row],[Days In Field]]</f>
        <v>264834.10138248844</v>
      </c>
      <c r="ED85" s="36">
        <f>Crops[[#This Row],[Wholesale Time]] * BedsPerAcre</f>
        <v>3134.7619047619046</v>
      </c>
      <c r="EE85" s="221">
        <f>Crops[[#This Row],[Wholesale Profit]]/MIN(Crops[[#This Row],[Days In Field]],GrowingDays)</f>
        <v>9.1956285202252932</v>
      </c>
      <c r="EF85" s="36">
        <f>(Crops[[#This Row],[Wholesale Revenue Per Bed]]-Crops[[#This Row],[Wholesale Non-Labor Cost]])/Crops[[#This Row],[Direct Time]]</f>
        <v>57.993480994789927</v>
      </c>
      <c r="EG85" s="174">
        <f>Crops[[#This Row],[Packaging Costs]]/Crops[[#This Row],[Wholesale Revenue Per Bed]]</f>
        <v>6.5972222222222224E-2</v>
      </c>
      <c r="EH85" s="36" t="str">
        <f>Crops[[#This Row],[Crop]]&amp;Crops[[#This Row],[Product]]&amp;Crops[[#This Row],[Unit]]</f>
        <v>Chrysanthemum GreensMature LeafBunch</v>
      </c>
      <c r="EI85" s="36" t="b">
        <f>_xlfn.XLOOKUP(Crops[[#This Row],[ProductIndex]],Products[ID],Products[Target])</f>
        <v>1</v>
      </c>
      <c r="EJ85" s="36">
        <f>Crops[[#This Row],[Custom Yield Per Bed]]</f>
        <v>600</v>
      </c>
      <c r="EK85" s="210">
        <f>Crops[[#This Row],[Units Per Harvest]]/Crops[[#This Row],[Days Between Harvest]]*7</f>
        <v>75</v>
      </c>
      <c r="EL85" s="210">
        <f>Crops[[#This Row],[Custom Yield Per Bed]]/_xlfn.XLOOKUP(Crops[[#This Row],[ProductIndex]],Products[ID],Products[CSA Portion])</f>
        <v>600</v>
      </c>
      <c r="EM85" s="210">
        <f>Crops[[#This Row],[Units Per Harvest]]/Crops[[#This Row],[Days Between Harvest]]*7/_xlfn.XLOOKUP(Crops[[#This Row],[ProductIndex]],Products[ID],Products[CSA Portion])</f>
        <v>75</v>
      </c>
      <c r="EN85" s="210">
        <f>Crops[[#This Row],[CSA Portions Per Week]]/CSAMembers</f>
        <v>1.5</v>
      </c>
      <c r="EO85" s="210"/>
      <c r="EP85" s="210"/>
      <c r="EQ85" s="36"/>
      <c r="ER85" s="36">
        <f>Crops[[#This Row],[Harvests]]*Crops[[#This Row],[Days Between Harvest]]/7</f>
        <v>8</v>
      </c>
      <c r="ES85" s="208">
        <f>_xlfn.XLOOKUP(Crops[[#This Row],[ProductIndex]],Products[ID],Products[CSA Need])</f>
        <v>1</v>
      </c>
      <c r="ET85" s="208">
        <f>_xlfn.XLOOKUP(Crops[[#This Row],[ProductIndex]],Products[ID],Products[CSA Times])</f>
        <v>1</v>
      </c>
      <c r="EU85" s="208">
        <f>Crops[[#This Row],[Custom Yield Per Bed]]/(Crops[[#This Row],[CSA Need]]*(_xlfn.XLOOKUP(Crops[[#This Row],[ProductIndex]],Products[ID],Products[CSA Portion])*CSAMembers))</f>
        <v>12</v>
      </c>
      <c r="EV85" s="208">
        <f>_xlfn.XLOOKUP(Crops[[#This Row],[ProductIndex]],Products[ID],Products[CSA Portion])*CSAMembers*Crops[[#This Row],[CSA Need]]/Crops[[#This Row],[Custom Yield Per Bed]]</f>
        <v>8.3333333333333329E-2</v>
      </c>
      <c r="EW85" s="208">
        <f>IFERROR(Crops[[#This Row],[Days In Field]]*Crops[[#This Row],[CSA Beds]],"")</f>
        <v>7.75</v>
      </c>
      <c r="EX85" s="208" t="e">
        <f>Crops[[#This Row],[CSA Bed Days]]*#REF!</f>
        <v>#REF!</v>
      </c>
      <c r="EY85" t="s">
        <v>318</v>
      </c>
    </row>
    <row r="86" spans="1:158">
      <c r="A86"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DS FaWi</v>
      </c>
      <c r="B86" s="27"/>
      <c r="C86" s="1"/>
      <c r="D86" s="1"/>
      <c r="E86" s="1" t="b">
        <v>0</v>
      </c>
      <c r="F86" s="1" t="b">
        <f>IFERROR(IF(ISNUMBER(MATCH(Crops[[#This Row],[Identifier]],BedPlan[Crop], 0)), TRUE, FALSE), FALSE)</f>
        <v>0</v>
      </c>
      <c r="G86" s="1" t="b">
        <f>IFERROR(IF(ISNUMBER(MATCH(Crops[[#This Row],[Identifier]],BedPlan[Crop], 0)), TRUE, FALSE), FALSE)</f>
        <v>0</v>
      </c>
      <c r="H86" s="1"/>
      <c r="I86" t="s">
        <v>62</v>
      </c>
      <c r="J86" t="s">
        <v>145</v>
      </c>
      <c r="K86" t="s">
        <v>190</v>
      </c>
      <c r="M86" t="s">
        <v>442</v>
      </c>
      <c r="N86" t="str">
        <f>Crops[[#This Row],[Crop]]</f>
        <v>Cilantro</v>
      </c>
      <c r="O86" t="s">
        <v>210</v>
      </c>
      <c r="P86" t="str">
        <f>IF(OR(Crops[[#This Row],[Days in Cells]]="",Crops[[#This Row],[Days in Cells]]=0), "DS","TP")</f>
        <v>DS</v>
      </c>
      <c r="S86" t="s">
        <v>144</v>
      </c>
      <c r="T86" t="s">
        <v>144</v>
      </c>
      <c r="V86" t="str">
        <f xml:space="preserve"> IF(Crops[[#This Row],[Sp]], "Sp", "") &amp; IF(Crops[[#This Row],[Su]], "Su", "") &amp; IF(Crops[[#This Row],[Fa]], "Fa", "") &amp; IF(Crops[[#This Row],[Wi]], "Wi", "") &amp; IF(Crops[[#This Row],[OW]], "Ow","")</f>
        <v>FaWi</v>
      </c>
      <c r="W86" t="s">
        <v>144</v>
      </c>
      <c r="X86">
        <v>5</v>
      </c>
      <c r="Y86">
        <v>6</v>
      </c>
      <c r="AA86" t="s">
        <v>474</v>
      </c>
      <c r="AB86" t="b">
        <v>1</v>
      </c>
      <c r="AC86">
        <v>1</v>
      </c>
      <c r="AD86" s="32">
        <f>IFERROR(12/Crops[[#This Row],[Spacing]]*Crops[[#This Row],[Rows]]*BedLength,"")</f>
        <v>500</v>
      </c>
      <c r="AE86">
        <v>3</v>
      </c>
      <c r="AG86">
        <v>1.1000000000000001</v>
      </c>
      <c r="AH86">
        <f>1</f>
        <v>1</v>
      </c>
      <c r="AI86" s="33">
        <f>IFERROR(Crops[[#This Row],[Plantings Per Bed]]*Crops[[#This Row],[Seeds Per Planting]]*Crops[[#This Row],[Safety Factor]]*Crops[[#This Row],[Seeding Factor]],"")</f>
        <v>1650.0000000000002</v>
      </c>
      <c r="AL86">
        <f>_xlfn.FLOOR.MATH(IFERROR(AVERAGE(Crops[[#This Row],[DTG Lower]:[DTG Upper]]),0))</f>
        <v>0</v>
      </c>
      <c r="AM86">
        <f>SUM(Crops[[#This Row],[Tray 1 Days]],Crops[[#This Row],[Tray 2 Days]],Crops[[#This Row],[Tray 3 Days]])</f>
        <v>0</v>
      </c>
      <c r="AN86" s="32">
        <v>30</v>
      </c>
      <c r="AP86">
        <v>75</v>
      </c>
      <c r="AQ86">
        <f>IFERROR(_xlfn.FLOOR.MATH(AVERAGE(Crops[[#This Row],[DTM Lower]:[DTM Upper]])),"")</f>
        <v>75</v>
      </c>
      <c r="AR86" cm="1">
        <f t="array" ref="AR86">_xlfn.SWITCH(Crops[[#This Row],[Normal Method]],"DS",Crops[[#This Row],[Days to Germination]]+Crops[[#This Row],[DTM]] + IF(Crops[[#This Row],[Days in Cells]]&gt;0,15,0), "TP",Crops[[#This Row],[DTM]]+Crops[[#This Row],[Days in Cells]] + IF(Crops[[#This Row],[Days in Cells]]&lt;=0,20,0), "X", Crops[[#This Row],[DTM]])</f>
        <v>75</v>
      </c>
      <c r="AS86" t="s">
        <v>347</v>
      </c>
      <c r="AT86">
        <f>(Crops[[#This Row],[Harvests]]-1)*Crops[[#This Row],[Days Between Harvest]]+7</f>
        <v>14</v>
      </c>
      <c r="AU86">
        <f>Crops[[#This Row],[STH]]-Crops[[#This Row],[Days in Cells]]+Crops[[#This Row],[Harvest window]]</f>
        <v>89</v>
      </c>
      <c r="AZ86" s="49"/>
      <c r="BC86" t="str">
        <f>IFERROR(IF(Crops[[#This Row],[Tray 2 Days]]=0,"",Crops[[#This Row],[Plantings Per Bed]]/Crops[[#This Row],[Tray 2 Size]]*Crops[[#This Row],[Safety Factor]]),"")</f>
        <v/>
      </c>
      <c r="BE86" s="32" t="str">
        <f>IF(NOT(ISBLANK(Crops[[#This Row],[Tray 3 Size]])), Crops[[#This Row],[Days in Cells Old]]-SUM(Crops[[#This Row],[Tray 1 Days]],Crops[[#This Row],[Tray 2 Days]]), "")</f>
        <v/>
      </c>
      <c r="BF86" s="49" t="str">
        <f>IFERROR(IF(Crops[[#This Row],[Tray 3 Days]]=0,"",Crops[[#This Row],[Plantings Per Bed]]/Crops[[#This Row],[Tray 3 Size]]*Crops[[#This Row],[Safety Factor]]),"")</f>
        <v/>
      </c>
      <c r="BG86" s="33">
        <f>Crops[[#This Row],[Plantings Per Bed]]/2.5</f>
        <v>200</v>
      </c>
      <c r="BH86" s="33">
        <v>2</v>
      </c>
      <c r="BI86" s="33">
        <v>7</v>
      </c>
      <c r="BJ86" s="33">
        <f>_xlfn.XLOOKUP(Crops[[#This Row],[ProductIndex]],Products[ID],Products[Holding Period])</f>
        <v>0</v>
      </c>
      <c r="BK86" s="33"/>
      <c r="BL86" s="33">
        <f>Crops[[#This Row],[Units Per Harvest]]*Crops[[#This Row],[Harvests]]</f>
        <v>400</v>
      </c>
      <c r="BM86" s="35">
        <v>3</v>
      </c>
      <c r="BN86" s="35">
        <v>1.1200000000000001</v>
      </c>
      <c r="BO86" s="35"/>
      <c r="BP86" t="s">
        <v>215</v>
      </c>
      <c r="BQ86">
        <f>Crops[[#This Row],[Custom Yield Per Bed]]*Crops[[#This Row],[Direct Price]]</f>
        <v>1200</v>
      </c>
      <c r="BR86" t="b">
        <v>1</v>
      </c>
      <c r="BS86" t="b">
        <f>Crops[[#This Row],[Harvests]]&gt;1</f>
        <v>1</v>
      </c>
      <c r="BT86" s="36">
        <f>IFERROR(Crops[[#This Row],[Direct Revenue Per Bed]]/Crops[[#This Row],[Days In Field]],-1)</f>
        <v>13.48314606741573</v>
      </c>
      <c r="BU86" s="36">
        <f>IFERROR(Crops[[#This Row],[Direct Revenue Per Bed Day]]*GrowingDays*BedsPerAcre,"")</f>
        <v>388314.60674157302</v>
      </c>
      <c r="BV86" s="38">
        <f>LastFrostDate-5*Crops[[#This Row],[Sewing Rel Last Frost]]</f>
        <v>45838</v>
      </c>
      <c r="BW86" s="38">
        <f>Crops[[#This Row],[Target Sewing Date]]+Crops[[#This Row],[Days in Cells]]</f>
        <v>45838</v>
      </c>
      <c r="BX86" s="38">
        <f>Crops[[#This Row],[Target Sewing Date]]+Crops[[#This Row],[STH]]</f>
        <v>45913</v>
      </c>
      <c r="BY86" s="38">
        <f>Crops[[#This Row],[Target Harvest Data]]+Crops[[#This Row],[Harvest window]]</f>
        <v>45927</v>
      </c>
      <c r="BZ86">
        <v>-18</v>
      </c>
      <c r="CB86">
        <f>1</f>
        <v>1</v>
      </c>
      <c r="CC86">
        <f>IF(Crops[[#This Row],[Transplanting]]&gt;0, 2, 3)*BedLength/StandardBedLength</f>
        <v>1.5</v>
      </c>
      <c r="CD86" s="173">
        <f>IF(Crops[[#This Row],[Days in Cells]]&lt;=0,0,Crops[[#This Row],[Plantings Per Bed]]/StartsPerHourSeeding+Crops[[#This Row],[Tray 1 Count]]*5/60)</f>
        <v>0</v>
      </c>
      <c r="CE86" s="173">
        <f>IF(ISBLANK(Crops[[#This Row],[Tray 2 Days]]),0,Crops[[#This Row],[Plantings Per Bed]]/UpPottingPerHour)+IF(Crops[[#This Row],[Tray 3 Days]]="",0,Crops[[#This Row],[Plantings Per Bed]]/UpPottingPerHour)</f>
        <v>0</v>
      </c>
      <c r="CF86" s="173">
        <f>IFERROR(Crops[[#This Row],[Tray 1 Count]]/HomeStartFlatIrrigationPerHour,0)*Crops[[#This Row],[Days in Cells]]/DaysBetweenStartIrrigation</f>
        <v>0</v>
      </c>
      <c r="CG86" s="173">
        <f>0.5/16*MAX(Crops[[#This Row],[Tray 1 Count]],Crops[[#This Row],[Tray 2 Count]],Crops[[#This Row],[Tray 3 Count]])</f>
        <v>0</v>
      </c>
      <c r="CH86" s="173">
        <f>IF(Crops[[#This Row],[Days in Cells]]&gt;0,IF(IF(Crops[[#This Row],[Tray 3 Size]]&gt;0,Crops[[#This Row],[Tray 3 Size]],IF(Crops[[#This Row],[Tray 2 Size]]&gt;0,Crops[[#This Row],[Tray 2 Size]],Crops[[#This Row],[Tray 1 Size]]))&lt;=18,LargeTransplantTime,SmallTransplantTime)*Crops[[#This Row],[Plantings Per Bed]],0)</f>
        <v>0</v>
      </c>
      <c r="CI86" s="173"/>
      <c r="CJ86" s="173">
        <f>_xlfn.XLOOKUP(Crops[[#This Row],[Trellis Type]],TrellisMethods[Trellis Type],TrellisMethods[Hours],0,0)</f>
        <v>0</v>
      </c>
      <c r="CK86">
        <f>IF(Crops[[#This Row],[Days in Cells]]&lt;=0,Crops[[#This Row],[Rows]]*1/10,0)*BedLength/50</f>
        <v>0.5</v>
      </c>
      <c r="CL86" cm="1">
        <f t="array" ref="CL86">_xlfn.SWITCH(Crops[[#This Row],[Irrigation]],"DR", 0.5, "OH", 0.25,0)*BedLength/50</f>
        <v>0</v>
      </c>
      <c r="CM86">
        <f>IF(OR(ISBLANK(Crops[[#This Row],[Row Cover]]),Crops[[#This Row],[Row Cover]]="None"),0,1)*BedLength/50</f>
        <v>0</v>
      </c>
      <c r="CN86" s="173">
        <f>HoursPerWeedingPass*Crops[[#This Row],[Days In Field]]/14*Crops[[#This Row],[Rows]]+1*BedLength/50</f>
        <v>6.2976190476190474</v>
      </c>
      <c r="CO86" s="49"/>
      <c r="CQ86" s="37">
        <f>_xlfn.XLOOKUP(Crops[[#This Row],[Crop]]&amp;Crops[[#This Row],[Product]]&amp;Crops[[#This Row],[Unit]],Products[ID],Products[Marketing (hr)])*Crops[[#This Row],[Direct Revenue Per Bed]]/2000</f>
        <v>1.2</v>
      </c>
      <c r="CR86" s="37">
        <f>_xlfn.XLOOKUP(Crops[[#This Row],[Crop]]&amp;Crops[[#This Row],[Product]]&amp;Crops[[#This Row],[Unit]],Products[ID],Products[Harvest (s)])*Crops[[#This Row],[Custom Yield Per Bed]]/3600</f>
        <v>1.1111111111111112</v>
      </c>
      <c r="CS86" s="37">
        <f>_xlfn.XLOOKUP(Crops[[#This Row],[Crop]]&amp;Crops[[#This Row],[Product]]&amp;Crops[[#This Row],[Unit]],Products[ID],Products[Bunch (s)])*Crops[[#This Row],[Custom Yield Per Bed]]/3600</f>
        <v>1.1111111111111112</v>
      </c>
      <c r="CT86" s="37">
        <f>_xlfn.XLOOKUP(Crops[[#This Row],[Crop]]&amp;Crops[[#This Row],[Product]]&amp;Crops[[#This Row],[Unit]],Products[ID],Products[Haul (s)])*Crops[[#This Row],[Custom Yield Per Bed]]/3600</f>
        <v>0.27777777777777779</v>
      </c>
      <c r="CU86" s="37">
        <f>_xlfn.XLOOKUP(Crops[[#This Row],[Crop]]&amp;Crops[[#This Row],[Product]]&amp;Crops[[#This Row],[Unit]],Products[ID],Products[Wash (s)])*Crops[[#This Row],[Custom Yield Per Bed]]/3600</f>
        <v>0</v>
      </c>
      <c r="CV86" s="37">
        <f>_xlfn.XLOOKUP(Crops[[#This Row],[Crop]]&amp;Crops[[#This Row],[Product]]&amp;Crops[[#This Row],[Unit]],Products[ID],Products[Condition (s)])*Crops[[#This Row],[Custom Yield Per Bed]]/3600</f>
        <v>0</v>
      </c>
      <c r="CW86" s="37">
        <f>_xlfn.XLOOKUP(Crops[[#This Row],[Crop]]&amp;Crops[[#This Row],[Product]]&amp;Crops[[#This Row],[Unit]],Products[ID],Products[Trim (s)])*Crops[[#This Row],[Custom Yield Per Bed]]/3600</f>
        <v>0.22222222222222221</v>
      </c>
      <c r="CX86" s="37">
        <f>_xlfn.XLOOKUP(Crops[[#This Row],[Crop]]&amp;Crops[[#This Row],[Product]]&amp;Crops[[#This Row],[Unit]],Products[ID],Products[Pack (s)])*Crops[[#This Row],[Custom Yield Per Bed]]/3600</f>
        <v>0.33333333333333331</v>
      </c>
      <c r="CY86" s="37">
        <f>_xlfn.XLOOKUP(Crops[[#This Row],[Crop]]&amp;Crops[[#This Row],[Product]]&amp;Crops[[#This Row],[Unit]],Products[ID],Products[Clean (s)])*Crops[[#This Row],[Custom Yield Per Bed]]/3600</f>
        <v>0</v>
      </c>
      <c r="CZ86" s="37">
        <f>_xlfn.XLOOKUP(Crops[[#This Row],[Crop]]&amp;Crops[[#This Row],[Product]]&amp;Crops[[#This Row],[Unit]],Products[ID],Products[Rehandle (s)])*Crops[[#This Row],[Custom Yield Per Bed]]/3600</f>
        <v>0</v>
      </c>
      <c r="DA86" s="37">
        <f>_xlfn.XLOOKUP(Crops[[#This Row],[Crop]]&amp;Crops[[#This Row],[Product]]&amp;Crops[[#This Row],[Unit]],Products[ID],Products[Market Transport (s)])*Crops[[#This Row],[Custom Yield Per Bed]]/3600</f>
        <v>0.69444444444444442</v>
      </c>
      <c r="DC86" s="37">
        <f>Crops[[#This Row],[Direct Revenue Per Bed2]]</f>
        <v>1200</v>
      </c>
      <c r="DD86" s="173">
        <f>_xlfn.AGGREGATE(9,6,Crops[[#This Row],[Bed Prep]:[Remove Crop Residue]])</f>
        <v>13.247619047619047</v>
      </c>
      <c r="DE86" s="173">
        <f>_xlfn.AGGREGATE(9,6,Crops[[#This Row],[Bed Prep]:[Remove Crop Residue]])-0.75*Crops[[#This Row],[Market &amp; Sell]]</f>
        <v>12.347619047619046</v>
      </c>
      <c r="DF86" s="36">
        <f>Crops[[#This Row],[Direct Revenue Per Bed2]]/Crops[[#This Row],[Direct Time]]</f>
        <v>90.582314881380313</v>
      </c>
      <c r="DG86" s="36">
        <f>_xlfn.XLOOKUP(Crops[[#This Row],[ProductIndex]],Products[ID],Products[Packaging Cost])*(Crops[[#This Row],[Custom Yield Per Bed]]/_xlfn.XLOOKUP(Crops[[#This Row],[ProductIndex]],Products[ID],Products[Units Per Pack]))</f>
        <v>42.222222222222221</v>
      </c>
      <c r="DH86" s="36"/>
      <c r="DI86" s="36"/>
      <c r="DJ86" s="36"/>
      <c r="DK86" s="36"/>
      <c r="DL86" s="36"/>
      <c r="DM86" s="33">
        <f>IFERROR(Crops[[#This Row],[Custom Yield Per Bed]]*Crops[[#This Row],[Direct Price]],"")</f>
        <v>1200</v>
      </c>
      <c r="DN86" s="36">
        <f>Crops[[#This Row],[Direct Time]]*LaborRate</f>
        <v>331.19047619047615</v>
      </c>
      <c r="DO86" s="36">
        <f>SUM(Crops[[#This Row],[Irrigation Cost]])</f>
        <v>0</v>
      </c>
      <c r="DP86" s="36">
        <f>Crops[[#This Row],[Direct Labor Cost]]+Crops[[#This Row],[Direct Non-Labor Cost]]</f>
        <v>331.19047619047615</v>
      </c>
      <c r="DQ86" s="36">
        <f>Crops[[#This Row],[Direct Revenue Per Bed2]]-Crops[[#This Row],[Direct Total Cost]]</f>
        <v>868.80952380952385</v>
      </c>
      <c r="DR86" s="36">
        <f>Crops[[#This Row],[Direct Profit]]*BedsPerAcre</f>
        <v>139009.52380952382</v>
      </c>
      <c r="DS86" s="36">
        <f>Crops[[#This Row],[Direct Profit]]*BedsPerAcre*GrowingDays/Crops[[#This Row],[Days In Field]]</f>
        <v>281142.85714285716</v>
      </c>
      <c r="DT86" s="36">
        <f>Crops[[#This Row],[Direct Profit]]/MIN(Crops[[#This Row],[Days In Field]],GrowingDays)</f>
        <v>9.7619047619047628</v>
      </c>
      <c r="DU86" s="33">
        <f>Crops[[#This Row],[Direct Time]] * BedsPerAcre</f>
        <v>2119.6190476190477</v>
      </c>
      <c r="DV86" s="36">
        <f>(Crops[[#This Row],[Direct Revenue Per Bed2]]-Crops[[#This Row],[Direct Non-Labor Cost]])/Crops[[#This Row],[Direct Time]]</f>
        <v>90.582314881380313</v>
      </c>
      <c r="DW86" s="33">
        <f>IFERROR(Crops[[#This Row],[Custom Yield Per Bed]]*Crops[[#This Row],[Rough Wholesale Price]],"")</f>
        <v>448.00000000000006</v>
      </c>
      <c r="DX86" s="36">
        <f>Crops[[#This Row],[Wholesale Time]]*LaborRate</f>
        <v>308.69047619047615</v>
      </c>
      <c r="DY86" s="36">
        <f>SUM(Crops[[#This Row],[Packaging Costs]:[Irrigation Cost]])</f>
        <v>42.222222222222221</v>
      </c>
      <c r="DZ86" s="36">
        <f>Crops[[#This Row],[Wholesale Labor Cost]]+Crops[[#This Row],[Wholesale Non-Labor Cost]]</f>
        <v>350.91269841269838</v>
      </c>
      <c r="EA86" s="36">
        <f>Crops[[#This Row],[Wholesale Revenue Per Bed]]-Crops[[#This Row],[Wholesale Total Cost]]</f>
        <v>97.087301587301681</v>
      </c>
      <c r="EB86" s="36">
        <f>Crops[[#This Row],[Wholesale Profit]]*BedsPerAcre</f>
        <v>15533.968253968269</v>
      </c>
      <c r="EC86" s="36">
        <f>Crops[[#This Row],[Wholesale Profit]]*BedsPerAcre*GrowingDays/Crops[[#This Row],[Days In Field]]</f>
        <v>31417.014446227957</v>
      </c>
      <c r="ED86" s="33">
        <f>Crops[[#This Row],[Wholesale Time]] * BedsPerAcre</f>
        <v>1975.6190476190475</v>
      </c>
      <c r="EE86" s="221">
        <f>Crops[[#This Row],[Wholesale Profit]]/MIN(Crops[[#This Row],[Days In Field]],GrowingDays)</f>
        <v>1.0908685571606931</v>
      </c>
      <c r="EF86" s="36">
        <f>(Crops[[#This Row],[Wholesale Revenue Per Bed]]-Crops[[#This Row],[Wholesale Non-Labor Cost]])/Crops[[#This Row],[Direct Time]]</f>
        <v>30.630242032111198</v>
      </c>
      <c r="EG86" s="174">
        <f>Crops[[#This Row],[Packaging Costs]]/Crops[[#This Row],[Wholesale Revenue Per Bed]]</f>
        <v>9.424603174603173E-2</v>
      </c>
      <c r="EH86" s="36" t="str">
        <f>Crops[[#This Row],[Crop]]&amp;Crops[[#This Row],[Product]]&amp;Crops[[#This Row],[Unit]]</f>
        <v>CilantroLoose LeafBunch</v>
      </c>
      <c r="EI86" s="36" t="b">
        <f>_xlfn.XLOOKUP(Crops[[#This Row],[ProductIndex]],Products[ID],Products[Target])</f>
        <v>1</v>
      </c>
      <c r="EJ86" s="36">
        <f>Crops[[#This Row],[Custom Yield Per Bed]]</f>
        <v>400</v>
      </c>
      <c r="EK86" s="210">
        <f>Crops[[#This Row],[Units Per Harvest]]/Crops[[#This Row],[Days Between Harvest]]*7</f>
        <v>200</v>
      </c>
      <c r="EL86" s="210">
        <f>Crops[[#This Row],[Custom Yield Per Bed]]/_xlfn.XLOOKUP(Crops[[#This Row],[ProductIndex]],Products[ID],Products[CSA Portion])</f>
        <v>400</v>
      </c>
      <c r="EM86" s="210">
        <f>Crops[[#This Row],[Units Per Harvest]]/Crops[[#This Row],[Days Between Harvest]]*7/_xlfn.XLOOKUP(Crops[[#This Row],[ProductIndex]],Products[ID],Products[CSA Portion])</f>
        <v>200</v>
      </c>
      <c r="EN86" s="210">
        <f>Crops[[#This Row],[CSA Portions Per Week]]/CSAMembers</f>
        <v>4</v>
      </c>
      <c r="EO86" s="210"/>
      <c r="EP86" s="210"/>
      <c r="EQ86" s="210"/>
      <c r="ER86" s="210">
        <f>Crops[[#This Row],[Harvests]]*Crops[[#This Row],[Days Between Harvest]]/7</f>
        <v>2</v>
      </c>
      <c r="ES86" s="217">
        <f>_xlfn.XLOOKUP(Crops[[#This Row],[ProductIndex]],Products[ID],Products[CSA Need])</f>
        <v>5</v>
      </c>
      <c r="ET86" s="217">
        <f>_xlfn.XLOOKUP(Crops[[#This Row],[ProductIndex]],Products[ID],Products[CSA Times])</f>
        <v>5</v>
      </c>
      <c r="EU86" s="208">
        <f>Crops[[#This Row],[Custom Yield Per Bed]]/(Crops[[#This Row],[CSA Need]]*(_xlfn.XLOOKUP(Crops[[#This Row],[ProductIndex]],Products[ID],Products[CSA Portion])*CSAMembers))</f>
        <v>1.6</v>
      </c>
      <c r="EV86" s="208">
        <f>_xlfn.XLOOKUP(Crops[[#This Row],[ProductIndex]],Products[ID],Products[CSA Portion])*CSAMembers*Crops[[#This Row],[CSA Need]]/Crops[[#This Row],[Custom Yield Per Bed]]</f>
        <v>0.625</v>
      </c>
      <c r="EW86" s="208">
        <f>IFERROR(Crops[[#This Row],[Days In Field]]*Crops[[#This Row],[CSA Beds]],"")</f>
        <v>55.625</v>
      </c>
      <c r="EX86" s="208" t="e">
        <f>Crops[[#This Row],[CSA Bed Days]]*#REF!</f>
        <v>#REF!</v>
      </c>
      <c r="EY86" t="s">
        <v>1728</v>
      </c>
    </row>
    <row r="87" spans="1:158">
      <c r="A87"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DS Sp</v>
      </c>
      <c r="B87" s="27"/>
      <c r="C87" s="1" t="b">
        <v>0</v>
      </c>
      <c r="D87" s="1"/>
      <c r="E87" s="1" t="b">
        <v>0</v>
      </c>
      <c r="F87" s="1" t="b">
        <f>IFERROR(IF(ISNUMBER(MATCH(Crops[[#This Row],[Identifier]],BedPlan[Crop], 0)), TRUE, FALSE), FALSE)</f>
        <v>0</v>
      </c>
      <c r="G87" s="1" t="b">
        <f>IFERROR(IF(ISNUMBER(MATCH(Crops[[#This Row],[Identifier]],BedPlan[Crop], 0)), TRUE, FALSE), FALSE)</f>
        <v>0</v>
      </c>
      <c r="H87" s="1"/>
      <c r="I87" t="s">
        <v>62</v>
      </c>
      <c r="J87" t="s">
        <v>145</v>
      </c>
      <c r="K87" t="s">
        <v>190</v>
      </c>
      <c r="M87" t="s">
        <v>442</v>
      </c>
      <c r="N87" t="str">
        <f>Crops[[#This Row],[Crop]]</f>
        <v>Cilantro</v>
      </c>
      <c r="O87" t="s">
        <v>210</v>
      </c>
      <c r="P87" t="str">
        <f>IF(OR(Crops[[#This Row],[Days in Cells]]="",Crops[[#This Row],[Days in Cells]]=0), "DS","TP")</f>
        <v>DS</v>
      </c>
      <c r="Q87" t="s">
        <v>144</v>
      </c>
      <c r="V87" t="str">
        <f xml:space="preserve"> IF(Crops[[#This Row],[Sp]], "Sp", "") &amp; IF(Crops[[#This Row],[Su]], "Su", "") &amp; IF(Crops[[#This Row],[Fa]], "Fa", "") &amp; IF(Crops[[#This Row],[Wi]], "Wi", "") &amp; IF(Crops[[#This Row],[OW]], "Ow","")</f>
        <v>Sp</v>
      </c>
      <c r="W87" t="s">
        <v>144</v>
      </c>
      <c r="X87">
        <v>5</v>
      </c>
      <c r="Y87">
        <v>6</v>
      </c>
      <c r="AA87" t="s">
        <v>474</v>
      </c>
      <c r="AB87" t="b">
        <v>1</v>
      </c>
      <c r="AC87">
        <v>1</v>
      </c>
      <c r="AD87" s="32">
        <f>IFERROR(12/Crops[[#This Row],[Spacing]]*Crops[[#This Row],[Rows]]*BedLength,"")</f>
        <v>500</v>
      </c>
      <c r="AE87">
        <v>3</v>
      </c>
      <c r="AG87">
        <v>1.1000000000000001</v>
      </c>
      <c r="AH87">
        <f>1</f>
        <v>1</v>
      </c>
      <c r="AI87" s="33">
        <f>IFERROR(Crops[[#This Row],[Plantings Per Bed]]*Crops[[#This Row],[Seeds Per Planting]]*Crops[[#This Row],[Safety Factor]]*Crops[[#This Row],[Seeding Factor]],"")</f>
        <v>1650.0000000000002</v>
      </c>
      <c r="AL87">
        <f>_xlfn.FLOOR.MATH(IFERROR(AVERAGE(Crops[[#This Row],[DTG Lower]:[DTG Upper]]),0))</f>
        <v>0</v>
      </c>
      <c r="AM87">
        <f>SUM(Crops[[#This Row],[Tray 1 Days]],Crops[[#This Row],[Tray 2 Days]],Crops[[#This Row],[Tray 3 Days]])</f>
        <v>0</v>
      </c>
      <c r="AN87" s="32">
        <v>30</v>
      </c>
      <c r="AP87">
        <v>71</v>
      </c>
      <c r="AQ87">
        <f>IFERROR(_xlfn.FLOOR.MATH(AVERAGE(Crops[[#This Row],[DTM Lower]:[DTM Upper]])),"")</f>
        <v>71</v>
      </c>
      <c r="AR87" cm="1">
        <f t="array" ref="AR87">_xlfn.SWITCH(Crops[[#This Row],[Normal Method]],"DS",Crops[[#This Row],[Days to Germination]]+Crops[[#This Row],[DTM]] + IF(Crops[[#This Row],[Days in Cells]]&gt;0,15,0), "TP",Crops[[#This Row],[DTM]]+Crops[[#This Row],[Days in Cells]] + IF(Crops[[#This Row],[Days in Cells]]&lt;=0,20,0), "X", Crops[[#This Row],[DTM]])</f>
        <v>91</v>
      </c>
      <c r="AS87" t="s">
        <v>346</v>
      </c>
      <c r="AT87">
        <f>(Crops[[#This Row],[Harvests]]-1)*Crops[[#This Row],[Days Between Harvest]]+7</f>
        <v>14</v>
      </c>
      <c r="AU87">
        <f>Crops[[#This Row],[STH]]-Crops[[#This Row],[Days in Cells]]+Crops[[#This Row],[Harvest window]]</f>
        <v>105</v>
      </c>
      <c r="AZ87" s="49" t="str">
        <f>IFERROR(IF(Crops[[#This Row],[Tray 1 Days]]=0,"",Crops[[#This Row],[Plantings Per Bed]]/Crops[[#This Row],[Tray 1 Size]]*Crops[[#This Row],[Safety Factor]]),"")</f>
        <v/>
      </c>
      <c r="BC87" t="str">
        <f>IFERROR(IF(Crops[[#This Row],[Tray 2 Days]]=0,"",Crops[[#This Row],[Plantings Per Bed]]/Crops[[#This Row],[Tray 2 Size]]*Crops[[#This Row],[Safety Factor]]),"")</f>
        <v/>
      </c>
      <c r="BE87" s="32" t="str">
        <f>IF(NOT(ISBLANK(Crops[[#This Row],[Tray 3 Size]])), Crops[[#This Row],[Days in Cells Old]]-SUM(Crops[[#This Row],[Tray 1 Days]],Crops[[#This Row],[Tray 2 Days]]), "")</f>
        <v/>
      </c>
      <c r="BF87" s="49" t="str">
        <f>IFERROR(IF(Crops[[#This Row],[Tray 3 Days]]=0,"",Crops[[#This Row],[Plantings Per Bed]]/Crops[[#This Row],[Tray 3 Size]]*Crops[[#This Row],[Safety Factor]]),"")</f>
        <v/>
      </c>
      <c r="BG87" s="33">
        <f>Crops[[#This Row],[Plantings Per Bed]]/2.5</f>
        <v>200</v>
      </c>
      <c r="BH87" s="33">
        <v>2</v>
      </c>
      <c r="BI87" s="33">
        <v>7</v>
      </c>
      <c r="BJ87" s="33">
        <f>_xlfn.XLOOKUP(Crops[[#This Row],[ProductIndex]],Products[ID],Products[Holding Period])</f>
        <v>0</v>
      </c>
      <c r="BK87" s="33"/>
      <c r="BL87" s="33">
        <f>Crops[[#This Row],[Units Per Harvest]]*Crops[[#This Row],[Harvests]]</f>
        <v>400</v>
      </c>
      <c r="BM87" s="35">
        <v>3</v>
      </c>
      <c r="BN87" s="35">
        <v>1.1200000000000001</v>
      </c>
      <c r="BO87" s="35"/>
      <c r="BP87" t="s">
        <v>215</v>
      </c>
      <c r="BQ87">
        <f>Crops[[#This Row],[Custom Yield Per Bed]]*Crops[[#This Row],[Direct Price]]</f>
        <v>1200</v>
      </c>
      <c r="BR87" t="b">
        <v>1</v>
      </c>
      <c r="BS87" t="b">
        <f>Crops[[#This Row],[Harvests]]&gt;1</f>
        <v>1</v>
      </c>
      <c r="BT87" s="36">
        <f>IFERROR(Crops[[#This Row],[Direct Revenue Per Bed]]/Crops[[#This Row],[Days In Field]],-1)</f>
        <v>11.428571428571429</v>
      </c>
      <c r="BU87" s="36">
        <f>IFERROR(Crops[[#This Row],[Direct Revenue Per Bed Day]]*GrowingDays*BedsPerAcre,"")</f>
        <v>329142.85714285716</v>
      </c>
      <c r="BV87" s="38">
        <f>LastFrostDate-5*Crops[[#This Row],[Sewing Rel Last Frost]]</f>
        <v>45728</v>
      </c>
      <c r="BW87" s="38">
        <f>Crops[[#This Row],[Target Sewing Date]]+Crops[[#This Row],[Days in Cells]]</f>
        <v>45728</v>
      </c>
      <c r="BX87" s="38">
        <f>Crops[[#This Row],[Target Sewing Date]]+Crops[[#This Row],[STH]]</f>
        <v>45819</v>
      </c>
      <c r="BY87" s="38">
        <f>Crops[[#This Row],[Target Harvest Data]]+Crops[[#This Row],[Harvest window]]</f>
        <v>45833</v>
      </c>
      <c r="BZ87">
        <v>4</v>
      </c>
      <c r="CB87">
        <f>1</f>
        <v>1</v>
      </c>
      <c r="CC87">
        <f>IF(Crops[[#This Row],[Transplanting]]&gt;0, 2, 3)*BedLength/StandardBedLength</f>
        <v>1.5</v>
      </c>
      <c r="CD87" s="173">
        <f>IF(Crops[[#This Row],[Days in Cells]]&lt;=0,0,Crops[[#This Row],[Plantings Per Bed]]/StartsPerHourSeeding+Crops[[#This Row],[Tray 1 Count]]*5/60)</f>
        <v>0</v>
      </c>
      <c r="CE87" s="173">
        <f>IF(ISBLANK(Crops[[#This Row],[Tray 2 Days]]),0,Crops[[#This Row],[Plantings Per Bed]]/UpPottingPerHour)+IF(Crops[[#This Row],[Tray 3 Days]]="",0,Crops[[#This Row],[Plantings Per Bed]]/UpPottingPerHour)</f>
        <v>0</v>
      </c>
      <c r="CF87" s="173">
        <f>IFERROR(Crops[[#This Row],[Tray 1 Count]]/HomeStartFlatIrrigationPerHour,0)*Crops[[#This Row],[Days in Cells]]/DaysBetweenStartIrrigation</f>
        <v>0</v>
      </c>
      <c r="CG87" s="173">
        <f>0.5/16*MAX(Crops[[#This Row],[Tray 1 Count]],Crops[[#This Row],[Tray 2 Count]],Crops[[#This Row],[Tray 3 Count]])</f>
        <v>0</v>
      </c>
      <c r="CH87" s="173">
        <f>IF(Crops[[#This Row],[Days in Cells]]&gt;0,IF(IF(Crops[[#This Row],[Tray 3 Size]]&gt;0,Crops[[#This Row],[Tray 3 Size]],IF(Crops[[#This Row],[Tray 2 Size]]&gt;0,Crops[[#This Row],[Tray 2 Size]],Crops[[#This Row],[Tray 1 Size]]))&lt;=18,LargeTransplantTime,SmallTransplantTime)*Crops[[#This Row],[Plantings Per Bed]],0)</f>
        <v>0</v>
      </c>
      <c r="CI87" s="173"/>
      <c r="CJ87" s="173">
        <f>_xlfn.XLOOKUP(Crops[[#This Row],[Trellis Type]],TrellisMethods[Trellis Type],TrellisMethods[Hours],0,0)</f>
        <v>0</v>
      </c>
      <c r="CK87">
        <f>IF(Crops[[#This Row],[Days in Cells]]&lt;=0,Crops[[#This Row],[Rows]]*1/10,0)*BedLength/50</f>
        <v>0.5</v>
      </c>
      <c r="CL87" cm="1">
        <f t="array" ref="CL87">_xlfn.SWITCH(Crops[[#This Row],[Irrigation]],"DR", 0.5, "OH", 0.25,0)*BedLength/50</f>
        <v>0</v>
      </c>
      <c r="CM87">
        <f>IF(OR(ISBLANK(Crops[[#This Row],[Row Cover]]),Crops[[#This Row],[Row Cover]]="None"),0,1)*BedLength/50</f>
        <v>0</v>
      </c>
      <c r="CN87" s="173">
        <f>HoursPerWeedingPass*Crops[[#This Row],[Days In Field]]/14*Crops[[#This Row],[Rows]]+1*BedLength/50</f>
        <v>7.25</v>
      </c>
      <c r="CO87" s="49"/>
      <c r="CQ87" s="37">
        <f>_xlfn.XLOOKUP(Crops[[#This Row],[Crop]]&amp;Crops[[#This Row],[Product]]&amp;Crops[[#This Row],[Unit]],Products[ID],Products[Marketing (hr)])*Crops[[#This Row],[Direct Revenue Per Bed]]/2000</f>
        <v>1.2</v>
      </c>
      <c r="CR87" s="37">
        <f>_xlfn.XLOOKUP(Crops[[#This Row],[Crop]]&amp;Crops[[#This Row],[Product]]&amp;Crops[[#This Row],[Unit]],Products[ID],Products[Harvest (s)])*Crops[[#This Row],[Custom Yield Per Bed]]/3600</f>
        <v>1.1111111111111112</v>
      </c>
      <c r="CS87" s="37">
        <f>_xlfn.XLOOKUP(Crops[[#This Row],[Crop]]&amp;Crops[[#This Row],[Product]]&amp;Crops[[#This Row],[Unit]],Products[ID],Products[Bunch (s)])*Crops[[#This Row],[Custom Yield Per Bed]]/3600</f>
        <v>1.1111111111111112</v>
      </c>
      <c r="CT87" s="37">
        <f>_xlfn.XLOOKUP(Crops[[#This Row],[Crop]]&amp;Crops[[#This Row],[Product]]&amp;Crops[[#This Row],[Unit]],Products[ID],Products[Haul (s)])*Crops[[#This Row],[Custom Yield Per Bed]]/3600</f>
        <v>0.27777777777777779</v>
      </c>
      <c r="CU87" s="37">
        <f>_xlfn.XLOOKUP(Crops[[#This Row],[Crop]]&amp;Crops[[#This Row],[Product]]&amp;Crops[[#This Row],[Unit]],Products[ID],Products[Wash (s)])*Crops[[#This Row],[Custom Yield Per Bed]]/3600</f>
        <v>0</v>
      </c>
      <c r="CV87" s="37">
        <f>_xlfn.XLOOKUP(Crops[[#This Row],[Crop]]&amp;Crops[[#This Row],[Product]]&amp;Crops[[#This Row],[Unit]],Products[ID],Products[Condition (s)])*Crops[[#This Row],[Custom Yield Per Bed]]/3600</f>
        <v>0</v>
      </c>
      <c r="CW87" s="37">
        <f>_xlfn.XLOOKUP(Crops[[#This Row],[Crop]]&amp;Crops[[#This Row],[Product]]&amp;Crops[[#This Row],[Unit]],Products[ID],Products[Trim (s)])*Crops[[#This Row],[Custom Yield Per Bed]]/3600</f>
        <v>0.22222222222222221</v>
      </c>
      <c r="CX87" s="37">
        <f>_xlfn.XLOOKUP(Crops[[#This Row],[Crop]]&amp;Crops[[#This Row],[Product]]&amp;Crops[[#This Row],[Unit]],Products[ID],Products[Pack (s)])*Crops[[#This Row],[Custom Yield Per Bed]]/3600</f>
        <v>0.33333333333333331</v>
      </c>
      <c r="CY87" s="37">
        <f>_xlfn.XLOOKUP(Crops[[#This Row],[Crop]]&amp;Crops[[#This Row],[Product]]&amp;Crops[[#This Row],[Unit]],Products[ID],Products[Clean (s)])*Crops[[#This Row],[Custom Yield Per Bed]]/3600</f>
        <v>0</v>
      </c>
      <c r="CZ87" s="37">
        <f>_xlfn.XLOOKUP(Crops[[#This Row],[Crop]]&amp;Crops[[#This Row],[Product]]&amp;Crops[[#This Row],[Unit]],Products[ID],Products[Rehandle (s)])*Crops[[#This Row],[Custom Yield Per Bed]]/3600</f>
        <v>0</v>
      </c>
      <c r="DA87" s="37">
        <f>_xlfn.XLOOKUP(Crops[[#This Row],[Crop]]&amp;Crops[[#This Row],[Product]]&amp;Crops[[#This Row],[Unit]],Products[ID],Products[Market Transport (s)])*Crops[[#This Row],[Custom Yield Per Bed]]/3600</f>
        <v>0.69444444444444442</v>
      </c>
      <c r="DC87" s="37">
        <f>Crops[[#This Row],[Direct Revenue Per Bed2]]</f>
        <v>1200</v>
      </c>
      <c r="DD87" s="173">
        <f>_xlfn.AGGREGATE(9,6,Crops[[#This Row],[Bed Prep]:[Remove Crop Residue]])</f>
        <v>14.2</v>
      </c>
      <c r="DE87" s="173">
        <f>_xlfn.AGGREGATE(9,6,Crops[[#This Row],[Bed Prep]:[Remove Crop Residue]])-0.75*Crops[[#This Row],[Market &amp; Sell]]</f>
        <v>13.299999999999999</v>
      </c>
      <c r="DF87" s="36">
        <f>Crops[[#This Row],[Direct Revenue Per Bed2]]/Crops[[#This Row],[Direct Time]]</f>
        <v>84.507042253521135</v>
      </c>
      <c r="DG87" s="36">
        <f>_xlfn.XLOOKUP(Crops[[#This Row],[ProductIndex]],Products[ID],Products[Packaging Cost])*(Crops[[#This Row],[Custom Yield Per Bed]]/_xlfn.XLOOKUP(Crops[[#This Row],[ProductIndex]],Products[ID],Products[Units Per Pack]))</f>
        <v>42.222222222222221</v>
      </c>
      <c r="DH87" s="36"/>
      <c r="DI87" s="36"/>
      <c r="DJ87" s="36"/>
      <c r="DK87" s="36"/>
      <c r="DL87" s="36"/>
      <c r="DM87" s="33">
        <f>IFERROR(Crops[[#This Row],[Custom Yield Per Bed]]*Crops[[#This Row],[Direct Price]],"")</f>
        <v>1200</v>
      </c>
      <c r="DN87" s="36">
        <f>Crops[[#This Row],[Direct Time]]*LaborRate</f>
        <v>355</v>
      </c>
      <c r="DO87" s="36">
        <f>SUM(Crops[[#This Row],[Irrigation Cost]])</f>
        <v>0</v>
      </c>
      <c r="DP87" s="36">
        <f>Crops[[#This Row],[Direct Labor Cost]]+Crops[[#This Row],[Direct Non-Labor Cost]]</f>
        <v>355</v>
      </c>
      <c r="DQ87" s="36">
        <f>Crops[[#This Row],[Direct Revenue Per Bed2]]-Crops[[#This Row],[Direct Total Cost]]</f>
        <v>845</v>
      </c>
      <c r="DR87" s="36">
        <f>Crops[[#This Row],[Direct Profit]]*BedsPerAcre</f>
        <v>135200</v>
      </c>
      <c r="DS87" s="36">
        <f>Crops[[#This Row],[Direct Profit]]*BedsPerAcre*GrowingDays/Crops[[#This Row],[Days In Field]]</f>
        <v>231771.42857142858</v>
      </c>
      <c r="DT87" s="36">
        <f>Crops[[#This Row],[Direct Profit]]/MIN(Crops[[#This Row],[Days In Field]],GrowingDays)</f>
        <v>8.0476190476190474</v>
      </c>
      <c r="DU87" s="33">
        <f>Crops[[#This Row],[Direct Time]] * BedsPerAcre</f>
        <v>2272</v>
      </c>
      <c r="DV87" s="36">
        <f>(Crops[[#This Row],[Direct Revenue Per Bed2]]-Crops[[#This Row],[Direct Non-Labor Cost]])/Crops[[#This Row],[Direct Time]]</f>
        <v>84.507042253521135</v>
      </c>
      <c r="DW87" s="33">
        <f>IFERROR(Crops[[#This Row],[Custom Yield Per Bed]]*Crops[[#This Row],[Rough Wholesale Price]],"")</f>
        <v>448.00000000000006</v>
      </c>
      <c r="DX87" s="36">
        <f>Crops[[#This Row],[Wholesale Time]]*LaborRate</f>
        <v>332.5</v>
      </c>
      <c r="DY87" s="36">
        <f>SUM(Crops[[#This Row],[Packaging Costs]:[Irrigation Cost]])</f>
        <v>42.222222222222221</v>
      </c>
      <c r="DZ87" s="36">
        <f>Crops[[#This Row],[Wholesale Labor Cost]]+Crops[[#This Row],[Wholesale Non-Labor Cost]]</f>
        <v>374.72222222222223</v>
      </c>
      <c r="EA87" s="36">
        <f>Crops[[#This Row],[Wholesale Revenue Per Bed]]-Crops[[#This Row],[Wholesale Total Cost]]</f>
        <v>73.277777777777828</v>
      </c>
      <c r="EB87" s="36">
        <f>Crops[[#This Row],[Wholesale Profit]]*BedsPerAcre</f>
        <v>11724.444444444453</v>
      </c>
      <c r="EC87" s="36">
        <f>Crops[[#This Row],[Wholesale Profit]]*BedsPerAcre*GrowingDays/Crops[[#This Row],[Days In Field]]</f>
        <v>20099.047619047633</v>
      </c>
      <c r="ED87" s="33">
        <f>Crops[[#This Row],[Wholesale Time]] * BedsPerAcre</f>
        <v>2128</v>
      </c>
      <c r="EE87" s="221">
        <f>Crops[[#This Row],[Wholesale Profit]]/MIN(Crops[[#This Row],[Days In Field]],GrowingDays)</f>
        <v>0.69788359788359833</v>
      </c>
      <c r="EF87" s="36">
        <f>(Crops[[#This Row],[Wholesale Revenue Per Bed]]-Crops[[#This Row],[Wholesale Non-Labor Cost]])/Crops[[#This Row],[Direct Time]]</f>
        <v>28.575899843505482</v>
      </c>
      <c r="EG87" s="174">
        <f>Crops[[#This Row],[Packaging Costs]]/Crops[[#This Row],[Wholesale Revenue Per Bed]]</f>
        <v>9.424603174603173E-2</v>
      </c>
      <c r="EH87" s="36" t="str">
        <f>Crops[[#This Row],[Crop]]&amp;Crops[[#This Row],[Product]]&amp;Crops[[#This Row],[Unit]]</f>
        <v>CilantroLoose LeafBunch</v>
      </c>
      <c r="EI87" s="36" t="b">
        <f>_xlfn.XLOOKUP(Crops[[#This Row],[ProductIndex]],Products[ID],Products[Target])</f>
        <v>1</v>
      </c>
      <c r="EJ87" s="36">
        <f>Crops[[#This Row],[Custom Yield Per Bed]]</f>
        <v>400</v>
      </c>
      <c r="EK87" s="210">
        <f>Crops[[#This Row],[Units Per Harvest]]/Crops[[#This Row],[Days Between Harvest]]*7</f>
        <v>200</v>
      </c>
      <c r="EL87" s="210">
        <f>Crops[[#This Row],[Custom Yield Per Bed]]/_xlfn.XLOOKUP(Crops[[#This Row],[ProductIndex]],Products[ID],Products[CSA Portion])</f>
        <v>400</v>
      </c>
      <c r="EM87" s="210">
        <f>Crops[[#This Row],[Units Per Harvest]]/Crops[[#This Row],[Days Between Harvest]]*7/_xlfn.XLOOKUP(Crops[[#This Row],[ProductIndex]],Products[ID],Products[CSA Portion])</f>
        <v>200</v>
      </c>
      <c r="EN87" s="210">
        <f>Crops[[#This Row],[CSA Portions Per Week]]/CSAMembers</f>
        <v>4</v>
      </c>
      <c r="EO87" s="210"/>
      <c r="EP87" s="210"/>
      <c r="EQ87" s="210"/>
      <c r="ER87" s="210">
        <f>Crops[[#This Row],[Harvests]]*Crops[[#This Row],[Days Between Harvest]]/7</f>
        <v>2</v>
      </c>
      <c r="ES87" s="217">
        <f>_xlfn.XLOOKUP(Crops[[#This Row],[ProductIndex]],Products[ID],Products[CSA Need])</f>
        <v>5</v>
      </c>
      <c r="ET87" s="217">
        <f>_xlfn.XLOOKUP(Crops[[#This Row],[ProductIndex]],Products[ID],Products[CSA Times])</f>
        <v>5</v>
      </c>
      <c r="EU87" s="208">
        <f>Crops[[#This Row],[Custom Yield Per Bed]]/(Crops[[#This Row],[CSA Need]]*(_xlfn.XLOOKUP(Crops[[#This Row],[ProductIndex]],Products[ID],Products[CSA Portion])*CSAMembers))</f>
        <v>1.6</v>
      </c>
      <c r="EV87" s="208">
        <f>_xlfn.XLOOKUP(Crops[[#This Row],[ProductIndex]],Products[ID],Products[CSA Portion])*CSAMembers*Crops[[#This Row],[CSA Need]]/Crops[[#This Row],[Custom Yield Per Bed]]</f>
        <v>0.625</v>
      </c>
      <c r="EW87" s="208">
        <f>IFERROR(Crops[[#This Row],[Days In Field]]*Crops[[#This Row],[CSA Beds]],"")</f>
        <v>65.625</v>
      </c>
      <c r="EX87" s="208" t="e">
        <f>Crops[[#This Row],[CSA Bed Days]]*#REF!</f>
        <v>#REF!</v>
      </c>
      <c r="EY87" t="s">
        <v>319</v>
      </c>
    </row>
    <row r="88" spans="1:158">
      <c r="A88"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TP FaWi</v>
      </c>
      <c r="B88" s="27"/>
      <c r="C88" s="1" t="b">
        <v>1</v>
      </c>
      <c r="D88" s="1"/>
      <c r="E88" s="1" t="b">
        <v>0</v>
      </c>
      <c r="F88" s="1" t="b">
        <f>IFERROR(IF(ISNUMBER(MATCH(Crops[[#This Row],[Identifier]],BedPlan[Crop], 0)), TRUE, FALSE), FALSE)</f>
        <v>0</v>
      </c>
      <c r="G88" s="1" t="b">
        <f>IFERROR(IF(ISNUMBER(MATCH(Crops[[#This Row],[Identifier]],BedPlan[Crop], 0)), TRUE, FALSE), FALSE)</f>
        <v>0</v>
      </c>
      <c r="H88" s="1"/>
      <c r="I88" t="s">
        <v>62</v>
      </c>
      <c r="J88" t="s">
        <v>145</v>
      </c>
      <c r="K88" t="s">
        <v>190</v>
      </c>
      <c r="M88" t="s">
        <v>442</v>
      </c>
      <c r="N88" t="str">
        <f>Crops[[#This Row],[Crop]]</f>
        <v>Cilantro</v>
      </c>
      <c r="O88" t="s">
        <v>210</v>
      </c>
      <c r="P88" t="str">
        <f>IF(OR(Crops[[#This Row],[Days in Cells]]="",Crops[[#This Row],[Days in Cells]]=0), "DS","TP")</f>
        <v>TP</v>
      </c>
      <c r="S88" t="s">
        <v>144</v>
      </c>
      <c r="T88" t="s">
        <v>144</v>
      </c>
      <c r="V88" t="str">
        <f xml:space="preserve"> IF(Crops[[#This Row],[Sp]], "Sp", "") &amp; IF(Crops[[#This Row],[Su]], "Su", "") &amp; IF(Crops[[#This Row],[Fa]], "Fa", "") &amp; IF(Crops[[#This Row],[Wi]], "Wi", "") &amp; IF(Crops[[#This Row],[OW]], "Ow","")</f>
        <v>FaWi</v>
      </c>
      <c r="W88" t="s">
        <v>144</v>
      </c>
      <c r="X88">
        <v>5</v>
      </c>
      <c r="Y88">
        <v>6</v>
      </c>
      <c r="AA88" t="s">
        <v>474</v>
      </c>
      <c r="AB88" t="b">
        <v>1</v>
      </c>
      <c r="AC88">
        <v>1</v>
      </c>
      <c r="AD88" s="32">
        <f>IFERROR(12/Crops[[#This Row],[Spacing]]*Crops[[#This Row],[Rows]]*BedLength,"")</f>
        <v>500</v>
      </c>
      <c r="AE88">
        <v>3</v>
      </c>
      <c r="AG88">
        <v>1.1000000000000001</v>
      </c>
      <c r="AH88">
        <f>1</f>
        <v>1</v>
      </c>
      <c r="AI88" s="33">
        <f>IFERROR(Crops[[#This Row],[Plantings Per Bed]]*Crops[[#This Row],[Seeds Per Planting]]*Crops[[#This Row],[Safety Factor]]*Crops[[#This Row],[Seeding Factor]],"")</f>
        <v>1650.0000000000002</v>
      </c>
      <c r="AL88">
        <f>_xlfn.FLOOR.MATH(IFERROR(AVERAGE(Crops[[#This Row],[DTG Lower]:[DTG Upper]]),0))</f>
        <v>0</v>
      </c>
      <c r="AM88">
        <f>SUM(Crops[[#This Row],[Tray 1 Days]],Crops[[#This Row],[Tray 2 Days]],Crops[[#This Row],[Tray 3 Days]])</f>
        <v>30</v>
      </c>
      <c r="AN88" s="32">
        <v>30</v>
      </c>
      <c r="AP88">
        <v>85</v>
      </c>
      <c r="AQ88">
        <f>IFERROR(_xlfn.FLOOR.MATH(AVERAGE(Crops[[#This Row],[DTM Lower]:[DTM Upper]])),"")</f>
        <v>85</v>
      </c>
      <c r="AR88" cm="1">
        <f t="array" ref="AR88">_xlfn.SWITCH(Crops[[#This Row],[Normal Method]],"DS",Crops[[#This Row],[Days to Germination]]+Crops[[#This Row],[DTM]] + IF(Crops[[#This Row],[Days in Cells]]&gt;0,15,0), "TP",Crops[[#This Row],[DTM]]+Crops[[#This Row],[Days in Cells]] + IF(Crops[[#This Row],[Days in Cells]]&lt;=0,20,0), "X", Crops[[#This Row],[DTM]])</f>
        <v>85</v>
      </c>
      <c r="AS88" t="s">
        <v>347</v>
      </c>
      <c r="AT88">
        <f>(Crops[[#This Row],[Harvests]]-1)*Crops[[#This Row],[Days Between Harvest]]+7</f>
        <v>14</v>
      </c>
      <c r="AU88">
        <f>Crops[[#This Row],[STH]]-Crops[[#This Row],[Days in Cells]]+Crops[[#This Row],[Harvest window]]</f>
        <v>69</v>
      </c>
      <c r="AX88">
        <v>128</v>
      </c>
      <c r="AY88">
        <v>30</v>
      </c>
      <c r="AZ88" s="49">
        <f>IFERROR(IF(Crops[[#This Row],[Tray 1 Days]]=0,"",Crops[[#This Row],[Plantings Per Bed]]/Crops[[#This Row],[Tray 1 Size]]*Crops[[#This Row],[Safety Factor]]),"")</f>
        <v>4.296875</v>
      </c>
      <c r="BC88" t="str">
        <f>IFERROR(IF(Crops[[#This Row],[Tray 2 Days]]=0,"",Crops[[#This Row],[Plantings Per Bed]]/Crops[[#This Row],[Tray 2 Size]]*Crops[[#This Row],[Safety Factor]]),"")</f>
        <v/>
      </c>
      <c r="BE88" s="32" t="str">
        <f>IF(NOT(ISBLANK(Crops[[#This Row],[Tray 3 Size]])), Crops[[#This Row],[Days in Cells Old]]-SUM(Crops[[#This Row],[Tray 1 Days]],Crops[[#This Row],[Tray 2 Days]]), "")</f>
        <v/>
      </c>
      <c r="BF88" s="49" t="str">
        <f>IFERROR(IF(Crops[[#This Row],[Tray 3 Days]]=0,"",Crops[[#This Row],[Plantings Per Bed]]/Crops[[#This Row],[Tray 3 Size]]*Crops[[#This Row],[Safety Factor]]),"")</f>
        <v/>
      </c>
      <c r="BG88" s="33">
        <f>Crops[[#This Row],[Plantings Per Bed]]/2.5</f>
        <v>200</v>
      </c>
      <c r="BH88" s="33">
        <v>2</v>
      </c>
      <c r="BI88" s="33">
        <v>7</v>
      </c>
      <c r="BJ88" s="33">
        <f>_xlfn.XLOOKUP(Crops[[#This Row],[ProductIndex]],Products[ID],Products[Holding Period])</f>
        <v>0</v>
      </c>
      <c r="BK88" s="33"/>
      <c r="BL88" s="33">
        <f>Crops[[#This Row],[Units Per Harvest]]*Crops[[#This Row],[Harvests]]</f>
        <v>400</v>
      </c>
      <c r="BM88" s="35">
        <v>3</v>
      </c>
      <c r="BN88" s="35">
        <v>1.1200000000000001</v>
      </c>
      <c r="BO88" s="35"/>
      <c r="BP88" t="s">
        <v>215</v>
      </c>
      <c r="BQ88">
        <f>Crops[[#This Row],[Custom Yield Per Bed]]*Crops[[#This Row],[Direct Price]]</f>
        <v>1200</v>
      </c>
      <c r="BR88" t="b">
        <v>1</v>
      </c>
      <c r="BS88" t="b">
        <f>Crops[[#This Row],[Harvests]]&gt;1</f>
        <v>1</v>
      </c>
      <c r="BT88" s="36">
        <f>IFERROR(Crops[[#This Row],[Direct Revenue Per Bed]]/Crops[[#This Row],[Days In Field]],-1)</f>
        <v>17.391304347826086</v>
      </c>
      <c r="BU88" s="36">
        <f>IFERROR(Crops[[#This Row],[Direct Revenue Per Bed Day]]*GrowingDays*BedsPerAcre,"")</f>
        <v>500869.5652173913</v>
      </c>
      <c r="BV88" s="38">
        <f>LastFrostDate-5*Crops[[#This Row],[Sewing Rel Last Frost]]</f>
        <v>45838</v>
      </c>
      <c r="BW88" s="38">
        <f>Crops[[#This Row],[Target Sewing Date]]+Crops[[#This Row],[Days in Cells]]</f>
        <v>45868</v>
      </c>
      <c r="BX88" s="38">
        <f>Crops[[#This Row],[Target Sewing Date]]+Crops[[#This Row],[STH]]</f>
        <v>45923</v>
      </c>
      <c r="BY88" s="38">
        <f>Crops[[#This Row],[Target Harvest Data]]+Crops[[#This Row],[Harvest window]]</f>
        <v>45937</v>
      </c>
      <c r="BZ88">
        <v>-18</v>
      </c>
      <c r="CB88">
        <f>1</f>
        <v>1</v>
      </c>
      <c r="CC88">
        <f>IF(Crops[[#This Row],[Transplanting]]&gt;0, 2, 3)*BedLength/StandardBedLength</f>
        <v>1</v>
      </c>
      <c r="CD88" s="173">
        <f>IF(Crops[[#This Row],[Days in Cells]]&lt;=0,0,Crops[[#This Row],[Plantings Per Bed]]/StartsPerHourSeeding+Crops[[#This Row],[Tray 1 Count]]*5/60)</f>
        <v>2.3111979166666665</v>
      </c>
      <c r="CE88" s="173">
        <f>IF(ISBLANK(Crops[[#This Row],[Tray 2 Days]]),0,Crops[[#This Row],[Plantings Per Bed]]/UpPottingPerHour)+IF(Crops[[#This Row],[Tray 3 Days]]="",0,Crops[[#This Row],[Plantings Per Bed]]/UpPottingPerHour)</f>
        <v>0</v>
      </c>
      <c r="CF88" s="173">
        <f>IFERROR(Crops[[#This Row],[Tray 1 Count]]/HomeStartFlatIrrigationPerHour,0)*Crops[[#This Row],[Days in Cells]]/DaysBetweenStartIrrigation</f>
        <v>0.537109375</v>
      </c>
      <c r="CG88" s="173">
        <f>0.5/16*MAX(Crops[[#This Row],[Tray 1 Count]],Crops[[#This Row],[Tray 2 Count]],Crops[[#This Row],[Tray 3 Count]])</f>
        <v>0.13427734375</v>
      </c>
      <c r="CH88" s="173">
        <f>IF(Crops[[#This Row],[Days in Cells]]&gt;0,IF(IF(Crops[[#This Row],[Tray 3 Size]]&gt;0,Crops[[#This Row],[Tray 3 Size]],IF(Crops[[#This Row],[Tray 2 Size]]&gt;0,Crops[[#This Row],[Tray 2 Size]],Crops[[#This Row],[Tray 1 Size]]))&lt;=18,LargeTransplantTime,SmallTransplantTime)*Crops[[#This Row],[Plantings Per Bed]],0)</f>
        <v>2.5</v>
      </c>
      <c r="CI88" s="173"/>
      <c r="CJ88" s="173">
        <f>_xlfn.XLOOKUP(Crops[[#This Row],[Trellis Type]],TrellisMethods[Trellis Type],TrellisMethods[Hours],0,0)</f>
        <v>0</v>
      </c>
      <c r="CK88">
        <f>IF(Crops[[#This Row],[Days in Cells]]&lt;=0,Crops[[#This Row],[Rows]]*1/10,0)*BedLength/50</f>
        <v>0</v>
      </c>
      <c r="CL88" cm="1">
        <f t="array" ref="CL88">_xlfn.SWITCH(Crops[[#This Row],[Irrigation]],"DR", 0.5, "OH", 0.25,0)*BedLength/50</f>
        <v>0</v>
      </c>
      <c r="CM88">
        <f>IF(OR(ISBLANK(Crops[[#This Row],[Row Cover]]),Crops[[#This Row],[Row Cover]]="None"),0,1)*BedLength/50</f>
        <v>0</v>
      </c>
      <c r="CN88" s="173">
        <f>HoursPerWeedingPass*Crops[[#This Row],[Days In Field]]/14*Crops[[#This Row],[Rows]]+1*BedLength/50</f>
        <v>5.1071428571428568</v>
      </c>
      <c r="CO88" s="49"/>
      <c r="CQ88" s="37">
        <f>_xlfn.XLOOKUP(Crops[[#This Row],[Crop]]&amp;Crops[[#This Row],[Product]]&amp;Crops[[#This Row],[Unit]],Products[ID],Products[Marketing (hr)])*Crops[[#This Row],[Direct Revenue Per Bed]]/2000</f>
        <v>1.2</v>
      </c>
      <c r="CR88" s="37">
        <f>_xlfn.XLOOKUP(Crops[[#This Row],[Crop]]&amp;Crops[[#This Row],[Product]]&amp;Crops[[#This Row],[Unit]],Products[ID],Products[Harvest (s)])*Crops[[#This Row],[Custom Yield Per Bed]]/3600</f>
        <v>1.1111111111111112</v>
      </c>
      <c r="CS88" s="37">
        <f>_xlfn.XLOOKUP(Crops[[#This Row],[Crop]]&amp;Crops[[#This Row],[Product]]&amp;Crops[[#This Row],[Unit]],Products[ID],Products[Bunch (s)])*Crops[[#This Row],[Custom Yield Per Bed]]/3600</f>
        <v>1.1111111111111112</v>
      </c>
      <c r="CT88" s="37">
        <f>_xlfn.XLOOKUP(Crops[[#This Row],[Crop]]&amp;Crops[[#This Row],[Product]]&amp;Crops[[#This Row],[Unit]],Products[ID],Products[Haul (s)])*Crops[[#This Row],[Custom Yield Per Bed]]/3600</f>
        <v>0.27777777777777779</v>
      </c>
      <c r="CU88" s="37">
        <f>_xlfn.XLOOKUP(Crops[[#This Row],[Crop]]&amp;Crops[[#This Row],[Product]]&amp;Crops[[#This Row],[Unit]],Products[ID],Products[Wash (s)])*Crops[[#This Row],[Custom Yield Per Bed]]/3600</f>
        <v>0</v>
      </c>
      <c r="CV88" s="37">
        <f>_xlfn.XLOOKUP(Crops[[#This Row],[Crop]]&amp;Crops[[#This Row],[Product]]&amp;Crops[[#This Row],[Unit]],Products[ID],Products[Condition (s)])*Crops[[#This Row],[Custom Yield Per Bed]]/3600</f>
        <v>0</v>
      </c>
      <c r="CW88" s="37">
        <f>_xlfn.XLOOKUP(Crops[[#This Row],[Crop]]&amp;Crops[[#This Row],[Product]]&amp;Crops[[#This Row],[Unit]],Products[ID],Products[Trim (s)])*Crops[[#This Row],[Custom Yield Per Bed]]/3600</f>
        <v>0.22222222222222221</v>
      </c>
      <c r="CX88" s="37">
        <f>_xlfn.XLOOKUP(Crops[[#This Row],[Crop]]&amp;Crops[[#This Row],[Product]]&amp;Crops[[#This Row],[Unit]],Products[ID],Products[Pack (s)])*Crops[[#This Row],[Custom Yield Per Bed]]/3600</f>
        <v>0.33333333333333331</v>
      </c>
      <c r="CY88" s="37">
        <f>_xlfn.XLOOKUP(Crops[[#This Row],[Crop]]&amp;Crops[[#This Row],[Product]]&amp;Crops[[#This Row],[Unit]],Products[ID],Products[Clean (s)])*Crops[[#This Row],[Custom Yield Per Bed]]/3600</f>
        <v>0</v>
      </c>
      <c r="CZ88" s="37">
        <f>_xlfn.XLOOKUP(Crops[[#This Row],[Crop]]&amp;Crops[[#This Row],[Product]]&amp;Crops[[#This Row],[Unit]],Products[ID],Products[Rehandle (s)])*Crops[[#This Row],[Custom Yield Per Bed]]/3600</f>
        <v>0</v>
      </c>
      <c r="DA88" s="37">
        <f>_xlfn.XLOOKUP(Crops[[#This Row],[Crop]]&amp;Crops[[#This Row],[Product]]&amp;Crops[[#This Row],[Unit]],Products[ID],Products[Market Transport (s)])*Crops[[#This Row],[Custom Yield Per Bed]]/3600</f>
        <v>0.69444444444444442</v>
      </c>
      <c r="DC88" s="37">
        <f>Crops[[#This Row],[Direct Revenue Per Bed2]]</f>
        <v>1200</v>
      </c>
      <c r="DD88" s="173">
        <f>_xlfn.AGGREGATE(9,6,Crops[[#This Row],[Bed Prep]:[Remove Crop Residue]])</f>
        <v>16.539727492559521</v>
      </c>
      <c r="DE88" s="173">
        <f>_xlfn.AGGREGATE(9,6,Crops[[#This Row],[Bed Prep]:[Remove Crop Residue]])-0.75*Crops[[#This Row],[Market &amp; Sell]]</f>
        <v>15.639727492559521</v>
      </c>
      <c r="DF88" s="36">
        <f>Crops[[#This Row],[Direct Revenue Per Bed2]]/Crops[[#This Row],[Direct Time]]</f>
        <v>72.552585920162585</v>
      </c>
      <c r="DG88" s="36">
        <f>_xlfn.XLOOKUP(Crops[[#This Row],[ProductIndex]],Products[ID],Products[Packaging Cost])*(Crops[[#This Row],[Custom Yield Per Bed]]/_xlfn.XLOOKUP(Crops[[#This Row],[ProductIndex]],Products[ID],Products[Units Per Pack]))</f>
        <v>42.222222222222221</v>
      </c>
      <c r="DH88" s="36"/>
      <c r="DI88" s="36"/>
      <c r="DJ88" s="36"/>
      <c r="DK88" s="36"/>
      <c r="DL88" s="36"/>
      <c r="DM88" s="33">
        <f>IFERROR(Crops[[#This Row],[Custom Yield Per Bed]]*Crops[[#This Row],[Direct Price]],"")</f>
        <v>1200</v>
      </c>
      <c r="DN88" s="36">
        <f>Crops[[#This Row],[Direct Time]]*LaborRate</f>
        <v>413.49318731398802</v>
      </c>
      <c r="DO88" s="36">
        <f>SUM(Crops[[#This Row],[Irrigation Cost]])</f>
        <v>0</v>
      </c>
      <c r="DP88" s="36">
        <f>Crops[[#This Row],[Direct Labor Cost]]+Crops[[#This Row],[Direct Non-Labor Cost]]</f>
        <v>413.49318731398802</v>
      </c>
      <c r="DQ88" s="36">
        <f>Crops[[#This Row],[Direct Revenue Per Bed2]]-Crops[[#This Row],[Direct Total Cost]]</f>
        <v>786.50681268601193</v>
      </c>
      <c r="DR88" s="36">
        <f>Crops[[#This Row],[Direct Profit]]*BedsPerAcre</f>
        <v>125841.09002976191</v>
      </c>
      <c r="DS88" s="36">
        <f>Crops[[#This Row],[Direct Profit]]*BedsPerAcre*GrowingDays/Crops[[#This Row],[Days In Field]]</f>
        <v>328281.1044254658</v>
      </c>
      <c r="DT88" s="36">
        <f>Crops[[#This Row],[Direct Profit]]/MIN(Crops[[#This Row],[Days In Field]],GrowingDays)</f>
        <v>11.398649459217564</v>
      </c>
      <c r="DU88" s="33">
        <f>Crops[[#This Row],[Direct Time]] * BedsPerAcre</f>
        <v>2646.3563988095234</v>
      </c>
      <c r="DV88" s="36">
        <f>(Crops[[#This Row],[Direct Revenue Per Bed2]]-Crops[[#This Row],[Direct Non-Labor Cost]])/Crops[[#This Row],[Direct Time]]</f>
        <v>72.552585920162585</v>
      </c>
      <c r="DW88" s="33">
        <f>IFERROR(Crops[[#This Row],[Custom Yield Per Bed]]*Crops[[#This Row],[Rough Wholesale Price]],"")</f>
        <v>448.00000000000006</v>
      </c>
      <c r="DX88" s="36">
        <f>Crops[[#This Row],[Wholesale Time]]*LaborRate</f>
        <v>390.99318731398802</v>
      </c>
      <c r="DY88" s="36">
        <f>SUM(Crops[[#This Row],[Packaging Costs]:[Irrigation Cost]])</f>
        <v>42.222222222222221</v>
      </c>
      <c r="DZ88" s="36">
        <f>Crops[[#This Row],[Wholesale Labor Cost]]+Crops[[#This Row],[Wholesale Non-Labor Cost]]</f>
        <v>433.21540953621025</v>
      </c>
      <c r="EA88" s="36">
        <f>Crops[[#This Row],[Wholesale Revenue Per Bed]]-Crops[[#This Row],[Wholesale Total Cost]]</f>
        <v>14.784590463789812</v>
      </c>
      <c r="EB88" s="36">
        <f>Crops[[#This Row],[Wholesale Profit]]*BedsPerAcre</f>
        <v>2365.5344742063699</v>
      </c>
      <c r="EC88" s="36">
        <f>Crops[[#This Row],[Wholesale Profit]]*BedsPerAcre*GrowingDays/Crops[[#This Row],[Days In Field]]</f>
        <v>6170.9594979296608</v>
      </c>
      <c r="ED88" s="33">
        <f>Crops[[#This Row],[Wholesale Time]] * BedsPerAcre</f>
        <v>2502.3563988095234</v>
      </c>
      <c r="EE88" s="221">
        <f>Crops[[#This Row],[Wholesale Profit]]/MIN(Crops[[#This Row],[Days In Field]],GrowingDays)</f>
        <v>0.21426942701144655</v>
      </c>
      <c r="EF88" s="36">
        <f>(Crops[[#This Row],[Wholesale Revenue Per Bed]]-Crops[[#This Row],[Wholesale Non-Labor Cost]])/Crops[[#This Row],[Direct Time]]</f>
        <v>24.533522572262388</v>
      </c>
      <c r="EG88" s="174">
        <f>Crops[[#This Row],[Packaging Costs]]/Crops[[#This Row],[Wholesale Revenue Per Bed]]</f>
        <v>9.424603174603173E-2</v>
      </c>
      <c r="EH88" s="36" t="str">
        <f>Crops[[#This Row],[Crop]]&amp;Crops[[#This Row],[Product]]&amp;Crops[[#This Row],[Unit]]</f>
        <v>CilantroLoose LeafBunch</v>
      </c>
      <c r="EI88" s="36" t="b">
        <f>_xlfn.XLOOKUP(Crops[[#This Row],[ProductIndex]],Products[ID],Products[Target])</f>
        <v>1</v>
      </c>
      <c r="EJ88" s="33">
        <f>Crops[[#This Row],[Custom Yield Per Bed]]</f>
        <v>400</v>
      </c>
      <c r="EK88" s="210">
        <f>Crops[[#This Row],[Units Per Harvest]]/Crops[[#This Row],[Days Between Harvest]]*7</f>
        <v>200</v>
      </c>
      <c r="EL88" s="210">
        <f>Crops[[#This Row],[Custom Yield Per Bed]]/_xlfn.XLOOKUP(Crops[[#This Row],[ProductIndex]],Products[ID],Products[CSA Portion])</f>
        <v>400</v>
      </c>
      <c r="EM88" s="210">
        <f>Crops[[#This Row],[Units Per Harvest]]/Crops[[#This Row],[Days Between Harvest]]*7/_xlfn.XLOOKUP(Crops[[#This Row],[ProductIndex]],Products[ID],Products[CSA Portion])</f>
        <v>200</v>
      </c>
      <c r="EN88" s="210">
        <f>Crops[[#This Row],[CSA Portions Per Week]]/CSAMembers</f>
        <v>4</v>
      </c>
      <c r="EO88" s="216">
        <v>0.5</v>
      </c>
      <c r="EP88" s="216">
        <v>1</v>
      </c>
      <c r="EQ88" s="210"/>
      <c r="ER88" s="210">
        <f>Crops[[#This Row],[Harvests]]*Crops[[#This Row],[Days Between Harvest]]/7</f>
        <v>2</v>
      </c>
      <c r="ES88" s="217">
        <f>_xlfn.XLOOKUP(Crops[[#This Row],[ProductIndex]],Products[ID],Products[CSA Need])</f>
        <v>5</v>
      </c>
      <c r="ET88" s="217">
        <f>_xlfn.XLOOKUP(Crops[[#This Row],[ProductIndex]],Products[ID],Products[CSA Times])</f>
        <v>5</v>
      </c>
      <c r="EU88" s="208">
        <f>Crops[[#This Row],[Custom Yield Per Bed]]/(Crops[[#This Row],[CSA Need]]*(_xlfn.XLOOKUP(Crops[[#This Row],[ProductIndex]],Products[ID],Products[CSA Portion])*CSAMembers))</f>
        <v>1.6</v>
      </c>
      <c r="EV88" s="208">
        <f>_xlfn.XLOOKUP(Crops[[#This Row],[ProductIndex]],Products[ID],Products[CSA Portion])*CSAMembers*Crops[[#This Row],[CSA Need]]/Crops[[#This Row],[Custom Yield Per Bed]]</f>
        <v>0.625</v>
      </c>
      <c r="EW88" s="208">
        <f>IFERROR(Crops[[#This Row],[Days In Field]]*Crops[[#This Row],[CSA Beds]],"")</f>
        <v>43.125</v>
      </c>
      <c r="EX88" s="208" t="e">
        <f>Crops[[#This Row],[CSA Bed Days]]*#REF!</f>
        <v>#REF!</v>
      </c>
      <c r="EY88" t="s">
        <v>1728</v>
      </c>
    </row>
    <row r="89" spans="1:158">
      <c r="A89"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TP Sp</v>
      </c>
      <c r="B89" s="27"/>
      <c r="C89" s="1" t="b">
        <v>1</v>
      </c>
      <c r="D89" s="1"/>
      <c r="E89" s="1" t="b">
        <v>0</v>
      </c>
      <c r="F89" s="1" t="b">
        <f>IFERROR(IF(ISNUMBER(MATCH(Crops[[#This Row],[Identifier]],BedPlan[Crop], 0)), TRUE, FALSE), FALSE)</f>
        <v>0</v>
      </c>
      <c r="G89" s="1" t="b">
        <f>IFERROR(IF(ISNUMBER(MATCH(Crops[[#This Row],[Identifier]],BedPlan[Crop], 0)), TRUE, FALSE), FALSE)</f>
        <v>0</v>
      </c>
      <c r="H89" s="1"/>
      <c r="I89" t="s">
        <v>62</v>
      </c>
      <c r="J89" t="s">
        <v>145</v>
      </c>
      <c r="K89" t="s">
        <v>190</v>
      </c>
      <c r="M89" t="s">
        <v>442</v>
      </c>
      <c r="N89" t="str">
        <f>Crops[[#This Row],[Crop]]</f>
        <v>Cilantro</v>
      </c>
      <c r="O89" t="s">
        <v>210</v>
      </c>
      <c r="P89" t="str">
        <f>IF(OR(Crops[[#This Row],[Days in Cells]]="",Crops[[#This Row],[Days in Cells]]=0), "DS","TP")</f>
        <v>TP</v>
      </c>
      <c r="Q89" t="s">
        <v>144</v>
      </c>
      <c r="V89" t="str">
        <f xml:space="preserve"> IF(Crops[[#This Row],[Sp]], "Sp", "") &amp; IF(Crops[[#This Row],[Su]], "Su", "") &amp; IF(Crops[[#This Row],[Fa]], "Fa", "") &amp; IF(Crops[[#This Row],[Wi]], "Wi", "") &amp; IF(Crops[[#This Row],[OW]], "Ow","")</f>
        <v>Sp</v>
      </c>
      <c r="W89" t="s">
        <v>144</v>
      </c>
      <c r="X89">
        <v>5</v>
      </c>
      <c r="Y89">
        <v>6</v>
      </c>
      <c r="AA89" t="s">
        <v>474</v>
      </c>
      <c r="AB89" t="b">
        <v>1</v>
      </c>
      <c r="AC89">
        <v>1</v>
      </c>
      <c r="AD89" s="32">
        <f>IFERROR(12/Crops[[#This Row],[Spacing]]*Crops[[#This Row],[Rows]]*BedLength,"")</f>
        <v>500</v>
      </c>
      <c r="AE89">
        <v>3</v>
      </c>
      <c r="AG89">
        <v>1.1000000000000001</v>
      </c>
      <c r="AH89">
        <f>1</f>
        <v>1</v>
      </c>
      <c r="AI89" s="33">
        <f>IFERROR(Crops[[#This Row],[Plantings Per Bed]]*Crops[[#This Row],[Seeds Per Planting]]*Crops[[#This Row],[Safety Factor]]*Crops[[#This Row],[Seeding Factor]],"")</f>
        <v>1650.0000000000002</v>
      </c>
      <c r="AL89">
        <f>_xlfn.FLOOR.MATH(IFERROR(AVERAGE(Crops[[#This Row],[DTG Lower]:[DTG Upper]]),0))</f>
        <v>0</v>
      </c>
      <c r="AM89">
        <f>SUM(Crops[[#This Row],[Tray 1 Days]],Crops[[#This Row],[Tray 2 Days]],Crops[[#This Row],[Tray 3 Days]])</f>
        <v>30</v>
      </c>
      <c r="AN89" s="32">
        <v>30</v>
      </c>
      <c r="AP89">
        <v>71</v>
      </c>
      <c r="AQ89">
        <f>IFERROR(_xlfn.FLOOR.MATH(AVERAGE(Crops[[#This Row],[DTM Lower]:[DTM Upper]])),"")</f>
        <v>71</v>
      </c>
      <c r="AR89" cm="1">
        <f t="array" ref="AR89">_xlfn.SWITCH(Crops[[#This Row],[Normal Method]],"DS",Crops[[#This Row],[Days to Germination]]+Crops[[#This Row],[DTM]] + IF(Crops[[#This Row],[Days in Cells]]&gt;0,15,0), "TP",Crops[[#This Row],[DTM]]+Crops[[#This Row],[Days in Cells]] + IF(Crops[[#This Row],[Days in Cells]]&lt;=0,20,0), "X", Crops[[#This Row],[DTM]])</f>
        <v>101</v>
      </c>
      <c r="AS89" t="s">
        <v>346</v>
      </c>
      <c r="AT89">
        <f>(Crops[[#This Row],[Harvests]]-1)*Crops[[#This Row],[Days Between Harvest]]+7</f>
        <v>14</v>
      </c>
      <c r="AU89">
        <f>Crops[[#This Row],[STH]]-Crops[[#This Row],[Days in Cells]]+Crops[[#This Row],[Harvest window]]</f>
        <v>85</v>
      </c>
      <c r="AX89">
        <v>128</v>
      </c>
      <c r="AY89">
        <v>30</v>
      </c>
      <c r="AZ89" s="49">
        <f>IFERROR(IF(Crops[[#This Row],[Tray 1 Days]]=0,"",Crops[[#This Row],[Plantings Per Bed]]/Crops[[#This Row],[Tray 1 Size]]*Crops[[#This Row],[Safety Factor]]),"")</f>
        <v>4.296875</v>
      </c>
      <c r="BC89" t="str">
        <f>IFERROR(IF(Crops[[#This Row],[Tray 2 Days]]=0,"",Crops[[#This Row],[Plantings Per Bed]]/Crops[[#This Row],[Tray 2 Size]]*Crops[[#This Row],[Safety Factor]]),"")</f>
        <v/>
      </c>
      <c r="BE89" s="32" t="str">
        <f>IF(NOT(ISBLANK(Crops[[#This Row],[Tray 3 Size]])), Crops[[#This Row],[Days in Cells Old]]-SUM(Crops[[#This Row],[Tray 1 Days]],Crops[[#This Row],[Tray 2 Days]]), "")</f>
        <v/>
      </c>
      <c r="BF89" s="49" t="str">
        <f>IFERROR(IF(Crops[[#This Row],[Tray 3 Days]]=0,"",Crops[[#This Row],[Plantings Per Bed]]/Crops[[#This Row],[Tray 3 Size]]*Crops[[#This Row],[Safety Factor]]),"")</f>
        <v/>
      </c>
      <c r="BG89" s="33">
        <f>Crops[[#This Row],[Plantings Per Bed]]/2.5</f>
        <v>200</v>
      </c>
      <c r="BH89" s="33">
        <v>2</v>
      </c>
      <c r="BI89" s="33">
        <v>7</v>
      </c>
      <c r="BJ89" s="33">
        <f>_xlfn.XLOOKUP(Crops[[#This Row],[ProductIndex]],Products[ID],Products[Holding Period])</f>
        <v>0</v>
      </c>
      <c r="BK89" s="33"/>
      <c r="BL89" s="33">
        <f>Crops[[#This Row],[Units Per Harvest]]*Crops[[#This Row],[Harvests]]</f>
        <v>400</v>
      </c>
      <c r="BM89" s="35">
        <v>3</v>
      </c>
      <c r="BN89" s="35">
        <v>1.1200000000000001</v>
      </c>
      <c r="BO89" s="35"/>
      <c r="BP89" t="s">
        <v>215</v>
      </c>
      <c r="BQ89">
        <f>Crops[[#This Row],[Custom Yield Per Bed]]*Crops[[#This Row],[Direct Price]]</f>
        <v>1200</v>
      </c>
      <c r="BR89" t="b">
        <v>1</v>
      </c>
      <c r="BS89" t="b">
        <f>Crops[[#This Row],[Harvests]]&gt;1</f>
        <v>1</v>
      </c>
      <c r="BT89" s="36">
        <f>IFERROR(Crops[[#This Row],[Direct Revenue Per Bed]]/Crops[[#This Row],[Days In Field]],-1)</f>
        <v>14.117647058823529</v>
      </c>
      <c r="BU89" s="36">
        <f>IFERROR(Crops[[#This Row],[Direct Revenue Per Bed Day]]*GrowingDays*BedsPerAcre,"")</f>
        <v>406588.23529411759</v>
      </c>
      <c r="BV89" s="38">
        <f>LastFrostDate-5*Crops[[#This Row],[Sewing Rel Last Frost]]</f>
        <v>45728</v>
      </c>
      <c r="BW89" s="38">
        <f>Crops[[#This Row],[Target Sewing Date]]+Crops[[#This Row],[Days in Cells]]</f>
        <v>45758</v>
      </c>
      <c r="BX89" s="38">
        <f>Crops[[#This Row],[Target Sewing Date]]+Crops[[#This Row],[STH]]</f>
        <v>45829</v>
      </c>
      <c r="BY89" s="38">
        <f>Crops[[#This Row],[Target Harvest Data]]+Crops[[#This Row],[Harvest window]]</f>
        <v>45843</v>
      </c>
      <c r="BZ89">
        <v>4</v>
      </c>
      <c r="CB89">
        <f>1</f>
        <v>1</v>
      </c>
      <c r="CC89">
        <f>IF(Crops[[#This Row],[Transplanting]]&gt;0, 2, 3)*BedLength/StandardBedLength</f>
        <v>1</v>
      </c>
      <c r="CD89" s="173">
        <f>IF(Crops[[#This Row],[Days in Cells]]&lt;=0,0,Crops[[#This Row],[Plantings Per Bed]]/StartsPerHourSeeding+Crops[[#This Row],[Tray 1 Count]]*5/60)</f>
        <v>2.3111979166666665</v>
      </c>
      <c r="CE89" s="173">
        <f>IF(ISBLANK(Crops[[#This Row],[Tray 2 Days]]),0,Crops[[#This Row],[Plantings Per Bed]]/UpPottingPerHour)+IF(Crops[[#This Row],[Tray 3 Days]]="",0,Crops[[#This Row],[Plantings Per Bed]]/UpPottingPerHour)</f>
        <v>0</v>
      </c>
      <c r="CF89" s="173">
        <f>IFERROR(Crops[[#This Row],[Tray 1 Count]]/HomeStartFlatIrrigationPerHour,0)*Crops[[#This Row],[Days in Cells]]/DaysBetweenStartIrrigation</f>
        <v>0.537109375</v>
      </c>
      <c r="CG89" s="173">
        <f>0.5/16*MAX(Crops[[#This Row],[Tray 1 Count]],Crops[[#This Row],[Tray 2 Count]],Crops[[#This Row],[Tray 3 Count]])</f>
        <v>0.13427734375</v>
      </c>
      <c r="CH89" s="173">
        <f>IF(Crops[[#This Row],[Days in Cells]]&gt;0,IF(IF(Crops[[#This Row],[Tray 3 Size]]&gt;0,Crops[[#This Row],[Tray 3 Size]],IF(Crops[[#This Row],[Tray 2 Size]]&gt;0,Crops[[#This Row],[Tray 2 Size]],Crops[[#This Row],[Tray 1 Size]]))&lt;=18,LargeTransplantTime,SmallTransplantTime)*Crops[[#This Row],[Plantings Per Bed]],0)</f>
        <v>2.5</v>
      </c>
      <c r="CI89" s="173"/>
      <c r="CJ89" s="173">
        <f>_xlfn.XLOOKUP(Crops[[#This Row],[Trellis Type]],TrellisMethods[Trellis Type],TrellisMethods[Hours],0,0)</f>
        <v>0</v>
      </c>
      <c r="CK89">
        <f>IF(Crops[[#This Row],[Days in Cells]]&lt;=0,Crops[[#This Row],[Rows]]*1/10,0)*BedLength/50</f>
        <v>0</v>
      </c>
      <c r="CL89" cm="1">
        <f t="array" ref="CL89">_xlfn.SWITCH(Crops[[#This Row],[Irrigation]],"DR", 0.5, "OH", 0.25,0)*BedLength/50</f>
        <v>0</v>
      </c>
      <c r="CM89">
        <f>IF(OR(ISBLANK(Crops[[#This Row],[Row Cover]]),Crops[[#This Row],[Row Cover]]="None"),0,1)*BedLength/50</f>
        <v>0</v>
      </c>
      <c r="CN89" s="173">
        <f>HoursPerWeedingPass*Crops[[#This Row],[Days In Field]]/14*Crops[[#This Row],[Rows]]+1*BedLength/50</f>
        <v>6.0595238095238093</v>
      </c>
      <c r="CO89" s="49"/>
      <c r="CQ89" s="37">
        <f>_xlfn.XLOOKUP(Crops[[#This Row],[Crop]]&amp;Crops[[#This Row],[Product]]&amp;Crops[[#This Row],[Unit]],Products[ID],Products[Marketing (hr)])*Crops[[#This Row],[Direct Revenue Per Bed]]/2000</f>
        <v>1.2</v>
      </c>
      <c r="CR89" s="37">
        <f>_xlfn.XLOOKUP(Crops[[#This Row],[Crop]]&amp;Crops[[#This Row],[Product]]&amp;Crops[[#This Row],[Unit]],Products[ID],Products[Harvest (s)])*Crops[[#This Row],[Custom Yield Per Bed]]/3600</f>
        <v>1.1111111111111112</v>
      </c>
      <c r="CS89" s="37">
        <f>_xlfn.XLOOKUP(Crops[[#This Row],[Crop]]&amp;Crops[[#This Row],[Product]]&amp;Crops[[#This Row],[Unit]],Products[ID],Products[Bunch (s)])*Crops[[#This Row],[Custom Yield Per Bed]]/3600</f>
        <v>1.1111111111111112</v>
      </c>
      <c r="CT89" s="37">
        <f>_xlfn.XLOOKUP(Crops[[#This Row],[Crop]]&amp;Crops[[#This Row],[Product]]&amp;Crops[[#This Row],[Unit]],Products[ID],Products[Haul (s)])*Crops[[#This Row],[Custom Yield Per Bed]]/3600</f>
        <v>0.27777777777777779</v>
      </c>
      <c r="CU89" s="37">
        <f>_xlfn.XLOOKUP(Crops[[#This Row],[Crop]]&amp;Crops[[#This Row],[Product]]&amp;Crops[[#This Row],[Unit]],Products[ID],Products[Wash (s)])*Crops[[#This Row],[Custom Yield Per Bed]]/3600</f>
        <v>0</v>
      </c>
      <c r="CV89" s="37">
        <f>_xlfn.XLOOKUP(Crops[[#This Row],[Crop]]&amp;Crops[[#This Row],[Product]]&amp;Crops[[#This Row],[Unit]],Products[ID],Products[Condition (s)])*Crops[[#This Row],[Custom Yield Per Bed]]/3600</f>
        <v>0</v>
      </c>
      <c r="CW89" s="37">
        <f>_xlfn.XLOOKUP(Crops[[#This Row],[Crop]]&amp;Crops[[#This Row],[Product]]&amp;Crops[[#This Row],[Unit]],Products[ID],Products[Trim (s)])*Crops[[#This Row],[Custom Yield Per Bed]]/3600</f>
        <v>0.22222222222222221</v>
      </c>
      <c r="CX89" s="37">
        <f>_xlfn.XLOOKUP(Crops[[#This Row],[Crop]]&amp;Crops[[#This Row],[Product]]&amp;Crops[[#This Row],[Unit]],Products[ID],Products[Pack (s)])*Crops[[#This Row],[Custom Yield Per Bed]]/3600</f>
        <v>0.33333333333333331</v>
      </c>
      <c r="CY89" s="37">
        <f>_xlfn.XLOOKUP(Crops[[#This Row],[Crop]]&amp;Crops[[#This Row],[Product]]&amp;Crops[[#This Row],[Unit]],Products[ID],Products[Clean (s)])*Crops[[#This Row],[Custom Yield Per Bed]]/3600</f>
        <v>0</v>
      </c>
      <c r="CZ89" s="37">
        <f>_xlfn.XLOOKUP(Crops[[#This Row],[Crop]]&amp;Crops[[#This Row],[Product]]&amp;Crops[[#This Row],[Unit]],Products[ID],Products[Rehandle (s)])*Crops[[#This Row],[Custom Yield Per Bed]]/3600</f>
        <v>0</v>
      </c>
      <c r="DA89" s="37">
        <f>_xlfn.XLOOKUP(Crops[[#This Row],[Crop]]&amp;Crops[[#This Row],[Product]]&amp;Crops[[#This Row],[Unit]],Products[ID],Products[Market Transport (s)])*Crops[[#This Row],[Custom Yield Per Bed]]/3600</f>
        <v>0.69444444444444442</v>
      </c>
      <c r="DC89" s="37">
        <f>Crops[[#This Row],[Direct Revenue Per Bed2]]</f>
        <v>1200</v>
      </c>
      <c r="DD89" s="173">
        <f>_xlfn.AGGREGATE(9,6,Crops[[#This Row],[Bed Prep]:[Remove Crop Residue]])</f>
        <v>17.49210844494047</v>
      </c>
      <c r="DE89" s="173">
        <f>_xlfn.AGGREGATE(9,6,Crops[[#This Row],[Bed Prep]:[Remove Crop Residue]])-0.75*Crops[[#This Row],[Market &amp; Sell]]</f>
        <v>16.592108444940472</v>
      </c>
      <c r="DF89" s="36">
        <f>Crops[[#This Row],[Direct Revenue Per Bed2]]/Crops[[#This Row],[Direct Time]]</f>
        <v>68.602364533538875</v>
      </c>
      <c r="DG89" s="36">
        <f>_xlfn.XLOOKUP(Crops[[#This Row],[ProductIndex]],Products[ID],Products[Packaging Cost])*(Crops[[#This Row],[Custom Yield Per Bed]]/_xlfn.XLOOKUP(Crops[[#This Row],[ProductIndex]],Products[ID],Products[Units Per Pack]))</f>
        <v>42.222222222222221</v>
      </c>
      <c r="DH89" s="36"/>
      <c r="DI89" s="36"/>
      <c r="DJ89" s="36"/>
      <c r="DK89" s="36"/>
      <c r="DL89" s="36"/>
      <c r="DM89" s="33">
        <f>IFERROR(Crops[[#This Row],[Custom Yield Per Bed]]*Crops[[#This Row],[Direct Price]],"")</f>
        <v>1200</v>
      </c>
      <c r="DN89" s="36">
        <f>Crops[[#This Row],[Direct Time]]*LaborRate</f>
        <v>437.30271112351176</v>
      </c>
      <c r="DO89" s="36">
        <f>SUM(Crops[[#This Row],[Irrigation Cost]])</f>
        <v>0</v>
      </c>
      <c r="DP89" s="36">
        <f>Crops[[#This Row],[Direct Labor Cost]]+Crops[[#This Row],[Direct Non-Labor Cost]]</f>
        <v>437.30271112351176</v>
      </c>
      <c r="DQ89" s="36">
        <f>Crops[[#This Row],[Direct Revenue Per Bed2]]-Crops[[#This Row],[Direct Total Cost]]</f>
        <v>762.6972888764883</v>
      </c>
      <c r="DR89" s="36">
        <f>Crops[[#This Row],[Direct Profit]]*BedsPerAcre</f>
        <v>122031.56622023814</v>
      </c>
      <c r="DS89" s="36">
        <f>Crops[[#This Row],[Direct Profit]]*BedsPerAcre*GrowingDays/Crops[[#This Row],[Days In Field]]</f>
        <v>258419.78728991607</v>
      </c>
      <c r="DT89" s="36">
        <f>Crops[[#This Row],[Direct Profit]]/MIN(Crops[[#This Row],[Days In Field]],GrowingDays)</f>
        <v>8.9729092808998629</v>
      </c>
      <c r="DU89" s="33">
        <f>Crops[[#This Row],[Direct Time]] * BedsPerAcre</f>
        <v>2798.7373511904752</v>
      </c>
      <c r="DV89" s="36">
        <f>(Crops[[#This Row],[Direct Revenue Per Bed2]]-Crops[[#This Row],[Direct Non-Labor Cost]])/Crops[[#This Row],[Direct Time]]</f>
        <v>68.602364533538875</v>
      </c>
      <c r="DW89" s="33">
        <f>IFERROR(Crops[[#This Row],[Custom Yield Per Bed]]*Crops[[#This Row],[Rough Wholesale Price]],"")</f>
        <v>448.00000000000006</v>
      </c>
      <c r="DX89" s="36">
        <f>Crops[[#This Row],[Wholesale Time]]*LaborRate</f>
        <v>414.80271112351181</v>
      </c>
      <c r="DY89" s="36">
        <f>SUM(Crops[[#This Row],[Packaging Costs]:[Irrigation Cost]])</f>
        <v>42.222222222222221</v>
      </c>
      <c r="DZ89" s="36">
        <f>Crops[[#This Row],[Wholesale Labor Cost]]+Crops[[#This Row],[Wholesale Non-Labor Cost]]</f>
        <v>457.02493334573404</v>
      </c>
      <c r="EA89" s="36">
        <f>Crops[[#This Row],[Wholesale Revenue Per Bed]]-Crops[[#This Row],[Wholesale Total Cost]]</f>
        <v>-9.0249333457339844</v>
      </c>
      <c r="EB89" s="36">
        <f>Crops[[#This Row],[Wholesale Profit]]*BedsPerAcre</f>
        <v>-1443.9893353174375</v>
      </c>
      <c r="EC89" s="36">
        <f>Crops[[#This Row],[Wholesale Profit]]*BedsPerAcre*GrowingDays/Crops[[#This Row],[Days In Field]]</f>
        <v>-3057.859768907515</v>
      </c>
      <c r="ED89" s="33">
        <f>Crops[[#This Row],[Wholesale Time]] * BedsPerAcre</f>
        <v>2654.7373511904752</v>
      </c>
      <c r="EE89" s="221">
        <f>Crops[[#This Row],[Wholesale Profit]]/MIN(Crops[[#This Row],[Days In Field]],GrowingDays)</f>
        <v>-0.10617568642039982</v>
      </c>
      <c r="EF89" s="36">
        <f>(Crops[[#This Row],[Wholesale Revenue Per Bed]]-Crops[[#This Row],[Wholesale Non-Labor Cost]])/Crops[[#This Row],[Direct Time]]</f>
        <v>23.197762525600371</v>
      </c>
      <c r="EG89" s="174">
        <f>Crops[[#This Row],[Packaging Costs]]/Crops[[#This Row],[Wholesale Revenue Per Bed]]</f>
        <v>9.424603174603173E-2</v>
      </c>
      <c r="EH89" s="36" t="str">
        <f>Crops[[#This Row],[Crop]]&amp;Crops[[#This Row],[Product]]&amp;Crops[[#This Row],[Unit]]</f>
        <v>CilantroLoose LeafBunch</v>
      </c>
      <c r="EI89" s="36" t="b">
        <f>_xlfn.XLOOKUP(Crops[[#This Row],[ProductIndex]],Products[ID],Products[Target])</f>
        <v>1</v>
      </c>
      <c r="EJ89" s="33">
        <f>Crops[[#This Row],[Custom Yield Per Bed]]</f>
        <v>400</v>
      </c>
      <c r="EK89" s="210">
        <f>Crops[[#This Row],[Units Per Harvest]]/Crops[[#This Row],[Days Between Harvest]]*7</f>
        <v>200</v>
      </c>
      <c r="EL89" s="210">
        <f>Crops[[#This Row],[Custom Yield Per Bed]]/_xlfn.XLOOKUP(Crops[[#This Row],[ProductIndex]],Products[ID],Products[CSA Portion])</f>
        <v>400</v>
      </c>
      <c r="EM89" s="210">
        <f>Crops[[#This Row],[Units Per Harvest]]/Crops[[#This Row],[Days Between Harvest]]*7/_xlfn.XLOOKUP(Crops[[#This Row],[ProductIndex]],Products[ID],Products[CSA Portion])</f>
        <v>200</v>
      </c>
      <c r="EN89" s="210">
        <f>Crops[[#This Row],[CSA Portions Per Week]]/CSAMembers</f>
        <v>4</v>
      </c>
      <c r="EO89" s="216">
        <v>0.5</v>
      </c>
      <c r="EP89" s="216">
        <v>2</v>
      </c>
      <c r="EQ89" s="210"/>
      <c r="ER89" s="210">
        <f>Crops[[#This Row],[Harvests]]*Crops[[#This Row],[Days Between Harvest]]/7</f>
        <v>2</v>
      </c>
      <c r="ES89" s="217">
        <f>_xlfn.XLOOKUP(Crops[[#This Row],[ProductIndex]],Products[ID],Products[CSA Need])</f>
        <v>5</v>
      </c>
      <c r="ET89" s="217">
        <f>_xlfn.XLOOKUP(Crops[[#This Row],[ProductIndex]],Products[ID],Products[CSA Times])</f>
        <v>5</v>
      </c>
      <c r="EU89" s="208">
        <f>Crops[[#This Row],[Custom Yield Per Bed]]/(Crops[[#This Row],[CSA Need]]*(_xlfn.XLOOKUP(Crops[[#This Row],[ProductIndex]],Products[ID],Products[CSA Portion])*CSAMembers))</f>
        <v>1.6</v>
      </c>
      <c r="EV89" s="208">
        <f>_xlfn.XLOOKUP(Crops[[#This Row],[ProductIndex]],Products[ID],Products[CSA Portion])*CSAMembers*Crops[[#This Row],[CSA Need]]/Crops[[#This Row],[Custom Yield Per Bed]]</f>
        <v>0.625</v>
      </c>
      <c r="EW89" s="208">
        <f>IFERROR(Crops[[#This Row],[Days In Field]]*Crops[[#This Row],[CSA Beds]],"")</f>
        <v>53.125</v>
      </c>
      <c r="EX89" s="208" t="e">
        <f>Crops[[#This Row],[CSA Bed Days]]*#REF!</f>
        <v>#REF!</v>
      </c>
      <c r="EY89" t="s">
        <v>319</v>
      </c>
    </row>
    <row r="90" spans="1:158">
      <c r="A90"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TP Su</v>
      </c>
      <c r="B90" s="27"/>
      <c r="C90" s="1" t="b">
        <v>1</v>
      </c>
      <c r="D90" s="1"/>
      <c r="E90" s="1" t="b">
        <v>0</v>
      </c>
      <c r="F90" s="1" t="b">
        <f>IFERROR(IF(ISNUMBER(MATCH(Crops[[#This Row],[Identifier]],BedPlan[Crop], 0)), TRUE, FALSE), FALSE)</f>
        <v>1</v>
      </c>
      <c r="G90" s="1" t="b">
        <f>IFERROR(IF(ISNUMBER(MATCH(Crops[[#This Row],[Identifier]],BedPlan[Crop], 0)), TRUE, FALSE), FALSE)</f>
        <v>1</v>
      </c>
      <c r="H90" s="1"/>
      <c r="I90" t="s">
        <v>62</v>
      </c>
      <c r="J90" t="s">
        <v>145</v>
      </c>
      <c r="K90" t="s">
        <v>190</v>
      </c>
      <c r="M90" t="s">
        <v>442</v>
      </c>
      <c r="N90" t="str">
        <f>Crops[[#This Row],[Crop]]</f>
        <v>Cilantro</v>
      </c>
      <c r="O90" t="s">
        <v>210</v>
      </c>
      <c r="P90" t="str">
        <f>IF(OR(Crops[[#This Row],[Days in Cells]]="",Crops[[#This Row],[Days in Cells]]=0), "DS","TP")</f>
        <v>TP</v>
      </c>
      <c r="R90" t="b">
        <v>1</v>
      </c>
      <c r="V90" t="str">
        <f xml:space="preserve"> IF(Crops[[#This Row],[Sp]], "Sp", "") &amp; IF(Crops[[#This Row],[Su]], "Su", "") &amp; IF(Crops[[#This Row],[Fa]], "Fa", "") &amp; IF(Crops[[#This Row],[Wi]], "Wi", "") &amp; IF(Crops[[#This Row],[OW]], "Ow","")</f>
        <v>Su</v>
      </c>
      <c r="W90" t="s">
        <v>144</v>
      </c>
      <c r="X90">
        <v>5</v>
      </c>
      <c r="Y90">
        <v>6</v>
      </c>
      <c r="AA90" t="s">
        <v>474</v>
      </c>
      <c r="AB90" t="b">
        <v>1</v>
      </c>
      <c r="AC90">
        <v>1</v>
      </c>
      <c r="AD90" s="32">
        <f>IFERROR(12/Crops[[#This Row],[Spacing]]*Crops[[#This Row],[Rows]]*BedLength,"")</f>
        <v>500</v>
      </c>
      <c r="AE90">
        <v>3</v>
      </c>
      <c r="AG90">
        <v>1.1000000000000001</v>
      </c>
      <c r="AH90">
        <f>1</f>
        <v>1</v>
      </c>
      <c r="AI90" s="33">
        <f>IFERROR(Crops[[#This Row],[Plantings Per Bed]]*Crops[[#This Row],[Seeds Per Planting]]*Crops[[#This Row],[Safety Factor]]*Crops[[#This Row],[Seeding Factor]],"")</f>
        <v>1650.0000000000002</v>
      </c>
      <c r="AL90">
        <f>_xlfn.FLOOR.MATH(IFERROR(AVERAGE(Crops[[#This Row],[DTG Lower]:[DTG Upper]]),0))</f>
        <v>0</v>
      </c>
      <c r="AM90">
        <f>SUM(Crops[[#This Row],[Tray 1 Days]],Crops[[#This Row],[Tray 2 Days]],Crops[[#This Row],[Tray 3 Days]])</f>
        <v>30</v>
      </c>
      <c r="AN90" s="32">
        <v>30</v>
      </c>
      <c r="AP90">
        <v>50</v>
      </c>
      <c r="AQ90">
        <f>IFERROR(_xlfn.FLOOR.MATH(AVERAGE(Crops[[#This Row],[DTM Lower]:[DTM Upper]])),"")</f>
        <v>50</v>
      </c>
      <c r="AR90" cm="1">
        <f t="array" ref="AR90">_xlfn.SWITCH(Crops[[#This Row],[Normal Method]],"DS",Crops[[#This Row],[Days to Germination]]+Crops[[#This Row],[DTM]] + IF(Crops[[#This Row],[Days in Cells]]&gt;0,15,0), "TP",Crops[[#This Row],[DTM]]+Crops[[#This Row],[Days in Cells]] + IF(Crops[[#This Row],[Days in Cells]]&lt;=0,20,0), "X", Crops[[#This Row],[DTM]])</f>
        <v>80</v>
      </c>
      <c r="AS90" t="s">
        <v>346</v>
      </c>
      <c r="AT90">
        <f>(Crops[[#This Row],[Harvests]]-1)*Crops[[#This Row],[Days Between Harvest]]+7</f>
        <v>14</v>
      </c>
      <c r="AU90">
        <f>Crops[[#This Row],[STH]]-Crops[[#This Row],[Days in Cells]]+Crops[[#This Row],[Harvest window]]</f>
        <v>64</v>
      </c>
      <c r="AX90">
        <v>128</v>
      </c>
      <c r="AY90">
        <v>30</v>
      </c>
      <c r="AZ90" s="49">
        <f>IFERROR(IF(Crops[[#This Row],[Tray 1 Days]]=0,"",Crops[[#This Row],[Plantings Per Bed]]/Crops[[#This Row],[Tray 1 Size]]*Crops[[#This Row],[Safety Factor]]),"")</f>
        <v>4.296875</v>
      </c>
      <c r="BC90" t="str">
        <f>IFERROR(IF(Crops[[#This Row],[Tray 2 Days]]=0,"",Crops[[#This Row],[Plantings Per Bed]]/Crops[[#This Row],[Tray 2 Size]]*Crops[[#This Row],[Safety Factor]]),"")</f>
        <v/>
      </c>
      <c r="BE90" s="32" t="str">
        <f>IF(NOT(ISBLANK(Crops[[#This Row],[Tray 3 Size]])), Crops[[#This Row],[Days in Cells Old]]-SUM(Crops[[#This Row],[Tray 1 Days]],Crops[[#This Row],[Tray 2 Days]]), "")</f>
        <v/>
      </c>
      <c r="BF90" s="49" t="str">
        <f>IFERROR(IF(Crops[[#This Row],[Tray 3 Days]]=0,"",Crops[[#This Row],[Plantings Per Bed]]/Crops[[#This Row],[Tray 3 Size]]*Crops[[#This Row],[Safety Factor]]),"")</f>
        <v/>
      </c>
      <c r="BG90" s="33">
        <f>Crops[[#This Row],[Plantings Per Bed]]/2.5</f>
        <v>200</v>
      </c>
      <c r="BH90" s="33">
        <v>2</v>
      </c>
      <c r="BI90" s="33">
        <v>7</v>
      </c>
      <c r="BJ90" s="33">
        <f>_xlfn.XLOOKUP(Crops[[#This Row],[ProductIndex]],Products[ID],Products[Holding Period])</f>
        <v>0</v>
      </c>
      <c r="BK90" s="33"/>
      <c r="BL90" s="33">
        <f>Crops[[#This Row],[Units Per Harvest]]*Crops[[#This Row],[Harvests]]</f>
        <v>400</v>
      </c>
      <c r="BM90" s="35">
        <v>3</v>
      </c>
      <c r="BN90" s="35">
        <v>1.1200000000000001</v>
      </c>
      <c r="BO90" s="35"/>
      <c r="BP90" t="s">
        <v>215</v>
      </c>
      <c r="BQ90">
        <f>Crops[[#This Row],[Custom Yield Per Bed]]*Crops[[#This Row],[Direct Price]]</f>
        <v>1200</v>
      </c>
      <c r="BR90" t="b">
        <v>1</v>
      </c>
      <c r="BS90" t="b">
        <f>Crops[[#This Row],[Harvests]]&gt;1</f>
        <v>1</v>
      </c>
      <c r="BT90" s="36">
        <f>IFERROR(Crops[[#This Row],[Direct Revenue Per Bed]]/Crops[[#This Row],[Days In Field]],-1)</f>
        <v>18.75</v>
      </c>
      <c r="BU90" s="36">
        <f>IFERROR(Crops[[#This Row],[Direct Revenue Per Bed Day]]*GrowingDays*BedsPerAcre,"")</f>
        <v>540000</v>
      </c>
      <c r="BV90" s="38">
        <f>LastFrostDate-5*Crops[[#This Row],[Sewing Rel Last Frost]]</f>
        <v>45728</v>
      </c>
      <c r="BW90" s="38">
        <f>Crops[[#This Row],[Target Sewing Date]]+Crops[[#This Row],[Days in Cells]]</f>
        <v>45758</v>
      </c>
      <c r="BX90" s="38">
        <f>Crops[[#This Row],[Target Sewing Date]]+Crops[[#This Row],[STH]]</f>
        <v>45808</v>
      </c>
      <c r="BY90" s="38">
        <f>Crops[[#This Row],[Target Harvest Data]]+Crops[[#This Row],[Harvest window]]</f>
        <v>45822</v>
      </c>
      <c r="BZ90">
        <v>4</v>
      </c>
      <c r="CB90">
        <f>1</f>
        <v>1</v>
      </c>
      <c r="CC90">
        <f>IF(Crops[[#This Row],[Transplanting]]&gt;0, 2, 3)*BedLength/StandardBedLength</f>
        <v>1</v>
      </c>
      <c r="CD90" s="173">
        <f>IF(Crops[[#This Row],[Days in Cells]]&lt;=0,0,Crops[[#This Row],[Plantings Per Bed]]/StartsPerHourSeeding+Crops[[#This Row],[Tray 1 Count]]*5/60)</f>
        <v>2.3111979166666665</v>
      </c>
      <c r="CE90" s="173">
        <f>IF(ISBLANK(Crops[[#This Row],[Tray 2 Days]]),0,Crops[[#This Row],[Plantings Per Bed]]/UpPottingPerHour)+IF(Crops[[#This Row],[Tray 3 Days]]="",0,Crops[[#This Row],[Plantings Per Bed]]/UpPottingPerHour)</f>
        <v>0</v>
      </c>
      <c r="CF90" s="173">
        <f>IFERROR(Crops[[#This Row],[Tray 1 Count]]/HomeStartFlatIrrigationPerHour,0)*Crops[[#This Row],[Days in Cells]]/DaysBetweenStartIrrigation</f>
        <v>0.537109375</v>
      </c>
      <c r="CG90" s="173">
        <f>0.5/16*MAX(Crops[[#This Row],[Tray 1 Count]],Crops[[#This Row],[Tray 2 Count]],Crops[[#This Row],[Tray 3 Count]])</f>
        <v>0.13427734375</v>
      </c>
      <c r="CH90" s="173">
        <f>IF(Crops[[#This Row],[Days in Cells]]&gt;0,IF(IF(Crops[[#This Row],[Tray 3 Size]]&gt;0,Crops[[#This Row],[Tray 3 Size]],IF(Crops[[#This Row],[Tray 2 Size]]&gt;0,Crops[[#This Row],[Tray 2 Size]],Crops[[#This Row],[Tray 1 Size]]))&lt;=18,LargeTransplantTime,SmallTransplantTime)*Crops[[#This Row],[Plantings Per Bed]],0)</f>
        <v>2.5</v>
      </c>
      <c r="CI90" s="173"/>
      <c r="CJ90" s="173">
        <f>_xlfn.XLOOKUP(Crops[[#This Row],[Trellis Type]],TrellisMethods[Trellis Type],TrellisMethods[Hours],0,0)</f>
        <v>0</v>
      </c>
      <c r="CK90">
        <f>IF(Crops[[#This Row],[Days in Cells]]&lt;=0,Crops[[#This Row],[Rows]]*1/10,0)*BedLength/50</f>
        <v>0</v>
      </c>
      <c r="CL90" cm="1">
        <f t="array" ref="CL90">_xlfn.SWITCH(Crops[[#This Row],[Irrigation]],"DR", 0.5, "OH", 0.25,0)*BedLength/50</f>
        <v>0</v>
      </c>
      <c r="CM90">
        <f>IF(OR(ISBLANK(Crops[[#This Row],[Row Cover]]),Crops[[#This Row],[Row Cover]]="None"),0,1)*BedLength/50</f>
        <v>0</v>
      </c>
      <c r="CN90" s="173">
        <f>HoursPerWeedingPass*Crops[[#This Row],[Days In Field]]/14*Crops[[#This Row],[Rows]]+1*BedLength/50</f>
        <v>4.8095238095238093</v>
      </c>
      <c r="CO90" s="49"/>
      <c r="CQ90" s="37">
        <f>_xlfn.XLOOKUP(Crops[[#This Row],[Crop]]&amp;Crops[[#This Row],[Product]]&amp;Crops[[#This Row],[Unit]],Products[ID],Products[Marketing (hr)])*Crops[[#This Row],[Direct Revenue Per Bed]]/2000</f>
        <v>1.2</v>
      </c>
      <c r="CR90" s="37">
        <f>_xlfn.XLOOKUP(Crops[[#This Row],[Crop]]&amp;Crops[[#This Row],[Product]]&amp;Crops[[#This Row],[Unit]],Products[ID],Products[Harvest (s)])*Crops[[#This Row],[Custom Yield Per Bed]]/3600</f>
        <v>1.1111111111111112</v>
      </c>
      <c r="CS90" s="37">
        <f>_xlfn.XLOOKUP(Crops[[#This Row],[Crop]]&amp;Crops[[#This Row],[Product]]&amp;Crops[[#This Row],[Unit]],Products[ID],Products[Bunch (s)])*Crops[[#This Row],[Custom Yield Per Bed]]/3600</f>
        <v>1.1111111111111112</v>
      </c>
      <c r="CT90" s="37">
        <f>_xlfn.XLOOKUP(Crops[[#This Row],[Crop]]&amp;Crops[[#This Row],[Product]]&amp;Crops[[#This Row],[Unit]],Products[ID],Products[Haul (s)])*Crops[[#This Row],[Custom Yield Per Bed]]/3600</f>
        <v>0.27777777777777779</v>
      </c>
      <c r="CU90" s="37">
        <f>_xlfn.XLOOKUP(Crops[[#This Row],[Crop]]&amp;Crops[[#This Row],[Product]]&amp;Crops[[#This Row],[Unit]],Products[ID],Products[Wash (s)])*Crops[[#This Row],[Custom Yield Per Bed]]/3600</f>
        <v>0</v>
      </c>
      <c r="CV90" s="37">
        <f>_xlfn.XLOOKUP(Crops[[#This Row],[Crop]]&amp;Crops[[#This Row],[Product]]&amp;Crops[[#This Row],[Unit]],Products[ID],Products[Condition (s)])*Crops[[#This Row],[Custom Yield Per Bed]]/3600</f>
        <v>0</v>
      </c>
      <c r="CW90" s="37">
        <f>_xlfn.XLOOKUP(Crops[[#This Row],[Crop]]&amp;Crops[[#This Row],[Product]]&amp;Crops[[#This Row],[Unit]],Products[ID],Products[Trim (s)])*Crops[[#This Row],[Custom Yield Per Bed]]/3600</f>
        <v>0.22222222222222221</v>
      </c>
      <c r="CX90" s="37">
        <f>_xlfn.XLOOKUP(Crops[[#This Row],[Crop]]&amp;Crops[[#This Row],[Product]]&amp;Crops[[#This Row],[Unit]],Products[ID],Products[Pack (s)])*Crops[[#This Row],[Custom Yield Per Bed]]/3600</f>
        <v>0.33333333333333331</v>
      </c>
      <c r="CY90" s="37">
        <f>_xlfn.XLOOKUP(Crops[[#This Row],[Crop]]&amp;Crops[[#This Row],[Product]]&amp;Crops[[#This Row],[Unit]],Products[ID],Products[Clean (s)])*Crops[[#This Row],[Custom Yield Per Bed]]/3600</f>
        <v>0</v>
      </c>
      <c r="CZ90" s="37">
        <f>_xlfn.XLOOKUP(Crops[[#This Row],[Crop]]&amp;Crops[[#This Row],[Product]]&amp;Crops[[#This Row],[Unit]],Products[ID],Products[Rehandle (s)])*Crops[[#This Row],[Custom Yield Per Bed]]/3600</f>
        <v>0</v>
      </c>
      <c r="DA90" s="37">
        <f>_xlfn.XLOOKUP(Crops[[#This Row],[Crop]]&amp;Crops[[#This Row],[Product]]&amp;Crops[[#This Row],[Unit]],Products[ID],Products[Market Transport (s)])*Crops[[#This Row],[Custom Yield Per Bed]]/3600</f>
        <v>0.69444444444444442</v>
      </c>
      <c r="DC90" s="37">
        <f>Crops[[#This Row],[Direct Revenue Per Bed2]]</f>
        <v>1200</v>
      </c>
      <c r="DD90" s="173">
        <f>_xlfn.AGGREGATE(9,6,Crops[[#This Row],[Bed Prep]:[Remove Crop Residue]])</f>
        <v>16.242108444940474</v>
      </c>
      <c r="DE90" s="173">
        <f>_xlfn.AGGREGATE(9,6,Crops[[#This Row],[Bed Prep]:[Remove Crop Residue]])-0.75*Crops[[#This Row],[Market &amp; Sell]]</f>
        <v>15.342108444940473</v>
      </c>
      <c r="DF90" s="36">
        <f>Crops[[#This Row],[Direct Revenue Per Bed2]]/Crops[[#This Row],[Direct Time]]</f>
        <v>73.882033485240527</v>
      </c>
      <c r="DG90" s="36">
        <f>_xlfn.XLOOKUP(Crops[[#This Row],[ProductIndex]],Products[ID],Products[Packaging Cost])*(Crops[[#This Row],[Custom Yield Per Bed]]/_xlfn.XLOOKUP(Crops[[#This Row],[ProductIndex]],Products[ID],Products[Units Per Pack]))</f>
        <v>42.222222222222221</v>
      </c>
      <c r="DH90" s="36"/>
      <c r="DI90" s="36"/>
      <c r="DJ90" s="36"/>
      <c r="DK90" s="36"/>
      <c r="DL90" s="36"/>
      <c r="DM90" s="33">
        <f>IFERROR(Crops[[#This Row],[Custom Yield Per Bed]]*Crops[[#This Row],[Direct Price]],"")</f>
        <v>1200</v>
      </c>
      <c r="DN90" s="36">
        <f>Crops[[#This Row],[Direct Time]]*LaborRate</f>
        <v>406.05271112351187</v>
      </c>
      <c r="DO90" s="36">
        <f>SUM(Crops[[#This Row],[Irrigation Cost]])</f>
        <v>0</v>
      </c>
      <c r="DP90" s="36">
        <f>Crops[[#This Row],[Direct Labor Cost]]+Crops[[#This Row],[Direct Non-Labor Cost]]</f>
        <v>406.05271112351187</v>
      </c>
      <c r="DQ90" s="36">
        <f>Crops[[#This Row],[Direct Revenue Per Bed2]]-Crops[[#This Row],[Direct Total Cost]]</f>
        <v>793.94728887648807</v>
      </c>
      <c r="DR90" s="36">
        <f>Crops[[#This Row],[Direct Profit]]*BedsPerAcre</f>
        <v>127031.56622023809</v>
      </c>
      <c r="DS90" s="36">
        <f>Crops[[#This Row],[Direct Profit]]*BedsPerAcre*GrowingDays/Crops[[#This Row],[Days In Field]]</f>
        <v>357276.27999441966</v>
      </c>
      <c r="DT90" s="36">
        <f>Crops[[#This Row],[Direct Profit]]/MIN(Crops[[#This Row],[Days In Field]],GrowingDays)</f>
        <v>12.405426388695126</v>
      </c>
      <c r="DU90" s="33">
        <f>Crops[[#This Row],[Direct Time]] * BedsPerAcre</f>
        <v>2598.7373511904757</v>
      </c>
      <c r="DV90" s="36">
        <f>(Crops[[#This Row],[Direct Revenue Per Bed2]]-Crops[[#This Row],[Direct Non-Labor Cost]])/Crops[[#This Row],[Direct Time]]</f>
        <v>73.882033485240527</v>
      </c>
      <c r="DW90" s="33">
        <f>IFERROR(Crops[[#This Row],[Custom Yield Per Bed]]*Crops[[#This Row],[Rough Wholesale Price]],"")</f>
        <v>448.00000000000006</v>
      </c>
      <c r="DX90" s="36">
        <f>Crops[[#This Row],[Wholesale Time]]*LaborRate</f>
        <v>383.55271112351181</v>
      </c>
      <c r="DY90" s="36">
        <f>SUM(Crops[[#This Row],[Packaging Costs]:[Irrigation Cost]])</f>
        <v>42.222222222222221</v>
      </c>
      <c r="DZ90" s="36">
        <f>Crops[[#This Row],[Wholesale Labor Cost]]+Crops[[#This Row],[Wholesale Non-Labor Cost]]</f>
        <v>425.77493334573404</v>
      </c>
      <c r="EA90" s="36">
        <f>Crops[[#This Row],[Wholesale Revenue Per Bed]]-Crops[[#This Row],[Wholesale Total Cost]]</f>
        <v>22.225066654266016</v>
      </c>
      <c r="EB90" s="36">
        <f>Crops[[#This Row],[Wholesale Profit]]*BedsPerAcre</f>
        <v>3556.0106646825625</v>
      </c>
      <c r="EC90" s="36">
        <f>Crops[[#This Row],[Wholesale Profit]]*BedsPerAcre*GrowingDays/Crops[[#This Row],[Days In Field]]</f>
        <v>10001.279994419707</v>
      </c>
      <c r="ED90" s="33">
        <f>Crops[[#This Row],[Wholesale Time]] * BedsPerAcre</f>
        <v>2454.7373511904757</v>
      </c>
      <c r="EE90" s="221">
        <f>Crops[[#This Row],[Wholesale Profit]]/MIN(Crops[[#This Row],[Days In Field]],GrowingDays)</f>
        <v>0.34726666647290649</v>
      </c>
      <c r="EF90" s="36">
        <f>(Crops[[#This Row],[Wholesale Revenue Per Bed]]-Crops[[#This Row],[Wholesale Non-Labor Cost]])/Crops[[#This Row],[Direct Time]]</f>
        <v>24.98307280445356</v>
      </c>
      <c r="EG90" s="174">
        <f>Crops[[#This Row],[Packaging Costs]]/Crops[[#This Row],[Wholesale Revenue Per Bed]]</f>
        <v>9.424603174603173E-2</v>
      </c>
      <c r="EH90" s="36" t="str">
        <f>Crops[[#This Row],[Crop]]&amp;Crops[[#This Row],[Product]]&amp;Crops[[#This Row],[Unit]]</f>
        <v>CilantroLoose LeafBunch</v>
      </c>
      <c r="EI90" s="36" t="b">
        <f>_xlfn.XLOOKUP(Crops[[#This Row],[ProductIndex]],Products[ID],Products[Target])</f>
        <v>1</v>
      </c>
      <c r="EJ90" s="33">
        <f>Crops[[#This Row],[Custom Yield Per Bed]]</f>
        <v>400</v>
      </c>
      <c r="EK90" s="210">
        <f>Crops[[#This Row],[Units Per Harvest]]/Crops[[#This Row],[Days Between Harvest]]*7</f>
        <v>200</v>
      </c>
      <c r="EL90" s="210">
        <f>Crops[[#This Row],[Custom Yield Per Bed]]/_xlfn.XLOOKUP(Crops[[#This Row],[ProductIndex]],Products[ID],Products[CSA Portion])</f>
        <v>400</v>
      </c>
      <c r="EM90" s="210">
        <f>Crops[[#This Row],[Units Per Harvest]]/Crops[[#This Row],[Days Between Harvest]]*7/_xlfn.XLOOKUP(Crops[[#This Row],[ProductIndex]],Products[ID],Products[CSA Portion])</f>
        <v>200</v>
      </c>
      <c r="EN90" s="210">
        <f>Crops[[#This Row],[CSA Portions Per Week]]/CSAMembers</f>
        <v>4</v>
      </c>
      <c r="EO90" s="216">
        <v>0.5</v>
      </c>
      <c r="EP90" s="216">
        <v>2</v>
      </c>
      <c r="EQ90" s="210"/>
      <c r="ER90" s="210">
        <f>Crops[[#This Row],[Harvests]]*Crops[[#This Row],[Days Between Harvest]]/7</f>
        <v>2</v>
      </c>
      <c r="ES90" s="217">
        <f>_xlfn.XLOOKUP(Crops[[#This Row],[ProductIndex]],Products[ID],Products[CSA Need])</f>
        <v>5</v>
      </c>
      <c r="ET90" s="217">
        <f>_xlfn.XLOOKUP(Crops[[#This Row],[ProductIndex]],Products[ID],Products[CSA Times])</f>
        <v>5</v>
      </c>
      <c r="EU90" s="208">
        <f>Crops[[#This Row],[Custom Yield Per Bed]]/(Crops[[#This Row],[CSA Need]]*(_xlfn.XLOOKUP(Crops[[#This Row],[ProductIndex]],Products[ID],Products[CSA Portion])*CSAMembers))</f>
        <v>1.6</v>
      </c>
      <c r="EV90" s="208">
        <f>_xlfn.XLOOKUP(Crops[[#This Row],[ProductIndex]],Products[ID],Products[CSA Portion])*CSAMembers*Crops[[#This Row],[CSA Need]]/Crops[[#This Row],[Custom Yield Per Bed]]</f>
        <v>0.625</v>
      </c>
      <c r="EW90" s="208">
        <f>IFERROR(Crops[[#This Row],[Days In Field]]*Crops[[#This Row],[CSA Beds]],"")</f>
        <v>40</v>
      </c>
      <c r="EX90" s="208" t="e">
        <f>Crops[[#This Row],[CSA Bed Days]]*#REF!</f>
        <v>#REF!</v>
      </c>
      <c r="EY90" t="s">
        <v>319</v>
      </c>
    </row>
    <row r="91" spans="1:158">
      <c r="A9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Clematis - Cut Flower 1X | Field DS SpSuFaWi</v>
      </c>
      <c r="B91" s="189"/>
      <c r="C91" s="1"/>
      <c r="D91" s="1"/>
      <c r="E91" s="1" t="b">
        <v>0</v>
      </c>
      <c r="F91" s="1" t="b">
        <f>IFERROR(IF(ISNUMBER(MATCH(Crops[[#This Row],[Identifier]],BedPlan[Crop], 0)), TRUE, FALSE), FALSE)</f>
        <v>0</v>
      </c>
      <c r="G91" s="1" t="b">
        <f>IFERROR(IF(ISNUMBER(MATCH(Crops[[#This Row],[Identifier]],BedPlan[Crop], 0)), TRUE, FALSE), FALSE)</f>
        <v>0</v>
      </c>
      <c r="H91" s="1" t="b">
        <v>1</v>
      </c>
      <c r="I91" t="s">
        <v>63</v>
      </c>
      <c r="J91" t="s">
        <v>145</v>
      </c>
      <c r="K91" t="s">
        <v>187</v>
      </c>
      <c r="N91" t="str">
        <f>Crops[[#This Row],[Crop]]</f>
        <v>Clematis</v>
      </c>
      <c r="O91" t="s">
        <v>210</v>
      </c>
      <c r="P91" t="str">
        <f>IF(OR(Crops[[#This Row],[Days in Cells]]="",Crops[[#This Row],[Days in Cells]]=0), "DS","TP")</f>
        <v>DS</v>
      </c>
      <c r="Q91" t="s">
        <v>144</v>
      </c>
      <c r="R91" t="s">
        <v>144</v>
      </c>
      <c r="S91" t="s">
        <v>144</v>
      </c>
      <c r="T91" t="s">
        <v>144</v>
      </c>
      <c r="V91" t="str">
        <f xml:space="preserve"> IF(Crops[[#This Row],[Sp]], "Sp", "") &amp; IF(Crops[[#This Row],[Su]], "Su", "") &amp; IF(Crops[[#This Row],[Fa]], "Fa", "") &amp; IF(Crops[[#This Row],[Wi]], "Wi", "") &amp; IF(Crops[[#This Row],[OW]], "Ow","")</f>
        <v>SpSuFaWi</v>
      </c>
      <c r="X91">
        <v>1</v>
      </c>
      <c r="Y91">
        <v>48</v>
      </c>
      <c r="AD91" s="32">
        <f>IFERROR(12/Crops[[#This Row],[Spacing]]*Crops[[#This Row],[Rows]]*BedLength,"")</f>
        <v>12.5</v>
      </c>
      <c r="AE91">
        <v>1</v>
      </c>
      <c r="AG91">
        <f>IF(Crops[[#This Row],[Custom Safety Factor]]="",PlantingSafetyFactor,Crops[[#This Row],[Custom Safety Factor]])</f>
        <v>1.3</v>
      </c>
      <c r="AH91">
        <f>1</f>
        <v>1</v>
      </c>
      <c r="AI91" s="33">
        <f>IFERROR(Crops[[#This Row],[Plantings Per Bed]]*Crops[[#This Row],[Seeds Per Planting]]*Crops[[#This Row],[Safety Factor]]*Crops[[#This Row],[Seeding Factor]],"")</f>
        <v>16.25</v>
      </c>
      <c r="AL91">
        <f>_xlfn.FLOOR.MATH(IFERROR(AVERAGE(Crops[[#This Row],[DTG Lower]:[DTG Upper]]),0))</f>
        <v>0</v>
      </c>
      <c r="AM91">
        <f>SUM(Crops[[#This Row],[Tray 1 Days]],Crops[[#This Row],[Tray 2 Days]],Crops[[#This Row],[Tray 3 Days]])</f>
        <v>0</v>
      </c>
      <c r="AP91">
        <v>365</v>
      </c>
      <c r="AQ91">
        <f>IFERROR(_xlfn.FLOOR.MATH(AVERAGE(Crops[[#This Row],[DTM Lower]:[DTM Upper]])),"")</f>
        <v>365</v>
      </c>
      <c r="AR91" cm="1">
        <f t="array" ref="AR91">_xlfn.SWITCH(Crops[[#This Row],[Normal Method]],"DS",Crops[[#This Row],[Days to Germination]]+Crops[[#This Row],[DTM]] + IF(Crops[[#This Row],[Days in Cells]]&gt;0,15,0), "TP",Crops[[#This Row],[DTM]]+Crops[[#This Row],[Days in Cells]] + IF(Crops[[#This Row],[Days in Cells]]&lt;=0,20,0), "X", Crops[[#This Row],[DTM]])</f>
        <v>365</v>
      </c>
      <c r="AS91" t="s">
        <v>347</v>
      </c>
      <c r="AT91">
        <f>(Crops[[#This Row],[Harvests]]-1)*Crops[[#This Row],[Days Between Harvest]]+7</f>
        <v>7</v>
      </c>
      <c r="AU91">
        <f>Crops[[#This Row],[STH]]-Crops[[#This Row],[Days in Cells]]+Crops[[#This Row],[Harvest window]]</f>
        <v>372</v>
      </c>
      <c r="AW91" t="s">
        <v>212</v>
      </c>
      <c r="AZ91" t="str">
        <f>IFERROR(IF(Crops[[#This Row],[Tray 1 Days]]=0,"",Crops[[#This Row],[Plantings Per Bed]]/Crops[[#This Row],[Tray 1 Size]]*Crops[[#This Row],[Safety Factor]]),"")</f>
        <v/>
      </c>
      <c r="BC91" t="str">
        <f>IFERROR(IF(Crops[[#This Row],[Tray 2 Days]]=0,"",Crops[[#This Row],[Plantings Per Bed]]/Crops[[#This Row],[Tray 2 Size]]*Crops[[#This Row],[Safety Factor]]),"")</f>
        <v/>
      </c>
      <c r="BE91" s="32" t="str">
        <f>IF(NOT(ISBLANK(Crops[[#This Row],[Tray 3 Size]])), Crops[[#This Row],[Days in Cells Old]]-SUM(Crops[[#This Row],[Tray 1 Days]],Crops[[#This Row],[Tray 2 Days]]), "")</f>
        <v/>
      </c>
      <c r="BF91" t="str">
        <f>IFERROR(IF(Crops[[#This Row],[Tray 3 Days]]=0,"",Crops[[#This Row],[Plantings Per Bed]]/Crops[[#This Row],[Tray 3 Size]]*Crops[[#This Row],[Safety Factor]]),"")</f>
        <v/>
      </c>
      <c r="BG91" s="33"/>
      <c r="BH91" s="33"/>
      <c r="BI91" s="33"/>
      <c r="BJ91" s="33">
        <f>_xlfn.XLOOKUP(Crops[[#This Row],[ProductIndex]],Products[ID],Products[Holding Period])</f>
        <v>0</v>
      </c>
      <c r="BK91" s="33"/>
      <c r="BL91" s="33">
        <f>Crops[[#This Row],[Units Per Harvest]]*Crops[[#This Row],[Harvests]]</f>
        <v>0</v>
      </c>
      <c r="BM91" s="35">
        <v>4.3130000000000006</v>
      </c>
      <c r="BN91" s="35">
        <f>Crops[[#This Row],[Direct Price]]*0.6</f>
        <v>2.5878000000000001</v>
      </c>
      <c r="BO91" s="35"/>
      <c r="BP91" t="s">
        <v>213</v>
      </c>
      <c r="BQ91">
        <f>Crops[[#This Row],[Custom Yield Per Bed]]*Crops[[#This Row],[Direct Price]]</f>
        <v>0</v>
      </c>
      <c r="BR91" t="b">
        <v>0</v>
      </c>
      <c r="BS91" t="b">
        <f>Crops[[#This Row],[Harvests]]&gt;1</f>
        <v>0</v>
      </c>
      <c r="BT91" s="36">
        <f>IFERROR(Crops[[#This Row],[Direct Revenue Per Bed]]/Crops[[#This Row],[Days In Field]],-1)</f>
        <v>0</v>
      </c>
      <c r="BU91" s="36">
        <f>IFERROR(Crops[[#This Row],[Direct Revenue Per Bed Day]]*GrowingDays*BedsPerAcre,"")</f>
        <v>0</v>
      </c>
      <c r="BV91" s="38">
        <f>LastFrostDate-5*Crops[[#This Row],[Sewing Rel Last Frost]]</f>
        <v>45748</v>
      </c>
      <c r="BW91" s="38">
        <f>Crops[[#This Row],[Target Sewing Date]]+Crops[[#This Row],[Days in Cells]]</f>
        <v>45748</v>
      </c>
      <c r="BX91" s="38">
        <f>Crops[[#This Row],[Target Sewing Date]]+Crops[[#This Row],[STH]]</f>
        <v>46113</v>
      </c>
      <c r="BY91" s="38">
        <f>Crops[[#This Row],[Target Harvest Data]]+Crops[[#This Row],[Harvest window]]</f>
        <v>46120</v>
      </c>
      <c r="CB91">
        <f>1</f>
        <v>1</v>
      </c>
      <c r="CC91">
        <f>IF(Crops[[#This Row],[Transplanting]]&gt;0, 2, 3)*BedLength/StandardBedLength</f>
        <v>1.5</v>
      </c>
      <c r="CD91" s="173">
        <f>IF(Crops[[#This Row],[Days in Cells]]&lt;=0,0,Crops[[#This Row],[Plantings Per Bed]]/StartsPerHourSeeding+Crops[[#This Row],[Tray 1 Count]]*5/60)</f>
        <v>0</v>
      </c>
      <c r="CE91" s="173">
        <f>IF(ISBLANK(Crops[[#This Row],[Tray 2 Days]]),0,Crops[[#This Row],[Plantings Per Bed]]/UpPottingPerHour)+IF(Crops[[#This Row],[Tray 3 Days]]="",0,Crops[[#This Row],[Plantings Per Bed]]/UpPottingPerHour)</f>
        <v>0</v>
      </c>
      <c r="CF91" s="173">
        <f>IFERROR(Crops[[#This Row],[Tray 1 Count]]/HomeStartFlatIrrigationPerHour,0)*Crops[[#This Row],[Days in Cells]]/DaysBetweenStartIrrigation</f>
        <v>0</v>
      </c>
      <c r="CG91" s="173">
        <f>0.5/16*MAX(Crops[[#This Row],[Tray 1 Count]],Crops[[#This Row],[Tray 2 Count]],Crops[[#This Row],[Tray 3 Count]])</f>
        <v>0</v>
      </c>
      <c r="CH91" s="173">
        <f>IF(Crops[[#This Row],[Days in Cells]]&gt;0,IF(IF(Crops[[#This Row],[Tray 3 Size]]&gt;0,Crops[[#This Row],[Tray 3 Size]],IF(Crops[[#This Row],[Tray 2 Size]]&gt;0,Crops[[#This Row],[Tray 2 Size]],Crops[[#This Row],[Tray 1 Size]]))&lt;=18,LargeTransplantTime,SmallTransplantTime)*Crops[[#This Row],[Plantings Per Bed]],0)</f>
        <v>0</v>
      </c>
      <c r="CI91" s="173"/>
      <c r="CJ91" s="173">
        <f>_xlfn.XLOOKUP(Crops[[#This Row],[Trellis Type]],TrellisMethods[Trellis Type],TrellisMethods[Hours],0,0)</f>
        <v>0</v>
      </c>
      <c r="CK91">
        <f>IF(Crops[[#This Row],[Days in Cells]]&lt;=0,Crops[[#This Row],[Rows]]*1/10,0)*BedLength/50</f>
        <v>0.1</v>
      </c>
      <c r="CL91" cm="1">
        <f t="array" ref="CL91">_xlfn.SWITCH(Crops[[#This Row],[Irrigation]],"DR", 0.5, "OH", 0.25,0)*BedLength/50</f>
        <v>0</v>
      </c>
      <c r="CM91">
        <f>IF(OR(ISBLANK(Crops[[#This Row],[Row Cover]]),Crops[[#This Row],[Row Cover]]="None"),0,1)*BedLength/50</f>
        <v>0</v>
      </c>
      <c r="CN91" s="173">
        <f>HoursPerWeedingPass*Crops[[#This Row],[Days In Field]]/14*Crops[[#This Row],[Rows]]+1*BedLength/50</f>
        <v>5.4285714285714288</v>
      </c>
      <c r="CQ91" s="37">
        <f>_xlfn.XLOOKUP(Crops[[#This Row],[Crop]]&amp;Crops[[#This Row],[Product]]&amp;Crops[[#This Row],[Unit]],Products[ID],Products[Marketing (hr)])*Crops[[#This Row],[Direct Revenue Per Bed]]/2000</f>
        <v>0</v>
      </c>
      <c r="CR91" s="37">
        <f>_xlfn.XLOOKUP(Crops[[#This Row],[Crop]]&amp;Crops[[#This Row],[Product]]&amp;Crops[[#This Row],[Unit]],Products[ID],Products[Harvest (s)])*Crops[[#This Row],[Custom Yield Per Bed]]/3600</f>
        <v>0</v>
      </c>
      <c r="CS91" s="37">
        <f>_xlfn.XLOOKUP(Crops[[#This Row],[Crop]]&amp;Crops[[#This Row],[Product]]&amp;Crops[[#This Row],[Unit]],Products[ID],Products[Bunch (s)])*Crops[[#This Row],[Custom Yield Per Bed]]/3600</f>
        <v>0</v>
      </c>
      <c r="CT91" s="37">
        <f>_xlfn.XLOOKUP(Crops[[#This Row],[Crop]]&amp;Crops[[#This Row],[Product]]&amp;Crops[[#This Row],[Unit]],Products[ID],Products[Haul (s)])*Crops[[#This Row],[Custom Yield Per Bed]]/3600</f>
        <v>0</v>
      </c>
      <c r="CU91" s="37">
        <f>_xlfn.XLOOKUP(Crops[[#This Row],[Crop]]&amp;Crops[[#This Row],[Product]]&amp;Crops[[#This Row],[Unit]],Products[ID],Products[Wash (s)])*Crops[[#This Row],[Custom Yield Per Bed]]/3600</f>
        <v>0</v>
      </c>
      <c r="CV91" s="37">
        <f>_xlfn.XLOOKUP(Crops[[#This Row],[Crop]]&amp;Crops[[#This Row],[Product]]&amp;Crops[[#This Row],[Unit]],Products[ID],Products[Condition (s)])*Crops[[#This Row],[Custom Yield Per Bed]]/3600</f>
        <v>0</v>
      </c>
      <c r="CW91" s="37">
        <f>_xlfn.XLOOKUP(Crops[[#This Row],[Crop]]&amp;Crops[[#This Row],[Product]]&amp;Crops[[#This Row],[Unit]],Products[ID],Products[Trim (s)])*Crops[[#This Row],[Custom Yield Per Bed]]/3600</f>
        <v>0</v>
      </c>
      <c r="CX91" s="37">
        <f>_xlfn.XLOOKUP(Crops[[#This Row],[Crop]]&amp;Crops[[#This Row],[Product]]&amp;Crops[[#This Row],[Unit]],Products[ID],Products[Pack (s)])*Crops[[#This Row],[Custom Yield Per Bed]]/3600</f>
        <v>0</v>
      </c>
      <c r="CY91" s="37">
        <f>_xlfn.XLOOKUP(Crops[[#This Row],[Crop]]&amp;Crops[[#This Row],[Product]]&amp;Crops[[#This Row],[Unit]],Products[ID],Products[Clean (s)])*Crops[[#This Row],[Custom Yield Per Bed]]/3600</f>
        <v>0</v>
      </c>
      <c r="CZ91" s="37">
        <f>_xlfn.XLOOKUP(Crops[[#This Row],[Crop]]&amp;Crops[[#This Row],[Product]]&amp;Crops[[#This Row],[Unit]],Products[ID],Products[Rehandle (s)])*Crops[[#This Row],[Custom Yield Per Bed]]/3600</f>
        <v>0</v>
      </c>
      <c r="DA91" s="37">
        <f>_xlfn.XLOOKUP(Crops[[#This Row],[Crop]]&amp;Crops[[#This Row],[Product]]&amp;Crops[[#This Row],[Unit]],Products[ID],Products[Market Transport (s)])*Crops[[#This Row],[Custom Yield Per Bed]]/3600</f>
        <v>0</v>
      </c>
      <c r="DC91" s="37">
        <f>Crops[[#This Row],[Direct Revenue Per Bed2]]</f>
        <v>0</v>
      </c>
      <c r="DD91" s="173">
        <f>_xlfn.AGGREGATE(9,6,Crops[[#This Row],[Bed Prep]:[Remove Crop Residue]])</f>
        <v>7.0285714285714285</v>
      </c>
      <c r="DE91" s="173">
        <f>_xlfn.AGGREGATE(9,6,Crops[[#This Row],[Bed Prep]:[Remove Crop Residue]])-0.75*Crops[[#This Row],[Market &amp; Sell]]</f>
        <v>7.0285714285714285</v>
      </c>
      <c r="DF91" s="36">
        <f>Crops[[#This Row],[Direct Revenue Per Bed2]]/Crops[[#This Row],[Direct Time]]</f>
        <v>0</v>
      </c>
      <c r="DG91" s="36">
        <f>_xlfn.XLOOKUP(Crops[[#This Row],[ProductIndex]],Products[ID],Products[Packaging Cost])*(Crops[[#This Row],[Custom Yield Per Bed]]/_xlfn.XLOOKUP(Crops[[#This Row],[ProductIndex]],Products[ID],Products[Units Per Pack]))</f>
        <v>0</v>
      </c>
      <c r="DH91" s="36"/>
      <c r="DI91" s="36"/>
      <c r="DJ91" s="36"/>
      <c r="DK91" s="36"/>
      <c r="DL91" s="36"/>
      <c r="DM91" s="33">
        <f>IFERROR(Crops[[#This Row],[Custom Yield Per Bed]]*Crops[[#This Row],[Direct Price]],"")</f>
        <v>0</v>
      </c>
      <c r="DN91" s="36">
        <f>Crops[[#This Row],[Direct Time]]*LaborRate</f>
        <v>175.71428571428572</v>
      </c>
      <c r="DO91" s="36">
        <f>SUM(Crops[[#This Row],[Irrigation Cost]])</f>
        <v>0</v>
      </c>
      <c r="DP91" s="36">
        <f>Crops[[#This Row],[Direct Labor Cost]]+Crops[[#This Row],[Direct Non-Labor Cost]]</f>
        <v>175.71428571428572</v>
      </c>
      <c r="DQ91" s="36">
        <f>Crops[[#This Row],[Direct Revenue Per Bed2]]-Crops[[#This Row],[Direct Total Cost]]</f>
        <v>-175.71428571428572</v>
      </c>
      <c r="DR91" s="36">
        <f>Crops[[#This Row],[Direct Profit]]*BedsPerAcre</f>
        <v>-28114.285714285717</v>
      </c>
      <c r="DS91" s="36">
        <f>Crops[[#This Row],[Direct Profit]]*BedsPerAcre*GrowingDays/Crops[[#This Row],[Days In Field]]</f>
        <v>-13603.686635944701</v>
      </c>
      <c r="DT91" s="36">
        <f>Crops[[#This Row],[Direct Profit]]/MIN(Crops[[#This Row],[Days In Field]],GrowingDays)</f>
        <v>-0.97619047619047628</v>
      </c>
      <c r="DU91" s="36">
        <f>Crops[[#This Row],[Direct Time]] * BedsPerAcre</f>
        <v>1124.5714285714284</v>
      </c>
      <c r="DV91" s="36">
        <f>(Crops[[#This Row],[Direct Revenue Per Bed2]]-Crops[[#This Row],[Direct Non-Labor Cost]])/Crops[[#This Row],[Direct Time]]</f>
        <v>0</v>
      </c>
      <c r="DW91" s="33">
        <f>IFERROR(Crops[[#This Row],[Custom Yield Per Bed]]*Crops[[#This Row],[Rough Wholesale Price]],"")</f>
        <v>0</v>
      </c>
      <c r="DX91" s="36">
        <f>Crops[[#This Row],[Wholesale Time]]*LaborRate</f>
        <v>175.71428571428572</v>
      </c>
      <c r="DY91" s="36">
        <f>SUM(Crops[[#This Row],[Packaging Costs]:[Irrigation Cost]])</f>
        <v>0</v>
      </c>
      <c r="DZ91" s="36">
        <f>Crops[[#This Row],[Wholesale Labor Cost]]+Crops[[#This Row],[Wholesale Non-Labor Cost]]</f>
        <v>175.71428571428572</v>
      </c>
      <c r="EA91" s="36">
        <f>Crops[[#This Row],[Wholesale Revenue Per Bed]]-Crops[[#This Row],[Wholesale Total Cost]]</f>
        <v>-175.71428571428572</v>
      </c>
      <c r="EB91" s="36">
        <f>Crops[[#This Row],[Wholesale Profit]]*BedsPerAcre</f>
        <v>-28114.285714285717</v>
      </c>
      <c r="EC91" s="36">
        <f>Crops[[#This Row],[Wholesale Profit]]*BedsPerAcre*GrowingDays/Crops[[#This Row],[Days In Field]]</f>
        <v>-13603.686635944701</v>
      </c>
      <c r="ED91" s="36">
        <f>Crops[[#This Row],[Wholesale Time]] * BedsPerAcre</f>
        <v>1124.5714285714284</v>
      </c>
      <c r="EE91" s="36">
        <f>Crops[[#This Row],[Wholesale Profit]]/MIN(Crops[[#This Row],[Days In Field]],GrowingDays)</f>
        <v>-0.97619047619047628</v>
      </c>
      <c r="EF91" s="36">
        <f>(Crops[[#This Row],[Wholesale Revenue Per Bed]]-Crops[[#This Row],[Wholesale Non-Labor Cost]])/Crops[[#This Row],[Direct Time]]</f>
        <v>0</v>
      </c>
      <c r="EG91" s="174" t="e">
        <f>Crops[[#This Row],[Packaging Costs]]/Crops[[#This Row],[Wholesale Revenue Per Bed]]</f>
        <v>#DIV/0!</v>
      </c>
      <c r="EH91" s="36" t="str">
        <f>Crops[[#This Row],[Crop]]&amp;Crops[[#This Row],[Product]]&amp;Crops[[#This Row],[Unit]]</f>
        <v>ClematisCut FlowerStem</v>
      </c>
      <c r="EI91" s="36" t="b">
        <f>_xlfn.XLOOKUP(Crops[[#This Row],[ProductIndex]],Products[ID],Products[Target])</f>
        <v>0</v>
      </c>
      <c r="EJ91" s="36">
        <f>Crops[[#This Row],[Custom Yield Per Bed]]</f>
        <v>0</v>
      </c>
      <c r="EK91" s="210" t="e">
        <f>Crops[[#This Row],[Units Per Harvest]]/Crops[[#This Row],[Days Between Harvest]]*7</f>
        <v>#DIV/0!</v>
      </c>
      <c r="EL91" s="210" t="e">
        <f>Crops[[#This Row],[Custom Yield Per Bed]]/_xlfn.XLOOKUP(Crops[[#This Row],[ProductIndex]],Products[ID],Products[CSA Portion])</f>
        <v>#DIV/0!</v>
      </c>
      <c r="EM91" s="210" t="e">
        <f>Crops[[#This Row],[Units Per Harvest]]/Crops[[#This Row],[Days Between Harvest]]*7/_xlfn.XLOOKUP(Crops[[#This Row],[ProductIndex]],Products[ID],Products[CSA Portion])</f>
        <v>#DIV/0!</v>
      </c>
      <c r="EN91" s="210" t="e">
        <f>Crops[[#This Row],[CSA Portions Per Week]]/CSAMembers</f>
        <v>#DIV/0!</v>
      </c>
      <c r="EO91" s="210"/>
      <c r="EP91" s="210"/>
      <c r="EQ91" s="36"/>
      <c r="ER91" s="36">
        <f>Crops[[#This Row],[Harvests]]*Crops[[#This Row],[Days Between Harvest]]/7</f>
        <v>0</v>
      </c>
      <c r="ES91" s="208">
        <f>_xlfn.XLOOKUP(Crops[[#This Row],[ProductIndex]],Products[ID],Products[CSA Need])</f>
        <v>0</v>
      </c>
      <c r="ET91" s="208">
        <f>_xlfn.XLOOKUP(Crops[[#This Row],[ProductIndex]],Products[ID],Products[CSA Times])</f>
        <v>0</v>
      </c>
      <c r="EU91" s="208" t="e">
        <f>Crops[[#This Row],[Custom Yield Per Bed]]/(Crops[[#This Row],[CSA Need]]*(_xlfn.XLOOKUP(Crops[[#This Row],[ProductIndex]],Products[ID],Products[CSA Portion])*CSAMembers))</f>
        <v>#DIV/0!</v>
      </c>
      <c r="EV91" s="208" t="e">
        <f>_xlfn.XLOOKUP(Crops[[#This Row],[ProductIndex]],Products[ID],Products[CSA Portion])*CSAMembers*Crops[[#This Row],[CSA Need]]/Crops[[#This Row],[Custom Yield Per Bed]]</f>
        <v>#DIV/0!</v>
      </c>
      <c r="EW91" s="208" t="str">
        <f>IFERROR(Crops[[#This Row],[Days In Field]]*Crops[[#This Row],[CSA Beds]],"")</f>
        <v/>
      </c>
      <c r="EX91" s="208" t="e">
        <f>Crops[[#This Row],[CSA Bed Days]]*#REF!</f>
        <v>#VALUE!</v>
      </c>
      <c r="EY91">
        <v>0</v>
      </c>
    </row>
    <row r="92" spans="1:158">
      <c r="A9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Collard Greens - Loose Leaf 1X | Field DS </v>
      </c>
      <c r="B92" s="191"/>
      <c r="C92" s="1"/>
      <c r="D92" s="1"/>
      <c r="E92" s="1" t="b">
        <v>0</v>
      </c>
      <c r="F92" s="1" t="b">
        <f>IFERROR(IF(ISNUMBER(MATCH(Crops[[#This Row],[Identifier]],BedPlan[Crop], 0)), TRUE, FALSE), FALSE)</f>
        <v>0</v>
      </c>
      <c r="G92" s="1" t="b">
        <f>IFERROR(IF(ISNUMBER(MATCH(Crops[[#This Row],[Identifier]],BedPlan[Crop], 0)), TRUE, FALSE), FALSE)</f>
        <v>0</v>
      </c>
      <c r="H92" s="1" t="b">
        <v>1</v>
      </c>
      <c r="I92" t="s">
        <v>64</v>
      </c>
      <c r="J92" t="s">
        <v>145</v>
      </c>
      <c r="K92" t="s">
        <v>190</v>
      </c>
      <c r="N92" t="str">
        <f>Crops[[#This Row],[Crop]]</f>
        <v>Collard Greens</v>
      </c>
      <c r="O92" t="s">
        <v>210</v>
      </c>
      <c r="P92" t="str">
        <f>IF(OR(Crops[[#This Row],[Days in Cells]]="",Crops[[#This Row],[Days in Cells]]=0), "DS","TP")</f>
        <v>DS</v>
      </c>
      <c r="V92" t="str">
        <f xml:space="preserve"> IF(Crops[[#This Row],[Sp]], "Sp", "") &amp; IF(Crops[[#This Row],[Su]], "Su", "") &amp; IF(Crops[[#This Row],[Fa]], "Fa", "") &amp; IF(Crops[[#This Row],[Wi]], "Wi", "") &amp; IF(Crops[[#This Row],[OW]], "Ow","")</f>
        <v/>
      </c>
      <c r="W92" t="s">
        <v>144</v>
      </c>
      <c r="AD92" s="32" t="str">
        <f>IFERROR(12/Crops[[#This Row],[Spacing]]*Crops[[#This Row],[Rows]]*BedLength,"")</f>
        <v/>
      </c>
      <c r="AE92">
        <v>1</v>
      </c>
      <c r="AG92">
        <f>IF(Crops[[#This Row],[Custom Safety Factor]]="",PlantingSafetyFactor,Crops[[#This Row],[Custom Safety Factor]])</f>
        <v>1.3</v>
      </c>
      <c r="AH92">
        <f>1</f>
        <v>1</v>
      </c>
      <c r="AI92" s="33" t="str">
        <f>IFERROR(Crops[[#This Row],[Plantings Per Bed]]*Crops[[#This Row],[Seeds Per Planting]]*Crops[[#This Row],[Safety Factor]]*Crops[[#This Row],[Seeding Factor]],"")</f>
        <v/>
      </c>
      <c r="AL92">
        <f>_xlfn.FLOOR.MATH(IFERROR(AVERAGE(Crops[[#This Row],[DTG Lower]:[DTG Upper]]),0))</f>
        <v>0</v>
      </c>
      <c r="AM92">
        <f>SUM(Crops[[#This Row],[Tray 1 Days]],Crops[[#This Row],[Tray 2 Days]],Crops[[#This Row],[Tray 3 Days]])</f>
        <v>0</v>
      </c>
      <c r="AP92">
        <v>0</v>
      </c>
      <c r="AQ92">
        <f>IFERROR(_xlfn.FLOOR.MATH(AVERAGE(Crops[[#This Row],[DTM Lower]:[DTM Upper]])),"")</f>
        <v>0</v>
      </c>
      <c r="AR92" cm="1">
        <f t="array" ref="AR92">_xlfn.SWITCH(Crops[[#This Row],[Normal Method]],"DS",Crops[[#This Row],[Days to Germination]]+Crops[[#This Row],[DTM]] + IF(Crops[[#This Row],[Days in Cells]]&gt;0,15,0), "TP",Crops[[#This Row],[DTM]]+Crops[[#This Row],[Days in Cells]] + IF(Crops[[#This Row],[Days in Cells]]&lt;=0,20,0), "X", Crops[[#This Row],[DTM]])</f>
        <v>20</v>
      </c>
      <c r="AS92" t="s">
        <v>346</v>
      </c>
      <c r="AT92">
        <f>(Crops[[#This Row],[Harvests]]-1)*Crops[[#This Row],[Days Between Harvest]]+7</f>
        <v>7</v>
      </c>
      <c r="AU92">
        <f>Crops[[#This Row],[STH]]-Crops[[#This Row],[Days in Cells]]+Crops[[#This Row],[Harvest window]]</f>
        <v>27</v>
      </c>
      <c r="AW92" t="s">
        <v>212</v>
      </c>
      <c r="AZ92" t="str">
        <f>IFERROR(IF(Crops[[#This Row],[Tray 1 Days]]=0,"",Crops[[#This Row],[Plantings Per Bed]]/Crops[[#This Row],[Tray 1 Size]]*Crops[[#This Row],[Safety Factor]]),"")</f>
        <v/>
      </c>
      <c r="BC92" t="str">
        <f>IFERROR(IF(Crops[[#This Row],[Tray 2 Days]]=0,"",Crops[[#This Row],[Plantings Per Bed]]/Crops[[#This Row],[Tray 2 Size]]*Crops[[#This Row],[Safety Factor]]),"")</f>
        <v/>
      </c>
      <c r="BE92" s="32" t="str">
        <f>IF(NOT(ISBLANK(Crops[[#This Row],[Tray 3 Size]])), Crops[[#This Row],[Days in Cells Old]]-SUM(Crops[[#This Row],[Tray 1 Days]],Crops[[#This Row],[Tray 2 Days]]), "")</f>
        <v/>
      </c>
      <c r="BF92" t="str">
        <f>IFERROR(IF(Crops[[#This Row],[Tray 3 Days]]=0,"",Crops[[#This Row],[Plantings Per Bed]]/Crops[[#This Row],[Tray 3 Size]]*Crops[[#This Row],[Safety Factor]]),"")</f>
        <v/>
      </c>
      <c r="BG92" s="33"/>
      <c r="BH92" s="33"/>
      <c r="BI92" s="33"/>
      <c r="BJ92" s="33">
        <f>_xlfn.XLOOKUP(Crops[[#This Row],[ProductIndex]],Products[ID],Products[Holding Period])</f>
        <v>0</v>
      </c>
      <c r="BK92" s="33"/>
      <c r="BL92" s="33">
        <f>Crops[[#This Row],[Units Per Harvest]]*Crops[[#This Row],[Harvests]]</f>
        <v>0</v>
      </c>
      <c r="BM92" s="35">
        <v>3</v>
      </c>
      <c r="BN92" s="35">
        <f>Crops[[#This Row],[Direct Price]]*0.6</f>
        <v>1.7999999999999998</v>
      </c>
      <c r="BO92" s="35"/>
      <c r="BP92" t="s">
        <v>215</v>
      </c>
      <c r="BQ92">
        <f>Crops[[#This Row],[Custom Yield Per Bed]]*Crops[[#This Row],[Direct Price]]</f>
        <v>0</v>
      </c>
      <c r="BR92" t="b">
        <v>1</v>
      </c>
      <c r="BS92" t="b">
        <f>Crops[[#This Row],[Harvests]]&gt;1</f>
        <v>0</v>
      </c>
      <c r="BT92" s="36">
        <f>IFERROR(Crops[[#This Row],[Direct Revenue Per Bed]]/Crops[[#This Row],[Days In Field]],-1)</f>
        <v>0</v>
      </c>
      <c r="BU92" s="36">
        <f>IFERROR(Crops[[#This Row],[Direct Revenue Per Bed Day]]*GrowingDays*BedsPerAcre,"")</f>
        <v>0</v>
      </c>
      <c r="BV92" s="38">
        <f>LastFrostDate-5*Crops[[#This Row],[Sewing Rel Last Frost]]</f>
        <v>45748</v>
      </c>
      <c r="BW92" s="38">
        <f>Crops[[#This Row],[Target Sewing Date]]+Crops[[#This Row],[Days in Cells]]</f>
        <v>45748</v>
      </c>
      <c r="BX92" s="38">
        <f>Crops[[#This Row],[Target Sewing Date]]+Crops[[#This Row],[STH]]</f>
        <v>45768</v>
      </c>
      <c r="BY92" s="38">
        <f>Crops[[#This Row],[Target Harvest Data]]+Crops[[#This Row],[Harvest window]]</f>
        <v>45775</v>
      </c>
      <c r="CB92">
        <f>1</f>
        <v>1</v>
      </c>
      <c r="CC92">
        <f>IF(Crops[[#This Row],[Transplanting]]&gt;0, 2, 3)*BedLength/StandardBedLength</f>
        <v>1.5</v>
      </c>
      <c r="CD92" s="173">
        <f>IF(Crops[[#This Row],[Days in Cells]]&lt;=0,0,Crops[[#This Row],[Plantings Per Bed]]/StartsPerHourSeeding+Crops[[#This Row],[Tray 1 Count]]*5/60)</f>
        <v>0</v>
      </c>
      <c r="CE92" s="173">
        <f>IF(ISBLANK(Crops[[#This Row],[Tray 2 Days]]),0,Crops[[#This Row],[Plantings Per Bed]]/UpPottingPerHour)+IF(Crops[[#This Row],[Tray 3 Days]]="",0,Crops[[#This Row],[Plantings Per Bed]]/UpPottingPerHour)</f>
        <v>0</v>
      </c>
      <c r="CF92" s="173">
        <f>IFERROR(Crops[[#This Row],[Tray 1 Count]]/HomeStartFlatIrrigationPerHour,0)*Crops[[#This Row],[Days in Cells]]/DaysBetweenStartIrrigation</f>
        <v>0</v>
      </c>
      <c r="CG92" s="173">
        <f>0.5/16*MAX(Crops[[#This Row],[Tray 1 Count]],Crops[[#This Row],[Tray 2 Count]],Crops[[#This Row],[Tray 3 Count]])</f>
        <v>0</v>
      </c>
      <c r="CH92" s="173">
        <f>IF(Crops[[#This Row],[Days in Cells]]&gt;0,IF(IF(Crops[[#This Row],[Tray 3 Size]]&gt;0,Crops[[#This Row],[Tray 3 Size]],IF(Crops[[#This Row],[Tray 2 Size]]&gt;0,Crops[[#This Row],[Tray 2 Size]],Crops[[#This Row],[Tray 1 Size]]))&lt;=18,LargeTransplantTime,SmallTransplantTime)*Crops[[#This Row],[Plantings Per Bed]],0)</f>
        <v>0</v>
      </c>
      <c r="CI92" s="173"/>
      <c r="CJ92" s="173">
        <f>_xlfn.XLOOKUP(Crops[[#This Row],[Trellis Type]],TrellisMethods[Trellis Type],TrellisMethods[Hours],0,0)</f>
        <v>0</v>
      </c>
      <c r="CK92">
        <f>IF(Crops[[#This Row],[Days in Cells]]&lt;=0,Crops[[#This Row],[Rows]]*1/10,0)*BedLength/50</f>
        <v>0</v>
      </c>
      <c r="CL92" cm="1">
        <f t="array" ref="CL92">_xlfn.SWITCH(Crops[[#This Row],[Irrigation]],"DR", 0.5, "OH", 0.25,0)*BedLength/50</f>
        <v>0</v>
      </c>
      <c r="CM92">
        <f>IF(OR(ISBLANK(Crops[[#This Row],[Row Cover]]),Crops[[#This Row],[Row Cover]]="None"),0,1)*BedLength/50</f>
        <v>0</v>
      </c>
      <c r="CN92" s="173">
        <f>HoursPerWeedingPass*Crops[[#This Row],[Days In Field]]/14*Crops[[#This Row],[Rows]]+1*BedLength/50</f>
        <v>1</v>
      </c>
      <c r="CQ92" s="37">
        <f>_xlfn.XLOOKUP(Crops[[#This Row],[Crop]]&amp;Crops[[#This Row],[Product]]&amp;Crops[[#This Row],[Unit]],Products[ID],Products[Marketing (hr)])*Crops[[#This Row],[Direct Revenue Per Bed]]/2000</f>
        <v>0</v>
      </c>
      <c r="CR92" s="37">
        <f>_xlfn.XLOOKUP(Crops[[#This Row],[Crop]]&amp;Crops[[#This Row],[Product]]&amp;Crops[[#This Row],[Unit]],Products[ID],Products[Harvest (s)])*Crops[[#This Row],[Custom Yield Per Bed]]/3600</f>
        <v>0</v>
      </c>
      <c r="CS92" s="37">
        <f>_xlfn.XLOOKUP(Crops[[#This Row],[Crop]]&amp;Crops[[#This Row],[Product]]&amp;Crops[[#This Row],[Unit]],Products[ID],Products[Bunch (s)])*Crops[[#This Row],[Custom Yield Per Bed]]/3600</f>
        <v>0</v>
      </c>
      <c r="CT92" s="37">
        <f>_xlfn.XLOOKUP(Crops[[#This Row],[Crop]]&amp;Crops[[#This Row],[Product]]&amp;Crops[[#This Row],[Unit]],Products[ID],Products[Haul (s)])*Crops[[#This Row],[Custom Yield Per Bed]]/3600</f>
        <v>0</v>
      </c>
      <c r="CU92" s="37">
        <f>_xlfn.XLOOKUP(Crops[[#This Row],[Crop]]&amp;Crops[[#This Row],[Product]]&amp;Crops[[#This Row],[Unit]],Products[ID],Products[Wash (s)])*Crops[[#This Row],[Custom Yield Per Bed]]/3600</f>
        <v>0</v>
      </c>
      <c r="CV92" s="37">
        <f>_xlfn.XLOOKUP(Crops[[#This Row],[Crop]]&amp;Crops[[#This Row],[Product]]&amp;Crops[[#This Row],[Unit]],Products[ID],Products[Condition (s)])*Crops[[#This Row],[Custom Yield Per Bed]]/3600</f>
        <v>0</v>
      </c>
      <c r="CW92" s="37">
        <f>_xlfn.XLOOKUP(Crops[[#This Row],[Crop]]&amp;Crops[[#This Row],[Product]]&amp;Crops[[#This Row],[Unit]],Products[ID],Products[Trim (s)])*Crops[[#This Row],[Custom Yield Per Bed]]/3600</f>
        <v>0</v>
      </c>
      <c r="CX92" s="37">
        <f>_xlfn.XLOOKUP(Crops[[#This Row],[Crop]]&amp;Crops[[#This Row],[Product]]&amp;Crops[[#This Row],[Unit]],Products[ID],Products[Pack (s)])*Crops[[#This Row],[Custom Yield Per Bed]]/3600</f>
        <v>0</v>
      </c>
      <c r="CY92" s="37">
        <f>_xlfn.XLOOKUP(Crops[[#This Row],[Crop]]&amp;Crops[[#This Row],[Product]]&amp;Crops[[#This Row],[Unit]],Products[ID],Products[Clean (s)])*Crops[[#This Row],[Custom Yield Per Bed]]/3600</f>
        <v>0</v>
      </c>
      <c r="CZ92" s="37">
        <f>_xlfn.XLOOKUP(Crops[[#This Row],[Crop]]&amp;Crops[[#This Row],[Product]]&amp;Crops[[#This Row],[Unit]],Products[ID],Products[Rehandle (s)])*Crops[[#This Row],[Custom Yield Per Bed]]/3600</f>
        <v>0</v>
      </c>
      <c r="DA92" s="37">
        <f>_xlfn.XLOOKUP(Crops[[#This Row],[Crop]]&amp;Crops[[#This Row],[Product]]&amp;Crops[[#This Row],[Unit]],Products[ID],Products[Market Transport (s)])*Crops[[#This Row],[Custom Yield Per Bed]]/3600</f>
        <v>0</v>
      </c>
      <c r="DC92" s="37">
        <f>Crops[[#This Row],[Direct Revenue Per Bed2]]</f>
        <v>0</v>
      </c>
      <c r="DD92" s="173">
        <f>_xlfn.AGGREGATE(9,6,Crops[[#This Row],[Bed Prep]:[Remove Crop Residue]])</f>
        <v>2.5</v>
      </c>
      <c r="DE92" s="173">
        <f>_xlfn.AGGREGATE(9,6,Crops[[#This Row],[Bed Prep]:[Remove Crop Residue]])-0.75*Crops[[#This Row],[Market &amp; Sell]]</f>
        <v>2.5</v>
      </c>
      <c r="DF92" s="36">
        <f>Crops[[#This Row],[Direct Revenue Per Bed2]]/Crops[[#This Row],[Direct Time]]</f>
        <v>0</v>
      </c>
      <c r="DG92" s="36">
        <f>_xlfn.XLOOKUP(Crops[[#This Row],[ProductIndex]],Products[ID],Products[Packaging Cost])*(Crops[[#This Row],[Custom Yield Per Bed]]/_xlfn.XLOOKUP(Crops[[#This Row],[ProductIndex]],Products[ID],Products[Units Per Pack]))</f>
        <v>0</v>
      </c>
      <c r="DH92" s="36"/>
      <c r="DI92" s="36"/>
      <c r="DJ92" s="36"/>
      <c r="DK92" s="36"/>
      <c r="DL92" s="36"/>
      <c r="DM92" s="33">
        <f>IFERROR(Crops[[#This Row],[Custom Yield Per Bed]]*Crops[[#This Row],[Direct Price]],"")</f>
        <v>0</v>
      </c>
      <c r="DN92" s="36">
        <f>Crops[[#This Row],[Direct Time]]*LaborRate</f>
        <v>62.5</v>
      </c>
      <c r="DO92" s="36">
        <f>SUM(Crops[[#This Row],[Irrigation Cost]])</f>
        <v>0</v>
      </c>
      <c r="DP92" s="36">
        <f>Crops[[#This Row],[Direct Labor Cost]]+Crops[[#This Row],[Direct Non-Labor Cost]]</f>
        <v>62.5</v>
      </c>
      <c r="DQ92" s="36">
        <f>Crops[[#This Row],[Direct Revenue Per Bed2]]-Crops[[#This Row],[Direct Total Cost]]</f>
        <v>-62.5</v>
      </c>
      <c r="DR92" s="36">
        <f>Crops[[#This Row],[Direct Profit]]*BedsPerAcre</f>
        <v>-10000</v>
      </c>
      <c r="DS92" s="36">
        <f>Crops[[#This Row],[Direct Profit]]*BedsPerAcre*GrowingDays/Crops[[#This Row],[Days In Field]]</f>
        <v>-66666.666666666672</v>
      </c>
      <c r="DT92" s="36">
        <f>Crops[[#This Row],[Direct Profit]]/MIN(Crops[[#This Row],[Days In Field]],GrowingDays)</f>
        <v>-2.3148148148148149</v>
      </c>
      <c r="DU92" s="36">
        <f>Crops[[#This Row],[Direct Time]] * BedsPerAcre</f>
        <v>400</v>
      </c>
      <c r="DV92" s="36">
        <f>(Crops[[#This Row],[Direct Revenue Per Bed2]]-Crops[[#This Row],[Direct Non-Labor Cost]])/Crops[[#This Row],[Direct Time]]</f>
        <v>0</v>
      </c>
      <c r="DW92" s="33">
        <f>IFERROR(Crops[[#This Row],[Custom Yield Per Bed]]*Crops[[#This Row],[Rough Wholesale Price]],"")</f>
        <v>0</v>
      </c>
      <c r="DX92" s="36">
        <f>Crops[[#This Row],[Wholesale Time]]*LaborRate</f>
        <v>62.5</v>
      </c>
      <c r="DY92" s="36">
        <f>SUM(Crops[[#This Row],[Packaging Costs]:[Irrigation Cost]])</f>
        <v>0</v>
      </c>
      <c r="DZ92" s="36">
        <f>Crops[[#This Row],[Wholesale Labor Cost]]+Crops[[#This Row],[Wholesale Non-Labor Cost]]</f>
        <v>62.5</v>
      </c>
      <c r="EA92" s="36">
        <f>Crops[[#This Row],[Wholesale Revenue Per Bed]]-Crops[[#This Row],[Wholesale Total Cost]]</f>
        <v>-62.5</v>
      </c>
      <c r="EB92" s="36">
        <f>Crops[[#This Row],[Wholesale Profit]]*BedsPerAcre</f>
        <v>-10000</v>
      </c>
      <c r="EC92" s="36">
        <f>Crops[[#This Row],[Wholesale Profit]]*BedsPerAcre*GrowingDays/Crops[[#This Row],[Days In Field]]</f>
        <v>-66666.666666666672</v>
      </c>
      <c r="ED92" s="36">
        <f>Crops[[#This Row],[Wholesale Time]] * BedsPerAcre</f>
        <v>400</v>
      </c>
      <c r="EE92" s="36">
        <f>Crops[[#This Row],[Wholesale Profit]]/MIN(Crops[[#This Row],[Days In Field]],GrowingDays)</f>
        <v>-2.3148148148148149</v>
      </c>
      <c r="EF92" s="36">
        <f>(Crops[[#This Row],[Wholesale Revenue Per Bed]]-Crops[[#This Row],[Wholesale Non-Labor Cost]])/Crops[[#This Row],[Direct Time]]</f>
        <v>0</v>
      </c>
      <c r="EG92" s="174" t="e">
        <f>Crops[[#This Row],[Packaging Costs]]/Crops[[#This Row],[Wholesale Revenue Per Bed]]</f>
        <v>#DIV/0!</v>
      </c>
      <c r="EH92" s="36" t="str">
        <f>Crops[[#This Row],[Crop]]&amp;Crops[[#This Row],[Product]]&amp;Crops[[#This Row],[Unit]]</f>
        <v>Collard GreensLoose LeafBunch</v>
      </c>
      <c r="EI92" s="36" t="b">
        <f>_xlfn.XLOOKUP(Crops[[#This Row],[ProductIndex]],Products[ID],Products[Target])</f>
        <v>0</v>
      </c>
      <c r="EJ92" s="36">
        <f>Crops[[#This Row],[Custom Yield Per Bed]]</f>
        <v>0</v>
      </c>
      <c r="EK92" s="210" t="e">
        <f>Crops[[#This Row],[Units Per Harvest]]/Crops[[#This Row],[Days Between Harvest]]*7</f>
        <v>#DIV/0!</v>
      </c>
      <c r="EL92" s="210" t="e">
        <f>Crops[[#This Row],[Custom Yield Per Bed]]/_xlfn.XLOOKUP(Crops[[#This Row],[ProductIndex]],Products[ID],Products[CSA Portion])</f>
        <v>#DIV/0!</v>
      </c>
      <c r="EM92" s="210" t="e">
        <f>Crops[[#This Row],[Units Per Harvest]]/Crops[[#This Row],[Days Between Harvest]]*7/_xlfn.XLOOKUP(Crops[[#This Row],[ProductIndex]],Products[ID],Products[CSA Portion])</f>
        <v>#DIV/0!</v>
      </c>
      <c r="EN92" s="210" t="e">
        <f>Crops[[#This Row],[CSA Portions Per Week]]/CSAMembers</f>
        <v>#DIV/0!</v>
      </c>
      <c r="EO92" s="210"/>
      <c r="EP92" s="210"/>
      <c r="EQ92" s="36"/>
      <c r="ER92" s="36">
        <f>Crops[[#This Row],[Harvests]]*Crops[[#This Row],[Days Between Harvest]]/7</f>
        <v>0</v>
      </c>
      <c r="ES92" s="208">
        <f>_xlfn.XLOOKUP(Crops[[#This Row],[ProductIndex]],Products[ID],Products[CSA Need])</f>
        <v>0</v>
      </c>
      <c r="ET92" s="208">
        <f>_xlfn.XLOOKUP(Crops[[#This Row],[ProductIndex]],Products[ID],Products[CSA Times])</f>
        <v>0</v>
      </c>
      <c r="EU92" s="208" t="e">
        <f>Crops[[#This Row],[Custom Yield Per Bed]]/(Crops[[#This Row],[CSA Need]]*(_xlfn.XLOOKUP(Crops[[#This Row],[ProductIndex]],Products[ID],Products[CSA Portion])*CSAMembers))</f>
        <v>#DIV/0!</v>
      </c>
      <c r="EV92" s="208" t="e">
        <f>_xlfn.XLOOKUP(Crops[[#This Row],[ProductIndex]],Products[ID],Products[CSA Portion])*CSAMembers*Crops[[#This Row],[CSA Need]]/Crops[[#This Row],[Custom Yield Per Bed]]</f>
        <v>#DIV/0!</v>
      </c>
      <c r="EW92" s="208" t="str">
        <f>IFERROR(Crops[[#This Row],[Days In Field]]*Crops[[#This Row],[CSA Beds]],"")</f>
        <v/>
      </c>
      <c r="EX92" s="208" t="e">
        <f>Crops[[#This Row],[CSA Bed Days]]*#REF!</f>
        <v>#VALUE!</v>
      </c>
      <c r="EY92">
        <v>0</v>
      </c>
      <c r="FA92" s="145"/>
      <c r="FB92" s="145"/>
    </row>
    <row r="93" spans="1:158" ht="15.75" customHeight="1">
      <c r="A9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Collard Greens - Mature Leaf X | Field DS Ow</v>
      </c>
      <c r="B93" s="191"/>
      <c r="C93" s="1"/>
      <c r="D93" s="1"/>
      <c r="E93" s="1" t="b">
        <v>0</v>
      </c>
      <c r="F93" s="1" t="b">
        <f>IFERROR(IF(ISNUMBER(MATCH(Crops[[#This Row],[Identifier]],BedPlan[Crop], 0)), TRUE, FALSE), FALSE)</f>
        <v>0</v>
      </c>
      <c r="G93" s="1" t="b">
        <f>IFERROR(IF(ISNUMBER(MATCH(Crops[[#This Row],[Identifier]],BedPlan[Crop], 0)), TRUE, FALSE), FALSE)</f>
        <v>0</v>
      </c>
      <c r="H93" s="1" t="b">
        <v>1</v>
      </c>
      <c r="I93" t="s">
        <v>64</v>
      </c>
      <c r="J93" t="s">
        <v>145</v>
      </c>
      <c r="K93" t="s">
        <v>179</v>
      </c>
      <c r="N93" t="str">
        <f>Crops[[#This Row],[Crop]]</f>
        <v>Collard Greens</v>
      </c>
      <c r="O93" t="s">
        <v>210</v>
      </c>
      <c r="P93" t="str">
        <f>IF(OR(Crops[[#This Row],[Days in Cells]]="",Crops[[#This Row],[Days in Cells]]=0), "DS","TP")</f>
        <v>DS</v>
      </c>
      <c r="U93" t="s">
        <v>144</v>
      </c>
      <c r="V93" t="str">
        <f xml:space="preserve"> IF(Crops[[#This Row],[Sp]], "Sp", "") &amp; IF(Crops[[#This Row],[Su]], "Su", "") &amp; IF(Crops[[#This Row],[Fa]], "Fa", "") &amp; IF(Crops[[#This Row],[Wi]], "Wi", "") &amp; IF(Crops[[#This Row],[OW]], "Ow","")</f>
        <v>Ow</v>
      </c>
      <c r="AD93" s="32" t="str">
        <f>IFERROR(12/Crops[[#This Row],[Spacing]]*Crops[[#This Row],[Rows]]*BedLength,"")</f>
        <v/>
      </c>
      <c r="AG93">
        <f>IF(Crops[[#This Row],[Custom Safety Factor]]="",PlantingSafetyFactor,Crops[[#This Row],[Custom Safety Factor]])</f>
        <v>1.3</v>
      </c>
      <c r="AH93">
        <f>1</f>
        <v>1</v>
      </c>
      <c r="AI93" s="33" t="str">
        <f>IFERROR(Crops[[#This Row],[Plantings Per Bed]]*Crops[[#This Row],[Seeds Per Planting]]*Crops[[#This Row],[Safety Factor]]*Crops[[#This Row],[Seeding Factor]],"")</f>
        <v/>
      </c>
      <c r="AL93">
        <f>_xlfn.FLOOR.MATH(IFERROR(AVERAGE(Crops[[#This Row],[DTG Lower]:[DTG Upper]]),0))</f>
        <v>0</v>
      </c>
      <c r="AM93">
        <f>SUM(Crops[[#This Row],[Tray 1 Days]],Crops[[#This Row],[Tray 2 Days]],Crops[[#This Row],[Tray 3 Days]])</f>
        <v>0</v>
      </c>
      <c r="AP93">
        <v>0</v>
      </c>
      <c r="AQ93">
        <f>IFERROR(_xlfn.FLOOR.MATH(AVERAGE(Crops[[#This Row],[DTM Lower]:[DTM Upper]])),"")</f>
        <v>0</v>
      </c>
      <c r="AR93" cm="1">
        <f t="array" ref="AR93">_xlfn.SWITCH(Crops[[#This Row],[Normal Method]],"DS",Crops[[#This Row],[Days to Germination]]+Crops[[#This Row],[DTM]] + IF(Crops[[#This Row],[Days in Cells]]&gt;0,15,0), "TP",Crops[[#This Row],[DTM]]+Crops[[#This Row],[Days in Cells]] + IF(Crops[[#This Row],[Days in Cells]]&lt;=0,20,0), "X", Crops[[#This Row],[DTM]])</f>
        <v>20</v>
      </c>
      <c r="AS93" t="s">
        <v>346</v>
      </c>
      <c r="AT93">
        <f>(Crops[[#This Row],[Harvests]]-1)*Crops[[#This Row],[Days Between Harvest]]+7</f>
        <v>7</v>
      </c>
      <c r="AU93">
        <f>Crops[[#This Row],[STH]]-Crops[[#This Row],[Days in Cells]]+Crops[[#This Row],[Harvest window]]</f>
        <v>27</v>
      </c>
      <c r="AW93">
        <v>128</v>
      </c>
      <c r="AZ93" t="str">
        <f>IFERROR(IF(Crops[[#This Row],[Tray 1 Days]]=0,"",Crops[[#This Row],[Plantings Per Bed]]/Crops[[#This Row],[Tray 1 Size]]*Crops[[#This Row],[Safety Factor]]),"")</f>
        <v/>
      </c>
      <c r="BC93" t="str">
        <f>IFERROR(IF(Crops[[#This Row],[Tray 2 Days]]=0,"",Crops[[#This Row],[Plantings Per Bed]]/Crops[[#This Row],[Tray 2 Size]]*Crops[[#This Row],[Safety Factor]]),"")</f>
        <v/>
      </c>
      <c r="BE93" s="32" t="str">
        <f>IF(NOT(ISBLANK(Crops[[#This Row],[Tray 3 Size]])), Crops[[#This Row],[Days in Cells Old]]-SUM(Crops[[#This Row],[Tray 1 Days]],Crops[[#This Row],[Tray 2 Days]]), "")</f>
        <v/>
      </c>
      <c r="BF93" t="str">
        <f>IFERROR(IF(Crops[[#This Row],[Tray 3 Days]]=0,"",Crops[[#This Row],[Plantings Per Bed]]/Crops[[#This Row],[Tray 3 Size]]*Crops[[#This Row],[Safety Factor]]),"")</f>
        <v/>
      </c>
      <c r="BG93" s="33"/>
      <c r="BH93" s="33"/>
      <c r="BI93" s="33"/>
      <c r="BJ93" s="33" t="e">
        <f>_xlfn.XLOOKUP(Crops[[#This Row],[ProductIndex]],Products[ID],Products[Holding Period])</f>
        <v>#N/A</v>
      </c>
      <c r="BK93" s="33"/>
      <c r="BL93" s="33">
        <f>Crops[[#This Row],[Units Per Harvest]]*Crops[[#This Row],[Harvests]]</f>
        <v>0</v>
      </c>
      <c r="BM93" s="35">
        <v>3</v>
      </c>
      <c r="BN93" s="35">
        <f>Crops[[#This Row],[Direct Price]]*0.6</f>
        <v>1.7999999999999998</v>
      </c>
      <c r="BO93" s="35"/>
      <c r="BQ93">
        <f>Crops[[#This Row],[Custom Yield Per Bed]]*Crops[[#This Row],[Direct Price]]</f>
        <v>0</v>
      </c>
      <c r="BR93" t="b">
        <v>1</v>
      </c>
      <c r="BS93" t="b">
        <f>Crops[[#This Row],[Harvests]]&gt;1</f>
        <v>0</v>
      </c>
      <c r="BT93" s="36">
        <f>IFERROR(Crops[[#This Row],[Direct Revenue Per Bed]]/Crops[[#This Row],[Days In Field]],-1)</f>
        <v>0</v>
      </c>
      <c r="BU93" s="36">
        <f>IFERROR(Crops[[#This Row],[Direct Revenue Per Bed Day]]*GrowingDays*BedsPerAcre,"")</f>
        <v>0</v>
      </c>
      <c r="BV93" s="38">
        <f>LastFrostDate-5*Crops[[#This Row],[Sewing Rel Last Frost]]</f>
        <v>45748</v>
      </c>
      <c r="BW93" s="38">
        <f>Crops[[#This Row],[Target Sewing Date]]+Crops[[#This Row],[Days in Cells]]</f>
        <v>45748</v>
      </c>
      <c r="BX93" s="38">
        <f>Crops[[#This Row],[Target Sewing Date]]+Crops[[#This Row],[STH]]</f>
        <v>45768</v>
      </c>
      <c r="BY93" s="38">
        <f>Crops[[#This Row],[Target Harvest Data]]+Crops[[#This Row],[Harvest window]]</f>
        <v>45775</v>
      </c>
      <c r="CB93">
        <f>1</f>
        <v>1</v>
      </c>
      <c r="CC93">
        <f>IF(Crops[[#This Row],[Transplanting]]&gt;0, 2, 3)*BedLength/StandardBedLength</f>
        <v>1.5</v>
      </c>
      <c r="CD93" s="173">
        <f>IF(Crops[[#This Row],[Days in Cells]]&lt;=0,0,Crops[[#This Row],[Plantings Per Bed]]/StartsPerHourSeeding+Crops[[#This Row],[Tray 1 Count]]*5/60)</f>
        <v>0</v>
      </c>
      <c r="CE93" s="173">
        <f>IF(ISBLANK(Crops[[#This Row],[Tray 2 Days]]),0,Crops[[#This Row],[Plantings Per Bed]]/UpPottingPerHour)+IF(Crops[[#This Row],[Tray 3 Days]]="",0,Crops[[#This Row],[Plantings Per Bed]]/UpPottingPerHour)</f>
        <v>0</v>
      </c>
      <c r="CF93" s="173">
        <f>IFERROR(Crops[[#This Row],[Tray 1 Count]]/HomeStartFlatIrrigationPerHour,0)*Crops[[#This Row],[Days in Cells]]/DaysBetweenStartIrrigation</f>
        <v>0</v>
      </c>
      <c r="CG93" s="173">
        <f>0.5/16*MAX(Crops[[#This Row],[Tray 1 Count]],Crops[[#This Row],[Tray 2 Count]],Crops[[#This Row],[Tray 3 Count]])</f>
        <v>0</v>
      </c>
      <c r="CH93" s="173">
        <f>IF(Crops[[#This Row],[Days in Cells]]&gt;0,IF(IF(Crops[[#This Row],[Tray 3 Size]]&gt;0,Crops[[#This Row],[Tray 3 Size]],IF(Crops[[#This Row],[Tray 2 Size]]&gt;0,Crops[[#This Row],[Tray 2 Size]],Crops[[#This Row],[Tray 1 Size]]))&lt;=18,LargeTransplantTime,SmallTransplantTime)*Crops[[#This Row],[Plantings Per Bed]],0)</f>
        <v>0</v>
      </c>
      <c r="CI93" s="173"/>
      <c r="CJ93" s="173">
        <f>_xlfn.XLOOKUP(Crops[[#This Row],[Trellis Type]],TrellisMethods[Trellis Type],TrellisMethods[Hours],0,0)</f>
        <v>0</v>
      </c>
      <c r="CK93">
        <f>IF(Crops[[#This Row],[Days in Cells]]&lt;=0,Crops[[#This Row],[Rows]]*1/10,0)*BedLength/50</f>
        <v>0</v>
      </c>
      <c r="CL93" cm="1">
        <f t="array" ref="CL93">_xlfn.SWITCH(Crops[[#This Row],[Irrigation]],"DR", 0.5, "OH", 0.25,0)*BedLength/50</f>
        <v>0</v>
      </c>
      <c r="CM93">
        <f>IF(OR(ISBLANK(Crops[[#This Row],[Row Cover]]),Crops[[#This Row],[Row Cover]]="None"),0,1)*BedLength/50</f>
        <v>0</v>
      </c>
      <c r="CN93" s="173">
        <f>HoursPerWeedingPass*Crops[[#This Row],[Days In Field]]/14*Crops[[#This Row],[Rows]]+1*BedLength/50</f>
        <v>1</v>
      </c>
      <c r="CQ93" s="37" t="e">
        <f>_xlfn.XLOOKUP(Crops[[#This Row],[Crop]]&amp;Crops[[#This Row],[Product]]&amp;Crops[[#This Row],[Unit]],Products[ID],Products[Marketing (hr)])*Crops[[#This Row],[Direct Revenue Per Bed]]/2000</f>
        <v>#N/A</v>
      </c>
      <c r="CR93" s="37" t="e">
        <f>_xlfn.XLOOKUP(Crops[[#This Row],[Crop]]&amp;Crops[[#This Row],[Product]]&amp;Crops[[#This Row],[Unit]],Products[ID],Products[Harvest (s)])*Crops[[#This Row],[Custom Yield Per Bed]]/3600</f>
        <v>#N/A</v>
      </c>
      <c r="CS93" s="37" t="e">
        <f>_xlfn.XLOOKUP(Crops[[#This Row],[Crop]]&amp;Crops[[#This Row],[Product]]&amp;Crops[[#This Row],[Unit]],Products[ID],Products[Bunch (s)])*Crops[[#This Row],[Custom Yield Per Bed]]/3600</f>
        <v>#N/A</v>
      </c>
      <c r="CT93" s="37" t="e">
        <f>_xlfn.XLOOKUP(Crops[[#This Row],[Crop]]&amp;Crops[[#This Row],[Product]]&amp;Crops[[#This Row],[Unit]],Products[ID],Products[Haul (s)])*Crops[[#This Row],[Custom Yield Per Bed]]/3600</f>
        <v>#N/A</v>
      </c>
      <c r="CU93" s="37" t="e">
        <f>_xlfn.XLOOKUP(Crops[[#This Row],[Crop]]&amp;Crops[[#This Row],[Product]]&amp;Crops[[#This Row],[Unit]],Products[ID],Products[Wash (s)])*Crops[[#This Row],[Custom Yield Per Bed]]/3600</f>
        <v>#N/A</v>
      </c>
      <c r="CV93" s="37" t="e">
        <f>_xlfn.XLOOKUP(Crops[[#This Row],[Crop]]&amp;Crops[[#This Row],[Product]]&amp;Crops[[#This Row],[Unit]],Products[ID],Products[Condition (s)])*Crops[[#This Row],[Custom Yield Per Bed]]/3600</f>
        <v>#N/A</v>
      </c>
      <c r="CW93" s="37" t="e">
        <f>_xlfn.XLOOKUP(Crops[[#This Row],[Crop]]&amp;Crops[[#This Row],[Product]]&amp;Crops[[#This Row],[Unit]],Products[ID],Products[Trim (s)])*Crops[[#This Row],[Custom Yield Per Bed]]/3600</f>
        <v>#N/A</v>
      </c>
      <c r="CX93" s="37" t="e">
        <f>_xlfn.XLOOKUP(Crops[[#This Row],[Crop]]&amp;Crops[[#This Row],[Product]]&amp;Crops[[#This Row],[Unit]],Products[ID],Products[Pack (s)])*Crops[[#This Row],[Custom Yield Per Bed]]/3600</f>
        <v>#N/A</v>
      </c>
      <c r="CY93" s="37" t="e">
        <f>_xlfn.XLOOKUP(Crops[[#This Row],[Crop]]&amp;Crops[[#This Row],[Product]]&amp;Crops[[#This Row],[Unit]],Products[ID],Products[Clean (s)])*Crops[[#This Row],[Custom Yield Per Bed]]/3600</f>
        <v>#N/A</v>
      </c>
      <c r="CZ93" s="37" t="e">
        <f>_xlfn.XLOOKUP(Crops[[#This Row],[Crop]]&amp;Crops[[#This Row],[Product]]&amp;Crops[[#This Row],[Unit]],Products[ID],Products[Rehandle (s)])*Crops[[#This Row],[Custom Yield Per Bed]]/3600</f>
        <v>#N/A</v>
      </c>
      <c r="DA93" s="37" t="e">
        <f>_xlfn.XLOOKUP(Crops[[#This Row],[Crop]]&amp;Crops[[#This Row],[Product]]&amp;Crops[[#This Row],[Unit]],Products[ID],Products[Market Transport (s)])*Crops[[#This Row],[Custom Yield Per Bed]]/3600</f>
        <v>#N/A</v>
      </c>
      <c r="DC93" s="37">
        <f>Crops[[#This Row],[Direct Revenue Per Bed2]]</f>
        <v>0</v>
      </c>
      <c r="DD93" s="173">
        <f>_xlfn.AGGREGATE(9,6,Crops[[#This Row],[Bed Prep]:[Remove Crop Residue]])</f>
        <v>2.5</v>
      </c>
      <c r="DE93" s="173" t="e">
        <f>_xlfn.AGGREGATE(9,6,Crops[[#This Row],[Bed Prep]:[Remove Crop Residue]])-0.75*Crops[[#This Row],[Market &amp; Sell]]</f>
        <v>#N/A</v>
      </c>
      <c r="DF93" s="36">
        <f>Crops[[#This Row],[Direct Revenue Per Bed2]]/Crops[[#This Row],[Direct Time]]</f>
        <v>0</v>
      </c>
      <c r="DG93" s="36" t="e">
        <f>_xlfn.XLOOKUP(Crops[[#This Row],[ProductIndex]],Products[ID],Products[Packaging Cost])*(Crops[[#This Row],[Custom Yield Per Bed]]/_xlfn.XLOOKUP(Crops[[#This Row],[ProductIndex]],Products[ID],Products[Units Per Pack]))</f>
        <v>#N/A</v>
      </c>
      <c r="DH93" s="36"/>
      <c r="DI93" s="36"/>
      <c r="DJ93" s="36"/>
      <c r="DK93" s="36"/>
      <c r="DL93" s="36"/>
      <c r="DM93" s="33">
        <f>IFERROR(Crops[[#This Row],[Custom Yield Per Bed]]*Crops[[#This Row],[Direct Price]],"")</f>
        <v>0</v>
      </c>
      <c r="DN93" s="36">
        <f>Crops[[#This Row],[Direct Time]]*LaborRate</f>
        <v>62.5</v>
      </c>
      <c r="DO93" s="36">
        <f>SUM(Crops[[#This Row],[Irrigation Cost]])</f>
        <v>0</v>
      </c>
      <c r="DP93" s="36">
        <f>Crops[[#This Row],[Direct Labor Cost]]+Crops[[#This Row],[Direct Non-Labor Cost]]</f>
        <v>62.5</v>
      </c>
      <c r="DQ93" s="36">
        <f>Crops[[#This Row],[Direct Revenue Per Bed2]]-Crops[[#This Row],[Direct Total Cost]]</f>
        <v>-62.5</v>
      </c>
      <c r="DR93" s="36">
        <f>Crops[[#This Row],[Direct Profit]]*BedsPerAcre</f>
        <v>-10000</v>
      </c>
      <c r="DS93" s="36">
        <f>Crops[[#This Row],[Direct Profit]]*BedsPerAcre*GrowingDays/Crops[[#This Row],[Days In Field]]</f>
        <v>-66666.666666666672</v>
      </c>
      <c r="DT93" s="36">
        <f>Crops[[#This Row],[Direct Profit]]/MIN(Crops[[#This Row],[Days In Field]],GrowingDays)</f>
        <v>-2.3148148148148149</v>
      </c>
      <c r="DU93" s="36">
        <f>Crops[[#This Row],[Direct Time]] * BedsPerAcre</f>
        <v>400</v>
      </c>
      <c r="DV93" s="36">
        <f>(Crops[[#This Row],[Direct Revenue Per Bed2]]-Crops[[#This Row],[Direct Non-Labor Cost]])/Crops[[#This Row],[Direct Time]]</f>
        <v>0</v>
      </c>
      <c r="DW93" s="33">
        <f>IFERROR(Crops[[#This Row],[Custom Yield Per Bed]]*Crops[[#This Row],[Rough Wholesale Price]],"")</f>
        <v>0</v>
      </c>
      <c r="DX93" s="36" t="e">
        <f>Crops[[#This Row],[Wholesale Time]]*LaborRate</f>
        <v>#N/A</v>
      </c>
      <c r="DY93" s="36" t="e">
        <f>SUM(Crops[[#This Row],[Packaging Costs]:[Irrigation Cost]])</f>
        <v>#N/A</v>
      </c>
      <c r="DZ93" s="36" t="e">
        <f>Crops[[#This Row],[Wholesale Labor Cost]]+Crops[[#This Row],[Wholesale Non-Labor Cost]]</f>
        <v>#N/A</v>
      </c>
      <c r="EA93" s="36" t="e">
        <f>Crops[[#This Row],[Wholesale Revenue Per Bed]]-Crops[[#This Row],[Wholesale Total Cost]]</f>
        <v>#N/A</v>
      </c>
      <c r="EB93" s="36" t="e">
        <f>Crops[[#This Row],[Wholesale Profit]]*BedsPerAcre</f>
        <v>#N/A</v>
      </c>
      <c r="EC93" s="36" t="e">
        <f>Crops[[#This Row],[Wholesale Profit]]*BedsPerAcre*GrowingDays/Crops[[#This Row],[Days In Field]]</f>
        <v>#N/A</v>
      </c>
      <c r="ED93" s="36" t="e">
        <f>Crops[[#This Row],[Wholesale Time]] * BedsPerAcre</f>
        <v>#N/A</v>
      </c>
      <c r="EE93" s="36" t="e">
        <f>Crops[[#This Row],[Wholesale Profit]]/MIN(Crops[[#This Row],[Days In Field]],GrowingDays)</f>
        <v>#N/A</v>
      </c>
      <c r="EF93" s="36" t="e">
        <f>(Crops[[#This Row],[Wholesale Revenue Per Bed]]-Crops[[#This Row],[Wholesale Non-Labor Cost]])/Crops[[#This Row],[Direct Time]]</f>
        <v>#N/A</v>
      </c>
      <c r="EG93" s="174" t="e">
        <f>Crops[[#This Row],[Packaging Costs]]/Crops[[#This Row],[Wholesale Revenue Per Bed]]</f>
        <v>#N/A</v>
      </c>
      <c r="EH93" s="36" t="str">
        <f>Crops[[#This Row],[Crop]]&amp;Crops[[#This Row],[Product]]&amp;Crops[[#This Row],[Unit]]</f>
        <v>Collard GreensMature Leaf</v>
      </c>
      <c r="EI93" s="36" t="e">
        <f>_xlfn.XLOOKUP(Crops[[#This Row],[ProductIndex]],Products[ID],Products[Target])</f>
        <v>#N/A</v>
      </c>
      <c r="EJ93" s="36">
        <f>Crops[[#This Row],[Custom Yield Per Bed]]</f>
        <v>0</v>
      </c>
      <c r="EK93" s="210" t="e">
        <f>Crops[[#This Row],[Units Per Harvest]]/Crops[[#This Row],[Days Between Harvest]]*7</f>
        <v>#DIV/0!</v>
      </c>
      <c r="EL93" s="210" t="e">
        <f>Crops[[#This Row],[Custom Yield Per Bed]]/_xlfn.XLOOKUP(Crops[[#This Row],[ProductIndex]],Products[ID],Products[CSA Portion])</f>
        <v>#N/A</v>
      </c>
      <c r="EM93" s="210" t="e">
        <f>Crops[[#This Row],[Units Per Harvest]]/Crops[[#This Row],[Days Between Harvest]]*7/_xlfn.XLOOKUP(Crops[[#This Row],[ProductIndex]],Products[ID],Products[CSA Portion])</f>
        <v>#DIV/0!</v>
      </c>
      <c r="EN93" s="210" t="e">
        <f>Crops[[#This Row],[CSA Portions Per Week]]/CSAMembers</f>
        <v>#DIV/0!</v>
      </c>
      <c r="EO93" s="210"/>
      <c r="EP93" s="210"/>
      <c r="EQ93" s="36"/>
      <c r="ER93" s="36">
        <f>Crops[[#This Row],[Harvests]]*Crops[[#This Row],[Days Between Harvest]]/7</f>
        <v>0</v>
      </c>
      <c r="ES93" s="208" t="e">
        <f>_xlfn.XLOOKUP(Crops[[#This Row],[ProductIndex]],Products[ID],Products[CSA Need])</f>
        <v>#N/A</v>
      </c>
      <c r="ET93" s="208" t="e">
        <f>_xlfn.XLOOKUP(Crops[[#This Row],[ProductIndex]],Products[ID],Products[CSA Times])</f>
        <v>#N/A</v>
      </c>
      <c r="EU93" s="208" t="e">
        <f>Crops[[#This Row],[Custom Yield Per Bed]]/(Crops[[#This Row],[CSA Need]]*(_xlfn.XLOOKUP(Crops[[#This Row],[ProductIndex]],Products[ID],Products[CSA Portion])*CSAMembers))</f>
        <v>#N/A</v>
      </c>
      <c r="EV93" s="208" t="e">
        <f>_xlfn.XLOOKUP(Crops[[#This Row],[ProductIndex]],Products[ID],Products[CSA Portion])*CSAMembers*Crops[[#This Row],[CSA Need]]/Crops[[#This Row],[Custom Yield Per Bed]]</f>
        <v>#N/A</v>
      </c>
      <c r="EW93" s="208" t="str">
        <f>IFERROR(Crops[[#This Row],[Days In Field]]*Crops[[#This Row],[CSA Beds]],"")</f>
        <v/>
      </c>
      <c r="EX93" s="208" t="e">
        <f>Crops[[#This Row],[CSA Bed Days]]*#REF!</f>
        <v>#VALUE!</v>
      </c>
      <c r="EY93">
        <v>0</v>
      </c>
      <c r="FA93" s="145"/>
      <c r="FB93" s="145"/>
    </row>
    <row r="94" spans="1:158">
      <c r="A94" s="18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Corn  (Squash Interplant) - Mature Cob 1X | Field TP </v>
      </c>
      <c r="B94" s="181"/>
      <c r="C94" s="1"/>
      <c r="D94" s="1"/>
      <c r="E94" s="1" t="b">
        <v>0</v>
      </c>
      <c r="F94" s="1" t="b">
        <f>IFERROR(IF(ISNUMBER(MATCH(Crops[[#This Row],[Identifier]],BedPlan[Crop], 0)), TRUE, FALSE), FALSE)</f>
        <v>0</v>
      </c>
      <c r="G94" s="1" t="b">
        <f>IFERROR(IF(ISNUMBER(MATCH(Crops[[#This Row],[Identifier]],BedPlan[Crop], 0)), TRUE, FALSE), FALSE)</f>
        <v>0</v>
      </c>
      <c r="H94" s="1"/>
      <c r="I94" t="s">
        <v>325</v>
      </c>
      <c r="J94" t="s">
        <v>335</v>
      </c>
      <c r="K94" t="s">
        <v>326</v>
      </c>
      <c r="M94" t="s">
        <v>410</v>
      </c>
      <c r="N94" t="str">
        <f>Crops[[#This Row],[Crop]]</f>
        <v xml:space="preserve">Corn </v>
      </c>
      <c r="O94" t="s">
        <v>210</v>
      </c>
      <c r="P94" t="str">
        <f>IF(OR(Crops[[#This Row],[Days in Cells]]="",Crops[[#This Row],[Days in Cells]]=0), "DS","TP")</f>
        <v>TP</v>
      </c>
      <c r="V94" t="str">
        <f xml:space="preserve"> IF(Crops[[#This Row],[Sp]], "Sp", "") &amp; IF(Crops[[#This Row],[Su]], "Su", "") &amp; IF(Crops[[#This Row],[Fa]], "Fa", "") &amp; IF(Crops[[#This Row],[Wi]], "Wi", "") &amp; IF(Crops[[#This Row],[OW]], "Ow","")</f>
        <v/>
      </c>
      <c r="X94">
        <v>6</v>
      </c>
      <c r="Y94">
        <v>36</v>
      </c>
      <c r="AA94" t="s">
        <v>474</v>
      </c>
      <c r="AB94" t="b">
        <v>0</v>
      </c>
      <c r="AC94">
        <v>4</v>
      </c>
      <c r="AD94" s="32">
        <f>IFERROR(12/Crops[[#This Row],[Spacing]]*Crops[[#This Row],[Rows]]*BedLength,"")</f>
        <v>100</v>
      </c>
      <c r="AE94">
        <v>1</v>
      </c>
      <c r="AG94">
        <f>IF(Crops[[#This Row],[Custom Safety Factor]]="",PlantingSafetyFactor,Crops[[#This Row],[Custom Safety Factor]])</f>
        <v>1.3</v>
      </c>
      <c r="AH94">
        <f>1</f>
        <v>1</v>
      </c>
      <c r="AI94" s="33">
        <f>IFERROR(Crops[[#This Row],[Plantings Per Bed]]*Crops[[#This Row],[Seeds Per Planting]]*Crops[[#This Row],[Safety Factor]]*Crops[[#This Row],[Seeding Factor]],"")</f>
        <v>130</v>
      </c>
      <c r="AL94">
        <f>_xlfn.FLOOR.MATH(IFERROR(AVERAGE(Crops[[#This Row],[DTG Lower]:[DTG Upper]]),0))</f>
        <v>0</v>
      </c>
      <c r="AM94">
        <f>SUM(Crops[[#This Row],[Tray 1 Days]],Crops[[#This Row],[Tray 2 Days]],Crops[[#This Row],[Tray 3 Days]])</f>
        <v>28</v>
      </c>
      <c r="AN94" s="32">
        <v>28</v>
      </c>
      <c r="AO94">
        <v>90</v>
      </c>
      <c r="AP94">
        <v>110</v>
      </c>
      <c r="AQ94">
        <f>IFERROR(_xlfn.FLOOR.MATH(AVERAGE(Crops[[#This Row],[DTM Lower]:[DTM Upper]])),"")</f>
        <v>100</v>
      </c>
      <c r="AR94" cm="1">
        <f t="array" ref="AR94">_xlfn.SWITCH(Crops[[#This Row],[Normal Method]],"DS",Crops[[#This Row],[Days to Germination]]+Crops[[#This Row],[DTM]] + IF(Crops[[#This Row],[Days in Cells]]&gt;0,15,0), "TP",Crops[[#This Row],[DTM]]+Crops[[#This Row],[Days in Cells]] + IF(Crops[[#This Row],[Days in Cells]]&lt;=0,20,0), "X", Crops[[#This Row],[DTM]])</f>
        <v>100</v>
      </c>
      <c r="AS94" t="s">
        <v>347</v>
      </c>
      <c r="AT94">
        <f>(Crops[[#This Row],[Harvests]]-1)*Crops[[#This Row],[Days Between Harvest]]+7</f>
        <v>14</v>
      </c>
      <c r="AU94">
        <f>Crops[[#This Row],[STH]]-Crops[[#This Row],[Days in Cells]]+Crops[[#This Row],[Harvest window]]</f>
        <v>86</v>
      </c>
      <c r="AX94">
        <v>128</v>
      </c>
      <c r="AY94">
        <v>28</v>
      </c>
      <c r="AZ94" s="49">
        <f>IFERROR(IF(Crops[[#This Row],[Tray 1 Days]]=0,"",Crops[[#This Row],[Plantings Per Bed]]/Crops[[#This Row],[Tray 1 Size]]*Crops[[#This Row],[Safety Factor]]),"")</f>
        <v>1.015625</v>
      </c>
      <c r="BC94" t="str">
        <f>IFERROR(IF(Crops[[#This Row],[Tray 2 Days]]=0,"",Crops[[#This Row],[Plantings Per Bed]]/Crops[[#This Row],[Tray 2 Size]]*Crops[[#This Row],[Safety Factor]]),"")</f>
        <v/>
      </c>
      <c r="BE94" s="32" t="str">
        <f>IF(NOT(ISBLANK(Crops[[#This Row],[Tray 3 Size]])), Crops[[#This Row],[Days in Cells Old]]-SUM(Crops[[#This Row],[Tray 1 Days]],Crops[[#This Row],[Tray 2 Days]]), "")</f>
        <v/>
      </c>
      <c r="BF94" s="49" t="str">
        <f>IFERROR(IF(Crops[[#This Row],[Tray 3 Days]]=0,"",Crops[[#This Row],[Plantings Per Bed]]/Crops[[#This Row],[Tray 3 Size]]*Crops[[#This Row],[Safety Factor]]),"")</f>
        <v/>
      </c>
      <c r="BG94" s="33">
        <f>Crops[[#This Row],[Plantings Per Bed]]/Crops[[#This Row],[Harvests]]</f>
        <v>50</v>
      </c>
      <c r="BH94" s="33">
        <v>2</v>
      </c>
      <c r="BI94" s="33">
        <v>7</v>
      </c>
      <c r="BJ94" s="33">
        <f>_xlfn.XLOOKUP(Crops[[#This Row],[ProductIndex]],Products[ID],Products[Holding Period])</f>
        <v>0</v>
      </c>
      <c r="BK94" s="33"/>
      <c r="BL94" s="33">
        <f>Crops[[#This Row],[Units Per Harvest]]*Crops[[#This Row],[Harvests]]</f>
        <v>100</v>
      </c>
      <c r="BM94" s="35">
        <v>2</v>
      </c>
      <c r="BN94" s="35">
        <v>0.56000000000000005</v>
      </c>
      <c r="BO94" s="35"/>
      <c r="BP94" t="s">
        <v>1302</v>
      </c>
      <c r="BQ94">
        <f>Crops[[#This Row],[Custom Yield Per Bed]]*Crops[[#This Row],[Direct Price]]</f>
        <v>200</v>
      </c>
      <c r="BR94" t="b">
        <v>1</v>
      </c>
      <c r="BS94" t="b">
        <f>Crops[[#This Row],[Harvests]]&gt;1</f>
        <v>1</v>
      </c>
      <c r="BT94" s="36">
        <f>IFERROR(Crops[[#This Row],[Direct Revenue Per Bed]]/Crops[[#This Row],[Days In Field]],-1)</f>
        <v>2.3255813953488373</v>
      </c>
      <c r="BU94" s="36">
        <f>IFERROR(Crops[[#This Row],[Direct Revenue Per Bed Day]]*GrowingDays*BedsPerAcre,"")</f>
        <v>66976.744186046519</v>
      </c>
      <c r="BV94" s="38">
        <f>LastFrostDate-5*Crops[[#This Row],[Sewing Rel Last Frost]]</f>
        <v>45758</v>
      </c>
      <c r="BW94" s="38">
        <f>Crops[[#This Row],[Target Sewing Date]]+Crops[[#This Row],[Days in Cells]]</f>
        <v>45786</v>
      </c>
      <c r="BX94" s="38">
        <f>Crops[[#This Row],[Target Sewing Date]]+Crops[[#This Row],[STH]]</f>
        <v>45858</v>
      </c>
      <c r="BY94" s="38">
        <f>Crops[[#This Row],[Target Harvest Data]]+Crops[[#This Row],[Harvest window]]</f>
        <v>45872</v>
      </c>
      <c r="BZ94">
        <v>-2</v>
      </c>
      <c r="CA94" t="s">
        <v>373</v>
      </c>
      <c r="CB94">
        <f>1</f>
        <v>1</v>
      </c>
      <c r="CC94">
        <f>IF(Crops[[#This Row],[Transplanting]]&gt;0, 2, 3)*BedLength/StandardBedLength</f>
        <v>1</v>
      </c>
      <c r="CD94" s="173">
        <f>IF(Crops[[#This Row],[Days in Cells]]&lt;=0,0,Crops[[#This Row],[Plantings Per Bed]]/StartsPerHourSeeding+Crops[[#This Row],[Tray 1 Count]]*5/60)</f>
        <v>0.47526041666666669</v>
      </c>
      <c r="CE94" s="173">
        <f>IF(ISBLANK(Crops[[#This Row],[Tray 2 Days]]),0,Crops[[#This Row],[Plantings Per Bed]]/UpPottingPerHour)+IF(Crops[[#This Row],[Tray 3 Days]]="",0,Crops[[#This Row],[Plantings Per Bed]]/UpPottingPerHour)</f>
        <v>0</v>
      </c>
      <c r="CF94" s="173">
        <f>IFERROR(Crops[[#This Row],[Tray 1 Count]]/HomeStartFlatIrrigationPerHour,0)*Crops[[#This Row],[Days in Cells]]/DaysBetweenStartIrrigation</f>
        <v>0.11848958333333333</v>
      </c>
      <c r="CG94" s="173">
        <f>0.5/16*MAX(Crops[[#This Row],[Tray 1 Count]],Crops[[#This Row],[Tray 2 Count]],Crops[[#This Row],[Tray 3 Count]])</f>
        <v>3.173828125E-2</v>
      </c>
      <c r="CH94" s="173">
        <f>IF(Crops[[#This Row],[Days in Cells]]&gt;0,IF(IF(Crops[[#This Row],[Tray 3 Size]]&gt;0,Crops[[#This Row],[Tray 3 Size]],IF(Crops[[#This Row],[Tray 2 Size]]&gt;0,Crops[[#This Row],[Tray 2 Size]],Crops[[#This Row],[Tray 1 Size]]))&lt;=18,LargeTransplantTime,SmallTransplantTime)*Crops[[#This Row],[Plantings Per Bed]],0)</f>
        <v>0.5</v>
      </c>
      <c r="CI94" s="173"/>
      <c r="CJ94" s="173">
        <f>_xlfn.XLOOKUP(Crops[[#This Row],[Trellis Type]],TrellisMethods[Trellis Type],TrellisMethods[Hours],0,0)</f>
        <v>0</v>
      </c>
      <c r="CK94">
        <f>IF(Crops[[#This Row],[Days in Cells]]&lt;=0,Crops[[#This Row],[Rows]]*1/10,0)*BedLength/50</f>
        <v>0</v>
      </c>
      <c r="CL94" cm="1">
        <f t="array" ref="CL94">_xlfn.SWITCH(Crops[[#This Row],[Irrigation]],"DR", 0.5, "OH", 0.25,0)*BedLength/50</f>
        <v>0</v>
      </c>
      <c r="CM94">
        <f>IF(OR(ISBLANK(Crops[[#This Row],[Row Cover]]),Crops[[#This Row],[Row Cover]]="None"),0,1)*BedLength/50</f>
        <v>0</v>
      </c>
      <c r="CN94" s="173">
        <f>HoursPerWeedingPass*Crops[[#This Row],[Days In Field]]/14*Crops[[#This Row],[Rows]]+1*BedLength/50</f>
        <v>7.1428571428571423</v>
      </c>
      <c r="CO94" s="49"/>
      <c r="CQ94" s="37">
        <f>_xlfn.XLOOKUP(Crops[[#This Row],[Crop]]&amp;Crops[[#This Row],[Product]]&amp;Crops[[#This Row],[Unit]],Products[ID],Products[Marketing (hr)])*Crops[[#This Row],[Direct Revenue Per Bed]]/2000</f>
        <v>0.3</v>
      </c>
      <c r="CR94" s="37">
        <f>_xlfn.XLOOKUP(Crops[[#This Row],[Crop]]&amp;Crops[[#This Row],[Product]]&amp;Crops[[#This Row],[Unit]],Products[ID],Products[Harvest (s)])*Crops[[#This Row],[Custom Yield Per Bed]]/3600</f>
        <v>0.27777777777777779</v>
      </c>
      <c r="CS94" s="37">
        <f>_xlfn.XLOOKUP(Crops[[#This Row],[Crop]]&amp;Crops[[#This Row],[Product]]&amp;Crops[[#This Row],[Unit]],Products[ID],Products[Bunch (s)])*Crops[[#This Row],[Custom Yield Per Bed]]/3600</f>
        <v>0</v>
      </c>
      <c r="CT94" s="37">
        <f>_xlfn.XLOOKUP(Crops[[#This Row],[Crop]]&amp;Crops[[#This Row],[Product]]&amp;Crops[[#This Row],[Unit]],Products[ID],Products[Haul (s)])*Crops[[#This Row],[Custom Yield Per Bed]]/3600</f>
        <v>0.10416666666666667</v>
      </c>
      <c r="CU94" s="37">
        <f>_xlfn.XLOOKUP(Crops[[#This Row],[Crop]]&amp;Crops[[#This Row],[Product]]&amp;Crops[[#This Row],[Unit]],Products[ID],Products[Wash (s)])*Crops[[#This Row],[Custom Yield Per Bed]]/3600</f>
        <v>0</v>
      </c>
      <c r="CV94" s="37">
        <f>_xlfn.XLOOKUP(Crops[[#This Row],[Crop]]&amp;Crops[[#This Row],[Product]]&amp;Crops[[#This Row],[Unit]],Products[ID],Products[Condition (s)])*Crops[[#This Row],[Custom Yield Per Bed]]/3600</f>
        <v>0</v>
      </c>
      <c r="CW94" s="37">
        <f>_xlfn.XLOOKUP(Crops[[#This Row],[Crop]]&amp;Crops[[#This Row],[Product]]&amp;Crops[[#This Row],[Unit]],Products[ID],Products[Trim (s)])*Crops[[#This Row],[Custom Yield Per Bed]]/3600</f>
        <v>0</v>
      </c>
      <c r="CX94" s="37">
        <f>_xlfn.XLOOKUP(Crops[[#This Row],[Crop]]&amp;Crops[[#This Row],[Product]]&amp;Crops[[#This Row],[Unit]],Products[ID],Products[Pack (s)])*Crops[[#This Row],[Custom Yield Per Bed]]/3600</f>
        <v>8.3333333333333329E-2</v>
      </c>
      <c r="CY94" s="37">
        <f>_xlfn.XLOOKUP(Crops[[#This Row],[Crop]]&amp;Crops[[#This Row],[Product]]&amp;Crops[[#This Row],[Unit]],Products[ID],Products[Clean (s)])*Crops[[#This Row],[Custom Yield Per Bed]]/3600</f>
        <v>0</v>
      </c>
      <c r="CZ94" s="37">
        <f>_xlfn.XLOOKUP(Crops[[#This Row],[Crop]]&amp;Crops[[#This Row],[Product]]&amp;Crops[[#This Row],[Unit]],Products[ID],Products[Rehandle (s)])*Crops[[#This Row],[Custom Yield Per Bed]]/3600</f>
        <v>0</v>
      </c>
      <c r="DA94" s="37">
        <f>_xlfn.XLOOKUP(Crops[[#This Row],[Crop]]&amp;Crops[[#This Row],[Product]]&amp;Crops[[#This Row],[Unit]],Products[ID],Products[Market Transport (s)])*Crops[[#This Row],[Custom Yield Per Bed]]/3600</f>
        <v>0.26041666666666669</v>
      </c>
      <c r="DC94" s="37">
        <f>Crops[[#This Row],[Direct Revenue Per Bed2]]</f>
        <v>200</v>
      </c>
      <c r="DD94" s="173">
        <f>_xlfn.AGGREGATE(9,6,Crops[[#This Row],[Bed Prep]:[Remove Crop Residue]])</f>
        <v>10.294039868551588</v>
      </c>
      <c r="DE94" s="173">
        <f>_xlfn.AGGREGATE(9,6,Crops[[#This Row],[Bed Prep]:[Remove Crop Residue]])-0.75*Crops[[#This Row],[Market &amp; Sell]]</f>
        <v>10.069039868551588</v>
      </c>
      <c r="DF94" s="36">
        <f>Crops[[#This Row],[Direct Revenue Per Bed2]]/Crops[[#This Row],[Direct Time]]</f>
        <v>19.428718224708099</v>
      </c>
      <c r="DG94" s="36">
        <f>_xlfn.XLOOKUP(Crops[[#This Row],[ProductIndex]],Products[ID],Products[Packaging Cost])*(Crops[[#This Row],[Custom Yield Per Bed]]/_xlfn.XLOOKUP(Crops[[#This Row],[ProductIndex]],Products[ID],Products[Units Per Pack]))</f>
        <v>15.833333333333334</v>
      </c>
      <c r="DH94" s="36"/>
      <c r="DI94" s="36"/>
      <c r="DJ94" s="36"/>
      <c r="DK94" s="36"/>
      <c r="DL94" s="36"/>
      <c r="DM94" s="33">
        <f>IFERROR(Crops[[#This Row],[Custom Yield Per Bed]]*Crops[[#This Row],[Direct Price]],"")</f>
        <v>200</v>
      </c>
      <c r="DN94" s="36">
        <f>Crops[[#This Row],[Direct Time]]*LaborRate</f>
        <v>257.3509967137897</v>
      </c>
      <c r="DO94" s="36">
        <f>SUM(Crops[[#This Row],[Irrigation Cost]])</f>
        <v>0</v>
      </c>
      <c r="DP94" s="36">
        <f>Crops[[#This Row],[Direct Labor Cost]]+Crops[[#This Row],[Direct Non-Labor Cost]]</f>
        <v>257.3509967137897</v>
      </c>
      <c r="DQ94" s="36">
        <f>Crops[[#This Row],[Direct Revenue Per Bed2]]-Crops[[#This Row],[Direct Total Cost]]</f>
        <v>-57.350996713789698</v>
      </c>
      <c r="DR94" s="36">
        <f>Crops[[#This Row],[Direct Profit]]*BedsPerAcre</f>
        <v>-9176.1594742063517</v>
      </c>
      <c r="DS94" s="36">
        <f>Crops[[#This Row],[Direct Profit]]*BedsPerAcre*GrowingDays/Crops[[#This Row],[Days In Field]]</f>
        <v>-19205.915178571431</v>
      </c>
      <c r="DT94" s="36">
        <f>Crops[[#This Row],[Direct Profit]]/MIN(Crops[[#This Row],[Days In Field]],GrowingDays)</f>
        <v>-0.66687205481150813</v>
      </c>
      <c r="DU94" s="33">
        <f>Crops[[#This Row],[Direct Time]] * BedsPerAcre</f>
        <v>1647.046378968254</v>
      </c>
      <c r="DV94" s="36">
        <f>(Crops[[#This Row],[Direct Revenue Per Bed2]]-Crops[[#This Row],[Direct Non-Labor Cost]])/Crops[[#This Row],[Direct Time]]</f>
        <v>19.428718224708099</v>
      </c>
      <c r="DW94" s="33">
        <f>IFERROR(Crops[[#This Row],[Custom Yield Per Bed]]*Crops[[#This Row],[Rough Wholesale Price]],"")</f>
        <v>56.000000000000007</v>
      </c>
      <c r="DX94" s="36">
        <f>Crops[[#This Row],[Wholesale Time]]*LaborRate</f>
        <v>251.7259967137897</v>
      </c>
      <c r="DY94" s="36">
        <f>SUM(Crops[[#This Row],[Packaging Costs]:[Irrigation Cost]])</f>
        <v>15.833333333333334</v>
      </c>
      <c r="DZ94" s="36">
        <f>Crops[[#This Row],[Wholesale Labor Cost]]+Crops[[#This Row],[Wholesale Non-Labor Cost]]</f>
        <v>267.55933004712301</v>
      </c>
      <c r="EA94" s="36">
        <f>Crops[[#This Row],[Wholesale Revenue Per Bed]]-Crops[[#This Row],[Wholesale Total Cost]]</f>
        <v>-211.55933004712301</v>
      </c>
      <c r="EB94" s="36">
        <f>Crops[[#This Row],[Wholesale Profit]]*BedsPerAcre</f>
        <v>-33849.492807539682</v>
      </c>
      <c r="EC94" s="36">
        <f>Crops[[#This Row],[Wholesale Profit]]*BedsPerAcre*GrowingDays/Crops[[#This Row],[Days In Field]]</f>
        <v>-70847.77564368771</v>
      </c>
      <c r="ED94" s="33">
        <f>Crops[[#This Row],[Wholesale Time]] * BedsPerAcre</f>
        <v>1611.046378968254</v>
      </c>
      <c r="EE94" s="221">
        <f>Crops[[#This Row],[Wholesale Profit]]/MIN(Crops[[#This Row],[Days In Field]],GrowingDays)</f>
        <v>-2.4599922098502676</v>
      </c>
      <c r="EF94" s="36">
        <f>(Crops[[#This Row],[Wholesale Revenue Per Bed]]-Crops[[#This Row],[Wholesale Non-Labor Cost]])/Crops[[#This Row],[Direct Time]]</f>
        <v>3.9019342434622106</v>
      </c>
      <c r="EG94" s="174">
        <f>Crops[[#This Row],[Packaging Costs]]/Crops[[#This Row],[Wholesale Revenue Per Bed]]</f>
        <v>0.28273809523809523</v>
      </c>
      <c r="EH94" s="36" t="str">
        <f>Crops[[#This Row],[Crop]]&amp;Crops[[#This Row],[Product]]&amp;Crops[[#This Row],[Unit]]</f>
        <v>Corn Mature CobCobs</v>
      </c>
      <c r="EI94" s="36" t="b">
        <f>_xlfn.XLOOKUP(Crops[[#This Row],[ProductIndex]],Products[ID],Products[Target])</f>
        <v>1</v>
      </c>
      <c r="EJ94" s="36">
        <f>Crops[[#This Row],[Custom Yield Per Bed]]</f>
        <v>100</v>
      </c>
      <c r="EK94" s="210">
        <f>Crops[[#This Row],[Units Per Harvest]]/Crops[[#This Row],[Days Between Harvest]]*7</f>
        <v>50</v>
      </c>
      <c r="EL94" s="210">
        <f>Crops[[#This Row],[Custom Yield Per Bed]]/_xlfn.XLOOKUP(Crops[[#This Row],[ProductIndex]],Products[ID],Products[CSA Portion])</f>
        <v>50</v>
      </c>
      <c r="EM94" s="210">
        <f>Crops[[#This Row],[Units Per Harvest]]/Crops[[#This Row],[Days Between Harvest]]*7/_xlfn.XLOOKUP(Crops[[#This Row],[ProductIndex]],Products[ID],Products[CSA Portion])</f>
        <v>25</v>
      </c>
      <c r="EN94" s="210">
        <f>Crops[[#This Row],[CSA Portions Per Week]]/CSAMembers</f>
        <v>0.5</v>
      </c>
      <c r="EO94" s="210"/>
      <c r="EP94" s="210"/>
      <c r="EQ94" s="210"/>
      <c r="ER94" s="210">
        <f>Crops[[#This Row],[Harvests]]*Crops[[#This Row],[Days Between Harvest]]/7</f>
        <v>2</v>
      </c>
      <c r="ES94" s="217">
        <f>_xlfn.XLOOKUP(Crops[[#This Row],[ProductIndex]],Products[ID],Products[CSA Need])</f>
        <v>4</v>
      </c>
      <c r="ET94" s="217">
        <f>_xlfn.XLOOKUP(Crops[[#This Row],[ProductIndex]],Products[ID],Products[CSA Times])</f>
        <v>2</v>
      </c>
      <c r="EU94" s="208">
        <f>Crops[[#This Row],[Custom Yield Per Bed]]/(Crops[[#This Row],[CSA Need]]*(_xlfn.XLOOKUP(Crops[[#This Row],[ProductIndex]],Products[ID],Products[CSA Portion])*CSAMembers))</f>
        <v>0.25</v>
      </c>
      <c r="EV94" s="208">
        <f>_xlfn.XLOOKUP(Crops[[#This Row],[ProductIndex]],Products[ID],Products[CSA Portion])*CSAMembers*Crops[[#This Row],[CSA Need]]/Crops[[#This Row],[Custom Yield Per Bed]]</f>
        <v>4</v>
      </c>
      <c r="EW94" s="208">
        <f>IFERROR(Crops[[#This Row],[Days In Field]]*Crops[[#This Row],[CSA Beds]],"")</f>
        <v>344</v>
      </c>
      <c r="EX94" s="208" t="e">
        <f>Crops[[#This Row],[CSA Bed Days]]*#REF!</f>
        <v>#REF!</v>
      </c>
      <c r="EY94" t="s">
        <v>327</v>
      </c>
    </row>
    <row r="95" spans="1:158">
      <c r="A95" s="18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Corn  (Sweet Early) - Mature Cob 1X | Field TP </v>
      </c>
      <c r="B95" s="181"/>
      <c r="C95" s="1" t="b">
        <v>0</v>
      </c>
      <c r="D95" s="1"/>
      <c r="E95" s="1" t="b">
        <v>0</v>
      </c>
      <c r="F95" s="1" t="b">
        <f>IFERROR(IF(ISNUMBER(MATCH(Crops[[#This Row],[Identifier]],BedPlan[Crop], 0)), TRUE, FALSE), FALSE)</f>
        <v>0</v>
      </c>
      <c r="G95" s="1" t="b">
        <f>IFERROR(IF(ISNUMBER(MATCH(Crops[[#This Row],[Identifier]],BedPlan[Crop], 0)), TRUE, FALSE), FALSE)</f>
        <v>0</v>
      </c>
      <c r="H95" s="1"/>
      <c r="I95" t="s">
        <v>325</v>
      </c>
      <c r="J95" t="s">
        <v>412</v>
      </c>
      <c r="K95" t="s">
        <v>326</v>
      </c>
      <c r="M95" t="s">
        <v>410</v>
      </c>
      <c r="N95" t="str">
        <f>Crops[[#This Row],[Crop]]</f>
        <v xml:space="preserve">Corn </v>
      </c>
      <c r="O95" t="s">
        <v>210</v>
      </c>
      <c r="P95" t="str">
        <f>IF(OR(Crops[[#This Row],[Days in Cells]]="",Crops[[#This Row],[Days in Cells]]=0), "DS","TP")</f>
        <v>TP</v>
      </c>
      <c r="V95" t="str">
        <f xml:space="preserve"> IF(Crops[[#This Row],[Sp]], "Sp", "") &amp; IF(Crops[[#This Row],[Su]], "Su", "") &amp; IF(Crops[[#This Row],[Fa]], "Fa", "") &amp; IF(Crops[[#This Row],[Wi]], "Wi", "") &amp; IF(Crops[[#This Row],[OW]], "Ow","")</f>
        <v/>
      </c>
      <c r="X95">
        <v>3</v>
      </c>
      <c r="Y95">
        <v>9</v>
      </c>
      <c r="Z95" t="s">
        <v>432</v>
      </c>
      <c r="AA95" t="s">
        <v>474</v>
      </c>
      <c r="AB95" t="b">
        <v>0</v>
      </c>
      <c r="AC95">
        <v>4</v>
      </c>
      <c r="AD95" s="32">
        <f>IFERROR(12/Crops[[#This Row],[Spacing]]*Crops[[#This Row],[Rows]]*BedLength,"")</f>
        <v>200</v>
      </c>
      <c r="AE95">
        <v>1</v>
      </c>
      <c r="AG95">
        <f>IF(Crops[[#This Row],[Custom Safety Factor]]="",PlantingSafetyFactor,Crops[[#This Row],[Custom Safety Factor]])</f>
        <v>1.3</v>
      </c>
      <c r="AH95">
        <f>1</f>
        <v>1</v>
      </c>
      <c r="AI95" s="33">
        <f>IFERROR(Crops[[#This Row],[Plantings Per Bed]]*Crops[[#This Row],[Seeds Per Planting]]*Crops[[#This Row],[Safety Factor]]*Crops[[#This Row],[Seeding Factor]],"")</f>
        <v>260</v>
      </c>
      <c r="AL95">
        <f>_xlfn.FLOOR.MATH(IFERROR(AVERAGE(Crops[[#This Row],[DTG Lower]:[DTG Upper]]),0))</f>
        <v>0</v>
      </c>
      <c r="AM95">
        <f>SUM(Crops[[#This Row],[Tray 1 Days]],Crops[[#This Row],[Tray 2 Days]],Crops[[#This Row],[Tray 3 Days]])</f>
        <v>28</v>
      </c>
      <c r="AN95">
        <v>28</v>
      </c>
      <c r="AP95">
        <v>115</v>
      </c>
      <c r="AQ95">
        <f>IFERROR(_xlfn.FLOOR.MATH(AVERAGE(Crops[[#This Row],[DTM Lower]:[DTM Upper]])),"")</f>
        <v>115</v>
      </c>
      <c r="AR95" cm="1">
        <f t="array" ref="AR95">_xlfn.SWITCH(Crops[[#This Row],[Normal Method]],"DS",Crops[[#This Row],[Days to Germination]]+Crops[[#This Row],[DTM]] + IF(Crops[[#This Row],[Days in Cells]]&gt;0,15,0), "TP",Crops[[#This Row],[DTM]]+Crops[[#This Row],[Days in Cells]] + IF(Crops[[#This Row],[Days in Cells]]&lt;=0,20,0), "X", Crops[[#This Row],[DTM]])</f>
        <v>115</v>
      </c>
      <c r="AS95" t="s">
        <v>347</v>
      </c>
      <c r="AT95">
        <f>(Crops[[#This Row],[Harvests]]-1)*Crops[[#This Row],[Days Between Harvest]]+7</f>
        <v>14</v>
      </c>
      <c r="AU95">
        <f>Crops[[#This Row],[STH]]-Crops[[#This Row],[Days in Cells]]+Crops[[#This Row],[Harvest window]]</f>
        <v>101</v>
      </c>
      <c r="AX95">
        <v>128</v>
      </c>
      <c r="AY95">
        <v>28</v>
      </c>
      <c r="AZ95" s="49">
        <f>IFERROR(IF(Crops[[#This Row],[Tray 1 Days]]=0,"",Crops[[#This Row],[Plantings Per Bed]]/Crops[[#This Row],[Tray 1 Size]]*Crops[[#This Row],[Safety Factor]]),"")</f>
        <v>2.03125</v>
      </c>
      <c r="BC95" t="str">
        <f>IFERROR(IF(Crops[[#This Row],[Tray 2 Days]]=0,"",Crops[[#This Row],[Plantings Per Bed]]/Crops[[#This Row],[Tray 2 Size]]*Crops[[#This Row],[Safety Factor]]),"")</f>
        <v/>
      </c>
      <c r="BE95" s="32" t="str">
        <f>IF(NOT(ISBLANK(Crops[[#This Row],[Tray 3 Size]])), Crops[[#This Row],[Days in Cells Old]]-SUM(Crops[[#This Row],[Tray 1 Days]],Crops[[#This Row],[Tray 2 Days]]), "")</f>
        <v/>
      </c>
      <c r="BF95" s="49" t="str">
        <f>IFERROR(IF(Crops[[#This Row],[Tray 3 Days]]=0,"",Crops[[#This Row],[Plantings Per Bed]]/Crops[[#This Row],[Tray 3 Size]]*Crops[[#This Row],[Safety Factor]]),"")</f>
        <v/>
      </c>
      <c r="BG95" s="33">
        <f>Crops[[#This Row],[Plantings Per Bed]]/Crops[[#This Row],[Harvests]]</f>
        <v>100</v>
      </c>
      <c r="BH95" s="33">
        <v>2</v>
      </c>
      <c r="BI95" s="33">
        <v>7</v>
      </c>
      <c r="BJ95" s="33">
        <f>_xlfn.XLOOKUP(Crops[[#This Row],[ProductIndex]],Products[ID],Products[Holding Period])</f>
        <v>0</v>
      </c>
      <c r="BK95" s="33"/>
      <c r="BL95" s="33">
        <f>Crops[[#This Row],[Units Per Harvest]]*Crops[[#This Row],[Harvests]]</f>
        <v>200</v>
      </c>
      <c r="BM95" s="35">
        <v>2</v>
      </c>
      <c r="BN95" s="35">
        <v>0.56000000000000005</v>
      </c>
      <c r="BO95" s="35"/>
      <c r="BP95" t="s">
        <v>1302</v>
      </c>
      <c r="BQ95">
        <f>Crops[[#This Row],[Custom Yield Per Bed]]*Crops[[#This Row],[Direct Price]]</f>
        <v>400</v>
      </c>
      <c r="BR95" t="b">
        <v>1</v>
      </c>
      <c r="BS95" t="b">
        <f>Crops[[#This Row],[Harvests]]&gt;1</f>
        <v>1</v>
      </c>
      <c r="BT95" s="36">
        <f>IFERROR(Crops[[#This Row],[Direct Revenue Per Bed]]/Crops[[#This Row],[Days In Field]],-1)</f>
        <v>3.9603960396039604</v>
      </c>
      <c r="BU95" s="36">
        <f>IFERROR(Crops[[#This Row],[Direct Revenue Per Bed Day]]*GrowingDays*BedsPerAcre,"")</f>
        <v>114059.40594059406</v>
      </c>
      <c r="BV95" s="38">
        <f>LastFrostDate-5*Crops[[#This Row],[Sewing Rel Last Frost]]</f>
        <v>45773</v>
      </c>
      <c r="BW95" s="38">
        <f>Crops[[#This Row],[Target Sewing Date]]+Crops[[#This Row],[Days in Cells]]</f>
        <v>45801</v>
      </c>
      <c r="BX95" s="38">
        <f>Crops[[#This Row],[Target Sewing Date]]+Crops[[#This Row],[STH]]</f>
        <v>45888</v>
      </c>
      <c r="BY95" s="38">
        <f>Crops[[#This Row],[Target Harvest Data]]+Crops[[#This Row],[Harvest window]]</f>
        <v>45902</v>
      </c>
      <c r="BZ95">
        <v>-5</v>
      </c>
      <c r="CA95" t="s">
        <v>373</v>
      </c>
      <c r="CB95">
        <f>1</f>
        <v>1</v>
      </c>
      <c r="CC95">
        <f>IF(Crops[[#This Row],[Transplanting]]&gt;0, 2, 3)*BedLength/StandardBedLength</f>
        <v>1</v>
      </c>
      <c r="CD95" s="173">
        <f>IF(Crops[[#This Row],[Days in Cells]]&lt;=0,0,Crops[[#This Row],[Plantings Per Bed]]/StartsPerHourSeeding+Crops[[#This Row],[Tray 1 Count]]*5/60)</f>
        <v>0.95052083333333337</v>
      </c>
      <c r="CE95" s="173">
        <f>IF(ISBLANK(Crops[[#This Row],[Tray 2 Days]]),0,Crops[[#This Row],[Plantings Per Bed]]/UpPottingPerHour)+IF(Crops[[#This Row],[Tray 3 Days]]="",0,Crops[[#This Row],[Plantings Per Bed]]/UpPottingPerHour)</f>
        <v>0</v>
      </c>
      <c r="CF95" s="173">
        <f>IFERROR(Crops[[#This Row],[Tray 1 Count]]/HomeStartFlatIrrigationPerHour,0)*Crops[[#This Row],[Days in Cells]]/DaysBetweenStartIrrigation</f>
        <v>0.23697916666666666</v>
      </c>
      <c r="CG95" s="173">
        <f>0.5/16*MAX(Crops[[#This Row],[Tray 1 Count]],Crops[[#This Row],[Tray 2 Count]],Crops[[#This Row],[Tray 3 Count]])</f>
        <v>6.34765625E-2</v>
      </c>
      <c r="CH95" s="173">
        <f>IF(Crops[[#This Row],[Days in Cells]]&gt;0,IF(IF(Crops[[#This Row],[Tray 3 Size]]&gt;0,Crops[[#This Row],[Tray 3 Size]],IF(Crops[[#This Row],[Tray 2 Size]]&gt;0,Crops[[#This Row],[Tray 2 Size]],Crops[[#This Row],[Tray 1 Size]]))&lt;=18,LargeTransplantTime,SmallTransplantTime)*Crops[[#This Row],[Plantings Per Bed]],0)</f>
        <v>1</v>
      </c>
      <c r="CI95" s="173"/>
      <c r="CJ95" s="173">
        <f>_xlfn.XLOOKUP(Crops[[#This Row],[Trellis Type]],TrellisMethods[Trellis Type],TrellisMethods[Hours],0,0)</f>
        <v>0</v>
      </c>
      <c r="CK95">
        <f>IF(Crops[[#This Row],[Days in Cells]]&lt;=0,Crops[[#This Row],[Rows]]*1/10,0)*BedLength/50</f>
        <v>0</v>
      </c>
      <c r="CL95" cm="1">
        <f t="array" ref="CL95">_xlfn.SWITCH(Crops[[#This Row],[Irrigation]],"DR", 0.5, "OH", 0.25,0)*BedLength/50</f>
        <v>0.5</v>
      </c>
      <c r="CM95">
        <f>IF(OR(ISBLANK(Crops[[#This Row],[Row Cover]]),Crops[[#This Row],[Row Cover]]="None"),0,1)*BedLength/50</f>
        <v>0</v>
      </c>
      <c r="CN95" s="173">
        <f>HoursPerWeedingPass*Crops[[#This Row],[Days In Field]]/14*Crops[[#This Row],[Rows]]+1*BedLength/50</f>
        <v>4.6071428571428568</v>
      </c>
      <c r="CO95" s="49"/>
      <c r="CQ95" s="37">
        <f>_xlfn.XLOOKUP(Crops[[#This Row],[Crop]]&amp;Crops[[#This Row],[Product]]&amp;Crops[[#This Row],[Unit]],Products[ID],Products[Marketing (hr)])*Crops[[#This Row],[Direct Revenue Per Bed]]/2000</f>
        <v>0.6</v>
      </c>
      <c r="CR95" s="37">
        <f>_xlfn.XLOOKUP(Crops[[#This Row],[Crop]]&amp;Crops[[#This Row],[Product]]&amp;Crops[[#This Row],[Unit]],Products[ID],Products[Harvest (s)])*Crops[[#This Row],[Custom Yield Per Bed]]/3600</f>
        <v>0.55555555555555558</v>
      </c>
      <c r="CS95" s="37">
        <f>_xlfn.XLOOKUP(Crops[[#This Row],[Crop]]&amp;Crops[[#This Row],[Product]]&amp;Crops[[#This Row],[Unit]],Products[ID],Products[Bunch (s)])*Crops[[#This Row],[Custom Yield Per Bed]]/3600</f>
        <v>0</v>
      </c>
      <c r="CT95" s="37">
        <f>_xlfn.XLOOKUP(Crops[[#This Row],[Crop]]&amp;Crops[[#This Row],[Product]]&amp;Crops[[#This Row],[Unit]],Products[ID],Products[Haul (s)])*Crops[[#This Row],[Custom Yield Per Bed]]/3600</f>
        <v>0.20833333333333334</v>
      </c>
      <c r="CU95" s="37">
        <f>_xlfn.XLOOKUP(Crops[[#This Row],[Crop]]&amp;Crops[[#This Row],[Product]]&amp;Crops[[#This Row],[Unit]],Products[ID],Products[Wash (s)])*Crops[[#This Row],[Custom Yield Per Bed]]/3600</f>
        <v>0</v>
      </c>
      <c r="CV95" s="37">
        <f>_xlfn.XLOOKUP(Crops[[#This Row],[Crop]]&amp;Crops[[#This Row],[Product]]&amp;Crops[[#This Row],[Unit]],Products[ID],Products[Condition (s)])*Crops[[#This Row],[Custom Yield Per Bed]]/3600</f>
        <v>0</v>
      </c>
      <c r="CW95" s="37">
        <f>_xlfn.XLOOKUP(Crops[[#This Row],[Crop]]&amp;Crops[[#This Row],[Product]]&amp;Crops[[#This Row],[Unit]],Products[ID],Products[Trim (s)])*Crops[[#This Row],[Custom Yield Per Bed]]/3600</f>
        <v>0</v>
      </c>
      <c r="CX95" s="37">
        <f>_xlfn.XLOOKUP(Crops[[#This Row],[Crop]]&amp;Crops[[#This Row],[Product]]&amp;Crops[[#This Row],[Unit]],Products[ID],Products[Pack (s)])*Crops[[#This Row],[Custom Yield Per Bed]]/3600</f>
        <v>0.16666666666666666</v>
      </c>
      <c r="CY95" s="37">
        <f>_xlfn.XLOOKUP(Crops[[#This Row],[Crop]]&amp;Crops[[#This Row],[Product]]&amp;Crops[[#This Row],[Unit]],Products[ID],Products[Clean (s)])*Crops[[#This Row],[Custom Yield Per Bed]]/3600</f>
        <v>0</v>
      </c>
      <c r="CZ95" s="37">
        <f>_xlfn.XLOOKUP(Crops[[#This Row],[Crop]]&amp;Crops[[#This Row],[Product]]&amp;Crops[[#This Row],[Unit]],Products[ID],Products[Rehandle (s)])*Crops[[#This Row],[Custom Yield Per Bed]]/3600</f>
        <v>0</v>
      </c>
      <c r="DA95" s="37">
        <f>_xlfn.XLOOKUP(Crops[[#This Row],[Crop]]&amp;Crops[[#This Row],[Product]]&amp;Crops[[#This Row],[Unit]],Products[ID],Products[Market Transport (s)])*Crops[[#This Row],[Custom Yield Per Bed]]/3600</f>
        <v>0.52083333333333337</v>
      </c>
      <c r="DC95" s="37">
        <f>Crops[[#This Row],[Direct Revenue Per Bed2]]</f>
        <v>400</v>
      </c>
      <c r="DD95" s="173">
        <f>_xlfn.AGGREGATE(9,6,Crops[[#This Row],[Bed Prep]:[Remove Crop Residue]])</f>
        <v>10.409508308531747</v>
      </c>
      <c r="DE95" s="173">
        <f>_xlfn.AGGREGATE(9,6,Crops[[#This Row],[Bed Prep]:[Remove Crop Residue]])-0.75*Crops[[#This Row],[Market &amp; Sell]]</f>
        <v>9.9595083085317473</v>
      </c>
      <c r="DF95" s="36">
        <f>Crops[[#This Row],[Direct Revenue Per Bed2]]/Crops[[#This Row],[Direct Time]]</f>
        <v>38.426406718188183</v>
      </c>
      <c r="DG95" s="36">
        <f>_xlfn.XLOOKUP(Crops[[#This Row],[ProductIndex]],Products[ID],Products[Packaging Cost])*(Crops[[#This Row],[Custom Yield Per Bed]]/_xlfn.XLOOKUP(Crops[[#This Row],[ProductIndex]],Products[ID],Products[Units Per Pack]))</f>
        <v>31.666666666666668</v>
      </c>
      <c r="DH95" s="36"/>
      <c r="DI95" s="36"/>
      <c r="DJ95" s="36"/>
      <c r="DK95" s="36"/>
      <c r="DL95" s="36"/>
      <c r="DM95" s="33">
        <f>IFERROR(Crops[[#This Row],[Custom Yield Per Bed]]*Crops[[#This Row],[Direct Price]],"")</f>
        <v>400</v>
      </c>
      <c r="DN95" s="36">
        <f>Crops[[#This Row],[Direct Time]]*LaborRate</f>
        <v>260.23770771329367</v>
      </c>
      <c r="DO95" s="36">
        <f>SUM(Crops[[#This Row],[Irrigation Cost]])</f>
        <v>0</v>
      </c>
      <c r="DP95" s="36">
        <f>Crops[[#This Row],[Direct Labor Cost]]+Crops[[#This Row],[Direct Non-Labor Cost]]</f>
        <v>260.23770771329367</v>
      </c>
      <c r="DQ95" s="36">
        <f>Crops[[#This Row],[Direct Revenue Per Bed2]]-Crops[[#This Row],[Direct Total Cost]]</f>
        <v>139.76229228670633</v>
      </c>
      <c r="DR95" s="36">
        <f>Crops[[#This Row],[Direct Profit]]*BedsPerAcre</f>
        <v>22361.96676587301</v>
      </c>
      <c r="DS95" s="36">
        <f>Crops[[#This Row],[Direct Profit]]*BedsPerAcre*GrowingDays/Crops[[#This Row],[Days In Field]]</f>
        <v>39853.010077793486</v>
      </c>
      <c r="DT95" s="36">
        <f>Crops[[#This Row],[Direct Profit]]/MIN(Crops[[#This Row],[Days In Field]],GrowingDays)</f>
        <v>1.3837850721456071</v>
      </c>
      <c r="DU95" s="33">
        <f>Crops[[#This Row],[Direct Time]] * BedsPerAcre</f>
        <v>1665.5213293650795</v>
      </c>
      <c r="DV95" s="36">
        <f>(Crops[[#This Row],[Direct Revenue Per Bed2]]-Crops[[#This Row],[Direct Non-Labor Cost]])/Crops[[#This Row],[Direct Time]]</f>
        <v>38.426406718188183</v>
      </c>
      <c r="DW95" s="33">
        <f>IFERROR(Crops[[#This Row],[Custom Yield Per Bed]]*Crops[[#This Row],[Rough Wholesale Price]],"")</f>
        <v>112.00000000000001</v>
      </c>
      <c r="DX95" s="36">
        <f>Crops[[#This Row],[Wholesale Time]]*LaborRate</f>
        <v>248.98770771329367</v>
      </c>
      <c r="DY95" s="36">
        <f>SUM(Crops[[#This Row],[Packaging Costs]:[Irrigation Cost]])</f>
        <v>31.666666666666668</v>
      </c>
      <c r="DZ95" s="36">
        <f>Crops[[#This Row],[Wholesale Labor Cost]]+Crops[[#This Row],[Wholesale Non-Labor Cost]]</f>
        <v>280.65437437996036</v>
      </c>
      <c r="EA95" s="36">
        <f>Crops[[#This Row],[Wholesale Revenue Per Bed]]-Crops[[#This Row],[Wholesale Total Cost]]</f>
        <v>-168.65437437996036</v>
      </c>
      <c r="EB95" s="36">
        <f>Crops[[#This Row],[Wholesale Profit]]*BedsPerAcre</f>
        <v>-26984.699900793657</v>
      </c>
      <c r="EC95" s="36">
        <f>Crops[[#This Row],[Wholesale Profit]]*BedsPerAcre*GrowingDays/Crops[[#This Row],[Days In Field]]</f>
        <v>-48091.544377652062</v>
      </c>
      <c r="ED95" s="33">
        <f>Crops[[#This Row],[Wholesale Time]] * BedsPerAcre</f>
        <v>1593.5213293650795</v>
      </c>
      <c r="EE95" s="221">
        <f>Crops[[#This Row],[Wholesale Profit]]/MIN(Crops[[#This Row],[Days In Field]],GrowingDays)</f>
        <v>-1.6698452908906967</v>
      </c>
      <c r="EF95" s="36">
        <f>(Crops[[#This Row],[Wholesale Revenue Per Bed]]-Crops[[#This Row],[Wholesale Non-Labor Cost]])/Crops[[#This Row],[Direct Time]]</f>
        <v>7.7173033492361274</v>
      </c>
      <c r="EG95" s="174">
        <f>Crops[[#This Row],[Packaging Costs]]/Crops[[#This Row],[Wholesale Revenue Per Bed]]</f>
        <v>0.28273809523809523</v>
      </c>
      <c r="EH95" s="36" t="str">
        <f>Crops[[#This Row],[Crop]]&amp;Crops[[#This Row],[Product]]&amp;Crops[[#This Row],[Unit]]</f>
        <v>Corn Mature CobCobs</v>
      </c>
      <c r="EI95" s="36" t="b">
        <f>_xlfn.XLOOKUP(Crops[[#This Row],[ProductIndex]],Products[ID],Products[Target])</f>
        <v>1</v>
      </c>
      <c r="EJ95" s="36">
        <f>Crops[[#This Row],[Custom Yield Per Bed]]</f>
        <v>200</v>
      </c>
      <c r="EK95" s="210">
        <f>Crops[[#This Row],[Units Per Harvest]]/Crops[[#This Row],[Days Between Harvest]]*7</f>
        <v>100</v>
      </c>
      <c r="EL95" s="210">
        <f>Crops[[#This Row],[Custom Yield Per Bed]]/_xlfn.XLOOKUP(Crops[[#This Row],[ProductIndex]],Products[ID],Products[CSA Portion])</f>
        <v>100</v>
      </c>
      <c r="EM95" s="210">
        <f>Crops[[#This Row],[Units Per Harvest]]/Crops[[#This Row],[Days Between Harvest]]*7/_xlfn.XLOOKUP(Crops[[#This Row],[ProductIndex]],Products[ID],Products[CSA Portion])</f>
        <v>50</v>
      </c>
      <c r="EN95" s="210">
        <f>Crops[[#This Row],[CSA Portions Per Week]]/CSAMembers</f>
        <v>1</v>
      </c>
      <c r="EO95" s="210"/>
      <c r="EP95" s="210"/>
      <c r="EQ95" s="210"/>
      <c r="ER95" s="210">
        <f>Crops[[#This Row],[Harvests]]*Crops[[#This Row],[Days Between Harvest]]/7</f>
        <v>2</v>
      </c>
      <c r="ES95" s="217">
        <f>_xlfn.XLOOKUP(Crops[[#This Row],[ProductIndex]],Products[ID],Products[CSA Need])</f>
        <v>4</v>
      </c>
      <c r="ET95" s="217">
        <f>_xlfn.XLOOKUP(Crops[[#This Row],[ProductIndex]],Products[ID],Products[CSA Times])</f>
        <v>2</v>
      </c>
      <c r="EU95" s="208">
        <f>Crops[[#This Row],[Custom Yield Per Bed]]/(Crops[[#This Row],[CSA Need]]*(_xlfn.XLOOKUP(Crops[[#This Row],[ProductIndex]],Products[ID],Products[CSA Portion])*CSAMembers))</f>
        <v>0.5</v>
      </c>
      <c r="EV95" s="208">
        <f>_xlfn.XLOOKUP(Crops[[#This Row],[ProductIndex]],Products[ID],Products[CSA Portion])*CSAMembers*Crops[[#This Row],[CSA Need]]/Crops[[#This Row],[Custom Yield Per Bed]]</f>
        <v>2</v>
      </c>
      <c r="EW95" s="208">
        <f>IFERROR(Crops[[#This Row],[Days In Field]]*Crops[[#This Row],[CSA Beds]],"")</f>
        <v>202</v>
      </c>
      <c r="EX95" s="208" t="e">
        <f>Crops[[#This Row],[CSA Bed Days]]*#REF!</f>
        <v>#REF!</v>
      </c>
      <c r="EY95" t="s">
        <v>1756</v>
      </c>
    </row>
    <row r="96" spans="1:158">
      <c r="A96" s="18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Corn  (Sweet Early) - Mature Cob 2X | Field DS </v>
      </c>
      <c r="B96" s="181"/>
      <c r="C96" s="1" t="b">
        <v>1</v>
      </c>
      <c r="D96" s="1"/>
      <c r="E96" s="1" t="b">
        <v>0</v>
      </c>
      <c r="F96" s="1" t="b">
        <f>IFERROR(IF(ISNUMBER(MATCH(Crops[[#This Row],[Identifier]],BedPlan[Crop], 0)), TRUE, FALSE), FALSE)</f>
        <v>1</v>
      </c>
      <c r="G96" s="1" t="b">
        <f>IFERROR(IF(ISNUMBER(MATCH(Crops[[#This Row],[Identifier]],BedPlan[Crop], 0)), TRUE, FALSE), FALSE)</f>
        <v>1</v>
      </c>
      <c r="H96" s="1"/>
      <c r="I96" t="s">
        <v>325</v>
      </c>
      <c r="J96" t="s">
        <v>412</v>
      </c>
      <c r="K96" t="s">
        <v>326</v>
      </c>
      <c r="M96" t="s">
        <v>410</v>
      </c>
      <c r="N96" t="str">
        <f>Crops[[#This Row],[Crop]]</f>
        <v xml:space="preserve">Corn </v>
      </c>
      <c r="O96" t="s">
        <v>210</v>
      </c>
      <c r="P96" t="str">
        <f>IF(OR(Crops[[#This Row],[Days in Cells]]="",Crops[[#This Row],[Days in Cells]]=0), "DS","TP")</f>
        <v>DS</v>
      </c>
      <c r="V96" t="str">
        <f xml:space="preserve"> IF(Crops[[#This Row],[Sp]], "Sp", "") &amp; IF(Crops[[#This Row],[Su]], "Su", "") &amp; IF(Crops[[#This Row],[Fa]], "Fa", "") &amp; IF(Crops[[#This Row],[Wi]], "Wi", "") &amp; IF(Crops[[#This Row],[OW]], "Ow","")</f>
        <v/>
      </c>
      <c r="X96">
        <v>3</v>
      </c>
      <c r="Y96">
        <v>9</v>
      </c>
      <c r="Z96" t="s">
        <v>432</v>
      </c>
      <c r="AA96" t="s">
        <v>474</v>
      </c>
      <c r="AB96" t="b">
        <v>0</v>
      </c>
      <c r="AC96">
        <v>4</v>
      </c>
      <c r="AD96" s="32">
        <f>IFERROR(12/Crops[[#This Row],[Spacing]]*Crops[[#This Row],[Rows]]*BedLength,"")</f>
        <v>200</v>
      </c>
      <c r="AE96">
        <v>2</v>
      </c>
      <c r="AG96">
        <f>IF(Crops[[#This Row],[Custom Safety Factor]]="",PlantingSafetyFactor,Crops[[#This Row],[Custom Safety Factor]])</f>
        <v>1.3</v>
      </c>
      <c r="AH96">
        <f>1</f>
        <v>1</v>
      </c>
      <c r="AI96" s="33">
        <f>IFERROR(Crops[[#This Row],[Plantings Per Bed]]*Crops[[#This Row],[Seeds Per Planting]]*Crops[[#This Row],[Safety Factor]]*Crops[[#This Row],[Seeding Factor]],"")</f>
        <v>520</v>
      </c>
      <c r="AL96">
        <f>_xlfn.FLOOR.MATH(IFERROR(AVERAGE(Crops[[#This Row],[DTG Lower]:[DTG Upper]]),0))</f>
        <v>0</v>
      </c>
      <c r="AM96">
        <f>SUM(Crops[[#This Row],[Tray 1 Days]],Crops[[#This Row],[Tray 2 Days]],Crops[[#This Row],[Tray 3 Days]])</f>
        <v>0</v>
      </c>
      <c r="AN96">
        <v>28</v>
      </c>
      <c r="AP96">
        <v>100</v>
      </c>
      <c r="AQ96">
        <f>IFERROR(_xlfn.FLOOR.MATH(AVERAGE(Crops[[#This Row],[DTM Lower]:[DTM Upper]])),"")</f>
        <v>100</v>
      </c>
      <c r="AR96" cm="1">
        <f t="array" ref="AR96">_xlfn.SWITCH(Crops[[#This Row],[Normal Method]],"DS",Crops[[#This Row],[Days to Germination]]+Crops[[#This Row],[DTM]] + IF(Crops[[#This Row],[Days in Cells]]&gt;0,15,0), "TP",Crops[[#This Row],[DTM]]+Crops[[#This Row],[Days in Cells]] + IF(Crops[[#This Row],[Days in Cells]]&lt;=0,20,0), "X", Crops[[#This Row],[DTM]])</f>
        <v>100</v>
      </c>
      <c r="AS96" t="s">
        <v>347</v>
      </c>
      <c r="AT96">
        <f>(Crops[[#This Row],[Harvests]]-1)*Crops[[#This Row],[Days Between Harvest]]+7</f>
        <v>14</v>
      </c>
      <c r="AU96">
        <f>Crops[[#This Row],[STH]]-Crops[[#This Row],[Days in Cells]]+Crops[[#This Row],[Harvest window]]</f>
        <v>114</v>
      </c>
      <c r="AZ96" s="49" t="str">
        <f>IFERROR(IF(Crops[[#This Row],[Tray 1 Days]]=0,"",Crops[[#This Row],[Plantings Per Bed]]/Crops[[#This Row],[Tray 1 Size]]*Crops[[#This Row],[Safety Factor]]),"")</f>
        <v/>
      </c>
      <c r="BC96" t="str">
        <f>IFERROR(IF(Crops[[#This Row],[Tray 2 Days]]=0,"",Crops[[#This Row],[Plantings Per Bed]]/Crops[[#This Row],[Tray 2 Size]]*Crops[[#This Row],[Safety Factor]]),"")</f>
        <v/>
      </c>
      <c r="BE96" s="32" t="str">
        <f>IF(NOT(ISBLANK(Crops[[#This Row],[Tray 3 Size]])), Crops[[#This Row],[Days in Cells Old]]-SUM(Crops[[#This Row],[Tray 1 Days]],Crops[[#This Row],[Tray 2 Days]]), "")</f>
        <v/>
      </c>
      <c r="BF96" s="49" t="str">
        <f>IFERROR(IF(Crops[[#This Row],[Tray 3 Days]]=0,"",Crops[[#This Row],[Plantings Per Bed]]/Crops[[#This Row],[Tray 3 Size]]*Crops[[#This Row],[Safety Factor]]),"")</f>
        <v/>
      </c>
      <c r="BG96" s="33">
        <f>Crops[[#This Row],[Plantings Per Bed]]/Crops[[#This Row],[Harvests]]</f>
        <v>100</v>
      </c>
      <c r="BH96" s="33">
        <v>2</v>
      </c>
      <c r="BI96" s="33">
        <v>7</v>
      </c>
      <c r="BJ96" s="33">
        <f>_xlfn.XLOOKUP(Crops[[#This Row],[ProductIndex]],Products[ID],Products[Holding Period])</f>
        <v>0</v>
      </c>
      <c r="BK96" s="33"/>
      <c r="BL96" s="33">
        <f>Crops[[#This Row],[Units Per Harvest]]*Crops[[#This Row],[Harvests]]</f>
        <v>200</v>
      </c>
      <c r="BM96" s="35">
        <v>2</v>
      </c>
      <c r="BN96" s="35">
        <v>0.56000000000000005</v>
      </c>
      <c r="BO96" s="35"/>
      <c r="BP96" t="s">
        <v>1302</v>
      </c>
      <c r="BQ96">
        <f>Crops[[#This Row],[Custom Yield Per Bed]]*Crops[[#This Row],[Direct Price]]</f>
        <v>400</v>
      </c>
      <c r="BR96" t="b">
        <v>1</v>
      </c>
      <c r="BS96" t="b">
        <f>Crops[[#This Row],[Harvests]]&gt;1</f>
        <v>1</v>
      </c>
      <c r="BT96" s="36">
        <f>IFERROR(Crops[[#This Row],[Direct Revenue Per Bed]]/Crops[[#This Row],[Days In Field]],-1)</f>
        <v>3.5087719298245612</v>
      </c>
      <c r="BU96" s="36">
        <f>IFERROR(Crops[[#This Row],[Direct Revenue Per Bed Day]]*GrowingDays*BedsPerAcre,"")</f>
        <v>101052.63157894736</v>
      </c>
      <c r="BV96" s="38">
        <f>LastFrostDate-5*Crops[[#This Row],[Sewing Rel Last Frost]]</f>
        <v>45793</v>
      </c>
      <c r="BW96" s="38">
        <f>Crops[[#This Row],[Target Sewing Date]]+Crops[[#This Row],[Days in Cells]]</f>
        <v>45793</v>
      </c>
      <c r="BX96" s="38">
        <f>Crops[[#This Row],[Target Sewing Date]]+Crops[[#This Row],[STH]]</f>
        <v>45893</v>
      </c>
      <c r="BY96" s="38">
        <f>Crops[[#This Row],[Target Harvest Data]]+Crops[[#This Row],[Harvest window]]</f>
        <v>45907</v>
      </c>
      <c r="BZ96">
        <v>-9</v>
      </c>
      <c r="CA96" t="s">
        <v>373</v>
      </c>
      <c r="CB96">
        <f>1</f>
        <v>1</v>
      </c>
      <c r="CC96">
        <f>IF(Crops[[#This Row],[Transplanting]]&gt;0, 2, 3)*BedLength/StandardBedLength</f>
        <v>1.5</v>
      </c>
      <c r="CD96" s="173">
        <f>IF(Crops[[#This Row],[Days in Cells]]&lt;=0,0,Crops[[#This Row],[Plantings Per Bed]]/StartsPerHourSeeding+Crops[[#This Row],[Tray 1 Count]]*5/60)</f>
        <v>0</v>
      </c>
      <c r="CE96" s="173">
        <f>IF(ISBLANK(Crops[[#This Row],[Tray 2 Days]]),0,Crops[[#This Row],[Plantings Per Bed]]/UpPottingPerHour)+IF(Crops[[#This Row],[Tray 3 Days]]="",0,Crops[[#This Row],[Plantings Per Bed]]/UpPottingPerHour)</f>
        <v>0</v>
      </c>
      <c r="CF96" s="173">
        <f>IFERROR(Crops[[#This Row],[Tray 1 Count]]/HomeStartFlatIrrigationPerHour,0)*Crops[[#This Row],[Days in Cells]]/DaysBetweenStartIrrigation</f>
        <v>0</v>
      </c>
      <c r="CG96" s="173">
        <f>0.5/16*MAX(Crops[[#This Row],[Tray 1 Count]],Crops[[#This Row],[Tray 2 Count]],Crops[[#This Row],[Tray 3 Count]])</f>
        <v>0</v>
      </c>
      <c r="CH96" s="173">
        <f>IF(Crops[[#This Row],[Days in Cells]]&gt;0,IF(IF(Crops[[#This Row],[Tray 3 Size]]&gt;0,Crops[[#This Row],[Tray 3 Size]],IF(Crops[[#This Row],[Tray 2 Size]]&gt;0,Crops[[#This Row],[Tray 2 Size]],Crops[[#This Row],[Tray 1 Size]]))&lt;=18,LargeTransplantTime,SmallTransplantTime)*Crops[[#This Row],[Plantings Per Bed]],0)</f>
        <v>0</v>
      </c>
      <c r="CI96" s="173"/>
      <c r="CJ96" s="173">
        <f>_xlfn.XLOOKUP(Crops[[#This Row],[Trellis Type]],TrellisMethods[Trellis Type],TrellisMethods[Hours],0,0)</f>
        <v>0</v>
      </c>
      <c r="CK96">
        <f>IF(Crops[[#This Row],[Days in Cells]]&lt;=0,Crops[[#This Row],[Rows]]*1/10,0)*BedLength/50</f>
        <v>0.3</v>
      </c>
      <c r="CL96" cm="1">
        <f t="array" ref="CL96">_xlfn.SWITCH(Crops[[#This Row],[Irrigation]],"DR", 0.5, "OH", 0.25,0)*BedLength/50</f>
        <v>0.5</v>
      </c>
      <c r="CM96">
        <f>IF(OR(ISBLANK(Crops[[#This Row],[Row Cover]]),Crops[[#This Row],[Row Cover]]="None"),0,1)*BedLength/50</f>
        <v>0</v>
      </c>
      <c r="CN96" s="173">
        <f>HoursPerWeedingPass*Crops[[#This Row],[Days In Field]]/14*Crops[[#This Row],[Rows]]+1*BedLength/50</f>
        <v>5.0714285714285712</v>
      </c>
      <c r="CO96" s="49"/>
      <c r="CQ96" s="37">
        <f>_xlfn.XLOOKUP(Crops[[#This Row],[Crop]]&amp;Crops[[#This Row],[Product]]&amp;Crops[[#This Row],[Unit]],Products[ID],Products[Marketing (hr)])*Crops[[#This Row],[Direct Revenue Per Bed]]/2000</f>
        <v>0.6</v>
      </c>
      <c r="CR96" s="37">
        <f>_xlfn.XLOOKUP(Crops[[#This Row],[Crop]]&amp;Crops[[#This Row],[Product]]&amp;Crops[[#This Row],[Unit]],Products[ID],Products[Harvest (s)])*Crops[[#This Row],[Custom Yield Per Bed]]/3600</f>
        <v>0.55555555555555558</v>
      </c>
      <c r="CS96" s="37">
        <f>_xlfn.XLOOKUP(Crops[[#This Row],[Crop]]&amp;Crops[[#This Row],[Product]]&amp;Crops[[#This Row],[Unit]],Products[ID],Products[Bunch (s)])*Crops[[#This Row],[Custom Yield Per Bed]]/3600</f>
        <v>0</v>
      </c>
      <c r="CT96" s="37">
        <f>_xlfn.XLOOKUP(Crops[[#This Row],[Crop]]&amp;Crops[[#This Row],[Product]]&amp;Crops[[#This Row],[Unit]],Products[ID],Products[Haul (s)])*Crops[[#This Row],[Custom Yield Per Bed]]/3600</f>
        <v>0.20833333333333334</v>
      </c>
      <c r="CU96" s="37">
        <f>_xlfn.XLOOKUP(Crops[[#This Row],[Crop]]&amp;Crops[[#This Row],[Product]]&amp;Crops[[#This Row],[Unit]],Products[ID],Products[Wash (s)])*Crops[[#This Row],[Custom Yield Per Bed]]/3600</f>
        <v>0</v>
      </c>
      <c r="CV96" s="37">
        <f>_xlfn.XLOOKUP(Crops[[#This Row],[Crop]]&amp;Crops[[#This Row],[Product]]&amp;Crops[[#This Row],[Unit]],Products[ID],Products[Condition (s)])*Crops[[#This Row],[Custom Yield Per Bed]]/3600</f>
        <v>0</v>
      </c>
      <c r="CW96" s="37">
        <f>_xlfn.XLOOKUP(Crops[[#This Row],[Crop]]&amp;Crops[[#This Row],[Product]]&amp;Crops[[#This Row],[Unit]],Products[ID],Products[Trim (s)])*Crops[[#This Row],[Custom Yield Per Bed]]/3600</f>
        <v>0</v>
      </c>
      <c r="CX96" s="37">
        <f>_xlfn.XLOOKUP(Crops[[#This Row],[Crop]]&amp;Crops[[#This Row],[Product]]&amp;Crops[[#This Row],[Unit]],Products[ID],Products[Pack (s)])*Crops[[#This Row],[Custom Yield Per Bed]]/3600</f>
        <v>0.16666666666666666</v>
      </c>
      <c r="CY96" s="37">
        <f>_xlfn.XLOOKUP(Crops[[#This Row],[Crop]]&amp;Crops[[#This Row],[Product]]&amp;Crops[[#This Row],[Unit]],Products[ID],Products[Clean (s)])*Crops[[#This Row],[Custom Yield Per Bed]]/3600</f>
        <v>0</v>
      </c>
      <c r="CZ96" s="37">
        <f>_xlfn.XLOOKUP(Crops[[#This Row],[Crop]]&amp;Crops[[#This Row],[Product]]&amp;Crops[[#This Row],[Unit]],Products[ID],Products[Rehandle (s)])*Crops[[#This Row],[Custom Yield Per Bed]]/3600</f>
        <v>0</v>
      </c>
      <c r="DA96" s="37">
        <f>_xlfn.XLOOKUP(Crops[[#This Row],[Crop]]&amp;Crops[[#This Row],[Product]]&amp;Crops[[#This Row],[Unit]],Products[ID],Products[Market Transport (s)])*Crops[[#This Row],[Custom Yield Per Bed]]/3600</f>
        <v>0.52083333333333337</v>
      </c>
      <c r="DC96" s="37">
        <f>Crops[[#This Row],[Direct Revenue Per Bed2]]</f>
        <v>400</v>
      </c>
      <c r="DD96" s="173">
        <f>_xlfn.AGGREGATE(9,6,Crops[[#This Row],[Bed Prep]:[Remove Crop Residue]])</f>
        <v>9.4228174603174608</v>
      </c>
      <c r="DE96" s="173">
        <f>_xlfn.AGGREGATE(9,6,Crops[[#This Row],[Bed Prep]:[Remove Crop Residue]])-0.75*Crops[[#This Row],[Market &amp; Sell]]</f>
        <v>8.9728174603174615</v>
      </c>
      <c r="DF96" s="36">
        <f>Crops[[#This Row],[Direct Revenue Per Bed2]]/Crops[[#This Row],[Direct Time]]</f>
        <v>42.450148449179842</v>
      </c>
      <c r="DG96" s="36">
        <f>_xlfn.XLOOKUP(Crops[[#This Row],[ProductIndex]],Products[ID],Products[Packaging Cost])*(Crops[[#This Row],[Custom Yield Per Bed]]/_xlfn.XLOOKUP(Crops[[#This Row],[ProductIndex]],Products[ID],Products[Units Per Pack]))</f>
        <v>31.666666666666668</v>
      </c>
      <c r="DH96" s="36"/>
      <c r="DI96" s="36"/>
      <c r="DJ96" s="36"/>
      <c r="DK96" s="36"/>
      <c r="DL96" s="36"/>
      <c r="DM96" s="33">
        <f>IFERROR(Crops[[#This Row],[Custom Yield Per Bed]]*Crops[[#This Row],[Direct Price]],"")</f>
        <v>400</v>
      </c>
      <c r="DN96" s="36">
        <f>Crops[[#This Row],[Direct Time]]*LaborRate</f>
        <v>235.57043650793651</v>
      </c>
      <c r="DO96" s="36">
        <f>SUM(Crops[[#This Row],[Irrigation Cost]])</f>
        <v>0</v>
      </c>
      <c r="DP96" s="36">
        <f>Crops[[#This Row],[Direct Labor Cost]]+Crops[[#This Row],[Direct Non-Labor Cost]]</f>
        <v>235.57043650793651</v>
      </c>
      <c r="DQ96" s="36">
        <f>Crops[[#This Row],[Direct Revenue Per Bed2]]-Crops[[#This Row],[Direct Total Cost]]</f>
        <v>164.42956349206349</v>
      </c>
      <c r="DR96" s="36">
        <f>Crops[[#This Row],[Direct Profit]]*BedsPerAcre</f>
        <v>26308.730158730159</v>
      </c>
      <c r="DS96" s="36">
        <f>Crops[[#This Row],[Direct Profit]]*BedsPerAcre*GrowingDays/Crops[[#This Row],[Days In Field]]</f>
        <v>41540.100250626565</v>
      </c>
      <c r="DT96" s="36">
        <f>Crops[[#This Row],[Direct Profit]]/MIN(Crops[[#This Row],[Days In Field]],GrowingDays)</f>
        <v>1.4423645920356447</v>
      </c>
      <c r="DU96" s="33">
        <f>Crops[[#This Row],[Direct Time]] * BedsPerAcre</f>
        <v>1507.6507936507937</v>
      </c>
      <c r="DV96" s="36">
        <f>(Crops[[#This Row],[Direct Revenue Per Bed2]]-Crops[[#This Row],[Direct Non-Labor Cost]])/Crops[[#This Row],[Direct Time]]</f>
        <v>42.450148449179842</v>
      </c>
      <c r="DW96" s="33">
        <f>IFERROR(Crops[[#This Row],[Custom Yield Per Bed]]*Crops[[#This Row],[Rough Wholesale Price]],"")</f>
        <v>112.00000000000001</v>
      </c>
      <c r="DX96" s="36">
        <f>Crops[[#This Row],[Wholesale Time]]*LaborRate</f>
        <v>224.32043650793653</v>
      </c>
      <c r="DY96" s="36">
        <f>SUM(Crops[[#This Row],[Packaging Costs]:[Irrigation Cost]])</f>
        <v>31.666666666666668</v>
      </c>
      <c r="DZ96" s="36">
        <f>Crops[[#This Row],[Wholesale Labor Cost]]+Crops[[#This Row],[Wholesale Non-Labor Cost]]</f>
        <v>255.98710317460319</v>
      </c>
      <c r="EA96" s="36">
        <f>Crops[[#This Row],[Wholesale Revenue Per Bed]]-Crops[[#This Row],[Wholesale Total Cost]]</f>
        <v>-143.98710317460319</v>
      </c>
      <c r="EB96" s="36">
        <f>Crops[[#This Row],[Wholesale Profit]]*BedsPerAcre</f>
        <v>-23037.936507936509</v>
      </c>
      <c r="EC96" s="36">
        <f>Crops[[#This Row],[Wholesale Profit]]*BedsPerAcre*GrowingDays/Crops[[#This Row],[Days In Field]]</f>
        <v>-36375.689223057649</v>
      </c>
      <c r="ED96" s="33">
        <f>Crops[[#This Row],[Wholesale Time]] * BedsPerAcre</f>
        <v>1435.6507936507937</v>
      </c>
      <c r="EE96" s="221">
        <f>Crops[[#This Row],[Wholesale Profit]]/MIN(Crops[[#This Row],[Days In Field]],GrowingDays)</f>
        <v>-1.2630447646895018</v>
      </c>
      <c r="EF96" s="36">
        <f>(Crops[[#This Row],[Wholesale Revenue Per Bed]]-Crops[[#This Row],[Wholesale Non-Labor Cost]])/Crops[[#This Row],[Direct Time]]</f>
        <v>8.52540481354362</v>
      </c>
      <c r="EG96" s="174">
        <f>Crops[[#This Row],[Packaging Costs]]/Crops[[#This Row],[Wholesale Revenue Per Bed]]</f>
        <v>0.28273809523809523</v>
      </c>
      <c r="EH96" s="36" t="str">
        <f>Crops[[#This Row],[Crop]]&amp;Crops[[#This Row],[Product]]&amp;Crops[[#This Row],[Unit]]</f>
        <v>Corn Mature CobCobs</v>
      </c>
      <c r="EI96" s="36" t="b">
        <f>_xlfn.XLOOKUP(Crops[[#This Row],[ProductIndex]],Products[ID],Products[Target])</f>
        <v>1</v>
      </c>
      <c r="EJ96" s="33">
        <f>Crops[[#This Row],[Custom Yield Per Bed]]</f>
        <v>200</v>
      </c>
      <c r="EK96" s="210">
        <f>Crops[[#This Row],[Units Per Harvest]]/Crops[[#This Row],[Days Between Harvest]]*7</f>
        <v>100</v>
      </c>
      <c r="EL96" s="210">
        <f>Crops[[#This Row],[Custom Yield Per Bed]]/_xlfn.XLOOKUP(Crops[[#This Row],[ProductIndex]],Products[ID],Products[CSA Portion])</f>
        <v>100</v>
      </c>
      <c r="EM96" s="210">
        <f>Crops[[#This Row],[Units Per Harvest]]/Crops[[#This Row],[Days Between Harvest]]*7/_xlfn.XLOOKUP(Crops[[#This Row],[ProductIndex]],Products[ID],Products[CSA Portion])</f>
        <v>50</v>
      </c>
      <c r="EN96" s="210">
        <f>Crops[[#This Row],[CSA Portions Per Week]]/CSAMembers</f>
        <v>1</v>
      </c>
      <c r="EO96" s="216">
        <v>1</v>
      </c>
      <c r="EP96" s="216">
        <v>2</v>
      </c>
      <c r="EQ96" s="210"/>
      <c r="ER96" s="210">
        <f>Crops[[#This Row],[Harvests]]*Crops[[#This Row],[Days Between Harvest]]/7</f>
        <v>2</v>
      </c>
      <c r="ES96" s="217">
        <f>_xlfn.XLOOKUP(Crops[[#This Row],[ProductIndex]],Products[ID],Products[CSA Need])</f>
        <v>4</v>
      </c>
      <c r="ET96" s="217">
        <f>_xlfn.XLOOKUP(Crops[[#This Row],[ProductIndex]],Products[ID],Products[CSA Times])</f>
        <v>2</v>
      </c>
      <c r="EU96" s="208">
        <f>Crops[[#This Row],[Custom Yield Per Bed]]/(Crops[[#This Row],[CSA Need]]*(_xlfn.XLOOKUP(Crops[[#This Row],[ProductIndex]],Products[ID],Products[CSA Portion])*CSAMembers))</f>
        <v>0.5</v>
      </c>
      <c r="EV96" s="208">
        <f>_xlfn.XLOOKUP(Crops[[#This Row],[ProductIndex]],Products[ID],Products[CSA Portion])*CSAMembers*Crops[[#This Row],[CSA Need]]/Crops[[#This Row],[Custom Yield Per Bed]]</f>
        <v>2</v>
      </c>
      <c r="EW96" s="208">
        <f>IFERROR(Crops[[#This Row],[Days In Field]]*Crops[[#This Row],[CSA Beds]],"")</f>
        <v>228</v>
      </c>
      <c r="EX96" s="208" t="e">
        <f>Crops[[#This Row],[CSA Bed Days]]*#REF!</f>
        <v>#REF!</v>
      </c>
      <c r="EY96" t="s">
        <v>1757</v>
      </c>
    </row>
    <row r="97" spans="1:155">
      <c r="A9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DS Fa</v>
      </c>
      <c r="B97" s="179"/>
      <c r="C97" s="1"/>
      <c r="D97" s="1"/>
      <c r="E97" s="1" t="b">
        <v>0</v>
      </c>
      <c r="F97" s="1" t="b">
        <f>IFERROR(IF(ISNUMBER(MATCH(Crops[[#This Row],[Identifier]],BedPlan[Crop], 0)), TRUE, FALSE), FALSE)</f>
        <v>0</v>
      </c>
      <c r="G97" s="1" t="b">
        <f>IFERROR(IF(ISNUMBER(MATCH(Crops[[#This Row],[Identifier]],BedPlan[Crop], 0)), TRUE, FALSE), FALSE)</f>
        <v>0</v>
      </c>
      <c r="H97" s="1" t="b">
        <v>1</v>
      </c>
      <c r="I97" t="s">
        <v>66</v>
      </c>
      <c r="J97" t="s">
        <v>145</v>
      </c>
      <c r="K97" t="s">
        <v>186</v>
      </c>
      <c r="N97" t="str">
        <f>Crops[[#This Row],[Crop]]</f>
        <v>Corn Salad</v>
      </c>
      <c r="O97" t="s">
        <v>210</v>
      </c>
      <c r="P97" t="str">
        <f>IF(OR(Crops[[#This Row],[Days in Cells]]="",Crops[[#This Row],[Days in Cells]]=0), "DS","TP")</f>
        <v>DS</v>
      </c>
      <c r="S97" t="b">
        <v>1</v>
      </c>
      <c r="V97" t="str">
        <f xml:space="preserve"> IF(Crops[[#This Row],[Sp]], "Sp", "") &amp; IF(Crops[[#This Row],[Su]], "Su", "") &amp; IF(Crops[[#This Row],[Fa]], "Fa", "") &amp; IF(Crops[[#This Row],[Wi]], "Wi", "") &amp; IF(Crops[[#This Row],[OW]], "Ow","")</f>
        <v>Fa</v>
      </c>
      <c r="X97">
        <v>5</v>
      </c>
      <c r="Y97">
        <v>4</v>
      </c>
      <c r="AA97" t="s">
        <v>474</v>
      </c>
      <c r="AB97" t="b">
        <v>1</v>
      </c>
      <c r="AD97" s="32">
        <f>IFERROR(12/Crops[[#This Row],[Spacing]]*Crops[[#This Row],[Rows]]*BedLength,"")</f>
        <v>750</v>
      </c>
      <c r="AE97">
        <v>3</v>
      </c>
      <c r="AG97">
        <v>1.1000000000000001</v>
      </c>
      <c r="AH97">
        <f>1</f>
        <v>1</v>
      </c>
      <c r="AI97" s="33">
        <f>IFERROR(Crops[[#This Row],[Plantings Per Bed]]*Crops[[#This Row],[Seeds Per Planting]]*Crops[[#This Row],[Safety Factor]]*Crops[[#This Row],[Seeding Factor]],"")</f>
        <v>2475</v>
      </c>
      <c r="AJ97">
        <v>7</v>
      </c>
      <c r="AK97">
        <v>14</v>
      </c>
      <c r="AL97">
        <f>_xlfn.FLOOR.MATH(IFERROR(AVERAGE(Crops[[#This Row],[DTG Lower]:[DTG Upper]]),0))</f>
        <v>10</v>
      </c>
      <c r="AM97">
        <f>SUM(Crops[[#This Row],[Tray 1 Days]],Crops[[#This Row],[Tray 2 Days]],Crops[[#This Row],[Tray 3 Days]])</f>
        <v>0</v>
      </c>
      <c r="AN97">
        <v>30</v>
      </c>
      <c r="AO97">
        <v>60</v>
      </c>
      <c r="AP97">
        <v>90</v>
      </c>
      <c r="AQ97">
        <f>IFERROR(_xlfn.FLOOR.MATH(AVERAGE(Crops[[#This Row],[DTM Lower]:[DTM Upper]])),"")</f>
        <v>75</v>
      </c>
      <c r="AR97" cm="1">
        <f t="array" ref="AR97">_xlfn.SWITCH(Crops[[#This Row],[Normal Method]],"DS",Crops[[#This Row],[Days to Germination]]+Crops[[#This Row],[DTM]] + IF(Crops[[#This Row],[Days in Cells]]&gt;0,15,0), "TP",Crops[[#This Row],[DTM]]+Crops[[#This Row],[Days in Cells]] + IF(Crops[[#This Row],[Days in Cells]]&lt;=0,20,0), "X", Crops[[#This Row],[DTM]])</f>
        <v>75</v>
      </c>
      <c r="AS97" t="s">
        <v>347</v>
      </c>
      <c r="AT97">
        <f>(Crops[[#This Row],[Harvests]]-1)*Crops[[#This Row],[Days Between Harvest]]+7</f>
        <v>21</v>
      </c>
      <c r="AU97">
        <f>Crops[[#This Row],[STH]]-Crops[[#This Row],[Days in Cells]]+Crops[[#This Row],[Harvest window]]</f>
        <v>96</v>
      </c>
      <c r="AW97">
        <v>128</v>
      </c>
      <c r="AZ97" t="str">
        <f>IFERROR(IF(Crops[[#This Row],[Tray 1 Days]]=0,"",Crops[[#This Row],[Plantings Per Bed]]/Crops[[#This Row],[Tray 1 Size]]*Crops[[#This Row],[Safety Factor]]),"")</f>
        <v/>
      </c>
      <c r="BC97" t="str">
        <f>IFERROR(IF(Crops[[#This Row],[Tray 2 Days]]=0,"",Crops[[#This Row],[Plantings Per Bed]]/Crops[[#This Row],[Tray 2 Size]]*Crops[[#This Row],[Safety Factor]]),"")</f>
        <v/>
      </c>
      <c r="BE97" s="32" t="str">
        <f>IF(NOT(ISBLANK(Crops[[#This Row],[Tray 3 Size]])), Crops[[#This Row],[Days in Cells Old]]-SUM(Crops[[#This Row],[Tray 1 Days]],Crops[[#This Row],[Tray 2 Days]]), "")</f>
        <v/>
      </c>
      <c r="BF97" t="str">
        <f>IFERROR(IF(Crops[[#This Row],[Tray 3 Days]]=0,"",Crops[[#This Row],[Plantings Per Bed]]/Crops[[#This Row],[Tray 3 Size]]*Crops[[#This Row],[Safety Factor]]),"")</f>
        <v/>
      </c>
      <c r="BG97" s="33">
        <f>Crops[[#This Row],[Plantings Per Bed]]/16/Crops[[#This Row],[Harvests]]</f>
        <v>23.4375</v>
      </c>
      <c r="BH97" s="33">
        <v>2</v>
      </c>
      <c r="BI97" s="33">
        <v>14</v>
      </c>
      <c r="BJ97" s="33">
        <f>_xlfn.XLOOKUP(Crops[[#This Row],[ProductIndex]],Products[ID],Products[Holding Period])</f>
        <v>7</v>
      </c>
      <c r="BK97" s="33"/>
      <c r="BL97" s="33">
        <f>Crops[[#This Row],[Units Per Harvest]]*Crops[[#This Row],[Harvests]]</f>
        <v>46.875</v>
      </c>
      <c r="BM97" s="35">
        <v>12</v>
      </c>
      <c r="BN97" s="212">
        <f>Crops[[#This Row],[Direct Price]]*0.6</f>
        <v>7.1999999999999993</v>
      </c>
      <c r="BO97" s="212"/>
      <c r="BP97" t="s">
        <v>383</v>
      </c>
      <c r="BQ97">
        <f>Crops[[#This Row],[Custom Yield Per Bed]]*Crops[[#This Row],[Direct Price]]</f>
        <v>562.5</v>
      </c>
      <c r="BR97" t="b">
        <v>1</v>
      </c>
      <c r="BS97" t="b">
        <f>Crops[[#This Row],[Harvests]]&gt;1</f>
        <v>1</v>
      </c>
      <c r="BT97" s="36">
        <f>IFERROR(Crops[[#This Row],[Direct Revenue Per Bed]]/Crops[[#This Row],[Days In Field]],-1)</f>
        <v>5.859375</v>
      </c>
      <c r="BU97" s="36">
        <f>IFERROR(Crops[[#This Row],[Direct Revenue Per Bed Day]]*GrowingDays*BedsPerAcre,"")</f>
        <v>168750</v>
      </c>
      <c r="BV97" s="38">
        <f>LastFrostDate-5*Crops[[#This Row],[Sewing Rel Last Frost]]</f>
        <v>45848</v>
      </c>
      <c r="BW97" s="38">
        <f>Crops[[#This Row],[Target Sewing Date]]+Crops[[#This Row],[Days in Cells]]</f>
        <v>45848</v>
      </c>
      <c r="BX97" s="38">
        <f>Crops[[#This Row],[Target Sewing Date]]+Crops[[#This Row],[STH]]</f>
        <v>45923</v>
      </c>
      <c r="BY97" s="38">
        <f>Crops[[#This Row],[Target Harvest Data]]+Crops[[#This Row],[Harvest window]]</f>
        <v>45944</v>
      </c>
      <c r="BZ97">
        <v>-20</v>
      </c>
      <c r="CA97" t="s">
        <v>373</v>
      </c>
      <c r="CB97">
        <f>1</f>
        <v>1</v>
      </c>
      <c r="CC97">
        <f>IF(Crops[[#This Row],[Transplanting]]&gt;0, 2, 3)*BedLength/StandardBedLength</f>
        <v>1.5</v>
      </c>
      <c r="CD97" s="173">
        <f>IF(Crops[[#This Row],[Days in Cells]]&lt;=0,0,Crops[[#This Row],[Plantings Per Bed]]/StartsPerHourSeeding+Crops[[#This Row],[Tray 1 Count]]*5/60)</f>
        <v>0</v>
      </c>
      <c r="CE97" s="173">
        <f>IF(ISBLANK(Crops[[#This Row],[Tray 2 Days]]),0,Crops[[#This Row],[Plantings Per Bed]]/UpPottingPerHour)+IF(Crops[[#This Row],[Tray 3 Days]]="",0,Crops[[#This Row],[Plantings Per Bed]]/UpPottingPerHour)</f>
        <v>0</v>
      </c>
      <c r="CF97" s="173">
        <f>IFERROR(Crops[[#This Row],[Tray 1 Count]]/HomeStartFlatIrrigationPerHour,0)*Crops[[#This Row],[Days in Cells]]/DaysBetweenStartIrrigation</f>
        <v>0</v>
      </c>
      <c r="CG97" s="173">
        <f>0.5/16*MAX(Crops[[#This Row],[Tray 1 Count]],Crops[[#This Row],[Tray 2 Count]],Crops[[#This Row],[Tray 3 Count]])</f>
        <v>0</v>
      </c>
      <c r="CH97" s="173">
        <f>IF(Crops[[#This Row],[Days in Cells]]&gt;0,IF(IF(Crops[[#This Row],[Tray 3 Size]]&gt;0,Crops[[#This Row],[Tray 3 Size]],IF(Crops[[#This Row],[Tray 2 Size]]&gt;0,Crops[[#This Row],[Tray 2 Size]],Crops[[#This Row],[Tray 1 Size]]))&lt;=18,LargeTransplantTime,SmallTransplantTime)*Crops[[#This Row],[Plantings Per Bed]],0)</f>
        <v>0</v>
      </c>
      <c r="CI97" s="173"/>
      <c r="CJ97" s="173">
        <f>_xlfn.XLOOKUP(Crops[[#This Row],[Trellis Type]],TrellisMethods[Trellis Type],TrellisMethods[Hours],0,0)</f>
        <v>0</v>
      </c>
      <c r="CK97">
        <f>IF(Crops[[#This Row],[Days in Cells]]&lt;=0,Crops[[#This Row],[Rows]]*1/10,0)*BedLength/50</f>
        <v>0.5</v>
      </c>
      <c r="CL97" cm="1">
        <f t="array" ref="CL97">_xlfn.SWITCH(Crops[[#This Row],[Irrigation]],"DR", 0.5, "OH", 0.25,0)*BedLength/50</f>
        <v>0</v>
      </c>
      <c r="CM97">
        <f>IF(OR(ISBLANK(Crops[[#This Row],[Row Cover]]),Crops[[#This Row],[Row Cover]]="None"),0,1)*BedLength/50</f>
        <v>0</v>
      </c>
      <c r="CN97" s="173">
        <f>HoursPerWeedingPass*Crops[[#This Row],[Days In Field]]/14*Crops[[#This Row],[Rows]]+1*BedLength/50</f>
        <v>6.7142857142857135</v>
      </c>
      <c r="CO97" s="49"/>
      <c r="CQ97" s="37">
        <f>_xlfn.XLOOKUP(Crops[[#This Row],[Crop]]&amp;Crops[[#This Row],[Product]]&amp;Crops[[#This Row],[Unit]],Products[ID],Products[Marketing (hr)])*Crops[[#This Row],[Direct Revenue Per Bed]]/2000</f>
        <v>0.84375</v>
      </c>
      <c r="CR97" s="37">
        <f>_xlfn.XLOOKUP(Crops[[#This Row],[Crop]]&amp;Crops[[#This Row],[Product]]&amp;Crops[[#This Row],[Unit]],Products[ID],Products[Harvest (s)])*Crops[[#This Row],[Custom Yield Per Bed]]/3600</f>
        <v>1.0416666666666667</v>
      </c>
      <c r="CS97" s="37">
        <f>_xlfn.XLOOKUP(Crops[[#This Row],[Crop]]&amp;Crops[[#This Row],[Product]]&amp;Crops[[#This Row],[Unit]],Products[ID],Products[Bunch (s)])*Crops[[#This Row],[Custom Yield Per Bed]]/3600</f>
        <v>0</v>
      </c>
      <c r="CT97" s="37">
        <f>_xlfn.XLOOKUP(Crops[[#This Row],[Crop]]&amp;Crops[[#This Row],[Product]]&amp;Crops[[#This Row],[Unit]],Products[ID],Products[Haul (s)])*Crops[[#This Row],[Custom Yield Per Bed]]/3600</f>
        <v>0.1171875</v>
      </c>
      <c r="CU97" s="37">
        <f>_xlfn.XLOOKUP(Crops[[#This Row],[Crop]]&amp;Crops[[#This Row],[Product]]&amp;Crops[[#This Row],[Unit]],Products[ID],Products[Wash (s)])*Crops[[#This Row],[Custom Yield Per Bed]]/3600</f>
        <v>6.25</v>
      </c>
      <c r="CV97" s="37">
        <f>_xlfn.XLOOKUP(Crops[[#This Row],[Crop]]&amp;Crops[[#This Row],[Product]]&amp;Crops[[#This Row],[Unit]],Products[ID],Products[Condition (s)])*Crops[[#This Row],[Custom Yield Per Bed]]/3600</f>
        <v>0</v>
      </c>
      <c r="CW97" s="37">
        <f>_xlfn.XLOOKUP(Crops[[#This Row],[Crop]]&amp;Crops[[#This Row],[Product]]&amp;Crops[[#This Row],[Unit]],Products[ID],Products[Trim (s)])*Crops[[#This Row],[Custom Yield Per Bed]]/3600</f>
        <v>2.34375</v>
      </c>
      <c r="CX97" s="37">
        <f>_xlfn.XLOOKUP(Crops[[#This Row],[Crop]]&amp;Crops[[#This Row],[Product]]&amp;Crops[[#This Row],[Unit]],Products[ID],Products[Pack (s)])*Crops[[#This Row],[Custom Yield Per Bed]]/3600</f>
        <v>3.90625E-2</v>
      </c>
      <c r="CY97" s="37">
        <f>_xlfn.XLOOKUP(Crops[[#This Row],[Crop]]&amp;Crops[[#This Row],[Product]]&amp;Crops[[#This Row],[Unit]],Products[ID],Products[Clean (s)])*Crops[[#This Row],[Custom Yield Per Bed]]/3600</f>
        <v>0</v>
      </c>
      <c r="CZ97" s="37">
        <f>_xlfn.XLOOKUP(Crops[[#This Row],[Crop]]&amp;Crops[[#This Row],[Product]]&amp;Crops[[#This Row],[Unit]],Products[ID],Products[Rehandle (s)])*Crops[[#This Row],[Custom Yield Per Bed]]/3600</f>
        <v>0</v>
      </c>
      <c r="DA97" s="37">
        <f>_xlfn.XLOOKUP(Crops[[#This Row],[Crop]]&amp;Crops[[#This Row],[Product]]&amp;Crops[[#This Row],[Unit]],Products[ID],Products[Market Transport (s)])*Crops[[#This Row],[Custom Yield Per Bed]]/3600</f>
        <v>0.29296875</v>
      </c>
      <c r="DC97" s="37">
        <f>Crops[[#This Row],[Direct Revenue Per Bed2]]</f>
        <v>562.5</v>
      </c>
      <c r="DD97" s="173">
        <f>_xlfn.AGGREGATE(9,6,Crops[[#This Row],[Bed Prep]:[Remove Crop Residue]])</f>
        <v>19.64267113095238</v>
      </c>
      <c r="DE97" s="173">
        <f>_xlfn.AGGREGATE(9,6,Crops[[#This Row],[Bed Prep]:[Remove Crop Residue]])-0.75*Crops[[#This Row],[Market &amp; Sell]]</f>
        <v>19.00985863095238</v>
      </c>
      <c r="DF97" s="36">
        <f>Crops[[#This Row],[Direct Revenue Per Bed2]]/Crops[[#This Row],[Direct Time]]</f>
        <v>28.636634816617583</v>
      </c>
      <c r="DG97" s="36">
        <f>_xlfn.XLOOKUP(Crops[[#This Row],[ProductIndex]],Products[ID],Products[Packaging Cost])*(Crops[[#This Row],[Custom Yield Per Bed]]/_xlfn.XLOOKUP(Crops[[#This Row],[ProductIndex]],Products[ID],Products[Units Per Pack]))</f>
        <v>17.8125</v>
      </c>
      <c r="DH97" s="36"/>
      <c r="DI97" s="36"/>
      <c r="DJ97" s="36"/>
      <c r="DK97" s="36"/>
      <c r="DL97" s="36"/>
      <c r="DM97" s="33">
        <f>IFERROR(Crops[[#This Row],[Custom Yield Per Bed]]*Crops[[#This Row],[Direct Price]],"")</f>
        <v>562.5</v>
      </c>
      <c r="DN97" s="36">
        <f>Crops[[#This Row],[Direct Time]]*LaborRate</f>
        <v>491.06677827380952</v>
      </c>
      <c r="DO97" s="36">
        <f>SUM(Crops[[#This Row],[Irrigation Cost]])</f>
        <v>0</v>
      </c>
      <c r="DP97" s="36">
        <f>Crops[[#This Row],[Direct Labor Cost]]+Crops[[#This Row],[Direct Non-Labor Cost]]</f>
        <v>491.06677827380952</v>
      </c>
      <c r="DQ97" s="36">
        <f>Crops[[#This Row],[Direct Revenue Per Bed2]]-Crops[[#This Row],[Direct Total Cost]]</f>
        <v>71.433221726190482</v>
      </c>
      <c r="DR97" s="36">
        <f>Crops[[#This Row],[Direct Profit]]*BedsPerAcre</f>
        <v>11429.315476190477</v>
      </c>
      <c r="DS97" s="36">
        <f>Crops[[#This Row],[Direct Profit]]*BedsPerAcre*GrowingDays/Crops[[#This Row],[Days In Field]]</f>
        <v>21429.966517857145</v>
      </c>
      <c r="DT97" s="36">
        <f>Crops[[#This Row],[Direct Profit]]/MIN(Crops[[#This Row],[Days In Field]],GrowingDays)</f>
        <v>0.74409605964781755</v>
      </c>
      <c r="DU97" s="33">
        <f>Crops[[#This Row],[Direct Time]] * BedsPerAcre</f>
        <v>3142.8273809523807</v>
      </c>
      <c r="DV97" s="36">
        <f>(Crops[[#This Row],[Direct Revenue Per Bed2]]-Crops[[#This Row],[Direct Non-Labor Cost]])/Crops[[#This Row],[Direct Time]]</f>
        <v>28.636634816617583</v>
      </c>
      <c r="DW97" s="33">
        <f>IFERROR(Crops[[#This Row],[Custom Yield Per Bed]]*Crops[[#This Row],[Rough Wholesale Price]],"")</f>
        <v>337.49999999999994</v>
      </c>
      <c r="DX97" s="36">
        <f>Crops[[#This Row],[Wholesale Time]]*LaborRate</f>
        <v>475.24646577380952</v>
      </c>
      <c r="DY97" s="36">
        <f>SUM(Crops[[#This Row],[Packaging Costs]:[Irrigation Cost]])</f>
        <v>17.8125</v>
      </c>
      <c r="DZ97" s="36">
        <f>Crops[[#This Row],[Wholesale Labor Cost]]+Crops[[#This Row],[Wholesale Non-Labor Cost]]</f>
        <v>493.05896577380952</v>
      </c>
      <c r="EA97" s="36">
        <f>Crops[[#This Row],[Wholesale Revenue Per Bed]]-Crops[[#This Row],[Wholesale Total Cost]]</f>
        <v>-155.55896577380958</v>
      </c>
      <c r="EB97" s="36">
        <f>Crops[[#This Row],[Wholesale Profit]]*BedsPerAcre</f>
        <v>-24889.434523809534</v>
      </c>
      <c r="EC97" s="36">
        <f>Crops[[#This Row],[Wholesale Profit]]*BedsPerAcre*GrowingDays/Crops[[#This Row],[Days In Field]]</f>
        <v>-46667.689732142877</v>
      </c>
      <c r="ED97" s="33">
        <f>Crops[[#This Row],[Wholesale Time]] * BedsPerAcre</f>
        <v>3041.5773809523807</v>
      </c>
      <c r="EE97" s="221">
        <f>Crops[[#This Row],[Wholesale Profit]]/MIN(Crops[[#This Row],[Days In Field]],GrowingDays)</f>
        <v>-1.620405893477183</v>
      </c>
      <c r="EF97" s="36">
        <f>(Crops[[#This Row],[Wholesale Revenue Per Bed]]-Crops[[#This Row],[Wholesale Non-Labor Cost]])/Crops[[#This Row],[Direct Time]]</f>
        <v>16.275154120777657</v>
      </c>
      <c r="EG97" s="174">
        <f>Crops[[#This Row],[Packaging Costs]]/Crops[[#This Row],[Wholesale Revenue Per Bed]]</f>
        <v>5.2777777777777785E-2</v>
      </c>
      <c r="EH97" s="36" t="str">
        <f>Crops[[#This Row],[Crop]]&amp;Crops[[#This Row],[Product]]&amp;Crops[[#This Row],[Unit]]</f>
        <v>Corn SaladMature HeadLb</v>
      </c>
      <c r="EI97" s="36" t="b">
        <f>_xlfn.XLOOKUP(Crops[[#This Row],[ProductIndex]],Products[ID],Products[Target])</f>
        <v>1</v>
      </c>
      <c r="EJ97" s="36">
        <f>Crops[[#This Row],[Custom Yield Per Bed]]</f>
        <v>46.875</v>
      </c>
      <c r="EK97" s="210">
        <f>Crops[[#This Row],[Units Per Harvest]]/Crops[[#This Row],[Days Between Harvest]]*7</f>
        <v>11.71875</v>
      </c>
      <c r="EL97" s="210">
        <f>Crops[[#This Row],[Custom Yield Per Bed]]/_xlfn.XLOOKUP(Crops[[#This Row],[ProductIndex]],Products[ID],Products[CSA Portion])</f>
        <v>93.75</v>
      </c>
      <c r="EM97" s="210">
        <f>Crops[[#This Row],[Units Per Harvest]]/Crops[[#This Row],[Days Between Harvest]]*7/_xlfn.XLOOKUP(Crops[[#This Row],[ProductIndex]],Products[ID],Products[CSA Portion])</f>
        <v>23.4375</v>
      </c>
      <c r="EN97" s="210">
        <f>Crops[[#This Row],[CSA Portions Per Week]]/CSAMembers</f>
        <v>0.46875</v>
      </c>
      <c r="EO97" s="210"/>
      <c r="EP97" s="210"/>
      <c r="EQ97" s="210"/>
      <c r="ER97" s="210">
        <f>Crops[[#This Row],[Harvests]]*Crops[[#This Row],[Days Between Harvest]]/7</f>
        <v>4</v>
      </c>
      <c r="ES97" s="217">
        <f>_xlfn.XLOOKUP(Crops[[#This Row],[ProductIndex]],Products[ID],Products[CSA Need])</f>
        <v>0</v>
      </c>
      <c r="ET97" s="217">
        <f>_xlfn.XLOOKUP(Crops[[#This Row],[ProductIndex]],Products[ID],Products[CSA Times])</f>
        <v>0</v>
      </c>
      <c r="EU97" s="208" t="e">
        <f>Crops[[#This Row],[Custom Yield Per Bed]]/(Crops[[#This Row],[CSA Need]]*(_xlfn.XLOOKUP(Crops[[#This Row],[ProductIndex]],Products[ID],Products[CSA Portion])*CSAMembers))</f>
        <v>#DIV/0!</v>
      </c>
      <c r="EV97" s="208">
        <f>_xlfn.XLOOKUP(Crops[[#This Row],[ProductIndex]],Products[ID],Products[CSA Portion])*CSAMembers*Crops[[#This Row],[CSA Need]]/Crops[[#This Row],[Custom Yield Per Bed]]</f>
        <v>0</v>
      </c>
      <c r="EW97" s="208">
        <f>IFERROR(Crops[[#This Row],[Days In Field]]*Crops[[#This Row],[CSA Beds]],"")</f>
        <v>0</v>
      </c>
      <c r="EX97" s="208" t="e">
        <f>Crops[[#This Row],[CSA Bed Days]]*#REF!</f>
        <v>#REF!</v>
      </c>
      <c r="EY97" t="s">
        <v>1415</v>
      </c>
    </row>
    <row r="98" spans="1:155">
      <c r="A9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DS Ow</v>
      </c>
      <c r="B98" s="179"/>
      <c r="C98" s="1"/>
      <c r="D98" s="1"/>
      <c r="E98" s="1" t="b">
        <v>0</v>
      </c>
      <c r="F98" s="1" t="b">
        <f>IFERROR(IF(ISNUMBER(MATCH(Crops[[#This Row],[Identifier]],BedPlan[Crop], 0)), TRUE, FALSE), FALSE)</f>
        <v>0</v>
      </c>
      <c r="G98" s="1" t="b">
        <f>IFERROR(IF(ISNUMBER(MATCH(Crops[[#This Row],[Identifier]],BedPlan[Crop], 0)), TRUE, FALSE), FALSE)</f>
        <v>0</v>
      </c>
      <c r="H98" s="1" t="b">
        <v>1</v>
      </c>
      <c r="I98" t="s">
        <v>66</v>
      </c>
      <c r="J98" t="s">
        <v>145</v>
      </c>
      <c r="K98" t="s">
        <v>186</v>
      </c>
      <c r="N98" t="str">
        <f>Crops[[#This Row],[Crop]]</f>
        <v>Corn Salad</v>
      </c>
      <c r="O98" t="s">
        <v>210</v>
      </c>
      <c r="P98" t="str">
        <f>IF(OR(Crops[[#This Row],[Days in Cells]]="",Crops[[#This Row],[Days in Cells]]=0), "DS","TP")</f>
        <v>DS</v>
      </c>
      <c r="U98" t="b">
        <v>1</v>
      </c>
      <c r="V98" t="str">
        <f xml:space="preserve"> IF(Crops[[#This Row],[Sp]], "Sp", "") &amp; IF(Crops[[#This Row],[Su]], "Su", "") &amp; IF(Crops[[#This Row],[Fa]], "Fa", "") &amp; IF(Crops[[#This Row],[Wi]], "Wi", "") &amp; IF(Crops[[#This Row],[OW]], "Ow","")</f>
        <v>Ow</v>
      </c>
      <c r="X98">
        <v>5</v>
      </c>
      <c r="Y98">
        <v>4</v>
      </c>
      <c r="AA98" t="s">
        <v>474</v>
      </c>
      <c r="AB98" t="b">
        <v>1</v>
      </c>
      <c r="AD98" s="32">
        <f>IFERROR(12/Crops[[#This Row],[Spacing]]*Crops[[#This Row],[Rows]]*BedLength,"")</f>
        <v>750</v>
      </c>
      <c r="AE98">
        <v>3</v>
      </c>
      <c r="AG98">
        <v>1.1000000000000001</v>
      </c>
      <c r="AH98">
        <f>1</f>
        <v>1</v>
      </c>
      <c r="AI98" s="33">
        <f>IFERROR(Crops[[#This Row],[Plantings Per Bed]]*Crops[[#This Row],[Seeds Per Planting]]*Crops[[#This Row],[Safety Factor]]*Crops[[#This Row],[Seeding Factor]],"")</f>
        <v>2475</v>
      </c>
      <c r="AJ98">
        <v>7</v>
      </c>
      <c r="AK98">
        <v>14</v>
      </c>
      <c r="AL98">
        <f>_xlfn.FLOOR.MATH(IFERROR(AVERAGE(Crops[[#This Row],[DTG Lower]:[DTG Upper]]),0))</f>
        <v>10</v>
      </c>
      <c r="AM98">
        <f>SUM(Crops[[#This Row],[Tray 1 Days]],Crops[[#This Row],[Tray 2 Days]],Crops[[#This Row],[Tray 3 Days]])</f>
        <v>0</v>
      </c>
      <c r="AN98">
        <v>30</v>
      </c>
      <c r="AO98">
        <v>90</v>
      </c>
      <c r="AP98">
        <v>120</v>
      </c>
      <c r="AQ98">
        <f>IFERROR(_xlfn.FLOOR.MATH(AVERAGE(Crops[[#This Row],[DTM Lower]:[DTM Upper]])),"")</f>
        <v>105</v>
      </c>
      <c r="AR98" cm="1">
        <f t="array" ref="AR98">_xlfn.SWITCH(Crops[[#This Row],[Normal Method]],"DS",Crops[[#This Row],[Days to Germination]]+Crops[[#This Row],[DTM]] + IF(Crops[[#This Row],[Days in Cells]]&gt;0,15,0), "TP",Crops[[#This Row],[DTM]]+Crops[[#This Row],[Days in Cells]] + IF(Crops[[#This Row],[Days in Cells]]&lt;=0,20,0), "X", Crops[[#This Row],[DTM]])</f>
        <v>105</v>
      </c>
      <c r="AS98" t="s">
        <v>347</v>
      </c>
      <c r="AT98">
        <f>(Crops[[#This Row],[Harvests]]-1)*Crops[[#This Row],[Days Between Harvest]]+7</f>
        <v>142</v>
      </c>
      <c r="AU98">
        <f>Crops[[#This Row],[STH]]-Crops[[#This Row],[Days in Cells]]+Crops[[#This Row],[Harvest window]]</f>
        <v>247</v>
      </c>
      <c r="AW98">
        <v>128</v>
      </c>
      <c r="AZ98" t="str">
        <f>IFERROR(IF(Crops[[#This Row],[Tray 1 Days]]=0,"",Crops[[#This Row],[Plantings Per Bed]]/Crops[[#This Row],[Tray 1 Size]]*Crops[[#This Row],[Safety Factor]]),"")</f>
        <v/>
      </c>
      <c r="BC98" t="str">
        <f>IFERROR(IF(Crops[[#This Row],[Tray 2 Days]]=0,"",Crops[[#This Row],[Plantings Per Bed]]/Crops[[#This Row],[Tray 2 Size]]*Crops[[#This Row],[Safety Factor]]),"")</f>
        <v/>
      </c>
      <c r="BE98" s="32" t="str">
        <f>IF(NOT(ISBLANK(Crops[[#This Row],[Tray 3 Size]])), Crops[[#This Row],[Days in Cells Old]]-SUM(Crops[[#This Row],[Tray 1 Days]],Crops[[#This Row],[Tray 2 Days]]), "")</f>
        <v/>
      </c>
      <c r="BF98" t="str">
        <f>IFERROR(IF(Crops[[#This Row],[Tray 3 Days]]=0,"",Crops[[#This Row],[Plantings Per Bed]]/Crops[[#This Row],[Tray 3 Size]]*Crops[[#This Row],[Safety Factor]]),"")</f>
        <v/>
      </c>
      <c r="BG98" s="33">
        <f>Crops[[#This Row],[Plantings Per Bed]]/16/Crops[[#This Row],[Harvests]]</f>
        <v>11.71875</v>
      </c>
      <c r="BH98" s="33">
        <v>4</v>
      </c>
      <c r="BI98" s="33">
        <v>45</v>
      </c>
      <c r="BJ98" s="33">
        <f>_xlfn.XLOOKUP(Crops[[#This Row],[ProductIndex]],Products[ID],Products[Holding Period])</f>
        <v>7</v>
      </c>
      <c r="BK98" s="33"/>
      <c r="BL98" s="33">
        <f>Crops[[#This Row],[Units Per Harvest]]*Crops[[#This Row],[Harvests]]</f>
        <v>46.875</v>
      </c>
      <c r="BM98" s="35">
        <v>12</v>
      </c>
      <c r="BN98" s="35">
        <f>Crops[[#This Row],[Direct Price]]*0.6</f>
        <v>7.1999999999999993</v>
      </c>
      <c r="BO98" s="35"/>
      <c r="BP98" t="s">
        <v>383</v>
      </c>
      <c r="BQ98">
        <f>Crops[[#This Row],[Custom Yield Per Bed]]*Crops[[#This Row],[Direct Price]]</f>
        <v>562.5</v>
      </c>
      <c r="BR98" t="b">
        <v>1</v>
      </c>
      <c r="BS98" t="b">
        <f>Crops[[#This Row],[Harvests]]&gt;1</f>
        <v>1</v>
      </c>
      <c r="BT98" s="36">
        <f>IFERROR(Crops[[#This Row],[Direct Revenue Per Bed]]/Crops[[#This Row],[Days In Field]],-1)</f>
        <v>2.2773279352226719</v>
      </c>
      <c r="BU98" s="36">
        <f>IFERROR(Crops[[#This Row],[Direct Revenue Per Bed Day]]*GrowingDays*BedsPerAcre,"")</f>
        <v>65587.044534412955</v>
      </c>
      <c r="BV98" s="38">
        <f>LastFrostDate-5*Crops[[#This Row],[Sewing Rel Last Frost]]</f>
        <v>45858</v>
      </c>
      <c r="BW98" s="38">
        <f>Crops[[#This Row],[Target Sewing Date]]+Crops[[#This Row],[Days in Cells]]</f>
        <v>45858</v>
      </c>
      <c r="BX98" s="38">
        <f>Crops[[#This Row],[Target Sewing Date]]+Crops[[#This Row],[STH]]</f>
        <v>45963</v>
      </c>
      <c r="BY98" s="38">
        <f>Crops[[#This Row],[Target Harvest Data]]+Crops[[#This Row],[Harvest window]]</f>
        <v>46105</v>
      </c>
      <c r="BZ98">
        <v>-22</v>
      </c>
      <c r="CA98" t="s">
        <v>373</v>
      </c>
      <c r="CB98">
        <f>1</f>
        <v>1</v>
      </c>
      <c r="CC98">
        <f>IF(Crops[[#This Row],[Transplanting]]&gt;0, 2, 3)*BedLength/StandardBedLength</f>
        <v>1.5</v>
      </c>
      <c r="CD98" s="173">
        <f>IF(Crops[[#This Row],[Days in Cells]]&lt;=0,0,Crops[[#This Row],[Plantings Per Bed]]/StartsPerHourSeeding+Crops[[#This Row],[Tray 1 Count]]*5/60)</f>
        <v>0</v>
      </c>
      <c r="CE98" s="173">
        <f>IF(ISBLANK(Crops[[#This Row],[Tray 2 Days]]),0,Crops[[#This Row],[Plantings Per Bed]]/UpPottingPerHour)+IF(Crops[[#This Row],[Tray 3 Days]]="",0,Crops[[#This Row],[Plantings Per Bed]]/UpPottingPerHour)</f>
        <v>0</v>
      </c>
      <c r="CF98" s="173">
        <f>IFERROR(Crops[[#This Row],[Tray 1 Count]]/HomeStartFlatIrrigationPerHour,0)*Crops[[#This Row],[Days in Cells]]/DaysBetweenStartIrrigation</f>
        <v>0</v>
      </c>
      <c r="CG98" s="173">
        <f>0.5/16*MAX(Crops[[#This Row],[Tray 1 Count]],Crops[[#This Row],[Tray 2 Count]],Crops[[#This Row],[Tray 3 Count]])</f>
        <v>0</v>
      </c>
      <c r="CH98" s="173">
        <f>IF(Crops[[#This Row],[Days in Cells]]&gt;0,IF(IF(Crops[[#This Row],[Tray 3 Size]]&gt;0,Crops[[#This Row],[Tray 3 Size]],IF(Crops[[#This Row],[Tray 2 Size]]&gt;0,Crops[[#This Row],[Tray 2 Size]],Crops[[#This Row],[Tray 1 Size]]))&lt;=18,LargeTransplantTime,SmallTransplantTime)*Crops[[#This Row],[Plantings Per Bed]],0)</f>
        <v>0</v>
      </c>
      <c r="CI98" s="173"/>
      <c r="CJ98" s="173">
        <f>_xlfn.XLOOKUP(Crops[[#This Row],[Trellis Type]],TrellisMethods[Trellis Type],TrellisMethods[Hours],0,0)</f>
        <v>0</v>
      </c>
      <c r="CK98">
        <f>IF(Crops[[#This Row],[Days in Cells]]&lt;=0,Crops[[#This Row],[Rows]]*1/10,0)*BedLength/50</f>
        <v>0.5</v>
      </c>
      <c r="CL98" cm="1">
        <f t="array" ref="CL98">_xlfn.SWITCH(Crops[[#This Row],[Irrigation]],"DR", 0.5, "OH", 0.25,0)*BedLength/50</f>
        <v>0</v>
      </c>
      <c r="CM98">
        <f>IF(OR(ISBLANK(Crops[[#This Row],[Row Cover]]),Crops[[#This Row],[Row Cover]]="None"),0,1)*BedLength/50</f>
        <v>0</v>
      </c>
      <c r="CN98" s="173">
        <f>HoursPerWeedingPass*Crops[[#This Row],[Days In Field]]/14*Crops[[#This Row],[Rows]]+1*BedLength/50</f>
        <v>15.702380952380951</v>
      </c>
      <c r="CO98" s="49"/>
      <c r="CQ98" s="37">
        <f>_xlfn.XLOOKUP(Crops[[#This Row],[Crop]]&amp;Crops[[#This Row],[Product]]&amp;Crops[[#This Row],[Unit]],Products[ID],Products[Marketing (hr)])*Crops[[#This Row],[Direct Revenue Per Bed]]/2000</f>
        <v>0.84375</v>
      </c>
      <c r="CR98" s="37">
        <f>_xlfn.XLOOKUP(Crops[[#This Row],[Crop]]&amp;Crops[[#This Row],[Product]]&amp;Crops[[#This Row],[Unit]],Products[ID],Products[Harvest (s)])*Crops[[#This Row],[Custom Yield Per Bed]]/3600</f>
        <v>1.0416666666666667</v>
      </c>
      <c r="CS98" s="37">
        <f>_xlfn.XLOOKUP(Crops[[#This Row],[Crop]]&amp;Crops[[#This Row],[Product]]&amp;Crops[[#This Row],[Unit]],Products[ID],Products[Bunch (s)])*Crops[[#This Row],[Custom Yield Per Bed]]/3600</f>
        <v>0</v>
      </c>
      <c r="CT98" s="37">
        <f>_xlfn.XLOOKUP(Crops[[#This Row],[Crop]]&amp;Crops[[#This Row],[Product]]&amp;Crops[[#This Row],[Unit]],Products[ID],Products[Haul (s)])*Crops[[#This Row],[Custom Yield Per Bed]]/3600</f>
        <v>0.1171875</v>
      </c>
      <c r="CU98" s="37">
        <f>_xlfn.XLOOKUP(Crops[[#This Row],[Crop]]&amp;Crops[[#This Row],[Product]]&amp;Crops[[#This Row],[Unit]],Products[ID],Products[Wash (s)])*Crops[[#This Row],[Custom Yield Per Bed]]/3600</f>
        <v>6.25</v>
      </c>
      <c r="CV98" s="37">
        <f>_xlfn.XLOOKUP(Crops[[#This Row],[Crop]]&amp;Crops[[#This Row],[Product]]&amp;Crops[[#This Row],[Unit]],Products[ID],Products[Condition (s)])*Crops[[#This Row],[Custom Yield Per Bed]]/3600</f>
        <v>0</v>
      </c>
      <c r="CW98" s="37">
        <f>_xlfn.XLOOKUP(Crops[[#This Row],[Crop]]&amp;Crops[[#This Row],[Product]]&amp;Crops[[#This Row],[Unit]],Products[ID],Products[Trim (s)])*Crops[[#This Row],[Custom Yield Per Bed]]/3600</f>
        <v>2.34375</v>
      </c>
      <c r="CX98" s="37">
        <f>_xlfn.XLOOKUP(Crops[[#This Row],[Crop]]&amp;Crops[[#This Row],[Product]]&amp;Crops[[#This Row],[Unit]],Products[ID],Products[Pack (s)])*Crops[[#This Row],[Custom Yield Per Bed]]/3600</f>
        <v>3.90625E-2</v>
      </c>
      <c r="CY98" s="37">
        <f>_xlfn.XLOOKUP(Crops[[#This Row],[Crop]]&amp;Crops[[#This Row],[Product]]&amp;Crops[[#This Row],[Unit]],Products[ID],Products[Clean (s)])*Crops[[#This Row],[Custom Yield Per Bed]]/3600</f>
        <v>0</v>
      </c>
      <c r="CZ98" s="37">
        <f>_xlfn.XLOOKUP(Crops[[#This Row],[Crop]]&amp;Crops[[#This Row],[Product]]&amp;Crops[[#This Row],[Unit]],Products[ID],Products[Rehandle (s)])*Crops[[#This Row],[Custom Yield Per Bed]]/3600</f>
        <v>0</v>
      </c>
      <c r="DA98" s="37">
        <f>_xlfn.XLOOKUP(Crops[[#This Row],[Crop]]&amp;Crops[[#This Row],[Product]]&amp;Crops[[#This Row],[Unit]],Products[ID],Products[Market Transport (s)])*Crops[[#This Row],[Custom Yield Per Bed]]/3600</f>
        <v>0.29296875</v>
      </c>
      <c r="DC98" s="37">
        <f>Crops[[#This Row],[Direct Revenue Per Bed2]]</f>
        <v>562.5</v>
      </c>
      <c r="DD98" s="173">
        <f>_xlfn.AGGREGATE(9,6,Crops[[#This Row],[Bed Prep]:[Remove Crop Residue]])</f>
        <v>28.630766369047617</v>
      </c>
      <c r="DE98" s="173">
        <f>_xlfn.AGGREGATE(9,6,Crops[[#This Row],[Bed Prep]:[Remove Crop Residue]])-0.75*Crops[[#This Row],[Market &amp; Sell]]</f>
        <v>27.997953869047617</v>
      </c>
      <c r="DF98" s="36">
        <f>Crops[[#This Row],[Direct Revenue Per Bed2]]/Crops[[#This Row],[Direct Time]]</f>
        <v>19.646697288833739</v>
      </c>
      <c r="DG98" s="36">
        <f>_xlfn.XLOOKUP(Crops[[#This Row],[ProductIndex]],Products[ID],Products[Packaging Cost])*(Crops[[#This Row],[Custom Yield Per Bed]]/_xlfn.XLOOKUP(Crops[[#This Row],[ProductIndex]],Products[ID],Products[Units Per Pack]))</f>
        <v>17.8125</v>
      </c>
      <c r="DH98" s="36"/>
      <c r="DI98" s="36"/>
      <c r="DJ98" s="36"/>
      <c r="DK98" s="36"/>
      <c r="DL98" s="36"/>
      <c r="DM98" s="33">
        <f>IFERROR(Crops[[#This Row],[Custom Yield Per Bed]]*Crops[[#This Row],[Direct Price]],"")</f>
        <v>562.5</v>
      </c>
      <c r="DN98" s="36">
        <f>Crops[[#This Row],[Direct Time]]*LaborRate</f>
        <v>715.76915922619037</v>
      </c>
      <c r="DO98" s="36">
        <f>SUM(Crops[[#This Row],[Irrigation Cost]])</f>
        <v>0</v>
      </c>
      <c r="DP98" s="36">
        <f>Crops[[#This Row],[Direct Labor Cost]]+Crops[[#This Row],[Direct Non-Labor Cost]]</f>
        <v>715.76915922619037</v>
      </c>
      <c r="DQ98" s="36">
        <f>Crops[[#This Row],[Direct Revenue Per Bed2]]-Crops[[#This Row],[Direct Total Cost]]</f>
        <v>-153.26915922619037</v>
      </c>
      <c r="DR98" s="36">
        <f>Crops[[#This Row],[Direct Profit]]*BedsPerAcre</f>
        <v>-24523.065476190459</v>
      </c>
      <c r="DS98" s="36">
        <f>Crops[[#This Row],[Direct Profit]]*BedsPerAcre*GrowingDays/Crops[[#This Row],[Days In Field]]</f>
        <v>-17871.059861191428</v>
      </c>
      <c r="DT98" s="36">
        <f>Crops[[#This Row],[Direct Profit]]/MIN(Crops[[#This Row],[Days In Field]],GrowingDays)</f>
        <v>-0.85149532903439096</v>
      </c>
      <c r="DU98" s="33">
        <f>Crops[[#This Row],[Direct Time]] * BedsPerAcre</f>
        <v>4580.9226190476184</v>
      </c>
      <c r="DV98" s="36">
        <f>(Crops[[#This Row],[Direct Revenue Per Bed2]]-Crops[[#This Row],[Direct Non-Labor Cost]])/Crops[[#This Row],[Direct Time]]</f>
        <v>19.646697288833739</v>
      </c>
      <c r="DW98" s="33">
        <f>IFERROR(Crops[[#This Row],[Custom Yield Per Bed]]*Crops[[#This Row],[Rough Wholesale Price]],"")</f>
        <v>337.49999999999994</v>
      </c>
      <c r="DX98" s="36">
        <f>Crops[[#This Row],[Wholesale Time]]*LaborRate</f>
        <v>699.94884672619037</v>
      </c>
      <c r="DY98" s="36">
        <f>SUM(Crops[[#This Row],[Packaging Costs]:[Irrigation Cost]])</f>
        <v>17.8125</v>
      </c>
      <c r="DZ98" s="36">
        <f>Crops[[#This Row],[Wholesale Labor Cost]]+Crops[[#This Row],[Wholesale Non-Labor Cost]]</f>
        <v>717.76134672619037</v>
      </c>
      <c r="EA98" s="36">
        <f>Crops[[#This Row],[Wholesale Revenue Per Bed]]-Crops[[#This Row],[Wholesale Total Cost]]</f>
        <v>-380.26134672619042</v>
      </c>
      <c r="EB98" s="36">
        <f>Crops[[#This Row],[Wholesale Profit]]*BedsPerAcre</f>
        <v>-60841.815476190466</v>
      </c>
      <c r="EC98" s="36">
        <f>Crops[[#This Row],[Wholesale Profit]]*BedsPerAcre*GrowingDays/Crops[[#This Row],[Days In Field]]</f>
        <v>-44338.165124349325</v>
      </c>
      <c r="ED98" s="33">
        <f>Crops[[#This Row],[Wholesale Time]] * BedsPerAcre</f>
        <v>4479.6726190476184</v>
      </c>
      <c r="EE98" s="221">
        <f>Crops[[#This Row],[Wholesale Profit]]/MIN(Crops[[#This Row],[Days In Field]],GrowingDays)</f>
        <v>-2.1125630373677247</v>
      </c>
      <c r="EF98" s="36">
        <f>(Crops[[#This Row],[Wholesale Revenue Per Bed]]-Crops[[#This Row],[Wholesale Non-Labor Cost]])/Crops[[#This Row],[Direct Time]]</f>
        <v>11.165872959153839</v>
      </c>
      <c r="EG98" s="174">
        <f>Crops[[#This Row],[Packaging Costs]]/Crops[[#This Row],[Wholesale Revenue Per Bed]]</f>
        <v>5.2777777777777785E-2</v>
      </c>
      <c r="EH98" s="36" t="str">
        <f>Crops[[#This Row],[Crop]]&amp;Crops[[#This Row],[Product]]&amp;Crops[[#This Row],[Unit]]</f>
        <v>Corn SaladMature HeadLb</v>
      </c>
      <c r="EI98" s="36" t="b">
        <f>_xlfn.XLOOKUP(Crops[[#This Row],[ProductIndex]],Products[ID],Products[Target])</f>
        <v>1</v>
      </c>
      <c r="EJ98" s="36">
        <f>Crops[[#This Row],[Custom Yield Per Bed]]</f>
        <v>46.875</v>
      </c>
      <c r="EK98" s="210">
        <f>Crops[[#This Row],[Units Per Harvest]]/Crops[[#This Row],[Days Between Harvest]]*7</f>
        <v>1.8229166666666667</v>
      </c>
      <c r="EL98" s="210">
        <f>Crops[[#This Row],[Custom Yield Per Bed]]/_xlfn.XLOOKUP(Crops[[#This Row],[ProductIndex]],Products[ID],Products[CSA Portion])</f>
        <v>93.75</v>
      </c>
      <c r="EM98" s="210">
        <f>Crops[[#This Row],[Units Per Harvest]]/Crops[[#This Row],[Days Between Harvest]]*7/_xlfn.XLOOKUP(Crops[[#This Row],[ProductIndex]],Products[ID],Products[CSA Portion])</f>
        <v>3.6458333333333335</v>
      </c>
      <c r="EN98" s="210">
        <f>Crops[[#This Row],[CSA Portions Per Week]]/CSAMembers</f>
        <v>7.2916666666666671E-2</v>
      </c>
      <c r="EO98" s="210"/>
      <c r="EP98" s="210"/>
      <c r="EQ98" s="210"/>
      <c r="ER98" s="210">
        <f>Crops[[#This Row],[Harvests]]*Crops[[#This Row],[Days Between Harvest]]/7</f>
        <v>25.714285714285715</v>
      </c>
      <c r="ES98" s="217">
        <f>_xlfn.XLOOKUP(Crops[[#This Row],[ProductIndex]],Products[ID],Products[CSA Need])</f>
        <v>0</v>
      </c>
      <c r="ET98" s="217">
        <f>_xlfn.XLOOKUP(Crops[[#This Row],[ProductIndex]],Products[ID],Products[CSA Times])</f>
        <v>0</v>
      </c>
      <c r="EU98" s="208" t="e">
        <f>Crops[[#This Row],[Custom Yield Per Bed]]/(Crops[[#This Row],[CSA Need]]*(_xlfn.XLOOKUP(Crops[[#This Row],[ProductIndex]],Products[ID],Products[CSA Portion])*CSAMembers))</f>
        <v>#DIV/0!</v>
      </c>
      <c r="EV98" s="208">
        <f>_xlfn.XLOOKUP(Crops[[#This Row],[ProductIndex]],Products[ID],Products[CSA Portion])*CSAMembers*Crops[[#This Row],[CSA Need]]/Crops[[#This Row],[Custom Yield Per Bed]]</f>
        <v>0</v>
      </c>
      <c r="EW98" s="208">
        <f>IFERROR(Crops[[#This Row],[Days In Field]]*Crops[[#This Row],[CSA Beds]],"")</f>
        <v>0</v>
      </c>
      <c r="EX98" s="208" t="e">
        <f>Crops[[#This Row],[CSA Bed Days]]*#REF!</f>
        <v>#REF!</v>
      </c>
      <c r="EY98" t="s">
        <v>1415</v>
      </c>
    </row>
    <row r="99" spans="1:155">
      <c r="A9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TP Fa</v>
      </c>
      <c r="B99" s="179"/>
      <c r="C99" s="1"/>
      <c r="D99" s="1"/>
      <c r="E99" s="1" t="b">
        <v>0</v>
      </c>
      <c r="F99" s="1" t="b">
        <f>IFERROR(IF(ISNUMBER(MATCH(Crops[[#This Row],[Identifier]],BedPlan[Crop], 0)), TRUE, FALSE), FALSE)</f>
        <v>0</v>
      </c>
      <c r="G99" s="1" t="b">
        <f>IFERROR(IF(ISNUMBER(MATCH(Crops[[#This Row],[Identifier]],BedPlan[Crop], 0)), TRUE, FALSE), FALSE)</f>
        <v>0</v>
      </c>
      <c r="H99" s="1"/>
      <c r="I99" t="s">
        <v>66</v>
      </c>
      <c r="J99" t="s">
        <v>145</v>
      </c>
      <c r="K99" t="s">
        <v>186</v>
      </c>
      <c r="M99" t="s">
        <v>441</v>
      </c>
      <c r="N99" t="str">
        <f>Crops[[#This Row],[Crop]]</f>
        <v>Corn Salad</v>
      </c>
      <c r="O99" t="s">
        <v>210</v>
      </c>
      <c r="P99" t="str">
        <f>IF(OR(Crops[[#This Row],[Days in Cells]]="",Crops[[#This Row],[Days in Cells]]=0), "DS","TP")</f>
        <v>TP</v>
      </c>
      <c r="S99" t="b">
        <v>1</v>
      </c>
      <c r="V99" t="str">
        <f xml:space="preserve"> IF(Crops[[#This Row],[Sp]], "Sp", "") &amp; IF(Crops[[#This Row],[Su]], "Su", "") &amp; IF(Crops[[#This Row],[Fa]], "Fa", "") &amp; IF(Crops[[#This Row],[Wi]], "Wi", "") &amp; IF(Crops[[#This Row],[OW]], "Ow","")</f>
        <v>Fa</v>
      </c>
      <c r="X99">
        <v>5</v>
      </c>
      <c r="Y99">
        <v>4</v>
      </c>
      <c r="AA99" t="s">
        <v>474</v>
      </c>
      <c r="AB99" t="b">
        <v>1</v>
      </c>
      <c r="AC99">
        <v>0.5</v>
      </c>
      <c r="AD99" s="32">
        <f>IFERROR(12/Crops[[#This Row],[Spacing]]*Crops[[#This Row],[Rows]]*BedLength,"")</f>
        <v>750</v>
      </c>
      <c r="AE99">
        <v>3</v>
      </c>
      <c r="AG99">
        <v>1.1000000000000001</v>
      </c>
      <c r="AH99">
        <f>1</f>
        <v>1</v>
      </c>
      <c r="AI99" s="33">
        <f>IFERROR(Crops[[#This Row],[Plantings Per Bed]]*Crops[[#This Row],[Seeds Per Planting]]*Crops[[#This Row],[Safety Factor]]*Crops[[#This Row],[Seeding Factor]],"")</f>
        <v>2475</v>
      </c>
      <c r="AJ99">
        <v>7</v>
      </c>
      <c r="AK99">
        <v>14</v>
      </c>
      <c r="AL99">
        <f>_xlfn.FLOOR.MATH(IFERROR(AVERAGE(Crops[[#This Row],[DTG Lower]:[DTG Upper]]),0))</f>
        <v>10</v>
      </c>
      <c r="AM99">
        <f>SUM(Crops[[#This Row],[Tray 1 Days]],Crops[[#This Row],[Tray 2 Days]],Crops[[#This Row],[Tray 3 Days]])</f>
        <v>30</v>
      </c>
      <c r="AN99" s="32">
        <v>30</v>
      </c>
      <c r="AO99">
        <v>60</v>
      </c>
      <c r="AP99">
        <v>120</v>
      </c>
      <c r="AQ99">
        <f>IFERROR(_xlfn.FLOOR.MATH(AVERAGE(Crops[[#This Row],[DTM Lower]:[DTM Upper]])),"")</f>
        <v>90</v>
      </c>
      <c r="AR99" cm="1">
        <f t="array" ref="AR99">_xlfn.SWITCH(Crops[[#This Row],[Normal Method]],"DS",Crops[[#This Row],[Days to Germination]]+Crops[[#This Row],[DTM]] + IF(Crops[[#This Row],[Days in Cells]]&gt;0,15,0), "TP",Crops[[#This Row],[DTM]]+Crops[[#This Row],[Days in Cells]] + IF(Crops[[#This Row],[Days in Cells]]&lt;=0,20,0), "X", Crops[[#This Row],[DTM]])</f>
        <v>90</v>
      </c>
      <c r="AS99" t="s">
        <v>347</v>
      </c>
      <c r="AT99">
        <f>(Crops[[#This Row],[Harvests]]-1)*Crops[[#This Row],[Days Between Harvest]]+7</f>
        <v>21</v>
      </c>
      <c r="AU99">
        <f>Crops[[#This Row],[STH]]-Crops[[#This Row],[Days in Cells]]+Crops[[#This Row],[Harvest window]]</f>
        <v>81</v>
      </c>
      <c r="AX99">
        <v>128</v>
      </c>
      <c r="AY99">
        <v>30</v>
      </c>
      <c r="AZ99" s="49">
        <f>IFERROR(IF(Crops[[#This Row],[Tray 1 Days]]=0,"",Crops[[#This Row],[Plantings Per Bed]]/Crops[[#This Row],[Tray 1 Size]]*Crops[[#This Row],[Safety Factor]]),"")</f>
        <v>6.4453125000000009</v>
      </c>
      <c r="BC99" t="str">
        <f>IFERROR(IF(Crops[[#This Row],[Tray 2 Days]]=0,"",Crops[[#This Row],[Plantings Per Bed]]/Crops[[#This Row],[Tray 2 Size]]*Crops[[#This Row],[Safety Factor]]),"")</f>
        <v/>
      </c>
      <c r="BE99" s="32" t="str">
        <f>IF(NOT(ISBLANK(Crops[[#This Row],[Tray 3 Size]])), Crops[[#This Row],[Days in Cells Old]]-SUM(Crops[[#This Row],[Tray 1 Days]],Crops[[#This Row],[Tray 2 Days]]), "")</f>
        <v/>
      </c>
      <c r="BF99" s="49" t="str">
        <f>IFERROR(IF(Crops[[#This Row],[Tray 3 Days]]=0,"",Crops[[#This Row],[Plantings Per Bed]]/Crops[[#This Row],[Tray 3 Size]]*Crops[[#This Row],[Safety Factor]]),"")</f>
        <v/>
      </c>
      <c r="BG99" s="33">
        <f>20*BedLength/StandardBedLength</f>
        <v>10</v>
      </c>
      <c r="BH99" s="33">
        <v>2</v>
      </c>
      <c r="BI99" s="33">
        <v>14</v>
      </c>
      <c r="BJ99" s="33">
        <f>_xlfn.XLOOKUP(Crops[[#This Row],[ProductIndex]],Products[ID],Products[Holding Period])</f>
        <v>7</v>
      </c>
      <c r="BK99" s="33"/>
      <c r="BL99" s="33">
        <f>Crops[[#This Row],[Units Per Harvest]]*Crops[[#This Row],[Harvests]]</f>
        <v>20</v>
      </c>
      <c r="BM99" s="35">
        <v>12</v>
      </c>
      <c r="BN99" s="35">
        <f>Crops[[#This Row],[Direct Price]]*0.6</f>
        <v>7.1999999999999993</v>
      </c>
      <c r="BO99" s="35"/>
      <c r="BP99" t="s">
        <v>383</v>
      </c>
      <c r="BQ99">
        <f>Crops[[#This Row],[Custom Yield Per Bed]]*Crops[[#This Row],[Direct Price]]</f>
        <v>240</v>
      </c>
      <c r="BR99" t="b">
        <v>1</v>
      </c>
      <c r="BS99" t="b">
        <f>Crops[[#This Row],[Harvests]]&gt;1</f>
        <v>1</v>
      </c>
      <c r="BT99" s="36">
        <f>IFERROR(Crops[[#This Row],[Direct Revenue Per Bed]]/Crops[[#This Row],[Days In Field]],-1)</f>
        <v>2.9629629629629628</v>
      </c>
      <c r="BU99" s="36">
        <f>IFERROR(Crops[[#This Row],[Direct Revenue Per Bed Day]]*GrowingDays*BedsPerAcre,"")</f>
        <v>85333.333333333314</v>
      </c>
      <c r="BV99" s="38">
        <f>LastFrostDate-5*Crops[[#This Row],[Sewing Rel Last Frost]]</f>
        <v>45848</v>
      </c>
      <c r="BW99" s="38">
        <f>Crops[[#This Row],[Target Sewing Date]]+Crops[[#This Row],[Days in Cells]]</f>
        <v>45878</v>
      </c>
      <c r="BX99" s="38">
        <f>Crops[[#This Row],[Target Sewing Date]]+Crops[[#This Row],[STH]]</f>
        <v>45938</v>
      </c>
      <c r="BY99" s="38">
        <f>Crops[[#This Row],[Target Harvest Data]]+Crops[[#This Row],[Harvest window]]</f>
        <v>45959</v>
      </c>
      <c r="BZ99">
        <v>-20</v>
      </c>
      <c r="CA99" t="s">
        <v>373</v>
      </c>
      <c r="CB99">
        <f>1</f>
        <v>1</v>
      </c>
      <c r="CC99">
        <f>IF(Crops[[#This Row],[Transplanting]]&gt;0, 2, 3)*BedLength/StandardBedLength</f>
        <v>1</v>
      </c>
      <c r="CD99" s="173">
        <f>IF(Crops[[#This Row],[Days in Cells]]&lt;=0,0,Crops[[#This Row],[Plantings Per Bed]]/StartsPerHourSeeding+Crops[[#This Row],[Tray 1 Count]]*5/60)</f>
        <v>3.466796875</v>
      </c>
      <c r="CE99" s="173">
        <f>IF(ISBLANK(Crops[[#This Row],[Tray 2 Days]]),0,Crops[[#This Row],[Plantings Per Bed]]/UpPottingPerHour)+IF(Crops[[#This Row],[Tray 3 Days]]="",0,Crops[[#This Row],[Plantings Per Bed]]/UpPottingPerHour)</f>
        <v>0</v>
      </c>
      <c r="CF99" s="173">
        <f>IFERROR(Crops[[#This Row],[Tray 1 Count]]/HomeStartFlatIrrigationPerHour,0)*Crops[[#This Row],[Days in Cells]]/DaysBetweenStartIrrigation</f>
        <v>0.80566406250000011</v>
      </c>
      <c r="CG99" s="173">
        <f>0.5/16*MAX(Crops[[#This Row],[Tray 1 Count]],Crops[[#This Row],[Tray 2 Count]],Crops[[#This Row],[Tray 3 Count]])</f>
        <v>0.20141601562500003</v>
      </c>
      <c r="CH99" s="173">
        <f>IF(Crops[[#This Row],[Days in Cells]]&gt;0,IF(IF(Crops[[#This Row],[Tray 3 Size]]&gt;0,Crops[[#This Row],[Tray 3 Size]],IF(Crops[[#This Row],[Tray 2 Size]]&gt;0,Crops[[#This Row],[Tray 2 Size]],Crops[[#This Row],[Tray 1 Size]]))&lt;=18,LargeTransplantTime,SmallTransplantTime)*Crops[[#This Row],[Plantings Per Bed]],0)</f>
        <v>3.75</v>
      </c>
      <c r="CI99" s="173"/>
      <c r="CJ99" s="173">
        <f>_xlfn.XLOOKUP(Crops[[#This Row],[Trellis Type]],TrellisMethods[Trellis Type],TrellisMethods[Hours],0,0)</f>
        <v>0</v>
      </c>
      <c r="CK99">
        <f>IF(Crops[[#This Row],[Days in Cells]]&lt;=0,Crops[[#This Row],[Rows]]*1/10,0)*BedLength/50</f>
        <v>0</v>
      </c>
      <c r="CL99" cm="1">
        <f t="array" ref="CL99">_xlfn.SWITCH(Crops[[#This Row],[Irrigation]],"DR", 0.5, "OH", 0.25,0)*BedLength/50</f>
        <v>0</v>
      </c>
      <c r="CM99">
        <f>IF(OR(ISBLANK(Crops[[#This Row],[Row Cover]]),Crops[[#This Row],[Row Cover]]="None"),0,1)*BedLength/50</f>
        <v>0</v>
      </c>
      <c r="CN99" s="173">
        <f>HoursPerWeedingPass*Crops[[#This Row],[Days In Field]]/14*Crops[[#This Row],[Rows]]+1*BedLength/50</f>
        <v>5.8214285714285712</v>
      </c>
      <c r="CO99" s="49"/>
      <c r="CQ99" s="37">
        <f>_xlfn.XLOOKUP(Crops[[#This Row],[Crop]]&amp;Crops[[#This Row],[Product]]&amp;Crops[[#This Row],[Unit]],Products[ID],Products[Marketing (hr)])*Crops[[#This Row],[Direct Revenue Per Bed]]/2000</f>
        <v>0.36</v>
      </c>
      <c r="CR99" s="37">
        <f>_xlfn.XLOOKUP(Crops[[#This Row],[Crop]]&amp;Crops[[#This Row],[Product]]&amp;Crops[[#This Row],[Unit]],Products[ID],Products[Harvest (s)])*Crops[[#This Row],[Custom Yield Per Bed]]/3600</f>
        <v>0.44444444444444442</v>
      </c>
      <c r="CS99" s="37">
        <f>_xlfn.XLOOKUP(Crops[[#This Row],[Crop]]&amp;Crops[[#This Row],[Product]]&amp;Crops[[#This Row],[Unit]],Products[ID],Products[Bunch (s)])*Crops[[#This Row],[Custom Yield Per Bed]]/3600</f>
        <v>0</v>
      </c>
      <c r="CT99" s="37">
        <f>_xlfn.XLOOKUP(Crops[[#This Row],[Crop]]&amp;Crops[[#This Row],[Product]]&amp;Crops[[#This Row],[Unit]],Products[ID],Products[Haul (s)])*Crops[[#This Row],[Custom Yield Per Bed]]/3600</f>
        <v>0.05</v>
      </c>
      <c r="CU99" s="37">
        <f>_xlfn.XLOOKUP(Crops[[#This Row],[Crop]]&amp;Crops[[#This Row],[Product]]&amp;Crops[[#This Row],[Unit]],Products[ID],Products[Wash (s)])*Crops[[#This Row],[Custom Yield Per Bed]]/3600</f>
        <v>2.6666666666666665</v>
      </c>
      <c r="CV99" s="37">
        <f>_xlfn.XLOOKUP(Crops[[#This Row],[Crop]]&amp;Crops[[#This Row],[Product]]&amp;Crops[[#This Row],[Unit]],Products[ID],Products[Condition (s)])*Crops[[#This Row],[Custom Yield Per Bed]]/3600</f>
        <v>0</v>
      </c>
      <c r="CW99" s="37">
        <f>_xlfn.XLOOKUP(Crops[[#This Row],[Crop]]&amp;Crops[[#This Row],[Product]]&amp;Crops[[#This Row],[Unit]],Products[ID],Products[Trim (s)])*Crops[[#This Row],[Custom Yield Per Bed]]/3600</f>
        <v>1</v>
      </c>
      <c r="CX99" s="37">
        <f>_xlfn.XLOOKUP(Crops[[#This Row],[Crop]]&amp;Crops[[#This Row],[Product]]&amp;Crops[[#This Row],[Unit]],Products[ID],Products[Pack (s)])*Crops[[#This Row],[Custom Yield Per Bed]]/3600</f>
        <v>1.6666666666666666E-2</v>
      </c>
      <c r="CY99" s="37">
        <f>_xlfn.XLOOKUP(Crops[[#This Row],[Crop]]&amp;Crops[[#This Row],[Product]]&amp;Crops[[#This Row],[Unit]],Products[ID],Products[Clean (s)])*Crops[[#This Row],[Custom Yield Per Bed]]/3600</f>
        <v>0</v>
      </c>
      <c r="CZ99" s="37">
        <f>_xlfn.XLOOKUP(Crops[[#This Row],[Crop]]&amp;Crops[[#This Row],[Product]]&amp;Crops[[#This Row],[Unit]],Products[ID],Products[Rehandle (s)])*Crops[[#This Row],[Custom Yield Per Bed]]/3600</f>
        <v>0</v>
      </c>
      <c r="DA99" s="37">
        <f>_xlfn.XLOOKUP(Crops[[#This Row],[Crop]]&amp;Crops[[#This Row],[Product]]&amp;Crops[[#This Row],[Unit]],Products[ID],Products[Market Transport (s)])*Crops[[#This Row],[Custom Yield Per Bed]]/3600</f>
        <v>0.125</v>
      </c>
      <c r="DC99" s="37">
        <f>Crops[[#This Row],[Direct Revenue Per Bed2]]</f>
        <v>240</v>
      </c>
      <c r="DD99" s="173">
        <f>_xlfn.AGGREGATE(9,6,Crops[[#This Row],[Bed Prep]:[Remove Crop Residue]])</f>
        <v>19.70808330233135</v>
      </c>
      <c r="DE99" s="173">
        <f>_xlfn.AGGREGATE(9,6,Crops[[#This Row],[Bed Prep]:[Remove Crop Residue]])-0.75*Crops[[#This Row],[Market &amp; Sell]]</f>
        <v>19.43808330233135</v>
      </c>
      <c r="DF99" s="36">
        <f>Crops[[#This Row],[Direct Revenue Per Bed2]]/Crops[[#This Row],[Direct Time]]</f>
        <v>12.177744345722825</v>
      </c>
      <c r="DG99" s="36">
        <f>_xlfn.XLOOKUP(Crops[[#This Row],[ProductIndex]],Products[ID],Products[Packaging Cost])*(Crops[[#This Row],[Custom Yield Per Bed]]/_xlfn.XLOOKUP(Crops[[#This Row],[ProductIndex]],Products[ID],Products[Units Per Pack]))</f>
        <v>7.6</v>
      </c>
      <c r="DH99" s="36"/>
      <c r="DI99" s="36"/>
      <c r="DJ99" s="36"/>
      <c r="DK99" s="36"/>
      <c r="DL99" s="36"/>
      <c r="DM99" s="33">
        <f>IFERROR(Crops[[#This Row],[Custom Yield Per Bed]]*Crops[[#This Row],[Direct Price]],"")</f>
        <v>240</v>
      </c>
      <c r="DN99" s="36">
        <f>Crops[[#This Row],[Direct Time]]*LaborRate</f>
        <v>492.70208255828373</v>
      </c>
      <c r="DO99" s="36">
        <f>SUM(Crops[[#This Row],[Irrigation Cost]])</f>
        <v>0</v>
      </c>
      <c r="DP99" s="36">
        <f>Crops[[#This Row],[Direct Labor Cost]]+Crops[[#This Row],[Direct Non-Labor Cost]]</f>
        <v>492.70208255828373</v>
      </c>
      <c r="DQ99" s="36">
        <f>Crops[[#This Row],[Direct Revenue Per Bed2]]-Crops[[#This Row],[Direct Total Cost]]</f>
        <v>-252.70208255828373</v>
      </c>
      <c r="DR99" s="36">
        <f>Crops[[#This Row],[Direct Profit]]*BedsPerAcre</f>
        <v>-40432.333209325399</v>
      </c>
      <c r="DS99" s="36">
        <f>Crops[[#This Row],[Direct Profit]]*BedsPerAcre*GrowingDays/Crops[[#This Row],[Days In Field]]</f>
        <v>-89849.629354056437</v>
      </c>
      <c r="DT99" s="36">
        <f>Crops[[#This Row],[Direct Profit]]/MIN(Crops[[#This Row],[Days In Field]],GrowingDays)</f>
        <v>-3.1197787970158486</v>
      </c>
      <c r="DU99" s="33">
        <f>Crops[[#This Row],[Direct Time]] * BedsPerAcre</f>
        <v>3153.2933283730158</v>
      </c>
      <c r="DV99" s="36">
        <f>(Crops[[#This Row],[Direct Revenue Per Bed2]]-Crops[[#This Row],[Direct Non-Labor Cost]])/Crops[[#This Row],[Direct Time]]</f>
        <v>12.177744345722825</v>
      </c>
      <c r="DW99" s="33">
        <f>IFERROR(Crops[[#This Row],[Custom Yield Per Bed]]*Crops[[#This Row],[Rough Wholesale Price]],"")</f>
        <v>144</v>
      </c>
      <c r="DX99" s="36">
        <f>Crops[[#This Row],[Wholesale Time]]*LaborRate</f>
        <v>485.95208255828373</v>
      </c>
      <c r="DY99" s="36">
        <f>SUM(Crops[[#This Row],[Packaging Costs]:[Irrigation Cost]])</f>
        <v>7.6</v>
      </c>
      <c r="DZ99" s="36">
        <f>Crops[[#This Row],[Wholesale Labor Cost]]+Crops[[#This Row],[Wholesale Non-Labor Cost]]</f>
        <v>493.55208255828376</v>
      </c>
      <c r="EA99" s="36">
        <f>Crops[[#This Row],[Wholesale Revenue Per Bed]]-Crops[[#This Row],[Wholesale Total Cost]]</f>
        <v>-349.55208255828376</v>
      </c>
      <c r="EB99" s="36">
        <f>Crops[[#This Row],[Wholesale Profit]]*BedsPerAcre</f>
        <v>-55928.333209325399</v>
      </c>
      <c r="EC99" s="36">
        <f>Crops[[#This Row],[Wholesale Profit]]*BedsPerAcre*GrowingDays/Crops[[#This Row],[Days In Field]]</f>
        <v>-124285.18490961201</v>
      </c>
      <c r="ED99" s="33">
        <f>Crops[[#This Row],[Wholesale Time]] * BedsPerAcre</f>
        <v>3110.093328373016</v>
      </c>
      <c r="EE99" s="221">
        <f>Crops[[#This Row],[Wholesale Profit]]/MIN(Crops[[#This Row],[Days In Field]],GrowingDays)</f>
        <v>-4.3154578093615275</v>
      </c>
      <c r="EF99" s="36">
        <f>(Crops[[#This Row],[Wholesale Revenue Per Bed]]-Crops[[#This Row],[Wholesale Non-Labor Cost]])/Crops[[#This Row],[Direct Time]]</f>
        <v>6.9210180364858056</v>
      </c>
      <c r="EG99" s="174">
        <f>Crops[[#This Row],[Packaging Costs]]/Crops[[#This Row],[Wholesale Revenue Per Bed]]</f>
        <v>5.2777777777777778E-2</v>
      </c>
      <c r="EH99" s="36" t="str">
        <f>Crops[[#This Row],[Crop]]&amp;Crops[[#This Row],[Product]]&amp;Crops[[#This Row],[Unit]]</f>
        <v>Corn SaladMature HeadLb</v>
      </c>
      <c r="EI99" s="36" t="b">
        <f>_xlfn.XLOOKUP(Crops[[#This Row],[ProductIndex]],Products[ID],Products[Target])</f>
        <v>1</v>
      </c>
      <c r="EJ99" s="36">
        <f>Crops[[#This Row],[Custom Yield Per Bed]]</f>
        <v>20</v>
      </c>
      <c r="EK99" s="210">
        <f>Crops[[#This Row],[Units Per Harvest]]/Crops[[#This Row],[Days Between Harvest]]*7</f>
        <v>5</v>
      </c>
      <c r="EL99" s="210">
        <f>Crops[[#This Row],[Custom Yield Per Bed]]/_xlfn.XLOOKUP(Crops[[#This Row],[ProductIndex]],Products[ID],Products[CSA Portion])</f>
        <v>40</v>
      </c>
      <c r="EM99" s="210">
        <f>Crops[[#This Row],[Units Per Harvest]]/Crops[[#This Row],[Days Between Harvest]]*7/_xlfn.XLOOKUP(Crops[[#This Row],[ProductIndex]],Products[ID],Products[CSA Portion])</f>
        <v>10</v>
      </c>
      <c r="EN99" s="210">
        <f>Crops[[#This Row],[CSA Portions Per Week]]/CSAMembers</f>
        <v>0.2</v>
      </c>
      <c r="EO99" s="210"/>
      <c r="EP99" s="210"/>
      <c r="EQ99" s="210"/>
      <c r="ER99" s="210">
        <f>Crops[[#This Row],[Harvests]]*Crops[[#This Row],[Days Between Harvest]]/7</f>
        <v>4</v>
      </c>
      <c r="ES99" s="217">
        <f>_xlfn.XLOOKUP(Crops[[#This Row],[ProductIndex]],Products[ID],Products[CSA Need])</f>
        <v>0</v>
      </c>
      <c r="ET99" s="217">
        <f>_xlfn.XLOOKUP(Crops[[#This Row],[ProductIndex]],Products[ID],Products[CSA Times])</f>
        <v>0</v>
      </c>
      <c r="EU99" s="208" t="e">
        <f>Crops[[#This Row],[Custom Yield Per Bed]]/(Crops[[#This Row],[CSA Need]]*(_xlfn.XLOOKUP(Crops[[#This Row],[ProductIndex]],Products[ID],Products[CSA Portion])*CSAMembers))</f>
        <v>#DIV/0!</v>
      </c>
      <c r="EV99" s="208">
        <f>_xlfn.XLOOKUP(Crops[[#This Row],[ProductIndex]],Products[ID],Products[CSA Portion])*CSAMembers*Crops[[#This Row],[CSA Need]]/Crops[[#This Row],[Custom Yield Per Bed]]</f>
        <v>0</v>
      </c>
      <c r="EW99" s="208">
        <f>IFERROR(Crops[[#This Row],[Days In Field]]*Crops[[#This Row],[CSA Beds]],"")</f>
        <v>0</v>
      </c>
      <c r="EX99" s="208" t="e">
        <f>Crops[[#This Row],[CSA Bed Days]]*#REF!</f>
        <v>#REF!</v>
      </c>
      <c r="EY99" t="s">
        <v>1415</v>
      </c>
    </row>
    <row r="100" spans="1:155">
      <c r="A10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TP Ow</v>
      </c>
      <c r="B100" s="179"/>
      <c r="C100" s="1"/>
      <c r="D100" s="1"/>
      <c r="E100" s="1" t="b">
        <v>0</v>
      </c>
      <c r="F100" s="1" t="b">
        <f>IFERROR(IF(ISNUMBER(MATCH(Crops[[#This Row],[Identifier]],BedPlan[Crop], 0)), TRUE, FALSE), FALSE)</f>
        <v>0</v>
      </c>
      <c r="G100" s="1" t="b">
        <f>IFERROR(IF(ISNUMBER(MATCH(Crops[[#This Row],[Identifier]],BedPlan[Crop], 0)), TRUE, FALSE), FALSE)</f>
        <v>0</v>
      </c>
      <c r="H100" s="1"/>
      <c r="I100" t="s">
        <v>66</v>
      </c>
      <c r="J100" t="s">
        <v>145</v>
      </c>
      <c r="K100" t="s">
        <v>186</v>
      </c>
      <c r="N100" t="str">
        <f>Crops[[#This Row],[Crop]]</f>
        <v>Corn Salad</v>
      </c>
      <c r="O100" t="s">
        <v>210</v>
      </c>
      <c r="P100" t="str">
        <f>IF(OR(Crops[[#This Row],[Days in Cells]]="",Crops[[#This Row],[Days in Cells]]=0), "DS","TP")</f>
        <v>TP</v>
      </c>
      <c r="U100" t="b">
        <v>1</v>
      </c>
      <c r="V100" t="str">
        <f xml:space="preserve"> IF(Crops[[#This Row],[Sp]], "Sp", "") &amp; IF(Crops[[#This Row],[Su]], "Su", "") &amp; IF(Crops[[#This Row],[Fa]], "Fa", "") &amp; IF(Crops[[#This Row],[Wi]], "Wi", "") &amp; IF(Crops[[#This Row],[OW]], "Ow","")</f>
        <v>Ow</v>
      </c>
      <c r="X100">
        <v>5</v>
      </c>
      <c r="Y100">
        <v>4</v>
      </c>
      <c r="AA100" t="s">
        <v>474</v>
      </c>
      <c r="AB100" t="b">
        <v>1</v>
      </c>
      <c r="AD100" s="32">
        <f>IFERROR(12/Crops[[#This Row],[Spacing]]*Crops[[#This Row],[Rows]]*BedLength,"")</f>
        <v>750</v>
      </c>
      <c r="AE100">
        <v>3</v>
      </c>
      <c r="AG100">
        <v>1.1000000000000001</v>
      </c>
      <c r="AH100">
        <f>1</f>
        <v>1</v>
      </c>
      <c r="AI100" s="33">
        <f>IFERROR(Crops[[#This Row],[Plantings Per Bed]]*Crops[[#This Row],[Seeds Per Planting]]*Crops[[#This Row],[Safety Factor]]*Crops[[#This Row],[Seeding Factor]],"")</f>
        <v>2475</v>
      </c>
      <c r="AJ100">
        <v>7</v>
      </c>
      <c r="AK100">
        <v>14</v>
      </c>
      <c r="AL100">
        <f>_xlfn.FLOOR.MATH(IFERROR(AVERAGE(Crops[[#This Row],[DTG Lower]:[DTG Upper]]),0))</f>
        <v>10</v>
      </c>
      <c r="AM100">
        <f>SUM(Crops[[#This Row],[Tray 1 Days]],Crops[[#This Row],[Tray 2 Days]],Crops[[#This Row],[Tray 3 Days]])</f>
        <v>30</v>
      </c>
      <c r="AN100">
        <v>30</v>
      </c>
      <c r="AO100">
        <v>90</v>
      </c>
      <c r="AP100">
        <v>120</v>
      </c>
      <c r="AQ100">
        <f>IFERROR(_xlfn.FLOOR.MATH(AVERAGE(Crops[[#This Row],[DTM Lower]:[DTM Upper]])),"")</f>
        <v>105</v>
      </c>
      <c r="AR100" cm="1">
        <f t="array" ref="AR100">_xlfn.SWITCH(Crops[[#This Row],[Normal Method]],"DS",Crops[[#This Row],[Days to Germination]]+Crops[[#This Row],[DTM]] + IF(Crops[[#This Row],[Days in Cells]]&gt;0,15,0), "TP",Crops[[#This Row],[DTM]]+Crops[[#This Row],[Days in Cells]] + IF(Crops[[#This Row],[Days in Cells]]&lt;=0,20,0), "X", Crops[[#This Row],[DTM]])</f>
        <v>105</v>
      </c>
      <c r="AS100" t="s">
        <v>347</v>
      </c>
      <c r="AT100">
        <f>(Crops[[#This Row],[Harvests]]-1)*Crops[[#This Row],[Days Between Harvest]]+7</f>
        <v>142</v>
      </c>
      <c r="AU100">
        <f>Crops[[#This Row],[STH]]-Crops[[#This Row],[Days in Cells]]+Crops[[#This Row],[Harvest window]]</f>
        <v>217</v>
      </c>
      <c r="AX100">
        <v>128</v>
      </c>
      <c r="AY100">
        <v>30</v>
      </c>
      <c r="AZ100">
        <f>IFERROR(IF(Crops[[#This Row],[Tray 1 Days]]=0,"",Crops[[#This Row],[Plantings Per Bed]]/Crops[[#This Row],[Tray 1 Size]]*Crops[[#This Row],[Safety Factor]]),"")</f>
        <v>6.4453125000000009</v>
      </c>
      <c r="BC100" t="str">
        <f>IFERROR(IF(Crops[[#This Row],[Tray 2 Days]]=0,"",Crops[[#This Row],[Plantings Per Bed]]/Crops[[#This Row],[Tray 2 Size]]*Crops[[#This Row],[Safety Factor]]),"")</f>
        <v/>
      </c>
      <c r="BE100" s="32" t="str">
        <f>IF(NOT(ISBLANK(Crops[[#This Row],[Tray 3 Size]])), Crops[[#This Row],[Days in Cells Old]]-SUM(Crops[[#This Row],[Tray 1 Days]],Crops[[#This Row],[Tray 2 Days]]), "")</f>
        <v/>
      </c>
      <c r="BF100" t="str">
        <f>IFERROR(IF(Crops[[#This Row],[Tray 3 Days]]=0,"",Crops[[#This Row],[Plantings Per Bed]]/Crops[[#This Row],[Tray 3 Size]]*Crops[[#This Row],[Safety Factor]]),"")</f>
        <v/>
      </c>
      <c r="BG100" s="33">
        <f>Crops[[#This Row],[Plantings Per Bed]]/16/Crops[[#This Row],[Harvests]]</f>
        <v>11.71875</v>
      </c>
      <c r="BH100" s="33">
        <v>4</v>
      </c>
      <c r="BI100" s="33">
        <v>45</v>
      </c>
      <c r="BJ100" s="33">
        <f>_xlfn.XLOOKUP(Crops[[#This Row],[ProductIndex]],Products[ID],Products[Holding Period])</f>
        <v>7</v>
      </c>
      <c r="BK100" s="33"/>
      <c r="BL100" s="33">
        <f>Crops[[#This Row],[Units Per Harvest]]*Crops[[#This Row],[Harvests]]</f>
        <v>46.875</v>
      </c>
      <c r="BM100" s="35">
        <v>12</v>
      </c>
      <c r="BN100" s="35">
        <f>Crops[[#This Row],[Direct Price]]*0.6</f>
        <v>7.1999999999999993</v>
      </c>
      <c r="BO100" s="35"/>
      <c r="BP100" t="s">
        <v>383</v>
      </c>
      <c r="BQ100">
        <f>Crops[[#This Row],[Custom Yield Per Bed]]*Crops[[#This Row],[Direct Price]]</f>
        <v>562.5</v>
      </c>
      <c r="BR100" t="b">
        <v>1</v>
      </c>
      <c r="BS100" t="b">
        <f>Crops[[#This Row],[Harvests]]&gt;1</f>
        <v>1</v>
      </c>
      <c r="BT100" s="36">
        <f>IFERROR(Crops[[#This Row],[Direct Revenue Per Bed]]/Crops[[#This Row],[Days In Field]],-1)</f>
        <v>2.5921658986175116</v>
      </c>
      <c r="BU100" s="36">
        <f>IFERROR(Crops[[#This Row],[Direct Revenue Per Bed Day]]*GrowingDays*BedsPerAcre,"")</f>
        <v>74654.377880184329</v>
      </c>
      <c r="BV100" s="38">
        <f>LastFrostDate-5*Crops[[#This Row],[Sewing Rel Last Frost]]</f>
        <v>45858</v>
      </c>
      <c r="BW100" s="38">
        <f>Crops[[#This Row],[Target Sewing Date]]+Crops[[#This Row],[Days in Cells]]</f>
        <v>45888</v>
      </c>
      <c r="BX100" s="38">
        <f>Crops[[#This Row],[Target Sewing Date]]+Crops[[#This Row],[STH]]</f>
        <v>45963</v>
      </c>
      <c r="BY100" s="38">
        <f>Crops[[#This Row],[Target Harvest Data]]+Crops[[#This Row],[Harvest window]]</f>
        <v>46105</v>
      </c>
      <c r="BZ100">
        <v>-22</v>
      </c>
      <c r="CA100" t="s">
        <v>373</v>
      </c>
      <c r="CB100">
        <f>1</f>
        <v>1</v>
      </c>
      <c r="CC100">
        <f>IF(Crops[[#This Row],[Transplanting]]&gt;0, 2, 3)*BedLength/StandardBedLength</f>
        <v>1</v>
      </c>
      <c r="CD100" s="173">
        <f>IF(Crops[[#This Row],[Days in Cells]]&lt;=0,0,Crops[[#This Row],[Plantings Per Bed]]/StartsPerHourSeeding+Crops[[#This Row],[Tray 1 Count]]*5/60)</f>
        <v>3.466796875</v>
      </c>
      <c r="CE100" s="173">
        <f>IF(ISBLANK(Crops[[#This Row],[Tray 2 Days]]),0,Crops[[#This Row],[Plantings Per Bed]]/UpPottingPerHour)+IF(Crops[[#This Row],[Tray 3 Days]]="",0,Crops[[#This Row],[Plantings Per Bed]]/UpPottingPerHour)</f>
        <v>0</v>
      </c>
      <c r="CF100" s="173">
        <f>IFERROR(Crops[[#This Row],[Tray 1 Count]]/HomeStartFlatIrrigationPerHour,0)*Crops[[#This Row],[Days in Cells]]/DaysBetweenStartIrrigation</f>
        <v>0.80566406250000011</v>
      </c>
      <c r="CG100" s="173">
        <f>0.5/16*MAX(Crops[[#This Row],[Tray 1 Count]],Crops[[#This Row],[Tray 2 Count]],Crops[[#This Row],[Tray 3 Count]])</f>
        <v>0.20141601562500003</v>
      </c>
      <c r="CH100" s="173">
        <f>IF(Crops[[#This Row],[Days in Cells]]&gt;0,IF(IF(Crops[[#This Row],[Tray 3 Size]]&gt;0,Crops[[#This Row],[Tray 3 Size]],IF(Crops[[#This Row],[Tray 2 Size]]&gt;0,Crops[[#This Row],[Tray 2 Size]],Crops[[#This Row],[Tray 1 Size]]))&lt;=18,LargeTransplantTime,SmallTransplantTime)*Crops[[#This Row],[Plantings Per Bed]],0)</f>
        <v>3.75</v>
      </c>
      <c r="CI100" s="173"/>
      <c r="CJ100" s="173">
        <f>_xlfn.XLOOKUP(Crops[[#This Row],[Trellis Type]],TrellisMethods[Trellis Type],TrellisMethods[Hours],0,0)</f>
        <v>0</v>
      </c>
      <c r="CK100">
        <f>IF(Crops[[#This Row],[Days in Cells]]&lt;=0,Crops[[#This Row],[Rows]]*1/10,0)*BedLength/50</f>
        <v>0</v>
      </c>
      <c r="CL100" cm="1">
        <f t="array" ref="CL100">_xlfn.SWITCH(Crops[[#This Row],[Irrigation]],"DR", 0.5, "OH", 0.25,0)*BedLength/50</f>
        <v>0</v>
      </c>
      <c r="CM100">
        <f>IF(OR(ISBLANK(Crops[[#This Row],[Row Cover]]),Crops[[#This Row],[Row Cover]]="None"),0,1)*BedLength/50</f>
        <v>0</v>
      </c>
      <c r="CN100" s="173">
        <f>HoursPerWeedingPass*Crops[[#This Row],[Days In Field]]/14*Crops[[#This Row],[Rows]]+1*BedLength/50</f>
        <v>13.916666666666664</v>
      </c>
      <c r="CO100" s="49"/>
      <c r="CQ100" s="37">
        <f>_xlfn.XLOOKUP(Crops[[#This Row],[Crop]]&amp;Crops[[#This Row],[Product]]&amp;Crops[[#This Row],[Unit]],Products[ID],Products[Marketing (hr)])*Crops[[#This Row],[Direct Revenue Per Bed]]/2000</f>
        <v>0.84375</v>
      </c>
      <c r="CR100" s="37">
        <f>_xlfn.XLOOKUP(Crops[[#This Row],[Crop]]&amp;Crops[[#This Row],[Product]]&amp;Crops[[#This Row],[Unit]],Products[ID],Products[Harvest (s)])*Crops[[#This Row],[Custom Yield Per Bed]]/3600</f>
        <v>1.0416666666666667</v>
      </c>
      <c r="CS100" s="37">
        <f>_xlfn.XLOOKUP(Crops[[#This Row],[Crop]]&amp;Crops[[#This Row],[Product]]&amp;Crops[[#This Row],[Unit]],Products[ID],Products[Bunch (s)])*Crops[[#This Row],[Custom Yield Per Bed]]/3600</f>
        <v>0</v>
      </c>
      <c r="CT100" s="37">
        <f>_xlfn.XLOOKUP(Crops[[#This Row],[Crop]]&amp;Crops[[#This Row],[Product]]&amp;Crops[[#This Row],[Unit]],Products[ID],Products[Haul (s)])*Crops[[#This Row],[Custom Yield Per Bed]]/3600</f>
        <v>0.1171875</v>
      </c>
      <c r="CU100" s="37">
        <f>_xlfn.XLOOKUP(Crops[[#This Row],[Crop]]&amp;Crops[[#This Row],[Product]]&amp;Crops[[#This Row],[Unit]],Products[ID],Products[Wash (s)])*Crops[[#This Row],[Custom Yield Per Bed]]/3600</f>
        <v>6.25</v>
      </c>
      <c r="CV100" s="37">
        <f>_xlfn.XLOOKUP(Crops[[#This Row],[Crop]]&amp;Crops[[#This Row],[Product]]&amp;Crops[[#This Row],[Unit]],Products[ID],Products[Condition (s)])*Crops[[#This Row],[Custom Yield Per Bed]]/3600</f>
        <v>0</v>
      </c>
      <c r="CW100" s="37">
        <f>_xlfn.XLOOKUP(Crops[[#This Row],[Crop]]&amp;Crops[[#This Row],[Product]]&amp;Crops[[#This Row],[Unit]],Products[ID],Products[Trim (s)])*Crops[[#This Row],[Custom Yield Per Bed]]/3600</f>
        <v>2.34375</v>
      </c>
      <c r="CX100" s="37">
        <f>_xlfn.XLOOKUP(Crops[[#This Row],[Crop]]&amp;Crops[[#This Row],[Product]]&amp;Crops[[#This Row],[Unit]],Products[ID],Products[Pack (s)])*Crops[[#This Row],[Custom Yield Per Bed]]/3600</f>
        <v>3.90625E-2</v>
      </c>
      <c r="CY100" s="37">
        <f>_xlfn.XLOOKUP(Crops[[#This Row],[Crop]]&amp;Crops[[#This Row],[Product]]&amp;Crops[[#This Row],[Unit]],Products[ID],Products[Clean (s)])*Crops[[#This Row],[Custom Yield Per Bed]]/3600</f>
        <v>0</v>
      </c>
      <c r="CZ100" s="37">
        <f>_xlfn.XLOOKUP(Crops[[#This Row],[Crop]]&amp;Crops[[#This Row],[Product]]&amp;Crops[[#This Row],[Unit]],Products[ID],Products[Rehandle (s)])*Crops[[#This Row],[Custom Yield Per Bed]]/3600</f>
        <v>0</v>
      </c>
      <c r="DA100" s="37">
        <f>_xlfn.XLOOKUP(Crops[[#This Row],[Crop]]&amp;Crops[[#This Row],[Product]]&amp;Crops[[#This Row],[Unit]],Products[ID],Products[Market Transport (s)])*Crops[[#This Row],[Custom Yield Per Bed]]/3600</f>
        <v>0.29296875</v>
      </c>
      <c r="DC100" s="37">
        <f>Crops[[#This Row],[Direct Revenue Per Bed2]]</f>
        <v>562.5</v>
      </c>
      <c r="DD100" s="173">
        <f>_xlfn.AGGREGATE(9,6,Crops[[#This Row],[Bed Prep]:[Remove Crop Residue]])</f>
        <v>34.068929036458329</v>
      </c>
      <c r="DE100" s="173">
        <f>_xlfn.AGGREGATE(9,6,Crops[[#This Row],[Bed Prep]:[Remove Crop Residue]])-0.75*Crops[[#This Row],[Market &amp; Sell]]</f>
        <v>33.436116536458329</v>
      </c>
      <c r="DF100" s="36">
        <f>Crops[[#This Row],[Direct Revenue Per Bed2]]/Crops[[#This Row],[Direct Time]]</f>
        <v>16.510645209834728</v>
      </c>
      <c r="DG100" s="36">
        <f>_xlfn.XLOOKUP(Crops[[#This Row],[ProductIndex]],Products[ID],Products[Packaging Cost])*(Crops[[#This Row],[Custom Yield Per Bed]]/_xlfn.XLOOKUP(Crops[[#This Row],[ProductIndex]],Products[ID],Products[Units Per Pack]))</f>
        <v>17.8125</v>
      </c>
      <c r="DH100" s="36"/>
      <c r="DI100" s="36"/>
      <c r="DJ100" s="36"/>
      <c r="DK100" s="36"/>
      <c r="DL100" s="36"/>
      <c r="DM100" s="33">
        <f>IFERROR(Crops[[#This Row],[Custom Yield Per Bed]]*Crops[[#This Row],[Direct Price]],"")</f>
        <v>562.5</v>
      </c>
      <c r="DN100" s="36">
        <f>Crops[[#This Row],[Direct Time]]*LaborRate</f>
        <v>851.72322591145826</v>
      </c>
      <c r="DO100" s="36">
        <f>SUM(Crops[[#This Row],[Irrigation Cost]])</f>
        <v>0</v>
      </c>
      <c r="DP100" s="36">
        <f>Crops[[#This Row],[Direct Labor Cost]]+Crops[[#This Row],[Direct Non-Labor Cost]]</f>
        <v>851.72322591145826</v>
      </c>
      <c r="DQ100" s="36">
        <f>Crops[[#This Row],[Direct Revenue Per Bed2]]-Crops[[#This Row],[Direct Total Cost]]</f>
        <v>-289.22322591145826</v>
      </c>
      <c r="DR100" s="36">
        <f>Crops[[#This Row],[Direct Profit]]*BedsPerAcre</f>
        <v>-46275.716145833321</v>
      </c>
      <c r="DS100" s="36">
        <f>Crops[[#This Row],[Direct Profit]]*BedsPerAcre*GrowingDays/Crops[[#This Row],[Days In Field]]</f>
        <v>-38385.386664746533</v>
      </c>
      <c r="DT100" s="36">
        <f>Crops[[#This Row],[Direct Profit]]/MIN(Crops[[#This Row],[Days In Field]],GrowingDays)</f>
        <v>-1.6067956995081014</v>
      </c>
      <c r="DU100" s="33">
        <f>Crops[[#This Row],[Direct Time]] * BedsPerAcre</f>
        <v>5451.0286458333321</v>
      </c>
      <c r="DV100" s="36">
        <f>(Crops[[#This Row],[Direct Revenue Per Bed2]]-Crops[[#This Row],[Direct Non-Labor Cost]])/Crops[[#This Row],[Direct Time]]</f>
        <v>16.510645209834728</v>
      </c>
      <c r="DW100" s="33">
        <f>IFERROR(Crops[[#This Row],[Custom Yield Per Bed]]*Crops[[#This Row],[Rough Wholesale Price]],"")</f>
        <v>337.49999999999994</v>
      </c>
      <c r="DX100" s="36">
        <f>Crops[[#This Row],[Wholesale Time]]*LaborRate</f>
        <v>835.90291341145826</v>
      </c>
      <c r="DY100" s="36">
        <f>SUM(Crops[[#This Row],[Packaging Costs]:[Irrigation Cost]])</f>
        <v>17.8125</v>
      </c>
      <c r="DZ100" s="36">
        <f>Crops[[#This Row],[Wholesale Labor Cost]]+Crops[[#This Row],[Wholesale Non-Labor Cost]]</f>
        <v>853.71541341145826</v>
      </c>
      <c r="EA100" s="36">
        <f>Crops[[#This Row],[Wholesale Revenue Per Bed]]-Crops[[#This Row],[Wholesale Total Cost]]</f>
        <v>-516.21541341145826</v>
      </c>
      <c r="EB100" s="36">
        <f>Crops[[#This Row],[Wholesale Profit]]*BedsPerAcre</f>
        <v>-82594.466145833314</v>
      </c>
      <c r="EC100" s="36">
        <f>Crops[[#This Row],[Wholesale Profit]]*BedsPerAcre*GrowingDays/Crops[[#This Row],[Days In Field]]</f>
        <v>-68511.538738479241</v>
      </c>
      <c r="ED100" s="33">
        <f>Crops[[#This Row],[Wholesale Time]] * BedsPerAcre</f>
        <v>5349.7786458333321</v>
      </c>
      <c r="EE100" s="221">
        <f>Crops[[#This Row],[Wholesale Profit]]/MIN(Crops[[#This Row],[Days In Field]],GrowingDays)</f>
        <v>-2.8678634078414347</v>
      </c>
      <c r="EF100" s="36">
        <f>(Crops[[#This Row],[Wholesale Revenue Per Bed]]-Crops[[#This Row],[Wholesale Non-Labor Cost]])/Crops[[#This Row],[Direct Time]]</f>
        <v>9.3835500275894024</v>
      </c>
      <c r="EG100" s="174">
        <f>Crops[[#This Row],[Packaging Costs]]/Crops[[#This Row],[Wholesale Revenue Per Bed]]</f>
        <v>5.2777777777777785E-2</v>
      </c>
      <c r="EH100" s="36" t="str">
        <f>Crops[[#This Row],[Crop]]&amp;Crops[[#This Row],[Product]]&amp;Crops[[#This Row],[Unit]]</f>
        <v>Corn SaladMature HeadLb</v>
      </c>
      <c r="EI100" s="36" t="b">
        <f>_xlfn.XLOOKUP(Crops[[#This Row],[ProductIndex]],Products[ID],Products[Target])</f>
        <v>1</v>
      </c>
      <c r="EJ100" s="36">
        <f>Crops[[#This Row],[Custom Yield Per Bed]]</f>
        <v>46.875</v>
      </c>
      <c r="EK100" s="210">
        <f>Crops[[#This Row],[Units Per Harvest]]/Crops[[#This Row],[Days Between Harvest]]*7</f>
        <v>1.8229166666666667</v>
      </c>
      <c r="EL100" s="210">
        <f>Crops[[#This Row],[Custom Yield Per Bed]]/_xlfn.XLOOKUP(Crops[[#This Row],[ProductIndex]],Products[ID],Products[CSA Portion])</f>
        <v>93.75</v>
      </c>
      <c r="EM100" s="210">
        <f>Crops[[#This Row],[Units Per Harvest]]/Crops[[#This Row],[Days Between Harvest]]*7/_xlfn.XLOOKUP(Crops[[#This Row],[ProductIndex]],Products[ID],Products[CSA Portion])</f>
        <v>3.6458333333333335</v>
      </c>
      <c r="EN100" s="210">
        <f>Crops[[#This Row],[CSA Portions Per Week]]/CSAMembers</f>
        <v>7.2916666666666671E-2</v>
      </c>
      <c r="EO100" s="210"/>
      <c r="EP100" s="210"/>
      <c r="EQ100" s="210"/>
      <c r="ER100" s="210">
        <f>Crops[[#This Row],[Harvests]]*Crops[[#This Row],[Days Between Harvest]]/7</f>
        <v>25.714285714285715</v>
      </c>
      <c r="ES100" s="217">
        <f>_xlfn.XLOOKUP(Crops[[#This Row],[ProductIndex]],Products[ID],Products[CSA Need])</f>
        <v>0</v>
      </c>
      <c r="ET100" s="217">
        <f>_xlfn.XLOOKUP(Crops[[#This Row],[ProductIndex]],Products[ID],Products[CSA Times])</f>
        <v>0</v>
      </c>
      <c r="EU100" s="208" t="e">
        <f>Crops[[#This Row],[Custom Yield Per Bed]]/(Crops[[#This Row],[CSA Need]]*(_xlfn.XLOOKUP(Crops[[#This Row],[ProductIndex]],Products[ID],Products[CSA Portion])*CSAMembers))</f>
        <v>#DIV/0!</v>
      </c>
      <c r="EV100" s="208">
        <f>_xlfn.XLOOKUP(Crops[[#This Row],[ProductIndex]],Products[ID],Products[CSA Portion])*CSAMembers*Crops[[#This Row],[CSA Need]]/Crops[[#This Row],[Custom Yield Per Bed]]</f>
        <v>0</v>
      </c>
      <c r="EW100" s="208">
        <f>IFERROR(Crops[[#This Row],[Days In Field]]*Crops[[#This Row],[CSA Beds]],"")</f>
        <v>0</v>
      </c>
      <c r="EX100" s="208" t="e">
        <f>Crops[[#This Row],[CSA Bed Days]]*#REF!</f>
        <v>#REF!</v>
      </c>
      <c r="EY100" t="s">
        <v>1415</v>
      </c>
    </row>
    <row r="101" spans="1:155">
      <c r="A10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TP Sp</v>
      </c>
      <c r="B101" s="179"/>
      <c r="C101" s="1" t="b">
        <v>0</v>
      </c>
      <c r="D101" s="1"/>
      <c r="E101" s="1" t="b">
        <v>0</v>
      </c>
      <c r="F101" s="1" t="b">
        <f>IFERROR(IF(ISNUMBER(MATCH(Crops[[#This Row],[Identifier]],BedPlan[Crop], 0)), TRUE, FALSE), FALSE)</f>
        <v>0</v>
      </c>
      <c r="G101" s="1" t="b">
        <f>IFERROR(IF(ISNUMBER(MATCH(Crops[[#This Row],[Identifier]],BedPlan[Crop], 0)), TRUE, FALSE), FALSE)</f>
        <v>0</v>
      </c>
      <c r="H101" s="1"/>
      <c r="I101" t="s">
        <v>66</v>
      </c>
      <c r="J101" t="s">
        <v>145</v>
      </c>
      <c r="K101" t="s">
        <v>186</v>
      </c>
      <c r="M101" t="s">
        <v>441</v>
      </c>
      <c r="N101" t="str">
        <f>Crops[[#This Row],[Crop]]</f>
        <v>Corn Salad</v>
      </c>
      <c r="O101" t="s">
        <v>210</v>
      </c>
      <c r="P101" t="str">
        <f>IF(OR(Crops[[#This Row],[Days in Cells]]="",Crops[[#This Row],[Days in Cells]]=0), "DS","TP")</f>
        <v>TP</v>
      </c>
      <c r="Q101" t="b">
        <v>1</v>
      </c>
      <c r="V101" t="str">
        <f xml:space="preserve"> IF(Crops[[#This Row],[Sp]], "Sp", "") &amp; IF(Crops[[#This Row],[Su]], "Su", "") &amp; IF(Crops[[#This Row],[Fa]], "Fa", "") &amp; IF(Crops[[#This Row],[Wi]], "Wi", "") &amp; IF(Crops[[#This Row],[OW]], "Ow","")</f>
        <v>Sp</v>
      </c>
      <c r="X101">
        <v>5</v>
      </c>
      <c r="Y101">
        <v>4</v>
      </c>
      <c r="AA101" t="s">
        <v>474</v>
      </c>
      <c r="AB101" t="b">
        <v>1</v>
      </c>
      <c r="AC101">
        <v>0.5</v>
      </c>
      <c r="AD101" s="32">
        <f>IFERROR(12/Crops[[#This Row],[Spacing]]*Crops[[#This Row],[Rows]]*BedLength,"")</f>
        <v>750</v>
      </c>
      <c r="AE101">
        <v>3</v>
      </c>
      <c r="AG101">
        <v>1.1000000000000001</v>
      </c>
      <c r="AH101">
        <f>1</f>
        <v>1</v>
      </c>
      <c r="AI101" s="33">
        <f>IFERROR(Crops[[#This Row],[Plantings Per Bed]]*Crops[[#This Row],[Seeds Per Planting]]*Crops[[#This Row],[Safety Factor]]*Crops[[#This Row],[Seeding Factor]],"")</f>
        <v>2475</v>
      </c>
      <c r="AJ101">
        <v>7</v>
      </c>
      <c r="AK101">
        <v>14</v>
      </c>
      <c r="AL101">
        <f>_xlfn.FLOOR.MATH(IFERROR(AVERAGE(Crops[[#This Row],[DTG Lower]:[DTG Upper]]),0))</f>
        <v>10</v>
      </c>
      <c r="AM101">
        <f>SUM(Crops[[#This Row],[Tray 1 Days]],Crops[[#This Row],[Tray 2 Days]],Crops[[#This Row],[Tray 3 Days]])</f>
        <v>45</v>
      </c>
      <c r="AN101" s="32">
        <v>30</v>
      </c>
      <c r="AO101">
        <v>60</v>
      </c>
      <c r="AP101">
        <v>120</v>
      </c>
      <c r="AQ101">
        <f>IFERROR(_xlfn.FLOOR.MATH(AVERAGE(Crops[[#This Row],[DTM Lower]:[DTM Upper]])),"")</f>
        <v>90</v>
      </c>
      <c r="AR101" cm="1">
        <f t="array" ref="AR101">_xlfn.SWITCH(Crops[[#This Row],[Normal Method]],"DS",Crops[[#This Row],[Days to Germination]]+Crops[[#This Row],[DTM]] + IF(Crops[[#This Row],[Days in Cells]]&gt;0,15,0), "TP",Crops[[#This Row],[DTM]]+Crops[[#This Row],[Days in Cells]] + IF(Crops[[#This Row],[Days in Cells]]&lt;=0,20,0), "X", Crops[[#This Row],[DTM]])</f>
        <v>90</v>
      </c>
      <c r="AS101" t="s">
        <v>347</v>
      </c>
      <c r="AT101">
        <f>(Crops[[#This Row],[Harvests]]-1)*Crops[[#This Row],[Days Between Harvest]]+7</f>
        <v>21</v>
      </c>
      <c r="AU101">
        <f>Crops[[#This Row],[STH]]-Crops[[#This Row],[Days in Cells]]+Crops[[#This Row],[Harvest window]]</f>
        <v>66</v>
      </c>
      <c r="AX101">
        <v>128</v>
      </c>
      <c r="AY101">
        <v>45</v>
      </c>
      <c r="AZ101" s="49">
        <f>IFERROR(IF(Crops[[#This Row],[Tray 1 Days]]=0,"",Crops[[#This Row],[Plantings Per Bed]]/Crops[[#This Row],[Tray 1 Size]]*Crops[[#This Row],[Safety Factor]]),"")</f>
        <v>6.4453125000000009</v>
      </c>
      <c r="BC101" t="str">
        <f>IFERROR(IF(Crops[[#This Row],[Tray 2 Days]]=0,"",Crops[[#This Row],[Plantings Per Bed]]/Crops[[#This Row],[Tray 2 Size]]*Crops[[#This Row],[Safety Factor]]),"")</f>
        <v/>
      </c>
      <c r="BE101" s="32" t="str">
        <f>IF(NOT(ISBLANK(Crops[[#This Row],[Tray 3 Size]])), Crops[[#This Row],[Days in Cells Old]]-SUM(Crops[[#This Row],[Tray 1 Days]],Crops[[#This Row],[Tray 2 Days]]), "")</f>
        <v/>
      </c>
      <c r="BF101" s="49" t="str">
        <f>IFERROR(IF(Crops[[#This Row],[Tray 3 Days]]=0,"",Crops[[#This Row],[Plantings Per Bed]]/Crops[[#This Row],[Tray 3 Size]]*Crops[[#This Row],[Safety Factor]]),"")</f>
        <v/>
      </c>
      <c r="BG101" s="33">
        <f>20*BedLength/StandardBedLength</f>
        <v>10</v>
      </c>
      <c r="BH101" s="33">
        <v>2</v>
      </c>
      <c r="BI101" s="33">
        <v>14</v>
      </c>
      <c r="BJ101" s="33">
        <f>_xlfn.XLOOKUP(Crops[[#This Row],[ProductIndex]],Products[ID],Products[Holding Period])</f>
        <v>7</v>
      </c>
      <c r="BK101" s="33"/>
      <c r="BL101" s="33">
        <f>Crops[[#This Row],[Units Per Harvest]]*Crops[[#This Row],[Harvests]]</f>
        <v>20</v>
      </c>
      <c r="BM101" s="35">
        <v>12</v>
      </c>
      <c r="BN101" s="35">
        <f>Crops[[#This Row],[Direct Price]]*0.6</f>
        <v>7.1999999999999993</v>
      </c>
      <c r="BO101" s="35"/>
      <c r="BP101" t="s">
        <v>383</v>
      </c>
      <c r="BQ101">
        <f>Crops[[#This Row],[Custom Yield Per Bed]]*Crops[[#This Row],[Direct Price]]</f>
        <v>240</v>
      </c>
      <c r="BR101" t="b">
        <v>1</v>
      </c>
      <c r="BS101" t="b">
        <f>Crops[[#This Row],[Harvests]]&gt;1</f>
        <v>1</v>
      </c>
      <c r="BT101" s="36">
        <f>IFERROR(Crops[[#This Row],[Direct Revenue Per Bed]]/Crops[[#This Row],[Days In Field]],-1)</f>
        <v>3.6363636363636362</v>
      </c>
      <c r="BU101" s="36">
        <f>IFERROR(Crops[[#This Row],[Direct Revenue Per Bed Day]]*GrowingDays*BedsPerAcre,"")</f>
        <v>104727.27272727272</v>
      </c>
      <c r="BV101" s="38">
        <f>LastFrostDate-5*Crops[[#This Row],[Sewing Rel Last Frost]]</f>
        <v>45738</v>
      </c>
      <c r="BW101" s="38">
        <f>Crops[[#This Row],[Target Sewing Date]]+Crops[[#This Row],[Days in Cells]]</f>
        <v>45783</v>
      </c>
      <c r="BX101" s="38">
        <f>Crops[[#This Row],[Target Sewing Date]]+Crops[[#This Row],[STH]]</f>
        <v>45828</v>
      </c>
      <c r="BY101" s="38">
        <f>Crops[[#This Row],[Target Harvest Data]]+Crops[[#This Row],[Harvest window]]</f>
        <v>45849</v>
      </c>
      <c r="BZ101">
        <v>2</v>
      </c>
      <c r="CA101" t="s">
        <v>373</v>
      </c>
      <c r="CB101">
        <f>1</f>
        <v>1</v>
      </c>
      <c r="CC101">
        <f>IF(Crops[[#This Row],[Transplanting]]&gt;0, 2, 3)*BedLength/StandardBedLength</f>
        <v>1</v>
      </c>
      <c r="CD101" s="173">
        <f>IF(Crops[[#This Row],[Days in Cells]]&lt;=0,0,Crops[[#This Row],[Plantings Per Bed]]/StartsPerHourSeeding+Crops[[#This Row],[Tray 1 Count]]*5/60)</f>
        <v>3.466796875</v>
      </c>
      <c r="CE101" s="173">
        <f>IF(ISBLANK(Crops[[#This Row],[Tray 2 Days]]),0,Crops[[#This Row],[Plantings Per Bed]]/UpPottingPerHour)+IF(Crops[[#This Row],[Tray 3 Days]]="",0,Crops[[#This Row],[Plantings Per Bed]]/UpPottingPerHour)</f>
        <v>0</v>
      </c>
      <c r="CF101" s="173">
        <f>IFERROR(Crops[[#This Row],[Tray 1 Count]]/HomeStartFlatIrrigationPerHour,0)*Crops[[#This Row],[Days in Cells]]/DaysBetweenStartIrrigation</f>
        <v>1.2084960937500002</v>
      </c>
      <c r="CG101" s="173">
        <f>0.5/16*MAX(Crops[[#This Row],[Tray 1 Count]],Crops[[#This Row],[Tray 2 Count]],Crops[[#This Row],[Tray 3 Count]])</f>
        <v>0.20141601562500003</v>
      </c>
      <c r="CH101" s="173">
        <f>IF(Crops[[#This Row],[Days in Cells]]&gt;0,IF(IF(Crops[[#This Row],[Tray 3 Size]]&gt;0,Crops[[#This Row],[Tray 3 Size]],IF(Crops[[#This Row],[Tray 2 Size]]&gt;0,Crops[[#This Row],[Tray 2 Size]],Crops[[#This Row],[Tray 1 Size]]))&lt;=18,LargeTransplantTime,SmallTransplantTime)*Crops[[#This Row],[Plantings Per Bed]],0)</f>
        <v>3.75</v>
      </c>
      <c r="CI101" s="173"/>
      <c r="CJ101" s="173">
        <f>_xlfn.XLOOKUP(Crops[[#This Row],[Trellis Type]],TrellisMethods[Trellis Type],TrellisMethods[Hours],0,0)</f>
        <v>0</v>
      </c>
      <c r="CK101">
        <f>IF(Crops[[#This Row],[Days in Cells]]&lt;=0,Crops[[#This Row],[Rows]]*1/10,0)*BedLength/50</f>
        <v>0</v>
      </c>
      <c r="CL101" cm="1">
        <f t="array" ref="CL101">_xlfn.SWITCH(Crops[[#This Row],[Irrigation]],"DR", 0.5, "OH", 0.25,0)*BedLength/50</f>
        <v>0</v>
      </c>
      <c r="CM101">
        <f>IF(OR(ISBLANK(Crops[[#This Row],[Row Cover]]),Crops[[#This Row],[Row Cover]]="None"),0,1)*BedLength/50</f>
        <v>0</v>
      </c>
      <c r="CN101" s="173">
        <f>HoursPerWeedingPass*Crops[[#This Row],[Days In Field]]/14*Crops[[#This Row],[Rows]]+1*BedLength/50</f>
        <v>4.9285714285714288</v>
      </c>
      <c r="CO101" s="49"/>
      <c r="CQ101" s="37">
        <f>_xlfn.XLOOKUP(Crops[[#This Row],[Crop]]&amp;Crops[[#This Row],[Product]]&amp;Crops[[#This Row],[Unit]],Products[ID],Products[Marketing (hr)])*Crops[[#This Row],[Direct Revenue Per Bed]]/2000</f>
        <v>0.36</v>
      </c>
      <c r="CR101" s="37">
        <f>_xlfn.XLOOKUP(Crops[[#This Row],[Crop]]&amp;Crops[[#This Row],[Product]]&amp;Crops[[#This Row],[Unit]],Products[ID],Products[Harvest (s)])*Crops[[#This Row],[Custom Yield Per Bed]]/3600</f>
        <v>0.44444444444444442</v>
      </c>
      <c r="CS101" s="37">
        <f>_xlfn.XLOOKUP(Crops[[#This Row],[Crop]]&amp;Crops[[#This Row],[Product]]&amp;Crops[[#This Row],[Unit]],Products[ID],Products[Bunch (s)])*Crops[[#This Row],[Custom Yield Per Bed]]/3600</f>
        <v>0</v>
      </c>
      <c r="CT101" s="37">
        <f>_xlfn.XLOOKUP(Crops[[#This Row],[Crop]]&amp;Crops[[#This Row],[Product]]&amp;Crops[[#This Row],[Unit]],Products[ID],Products[Haul (s)])*Crops[[#This Row],[Custom Yield Per Bed]]/3600</f>
        <v>0.05</v>
      </c>
      <c r="CU101" s="37">
        <f>_xlfn.XLOOKUP(Crops[[#This Row],[Crop]]&amp;Crops[[#This Row],[Product]]&amp;Crops[[#This Row],[Unit]],Products[ID],Products[Wash (s)])*Crops[[#This Row],[Custom Yield Per Bed]]/3600</f>
        <v>2.6666666666666665</v>
      </c>
      <c r="CV101" s="37">
        <f>_xlfn.XLOOKUP(Crops[[#This Row],[Crop]]&amp;Crops[[#This Row],[Product]]&amp;Crops[[#This Row],[Unit]],Products[ID],Products[Condition (s)])*Crops[[#This Row],[Custom Yield Per Bed]]/3600</f>
        <v>0</v>
      </c>
      <c r="CW101" s="37">
        <f>_xlfn.XLOOKUP(Crops[[#This Row],[Crop]]&amp;Crops[[#This Row],[Product]]&amp;Crops[[#This Row],[Unit]],Products[ID],Products[Trim (s)])*Crops[[#This Row],[Custom Yield Per Bed]]/3600</f>
        <v>1</v>
      </c>
      <c r="CX101" s="37">
        <f>_xlfn.XLOOKUP(Crops[[#This Row],[Crop]]&amp;Crops[[#This Row],[Product]]&amp;Crops[[#This Row],[Unit]],Products[ID],Products[Pack (s)])*Crops[[#This Row],[Custom Yield Per Bed]]/3600</f>
        <v>1.6666666666666666E-2</v>
      </c>
      <c r="CY101" s="37">
        <f>_xlfn.XLOOKUP(Crops[[#This Row],[Crop]]&amp;Crops[[#This Row],[Product]]&amp;Crops[[#This Row],[Unit]],Products[ID],Products[Clean (s)])*Crops[[#This Row],[Custom Yield Per Bed]]/3600</f>
        <v>0</v>
      </c>
      <c r="CZ101" s="37">
        <f>_xlfn.XLOOKUP(Crops[[#This Row],[Crop]]&amp;Crops[[#This Row],[Product]]&amp;Crops[[#This Row],[Unit]],Products[ID],Products[Rehandle (s)])*Crops[[#This Row],[Custom Yield Per Bed]]/3600</f>
        <v>0</v>
      </c>
      <c r="DA101" s="37">
        <f>_xlfn.XLOOKUP(Crops[[#This Row],[Crop]]&amp;Crops[[#This Row],[Product]]&amp;Crops[[#This Row],[Unit]],Products[ID],Products[Market Transport (s)])*Crops[[#This Row],[Custom Yield Per Bed]]/3600</f>
        <v>0.125</v>
      </c>
      <c r="DC101" s="37">
        <f>Crops[[#This Row],[Direct Revenue Per Bed2]]</f>
        <v>240</v>
      </c>
      <c r="DD101" s="173">
        <f>_xlfn.AGGREGATE(9,6,Crops[[#This Row],[Bed Prep]:[Remove Crop Residue]])</f>
        <v>19.218058190724207</v>
      </c>
      <c r="DE101" s="173">
        <f>_xlfn.AGGREGATE(9,6,Crops[[#This Row],[Bed Prep]:[Remove Crop Residue]])-0.75*Crops[[#This Row],[Market &amp; Sell]]</f>
        <v>18.948058190724208</v>
      </c>
      <c r="DF101" s="36">
        <f>Crops[[#This Row],[Direct Revenue Per Bed2]]/Crops[[#This Row],[Direct Time]]</f>
        <v>12.488254412500346</v>
      </c>
      <c r="DG101" s="36">
        <f>_xlfn.XLOOKUP(Crops[[#This Row],[ProductIndex]],Products[ID],Products[Packaging Cost])*(Crops[[#This Row],[Custom Yield Per Bed]]/_xlfn.XLOOKUP(Crops[[#This Row],[ProductIndex]],Products[ID],Products[Units Per Pack]))</f>
        <v>7.6</v>
      </c>
      <c r="DH101" s="36"/>
      <c r="DI101" s="36"/>
      <c r="DJ101" s="36"/>
      <c r="DK101" s="36"/>
      <c r="DL101" s="36"/>
      <c r="DM101" s="33">
        <f>IFERROR(Crops[[#This Row],[Custom Yield Per Bed]]*Crops[[#This Row],[Direct Price]],"")</f>
        <v>240</v>
      </c>
      <c r="DN101" s="36">
        <f>Crops[[#This Row],[Direct Time]]*LaborRate</f>
        <v>480.45145476810518</v>
      </c>
      <c r="DO101" s="36">
        <f>SUM(Crops[[#This Row],[Irrigation Cost]])</f>
        <v>0</v>
      </c>
      <c r="DP101" s="36">
        <f>Crops[[#This Row],[Direct Labor Cost]]+Crops[[#This Row],[Direct Non-Labor Cost]]</f>
        <v>480.45145476810518</v>
      </c>
      <c r="DQ101" s="36">
        <f>Crops[[#This Row],[Direct Revenue Per Bed2]]-Crops[[#This Row],[Direct Total Cost]]</f>
        <v>-240.45145476810518</v>
      </c>
      <c r="DR101" s="36">
        <f>Crops[[#This Row],[Direct Profit]]*BedsPerAcre</f>
        <v>-38472.232762896827</v>
      </c>
      <c r="DS101" s="36">
        <f>Crops[[#This Row],[Direct Profit]]*BedsPerAcre*GrowingDays/Crops[[#This Row],[Days In Field]]</f>
        <v>-104924.27117153681</v>
      </c>
      <c r="DT101" s="36">
        <f>Crops[[#This Row],[Direct Profit]]/MIN(Crops[[#This Row],[Days In Field]],GrowingDays)</f>
        <v>-3.6432038601228056</v>
      </c>
      <c r="DU101" s="33">
        <f>Crops[[#This Row],[Direct Time]] * BedsPerAcre</f>
        <v>3074.8893105158731</v>
      </c>
      <c r="DV101" s="36">
        <f>(Crops[[#This Row],[Direct Revenue Per Bed2]]-Crops[[#This Row],[Direct Non-Labor Cost]])/Crops[[#This Row],[Direct Time]]</f>
        <v>12.488254412500346</v>
      </c>
      <c r="DW101" s="33">
        <f>IFERROR(Crops[[#This Row],[Custom Yield Per Bed]]*Crops[[#This Row],[Rough Wholesale Price]],"")</f>
        <v>144</v>
      </c>
      <c r="DX101" s="36">
        <f>Crops[[#This Row],[Wholesale Time]]*LaborRate</f>
        <v>473.70145476810518</v>
      </c>
      <c r="DY101" s="36">
        <f>SUM(Crops[[#This Row],[Packaging Costs]:[Irrigation Cost]])</f>
        <v>7.6</v>
      </c>
      <c r="DZ101" s="36">
        <f>Crops[[#This Row],[Wholesale Labor Cost]]+Crops[[#This Row],[Wholesale Non-Labor Cost]]</f>
        <v>481.3014547681052</v>
      </c>
      <c r="EA101" s="36">
        <f>Crops[[#This Row],[Wholesale Revenue Per Bed]]-Crops[[#This Row],[Wholesale Total Cost]]</f>
        <v>-337.3014547681052</v>
      </c>
      <c r="EB101" s="36">
        <f>Crops[[#This Row],[Wholesale Profit]]*BedsPerAcre</f>
        <v>-53968.232762896834</v>
      </c>
      <c r="EC101" s="36">
        <f>Crops[[#This Row],[Wholesale Profit]]*BedsPerAcre*GrowingDays/Crops[[#This Row],[Days In Field]]</f>
        <v>-147186.08935335503</v>
      </c>
      <c r="ED101" s="33">
        <f>Crops[[#This Row],[Wholesale Time]] * BedsPerAcre</f>
        <v>3031.6893105158733</v>
      </c>
      <c r="EE101" s="221">
        <f>Crops[[#This Row],[Wholesale Profit]]/MIN(Crops[[#This Row],[Days In Field]],GrowingDays)</f>
        <v>-5.1106281025470484</v>
      </c>
      <c r="EF101" s="36">
        <f>(Crops[[#This Row],[Wholesale Revenue Per Bed]]-Crops[[#This Row],[Wholesale Non-Labor Cost]])/Crops[[#This Row],[Direct Time]]</f>
        <v>7.0974912577710301</v>
      </c>
      <c r="EG101" s="174">
        <f>Crops[[#This Row],[Packaging Costs]]/Crops[[#This Row],[Wholesale Revenue Per Bed]]</f>
        <v>5.2777777777777778E-2</v>
      </c>
      <c r="EH101" s="36" t="str">
        <f>Crops[[#This Row],[Crop]]&amp;Crops[[#This Row],[Product]]&amp;Crops[[#This Row],[Unit]]</f>
        <v>Corn SaladMature HeadLb</v>
      </c>
      <c r="EI101" s="36" t="b">
        <f>_xlfn.XLOOKUP(Crops[[#This Row],[ProductIndex]],Products[ID],Products[Target])</f>
        <v>1</v>
      </c>
      <c r="EJ101" s="36">
        <f>Crops[[#This Row],[Custom Yield Per Bed]]</f>
        <v>20</v>
      </c>
      <c r="EK101" s="210">
        <f>Crops[[#This Row],[Units Per Harvest]]/Crops[[#This Row],[Days Between Harvest]]*7</f>
        <v>5</v>
      </c>
      <c r="EL101" s="210">
        <f>Crops[[#This Row],[Custom Yield Per Bed]]/_xlfn.XLOOKUP(Crops[[#This Row],[ProductIndex]],Products[ID],Products[CSA Portion])</f>
        <v>40</v>
      </c>
      <c r="EM101" s="210">
        <f>Crops[[#This Row],[Units Per Harvest]]/Crops[[#This Row],[Days Between Harvest]]*7/_xlfn.XLOOKUP(Crops[[#This Row],[ProductIndex]],Products[ID],Products[CSA Portion])</f>
        <v>10</v>
      </c>
      <c r="EN101" s="210">
        <f>Crops[[#This Row],[CSA Portions Per Week]]/CSAMembers</f>
        <v>0.2</v>
      </c>
      <c r="EO101" s="210"/>
      <c r="EP101" s="210"/>
      <c r="EQ101" s="210"/>
      <c r="ER101" s="210">
        <f>Crops[[#This Row],[Harvests]]*Crops[[#This Row],[Days Between Harvest]]/7</f>
        <v>4</v>
      </c>
      <c r="ES101" s="217">
        <f>_xlfn.XLOOKUP(Crops[[#This Row],[ProductIndex]],Products[ID],Products[CSA Need])</f>
        <v>0</v>
      </c>
      <c r="ET101" s="217">
        <f>_xlfn.XLOOKUP(Crops[[#This Row],[ProductIndex]],Products[ID],Products[CSA Times])</f>
        <v>0</v>
      </c>
      <c r="EU101" s="208" t="e">
        <f>Crops[[#This Row],[Custom Yield Per Bed]]/(Crops[[#This Row],[CSA Need]]*(_xlfn.XLOOKUP(Crops[[#This Row],[ProductIndex]],Products[ID],Products[CSA Portion])*CSAMembers))</f>
        <v>#DIV/0!</v>
      </c>
      <c r="EV101" s="208">
        <f>_xlfn.XLOOKUP(Crops[[#This Row],[ProductIndex]],Products[ID],Products[CSA Portion])*CSAMembers*Crops[[#This Row],[CSA Need]]/Crops[[#This Row],[Custom Yield Per Bed]]</f>
        <v>0</v>
      </c>
      <c r="EW101" s="208">
        <f>IFERROR(Crops[[#This Row],[Days In Field]]*Crops[[#This Row],[CSA Beds]],"")</f>
        <v>0</v>
      </c>
      <c r="EX101" s="208" t="e">
        <f>Crops[[#This Row],[CSA Bed Days]]*#REF!</f>
        <v>#REF!</v>
      </c>
      <c r="EY101" t="s">
        <v>1415</v>
      </c>
    </row>
    <row r="102" spans="1:155">
      <c r="A10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(Golden) - Mature Head 3X | Field TP Su</v>
      </c>
      <c r="B102" s="179"/>
      <c r="C102" s="1"/>
      <c r="D102" s="1"/>
      <c r="E102" s="1" t="b">
        <v>0</v>
      </c>
      <c r="F102" s="1" t="b">
        <f>IFERROR(IF(ISNUMBER(MATCH(Crops[[#This Row],[Identifier]],BedPlan[Crop], 0)), TRUE, FALSE), FALSE)</f>
        <v>0</v>
      </c>
      <c r="G102" s="1" t="b">
        <f>IFERROR(IF(ISNUMBER(MATCH(Crops[[#This Row],[Identifier]],BedPlan[Crop], 0)), TRUE, FALSE), FALSE)</f>
        <v>0</v>
      </c>
      <c r="H102" s="1"/>
      <c r="I102" t="s">
        <v>66</v>
      </c>
      <c r="J102" t="s">
        <v>380</v>
      </c>
      <c r="K102" t="s">
        <v>186</v>
      </c>
      <c r="M102" t="s">
        <v>441</v>
      </c>
      <c r="N102" t="str">
        <f>Crops[[#This Row],[Crop]]</f>
        <v>Corn Salad</v>
      </c>
      <c r="O102" t="s">
        <v>210</v>
      </c>
      <c r="P102" t="str">
        <f>IF(OR(Crops[[#This Row],[Days in Cells]]="",Crops[[#This Row],[Days in Cells]]=0), "DS","TP")</f>
        <v>TP</v>
      </c>
      <c r="R102" t="b">
        <v>1</v>
      </c>
      <c r="V102" t="str">
        <f xml:space="preserve"> IF(Crops[[#This Row],[Sp]], "Sp", "") &amp; IF(Crops[[#This Row],[Su]], "Su", "") &amp; IF(Crops[[#This Row],[Fa]], "Fa", "") &amp; IF(Crops[[#This Row],[Wi]], "Wi", "") &amp; IF(Crops[[#This Row],[OW]], "Ow","")</f>
        <v>Su</v>
      </c>
      <c r="X102">
        <v>5</v>
      </c>
      <c r="Y102">
        <v>4</v>
      </c>
      <c r="AA102" t="s">
        <v>474</v>
      </c>
      <c r="AB102" t="b">
        <v>1</v>
      </c>
      <c r="AC102">
        <v>0.5</v>
      </c>
      <c r="AD102" s="32">
        <f>IFERROR(12/Crops[[#This Row],[Spacing]]*Crops[[#This Row],[Rows]]*BedLength,"")</f>
        <v>750</v>
      </c>
      <c r="AE102">
        <v>3</v>
      </c>
      <c r="AG102">
        <v>1.1000000000000001</v>
      </c>
      <c r="AH102">
        <f>1</f>
        <v>1</v>
      </c>
      <c r="AI102" s="33">
        <f>IFERROR(Crops[[#This Row],[Plantings Per Bed]]*Crops[[#This Row],[Seeds Per Planting]]*Crops[[#This Row],[Safety Factor]]*Crops[[#This Row],[Seeding Factor]],"")</f>
        <v>2475</v>
      </c>
      <c r="AL102">
        <f>_xlfn.FLOOR.MATH(IFERROR(AVERAGE(Crops[[#This Row],[DTG Lower]:[DTG Upper]]),0))</f>
        <v>0</v>
      </c>
      <c r="AM102">
        <f>SUM(Crops[[#This Row],[Tray 1 Days]],Crops[[#This Row],[Tray 2 Days]],Crops[[#This Row],[Tray 3 Days]])</f>
        <v>30</v>
      </c>
      <c r="AN102" s="32">
        <v>30</v>
      </c>
      <c r="AO102">
        <v>60</v>
      </c>
      <c r="AP102">
        <v>120</v>
      </c>
      <c r="AQ102">
        <f>IFERROR(_xlfn.FLOOR.MATH(AVERAGE(Crops[[#This Row],[DTM Lower]:[DTM Upper]])),"")</f>
        <v>90</v>
      </c>
      <c r="AR102" cm="1">
        <f t="array" ref="AR102">_xlfn.SWITCH(Crops[[#This Row],[Normal Method]],"DS",Crops[[#This Row],[Days to Germination]]+Crops[[#This Row],[DTM]] + IF(Crops[[#This Row],[Days in Cells]]&gt;0,15,0), "TP",Crops[[#This Row],[DTM]]+Crops[[#This Row],[Days in Cells]] + IF(Crops[[#This Row],[Days in Cells]]&lt;=0,20,0), "X", Crops[[#This Row],[DTM]])</f>
        <v>105</v>
      </c>
      <c r="AS102" t="s">
        <v>338</v>
      </c>
      <c r="AT102">
        <f>(Crops[[#This Row],[Harvests]]-1)*Crops[[#This Row],[Days Between Harvest]]+7</f>
        <v>14</v>
      </c>
      <c r="AU102">
        <f>Crops[[#This Row],[STH]]-Crops[[#This Row],[Days in Cells]]+Crops[[#This Row],[Harvest window]]</f>
        <v>89</v>
      </c>
      <c r="AX102">
        <v>128</v>
      </c>
      <c r="AY102">
        <v>30</v>
      </c>
      <c r="AZ102" s="49">
        <f>IFERROR(IF(Crops[[#This Row],[Tray 1 Days]]=0,"",Crops[[#This Row],[Plantings Per Bed]]/Crops[[#This Row],[Tray 1 Size]]*Crops[[#This Row],[Safety Factor]]),"")</f>
        <v>6.4453125000000009</v>
      </c>
      <c r="BC102" t="str">
        <f>IFERROR(IF(Crops[[#This Row],[Tray 2 Days]]=0,"",Crops[[#This Row],[Plantings Per Bed]]/Crops[[#This Row],[Tray 2 Size]]*Crops[[#This Row],[Safety Factor]]),"")</f>
        <v/>
      </c>
      <c r="BE102" s="32" t="str">
        <f>IF(NOT(ISBLANK(Crops[[#This Row],[Tray 3 Size]])), Crops[[#This Row],[Days in Cells Old]]-SUM(Crops[[#This Row],[Tray 1 Days]],Crops[[#This Row],[Tray 2 Days]]), "")</f>
        <v/>
      </c>
      <c r="BF102" s="49" t="str">
        <f>IFERROR(IF(Crops[[#This Row],[Tray 3 Days]]=0,"",Crops[[#This Row],[Plantings Per Bed]]/Crops[[#This Row],[Tray 3 Size]]*Crops[[#This Row],[Safety Factor]]),"")</f>
        <v/>
      </c>
      <c r="BG102" s="33">
        <f>Crops[[#This Row],[Plantings Per Bed]]/16/Crops[[#This Row],[Harvests]]</f>
        <v>23.4375</v>
      </c>
      <c r="BH102" s="33">
        <v>2</v>
      </c>
      <c r="BI102" s="33">
        <v>7</v>
      </c>
      <c r="BJ102" s="33">
        <f>_xlfn.XLOOKUP(Crops[[#This Row],[ProductIndex]],Products[ID],Products[Holding Period])</f>
        <v>7</v>
      </c>
      <c r="BK102" s="33"/>
      <c r="BL102" s="33">
        <f>Crops[[#This Row],[Units Per Harvest]]*Crops[[#This Row],[Harvests]]</f>
        <v>46.875</v>
      </c>
      <c r="BM102" s="35">
        <v>12</v>
      </c>
      <c r="BN102" s="35">
        <f>Crops[[#This Row],[Direct Price]]*0.6</f>
        <v>7.1999999999999993</v>
      </c>
      <c r="BO102" s="35"/>
      <c r="BP102" t="s">
        <v>383</v>
      </c>
      <c r="BQ102">
        <f>Crops[[#This Row],[Custom Yield Per Bed]]*Crops[[#This Row],[Direct Price]]</f>
        <v>562.5</v>
      </c>
      <c r="BR102" t="b">
        <v>1</v>
      </c>
      <c r="BS102" t="b">
        <f>Crops[[#This Row],[Harvests]]&gt;1</f>
        <v>1</v>
      </c>
      <c r="BT102" s="36">
        <f>IFERROR(Crops[[#This Row],[Direct Revenue Per Bed]]/Crops[[#This Row],[Days In Field]],-1)</f>
        <v>6.3202247191011232</v>
      </c>
      <c r="BU102" s="36">
        <f>IFERROR(Crops[[#This Row],[Direct Revenue Per Bed Day]]*GrowingDays*BedsPerAcre,"")</f>
        <v>182022.47191011236</v>
      </c>
      <c r="BV102" s="38">
        <f>LastFrostDate-5*Crops[[#This Row],[Sewing Rel Last Frost]]</f>
        <v>45718</v>
      </c>
      <c r="BW102" s="38">
        <f>Crops[[#This Row],[Target Sewing Date]]+Crops[[#This Row],[Days in Cells]]</f>
        <v>45748</v>
      </c>
      <c r="BX102" s="38">
        <f>Crops[[#This Row],[Target Sewing Date]]+Crops[[#This Row],[STH]]</f>
        <v>45823</v>
      </c>
      <c r="BY102" s="38">
        <f>Crops[[#This Row],[Target Harvest Data]]+Crops[[#This Row],[Harvest window]]</f>
        <v>45837</v>
      </c>
      <c r="BZ102">
        <v>6</v>
      </c>
      <c r="CB102">
        <f>1</f>
        <v>1</v>
      </c>
      <c r="CC102">
        <f>IF(Crops[[#This Row],[Transplanting]]&gt;0, 2, 3)*BedLength/StandardBedLength</f>
        <v>1</v>
      </c>
      <c r="CD102" s="173">
        <f>IF(Crops[[#This Row],[Days in Cells]]&lt;=0,0,Crops[[#This Row],[Plantings Per Bed]]/StartsPerHourSeeding+Crops[[#This Row],[Tray 1 Count]]*5/60)</f>
        <v>3.466796875</v>
      </c>
      <c r="CE102" s="173">
        <f>IF(ISBLANK(Crops[[#This Row],[Tray 2 Days]]),0,Crops[[#This Row],[Plantings Per Bed]]/UpPottingPerHour)+IF(Crops[[#This Row],[Tray 3 Days]]="",0,Crops[[#This Row],[Plantings Per Bed]]/UpPottingPerHour)</f>
        <v>0</v>
      </c>
      <c r="CF102" s="173">
        <f>IFERROR(Crops[[#This Row],[Tray 1 Count]]/HomeStartFlatIrrigationPerHour,0)*Crops[[#This Row],[Days in Cells]]/DaysBetweenStartIrrigation</f>
        <v>0.80566406250000011</v>
      </c>
      <c r="CG102" s="173">
        <f>0.5/16*MAX(Crops[[#This Row],[Tray 1 Count]],Crops[[#This Row],[Tray 2 Count]],Crops[[#This Row],[Tray 3 Count]])</f>
        <v>0.20141601562500003</v>
      </c>
      <c r="CH102" s="173">
        <f>IF(Crops[[#This Row],[Days in Cells]]&gt;0,IF(IF(Crops[[#This Row],[Tray 3 Size]]&gt;0,Crops[[#This Row],[Tray 3 Size]],IF(Crops[[#This Row],[Tray 2 Size]]&gt;0,Crops[[#This Row],[Tray 2 Size]],Crops[[#This Row],[Tray 1 Size]]))&lt;=18,LargeTransplantTime,SmallTransplantTime)*Crops[[#This Row],[Plantings Per Bed]],0)</f>
        <v>3.75</v>
      </c>
      <c r="CI102" s="173"/>
      <c r="CJ102" s="173">
        <f>_xlfn.XLOOKUP(Crops[[#This Row],[Trellis Type]],TrellisMethods[Trellis Type],TrellisMethods[Hours],0,0)</f>
        <v>0</v>
      </c>
      <c r="CK102">
        <f>IF(Crops[[#This Row],[Days in Cells]]&lt;=0,Crops[[#This Row],[Rows]]*1/10,0)*BedLength/50</f>
        <v>0</v>
      </c>
      <c r="CL102" cm="1">
        <f t="array" ref="CL102">_xlfn.SWITCH(Crops[[#This Row],[Irrigation]],"DR", 0.5, "OH", 0.25,0)*BedLength/50</f>
        <v>0</v>
      </c>
      <c r="CM102">
        <f>IF(OR(ISBLANK(Crops[[#This Row],[Row Cover]]),Crops[[#This Row],[Row Cover]]="None"),0,1)*BedLength/50</f>
        <v>0</v>
      </c>
      <c r="CN102" s="173">
        <f>HoursPerWeedingPass*Crops[[#This Row],[Days In Field]]/14*Crops[[#This Row],[Rows]]+1*BedLength/50</f>
        <v>6.2976190476190474</v>
      </c>
      <c r="CO102" s="49"/>
      <c r="CQ102" s="37">
        <f>_xlfn.XLOOKUP(Crops[[#This Row],[Crop]]&amp;Crops[[#This Row],[Product]]&amp;Crops[[#This Row],[Unit]],Products[ID],Products[Marketing (hr)])*Crops[[#This Row],[Direct Revenue Per Bed]]/2000</f>
        <v>0.84375</v>
      </c>
      <c r="CR102" s="37">
        <f>_xlfn.XLOOKUP(Crops[[#This Row],[Crop]]&amp;Crops[[#This Row],[Product]]&amp;Crops[[#This Row],[Unit]],Products[ID],Products[Harvest (s)])*Crops[[#This Row],[Custom Yield Per Bed]]/3600</f>
        <v>1.0416666666666667</v>
      </c>
      <c r="CS102" s="37">
        <f>_xlfn.XLOOKUP(Crops[[#This Row],[Crop]]&amp;Crops[[#This Row],[Product]]&amp;Crops[[#This Row],[Unit]],Products[ID],Products[Bunch (s)])*Crops[[#This Row],[Custom Yield Per Bed]]/3600</f>
        <v>0</v>
      </c>
      <c r="CT102" s="37">
        <f>_xlfn.XLOOKUP(Crops[[#This Row],[Crop]]&amp;Crops[[#This Row],[Product]]&amp;Crops[[#This Row],[Unit]],Products[ID],Products[Haul (s)])*Crops[[#This Row],[Custom Yield Per Bed]]/3600</f>
        <v>0.1171875</v>
      </c>
      <c r="CU102" s="37">
        <f>_xlfn.XLOOKUP(Crops[[#This Row],[Crop]]&amp;Crops[[#This Row],[Product]]&amp;Crops[[#This Row],[Unit]],Products[ID],Products[Wash (s)])*Crops[[#This Row],[Custom Yield Per Bed]]/3600</f>
        <v>6.25</v>
      </c>
      <c r="CV102" s="37">
        <f>_xlfn.XLOOKUP(Crops[[#This Row],[Crop]]&amp;Crops[[#This Row],[Product]]&amp;Crops[[#This Row],[Unit]],Products[ID],Products[Condition (s)])*Crops[[#This Row],[Custom Yield Per Bed]]/3600</f>
        <v>0</v>
      </c>
      <c r="CW102" s="37">
        <f>_xlfn.XLOOKUP(Crops[[#This Row],[Crop]]&amp;Crops[[#This Row],[Product]]&amp;Crops[[#This Row],[Unit]],Products[ID],Products[Trim (s)])*Crops[[#This Row],[Custom Yield Per Bed]]/3600</f>
        <v>2.34375</v>
      </c>
      <c r="CX102" s="37">
        <f>_xlfn.XLOOKUP(Crops[[#This Row],[Crop]]&amp;Crops[[#This Row],[Product]]&amp;Crops[[#This Row],[Unit]],Products[ID],Products[Pack (s)])*Crops[[#This Row],[Custom Yield Per Bed]]/3600</f>
        <v>3.90625E-2</v>
      </c>
      <c r="CY102" s="37">
        <f>_xlfn.XLOOKUP(Crops[[#This Row],[Crop]]&amp;Crops[[#This Row],[Product]]&amp;Crops[[#This Row],[Unit]],Products[ID],Products[Clean (s)])*Crops[[#This Row],[Custom Yield Per Bed]]/3600</f>
        <v>0</v>
      </c>
      <c r="CZ102" s="37">
        <f>_xlfn.XLOOKUP(Crops[[#This Row],[Crop]]&amp;Crops[[#This Row],[Product]]&amp;Crops[[#This Row],[Unit]],Products[ID],Products[Rehandle (s)])*Crops[[#This Row],[Custom Yield Per Bed]]/3600</f>
        <v>0</v>
      </c>
      <c r="DA102" s="37">
        <f>_xlfn.XLOOKUP(Crops[[#This Row],[Crop]]&amp;Crops[[#This Row],[Product]]&amp;Crops[[#This Row],[Unit]],Products[ID],Products[Market Transport (s)])*Crops[[#This Row],[Custom Yield Per Bed]]/3600</f>
        <v>0.29296875</v>
      </c>
      <c r="DC102" s="37">
        <f>Crops[[#This Row],[Direct Revenue Per Bed2]]</f>
        <v>562.5</v>
      </c>
      <c r="DD102" s="173">
        <f>_xlfn.AGGREGATE(9,6,Crops[[#This Row],[Bed Prep]:[Remove Crop Residue]])</f>
        <v>26.449881417410715</v>
      </c>
      <c r="DE102" s="173">
        <f>_xlfn.AGGREGATE(9,6,Crops[[#This Row],[Bed Prep]:[Remove Crop Residue]])-0.75*Crops[[#This Row],[Market &amp; Sell]]</f>
        <v>25.817068917410715</v>
      </c>
      <c r="DF102" s="36">
        <f>Crops[[#This Row],[Direct Revenue Per Bed2]]/Crops[[#This Row],[Direct Time]]</f>
        <v>21.266635986871862</v>
      </c>
      <c r="DG102" s="36">
        <f>_xlfn.XLOOKUP(Crops[[#This Row],[ProductIndex]],Products[ID],Products[Packaging Cost])*(Crops[[#This Row],[Custom Yield Per Bed]]/_xlfn.XLOOKUP(Crops[[#This Row],[ProductIndex]],Products[ID],Products[Units Per Pack]))</f>
        <v>17.8125</v>
      </c>
      <c r="DH102" s="36"/>
      <c r="DI102" s="36"/>
      <c r="DJ102" s="36"/>
      <c r="DK102" s="36"/>
      <c r="DL102" s="36"/>
      <c r="DM102" s="33">
        <f>IFERROR(Crops[[#This Row],[Custom Yield Per Bed]]*Crops[[#This Row],[Direct Price]],"")</f>
        <v>562.5</v>
      </c>
      <c r="DN102" s="36">
        <f>Crops[[#This Row],[Direct Time]]*LaborRate</f>
        <v>661.24703543526789</v>
      </c>
      <c r="DO102" s="36">
        <f>SUM(Crops[[#This Row],[Irrigation Cost]])</f>
        <v>0</v>
      </c>
      <c r="DP102" s="36">
        <f>Crops[[#This Row],[Direct Labor Cost]]+Crops[[#This Row],[Direct Non-Labor Cost]]</f>
        <v>661.24703543526789</v>
      </c>
      <c r="DQ102" s="36">
        <f>Crops[[#This Row],[Direct Revenue Per Bed2]]-Crops[[#This Row],[Direct Total Cost]]</f>
        <v>-98.74703543526789</v>
      </c>
      <c r="DR102" s="36">
        <f>Crops[[#This Row],[Direct Profit]]*BedsPerAcre</f>
        <v>-15799.525669642862</v>
      </c>
      <c r="DS102" s="36">
        <f>Crops[[#This Row],[Direct Profit]]*BedsPerAcre*GrowingDays/Crops[[#This Row],[Days In Field]]</f>
        <v>-31954.096859951853</v>
      </c>
      <c r="DT102" s="36">
        <f>Crops[[#This Row],[Direct Profit]]/MIN(Crops[[#This Row],[Days In Field]],GrowingDays)</f>
        <v>-1.1095172520816616</v>
      </c>
      <c r="DU102" s="33">
        <f>Crops[[#This Row],[Direct Time]] * BedsPerAcre</f>
        <v>4231.9810267857147</v>
      </c>
      <c r="DV102" s="36">
        <f>(Crops[[#This Row],[Direct Revenue Per Bed2]]-Crops[[#This Row],[Direct Non-Labor Cost]])/Crops[[#This Row],[Direct Time]]</f>
        <v>21.266635986871862</v>
      </c>
      <c r="DW102" s="33">
        <f>IFERROR(Crops[[#This Row],[Custom Yield Per Bed]]*Crops[[#This Row],[Rough Wholesale Price]],"")</f>
        <v>337.49999999999994</v>
      </c>
      <c r="DX102" s="36">
        <f>Crops[[#This Row],[Wholesale Time]]*LaborRate</f>
        <v>645.42672293526789</v>
      </c>
      <c r="DY102" s="36">
        <f>SUM(Crops[[#This Row],[Packaging Costs]:[Irrigation Cost]])</f>
        <v>17.8125</v>
      </c>
      <c r="DZ102" s="36">
        <f>Crops[[#This Row],[Wholesale Labor Cost]]+Crops[[#This Row],[Wholesale Non-Labor Cost]]</f>
        <v>663.23922293526789</v>
      </c>
      <c r="EA102" s="36">
        <f>Crops[[#This Row],[Wholesale Revenue Per Bed]]-Crops[[#This Row],[Wholesale Total Cost]]</f>
        <v>-325.73922293526795</v>
      </c>
      <c r="EB102" s="36">
        <f>Crops[[#This Row],[Wholesale Profit]]*BedsPerAcre</f>
        <v>-52118.27566964287</v>
      </c>
      <c r="EC102" s="36">
        <f>Crops[[#This Row],[Wholesale Profit]]*BedsPerAcre*GrowingDays/Crops[[#This Row],[Days In Field]]</f>
        <v>-105407.74854534512</v>
      </c>
      <c r="ED102" s="33">
        <f>Crops[[#This Row],[Wholesale Time]] * BedsPerAcre</f>
        <v>4130.7310267857147</v>
      </c>
      <c r="EE102" s="221">
        <f>Crops[[#This Row],[Wholesale Profit]]/MIN(Crops[[#This Row],[Days In Field]],GrowingDays)</f>
        <v>-3.6599912689355949</v>
      </c>
      <c r="EF102" s="36">
        <f>(Crops[[#This Row],[Wholesale Revenue Per Bed]]-Crops[[#This Row],[Wholesale Non-Labor Cost]])/Crops[[#This Row],[Direct Time]]</f>
        <v>12.086538119205505</v>
      </c>
      <c r="EG102" s="174">
        <f>Crops[[#This Row],[Packaging Costs]]/Crops[[#This Row],[Wholesale Revenue Per Bed]]</f>
        <v>5.2777777777777785E-2</v>
      </c>
      <c r="EH102" s="36" t="str">
        <f>Crops[[#This Row],[Crop]]&amp;Crops[[#This Row],[Product]]&amp;Crops[[#This Row],[Unit]]</f>
        <v>Corn SaladMature HeadLb</v>
      </c>
      <c r="EI102" s="36" t="b">
        <f>_xlfn.XLOOKUP(Crops[[#This Row],[ProductIndex]],Products[ID],Products[Target])</f>
        <v>1</v>
      </c>
      <c r="EJ102" s="36">
        <f>Crops[[#This Row],[Custom Yield Per Bed]]</f>
        <v>46.875</v>
      </c>
      <c r="EK102" s="210">
        <f>Crops[[#This Row],[Units Per Harvest]]/Crops[[#This Row],[Days Between Harvest]]*7</f>
        <v>23.4375</v>
      </c>
      <c r="EL102" s="210">
        <f>Crops[[#This Row],[Custom Yield Per Bed]]/_xlfn.XLOOKUP(Crops[[#This Row],[ProductIndex]],Products[ID],Products[CSA Portion])</f>
        <v>93.75</v>
      </c>
      <c r="EM102" s="210">
        <f>Crops[[#This Row],[Units Per Harvest]]/Crops[[#This Row],[Days Between Harvest]]*7/_xlfn.XLOOKUP(Crops[[#This Row],[ProductIndex]],Products[ID],Products[CSA Portion])</f>
        <v>46.875</v>
      </c>
      <c r="EN102" s="210">
        <f>Crops[[#This Row],[CSA Portions Per Week]]/CSAMembers</f>
        <v>0.9375</v>
      </c>
      <c r="EO102" s="210"/>
      <c r="EP102" s="210"/>
      <c r="EQ102" s="210"/>
      <c r="ER102" s="210">
        <f>Crops[[#This Row],[Harvests]]*Crops[[#This Row],[Days Between Harvest]]/7</f>
        <v>2</v>
      </c>
      <c r="ES102" s="217">
        <f>_xlfn.XLOOKUP(Crops[[#This Row],[ProductIndex]],Products[ID],Products[CSA Need])</f>
        <v>0</v>
      </c>
      <c r="ET102" s="217">
        <f>_xlfn.XLOOKUP(Crops[[#This Row],[ProductIndex]],Products[ID],Products[CSA Times])</f>
        <v>0</v>
      </c>
      <c r="EU102" s="208" t="e">
        <f>Crops[[#This Row],[Custom Yield Per Bed]]/(Crops[[#This Row],[CSA Need]]*(_xlfn.XLOOKUP(Crops[[#This Row],[ProductIndex]],Products[ID],Products[CSA Portion])*CSAMembers))</f>
        <v>#DIV/0!</v>
      </c>
      <c r="EV102" s="208">
        <f>_xlfn.XLOOKUP(Crops[[#This Row],[ProductIndex]],Products[ID],Products[CSA Portion])*CSAMembers*Crops[[#This Row],[CSA Need]]/Crops[[#This Row],[Custom Yield Per Bed]]</f>
        <v>0</v>
      </c>
      <c r="EW102" s="208">
        <f>IFERROR(Crops[[#This Row],[Days In Field]]*Crops[[#This Row],[CSA Beds]],"")</f>
        <v>0</v>
      </c>
      <c r="EX102" s="208" t="e">
        <f>Crops[[#This Row],[CSA Bed Days]]*#REF!</f>
        <v>#REF!</v>
      </c>
      <c r="EY102" t="s">
        <v>1415</v>
      </c>
    </row>
    <row r="103" spans="1:155">
      <c r="A10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(Reseed) - Mature Head 1X | Field DS Sp</v>
      </c>
      <c r="B103" s="179"/>
      <c r="C103" s="1" t="b">
        <v>0</v>
      </c>
      <c r="D103" s="1"/>
      <c r="E103" s="1" t="b">
        <v>0</v>
      </c>
      <c r="F103" s="1" t="b">
        <f>IFERROR(IF(ISNUMBER(MATCH(Crops[[#This Row],[Identifier]],BedPlan[Crop], 0)), TRUE, FALSE), FALSE)</f>
        <v>0</v>
      </c>
      <c r="G103" s="1" t="b">
        <f>IFERROR(IF(ISNUMBER(MATCH(Crops[[#This Row],[Identifier]],BedPlan[Crop], 0)), TRUE, FALSE), FALSE)</f>
        <v>0</v>
      </c>
      <c r="H103" s="1"/>
      <c r="I103" t="s">
        <v>66</v>
      </c>
      <c r="J103" t="s">
        <v>1525</v>
      </c>
      <c r="K103" t="s">
        <v>186</v>
      </c>
      <c r="M103" t="s">
        <v>441</v>
      </c>
      <c r="N103" t="str">
        <f>Crops[[#This Row],[Crop]]</f>
        <v>Corn Salad</v>
      </c>
      <c r="O103" t="s">
        <v>210</v>
      </c>
      <c r="P103" t="str">
        <f>IF(OR(Crops[[#This Row],[Days in Cells]]="",Crops[[#This Row],[Days in Cells]]=0), "DS","TP")</f>
        <v>DS</v>
      </c>
      <c r="Q103" t="b">
        <v>1</v>
      </c>
      <c r="V103" t="str">
        <f xml:space="preserve"> IF(Crops[[#This Row],[Sp]], "Sp", "") &amp; IF(Crops[[#This Row],[Su]], "Su", "") &amp; IF(Crops[[#This Row],[Fa]], "Fa", "") &amp; IF(Crops[[#This Row],[Wi]], "Wi", "") &amp; IF(Crops[[#This Row],[OW]], "Ow","")</f>
        <v>Sp</v>
      </c>
      <c r="X103">
        <v>4</v>
      </c>
      <c r="Y103">
        <v>2</v>
      </c>
      <c r="AB103" t="b">
        <v>1</v>
      </c>
      <c r="AC103">
        <v>0.5</v>
      </c>
      <c r="AD103" s="32">
        <f>IFERROR(12/Crops[[#This Row],[Spacing]]*Crops[[#This Row],[Rows]]*BedLength,"")</f>
        <v>1200</v>
      </c>
      <c r="AE103">
        <v>1</v>
      </c>
      <c r="AI103" s="33">
        <f>IFERROR(Crops[[#This Row],[Plantings Per Bed]]*Crops[[#This Row],[Seeds Per Planting]]*Crops[[#This Row],[Safety Factor]]*Crops[[#This Row],[Seeding Factor]],"")</f>
        <v>0</v>
      </c>
      <c r="AL103">
        <f>_xlfn.FLOOR.MATH(IFERROR(AVERAGE(Crops[[#This Row],[DTG Lower]:[DTG Upper]]),0))</f>
        <v>0</v>
      </c>
      <c r="AM103">
        <f>SUM(Crops[[#This Row],[Tray 1 Days]],Crops[[#This Row],[Tray 2 Days]],Crops[[#This Row],[Tray 3 Days]])</f>
        <v>0</v>
      </c>
      <c r="AN103" s="32"/>
      <c r="AO103">
        <v>60</v>
      </c>
      <c r="AP103">
        <v>120</v>
      </c>
      <c r="AQ103">
        <f>IFERROR(_xlfn.FLOOR.MATH(AVERAGE(Crops[[#This Row],[DTM Lower]:[DTM Upper]])),"")</f>
        <v>90</v>
      </c>
      <c r="AR103" cm="1">
        <f t="array" ref="AR103">_xlfn.SWITCH(Crops[[#This Row],[Normal Method]],"DS",Crops[[#This Row],[Days to Germination]]+Crops[[#This Row],[DTM]] + IF(Crops[[#This Row],[Days in Cells]]&gt;0,15,0), "TP",Crops[[#This Row],[DTM]]+Crops[[#This Row],[Days in Cells]] + IF(Crops[[#This Row],[Days in Cells]]&lt;=0,20,0), "X", Crops[[#This Row],[DTM]])</f>
        <v>90</v>
      </c>
      <c r="AS103" t="s">
        <v>338</v>
      </c>
      <c r="AT103">
        <f>(Crops[[#This Row],[Harvests]]-1)*Crops[[#This Row],[Days Between Harvest]]+7</f>
        <v>14</v>
      </c>
      <c r="AU103">
        <f>Crops[[#This Row],[STH]]-Crops[[#This Row],[Days in Cells]]+Crops[[#This Row],[Harvest window]]</f>
        <v>104</v>
      </c>
      <c r="AZ103" t="str">
        <f>IFERROR(IF(Crops[[#This Row],[Tray 1 Days]]=0,"",Crops[[#This Row],[Plantings Per Bed]]/Crops[[#This Row],[Tray 1 Size]]*Crops[[#This Row],[Safety Factor]]),"")</f>
        <v/>
      </c>
      <c r="BC103" t="str">
        <f>IFERROR(IF(Crops[[#This Row],[Tray 2 Days]]=0,"",Crops[[#This Row],[Plantings Per Bed]]/Crops[[#This Row],[Tray 2 Size]]*Crops[[#This Row],[Safety Factor]]),"")</f>
        <v/>
      </c>
      <c r="BE103" s="32" t="str">
        <f>IF(NOT(ISBLANK(Crops[[#This Row],[Tray 3 Size]])), Crops[[#This Row],[Days in Cells Old]]-SUM(Crops[[#This Row],[Tray 1 Days]],Crops[[#This Row],[Tray 2 Days]]), "")</f>
        <v/>
      </c>
      <c r="BF103" t="str">
        <f>IFERROR(IF(Crops[[#This Row],[Tray 3 Days]]=0,"",Crops[[#This Row],[Plantings Per Bed]]/Crops[[#This Row],[Tray 3 Size]]*Crops[[#This Row],[Safety Factor]]),"")</f>
        <v/>
      </c>
      <c r="BG103" s="33">
        <f>Crops[[#This Row],[Plantings Per Bed]]/16/Crops[[#This Row],[Harvests]]</f>
        <v>37.5</v>
      </c>
      <c r="BH103" s="33">
        <v>2</v>
      </c>
      <c r="BI103" s="33">
        <v>7</v>
      </c>
      <c r="BJ103" s="33">
        <f>_xlfn.XLOOKUP(Crops[[#This Row],[ProductIndex]],Products[ID],Products[Holding Period])</f>
        <v>7</v>
      </c>
      <c r="BK103" s="33"/>
      <c r="BL103" s="33">
        <f>Crops[[#This Row],[Units Per Harvest]]*Crops[[#This Row],[Harvests]]</f>
        <v>75</v>
      </c>
      <c r="BM103" s="35">
        <v>12</v>
      </c>
      <c r="BN103" s="35">
        <f>Crops[[#This Row],[Direct Price]]*0.6</f>
        <v>7.1999999999999993</v>
      </c>
      <c r="BO103" s="35"/>
      <c r="BP103" t="s">
        <v>383</v>
      </c>
      <c r="BQ103">
        <f>Crops[[#This Row],[Custom Yield Per Bed]]*Crops[[#This Row],[Direct Price]]</f>
        <v>900</v>
      </c>
      <c r="BR103" t="b">
        <v>1</v>
      </c>
      <c r="BS103" t="b">
        <f>Crops[[#This Row],[Harvests]]&gt;1</f>
        <v>1</v>
      </c>
      <c r="BT103" s="36">
        <f>IFERROR(Crops[[#This Row],[Direct Revenue Per Bed]]/Crops[[#This Row],[Days In Field]],-1)</f>
        <v>8.6538461538461533</v>
      </c>
      <c r="BU103" s="36">
        <f>IFERROR(Crops[[#This Row],[Direct Revenue Per Bed Day]]*GrowingDays*BedsPerAcre,"")</f>
        <v>249230.76923076922</v>
      </c>
      <c r="BV103" s="38">
        <f>LastFrostDate-5*Crops[[#This Row],[Sewing Rel Last Frost]]</f>
        <v>45683</v>
      </c>
      <c r="BW103" s="38">
        <f>Crops[[#This Row],[Target Sewing Date]]+Crops[[#This Row],[Days in Cells]]</f>
        <v>45683</v>
      </c>
      <c r="BX103" s="38">
        <f>Crops[[#This Row],[Target Sewing Date]]+Crops[[#This Row],[STH]]</f>
        <v>45773</v>
      </c>
      <c r="BY103" s="38">
        <f>Crops[[#This Row],[Target Harvest Data]]+Crops[[#This Row],[Harvest window]]</f>
        <v>45787</v>
      </c>
      <c r="BZ103">
        <v>13</v>
      </c>
      <c r="CB103">
        <f>1</f>
        <v>1</v>
      </c>
      <c r="CC103">
        <f>IF(Crops[[#This Row],[Transplanting]]&gt;0, 2, 3)*BedLength/StandardBedLength</f>
        <v>1.5</v>
      </c>
      <c r="CD103" s="173">
        <f>IF(Crops[[#This Row],[Days in Cells]]&lt;=0,0,Crops[[#This Row],[Plantings Per Bed]]/StartsPerHourSeeding+Crops[[#This Row],[Tray 1 Count]]*5/60)</f>
        <v>0</v>
      </c>
      <c r="CE103" s="173">
        <f>IF(ISBLANK(Crops[[#This Row],[Tray 2 Days]]),0,Crops[[#This Row],[Plantings Per Bed]]/UpPottingPerHour)+IF(Crops[[#This Row],[Tray 3 Days]]="",0,Crops[[#This Row],[Plantings Per Bed]]/UpPottingPerHour)</f>
        <v>0</v>
      </c>
      <c r="CF103" s="173">
        <f>IFERROR(Crops[[#This Row],[Tray 1 Count]]/HomeStartFlatIrrigationPerHour,0)*Crops[[#This Row],[Days in Cells]]/DaysBetweenStartIrrigation</f>
        <v>0</v>
      </c>
      <c r="CG103" s="173">
        <f>0.5/16*MAX(Crops[[#This Row],[Tray 1 Count]],Crops[[#This Row],[Tray 2 Count]],Crops[[#This Row],[Tray 3 Count]])</f>
        <v>0</v>
      </c>
      <c r="CH103" s="173">
        <f>IF(Crops[[#This Row],[Days in Cells]]&gt;0,IF(IF(Crops[[#This Row],[Tray 3 Size]]&gt;0,Crops[[#This Row],[Tray 3 Size]],IF(Crops[[#This Row],[Tray 2 Size]]&gt;0,Crops[[#This Row],[Tray 2 Size]],Crops[[#This Row],[Tray 1 Size]]))&lt;=18,LargeTransplantTime,SmallTransplantTime)*Crops[[#This Row],[Plantings Per Bed]],0)</f>
        <v>0</v>
      </c>
      <c r="CI103" s="173"/>
      <c r="CJ103" s="173">
        <f>_xlfn.XLOOKUP(Crops[[#This Row],[Trellis Type]],TrellisMethods[Trellis Type],TrellisMethods[Hours],0,0)</f>
        <v>0</v>
      </c>
      <c r="CK103">
        <f>IF(Crops[[#This Row],[Days in Cells]]&lt;=0,Crops[[#This Row],[Rows]]*1/10,0)*BedLength/50</f>
        <v>0.4</v>
      </c>
      <c r="CL103" cm="1">
        <f t="array" ref="CL103">_xlfn.SWITCH(Crops[[#This Row],[Irrigation]],"DR", 0.5, "OH", 0.25,0)*BedLength/50</f>
        <v>0</v>
      </c>
      <c r="CM103">
        <f>IF(OR(ISBLANK(Crops[[#This Row],[Row Cover]]),Crops[[#This Row],[Row Cover]]="None"),0,1)*BedLength/50</f>
        <v>0</v>
      </c>
      <c r="CN103" s="173">
        <f>HoursPerWeedingPass*Crops[[#This Row],[Days In Field]]/14*Crops[[#This Row],[Rows]]+1*BedLength/50</f>
        <v>5.9523809523809517</v>
      </c>
      <c r="CO103" s="49"/>
      <c r="CQ103" s="37">
        <f>_xlfn.XLOOKUP(Crops[[#This Row],[Crop]]&amp;Crops[[#This Row],[Product]]&amp;Crops[[#This Row],[Unit]],Products[ID],Products[Marketing (hr)])*Crops[[#This Row],[Direct Revenue Per Bed]]/2000</f>
        <v>1.35</v>
      </c>
      <c r="CR103" s="37">
        <f>_xlfn.XLOOKUP(Crops[[#This Row],[Crop]]&amp;Crops[[#This Row],[Product]]&amp;Crops[[#This Row],[Unit]],Products[ID],Products[Harvest (s)])*Crops[[#This Row],[Custom Yield Per Bed]]/3600</f>
        <v>1.6666666666666667</v>
      </c>
      <c r="CS103" s="37">
        <f>_xlfn.XLOOKUP(Crops[[#This Row],[Crop]]&amp;Crops[[#This Row],[Product]]&amp;Crops[[#This Row],[Unit]],Products[ID],Products[Bunch (s)])*Crops[[#This Row],[Custom Yield Per Bed]]/3600</f>
        <v>0</v>
      </c>
      <c r="CT103" s="37">
        <f>_xlfn.XLOOKUP(Crops[[#This Row],[Crop]]&amp;Crops[[#This Row],[Product]]&amp;Crops[[#This Row],[Unit]],Products[ID],Products[Haul (s)])*Crops[[#This Row],[Custom Yield Per Bed]]/3600</f>
        <v>0.1875</v>
      </c>
      <c r="CU103" s="37">
        <f>_xlfn.XLOOKUP(Crops[[#This Row],[Crop]]&amp;Crops[[#This Row],[Product]]&amp;Crops[[#This Row],[Unit]],Products[ID],Products[Wash (s)])*Crops[[#This Row],[Custom Yield Per Bed]]/3600</f>
        <v>10</v>
      </c>
      <c r="CV103" s="37">
        <f>_xlfn.XLOOKUP(Crops[[#This Row],[Crop]]&amp;Crops[[#This Row],[Product]]&amp;Crops[[#This Row],[Unit]],Products[ID],Products[Condition (s)])*Crops[[#This Row],[Custom Yield Per Bed]]/3600</f>
        <v>0</v>
      </c>
      <c r="CW103" s="37">
        <f>_xlfn.XLOOKUP(Crops[[#This Row],[Crop]]&amp;Crops[[#This Row],[Product]]&amp;Crops[[#This Row],[Unit]],Products[ID],Products[Trim (s)])*Crops[[#This Row],[Custom Yield Per Bed]]/3600</f>
        <v>3.75</v>
      </c>
      <c r="CX103" s="37">
        <f>_xlfn.XLOOKUP(Crops[[#This Row],[Crop]]&amp;Crops[[#This Row],[Product]]&amp;Crops[[#This Row],[Unit]],Products[ID],Products[Pack (s)])*Crops[[#This Row],[Custom Yield Per Bed]]/3600</f>
        <v>6.25E-2</v>
      </c>
      <c r="CY103" s="37">
        <f>_xlfn.XLOOKUP(Crops[[#This Row],[Crop]]&amp;Crops[[#This Row],[Product]]&amp;Crops[[#This Row],[Unit]],Products[ID],Products[Clean (s)])*Crops[[#This Row],[Custom Yield Per Bed]]/3600</f>
        <v>0</v>
      </c>
      <c r="CZ103" s="37">
        <f>_xlfn.XLOOKUP(Crops[[#This Row],[Crop]]&amp;Crops[[#This Row],[Product]]&amp;Crops[[#This Row],[Unit]],Products[ID],Products[Rehandle (s)])*Crops[[#This Row],[Custom Yield Per Bed]]/3600</f>
        <v>0</v>
      </c>
      <c r="DA103" s="37">
        <f>_xlfn.XLOOKUP(Crops[[#This Row],[Crop]]&amp;Crops[[#This Row],[Product]]&amp;Crops[[#This Row],[Unit]],Products[ID],Products[Market Transport (s)])*Crops[[#This Row],[Custom Yield Per Bed]]/3600</f>
        <v>0.46875</v>
      </c>
      <c r="DC103" s="37">
        <f>Crops[[#This Row],[Direct Revenue Per Bed2]]</f>
        <v>900</v>
      </c>
      <c r="DD103" s="173">
        <f>_xlfn.AGGREGATE(9,6,Crops[[#This Row],[Bed Prep]:[Remove Crop Residue]])</f>
        <v>25.337797619047617</v>
      </c>
      <c r="DE103" s="173">
        <f>_xlfn.AGGREGATE(9,6,Crops[[#This Row],[Bed Prep]:[Remove Crop Residue]])-0.75*Crops[[#This Row],[Market &amp; Sell]]</f>
        <v>24.325297619047618</v>
      </c>
      <c r="DF103" s="36">
        <f>Crops[[#This Row],[Direct Revenue Per Bed2]]/Crops[[#This Row],[Direct Time]]</f>
        <v>35.520056381041876</v>
      </c>
      <c r="DG103" s="36">
        <f>_xlfn.XLOOKUP(Crops[[#This Row],[ProductIndex]],Products[ID],Products[Packaging Cost])*(Crops[[#This Row],[Custom Yield Per Bed]]/_xlfn.XLOOKUP(Crops[[#This Row],[ProductIndex]],Products[ID],Products[Units Per Pack]))</f>
        <v>28.5</v>
      </c>
      <c r="DH103" s="36"/>
      <c r="DI103" s="36"/>
      <c r="DJ103" s="36"/>
      <c r="DK103" s="36"/>
      <c r="DL103" s="36"/>
      <c r="DM103" s="33">
        <f>IFERROR(Crops[[#This Row],[Custom Yield Per Bed]]*Crops[[#This Row],[Direct Price]],"")</f>
        <v>900</v>
      </c>
      <c r="DN103" s="36">
        <f>Crops[[#This Row],[Direct Time]]*LaborRate</f>
        <v>633.44494047619037</v>
      </c>
      <c r="DO103" s="36">
        <f>SUM(Crops[[#This Row],[Irrigation Cost]])</f>
        <v>0</v>
      </c>
      <c r="DP103" s="36">
        <f>Crops[[#This Row],[Direct Labor Cost]]+Crops[[#This Row],[Direct Non-Labor Cost]]</f>
        <v>633.44494047619037</v>
      </c>
      <c r="DQ103" s="36">
        <f>Crops[[#This Row],[Direct Revenue Per Bed2]]-Crops[[#This Row],[Direct Total Cost]]</f>
        <v>266.55505952380963</v>
      </c>
      <c r="DR103" s="36">
        <f>Crops[[#This Row],[Direct Profit]]*BedsPerAcre</f>
        <v>42648.809523809541</v>
      </c>
      <c r="DS103" s="36">
        <f>Crops[[#This Row],[Direct Profit]]*BedsPerAcre*GrowingDays/Crops[[#This Row],[Days In Field]]</f>
        <v>73815.247252747286</v>
      </c>
      <c r="DT103" s="36">
        <f>Crops[[#This Row],[Direct Profit]]/MIN(Crops[[#This Row],[Days In Field]],GrowingDays)</f>
        <v>2.5630294184981697</v>
      </c>
      <c r="DU103" s="33">
        <f>Crops[[#This Row],[Direct Time]] * BedsPerAcre</f>
        <v>4054.0476190476188</v>
      </c>
      <c r="DV103" s="36">
        <f>(Crops[[#This Row],[Direct Revenue Per Bed2]]-Crops[[#This Row],[Direct Non-Labor Cost]])/Crops[[#This Row],[Direct Time]]</f>
        <v>35.520056381041876</v>
      </c>
      <c r="DW103" s="33">
        <f>IFERROR(Crops[[#This Row],[Custom Yield Per Bed]]*Crops[[#This Row],[Rough Wholesale Price]],"")</f>
        <v>540</v>
      </c>
      <c r="DX103" s="36">
        <f>Crops[[#This Row],[Wholesale Time]]*LaborRate</f>
        <v>608.13244047619048</v>
      </c>
      <c r="DY103" s="36">
        <f>SUM(Crops[[#This Row],[Packaging Costs]:[Irrigation Cost]])</f>
        <v>28.5</v>
      </c>
      <c r="DZ103" s="36">
        <f>Crops[[#This Row],[Wholesale Labor Cost]]+Crops[[#This Row],[Wholesale Non-Labor Cost]]</f>
        <v>636.63244047619048</v>
      </c>
      <c r="EA103" s="36">
        <f>Crops[[#This Row],[Wholesale Revenue Per Bed]]-Crops[[#This Row],[Wholesale Total Cost]]</f>
        <v>-96.632440476190482</v>
      </c>
      <c r="EB103" s="36">
        <f>Crops[[#This Row],[Wholesale Profit]]*BedsPerAcre</f>
        <v>-15461.190476190477</v>
      </c>
      <c r="EC103" s="36">
        <f>Crops[[#This Row],[Wholesale Profit]]*BedsPerAcre*GrowingDays/Crops[[#This Row],[Days In Field]]</f>
        <v>-26759.752747252751</v>
      </c>
      <c r="ED103" s="33">
        <f>Crops[[#This Row],[Wholesale Time]] * BedsPerAcre</f>
        <v>3892.0476190476188</v>
      </c>
      <c r="EE103" s="221">
        <f>Crops[[#This Row],[Wholesale Profit]]/MIN(Crops[[#This Row],[Days In Field]],GrowingDays)</f>
        <v>-0.92915808150183155</v>
      </c>
      <c r="EF103" s="36">
        <f>(Crops[[#This Row],[Wholesale Revenue Per Bed]]-Crops[[#This Row],[Wholesale Non-Labor Cost]])/Crops[[#This Row],[Direct Time]]</f>
        <v>20.187232043225467</v>
      </c>
      <c r="EG103" s="174">
        <f>Crops[[#This Row],[Packaging Costs]]/Crops[[#This Row],[Wholesale Revenue Per Bed]]</f>
        <v>5.2777777777777778E-2</v>
      </c>
      <c r="EH103" s="36" t="str">
        <f>Crops[[#This Row],[Crop]]&amp;Crops[[#This Row],[Product]]&amp;Crops[[#This Row],[Unit]]</f>
        <v>Corn SaladMature HeadLb</v>
      </c>
      <c r="EI103" s="36" t="b">
        <f>_xlfn.XLOOKUP(Crops[[#This Row],[ProductIndex]],Products[ID],Products[Target])</f>
        <v>1</v>
      </c>
      <c r="EJ103" s="36">
        <f>Crops[[#This Row],[Custom Yield Per Bed]]</f>
        <v>75</v>
      </c>
      <c r="EK103" s="210">
        <f>Crops[[#This Row],[Units Per Harvest]]/Crops[[#This Row],[Days Between Harvest]]*7</f>
        <v>37.5</v>
      </c>
      <c r="EL103" s="210">
        <f>Crops[[#This Row],[Custom Yield Per Bed]]/_xlfn.XLOOKUP(Crops[[#This Row],[ProductIndex]],Products[ID],Products[CSA Portion])</f>
        <v>150</v>
      </c>
      <c r="EM103" s="210">
        <f>Crops[[#This Row],[Units Per Harvest]]/Crops[[#This Row],[Days Between Harvest]]*7/_xlfn.XLOOKUP(Crops[[#This Row],[ProductIndex]],Products[ID],Products[CSA Portion])</f>
        <v>75</v>
      </c>
      <c r="EN103" s="210">
        <f>Crops[[#This Row],[CSA Portions Per Week]]/CSAMembers</f>
        <v>1.5</v>
      </c>
      <c r="EO103" s="210"/>
      <c r="EP103" s="210"/>
      <c r="EQ103" s="210"/>
      <c r="ER103" s="210">
        <f>Crops[[#This Row],[Harvests]]*Crops[[#This Row],[Days Between Harvest]]/7</f>
        <v>2</v>
      </c>
      <c r="ES103" s="217">
        <f>_xlfn.XLOOKUP(Crops[[#This Row],[ProductIndex]],Products[ID],Products[CSA Need])</f>
        <v>0</v>
      </c>
      <c r="ET103" s="217">
        <f>_xlfn.XLOOKUP(Crops[[#This Row],[ProductIndex]],Products[ID],Products[CSA Times])</f>
        <v>0</v>
      </c>
      <c r="EU103" s="208" t="e">
        <f>Crops[[#This Row],[Custom Yield Per Bed]]/(Crops[[#This Row],[CSA Need]]*(_xlfn.XLOOKUP(Crops[[#This Row],[ProductIndex]],Products[ID],Products[CSA Portion])*CSAMembers))</f>
        <v>#DIV/0!</v>
      </c>
      <c r="EV103" s="208">
        <f>_xlfn.XLOOKUP(Crops[[#This Row],[ProductIndex]],Products[ID],Products[CSA Portion])*CSAMembers*Crops[[#This Row],[CSA Need]]/Crops[[#This Row],[Custom Yield Per Bed]]</f>
        <v>0</v>
      </c>
      <c r="EW103" s="208">
        <f>IFERROR(Crops[[#This Row],[Days In Field]]*Crops[[#This Row],[CSA Beds]],"")</f>
        <v>0</v>
      </c>
      <c r="EX103" s="208" t="e">
        <f>Crops[[#This Row],[CSA Bed Days]]*#REF!</f>
        <v>#REF!</v>
      </c>
      <c r="EY103" t="s">
        <v>1415</v>
      </c>
    </row>
    <row r="104" spans="1:155">
      <c r="A10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Cosmos - Cut Flower 3X | Field DS </v>
      </c>
      <c r="B104" s="189"/>
      <c r="C104" s="1" t="b">
        <v>1</v>
      </c>
      <c r="D104" s="1"/>
      <c r="E104" s="1" t="b">
        <v>0</v>
      </c>
      <c r="F104" s="1" t="b">
        <f>IFERROR(IF(ISNUMBER(MATCH(Crops[[#This Row],[Identifier]],BedPlan[Crop], 0)), TRUE, FALSE), FALSE)</f>
        <v>0</v>
      </c>
      <c r="G104" s="1" t="b">
        <f>IFERROR(IF(ISNUMBER(MATCH(Crops[[#This Row],[Identifier]],BedPlan[Crop], 0)), TRUE, FALSE), FALSE)</f>
        <v>0</v>
      </c>
      <c r="H104" s="1"/>
      <c r="I104" t="s">
        <v>67</v>
      </c>
      <c r="J104" t="s">
        <v>145</v>
      </c>
      <c r="K104" t="s">
        <v>187</v>
      </c>
      <c r="M104" t="s">
        <v>406</v>
      </c>
      <c r="N104" t="str">
        <f>Crops[[#This Row],[Crop]]</f>
        <v>Cosmos</v>
      </c>
      <c r="O104" t="s">
        <v>210</v>
      </c>
      <c r="P104" t="str">
        <f>IF(OR(Crops[[#This Row],[Days in Cells]]="",Crops[[#This Row],[Days in Cells]]=0), "DS","TP")</f>
        <v>DS</v>
      </c>
      <c r="V104" t="str">
        <f xml:space="preserve"> IF(Crops[[#This Row],[Sp]], "Sp", "") &amp; IF(Crops[[#This Row],[Su]], "Su", "") &amp; IF(Crops[[#This Row],[Fa]], "Fa", "") &amp; IF(Crops[[#This Row],[Wi]], "Wi", "") &amp; IF(Crops[[#This Row],[OW]], "Ow","")</f>
        <v/>
      </c>
      <c r="X104">
        <v>3</v>
      </c>
      <c r="Y104">
        <v>12</v>
      </c>
      <c r="AA104" t="s">
        <v>474</v>
      </c>
      <c r="AB104" t="b">
        <v>0</v>
      </c>
      <c r="AC104">
        <v>5</v>
      </c>
      <c r="AD104" s="32">
        <f>IFERROR(12/Crops[[#This Row],[Spacing]]*Crops[[#This Row],[Rows]]*BedLength,"")</f>
        <v>150</v>
      </c>
      <c r="AE104">
        <v>3</v>
      </c>
      <c r="AG104">
        <f>IF(Crops[[#This Row],[Custom Safety Factor]]="",PlantingSafetyFactor,Crops[[#This Row],[Custom Safety Factor]])</f>
        <v>1.3</v>
      </c>
      <c r="AH104">
        <f>1</f>
        <v>1</v>
      </c>
      <c r="AI104" s="33">
        <f>IFERROR(Crops[[#This Row],[Plantings Per Bed]]*Crops[[#This Row],[Seeds Per Planting]]*Crops[[#This Row],[Safety Factor]]*Crops[[#This Row],[Seeding Factor]],"")</f>
        <v>585</v>
      </c>
      <c r="AJ104">
        <v>7</v>
      </c>
      <c r="AK104">
        <v>10</v>
      </c>
      <c r="AL104">
        <f>_xlfn.FLOOR.MATH(IFERROR(AVERAGE(Crops[[#This Row],[DTG Lower]:[DTG Upper]]),0))</f>
        <v>8</v>
      </c>
      <c r="AM104">
        <f>SUM(Crops[[#This Row],[Tray 1 Days]],Crops[[#This Row],[Tray 2 Days]],Crops[[#This Row],[Tray 3 Days]])</f>
        <v>0</v>
      </c>
      <c r="AN104" s="32"/>
      <c r="AO104">
        <v>75</v>
      </c>
      <c r="AP104">
        <v>90</v>
      </c>
      <c r="AQ104">
        <f>IFERROR(_xlfn.FLOOR.MATH(AVERAGE(Crops[[#This Row],[DTM Lower]:[DTM Upper]])),"")</f>
        <v>82</v>
      </c>
      <c r="AR104" cm="1">
        <f t="array" ref="AR104">_xlfn.SWITCH(Crops[[#This Row],[Normal Method]],"DS",Crops[[#This Row],[Days to Germination]]+Crops[[#This Row],[DTM]] + IF(Crops[[#This Row],[Days in Cells]]&gt;0,15,0), "TP",Crops[[#This Row],[DTM]]+Crops[[#This Row],[Days in Cells]] + IF(Crops[[#This Row],[Days in Cells]]&lt;=0,20,0), "X", Crops[[#This Row],[DTM]])</f>
        <v>90</v>
      </c>
      <c r="AS104" t="s">
        <v>338</v>
      </c>
      <c r="AT104">
        <f>(Crops[[#This Row],[Harvests]]-1)*Crops[[#This Row],[Days Between Harvest]]+7</f>
        <v>70</v>
      </c>
      <c r="AU104">
        <f>Crops[[#This Row],[STH]]-Crops[[#This Row],[Days in Cells]]+Crops[[#This Row],[Harvest window]]</f>
        <v>160</v>
      </c>
      <c r="AW104">
        <v>128</v>
      </c>
      <c r="AZ104" t="str">
        <f>IFERROR(IF(Crops[[#This Row],[Tray 1 Days]]=0,"",Crops[[#This Row],[Plantings Per Bed]]/Crops[[#This Row],[Tray 1 Size]]*Crops[[#This Row],[Safety Factor]]),"")</f>
        <v/>
      </c>
      <c r="BC104" t="str">
        <f>IFERROR(IF(Crops[[#This Row],[Tray 2 Days]]=0,"",Crops[[#This Row],[Plantings Per Bed]]/Crops[[#This Row],[Tray 2 Size]]*Crops[[#This Row],[Safety Factor]]),"")</f>
        <v/>
      </c>
      <c r="BE104" s="32" t="str">
        <f>IF(NOT(ISBLANK(Crops[[#This Row],[Tray 3 Size]])), Crops[[#This Row],[Days in Cells Old]]-SUM(Crops[[#This Row],[Tray 1 Days]],Crops[[#This Row],[Tray 2 Days]]), "")</f>
        <v/>
      </c>
      <c r="BF104" t="str">
        <f>IFERROR(IF(Crops[[#This Row],[Tray 3 Days]]=0,"",Crops[[#This Row],[Plantings Per Bed]]/Crops[[#This Row],[Tray 3 Size]]*Crops[[#This Row],[Safety Factor]]),"")</f>
        <v/>
      </c>
      <c r="BG104" s="33">
        <f>Crops[[#This Row],[Plantings Per Bed]]*2</f>
        <v>300</v>
      </c>
      <c r="BH104" s="33">
        <v>10</v>
      </c>
      <c r="BI104" s="33">
        <v>7</v>
      </c>
      <c r="BJ104" s="33">
        <f>_xlfn.XLOOKUP(Crops[[#This Row],[ProductIndex]],Products[ID],Products[Holding Period])</f>
        <v>0</v>
      </c>
      <c r="BK104" s="33"/>
      <c r="BL104" s="33">
        <f>Crops[[#This Row],[Units Per Harvest]]*Crops[[#This Row],[Harvests]]</f>
        <v>3000</v>
      </c>
      <c r="BM104" s="35">
        <v>1</v>
      </c>
      <c r="BN104" s="35">
        <f>Crops[[#This Row],[Direct Price]]*0.6</f>
        <v>0.6</v>
      </c>
      <c r="BO104" s="35"/>
      <c r="BP104" t="s">
        <v>213</v>
      </c>
      <c r="BQ104">
        <f>Crops[[#This Row],[Custom Yield Per Bed]]*Crops[[#This Row],[Direct Price]]</f>
        <v>3000</v>
      </c>
      <c r="BR104" t="b">
        <v>0</v>
      </c>
      <c r="BS104" t="b">
        <f>Crops[[#This Row],[Harvests]]&gt;1</f>
        <v>1</v>
      </c>
      <c r="BT104" s="36">
        <f>IFERROR(Crops[[#This Row],[Direct Revenue Per Bed]]/Crops[[#This Row],[Days In Field]],-1)</f>
        <v>18.75</v>
      </c>
      <c r="BU104" s="36">
        <f>IFERROR(Crops[[#This Row],[Direct Revenue Per Bed Day]]*GrowingDays*BedsPerAcre,"")</f>
        <v>540000</v>
      </c>
      <c r="BV104" s="38">
        <f>LastFrostDate-5*Crops[[#This Row],[Sewing Rel Last Frost]]</f>
        <v>45748</v>
      </c>
      <c r="BW104" s="38">
        <f>Crops[[#This Row],[Target Sewing Date]]+Crops[[#This Row],[Days in Cells]]</f>
        <v>45748</v>
      </c>
      <c r="BX104" s="38">
        <f>Crops[[#This Row],[Target Sewing Date]]+Crops[[#This Row],[STH]]</f>
        <v>45838</v>
      </c>
      <c r="BY104" s="38">
        <f>Crops[[#This Row],[Target Harvest Data]]+Crops[[#This Row],[Harvest window]]</f>
        <v>45908</v>
      </c>
      <c r="BZ104">
        <v>0</v>
      </c>
      <c r="CB104">
        <f>1</f>
        <v>1</v>
      </c>
      <c r="CC104">
        <f>IF(Crops[[#This Row],[Transplanting]]&gt;0, 2, 3)*BedLength/StandardBedLength</f>
        <v>1.5</v>
      </c>
      <c r="CD104" s="173">
        <f>IF(Crops[[#This Row],[Days in Cells]]&lt;=0,0,Crops[[#This Row],[Plantings Per Bed]]/StartsPerHourSeeding+Crops[[#This Row],[Tray 1 Count]]*5/60)</f>
        <v>0</v>
      </c>
      <c r="CE104" s="173">
        <f>IF(ISBLANK(Crops[[#This Row],[Tray 2 Days]]),0,Crops[[#This Row],[Plantings Per Bed]]/UpPottingPerHour)+IF(Crops[[#This Row],[Tray 3 Days]]="",0,Crops[[#This Row],[Plantings Per Bed]]/UpPottingPerHour)</f>
        <v>0</v>
      </c>
      <c r="CF104" s="173">
        <f>IFERROR(Crops[[#This Row],[Tray 1 Count]]/HomeStartFlatIrrigationPerHour,0)*Crops[[#This Row],[Days in Cells]]/DaysBetweenStartIrrigation</f>
        <v>0</v>
      </c>
      <c r="CG104" s="173">
        <f>0.5/16*MAX(Crops[[#This Row],[Tray 1 Count]],Crops[[#This Row],[Tray 2 Count]],Crops[[#This Row],[Tray 3 Count]])</f>
        <v>0</v>
      </c>
      <c r="CH104" s="173">
        <f>IF(Crops[[#This Row],[Days in Cells]]&gt;0,IF(IF(Crops[[#This Row],[Tray 3 Size]]&gt;0,Crops[[#This Row],[Tray 3 Size]],IF(Crops[[#This Row],[Tray 2 Size]]&gt;0,Crops[[#This Row],[Tray 2 Size]],Crops[[#This Row],[Tray 1 Size]]))&lt;=18,LargeTransplantTime,SmallTransplantTime)*Crops[[#This Row],[Plantings Per Bed]],0)</f>
        <v>0</v>
      </c>
      <c r="CI104" s="173"/>
      <c r="CJ104" s="173">
        <f>_xlfn.XLOOKUP(Crops[[#This Row],[Trellis Type]],TrellisMethods[Trellis Type],TrellisMethods[Hours],0,0)</f>
        <v>0</v>
      </c>
      <c r="CK104">
        <f>IF(Crops[[#This Row],[Days in Cells]]&lt;=0,Crops[[#This Row],[Rows]]*1/10,0)*BedLength/50</f>
        <v>0.3</v>
      </c>
      <c r="CL104" cm="1">
        <f t="array" ref="CL104">_xlfn.SWITCH(Crops[[#This Row],[Irrigation]],"DR", 0.5, "OH", 0.25,0)*BedLength/50</f>
        <v>0</v>
      </c>
      <c r="CM104">
        <f>IF(OR(ISBLANK(Crops[[#This Row],[Row Cover]]),Crops[[#This Row],[Row Cover]]="None"),0,1)*BedLength/50</f>
        <v>0</v>
      </c>
      <c r="CN104" s="173">
        <f>HoursPerWeedingPass*Crops[[#This Row],[Days In Field]]/14*Crops[[#This Row],[Rows]]+1*BedLength/50</f>
        <v>6.7142857142857135</v>
      </c>
      <c r="CQ104" s="37">
        <f>_xlfn.XLOOKUP(Crops[[#This Row],[Crop]]&amp;Crops[[#This Row],[Product]]&amp;Crops[[#This Row],[Unit]],Products[ID],Products[Marketing (hr)])*Crops[[#This Row],[Direct Revenue Per Bed]]/2000</f>
        <v>9</v>
      </c>
      <c r="CR104" s="37">
        <f>_xlfn.XLOOKUP(Crops[[#This Row],[Crop]]&amp;Crops[[#This Row],[Product]]&amp;Crops[[#This Row],[Unit]],Products[ID],Products[Harvest (s)])*Crops[[#This Row],[Custom Yield Per Bed]]/3600</f>
        <v>12.5</v>
      </c>
      <c r="CS104" s="37">
        <f>_xlfn.XLOOKUP(Crops[[#This Row],[Crop]]&amp;Crops[[#This Row],[Product]]&amp;Crops[[#This Row],[Unit]],Products[ID],Products[Bunch (s)])*Crops[[#This Row],[Custom Yield Per Bed]]/3600</f>
        <v>0</v>
      </c>
      <c r="CT104" s="37">
        <f>_xlfn.XLOOKUP(Crops[[#This Row],[Crop]]&amp;Crops[[#This Row],[Product]]&amp;Crops[[#This Row],[Unit]],Products[ID],Products[Haul (s)])*Crops[[#This Row],[Custom Yield Per Bed]]/3600</f>
        <v>1.25</v>
      </c>
      <c r="CU104" s="37">
        <f>_xlfn.XLOOKUP(Crops[[#This Row],[Crop]]&amp;Crops[[#This Row],[Product]]&amp;Crops[[#This Row],[Unit]],Products[ID],Products[Wash (s)])*Crops[[#This Row],[Custom Yield Per Bed]]/3600</f>
        <v>0</v>
      </c>
      <c r="CV104" s="37">
        <f>_xlfn.XLOOKUP(Crops[[#This Row],[Crop]]&amp;Crops[[#This Row],[Product]]&amp;Crops[[#This Row],[Unit]],Products[ID],Products[Condition (s)])*Crops[[#This Row],[Custom Yield Per Bed]]/3600</f>
        <v>0</v>
      </c>
      <c r="CW104" s="37">
        <f>_xlfn.XLOOKUP(Crops[[#This Row],[Crop]]&amp;Crops[[#This Row],[Product]]&amp;Crops[[#This Row],[Unit]],Products[ID],Products[Trim (s)])*Crops[[#This Row],[Custom Yield Per Bed]]/3600</f>
        <v>2.5</v>
      </c>
      <c r="CX104" s="37">
        <f>_xlfn.XLOOKUP(Crops[[#This Row],[Crop]]&amp;Crops[[#This Row],[Product]]&amp;Crops[[#This Row],[Unit]],Products[ID],Products[Pack (s)])*Crops[[#This Row],[Custom Yield Per Bed]]/3600</f>
        <v>2.5</v>
      </c>
      <c r="CY104" s="37">
        <f>_xlfn.XLOOKUP(Crops[[#This Row],[Crop]]&amp;Crops[[#This Row],[Product]]&amp;Crops[[#This Row],[Unit]],Products[ID],Products[Clean (s)])*Crops[[#This Row],[Custom Yield Per Bed]]/3600</f>
        <v>0</v>
      </c>
      <c r="CZ104" s="37">
        <f>_xlfn.XLOOKUP(Crops[[#This Row],[Crop]]&amp;Crops[[#This Row],[Product]]&amp;Crops[[#This Row],[Unit]],Products[ID],Products[Rehandle (s)])*Crops[[#This Row],[Custom Yield Per Bed]]/3600</f>
        <v>0</v>
      </c>
      <c r="DA104" s="37">
        <f>_xlfn.XLOOKUP(Crops[[#This Row],[Crop]]&amp;Crops[[#This Row],[Product]]&amp;Crops[[#This Row],[Unit]],Products[ID],Products[Market Transport (s)])*Crops[[#This Row],[Custom Yield Per Bed]]/3600</f>
        <v>3.125</v>
      </c>
      <c r="DC104" s="37">
        <f>Crops[[#This Row],[Direct Revenue Per Bed2]]</f>
        <v>3000</v>
      </c>
      <c r="DD104" s="173">
        <f>_xlfn.AGGREGATE(9,6,Crops[[#This Row],[Bed Prep]:[Remove Crop Residue]])</f>
        <v>39.389285714285712</v>
      </c>
      <c r="DE104" s="173">
        <f>_xlfn.AGGREGATE(9,6,Crops[[#This Row],[Bed Prep]:[Remove Crop Residue]])-0.75*Crops[[#This Row],[Market &amp; Sell]]</f>
        <v>32.639285714285712</v>
      </c>
      <c r="DF104" s="36">
        <f>Crops[[#This Row],[Direct Revenue Per Bed2]]/Crops[[#This Row],[Direct Time]]</f>
        <v>76.162843412820749</v>
      </c>
      <c r="DG104" s="36">
        <f>_xlfn.XLOOKUP(Crops[[#This Row],[ProductIndex]],Products[ID],Products[Packaging Cost])*(Crops[[#This Row],[Custom Yield Per Bed]]/_xlfn.XLOOKUP(Crops[[#This Row],[ProductIndex]],Products[ID],Products[Units Per Pack]))</f>
        <v>200</v>
      </c>
      <c r="DH104" s="36"/>
      <c r="DI104" s="36"/>
      <c r="DJ104" s="36"/>
      <c r="DK104" s="36"/>
      <c r="DL104" s="36"/>
      <c r="DM104" s="33">
        <f>IFERROR(Crops[[#This Row],[Custom Yield Per Bed]]*Crops[[#This Row],[Direct Price]],"")</f>
        <v>3000</v>
      </c>
      <c r="DN104" s="36">
        <f>Crops[[#This Row],[Direct Time]]*LaborRate</f>
        <v>984.73214285714278</v>
      </c>
      <c r="DO104" s="36">
        <f>SUM(Crops[[#This Row],[Irrigation Cost]])</f>
        <v>0</v>
      </c>
      <c r="DP104" s="36">
        <f>Crops[[#This Row],[Direct Labor Cost]]+Crops[[#This Row],[Direct Non-Labor Cost]]</f>
        <v>984.73214285714278</v>
      </c>
      <c r="DQ104" s="36">
        <f>Crops[[#This Row],[Direct Revenue Per Bed2]]-Crops[[#This Row],[Direct Total Cost]]</f>
        <v>2015.2678571428573</v>
      </c>
      <c r="DR104" s="36">
        <f>Crops[[#This Row],[Direct Profit]]*BedsPerAcre</f>
        <v>322442.85714285716</v>
      </c>
      <c r="DS104" s="36">
        <f>Crops[[#This Row],[Direct Profit]]*BedsPerAcre*GrowingDays/Crops[[#This Row],[Days In Field]]</f>
        <v>362748.21428571432</v>
      </c>
      <c r="DT104" s="36">
        <f>Crops[[#This Row],[Direct Profit]]/MIN(Crops[[#This Row],[Days In Field]],GrowingDays)</f>
        <v>12.595424107142858</v>
      </c>
      <c r="DU104" s="36">
        <f>Crops[[#This Row],[Direct Time]] * BedsPerAcre</f>
        <v>6302.2857142857138</v>
      </c>
      <c r="DV104" s="36">
        <f>(Crops[[#This Row],[Direct Revenue Per Bed2]]-Crops[[#This Row],[Direct Non-Labor Cost]])/Crops[[#This Row],[Direct Time]]</f>
        <v>76.162843412820749</v>
      </c>
      <c r="DW104" s="33">
        <f>IFERROR(Crops[[#This Row],[Custom Yield Per Bed]]*Crops[[#This Row],[Rough Wholesale Price]],"")</f>
        <v>1800</v>
      </c>
      <c r="DX104" s="36">
        <f>Crops[[#This Row],[Wholesale Time]]*LaborRate</f>
        <v>815.98214285714278</v>
      </c>
      <c r="DY104" s="36">
        <f>SUM(Crops[[#This Row],[Packaging Costs]:[Irrigation Cost]])</f>
        <v>200</v>
      </c>
      <c r="DZ104" s="36">
        <f>Crops[[#This Row],[Wholesale Labor Cost]]+Crops[[#This Row],[Wholesale Non-Labor Cost]]</f>
        <v>1015.9821428571428</v>
      </c>
      <c r="EA104" s="36">
        <f>Crops[[#This Row],[Wholesale Revenue Per Bed]]-Crops[[#This Row],[Wholesale Total Cost]]</f>
        <v>784.01785714285722</v>
      </c>
      <c r="EB104" s="36">
        <f>Crops[[#This Row],[Wholesale Profit]]*BedsPerAcre</f>
        <v>125442.85714285716</v>
      </c>
      <c r="EC104" s="36">
        <f>Crops[[#This Row],[Wholesale Profit]]*BedsPerAcre*GrowingDays/Crops[[#This Row],[Days In Field]]</f>
        <v>141123.21428571429</v>
      </c>
      <c r="ED104" s="36">
        <f>Crops[[#This Row],[Wholesale Time]] * BedsPerAcre</f>
        <v>5222.2857142857138</v>
      </c>
      <c r="EE104" s="36">
        <f>Crops[[#This Row],[Wholesale Profit]]/MIN(Crops[[#This Row],[Days In Field]],GrowingDays)</f>
        <v>4.9001116071428577</v>
      </c>
      <c r="EF104" s="36">
        <f>(Crops[[#This Row],[Wholesale Revenue Per Bed]]-Crops[[#This Row],[Wholesale Non-Labor Cost]])/Crops[[#This Row],[Direct Time]]</f>
        <v>40.620183153504399</v>
      </c>
      <c r="EG104" s="174">
        <f>Crops[[#This Row],[Packaging Costs]]/Crops[[#This Row],[Wholesale Revenue Per Bed]]</f>
        <v>0.1111111111111111</v>
      </c>
      <c r="EH104" s="36" t="str">
        <f>Crops[[#This Row],[Crop]]&amp;Crops[[#This Row],[Product]]&amp;Crops[[#This Row],[Unit]]</f>
        <v>CosmosCut FlowerStem</v>
      </c>
      <c r="EI104" s="36" t="b">
        <f>_xlfn.XLOOKUP(Crops[[#This Row],[ProductIndex]],Products[ID],Products[Target])</f>
        <v>1</v>
      </c>
      <c r="EJ104" s="36">
        <f>Crops[[#This Row],[Custom Yield Per Bed]]</f>
        <v>3000</v>
      </c>
      <c r="EK104" s="210">
        <f>Crops[[#This Row],[Units Per Harvest]]/Crops[[#This Row],[Days Between Harvest]]*7</f>
        <v>300</v>
      </c>
      <c r="EL104" s="210" t="e">
        <f>Crops[[#This Row],[Custom Yield Per Bed]]/_xlfn.XLOOKUP(Crops[[#This Row],[ProductIndex]],Products[ID],Products[CSA Portion])</f>
        <v>#DIV/0!</v>
      </c>
      <c r="EM104" s="210" t="e">
        <f>Crops[[#This Row],[Units Per Harvest]]/Crops[[#This Row],[Days Between Harvest]]*7/_xlfn.XLOOKUP(Crops[[#This Row],[ProductIndex]],Products[ID],Products[CSA Portion])</f>
        <v>#DIV/0!</v>
      </c>
      <c r="EN104" s="210" t="e">
        <f>Crops[[#This Row],[CSA Portions Per Week]]/CSAMembers</f>
        <v>#DIV/0!</v>
      </c>
      <c r="EO104" s="210"/>
      <c r="EP104" s="210"/>
      <c r="EQ104" s="36"/>
      <c r="ER104" s="36">
        <f>Crops[[#This Row],[Harvests]]*Crops[[#This Row],[Days Between Harvest]]/7</f>
        <v>10</v>
      </c>
      <c r="ES104" s="208">
        <f>_xlfn.XLOOKUP(Crops[[#This Row],[ProductIndex]],Products[ID],Products[CSA Need])</f>
        <v>0</v>
      </c>
      <c r="ET104" s="208">
        <f>_xlfn.XLOOKUP(Crops[[#This Row],[ProductIndex]],Products[ID],Products[CSA Times])</f>
        <v>0</v>
      </c>
      <c r="EU104" s="208" t="e">
        <f>Crops[[#This Row],[Custom Yield Per Bed]]/(Crops[[#This Row],[CSA Need]]*(_xlfn.XLOOKUP(Crops[[#This Row],[ProductIndex]],Products[ID],Products[CSA Portion])*CSAMembers))</f>
        <v>#DIV/0!</v>
      </c>
      <c r="EV104" s="208">
        <f>_xlfn.XLOOKUP(Crops[[#This Row],[ProductIndex]],Products[ID],Products[CSA Portion])*CSAMembers*Crops[[#This Row],[CSA Need]]/Crops[[#This Row],[Custom Yield Per Bed]]</f>
        <v>0</v>
      </c>
      <c r="EW104" s="208">
        <f>IFERROR(Crops[[#This Row],[Days In Field]]*Crops[[#This Row],[CSA Beds]],"")</f>
        <v>0</v>
      </c>
      <c r="EX104" s="208" t="e">
        <f>Crops[[#This Row],[CSA Bed Days]]*#REF!</f>
        <v>#REF!</v>
      </c>
      <c r="EY104">
        <v>0</v>
      </c>
    </row>
    <row r="105" spans="1:155">
      <c r="A105"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Cover Mix - Mature Stem 1X | Field DS Ow</v>
      </c>
      <c r="B105" s="29"/>
      <c r="C105" s="1"/>
      <c r="D105" s="1"/>
      <c r="E105" s="1" t="b">
        <v>0</v>
      </c>
      <c r="F105" s="1" t="b">
        <f>IFERROR(IF(ISNUMBER(MATCH(Crops[[#This Row],[Identifier]],BedPlan[Crop], 0)), TRUE, FALSE), FALSE)</f>
        <v>0</v>
      </c>
      <c r="G105" s="1" t="b">
        <f>IFERROR(IF(ISNUMBER(MATCH(Crops[[#This Row],[Identifier]],BedPlan[Crop], 0)), TRUE, FALSE), FALSE)</f>
        <v>0</v>
      </c>
      <c r="H105" s="1" t="b">
        <v>1</v>
      </c>
      <c r="I105" s="29" t="s">
        <v>68</v>
      </c>
      <c r="J105" t="s">
        <v>145</v>
      </c>
      <c r="K105" t="s">
        <v>181</v>
      </c>
      <c r="N105" t="str">
        <f>Crops[[#This Row],[Crop]]</f>
        <v>Cover Mix</v>
      </c>
      <c r="O105" t="s">
        <v>210</v>
      </c>
      <c r="P105" t="str">
        <f>IF(OR(Crops[[#This Row],[Days in Cells]]="",Crops[[#This Row],[Days in Cells]]=0), "DS","TP")</f>
        <v>DS</v>
      </c>
      <c r="U105" t="s">
        <v>144</v>
      </c>
      <c r="V105" t="str">
        <f xml:space="preserve"> IF(Crops[[#This Row],[Sp]], "Sp", "") &amp; IF(Crops[[#This Row],[Su]], "Su", "") &amp; IF(Crops[[#This Row],[Fa]], "Fa", "") &amp; IF(Crops[[#This Row],[Wi]], "Wi", "") &amp; IF(Crops[[#This Row],[OW]], "Ow","")</f>
        <v>Ow</v>
      </c>
      <c r="X105">
        <v>12</v>
      </c>
      <c r="Y105">
        <v>0.2</v>
      </c>
      <c r="AD105" s="32">
        <f>IFERROR(12/Crops[[#This Row],[Spacing]]*Crops[[#This Row],[Rows]]*BedLength,"")</f>
        <v>36000</v>
      </c>
      <c r="AE105">
        <v>1</v>
      </c>
      <c r="AG105">
        <f>IF(Crops[[#This Row],[Custom Safety Factor]]="",PlantingSafetyFactor,Crops[[#This Row],[Custom Safety Factor]])</f>
        <v>1.3</v>
      </c>
      <c r="AH105">
        <f>1</f>
        <v>1</v>
      </c>
      <c r="AI105" s="33">
        <f>IFERROR(Crops[[#This Row],[Plantings Per Bed]]*Crops[[#This Row],[Seeds Per Planting]]*Crops[[#This Row],[Safety Factor]]*Crops[[#This Row],[Seeding Factor]],"")</f>
        <v>46800</v>
      </c>
      <c r="AL105">
        <f>_xlfn.FLOOR.MATH(IFERROR(AVERAGE(Crops[[#This Row],[DTG Lower]:[DTG Upper]]),0))</f>
        <v>0</v>
      </c>
      <c r="AM105">
        <f>SUM(Crops[[#This Row],[Tray 1 Days]],Crops[[#This Row],[Tray 2 Days]],Crops[[#This Row],[Tray 3 Days]])</f>
        <v>0</v>
      </c>
      <c r="AP105">
        <v>180</v>
      </c>
      <c r="AQ105">
        <f>IFERROR(_xlfn.FLOOR.MATH(AVERAGE(Crops[[#This Row],[DTM Lower]:[DTM Upper]])),"")</f>
        <v>180</v>
      </c>
      <c r="AR105" cm="1">
        <f t="array" ref="AR105">_xlfn.SWITCH(Crops[[#This Row],[Normal Method]],"DS",Crops[[#This Row],[Days to Germination]]+Crops[[#This Row],[DTM]] + IF(Crops[[#This Row],[Days in Cells]]&gt;0,15,0), "TP",Crops[[#This Row],[DTM]]+Crops[[#This Row],[Days in Cells]] + IF(Crops[[#This Row],[Days in Cells]]&lt;=0,20,0), "X", Crops[[#This Row],[DTM]])</f>
        <v>180</v>
      </c>
      <c r="AS105" t="s">
        <v>338</v>
      </c>
      <c r="AT105">
        <f>(Crops[[#This Row],[Harvests]]-1)*Crops[[#This Row],[Days Between Harvest]]+7</f>
        <v>7</v>
      </c>
      <c r="AU105">
        <f>Crops[[#This Row],[STH]]-Crops[[#This Row],[Days in Cells]]+Crops[[#This Row],[Harvest window]]</f>
        <v>187</v>
      </c>
      <c r="AW105">
        <v>128</v>
      </c>
      <c r="AZ105" t="str">
        <f>IFERROR(IF(Crops[[#This Row],[Tray 1 Days]]=0,"",Crops[[#This Row],[Plantings Per Bed]]/Crops[[#This Row],[Tray 1 Size]]*Crops[[#This Row],[Safety Factor]]),"")</f>
        <v/>
      </c>
      <c r="BC105" t="str">
        <f>IFERROR(IF(Crops[[#This Row],[Tray 2 Days]]=0,"",Crops[[#This Row],[Plantings Per Bed]]/Crops[[#This Row],[Tray 2 Size]]*Crops[[#This Row],[Safety Factor]]),"")</f>
        <v/>
      </c>
      <c r="BE105" s="32" t="str">
        <f>IF(NOT(ISBLANK(Crops[[#This Row],[Tray 3 Size]])), Crops[[#This Row],[Days in Cells Old]]-SUM(Crops[[#This Row],[Tray 1 Days]],Crops[[#This Row],[Tray 2 Days]]), "")</f>
        <v/>
      </c>
      <c r="BF105" t="str">
        <f>IFERROR(IF(Crops[[#This Row],[Tray 3 Days]]=0,"",Crops[[#This Row],[Plantings Per Bed]]/Crops[[#This Row],[Tray 3 Size]]*Crops[[#This Row],[Safety Factor]]),"")</f>
        <v/>
      </c>
      <c r="BG105" s="33">
        <v>0</v>
      </c>
      <c r="BH105" s="33">
        <v>0</v>
      </c>
      <c r="BI105" s="33">
        <v>0</v>
      </c>
      <c r="BJ105" s="33" t="e">
        <f>_xlfn.XLOOKUP(Crops[[#This Row],[ProductIndex]],Products[ID],Products[Holding Period])</f>
        <v>#N/A</v>
      </c>
      <c r="BK105" s="33"/>
      <c r="BL105" s="33">
        <f>Crops[[#This Row],[Units Per Harvest]]*Crops[[#This Row],[Harvests]]</f>
        <v>0</v>
      </c>
      <c r="BM105" s="35"/>
      <c r="BN105" s="35">
        <f>Crops[[#This Row],[Direct Price]]*0.6</f>
        <v>0</v>
      </c>
      <c r="BO105" s="35"/>
      <c r="BQ105" s="193">
        <f>Crops[[#This Row],[Custom Yield Per Bed]]*Crops[[#This Row],[Direct Price]]</f>
        <v>0</v>
      </c>
      <c r="BR105" s="193" t="b">
        <v>0</v>
      </c>
      <c r="BS105" t="b">
        <f>Crops[[#This Row],[Harvests]]&gt;1</f>
        <v>0</v>
      </c>
      <c r="BT105" s="36">
        <f>IFERROR(Crops[[#This Row],[Direct Revenue Per Bed]]/Crops[[#This Row],[Days In Field]],-1)</f>
        <v>0</v>
      </c>
      <c r="BU105" s="36">
        <f>IFERROR(Crops[[#This Row],[Direct Revenue Per Bed Day]]*GrowingDays*BedsPerAcre,"")</f>
        <v>0</v>
      </c>
      <c r="BV105" s="38">
        <f>LastFrostDate-5*Crops[[#This Row],[Sewing Rel Last Frost]]</f>
        <v>45748</v>
      </c>
      <c r="BW105" s="38">
        <f>Crops[[#This Row],[Target Sewing Date]]+Crops[[#This Row],[Days in Cells]]</f>
        <v>45748</v>
      </c>
      <c r="BX105" s="38">
        <f>Crops[[#This Row],[Target Sewing Date]]+Crops[[#This Row],[STH]]</f>
        <v>45928</v>
      </c>
      <c r="BY105" s="38">
        <f>Crops[[#This Row],[Target Harvest Data]]+Crops[[#This Row],[Harvest window]]</f>
        <v>45935</v>
      </c>
      <c r="CB105">
        <f>1</f>
        <v>1</v>
      </c>
      <c r="CC105">
        <f>IF(Crops[[#This Row],[Transplanting]]&gt;0, 2, 3)*BedLength/StandardBedLength</f>
        <v>1.5</v>
      </c>
      <c r="CD105" s="173">
        <f>IF(Crops[[#This Row],[Days in Cells]]&lt;=0,0,Crops[[#This Row],[Plantings Per Bed]]/StartsPerHourSeeding+Crops[[#This Row],[Tray 1 Count]]*5/60)</f>
        <v>0</v>
      </c>
      <c r="CE105" s="173">
        <f>IF(ISBLANK(Crops[[#This Row],[Tray 2 Days]]),0,Crops[[#This Row],[Plantings Per Bed]]/UpPottingPerHour)+IF(Crops[[#This Row],[Tray 3 Days]]="",0,Crops[[#This Row],[Plantings Per Bed]]/UpPottingPerHour)</f>
        <v>0</v>
      </c>
      <c r="CF105" s="173">
        <f>IFERROR(Crops[[#This Row],[Tray 1 Count]]/HomeStartFlatIrrigationPerHour,0)*Crops[[#This Row],[Days in Cells]]/DaysBetweenStartIrrigation</f>
        <v>0</v>
      </c>
      <c r="CG105" s="173">
        <f>0.5/16*MAX(Crops[[#This Row],[Tray 1 Count]],Crops[[#This Row],[Tray 2 Count]],Crops[[#This Row],[Tray 3 Count]])</f>
        <v>0</v>
      </c>
      <c r="CH105" s="173">
        <f>IF(Crops[[#This Row],[Days in Cells]]&gt;0,IF(IF(Crops[[#This Row],[Tray 3 Size]]&gt;0,Crops[[#This Row],[Tray 3 Size]],IF(Crops[[#This Row],[Tray 2 Size]]&gt;0,Crops[[#This Row],[Tray 2 Size]],Crops[[#This Row],[Tray 1 Size]]))&lt;=18,LargeTransplantTime,SmallTransplantTime)*Crops[[#This Row],[Plantings Per Bed]],0)</f>
        <v>0</v>
      </c>
      <c r="CI105" s="173"/>
      <c r="CJ105" s="173">
        <f>_xlfn.XLOOKUP(Crops[[#This Row],[Trellis Type]],TrellisMethods[Trellis Type],TrellisMethods[Hours],0,0)</f>
        <v>0</v>
      </c>
      <c r="CK105">
        <f>IF(Crops[[#This Row],[Days in Cells]]&lt;=0,Crops[[#This Row],[Rows]]*1/10,0)*BedLength/50</f>
        <v>1.2</v>
      </c>
      <c r="CL105" cm="1">
        <f t="array" ref="CL105">_xlfn.SWITCH(Crops[[#This Row],[Irrigation]],"DR", 0.5, "OH", 0.25,0)*BedLength/50</f>
        <v>0</v>
      </c>
      <c r="CM105">
        <f>IF(OR(ISBLANK(Crops[[#This Row],[Row Cover]]),Crops[[#This Row],[Row Cover]]="None"),0,1)*BedLength/50</f>
        <v>0</v>
      </c>
      <c r="CN105" s="173">
        <f>HoursPerWeedingPass*Crops[[#This Row],[Days In Field]]/14*Crops[[#This Row],[Rows]]+1*BedLength/50</f>
        <v>27.714285714285708</v>
      </c>
      <c r="CQ105" s="37" t="e">
        <f>_xlfn.XLOOKUP(Crops[[#This Row],[Crop]]&amp;Crops[[#This Row],[Product]]&amp;Crops[[#This Row],[Unit]],Products[ID],Products[Marketing (hr)])*Crops[[#This Row],[Direct Revenue Per Bed]]/2000</f>
        <v>#N/A</v>
      </c>
      <c r="CR105" s="37" t="e">
        <f>_xlfn.XLOOKUP(Crops[[#This Row],[Crop]]&amp;Crops[[#This Row],[Product]]&amp;Crops[[#This Row],[Unit]],Products[ID],Products[Harvest (s)])*Crops[[#This Row],[Custom Yield Per Bed]]/3600</f>
        <v>#N/A</v>
      </c>
      <c r="CS105" s="37" t="e">
        <f>_xlfn.XLOOKUP(Crops[[#This Row],[Crop]]&amp;Crops[[#This Row],[Product]]&amp;Crops[[#This Row],[Unit]],Products[ID],Products[Bunch (s)])*Crops[[#This Row],[Custom Yield Per Bed]]/3600</f>
        <v>#N/A</v>
      </c>
      <c r="CT105" s="37" t="e">
        <f>_xlfn.XLOOKUP(Crops[[#This Row],[Crop]]&amp;Crops[[#This Row],[Product]]&amp;Crops[[#This Row],[Unit]],Products[ID],Products[Haul (s)])*Crops[[#This Row],[Custom Yield Per Bed]]/3600</f>
        <v>#N/A</v>
      </c>
      <c r="CU105" s="37" t="e">
        <f>_xlfn.XLOOKUP(Crops[[#This Row],[Crop]]&amp;Crops[[#This Row],[Product]]&amp;Crops[[#This Row],[Unit]],Products[ID],Products[Wash (s)])*Crops[[#This Row],[Custom Yield Per Bed]]/3600</f>
        <v>#N/A</v>
      </c>
      <c r="CV105" s="37" t="e">
        <f>_xlfn.XLOOKUP(Crops[[#This Row],[Crop]]&amp;Crops[[#This Row],[Product]]&amp;Crops[[#This Row],[Unit]],Products[ID],Products[Condition (s)])*Crops[[#This Row],[Custom Yield Per Bed]]/3600</f>
        <v>#N/A</v>
      </c>
      <c r="CW105" s="37" t="e">
        <f>_xlfn.XLOOKUP(Crops[[#This Row],[Crop]]&amp;Crops[[#This Row],[Product]]&amp;Crops[[#This Row],[Unit]],Products[ID],Products[Trim (s)])*Crops[[#This Row],[Custom Yield Per Bed]]/3600</f>
        <v>#N/A</v>
      </c>
      <c r="CX105" s="37" t="e">
        <f>_xlfn.XLOOKUP(Crops[[#This Row],[Crop]]&amp;Crops[[#This Row],[Product]]&amp;Crops[[#This Row],[Unit]],Products[ID],Products[Pack (s)])*Crops[[#This Row],[Custom Yield Per Bed]]/3600</f>
        <v>#N/A</v>
      </c>
      <c r="CY105" s="37" t="e">
        <f>_xlfn.XLOOKUP(Crops[[#This Row],[Crop]]&amp;Crops[[#This Row],[Product]]&amp;Crops[[#This Row],[Unit]],Products[ID],Products[Clean (s)])*Crops[[#This Row],[Custom Yield Per Bed]]/3600</f>
        <v>#N/A</v>
      </c>
      <c r="CZ105" s="37" t="e">
        <f>_xlfn.XLOOKUP(Crops[[#This Row],[Crop]]&amp;Crops[[#This Row],[Product]]&amp;Crops[[#This Row],[Unit]],Products[ID],Products[Rehandle (s)])*Crops[[#This Row],[Custom Yield Per Bed]]/3600</f>
        <v>#N/A</v>
      </c>
      <c r="DA105" s="37" t="e">
        <f>_xlfn.XLOOKUP(Crops[[#This Row],[Crop]]&amp;Crops[[#This Row],[Product]]&amp;Crops[[#This Row],[Unit]],Products[ID],Products[Market Transport (s)])*Crops[[#This Row],[Custom Yield Per Bed]]/3600</f>
        <v>#N/A</v>
      </c>
      <c r="DC105" s="37">
        <f>Crops[[#This Row],[Direct Revenue Per Bed2]]</f>
        <v>0</v>
      </c>
      <c r="DD105" s="173">
        <f>_xlfn.AGGREGATE(9,6,Crops[[#This Row],[Bed Prep]:[Remove Crop Residue]])</f>
        <v>30.414285714285707</v>
      </c>
      <c r="DE105" s="173" t="e">
        <f>_xlfn.AGGREGATE(9,6,Crops[[#This Row],[Bed Prep]:[Remove Crop Residue]])-0.75*Crops[[#This Row],[Market &amp; Sell]]</f>
        <v>#N/A</v>
      </c>
      <c r="DF105" s="36">
        <f>Crops[[#This Row],[Direct Revenue Per Bed2]]/Crops[[#This Row],[Direct Time]]</f>
        <v>0</v>
      </c>
      <c r="DG105" s="36" t="e">
        <f>_xlfn.XLOOKUP(Crops[[#This Row],[ProductIndex]],Products[ID],Products[Packaging Cost])*(Crops[[#This Row],[Custom Yield Per Bed]]/_xlfn.XLOOKUP(Crops[[#This Row],[ProductIndex]],Products[ID],Products[Units Per Pack]))</f>
        <v>#N/A</v>
      </c>
      <c r="DH105" s="36"/>
      <c r="DI105" s="36"/>
      <c r="DJ105" s="36"/>
      <c r="DK105" s="36"/>
      <c r="DL105" s="36"/>
      <c r="DM105" s="33">
        <f>IFERROR(Crops[[#This Row],[Custom Yield Per Bed]]*Crops[[#This Row],[Direct Price]],"")</f>
        <v>0</v>
      </c>
      <c r="DN105" s="36">
        <f>Crops[[#This Row],[Direct Time]]*LaborRate</f>
        <v>760.35714285714266</v>
      </c>
      <c r="DO105" s="36">
        <f>SUM(Crops[[#This Row],[Irrigation Cost]])</f>
        <v>0</v>
      </c>
      <c r="DP105" s="36">
        <f>Crops[[#This Row],[Direct Labor Cost]]+Crops[[#This Row],[Direct Non-Labor Cost]]</f>
        <v>760.35714285714266</v>
      </c>
      <c r="DQ105" s="36">
        <f>Crops[[#This Row],[Direct Revenue Per Bed2]]-Crops[[#This Row],[Direct Total Cost]]</f>
        <v>-760.35714285714266</v>
      </c>
      <c r="DR105" s="36">
        <f>Crops[[#This Row],[Direct Profit]]*BedsPerAcre</f>
        <v>-121657.14285714283</v>
      </c>
      <c r="DS105" s="36">
        <f>Crops[[#This Row],[Direct Profit]]*BedsPerAcre*GrowingDays/Crops[[#This Row],[Days In Field]]</f>
        <v>-117103.13216195567</v>
      </c>
      <c r="DT105" s="36">
        <f>Crops[[#This Row],[Direct Profit]]/MIN(Crops[[#This Row],[Days In Field]],GrowingDays)</f>
        <v>-4.224206349206348</v>
      </c>
      <c r="DU105" s="36">
        <f>Crops[[#This Row],[Direct Time]] * BedsPerAcre</f>
        <v>4866.2857142857129</v>
      </c>
      <c r="DV105" s="36">
        <f>(Crops[[#This Row],[Direct Revenue Per Bed2]]-Crops[[#This Row],[Direct Non-Labor Cost]])/Crops[[#This Row],[Direct Time]]</f>
        <v>0</v>
      </c>
      <c r="DW105" s="33">
        <f>IFERROR(Crops[[#This Row],[Custom Yield Per Bed]]*Crops[[#This Row],[Rough Wholesale Price]],"")</f>
        <v>0</v>
      </c>
      <c r="DX105" s="36" t="e">
        <f>Crops[[#This Row],[Wholesale Time]]*LaborRate</f>
        <v>#N/A</v>
      </c>
      <c r="DY105" s="36" t="e">
        <f>SUM(Crops[[#This Row],[Packaging Costs]:[Irrigation Cost]])</f>
        <v>#N/A</v>
      </c>
      <c r="DZ105" s="36" t="e">
        <f>Crops[[#This Row],[Wholesale Labor Cost]]+Crops[[#This Row],[Wholesale Non-Labor Cost]]</f>
        <v>#N/A</v>
      </c>
      <c r="EA105" s="36" t="e">
        <f>Crops[[#This Row],[Wholesale Revenue Per Bed]]-Crops[[#This Row],[Wholesale Total Cost]]</f>
        <v>#N/A</v>
      </c>
      <c r="EB105" s="36" t="e">
        <f>Crops[[#This Row],[Wholesale Profit]]*BedsPerAcre</f>
        <v>#N/A</v>
      </c>
      <c r="EC105" s="36" t="e">
        <f>Crops[[#This Row],[Wholesale Profit]]*BedsPerAcre*GrowingDays/Crops[[#This Row],[Days In Field]]</f>
        <v>#N/A</v>
      </c>
      <c r="ED105" s="36" t="e">
        <f>Crops[[#This Row],[Wholesale Time]] * BedsPerAcre</f>
        <v>#N/A</v>
      </c>
      <c r="EE105" s="36" t="e">
        <f>Crops[[#This Row],[Wholesale Profit]]/MIN(Crops[[#This Row],[Days In Field]],GrowingDays)</f>
        <v>#N/A</v>
      </c>
      <c r="EF105" s="36" t="e">
        <f>(Crops[[#This Row],[Wholesale Revenue Per Bed]]-Crops[[#This Row],[Wholesale Non-Labor Cost]])/Crops[[#This Row],[Direct Time]]</f>
        <v>#N/A</v>
      </c>
      <c r="EG105" s="174" t="e">
        <f>Crops[[#This Row],[Packaging Costs]]/Crops[[#This Row],[Wholesale Revenue Per Bed]]</f>
        <v>#N/A</v>
      </c>
      <c r="EH105" s="36" t="str">
        <f>Crops[[#This Row],[Crop]]&amp;Crops[[#This Row],[Product]]&amp;Crops[[#This Row],[Unit]]</f>
        <v>Cover MixMature Stem</v>
      </c>
      <c r="EI105" s="36" t="e">
        <f>_xlfn.XLOOKUP(Crops[[#This Row],[ProductIndex]],Products[ID],Products[Target])</f>
        <v>#N/A</v>
      </c>
      <c r="EJ105" s="36">
        <f>Crops[[#This Row],[Custom Yield Per Bed]]</f>
        <v>0</v>
      </c>
      <c r="EK105" s="210" t="e">
        <f>Crops[[#This Row],[Units Per Harvest]]/Crops[[#This Row],[Days Between Harvest]]*7</f>
        <v>#DIV/0!</v>
      </c>
      <c r="EL105" s="210" t="e">
        <f>Crops[[#This Row],[Custom Yield Per Bed]]/_xlfn.XLOOKUP(Crops[[#This Row],[ProductIndex]],Products[ID],Products[CSA Portion])</f>
        <v>#N/A</v>
      </c>
      <c r="EM105" s="210" t="e">
        <f>Crops[[#This Row],[Units Per Harvest]]/Crops[[#This Row],[Days Between Harvest]]*7/_xlfn.XLOOKUP(Crops[[#This Row],[ProductIndex]],Products[ID],Products[CSA Portion])</f>
        <v>#DIV/0!</v>
      </c>
      <c r="EN105" s="210" t="e">
        <f>Crops[[#This Row],[CSA Portions Per Week]]/CSAMembers</f>
        <v>#DIV/0!</v>
      </c>
      <c r="EO105" s="210"/>
      <c r="EP105" s="210"/>
      <c r="EQ105" s="36"/>
      <c r="ER105" s="36">
        <f>Crops[[#This Row],[Harvests]]*Crops[[#This Row],[Days Between Harvest]]/7</f>
        <v>0</v>
      </c>
      <c r="ES105" s="208" t="e">
        <f>_xlfn.XLOOKUP(Crops[[#This Row],[ProductIndex]],Products[ID],Products[CSA Need])</f>
        <v>#N/A</v>
      </c>
      <c r="ET105" s="208" t="e">
        <f>_xlfn.XLOOKUP(Crops[[#This Row],[ProductIndex]],Products[ID],Products[CSA Times])</f>
        <v>#N/A</v>
      </c>
      <c r="EU105" s="208" t="e">
        <f>Crops[[#This Row],[Custom Yield Per Bed]]/(Crops[[#This Row],[CSA Need]]*(_xlfn.XLOOKUP(Crops[[#This Row],[ProductIndex]],Products[ID],Products[CSA Portion])*CSAMembers))</f>
        <v>#N/A</v>
      </c>
      <c r="EV105" s="208" t="e">
        <f>_xlfn.XLOOKUP(Crops[[#This Row],[ProductIndex]],Products[ID],Products[CSA Portion])*CSAMembers*Crops[[#This Row],[CSA Need]]/Crops[[#This Row],[Custom Yield Per Bed]]</f>
        <v>#N/A</v>
      </c>
      <c r="EW105" s="208" t="str">
        <f>IFERROR(Crops[[#This Row],[Days In Field]]*Crops[[#This Row],[CSA Beds]],"")</f>
        <v/>
      </c>
      <c r="EX105" s="208" t="e">
        <f>Crops[[#This Row],[CSA Bed Days]]*#REF!</f>
        <v>#VALUE!</v>
      </c>
      <c r="EY105">
        <v>0</v>
      </c>
    </row>
    <row r="106" spans="1:155">
      <c r="A10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Cress (Ornamental) - Mature Stems 1X | Field DS SpFa</v>
      </c>
      <c r="B106" s="189"/>
      <c r="C106" s="1" t="b">
        <v>1</v>
      </c>
      <c r="D106" s="1"/>
      <c r="E106" s="1" t="b">
        <v>0</v>
      </c>
      <c r="F106" s="1" t="b">
        <f>IFERROR(IF(ISNUMBER(MATCH(Crops[[#This Row],[Identifier]],BedPlan[Crop], 0)), TRUE, FALSE), FALSE)</f>
        <v>0</v>
      </c>
      <c r="G106" s="1" t="b">
        <f>IFERROR(IF(ISNUMBER(MATCH(Crops[[#This Row],[Identifier]],BedPlan[Crop], 0)), TRUE, FALSE), FALSE)</f>
        <v>0</v>
      </c>
      <c r="H106" s="1"/>
      <c r="I106" t="s">
        <v>1777</v>
      </c>
      <c r="J106" t="s">
        <v>1778</v>
      </c>
      <c r="K106" t="s">
        <v>1779</v>
      </c>
      <c r="M106" t="s">
        <v>406</v>
      </c>
      <c r="N106" t="str">
        <f>Crops[[#This Row],[Crop]]</f>
        <v>Cress</v>
      </c>
      <c r="O106" t="s">
        <v>210</v>
      </c>
      <c r="P106" t="str">
        <f>IF(OR(Crops[[#This Row],[Days in Cells]]="",Crops[[#This Row],[Days in Cells]]=0), "DS","TP")</f>
        <v>DS</v>
      </c>
      <c r="Q106" t="b">
        <v>1</v>
      </c>
      <c r="S106" t="b">
        <v>1</v>
      </c>
      <c r="V106" t="str">
        <f xml:space="preserve"> IF(Crops[[#This Row],[Sp]], "Sp", "") &amp; IF(Crops[[#This Row],[Su]], "Su", "") &amp; IF(Crops[[#This Row],[Fa]], "Fa", "") &amp; IF(Crops[[#This Row],[Wi]], "Wi", "") &amp; IF(Crops[[#This Row],[OW]], "Ow","")</f>
        <v>SpFa</v>
      </c>
      <c r="W106" t="b">
        <v>1</v>
      </c>
      <c r="X106">
        <v>4</v>
      </c>
      <c r="Y106">
        <v>4</v>
      </c>
      <c r="AB106" t="b">
        <v>1</v>
      </c>
      <c r="AC106">
        <v>3.5</v>
      </c>
      <c r="AD106" s="32">
        <f>IFERROR(12/Crops[[#This Row],[Spacing]]*Crops[[#This Row],[Rows]]*BedLength,"")</f>
        <v>600</v>
      </c>
      <c r="AE106">
        <v>1</v>
      </c>
      <c r="AG106">
        <f>IF(Crops[[#This Row],[Custom Safety Factor]]="",PlantingSafetyFactor,Crops[[#This Row],[Custom Safety Factor]])</f>
        <v>1.3</v>
      </c>
      <c r="AH106">
        <f>1</f>
        <v>1</v>
      </c>
      <c r="AI106" s="33">
        <f>IFERROR(Crops[[#This Row],[Plantings Per Bed]]*Crops[[#This Row],[Seeds Per Planting]]*Crops[[#This Row],[Safety Factor]]*Crops[[#This Row],[Seeding Factor]],"")</f>
        <v>780</v>
      </c>
      <c r="AJ106">
        <v>2</v>
      </c>
      <c r="AK106">
        <v>5</v>
      </c>
      <c r="AL106">
        <f>_xlfn.FLOOR.MATH(IFERROR(AVERAGE(Crops[[#This Row],[DTG Lower]:[DTG Upper]]),0))</f>
        <v>3</v>
      </c>
      <c r="AM106">
        <f>SUM(Crops[[#This Row],[Tray 1 Days]],Crops[[#This Row],[Tray 2 Days]],Crops[[#This Row],[Tray 3 Days]])</f>
        <v>0</v>
      </c>
      <c r="AO106">
        <v>65</v>
      </c>
      <c r="AP106">
        <v>75</v>
      </c>
      <c r="AQ106">
        <f>IFERROR(_xlfn.FLOOR.MATH(AVERAGE(Crops[[#This Row],[DTM Lower]:[DTM Upper]])),"")</f>
        <v>70</v>
      </c>
      <c r="AR106" cm="1">
        <f t="array" ref="AR106">_xlfn.SWITCH(Crops[[#This Row],[Normal Method]],"DS",Crops[[#This Row],[Days to Germination]]+Crops[[#This Row],[DTM]] + IF(Crops[[#This Row],[Days in Cells]]&gt;0,15,0), "TP",Crops[[#This Row],[DTM]]+Crops[[#This Row],[Days in Cells]] + IF(Crops[[#This Row],[Days in Cells]]&lt;=0,20,0), "X", Crops[[#This Row],[DTM]])</f>
        <v>73</v>
      </c>
      <c r="AS106" t="s">
        <v>338</v>
      </c>
      <c r="AT106">
        <f>(Crops[[#This Row],[Harvests]]-1)*Crops[[#This Row],[Days Between Harvest]]+7</f>
        <v>21</v>
      </c>
      <c r="AU106">
        <f>Crops[[#This Row],[STH]]-Crops[[#This Row],[Days in Cells]]+Crops[[#This Row],[Harvest window]]</f>
        <v>94</v>
      </c>
      <c r="AZ106" t="str">
        <f>IFERROR(IF(Crops[[#This Row],[Tray 1 Days]]=0,"",Crops[[#This Row],[Plantings Per Bed]]/Crops[[#This Row],[Tray 1 Size]]*Crops[[#This Row],[Safety Factor]]),"")</f>
        <v/>
      </c>
      <c r="BC106" t="str">
        <f>IFERROR(IF(Crops[[#This Row],[Tray 2 Days]]=0,"",Crops[[#This Row],[Plantings Per Bed]]/Crops[[#This Row],[Tray 2 Size]]*Crops[[#This Row],[Safety Factor]]),"")</f>
        <v/>
      </c>
      <c r="BE106" s="32" t="str">
        <f>IF(NOT(ISBLANK(Crops[[#This Row],[Tray 3 Size]])), Crops[[#This Row],[Days in Cells Old]]-SUM(Crops[[#This Row],[Tray 1 Days]],Crops[[#This Row],[Tray 2 Days]]), "")</f>
        <v/>
      </c>
      <c r="BF106" t="str">
        <f>IFERROR(IF(Crops[[#This Row],[Tray 3 Days]]=0,"",Crops[[#This Row],[Plantings Per Bed]]/Crops[[#This Row],[Tray 3 Size]]*Crops[[#This Row],[Safety Factor]]),"")</f>
        <v/>
      </c>
      <c r="BG106" s="33">
        <f>Crops[[#This Row],[Plantings Per Bed]]*10/Crops[[#This Row],[Harvests]]</f>
        <v>2000</v>
      </c>
      <c r="BH106" s="33">
        <v>3</v>
      </c>
      <c r="BI106" s="33">
        <v>7</v>
      </c>
      <c r="BJ106" s="33">
        <f>_xlfn.XLOOKUP(Crops[[#This Row],[ProductIndex]],Products[ID],Products[Holding Period])</f>
        <v>0</v>
      </c>
      <c r="BK106" s="33"/>
      <c r="BL106" s="33">
        <f>Crops[[#This Row],[Units Per Harvest]]*Crops[[#This Row],[Harvests]]</f>
        <v>6000</v>
      </c>
      <c r="BM106" s="35">
        <v>0.3</v>
      </c>
      <c r="BN106" s="35">
        <f>Crops[[#This Row],[Direct Price]]*0.6</f>
        <v>0.18</v>
      </c>
      <c r="BO106" s="35"/>
      <c r="BP106" t="s">
        <v>213</v>
      </c>
      <c r="BQ106">
        <f>Crops[[#This Row],[Custom Yield Per Bed]]*Crops[[#This Row],[Direct Price]]</f>
        <v>1800</v>
      </c>
      <c r="BR106" t="b">
        <v>0</v>
      </c>
      <c r="BS106" t="b">
        <f>Crops[[#This Row],[Harvests]]&gt;1</f>
        <v>1</v>
      </c>
      <c r="BT106" s="36">
        <f>IFERROR(Crops[[#This Row],[Direct Revenue Per Bed]]/Crops[[#This Row],[Days In Field]],-1)</f>
        <v>19.148936170212767</v>
      </c>
      <c r="BU106" s="33">
        <f>IFERROR(Crops[[#This Row],[Direct Revenue Per Bed Day]]*GrowingDays*BedsPerAcre,"")</f>
        <v>551489.36170212773</v>
      </c>
      <c r="BV106" s="38">
        <f>LastFrostDate-5*Crops[[#This Row],[Sewing Rel Last Frost]]</f>
        <v>45738</v>
      </c>
      <c r="BW106" s="38">
        <f>Crops[[#This Row],[Target Sewing Date]]+Crops[[#This Row],[Days in Cells]]</f>
        <v>45738</v>
      </c>
      <c r="BX106" s="38">
        <f>Crops[[#This Row],[Target Sewing Date]]+Crops[[#This Row],[STH]]</f>
        <v>45811</v>
      </c>
      <c r="BY106" s="38">
        <f>Crops[[#This Row],[Target Harvest Data]]+Crops[[#This Row],[Harvest window]]</f>
        <v>45832</v>
      </c>
      <c r="BZ106">
        <v>2</v>
      </c>
      <c r="CB106">
        <f>1</f>
        <v>1</v>
      </c>
      <c r="CC106">
        <f>IF(Crops[[#This Row],[Transplanting]]&gt;0, 2, 3)*BedLength/StandardBedLength</f>
        <v>1.5</v>
      </c>
      <c r="CD106" s="173">
        <f>IF(Crops[[#This Row],[Days in Cells]]&lt;=0,0,Crops[[#This Row],[Plantings Per Bed]]/StartsPerHourSeeding+Crops[[#This Row],[Tray 1 Count]]*5/60)</f>
        <v>0</v>
      </c>
      <c r="CE106" s="173">
        <f>IF(ISBLANK(Crops[[#This Row],[Tray 2 Days]]),0,Crops[[#This Row],[Plantings Per Bed]]/UpPottingPerHour)+IF(Crops[[#This Row],[Tray 3 Days]]="",0,Crops[[#This Row],[Plantings Per Bed]]/UpPottingPerHour)</f>
        <v>0</v>
      </c>
      <c r="CF106" s="173">
        <f>IFERROR(Crops[[#This Row],[Tray 1 Count]]/HomeStartFlatIrrigationPerHour,0)*Crops[[#This Row],[Days in Cells]]/DaysBetweenStartIrrigation</f>
        <v>0</v>
      </c>
      <c r="CG106" s="173">
        <f>0.5/16*MAX(Crops[[#This Row],[Tray 1 Count]],Crops[[#This Row],[Tray 2 Count]],Crops[[#This Row],[Tray 3 Count]])</f>
        <v>0</v>
      </c>
      <c r="CH106" s="173">
        <f>IF(Crops[[#This Row],[Days in Cells]]&gt;0,IF(IF(Crops[[#This Row],[Tray 3 Size]]&gt;0,Crops[[#This Row],[Tray 3 Size]],IF(Crops[[#This Row],[Tray 2 Size]]&gt;0,Crops[[#This Row],[Tray 2 Size]],Crops[[#This Row],[Tray 1 Size]]))&lt;=18,LargeTransplantTime,SmallTransplantTime)*Crops[[#This Row],[Plantings Per Bed]],0)</f>
        <v>0</v>
      </c>
      <c r="CI106" s="173"/>
      <c r="CJ106" s="173">
        <f>_xlfn.XLOOKUP(Crops[[#This Row],[Trellis Type]],TrellisMethods[Trellis Type],TrellisMethods[Hours],0,0)</f>
        <v>0</v>
      </c>
      <c r="CK106">
        <f>IF(Crops[[#This Row],[Days in Cells]]&lt;=0,Crops[[#This Row],[Rows]]*1/10,0)*BedLength/50</f>
        <v>0.4</v>
      </c>
      <c r="CL106" cm="1">
        <f t="array" ref="CL106">_xlfn.SWITCH(Crops[[#This Row],[Irrigation]],"DR", 0.5, "OH", 0.25,0)*BedLength/50</f>
        <v>0</v>
      </c>
      <c r="CM106">
        <f>IF(OR(ISBLANK(Crops[[#This Row],[Row Cover]]),Crops[[#This Row],[Row Cover]]="None"),0,1)*BedLength/50</f>
        <v>0</v>
      </c>
      <c r="CN106" s="173">
        <f>HoursPerWeedingPass*Crops[[#This Row],[Days In Field]]/14*Crops[[#This Row],[Rows]]+1*BedLength/50</f>
        <v>5.4761904761904763</v>
      </c>
      <c r="CQ106" s="37">
        <f>_xlfn.XLOOKUP(Crops[[#This Row],[Crop]]&amp;Crops[[#This Row],[Product]]&amp;Crops[[#This Row],[Unit]],Products[ID],Products[Marketing (hr)])*Crops[[#This Row],[Direct Revenue Per Bed]]/2000</f>
        <v>5.4</v>
      </c>
      <c r="CR106" s="37">
        <f>_xlfn.XLOOKUP(Crops[[#This Row],[Crop]]&amp;Crops[[#This Row],[Product]]&amp;Crops[[#This Row],[Unit]],Products[ID],Products[Harvest (s)])*Crops[[#This Row],[Custom Yield Per Bed]]/3600</f>
        <v>25</v>
      </c>
      <c r="CS106" s="37">
        <f>_xlfn.XLOOKUP(Crops[[#This Row],[Crop]]&amp;Crops[[#This Row],[Product]]&amp;Crops[[#This Row],[Unit]],Products[ID],Products[Bunch (s)])*Crops[[#This Row],[Custom Yield Per Bed]]/3600</f>
        <v>0</v>
      </c>
      <c r="CT106" s="37">
        <f>_xlfn.XLOOKUP(Crops[[#This Row],[Crop]]&amp;Crops[[#This Row],[Product]]&amp;Crops[[#This Row],[Unit]],Products[ID],Products[Haul (s)])*Crops[[#This Row],[Custom Yield Per Bed]]/3600</f>
        <v>2.5</v>
      </c>
      <c r="CU106" s="37">
        <f>_xlfn.XLOOKUP(Crops[[#This Row],[Crop]]&amp;Crops[[#This Row],[Product]]&amp;Crops[[#This Row],[Unit]],Products[ID],Products[Wash (s)])*Crops[[#This Row],[Custom Yield Per Bed]]/3600</f>
        <v>0</v>
      </c>
      <c r="CV106" s="37">
        <f>_xlfn.XLOOKUP(Crops[[#This Row],[Crop]]&amp;Crops[[#This Row],[Product]]&amp;Crops[[#This Row],[Unit]],Products[ID],Products[Condition (s)])*Crops[[#This Row],[Custom Yield Per Bed]]/3600</f>
        <v>0</v>
      </c>
      <c r="CW106" s="37">
        <f>_xlfn.XLOOKUP(Crops[[#This Row],[Crop]]&amp;Crops[[#This Row],[Product]]&amp;Crops[[#This Row],[Unit]],Products[ID],Products[Trim (s)])*Crops[[#This Row],[Custom Yield Per Bed]]/3600</f>
        <v>5</v>
      </c>
      <c r="CX106" s="37">
        <f>_xlfn.XLOOKUP(Crops[[#This Row],[Crop]]&amp;Crops[[#This Row],[Product]]&amp;Crops[[#This Row],[Unit]],Products[ID],Products[Pack (s)])*Crops[[#This Row],[Custom Yield Per Bed]]/3600</f>
        <v>5</v>
      </c>
      <c r="CY106" s="37">
        <f>_xlfn.XLOOKUP(Crops[[#This Row],[Crop]]&amp;Crops[[#This Row],[Product]]&amp;Crops[[#This Row],[Unit]],Products[ID],Products[Clean (s)])*Crops[[#This Row],[Custom Yield Per Bed]]/3600</f>
        <v>0</v>
      </c>
      <c r="CZ106" s="37">
        <f>_xlfn.XLOOKUP(Crops[[#This Row],[Crop]]&amp;Crops[[#This Row],[Product]]&amp;Crops[[#This Row],[Unit]],Products[ID],Products[Rehandle (s)])*Crops[[#This Row],[Custom Yield Per Bed]]/3600</f>
        <v>0</v>
      </c>
      <c r="DA106" s="37">
        <f>_xlfn.XLOOKUP(Crops[[#This Row],[Crop]]&amp;Crops[[#This Row],[Product]]&amp;Crops[[#This Row],[Unit]],Products[ID],Products[Market Transport (s)])*Crops[[#This Row],[Custom Yield Per Bed]]/3600</f>
        <v>6.25</v>
      </c>
      <c r="DC106" s="37">
        <f>Crops[[#This Row],[Direct Revenue Per Bed2]]</f>
        <v>1800</v>
      </c>
      <c r="DD106" s="173">
        <f>_xlfn.AGGREGATE(9,6,Crops[[#This Row],[Bed Prep]:[Remove Crop Residue]])</f>
        <v>56.526190476190479</v>
      </c>
      <c r="DE106" s="173">
        <f>_xlfn.AGGREGATE(9,6,Crops[[#This Row],[Bed Prep]:[Remove Crop Residue]])-0.75*Crops[[#This Row],[Market &amp; Sell]]</f>
        <v>52.476190476190482</v>
      </c>
      <c r="DF106" s="36">
        <f>Crops[[#This Row],[Direct Revenue Per Bed2]]/Crops[[#This Row],[Direct Time]]</f>
        <v>31.843646013226063</v>
      </c>
      <c r="DG106" s="36">
        <f>_xlfn.XLOOKUP(Crops[[#This Row],[ProductIndex]],Products[ID],Products[Packaging Cost])*(Crops[[#This Row],[Custom Yield Per Bed]]/_xlfn.XLOOKUP(Crops[[#This Row],[ProductIndex]],Products[ID],Products[Units Per Pack]))</f>
        <v>400</v>
      </c>
      <c r="DH106" s="36"/>
      <c r="DI106" s="36"/>
      <c r="DJ106" s="36"/>
      <c r="DK106" s="36"/>
      <c r="DL106" s="36"/>
      <c r="DM106" s="33">
        <f>IFERROR(Crops[[#This Row],[Custom Yield Per Bed]]*Crops[[#This Row],[Direct Price]],"")</f>
        <v>1800</v>
      </c>
      <c r="DN106" s="36">
        <f>Crops[[#This Row],[Direct Time]]*LaborRate</f>
        <v>1413.1547619047619</v>
      </c>
      <c r="DO106" s="36">
        <f>SUM(Crops[[#This Row],[Irrigation Cost]])</f>
        <v>0</v>
      </c>
      <c r="DP106" s="36">
        <f>Crops[[#This Row],[Direct Labor Cost]]+Crops[[#This Row],[Direct Non-Labor Cost]]</f>
        <v>1413.1547619047619</v>
      </c>
      <c r="DQ106" s="36">
        <f>Crops[[#This Row],[Direct Revenue Per Bed2]]-Crops[[#This Row],[Direct Total Cost]]</f>
        <v>386.84523809523807</v>
      </c>
      <c r="DR106" s="36">
        <f>Crops[[#This Row],[Direct Profit]]*BedsPerAcre</f>
        <v>61895.238095238092</v>
      </c>
      <c r="DS106" s="36">
        <f>Crops[[#This Row],[Direct Profit]]*BedsPerAcre*GrowingDays/Crops[[#This Row],[Days In Field]]</f>
        <v>118522.79635258358</v>
      </c>
      <c r="DT106" s="36">
        <f>Crops[[#This Row],[Direct Profit]]/MIN(Crops[[#This Row],[Days In Field]],GrowingDays)</f>
        <v>4.1153748733535966</v>
      </c>
      <c r="DU106" s="36">
        <f>Crops[[#This Row],[Direct Time]] * BedsPerAcre</f>
        <v>9044.1904761904771</v>
      </c>
      <c r="DV106" s="36">
        <f>(Crops[[#This Row],[Direct Revenue Per Bed2]]-Crops[[#This Row],[Direct Non-Labor Cost]])/Crops[[#This Row],[Direct Time]]</f>
        <v>31.843646013226063</v>
      </c>
      <c r="DW106" s="33">
        <f>IFERROR(Crops[[#This Row],[Custom Yield Per Bed]]*Crops[[#This Row],[Rough Wholesale Price]],"")</f>
        <v>1080</v>
      </c>
      <c r="DX106" s="36">
        <f>Crops[[#This Row],[Wholesale Time]]*LaborRate</f>
        <v>1311.9047619047619</v>
      </c>
      <c r="DY106" s="36">
        <f>SUM(Crops[[#This Row],[Packaging Costs]:[Irrigation Cost]])</f>
        <v>400</v>
      </c>
      <c r="DZ106" s="36">
        <f>Crops[[#This Row],[Wholesale Labor Cost]]+Crops[[#This Row],[Wholesale Non-Labor Cost]]</f>
        <v>1711.9047619047619</v>
      </c>
      <c r="EA106" s="36">
        <f>Crops[[#This Row],[Wholesale Revenue Per Bed]]-Crops[[#This Row],[Wholesale Total Cost]]</f>
        <v>-631.90476190476193</v>
      </c>
      <c r="EB106" s="36">
        <f>Crops[[#This Row],[Wholesale Profit]]*BedsPerAcre</f>
        <v>-101104.76190476191</v>
      </c>
      <c r="EC106" s="36">
        <f>Crops[[#This Row],[Wholesale Profit]]*BedsPerAcre*GrowingDays/Crops[[#This Row],[Days In Field]]</f>
        <v>-193604.8632218845</v>
      </c>
      <c r="ED106" s="36">
        <f>Crops[[#This Row],[Wholesale Time]] * BedsPerAcre</f>
        <v>8396.1904761904771</v>
      </c>
      <c r="EE106" s="36">
        <f>Crops[[#This Row],[Wholesale Profit]]/MIN(Crops[[#This Row],[Days In Field]],GrowingDays)</f>
        <v>-6.7223910840932124</v>
      </c>
      <c r="EF106" s="36">
        <f>(Crops[[#This Row],[Wholesale Revenue Per Bed]]-Crops[[#This Row],[Wholesale Non-Labor Cost]])/Crops[[#This Row],[Direct Time]]</f>
        <v>12.029821827218734</v>
      </c>
      <c r="EG106" s="174">
        <f>Crops[[#This Row],[Packaging Costs]]/Crops[[#This Row],[Wholesale Revenue Per Bed]]</f>
        <v>0.37037037037037035</v>
      </c>
      <c r="EH106" s="36" t="str">
        <f>Crops[[#This Row],[Crop]]&amp;Crops[[#This Row],[Product]]&amp;Crops[[#This Row],[Unit]]</f>
        <v>CressMature StemsStem</v>
      </c>
      <c r="EI106" s="36" t="b">
        <f>_xlfn.XLOOKUP(Crops[[#This Row],[ProductIndex]],Products[ID],Products[Target])</f>
        <v>1</v>
      </c>
      <c r="EJ106" s="36">
        <f>Crops[[#This Row],[Custom Yield Per Bed]]</f>
        <v>6000</v>
      </c>
      <c r="EK106" s="210">
        <f>Crops[[#This Row],[Units Per Harvest]]/Crops[[#This Row],[Days Between Harvest]]*7</f>
        <v>2000</v>
      </c>
      <c r="EL106" s="210" t="e">
        <f>Crops[[#This Row],[Custom Yield Per Bed]]/_xlfn.XLOOKUP(Crops[[#This Row],[ProductIndex]],Products[ID],Products[CSA Portion])</f>
        <v>#DIV/0!</v>
      </c>
      <c r="EM106" s="210" t="e">
        <f>Crops[[#This Row],[Units Per Harvest]]/Crops[[#This Row],[Days Between Harvest]]*7/_xlfn.XLOOKUP(Crops[[#This Row],[ProductIndex]],Products[ID],Products[CSA Portion])</f>
        <v>#DIV/0!</v>
      </c>
      <c r="EN106" s="210" t="e">
        <f>Crops[[#This Row],[CSA Portions Per Week]]/CSAMembers</f>
        <v>#DIV/0!</v>
      </c>
      <c r="EO106" s="210"/>
      <c r="EP106" s="210"/>
      <c r="EQ106" s="36"/>
      <c r="ER106" s="36">
        <f>Crops[[#This Row],[Harvests]]*Crops[[#This Row],[Days Between Harvest]]/7</f>
        <v>3</v>
      </c>
      <c r="ES106" s="208">
        <f>_xlfn.XLOOKUP(Crops[[#This Row],[ProductIndex]],Products[ID],Products[CSA Need])</f>
        <v>0</v>
      </c>
      <c r="ET106" s="208">
        <f>_xlfn.XLOOKUP(Crops[[#This Row],[ProductIndex]],Products[ID],Products[CSA Times])</f>
        <v>0</v>
      </c>
      <c r="EU106" s="208" t="e">
        <f>Crops[[#This Row],[Custom Yield Per Bed]]/(Crops[[#This Row],[CSA Need]]*(_xlfn.XLOOKUP(Crops[[#This Row],[ProductIndex]],Products[ID],Products[CSA Portion])*CSAMembers))</f>
        <v>#DIV/0!</v>
      </c>
      <c r="EV106" s="208">
        <f>_xlfn.XLOOKUP(Crops[[#This Row],[ProductIndex]],Products[ID],Products[CSA Portion])*CSAMembers*Crops[[#This Row],[CSA Need]]/Crops[[#This Row],[Custom Yield Per Bed]]</f>
        <v>0</v>
      </c>
      <c r="EW106" s="208">
        <f>IFERROR(Crops[[#This Row],[Days In Field]]*Crops[[#This Row],[CSA Beds]],"")</f>
        <v>0</v>
      </c>
      <c r="EX106" s="208" t="e">
        <f>Crops[[#This Row],[CSA Bed Days]]*#REF!</f>
        <v>#REF!</v>
      </c>
      <c r="EY106" t="s">
        <v>1780</v>
      </c>
    </row>
    <row r="107" spans="1:155">
      <c r="A10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Cress (Ornamental) - Mature Stems 1X | Field TP SpFa</v>
      </c>
      <c r="B107" s="189"/>
      <c r="C107" s="1"/>
      <c r="D107" s="1"/>
      <c r="E107" s="1" t="b">
        <v>0</v>
      </c>
      <c r="F107" s="1" t="b">
        <f>IFERROR(IF(ISNUMBER(MATCH(Crops[[#This Row],[Identifier]],BedPlan[Crop], 0)), TRUE, FALSE), FALSE)</f>
        <v>0</v>
      </c>
      <c r="G107" s="1" t="b">
        <f>IFERROR(IF(ISNUMBER(MATCH(Crops[[#This Row],[Identifier]],BedPlan[Crop], 0)), TRUE, FALSE), FALSE)</f>
        <v>0</v>
      </c>
      <c r="H107" s="1"/>
      <c r="I107" t="s">
        <v>1777</v>
      </c>
      <c r="J107" t="s">
        <v>1778</v>
      </c>
      <c r="K107" t="s">
        <v>1779</v>
      </c>
      <c r="M107" t="s">
        <v>406</v>
      </c>
      <c r="N107" t="str">
        <f>Crops[[#This Row],[Crop]]</f>
        <v>Cress</v>
      </c>
      <c r="O107" t="s">
        <v>210</v>
      </c>
      <c r="P107" t="str">
        <f>IF(OR(Crops[[#This Row],[Days in Cells]]="",Crops[[#This Row],[Days in Cells]]=0), "DS","TP")</f>
        <v>TP</v>
      </c>
      <c r="Q107" t="b">
        <v>1</v>
      </c>
      <c r="S107" t="b">
        <v>1</v>
      </c>
      <c r="V107" t="str">
        <f xml:space="preserve"> IF(Crops[[#This Row],[Sp]], "Sp", "") &amp; IF(Crops[[#This Row],[Su]], "Su", "") &amp; IF(Crops[[#This Row],[Fa]], "Fa", "") &amp; IF(Crops[[#This Row],[Wi]], "Wi", "") &amp; IF(Crops[[#This Row],[OW]], "Ow","")</f>
        <v>SpFa</v>
      </c>
      <c r="W107" t="b">
        <v>1</v>
      </c>
      <c r="X107">
        <v>4</v>
      </c>
      <c r="Y107">
        <v>4</v>
      </c>
      <c r="AB107" t="b">
        <v>1</v>
      </c>
      <c r="AC107">
        <v>3.5</v>
      </c>
      <c r="AD107" s="32">
        <f>IFERROR(12/Crops[[#This Row],[Spacing]]*Crops[[#This Row],[Rows]]*BedLength,"")</f>
        <v>600</v>
      </c>
      <c r="AE107">
        <v>1</v>
      </c>
      <c r="AG107">
        <f>IF(Crops[[#This Row],[Custom Safety Factor]]="",PlantingSafetyFactor,Crops[[#This Row],[Custom Safety Factor]])</f>
        <v>1.3</v>
      </c>
      <c r="AH107">
        <f>1</f>
        <v>1</v>
      </c>
      <c r="AI107" s="33">
        <f>IFERROR(Crops[[#This Row],[Plantings Per Bed]]*Crops[[#This Row],[Seeds Per Planting]]*Crops[[#This Row],[Safety Factor]]*Crops[[#This Row],[Seeding Factor]],"")</f>
        <v>780</v>
      </c>
      <c r="AJ107">
        <v>2</v>
      </c>
      <c r="AK107">
        <v>5</v>
      </c>
      <c r="AL107">
        <f>_xlfn.FLOOR.MATH(IFERROR(AVERAGE(Crops[[#This Row],[DTG Lower]:[DTG Upper]]),0))</f>
        <v>3</v>
      </c>
      <c r="AM107">
        <f>SUM(Crops[[#This Row],[Tray 1 Days]],Crops[[#This Row],[Tray 2 Days]],Crops[[#This Row],[Tray 3 Days]])</f>
        <v>28</v>
      </c>
      <c r="AO107">
        <v>65</v>
      </c>
      <c r="AP107">
        <v>75</v>
      </c>
      <c r="AQ107">
        <f>IFERROR(_xlfn.FLOOR.MATH(AVERAGE(Crops[[#This Row],[DTM Lower]:[DTM Upper]])),"")</f>
        <v>70</v>
      </c>
      <c r="AR107" cm="1">
        <f t="array" ref="AR107">_xlfn.SWITCH(Crops[[#This Row],[Normal Method]],"DS",Crops[[#This Row],[Days to Germination]]+Crops[[#This Row],[DTM]] + IF(Crops[[#This Row],[Days in Cells]]&gt;0,15,0), "TP",Crops[[#This Row],[DTM]]+Crops[[#This Row],[Days in Cells]] + IF(Crops[[#This Row],[Days in Cells]]&lt;=0,20,0), "X", Crops[[#This Row],[DTM]])</f>
        <v>70</v>
      </c>
      <c r="AS107" t="s">
        <v>347</v>
      </c>
      <c r="AT107">
        <f>(Crops[[#This Row],[Harvests]]-1)*Crops[[#This Row],[Days Between Harvest]]+7</f>
        <v>21</v>
      </c>
      <c r="AU107">
        <f>Crops[[#This Row],[STH]]-Crops[[#This Row],[Days in Cells]]+Crops[[#This Row],[Harvest window]]</f>
        <v>63</v>
      </c>
      <c r="AX107">
        <v>128</v>
      </c>
      <c r="AY107">
        <v>28</v>
      </c>
      <c r="AZ107">
        <f>IFERROR(IF(Crops[[#This Row],[Tray 1 Days]]=0,"",Crops[[#This Row],[Plantings Per Bed]]/Crops[[#This Row],[Tray 1 Size]]*Crops[[#This Row],[Safety Factor]]),"")</f>
        <v>6.09375</v>
      </c>
      <c r="BC107" t="str">
        <f>IFERROR(IF(Crops[[#This Row],[Tray 2 Days]]=0,"",Crops[[#This Row],[Plantings Per Bed]]/Crops[[#This Row],[Tray 2 Size]]*Crops[[#This Row],[Safety Factor]]),"")</f>
        <v/>
      </c>
      <c r="BE107" s="32" t="str">
        <f>IF(NOT(ISBLANK(Crops[[#This Row],[Tray 3 Size]])), Crops[[#This Row],[Days in Cells Old]]-SUM(Crops[[#This Row],[Tray 1 Days]],Crops[[#This Row],[Tray 2 Days]]), "")</f>
        <v/>
      </c>
      <c r="BF107" t="str">
        <f>IFERROR(IF(Crops[[#This Row],[Tray 3 Days]]=0,"",Crops[[#This Row],[Plantings Per Bed]]/Crops[[#This Row],[Tray 3 Size]]*Crops[[#This Row],[Safety Factor]]),"")</f>
        <v/>
      </c>
      <c r="BG107" s="33">
        <f>Crops[[#This Row],[Plantings Per Bed]]*10/Crops[[#This Row],[Harvests]]</f>
        <v>2000</v>
      </c>
      <c r="BH107" s="33">
        <v>3</v>
      </c>
      <c r="BI107" s="33">
        <v>7</v>
      </c>
      <c r="BJ107" s="33">
        <f>_xlfn.XLOOKUP(Crops[[#This Row],[ProductIndex]],Products[ID],Products[Holding Period])</f>
        <v>0</v>
      </c>
      <c r="BK107" s="33"/>
      <c r="BL107" s="33">
        <f>Crops[[#This Row],[Units Per Harvest]]*Crops[[#This Row],[Harvests]]</f>
        <v>6000</v>
      </c>
      <c r="BM107" s="35">
        <v>0.3</v>
      </c>
      <c r="BN107" s="35">
        <f>Crops[[#This Row],[Direct Price]]*0.6</f>
        <v>0.18</v>
      </c>
      <c r="BO107" s="35"/>
      <c r="BP107" t="s">
        <v>213</v>
      </c>
      <c r="BQ107">
        <f>Crops[[#This Row],[Custom Yield Per Bed]]*Crops[[#This Row],[Direct Price]]</f>
        <v>1800</v>
      </c>
      <c r="BR107" t="b">
        <v>0</v>
      </c>
      <c r="BS107" t="b">
        <f>Crops[[#This Row],[Harvests]]&gt;1</f>
        <v>1</v>
      </c>
      <c r="BT107" s="36">
        <f>IFERROR(Crops[[#This Row],[Direct Revenue Per Bed]]/Crops[[#This Row],[Days In Field]],-1)</f>
        <v>28.571428571428573</v>
      </c>
      <c r="BU107" s="33">
        <f>IFERROR(Crops[[#This Row],[Direct Revenue Per Bed Day]]*GrowingDays*BedsPerAcre,"")</f>
        <v>822857.14285714296</v>
      </c>
      <c r="BV107" s="38">
        <f>LastFrostDate-5*Crops[[#This Row],[Sewing Rel Last Frost]]</f>
        <v>45758</v>
      </c>
      <c r="BW107" s="38">
        <f>Crops[[#This Row],[Target Sewing Date]]+Crops[[#This Row],[Days in Cells]]</f>
        <v>45786</v>
      </c>
      <c r="BX107" s="38">
        <f>Crops[[#This Row],[Target Sewing Date]]+Crops[[#This Row],[STH]]</f>
        <v>45828</v>
      </c>
      <c r="BY107" s="38">
        <f>Crops[[#This Row],[Target Harvest Data]]+Crops[[#This Row],[Harvest window]]</f>
        <v>45849</v>
      </c>
      <c r="BZ107">
        <v>-2</v>
      </c>
      <c r="CB107">
        <f>1</f>
        <v>1</v>
      </c>
      <c r="CC107">
        <f>IF(Crops[[#This Row],[Transplanting]]&gt;0, 2, 3)*BedLength/StandardBedLength</f>
        <v>1</v>
      </c>
      <c r="CD107" s="173">
        <f>IF(Crops[[#This Row],[Days in Cells]]&lt;=0,0,Crops[[#This Row],[Plantings Per Bed]]/StartsPerHourSeeding+Crops[[#This Row],[Tray 1 Count]]*5/60)</f>
        <v>2.8515625</v>
      </c>
      <c r="CE107" s="173">
        <f>IF(ISBLANK(Crops[[#This Row],[Tray 2 Days]]),0,Crops[[#This Row],[Plantings Per Bed]]/UpPottingPerHour)+IF(Crops[[#This Row],[Tray 3 Days]]="",0,Crops[[#This Row],[Plantings Per Bed]]/UpPottingPerHour)</f>
        <v>0</v>
      </c>
      <c r="CF107" s="173">
        <f>IFERROR(Crops[[#This Row],[Tray 1 Count]]/HomeStartFlatIrrigationPerHour,0)*Crops[[#This Row],[Days in Cells]]/DaysBetweenStartIrrigation</f>
        <v>0.7109375</v>
      </c>
      <c r="CG107" s="173">
        <f>0.5/16*MAX(Crops[[#This Row],[Tray 1 Count]],Crops[[#This Row],[Tray 2 Count]],Crops[[#This Row],[Tray 3 Count]])</f>
        <v>0.1904296875</v>
      </c>
      <c r="CH107" s="173">
        <f>IF(Crops[[#This Row],[Days in Cells]]&gt;0,IF(IF(Crops[[#This Row],[Tray 3 Size]]&gt;0,Crops[[#This Row],[Tray 3 Size]],IF(Crops[[#This Row],[Tray 2 Size]]&gt;0,Crops[[#This Row],[Tray 2 Size]],Crops[[#This Row],[Tray 1 Size]]))&lt;=18,LargeTransplantTime,SmallTransplantTime)*Crops[[#This Row],[Plantings Per Bed]],0)</f>
        <v>3</v>
      </c>
      <c r="CI107" s="173"/>
      <c r="CJ107" s="173">
        <f>_xlfn.XLOOKUP(Crops[[#This Row],[Trellis Type]],TrellisMethods[Trellis Type],TrellisMethods[Hours],0,0)</f>
        <v>0</v>
      </c>
      <c r="CK107">
        <f>IF(Crops[[#This Row],[Days in Cells]]&lt;=0,Crops[[#This Row],[Rows]]*1/10,0)*BedLength/50</f>
        <v>0</v>
      </c>
      <c r="CL107" cm="1">
        <f t="array" ref="CL107">_xlfn.SWITCH(Crops[[#This Row],[Irrigation]],"DR", 0.5, "OH", 0.25,0)*BedLength/50</f>
        <v>0</v>
      </c>
      <c r="CM107">
        <f>IF(OR(ISBLANK(Crops[[#This Row],[Row Cover]]),Crops[[#This Row],[Row Cover]]="None"),0,1)*BedLength/50</f>
        <v>0</v>
      </c>
      <c r="CN107" s="173">
        <f>HoursPerWeedingPass*Crops[[#This Row],[Days In Field]]/14*Crops[[#This Row],[Rows]]+1*BedLength/50</f>
        <v>4</v>
      </c>
      <c r="CQ107" s="37">
        <f>_xlfn.XLOOKUP(Crops[[#This Row],[Crop]]&amp;Crops[[#This Row],[Product]]&amp;Crops[[#This Row],[Unit]],Products[ID],Products[Marketing (hr)])*Crops[[#This Row],[Direct Revenue Per Bed]]/2000</f>
        <v>5.4</v>
      </c>
      <c r="CR107" s="37">
        <f>_xlfn.XLOOKUP(Crops[[#This Row],[Crop]]&amp;Crops[[#This Row],[Product]]&amp;Crops[[#This Row],[Unit]],Products[ID],Products[Harvest (s)])*Crops[[#This Row],[Custom Yield Per Bed]]/3600</f>
        <v>25</v>
      </c>
      <c r="CS107" s="37">
        <f>_xlfn.XLOOKUP(Crops[[#This Row],[Crop]]&amp;Crops[[#This Row],[Product]]&amp;Crops[[#This Row],[Unit]],Products[ID],Products[Bunch (s)])*Crops[[#This Row],[Custom Yield Per Bed]]/3600</f>
        <v>0</v>
      </c>
      <c r="CT107" s="37">
        <f>_xlfn.XLOOKUP(Crops[[#This Row],[Crop]]&amp;Crops[[#This Row],[Product]]&amp;Crops[[#This Row],[Unit]],Products[ID],Products[Haul (s)])*Crops[[#This Row],[Custom Yield Per Bed]]/3600</f>
        <v>2.5</v>
      </c>
      <c r="CU107" s="37">
        <f>_xlfn.XLOOKUP(Crops[[#This Row],[Crop]]&amp;Crops[[#This Row],[Product]]&amp;Crops[[#This Row],[Unit]],Products[ID],Products[Wash (s)])*Crops[[#This Row],[Custom Yield Per Bed]]/3600</f>
        <v>0</v>
      </c>
      <c r="CV107" s="37">
        <f>_xlfn.XLOOKUP(Crops[[#This Row],[Crop]]&amp;Crops[[#This Row],[Product]]&amp;Crops[[#This Row],[Unit]],Products[ID],Products[Condition (s)])*Crops[[#This Row],[Custom Yield Per Bed]]/3600</f>
        <v>0</v>
      </c>
      <c r="CW107" s="37">
        <f>_xlfn.XLOOKUP(Crops[[#This Row],[Crop]]&amp;Crops[[#This Row],[Product]]&amp;Crops[[#This Row],[Unit]],Products[ID],Products[Trim (s)])*Crops[[#This Row],[Custom Yield Per Bed]]/3600</f>
        <v>5</v>
      </c>
      <c r="CX107" s="37">
        <f>_xlfn.XLOOKUP(Crops[[#This Row],[Crop]]&amp;Crops[[#This Row],[Product]]&amp;Crops[[#This Row],[Unit]],Products[ID],Products[Pack (s)])*Crops[[#This Row],[Custom Yield Per Bed]]/3600</f>
        <v>5</v>
      </c>
      <c r="CY107" s="37">
        <f>_xlfn.XLOOKUP(Crops[[#This Row],[Crop]]&amp;Crops[[#This Row],[Product]]&amp;Crops[[#This Row],[Unit]],Products[ID],Products[Clean (s)])*Crops[[#This Row],[Custom Yield Per Bed]]/3600</f>
        <v>0</v>
      </c>
      <c r="CZ107" s="37">
        <f>_xlfn.XLOOKUP(Crops[[#This Row],[Crop]]&amp;Crops[[#This Row],[Product]]&amp;Crops[[#This Row],[Unit]],Products[ID],Products[Rehandle (s)])*Crops[[#This Row],[Custom Yield Per Bed]]/3600</f>
        <v>0</v>
      </c>
      <c r="DA107" s="37">
        <f>_xlfn.XLOOKUP(Crops[[#This Row],[Crop]]&amp;Crops[[#This Row],[Product]]&amp;Crops[[#This Row],[Unit]],Products[ID],Products[Market Transport (s)])*Crops[[#This Row],[Custom Yield Per Bed]]/3600</f>
        <v>6.25</v>
      </c>
      <c r="DC107" s="37">
        <f>Crops[[#This Row],[Direct Revenue Per Bed2]]</f>
        <v>1800</v>
      </c>
      <c r="DD107" s="173">
        <f>_xlfn.AGGREGATE(9,6,Crops[[#This Row],[Bed Prep]:[Remove Crop Residue]])</f>
        <v>60.902929687499999</v>
      </c>
      <c r="DE107" s="173">
        <f>_xlfn.AGGREGATE(9,6,Crops[[#This Row],[Bed Prep]:[Remove Crop Residue]])-0.75*Crops[[#This Row],[Market &amp; Sell]]</f>
        <v>56.852929687499994</v>
      </c>
      <c r="DF107" s="36">
        <f>Crops[[#This Row],[Direct Revenue Per Bed2]]/Crops[[#This Row],[Direct Time]]</f>
        <v>29.555228446907382</v>
      </c>
      <c r="DG107" s="36">
        <f>_xlfn.XLOOKUP(Crops[[#This Row],[ProductIndex]],Products[ID],Products[Packaging Cost])*(Crops[[#This Row],[Custom Yield Per Bed]]/_xlfn.XLOOKUP(Crops[[#This Row],[ProductIndex]],Products[ID],Products[Units Per Pack]))</f>
        <v>400</v>
      </c>
      <c r="DH107" s="36"/>
      <c r="DI107" s="36"/>
      <c r="DJ107" s="36"/>
      <c r="DK107" s="36"/>
      <c r="DL107" s="36"/>
      <c r="DM107" s="33">
        <f>IFERROR(Crops[[#This Row],[Custom Yield Per Bed]]*Crops[[#This Row],[Direct Price]],"")</f>
        <v>1800</v>
      </c>
      <c r="DN107" s="36">
        <f>Crops[[#This Row],[Direct Time]]*LaborRate</f>
        <v>1522.5732421875</v>
      </c>
      <c r="DO107" s="36">
        <f>SUM(Crops[[#This Row],[Irrigation Cost]])</f>
        <v>0</v>
      </c>
      <c r="DP107" s="36">
        <f>Crops[[#This Row],[Direct Labor Cost]]+Crops[[#This Row],[Direct Non-Labor Cost]]</f>
        <v>1522.5732421875</v>
      </c>
      <c r="DQ107" s="36">
        <f>Crops[[#This Row],[Direct Revenue Per Bed2]]-Crops[[#This Row],[Direct Total Cost]]</f>
        <v>277.4267578125</v>
      </c>
      <c r="DR107" s="36">
        <f>Crops[[#This Row],[Direct Profit]]*BedsPerAcre</f>
        <v>44388.28125</v>
      </c>
      <c r="DS107" s="36">
        <f>Crops[[#This Row],[Direct Profit]]*BedsPerAcre*GrowingDays/Crops[[#This Row],[Days In Field]]</f>
        <v>126823.66071428571</v>
      </c>
      <c r="DT107" s="36">
        <f>Crops[[#This Row],[Direct Profit]]/MIN(Crops[[#This Row],[Days In Field]],GrowingDays)</f>
        <v>4.4035993303571432</v>
      </c>
      <c r="DU107" s="36">
        <f>Crops[[#This Row],[Direct Time]] * BedsPerAcre</f>
        <v>9744.46875</v>
      </c>
      <c r="DV107" s="36">
        <f>(Crops[[#This Row],[Direct Revenue Per Bed2]]-Crops[[#This Row],[Direct Non-Labor Cost]])/Crops[[#This Row],[Direct Time]]</f>
        <v>29.555228446907382</v>
      </c>
      <c r="DW107" s="33">
        <f>IFERROR(Crops[[#This Row],[Custom Yield Per Bed]]*Crops[[#This Row],[Rough Wholesale Price]],"")</f>
        <v>1080</v>
      </c>
      <c r="DX107" s="36">
        <f>Crops[[#This Row],[Wholesale Time]]*LaborRate</f>
        <v>1421.3232421874998</v>
      </c>
      <c r="DY107" s="36">
        <f>SUM(Crops[[#This Row],[Packaging Costs]:[Irrigation Cost]])</f>
        <v>400</v>
      </c>
      <c r="DZ107" s="36">
        <f>Crops[[#This Row],[Wholesale Labor Cost]]+Crops[[#This Row],[Wholesale Non-Labor Cost]]</f>
        <v>1821.3232421874998</v>
      </c>
      <c r="EA107" s="36">
        <f>Crops[[#This Row],[Wholesale Revenue Per Bed]]-Crops[[#This Row],[Wholesale Total Cost]]</f>
        <v>-741.32324218749977</v>
      </c>
      <c r="EB107" s="36">
        <f>Crops[[#This Row],[Wholesale Profit]]*BedsPerAcre</f>
        <v>-118611.71874999997</v>
      </c>
      <c r="EC107" s="36">
        <f>Crops[[#This Row],[Wholesale Profit]]*BedsPerAcre*GrowingDays/Crops[[#This Row],[Days In Field]]</f>
        <v>-338890.62499999994</v>
      </c>
      <c r="ED107" s="36">
        <f>Crops[[#This Row],[Wholesale Time]] * BedsPerAcre</f>
        <v>9096.46875</v>
      </c>
      <c r="EE107" s="36">
        <f>Crops[[#This Row],[Wholesale Profit]]/MIN(Crops[[#This Row],[Days In Field]],GrowingDays)</f>
        <v>-11.767035590277775</v>
      </c>
      <c r="EF107" s="36">
        <f>(Crops[[#This Row],[Wholesale Revenue Per Bed]]-Crops[[#This Row],[Wholesale Non-Labor Cost]])/Crops[[#This Row],[Direct Time]]</f>
        <v>11.165308524387234</v>
      </c>
      <c r="EG107" s="174">
        <f>Crops[[#This Row],[Packaging Costs]]/Crops[[#This Row],[Wholesale Revenue Per Bed]]</f>
        <v>0.37037037037037035</v>
      </c>
      <c r="EH107" s="36" t="str">
        <f>Crops[[#This Row],[Crop]]&amp;Crops[[#This Row],[Product]]&amp;Crops[[#This Row],[Unit]]</f>
        <v>CressMature StemsStem</v>
      </c>
      <c r="EI107" s="36" t="b">
        <f>_xlfn.XLOOKUP(Crops[[#This Row],[ProductIndex]],Products[ID],Products[Target])</f>
        <v>1</v>
      </c>
      <c r="EJ107" s="36">
        <f>Crops[[#This Row],[Custom Yield Per Bed]]</f>
        <v>6000</v>
      </c>
      <c r="EK107" s="210">
        <f>Crops[[#This Row],[Units Per Harvest]]/Crops[[#This Row],[Days Between Harvest]]*7</f>
        <v>2000</v>
      </c>
      <c r="EL107" s="210" t="e">
        <f>Crops[[#This Row],[Custom Yield Per Bed]]/_xlfn.XLOOKUP(Crops[[#This Row],[ProductIndex]],Products[ID],Products[CSA Portion])</f>
        <v>#DIV/0!</v>
      </c>
      <c r="EM107" s="210" t="e">
        <f>Crops[[#This Row],[Units Per Harvest]]/Crops[[#This Row],[Days Between Harvest]]*7/_xlfn.XLOOKUP(Crops[[#This Row],[ProductIndex]],Products[ID],Products[CSA Portion])</f>
        <v>#DIV/0!</v>
      </c>
      <c r="EN107" s="210" t="e">
        <f>Crops[[#This Row],[CSA Portions Per Week]]/CSAMembers</f>
        <v>#DIV/0!</v>
      </c>
      <c r="EO107" s="210"/>
      <c r="EP107" s="210"/>
      <c r="EQ107" s="36"/>
      <c r="ER107" s="36">
        <f>Crops[[#This Row],[Harvests]]*Crops[[#This Row],[Days Between Harvest]]/7</f>
        <v>3</v>
      </c>
      <c r="ES107" s="208">
        <f>_xlfn.XLOOKUP(Crops[[#This Row],[ProductIndex]],Products[ID],Products[CSA Need])</f>
        <v>0</v>
      </c>
      <c r="ET107" s="208">
        <f>_xlfn.XLOOKUP(Crops[[#This Row],[ProductIndex]],Products[ID],Products[CSA Times])</f>
        <v>0</v>
      </c>
      <c r="EU107" s="208" t="e">
        <f>Crops[[#This Row],[Custom Yield Per Bed]]/(Crops[[#This Row],[CSA Need]]*(_xlfn.XLOOKUP(Crops[[#This Row],[ProductIndex]],Products[ID],Products[CSA Portion])*CSAMembers))</f>
        <v>#DIV/0!</v>
      </c>
      <c r="EV107" s="208">
        <f>_xlfn.XLOOKUP(Crops[[#This Row],[ProductIndex]],Products[ID],Products[CSA Portion])*CSAMembers*Crops[[#This Row],[CSA Need]]/Crops[[#This Row],[Custom Yield Per Bed]]</f>
        <v>0</v>
      </c>
      <c r="EW107" s="208">
        <f>IFERROR(Crops[[#This Row],[Days In Field]]*Crops[[#This Row],[CSA Beds]],"")</f>
        <v>0</v>
      </c>
      <c r="EX107" s="208" t="e">
        <f>Crops[[#This Row],[CSA Bed Days]]*#REF!</f>
        <v>#REF!</v>
      </c>
      <c r="EY107" t="s">
        <v>1781</v>
      </c>
    </row>
    <row r="108" spans="1:155">
      <c r="A108"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(Asian Long) - Large Fruit 1X | Greenhouse TP </v>
      </c>
      <c r="B108" s="182"/>
      <c r="C108" s="1" t="b">
        <v>1</v>
      </c>
      <c r="D108" s="1"/>
      <c r="E108" s="1" t="b">
        <v>0</v>
      </c>
      <c r="F108" s="1" t="b">
        <f>IFERROR(IF(ISNUMBER(MATCH(Crops[[#This Row],[Identifier]],BedPlan[Crop], 0)), TRUE, FALSE), FALSE)</f>
        <v>1</v>
      </c>
      <c r="G108" s="1" t="b">
        <f>IFERROR(IF(ISNUMBER(MATCH(Crops[[#This Row],[Identifier]],BedPlan[Crop], 0)), TRUE, FALSE), FALSE)</f>
        <v>1</v>
      </c>
      <c r="H108" s="1"/>
      <c r="I108" t="s">
        <v>70</v>
      </c>
      <c r="J108" t="s">
        <v>157</v>
      </c>
      <c r="K108" t="s">
        <v>2362</v>
      </c>
      <c r="M108" t="s">
        <v>70</v>
      </c>
      <c r="N108" t="str">
        <f>Crops[[#This Row],[Crop]]</f>
        <v>Cucumber</v>
      </c>
      <c r="O108" t="s">
        <v>211</v>
      </c>
      <c r="P108" t="str">
        <f>IF(OR(Crops[[#This Row],[Days in Cells]]="",Crops[[#This Row],[Days in Cells]]=0), "DS","TP")</f>
        <v>TP</v>
      </c>
      <c r="V108" t="str">
        <f xml:space="preserve"> IF(Crops[[#This Row],[Sp]], "Sp", "") &amp; IF(Crops[[#This Row],[Su]], "Su", "") &amp; IF(Crops[[#This Row],[Fa]], "Fa", "") &amp; IF(Crops[[#This Row],[Wi]], "Wi", "") &amp; IF(Crops[[#This Row],[OW]], "Ow","")</f>
        <v/>
      </c>
      <c r="W108" t="s">
        <v>144</v>
      </c>
      <c r="X108">
        <v>1</v>
      </c>
      <c r="Y108">
        <v>18</v>
      </c>
      <c r="AB108" t="b">
        <v>0</v>
      </c>
      <c r="AC108">
        <v>6</v>
      </c>
      <c r="AD108" s="32">
        <f>IFERROR(12/Crops[[#This Row],[Spacing]]*Crops[[#This Row],[Rows]]*BedLength,"")</f>
        <v>33.333333333333329</v>
      </c>
      <c r="AE108">
        <v>1</v>
      </c>
      <c r="AG108">
        <f>IF(Crops[[#This Row],[Custom Safety Factor]]="",PlantingSafetyFactor,Crops[[#This Row],[Custom Safety Factor]])</f>
        <v>1.3</v>
      </c>
      <c r="AH108">
        <f>1</f>
        <v>1</v>
      </c>
      <c r="AI108" s="33">
        <f>IFERROR(Crops[[#This Row],[Plantings Per Bed]]*Crops[[#This Row],[Seeds Per Planting]]*Crops[[#This Row],[Safety Factor]]*Crops[[#This Row],[Seeding Factor]],"")</f>
        <v>43.333333333333329</v>
      </c>
      <c r="AL108">
        <f>_xlfn.FLOOR.MATH(IFERROR(AVERAGE(Crops[[#This Row],[DTG Lower]:[DTG Upper]]),0))</f>
        <v>0</v>
      </c>
      <c r="AM108">
        <f>SUM(Crops[[#This Row],[Tray 1 Days]],Crops[[#This Row],[Tray 2 Days]],Crops[[#This Row],[Tray 3 Days]])</f>
        <v>35</v>
      </c>
      <c r="AN108">
        <v>28</v>
      </c>
      <c r="AP108">
        <v>70</v>
      </c>
      <c r="AQ108">
        <f>IFERROR(_xlfn.FLOOR.MATH(AVERAGE(Crops[[#This Row],[DTM Lower]:[DTM Upper]])),"")</f>
        <v>70</v>
      </c>
      <c r="AR108" cm="1">
        <f t="array" ref="AR108">_xlfn.SWITCH(Crops[[#This Row],[Normal Method]],"DS",Crops[[#This Row],[Days to Germination]]+Crops[[#This Row],[DTM]] + IF(Crops[[#This Row],[Days in Cells]]&gt;0,15,0), "TP",Crops[[#This Row],[DTM]]+Crops[[#This Row],[Days in Cells]] + IF(Crops[[#This Row],[Days in Cells]]&lt;=0,20,0), "X", Crops[[#This Row],[DTM]])</f>
        <v>70</v>
      </c>
      <c r="AS108" t="s">
        <v>347</v>
      </c>
      <c r="AT108">
        <f>(Crops[[#This Row],[Harvests]]-1)*Crops[[#This Row],[Days Between Harvest]]+7</f>
        <v>105</v>
      </c>
      <c r="AU108">
        <f>Crops[[#This Row],[STH]]-Crops[[#This Row],[Days in Cells]]+Crops[[#This Row],[Harvest window]]</f>
        <v>140</v>
      </c>
      <c r="AX108">
        <v>18</v>
      </c>
      <c r="AY108">
        <v>35</v>
      </c>
      <c r="AZ108">
        <f>IFERROR(IF(Crops[[#This Row],[Tray 1 Days]]=0,"",Crops[[#This Row],[Plantings Per Bed]]/Crops[[#This Row],[Tray 1 Size]]*Crops[[#This Row],[Safety Factor]]),"")</f>
        <v>2.407407407407407</v>
      </c>
      <c r="BC108" t="str">
        <f>IFERROR(IF(Crops[[#This Row],[Tray 2 Days]]=0,"",Crops[[#This Row],[Plantings Per Bed]]/Crops[[#This Row],[Tray 2 Size]]*Crops[[#This Row],[Safety Factor]]),"")</f>
        <v/>
      </c>
      <c r="BE108" s="32" t="str">
        <f>IF(NOT(ISBLANK(Crops[[#This Row],[Tray 3 Size]])), Crops[[#This Row],[Days in Cells Old]]-SUM(Crops[[#This Row],[Tray 1 Days]],Crops[[#This Row],[Tray 2 Days]]), "")</f>
        <v/>
      </c>
      <c r="BF108" t="str">
        <f>IFERROR(IF(Crops[[#This Row],[Tray 3 Days]]=0,"",Crops[[#This Row],[Plantings Per Bed]]/Crops[[#This Row],[Tray 3 Size]]*Crops[[#This Row],[Safety Factor]]),"")</f>
        <v/>
      </c>
      <c r="BG108" s="33">
        <f>Crops[[#This Row],[Plantings Per Bed]]*2*Crops[[#This Row],[Days Between Harvest]]/7</f>
        <v>19.047619047619044</v>
      </c>
      <c r="BH108" s="33">
        <v>50</v>
      </c>
      <c r="BI108" s="33">
        <v>2</v>
      </c>
      <c r="BJ108" s="33">
        <f>_xlfn.XLOOKUP(Crops[[#This Row],[ProductIndex]],Products[ID],Products[Holding Period])</f>
        <v>4</v>
      </c>
      <c r="BK108" s="33"/>
      <c r="BL108" s="33">
        <f>Crops[[#This Row],[Units Per Harvest]]*Crops[[#This Row],[Harvests]]</f>
        <v>952.38095238095218</v>
      </c>
      <c r="BM108" s="35">
        <v>2.25</v>
      </c>
      <c r="BN108" s="35">
        <v>2.12</v>
      </c>
      <c r="BO108" s="35"/>
      <c r="BP108" t="s">
        <v>1303</v>
      </c>
      <c r="BQ108">
        <f>Crops[[#This Row],[Custom Yield Per Bed]]*Crops[[#This Row],[Direct Price]]</f>
        <v>2142.8571428571422</v>
      </c>
      <c r="BR108" t="b">
        <v>1</v>
      </c>
      <c r="BS108" t="b">
        <f>Crops[[#This Row],[Harvests]]&gt;1</f>
        <v>1</v>
      </c>
      <c r="BT108" s="36">
        <f>IFERROR(Crops[[#This Row],[Direct Revenue Per Bed]]/Crops[[#This Row],[Days In Field]],-1)</f>
        <v>15.306122448979588</v>
      </c>
      <c r="BU108" s="36">
        <f>IFERROR(Crops[[#This Row],[Direct Revenue Per Bed Day]]*GrowingDays*BedsPerAcre,"")</f>
        <v>440816.32653061213</v>
      </c>
      <c r="BV108" s="38">
        <f>LastFrostDate-5*Crops[[#This Row],[Sewing Rel Last Frost]]</f>
        <v>45748</v>
      </c>
      <c r="BW108" s="38">
        <f>Crops[[#This Row],[Target Sewing Date]]+Crops[[#This Row],[Days in Cells]]</f>
        <v>45783</v>
      </c>
      <c r="BX108" s="38">
        <f>Crops[[#This Row],[Target Sewing Date]]+Crops[[#This Row],[STH]]</f>
        <v>45818</v>
      </c>
      <c r="BY108" s="38">
        <f>Crops[[#This Row],[Target Harvest Data]]+Crops[[#This Row],[Harvest window]]</f>
        <v>45923</v>
      </c>
      <c r="CA108" t="s">
        <v>373</v>
      </c>
      <c r="CB108">
        <f>1</f>
        <v>1</v>
      </c>
      <c r="CC108">
        <f>IF(Crops[[#This Row],[Transplanting]]&gt;0, 2, 3)*BedLength/StandardBedLength</f>
        <v>1</v>
      </c>
      <c r="CD108" s="173">
        <f>IF(Crops[[#This Row],[Days in Cells]]&lt;=0,0,Crops[[#This Row],[Plantings Per Bed]]/StartsPerHourSeeding+Crops[[#This Row],[Tray 1 Count]]*5/60)</f>
        <v>0.33082561728395055</v>
      </c>
      <c r="CE108" s="173">
        <f>IF(ISBLANK(Crops[[#This Row],[Tray 2 Days]]),0,Crops[[#This Row],[Plantings Per Bed]]/UpPottingPerHour)+IF(Crops[[#This Row],[Tray 3 Days]]="",0,Crops[[#This Row],[Plantings Per Bed]]/UpPottingPerHour)</f>
        <v>0</v>
      </c>
      <c r="CF108" s="173">
        <f>IFERROR(Crops[[#This Row],[Tray 1 Count]]/HomeStartFlatIrrigationPerHour,0)*Crops[[#This Row],[Days in Cells]]/DaysBetweenStartIrrigation</f>
        <v>0.35108024691358014</v>
      </c>
      <c r="CG108" s="173">
        <f>0.5/16*MAX(Crops[[#This Row],[Tray 1 Count]],Crops[[#This Row],[Tray 2 Count]],Crops[[#This Row],[Tray 3 Count]])</f>
        <v>7.5231481481481469E-2</v>
      </c>
      <c r="CH108" s="173">
        <f>IF(Crops[[#This Row],[Days in Cells]]&gt;0,IF(IF(Crops[[#This Row],[Tray 3 Size]]&gt;0,Crops[[#This Row],[Tray 3 Size]],IF(Crops[[#This Row],[Tray 2 Size]]&gt;0,Crops[[#This Row],[Tray 2 Size]],Crops[[#This Row],[Tray 1 Size]]))&lt;=18,LargeTransplantTime,SmallTransplantTime)*Crops[[#This Row],[Plantings Per Bed]],0)</f>
        <v>1.3888888888888886</v>
      </c>
      <c r="CI108" s="173"/>
      <c r="CJ108" s="173">
        <f>_xlfn.XLOOKUP(Crops[[#This Row],[Trellis Type]],TrellisMethods[Trellis Type],TrellisMethods[Hours],0,0)</f>
        <v>0</v>
      </c>
      <c r="CK108">
        <f>IF(Crops[[#This Row],[Days in Cells]]&lt;=0,Crops[[#This Row],[Rows]]*1/10,0)*BedLength/50</f>
        <v>0</v>
      </c>
      <c r="CL108" cm="1">
        <f t="array" ref="CL108">_xlfn.SWITCH(Crops[[#This Row],[Irrigation]],"DR", 0.5, "OH", 0.25,0)*BedLength/50</f>
        <v>0</v>
      </c>
      <c r="CM108">
        <f>IF(OR(ISBLANK(Crops[[#This Row],[Row Cover]]),Crops[[#This Row],[Row Cover]]="None"),0,1)*BedLength/50</f>
        <v>0</v>
      </c>
      <c r="CN108" s="173">
        <f>HoursPerWeedingPass*Crops[[#This Row],[Days In Field]]/14*Crops[[#This Row],[Rows]]+1*BedLength/50</f>
        <v>2.6666666666666665</v>
      </c>
      <c r="CO108" s="49">
        <f>0.5*Crops[[#This Row],[Days In Field]]/7</f>
        <v>10</v>
      </c>
      <c r="CQ108" s="37">
        <f>_xlfn.XLOOKUP(Crops[[#This Row],[Crop]]&amp;Crops[[#This Row],[Product]]&amp;Crops[[#This Row],[Unit]],Products[ID],Products[Marketing (hr)])*Crops[[#This Row],[Direct Revenue Per Bed]]/2000</f>
        <v>1.0714285714285712</v>
      </c>
      <c r="CR108" s="37">
        <f>_xlfn.XLOOKUP(Crops[[#This Row],[Crop]]&amp;Crops[[#This Row],[Product]]&amp;Crops[[#This Row],[Unit]],Products[ID],Products[Harvest (s)])*Crops[[#This Row],[Custom Yield Per Bed]]/3600</f>
        <v>2.6455026455026447</v>
      </c>
      <c r="CS108" s="37">
        <f>_xlfn.XLOOKUP(Crops[[#This Row],[Crop]]&amp;Crops[[#This Row],[Product]]&amp;Crops[[#This Row],[Unit]],Products[ID],Products[Bunch (s)])*Crops[[#This Row],[Custom Yield Per Bed]]/3600</f>
        <v>0</v>
      </c>
      <c r="CT108" s="37">
        <f>_xlfn.XLOOKUP(Crops[[#This Row],[Crop]]&amp;Crops[[#This Row],[Product]]&amp;Crops[[#This Row],[Unit]],Products[ID],Products[Haul (s)])*Crops[[#This Row],[Custom Yield Per Bed]]/3600</f>
        <v>0.95238095238095222</v>
      </c>
      <c r="CU108" s="37">
        <f>_xlfn.XLOOKUP(Crops[[#This Row],[Crop]]&amp;Crops[[#This Row],[Product]]&amp;Crops[[#This Row],[Unit]],Products[ID],Products[Wash (s)])*Crops[[#This Row],[Custom Yield Per Bed]]/3600</f>
        <v>0</v>
      </c>
      <c r="CV108" s="37">
        <f>_xlfn.XLOOKUP(Crops[[#This Row],[Crop]]&amp;Crops[[#This Row],[Product]]&amp;Crops[[#This Row],[Unit]],Products[ID],Products[Condition (s)])*Crops[[#This Row],[Custom Yield Per Bed]]/3600</f>
        <v>0</v>
      </c>
      <c r="CW108" s="37">
        <f>_xlfn.XLOOKUP(Crops[[#This Row],[Crop]]&amp;Crops[[#This Row],[Product]]&amp;Crops[[#This Row],[Unit]],Products[ID],Products[Trim (s)])*Crops[[#This Row],[Custom Yield Per Bed]]/3600</f>
        <v>0</v>
      </c>
      <c r="CX108" s="37">
        <f>_xlfn.XLOOKUP(Crops[[#This Row],[Crop]]&amp;Crops[[#This Row],[Product]]&amp;Crops[[#This Row],[Unit]],Products[ID],Products[Pack (s)])*Crops[[#This Row],[Custom Yield Per Bed]]/3600</f>
        <v>0.7936507936507935</v>
      </c>
      <c r="CY108" s="37">
        <f>_xlfn.XLOOKUP(Crops[[#This Row],[Crop]]&amp;Crops[[#This Row],[Product]]&amp;Crops[[#This Row],[Unit]],Products[ID],Products[Clean (s)])*Crops[[#This Row],[Custom Yield Per Bed]]/3600</f>
        <v>0</v>
      </c>
      <c r="CZ108" s="37">
        <f>_xlfn.XLOOKUP(Crops[[#This Row],[Crop]]&amp;Crops[[#This Row],[Product]]&amp;Crops[[#This Row],[Unit]],Products[ID],Products[Rehandle (s)])*Crops[[#This Row],[Custom Yield Per Bed]]/3600</f>
        <v>0</v>
      </c>
      <c r="DA108" s="37">
        <f>_xlfn.XLOOKUP(Crops[[#This Row],[Crop]]&amp;Crops[[#This Row],[Product]]&amp;Crops[[#This Row],[Unit]],Products[ID],Products[Market Transport (s)])*Crops[[#This Row],[Custom Yield Per Bed]]/3600</f>
        <v>2.38095238095238</v>
      </c>
      <c r="DB108" s="37">
        <f>_xlfn.XLOOKUP(Crops[[#This Row],[Crop]]&amp;Crops[[#This Row],[Product]]&amp;Crops[[#This Row],[Unit]],Products[ID],Products[Market Transport (s)])*Crops[[#This Row],[Custom Yield Per Bed]]/3600</f>
        <v>2.38095238095238</v>
      </c>
      <c r="DC108" s="37">
        <f>Crops[[#This Row],[Direct Revenue Per Bed2]]</f>
        <v>2142.8571428571422</v>
      </c>
      <c r="DD108" s="173">
        <f>_xlfn.AGGREGATE(9,6,Crops[[#This Row],[Bed Prep]:[Remove Crop Residue]])</f>
        <v>26.037560626102291</v>
      </c>
      <c r="DE108" s="173">
        <f>_xlfn.AGGREGATE(9,6,Crops[[#This Row],[Bed Prep]:[Remove Crop Residue]])-0.75*Crops[[#This Row],[Market &amp; Sell]]</f>
        <v>25.233989197530864</v>
      </c>
      <c r="DF108" s="36">
        <f>Crops[[#This Row],[Direct Revenue Per Bed2]]/Crops[[#This Row],[Direct Time]]</f>
        <v>82.298690481356303</v>
      </c>
      <c r="DG108" s="36">
        <f>_xlfn.XLOOKUP(Crops[[#This Row],[ProductIndex]],Products[ID],Products[Packaging Cost])*(Crops[[#This Row],[Custom Yield Per Bed]]/_xlfn.XLOOKUP(Crops[[#This Row],[ProductIndex]],Products[ID],Products[Units Per Pack]))</f>
        <v>144.76190476190473</v>
      </c>
      <c r="DH108" s="36"/>
      <c r="DI108" s="36"/>
      <c r="DJ108" s="36"/>
      <c r="DK108" s="36"/>
      <c r="DL108" s="36"/>
      <c r="DM108" s="33">
        <f>IFERROR(Crops[[#This Row],[Custom Yield Per Bed]]*Crops[[#This Row],[Direct Price]],"")</f>
        <v>2142.8571428571422</v>
      </c>
      <c r="DN108" s="36">
        <f>Crops[[#This Row],[Direct Time]]*LaborRate</f>
        <v>650.93901565255726</v>
      </c>
      <c r="DO108" s="36">
        <f>SUM(Crops[[#This Row],[Irrigation Cost]])</f>
        <v>0</v>
      </c>
      <c r="DP108" s="36">
        <f>Crops[[#This Row],[Direct Labor Cost]]+Crops[[#This Row],[Direct Non-Labor Cost]]</f>
        <v>650.93901565255726</v>
      </c>
      <c r="DQ108" s="36">
        <f>Crops[[#This Row],[Direct Revenue Per Bed2]]-Crops[[#This Row],[Direct Total Cost]]</f>
        <v>1491.9181272045848</v>
      </c>
      <c r="DR108" s="36">
        <f>Crops[[#This Row],[Direct Profit]]*BedsPerAcre</f>
        <v>238706.90035273356</v>
      </c>
      <c r="DS108" s="36">
        <f>Crops[[#This Row],[Direct Profit]]*BedsPerAcre*GrowingDays/Crops[[#This Row],[Days In Field]]</f>
        <v>306908.87188208598</v>
      </c>
      <c r="DT108" s="36">
        <f>Crops[[#This Row],[Direct Profit]]/MIN(Crops[[#This Row],[Days In Field]],GrowingDays)</f>
        <v>10.656558051461321</v>
      </c>
      <c r="DU108" s="33">
        <f>Crops[[#This Row],[Direct Time]] * BedsPerAcre</f>
        <v>4166.0097001763661</v>
      </c>
      <c r="DV108" s="36">
        <f>(Crops[[#This Row],[Direct Revenue Per Bed2]]-Crops[[#This Row],[Direct Non-Labor Cost]])/Crops[[#This Row],[Direct Time]]</f>
        <v>82.298690481356303</v>
      </c>
      <c r="DW108" s="33">
        <f>IFERROR(Crops[[#This Row],[Custom Yield Per Bed]]*Crops[[#This Row],[Rough Wholesale Price]],"")</f>
        <v>2019.0476190476188</v>
      </c>
      <c r="DX108" s="36">
        <f>Crops[[#This Row],[Wholesale Time]]*LaborRate</f>
        <v>630.84972993827159</v>
      </c>
      <c r="DY108" s="36">
        <f>SUM(Crops[[#This Row],[Packaging Costs]:[Irrigation Cost]])</f>
        <v>144.76190476190473</v>
      </c>
      <c r="DZ108" s="36">
        <f>Crops[[#This Row],[Wholesale Labor Cost]]+Crops[[#This Row],[Wholesale Non-Labor Cost]]</f>
        <v>775.6116347001763</v>
      </c>
      <c r="EA108" s="36">
        <f>Crops[[#This Row],[Wholesale Revenue Per Bed]]-Crops[[#This Row],[Wholesale Total Cost]]</f>
        <v>1243.4359843474426</v>
      </c>
      <c r="EB108" s="36">
        <f>Crops[[#This Row],[Wholesale Profit]]*BedsPerAcre</f>
        <v>198949.75749559083</v>
      </c>
      <c r="EC108" s="36">
        <f>Crops[[#This Row],[Wholesale Profit]]*BedsPerAcre*GrowingDays/Crops[[#This Row],[Days In Field]]</f>
        <v>255792.54535147393</v>
      </c>
      <c r="ED108" s="33">
        <f>Crops[[#This Row],[Wholesale Time]] * BedsPerAcre</f>
        <v>4037.4382716049381</v>
      </c>
      <c r="EE108" s="221">
        <f>Crops[[#This Row],[Wholesale Profit]]/MIN(Crops[[#This Row],[Days In Field]],GrowingDays)</f>
        <v>8.881685602481733</v>
      </c>
      <c r="EF108" s="36">
        <f>(Crops[[#This Row],[Wholesale Revenue Per Bed]]-Crops[[#This Row],[Wholesale Non-Labor Cost]])/Crops[[#This Row],[Direct Time]]</f>
        <v>71.983921274359659</v>
      </c>
      <c r="EG108" s="174">
        <f>Crops[[#This Row],[Packaging Costs]]/Crops[[#This Row],[Wholesale Revenue Per Bed]]</f>
        <v>7.1698113207547168E-2</v>
      </c>
      <c r="EH108" s="36" t="str">
        <f>Crops[[#This Row],[Crop]]&amp;Crops[[#This Row],[Product]]&amp;Crops[[#This Row],[Unit]]</f>
        <v>CucumberLarge FruitFruit</v>
      </c>
      <c r="EI108" s="36" t="b">
        <f>_xlfn.XLOOKUP(Crops[[#This Row],[ProductIndex]],Products[ID],Products[Target])</f>
        <v>1</v>
      </c>
      <c r="EJ108" s="33">
        <f>Crops[[#This Row],[Custom Yield Per Bed]]</f>
        <v>952.38095238095218</v>
      </c>
      <c r="EK108" s="210">
        <f>Crops[[#This Row],[Units Per Harvest]]/Crops[[#This Row],[Days Between Harvest]]*7</f>
        <v>66.666666666666657</v>
      </c>
      <c r="EL108" s="210">
        <f>Crops[[#This Row],[Custom Yield Per Bed]]/_xlfn.XLOOKUP(Crops[[#This Row],[ProductIndex]],Products[ID],Products[CSA Portion])</f>
        <v>476.19047619047609</v>
      </c>
      <c r="EM108" s="210">
        <f>Crops[[#This Row],[Units Per Harvest]]/Crops[[#This Row],[Days Between Harvest]]*7/_xlfn.XLOOKUP(Crops[[#This Row],[ProductIndex]],Products[ID],Products[CSA Portion])</f>
        <v>33.333333333333329</v>
      </c>
      <c r="EN108" s="210">
        <f>Crops[[#This Row],[CSA Portions Per Week]]/CSAMembers</f>
        <v>0.66666666666666652</v>
      </c>
      <c r="EO108" s="216">
        <v>2</v>
      </c>
      <c r="EP108" s="216">
        <v>1</v>
      </c>
      <c r="EQ108" s="210"/>
      <c r="ER108" s="210">
        <f>Crops[[#This Row],[Harvests]]*Crops[[#This Row],[Days Between Harvest]]/7</f>
        <v>14.285714285714286</v>
      </c>
      <c r="ES108" s="217">
        <f>_xlfn.XLOOKUP(Crops[[#This Row],[ProductIndex]],Products[ID],Products[CSA Need])</f>
        <v>12</v>
      </c>
      <c r="ET108" s="217">
        <f>_xlfn.XLOOKUP(Crops[[#This Row],[ProductIndex]],Products[ID],Products[CSA Times])</f>
        <v>6</v>
      </c>
      <c r="EU108" s="208">
        <f>Crops[[#This Row],[Custom Yield Per Bed]]/(Crops[[#This Row],[CSA Need]]*(_xlfn.XLOOKUP(Crops[[#This Row],[ProductIndex]],Products[ID],Products[CSA Portion])*CSAMembers))</f>
        <v>0.7936507936507935</v>
      </c>
      <c r="EV108" s="208">
        <f>_xlfn.XLOOKUP(Crops[[#This Row],[ProductIndex]],Products[ID],Products[CSA Portion])*CSAMembers*Crops[[#This Row],[CSA Need]]/Crops[[#This Row],[Custom Yield Per Bed]]</f>
        <v>1.2600000000000002</v>
      </c>
      <c r="EW108" s="208">
        <f>IFERROR(Crops[[#This Row],[Days In Field]]*Crops[[#This Row],[CSA Beds]],"")</f>
        <v>176.40000000000003</v>
      </c>
      <c r="EX108" s="208" t="e">
        <f>Crops[[#This Row],[CSA Bed Days]]*#REF!</f>
        <v>#REF!</v>
      </c>
      <c r="EY108" t="s">
        <v>283</v>
      </c>
    </row>
    <row r="109" spans="1:155">
      <c r="A109"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(Asian Long) - Ripe Fruit 1X | Field TP </v>
      </c>
      <c r="B109" s="182"/>
      <c r="C109" s="1" t="b">
        <v>1</v>
      </c>
      <c r="D109" s="1"/>
      <c r="E109" s="1" t="b">
        <v>0</v>
      </c>
      <c r="F109" s="1" t="b">
        <f>IFERROR(IF(ISNUMBER(MATCH(Crops[[#This Row],[Identifier]],BedPlan[Crop], 0)), TRUE, FALSE), FALSE)</f>
        <v>1</v>
      </c>
      <c r="G109" s="1" t="b">
        <f>IFERROR(IF(ISNUMBER(MATCH(Crops[[#This Row],[Identifier]],BedPlan[Crop], 0)), TRUE, FALSE), FALSE)</f>
        <v>1</v>
      </c>
      <c r="H109" s="1"/>
      <c r="I109" t="s">
        <v>70</v>
      </c>
      <c r="J109" t="s">
        <v>157</v>
      </c>
      <c r="K109" t="s">
        <v>191</v>
      </c>
      <c r="M109" t="s">
        <v>70</v>
      </c>
      <c r="N109" t="str">
        <f>Crops[[#This Row],[Crop]]</f>
        <v>Cucumber</v>
      </c>
      <c r="O109" t="s">
        <v>210</v>
      </c>
      <c r="P109" t="str">
        <f>IF(OR(Crops[[#This Row],[Days in Cells]]="",Crops[[#This Row],[Days in Cells]]=0), "DS","TP")</f>
        <v>TP</v>
      </c>
      <c r="V109" t="str">
        <f xml:space="preserve"> IF(Crops[[#This Row],[Sp]], "Sp", "") &amp; IF(Crops[[#This Row],[Su]], "Su", "") &amp; IF(Crops[[#This Row],[Fa]], "Fa", "") &amp; IF(Crops[[#This Row],[Wi]], "Wi", "") &amp; IF(Crops[[#This Row],[OW]], "Ow","")</f>
        <v/>
      </c>
      <c r="W109" t="s">
        <v>144</v>
      </c>
      <c r="X109">
        <v>1</v>
      </c>
      <c r="Y109">
        <v>12</v>
      </c>
      <c r="Z109" t="s">
        <v>432</v>
      </c>
      <c r="AA109" t="s">
        <v>474</v>
      </c>
      <c r="AB109" t="b">
        <v>0</v>
      </c>
      <c r="AC109">
        <v>6</v>
      </c>
      <c r="AD109" s="32">
        <f>IFERROR(12/Crops[[#This Row],[Spacing]]*Crops[[#This Row],[Rows]]*BedLength,"")</f>
        <v>50</v>
      </c>
      <c r="AE109">
        <v>1</v>
      </c>
      <c r="AG109">
        <f>IF(Crops[[#This Row],[Custom Safety Factor]]="",PlantingSafetyFactor,Crops[[#This Row],[Custom Safety Factor]])</f>
        <v>1.3</v>
      </c>
      <c r="AH109">
        <f>1</f>
        <v>1</v>
      </c>
      <c r="AI109" s="33">
        <f>IFERROR(Crops[[#This Row],[Plantings Per Bed]]*Crops[[#This Row],[Seeds Per Planting]]*Crops[[#This Row],[Safety Factor]]*Crops[[#This Row],[Seeding Factor]],"")</f>
        <v>65</v>
      </c>
      <c r="AL109">
        <f>_xlfn.FLOOR.MATH(IFERROR(AVERAGE(Crops[[#This Row],[DTG Lower]:[DTG Upper]]),0))</f>
        <v>0</v>
      </c>
      <c r="AM109">
        <f>SUM(Crops[[#This Row],[Tray 1 Days]],Crops[[#This Row],[Tray 2 Days]],Crops[[#This Row],[Tray 3 Days]])</f>
        <v>35</v>
      </c>
      <c r="AN109" s="32">
        <v>28</v>
      </c>
      <c r="AP109">
        <v>80</v>
      </c>
      <c r="AQ109">
        <f>IFERROR(_xlfn.FLOOR.MATH(AVERAGE(Crops[[#This Row],[DTM Lower]:[DTM Upper]])),"")</f>
        <v>80</v>
      </c>
      <c r="AR109" cm="1">
        <f t="array" ref="AR109">_xlfn.SWITCH(Crops[[#This Row],[Normal Method]],"DS",Crops[[#This Row],[Days to Germination]]+Crops[[#This Row],[DTM]] + IF(Crops[[#This Row],[Days in Cells]]&gt;0,15,0), "TP",Crops[[#This Row],[DTM]]+Crops[[#This Row],[Days in Cells]] + IF(Crops[[#This Row],[Days in Cells]]&lt;=0,20,0), "X", Crops[[#This Row],[DTM]])</f>
        <v>80</v>
      </c>
      <c r="AS109" t="s">
        <v>347</v>
      </c>
      <c r="AT109">
        <f>(Crops[[#This Row],[Harvests]]-1)*Crops[[#This Row],[Days Between Harvest]]+7</f>
        <v>77</v>
      </c>
      <c r="AU109">
        <f>Crops[[#This Row],[STH]]-Crops[[#This Row],[Days in Cells]]+Crops[[#This Row],[Harvest window]]</f>
        <v>122</v>
      </c>
      <c r="AX109">
        <v>18</v>
      </c>
      <c r="AY109">
        <v>35</v>
      </c>
      <c r="AZ109" s="49">
        <f>IFERROR(IF(Crops[[#This Row],[Tray 1 Days]]=0,"",Crops[[#This Row],[Plantings Per Bed]]/Crops[[#This Row],[Tray 1 Size]]*Crops[[#This Row],[Safety Factor]]),"")</f>
        <v>3.6111111111111112</v>
      </c>
      <c r="BC109" t="str">
        <f>IFERROR(IF(Crops[[#This Row],[Tray 2 Days]]=0,"",Crops[[#This Row],[Plantings Per Bed]]/Crops[[#This Row],[Tray 2 Size]]*Crops[[#This Row],[Safety Factor]]),"")</f>
        <v/>
      </c>
      <c r="BE109" s="32" t="str">
        <f>IF(NOT(ISBLANK(Crops[[#This Row],[Tray 3 Size]])), Crops[[#This Row],[Days in Cells Old]]-SUM(Crops[[#This Row],[Tray 1 Days]],Crops[[#This Row],[Tray 2 Days]]), "")</f>
        <v/>
      </c>
      <c r="BF109" s="49" t="str">
        <f>IFERROR(IF(Crops[[#This Row],[Tray 3 Days]]=0,"",Crops[[#This Row],[Plantings Per Bed]]/Crops[[#This Row],[Tray 3 Size]]*Crops[[#This Row],[Safety Factor]]),"")</f>
        <v/>
      </c>
      <c r="BG109" s="33">
        <f>20*BedLength/StandardBedLength</f>
        <v>10</v>
      </c>
      <c r="BH109" s="33">
        <v>36</v>
      </c>
      <c r="BI109" s="33">
        <v>2</v>
      </c>
      <c r="BJ109" s="33">
        <f>_xlfn.XLOOKUP(Crops[[#This Row],[ProductIndex]],Products[ID],Products[Holding Period])</f>
        <v>4</v>
      </c>
      <c r="BK109" s="33"/>
      <c r="BL109" s="33">
        <f>Crops[[#This Row],[Units Per Harvest]]*Crops[[#This Row],[Harvests]]</f>
        <v>360</v>
      </c>
      <c r="BM109" s="35">
        <v>3</v>
      </c>
      <c r="BN109" s="35">
        <f>Crops[[#This Row],[Direct Price]]*0.6</f>
        <v>1.7999999999999998</v>
      </c>
      <c r="BO109" s="35"/>
      <c r="BP109" t="s">
        <v>383</v>
      </c>
      <c r="BQ109">
        <f>Crops[[#This Row],[Custom Yield Per Bed]]*Crops[[#This Row],[Direct Price]]</f>
        <v>1080</v>
      </c>
      <c r="BR109" t="b">
        <v>1</v>
      </c>
      <c r="BS109" t="b">
        <f>Crops[[#This Row],[Harvests]]&gt;1</f>
        <v>1</v>
      </c>
      <c r="BT109" s="36">
        <f>IFERROR(Crops[[#This Row],[Direct Revenue Per Bed]]/Crops[[#This Row],[Days In Field]],-1)</f>
        <v>8.8524590163934427</v>
      </c>
      <c r="BU109" s="36">
        <f>IFERROR(Crops[[#This Row],[Direct Revenue Per Bed Day]]*GrowingDays*BedsPerAcre,"")</f>
        <v>254950.81967213115</v>
      </c>
      <c r="BV109" s="38">
        <f>LastFrostDate-5*Crops[[#This Row],[Sewing Rel Last Frost]]</f>
        <v>45758</v>
      </c>
      <c r="BW109" s="38">
        <f>Crops[[#This Row],[Target Sewing Date]]+Crops[[#This Row],[Days in Cells]]</f>
        <v>45793</v>
      </c>
      <c r="BX109" s="38">
        <f>Crops[[#This Row],[Target Sewing Date]]+Crops[[#This Row],[STH]]</f>
        <v>45838</v>
      </c>
      <c r="BY109" s="38">
        <f>Crops[[#This Row],[Target Harvest Data]]+Crops[[#This Row],[Harvest window]]</f>
        <v>45915</v>
      </c>
      <c r="BZ109">
        <v>-2</v>
      </c>
      <c r="CA109" t="s">
        <v>373</v>
      </c>
      <c r="CB109">
        <f>1</f>
        <v>1</v>
      </c>
      <c r="CC109">
        <f>IF(Crops[[#This Row],[Transplanting]]&gt;0, 2, 3)*BedLength/StandardBedLength</f>
        <v>1</v>
      </c>
      <c r="CD109" s="173">
        <f>IF(Crops[[#This Row],[Days in Cells]]&lt;=0,0,Crops[[#This Row],[Plantings Per Bed]]/StartsPerHourSeeding+Crops[[#This Row],[Tray 1 Count]]*5/60)</f>
        <v>0.49623842592592593</v>
      </c>
      <c r="CE109" s="173">
        <f>IF(ISBLANK(Crops[[#This Row],[Tray 2 Days]]),0,Crops[[#This Row],[Plantings Per Bed]]/UpPottingPerHour)+IF(Crops[[#This Row],[Tray 3 Days]]="",0,Crops[[#This Row],[Plantings Per Bed]]/UpPottingPerHour)</f>
        <v>0</v>
      </c>
      <c r="CF109" s="173">
        <f>IFERROR(Crops[[#This Row],[Tray 1 Count]]/HomeStartFlatIrrigationPerHour,0)*Crops[[#This Row],[Days in Cells]]/DaysBetweenStartIrrigation</f>
        <v>0.52662037037037035</v>
      </c>
      <c r="CG109" s="173">
        <f>0.5/16*MAX(Crops[[#This Row],[Tray 1 Count]],Crops[[#This Row],[Tray 2 Count]],Crops[[#This Row],[Tray 3 Count]])</f>
        <v>0.11284722222222222</v>
      </c>
      <c r="CH109" s="173">
        <f>IF(Crops[[#This Row],[Days in Cells]]&gt;0,IF(IF(Crops[[#This Row],[Tray 3 Size]]&gt;0,Crops[[#This Row],[Tray 3 Size]],IF(Crops[[#This Row],[Tray 2 Size]]&gt;0,Crops[[#This Row],[Tray 2 Size]],Crops[[#This Row],[Tray 1 Size]]))&lt;=18,LargeTransplantTime,SmallTransplantTime)*Crops[[#This Row],[Plantings Per Bed]],0)</f>
        <v>2.083333333333333</v>
      </c>
      <c r="CI109" s="173"/>
      <c r="CJ109" s="173">
        <f>_xlfn.XLOOKUP(Crops[[#This Row],[Trellis Type]],TrellisMethods[Trellis Type],TrellisMethods[Hours],0,0)</f>
        <v>0</v>
      </c>
      <c r="CK109">
        <f>IF(Crops[[#This Row],[Days in Cells]]&lt;=0,Crops[[#This Row],[Rows]]*1/10,0)*BedLength/50</f>
        <v>0</v>
      </c>
      <c r="CL109" cm="1">
        <f t="array" ref="CL109">_xlfn.SWITCH(Crops[[#This Row],[Irrigation]],"DR", 0.5, "OH", 0.25,0)*BedLength/50</f>
        <v>0.5</v>
      </c>
      <c r="CM109">
        <f>IF(OR(ISBLANK(Crops[[#This Row],[Row Cover]]),Crops[[#This Row],[Row Cover]]="None"),0,1)*BedLength/50</f>
        <v>0</v>
      </c>
      <c r="CN109" s="173">
        <f>HoursPerWeedingPass*Crops[[#This Row],[Days In Field]]/14*Crops[[#This Row],[Rows]]+1*BedLength/50</f>
        <v>2.4523809523809526</v>
      </c>
      <c r="CO109">
        <f>0.5*Crops[[#This Row],[Days In Field]]/7*BedLength/50</f>
        <v>8.7142857142857135</v>
      </c>
      <c r="CQ109" s="37">
        <f>_xlfn.XLOOKUP(Crops[[#This Row],[Crop]]&amp;Crops[[#This Row],[Product]]&amp;Crops[[#This Row],[Unit]],Products[ID],Products[Marketing (hr)])*Crops[[#This Row],[Direct Revenue Per Bed]]/2000</f>
        <v>0.54</v>
      </c>
      <c r="CR109" s="37">
        <f>_xlfn.XLOOKUP(Crops[[#This Row],[Crop]]&amp;Crops[[#This Row],[Product]]&amp;Crops[[#This Row],[Unit]],Products[ID],Products[Harvest (s)])*Crops[[#This Row],[Custom Yield Per Bed]]/3600</f>
        <v>1</v>
      </c>
      <c r="CS109" s="37">
        <f>_xlfn.XLOOKUP(Crops[[#This Row],[Crop]]&amp;Crops[[#This Row],[Product]]&amp;Crops[[#This Row],[Unit]],Products[ID],Products[Bunch (s)])*Crops[[#This Row],[Custom Yield Per Bed]]/3600</f>
        <v>0</v>
      </c>
      <c r="CT109" s="37">
        <f>_xlfn.XLOOKUP(Crops[[#This Row],[Crop]]&amp;Crops[[#This Row],[Product]]&amp;Crops[[#This Row],[Unit]],Products[ID],Products[Haul (s)])*Crops[[#This Row],[Custom Yield Per Bed]]/3600</f>
        <v>0.36</v>
      </c>
      <c r="CU109" s="37">
        <f>_xlfn.XLOOKUP(Crops[[#This Row],[Crop]]&amp;Crops[[#This Row],[Product]]&amp;Crops[[#This Row],[Unit]],Products[ID],Products[Wash (s)])*Crops[[#This Row],[Custom Yield Per Bed]]/3600</f>
        <v>0</v>
      </c>
      <c r="CV109" s="37">
        <f>_xlfn.XLOOKUP(Crops[[#This Row],[Crop]]&amp;Crops[[#This Row],[Product]]&amp;Crops[[#This Row],[Unit]],Products[ID],Products[Condition (s)])*Crops[[#This Row],[Custom Yield Per Bed]]/3600</f>
        <v>0</v>
      </c>
      <c r="CW109" s="37">
        <f>_xlfn.XLOOKUP(Crops[[#This Row],[Crop]]&amp;Crops[[#This Row],[Product]]&amp;Crops[[#This Row],[Unit]],Products[ID],Products[Trim (s)])*Crops[[#This Row],[Custom Yield Per Bed]]/3600</f>
        <v>0</v>
      </c>
      <c r="CX109" s="37">
        <f>_xlfn.XLOOKUP(Crops[[#This Row],[Crop]]&amp;Crops[[#This Row],[Product]]&amp;Crops[[#This Row],[Unit]],Products[ID],Products[Pack (s)])*Crops[[#This Row],[Custom Yield Per Bed]]/3600</f>
        <v>0.3</v>
      </c>
      <c r="CY109" s="37">
        <f>_xlfn.XLOOKUP(Crops[[#This Row],[Crop]]&amp;Crops[[#This Row],[Product]]&amp;Crops[[#This Row],[Unit]],Products[ID],Products[Clean (s)])*Crops[[#This Row],[Custom Yield Per Bed]]/3600</f>
        <v>0</v>
      </c>
      <c r="CZ109" s="37">
        <f>_xlfn.XLOOKUP(Crops[[#This Row],[Crop]]&amp;Crops[[#This Row],[Product]]&amp;Crops[[#This Row],[Unit]],Products[ID],Products[Rehandle (s)])*Crops[[#This Row],[Custom Yield Per Bed]]/3600</f>
        <v>0</v>
      </c>
      <c r="DA109" s="37">
        <f>_xlfn.XLOOKUP(Crops[[#This Row],[Crop]]&amp;Crops[[#This Row],[Product]]&amp;Crops[[#This Row],[Unit]],Products[ID],Products[Market Transport (s)])*Crops[[#This Row],[Custom Yield Per Bed]]/3600</f>
        <v>0.9</v>
      </c>
      <c r="DC109" s="37">
        <f>Crops[[#This Row],[Direct Revenue Per Bed2]]</f>
        <v>1080</v>
      </c>
      <c r="DD109" s="173">
        <f>_xlfn.AGGREGATE(9,6,Crops[[#This Row],[Bed Prep]:[Remove Crop Residue]])</f>
        <v>18.985706018518517</v>
      </c>
      <c r="DE109" s="173">
        <f>_xlfn.AGGREGATE(9,6,Crops[[#This Row],[Bed Prep]:[Remove Crop Residue]])-0.75*Crops[[#This Row],[Market &amp; Sell]]</f>
        <v>18.580706018518516</v>
      </c>
      <c r="DF109" s="36">
        <f>Crops[[#This Row],[Direct Revenue Per Bed2]]/Crops[[#This Row],[Direct Time]]</f>
        <v>56.884900616631057</v>
      </c>
      <c r="DG109" s="36">
        <f>_xlfn.XLOOKUP(Crops[[#This Row],[ProductIndex]],Products[ID],Products[Packaging Cost])*(Crops[[#This Row],[Custom Yield Per Bed]]/_xlfn.XLOOKUP(Crops[[#This Row],[ProductIndex]],Products[ID],Products[Units Per Pack]))</f>
        <v>54.72</v>
      </c>
      <c r="DH109" s="36"/>
      <c r="DI109" s="36"/>
      <c r="DJ109" s="36"/>
      <c r="DK109" s="36"/>
      <c r="DL109" s="36"/>
      <c r="DM109" s="33">
        <f>IFERROR(Crops[[#This Row],[Custom Yield Per Bed]]*Crops[[#This Row],[Direct Price]],"")</f>
        <v>1080</v>
      </c>
      <c r="DN109" s="36">
        <f>Crops[[#This Row],[Direct Time]]*LaborRate</f>
        <v>474.64265046296293</v>
      </c>
      <c r="DO109" s="36">
        <f>SUM(Crops[[#This Row],[Irrigation Cost]])</f>
        <v>0</v>
      </c>
      <c r="DP109" s="36">
        <f>Crops[[#This Row],[Direct Labor Cost]]+Crops[[#This Row],[Direct Non-Labor Cost]]</f>
        <v>474.64265046296293</v>
      </c>
      <c r="DQ109" s="36">
        <f>Crops[[#This Row],[Direct Revenue Per Bed2]]-Crops[[#This Row],[Direct Total Cost]]</f>
        <v>605.35734953703707</v>
      </c>
      <c r="DR109" s="36">
        <f>Crops[[#This Row],[Direct Profit]]*BedsPerAcre</f>
        <v>96857.175925925927</v>
      </c>
      <c r="DS109" s="36">
        <f>Crops[[#This Row],[Direct Profit]]*BedsPerAcre*GrowingDays/Crops[[#This Row],[Days In Field]]</f>
        <v>142904.03005464483</v>
      </c>
      <c r="DT109" s="36">
        <f>Crops[[#This Row],[Direct Profit]]/MIN(Crops[[#This Row],[Days In Field]],GrowingDays)</f>
        <v>4.9619454880085003</v>
      </c>
      <c r="DU109" s="36">
        <f>Crops[[#This Row],[Direct Time]] * BedsPerAcre</f>
        <v>3037.7129629629626</v>
      </c>
      <c r="DV109" s="36">
        <f>(Crops[[#This Row],[Direct Revenue Per Bed2]]-Crops[[#This Row],[Direct Non-Labor Cost]])/Crops[[#This Row],[Direct Time]]</f>
        <v>56.884900616631057</v>
      </c>
      <c r="DW109" s="33">
        <f>IFERROR(Crops[[#This Row],[Custom Yield Per Bed]]*Crops[[#This Row],[Rough Wholesale Price]],"")</f>
        <v>647.99999999999989</v>
      </c>
      <c r="DX109" s="36">
        <f>Crops[[#This Row],[Wholesale Time]]*LaborRate</f>
        <v>464.51765046296288</v>
      </c>
      <c r="DY109" s="36">
        <f>SUM(Crops[[#This Row],[Packaging Costs]:[Irrigation Cost]])</f>
        <v>54.72</v>
      </c>
      <c r="DZ109" s="36">
        <f>Crops[[#This Row],[Wholesale Labor Cost]]+Crops[[#This Row],[Wholesale Non-Labor Cost]]</f>
        <v>519.23765046296285</v>
      </c>
      <c r="EA109" s="36">
        <f>Crops[[#This Row],[Wholesale Revenue Per Bed]]-Crops[[#This Row],[Wholesale Total Cost]]</f>
        <v>128.76234953703704</v>
      </c>
      <c r="EB109" s="36">
        <f>Crops[[#This Row],[Wholesale Profit]]*BedsPerAcre</f>
        <v>20601.975925925926</v>
      </c>
      <c r="EC109" s="36">
        <f>Crops[[#This Row],[Wholesale Profit]]*BedsPerAcre*GrowingDays/Crops[[#This Row],[Days In Field]]</f>
        <v>30396.357923497268</v>
      </c>
      <c r="ED109" s="36">
        <f>Crops[[#This Row],[Wholesale Time]] * BedsPerAcre</f>
        <v>2972.9129629629624</v>
      </c>
      <c r="EE109" s="36">
        <f>Crops[[#This Row],[Wholesale Profit]]/MIN(Crops[[#This Row],[Days In Field]],GrowingDays)</f>
        <v>1.0554290945658773</v>
      </c>
      <c r="EF109" s="36">
        <f>(Crops[[#This Row],[Wholesale Revenue Per Bed]]-Crops[[#This Row],[Wholesale Non-Labor Cost]])/Crops[[#This Row],[Direct Time]]</f>
        <v>31.248772072069322</v>
      </c>
      <c r="EG109" s="174">
        <f>Crops[[#This Row],[Packaging Costs]]/Crops[[#This Row],[Wholesale Revenue Per Bed]]</f>
        <v>8.4444444444444461E-2</v>
      </c>
      <c r="EH109" s="36" t="str">
        <f>Crops[[#This Row],[Crop]]&amp;Crops[[#This Row],[Product]]&amp;Crops[[#This Row],[Unit]]</f>
        <v>CucumberRipe FruitLb</v>
      </c>
      <c r="EI109" s="36" t="b">
        <f>_xlfn.XLOOKUP(Crops[[#This Row],[ProductIndex]],Products[ID],Products[Target])</f>
        <v>1</v>
      </c>
      <c r="EJ109" s="36">
        <f>Crops[[#This Row],[Custom Yield Per Bed]]</f>
        <v>360</v>
      </c>
      <c r="EK109" s="210">
        <f>Crops[[#This Row],[Units Per Harvest]]/Crops[[#This Row],[Days Between Harvest]]*7</f>
        <v>35</v>
      </c>
      <c r="EL109" s="210">
        <f>Crops[[#This Row],[Custom Yield Per Bed]]/_xlfn.XLOOKUP(Crops[[#This Row],[ProductIndex]],Products[ID],Products[CSA Portion])</f>
        <v>180</v>
      </c>
      <c r="EM109" s="210">
        <f>Crops[[#This Row],[Units Per Harvest]]/Crops[[#This Row],[Days Between Harvest]]*7/_xlfn.XLOOKUP(Crops[[#This Row],[ProductIndex]],Products[ID],Products[CSA Portion])</f>
        <v>17.5</v>
      </c>
      <c r="EN109" s="210">
        <f>Crops[[#This Row],[CSA Portions Per Week]]/CSAMembers</f>
        <v>0.35</v>
      </c>
      <c r="EO109" s="210"/>
      <c r="EP109" s="210"/>
      <c r="EQ109" s="36"/>
      <c r="ER109" s="36">
        <f>Crops[[#This Row],[Harvests]]*Crops[[#This Row],[Days Between Harvest]]/7</f>
        <v>10.285714285714286</v>
      </c>
      <c r="ES109" s="208">
        <f>_xlfn.XLOOKUP(Crops[[#This Row],[ProductIndex]],Products[ID],Products[CSA Need])</f>
        <v>0</v>
      </c>
      <c r="ET109" s="208">
        <f>_xlfn.XLOOKUP(Crops[[#This Row],[ProductIndex]],Products[ID],Products[CSA Times])</f>
        <v>0</v>
      </c>
      <c r="EU109" s="208" t="e">
        <f>Crops[[#This Row],[Custom Yield Per Bed]]/(Crops[[#This Row],[CSA Need]]*(_xlfn.XLOOKUP(Crops[[#This Row],[ProductIndex]],Products[ID],Products[CSA Portion])*CSAMembers))</f>
        <v>#DIV/0!</v>
      </c>
      <c r="EV109" s="208">
        <f>_xlfn.XLOOKUP(Crops[[#This Row],[ProductIndex]],Products[ID],Products[CSA Portion])*CSAMembers*Crops[[#This Row],[CSA Need]]/Crops[[#This Row],[Custom Yield Per Bed]]</f>
        <v>0</v>
      </c>
      <c r="EW109" s="208">
        <f>IFERROR(Crops[[#This Row],[Days In Field]]*Crops[[#This Row],[CSA Beds]],"")</f>
        <v>0</v>
      </c>
      <c r="EX109" s="208" t="e">
        <f>Crops[[#This Row],[CSA Bed Days]]*#REF!</f>
        <v>#REF!</v>
      </c>
      <c r="EY109" t="s">
        <v>1405</v>
      </c>
    </row>
    <row r="110" spans="1:155">
      <c r="A110"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(Lebanese) - Ripe Fruit 1X | Field TP </v>
      </c>
      <c r="B110" s="182"/>
      <c r="C110" s="1"/>
      <c r="D110" s="1"/>
      <c r="E110" s="1" t="b">
        <v>0</v>
      </c>
      <c r="F110" s="1" t="b">
        <f>IFERROR(IF(ISNUMBER(MATCH(Crops[[#This Row],[Identifier]],BedPlan[Crop], 0)), TRUE, FALSE), FALSE)</f>
        <v>0</v>
      </c>
      <c r="G110" s="1" t="b">
        <f>IFERROR(IF(ISNUMBER(MATCH(Crops[[#This Row],[Identifier]],BedPlan[Crop], 0)), TRUE, FALSE), FALSE)</f>
        <v>0</v>
      </c>
      <c r="H110" s="1"/>
      <c r="I110" t="s">
        <v>70</v>
      </c>
      <c r="J110" t="s">
        <v>158</v>
      </c>
      <c r="K110" t="s">
        <v>191</v>
      </c>
      <c r="M110" t="s">
        <v>70</v>
      </c>
      <c r="N110" t="str">
        <f>Crops[[#This Row],[Crop]]</f>
        <v>Cucumber</v>
      </c>
      <c r="O110" t="s">
        <v>210</v>
      </c>
      <c r="P110" t="str">
        <f>IF(OR(Crops[[#This Row],[Days in Cells]]="",Crops[[#This Row],[Days in Cells]]=0), "DS","TP")</f>
        <v>TP</v>
      </c>
      <c r="V110" t="str">
        <f xml:space="preserve"> IF(Crops[[#This Row],[Sp]], "Sp", "") &amp; IF(Crops[[#This Row],[Su]], "Su", "") &amp; IF(Crops[[#This Row],[Fa]], "Fa", "") &amp; IF(Crops[[#This Row],[Wi]], "Wi", "") &amp; IF(Crops[[#This Row],[OW]], "Ow","")</f>
        <v/>
      </c>
      <c r="W110" t="s">
        <v>144</v>
      </c>
      <c r="X110">
        <v>1</v>
      </c>
      <c r="Y110">
        <v>12</v>
      </c>
      <c r="Z110" t="s">
        <v>432</v>
      </c>
      <c r="AA110" t="s">
        <v>474</v>
      </c>
      <c r="AB110" t="b">
        <v>1</v>
      </c>
      <c r="AC110">
        <v>5</v>
      </c>
      <c r="AD110" s="32">
        <f>IFERROR(12/Crops[[#This Row],[Spacing]]*Crops[[#This Row],[Rows]]*BedLength,"")</f>
        <v>50</v>
      </c>
      <c r="AE110">
        <v>1</v>
      </c>
      <c r="AG110">
        <f>IF(Crops[[#This Row],[Custom Safety Factor]]="",PlantingSafetyFactor,Crops[[#This Row],[Custom Safety Factor]])</f>
        <v>1.3</v>
      </c>
      <c r="AH110">
        <f>1</f>
        <v>1</v>
      </c>
      <c r="AI110" s="33">
        <f>IFERROR(Crops[[#This Row],[Plantings Per Bed]]*Crops[[#This Row],[Seeds Per Planting]]*Crops[[#This Row],[Safety Factor]]*Crops[[#This Row],[Seeding Factor]],"")</f>
        <v>65</v>
      </c>
      <c r="AL110">
        <f>_xlfn.FLOOR.MATH(IFERROR(AVERAGE(Crops[[#This Row],[DTG Lower]:[DTG Upper]]),0))</f>
        <v>0</v>
      </c>
      <c r="AM110">
        <f>SUM(Crops[[#This Row],[Tray 1 Days]],Crops[[#This Row],[Tray 2 Days]],Crops[[#This Row],[Tray 3 Days]])</f>
        <v>35</v>
      </c>
      <c r="AN110" s="32">
        <v>28</v>
      </c>
      <c r="AP110">
        <v>80</v>
      </c>
      <c r="AQ110">
        <f>IFERROR(_xlfn.FLOOR.MATH(AVERAGE(Crops[[#This Row],[DTM Lower]:[DTM Upper]])),"")</f>
        <v>80</v>
      </c>
      <c r="AR110" cm="1">
        <f t="array" ref="AR110">_xlfn.SWITCH(Crops[[#This Row],[Normal Method]],"DS",Crops[[#This Row],[Days to Germination]]+Crops[[#This Row],[DTM]] + IF(Crops[[#This Row],[Days in Cells]]&gt;0,15,0), "TP",Crops[[#This Row],[DTM]]+Crops[[#This Row],[Days in Cells]] + IF(Crops[[#This Row],[Days in Cells]]&lt;=0,20,0), "X", Crops[[#This Row],[DTM]])</f>
        <v>80</v>
      </c>
      <c r="AS110" t="s">
        <v>347</v>
      </c>
      <c r="AT110">
        <f>(Crops[[#This Row],[Harvests]]-1)*Crops[[#This Row],[Days Between Harvest]]+7</f>
        <v>77</v>
      </c>
      <c r="AU110">
        <f>Crops[[#This Row],[STH]]-Crops[[#This Row],[Days in Cells]]+Crops[[#This Row],[Harvest window]]</f>
        <v>122</v>
      </c>
      <c r="AX110">
        <v>18</v>
      </c>
      <c r="AY110">
        <v>35</v>
      </c>
      <c r="AZ110" s="49">
        <f>IFERROR(IF(Crops[[#This Row],[Tray 1 Days]]=0,"",Crops[[#This Row],[Plantings Per Bed]]/Crops[[#This Row],[Tray 1 Size]]*Crops[[#This Row],[Safety Factor]]),"")</f>
        <v>3.6111111111111112</v>
      </c>
      <c r="BC110" t="str">
        <f>IFERROR(IF(Crops[[#This Row],[Tray 2 Days]]=0,"",Crops[[#This Row],[Plantings Per Bed]]/Crops[[#This Row],[Tray 2 Size]]*Crops[[#This Row],[Safety Factor]]),"")</f>
        <v/>
      </c>
      <c r="BE110" s="32" t="str">
        <f>IF(NOT(ISBLANK(Crops[[#This Row],[Tray 3 Size]])), Crops[[#This Row],[Days in Cells Old]]-SUM(Crops[[#This Row],[Tray 1 Days]],Crops[[#This Row],[Tray 2 Days]]), "")</f>
        <v/>
      </c>
      <c r="BF110" s="49" t="str">
        <f>IFERROR(IF(Crops[[#This Row],[Tray 3 Days]]=0,"",Crops[[#This Row],[Plantings Per Bed]]/Crops[[#This Row],[Tray 3 Size]]*Crops[[#This Row],[Safety Factor]]),"")</f>
        <v/>
      </c>
      <c r="BG110" s="33">
        <f>16*BedLength/StandardBedLength</f>
        <v>8</v>
      </c>
      <c r="BH110" s="33">
        <v>36</v>
      </c>
      <c r="BI110" s="33">
        <v>2</v>
      </c>
      <c r="BJ110" s="33">
        <f>_xlfn.XLOOKUP(Crops[[#This Row],[ProductIndex]],Products[ID],Products[Holding Period])</f>
        <v>4</v>
      </c>
      <c r="BK110" s="33"/>
      <c r="BL110" s="33">
        <f>Crops[[#This Row],[Units Per Harvest]]*Crops[[#This Row],[Harvests]]</f>
        <v>288</v>
      </c>
      <c r="BM110" s="35">
        <v>3</v>
      </c>
      <c r="BN110" s="35">
        <f>Crops[[#This Row],[Direct Price]]*0.6</f>
        <v>1.7999999999999998</v>
      </c>
      <c r="BO110" s="35"/>
      <c r="BP110" t="s">
        <v>383</v>
      </c>
      <c r="BQ110">
        <f>Crops[[#This Row],[Custom Yield Per Bed]]*Crops[[#This Row],[Direct Price]]</f>
        <v>864</v>
      </c>
      <c r="BR110" t="b">
        <v>1</v>
      </c>
      <c r="BS110" t="b">
        <f>Crops[[#This Row],[Harvests]]&gt;1</f>
        <v>1</v>
      </c>
      <c r="BT110" s="36">
        <f>IFERROR(Crops[[#This Row],[Direct Revenue Per Bed]]/Crops[[#This Row],[Days In Field]],-1)</f>
        <v>7.081967213114754</v>
      </c>
      <c r="BU110" s="36">
        <f>IFERROR(Crops[[#This Row],[Direct Revenue Per Bed Day]]*GrowingDays*BedsPerAcre,"")</f>
        <v>203960.65573770492</v>
      </c>
      <c r="BV110" s="38">
        <f>LastFrostDate-5*Crops[[#This Row],[Sewing Rel Last Frost]]</f>
        <v>45758</v>
      </c>
      <c r="BW110" s="38">
        <f>Crops[[#This Row],[Target Sewing Date]]+Crops[[#This Row],[Days in Cells]]</f>
        <v>45793</v>
      </c>
      <c r="BX110" s="38">
        <f>Crops[[#This Row],[Target Sewing Date]]+Crops[[#This Row],[STH]]</f>
        <v>45838</v>
      </c>
      <c r="BY110" s="38">
        <f>Crops[[#This Row],[Target Harvest Data]]+Crops[[#This Row],[Harvest window]]</f>
        <v>45915</v>
      </c>
      <c r="BZ110">
        <v>-2</v>
      </c>
      <c r="CA110" t="s">
        <v>373</v>
      </c>
      <c r="CB110">
        <f>1</f>
        <v>1</v>
      </c>
      <c r="CC110">
        <f>IF(Crops[[#This Row],[Transplanting]]&gt;0, 2, 3)*BedLength/StandardBedLength</f>
        <v>1</v>
      </c>
      <c r="CD110" s="173">
        <f>IF(Crops[[#This Row],[Days in Cells]]&lt;=0,0,Crops[[#This Row],[Plantings Per Bed]]/StartsPerHourSeeding+Crops[[#This Row],[Tray 1 Count]]*5/60)</f>
        <v>0.49623842592592593</v>
      </c>
      <c r="CE110" s="173">
        <f>IF(ISBLANK(Crops[[#This Row],[Tray 2 Days]]),0,Crops[[#This Row],[Plantings Per Bed]]/UpPottingPerHour)+IF(Crops[[#This Row],[Tray 3 Days]]="",0,Crops[[#This Row],[Plantings Per Bed]]/UpPottingPerHour)</f>
        <v>0</v>
      </c>
      <c r="CF110" s="173">
        <f>IFERROR(Crops[[#This Row],[Tray 1 Count]]/HomeStartFlatIrrigationPerHour,0)*Crops[[#This Row],[Days in Cells]]/DaysBetweenStartIrrigation</f>
        <v>0.52662037037037035</v>
      </c>
      <c r="CG110" s="173">
        <f>0.5/16*MAX(Crops[[#This Row],[Tray 1 Count]],Crops[[#This Row],[Tray 2 Count]],Crops[[#This Row],[Tray 3 Count]])</f>
        <v>0.11284722222222222</v>
      </c>
      <c r="CH110" s="173">
        <f>IF(Crops[[#This Row],[Days in Cells]]&gt;0,IF(IF(Crops[[#This Row],[Tray 3 Size]]&gt;0,Crops[[#This Row],[Tray 3 Size]],IF(Crops[[#This Row],[Tray 2 Size]]&gt;0,Crops[[#This Row],[Tray 2 Size]],Crops[[#This Row],[Tray 1 Size]]))&lt;=18,LargeTransplantTime,SmallTransplantTime)*Crops[[#This Row],[Plantings Per Bed]],0)</f>
        <v>2.083333333333333</v>
      </c>
      <c r="CI110" s="173"/>
      <c r="CJ110" s="173">
        <f>_xlfn.XLOOKUP(Crops[[#This Row],[Trellis Type]],TrellisMethods[Trellis Type],TrellisMethods[Hours],0,0)</f>
        <v>0</v>
      </c>
      <c r="CK110">
        <f>IF(Crops[[#This Row],[Days in Cells]]&lt;=0,Crops[[#This Row],[Rows]]*1/10,0)*BedLength/50</f>
        <v>0</v>
      </c>
      <c r="CL110" cm="1">
        <f t="array" ref="CL110">_xlfn.SWITCH(Crops[[#This Row],[Irrigation]],"DR", 0.5, "OH", 0.25,0)*BedLength/50</f>
        <v>0.5</v>
      </c>
      <c r="CM110">
        <f>IF(OR(ISBLANK(Crops[[#This Row],[Row Cover]]),Crops[[#This Row],[Row Cover]]="None"),0,1)*BedLength/50</f>
        <v>0</v>
      </c>
      <c r="CN110" s="173">
        <f>HoursPerWeedingPass*Crops[[#This Row],[Days In Field]]/14*Crops[[#This Row],[Rows]]+1*BedLength/50</f>
        <v>2.4523809523809526</v>
      </c>
      <c r="CO110">
        <f>0.5*Crops[[#This Row],[Days In Field]]/7*BedLength/50</f>
        <v>8.7142857142857135</v>
      </c>
      <c r="CQ110" s="37">
        <f>_xlfn.XLOOKUP(Crops[[#This Row],[Crop]]&amp;Crops[[#This Row],[Product]]&amp;Crops[[#This Row],[Unit]],Products[ID],Products[Marketing (hr)])*Crops[[#This Row],[Direct Revenue Per Bed]]/2000</f>
        <v>0.432</v>
      </c>
      <c r="CR110" s="37">
        <f>_xlfn.XLOOKUP(Crops[[#This Row],[Crop]]&amp;Crops[[#This Row],[Product]]&amp;Crops[[#This Row],[Unit]],Products[ID],Products[Harvest (s)])*Crops[[#This Row],[Custom Yield Per Bed]]/3600</f>
        <v>0.8</v>
      </c>
      <c r="CS110" s="37">
        <f>_xlfn.XLOOKUP(Crops[[#This Row],[Crop]]&amp;Crops[[#This Row],[Product]]&amp;Crops[[#This Row],[Unit]],Products[ID],Products[Bunch (s)])*Crops[[#This Row],[Custom Yield Per Bed]]/3600</f>
        <v>0</v>
      </c>
      <c r="CT110" s="37">
        <f>_xlfn.XLOOKUP(Crops[[#This Row],[Crop]]&amp;Crops[[#This Row],[Product]]&amp;Crops[[#This Row],[Unit]],Products[ID],Products[Haul (s)])*Crops[[#This Row],[Custom Yield Per Bed]]/3600</f>
        <v>0.28799999999999998</v>
      </c>
      <c r="CU110" s="37">
        <f>_xlfn.XLOOKUP(Crops[[#This Row],[Crop]]&amp;Crops[[#This Row],[Product]]&amp;Crops[[#This Row],[Unit]],Products[ID],Products[Wash (s)])*Crops[[#This Row],[Custom Yield Per Bed]]/3600</f>
        <v>0</v>
      </c>
      <c r="CV110" s="37">
        <f>_xlfn.XLOOKUP(Crops[[#This Row],[Crop]]&amp;Crops[[#This Row],[Product]]&amp;Crops[[#This Row],[Unit]],Products[ID],Products[Condition (s)])*Crops[[#This Row],[Custom Yield Per Bed]]/3600</f>
        <v>0</v>
      </c>
      <c r="CW110" s="37">
        <f>_xlfn.XLOOKUP(Crops[[#This Row],[Crop]]&amp;Crops[[#This Row],[Product]]&amp;Crops[[#This Row],[Unit]],Products[ID],Products[Trim (s)])*Crops[[#This Row],[Custom Yield Per Bed]]/3600</f>
        <v>0</v>
      </c>
      <c r="CX110" s="37">
        <f>_xlfn.XLOOKUP(Crops[[#This Row],[Crop]]&amp;Crops[[#This Row],[Product]]&amp;Crops[[#This Row],[Unit]],Products[ID],Products[Pack (s)])*Crops[[#This Row],[Custom Yield Per Bed]]/3600</f>
        <v>0.24</v>
      </c>
      <c r="CY110" s="37">
        <f>_xlfn.XLOOKUP(Crops[[#This Row],[Crop]]&amp;Crops[[#This Row],[Product]]&amp;Crops[[#This Row],[Unit]],Products[ID],Products[Clean (s)])*Crops[[#This Row],[Custom Yield Per Bed]]/3600</f>
        <v>0</v>
      </c>
      <c r="CZ110" s="37">
        <f>_xlfn.XLOOKUP(Crops[[#This Row],[Crop]]&amp;Crops[[#This Row],[Product]]&amp;Crops[[#This Row],[Unit]],Products[ID],Products[Rehandle (s)])*Crops[[#This Row],[Custom Yield Per Bed]]/3600</f>
        <v>0</v>
      </c>
      <c r="DA110" s="37">
        <f>_xlfn.XLOOKUP(Crops[[#This Row],[Crop]]&amp;Crops[[#This Row],[Product]]&amp;Crops[[#This Row],[Unit]],Products[ID],Products[Market Transport (s)])*Crops[[#This Row],[Custom Yield Per Bed]]/3600</f>
        <v>0.72</v>
      </c>
      <c r="DC110" s="37">
        <f>Crops[[#This Row],[Direct Revenue Per Bed2]]</f>
        <v>864</v>
      </c>
      <c r="DD110" s="173">
        <f>_xlfn.AGGREGATE(9,6,Crops[[#This Row],[Bed Prep]:[Remove Crop Residue]])</f>
        <v>18.365706018518516</v>
      </c>
      <c r="DE110" s="173">
        <f>_xlfn.AGGREGATE(9,6,Crops[[#This Row],[Bed Prep]:[Remove Crop Residue]])-0.75*Crops[[#This Row],[Market &amp; Sell]]</f>
        <v>18.041706018518514</v>
      </c>
      <c r="DF110" s="36">
        <f>Crops[[#This Row],[Direct Revenue Per Bed2]]/Crops[[#This Row],[Direct Time]]</f>
        <v>47.044202881654059</v>
      </c>
      <c r="DG110" s="36">
        <f>_xlfn.XLOOKUP(Crops[[#This Row],[ProductIndex]],Products[ID],Products[Packaging Cost])*(Crops[[#This Row],[Custom Yield Per Bed]]/_xlfn.XLOOKUP(Crops[[#This Row],[ProductIndex]],Products[ID],Products[Units Per Pack]))</f>
        <v>43.775999999999996</v>
      </c>
      <c r="DH110" s="36"/>
      <c r="DI110" s="36"/>
      <c r="DJ110" s="36"/>
      <c r="DK110" s="36"/>
      <c r="DL110" s="36"/>
      <c r="DM110" s="33">
        <f>IFERROR(Crops[[#This Row],[Custom Yield Per Bed]]*Crops[[#This Row],[Direct Price]],"")</f>
        <v>864</v>
      </c>
      <c r="DN110" s="36">
        <f>Crops[[#This Row],[Direct Time]]*LaborRate</f>
        <v>459.14265046296288</v>
      </c>
      <c r="DO110" s="36">
        <f>SUM(Crops[[#This Row],[Irrigation Cost]])</f>
        <v>0</v>
      </c>
      <c r="DP110" s="36">
        <f>Crops[[#This Row],[Direct Labor Cost]]+Crops[[#This Row],[Direct Non-Labor Cost]]</f>
        <v>459.14265046296288</v>
      </c>
      <c r="DQ110" s="36">
        <f>Crops[[#This Row],[Direct Revenue Per Bed2]]-Crops[[#This Row],[Direct Total Cost]]</f>
        <v>404.85734953703712</v>
      </c>
      <c r="DR110" s="36">
        <f>Crops[[#This Row],[Direct Profit]]*BedsPerAcre</f>
        <v>64777.175925925942</v>
      </c>
      <c r="DS110" s="36">
        <f>Crops[[#This Row],[Direct Profit]]*BedsPerAcre*GrowingDays/Crops[[#This Row],[Days In Field]]</f>
        <v>95572.882513661229</v>
      </c>
      <c r="DT110" s="36">
        <f>Crops[[#This Row],[Direct Profit]]/MIN(Crops[[#This Row],[Days In Field]],GrowingDays)</f>
        <v>3.3185028650576816</v>
      </c>
      <c r="DU110" s="36">
        <f>Crops[[#This Row],[Direct Time]] * BedsPerAcre</f>
        <v>2938.5129629629628</v>
      </c>
      <c r="DV110" s="36">
        <f>(Crops[[#This Row],[Direct Revenue Per Bed2]]-Crops[[#This Row],[Direct Non-Labor Cost]])/Crops[[#This Row],[Direct Time]]</f>
        <v>47.044202881654059</v>
      </c>
      <c r="DW110" s="33">
        <f>IFERROR(Crops[[#This Row],[Custom Yield Per Bed]]*Crops[[#This Row],[Rough Wholesale Price]],"")</f>
        <v>518.4</v>
      </c>
      <c r="DX110" s="36">
        <f>Crops[[#This Row],[Wholesale Time]]*LaborRate</f>
        <v>451.04265046296285</v>
      </c>
      <c r="DY110" s="36">
        <f>SUM(Crops[[#This Row],[Packaging Costs]:[Irrigation Cost]])</f>
        <v>43.775999999999996</v>
      </c>
      <c r="DZ110" s="36">
        <f>Crops[[#This Row],[Wholesale Labor Cost]]+Crops[[#This Row],[Wholesale Non-Labor Cost]]</f>
        <v>494.81865046296286</v>
      </c>
      <c r="EA110" s="36">
        <f>Crops[[#This Row],[Wholesale Revenue Per Bed]]-Crops[[#This Row],[Wholesale Total Cost]]</f>
        <v>23.581349537037113</v>
      </c>
      <c r="EB110" s="36">
        <f>Crops[[#This Row],[Wholesale Profit]]*BedsPerAcre</f>
        <v>3773.0159259259381</v>
      </c>
      <c r="EC110" s="36">
        <f>Crops[[#This Row],[Wholesale Profit]]*BedsPerAcre*GrowingDays/Crops[[#This Row],[Days In Field]]</f>
        <v>5566.7448087431867</v>
      </c>
      <c r="ED110" s="36">
        <f>Crops[[#This Row],[Wholesale Time]] * BedsPerAcre</f>
        <v>2886.6729629629622</v>
      </c>
      <c r="EE110" s="36">
        <f>Crops[[#This Row],[Wholesale Profit]]/MIN(Crops[[#This Row],[Days In Field]],GrowingDays)</f>
        <v>0.19328975030358289</v>
      </c>
      <c r="EF110" s="36">
        <f>(Crops[[#This Row],[Wholesale Revenue Per Bed]]-Crops[[#This Row],[Wholesale Non-Labor Cost]])/Crops[[#This Row],[Direct Time]]</f>
        <v>25.842948782988625</v>
      </c>
      <c r="EG110" s="174">
        <f>Crops[[#This Row],[Packaging Costs]]/Crops[[#This Row],[Wholesale Revenue Per Bed]]</f>
        <v>8.4444444444444447E-2</v>
      </c>
      <c r="EH110" s="36" t="str">
        <f>Crops[[#This Row],[Crop]]&amp;Crops[[#This Row],[Product]]&amp;Crops[[#This Row],[Unit]]</f>
        <v>CucumberRipe FruitLb</v>
      </c>
      <c r="EI110" s="36" t="b">
        <f>_xlfn.XLOOKUP(Crops[[#This Row],[ProductIndex]],Products[ID],Products[Target])</f>
        <v>1</v>
      </c>
      <c r="EJ110" s="36">
        <f>Crops[[#This Row],[Custom Yield Per Bed]]</f>
        <v>288</v>
      </c>
      <c r="EK110" s="210">
        <f>Crops[[#This Row],[Units Per Harvest]]/Crops[[#This Row],[Days Between Harvest]]*7</f>
        <v>28</v>
      </c>
      <c r="EL110" s="210">
        <f>Crops[[#This Row],[Custom Yield Per Bed]]/_xlfn.XLOOKUP(Crops[[#This Row],[ProductIndex]],Products[ID],Products[CSA Portion])</f>
        <v>144</v>
      </c>
      <c r="EM110" s="210">
        <f>Crops[[#This Row],[Units Per Harvest]]/Crops[[#This Row],[Days Between Harvest]]*7/_xlfn.XLOOKUP(Crops[[#This Row],[ProductIndex]],Products[ID],Products[CSA Portion])</f>
        <v>14</v>
      </c>
      <c r="EN110" s="210">
        <f>Crops[[#This Row],[CSA Portions Per Week]]/CSAMembers</f>
        <v>0.28000000000000003</v>
      </c>
      <c r="EO110" s="210"/>
      <c r="EP110" s="210"/>
      <c r="EQ110" s="36"/>
      <c r="ER110" s="36">
        <f>Crops[[#This Row],[Harvests]]*Crops[[#This Row],[Days Between Harvest]]/7</f>
        <v>10.285714285714286</v>
      </c>
      <c r="ES110" s="208">
        <f>_xlfn.XLOOKUP(Crops[[#This Row],[ProductIndex]],Products[ID],Products[CSA Need])</f>
        <v>0</v>
      </c>
      <c r="ET110" s="208">
        <f>_xlfn.XLOOKUP(Crops[[#This Row],[ProductIndex]],Products[ID],Products[CSA Times])</f>
        <v>0</v>
      </c>
      <c r="EU110" s="208" t="e">
        <f>Crops[[#This Row],[Custom Yield Per Bed]]/(Crops[[#This Row],[CSA Need]]*(_xlfn.XLOOKUP(Crops[[#This Row],[ProductIndex]],Products[ID],Products[CSA Portion])*CSAMembers))</f>
        <v>#DIV/0!</v>
      </c>
      <c r="EV110" s="208">
        <f>_xlfn.XLOOKUP(Crops[[#This Row],[ProductIndex]],Products[ID],Products[CSA Portion])*CSAMembers*Crops[[#This Row],[CSA Need]]/Crops[[#This Row],[Custom Yield Per Bed]]</f>
        <v>0</v>
      </c>
      <c r="EW110" s="208">
        <f>IFERROR(Crops[[#This Row],[Days In Field]]*Crops[[#This Row],[CSA Beds]],"")</f>
        <v>0</v>
      </c>
      <c r="EX110" s="208" t="e">
        <f>Crops[[#This Row],[CSA Bed Days]]*#REF!</f>
        <v>#REF!</v>
      </c>
      <c r="EY110" t="s">
        <v>336</v>
      </c>
    </row>
    <row r="111" spans="1:155">
      <c r="A111"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(Lebanese) - Small Fruit 1X | Greenhouse TP </v>
      </c>
      <c r="B111" s="182"/>
      <c r="C111" s="1"/>
      <c r="D111" s="1"/>
      <c r="E111" s="1" t="b">
        <v>0</v>
      </c>
      <c r="F111" s="1" t="b">
        <f>IFERROR(IF(ISNUMBER(MATCH(Crops[[#This Row],[Identifier]],BedPlan[Crop], 0)), TRUE, FALSE), FALSE)</f>
        <v>1</v>
      </c>
      <c r="G111" s="1" t="b">
        <f>IFERROR(IF(ISNUMBER(MATCH(Crops[[#This Row],[Identifier]],BedPlan[Crop], 0)), TRUE, FALSE), FALSE)</f>
        <v>1</v>
      </c>
      <c r="H111" s="1"/>
      <c r="I111" t="s">
        <v>70</v>
      </c>
      <c r="J111" t="s">
        <v>158</v>
      </c>
      <c r="K111" t="s">
        <v>2363</v>
      </c>
      <c r="N111" t="str">
        <f>Crops[[#This Row],[Crop]]</f>
        <v>Cucumber</v>
      </c>
      <c r="O111" t="s">
        <v>211</v>
      </c>
      <c r="P111" t="str">
        <f>IF(OR(Crops[[#This Row],[Days in Cells]]="",Crops[[#This Row],[Days in Cells]]=0), "DS","TP")</f>
        <v>TP</v>
      </c>
      <c r="V111" t="str">
        <f xml:space="preserve"> IF(Crops[[#This Row],[Sp]], "Sp", "") &amp; IF(Crops[[#This Row],[Su]], "Su", "") &amp; IF(Crops[[#This Row],[Fa]], "Fa", "") &amp; IF(Crops[[#This Row],[Wi]], "Wi", "") &amp; IF(Crops[[#This Row],[OW]], "Ow","")</f>
        <v/>
      </c>
      <c r="W111" t="s">
        <v>144</v>
      </c>
      <c r="X111">
        <v>1</v>
      </c>
      <c r="Y111">
        <v>12</v>
      </c>
      <c r="AD111" s="32">
        <f>IFERROR(12/Crops[[#This Row],[Spacing]]*Crops[[#This Row],[Rows]]*BedLength,"")</f>
        <v>50</v>
      </c>
      <c r="AE111">
        <v>1</v>
      </c>
      <c r="AG111">
        <f>IF(Crops[[#This Row],[Custom Safety Factor]]="",PlantingSafetyFactor,Crops[[#This Row],[Custom Safety Factor]])</f>
        <v>1.3</v>
      </c>
      <c r="AH111">
        <f>1</f>
        <v>1</v>
      </c>
      <c r="AI111" s="33">
        <f>IFERROR(Crops[[#This Row],[Plantings Per Bed]]*Crops[[#This Row],[Seeds Per Planting]]*Crops[[#This Row],[Safety Factor]]*Crops[[#This Row],[Seeding Factor]],"")</f>
        <v>65</v>
      </c>
      <c r="AL111">
        <f>_xlfn.FLOOR.MATH(IFERROR(AVERAGE(Crops[[#This Row],[DTG Lower]:[DTG Upper]]),0))</f>
        <v>0</v>
      </c>
      <c r="AM111">
        <f>SUM(Crops[[#This Row],[Tray 1 Days]],Crops[[#This Row],[Tray 2 Days]],Crops[[#This Row],[Tray 3 Days]])</f>
        <v>35</v>
      </c>
      <c r="AN111">
        <v>28</v>
      </c>
      <c r="AP111">
        <v>70</v>
      </c>
      <c r="AQ111">
        <f>IFERROR(_xlfn.FLOOR.MATH(AVERAGE(Crops[[#This Row],[DTM Lower]:[DTM Upper]])),"")</f>
        <v>70</v>
      </c>
      <c r="AR111" cm="1">
        <f t="array" ref="AR111">_xlfn.SWITCH(Crops[[#This Row],[Normal Method]],"DS",Crops[[#This Row],[Days to Germination]]+Crops[[#This Row],[DTM]] + IF(Crops[[#This Row],[Days in Cells]]&gt;0,15,0), "TP",Crops[[#This Row],[DTM]]+Crops[[#This Row],[Days in Cells]] + IF(Crops[[#This Row],[Days in Cells]]&lt;=0,20,0), "X", Crops[[#This Row],[DTM]])</f>
        <v>70</v>
      </c>
      <c r="AS111" t="s">
        <v>347</v>
      </c>
      <c r="AT111">
        <f>(Crops[[#This Row],[Harvests]]-1)*Crops[[#This Row],[Days Between Harvest]]+7</f>
        <v>105</v>
      </c>
      <c r="AU111">
        <f>Crops[[#This Row],[STH]]-Crops[[#This Row],[Days in Cells]]+Crops[[#This Row],[Harvest window]]</f>
        <v>140</v>
      </c>
      <c r="AX111">
        <v>18</v>
      </c>
      <c r="AY111">
        <v>35</v>
      </c>
      <c r="AZ111">
        <f>IFERROR(IF(Crops[[#This Row],[Tray 1 Days]]=0,"",Crops[[#This Row],[Plantings Per Bed]]/Crops[[#This Row],[Tray 1 Size]]*Crops[[#This Row],[Safety Factor]]),"")</f>
        <v>3.6111111111111112</v>
      </c>
      <c r="BC111" t="str">
        <f>IFERROR(IF(Crops[[#This Row],[Tray 2 Days]]=0,"",Crops[[#This Row],[Plantings Per Bed]]/Crops[[#This Row],[Tray 2 Size]]*Crops[[#This Row],[Safety Factor]]),"")</f>
        <v/>
      </c>
      <c r="BE111" s="32" t="str">
        <f>IF(NOT(ISBLANK(Crops[[#This Row],[Tray 3 Size]])), Crops[[#This Row],[Days in Cells Old]]-SUM(Crops[[#This Row],[Tray 1 Days]],Crops[[#This Row],[Tray 2 Days]]), "")</f>
        <v/>
      </c>
      <c r="BF111" t="str">
        <f>IFERROR(IF(Crops[[#This Row],[Tray 3 Days]]=0,"",Crops[[#This Row],[Plantings Per Bed]]/Crops[[#This Row],[Tray 3 Size]]*Crops[[#This Row],[Safety Factor]]),"")</f>
        <v/>
      </c>
      <c r="BG111" s="33">
        <f>Crops[[#This Row],[Plantings Per Bed]]*4*(Crops[[#This Row],[Days Between Harvest]]/7)</f>
        <v>57.142857142857139</v>
      </c>
      <c r="BH111" s="33">
        <v>50</v>
      </c>
      <c r="BI111" s="33">
        <v>2</v>
      </c>
      <c r="BJ111" s="33">
        <f>_xlfn.XLOOKUP(Crops[[#This Row],[ProductIndex]],Products[ID],Products[Holding Period])</f>
        <v>4</v>
      </c>
      <c r="BK111" s="33"/>
      <c r="BL111" s="33">
        <f>Crops[[#This Row],[Units Per Harvest]]*Crops[[#This Row],[Harvests]]</f>
        <v>2857.1428571428569</v>
      </c>
      <c r="BM111" s="35">
        <v>1</v>
      </c>
      <c r="BN111" s="35">
        <v>0.5</v>
      </c>
      <c r="BO111" s="35"/>
      <c r="BP111" t="s">
        <v>1303</v>
      </c>
      <c r="BQ111">
        <f>Crops[[#This Row],[Custom Yield Per Bed]]*Crops[[#This Row],[Direct Price]]</f>
        <v>2857.1428571428569</v>
      </c>
      <c r="BR111" t="b">
        <v>1</v>
      </c>
      <c r="BS111" t="b">
        <f>Crops[[#This Row],[Harvests]]&gt;1</f>
        <v>1</v>
      </c>
      <c r="BT111" s="36">
        <f>IFERROR(Crops[[#This Row],[Direct Revenue Per Bed]]/Crops[[#This Row],[Days In Field]],-1)</f>
        <v>20.408163265306122</v>
      </c>
      <c r="BU111" s="36">
        <f>IFERROR(Crops[[#This Row],[Direct Revenue Per Bed Day]]*GrowingDays*BedsPerAcre,"")</f>
        <v>587755.10204081633</v>
      </c>
      <c r="BV111" s="38">
        <f>LastFrostDate-5*Crops[[#This Row],[Sewing Rel Last Frost]]</f>
        <v>45748</v>
      </c>
      <c r="BW111" s="38">
        <f>Crops[[#This Row],[Target Sewing Date]]+Crops[[#This Row],[Days in Cells]]</f>
        <v>45783</v>
      </c>
      <c r="BX111" s="38">
        <f>Crops[[#This Row],[Target Sewing Date]]+Crops[[#This Row],[STH]]</f>
        <v>45818</v>
      </c>
      <c r="BY111" s="38">
        <f>Crops[[#This Row],[Target Harvest Data]]+Crops[[#This Row],[Harvest window]]</f>
        <v>45923</v>
      </c>
      <c r="CA111" t="s">
        <v>373</v>
      </c>
      <c r="CB111">
        <f>1</f>
        <v>1</v>
      </c>
      <c r="CC111">
        <f>IF(Crops[[#This Row],[Transplanting]]&gt;0, 2, 3)*BedLength/StandardBedLength</f>
        <v>1</v>
      </c>
      <c r="CD111" s="173">
        <f>IF(Crops[[#This Row],[Days in Cells]]&lt;=0,0,Crops[[#This Row],[Plantings Per Bed]]/StartsPerHourSeeding+Crops[[#This Row],[Tray 1 Count]]*5/60)</f>
        <v>0.49623842592592593</v>
      </c>
      <c r="CE111" s="173">
        <f>IF(ISBLANK(Crops[[#This Row],[Tray 2 Days]]),0,Crops[[#This Row],[Plantings Per Bed]]/UpPottingPerHour)+IF(Crops[[#This Row],[Tray 3 Days]]="",0,Crops[[#This Row],[Plantings Per Bed]]/UpPottingPerHour)</f>
        <v>0</v>
      </c>
      <c r="CF111" s="173">
        <f>IFERROR(Crops[[#This Row],[Tray 1 Count]]/HomeStartFlatIrrigationPerHour,0)*Crops[[#This Row],[Days in Cells]]/DaysBetweenStartIrrigation</f>
        <v>0.52662037037037035</v>
      </c>
      <c r="CG111" s="173">
        <f>0.5/16*MAX(Crops[[#This Row],[Tray 1 Count]],Crops[[#This Row],[Tray 2 Count]],Crops[[#This Row],[Tray 3 Count]])</f>
        <v>0.11284722222222222</v>
      </c>
      <c r="CH111" s="173">
        <f>IF(Crops[[#This Row],[Days in Cells]]&gt;0,IF(IF(Crops[[#This Row],[Tray 3 Size]]&gt;0,Crops[[#This Row],[Tray 3 Size]],IF(Crops[[#This Row],[Tray 2 Size]]&gt;0,Crops[[#This Row],[Tray 2 Size]],Crops[[#This Row],[Tray 1 Size]]))&lt;=18,LargeTransplantTime,SmallTransplantTime)*Crops[[#This Row],[Plantings Per Bed]],0)</f>
        <v>2.083333333333333</v>
      </c>
      <c r="CI111" s="173"/>
      <c r="CJ111" s="173">
        <f>_xlfn.XLOOKUP(Crops[[#This Row],[Trellis Type]],TrellisMethods[Trellis Type],TrellisMethods[Hours],0,0)</f>
        <v>0</v>
      </c>
      <c r="CK111">
        <f>IF(Crops[[#This Row],[Days in Cells]]&lt;=0,Crops[[#This Row],[Rows]]*1/10,0)*BedLength/50</f>
        <v>0</v>
      </c>
      <c r="CL111" cm="1">
        <f t="array" ref="CL111">_xlfn.SWITCH(Crops[[#This Row],[Irrigation]],"DR", 0.5, "OH", 0.25,0)*BedLength/50</f>
        <v>0</v>
      </c>
      <c r="CM111">
        <f>IF(OR(ISBLANK(Crops[[#This Row],[Row Cover]]),Crops[[#This Row],[Row Cover]]="None"),0,1)*BedLength/50</f>
        <v>0</v>
      </c>
      <c r="CN111" s="173">
        <f>HoursPerWeedingPass*Crops[[#This Row],[Days In Field]]/14*Crops[[#This Row],[Rows]]+1*BedLength/50</f>
        <v>2.6666666666666665</v>
      </c>
      <c r="CO111" s="49">
        <f>0.5*Crops[[#This Row],[Days In Field]]/7</f>
        <v>10</v>
      </c>
      <c r="CQ111" s="37">
        <f>_xlfn.XLOOKUP(Crops[[#This Row],[Crop]]&amp;Crops[[#This Row],[Product]]&amp;Crops[[#This Row],[Unit]],Products[ID],Products[Marketing (hr)])*Crops[[#This Row],[Direct Revenue Per Bed]]/2000</f>
        <v>1.4285714285714284</v>
      </c>
      <c r="CR111" s="37">
        <f>_xlfn.XLOOKUP(Crops[[#This Row],[Crop]]&amp;Crops[[#This Row],[Product]]&amp;Crops[[#This Row],[Unit]],Products[ID],Products[Harvest (s)])*Crops[[#This Row],[Custom Yield Per Bed]]/3600</f>
        <v>7.9365079365079358</v>
      </c>
      <c r="CS111" s="37">
        <f>_xlfn.XLOOKUP(Crops[[#This Row],[Crop]]&amp;Crops[[#This Row],[Product]]&amp;Crops[[#This Row],[Unit]],Products[ID],Products[Bunch (s)])*Crops[[#This Row],[Custom Yield Per Bed]]/3600</f>
        <v>0</v>
      </c>
      <c r="CT111" s="37">
        <f>_xlfn.XLOOKUP(Crops[[#This Row],[Crop]]&amp;Crops[[#This Row],[Product]]&amp;Crops[[#This Row],[Unit]],Products[ID],Products[Haul (s)])*Crops[[#This Row],[Custom Yield Per Bed]]/3600</f>
        <v>1.4285714285714284</v>
      </c>
      <c r="CU111" s="37">
        <f>_xlfn.XLOOKUP(Crops[[#This Row],[Crop]]&amp;Crops[[#This Row],[Product]]&amp;Crops[[#This Row],[Unit]],Products[ID],Products[Wash (s)])*Crops[[#This Row],[Custom Yield Per Bed]]/3600</f>
        <v>0</v>
      </c>
      <c r="CV111" s="37">
        <f>_xlfn.XLOOKUP(Crops[[#This Row],[Crop]]&amp;Crops[[#This Row],[Product]]&amp;Crops[[#This Row],[Unit]],Products[ID],Products[Condition (s)])*Crops[[#This Row],[Custom Yield Per Bed]]/3600</f>
        <v>0</v>
      </c>
      <c r="CW111" s="37">
        <f>_xlfn.XLOOKUP(Crops[[#This Row],[Crop]]&amp;Crops[[#This Row],[Product]]&amp;Crops[[#This Row],[Unit]],Products[ID],Products[Trim (s)])*Crops[[#This Row],[Custom Yield Per Bed]]/3600</f>
        <v>0</v>
      </c>
      <c r="CX111" s="37">
        <f>_xlfn.XLOOKUP(Crops[[#This Row],[Crop]]&amp;Crops[[#This Row],[Product]]&amp;Crops[[#This Row],[Unit]],Products[ID],Products[Pack (s)])*Crops[[#This Row],[Custom Yield Per Bed]]/3600</f>
        <v>2.3809523809523809</v>
      </c>
      <c r="CY111" s="37">
        <f>_xlfn.XLOOKUP(Crops[[#This Row],[Crop]]&amp;Crops[[#This Row],[Product]]&amp;Crops[[#This Row],[Unit]],Products[ID],Products[Clean (s)])*Crops[[#This Row],[Custom Yield Per Bed]]/3600</f>
        <v>0</v>
      </c>
      <c r="CZ111" s="37">
        <f>_xlfn.XLOOKUP(Crops[[#This Row],[Crop]]&amp;Crops[[#This Row],[Product]]&amp;Crops[[#This Row],[Unit]],Products[ID],Products[Rehandle (s)])*Crops[[#This Row],[Custom Yield Per Bed]]/3600</f>
        <v>0</v>
      </c>
      <c r="DA111" s="37">
        <f>_xlfn.XLOOKUP(Crops[[#This Row],[Crop]]&amp;Crops[[#This Row],[Product]]&amp;Crops[[#This Row],[Unit]],Products[ID],Products[Market Transport (s)])*Crops[[#This Row],[Custom Yield Per Bed]]/3600</f>
        <v>3.5714285714285707</v>
      </c>
      <c r="DC111" s="37">
        <f>Crops[[#This Row],[Direct Revenue Per Bed2]]</f>
        <v>2857.1428571428569</v>
      </c>
      <c r="DD111" s="173">
        <f>_xlfn.AGGREGATE(9,6,Crops[[#This Row],[Bed Prep]:[Remove Crop Residue]])</f>
        <v>33.631737764550259</v>
      </c>
      <c r="DE111" s="173">
        <f>_xlfn.AGGREGATE(9,6,Crops[[#This Row],[Bed Prep]:[Remove Crop Residue]])-0.75*Crops[[#This Row],[Market &amp; Sell]]</f>
        <v>32.560309193121689</v>
      </c>
      <c r="DF111" s="36">
        <f>Crops[[#This Row],[Direct Revenue Per Bed2]]/Crops[[#This Row],[Direct Time]]</f>
        <v>84.953768287122116</v>
      </c>
      <c r="DG111" s="36">
        <f>_xlfn.XLOOKUP(Crops[[#This Row],[ProductIndex]],Products[ID],Products[Packaging Cost])*(Crops[[#This Row],[Custom Yield Per Bed]]/_xlfn.XLOOKUP(Crops[[#This Row],[ProductIndex]],Products[ID],Products[Units Per Pack]))</f>
        <v>217.14285714285711</v>
      </c>
      <c r="DH111" s="36"/>
      <c r="DI111" s="36"/>
      <c r="DJ111" s="36"/>
      <c r="DK111" s="36"/>
      <c r="DL111" s="36"/>
      <c r="DM111" s="33">
        <f>IFERROR(Crops[[#This Row],[Custom Yield Per Bed]]*Crops[[#This Row],[Direct Price]],"")</f>
        <v>2857.1428571428569</v>
      </c>
      <c r="DN111" s="36">
        <f>Crops[[#This Row],[Direct Time]]*LaborRate</f>
        <v>840.79344411375644</v>
      </c>
      <c r="DO111" s="36">
        <f>SUM(Crops[[#This Row],[Irrigation Cost]])</f>
        <v>0</v>
      </c>
      <c r="DP111" s="36">
        <f>Crops[[#This Row],[Direct Labor Cost]]+Crops[[#This Row],[Direct Non-Labor Cost]]</f>
        <v>840.79344411375644</v>
      </c>
      <c r="DQ111" s="36">
        <f>Crops[[#This Row],[Direct Revenue Per Bed2]]-Crops[[#This Row],[Direct Total Cost]]</f>
        <v>2016.3494130291006</v>
      </c>
      <c r="DR111" s="36">
        <f>Crops[[#This Row],[Direct Profit]]*BedsPerAcre</f>
        <v>322615.90608465608</v>
      </c>
      <c r="DS111" s="36">
        <f>Crops[[#This Row],[Direct Profit]]*BedsPerAcre*GrowingDays/Crops[[#This Row],[Days In Field]]</f>
        <v>414791.87925170071</v>
      </c>
      <c r="DT111" s="36">
        <f>Crops[[#This Row],[Direct Profit]]/MIN(Crops[[#This Row],[Days In Field]],GrowingDays)</f>
        <v>14.402495807350718</v>
      </c>
      <c r="DU111" s="33">
        <f>Crops[[#This Row],[Direct Time]] * BedsPerAcre</f>
        <v>5381.0780423280412</v>
      </c>
      <c r="DV111" s="36">
        <f>(Crops[[#This Row],[Direct Revenue Per Bed2]]-Crops[[#This Row],[Direct Non-Labor Cost]])/Crops[[#This Row],[Direct Time]]</f>
        <v>84.953768287122116</v>
      </c>
      <c r="DW111" s="33">
        <f>IFERROR(Crops[[#This Row],[Custom Yield Per Bed]]*Crops[[#This Row],[Rough Wholesale Price]],"")</f>
        <v>1428.5714285714284</v>
      </c>
      <c r="DX111" s="36">
        <f>Crops[[#This Row],[Wholesale Time]]*LaborRate</f>
        <v>814.00772982804222</v>
      </c>
      <c r="DY111" s="36">
        <f>SUM(Crops[[#This Row],[Packaging Costs]:[Irrigation Cost]])</f>
        <v>217.14285714285711</v>
      </c>
      <c r="DZ111" s="36">
        <f>Crops[[#This Row],[Wholesale Labor Cost]]+Crops[[#This Row],[Wholesale Non-Labor Cost]]</f>
        <v>1031.1505869708994</v>
      </c>
      <c r="EA111" s="36">
        <f>Crops[[#This Row],[Wholesale Revenue Per Bed]]-Crops[[#This Row],[Wholesale Total Cost]]</f>
        <v>397.420841600529</v>
      </c>
      <c r="EB111" s="36">
        <f>Crops[[#This Row],[Wholesale Profit]]*BedsPerAcre</f>
        <v>63587.33465608464</v>
      </c>
      <c r="EC111" s="36">
        <f>Crops[[#This Row],[Wholesale Profit]]*BedsPerAcre*GrowingDays/Crops[[#This Row],[Days In Field]]</f>
        <v>81755.144557823107</v>
      </c>
      <c r="ED111" s="33">
        <f>Crops[[#This Row],[Wholesale Time]] * BedsPerAcre</f>
        <v>5209.6494708994705</v>
      </c>
      <c r="EE111" s="221">
        <f>Crops[[#This Row],[Wholesale Profit]]/MIN(Crops[[#This Row],[Days In Field]],GrowingDays)</f>
        <v>2.8387202971466357</v>
      </c>
      <c r="EF111" s="36">
        <f>(Crops[[#This Row],[Wholesale Revenue Per Bed]]-Crops[[#This Row],[Wholesale Non-Labor Cost]])/Crops[[#This Row],[Direct Time]]</f>
        <v>36.020397753739779</v>
      </c>
      <c r="EG111" s="174">
        <f>Crops[[#This Row],[Packaging Costs]]/Crops[[#This Row],[Wholesale Revenue Per Bed]]</f>
        <v>0.152</v>
      </c>
      <c r="EH111" s="36" t="str">
        <f>Crops[[#This Row],[Crop]]&amp;Crops[[#This Row],[Product]]&amp;Crops[[#This Row],[Unit]]</f>
        <v>CucumberSmall FruitFruit</v>
      </c>
      <c r="EI111" s="36" t="b">
        <f>_xlfn.XLOOKUP(Crops[[#This Row],[ProductIndex]],Products[ID],Products[Target])</f>
        <v>1</v>
      </c>
      <c r="EJ111" s="36">
        <f>Crops[[#This Row],[Custom Yield Per Bed]]</f>
        <v>2857.1428571428569</v>
      </c>
      <c r="EK111" s="210">
        <f>Crops[[#This Row],[Units Per Harvest]]/Crops[[#This Row],[Days Between Harvest]]*7</f>
        <v>200</v>
      </c>
      <c r="EL111" s="210">
        <f>Crops[[#This Row],[Custom Yield Per Bed]]/_xlfn.XLOOKUP(Crops[[#This Row],[ProductIndex]],Products[ID],Products[CSA Portion])</f>
        <v>714.28571428571422</v>
      </c>
      <c r="EM111" s="210">
        <f>Crops[[#This Row],[Units Per Harvest]]/Crops[[#This Row],[Days Between Harvest]]*7/_xlfn.XLOOKUP(Crops[[#This Row],[ProductIndex]],Products[ID],Products[CSA Portion])</f>
        <v>50</v>
      </c>
      <c r="EN111" s="210">
        <f>Crops[[#This Row],[CSA Portions Per Week]]/CSAMembers</f>
        <v>1</v>
      </c>
      <c r="EO111" s="210"/>
      <c r="EP111" s="210"/>
      <c r="EQ111" s="210"/>
      <c r="ER111" s="210">
        <f>Crops[[#This Row],[Harvests]]*Crops[[#This Row],[Days Between Harvest]]/7</f>
        <v>14.285714285714286</v>
      </c>
      <c r="ES111" s="217">
        <f>_xlfn.XLOOKUP(Crops[[#This Row],[ProductIndex]],Products[ID],Products[CSA Need])</f>
        <v>8</v>
      </c>
      <c r="ET111" s="217">
        <f>_xlfn.XLOOKUP(Crops[[#This Row],[ProductIndex]],Products[ID],Products[CSA Times])</f>
        <v>2</v>
      </c>
      <c r="EU111" s="208">
        <f>Crops[[#This Row],[Custom Yield Per Bed]]/(Crops[[#This Row],[CSA Need]]*(_xlfn.XLOOKUP(Crops[[#This Row],[ProductIndex]],Products[ID],Products[CSA Portion])*CSAMembers))</f>
        <v>1.7857142857142856</v>
      </c>
      <c r="EV111" s="208">
        <f>_xlfn.XLOOKUP(Crops[[#This Row],[ProductIndex]],Products[ID],Products[CSA Portion])*CSAMembers*Crops[[#This Row],[CSA Need]]/Crops[[#This Row],[Custom Yield Per Bed]]</f>
        <v>0.56000000000000005</v>
      </c>
      <c r="EW111" s="208">
        <f>IFERROR(Crops[[#This Row],[Days In Field]]*Crops[[#This Row],[CSA Beds]],"")</f>
        <v>78.400000000000006</v>
      </c>
      <c r="EX111" s="208" t="e">
        <f>Crops[[#This Row],[CSA Bed Days]]*#REF!</f>
        <v>#REF!</v>
      </c>
      <c r="EY111" t="s">
        <v>283</v>
      </c>
    </row>
    <row r="112" spans="1:155">
      <c r="A112"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(Slicer) - Large Fruit 1X | Greenhouse TP </v>
      </c>
      <c r="B112" s="182"/>
      <c r="C112" s="1" t="b">
        <v>1</v>
      </c>
      <c r="D112" s="1"/>
      <c r="E112" s="1" t="b">
        <v>0</v>
      </c>
      <c r="F112" s="1" t="b">
        <f>IFERROR(IF(ISNUMBER(MATCH(Crops[[#This Row],[Identifier]],BedPlan[Crop], 0)), TRUE, FALSE), FALSE)</f>
        <v>0</v>
      </c>
      <c r="G112" s="1" t="b">
        <f>IFERROR(IF(ISNUMBER(MATCH(Crops[[#This Row],[Identifier]],BedPlan[Crop], 0)), TRUE, FALSE), FALSE)</f>
        <v>0</v>
      </c>
      <c r="H112" s="1"/>
      <c r="I112" t="s">
        <v>70</v>
      </c>
      <c r="J112" t="s">
        <v>1534</v>
      </c>
      <c r="K112" t="s">
        <v>2362</v>
      </c>
      <c r="N112" t="str">
        <f>Crops[[#This Row],[Crop]]</f>
        <v>Cucumber</v>
      </c>
      <c r="O112" t="s">
        <v>211</v>
      </c>
      <c r="P112" t="str">
        <f>IF(OR(Crops[[#This Row],[Days in Cells]]="",Crops[[#This Row],[Days in Cells]]=0), "DS","TP")</f>
        <v>TP</v>
      </c>
      <c r="V112" t="str">
        <f xml:space="preserve"> IF(Crops[[#This Row],[Sp]], "Sp", "") &amp; IF(Crops[[#This Row],[Su]], "Su", "") &amp; IF(Crops[[#This Row],[Fa]], "Fa", "") &amp; IF(Crops[[#This Row],[Wi]], "Wi", "") &amp; IF(Crops[[#This Row],[OW]], "Ow","")</f>
        <v/>
      </c>
      <c r="W112" t="s">
        <v>144</v>
      </c>
      <c r="X112">
        <v>1</v>
      </c>
      <c r="Y112">
        <v>18</v>
      </c>
      <c r="AC112">
        <v>6</v>
      </c>
      <c r="AD112" s="32">
        <f>IFERROR(12/Crops[[#This Row],[Spacing]]*Crops[[#This Row],[Rows]]*BedLength,"")</f>
        <v>33.333333333333329</v>
      </c>
      <c r="AE112">
        <v>1</v>
      </c>
      <c r="AG112">
        <f>IF(Crops[[#This Row],[Custom Safety Factor]]="",PlantingSafetyFactor,Crops[[#This Row],[Custom Safety Factor]])</f>
        <v>1.3</v>
      </c>
      <c r="AH112">
        <f>1</f>
        <v>1</v>
      </c>
      <c r="AI112" s="33">
        <f>IFERROR(Crops[[#This Row],[Plantings Per Bed]]*Crops[[#This Row],[Seeds Per Planting]]*Crops[[#This Row],[Safety Factor]]*Crops[[#This Row],[Seeding Factor]],"")</f>
        <v>43.333333333333329</v>
      </c>
      <c r="AL112">
        <f>_xlfn.FLOOR.MATH(IFERROR(AVERAGE(Crops[[#This Row],[DTG Lower]:[DTG Upper]]),0))</f>
        <v>0</v>
      </c>
      <c r="AM112">
        <f>SUM(Crops[[#This Row],[Tray 1 Days]],Crops[[#This Row],[Tray 2 Days]],Crops[[#This Row],[Tray 3 Days]])</f>
        <v>35</v>
      </c>
      <c r="AN112">
        <v>28</v>
      </c>
      <c r="AP112">
        <v>70</v>
      </c>
      <c r="AQ112">
        <f>IFERROR(_xlfn.FLOOR.MATH(AVERAGE(Crops[[#This Row],[DTM Lower]:[DTM Upper]])),"")</f>
        <v>70</v>
      </c>
      <c r="AR112" cm="1">
        <f t="array" ref="AR112">_xlfn.SWITCH(Crops[[#This Row],[Normal Method]],"DS",Crops[[#This Row],[Days to Germination]]+Crops[[#This Row],[DTM]] + IF(Crops[[#This Row],[Days in Cells]]&gt;0,15,0), "TP",Crops[[#This Row],[DTM]]+Crops[[#This Row],[Days in Cells]] + IF(Crops[[#This Row],[Days in Cells]]&lt;=0,20,0), "X", Crops[[#This Row],[DTM]])</f>
        <v>70</v>
      </c>
      <c r="AS112" t="s">
        <v>347</v>
      </c>
      <c r="AT112">
        <f>(Crops[[#This Row],[Harvests]]-1)*Crops[[#This Row],[Days Between Harvest]]+7</f>
        <v>105</v>
      </c>
      <c r="AU112">
        <f>Crops[[#This Row],[STH]]-Crops[[#This Row],[Days in Cells]]+Crops[[#This Row],[Harvest window]]</f>
        <v>140</v>
      </c>
      <c r="AX112">
        <v>18</v>
      </c>
      <c r="AY112">
        <v>35</v>
      </c>
      <c r="AZ112">
        <f>IFERROR(IF(Crops[[#This Row],[Tray 1 Days]]=0,"",Crops[[#This Row],[Plantings Per Bed]]/Crops[[#This Row],[Tray 1 Size]]*Crops[[#This Row],[Safety Factor]]),"")</f>
        <v>2.407407407407407</v>
      </c>
      <c r="BC112" t="str">
        <f>IFERROR(IF(Crops[[#This Row],[Tray 2 Days]]=0,"",Crops[[#This Row],[Plantings Per Bed]]/Crops[[#This Row],[Tray 2 Size]]*Crops[[#This Row],[Safety Factor]]),"")</f>
        <v/>
      </c>
      <c r="BE112" s="32" t="str">
        <f>IF(NOT(ISBLANK(Crops[[#This Row],[Tray 3 Size]])), Crops[[#This Row],[Days in Cells Old]]-SUM(Crops[[#This Row],[Tray 1 Days]],Crops[[#This Row],[Tray 2 Days]]), "")</f>
        <v/>
      </c>
      <c r="BF112" t="str">
        <f>IFERROR(IF(Crops[[#This Row],[Tray 3 Days]]=0,"",Crops[[#This Row],[Plantings Per Bed]]/Crops[[#This Row],[Tray 3 Size]]*Crops[[#This Row],[Safety Factor]]),"")</f>
        <v/>
      </c>
      <c r="BG112" s="33">
        <f>Crops[[#This Row],[Plantings Per Bed]]*2*Crops[[#This Row],[Days Between Harvest]]/7</f>
        <v>19.047619047619044</v>
      </c>
      <c r="BH112" s="33">
        <v>50</v>
      </c>
      <c r="BI112" s="33">
        <v>2</v>
      </c>
      <c r="BJ112" s="33">
        <f>_xlfn.XLOOKUP(Crops[[#This Row],[ProductIndex]],Products[ID],Products[Holding Period])</f>
        <v>4</v>
      </c>
      <c r="BK112" s="33"/>
      <c r="BL112" s="33">
        <f>Crops[[#This Row],[Units Per Harvest]]*Crops[[#This Row],[Harvests]]</f>
        <v>952.38095238095218</v>
      </c>
      <c r="BM112" s="35">
        <v>2.25</v>
      </c>
      <c r="BN112" s="35">
        <v>1.47</v>
      </c>
      <c r="BO112" s="35"/>
      <c r="BP112" t="s">
        <v>1303</v>
      </c>
      <c r="BQ112">
        <f>Crops[[#This Row],[Custom Yield Per Bed]]*Crops[[#This Row],[Direct Price]]</f>
        <v>2142.8571428571422</v>
      </c>
      <c r="BR112" t="b">
        <v>1</v>
      </c>
      <c r="BS112" t="b">
        <f>Crops[[#This Row],[Harvests]]&gt;1</f>
        <v>1</v>
      </c>
      <c r="BT112" s="36">
        <f>IFERROR(Crops[[#This Row],[Direct Revenue Per Bed]]/Crops[[#This Row],[Days In Field]],-1)</f>
        <v>15.306122448979588</v>
      </c>
      <c r="BU112" s="36">
        <f>IFERROR(Crops[[#This Row],[Direct Revenue Per Bed Day]]*GrowingDays*BedsPerAcre,"")</f>
        <v>440816.32653061213</v>
      </c>
      <c r="BV112" s="38">
        <f>LastFrostDate-5*Crops[[#This Row],[Sewing Rel Last Frost]]</f>
        <v>45748</v>
      </c>
      <c r="BW112" s="38">
        <f>Crops[[#This Row],[Target Sewing Date]]+Crops[[#This Row],[Days in Cells]]</f>
        <v>45783</v>
      </c>
      <c r="BX112" s="38">
        <f>Crops[[#This Row],[Target Sewing Date]]+Crops[[#This Row],[STH]]</f>
        <v>45818</v>
      </c>
      <c r="BY112" s="38">
        <f>Crops[[#This Row],[Target Harvest Data]]+Crops[[#This Row],[Harvest window]]</f>
        <v>45923</v>
      </c>
      <c r="CA112" t="s">
        <v>373</v>
      </c>
      <c r="CB112">
        <f>1</f>
        <v>1</v>
      </c>
      <c r="CC112">
        <f>IF(Crops[[#This Row],[Transplanting]]&gt;0, 2, 3)*BedLength/StandardBedLength</f>
        <v>1</v>
      </c>
      <c r="CD112" s="173">
        <f>IF(Crops[[#This Row],[Days in Cells]]&lt;=0,0,Crops[[#This Row],[Plantings Per Bed]]/StartsPerHourSeeding+Crops[[#This Row],[Tray 1 Count]]*5/60)</f>
        <v>0.33082561728395055</v>
      </c>
      <c r="CE112" s="173">
        <f>IF(ISBLANK(Crops[[#This Row],[Tray 2 Days]]),0,Crops[[#This Row],[Plantings Per Bed]]/UpPottingPerHour)+IF(Crops[[#This Row],[Tray 3 Days]]="",0,Crops[[#This Row],[Plantings Per Bed]]/UpPottingPerHour)</f>
        <v>0</v>
      </c>
      <c r="CF112" s="173">
        <f>IFERROR(Crops[[#This Row],[Tray 1 Count]]/HomeStartFlatIrrigationPerHour,0)*Crops[[#This Row],[Days in Cells]]/DaysBetweenStartIrrigation</f>
        <v>0.35108024691358014</v>
      </c>
      <c r="CG112" s="173">
        <f>0.5/16*MAX(Crops[[#This Row],[Tray 1 Count]],Crops[[#This Row],[Tray 2 Count]],Crops[[#This Row],[Tray 3 Count]])</f>
        <v>7.5231481481481469E-2</v>
      </c>
      <c r="CH112" s="173">
        <f>IF(Crops[[#This Row],[Days in Cells]]&gt;0,IF(IF(Crops[[#This Row],[Tray 3 Size]]&gt;0,Crops[[#This Row],[Tray 3 Size]],IF(Crops[[#This Row],[Tray 2 Size]]&gt;0,Crops[[#This Row],[Tray 2 Size]],Crops[[#This Row],[Tray 1 Size]]))&lt;=18,LargeTransplantTime,SmallTransplantTime)*Crops[[#This Row],[Plantings Per Bed]],0)</f>
        <v>1.3888888888888886</v>
      </c>
      <c r="CI112" s="173"/>
      <c r="CJ112" s="173">
        <f>_xlfn.XLOOKUP(Crops[[#This Row],[Trellis Type]],TrellisMethods[Trellis Type],TrellisMethods[Hours],0,0)</f>
        <v>0</v>
      </c>
      <c r="CK112">
        <f>IF(Crops[[#This Row],[Days in Cells]]&lt;=0,Crops[[#This Row],[Rows]]*1/10,0)*BedLength/50</f>
        <v>0</v>
      </c>
      <c r="CL112" cm="1">
        <f t="array" ref="CL112">_xlfn.SWITCH(Crops[[#This Row],[Irrigation]],"DR", 0.5, "OH", 0.25,0)*BedLength/50</f>
        <v>0</v>
      </c>
      <c r="CM112">
        <f>IF(OR(ISBLANK(Crops[[#This Row],[Row Cover]]),Crops[[#This Row],[Row Cover]]="None"),0,1)*BedLength/50</f>
        <v>0</v>
      </c>
      <c r="CN112" s="173">
        <f>HoursPerWeedingPass*Crops[[#This Row],[Days In Field]]/14*Crops[[#This Row],[Rows]]+1*BedLength/50</f>
        <v>2.6666666666666665</v>
      </c>
      <c r="CO112" s="49">
        <f>0.5*Crops[[#This Row],[Days In Field]]/7*BedLength/50</f>
        <v>10</v>
      </c>
      <c r="CQ112" s="37">
        <f>_xlfn.XLOOKUP(Crops[[#This Row],[Crop]]&amp;Crops[[#This Row],[Product]]&amp;Crops[[#This Row],[Unit]],Products[ID],Products[Marketing (hr)])*Crops[[#This Row],[Direct Revenue Per Bed]]/2000</f>
        <v>1.0714285714285712</v>
      </c>
      <c r="CR112" s="37">
        <f>_xlfn.XLOOKUP(Crops[[#This Row],[Crop]]&amp;Crops[[#This Row],[Product]]&amp;Crops[[#This Row],[Unit]],Products[ID],Products[Harvest (s)])*Crops[[#This Row],[Custom Yield Per Bed]]/3600</f>
        <v>2.6455026455026447</v>
      </c>
      <c r="CS112" s="37">
        <f>_xlfn.XLOOKUP(Crops[[#This Row],[Crop]]&amp;Crops[[#This Row],[Product]]&amp;Crops[[#This Row],[Unit]],Products[ID],Products[Bunch (s)])*Crops[[#This Row],[Custom Yield Per Bed]]/3600</f>
        <v>0</v>
      </c>
      <c r="CT112" s="37">
        <f>_xlfn.XLOOKUP(Crops[[#This Row],[Crop]]&amp;Crops[[#This Row],[Product]]&amp;Crops[[#This Row],[Unit]],Products[ID],Products[Haul (s)])*Crops[[#This Row],[Custom Yield Per Bed]]/3600</f>
        <v>0.95238095238095222</v>
      </c>
      <c r="CU112" s="37">
        <f>_xlfn.XLOOKUP(Crops[[#This Row],[Crop]]&amp;Crops[[#This Row],[Product]]&amp;Crops[[#This Row],[Unit]],Products[ID],Products[Wash (s)])*Crops[[#This Row],[Custom Yield Per Bed]]/3600</f>
        <v>0</v>
      </c>
      <c r="CV112" s="37">
        <f>_xlfn.XLOOKUP(Crops[[#This Row],[Crop]]&amp;Crops[[#This Row],[Product]]&amp;Crops[[#This Row],[Unit]],Products[ID],Products[Condition (s)])*Crops[[#This Row],[Custom Yield Per Bed]]/3600</f>
        <v>0</v>
      </c>
      <c r="CW112" s="37">
        <f>_xlfn.XLOOKUP(Crops[[#This Row],[Crop]]&amp;Crops[[#This Row],[Product]]&amp;Crops[[#This Row],[Unit]],Products[ID],Products[Trim (s)])*Crops[[#This Row],[Custom Yield Per Bed]]/3600</f>
        <v>0</v>
      </c>
      <c r="CX112" s="37">
        <f>_xlfn.XLOOKUP(Crops[[#This Row],[Crop]]&amp;Crops[[#This Row],[Product]]&amp;Crops[[#This Row],[Unit]],Products[ID],Products[Pack (s)])*Crops[[#This Row],[Custom Yield Per Bed]]/3600</f>
        <v>0.7936507936507935</v>
      </c>
      <c r="CY112" s="37">
        <f>_xlfn.XLOOKUP(Crops[[#This Row],[Crop]]&amp;Crops[[#This Row],[Product]]&amp;Crops[[#This Row],[Unit]],Products[ID],Products[Clean (s)])*Crops[[#This Row],[Custom Yield Per Bed]]/3600</f>
        <v>0</v>
      </c>
      <c r="CZ112" s="37">
        <f>_xlfn.XLOOKUP(Crops[[#This Row],[Crop]]&amp;Crops[[#This Row],[Product]]&amp;Crops[[#This Row],[Unit]],Products[ID],Products[Rehandle (s)])*Crops[[#This Row],[Custom Yield Per Bed]]/3600</f>
        <v>0</v>
      </c>
      <c r="DA112" s="37">
        <f>_xlfn.XLOOKUP(Crops[[#This Row],[Crop]]&amp;Crops[[#This Row],[Product]]&amp;Crops[[#This Row],[Unit]],Products[ID],Products[Market Transport (s)])*Crops[[#This Row],[Custom Yield Per Bed]]/3600</f>
        <v>2.38095238095238</v>
      </c>
      <c r="DC112" s="37">
        <f>Crops[[#This Row],[Direct Revenue Per Bed2]]</f>
        <v>2142.8571428571422</v>
      </c>
      <c r="DD112" s="173">
        <f>_xlfn.AGGREGATE(9,6,Crops[[#This Row],[Bed Prep]:[Remove Crop Residue]])</f>
        <v>23.656608245149911</v>
      </c>
      <c r="DE112" s="173">
        <f>_xlfn.AGGREGATE(9,6,Crops[[#This Row],[Bed Prep]:[Remove Crop Residue]])-0.75*Crops[[#This Row],[Market &amp; Sell]]</f>
        <v>22.853036816578484</v>
      </c>
      <c r="DF112" s="36">
        <f>Crops[[#This Row],[Direct Revenue Per Bed2]]/Crops[[#This Row],[Direct Time]]</f>
        <v>90.581757141642299</v>
      </c>
      <c r="DG112" s="36">
        <f>_xlfn.XLOOKUP(Crops[[#This Row],[ProductIndex]],Products[ID],Products[Packaging Cost])*(Crops[[#This Row],[Custom Yield Per Bed]]/_xlfn.XLOOKUP(Crops[[#This Row],[ProductIndex]],Products[ID],Products[Units Per Pack]))</f>
        <v>144.76190476190473</v>
      </c>
      <c r="DH112" s="36"/>
      <c r="DI112" s="36"/>
      <c r="DJ112" s="36"/>
      <c r="DK112" s="36"/>
      <c r="DL112" s="36"/>
      <c r="DM112" s="33">
        <f>IFERROR(Crops[[#This Row],[Custom Yield Per Bed]]*Crops[[#This Row],[Direct Price]],"")</f>
        <v>2142.8571428571422</v>
      </c>
      <c r="DN112" s="36">
        <f>Crops[[#This Row],[Direct Time]]*LaborRate</f>
        <v>591.41520612874774</v>
      </c>
      <c r="DO112" s="36">
        <f>SUM(Crops[[#This Row],[Irrigation Cost]])</f>
        <v>0</v>
      </c>
      <c r="DP112" s="36">
        <f>Crops[[#This Row],[Direct Labor Cost]]+Crops[[#This Row],[Direct Non-Labor Cost]]</f>
        <v>591.41520612874774</v>
      </c>
      <c r="DQ112" s="36">
        <f>Crops[[#This Row],[Direct Revenue Per Bed2]]-Crops[[#This Row],[Direct Total Cost]]</f>
        <v>1551.4419367283945</v>
      </c>
      <c r="DR112" s="36">
        <f>Crops[[#This Row],[Direct Profit]]*BedsPerAcre</f>
        <v>248230.70987654311</v>
      </c>
      <c r="DS112" s="36">
        <f>Crops[[#This Row],[Direct Profit]]*BedsPerAcre*GrowingDays/Crops[[#This Row],[Days In Field]]</f>
        <v>319153.76984126971</v>
      </c>
      <c r="DT112" s="36">
        <f>Crops[[#This Row],[Direct Profit]]/MIN(Crops[[#This Row],[Days In Field]],GrowingDays)</f>
        <v>11.081728119488531</v>
      </c>
      <c r="DU112" s="33">
        <f>Crops[[#This Row],[Direct Time]] * BedsPerAcre</f>
        <v>3785.0573192239858</v>
      </c>
      <c r="DV112" s="36">
        <f>(Crops[[#This Row],[Direct Revenue Per Bed2]]-Crops[[#This Row],[Direct Non-Labor Cost]])/Crops[[#This Row],[Direct Time]]</f>
        <v>90.581757141642299</v>
      </c>
      <c r="DW112" s="33">
        <f>IFERROR(Crops[[#This Row],[Custom Yield Per Bed]]*Crops[[#This Row],[Rough Wholesale Price]],"")</f>
        <v>1399.9999999999998</v>
      </c>
      <c r="DX112" s="36">
        <f>Crops[[#This Row],[Wholesale Time]]*LaborRate</f>
        <v>571.32592041446208</v>
      </c>
      <c r="DY112" s="36">
        <f>SUM(Crops[[#This Row],[Packaging Costs]:[Irrigation Cost]])</f>
        <v>144.76190476190473</v>
      </c>
      <c r="DZ112" s="36">
        <f>Crops[[#This Row],[Wholesale Labor Cost]]+Crops[[#This Row],[Wholesale Non-Labor Cost]]</f>
        <v>716.08782517636678</v>
      </c>
      <c r="EA112" s="36">
        <f>Crops[[#This Row],[Wholesale Revenue Per Bed]]-Crops[[#This Row],[Wholesale Total Cost]]</f>
        <v>683.91217482363299</v>
      </c>
      <c r="EB112" s="36">
        <f>Crops[[#This Row],[Wholesale Profit]]*BedsPerAcre</f>
        <v>109425.94797178128</v>
      </c>
      <c r="EC112" s="36">
        <f>Crops[[#This Row],[Wholesale Profit]]*BedsPerAcre*GrowingDays/Crops[[#This Row],[Days In Field]]</f>
        <v>140690.50453514737</v>
      </c>
      <c r="ED112" s="33">
        <f>Crops[[#This Row],[Wholesale Time]] * BedsPerAcre</f>
        <v>3656.4858906525574</v>
      </c>
      <c r="EE112" s="221">
        <f>Crops[[#This Row],[Wholesale Profit]]/MIN(Crops[[#This Row],[Days In Field]],GrowingDays)</f>
        <v>4.8850869630259499</v>
      </c>
      <c r="EF112" s="36">
        <f>(Crops[[#This Row],[Wholesale Revenue Per Bed]]-Crops[[#This Row],[Wholesale Non-Labor Cost]])/Crops[[#This Row],[Direct Time]]</f>
        <v>53.060780405637587</v>
      </c>
      <c r="EG112" s="174">
        <f>Crops[[#This Row],[Packaging Costs]]/Crops[[#This Row],[Wholesale Revenue Per Bed]]</f>
        <v>0.10340136054421768</v>
      </c>
      <c r="EH112" s="36" t="str">
        <f>Crops[[#This Row],[Crop]]&amp;Crops[[#This Row],[Product]]&amp;Crops[[#This Row],[Unit]]</f>
        <v>CucumberLarge FruitFruit</v>
      </c>
      <c r="EI112" s="36" t="b">
        <f>_xlfn.XLOOKUP(Crops[[#This Row],[ProductIndex]],Products[ID],Products[Target])</f>
        <v>1</v>
      </c>
      <c r="EJ112" s="33">
        <f>Crops[[#This Row],[Custom Yield Per Bed]]</f>
        <v>952.38095238095218</v>
      </c>
      <c r="EK112" s="210">
        <f>Crops[[#This Row],[Units Per Harvest]]/Crops[[#This Row],[Days Between Harvest]]*7</f>
        <v>66.666666666666657</v>
      </c>
      <c r="EL112" s="210">
        <f>Crops[[#This Row],[Custom Yield Per Bed]]/_xlfn.XLOOKUP(Crops[[#This Row],[ProductIndex]],Products[ID],Products[CSA Portion])</f>
        <v>476.19047619047609</v>
      </c>
      <c r="EM112" s="210">
        <f>Crops[[#This Row],[Units Per Harvest]]/Crops[[#This Row],[Days Between Harvest]]*7/_xlfn.XLOOKUP(Crops[[#This Row],[ProductIndex]],Products[ID],Products[CSA Portion])</f>
        <v>33.333333333333329</v>
      </c>
      <c r="EN112" s="210">
        <f>Crops[[#This Row],[CSA Portions Per Week]]/CSAMembers</f>
        <v>0.66666666666666652</v>
      </c>
      <c r="EO112" s="216"/>
      <c r="EP112" s="216"/>
      <c r="EQ112" s="210"/>
      <c r="ER112" s="210">
        <f>Crops[[#This Row],[Harvests]]*Crops[[#This Row],[Days Between Harvest]]/7</f>
        <v>14.285714285714286</v>
      </c>
      <c r="ES112" s="217">
        <f>_xlfn.XLOOKUP(Crops[[#This Row],[ProductIndex]],Products[ID],Products[CSA Need])</f>
        <v>12</v>
      </c>
      <c r="ET112" s="217">
        <f>_xlfn.XLOOKUP(Crops[[#This Row],[ProductIndex]],Products[ID],Products[CSA Times])</f>
        <v>6</v>
      </c>
      <c r="EU112" s="208">
        <f>Crops[[#This Row],[Custom Yield Per Bed]]/(Crops[[#This Row],[CSA Need]]*(_xlfn.XLOOKUP(Crops[[#This Row],[ProductIndex]],Products[ID],Products[CSA Portion])*CSAMembers))</f>
        <v>0.7936507936507935</v>
      </c>
      <c r="EV112" s="208">
        <f>_xlfn.XLOOKUP(Crops[[#This Row],[ProductIndex]],Products[ID],Products[CSA Portion])*CSAMembers*Crops[[#This Row],[CSA Need]]/Crops[[#This Row],[Custom Yield Per Bed]]</f>
        <v>1.2600000000000002</v>
      </c>
      <c r="EW112" s="208">
        <f>IFERROR(Crops[[#This Row],[Days In Field]]*Crops[[#This Row],[CSA Beds]],"")</f>
        <v>176.40000000000003</v>
      </c>
      <c r="EX112" s="208" t="e">
        <f>Crops[[#This Row],[CSA Bed Days]]*#REF!</f>
        <v>#REF!</v>
      </c>
      <c r="EY112" t="s">
        <v>283</v>
      </c>
    </row>
    <row r="113" spans="1:155">
      <c r="A113"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(Slicer) - Ripe Fruit 1X | Field TP </v>
      </c>
      <c r="B113" s="182"/>
      <c r="C113" s="1"/>
      <c r="D113" s="1"/>
      <c r="E113" s="1" t="b">
        <v>0</v>
      </c>
      <c r="F113" s="1" t="b">
        <f>IFERROR(IF(ISNUMBER(MATCH(Crops[[#This Row],[Identifier]],BedPlan[Crop], 0)), TRUE, FALSE), FALSE)</f>
        <v>1</v>
      </c>
      <c r="G113" s="1" t="b">
        <f>IFERROR(IF(ISNUMBER(MATCH(Crops[[#This Row],[Identifier]],BedPlan[Crop], 0)), TRUE, FALSE), FALSE)</f>
        <v>1</v>
      </c>
      <c r="H113" s="1"/>
      <c r="I113" t="s">
        <v>70</v>
      </c>
      <c r="J113" t="s">
        <v>1534</v>
      </c>
      <c r="K113" t="s">
        <v>191</v>
      </c>
      <c r="M113" t="s">
        <v>70</v>
      </c>
      <c r="N113" t="str">
        <f>Crops[[#This Row],[Crop]]</f>
        <v>Cucumber</v>
      </c>
      <c r="O113" t="s">
        <v>210</v>
      </c>
      <c r="P113" t="str">
        <f>IF(OR(Crops[[#This Row],[Days in Cells]]="",Crops[[#This Row],[Days in Cells]]=0), "DS","TP")</f>
        <v>TP</v>
      </c>
      <c r="V113" t="str">
        <f xml:space="preserve"> IF(Crops[[#This Row],[Sp]], "Sp", "") &amp; IF(Crops[[#This Row],[Su]], "Su", "") &amp; IF(Crops[[#This Row],[Fa]], "Fa", "") &amp; IF(Crops[[#This Row],[Wi]], "Wi", "") &amp; IF(Crops[[#This Row],[OW]], "Ow","")</f>
        <v/>
      </c>
      <c r="W113" t="s">
        <v>144</v>
      </c>
      <c r="X113">
        <v>1</v>
      </c>
      <c r="Y113">
        <v>12</v>
      </c>
      <c r="Z113" t="s">
        <v>432</v>
      </c>
      <c r="AA113" t="s">
        <v>474</v>
      </c>
      <c r="AB113" t="b">
        <v>1</v>
      </c>
      <c r="AC113">
        <v>6</v>
      </c>
      <c r="AD113" s="32">
        <f>IFERROR(12/Crops[[#This Row],[Spacing]]*Crops[[#This Row],[Rows]]*BedLength,"")</f>
        <v>50</v>
      </c>
      <c r="AE113">
        <v>1</v>
      </c>
      <c r="AG113">
        <f>IF(Crops[[#This Row],[Custom Safety Factor]]="",PlantingSafetyFactor,Crops[[#This Row],[Custom Safety Factor]])</f>
        <v>1.3</v>
      </c>
      <c r="AH113">
        <f>1</f>
        <v>1</v>
      </c>
      <c r="AI113" s="33">
        <f>IFERROR(Crops[[#This Row],[Plantings Per Bed]]*Crops[[#This Row],[Seeds Per Planting]]*Crops[[#This Row],[Safety Factor]]*Crops[[#This Row],[Seeding Factor]],"")</f>
        <v>65</v>
      </c>
      <c r="AL113">
        <f>_xlfn.FLOOR.MATH(IFERROR(AVERAGE(Crops[[#This Row],[DTG Lower]:[DTG Upper]]),0))</f>
        <v>0</v>
      </c>
      <c r="AM113">
        <f>SUM(Crops[[#This Row],[Tray 1 Days]],Crops[[#This Row],[Tray 2 Days]],Crops[[#This Row],[Tray 3 Days]])</f>
        <v>35</v>
      </c>
      <c r="AN113" s="32">
        <v>28</v>
      </c>
      <c r="AP113">
        <v>80</v>
      </c>
      <c r="AQ113">
        <f>IFERROR(_xlfn.FLOOR.MATH(AVERAGE(Crops[[#This Row],[DTM Lower]:[DTM Upper]])),"")</f>
        <v>80</v>
      </c>
      <c r="AR113" cm="1">
        <f t="array" ref="AR113">_xlfn.SWITCH(Crops[[#This Row],[Normal Method]],"DS",Crops[[#This Row],[Days to Germination]]+Crops[[#This Row],[DTM]] + IF(Crops[[#This Row],[Days in Cells]]&gt;0,15,0), "TP",Crops[[#This Row],[DTM]]+Crops[[#This Row],[Days in Cells]] + IF(Crops[[#This Row],[Days in Cells]]&lt;=0,20,0), "X", Crops[[#This Row],[DTM]])</f>
        <v>80</v>
      </c>
      <c r="AS113" t="s">
        <v>347</v>
      </c>
      <c r="AT113">
        <f>(Crops[[#This Row],[Harvests]]-1)*Crops[[#This Row],[Days Between Harvest]]+7</f>
        <v>77</v>
      </c>
      <c r="AU113">
        <f>Crops[[#This Row],[STH]]-Crops[[#This Row],[Days in Cells]]+Crops[[#This Row],[Harvest window]]</f>
        <v>122</v>
      </c>
      <c r="AX113">
        <v>18</v>
      </c>
      <c r="AY113">
        <v>35</v>
      </c>
      <c r="AZ113" s="49">
        <f>IFERROR(IF(Crops[[#This Row],[Tray 1 Days]]=0,"",Crops[[#This Row],[Plantings Per Bed]]/Crops[[#This Row],[Tray 1 Size]]*Crops[[#This Row],[Safety Factor]]),"")</f>
        <v>3.6111111111111112</v>
      </c>
      <c r="BC113" t="str">
        <f>IFERROR(IF(Crops[[#This Row],[Tray 2 Days]]=0,"",Crops[[#This Row],[Plantings Per Bed]]/Crops[[#This Row],[Tray 2 Size]]*Crops[[#This Row],[Safety Factor]]),"")</f>
        <v/>
      </c>
      <c r="BE113" s="32" t="str">
        <f>IF(NOT(ISBLANK(Crops[[#This Row],[Tray 3 Size]])), Crops[[#This Row],[Days in Cells Old]]-SUM(Crops[[#This Row],[Tray 1 Days]],Crops[[#This Row],[Tray 2 Days]]), "")</f>
        <v/>
      </c>
      <c r="BF113" s="49" t="str">
        <f>IFERROR(IF(Crops[[#This Row],[Tray 3 Days]]=0,"",Crops[[#This Row],[Plantings Per Bed]]/Crops[[#This Row],[Tray 3 Size]]*Crops[[#This Row],[Safety Factor]]),"")</f>
        <v/>
      </c>
      <c r="BG113" s="33">
        <f>20*BedLength/StandardBedLength</f>
        <v>10</v>
      </c>
      <c r="BH113" s="33">
        <v>36</v>
      </c>
      <c r="BI113" s="33">
        <v>2</v>
      </c>
      <c r="BJ113" s="33">
        <f>_xlfn.XLOOKUP(Crops[[#This Row],[ProductIndex]],Products[ID],Products[Holding Period])</f>
        <v>4</v>
      </c>
      <c r="BK113" s="33"/>
      <c r="BL113" s="33">
        <f>Crops[[#This Row],[Units Per Harvest]]*Crops[[#This Row],[Harvests]]</f>
        <v>360</v>
      </c>
      <c r="BM113" s="35">
        <v>3</v>
      </c>
      <c r="BN113" s="35">
        <f>Crops[[#This Row],[Direct Price]]*0.6</f>
        <v>1.7999999999999998</v>
      </c>
      <c r="BO113" s="35"/>
      <c r="BP113" t="s">
        <v>383</v>
      </c>
      <c r="BQ113">
        <f>Crops[[#This Row],[Custom Yield Per Bed]]*Crops[[#This Row],[Direct Price]]</f>
        <v>1080</v>
      </c>
      <c r="BR113" t="b">
        <v>1</v>
      </c>
      <c r="BS113" t="b">
        <f>Crops[[#This Row],[Harvests]]&gt;1</f>
        <v>1</v>
      </c>
      <c r="BT113" s="36">
        <f>IFERROR(Crops[[#This Row],[Direct Revenue Per Bed]]/Crops[[#This Row],[Days In Field]],-1)</f>
        <v>8.8524590163934427</v>
      </c>
      <c r="BU113" s="36">
        <f>IFERROR(Crops[[#This Row],[Direct Revenue Per Bed Day]]*GrowingDays*BedsPerAcre,"")</f>
        <v>254950.81967213115</v>
      </c>
      <c r="BV113" s="38">
        <f>LastFrostDate-5*Crops[[#This Row],[Sewing Rel Last Frost]]</f>
        <v>45758</v>
      </c>
      <c r="BW113" s="38">
        <f>Crops[[#This Row],[Target Sewing Date]]+Crops[[#This Row],[Days in Cells]]</f>
        <v>45793</v>
      </c>
      <c r="BX113" s="38">
        <f>Crops[[#This Row],[Target Sewing Date]]+Crops[[#This Row],[STH]]</f>
        <v>45838</v>
      </c>
      <c r="BY113" s="38">
        <f>Crops[[#This Row],[Target Harvest Data]]+Crops[[#This Row],[Harvest window]]</f>
        <v>45915</v>
      </c>
      <c r="BZ113">
        <v>-2</v>
      </c>
      <c r="CA113" t="s">
        <v>373</v>
      </c>
      <c r="CB113">
        <f>1</f>
        <v>1</v>
      </c>
      <c r="CC113">
        <f>IF(Crops[[#This Row],[Transplanting]]&gt;0, 2, 3)*BedLength/StandardBedLength</f>
        <v>1</v>
      </c>
      <c r="CD113" s="173">
        <f>IF(Crops[[#This Row],[Days in Cells]]&lt;=0,0,Crops[[#This Row],[Plantings Per Bed]]/StartsPerHourSeeding+Crops[[#This Row],[Tray 1 Count]]*5/60)</f>
        <v>0.49623842592592593</v>
      </c>
      <c r="CE113" s="173">
        <f>IF(ISBLANK(Crops[[#This Row],[Tray 2 Days]]),0,Crops[[#This Row],[Plantings Per Bed]]/UpPottingPerHour)+IF(Crops[[#This Row],[Tray 3 Days]]="",0,Crops[[#This Row],[Plantings Per Bed]]/UpPottingPerHour)</f>
        <v>0</v>
      </c>
      <c r="CF113" s="173">
        <f>IFERROR(Crops[[#This Row],[Tray 1 Count]]/HomeStartFlatIrrigationPerHour,0)*Crops[[#This Row],[Days in Cells]]/DaysBetweenStartIrrigation</f>
        <v>0.52662037037037035</v>
      </c>
      <c r="CG113" s="173">
        <f>0.5/16*MAX(Crops[[#This Row],[Tray 1 Count]],Crops[[#This Row],[Tray 2 Count]],Crops[[#This Row],[Tray 3 Count]])</f>
        <v>0.11284722222222222</v>
      </c>
      <c r="CH113" s="173">
        <f>IF(Crops[[#This Row],[Days in Cells]]&gt;0,IF(IF(Crops[[#This Row],[Tray 3 Size]]&gt;0,Crops[[#This Row],[Tray 3 Size]],IF(Crops[[#This Row],[Tray 2 Size]]&gt;0,Crops[[#This Row],[Tray 2 Size]],Crops[[#This Row],[Tray 1 Size]]))&lt;=18,LargeTransplantTime,SmallTransplantTime)*Crops[[#This Row],[Plantings Per Bed]],0)</f>
        <v>2.083333333333333</v>
      </c>
      <c r="CI113" s="173"/>
      <c r="CJ113" s="173">
        <f>_xlfn.XLOOKUP(Crops[[#This Row],[Trellis Type]],TrellisMethods[Trellis Type],TrellisMethods[Hours],0,0)</f>
        <v>0</v>
      </c>
      <c r="CK113">
        <f>IF(Crops[[#This Row],[Days in Cells]]&lt;=0,Crops[[#This Row],[Rows]]*1/10,0)*BedLength/50</f>
        <v>0</v>
      </c>
      <c r="CL113" cm="1">
        <f t="array" ref="CL113">_xlfn.SWITCH(Crops[[#This Row],[Irrigation]],"DR", 0.5, "OH", 0.25,0)*BedLength/50</f>
        <v>0.5</v>
      </c>
      <c r="CM113">
        <f>IF(OR(ISBLANK(Crops[[#This Row],[Row Cover]]),Crops[[#This Row],[Row Cover]]="None"),0,1)*BedLength/50</f>
        <v>0</v>
      </c>
      <c r="CN113" s="173">
        <f>HoursPerWeedingPass*Crops[[#This Row],[Days In Field]]/14*Crops[[#This Row],[Rows]]+1*BedLength/50</f>
        <v>2.4523809523809526</v>
      </c>
      <c r="CO113">
        <f>0.5*Crops[[#This Row],[Days In Field]]/7*BedLength/50</f>
        <v>8.7142857142857135</v>
      </c>
      <c r="CQ113" s="37">
        <f>_xlfn.XLOOKUP(Crops[[#This Row],[Crop]]&amp;Crops[[#This Row],[Product]]&amp;Crops[[#This Row],[Unit]],Products[ID],Products[Marketing (hr)])*Crops[[#This Row],[Direct Revenue Per Bed]]/2000</f>
        <v>0.54</v>
      </c>
      <c r="CR113" s="37">
        <f>_xlfn.XLOOKUP(Crops[[#This Row],[Crop]]&amp;Crops[[#This Row],[Product]]&amp;Crops[[#This Row],[Unit]],Products[ID],Products[Harvest (s)])*Crops[[#This Row],[Custom Yield Per Bed]]/3600</f>
        <v>1</v>
      </c>
      <c r="CS113" s="37">
        <f>_xlfn.XLOOKUP(Crops[[#This Row],[Crop]]&amp;Crops[[#This Row],[Product]]&amp;Crops[[#This Row],[Unit]],Products[ID],Products[Bunch (s)])*Crops[[#This Row],[Custom Yield Per Bed]]/3600</f>
        <v>0</v>
      </c>
      <c r="CT113" s="37">
        <f>_xlfn.XLOOKUP(Crops[[#This Row],[Crop]]&amp;Crops[[#This Row],[Product]]&amp;Crops[[#This Row],[Unit]],Products[ID],Products[Haul (s)])*Crops[[#This Row],[Custom Yield Per Bed]]/3600</f>
        <v>0.36</v>
      </c>
      <c r="CU113" s="37">
        <f>_xlfn.XLOOKUP(Crops[[#This Row],[Crop]]&amp;Crops[[#This Row],[Product]]&amp;Crops[[#This Row],[Unit]],Products[ID],Products[Wash (s)])*Crops[[#This Row],[Custom Yield Per Bed]]/3600</f>
        <v>0</v>
      </c>
      <c r="CV113" s="37">
        <f>_xlfn.XLOOKUP(Crops[[#This Row],[Crop]]&amp;Crops[[#This Row],[Product]]&amp;Crops[[#This Row],[Unit]],Products[ID],Products[Condition (s)])*Crops[[#This Row],[Custom Yield Per Bed]]/3600</f>
        <v>0</v>
      </c>
      <c r="CW113" s="37">
        <f>_xlfn.XLOOKUP(Crops[[#This Row],[Crop]]&amp;Crops[[#This Row],[Product]]&amp;Crops[[#This Row],[Unit]],Products[ID],Products[Trim (s)])*Crops[[#This Row],[Custom Yield Per Bed]]/3600</f>
        <v>0</v>
      </c>
      <c r="CX113" s="37">
        <f>_xlfn.XLOOKUP(Crops[[#This Row],[Crop]]&amp;Crops[[#This Row],[Product]]&amp;Crops[[#This Row],[Unit]],Products[ID],Products[Pack (s)])*Crops[[#This Row],[Custom Yield Per Bed]]/3600</f>
        <v>0.3</v>
      </c>
      <c r="CY113" s="37">
        <f>_xlfn.XLOOKUP(Crops[[#This Row],[Crop]]&amp;Crops[[#This Row],[Product]]&amp;Crops[[#This Row],[Unit]],Products[ID],Products[Clean (s)])*Crops[[#This Row],[Custom Yield Per Bed]]/3600</f>
        <v>0</v>
      </c>
      <c r="CZ113" s="37">
        <f>_xlfn.XLOOKUP(Crops[[#This Row],[Crop]]&amp;Crops[[#This Row],[Product]]&amp;Crops[[#This Row],[Unit]],Products[ID],Products[Rehandle (s)])*Crops[[#This Row],[Custom Yield Per Bed]]/3600</f>
        <v>0</v>
      </c>
      <c r="DA113" s="37">
        <f>_xlfn.XLOOKUP(Crops[[#This Row],[Crop]]&amp;Crops[[#This Row],[Product]]&amp;Crops[[#This Row],[Unit]],Products[ID],Products[Market Transport (s)])*Crops[[#This Row],[Custom Yield Per Bed]]/3600</f>
        <v>0.9</v>
      </c>
      <c r="DC113" s="37">
        <f>Crops[[#This Row],[Direct Revenue Per Bed2]]</f>
        <v>1080</v>
      </c>
      <c r="DD113" s="173">
        <f>_xlfn.AGGREGATE(9,6,Crops[[#This Row],[Bed Prep]:[Remove Crop Residue]])</f>
        <v>18.985706018518517</v>
      </c>
      <c r="DE113" s="173">
        <f>_xlfn.AGGREGATE(9,6,Crops[[#This Row],[Bed Prep]:[Remove Crop Residue]])-0.75*Crops[[#This Row],[Market &amp; Sell]]</f>
        <v>18.580706018518516</v>
      </c>
      <c r="DF113" s="36">
        <f>Crops[[#This Row],[Direct Revenue Per Bed2]]/Crops[[#This Row],[Direct Time]]</f>
        <v>56.884900616631057</v>
      </c>
      <c r="DG113" s="36">
        <f>_xlfn.XLOOKUP(Crops[[#This Row],[ProductIndex]],Products[ID],Products[Packaging Cost])*(Crops[[#This Row],[Custom Yield Per Bed]]/_xlfn.XLOOKUP(Crops[[#This Row],[ProductIndex]],Products[ID],Products[Units Per Pack]))</f>
        <v>54.72</v>
      </c>
      <c r="DH113" s="36"/>
      <c r="DI113" s="36"/>
      <c r="DJ113" s="36"/>
      <c r="DK113" s="36"/>
      <c r="DL113" s="36"/>
      <c r="DM113" s="33">
        <f>IFERROR(Crops[[#This Row],[Custom Yield Per Bed]]*Crops[[#This Row],[Direct Price]],"")</f>
        <v>1080</v>
      </c>
      <c r="DN113" s="36">
        <f>Crops[[#This Row],[Direct Time]]*LaborRate</f>
        <v>474.64265046296293</v>
      </c>
      <c r="DO113" s="36">
        <f>SUM(Crops[[#This Row],[Irrigation Cost]])</f>
        <v>0</v>
      </c>
      <c r="DP113" s="36">
        <f>Crops[[#This Row],[Direct Labor Cost]]+Crops[[#This Row],[Direct Non-Labor Cost]]</f>
        <v>474.64265046296293</v>
      </c>
      <c r="DQ113" s="36">
        <f>Crops[[#This Row],[Direct Revenue Per Bed2]]-Crops[[#This Row],[Direct Total Cost]]</f>
        <v>605.35734953703707</v>
      </c>
      <c r="DR113" s="36">
        <f>Crops[[#This Row],[Direct Profit]]*BedsPerAcre</f>
        <v>96857.175925925927</v>
      </c>
      <c r="DS113" s="36">
        <f>Crops[[#This Row],[Direct Profit]]*BedsPerAcre*GrowingDays/Crops[[#This Row],[Days In Field]]</f>
        <v>142904.03005464483</v>
      </c>
      <c r="DT113" s="36">
        <f>Crops[[#This Row],[Direct Profit]]/MIN(Crops[[#This Row],[Days In Field]],GrowingDays)</f>
        <v>4.9619454880085003</v>
      </c>
      <c r="DU113" s="36">
        <f>Crops[[#This Row],[Direct Time]] * BedsPerAcre</f>
        <v>3037.7129629629626</v>
      </c>
      <c r="DV113" s="36">
        <f>(Crops[[#This Row],[Direct Revenue Per Bed2]]-Crops[[#This Row],[Direct Non-Labor Cost]])/Crops[[#This Row],[Direct Time]]</f>
        <v>56.884900616631057</v>
      </c>
      <c r="DW113" s="33">
        <f>IFERROR(Crops[[#This Row],[Custom Yield Per Bed]]*Crops[[#This Row],[Rough Wholesale Price]],"")</f>
        <v>647.99999999999989</v>
      </c>
      <c r="DX113" s="36">
        <f>Crops[[#This Row],[Wholesale Time]]*LaborRate</f>
        <v>464.51765046296288</v>
      </c>
      <c r="DY113" s="36">
        <f>SUM(Crops[[#This Row],[Packaging Costs]:[Irrigation Cost]])</f>
        <v>54.72</v>
      </c>
      <c r="DZ113" s="36">
        <f>Crops[[#This Row],[Wholesale Labor Cost]]+Crops[[#This Row],[Wholesale Non-Labor Cost]]</f>
        <v>519.23765046296285</v>
      </c>
      <c r="EA113" s="36">
        <f>Crops[[#This Row],[Wholesale Revenue Per Bed]]-Crops[[#This Row],[Wholesale Total Cost]]</f>
        <v>128.76234953703704</v>
      </c>
      <c r="EB113" s="36">
        <f>Crops[[#This Row],[Wholesale Profit]]*BedsPerAcre</f>
        <v>20601.975925925926</v>
      </c>
      <c r="EC113" s="36">
        <f>Crops[[#This Row],[Wholesale Profit]]*BedsPerAcre*GrowingDays/Crops[[#This Row],[Days In Field]]</f>
        <v>30396.357923497268</v>
      </c>
      <c r="ED113" s="36">
        <f>Crops[[#This Row],[Wholesale Time]] * BedsPerAcre</f>
        <v>2972.9129629629624</v>
      </c>
      <c r="EE113" s="36">
        <f>Crops[[#This Row],[Wholesale Profit]]/MIN(Crops[[#This Row],[Days In Field]],GrowingDays)</f>
        <v>1.0554290945658773</v>
      </c>
      <c r="EF113" s="36">
        <f>(Crops[[#This Row],[Wholesale Revenue Per Bed]]-Crops[[#This Row],[Wholesale Non-Labor Cost]])/Crops[[#This Row],[Direct Time]]</f>
        <v>31.248772072069322</v>
      </c>
      <c r="EG113" s="174">
        <f>Crops[[#This Row],[Packaging Costs]]/Crops[[#This Row],[Wholesale Revenue Per Bed]]</f>
        <v>8.4444444444444461E-2</v>
      </c>
      <c r="EH113" s="36" t="str">
        <f>Crops[[#This Row],[Crop]]&amp;Crops[[#This Row],[Product]]&amp;Crops[[#This Row],[Unit]]</f>
        <v>CucumberRipe FruitLb</v>
      </c>
      <c r="EI113" s="36" t="b">
        <f>_xlfn.XLOOKUP(Crops[[#This Row],[ProductIndex]],Products[ID],Products[Target])</f>
        <v>1</v>
      </c>
      <c r="EJ113" s="36">
        <f>Crops[[#This Row],[Custom Yield Per Bed]]</f>
        <v>360</v>
      </c>
      <c r="EK113" s="210">
        <f>Crops[[#This Row],[Units Per Harvest]]/Crops[[#This Row],[Days Between Harvest]]*7</f>
        <v>35</v>
      </c>
      <c r="EL113" s="210">
        <f>Crops[[#This Row],[Custom Yield Per Bed]]/_xlfn.XLOOKUP(Crops[[#This Row],[ProductIndex]],Products[ID],Products[CSA Portion])</f>
        <v>180</v>
      </c>
      <c r="EM113" s="210">
        <f>Crops[[#This Row],[Units Per Harvest]]/Crops[[#This Row],[Days Between Harvest]]*7/_xlfn.XLOOKUP(Crops[[#This Row],[ProductIndex]],Products[ID],Products[CSA Portion])</f>
        <v>17.5</v>
      </c>
      <c r="EN113" s="210">
        <f>Crops[[#This Row],[CSA Portions Per Week]]/CSAMembers</f>
        <v>0.35</v>
      </c>
      <c r="EO113" s="210"/>
      <c r="EP113" s="210"/>
      <c r="EQ113" s="36"/>
      <c r="ER113" s="36">
        <f>Crops[[#This Row],[Harvests]]*Crops[[#This Row],[Days Between Harvest]]/7</f>
        <v>10.285714285714286</v>
      </c>
      <c r="ES113" s="208">
        <f>_xlfn.XLOOKUP(Crops[[#This Row],[ProductIndex]],Products[ID],Products[CSA Need])</f>
        <v>0</v>
      </c>
      <c r="ET113" s="208">
        <f>_xlfn.XLOOKUP(Crops[[#This Row],[ProductIndex]],Products[ID],Products[CSA Times])</f>
        <v>0</v>
      </c>
      <c r="EU113" s="208" t="e">
        <f>Crops[[#This Row],[Custom Yield Per Bed]]/(Crops[[#This Row],[CSA Need]]*(_xlfn.XLOOKUP(Crops[[#This Row],[ProductIndex]],Products[ID],Products[CSA Portion])*CSAMembers))</f>
        <v>#DIV/0!</v>
      </c>
      <c r="EV113" s="208">
        <f>_xlfn.XLOOKUP(Crops[[#This Row],[ProductIndex]],Products[ID],Products[CSA Portion])*CSAMembers*Crops[[#This Row],[CSA Need]]/Crops[[#This Row],[Custom Yield Per Bed]]</f>
        <v>0</v>
      </c>
      <c r="EW113" s="208">
        <f>IFERROR(Crops[[#This Row],[Days In Field]]*Crops[[#This Row],[CSA Beds]],"")</f>
        <v>0</v>
      </c>
      <c r="EX113" s="208" t="e">
        <f>Crops[[#This Row],[CSA Bed Days]]*#REF!</f>
        <v>#REF!</v>
      </c>
      <c r="EY113" t="s">
        <v>1405</v>
      </c>
    </row>
    <row r="114" spans="1:155">
      <c r="A11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Dahlia - Cut Flower 1X | Field DS </v>
      </c>
      <c r="B114" s="189"/>
      <c r="C114" s="1"/>
      <c r="D114" s="1"/>
      <c r="E114" s="1" t="b">
        <v>0</v>
      </c>
      <c r="F114" s="1" t="b">
        <f>IFERROR(IF(ISNUMBER(MATCH(Crops[[#This Row],[Identifier]],BedPlan[Crop], 0)), TRUE, FALSE), FALSE)</f>
        <v>1</v>
      </c>
      <c r="G114" s="1" t="b">
        <f>IFERROR(IF(ISNUMBER(MATCH(Crops[[#This Row],[Identifier]],BedPlan[Crop], 0)), TRUE, FALSE), FALSE)</f>
        <v>1</v>
      </c>
      <c r="H114" s="1" t="b">
        <v>1</v>
      </c>
      <c r="I114" t="s">
        <v>71</v>
      </c>
      <c r="J114" t="s">
        <v>145</v>
      </c>
      <c r="K114" t="s">
        <v>187</v>
      </c>
      <c r="N114" t="str">
        <f>Crops[[#This Row],[Crop]]</f>
        <v>Dahlia</v>
      </c>
      <c r="O114" t="s">
        <v>210</v>
      </c>
      <c r="P114" t="str">
        <f>IF(OR(Crops[[#This Row],[Days in Cells]]="",Crops[[#This Row],[Days in Cells]]=0), "DS","TP")</f>
        <v>DS</v>
      </c>
      <c r="V114" t="str">
        <f xml:space="preserve"> IF(Crops[[#This Row],[Sp]], "Sp", "") &amp; IF(Crops[[#This Row],[Su]], "Su", "") &amp; IF(Crops[[#This Row],[Fa]], "Fa", "") &amp; IF(Crops[[#This Row],[Wi]], "Wi", "") &amp; IF(Crops[[#This Row],[OW]], "Ow","")</f>
        <v/>
      </c>
      <c r="X114">
        <v>2</v>
      </c>
      <c r="Y114">
        <v>12</v>
      </c>
      <c r="AD114" s="32">
        <f>IFERROR(12/Crops[[#This Row],[Spacing]]*Crops[[#This Row],[Rows]]*BedLength,"")</f>
        <v>100</v>
      </c>
      <c r="AE114">
        <v>1</v>
      </c>
      <c r="AG114">
        <f>IF(Crops[[#This Row],[Custom Safety Factor]]="",PlantingSafetyFactor,Crops[[#This Row],[Custom Safety Factor]])</f>
        <v>1.3</v>
      </c>
      <c r="AH114">
        <f>1</f>
        <v>1</v>
      </c>
      <c r="AI114" s="33">
        <f>IFERROR(Crops[[#This Row],[Plantings Per Bed]]*Crops[[#This Row],[Seeds Per Planting]]*Crops[[#This Row],[Safety Factor]]*Crops[[#This Row],[Seeding Factor]],"")</f>
        <v>130</v>
      </c>
      <c r="AL114">
        <f>_xlfn.FLOOR.MATH(IFERROR(AVERAGE(Crops[[#This Row],[DTG Lower]:[DTG Upper]]),0))</f>
        <v>0</v>
      </c>
      <c r="AM114">
        <f>SUM(Crops[[#This Row],[Tray 1 Days]],Crops[[#This Row],[Tray 2 Days]],Crops[[#This Row],[Tray 3 Days]])</f>
        <v>0</v>
      </c>
      <c r="AN114">
        <v>30</v>
      </c>
      <c r="AP114">
        <v>83</v>
      </c>
      <c r="AQ114">
        <f>IFERROR(_xlfn.FLOOR.MATH(AVERAGE(Crops[[#This Row],[DTM Lower]:[DTM Upper]])),"")</f>
        <v>83</v>
      </c>
      <c r="AR114" cm="1">
        <f t="array" ref="AR114">_xlfn.SWITCH(Crops[[#This Row],[Normal Method]],"DS",Crops[[#This Row],[Days to Germination]]+Crops[[#This Row],[DTM]] + IF(Crops[[#This Row],[Days in Cells]]&gt;0,15,0), "TP",Crops[[#This Row],[DTM]]+Crops[[#This Row],[Days in Cells]] + IF(Crops[[#This Row],[Days in Cells]]&lt;=0,20,0), "X", Crops[[#This Row],[DTM]])</f>
        <v>103</v>
      </c>
      <c r="AS114" t="s">
        <v>346</v>
      </c>
      <c r="AT114">
        <f>(Crops[[#This Row],[Harvests]]-1)*Crops[[#This Row],[Days Between Harvest]]+7</f>
        <v>7</v>
      </c>
      <c r="AU114">
        <f>Crops[[#This Row],[STH]]-Crops[[#This Row],[Days in Cells]]+Crops[[#This Row],[Harvest window]]</f>
        <v>110</v>
      </c>
      <c r="AZ114" t="str">
        <f>IFERROR(IF(Crops[[#This Row],[Tray 1 Days]]=0,"",Crops[[#This Row],[Plantings Per Bed]]/Crops[[#This Row],[Tray 1 Size]]*Crops[[#This Row],[Safety Factor]]),"")</f>
        <v/>
      </c>
      <c r="BC114" t="str">
        <f>IFERROR(IF(Crops[[#This Row],[Tray 2 Days]]=0,"",Crops[[#This Row],[Plantings Per Bed]]/Crops[[#This Row],[Tray 2 Size]]*Crops[[#This Row],[Safety Factor]]),"")</f>
        <v/>
      </c>
      <c r="BE114" s="32" t="str">
        <f>IF(NOT(ISBLANK(Crops[[#This Row],[Tray 3 Size]])), Crops[[#This Row],[Days in Cells Old]]-SUM(Crops[[#This Row],[Tray 1 Days]],Crops[[#This Row],[Tray 2 Days]]), "")</f>
        <v/>
      </c>
      <c r="BF114" t="str">
        <f>IFERROR(IF(Crops[[#This Row],[Tray 3 Days]]=0,"",Crops[[#This Row],[Plantings Per Bed]]/Crops[[#This Row],[Tray 3 Size]]*Crops[[#This Row],[Safety Factor]]),"")</f>
        <v/>
      </c>
      <c r="BG114" s="33"/>
      <c r="BH114" s="33"/>
      <c r="BI114" s="33"/>
      <c r="BJ114" s="33" t="e">
        <f>_xlfn.XLOOKUP(Crops[[#This Row],[ProductIndex]],Products[ID],Products[Holding Period])</f>
        <v>#N/A</v>
      </c>
      <c r="BK114" s="33"/>
      <c r="BL114" s="33">
        <f>Crops[[#This Row],[Units Per Harvest]]*Crops[[#This Row],[Harvests]]</f>
        <v>0</v>
      </c>
      <c r="BM114" s="35">
        <v>3</v>
      </c>
      <c r="BN114" s="35">
        <f>Crops[[#This Row],[Direct Price]]*0.6</f>
        <v>1.7999999999999998</v>
      </c>
      <c r="BO114" s="35"/>
      <c r="BP114" t="s">
        <v>213</v>
      </c>
      <c r="BQ114">
        <f>Crops[[#This Row],[Custom Yield Per Bed]]*Crops[[#This Row],[Direct Price]]</f>
        <v>0</v>
      </c>
      <c r="BR114" t="b">
        <v>0</v>
      </c>
      <c r="BS114" t="b">
        <f>Crops[[#This Row],[Harvests]]&gt;1</f>
        <v>0</v>
      </c>
      <c r="BT114" s="36">
        <f>IFERROR(Crops[[#This Row],[Direct Revenue Per Bed]]/Crops[[#This Row],[Days In Field]],-1)</f>
        <v>0</v>
      </c>
      <c r="BU114" s="36">
        <f>IFERROR(Crops[[#This Row],[Direct Revenue Per Bed Day]]*GrowingDays*BedsPerAcre,"")</f>
        <v>0</v>
      </c>
      <c r="BV114" s="38">
        <f>LastFrostDate-5*Crops[[#This Row],[Sewing Rel Last Frost]]</f>
        <v>45748</v>
      </c>
      <c r="BW114" s="38">
        <f>Crops[[#This Row],[Target Sewing Date]]+Crops[[#This Row],[Days in Cells]]</f>
        <v>45748</v>
      </c>
      <c r="BX114" s="38">
        <f>Crops[[#This Row],[Target Sewing Date]]+Crops[[#This Row],[STH]]</f>
        <v>45851</v>
      </c>
      <c r="BY114" s="38">
        <f>Crops[[#This Row],[Target Harvest Data]]+Crops[[#This Row],[Harvest window]]</f>
        <v>45858</v>
      </c>
      <c r="CB114">
        <f>1</f>
        <v>1</v>
      </c>
      <c r="CC114">
        <f>IF(Crops[[#This Row],[Transplanting]]&gt;0, 2, 3)*BedLength/StandardBedLength</f>
        <v>1.5</v>
      </c>
      <c r="CD114" s="173">
        <f>IF(Crops[[#This Row],[Days in Cells]]&lt;=0,0,Crops[[#This Row],[Plantings Per Bed]]/StartsPerHourSeeding+Crops[[#This Row],[Tray 1 Count]]*5/60)</f>
        <v>0</v>
      </c>
      <c r="CE114" s="173">
        <f>IF(ISBLANK(Crops[[#This Row],[Tray 2 Days]]),0,Crops[[#This Row],[Plantings Per Bed]]/UpPottingPerHour)+IF(Crops[[#This Row],[Tray 3 Days]]="",0,Crops[[#This Row],[Plantings Per Bed]]/UpPottingPerHour)</f>
        <v>0</v>
      </c>
      <c r="CF114" s="173">
        <f>IFERROR(Crops[[#This Row],[Tray 1 Count]]/HomeStartFlatIrrigationPerHour,0)*Crops[[#This Row],[Days in Cells]]/DaysBetweenStartIrrigation</f>
        <v>0</v>
      </c>
      <c r="CG114" s="173">
        <f>0.5/16*MAX(Crops[[#This Row],[Tray 1 Count]],Crops[[#This Row],[Tray 2 Count]],Crops[[#This Row],[Tray 3 Count]])</f>
        <v>0</v>
      </c>
      <c r="CH114" s="173">
        <f>IF(Crops[[#This Row],[Days in Cells]]&gt;0,IF(IF(Crops[[#This Row],[Tray 3 Size]]&gt;0,Crops[[#This Row],[Tray 3 Size]],IF(Crops[[#This Row],[Tray 2 Size]]&gt;0,Crops[[#This Row],[Tray 2 Size]],Crops[[#This Row],[Tray 1 Size]]))&lt;=18,LargeTransplantTime,SmallTransplantTime)*Crops[[#This Row],[Plantings Per Bed]],0)</f>
        <v>0</v>
      </c>
      <c r="CI114" s="173"/>
      <c r="CJ114" s="173">
        <f>_xlfn.XLOOKUP(Crops[[#This Row],[Trellis Type]],TrellisMethods[Trellis Type],TrellisMethods[Hours],0,0)</f>
        <v>0</v>
      </c>
      <c r="CK114">
        <f>IF(Crops[[#This Row],[Days in Cells]]&lt;=0,Crops[[#This Row],[Rows]]*1/10,0)*BedLength/50</f>
        <v>0.2</v>
      </c>
      <c r="CL114" cm="1">
        <f t="array" ref="CL114">_xlfn.SWITCH(Crops[[#This Row],[Irrigation]],"DR", 0.5, "OH", 0.25,0)*BedLength/50</f>
        <v>0</v>
      </c>
      <c r="CM114">
        <f>IF(OR(ISBLANK(Crops[[#This Row],[Row Cover]]),Crops[[#This Row],[Row Cover]]="None"),0,1)*BedLength/50</f>
        <v>0</v>
      </c>
      <c r="CN114" s="173">
        <f>HoursPerWeedingPass*Crops[[#This Row],[Days In Field]]/14*Crops[[#This Row],[Rows]]+1*BedLength/50</f>
        <v>3.6190476190476191</v>
      </c>
      <c r="CQ114" s="37" t="e">
        <f>_xlfn.XLOOKUP(Crops[[#This Row],[Crop]]&amp;Crops[[#This Row],[Product]]&amp;Crops[[#This Row],[Unit]],Products[ID],Products[Marketing (hr)])*Crops[[#This Row],[Direct Revenue Per Bed]]/2000</f>
        <v>#N/A</v>
      </c>
      <c r="CR114" s="37" t="e">
        <f>_xlfn.XLOOKUP(Crops[[#This Row],[Crop]]&amp;Crops[[#This Row],[Product]]&amp;Crops[[#This Row],[Unit]],Products[ID],Products[Harvest (s)])*Crops[[#This Row],[Custom Yield Per Bed]]/3600</f>
        <v>#N/A</v>
      </c>
      <c r="CS114" s="37" t="e">
        <f>_xlfn.XLOOKUP(Crops[[#This Row],[Crop]]&amp;Crops[[#This Row],[Product]]&amp;Crops[[#This Row],[Unit]],Products[ID],Products[Bunch (s)])*Crops[[#This Row],[Custom Yield Per Bed]]/3600</f>
        <v>#N/A</v>
      </c>
      <c r="CT114" s="37" t="e">
        <f>_xlfn.XLOOKUP(Crops[[#This Row],[Crop]]&amp;Crops[[#This Row],[Product]]&amp;Crops[[#This Row],[Unit]],Products[ID],Products[Haul (s)])*Crops[[#This Row],[Custom Yield Per Bed]]/3600</f>
        <v>#N/A</v>
      </c>
      <c r="CU114" s="37" t="e">
        <f>_xlfn.XLOOKUP(Crops[[#This Row],[Crop]]&amp;Crops[[#This Row],[Product]]&amp;Crops[[#This Row],[Unit]],Products[ID],Products[Wash (s)])*Crops[[#This Row],[Custom Yield Per Bed]]/3600</f>
        <v>#N/A</v>
      </c>
      <c r="CV114" s="37" t="e">
        <f>_xlfn.XLOOKUP(Crops[[#This Row],[Crop]]&amp;Crops[[#This Row],[Product]]&amp;Crops[[#This Row],[Unit]],Products[ID],Products[Condition (s)])*Crops[[#This Row],[Custom Yield Per Bed]]/3600</f>
        <v>#N/A</v>
      </c>
      <c r="CW114" s="37" t="e">
        <f>_xlfn.XLOOKUP(Crops[[#This Row],[Crop]]&amp;Crops[[#This Row],[Product]]&amp;Crops[[#This Row],[Unit]],Products[ID],Products[Trim (s)])*Crops[[#This Row],[Custom Yield Per Bed]]/3600</f>
        <v>#N/A</v>
      </c>
      <c r="CX114" s="37" t="e">
        <f>_xlfn.XLOOKUP(Crops[[#This Row],[Crop]]&amp;Crops[[#This Row],[Product]]&amp;Crops[[#This Row],[Unit]],Products[ID],Products[Pack (s)])*Crops[[#This Row],[Custom Yield Per Bed]]/3600</f>
        <v>#N/A</v>
      </c>
      <c r="CY114" s="37" t="e">
        <f>_xlfn.XLOOKUP(Crops[[#This Row],[Crop]]&amp;Crops[[#This Row],[Product]]&amp;Crops[[#This Row],[Unit]],Products[ID],Products[Clean (s)])*Crops[[#This Row],[Custom Yield Per Bed]]/3600</f>
        <v>#N/A</v>
      </c>
      <c r="CZ114" s="37" t="e">
        <f>_xlfn.XLOOKUP(Crops[[#This Row],[Crop]]&amp;Crops[[#This Row],[Product]]&amp;Crops[[#This Row],[Unit]],Products[ID],Products[Rehandle (s)])*Crops[[#This Row],[Custom Yield Per Bed]]/3600</f>
        <v>#N/A</v>
      </c>
      <c r="DA114" s="37" t="e">
        <f>_xlfn.XLOOKUP(Crops[[#This Row],[Crop]]&amp;Crops[[#This Row],[Product]]&amp;Crops[[#This Row],[Unit]],Products[ID],Products[Market Transport (s)])*Crops[[#This Row],[Custom Yield Per Bed]]/3600</f>
        <v>#N/A</v>
      </c>
      <c r="DC114" s="37">
        <f>Crops[[#This Row],[Direct Revenue Per Bed2]]</f>
        <v>0</v>
      </c>
      <c r="DD114" s="173">
        <f>_xlfn.AGGREGATE(9,6,Crops[[#This Row],[Bed Prep]:[Remove Crop Residue]])</f>
        <v>5.3190476190476188</v>
      </c>
      <c r="DE114" s="173" t="e">
        <f>_xlfn.AGGREGATE(9,6,Crops[[#This Row],[Bed Prep]:[Remove Crop Residue]])-0.75*Crops[[#This Row],[Market &amp; Sell]]</f>
        <v>#N/A</v>
      </c>
      <c r="DF114" s="36">
        <f>Crops[[#This Row],[Direct Revenue Per Bed2]]/Crops[[#This Row],[Direct Time]]</f>
        <v>0</v>
      </c>
      <c r="DG114" s="36" t="e">
        <f>_xlfn.XLOOKUP(Crops[[#This Row],[ProductIndex]],Products[ID],Products[Packaging Cost])*(Crops[[#This Row],[Custom Yield Per Bed]]/_xlfn.XLOOKUP(Crops[[#This Row],[ProductIndex]],Products[ID],Products[Units Per Pack]))</f>
        <v>#N/A</v>
      </c>
      <c r="DH114" s="36"/>
      <c r="DI114" s="36"/>
      <c r="DJ114" s="36"/>
      <c r="DK114" s="36"/>
      <c r="DL114" s="36"/>
      <c r="DM114" s="33">
        <f>IFERROR(Crops[[#This Row],[Custom Yield Per Bed]]*Crops[[#This Row],[Direct Price]],"")</f>
        <v>0</v>
      </c>
      <c r="DN114" s="36">
        <f>Crops[[#This Row],[Direct Time]]*LaborRate</f>
        <v>132.97619047619048</v>
      </c>
      <c r="DO114" s="36">
        <f>SUM(Crops[[#This Row],[Irrigation Cost]])</f>
        <v>0</v>
      </c>
      <c r="DP114" s="36">
        <f>Crops[[#This Row],[Direct Labor Cost]]+Crops[[#This Row],[Direct Non-Labor Cost]]</f>
        <v>132.97619047619048</v>
      </c>
      <c r="DQ114" s="36">
        <f>Crops[[#This Row],[Direct Revenue Per Bed2]]-Crops[[#This Row],[Direct Total Cost]]</f>
        <v>-132.97619047619048</v>
      </c>
      <c r="DR114" s="36">
        <f>Crops[[#This Row],[Direct Profit]]*BedsPerAcre</f>
        <v>-21276.190476190477</v>
      </c>
      <c r="DS114" s="36">
        <f>Crops[[#This Row],[Direct Profit]]*BedsPerAcre*GrowingDays/Crops[[#This Row],[Days In Field]]</f>
        <v>-34815.584415584417</v>
      </c>
      <c r="DT114" s="36">
        <f>Crops[[#This Row],[Direct Profit]]/MIN(Crops[[#This Row],[Days In Field]],GrowingDays)</f>
        <v>-1.2088744588744589</v>
      </c>
      <c r="DU114" s="36">
        <f>Crops[[#This Row],[Direct Time]] * BedsPerAcre</f>
        <v>851.04761904761904</v>
      </c>
      <c r="DV114" s="36">
        <f>(Crops[[#This Row],[Direct Revenue Per Bed2]]-Crops[[#This Row],[Direct Non-Labor Cost]])/Crops[[#This Row],[Direct Time]]</f>
        <v>0</v>
      </c>
      <c r="DW114" s="33">
        <f>IFERROR(Crops[[#This Row],[Custom Yield Per Bed]]*Crops[[#This Row],[Rough Wholesale Price]],"")</f>
        <v>0</v>
      </c>
      <c r="DX114" s="36" t="e">
        <f>Crops[[#This Row],[Wholesale Time]]*LaborRate</f>
        <v>#N/A</v>
      </c>
      <c r="DY114" s="36" t="e">
        <f>SUM(Crops[[#This Row],[Packaging Costs]:[Irrigation Cost]])</f>
        <v>#N/A</v>
      </c>
      <c r="DZ114" s="36" t="e">
        <f>Crops[[#This Row],[Wholesale Labor Cost]]+Crops[[#This Row],[Wholesale Non-Labor Cost]]</f>
        <v>#N/A</v>
      </c>
      <c r="EA114" s="36" t="e">
        <f>Crops[[#This Row],[Wholesale Revenue Per Bed]]-Crops[[#This Row],[Wholesale Total Cost]]</f>
        <v>#N/A</v>
      </c>
      <c r="EB114" s="36" t="e">
        <f>Crops[[#This Row],[Wholesale Profit]]*BedsPerAcre</f>
        <v>#N/A</v>
      </c>
      <c r="EC114" s="36" t="e">
        <f>Crops[[#This Row],[Wholesale Profit]]*BedsPerAcre*GrowingDays/Crops[[#This Row],[Days In Field]]</f>
        <v>#N/A</v>
      </c>
      <c r="ED114" s="36" t="e">
        <f>Crops[[#This Row],[Wholesale Time]] * BedsPerAcre</f>
        <v>#N/A</v>
      </c>
      <c r="EE114" s="36" t="e">
        <f>Crops[[#This Row],[Wholesale Profit]]/MIN(Crops[[#This Row],[Days In Field]],GrowingDays)</f>
        <v>#N/A</v>
      </c>
      <c r="EF114" s="36" t="e">
        <f>(Crops[[#This Row],[Wholesale Revenue Per Bed]]-Crops[[#This Row],[Wholesale Non-Labor Cost]])/Crops[[#This Row],[Direct Time]]</f>
        <v>#N/A</v>
      </c>
      <c r="EG114" s="174" t="e">
        <f>Crops[[#This Row],[Packaging Costs]]/Crops[[#This Row],[Wholesale Revenue Per Bed]]</f>
        <v>#N/A</v>
      </c>
      <c r="EH114" s="36" t="str">
        <f>Crops[[#This Row],[Crop]]&amp;Crops[[#This Row],[Product]]&amp;Crops[[#This Row],[Unit]]</f>
        <v>DahliaCut FlowerStem</v>
      </c>
      <c r="EI114" s="36" t="e">
        <f>_xlfn.XLOOKUP(Crops[[#This Row],[ProductIndex]],Products[ID],Products[Target])</f>
        <v>#N/A</v>
      </c>
      <c r="EJ114" s="36">
        <f>Crops[[#This Row],[Custom Yield Per Bed]]</f>
        <v>0</v>
      </c>
      <c r="EK114" s="210" t="e">
        <f>Crops[[#This Row],[Units Per Harvest]]/Crops[[#This Row],[Days Between Harvest]]*7</f>
        <v>#DIV/0!</v>
      </c>
      <c r="EL114" s="210" t="e">
        <f>Crops[[#This Row],[Custom Yield Per Bed]]/_xlfn.XLOOKUP(Crops[[#This Row],[ProductIndex]],Products[ID],Products[CSA Portion])</f>
        <v>#N/A</v>
      </c>
      <c r="EM114" s="210" t="e">
        <f>Crops[[#This Row],[Units Per Harvest]]/Crops[[#This Row],[Days Between Harvest]]*7/_xlfn.XLOOKUP(Crops[[#This Row],[ProductIndex]],Products[ID],Products[CSA Portion])</f>
        <v>#DIV/0!</v>
      </c>
      <c r="EN114" s="210" t="e">
        <f>Crops[[#This Row],[CSA Portions Per Week]]/CSAMembers</f>
        <v>#DIV/0!</v>
      </c>
      <c r="EO114" s="210"/>
      <c r="EP114" s="210"/>
      <c r="EQ114" s="36"/>
      <c r="ER114" s="36">
        <f>Crops[[#This Row],[Harvests]]*Crops[[#This Row],[Days Between Harvest]]/7</f>
        <v>0</v>
      </c>
      <c r="ES114" s="208" t="e">
        <f>_xlfn.XLOOKUP(Crops[[#This Row],[ProductIndex]],Products[ID],Products[CSA Need])</f>
        <v>#N/A</v>
      </c>
      <c r="ET114" s="208" t="e">
        <f>_xlfn.XLOOKUP(Crops[[#This Row],[ProductIndex]],Products[ID],Products[CSA Times])</f>
        <v>#N/A</v>
      </c>
      <c r="EU114" s="208" t="e">
        <f>Crops[[#This Row],[Custom Yield Per Bed]]/(Crops[[#This Row],[CSA Need]]*(_xlfn.XLOOKUP(Crops[[#This Row],[ProductIndex]],Products[ID],Products[CSA Portion])*CSAMembers))</f>
        <v>#N/A</v>
      </c>
      <c r="EV114" s="208" t="e">
        <f>_xlfn.XLOOKUP(Crops[[#This Row],[ProductIndex]],Products[ID],Products[CSA Portion])*CSAMembers*Crops[[#This Row],[CSA Need]]/Crops[[#This Row],[Custom Yield Per Bed]]</f>
        <v>#N/A</v>
      </c>
      <c r="EW114" s="208" t="str">
        <f>IFERROR(Crops[[#This Row],[Days In Field]]*Crops[[#This Row],[CSA Beds]],"")</f>
        <v/>
      </c>
      <c r="EX114" s="208" t="e">
        <f>Crops[[#This Row],[CSA Bed Days]]*#REF!</f>
        <v>#VALUE!</v>
      </c>
      <c r="EY114">
        <v>0</v>
      </c>
    </row>
    <row r="115" spans="1:155">
      <c r="A1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Dahlia (Mix) - Mature Stem 1X | Field DS </v>
      </c>
      <c r="B115" s="189"/>
      <c r="C115" s="1"/>
      <c r="D115" s="1"/>
      <c r="E115" s="1" t="b">
        <v>0</v>
      </c>
      <c r="F115" s="1" t="b">
        <f>IFERROR(IF(ISNUMBER(MATCH(Crops[[#This Row],[Identifier]],BedPlan[Crop], 0)), TRUE, FALSE), FALSE)</f>
        <v>0</v>
      </c>
      <c r="G115" s="1" t="b">
        <f>IFERROR(IF(ISNUMBER(MATCH(Crops[[#This Row],[Identifier]],BedPlan[Crop], 0)), TRUE, FALSE), FALSE)</f>
        <v>0</v>
      </c>
      <c r="H115" s="1" t="b">
        <v>1</v>
      </c>
      <c r="I115" t="s">
        <v>71</v>
      </c>
      <c r="J115" t="s">
        <v>160</v>
      </c>
      <c r="K115" t="s">
        <v>181</v>
      </c>
      <c r="N115" t="str">
        <f>Crops[[#This Row],[Crop]]</f>
        <v>Dahlia</v>
      </c>
      <c r="O115" t="s">
        <v>210</v>
      </c>
      <c r="P115" t="str">
        <f>IF(OR(Crops[[#This Row],[Days in Cells]]="",Crops[[#This Row],[Days in Cells]]=0), "DS","TP")</f>
        <v>DS</v>
      </c>
      <c r="V115" t="str">
        <f xml:space="preserve"> IF(Crops[[#This Row],[Sp]], "Sp", "") &amp; IF(Crops[[#This Row],[Su]], "Su", "") &amp; IF(Crops[[#This Row],[Fa]], "Fa", "") &amp; IF(Crops[[#This Row],[Wi]], "Wi", "") &amp; IF(Crops[[#This Row],[OW]], "Ow","")</f>
        <v/>
      </c>
      <c r="W115" t="s">
        <v>144</v>
      </c>
      <c r="X115">
        <v>2</v>
      </c>
      <c r="Y115">
        <v>12</v>
      </c>
      <c r="AD115" s="32">
        <f>IFERROR(12/Crops[[#This Row],[Spacing]]*Crops[[#This Row],[Rows]]*BedLength,"")</f>
        <v>100</v>
      </c>
      <c r="AE115">
        <v>1</v>
      </c>
      <c r="AG115">
        <f>IF(Crops[[#This Row],[Custom Safety Factor]]="",PlantingSafetyFactor,Crops[[#This Row],[Custom Safety Factor]])</f>
        <v>1.3</v>
      </c>
      <c r="AH115">
        <f>1</f>
        <v>1</v>
      </c>
      <c r="AI115" s="33">
        <f>IFERROR(Crops[[#This Row],[Plantings Per Bed]]*Crops[[#This Row],[Seeds Per Planting]]*Crops[[#This Row],[Safety Factor]]*Crops[[#This Row],[Seeding Factor]],"")</f>
        <v>130</v>
      </c>
      <c r="AJ115">
        <v>3</v>
      </c>
      <c r="AK115">
        <v>5</v>
      </c>
      <c r="AL115">
        <f>_xlfn.FLOOR.MATH(IFERROR(AVERAGE(Crops[[#This Row],[DTG Lower]:[DTG Upper]]),0))</f>
        <v>4</v>
      </c>
      <c r="AM115">
        <f>SUM(Crops[[#This Row],[Tray 1 Days]],Crops[[#This Row],[Tray 2 Days]],Crops[[#This Row],[Tray 3 Days]])</f>
        <v>0</v>
      </c>
      <c r="AN115">
        <v>30</v>
      </c>
      <c r="AO115">
        <v>75</v>
      </c>
      <c r="AP115">
        <v>90</v>
      </c>
      <c r="AQ115">
        <f>IFERROR(_xlfn.FLOOR.MATH(AVERAGE(Crops[[#This Row],[DTM Lower]:[DTM Upper]])),"")</f>
        <v>82</v>
      </c>
      <c r="AR115" cm="1">
        <f t="array" ref="AR115">_xlfn.SWITCH(Crops[[#This Row],[Normal Method]],"DS",Crops[[#This Row],[Days to Germination]]+Crops[[#This Row],[DTM]] + IF(Crops[[#This Row],[Days in Cells]]&gt;0,15,0), "TP",Crops[[#This Row],[DTM]]+Crops[[#This Row],[Days in Cells]] + IF(Crops[[#This Row],[Days in Cells]]&lt;=0,20,0), "X", Crops[[#This Row],[DTM]])</f>
        <v>86</v>
      </c>
      <c r="AS115" t="s">
        <v>338</v>
      </c>
      <c r="AT115">
        <f>(Crops[[#This Row],[Harvests]]-1)*Crops[[#This Row],[Days Between Harvest]]+7</f>
        <v>70</v>
      </c>
      <c r="AU115">
        <f>Crops[[#This Row],[STH]]-Crops[[#This Row],[Days in Cells]]+Crops[[#This Row],[Harvest window]]</f>
        <v>156</v>
      </c>
      <c r="AZ115" t="str">
        <f>IFERROR(IF(Crops[[#This Row],[Tray 1 Days]]=0,"",Crops[[#This Row],[Plantings Per Bed]]/Crops[[#This Row],[Tray 1 Size]]*Crops[[#This Row],[Safety Factor]]),"")</f>
        <v/>
      </c>
      <c r="BC115" t="str">
        <f>IFERROR(IF(Crops[[#This Row],[Tray 2 Days]]=0,"",Crops[[#This Row],[Plantings Per Bed]]/Crops[[#This Row],[Tray 2 Size]]*Crops[[#This Row],[Safety Factor]]),"")</f>
        <v/>
      </c>
      <c r="BE115" s="32" t="str">
        <f>IF(NOT(ISBLANK(Crops[[#This Row],[Tray 3 Size]])), Crops[[#This Row],[Days in Cells Old]]-SUM(Crops[[#This Row],[Tray 1 Days]],Crops[[#This Row],[Tray 2 Days]]), "")</f>
        <v/>
      </c>
      <c r="BF115" t="str">
        <f>IFERROR(IF(Crops[[#This Row],[Tray 3 Days]]=0,"",Crops[[#This Row],[Plantings Per Bed]]/Crops[[#This Row],[Tray 3 Size]]*Crops[[#This Row],[Safety Factor]]),"")</f>
        <v/>
      </c>
      <c r="BG115" s="33">
        <f>Crops[[#This Row],[Plantings Per Bed]]</f>
        <v>100</v>
      </c>
      <c r="BH115" s="33">
        <v>10</v>
      </c>
      <c r="BI115" s="33">
        <v>7</v>
      </c>
      <c r="BJ115" s="33">
        <f>_xlfn.XLOOKUP(Crops[[#This Row],[ProductIndex]],Products[ID],Products[Holding Period])</f>
        <v>0</v>
      </c>
      <c r="BK115" s="33"/>
      <c r="BL115" s="33">
        <f>Crops[[#This Row],[Units Per Harvest]]*Crops[[#This Row],[Harvests]]</f>
        <v>1000</v>
      </c>
      <c r="BM115" s="35">
        <v>3</v>
      </c>
      <c r="BN115" s="35">
        <f>Crops[[#This Row],[Direct Price]]*0.6</f>
        <v>1.7999999999999998</v>
      </c>
      <c r="BO115" s="35"/>
      <c r="BP115" t="s">
        <v>213</v>
      </c>
      <c r="BQ115">
        <f>Crops[[#This Row],[Custom Yield Per Bed]]*Crops[[#This Row],[Direct Price]]</f>
        <v>3000</v>
      </c>
      <c r="BR115" t="b">
        <v>0</v>
      </c>
      <c r="BS115" t="b">
        <f>Crops[[#This Row],[Harvests]]&gt;1</f>
        <v>1</v>
      </c>
      <c r="BT115" s="36">
        <f>IFERROR(Crops[[#This Row],[Direct Revenue Per Bed]]/Crops[[#This Row],[Days In Field]],-1)</f>
        <v>19.23076923076923</v>
      </c>
      <c r="BU115" s="36">
        <f>IFERROR(Crops[[#This Row],[Direct Revenue Per Bed Day]]*GrowingDays*BedsPerAcre,"")</f>
        <v>553846.15384615387</v>
      </c>
      <c r="BV115" s="38">
        <f>LastFrostDate-5*Crops[[#This Row],[Sewing Rel Last Frost]]</f>
        <v>45748</v>
      </c>
      <c r="BW115" s="38">
        <f>Crops[[#This Row],[Target Sewing Date]]+Crops[[#This Row],[Days in Cells]]</f>
        <v>45748</v>
      </c>
      <c r="BX115" s="38">
        <f>Crops[[#This Row],[Target Sewing Date]]+Crops[[#This Row],[STH]]</f>
        <v>45834</v>
      </c>
      <c r="BY115" s="38">
        <f>Crops[[#This Row],[Target Harvest Data]]+Crops[[#This Row],[Harvest window]]</f>
        <v>45904</v>
      </c>
      <c r="CB115">
        <f>1</f>
        <v>1</v>
      </c>
      <c r="CC115">
        <f>IF(Crops[[#This Row],[Transplanting]]&gt;0, 2, 3)*BedLength/StandardBedLength</f>
        <v>1.5</v>
      </c>
      <c r="CD115" s="173">
        <f>IF(Crops[[#This Row],[Days in Cells]]&lt;=0,0,Crops[[#This Row],[Plantings Per Bed]]/StartsPerHourSeeding+Crops[[#This Row],[Tray 1 Count]]*5/60)</f>
        <v>0</v>
      </c>
      <c r="CE115" s="173">
        <f>IF(ISBLANK(Crops[[#This Row],[Tray 2 Days]]),0,Crops[[#This Row],[Plantings Per Bed]]/UpPottingPerHour)+IF(Crops[[#This Row],[Tray 3 Days]]="",0,Crops[[#This Row],[Plantings Per Bed]]/UpPottingPerHour)</f>
        <v>0</v>
      </c>
      <c r="CF115" s="173">
        <f>IFERROR(Crops[[#This Row],[Tray 1 Count]]/HomeStartFlatIrrigationPerHour,0)*Crops[[#This Row],[Days in Cells]]/DaysBetweenStartIrrigation</f>
        <v>0</v>
      </c>
      <c r="CG115" s="173">
        <f>0.5/16*MAX(Crops[[#This Row],[Tray 1 Count]],Crops[[#This Row],[Tray 2 Count]],Crops[[#This Row],[Tray 3 Count]])</f>
        <v>0</v>
      </c>
      <c r="CH115" s="173">
        <f>IF(Crops[[#This Row],[Days in Cells]]&gt;0,IF(IF(Crops[[#This Row],[Tray 3 Size]]&gt;0,Crops[[#This Row],[Tray 3 Size]],IF(Crops[[#This Row],[Tray 2 Size]]&gt;0,Crops[[#This Row],[Tray 2 Size]],Crops[[#This Row],[Tray 1 Size]]))&lt;=18,LargeTransplantTime,SmallTransplantTime)*Crops[[#This Row],[Plantings Per Bed]],0)</f>
        <v>0</v>
      </c>
      <c r="CI115" s="173"/>
      <c r="CJ115" s="173">
        <f>_xlfn.XLOOKUP(Crops[[#This Row],[Trellis Type]],TrellisMethods[Trellis Type],TrellisMethods[Hours],0,0)</f>
        <v>0</v>
      </c>
      <c r="CK115">
        <f>IF(Crops[[#This Row],[Days in Cells]]&lt;=0,Crops[[#This Row],[Rows]]*1/10,0)*BedLength/50</f>
        <v>0.2</v>
      </c>
      <c r="CL115" cm="1">
        <f t="array" ref="CL115">_xlfn.SWITCH(Crops[[#This Row],[Irrigation]],"DR", 0.5, "OH", 0.25,0)*BedLength/50</f>
        <v>0</v>
      </c>
      <c r="CM115">
        <f>IF(OR(ISBLANK(Crops[[#This Row],[Row Cover]]),Crops[[#This Row],[Row Cover]]="None"),0,1)*BedLength/50</f>
        <v>0</v>
      </c>
      <c r="CN115" s="173">
        <f>HoursPerWeedingPass*Crops[[#This Row],[Days In Field]]/14*Crops[[#This Row],[Rows]]+1*BedLength/50</f>
        <v>4.7142857142857144</v>
      </c>
      <c r="CQ115" s="37">
        <f>_xlfn.XLOOKUP(Crops[[#This Row],[Crop]]&amp;Crops[[#This Row],[Product]]&amp;Crops[[#This Row],[Unit]],Products[ID],Products[Marketing (hr)])*Crops[[#This Row],[Direct Revenue Per Bed]]/2000</f>
        <v>9</v>
      </c>
      <c r="CR115" s="37">
        <f>_xlfn.XLOOKUP(Crops[[#This Row],[Crop]]&amp;Crops[[#This Row],[Product]]&amp;Crops[[#This Row],[Unit]],Products[ID],Products[Harvest (s)])*Crops[[#This Row],[Custom Yield Per Bed]]/3600</f>
        <v>2.7777777777777777</v>
      </c>
      <c r="CS115" s="37">
        <f>_xlfn.XLOOKUP(Crops[[#This Row],[Crop]]&amp;Crops[[#This Row],[Product]]&amp;Crops[[#This Row],[Unit]],Products[ID],Products[Bunch (s)])*Crops[[#This Row],[Custom Yield Per Bed]]/3600</f>
        <v>0</v>
      </c>
      <c r="CT115" s="37">
        <f>_xlfn.XLOOKUP(Crops[[#This Row],[Crop]]&amp;Crops[[#This Row],[Product]]&amp;Crops[[#This Row],[Unit]],Products[ID],Products[Haul (s)])*Crops[[#This Row],[Custom Yield Per Bed]]/3600</f>
        <v>0.83333333333333337</v>
      </c>
      <c r="CU115" s="37">
        <f>_xlfn.XLOOKUP(Crops[[#This Row],[Crop]]&amp;Crops[[#This Row],[Product]]&amp;Crops[[#This Row],[Unit]],Products[ID],Products[Wash (s)])*Crops[[#This Row],[Custom Yield Per Bed]]/3600</f>
        <v>0</v>
      </c>
      <c r="CV115" s="37">
        <f>_xlfn.XLOOKUP(Crops[[#This Row],[Crop]]&amp;Crops[[#This Row],[Product]]&amp;Crops[[#This Row],[Unit]],Products[ID],Products[Condition (s)])*Crops[[#This Row],[Custom Yield Per Bed]]/3600</f>
        <v>0</v>
      </c>
      <c r="CW115" s="37">
        <f>_xlfn.XLOOKUP(Crops[[#This Row],[Crop]]&amp;Crops[[#This Row],[Product]]&amp;Crops[[#This Row],[Unit]],Products[ID],Products[Trim (s)])*Crops[[#This Row],[Custom Yield Per Bed]]/3600</f>
        <v>4.166666666666667</v>
      </c>
      <c r="CX115" s="37">
        <f>_xlfn.XLOOKUP(Crops[[#This Row],[Crop]]&amp;Crops[[#This Row],[Product]]&amp;Crops[[#This Row],[Unit]],Products[ID],Products[Pack (s)])*Crops[[#This Row],[Custom Yield Per Bed]]/3600</f>
        <v>0.83333333333333337</v>
      </c>
      <c r="CY115" s="37">
        <f>_xlfn.XLOOKUP(Crops[[#This Row],[Crop]]&amp;Crops[[#This Row],[Product]]&amp;Crops[[#This Row],[Unit]],Products[ID],Products[Clean (s)])*Crops[[#This Row],[Custom Yield Per Bed]]/3600</f>
        <v>0</v>
      </c>
      <c r="CZ115" s="37">
        <f>_xlfn.XLOOKUP(Crops[[#This Row],[Crop]]&amp;Crops[[#This Row],[Product]]&amp;Crops[[#This Row],[Unit]],Products[ID],Products[Rehandle (s)])*Crops[[#This Row],[Custom Yield Per Bed]]/3600</f>
        <v>0</v>
      </c>
      <c r="DA115" s="37">
        <f>_xlfn.XLOOKUP(Crops[[#This Row],[Crop]]&amp;Crops[[#This Row],[Product]]&amp;Crops[[#This Row],[Unit]],Products[ID],Products[Market Transport (s)])*Crops[[#This Row],[Custom Yield Per Bed]]/3600</f>
        <v>2.0833333333333335</v>
      </c>
      <c r="DC115" s="37">
        <f>Crops[[#This Row],[Direct Revenue Per Bed2]]</f>
        <v>3000</v>
      </c>
      <c r="DD115" s="173">
        <f>_xlfn.AGGREGATE(9,6,Crops[[#This Row],[Bed Prep]:[Remove Crop Residue]])</f>
        <v>26.108730158730157</v>
      </c>
      <c r="DE115" s="173">
        <f>_xlfn.AGGREGATE(9,6,Crops[[#This Row],[Bed Prep]:[Remove Crop Residue]])-0.75*Crops[[#This Row],[Market &amp; Sell]]</f>
        <v>19.358730158730157</v>
      </c>
      <c r="DF115" s="36">
        <f>Crops[[#This Row],[Direct Revenue Per Bed2]]/Crops[[#This Row],[Direct Time]]</f>
        <v>114.90409459829165</v>
      </c>
      <c r="DG115" s="36">
        <f>_xlfn.XLOOKUP(Crops[[#This Row],[ProductIndex]],Products[ID],Products[Packaging Cost])*(Crops[[#This Row],[Custom Yield Per Bed]]/_xlfn.XLOOKUP(Crops[[#This Row],[ProductIndex]],Products[ID],Products[Units Per Pack]))</f>
        <v>133.33333333333334</v>
      </c>
      <c r="DH115" s="36"/>
      <c r="DI115" s="36"/>
      <c r="DJ115" s="36"/>
      <c r="DK115" s="36"/>
      <c r="DL115" s="36"/>
      <c r="DM115" s="33">
        <f>IFERROR(Crops[[#This Row],[Custom Yield Per Bed]]*Crops[[#This Row],[Direct Price]],"")</f>
        <v>3000</v>
      </c>
      <c r="DN115" s="36">
        <f>Crops[[#This Row],[Direct Time]]*LaborRate</f>
        <v>652.71825396825398</v>
      </c>
      <c r="DO115" s="36">
        <f>SUM(Crops[[#This Row],[Irrigation Cost]])</f>
        <v>0</v>
      </c>
      <c r="DP115" s="36">
        <f>Crops[[#This Row],[Direct Labor Cost]]+Crops[[#This Row],[Direct Non-Labor Cost]]</f>
        <v>652.71825396825398</v>
      </c>
      <c r="DQ115" s="36">
        <f>Crops[[#This Row],[Direct Revenue Per Bed2]]-Crops[[#This Row],[Direct Total Cost]]</f>
        <v>2347.281746031746</v>
      </c>
      <c r="DR115" s="36">
        <f>Crops[[#This Row],[Direct Profit]]*BedsPerAcre</f>
        <v>375565.07936507935</v>
      </c>
      <c r="DS115" s="36">
        <f>Crops[[#This Row],[Direct Profit]]*BedsPerAcre*GrowingDays/Crops[[#This Row],[Days In Field]]</f>
        <v>433344.32234432234</v>
      </c>
      <c r="DT115" s="36">
        <f>Crops[[#This Row],[Direct Profit]]/MIN(Crops[[#This Row],[Days In Field]],GrowingDays)</f>
        <v>15.046677859177858</v>
      </c>
      <c r="DU115" s="36">
        <f>Crops[[#This Row],[Direct Time]] * BedsPerAcre</f>
        <v>4177.3968253968251</v>
      </c>
      <c r="DV115" s="36">
        <f>(Crops[[#This Row],[Direct Revenue Per Bed2]]-Crops[[#This Row],[Direct Non-Labor Cost]])/Crops[[#This Row],[Direct Time]]</f>
        <v>114.90409459829165</v>
      </c>
      <c r="DW115" s="33">
        <f>IFERROR(Crops[[#This Row],[Custom Yield Per Bed]]*Crops[[#This Row],[Rough Wholesale Price]],"")</f>
        <v>1799.9999999999998</v>
      </c>
      <c r="DX115" s="36">
        <f>Crops[[#This Row],[Wholesale Time]]*LaborRate</f>
        <v>483.96825396825392</v>
      </c>
      <c r="DY115" s="36">
        <f>SUM(Crops[[#This Row],[Packaging Costs]:[Irrigation Cost]])</f>
        <v>133.33333333333334</v>
      </c>
      <c r="DZ115" s="36">
        <f>Crops[[#This Row],[Wholesale Labor Cost]]+Crops[[#This Row],[Wholesale Non-Labor Cost]]</f>
        <v>617.30158730158723</v>
      </c>
      <c r="EA115" s="36">
        <f>Crops[[#This Row],[Wholesale Revenue Per Bed]]-Crops[[#This Row],[Wholesale Total Cost]]</f>
        <v>1182.6984126984125</v>
      </c>
      <c r="EB115" s="36">
        <f>Crops[[#This Row],[Wholesale Profit]]*BedsPerAcre</f>
        <v>189231.74603174601</v>
      </c>
      <c r="EC115" s="36">
        <f>Crops[[#This Row],[Wholesale Profit]]*BedsPerAcre*GrowingDays/Crops[[#This Row],[Days In Field]]</f>
        <v>218344.32234432234</v>
      </c>
      <c r="ED115" s="36">
        <f>Crops[[#This Row],[Wholesale Time]] * BedsPerAcre</f>
        <v>3097.3968253968251</v>
      </c>
      <c r="EE115" s="36">
        <f>Crops[[#This Row],[Wholesale Profit]]/MIN(Crops[[#This Row],[Days In Field]],GrowingDays)</f>
        <v>7.5814000814000808</v>
      </c>
      <c r="EF115" s="36">
        <f>(Crops[[#This Row],[Wholesale Revenue Per Bed]]-Crops[[#This Row],[Wholesale Non-Labor Cost]])/Crops[[#This Row],[Direct Time]]</f>
        <v>63.835608110162021</v>
      </c>
      <c r="EG115" s="174">
        <f>Crops[[#This Row],[Packaging Costs]]/Crops[[#This Row],[Wholesale Revenue Per Bed]]</f>
        <v>7.4074074074074084E-2</v>
      </c>
      <c r="EH115" s="36" t="str">
        <f>Crops[[#This Row],[Crop]]&amp;Crops[[#This Row],[Product]]&amp;Crops[[#This Row],[Unit]]</f>
        <v>DahliaMature StemStem</v>
      </c>
      <c r="EI115" s="36" t="b">
        <f>_xlfn.XLOOKUP(Crops[[#This Row],[ProductIndex]],Products[ID],Products[Target])</f>
        <v>1</v>
      </c>
      <c r="EJ115" s="36">
        <f>Crops[[#This Row],[Custom Yield Per Bed]]</f>
        <v>1000</v>
      </c>
      <c r="EK115" s="210">
        <f>Crops[[#This Row],[Units Per Harvest]]/Crops[[#This Row],[Days Between Harvest]]*7</f>
        <v>100</v>
      </c>
      <c r="EL115" s="210" t="e">
        <f>Crops[[#This Row],[Custom Yield Per Bed]]/_xlfn.XLOOKUP(Crops[[#This Row],[ProductIndex]],Products[ID],Products[CSA Portion])</f>
        <v>#DIV/0!</v>
      </c>
      <c r="EM115" s="210" t="e">
        <f>Crops[[#This Row],[Units Per Harvest]]/Crops[[#This Row],[Days Between Harvest]]*7/_xlfn.XLOOKUP(Crops[[#This Row],[ProductIndex]],Products[ID],Products[CSA Portion])</f>
        <v>#DIV/0!</v>
      </c>
      <c r="EN115" s="210" t="e">
        <f>Crops[[#This Row],[CSA Portions Per Week]]/CSAMembers</f>
        <v>#DIV/0!</v>
      </c>
      <c r="EO115" s="210"/>
      <c r="EP115" s="210"/>
      <c r="EQ115" s="36"/>
      <c r="ER115" s="36">
        <f>Crops[[#This Row],[Harvests]]*Crops[[#This Row],[Days Between Harvest]]/7</f>
        <v>10</v>
      </c>
      <c r="ES115" s="208">
        <f>_xlfn.XLOOKUP(Crops[[#This Row],[ProductIndex]],Products[ID],Products[CSA Need])</f>
        <v>0</v>
      </c>
      <c r="ET115" s="208">
        <f>_xlfn.XLOOKUP(Crops[[#This Row],[ProductIndex]],Products[ID],Products[CSA Times])</f>
        <v>0</v>
      </c>
      <c r="EU115" s="208" t="e">
        <f>Crops[[#This Row],[Custom Yield Per Bed]]/(Crops[[#This Row],[CSA Need]]*(_xlfn.XLOOKUP(Crops[[#This Row],[ProductIndex]],Products[ID],Products[CSA Portion])*CSAMembers))</f>
        <v>#DIV/0!</v>
      </c>
      <c r="EV115" s="208">
        <f>_xlfn.XLOOKUP(Crops[[#This Row],[ProductIndex]],Products[ID],Products[CSA Portion])*CSAMembers*Crops[[#This Row],[CSA Need]]/Crops[[#This Row],[Custom Yield Per Bed]]</f>
        <v>0</v>
      </c>
      <c r="EW115" s="208">
        <f>IFERROR(Crops[[#This Row],[Days In Field]]*Crops[[#This Row],[CSA Beds]],"")</f>
        <v>0</v>
      </c>
      <c r="EX115" s="208" t="e">
        <f>Crops[[#This Row],[CSA Bed Days]]*#REF!</f>
        <v>#REF!</v>
      </c>
      <c r="EY115" t="s">
        <v>284</v>
      </c>
    </row>
    <row r="116" spans="1:155">
      <c r="A11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Dahlia (Tuber) - Mature Stem 1X | Field DS </v>
      </c>
      <c r="B116" s="189"/>
      <c r="C116" s="1" t="b">
        <v>1</v>
      </c>
      <c r="D116" s="1"/>
      <c r="E116" s="1" t="b">
        <v>0</v>
      </c>
      <c r="F116" s="1" t="b">
        <f>IFERROR(IF(ISNUMBER(MATCH(Crops[[#This Row],[Identifier]],BedPlan[Crop], 0)), TRUE, FALSE), FALSE)</f>
        <v>0</v>
      </c>
      <c r="G116" s="1" t="b">
        <f>IFERROR(IF(ISNUMBER(MATCH(Crops[[#This Row],[Identifier]],BedPlan[Crop], 0)), TRUE, FALSE), FALSE)</f>
        <v>0</v>
      </c>
      <c r="H116" s="1"/>
      <c r="I116" t="s">
        <v>71</v>
      </c>
      <c r="J116" t="s">
        <v>159</v>
      </c>
      <c r="K116" t="s">
        <v>181</v>
      </c>
      <c r="M116" t="s">
        <v>406</v>
      </c>
      <c r="N116" t="str">
        <f>Crops[[#This Row],[Crop]]</f>
        <v>Dahlia</v>
      </c>
      <c r="O116" t="s">
        <v>210</v>
      </c>
      <c r="P116" t="str">
        <f>IF(OR(Crops[[#This Row],[Days in Cells]]="",Crops[[#This Row],[Days in Cells]]=0), "DS","TP")</f>
        <v>DS</v>
      </c>
      <c r="V116" t="str">
        <f xml:space="preserve"> IF(Crops[[#This Row],[Sp]], "Sp", "") &amp; IF(Crops[[#This Row],[Su]], "Su", "") &amp; IF(Crops[[#This Row],[Fa]], "Fa", "") &amp; IF(Crops[[#This Row],[Wi]], "Wi", "") &amp; IF(Crops[[#This Row],[OW]], "Ow","")</f>
        <v/>
      </c>
      <c r="W116" t="s">
        <v>144</v>
      </c>
      <c r="X116">
        <v>2</v>
      </c>
      <c r="Y116">
        <v>12</v>
      </c>
      <c r="AA116" t="s">
        <v>474</v>
      </c>
      <c r="AB116" t="b">
        <v>0</v>
      </c>
      <c r="AC116">
        <v>3</v>
      </c>
      <c r="AD116" s="32">
        <f>IFERROR(12/Crops[[#This Row],[Spacing]]*Crops[[#This Row],[Rows]]*BedLength,"")</f>
        <v>100</v>
      </c>
      <c r="AE116">
        <v>1</v>
      </c>
      <c r="AG116">
        <f>IF(Crops[[#This Row],[Custom Safety Factor]]="",PlantingSafetyFactor,Crops[[#This Row],[Custom Safety Factor]])</f>
        <v>1.3</v>
      </c>
      <c r="AH116">
        <f>1</f>
        <v>1</v>
      </c>
      <c r="AI116" s="33">
        <f>IFERROR(Crops[[#This Row],[Plantings Per Bed]]*Crops[[#This Row],[Seeds Per Planting]]*Crops[[#This Row],[Safety Factor]]*Crops[[#This Row],[Seeding Factor]],"")</f>
        <v>130</v>
      </c>
      <c r="AJ116">
        <v>3</v>
      </c>
      <c r="AK116">
        <v>5</v>
      </c>
      <c r="AL116">
        <f>_xlfn.FLOOR.MATH(IFERROR(AVERAGE(Crops[[#This Row],[DTG Lower]:[DTG Upper]]),0))</f>
        <v>4</v>
      </c>
      <c r="AM116">
        <f>SUM(Crops[[#This Row],[Tray 1 Days]],Crops[[#This Row],[Tray 2 Days]],Crops[[#This Row],[Tray 3 Days]])</f>
        <v>0</v>
      </c>
      <c r="AN116" s="32"/>
      <c r="AO116">
        <v>75</v>
      </c>
      <c r="AP116">
        <v>90</v>
      </c>
      <c r="AQ116">
        <f>IFERROR(_xlfn.FLOOR.MATH(AVERAGE(Crops[[#This Row],[DTM Lower]:[DTM Upper]])),"")</f>
        <v>82</v>
      </c>
      <c r="AR116" cm="1">
        <f t="array" ref="AR116">_xlfn.SWITCH(Crops[[#This Row],[Normal Method]],"DS",Crops[[#This Row],[Days to Germination]]+Crops[[#This Row],[DTM]] + IF(Crops[[#This Row],[Days in Cells]]&gt;0,15,0), "TP",Crops[[#This Row],[DTM]]+Crops[[#This Row],[Days in Cells]] + IF(Crops[[#This Row],[Days in Cells]]&lt;=0,20,0), "X", Crops[[#This Row],[DTM]])</f>
        <v>86</v>
      </c>
      <c r="AS116" t="s">
        <v>338</v>
      </c>
      <c r="AT116">
        <f>(Crops[[#This Row],[Harvests]]-1)*Crops[[#This Row],[Days Between Harvest]]+35</f>
        <v>147</v>
      </c>
      <c r="AU116">
        <f>Crops[[#This Row],[STH]]-Crops[[#This Row],[Days in Cells]]+Crops[[#This Row],[Harvest window]]</f>
        <v>233</v>
      </c>
      <c r="AZ116" t="str">
        <f>IFERROR(IF(Crops[[#This Row],[Tray 1 Days]]=0,"",Crops[[#This Row],[Plantings Per Bed]]/Crops[[#This Row],[Tray 1 Size]]*Crops[[#This Row],[Safety Factor]]),"")</f>
        <v/>
      </c>
      <c r="BC116" t="str">
        <f>IFERROR(IF(Crops[[#This Row],[Tray 2 Days]]=0,"",Crops[[#This Row],[Plantings Per Bed]]/Crops[[#This Row],[Tray 2 Size]]*Crops[[#This Row],[Safety Factor]]),"")</f>
        <v/>
      </c>
      <c r="BE116" s="32" t="str">
        <f>IF(NOT(ISBLANK(Crops[[#This Row],[Tray 3 Size]])), Crops[[#This Row],[Days in Cells Old]]-SUM(Crops[[#This Row],[Tray 1 Days]],Crops[[#This Row],[Tray 2 Days]]), "")</f>
        <v/>
      </c>
      <c r="BF116" t="str">
        <f>IFERROR(IF(Crops[[#This Row],[Tray 3 Days]]=0,"",Crops[[#This Row],[Plantings Per Bed]]/Crops[[#This Row],[Tray 3 Size]]*Crops[[#This Row],[Safety Factor]]),"")</f>
        <v/>
      </c>
      <c r="BG116" s="33">
        <f>Crops[[#This Row],[Plantings Per Bed]]</f>
        <v>100</v>
      </c>
      <c r="BH116" s="33">
        <v>17</v>
      </c>
      <c r="BI116" s="33">
        <v>7</v>
      </c>
      <c r="BJ116" s="33">
        <f>_xlfn.XLOOKUP(Crops[[#This Row],[ProductIndex]],Products[ID],Products[Holding Period])</f>
        <v>0</v>
      </c>
      <c r="BK116" s="33"/>
      <c r="BL116" s="33">
        <f>Crops[[#This Row],[Units Per Harvest]]*Crops[[#This Row],[Harvests]]</f>
        <v>1700</v>
      </c>
      <c r="BM116" s="35">
        <v>3</v>
      </c>
      <c r="BN116" s="35">
        <f>Crops[[#This Row],[Direct Price]]*0.6</f>
        <v>1.7999999999999998</v>
      </c>
      <c r="BO116" s="35"/>
      <c r="BP116" t="s">
        <v>213</v>
      </c>
      <c r="BQ116">
        <f>Crops[[#This Row],[Custom Yield Per Bed]]*Crops[[#This Row],[Direct Price]]</f>
        <v>5100</v>
      </c>
      <c r="BR116" t="b">
        <v>0</v>
      </c>
      <c r="BS116" t="b">
        <f>Crops[[#This Row],[Harvests]]&gt;1</f>
        <v>1</v>
      </c>
      <c r="BT116" s="36">
        <f>IFERROR(Crops[[#This Row],[Direct Revenue Per Bed]]/Crops[[#This Row],[Days In Field]],-1)</f>
        <v>21.888412017167383</v>
      </c>
      <c r="BU116" s="36">
        <f>IFERROR(Crops[[#This Row],[Direct Revenue Per Bed Day]]*GrowingDays*BedsPerAcre,"")</f>
        <v>630386.26609442069</v>
      </c>
      <c r="BV116" s="38">
        <f>LastFrostDate-5*Crops[[#This Row],[Sewing Rel Last Frost]]</f>
        <v>45738</v>
      </c>
      <c r="BW116" s="38">
        <f>Crops[[#This Row],[Target Sewing Date]]+Crops[[#This Row],[Days in Cells]]</f>
        <v>45738</v>
      </c>
      <c r="BX116" s="38">
        <f>Crops[[#This Row],[Target Sewing Date]]+Crops[[#This Row],[STH]]</f>
        <v>45824</v>
      </c>
      <c r="BY116" s="38">
        <f>Crops[[#This Row],[Target Harvest Data]]+Crops[[#This Row],[Harvest window]]</f>
        <v>45971</v>
      </c>
      <c r="BZ116">
        <v>2</v>
      </c>
      <c r="CB116">
        <f>1</f>
        <v>1</v>
      </c>
      <c r="CC116">
        <f>IF(Crops[[#This Row],[Transplanting]]&gt;0, 2, 3)*BedLength/StandardBedLength</f>
        <v>1.5</v>
      </c>
      <c r="CD116" s="173">
        <f>IF(Crops[[#This Row],[Days in Cells]]&lt;=0,0,Crops[[#This Row],[Plantings Per Bed]]/StartsPerHourSeeding+Crops[[#This Row],[Tray 1 Count]]*5/60)</f>
        <v>0</v>
      </c>
      <c r="CE116" s="173">
        <f>IF(ISBLANK(Crops[[#This Row],[Tray 2 Days]]),0,Crops[[#This Row],[Plantings Per Bed]]/UpPottingPerHour)+IF(Crops[[#This Row],[Tray 3 Days]]="",0,Crops[[#This Row],[Plantings Per Bed]]/UpPottingPerHour)</f>
        <v>0</v>
      </c>
      <c r="CF116" s="173">
        <f>IFERROR(Crops[[#This Row],[Tray 1 Count]]/HomeStartFlatIrrigationPerHour,0)*Crops[[#This Row],[Days in Cells]]/DaysBetweenStartIrrigation</f>
        <v>0</v>
      </c>
      <c r="CG116" s="173">
        <f>0.5/16*MAX(Crops[[#This Row],[Tray 1 Count]],Crops[[#This Row],[Tray 2 Count]],Crops[[#This Row],[Tray 3 Count]])</f>
        <v>0</v>
      </c>
      <c r="CH116" s="173">
        <f>IF(Crops[[#This Row],[Days in Cells]]&gt;0,IF(IF(Crops[[#This Row],[Tray 3 Size]]&gt;0,Crops[[#This Row],[Tray 3 Size]],IF(Crops[[#This Row],[Tray 2 Size]]&gt;0,Crops[[#This Row],[Tray 2 Size]],Crops[[#This Row],[Tray 1 Size]]))&lt;=18,LargeTransplantTime,SmallTransplantTime)*Crops[[#This Row],[Plantings Per Bed]],0)</f>
        <v>0</v>
      </c>
      <c r="CI116" s="173"/>
      <c r="CJ116" s="173">
        <f>_xlfn.XLOOKUP(Crops[[#This Row],[Trellis Type]],TrellisMethods[Trellis Type],TrellisMethods[Hours],0,0)</f>
        <v>0</v>
      </c>
      <c r="CK116">
        <f>IF(Crops[[#This Row],[Days in Cells]]&lt;=0,Crops[[#This Row],[Rows]]*1/10,0)*BedLength/50</f>
        <v>0.2</v>
      </c>
      <c r="CL116" cm="1">
        <f t="array" ref="CL116">_xlfn.SWITCH(Crops[[#This Row],[Irrigation]],"DR", 0.5, "OH", 0.25,0)*BedLength/50</f>
        <v>0</v>
      </c>
      <c r="CM116">
        <f>IF(OR(ISBLANK(Crops[[#This Row],[Row Cover]]),Crops[[#This Row],[Row Cover]]="None"),0,1)*BedLength/50</f>
        <v>0</v>
      </c>
      <c r="CN116" s="173">
        <f>HoursPerWeedingPass*Crops[[#This Row],[Days In Field]]/14*Crops[[#This Row],[Rows]]+1*BedLength/50</f>
        <v>6.5476190476190466</v>
      </c>
      <c r="CQ116" s="37">
        <f>_xlfn.XLOOKUP(Crops[[#This Row],[Crop]]&amp;Crops[[#This Row],[Product]]&amp;Crops[[#This Row],[Unit]],Products[ID],Products[Marketing (hr)])*Crops[[#This Row],[Direct Revenue Per Bed]]/2000</f>
        <v>15.3</v>
      </c>
      <c r="CR116" s="37">
        <f>_xlfn.XLOOKUP(Crops[[#This Row],[Crop]]&amp;Crops[[#This Row],[Product]]&amp;Crops[[#This Row],[Unit]],Products[ID],Products[Harvest (s)])*Crops[[#This Row],[Custom Yield Per Bed]]/3600</f>
        <v>4.7222222222222223</v>
      </c>
      <c r="CS116" s="37">
        <f>_xlfn.XLOOKUP(Crops[[#This Row],[Crop]]&amp;Crops[[#This Row],[Product]]&amp;Crops[[#This Row],[Unit]],Products[ID],Products[Bunch (s)])*Crops[[#This Row],[Custom Yield Per Bed]]/3600</f>
        <v>0</v>
      </c>
      <c r="CT116" s="37">
        <f>_xlfn.XLOOKUP(Crops[[#This Row],[Crop]]&amp;Crops[[#This Row],[Product]]&amp;Crops[[#This Row],[Unit]],Products[ID],Products[Haul (s)])*Crops[[#This Row],[Custom Yield Per Bed]]/3600</f>
        <v>1.4166666666666667</v>
      </c>
      <c r="CU116" s="37">
        <f>_xlfn.XLOOKUP(Crops[[#This Row],[Crop]]&amp;Crops[[#This Row],[Product]]&amp;Crops[[#This Row],[Unit]],Products[ID],Products[Wash (s)])*Crops[[#This Row],[Custom Yield Per Bed]]/3600</f>
        <v>0</v>
      </c>
      <c r="CV116" s="37">
        <f>_xlfn.XLOOKUP(Crops[[#This Row],[Crop]]&amp;Crops[[#This Row],[Product]]&amp;Crops[[#This Row],[Unit]],Products[ID],Products[Condition (s)])*Crops[[#This Row],[Custom Yield Per Bed]]/3600</f>
        <v>0</v>
      </c>
      <c r="CW116" s="37">
        <f>_xlfn.XLOOKUP(Crops[[#This Row],[Crop]]&amp;Crops[[#This Row],[Product]]&amp;Crops[[#This Row],[Unit]],Products[ID],Products[Trim (s)])*Crops[[#This Row],[Custom Yield Per Bed]]/3600</f>
        <v>7.083333333333333</v>
      </c>
      <c r="CX116" s="37">
        <f>_xlfn.XLOOKUP(Crops[[#This Row],[Crop]]&amp;Crops[[#This Row],[Product]]&amp;Crops[[#This Row],[Unit]],Products[ID],Products[Pack (s)])*Crops[[#This Row],[Custom Yield Per Bed]]/3600</f>
        <v>1.4166666666666667</v>
      </c>
      <c r="CY116" s="37">
        <f>_xlfn.XLOOKUP(Crops[[#This Row],[Crop]]&amp;Crops[[#This Row],[Product]]&amp;Crops[[#This Row],[Unit]],Products[ID],Products[Clean (s)])*Crops[[#This Row],[Custom Yield Per Bed]]/3600</f>
        <v>0</v>
      </c>
      <c r="CZ116" s="37">
        <f>_xlfn.XLOOKUP(Crops[[#This Row],[Crop]]&amp;Crops[[#This Row],[Product]]&amp;Crops[[#This Row],[Unit]],Products[ID],Products[Rehandle (s)])*Crops[[#This Row],[Custom Yield Per Bed]]/3600</f>
        <v>0</v>
      </c>
      <c r="DA116" s="37">
        <f>_xlfn.XLOOKUP(Crops[[#This Row],[Crop]]&amp;Crops[[#This Row],[Product]]&amp;Crops[[#This Row],[Unit]],Products[ID],Products[Market Transport (s)])*Crops[[#This Row],[Custom Yield Per Bed]]/3600</f>
        <v>3.5416666666666665</v>
      </c>
      <c r="DC116" s="37">
        <f>Crops[[#This Row],[Direct Revenue Per Bed2]]</f>
        <v>5100</v>
      </c>
      <c r="DD116" s="173">
        <f>_xlfn.AGGREGATE(9,6,Crops[[#This Row],[Bed Prep]:[Remove Crop Residue]])</f>
        <v>41.728174603174601</v>
      </c>
      <c r="DE116" s="173">
        <f>_xlfn.AGGREGATE(9,6,Crops[[#This Row],[Bed Prep]:[Remove Crop Residue]])-0.75*Crops[[#This Row],[Market &amp; Sell]]</f>
        <v>30.2531746031746</v>
      </c>
      <c r="DF116" s="36">
        <f>Crops[[#This Row],[Direct Revenue Per Bed2]]/Crops[[#This Row],[Direct Time]]</f>
        <v>122.21958061908612</v>
      </c>
      <c r="DG116" s="36">
        <f>_xlfn.XLOOKUP(Crops[[#This Row],[ProductIndex]],Products[ID],Products[Packaging Cost])*(Crops[[#This Row],[Custom Yield Per Bed]]/_xlfn.XLOOKUP(Crops[[#This Row],[ProductIndex]],Products[ID],Products[Units Per Pack]))</f>
        <v>226.66666666666666</v>
      </c>
      <c r="DH116" s="36"/>
      <c r="DI116" s="36"/>
      <c r="DJ116" s="36"/>
      <c r="DK116" s="36"/>
      <c r="DL116" s="36"/>
      <c r="DM116" s="33">
        <f>IFERROR(Crops[[#This Row],[Custom Yield Per Bed]]*Crops[[#This Row],[Direct Price]],"")</f>
        <v>5100</v>
      </c>
      <c r="DN116" s="36">
        <f>Crops[[#This Row],[Direct Time]]*LaborRate</f>
        <v>1043.2043650793651</v>
      </c>
      <c r="DO116" s="36">
        <f>SUM(Crops[[#This Row],[Irrigation Cost]])</f>
        <v>0</v>
      </c>
      <c r="DP116" s="36">
        <f>Crops[[#This Row],[Direct Labor Cost]]+Crops[[#This Row],[Direct Non-Labor Cost]]</f>
        <v>1043.2043650793651</v>
      </c>
      <c r="DQ116" s="36">
        <f>Crops[[#This Row],[Direct Revenue Per Bed2]]-Crops[[#This Row],[Direct Total Cost]]</f>
        <v>4056.7956349206352</v>
      </c>
      <c r="DR116" s="36">
        <f>Crops[[#This Row],[Direct Profit]]*BedsPerAcre</f>
        <v>649087.30158730166</v>
      </c>
      <c r="DS116" s="36">
        <f>Crops[[#This Row],[Direct Profit]]*BedsPerAcre*GrowingDays/Crops[[#This Row],[Days In Field]]</f>
        <v>501440.83384426736</v>
      </c>
      <c r="DT116" s="36">
        <f>Crops[[#This Row],[Direct Profit]]/MIN(Crops[[#This Row],[Days In Field]],GrowingDays)</f>
        <v>22.537753527336861</v>
      </c>
      <c r="DU116" s="36">
        <f>Crops[[#This Row],[Direct Time]] * BedsPerAcre</f>
        <v>6676.5079365079364</v>
      </c>
      <c r="DV116" s="36">
        <f>(Crops[[#This Row],[Direct Revenue Per Bed2]]-Crops[[#This Row],[Direct Non-Labor Cost]])/Crops[[#This Row],[Direct Time]]</f>
        <v>122.21958061908612</v>
      </c>
      <c r="DW116" s="33">
        <f>IFERROR(Crops[[#This Row],[Custom Yield Per Bed]]*Crops[[#This Row],[Rough Wholesale Price]],"")</f>
        <v>3059.9999999999995</v>
      </c>
      <c r="DX116" s="36">
        <f>Crops[[#This Row],[Wholesale Time]]*LaborRate</f>
        <v>756.32936507936495</v>
      </c>
      <c r="DY116" s="36">
        <f>SUM(Crops[[#This Row],[Packaging Costs]:[Irrigation Cost]])</f>
        <v>226.66666666666666</v>
      </c>
      <c r="DZ116" s="36">
        <f>Crops[[#This Row],[Wholesale Labor Cost]]+Crops[[#This Row],[Wholesale Non-Labor Cost]]</f>
        <v>982.99603174603158</v>
      </c>
      <c r="EA116" s="36">
        <f>Crops[[#This Row],[Wholesale Revenue Per Bed]]-Crops[[#This Row],[Wholesale Total Cost]]</f>
        <v>2077.0039682539682</v>
      </c>
      <c r="EB116" s="36">
        <f>Crops[[#This Row],[Wholesale Profit]]*BedsPerAcre</f>
        <v>332320.63492063491</v>
      </c>
      <c r="EC116" s="36">
        <f>Crops[[#This Row],[Wholesale Profit]]*BedsPerAcre*GrowingDays/Crops[[#This Row],[Days In Field]]</f>
        <v>256728.38749233598</v>
      </c>
      <c r="ED116" s="36">
        <f>Crops[[#This Row],[Wholesale Time]] * BedsPerAcre</f>
        <v>4840.5079365079364</v>
      </c>
      <c r="EE116" s="36">
        <f>Crops[[#This Row],[Wholesale Profit]]/MIN(Crops[[#This Row],[Days In Field]],GrowingDays)</f>
        <v>11.538910934744267</v>
      </c>
      <c r="EF116" s="36">
        <f>(Crops[[#This Row],[Wholesale Revenue Per Bed]]-Crops[[#This Row],[Wholesale Non-Labor Cost]])/Crops[[#This Row],[Direct Time]]</f>
        <v>67.899767010603398</v>
      </c>
      <c r="EG116" s="174">
        <f>Crops[[#This Row],[Packaging Costs]]/Crops[[#This Row],[Wholesale Revenue Per Bed]]</f>
        <v>7.4074074074074084E-2</v>
      </c>
      <c r="EH116" s="36" t="str">
        <f>Crops[[#This Row],[Crop]]&amp;Crops[[#This Row],[Product]]&amp;Crops[[#This Row],[Unit]]</f>
        <v>DahliaMature StemStem</v>
      </c>
      <c r="EI116" s="36" t="b">
        <f>_xlfn.XLOOKUP(Crops[[#This Row],[ProductIndex]],Products[ID],Products[Target])</f>
        <v>1</v>
      </c>
      <c r="EJ116" s="36">
        <f>Crops[[#This Row],[Custom Yield Per Bed]]</f>
        <v>1700</v>
      </c>
      <c r="EK116" s="210">
        <f>Crops[[#This Row],[Units Per Harvest]]/Crops[[#This Row],[Days Between Harvest]]*7</f>
        <v>100</v>
      </c>
      <c r="EL116" s="210" t="e">
        <f>Crops[[#This Row],[Custom Yield Per Bed]]/_xlfn.XLOOKUP(Crops[[#This Row],[ProductIndex]],Products[ID],Products[CSA Portion])</f>
        <v>#DIV/0!</v>
      </c>
      <c r="EM116" s="210" t="e">
        <f>Crops[[#This Row],[Units Per Harvest]]/Crops[[#This Row],[Days Between Harvest]]*7/_xlfn.XLOOKUP(Crops[[#This Row],[ProductIndex]],Products[ID],Products[CSA Portion])</f>
        <v>#DIV/0!</v>
      </c>
      <c r="EN116" s="210" t="e">
        <f>Crops[[#This Row],[CSA Portions Per Week]]/CSAMembers</f>
        <v>#DIV/0!</v>
      </c>
      <c r="EO116" s="210"/>
      <c r="EP116" s="210"/>
      <c r="EQ116" s="36"/>
      <c r="ER116" s="36">
        <f>Crops[[#This Row],[Harvests]]*Crops[[#This Row],[Days Between Harvest]]/7</f>
        <v>17</v>
      </c>
      <c r="ES116" s="208">
        <f>_xlfn.XLOOKUP(Crops[[#This Row],[ProductIndex]],Products[ID],Products[CSA Need])</f>
        <v>0</v>
      </c>
      <c r="ET116" s="208">
        <f>_xlfn.XLOOKUP(Crops[[#This Row],[ProductIndex]],Products[ID],Products[CSA Times])</f>
        <v>0</v>
      </c>
      <c r="EU116" s="208" t="e">
        <f>Crops[[#This Row],[Custom Yield Per Bed]]/(Crops[[#This Row],[CSA Need]]*(_xlfn.XLOOKUP(Crops[[#This Row],[ProductIndex]],Products[ID],Products[CSA Portion])*CSAMembers))</f>
        <v>#DIV/0!</v>
      </c>
      <c r="EV116" s="208">
        <f>_xlfn.XLOOKUP(Crops[[#This Row],[ProductIndex]],Products[ID],Products[CSA Portion])*CSAMembers*Crops[[#This Row],[CSA Need]]/Crops[[#This Row],[Custom Yield Per Bed]]</f>
        <v>0</v>
      </c>
      <c r="EW116" s="208">
        <f>IFERROR(Crops[[#This Row],[Days In Field]]*Crops[[#This Row],[CSA Beds]],"")</f>
        <v>0</v>
      </c>
      <c r="EX116" s="208" t="e">
        <f>Crops[[#This Row],[CSA Bed Days]]*#REF!</f>
        <v>#REF!</v>
      </c>
      <c r="EY116" t="s">
        <v>284</v>
      </c>
    </row>
    <row r="117" spans="1:155">
      <c r="A11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Dianthus - Mature Stem 1X | Field TP </v>
      </c>
      <c r="B117" s="189"/>
      <c r="C117" s="1"/>
      <c r="D117" s="1"/>
      <c r="E117" s="1" t="b">
        <v>0</v>
      </c>
      <c r="F117" s="1" t="b">
        <f>IFERROR(IF(ISNUMBER(MATCH(Crops[[#This Row],[Identifier]],BedPlan[Crop], 0)), TRUE, FALSE), FALSE)</f>
        <v>0</v>
      </c>
      <c r="G117" s="1" t="b">
        <f>IFERROR(IF(ISNUMBER(MATCH(Crops[[#This Row],[Identifier]],BedPlan[Crop], 0)), TRUE, FALSE), FALSE)</f>
        <v>0</v>
      </c>
      <c r="H117" s="1"/>
      <c r="I117" t="s">
        <v>74</v>
      </c>
      <c r="J117" t="s">
        <v>145</v>
      </c>
      <c r="K117" t="s">
        <v>181</v>
      </c>
      <c r="M117" t="s">
        <v>406</v>
      </c>
      <c r="N117" t="str">
        <f>Crops[[#This Row],[Crop]]</f>
        <v>Dianthus</v>
      </c>
      <c r="O117" t="s">
        <v>210</v>
      </c>
      <c r="P117" t="str">
        <f>IF(OR(Crops[[#This Row],[Days in Cells]]="",Crops[[#This Row],[Days in Cells]]=0), "DS","TP")</f>
        <v>TP</v>
      </c>
      <c r="V117" t="str">
        <f xml:space="preserve"> IF(Crops[[#This Row],[Sp]], "Sp", "") &amp; IF(Crops[[#This Row],[Su]], "Su", "") &amp; IF(Crops[[#This Row],[Fa]], "Fa", "") &amp; IF(Crops[[#This Row],[Wi]], "Wi", "") &amp; IF(Crops[[#This Row],[OW]], "Ow","")</f>
        <v/>
      </c>
      <c r="W117" t="s">
        <v>144</v>
      </c>
      <c r="X117">
        <v>4</v>
      </c>
      <c r="Y117">
        <v>6</v>
      </c>
      <c r="AA117" t="s">
        <v>474</v>
      </c>
      <c r="AB117" t="b">
        <v>1</v>
      </c>
      <c r="AC117">
        <v>1.5</v>
      </c>
      <c r="AD117" s="32">
        <f>IFERROR(12/Crops[[#This Row],[Spacing]]*Crops[[#This Row],[Rows]]*BedLength,"")</f>
        <v>400</v>
      </c>
      <c r="AE117">
        <v>1</v>
      </c>
      <c r="AG117">
        <f>IF(Crops[[#This Row],[Custom Safety Factor]]="",PlantingSafetyFactor,Crops[[#This Row],[Custom Safety Factor]])</f>
        <v>1.3</v>
      </c>
      <c r="AH117">
        <f>1</f>
        <v>1</v>
      </c>
      <c r="AI117" s="33">
        <f>IFERROR(Crops[[#This Row],[Plantings Per Bed]]*Crops[[#This Row],[Seeds Per Planting]]*Crops[[#This Row],[Safety Factor]]*Crops[[#This Row],[Seeding Factor]],"")</f>
        <v>520</v>
      </c>
      <c r="AJ117">
        <v>7</v>
      </c>
      <c r="AK117">
        <v>14</v>
      </c>
      <c r="AL117">
        <f>_xlfn.FLOOR.MATH(IFERROR(AVERAGE(Crops[[#This Row],[DTG Lower]:[DTG Upper]]),0))</f>
        <v>10</v>
      </c>
      <c r="AM117">
        <f>SUM(Crops[[#This Row],[Tray 1 Days]],Crops[[#This Row],[Tray 2 Days]],Crops[[#This Row],[Tray 3 Days]])</f>
        <v>40</v>
      </c>
      <c r="AN117" s="32">
        <v>40</v>
      </c>
      <c r="AO117">
        <v>100</v>
      </c>
      <c r="AP117">
        <v>105</v>
      </c>
      <c r="AQ117">
        <f>IFERROR(_xlfn.FLOOR.MATH(AVERAGE(Crops[[#This Row],[DTM Lower]:[DTM Upper]])),"")</f>
        <v>102</v>
      </c>
      <c r="AR117" cm="1">
        <f t="array" ref="AR117">_xlfn.SWITCH(Crops[[#This Row],[Normal Method]],"DS",Crops[[#This Row],[Days to Germination]]+Crops[[#This Row],[DTM]] + IF(Crops[[#This Row],[Days in Cells]]&gt;0,15,0), "TP",Crops[[#This Row],[DTM]]+Crops[[#This Row],[Days in Cells]] + IF(Crops[[#This Row],[Days in Cells]]&lt;=0,20,0), "X", Crops[[#This Row],[DTM]])</f>
        <v>127</v>
      </c>
      <c r="AS117" t="s">
        <v>338</v>
      </c>
      <c r="AT117">
        <f>(Crops[[#This Row],[Harvests]]-1)*Crops[[#This Row],[Days Between Harvest]]+7</f>
        <v>28</v>
      </c>
      <c r="AU117">
        <f>Crops[[#This Row],[STH]]-Crops[[#This Row],[Days in Cells]]+Crops[[#This Row],[Harvest window]]</f>
        <v>115</v>
      </c>
      <c r="AX117">
        <v>128</v>
      </c>
      <c r="AY117">
        <v>40</v>
      </c>
      <c r="AZ117" s="49">
        <f>IFERROR(IF(Crops[[#This Row],[Tray 1 Days]]=0,"",Crops[[#This Row],[Plantings Per Bed]]/Crops[[#This Row],[Tray 1 Size]]*Crops[[#This Row],[Safety Factor]]),"")</f>
        <v>4.0625</v>
      </c>
      <c r="BC117" t="str">
        <f>IFERROR(IF(Crops[[#This Row],[Tray 2 Days]]=0,"",Crops[[#This Row],[Plantings Per Bed]]/Crops[[#This Row],[Tray 2 Size]]*Crops[[#This Row],[Safety Factor]]),"")</f>
        <v/>
      </c>
      <c r="BE117" s="32" t="str">
        <f>IF(NOT(ISBLANK(Crops[[#This Row],[Tray 3 Size]])), Crops[[#This Row],[Days in Cells Old]]-SUM(Crops[[#This Row],[Tray 1 Days]],Crops[[#This Row],[Tray 2 Days]]), "")</f>
        <v/>
      </c>
      <c r="BF117" s="49" t="str">
        <f>IFERROR(IF(Crops[[#This Row],[Tray 3 Days]]=0,"",Crops[[#This Row],[Plantings Per Bed]]/Crops[[#This Row],[Tray 3 Size]]*Crops[[#This Row],[Safety Factor]]),"")</f>
        <v/>
      </c>
      <c r="BG117" s="33">
        <f>Crops[[#This Row],[Plantings Per Bed]]</f>
        <v>400</v>
      </c>
      <c r="BH117" s="33">
        <v>4</v>
      </c>
      <c r="BI117" s="33">
        <v>7</v>
      </c>
      <c r="BJ117" s="33">
        <f>_xlfn.XLOOKUP(Crops[[#This Row],[ProductIndex]],Products[ID],Products[Holding Period])</f>
        <v>0</v>
      </c>
      <c r="BK117" s="33"/>
      <c r="BL117" s="33">
        <f>Crops[[#This Row],[Units Per Harvest]]*Crops[[#This Row],[Harvests]]</f>
        <v>1600</v>
      </c>
      <c r="BM117" s="35">
        <v>1</v>
      </c>
      <c r="BN117" s="35">
        <f>Crops[[#This Row],[Direct Price]]*0.6</f>
        <v>0.6</v>
      </c>
      <c r="BO117" s="35"/>
      <c r="BP117" t="s">
        <v>213</v>
      </c>
      <c r="BQ117">
        <f>Crops[[#This Row],[Custom Yield Per Bed]]*Crops[[#This Row],[Direct Price]]</f>
        <v>1600</v>
      </c>
      <c r="BR117" t="b">
        <v>0</v>
      </c>
      <c r="BS117" t="b">
        <f>Crops[[#This Row],[Harvests]]&gt;1</f>
        <v>1</v>
      </c>
      <c r="BT117" s="36">
        <f>IFERROR(Crops[[#This Row],[Direct Revenue Per Bed]]/Crops[[#This Row],[Days In Field]],-1)</f>
        <v>13.913043478260869</v>
      </c>
      <c r="BU117" s="36">
        <f>IFERROR(Crops[[#This Row],[Direct Revenue Per Bed Day]]*GrowingDays*BedsPerAcre,"")</f>
        <v>400695.65217391303</v>
      </c>
      <c r="BV117" s="38">
        <f>LastFrostDate-5*Crops[[#This Row],[Sewing Rel Last Frost]]</f>
        <v>45743</v>
      </c>
      <c r="BW117" s="38">
        <f>Crops[[#This Row],[Target Sewing Date]]+Crops[[#This Row],[Days in Cells]]</f>
        <v>45783</v>
      </c>
      <c r="BX117" s="38">
        <f>Crops[[#This Row],[Target Sewing Date]]+Crops[[#This Row],[STH]]</f>
        <v>45870</v>
      </c>
      <c r="BY117" s="38">
        <f>Crops[[#This Row],[Target Harvest Data]]+Crops[[#This Row],[Harvest window]]</f>
        <v>45898</v>
      </c>
      <c r="BZ117">
        <v>1</v>
      </c>
      <c r="CB117">
        <f>1</f>
        <v>1</v>
      </c>
      <c r="CC117">
        <f>IF(Crops[[#This Row],[Transplanting]]&gt;0, 2, 3)*BedLength/StandardBedLength</f>
        <v>1</v>
      </c>
      <c r="CD117" s="173">
        <f>IF(Crops[[#This Row],[Days in Cells]]&lt;=0,0,Crops[[#This Row],[Plantings Per Bed]]/StartsPerHourSeeding+Crops[[#This Row],[Tray 1 Count]]*5/60)</f>
        <v>1.9010416666666667</v>
      </c>
      <c r="CE117" s="173">
        <f>IF(ISBLANK(Crops[[#This Row],[Tray 2 Days]]),0,Crops[[#This Row],[Plantings Per Bed]]/UpPottingPerHour)+IF(Crops[[#This Row],[Tray 3 Days]]="",0,Crops[[#This Row],[Plantings Per Bed]]/UpPottingPerHour)</f>
        <v>0</v>
      </c>
      <c r="CF117" s="173">
        <f>IFERROR(Crops[[#This Row],[Tray 1 Count]]/HomeStartFlatIrrigationPerHour,0)*Crops[[#This Row],[Days in Cells]]/DaysBetweenStartIrrigation</f>
        <v>0.67708333333333326</v>
      </c>
      <c r="CG117" s="173">
        <f>0.5/16*MAX(Crops[[#This Row],[Tray 1 Count]],Crops[[#This Row],[Tray 2 Count]],Crops[[#This Row],[Tray 3 Count]])</f>
        <v>0.126953125</v>
      </c>
      <c r="CH117" s="173">
        <f>IF(Crops[[#This Row],[Days in Cells]]&gt;0,IF(IF(Crops[[#This Row],[Tray 3 Size]]&gt;0,Crops[[#This Row],[Tray 3 Size]],IF(Crops[[#This Row],[Tray 2 Size]]&gt;0,Crops[[#This Row],[Tray 2 Size]],Crops[[#This Row],[Tray 1 Size]]))&lt;=18,LargeTransplantTime,SmallTransplantTime)*Crops[[#This Row],[Plantings Per Bed]],0)</f>
        <v>2</v>
      </c>
      <c r="CI117" s="173"/>
      <c r="CJ117" s="173">
        <f>_xlfn.XLOOKUP(Crops[[#This Row],[Trellis Type]],TrellisMethods[Trellis Type],TrellisMethods[Hours],0,0)</f>
        <v>0</v>
      </c>
      <c r="CK117">
        <f>IF(Crops[[#This Row],[Days in Cells]]&lt;=0,Crops[[#This Row],[Rows]]*1/10,0)*BedLength/50</f>
        <v>0</v>
      </c>
      <c r="CL117" cm="1">
        <f t="array" ref="CL117">_xlfn.SWITCH(Crops[[#This Row],[Irrigation]],"DR", 0.5, "OH", 0.25,0)*BedLength/50</f>
        <v>0</v>
      </c>
      <c r="CM117">
        <f>IF(OR(ISBLANK(Crops[[#This Row],[Row Cover]]),Crops[[#This Row],[Row Cover]]="None"),0,1)*BedLength/50</f>
        <v>0</v>
      </c>
      <c r="CN117" s="173">
        <f>HoursPerWeedingPass*Crops[[#This Row],[Days In Field]]/14*Crops[[#This Row],[Rows]]+1*BedLength/50</f>
        <v>6.4761904761904754</v>
      </c>
      <c r="CQ117" s="37">
        <f>_xlfn.XLOOKUP(Crops[[#This Row],[Crop]]&amp;Crops[[#This Row],[Product]]&amp;Crops[[#This Row],[Unit]],Products[ID],Products[Marketing (hr)])*Crops[[#This Row],[Direct Revenue Per Bed]]/2000</f>
        <v>4.8</v>
      </c>
      <c r="CR117" s="37">
        <f>_xlfn.XLOOKUP(Crops[[#This Row],[Crop]]&amp;Crops[[#This Row],[Product]]&amp;Crops[[#This Row],[Unit]],Products[ID],Products[Harvest (s)])*Crops[[#This Row],[Custom Yield Per Bed]]/3600</f>
        <v>2.2222222222222223</v>
      </c>
      <c r="CS117" s="37">
        <f>_xlfn.XLOOKUP(Crops[[#This Row],[Crop]]&amp;Crops[[#This Row],[Product]]&amp;Crops[[#This Row],[Unit]],Products[ID],Products[Bunch (s)])*Crops[[#This Row],[Custom Yield Per Bed]]/3600</f>
        <v>0</v>
      </c>
      <c r="CT117" s="37">
        <f>_xlfn.XLOOKUP(Crops[[#This Row],[Crop]]&amp;Crops[[#This Row],[Product]]&amp;Crops[[#This Row],[Unit]],Products[ID],Products[Haul (s)])*Crops[[#This Row],[Custom Yield Per Bed]]/3600</f>
        <v>0.8</v>
      </c>
      <c r="CU117" s="37">
        <f>_xlfn.XLOOKUP(Crops[[#This Row],[Crop]]&amp;Crops[[#This Row],[Product]]&amp;Crops[[#This Row],[Unit]],Products[ID],Products[Wash (s)])*Crops[[#This Row],[Custom Yield Per Bed]]/3600</f>
        <v>0</v>
      </c>
      <c r="CV117" s="37">
        <f>_xlfn.XLOOKUP(Crops[[#This Row],[Crop]]&amp;Crops[[#This Row],[Product]]&amp;Crops[[#This Row],[Unit]],Products[ID],Products[Condition (s)])*Crops[[#This Row],[Custom Yield Per Bed]]/3600</f>
        <v>0</v>
      </c>
      <c r="CW117" s="37">
        <f>_xlfn.XLOOKUP(Crops[[#This Row],[Crop]]&amp;Crops[[#This Row],[Product]]&amp;Crops[[#This Row],[Unit]],Products[ID],Products[Trim (s)])*Crops[[#This Row],[Custom Yield Per Bed]]/3600</f>
        <v>6.666666666666667</v>
      </c>
      <c r="CX117" s="37">
        <f>_xlfn.XLOOKUP(Crops[[#This Row],[Crop]]&amp;Crops[[#This Row],[Product]]&amp;Crops[[#This Row],[Unit]],Products[ID],Products[Pack (s)])*Crops[[#This Row],[Custom Yield Per Bed]]/3600</f>
        <v>1.3333333333333333</v>
      </c>
      <c r="CY117" s="37">
        <f>_xlfn.XLOOKUP(Crops[[#This Row],[Crop]]&amp;Crops[[#This Row],[Product]]&amp;Crops[[#This Row],[Unit]],Products[ID],Products[Clean (s)])*Crops[[#This Row],[Custom Yield Per Bed]]/3600</f>
        <v>0</v>
      </c>
      <c r="CZ117" s="37">
        <f>_xlfn.XLOOKUP(Crops[[#This Row],[Crop]]&amp;Crops[[#This Row],[Product]]&amp;Crops[[#This Row],[Unit]],Products[ID],Products[Rehandle (s)])*Crops[[#This Row],[Custom Yield Per Bed]]/3600</f>
        <v>0</v>
      </c>
      <c r="DA117" s="37">
        <f>_xlfn.XLOOKUP(Crops[[#This Row],[Crop]]&amp;Crops[[#This Row],[Product]]&amp;Crops[[#This Row],[Unit]],Products[ID],Products[Market Transport (s)])*Crops[[#This Row],[Custom Yield Per Bed]]/3600</f>
        <v>2</v>
      </c>
      <c r="DC117" s="37">
        <f>Crops[[#This Row],[Direct Revenue Per Bed2]]</f>
        <v>1600</v>
      </c>
      <c r="DD117" s="173">
        <f>_xlfn.AGGREGATE(9,6,Crops[[#This Row],[Bed Prep]:[Remove Crop Residue]])</f>
        <v>30.003490823412697</v>
      </c>
      <c r="DE117" s="173">
        <f>_xlfn.AGGREGATE(9,6,Crops[[#This Row],[Bed Prep]:[Remove Crop Residue]])-0.75*Crops[[#This Row],[Market &amp; Sell]]</f>
        <v>26.403490823412696</v>
      </c>
      <c r="DF117" s="36">
        <f>Crops[[#This Row],[Direct Revenue Per Bed2]]/Crops[[#This Row],[Direct Time]]</f>
        <v>53.327128147084409</v>
      </c>
      <c r="DG117" s="36">
        <f>_xlfn.XLOOKUP(Crops[[#This Row],[ProductIndex]],Products[ID],Products[Packaging Cost])*(Crops[[#This Row],[Custom Yield Per Bed]]/_xlfn.XLOOKUP(Crops[[#This Row],[ProductIndex]],Products[ID],Products[Units Per Pack]))</f>
        <v>128</v>
      </c>
      <c r="DH117" s="36"/>
      <c r="DI117" s="36"/>
      <c r="DJ117" s="36"/>
      <c r="DK117" s="36"/>
      <c r="DL117" s="36"/>
      <c r="DM117" s="33">
        <f>IFERROR(Crops[[#This Row],[Custom Yield Per Bed]]*Crops[[#This Row],[Direct Price]],"")</f>
        <v>1600</v>
      </c>
      <c r="DN117" s="36">
        <f>Crops[[#This Row],[Direct Time]]*LaborRate</f>
        <v>750.08727058531747</v>
      </c>
      <c r="DO117" s="36">
        <f>SUM(Crops[[#This Row],[Irrigation Cost]])</f>
        <v>0</v>
      </c>
      <c r="DP117" s="36">
        <f>Crops[[#This Row],[Direct Labor Cost]]+Crops[[#This Row],[Direct Non-Labor Cost]]</f>
        <v>750.08727058531747</v>
      </c>
      <c r="DQ117" s="36">
        <f>Crops[[#This Row],[Direct Revenue Per Bed2]]-Crops[[#This Row],[Direct Total Cost]]</f>
        <v>849.91272941468253</v>
      </c>
      <c r="DR117" s="36">
        <f>Crops[[#This Row],[Direct Profit]]*BedsPerAcre</f>
        <v>135986.0367063492</v>
      </c>
      <c r="DS117" s="36">
        <f>Crops[[#This Row],[Direct Profit]]*BedsPerAcre*GrowingDays/Crops[[#This Row],[Days In Field]]</f>
        <v>212847.70962732917</v>
      </c>
      <c r="DT117" s="36">
        <f>Crops[[#This Row],[Direct Profit]]/MIN(Crops[[#This Row],[Days In Field]],GrowingDays)</f>
        <v>7.3905454731711524</v>
      </c>
      <c r="DU117" s="36">
        <f>Crops[[#This Row],[Direct Time]] * BedsPerAcre</f>
        <v>4800.5585317460318</v>
      </c>
      <c r="DV117" s="36">
        <f>(Crops[[#This Row],[Direct Revenue Per Bed2]]-Crops[[#This Row],[Direct Non-Labor Cost]])/Crops[[#This Row],[Direct Time]]</f>
        <v>53.327128147084409</v>
      </c>
      <c r="DW117" s="33">
        <f>IFERROR(Crops[[#This Row],[Custom Yield Per Bed]]*Crops[[#This Row],[Rough Wholesale Price]],"")</f>
        <v>960</v>
      </c>
      <c r="DX117" s="36">
        <f>Crops[[#This Row],[Wholesale Time]]*LaborRate</f>
        <v>660.08727058531736</v>
      </c>
      <c r="DY117" s="36">
        <f>SUM(Crops[[#This Row],[Packaging Costs]:[Irrigation Cost]])</f>
        <v>128</v>
      </c>
      <c r="DZ117" s="36">
        <f>Crops[[#This Row],[Wholesale Labor Cost]]+Crops[[#This Row],[Wholesale Non-Labor Cost]]</f>
        <v>788.08727058531736</v>
      </c>
      <c r="EA117" s="36">
        <f>Crops[[#This Row],[Wholesale Revenue Per Bed]]-Crops[[#This Row],[Wholesale Total Cost]]</f>
        <v>171.91272941468264</v>
      </c>
      <c r="EB117" s="36">
        <f>Crops[[#This Row],[Wholesale Profit]]*BedsPerAcre</f>
        <v>27506.036706349223</v>
      </c>
      <c r="EC117" s="36">
        <f>Crops[[#This Row],[Wholesale Profit]]*BedsPerAcre*GrowingDays/Crops[[#This Row],[Days In Field]]</f>
        <v>43052.927018633563</v>
      </c>
      <c r="ED117" s="36">
        <f>Crops[[#This Row],[Wholesale Time]] * BedsPerAcre</f>
        <v>4224.5585317460318</v>
      </c>
      <c r="EE117" s="36">
        <f>Crops[[#This Row],[Wholesale Profit]]/MIN(Crops[[#This Row],[Days In Field]],GrowingDays)</f>
        <v>1.4948932992581099</v>
      </c>
      <c r="EF117" s="36">
        <f>(Crops[[#This Row],[Wholesale Revenue Per Bed]]-Crops[[#This Row],[Wholesale Non-Labor Cost]])/Crops[[#This Row],[Direct Time]]</f>
        <v>27.730106636483892</v>
      </c>
      <c r="EG117" s="174">
        <f>Crops[[#This Row],[Packaging Costs]]/Crops[[#This Row],[Wholesale Revenue Per Bed]]</f>
        <v>0.13333333333333333</v>
      </c>
      <c r="EH117" s="36" t="str">
        <f>Crops[[#This Row],[Crop]]&amp;Crops[[#This Row],[Product]]&amp;Crops[[#This Row],[Unit]]</f>
        <v>DianthusMature StemStem</v>
      </c>
      <c r="EI117" s="36" t="b">
        <f>_xlfn.XLOOKUP(Crops[[#This Row],[ProductIndex]],Products[ID],Products[Target])</f>
        <v>1</v>
      </c>
      <c r="EJ117" s="36">
        <f>Crops[[#This Row],[Custom Yield Per Bed]]</f>
        <v>1600</v>
      </c>
      <c r="EK117" s="210">
        <f>Crops[[#This Row],[Units Per Harvest]]/Crops[[#This Row],[Days Between Harvest]]*7</f>
        <v>400</v>
      </c>
      <c r="EL117" s="210" t="e">
        <f>Crops[[#This Row],[Custom Yield Per Bed]]/_xlfn.XLOOKUP(Crops[[#This Row],[ProductIndex]],Products[ID],Products[CSA Portion])</f>
        <v>#DIV/0!</v>
      </c>
      <c r="EM117" s="210" t="e">
        <f>Crops[[#This Row],[Units Per Harvest]]/Crops[[#This Row],[Days Between Harvest]]*7/_xlfn.XLOOKUP(Crops[[#This Row],[ProductIndex]],Products[ID],Products[CSA Portion])</f>
        <v>#DIV/0!</v>
      </c>
      <c r="EN117" s="210" t="e">
        <f>Crops[[#This Row],[CSA Portions Per Week]]/CSAMembers</f>
        <v>#DIV/0!</v>
      </c>
      <c r="EO117" s="210"/>
      <c r="EP117" s="210"/>
      <c r="EQ117" s="36"/>
      <c r="ER117" s="36">
        <f>Crops[[#This Row],[Harvests]]*Crops[[#This Row],[Days Between Harvest]]/7</f>
        <v>4</v>
      </c>
      <c r="ES117" s="208">
        <f>_xlfn.XLOOKUP(Crops[[#This Row],[ProductIndex]],Products[ID],Products[CSA Need])</f>
        <v>0</v>
      </c>
      <c r="ET117" s="208">
        <f>_xlfn.XLOOKUP(Crops[[#This Row],[ProductIndex]],Products[ID],Products[CSA Times])</f>
        <v>0</v>
      </c>
      <c r="EU117" s="208" t="e">
        <f>Crops[[#This Row],[Custom Yield Per Bed]]/(Crops[[#This Row],[CSA Need]]*(_xlfn.XLOOKUP(Crops[[#This Row],[ProductIndex]],Products[ID],Products[CSA Portion])*CSAMembers))</f>
        <v>#DIV/0!</v>
      </c>
      <c r="EV117" s="208">
        <f>_xlfn.XLOOKUP(Crops[[#This Row],[ProductIndex]],Products[ID],Products[CSA Portion])*CSAMembers*Crops[[#This Row],[CSA Need]]/Crops[[#This Row],[Custom Yield Per Bed]]</f>
        <v>0</v>
      </c>
      <c r="EW117" s="208">
        <f>IFERROR(Crops[[#This Row],[Days In Field]]*Crops[[#This Row],[CSA Beds]],"")</f>
        <v>0</v>
      </c>
      <c r="EX117" s="208" t="e">
        <f>Crops[[#This Row],[CSA Bed Days]]*#REF!</f>
        <v>#REF!</v>
      </c>
      <c r="EY117" t="s">
        <v>285</v>
      </c>
    </row>
    <row r="118" spans="1:155">
      <c r="A118"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Dill - Mature Leaf 4X | Field DS </v>
      </c>
      <c r="B118" s="180"/>
      <c r="C118" s="1" t="b">
        <v>0</v>
      </c>
      <c r="D118" s="1"/>
      <c r="E118" s="1" t="b">
        <v>0</v>
      </c>
      <c r="F118" s="1" t="b">
        <f>IFERROR(IF(ISNUMBER(MATCH(Crops[[#This Row],[Identifier]],BedPlan[Crop], 0)), TRUE, FALSE), FALSE)</f>
        <v>0</v>
      </c>
      <c r="G118" s="1" t="b">
        <f>IFERROR(IF(ISNUMBER(MATCH(Crops[[#This Row],[Identifier]],BedPlan[Crop], 0)), TRUE, FALSE), FALSE)</f>
        <v>0</v>
      </c>
      <c r="H118" s="1"/>
      <c r="I118" t="s">
        <v>75</v>
      </c>
      <c r="J118" t="s">
        <v>145</v>
      </c>
      <c r="K118" t="s">
        <v>179</v>
      </c>
      <c r="M118" t="s">
        <v>442</v>
      </c>
      <c r="N118" t="str">
        <f>Crops[[#This Row],[Crop]]</f>
        <v>Dill</v>
      </c>
      <c r="O118" t="s">
        <v>210</v>
      </c>
      <c r="P118" t="str">
        <f>IF(OR(Crops[[#This Row],[Days in Cells]]="",Crops[[#This Row],[Days in Cells]]=0), "DS","TP")</f>
        <v>DS</v>
      </c>
      <c r="V118" t="str">
        <f xml:space="preserve"> IF(Crops[[#This Row],[Sp]], "Sp", "") &amp; IF(Crops[[#This Row],[Su]], "Su", "") &amp; IF(Crops[[#This Row],[Fa]], "Fa", "") &amp; IF(Crops[[#This Row],[Wi]], "Wi", "") &amp; IF(Crops[[#This Row],[OW]], "Ow","")</f>
        <v/>
      </c>
      <c r="W118" t="s">
        <v>144</v>
      </c>
      <c r="X118">
        <v>5</v>
      </c>
      <c r="Y118">
        <v>6</v>
      </c>
      <c r="AA118" t="s">
        <v>474</v>
      </c>
      <c r="AB118" t="b">
        <v>1</v>
      </c>
      <c r="AC118">
        <v>4</v>
      </c>
      <c r="AD118" s="32">
        <f>IFERROR(12/Crops[[#This Row],[Spacing]]*Crops[[#This Row],[Rows]]*BedLength,"")</f>
        <v>500</v>
      </c>
      <c r="AE118">
        <v>4</v>
      </c>
      <c r="AG118">
        <v>1.1000000000000001</v>
      </c>
      <c r="AH118">
        <f>1</f>
        <v>1</v>
      </c>
      <c r="AI118" s="33">
        <f>IFERROR(Crops[[#This Row],[Plantings Per Bed]]*Crops[[#This Row],[Seeds Per Planting]]*Crops[[#This Row],[Safety Factor]]*Crops[[#This Row],[Seeding Factor]],"")</f>
        <v>2200</v>
      </c>
      <c r="AL118">
        <f>_xlfn.FLOOR.MATH(IFERROR(AVERAGE(Crops[[#This Row],[DTG Lower]:[DTG Upper]]),0))</f>
        <v>0</v>
      </c>
      <c r="AM118">
        <f>SUM(Crops[[#This Row],[Tray 1 Days]],Crops[[#This Row],[Tray 2 Days]],Crops[[#This Row],[Tray 3 Days]])</f>
        <v>0</v>
      </c>
      <c r="AN118" s="32">
        <f>3.5*7</f>
        <v>24.5</v>
      </c>
      <c r="AO118">
        <v>71</v>
      </c>
      <c r="AP118">
        <v>71</v>
      </c>
      <c r="AQ118">
        <f>IFERROR(_xlfn.FLOOR.MATH(AVERAGE(Crops[[#This Row],[DTM Lower]:[DTM Upper]])),"")</f>
        <v>71</v>
      </c>
      <c r="AR118" cm="1">
        <f t="array" ref="AR118">_xlfn.SWITCH(Crops[[#This Row],[Normal Method]],"DS",Crops[[#This Row],[Days to Germination]]+Crops[[#This Row],[DTM]] + IF(Crops[[#This Row],[Days in Cells]]&gt;0,15,0), "TP",Crops[[#This Row],[DTM]]+Crops[[#This Row],[Days in Cells]] + IF(Crops[[#This Row],[Days in Cells]]&lt;=0,20,0), "X", Crops[[#This Row],[DTM]])</f>
        <v>71</v>
      </c>
      <c r="AS118" t="s">
        <v>338</v>
      </c>
      <c r="AT118">
        <f>(Crops[[#This Row],[Harvests]]-1)*Crops[[#This Row],[Days Between Harvest]]+7</f>
        <v>17</v>
      </c>
      <c r="AU118">
        <f>Crops[[#This Row],[STH]]-Crops[[#This Row],[Days in Cells]]+Crops[[#This Row],[Harvest window]]</f>
        <v>88</v>
      </c>
      <c r="AZ118" s="49"/>
      <c r="BC118" t="str">
        <f>IFERROR(IF(Crops[[#This Row],[Tray 2 Days]]=0,"",Crops[[#This Row],[Plantings Per Bed]]/Crops[[#This Row],[Tray 2 Size]]*Crops[[#This Row],[Safety Factor]]),"")</f>
        <v/>
      </c>
      <c r="BE118" s="32" t="str">
        <f>IF(NOT(ISBLANK(Crops[[#This Row],[Tray 3 Size]])), Crops[[#This Row],[Days in Cells Old]]-SUM(Crops[[#This Row],[Tray 1 Days]],Crops[[#This Row],[Tray 2 Days]]), "")</f>
        <v/>
      </c>
      <c r="BF118" s="49" t="str">
        <f>IFERROR(IF(Crops[[#This Row],[Tray 3 Days]]=0,"",Crops[[#This Row],[Plantings Per Bed]]/Crops[[#This Row],[Tray 3 Size]]*Crops[[#This Row],[Safety Factor]]),"")</f>
        <v/>
      </c>
      <c r="BG118" s="33">
        <f>Crops[[#This Row],[Plantings Per Bed]]/2.5</f>
        <v>200</v>
      </c>
      <c r="BH118" s="33">
        <v>2</v>
      </c>
      <c r="BI118" s="33">
        <v>10</v>
      </c>
      <c r="BJ118" s="33">
        <f>_xlfn.XLOOKUP(Crops[[#This Row],[ProductIndex]],Products[ID],Products[Holding Period])</f>
        <v>0</v>
      </c>
      <c r="BK118" s="33"/>
      <c r="BL118" s="33">
        <f>Crops[[#This Row],[Units Per Harvest]]*Crops[[#This Row],[Harvests]]</f>
        <v>400</v>
      </c>
      <c r="BM118" s="35">
        <v>2</v>
      </c>
      <c r="BN118" s="35">
        <f>Crops[[#This Row],[Direct Price]]*0.6</f>
        <v>1.2</v>
      </c>
      <c r="BO118" s="35"/>
      <c r="BP118" t="s">
        <v>215</v>
      </c>
      <c r="BQ118">
        <f>Crops[[#This Row],[Custom Yield Per Bed]]*Crops[[#This Row],[Direct Price]]</f>
        <v>800</v>
      </c>
      <c r="BR118" t="b">
        <v>1</v>
      </c>
      <c r="BS118" t="b">
        <f>Crops[[#This Row],[Harvests]]&gt;1</f>
        <v>1</v>
      </c>
      <c r="BT118" s="36">
        <f>IFERROR(Crops[[#This Row],[Direct Revenue Per Bed]]/Crops[[#This Row],[Days In Field]],-1)</f>
        <v>9.0909090909090917</v>
      </c>
      <c r="BU118" s="36">
        <f>IFERROR(Crops[[#This Row],[Direct Revenue Per Bed Day]]*GrowingDays*BedsPerAcre,"")</f>
        <v>261818.18181818182</v>
      </c>
      <c r="BV118" s="38">
        <f>LastFrostDate-5*Crops[[#This Row],[Sewing Rel Last Frost]]</f>
        <v>45728</v>
      </c>
      <c r="BW118" s="38">
        <f>Crops[[#This Row],[Target Sewing Date]]+Crops[[#This Row],[Days in Cells]]</f>
        <v>45728</v>
      </c>
      <c r="BX118" s="38">
        <f>Crops[[#This Row],[Target Sewing Date]]+Crops[[#This Row],[STH]]</f>
        <v>45799</v>
      </c>
      <c r="BY118" s="38">
        <f>Crops[[#This Row],[Target Harvest Data]]+Crops[[#This Row],[Harvest window]]</f>
        <v>45816</v>
      </c>
      <c r="BZ118">
        <v>4</v>
      </c>
      <c r="CB118">
        <f>1</f>
        <v>1</v>
      </c>
      <c r="CC118">
        <f>IF(Crops[[#This Row],[Transplanting]]&gt;0, 2, 3)*BedLength/StandardBedLength</f>
        <v>1.5</v>
      </c>
      <c r="CD118" s="173">
        <f>IF(Crops[[#This Row],[Days in Cells]]&lt;=0,0,Crops[[#This Row],[Plantings Per Bed]]/StartsPerHourSeeding+Crops[[#This Row],[Tray 1 Count]]*5/60)</f>
        <v>0</v>
      </c>
      <c r="CE118" s="173">
        <f>IF(ISBLANK(Crops[[#This Row],[Tray 2 Days]]),0,Crops[[#This Row],[Plantings Per Bed]]/UpPottingPerHour)+IF(Crops[[#This Row],[Tray 3 Days]]="",0,Crops[[#This Row],[Plantings Per Bed]]/UpPottingPerHour)</f>
        <v>0</v>
      </c>
      <c r="CF118" s="173">
        <f>IFERROR(Crops[[#This Row],[Tray 1 Count]]/HomeStartFlatIrrigationPerHour,0)*Crops[[#This Row],[Days in Cells]]/DaysBetweenStartIrrigation</f>
        <v>0</v>
      </c>
      <c r="CG118" s="173">
        <f>0.5/16*MAX(Crops[[#This Row],[Tray 1 Count]],Crops[[#This Row],[Tray 2 Count]],Crops[[#This Row],[Tray 3 Count]])</f>
        <v>0</v>
      </c>
      <c r="CH118" s="173">
        <f>IF(Crops[[#This Row],[Days in Cells]]&gt;0,IF(IF(Crops[[#This Row],[Tray 3 Size]]&gt;0,Crops[[#This Row],[Tray 3 Size]],IF(Crops[[#This Row],[Tray 2 Size]]&gt;0,Crops[[#This Row],[Tray 2 Size]],Crops[[#This Row],[Tray 1 Size]]))&lt;=18,LargeTransplantTime,SmallTransplantTime)*Crops[[#This Row],[Plantings Per Bed]],0)</f>
        <v>0</v>
      </c>
      <c r="CI118" s="173"/>
      <c r="CJ118" s="173">
        <f>_xlfn.XLOOKUP(Crops[[#This Row],[Trellis Type]],TrellisMethods[Trellis Type],TrellisMethods[Hours],0,0)</f>
        <v>0</v>
      </c>
      <c r="CK118">
        <f>IF(Crops[[#This Row],[Days in Cells]]&lt;=0,Crops[[#This Row],[Rows]]*1/10,0)*BedLength/50</f>
        <v>0.5</v>
      </c>
      <c r="CL118" cm="1">
        <f t="array" ref="CL118">_xlfn.SWITCH(Crops[[#This Row],[Irrigation]],"DR", 0.5, "OH", 0.25,0)*BedLength/50</f>
        <v>0</v>
      </c>
      <c r="CM118">
        <f>IF(OR(ISBLANK(Crops[[#This Row],[Row Cover]]),Crops[[#This Row],[Row Cover]]="None"),0,1)*BedLength/50</f>
        <v>0</v>
      </c>
      <c r="CN118" s="173">
        <f>HoursPerWeedingPass*Crops[[#This Row],[Days In Field]]/14*Crops[[#This Row],[Rows]]+1*BedLength/50</f>
        <v>6.2380952380952381</v>
      </c>
      <c r="CO118" s="49"/>
      <c r="CQ118" s="37">
        <f>_xlfn.XLOOKUP(Crops[[#This Row],[Crop]]&amp;Crops[[#This Row],[Product]]&amp;Crops[[#This Row],[Unit]],Products[ID],Products[Marketing (hr)])*Crops[[#This Row],[Direct Revenue Per Bed]]/2000</f>
        <v>0.8</v>
      </c>
      <c r="CR118" s="37">
        <f>_xlfn.XLOOKUP(Crops[[#This Row],[Crop]]&amp;Crops[[#This Row],[Product]]&amp;Crops[[#This Row],[Unit]],Products[ID],Products[Harvest (s)])*Crops[[#This Row],[Custom Yield Per Bed]]/3600</f>
        <v>1.1111111111111112</v>
      </c>
      <c r="CS118" s="37">
        <f>_xlfn.XLOOKUP(Crops[[#This Row],[Crop]]&amp;Crops[[#This Row],[Product]]&amp;Crops[[#This Row],[Unit]],Products[ID],Products[Bunch (s)])*Crops[[#This Row],[Custom Yield Per Bed]]/3600</f>
        <v>1.1111111111111112</v>
      </c>
      <c r="CT118" s="37">
        <f>_xlfn.XLOOKUP(Crops[[#This Row],[Crop]]&amp;Crops[[#This Row],[Product]]&amp;Crops[[#This Row],[Unit]],Products[ID],Products[Haul (s)])*Crops[[#This Row],[Custom Yield Per Bed]]/3600</f>
        <v>0.20833333333333334</v>
      </c>
      <c r="CU118" s="37">
        <f>_xlfn.XLOOKUP(Crops[[#This Row],[Crop]]&amp;Crops[[#This Row],[Product]]&amp;Crops[[#This Row],[Unit]],Products[ID],Products[Wash (s)])*Crops[[#This Row],[Custom Yield Per Bed]]/3600</f>
        <v>0</v>
      </c>
      <c r="CV118" s="37">
        <f>_xlfn.XLOOKUP(Crops[[#This Row],[Crop]]&amp;Crops[[#This Row],[Product]]&amp;Crops[[#This Row],[Unit]],Products[ID],Products[Condition (s)])*Crops[[#This Row],[Custom Yield Per Bed]]/3600</f>
        <v>0</v>
      </c>
      <c r="CW118" s="37">
        <f>_xlfn.XLOOKUP(Crops[[#This Row],[Crop]]&amp;Crops[[#This Row],[Product]]&amp;Crops[[#This Row],[Unit]],Products[ID],Products[Trim (s)])*Crops[[#This Row],[Custom Yield Per Bed]]/3600</f>
        <v>0</v>
      </c>
      <c r="CX118" s="37">
        <f>_xlfn.XLOOKUP(Crops[[#This Row],[Crop]]&amp;Crops[[#This Row],[Product]]&amp;Crops[[#This Row],[Unit]],Products[ID],Products[Pack (s)])*Crops[[#This Row],[Custom Yield Per Bed]]/3600</f>
        <v>0.33333333333333331</v>
      </c>
      <c r="CY118" s="37">
        <f>_xlfn.XLOOKUP(Crops[[#This Row],[Crop]]&amp;Crops[[#This Row],[Product]]&amp;Crops[[#This Row],[Unit]],Products[ID],Products[Clean (s)])*Crops[[#This Row],[Custom Yield Per Bed]]/3600</f>
        <v>0</v>
      </c>
      <c r="CZ118" s="37">
        <f>_xlfn.XLOOKUP(Crops[[#This Row],[Crop]]&amp;Crops[[#This Row],[Product]]&amp;Crops[[#This Row],[Unit]],Products[ID],Products[Rehandle (s)])*Crops[[#This Row],[Custom Yield Per Bed]]/3600</f>
        <v>0</v>
      </c>
      <c r="DA118" s="37">
        <f>_xlfn.XLOOKUP(Crops[[#This Row],[Crop]]&amp;Crops[[#This Row],[Product]]&amp;Crops[[#This Row],[Unit]],Products[ID],Products[Market Transport (s)])*Crops[[#This Row],[Custom Yield Per Bed]]/3600</f>
        <v>0.52083333333333337</v>
      </c>
      <c r="DC118" s="37">
        <f>Crops[[#This Row],[Direct Revenue Per Bed2]]</f>
        <v>800</v>
      </c>
      <c r="DD118" s="173">
        <f>_xlfn.AGGREGATE(9,6,Crops[[#This Row],[Bed Prep]:[Remove Crop Residue]])</f>
        <v>12.322817460317461</v>
      </c>
      <c r="DE118" s="173">
        <f>_xlfn.AGGREGATE(9,6,Crops[[#This Row],[Bed Prep]:[Remove Crop Residue]])-0.75*Crops[[#This Row],[Market &amp; Sell]]</f>
        <v>11.722817460317462</v>
      </c>
      <c r="DF118" s="36">
        <f>Crops[[#This Row],[Direct Revenue Per Bed2]]/Crops[[#This Row],[Direct Time]]</f>
        <v>64.920218332877127</v>
      </c>
      <c r="DG118" s="36">
        <f>_xlfn.XLOOKUP(Crops[[#This Row],[ProductIndex]],Products[ID],Products[Packaging Cost])*(Crops[[#This Row],[Custom Yield Per Bed]]/_xlfn.XLOOKUP(Crops[[#This Row],[ProductIndex]],Products[ID],Products[Units Per Pack]))</f>
        <v>31.666666666666668</v>
      </c>
      <c r="DH118" s="36"/>
      <c r="DI118" s="36"/>
      <c r="DJ118" s="36"/>
      <c r="DK118" s="36"/>
      <c r="DL118" s="36"/>
      <c r="DM118" s="33">
        <f>IFERROR(Crops[[#This Row],[Custom Yield Per Bed]]*Crops[[#This Row],[Direct Price]],"")</f>
        <v>800</v>
      </c>
      <c r="DN118" s="36">
        <f>Crops[[#This Row],[Direct Time]]*LaborRate</f>
        <v>308.07043650793651</v>
      </c>
      <c r="DO118" s="36">
        <f>SUM(Crops[[#This Row],[Irrigation Cost]])</f>
        <v>0</v>
      </c>
      <c r="DP118" s="36">
        <f>Crops[[#This Row],[Direct Labor Cost]]+Crops[[#This Row],[Direct Non-Labor Cost]]</f>
        <v>308.07043650793651</v>
      </c>
      <c r="DQ118" s="36">
        <f>Crops[[#This Row],[Direct Revenue Per Bed2]]-Crops[[#This Row],[Direct Total Cost]]</f>
        <v>491.92956349206349</v>
      </c>
      <c r="DR118" s="36">
        <f>Crops[[#This Row],[Direct Profit]]*BedsPerAcre</f>
        <v>78708.730158730163</v>
      </c>
      <c r="DS118" s="36">
        <f>Crops[[#This Row],[Direct Profit]]*BedsPerAcre*GrowingDays/Crops[[#This Row],[Days In Field]]</f>
        <v>160995.12987012987</v>
      </c>
      <c r="DT118" s="36">
        <f>Crops[[#This Row],[Direct Profit]]/MIN(Crops[[#This Row],[Days In Field]],GrowingDays)</f>
        <v>5.5901086760461762</v>
      </c>
      <c r="DU118" s="33">
        <f>Crops[[#This Row],[Direct Time]] * BedsPerAcre</f>
        <v>1971.6507936507937</v>
      </c>
      <c r="DV118" s="36">
        <f>(Crops[[#This Row],[Direct Revenue Per Bed2]]-Crops[[#This Row],[Direct Non-Labor Cost]])/Crops[[#This Row],[Direct Time]]</f>
        <v>64.920218332877127</v>
      </c>
      <c r="DW118" s="33">
        <f>IFERROR(Crops[[#This Row],[Custom Yield Per Bed]]*Crops[[#This Row],[Rough Wholesale Price]],"")</f>
        <v>480</v>
      </c>
      <c r="DX118" s="36">
        <f>Crops[[#This Row],[Wholesale Time]]*LaborRate</f>
        <v>293.07043650793656</v>
      </c>
      <c r="DY118" s="36">
        <f>SUM(Crops[[#This Row],[Packaging Costs]:[Irrigation Cost]])</f>
        <v>31.666666666666668</v>
      </c>
      <c r="DZ118" s="36">
        <f>Crops[[#This Row],[Wholesale Labor Cost]]+Crops[[#This Row],[Wholesale Non-Labor Cost]]</f>
        <v>324.73710317460325</v>
      </c>
      <c r="EA118" s="36">
        <f>Crops[[#This Row],[Wholesale Revenue Per Bed]]-Crops[[#This Row],[Wholesale Total Cost]]</f>
        <v>155.26289682539675</v>
      </c>
      <c r="EB118" s="36">
        <f>Crops[[#This Row],[Wholesale Profit]]*BedsPerAcre</f>
        <v>24842.06349206348</v>
      </c>
      <c r="EC118" s="36">
        <f>Crops[[#This Row],[Wholesale Profit]]*BedsPerAcre*GrowingDays/Crops[[#This Row],[Days In Field]]</f>
        <v>50813.31168831166</v>
      </c>
      <c r="ED118" s="33">
        <f>Crops[[#This Row],[Wholesale Time]] * BedsPerAcre</f>
        <v>1875.6507936507937</v>
      </c>
      <c r="EE118" s="221">
        <f>Crops[[#This Row],[Wholesale Profit]]/MIN(Crops[[#This Row],[Days In Field]],GrowingDays)</f>
        <v>1.7643511002885994</v>
      </c>
      <c r="EF118" s="36">
        <f>(Crops[[#This Row],[Wholesale Revenue Per Bed]]-Crops[[#This Row],[Wholesale Non-Labor Cost]])/Crops[[#This Row],[Direct Time]]</f>
        <v>36.382372357383218</v>
      </c>
      <c r="EG118" s="174">
        <f>Crops[[#This Row],[Packaging Costs]]/Crops[[#This Row],[Wholesale Revenue Per Bed]]</f>
        <v>6.5972222222222224E-2</v>
      </c>
      <c r="EH118" s="36" t="str">
        <f>Crops[[#This Row],[Crop]]&amp;Crops[[#This Row],[Product]]&amp;Crops[[#This Row],[Unit]]</f>
        <v>DillMature LeafBunch</v>
      </c>
      <c r="EI118" s="36" t="b">
        <f>_xlfn.XLOOKUP(Crops[[#This Row],[ProductIndex]],Products[ID],Products[Target])</f>
        <v>1</v>
      </c>
      <c r="EJ118" s="36">
        <f>Crops[[#This Row],[Custom Yield Per Bed]]</f>
        <v>400</v>
      </c>
      <c r="EK118" s="210">
        <f>Crops[[#This Row],[Units Per Harvest]]/Crops[[#This Row],[Days Between Harvest]]*7</f>
        <v>140</v>
      </c>
      <c r="EL118" s="210">
        <f>Crops[[#This Row],[Custom Yield Per Bed]]/_xlfn.XLOOKUP(Crops[[#This Row],[ProductIndex]],Products[ID],Products[CSA Portion])</f>
        <v>400</v>
      </c>
      <c r="EM118" s="210">
        <f>Crops[[#This Row],[Units Per Harvest]]/Crops[[#This Row],[Days Between Harvest]]*7/_xlfn.XLOOKUP(Crops[[#This Row],[ProductIndex]],Products[ID],Products[CSA Portion])</f>
        <v>140</v>
      </c>
      <c r="EN118" s="210">
        <f>Crops[[#This Row],[CSA Portions Per Week]]/CSAMembers</f>
        <v>2.8</v>
      </c>
      <c r="EO118" s="210"/>
      <c r="EP118" s="210"/>
      <c r="EQ118" s="210"/>
      <c r="ER118" s="210">
        <f>Crops[[#This Row],[Harvests]]*Crops[[#This Row],[Days Between Harvest]]/7</f>
        <v>2.8571428571428572</v>
      </c>
      <c r="ES118" s="217">
        <f>_xlfn.XLOOKUP(Crops[[#This Row],[ProductIndex]],Products[ID],Products[CSA Need])</f>
        <v>5</v>
      </c>
      <c r="ET118" s="217">
        <f>_xlfn.XLOOKUP(Crops[[#This Row],[ProductIndex]],Products[ID],Products[CSA Times])</f>
        <v>5</v>
      </c>
      <c r="EU118" s="208">
        <f>Crops[[#This Row],[Custom Yield Per Bed]]/(Crops[[#This Row],[CSA Need]]*(_xlfn.XLOOKUP(Crops[[#This Row],[ProductIndex]],Products[ID],Products[CSA Portion])*CSAMembers))</f>
        <v>1.6</v>
      </c>
      <c r="EV118" s="208">
        <f>_xlfn.XLOOKUP(Crops[[#This Row],[ProductIndex]],Products[ID],Products[CSA Portion])*CSAMembers*Crops[[#This Row],[CSA Need]]/Crops[[#This Row],[Custom Yield Per Bed]]</f>
        <v>0.625</v>
      </c>
      <c r="EW118" s="208">
        <f>IFERROR(Crops[[#This Row],[Days In Field]]*Crops[[#This Row],[CSA Beds]],"")</f>
        <v>55</v>
      </c>
      <c r="EX118" s="208" t="e">
        <f>Crops[[#This Row],[CSA Bed Days]]*#REF!</f>
        <v>#REF!</v>
      </c>
      <c r="EY118" t="s">
        <v>413</v>
      </c>
    </row>
    <row r="119" spans="1:155">
      <c r="A119"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Dill - Mature Leaf 4X | Field TP Sp</v>
      </c>
      <c r="B119" s="180"/>
      <c r="C119" s="1" t="b">
        <v>1</v>
      </c>
      <c r="D119" s="1"/>
      <c r="E119" s="1" t="b">
        <v>0</v>
      </c>
      <c r="F119" s="1" t="b">
        <f>IFERROR(IF(ISNUMBER(MATCH(Crops[[#This Row],[Identifier]],BedPlan[Crop], 0)), TRUE, FALSE), FALSE)</f>
        <v>1</v>
      </c>
      <c r="G119" s="1" t="b">
        <f>IFERROR(IF(ISNUMBER(MATCH(Crops[[#This Row],[Identifier]],BedPlan[Crop], 0)), TRUE, FALSE), FALSE)</f>
        <v>1</v>
      </c>
      <c r="H119" s="1"/>
      <c r="I119" t="s">
        <v>75</v>
      </c>
      <c r="J119" t="s">
        <v>145</v>
      </c>
      <c r="K119" t="s">
        <v>179</v>
      </c>
      <c r="M119" t="s">
        <v>442</v>
      </c>
      <c r="N119" t="str">
        <f>Crops[[#This Row],[Crop]]</f>
        <v>Dill</v>
      </c>
      <c r="O119" t="s">
        <v>210</v>
      </c>
      <c r="P119" t="str">
        <f>IF(OR(Crops[[#This Row],[Days in Cells]]="",Crops[[#This Row],[Days in Cells]]=0), "DS","TP")</f>
        <v>TP</v>
      </c>
      <c r="Q119" t="b">
        <v>1</v>
      </c>
      <c r="V119" t="str">
        <f xml:space="preserve"> IF(Crops[[#This Row],[Sp]], "Sp", "") &amp; IF(Crops[[#This Row],[Su]], "Su", "") &amp; IF(Crops[[#This Row],[Fa]], "Fa", "") &amp; IF(Crops[[#This Row],[Wi]], "Wi", "") &amp; IF(Crops[[#This Row],[OW]], "Ow","")</f>
        <v>Sp</v>
      </c>
      <c r="W119" t="s">
        <v>144</v>
      </c>
      <c r="X119">
        <v>4</v>
      </c>
      <c r="Y119">
        <v>3</v>
      </c>
      <c r="AA119" t="s">
        <v>474</v>
      </c>
      <c r="AB119" t="b">
        <v>1</v>
      </c>
      <c r="AC119">
        <v>4</v>
      </c>
      <c r="AD119" s="32">
        <f>IFERROR(12/Crops[[#This Row],[Spacing]]*Crops[[#This Row],[Rows]]*BedLength,"")</f>
        <v>800</v>
      </c>
      <c r="AE119">
        <v>4</v>
      </c>
      <c r="AG119">
        <v>1.1000000000000001</v>
      </c>
      <c r="AH119">
        <f>1</f>
        <v>1</v>
      </c>
      <c r="AI119" s="33">
        <f>IFERROR(Crops[[#This Row],[Plantings Per Bed]]*Crops[[#This Row],[Seeds Per Planting]]*Crops[[#This Row],[Safety Factor]]*Crops[[#This Row],[Seeding Factor]],"")</f>
        <v>3520.0000000000005</v>
      </c>
      <c r="AL119">
        <f>_xlfn.FLOOR.MATH(IFERROR(AVERAGE(Crops[[#This Row],[DTG Lower]:[DTG Upper]]),0))</f>
        <v>0</v>
      </c>
      <c r="AM119">
        <f>SUM(Crops[[#This Row],[Tray 1 Days]],Crops[[#This Row],[Tray 2 Days]],Crops[[#This Row],[Tray 3 Days]])</f>
        <v>26</v>
      </c>
      <c r="AN119" s="32">
        <f>3.5*7</f>
        <v>24.5</v>
      </c>
      <c r="AP119">
        <v>60</v>
      </c>
      <c r="AQ119">
        <f>IFERROR(_xlfn.FLOOR.MATH(AVERAGE(Crops[[#This Row],[DTM Lower]:[DTM Upper]])),"")</f>
        <v>60</v>
      </c>
      <c r="AR119" cm="1">
        <f t="array" ref="AR119">_xlfn.SWITCH(Crops[[#This Row],[Normal Method]],"DS",Crops[[#This Row],[Days to Germination]]+Crops[[#This Row],[DTM]] + IF(Crops[[#This Row],[Days in Cells]]&gt;0,15,0), "TP",Crops[[#This Row],[DTM]]+Crops[[#This Row],[Days in Cells]] + IF(Crops[[#This Row],[Days in Cells]]&lt;=0,20,0), "X", Crops[[#This Row],[DTM]])</f>
        <v>86</v>
      </c>
      <c r="AS119" t="s">
        <v>346</v>
      </c>
      <c r="AT119">
        <f>(Crops[[#This Row],[Harvests]]-1)*Crops[[#This Row],[Days Between Harvest]]+7</f>
        <v>17</v>
      </c>
      <c r="AU119">
        <f>Crops[[#This Row],[STH]]-Crops[[#This Row],[Days in Cells]]+Crops[[#This Row],[Harvest window]]</f>
        <v>77</v>
      </c>
      <c r="AX119">
        <v>128</v>
      </c>
      <c r="AY119">
        <v>26</v>
      </c>
      <c r="AZ119" s="49">
        <f>IFERROR(IF(Crops[[#This Row],[Tray 1 Days]]=0,"",Crops[[#This Row],[Plantings Per Bed]]/Crops[[#This Row],[Tray 1 Size]]*Crops[[#This Row],[Safety Factor]]),"")</f>
        <v>6.8750000000000009</v>
      </c>
      <c r="BC119" t="str">
        <f>IFERROR(IF(Crops[[#This Row],[Tray 2 Days]]=0,"",Crops[[#This Row],[Plantings Per Bed]]/Crops[[#This Row],[Tray 2 Size]]*Crops[[#This Row],[Safety Factor]]),"")</f>
        <v/>
      </c>
      <c r="BE119" s="32" t="str">
        <f>IF(NOT(ISBLANK(Crops[[#This Row],[Tray 3 Size]])), Crops[[#This Row],[Days in Cells Old]]-SUM(Crops[[#This Row],[Tray 1 Days]],Crops[[#This Row],[Tray 2 Days]]), "")</f>
        <v/>
      </c>
      <c r="BF119" s="49" t="str">
        <f>IFERROR(IF(Crops[[#This Row],[Tray 3 Days]]=0,"",Crops[[#This Row],[Plantings Per Bed]]/Crops[[#This Row],[Tray 3 Size]]*Crops[[#This Row],[Safety Factor]]),"")</f>
        <v/>
      </c>
      <c r="BG119" s="33">
        <f>Crops[[#This Row],[Plantings Per Bed]]/2.5</f>
        <v>320</v>
      </c>
      <c r="BH119" s="33">
        <v>2</v>
      </c>
      <c r="BI119" s="33">
        <v>10</v>
      </c>
      <c r="BJ119" s="33">
        <f>_xlfn.XLOOKUP(Crops[[#This Row],[ProductIndex]],Products[ID],Products[Holding Period])</f>
        <v>0</v>
      </c>
      <c r="BK119" s="33"/>
      <c r="BL119" s="33">
        <f>Crops[[#This Row],[Units Per Harvest]]*Crops[[#This Row],[Harvests]]</f>
        <v>640</v>
      </c>
      <c r="BM119" s="35">
        <v>2</v>
      </c>
      <c r="BN119" s="35">
        <f>Crops[[#This Row],[Direct Price]]*0.6</f>
        <v>1.2</v>
      </c>
      <c r="BO119" s="35"/>
      <c r="BP119" t="s">
        <v>215</v>
      </c>
      <c r="BQ119">
        <f>Crops[[#This Row],[Custom Yield Per Bed]]*Crops[[#This Row],[Direct Price]]</f>
        <v>1280</v>
      </c>
      <c r="BR119" t="b">
        <v>1</v>
      </c>
      <c r="BS119" t="b">
        <f>Crops[[#This Row],[Harvests]]&gt;1</f>
        <v>1</v>
      </c>
      <c r="BT119" s="36">
        <f>IFERROR(Crops[[#This Row],[Direct Revenue Per Bed]]/Crops[[#This Row],[Days In Field]],-1)</f>
        <v>16.623376623376622</v>
      </c>
      <c r="BU119" s="36">
        <f>IFERROR(Crops[[#This Row],[Direct Revenue Per Bed Day]]*GrowingDays*BedsPerAcre,"")</f>
        <v>478753.2467532467</v>
      </c>
      <c r="BV119" s="38">
        <f>LastFrostDate-5*Crops[[#This Row],[Sewing Rel Last Frost]]</f>
        <v>45728</v>
      </c>
      <c r="BW119" s="38">
        <f>Crops[[#This Row],[Target Sewing Date]]+Crops[[#This Row],[Days in Cells]]</f>
        <v>45754</v>
      </c>
      <c r="BX119" s="38">
        <f>Crops[[#This Row],[Target Sewing Date]]+Crops[[#This Row],[STH]]</f>
        <v>45814</v>
      </c>
      <c r="BY119" s="38">
        <f>Crops[[#This Row],[Target Harvest Data]]+Crops[[#This Row],[Harvest window]]</f>
        <v>45831</v>
      </c>
      <c r="BZ119">
        <v>4</v>
      </c>
      <c r="CB119">
        <f>1</f>
        <v>1</v>
      </c>
      <c r="CC119">
        <f>IF(Crops[[#This Row],[Transplanting]]&gt;0, 2, 3)*BedLength/StandardBedLength</f>
        <v>1</v>
      </c>
      <c r="CD119" s="173">
        <f>IF(Crops[[#This Row],[Days in Cells]]&lt;=0,0,Crops[[#This Row],[Plantings Per Bed]]/StartsPerHourSeeding+Crops[[#This Row],[Tray 1 Count]]*5/60)</f>
        <v>3.697916666666667</v>
      </c>
      <c r="CE119" s="173">
        <f>IF(ISBLANK(Crops[[#This Row],[Tray 2 Days]]),0,Crops[[#This Row],[Plantings Per Bed]]/UpPottingPerHour)+IF(Crops[[#This Row],[Tray 3 Days]]="",0,Crops[[#This Row],[Plantings Per Bed]]/UpPottingPerHour)</f>
        <v>0</v>
      </c>
      <c r="CF119" s="173">
        <f>IFERROR(Crops[[#This Row],[Tray 1 Count]]/HomeStartFlatIrrigationPerHour,0)*Crops[[#This Row],[Days in Cells]]/DaysBetweenStartIrrigation</f>
        <v>0.74479166666666674</v>
      </c>
      <c r="CG119" s="173">
        <f>0.5/16*MAX(Crops[[#This Row],[Tray 1 Count]],Crops[[#This Row],[Tray 2 Count]],Crops[[#This Row],[Tray 3 Count]])</f>
        <v>0.21484375000000003</v>
      </c>
      <c r="CH119" s="173">
        <f>IF(Crops[[#This Row],[Days in Cells]]&gt;0,IF(IF(Crops[[#This Row],[Tray 3 Size]]&gt;0,Crops[[#This Row],[Tray 3 Size]],IF(Crops[[#This Row],[Tray 2 Size]]&gt;0,Crops[[#This Row],[Tray 2 Size]],Crops[[#This Row],[Tray 1 Size]]))&lt;=18,LargeTransplantTime,SmallTransplantTime)*Crops[[#This Row],[Plantings Per Bed]],0)</f>
        <v>4</v>
      </c>
      <c r="CI119" s="173"/>
      <c r="CJ119" s="173">
        <f>_xlfn.XLOOKUP(Crops[[#This Row],[Trellis Type]],TrellisMethods[Trellis Type],TrellisMethods[Hours],0,0)</f>
        <v>0</v>
      </c>
      <c r="CK119">
        <f>IF(Crops[[#This Row],[Days in Cells]]&lt;=0,Crops[[#This Row],[Rows]]*1/10,0)*BedLength/50</f>
        <v>0</v>
      </c>
      <c r="CL119" cm="1">
        <f t="array" ref="CL119">_xlfn.SWITCH(Crops[[#This Row],[Irrigation]],"DR", 0.5, "OH", 0.25,0)*BedLength/50</f>
        <v>0</v>
      </c>
      <c r="CM119">
        <f>IF(OR(ISBLANK(Crops[[#This Row],[Row Cover]]),Crops[[#This Row],[Row Cover]]="None"),0,1)*BedLength/50</f>
        <v>0</v>
      </c>
      <c r="CN119" s="173">
        <f>HoursPerWeedingPass*Crops[[#This Row],[Days In Field]]/14*Crops[[#This Row],[Rows]]+1*BedLength/50</f>
        <v>4.6666666666666661</v>
      </c>
      <c r="CO119" s="49"/>
      <c r="CQ119" s="37">
        <f>_xlfn.XLOOKUP(Crops[[#This Row],[Crop]]&amp;Crops[[#This Row],[Product]]&amp;Crops[[#This Row],[Unit]],Products[ID],Products[Marketing (hr)])*Crops[[#This Row],[Direct Revenue Per Bed]]/2000</f>
        <v>1.28</v>
      </c>
      <c r="CR119" s="37">
        <f>_xlfn.XLOOKUP(Crops[[#This Row],[Crop]]&amp;Crops[[#This Row],[Product]]&amp;Crops[[#This Row],[Unit]],Products[ID],Products[Harvest (s)])*Crops[[#This Row],[Custom Yield Per Bed]]/3600</f>
        <v>1.7777777777777777</v>
      </c>
      <c r="CS119" s="37">
        <f>_xlfn.XLOOKUP(Crops[[#This Row],[Crop]]&amp;Crops[[#This Row],[Product]]&amp;Crops[[#This Row],[Unit]],Products[ID],Products[Bunch (s)])*Crops[[#This Row],[Custom Yield Per Bed]]/3600</f>
        <v>1.7777777777777777</v>
      </c>
      <c r="CT119" s="37">
        <f>_xlfn.XLOOKUP(Crops[[#This Row],[Crop]]&amp;Crops[[#This Row],[Product]]&amp;Crops[[#This Row],[Unit]],Products[ID],Products[Haul (s)])*Crops[[#This Row],[Custom Yield Per Bed]]/3600</f>
        <v>0.33333333333333331</v>
      </c>
      <c r="CU119" s="37">
        <f>_xlfn.XLOOKUP(Crops[[#This Row],[Crop]]&amp;Crops[[#This Row],[Product]]&amp;Crops[[#This Row],[Unit]],Products[ID],Products[Wash (s)])*Crops[[#This Row],[Custom Yield Per Bed]]/3600</f>
        <v>0</v>
      </c>
      <c r="CV119" s="37">
        <f>_xlfn.XLOOKUP(Crops[[#This Row],[Crop]]&amp;Crops[[#This Row],[Product]]&amp;Crops[[#This Row],[Unit]],Products[ID],Products[Condition (s)])*Crops[[#This Row],[Custom Yield Per Bed]]/3600</f>
        <v>0</v>
      </c>
      <c r="CW119" s="37">
        <f>_xlfn.XLOOKUP(Crops[[#This Row],[Crop]]&amp;Crops[[#This Row],[Product]]&amp;Crops[[#This Row],[Unit]],Products[ID],Products[Trim (s)])*Crops[[#This Row],[Custom Yield Per Bed]]/3600</f>
        <v>0</v>
      </c>
      <c r="CX119" s="37">
        <f>_xlfn.XLOOKUP(Crops[[#This Row],[Crop]]&amp;Crops[[#This Row],[Product]]&amp;Crops[[#This Row],[Unit]],Products[ID],Products[Pack (s)])*Crops[[#This Row],[Custom Yield Per Bed]]/3600</f>
        <v>0.53333333333333333</v>
      </c>
      <c r="CY119" s="37">
        <f>_xlfn.XLOOKUP(Crops[[#This Row],[Crop]]&amp;Crops[[#This Row],[Product]]&amp;Crops[[#This Row],[Unit]],Products[ID],Products[Clean (s)])*Crops[[#This Row],[Custom Yield Per Bed]]/3600</f>
        <v>0</v>
      </c>
      <c r="CZ119" s="37">
        <f>_xlfn.XLOOKUP(Crops[[#This Row],[Crop]]&amp;Crops[[#This Row],[Product]]&amp;Crops[[#This Row],[Unit]],Products[ID],Products[Rehandle (s)])*Crops[[#This Row],[Custom Yield Per Bed]]/3600</f>
        <v>0</v>
      </c>
      <c r="DA119" s="37">
        <f>_xlfn.XLOOKUP(Crops[[#This Row],[Crop]]&amp;Crops[[#This Row],[Product]]&amp;Crops[[#This Row],[Unit]],Products[ID],Products[Market Transport (s)])*Crops[[#This Row],[Custom Yield Per Bed]]/3600</f>
        <v>0.83333333333333337</v>
      </c>
      <c r="DC119" s="37">
        <f>Crops[[#This Row],[Direct Revenue Per Bed2]]</f>
        <v>1280</v>
      </c>
      <c r="DD119" s="173">
        <f>_xlfn.AGGREGATE(9,6,Crops[[#This Row],[Bed Prep]:[Remove Crop Residue]])</f>
        <v>20.859774305555554</v>
      </c>
      <c r="DE119" s="173">
        <f>_xlfn.AGGREGATE(9,6,Crops[[#This Row],[Bed Prep]:[Remove Crop Residue]])-0.75*Crops[[#This Row],[Market &amp; Sell]]</f>
        <v>19.899774305555553</v>
      </c>
      <c r="DF119" s="36">
        <f>Crops[[#This Row],[Direct Revenue Per Bed2]]/Crops[[#This Row],[Direct Time]]</f>
        <v>61.362121241124811</v>
      </c>
      <c r="DG119" s="36">
        <f>_xlfn.XLOOKUP(Crops[[#This Row],[ProductIndex]],Products[ID],Products[Packaging Cost])*(Crops[[#This Row],[Custom Yield Per Bed]]/_xlfn.XLOOKUP(Crops[[#This Row],[ProductIndex]],Products[ID],Products[Units Per Pack]))</f>
        <v>50.666666666666664</v>
      </c>
      <c r="DH119" s="36"/>
      <c r="DI119" s="36"/>
      <c r="DJ119" s="36"/>
      <c r="DK119" s="36"/>
      <c r="DL119" s="36"/>
      <c r="DM119" s="33">
        <f>IFERROR(Crops[[#This Row],[Custom Yield Per Bed]]*Crops[[#This Row],[Direct Price]],"")</f>
        <v>1280</v>
      </c>
      <c r="DN119" s="36">
        <f>Crops[[#This Row],[Direct Time]]*LaborRate</f>
        <v>521.4943576388888</v>
      </c>
      <c r="DO119" s="36">
        <f>SUM(Crops[[#This Row],[Irrigation Cost]])</f>
        <v>0</v>
      </c>
      <c r="DP119" s="36">
        <f>Crops[[#This Row],[Direct Labor Cost]]+Crops[[#This Row],[Direct Non-Labor Cost]]</f>
        <v>521.4943576388888</v>
      </c>
      <c r="DQ119" s="36">
        <f>Crops[[#This Row],[Direct Revenue Per Bed2]]-Crops[[#This Row],[Direct Total Cost]]</f>
        <v>758.5056423611112</v>
      </c>
      <c r="DR119" s="36">
        <f>Crops[[#This Row],[Direct Profit]]*BedsPerAcre</f>
        <v>121360.9027777778</v>
      </c>
      <c r="DS119" s="36">
        <f>Crops[[#This Row],[Direct Profit]]*BedsPerAcre*GrowingDays/Crops[[#This Row],[Days In Field]]</f>
        <v>283700.81168831175</v>
      </c>
      <c r="DT119" s="36">
        <f>Crops[[#This Row],[Direct Profit]]/MIN(Crops[[#This Row],[Days In Field]],GrowingDays)</f>
        <v>9.8507226280663787</v>
      </c>
      <c r="DU119" s="33">
        <f>Crops[[#This Row],[Direct Time]] * BedsPerAcre</f>
        <v>3337.5638888888889</v>
      </c>
      <c r="DV119" s="36">
        <f>(Crops[[#This Row],[Direct Revenue Per Bed2]]-Crops[[#This Row],[Direct Non-Labor Cost]])/Crops[[#This Row],[Direct Time]]</f>
        <v>61.362121241124811</v>
      </c>
      <c r="DW119" s="33">
        <f>IFERROR(Crops[[#This Row],[Custom Yield Per Bed]]*Crops[[#This Row],[Rough Wholesale Price]],"")</f>
        <v>768</v>
      </c>
      <c r="DX119" s="36">
        <f>Crops[[#This Row],[Wholesale Time]]*LaborRate</f>
        <v>497.4943576388888</v>
      </c>
      <c r="DY119" s="36">
        <f>SUM(Crops[[#This Row],[Packaging Costs]:[Irrigation Cost]])</f>
        <v>50.666666666666664</v>
      </c>
      <c r="DZ119" s="36">
        <f>Crops[[#This Row],[Wholesale Labor Cost]]+Crops[[#This Row],[Wholesale Non-Labor Cost]]</f>
        <v>548.16102430555543</v>
      </c>
      <c r="EA119" s="36">
        <f>Crops[[#This Row],[Wholesale Revenue Per Bed]]-Crops[[#This Row],[Wholesale Total Cost]]</f>
        <v>219.83897569444457</v>
      </c>
      <c r="EB119" s="36">
        <f>Crops[[#This Row],[Wholesale Profit]]*BedsPerAcre</f>
        <v>35174.236111111131</v>
      </c>
      <c r="EC119" s="36">
        <f>Crops[[#This Row],[Wholesale Profit]]*BedsPerAcre*GrowingDays/Crops[[#This Row],[Days In Field]]</f>
        <v>82225.487012987054</v>
      </c>
      <c r="ED119" s="33">
        <f>Crops[[#This Row],[Wholesale Time]] * BedsPerAcre</f>
        <v>3183.9638888888885</v>
      </c>
      <c r="EE119" s="221">
        <f>Crops[[#This Row],[Wholesale Profit]]/MIN(Crops[[#This Row],[Days In Field]],GrowingDays)</f>
        <v>2.8550516323953841</v>
      </c>
      <c r="EF119" s="36">
        <f>(Crops[[#This Row],[Wholesale Revenue Per Bed]]-Crops[[#This Row],[Wholesale Non-Labor Cost]])/Crops[[#This Row],[Direct Time]]</f>
        <v>34.388355445547028</v>
      </c>
      <c r="EG119" s="174">
        <f>Crops[[#This Row],[Packaging Costs]]/Crops[[#This Row],[Wholesale Revenue Per Bed]]</f>
        <v>6.5972222222222224E-2</v>
      </c>
      <c r="EH119" s="36" t="str">
        <f>Crops[[#This Row],[Crop]]&amp;Crops[[#This Row],[Product]]&amp;Crops[[#This Row],[Unit]]</f>
        <v>DillMature LeafBunch</v>
      </c>
      <c r="EI119" s="36" t="b">
        <f>_xlfn.XLOOKUP(Crops[[#This Row],[ProductIndex]],Products[ID],Products[Target])</f>
        <v>1</v>
      </c>
      <c r="EJ119" s="33">
        <f>Crops[[#This Row],[Custom Yield Per Bed]]</f>
        <v>640</v>
      </c>
      <c r="EK119" s="210">
        <f>Crops[[#This Row],[Units Per Harvest]]/Crops[[#This Row],[Days Between Harvest]]*7</f>
        <v>224</v>
      </c>
      <c r="EL119" s="210">
        <f>Crops[[#This Row],[Custom Yield Per Bed]]/_xlfn.XLOOKUP(Crops[[#This Row],[ProductIndex]],Products[ID],Products[CSA Portion])</f>
        <v>640</v>
      </c>
      <c r="EM119" s="210">
        <f>Crops[[#This Row],[Units Per Harvest]]/Crops[[#This Row],[Days Between Harvest]]*7/_xlfn.XLOOKUP(Crops[[#This Row],[ProductIndex]],Products[ID],Products[CSA Portion])</f>
        <v>224</v>
      </c>
      <c r="EN119" s="210">
        <f>Crops[[#This Row],[CSA Portions Per Week]]/CSAMembers</f>
        <v>4.4800000000000004</v>
      </c>
      <c r="EO119" s="216">
        <v>0.5</v>
      </c>
      <c r="EP119" s="216">
        <v>3</v>
      </c>
      <c r="EQ119" s="210"/>
      <c r="ER119" s="210">
        <f>Crops[[#This Row],[Harvests]]*Crops[[#This Row],[Days Between Harvest]]/7</f>
        <v>2.8571428571428572</v>
      </c>
      <c r="ES119" s="217">
        <f>_xlfn.XLOOKUP(Crops[[#This Row],[ProductIndex]],Products[ID],Products[CSA Need])</f>
        <v>5</v>
      </c>
      <c r="ET119" s="217">
        <f>_xlfn.XLOOKUP(Crops[[#This Row],[ProductIndex]],Products[ID],Products[CSA Times])</f>
        <v>5</v>
      </c>
      <c r="EU119" s="208">
        <f>Crops[[#This Row],[Custom Yield Per Bed]]/(Crops[[#This Row],[CSA Need]]*(_xlfn.XLOOKUP(Crops[[#This Row],[ProductIndex]],Products[ID],Products[CSA Portion])*CSAMembers))</f>
        <v>2.56</v>
      </c>
      <c r="EV119" s="208">
        <f>_xlfn.XLOOKUP(Crops[[#This Row],[ProductIndex]],Products[ID],Products[CSA Portion])*CSAMembers*Crops[[#This Row],[CSA Need]]/Crops[[#This Row],[Custom Yield Per Bed]]</f>
        <v>0.390625</v>
      </c>
      <c r="EW119" s="208">
        <f>IFERROR(Crops[[#This Row],[Days In Field]]*Crops[[#This Row],[CSA Beds]],"")</f>
        <v>30.078125</v>
      </c>
      <c r="EX119" s="208" t="e">
        <f>Crops[[#This Row],[CSA Bed Days]]*#REF!</f>
        <v>#REF!</v>
      </c>
      <c r="EY119" t="s">
        <v>413</v>
      </c>
    </row>
    <row r="120" spans="1:155" ht="15" customHeight="1">
      <c r="A120"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Dill - Mature Leaf 4X | Field TP Su</v>
      </c>
      <c r="B120" s="180"/>
      <c r="C120" s="1" t="b">
        <v>1</v>
      </c>
      <c r="D120" s="1"/>
      <c r="E120" s="1" t="b">
        <v>0</v>
      </c>
      <c r="F120" s="1" t="b">
        <f>IFERROR(IF(ISNUMBER(MATCH(Crops[[#This Row],[Identifier]],BedPlan[Crop], 0)), TRUE, FALSE), FALSE)</f>
        <v>1</v>
      </c>
      <c r="G120" s="1" t="b">
        <f>IFERROR(IF(ISNUMBER(MATCH(Crops[[#This Row],[Identifier]],BedPlan[Crop], 0)), TRUE, FALSE), FALSE)</f>
        <v>1</v>
      </c>
      <c r="H120" s="1"/>
      <c r="I120" t="s">
        <v>75</v>
      </c>
      <c r="J120" t="s">
        <v>145</v>
      </c>
      <c r="K120" t="s">
        <v>179</v>
      </c>
      <c r="M120" t="s">
        <v>442</v>
      </c>
      <c r="N120" t="str">
        <f>Crops[[#This Row],[Crop]]</f>
        <v>Dill</v>
      </c>
      <c r="O120" t="s">
        <v>210</v>
      </c>
      <c r="P120" t="str">
        <f>IF(OR(Crops[[#This Row],[Days in Cells]]="",Crops[[#This Row],[Days in Cells]]=0), "DS","TP")</f>
        <v>TP</v>
      </c>
      <c r="R120" t="b">
        <v>1</v>
      </c>
      <c r="V120" t="str">
        <f xml:space="preserve"> IF(Crops[[#This Row],[Sp]], "Sp", "") &amp; IF(Crops[[#This Row],[Su]], "Su", "") &amp; IF(Crops[[#This Row],[Fa]], "Fa", "") &amp; IF(Crops[[#This Row],[Wi]], "Wi", "") &amp; IF(Crops[[#This Row],[OW]], "Ow","")</f>
        <v>Su</v>
      </c>
      <c r="W120" t="s">
        <v>144</v>
      </c>
      <c r="X120">
        <v>4</v>
      </c>
      <c r="Y120">
        <v>3</v>
      </c>
      <c r="AA120" t="s">
        <v>474</v>
      </c>
      <c r="AB120" t="b">
        <v>1</v>
      </c>
      <c r="AC120">
        <v>4</v>
      </c>
      <c r="AD120" s="32">
        <f>IFERROR(12/Crops[[#This Row],[Spacing]]*Crops[[#This Row],[Rows]]*BedLength,"")</f>
        <v>800</v>
      </c>
      <c r="AE120">
        <v>4</v>
      </c>
      <c r="AG120">
        <v>1.1000000000000001</v>
      </c>
      <c r="AH120">
        <f>1</f>
        <v>1</v>
      </c>
      <c r="AI120" s="33">
        <f>IFERROR(Crops[[#This Row],[Plantings Per Bed]]*Crops[[#This Row],[Seeds Per Planting]]*Crops[[#This Row],[Safety Factor]]*Crops[[#This Row],[Seeding Factor]],"")</f>
        <v>3520.0000000000005</v>
      </c>
      <c r="AL120">
        <f>_xlfn.FLOOR.MATH(IFERROR(AVERAGE(Crops[[#This Row],[DTG Lower]:[DTG Upper]]),0))</f>
        <v>0</v>
      </c>
      <c r="AM120">
        <f>SUM(Crops[[#This Row],[Tray 1 Days]],Crops[[#This Row],[Tray 2 Days]],Crops[[#This Row],[Tray 3 Days]])</f>
        <v>26</v>
      </c>
      <c r="AN120" s="32">
        <f>3.5*7</f>
        <v>24.5</v>
      </c>
      <c r="AP120">
        <v>50</v>
      </c>
      <c r="AQ120">
        <f>IFERROR(_xlfn.FLOOR.MATH(AVERAGE(Crops[[#This Row],[DTM Lower]:[DTM Upper]])),"")</f>
        <v>50</v>
      </c>
      <c r="AR120" cm="1">
        <f t="array" ref="AR120">_xlfn.SWITCH(Crops[[#This Row],[Normal Method]],"DS",Crops[[#This Row],[Days to Germination]]+Crops[[#This Row],[DTM]] + IF(Crops[[#This Row],[Days in Cells]]&gt;0,15,0), "TP",Crops[[#This Row],[DTM]]+Crops[[#This Row],[Days in Cells]] + IF(Crops[[#This Row],[Days in Cells]]&lt;=0,20,0), "X", Crops[[#This Row],[DTM]])</f>
        <v>76</v>
      </c>
      <c r="AS120" t="s">
        <v>346</v>
      </c>
      <c r="AT120">
        <f>(Crops[[#This Row],[Harvests]]-1)*Crops[[#This Row],[Days Between Harvest]]+7</f>
        <v>17</v>
      </c>
      <c r="AU120">
        <f>Crops[[#This Row],[STH]]-Crops[[#This Row],[Days in Cells]]+Crops[[#This Row],[Harvest window]]</f>
        <v>67</v>
      </c>
      <c r="AX120">
        <v>128</v>
      </c>
      <c r="AY120">
        <v>26</v>
      </c>
      <c r="AZ120" s="49">
        <f>IFERROR(IF(Crops[[#This Row],[Tray 1 Days]]=0,"",Crops[[#This Row],[Plantings Per Bed]]/Crops[[#This Row],[Tray 1 Size]]*Crops[[#This Row],[Safety Factor]]),"")</f>
        <v>6.8750000000000009</v>
      </c>
      <c r="BC120" t="str">
        <f>IFERROR(IF(Crops[[#This Row],[Tray 2 Days]]=0,"",Crops[[#This Row],[Plantings Per Bed]]/Crops[[#This Row],[Tray 2 Size]]*Crops[[#This Row],[Safety Factor]]),"")</f>
        <v/>
      </c>
      <c r="BE120" s="32" t="str">
        <f>IF(NOT(ISBLANK(Crops[[#This Row],[Tray 3 Size]])), Crops[[#This Row],[Days in Cells Old]]-SUM(Crops[[#This Row],[Tray 1 Days]],Crops[[#This Row],[Tray 2 Days]]), "")</f>
        <v/>
      </c>
      <c r="BF120" s="49" t="str">
        <f>IFERROR(IF(Crops[[#This Row],[Tray 3 Days]]=0,"",Crops[[#This Row],[Plantings Per Bed]]/Crops[[#This Row],[Tray 3 Size]]*Crops[[#This Row],[Safety Factor]]),"")</f>
        <v/>
      </c>
      <c r="BG120" s="33">
        <f>Crops[[#This Row],[Plantings Per Bed]]/2.5</f>
        <v>320</v>
      </c>
      <c r="BH120" s="33">
        <v>2</v>
      </c>
      <c r="BI120" s="33">
        <v>10</v>
      </c>
      <c r="BJ120" s="33">
        <f>_xlfn.XLOOKUP(Crops[[#This Row],[ProductIndex]],Products[ID],Products[Holding Period])</f>
        <v>0</v>
      </c>
      <c r="BK120" s="33"/>
      <c r="BL120" s="33">
        <f>Crops[[#This Row],[Units Per Harvest]]*Crops[[#This Row],[Harvests]]</f>
        <v>640</v>
      </c>
      <c r="BM120" s="35">
        <v>2</v>
      </c>
      <c r="BN120" s="35">
        <f>Crops[[#This Row],[Direct Price]]*0.6</f>
        <v>1.2</v>
      </c>
      <c r="BO120" s="35"/>
      <c r="BP120" t="s">
        <v>215</v>
      </c>
      <c r="BQ120">
        <f>Crops[[#This Row],[Custom Yield Per Bed]]*Crops[[#This Row],[Direct Price]]</f>
        <v>1280</v>
      </c>
      <c r="BR120" t="b">
        <v>1</v>
      </c>
      <c r="BS120" t="b">
        <f>Crops[[#This Row],[Harvests]]&gt;1</f>
        <v>1</v>
      </c>
      <c r="BT120" s="36">
        <f>IFERROR(Crops[[#This Row],[Direct Revenue Per Bed]]/Crops[[#This Row],[Days In Field]],-1)</f>
        <v>19.104477611940297</v>
      </c>
      <c r="BU120" s="36">
        <f>IFERROR(Crops[[#This Row],[Direct Revenue Per Bed Day]]*GrowingDays*BedsPerAcre,"")</f>
        <v>550208.95522388059</v>
      </c>
      <c r="BV120" s="38">
        <f>LastFrostDate-5*Crops[[#This Row],[Sewing Rel Last Frost]]</f>
        <v>45728</v>
      </c>
      <c r="BW120" s="38">
        <f>Crops[[#This Row],[Target Sewing Date]]+Crops[[#This Row],[Days in Cells]]</f>
        <v>45754</v>
      </c>
      <c r="BX120" s="38">
        <f>Crops[[#This Row],[Target Sewing Date]]+Crops[[#This Row],[STH]]</f>
        <v>45804</v>
      </c>
      <c r="BY120" s="38">
        <f>Crops[[#This Row],[Target Harvest Data]]+Crops[[#This Row],[Harvest window]]</f>
        <v>45821</v>
      </c>
      <c r="BZ120">
        <v>4</v>
      </c>
      <c r="CB120">
        <f>1</f>
        <v>1</v>
      </c>
      <c r="CC120">
        <f>IF(Crops[[#This Row],[Transplanting]]&gt;0, 2, 3)*BedLength/StandardBedLength</f>
        <v>1</v>
      </c>
      <c r="CD120" s="173">
        <f>IF(Crops[[#This Row],[Days in Cells]]&lt;=0,0,Crops[[#This Row],[Plantings Per Bed]]/StartsPerHourSeeding+Crops[[#This Row],[Tray 1 Count]]*5/60)</f>
        <v>3.697916666666667</v>
      </c>
      <c r="CE120" s="173">
        <f>IF(ISBLANK(Crops[[#This Row],[Tray 2 Days]]),0,Crops[[#This Row],[Plantings Per Bed]]/UpPottingPerHour)+IF(Crops[[#This Row],[Tray 3 Days]]="",0,Crops[[#This Row],[Plantings Per Bed]]/UpPottingPerHour)</f>
        <v>0</v>
      </c>
      <c r="CF120" s="173">
        <f>IFERROR(Crops[[#This Row],[Tray 1 Count]]/HomeStartFlatIrrigationPerHour,0)*Crops[[#This Row],[Days in Cells]]/DaysBetweenStartIrrigation</f>
        <v>0.74479166666666674</v>
      </c>
      <c r="CG120" s="173">
        <f>0.5/16*MAX(Crops[[#This Row],[Tray 1 Count]],Crops[[#This Row],[Tray 2 Count]],Crops[[#This Row],[Tray 3 Count]])</f>
        <v>0.21484375000000003</v>
      </c>
      <c r="CH120" s="173">
        <f>IF(Crops[[#This Row],[Days in Cells]]&gt;0,IF(IF(Crops[[#This Row],[Tray 3 Size]]&gt;0,Crops[[#This Row],[Tray 3 Size]],IF(Crops[[#This Row],[Tray 2 Size]]&gt;0,Crops[[#This Row],[Tray 2 Size]],Crops[[#This Row],[Tray 1 Size]]))&lt;=18,LargeTransplantTime,SmallTransplantTime)*Crops[[#This Row],[Plantings Per Bed]],0)</f>
        <v>4</v>
      </c>
      <c r="CI120" s="173"/>
      <c r="CJ120" s="173">
        <f>_xlfn.XLOOKUP(Crops[[#This Row],[Trellis Type]],TrellisMethods[Trellis Type],TrellisMethods[Hours],0,0)</f>
        <v>0</v>
      </c>
      <c r="CK120">
        <f>IF(Crops[[#This Row],[Days in Cells]]&lt;=0,Crops[[#This Row],[Rows]]*1/10,0)*BedLength/50</f>
        <v>0</v>
      </c>
      <c r="CL120" cm="1">
        <f t="array" ref="CL120">_xlfn.SWITCH(Crops[[#This Row],[Irrigation]],"DR", 0.5, "OH", 0.25,0)*BedLength/50</f>
        <v>0</v>
      </c>
      <c r="CM120">
        <f>IF(OR(ISBLANK(Crops[[#This Row],[Row Cover]]),Crops[[#This Row],[Row Cover]]="None"),0,1)*BedLength/50</f>
        <v>0</v>
      </c>
      <c r="CN120" s="173">
        <f>HoursPerWeedingPass*Crops[[#This Row],[Days In Field]]/14*Crops[[#This Row],[Rows]]+1*BedLength/50</f>
        <v>4.1904761904761898</v>
      </c>
      <c r="CO120" s="49"/>
      <c r="CQ120" s="37">
        <f>_xlfn.XLOOKUP(Crops[[#This Row],[Crop]]&amp;Crops[[#This Row],[Product]]&amp;Crops[[#This Row],[Unit]],Products[ID],Products[Marketing (hr)])*Crops[[#This Row],[Direct Revenue Per Bed]]/2000</f>
        <v>1.28</v>
      </c>
      <c r="CR120" s="37">
        <f>_xlfn.XLOOKUP(Crops[[#This Row],[Crop]]&amp;Crops[[#This Row],[Product]]&amp;Crops[[#This Row],[Unit]],Products[ID],Products[Harvest (s)])*Crops[[#This Row],[Custom Yield Per Bed]]/3600</f>
        <v>1.7777777777777777</v>
      </c>
      <c r="CS120" s="37">
        <f>_xlfn.XLOOKUP(Crops[[#This Row],[Crop]]&amp;Crops[[#This Row],[Product]]&amp;Crops[[#This Row],[Unit]],Products[ID],Products[Bunch (s)])*Crops[[#This Row],[Custom Yield Per Bed]]/3600</f>
        <v>1.7777777777777777</v>
      </c>
      <c r="CT120" s="37">
        <f>_xlfn.XLOOKUP(Crops[[#This Row],[Crop]]&amp;Crops[[#This Row],[Product]]&amp;Crops[[#This Row],[Unit]],Products[ID],Products[Haul (s)])*Crops[[#This Row],[Custom Yield Per Bed]]/3600</f>
        <v>0.33333333333333331</v>
      </c>
      <c r="CU120" s="37">
        <f>_xlfn.XLOOKUP(Crops[[#This Row],[Crop]]&amp;Crops[[#This Row],[Product]]&amp;Crops[[#This Row],[Unit]],Products[ID],Products[Wash (s)])*Crops[[#This Row],[Custom Yield Per Bed]]/3600</f>
        <v>0</v>
      </c>
      <c r="CV120" s="37">
        <f>_xlfn.XLOOKUP(Crops[[#This Row],[Crop]]&amp;Crops[[#This Row],[Product]]&amp;Crops[[#This Row],[Unit]],Products[ID],Products[Condition (s)])*Crops[[#This Row],[Custom Yield Per Bed]]/3600</f>
        <v>0</v>
      </c>
      <c r="CW120" s="37">
        <f>_xlfn.XLOOKUP(Crops[[#This Row],[Crop]]&amp;Crops[[#This Row],[Product]]&amp;Crops[[#This Row],[Unit]],Products[ID],Products[Trim (s)])*Crops[[#This Row],[Custom Yield Per Bed]]/3600</f>
        <v>0</v>
      </c>
      <c r="CX120" s="37">
        <f>_xlfn.XLOOKUP(Crops[[#This Row],[Crop]]&amp;Crops[[#This Row],[Product]]&amp;Crops[[#This Row],[Unit]],Products[ID],Products[Pack (s)])*Crops[[#This Row],[Custom Yield Per Bed]]/3600</f>
        <v>0.53333333333333333</v>
      </c>
      <c r="CY120" s="37">
        <f>_xlfn.XLOOKUP(Crops[[#This Row],[Crop]]&amp;Crops[[#This Row],[Product]]&amp;Crops[[#This Row],[Unit]],Products[ID],Products[Clean (s)])*Crops[[#This Row],[Custom Yield Per Bed]]/3600</f>
        <v>0</v>
      </c>
      <c r="CZ120" s="37">
        <f>_xlfn.XLOOKUP(Crops[[#This Row],[Crop]]&amp;Crops[[#This Row],[Product]]&amp;Crops[[#This Row],[Unit]],Products[ID],Products[Rehandle (s)])*Crops[[#This Row],[Custom Yield Per Bed]]/3600</f>
        <v>0</v>
      </c>
      <c r="DA120" s="37">
        <f>_xlfn.XLOOKUP(Crops[[#This Row],[Crop]]&amp;Crops[[#This Row],[Product]]&amp;Crops[[#This Row],[Unit]],Products[ID],Products[Market Transport (s)])*Crops[[#This Row],[Custom Yield Per Bed]]/3600</f>
        <v>0.83333333333333337</v>
      </c>
      <c r="DC120" s="37">
        <f>Crops[[#This Row],[Direct Revenue Per Bed2]]</f>
        <v>1280</v>
      </c>
      <c r="DD120" s="173">
        <f>_xlfn.AGGREGATE(9,6,Crops[[#This Row],[Bed Prep]:[Remove Crop Residue]])</f>
        <v>20.38358382936508</v>
      </c>
      <c r="DE120" s="173">
        <f>_xlfn.AGGREGATE(9,6,Crops[[#This Row],[Bed Prep]:[Remove Crop Residue]])-0.75*Crops[[#This Row],[Market &amp; Sell]]</f>
        <v>19.423583829365079</v>
      </c>
      <c r="DF120" s="36">
        <f>Crops[[#This Row],[Direct Revenue Per Bed2]]/Crops[[#This Row],[Direct Time]]</f>
        <v>62.795630577779029</v>
      </c>
      <c r="DG120" s="36">
        <f>_xlfn.XLOOKUP(Crops[[#This Row],[ProductIndex]],Products[ID],Products[Packaging Cost])*(Crops[[#This Row],[Custom Yield Per Bed]]/_xlfn.XLOOKUP(Crops[[#This Row],[ProductIndex]],Products[ID],Products[Units Per Pack]))</f>
        <v>50.666666666666664</v>
      </c>
      <c r="DH120" s="36"/>
      <c r="DI120" s="36"/>
      <c r="DJ120" s="36"/>
      <c r="DK120" s="36"/>
      <c r="DL120" s="36"/>
      <c r="DM120" s="33">
        <f>IFERROR(Crops[[#This Row],[Custom Yield Per Bed]]*Crops[[#This Row],[Direct Price]],"")</f>
        <v>1280</v>
      </c>
      <c r="DN120" s="36">
        <f>Crops[[#This Row],[Direct Time]]*LaborRate</f>
        <v>509.58959573412699</v>
      </c>
      <c r="DO120" s="36">
        <f>SUM(Crops[[#This Row],[Irrigation Cost]])</f>
        <v>0</v>
      </c>
      <c r="DP120" s="36">
        <f>Crops[[#This Row],[Direct Labor Cost]]+Crops[[#This Row],[Direct Non-Labor Cost]]</f>
        <v>509.58959573412699</v>
      </c>
      <c r="DQ120" s="36">
        <f>Crops[[#This Row],[Direct Revenue Per Bed2]]-Crops[[#This Row],[Direct Total Cost]]</f>
        <v>770.41040426587301</v>
      </c>
      <c r="DR120" s="36">
        <f>Crops[[#This Row],[Direct Profit]]*BedsPerAcre</f>
        <v>123265.66468253967</v>
      </c>
      <c r="DS120" s="36">
        <f>Crops[[#This Row],[Direct Profit]]*BedsPerAcre*GrowingDays/Crops[[#This Row],[Days In Field]]</f>
        <v>331161.48720682302</v>
      </c>
      <c r="DT120" s="36">
        <f>Crops[[#This Row],[Direct Profit]]/MIN(Crops[[#This Row],[Days In Field]],GrowingDays)</f>
        <v>11.49866275023691</v>
      </c>
      <c r="DU120" s="33">
        <f>Crops[[#This Row],[Direct Time]] * BedsPerAcre</f>
        <v>3261.3734126984127</v>
      </c>
      <c r="DV120" s="36">
        <f>(Crops[[#This Row],[Direct Revenue Per Bed2]]-Crops[[#This Row],[Direct Non-Labor Cost]])/Crops[[#This Row],[Direct Time]]</f>
        <v>62.795630577779029</v>
      </c>
      <c r="DW120" s="33">
        <f>IFERROR(Crops[[#This Row],[Custom Yield Per Bed]]*Crops[[#This Row],[Rough Wholesale Price]],"")</f>
        <v>768</v>
      </c>
      <c r="DX120" s="36">
        <f>Crops[[#This Row],[Wholesale Time]]*LaborRate</f>
        <v>485.58959573412699</v>
      </c>
      <c r="DY120" s="36">
        <f>SUM(Crops[[#This Row],[Packaging Costs]:[Irrigation Cost]])</f>
        <v>50.666666666666664</v>
      </c>
      <c r="DZ120" s="36">
        <f>Crops[[#This Row],[Wholesale Labor Cost]]+Crops[[#This Row],[Wholesale Non-Labor Cost]]</f>
        <v>536.25626240079362</v>
      </c>
      <c r="EA120" s="36">
        <f>Crops[[#This Row],[Wholesale Revenue Per Bed]]-Crops[[#This Row],[Wholesale Total Cost]]</f>
        <v>231.74373759920638</v>
      </c>
      <c r="EB120" s="36">
        <f>Crops[[#This Row],[Wholesale Profit]]*BedsPerAcre</f>
        <v>37078.998015873018</v>
      </c>
      <c r="EC120" s="36">
        <f>Crops[[#This Row],[Wholesale Profit]]*BedsPerAcre*GrowingDays/Crops[[#This Row],[Days In Field]]</f>
        <v>99615.218550106627</v>
      </c>
      <c r="ED120" s="33">
        <f>Crops[[#This Row],[Wholesale Time]] * BedsPerAcre</f>
        <v>3107.7734126984124</v>
      </c>
      <c r="EE120" s="221">
        <f>Crops[[#This Row],[Wholesale Profit]]/MIN(Crops[[#This Row],[Days In Field]],GrowingDays)</f>
        <v>3.4588617552120358</v>
      </c>
      <c r="EF120" s="36">
        <f>(Crops[[#This Row],[Wholesale Revenue Per Bed]]-Crops[[#This Row],[Wholesale Non-Labor Cost]])/Crops[[#This Row],[Direct Time]]</f>
        <v>35.191717969630332</v>
      </c>
      <c r="EG120" s="174">
        <f>Crops[[#This Row],[Packaging Costs]]/Crops[[#This Row],[Wholesale Revenue Per Bed]]</f>
        <v>6.5972222222222224E-2</v>
      </c>
      <c r="EH120" s="36" t="str">
        <f>Crops[[#This Row],[Crop]]&amp;Crops[[#This Row],[Product]]&amp;Crops[[#This Row],[Unit]]</f>
        <v>DillMature LeafBunch</v>
      </c>
      <c r="EI120" s="36" t="b">
        <f>_xlfn.XLOOKUP(Crops[[#This Row],[ProductIndex]],Products[ID],Products[Target])</f>
        <v>1</v>
      </c>
      <c r="EJ120" s="33">
        <f>Crops[[#This Row],[Custom Yield Per Bed]]</f>
        <v>640</v>
      </c>
      <c r="EK120" s="210">
        <f>Crops[[#This Row],[Units Per Harvest]]/Crops[[#This Row],[Days Between Harvest]]*7</f>
        <v>224</v>
      </c>
      <c r="EL120" s="210">
        <f>Crops[[#This Row],[Custom Yield Per Bed]]/_xlfn.XLOOKUP(Crops[[#This Row],[ProductIndex]],Products[ID],Products[CSA Portion])</f>
        <v>640</v>
      </c>
      <c r="EM120" s="210">
        <f>Crops[[#This Row],[Units Per Harvest]]/Crops[[#This Row],[Days Between Harvest]]*7/_xlfn.XLOOKUP(Crops[[#This Row],[ProductIndex]],Products[ID],Products[CSA Portion])</f>
        <v>224</v>
      </c>
      <c r="EN120" s="210">
        <f>Crops[[#This Row],[CSA Portions Per Week]]/CSAMembers</f>
        <v>4.4800000000000004</v>
      </c>
      <c r="EO120" s="216">
        <v>0.5</v>
      </c>
      <c r="EP120" s="216">
        <v>3</v>
      </c>
      <c r="EQ120" s="210"/>
      <c r="ER120" s="210">
        <f>Crops[[#This Row],[Harvests]]*Crops[[#This Row],[Days Between Harvest]]/7</f>
        <v>2.8571428571428572</v>
      </c>
      <c r="ES120" s="217">
        <f>_xlfn.XLOOKUP(Crops[[#This Row],[ProductIndex]],Products[ID],Products[CSA Need])</f>
        <v>5</v>
      </c>
      <c r="ET120" s="217">
        <f>_xlfn.XLOOKUP(Crops[[#This Row],[ProductIndex]],Products[ID],Products[CSA Times])</f>
        <v>5</v>
      </c>
      <c r="EU120" s="208">
        <f>Crops[[#This Row],[Custom Yield Per Bed]]/(Crops[[#This Row],[CSA Need]]*(_xlfn.XLOOKUP(Crops[[#This Row],[ProductIndex]],Products[ID],Products[CSA Portion])*CSAMembers))</f>
        <v>2.56</v>
      </c>
      <c r="EV120" s="208">
        <f>_xlfn.XLOOKUP(Crops[[#This Row],[ProductIndex]],Products[ID],Products[CSA Portion])*CSAMembers*Crops[[#This Row],[CSA Need]]/Crops[[#This Row],[Custom Yield Per Bed]]</f>
        <v>0.390625</v>
      </c>
      <c r="EW120" s="208">
        <f>IFERROR(Crops[[#This Row],[Days In Field]]*Crops[[#This Row],[CSA Beds]],"")</f>
        <v>26.171875</v>
      </c>
      <c r="EX120" s="208" t="e">
        <f>Crops[[#This Row],[CSA Bed Days]]*#REF!</f>
        <v>#REF!</v>
      </c>
      <c r="EY120" t="s">
        <v>413</v>
      </c>
    </row>
    <row r="121" spans="1:155" ht="15" customHeight="1">
      <c r="A121"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Dill (White dill) - Mature Stem 3X | Field DS </v>
      </c>
      <c r="B121" s="180"/>
      <c r="C121" s="1" t="b">
        <v>1</v>
      </c>
      <c r="D121" s="1"/>
      <c r="E121" s="1" t="b">
        <v>0</v>
      </c>
      <c r="F121" s="1" t="b">
        <f>IFERROR(IF(ISNUMBER(MATCH(Crops[[#This Row],[Identifier]],BedPlan[Crop], 0)), TRUE, FALSE), FALSE)</f>
        <v>0</v>
      </c>
      <c r="G121" s="1" t="b">
        <f>IFERROR(IF(ISNUMBER(MATCH(Crops[[#This Row],[Identifier]],BedPlan[Crop], 0)), TRUE, FALSE), FALSE)</f>
        <v>0</v>
      </c>
      <c r="H121" s="1"/>
      <c r="I121" t="s">
        <v>75</v>
      </c>
      <c r="J121" t="s">
        <v>161</v>
      </c>
      <c r="K121" t="s">
        <v>181</v>
      </c>
      <c r="M121" t="s">
        <v>406</v>
      </c>
      <c r="N121" t="str">
        <f>Crops[[#This Row],[Crop]]</f>
        <v>Dill</v>
      </c>
      <c r="O121" t="s">
        <v>210</v>
      </c>
      <c r="P121" t="str">
        <f>IF(OR(Crops[[#This Row],[Days in Cells]]="",Crops[[#This Row],[Days in Cells]]=0), "DS","TP")</f>
        <v>DS</v>
      </c>
      <c r="V121" t="str">
        <f xml:space="preserve"> IF(Crops[[#This Row],[Sp]], "Sp", "") &amp; IF(Crops[[#This Row],[Su]], "Su", "") &amp; IF(Crops[[#This Row],[Fa]], "Fa", "") &amp; IF(Crops[[#This Row],[Wi]], "Wi", "") &amp; IF(Crops[[#This Row],[OW]], "Ow","")</f>
        <v/>
      </c>
      <c r="W121" t="s">
        <v>144</v>
      </c>
      <c r="X121">
        <v>4</v>
      </c>
      <c r="Y121">
        <v>6</v>
      </c>
      <c r="AA121" t="s">
        <v>474</v>
      </c>
      <c r="AB121" t="b">
        <v>1</v>
      </c>
      <c r="AC121">
        <v>6</v>
      </c>
      <c r="AD121" s="32">
        <f>IFERROR(12/Crops[[#This Row],[Spacing]]*Crops[[#This Row],[Rows]]*BedLength,"")</f>
        <v>400</v>
      </c>
      <c r="AE121">
        <v>3</v>
      </c>
      <c r="AG121">
        <f>IF(Crops[[#This Row],[Custom Safety Factor]]="",PlantingSafetyFactor,Crops[[#This Row],[Custom Safety Factor]])</f>
        <v>1.3</v>
      </c>
      <c r="AH121">
        <f>1</f>
        <v>1</v>
      </c>
      <c r="AI121" s="33">
        <f>IFERROR(Crops[[#This Row],[Plantings Per Bed]]*Crops[[#This Row],[Seeds Per Planting]]*Crops[[#This Row],[Safety Factor]]*Crops[[#This Row],[Seeding Factor]],"")</f>
        <v>1560</v>
      </c>
      <c r="AJ121">
        <v>12</v>
      </c>
      <c r="AK121">
        <v>16</v>
      </c>
      <c r="AL121">
        <f>_xlfn.FLOOR.MATH(IFERROR(AVERAGE(Crops[[#This Row],[DTG Lower]:[DTG Upper]]),0))</f>
        <v>14</v>
      </c>
      <c r="AM121">
        <f>SUM(Crops[[#This Row],[Tray 1 Days]],Crops[[#This Row],[Tray 2 Days]],Crops[[#This Row],[Tray 3 Days]])</f>
        <v>0</v>
      </c>
      <c r="AN121" s="32"/>
      <c r="AO121">
        <v>65</v>
      </c>
      <c r="AP121">
        <v>75</v>
      </c>
      <c r="AQ121">
        <f>IFERROR(_xlfn.FLOOR.MATH(AVERAGE(Crops[[#This Row],[DTM Lower]:[DTM Upper]])),"")</f>
        <v>70</v>
      </c>
      <c r="AR121" cm="1">
        <f t="array" ref="AR121">_xlfn.SWITCH(Crops[[#This Row],[Normal Method]],"DS",Crops[[#This Row],[Days to Germination]]+Crops[[#This Row],[DTM]] + IF(Crops[[#This Row],[Days in Cells]]&gt;0,15,0), "TP",Crops[[#This Row],[DTM]]+Crops[[#This Row],[Days in Cells]] + IF(Crops[[#This Row],[Days in Cells]]&lt;=0,20,0), "X", Crops[[#This Row],[DTM]])</f>
        <v>84</v>
      </c>
      <c r="AS121" t="s">
        <v>338</v>
      </c>
      <c r="AT121">
        <f>(Crops[[#This Row],[Harvests]]-1)*Crops[[#This Row],[Days Between Harvest]]+7</f>
        <v>21</v>
      </c>
      <c r="AU121">
        <f>Crops[[#This Row],[STH]]-Crops[[#This Row],[Days in Cells]]+Crops[[#This Row],[Harvest window]]</f>
        <v>105</v>
      </c>
      <c r="AZ121" t="str">
        <f>IFERROR(IF(Crops[[#This Row],[Tray 1 Days]]=0,"",Crops[[#This Row],[Plantings Per Bed]]/Crops[[#This Row],[Tray 1 Size]]*Crops[[#This Row],[Safety Factor]]),"")</f>
        <v/>
      </c>
      <c r="BC121" t="str">
        <f>IFERROR(IF(Crops[[#This Row],[Tray 2 Days]]=0,"",Crops[[#This Row],[Plantings Per Bed]]/Crops[[#This Row],[Tray 2 Size]]*Crops[[#This Row],[Safety Factor]]),"")</f>
        <v/>
      </c>
      <c r="BE121" s="32" t="str">
        <f>IF(NOT(ISBLANK(Crops[[#This Row],[Tray 3 Size]])), Crops[[#This Row],[Days in Cells Old]]-SUM(Crops[[#This Row],[Tray 1 Days]],Crops[[#This Row],[Tray 2 Days]]), "")</f>
        <v/>
      </c>
      <c r="BF121" t="str">
        <f>IFERROR(IF(Crops[[#This Row],[Tray 3 Days]]=0,"",Crops[[#This Row],[Plantings Per Bed]]/Crops[[#This Row],[Tray 3 Size]]*Crops[[#This Row],[Safety Factor]]),"")</f>
        <v/>
      </c>
      <c r="BG121" s="33">
        <f>Crops[[#This Row],[Plantings Per Bed]]</f>
        <v>400</v>
      </c>
      <c r="BH121" s="33">
        <v>3</v>
      </c>
      <c r="BI121" s="33">
        <v>7</v>
      </c>
      <c r="BJ121" s="33">
        <f>_xlfn.XLOOKUP(Crops[[#This Row],[ProductIndex]],Products[ID],Products[Holding Period])</f>
        <v>0</v>
      </c>
      <c r="BK121" s="33"/>
      <c r="BL121" s="33">
        <f>Crops[[#This Row],[Units Per Harvest]]*Crops[[#This Row],[Harvests]]</f>
        <v>1200</v>
      </c>
      <c r="BM121" s="35">
        <v>1</v>
      </c>
      <c r="BN121" s="35">
        <f>Crops[[#This Row],[Direct Price]]*0.6</f>
        <v>0.6</v>
      </c>
      <c r="BO121" s="35"/>
      <c r="BP121" t="s">
        <v>213</v>
      </c>
      <c r="BQ121">
        <f>Crops[[#This Row],[Custom Yield Per Bed]]*Crops[[#This Row],[Direct Price]]</f>
        <v>1200</v>
      </c>
      <c r="BR121" t="b">
        <v>1</v>
      </c>
      <c r="BS121" t="b">
        <f>Crops[[#This Row],[Harvests]]&gt;1</f>
        <v>1</v>
      </c>
      <c r="BT121" s="36">
        <f>IFERROR(Crops[[#This Row],[Direct Revenue Per Bed]]/Crops[[#This Row],[Days In Field]],-1)</f>
        <v>11.428571428571429</v>
      </c>
      <c r="BU121" s="36">
        <f>IFERROR(Crops[[#This Row],[Direct Revenue Per Bed Day]]*GrowingDays*BedsPerAcre,"")</f>
        <v>329142.85714285716</v>
      </c>
      <c r="BV121" s="38">
        <f>LastFrostDate-5*Crops[[#This Row],[Sewing Rel Last Frost]]</f>
        <v>45738</v>
      </c>
      <c r="BW121" s="38">
        <f>Crops[[#This Row],[Target Sewing Date]]+Crops[[#This Row],[Days in Cells]]</f>
        <v>45738</v>
      </c>
      <c r="BX121" s="38">
        <f>Crops[[#This Row],[Target Sewing Date]]+Crops[[#This Row],[STH]]</f>
        <v>45822</v>
      </c>
      <c r="BY121" s="38">
        <f>Crops[[#This Row],[Target Harvest Data]]+Crops[[#This Row],[Harvest window]]</f>
        <v>45843</v>
      </c>
      <c r="BZ121">
        <v>2</v>
      </c>
      <c r="CB121">
        <f>1</f>
        <v>1</v>
      </c>
      <c r="CC121">
        <f>IF(Crops[[#This Row],[Transplanting]]&gt;0, 2, 3)*BedLength/StandardBedLength</f>
        <v>1.5</v>
      </c>
      <c r="CD121" s="173">
        <f>IF(Crops[[#This Row],[Days in Cells]]&lt;=0,0,Crops[[#This Row],[Plantings Per Bed]]/StartsPerHourSeeding+Crops[[#This Row],[Tray 1 Count]]*5/60)</f>
        <v>0</v>
      </c>
      <c r="CE121" s="173">
        <f>IF(ISBLANK(Crops[[#This Row],[Tray 2 Days]]),0,Crops[[#This Row],[Plantings Per Bed]]/UpPottingPerHour)+IF(Crops[[#This Row],[Tray 3 Days]]="",0,Crops[[#This Row],[Plantings Per Bed]]/UpPottingPerHour)</f>
        <v>0</v>
      </c>
      <c r="CF121" s="173">
        <f>IFERROR(Crops[[#This Row],[Tray 1 Count]]/HomeStartFlatIrrigationPerHour,0)*Crops[[#This Row],[Days in Cells]]/DaysBetweenStartIrrigation</f>
        <v>0</v>
      </c>
      <c r="CG121" s="173">
        <f>0.5/16*MAX(Crops[[#This Row],[Tray 1 Count]],Crops[[#This Row],[Tray 2 Count]],Crops[[#This Row],[Tray 3 Count]])</f>
        <v>0</v>
      </c>
      <c r="CH121" s="173">
        <f>IF(Crops[[#This Row],[Days in Cells]]&gt;0,IF(IF(Crops[[#This Row],[Tray 3 Size]]&gt;0,Crops[[#This Row],[Tray 3 Size]],IF(Crops[[#This Row],[Tray 2 Size]]&gt;0,Crops[[#This Row],[Tray 2 Size]],Crops[[#This Row],[Tray 1 Size]]))&lt;=18,LargeTransplantTime,SmallTransplantTime)*Crops[[#This Row],[Plantings Per Bed]],0)</f>
        <v>0</v>
      </c>
      <c r="CI121" s="173"/>
      <c r="CJ121" s="173">
        <f>_xlfn.XLOOKUP(Crops[[#This Row],[Trellis Type]],TrellisMethods[Trellis Type],TrellisMethods[Hours],0,0)</f>
        <v>0</v>
      </c>
      <c r="CK121">
        <f>IF(Crops[[#This Row],[Days in Cells]]&lt;=0,Crops[[#This Row],[Rows]]*1/10,0)*BedLength/50</f>
        <v>0.4</v>
      </c>
      <c r="CL121" cm="1">
        <f t="array" ref="CL121">_xlfn.SWITCH(Crops[[#This Row],[Irrigation]],"DR", 0.5, "OH", 0.25,0)*BedLength/50</f>
        <v>0</v>
      </c>
      <c r="CM121">
        <f>IF(OR(ISBLANK(Crops[[#This Row],[Row Cover]]),Crops[[#This Row],[Row Cover]]="None"),0,1)*BedLength/50</f>
        <v>0</v>
      </c>
      <c r="CN121" s="173">
        <f>HoursPerWeedingPass*Crops[[#This Row],[Days In Field]]/14*Crops[[#This Row],[Rows]]+1*BedLength/50</f>
        <v>6</v>
      </c>
      <c r="CQ121" s="37">
        <f>_xlfn.XLOOKUP(Crops[[#This Row],[Crop]]&amp;Crops[[#This Row],[Product]]&amp;Crops[[#This Row],[Unit]],Products[ID],Products[Marketing (hr)])*Crops[[#This Row],[Direct Revenue Per Bed]]/2000</f>
        <v>3.6</v>
      </c>
      <c r="CR121" s="37">
        <f>_xlfn.XLOOKUP(Crops[[#This Row],[Crop]]&amp;Crops[[#This Row],[Product]]&amp;Crops[[#This Row],[Unit]],Products[ID],Products[Harvest (s)])*Crops[[#This Row],[Custom Yield Per Bed]]/3600</f>
        <v>1.6666666666666667</v>
      </c>
      <c r="CS121" s="37">
        <f>_xlfn.XLOOKUP(Crops[[#This Row],[Crop]]&amp;Crops[[#This Row],[Product]]&amp;Crops[[#This Row],[Unit]],Products[ID],Products[Bunch (s)])*Crops[[#This Row],[Custom Yield Per Bed]]/3600</f>
        <v>0</v>
      </c>
      <c r="CT121" s="37">
        <f>_xlfn.XLOOKUP(Crops[[#This Row],[Crop]]&amp;Crops[[#This Row],[Product]]&amp;Crops[[#This Row],[Unit]],Products[ID],Products[Haul (s)])*Crops[[#This Row],[Custom Yield Per Bed]]/3600</f>
        <v>0.6</v>
      </c>
      <c r="CU121" s="37">
        <f>_xlfn.XLOOKUP(Crops[[#This Row],[Crop]]&amp;Crops[[#This Row],[Product]]&amp;Crops[[#This Row],[Unit]],Products[ID],Products[Wash (s)])*Crops[[#This Row],[Custom Yield Per Bed]]/3600</f>
        <v>0</v>
      </c>
      <c r="CV121" s="37">
        <f>_xlfn.XLOOKUP(Crops[[#This Row],[Crop]]&amp;Crops[[#This Row],[Product]]&amp;Crops[[#This Row],[Unit]],Products[ID],Products[Condition (s)])*Crops[[#This Row],[Custom Yield Per Bed]]/3600</f>
        <v>0</v>
      </c>
      <c r="CW121" s="37">
        <f>_xlfn.XLOOKUP(Crops[[#This Row],[Crop]]&amp;Crops[[#This Row],[Product]]&amp;Crops[[#This Row],[Unit]],Products[ID],Products[Trim (s)])*Crops[[#This Row],[Custom Yield Per Bed]]/3600</f>
        <v>1</v>
      </c>
      <c r="CX121" s="37">
        <f>_xlfn.XLOOKUP(Crops[[#This Row],[Crop]]&amp;Crops[[#This Row],[Product]]&amp;Crops[[#This Row],[Unit]],Products[ID],Products[Pack (s)])*Crops[[#This Row],[Custom Yield Per Bed]]/3600</f>
        <v>1</v>
      </c>
      <c r="CY121" s="37">
        <f>_xlfn.XLOOKUP(Crops[[#This Row],[Crop]]&amp;Crops[[#This Row],[Product]]&amp;Crops[[#This Row],[Unit]],Products[ID],Products[Clean (s)])*Crops[[#This Row],[Custom Yield Per Bed]]/3600</f>
        <v>0</v>
      </c>
      <c r="CZ121" s="37">
        <f>_xlfn.XLOOKUP(Crops[[#This Row],[Crop]]&amp;Crops[[#This Row],[Product]]&amp;Crops[[#This Row],[Unit]],Products[ID],Products[Rehandle (s)])*Crops[[#This Row],[Custom Yield Per Bed]]/3600</f>
        <v>0</v>
      </c>
      <c r="DA121" s="37">
        <f>_xlfn.XLOOKUP(Crops[[#This Row],[Crop]]&amp;Crops[[#This Row],[Product]]&amp;Crops[[#This Row],[Unit]],Products[ID],Products[Market Transport (s)])*Crops[[#This Row],[Custom Yield Per Bed]]/3600</f>
        <v>1.5</v>
      </c>
      <c r="DC121" s="37">
        <f>Crops[[#This Row],[Direct Revenue Per Bed2]]</f>
        <v>1200</v>
      </c>
      <c r="DD121" s="173">
        <f>_xlfn.AGGREGATE(9,6,Crops[[#This Row],[Bed Prep]:[Remove Crop Residue]])</f>
        <v>17.266666666666666</v>
      </c>
      <c r="DE121" s="173">
        <f>_xlfn.AGGREGATE(9,6,Crops[[#This Row],[Bed Prep]:[Remove Crop Residue]])-0.75*Crops[[#This Row],[Market &amp; Sell]]</f>
        <v>14.566666666666666</v>
      </c>
      <c r="DF121" s="36">
        <f>Crops[[#This Row],[Direct Revenue Per Bed2]]/Crops[[#This Row],[Direct Time]]</f>
        <v>69.498069498069498</v>
      </c>
      <c r="DG121" s="36">
        <f>_xlfn.XLOOKUP(Crops[[#This Row],[ProductIndex]],Products[ID],Products[Packaging Cost])*(Crops[[#This Row],[Custom Yield Per Bed]]/_xlfn.XLOOKUP(Crops[[#This Row],[ProductIndex]],Products[ID],Products[Units Per Pack]))</f>
        <v>96</v>
      </c>
      <c r="DH121" s="36"/>
      <c r="DI121" s="36"/>
      <c r="DJ121" s="36"/>
      <c r="DK121" s="36"/>
      <c r="DL121" s="36"/>
      <c r="DM121" s="33">
        <f>IFERROR(Crops[[#This Row],[Custom Yield Per Bed]]*Crops[[#This Row],[Direct Price]],"")</f>
        <v>1200</v>
      </c>
      <c r="DN121" s="36">
        <f>Crops[[#This Row],[Direct Time]]*LaborRate</f>
        <v>431.66666666666663</v>
      </c>
      <c r="DO121" s="36">
        <f>SUM(Crops[[#This Row],[Irrigation Cost]])</f>
        <v>0</v>
      </c>
      <c r="DP121" s="36">
        <f>Crops[[#This Row],[Direct Labor Cost]]+Crops[[#This Row],[Direct Non-Labor Cost]]</f>
        <v>431.66666666666663</v>
      </c>
      <c r="DQ121" s="36">
        <f>Crops[[#This Row],[Direct Revenue Per Bed2]]-Crops[[#This Row],[Direct Total Cost]]</f>
        <v>768.33333333333337</v>
      </c>
      <c r="DR121" s="36">
        <f>Crops[[#This Row],[Direct Profit]]*BedsPerAcre</f>
        <v>122933.33333333334</v>
      </c>
      <c r="DS121" s="36">
        <f>Crops[[#This Row],[Direct Profit]]*BedsPerAcre*GrowingDays/Crops[[#This Row],[Days In Field]]</f>
        <v>210742.85714285713</v>
      </c>
      <c r="DT121" s="36">
        <f>Crops[[#This Row],[Direct Profit]]/MIN(Crops[[#This Row],[Days In Field]],GrowingDays)</f>
        <v>7.3174603174603181</v>
      </c>
      <c r="DU121" s="36">
        <f>Crops[[#This Row],[Direct Time]] * BedsPerAcre</f>
        <v>2762.6666666666665</v>
      </c>
      <c r="DV121" s="36">
        <f>(Crops[[#This Row],[Direct Revenue Per Bed2]]-Crops[[#This Row],[Direct Non-Labor Cost]])/Crops[[#This Row],[Direct Time]]</f>
        <v>69.498069498069498</v>
      </c>
      <c r="DW121" s="33">
        <f>IFERROR(Crops[[#This Row],[Custom Yield Per Bed]]*Crops[[#This Row],[Rough Wholesale Price]],"")</f>
        <v>720</v>
      </c>
      <c r="DX121" s="36">
        <f>Crops[[#This Row],[Wholesale Time]]*LaborRate</f>
        <v>364.16666666666669</v>
      </c>
      <c r="DY121" s="36">
        <f>SUM(Crops[[#This Row],[Packaging Costs]:[Irrigation Cost]])</f>
        <v>96</v>
      </c>
      <c r="DZ121" s="36">
        <f>Crops[[#This Row],[Wholesale Labor Cost]]+Crops[[#This Row],[Wholesale Non-Labor Cost]]</f>
        <v>460.16666666666669</v>
      </c>
      <c r="EA121" s="36">
        <f>Crops[[#This Row],[Wholesale Revenue Per Bed]]-Crops[[#This Row],[Wholesale Total Cost]]</f>
        <v>259.83333333333331</v>
      </c>
      <c r="EB121" s="36">
        <f>Crops[[#This Row],[Wholesale Profit]]*BedsPerAcre</f>
        <v>41573.333333333328</v>
      </c>
      <c r="EC121" s="36">
        <f>Crops[[#This Row],[Wholesale Profit]]*BedsPerAcre*GrowingDays/Crops[[#This Row],[Days In Field]]</f>
        <v>71268.57142857142</v>
      </c>
      <c r="ED121" s="36">
        <f>Crops[[#This Row],[Wholesale Time]] * BedsPerAcre</f>
        <v>2330.6666666666665</v>
      </c>
      <c r="EE121" s="36">
        <f>Crops[[#This Row],[Wholesale Profit]]/MIN(Crops[[#This Row],[Days In Field]],GrowingDays)</f>
        <v>2.4746031746031742</v>
      </c>
      <c r="EF121" s="36">
        <f>(Crops[[#This Row],[Wholesale Revenue Per Bed]]-Crops[[#This Row],[Wholesale Non-Labor Cost]])/Crops[[#This Row],[Direct Time]]</f>
        <v>36.138996138996141</v>
      </c>
      <c r="EG121" s="174">
        <f>Crops[[#This Row],[Packaging Costs]]/Crops[[#This Row],[Wholesale Revenue Per Bed]]</f>
        <v>0.13333333333333333</v>
      </c>
      <c r="EH121" s="36" t="str">
        <f>Crops[[#This Row],[Crop]]&amp;Crops[[#This Row],[Product]]&amp;Crops[[#This Row],[Unit]]</f>
        <v>DillMature StemStem</v>
      </c>
      <c r="EI121" s="36" t="b">
        <f>_xlfn.XLOOKUP(Crops[[#This Row],[ProductIndex]],Products[ID],Products[Target])</f>
        <v>1</v>
      </c>
      <c r="EJ121" s="36">
        <f>Crops[[#This Row],[Custom Yield Per Bed]]</f>
        <v>1200</v>
      </c>
      <c r="EK121" s="210">
        <f>Crops[[#This Row],[Units Per Harvest]]/Crops[[#This Row],[Days Between Harvest]]*7</f>
        <v>400</v>
      </c>
      <c r="EL121" s="210" t="e">
        <f>Crops[[#This Row],[Custom Yield Per Bed]]/_xlfn.XLOOKUP(Crops[[#This Row],[ProductIndex]],Products[ID],Products[CSA Portion])</f>
        <v>#DIV/0!</v>
      </c>
      <c r="EM121" s="210" t="e">
        <f>Crops[[#This Row],[Units Per Harvest]]/Crops[[#This Row],[Days Between Harvest]]*7/_xlfn.XLOOKUP(Crops[[#This Row],[ProductIndex]],Products[ID],Products[CSA Portion])</f>
        <v>#DIV/0!</v>
      </c>
      <c r="EN121" s="210" t="e">
        <f>Crops[[#This Row],[CSA Portions Per Week]]/CSAMembers</f>
        <v>#DIV/0!</v>
      </c>
      <c r="EO121" s="210"/>
      <c r="EP121" s="210"/>
      <c r="EQ121" s="36"/>
      <c r="ER121" s="36">
        <f>Crops[[#This Row],[Harvests]]*Crops[[#This Row],[Days Between Harvest]]/7</f>
        <v>3</v>
      </c>
      <c r="ES121" s="208">
        <f>_xlfn.XLOOKUP(Crops[[#This Row],[ProductIndex]],Products[ID],Products[CSA Need])</f>
        <v>0</v>
      </c>
      <c r="ET121" s="208">
        <f>_xlfn.XLOOKUP(Crops[[#This Row],[ProductIndex]],Products[ID],Products[CSA Times])</f>
        <v>0</v>
      </c>
      <c r="EU121" s="208" t="e">
        <f>Crops[[#This Row],[Custom Yield Per Bed]]/(Crops[[#This Row],[CSA Need]]*(_xlfn.XLOOKUP(Crops[[#This Row],[ProductIndex]],Products[ID],Products[CSA Portion])*CSAMembers))</f>
        <v>#DIV/0!</v>
      </c>
      <c r="EV121" s="208">
        <f>_xlfn.XLOOKUP(Crops[[#This Row],[ProductIndex]],Products[ID],Products[CSA Portion])*CSAMembers*Crops[[#This Row],[CSA Need]]/Crops[[#This Row],[Custom Yield Per Bed]]</f>
        <v>0</v>
      </c>
      <c r="EW121" s="208">
        <f>IFERROR(Crops[[#This Row],[Days In Field]]*Crops[[#This Row],[CSA Beds]],"")</f>
        <v>0</v>
      </c>
      <c r="EX121" s="208" t="e">
        <f>Crops[[#This Row],[CSA Bed Days]]*#REF!</f>
        <v>#REF!</v>
      </c>
      <c r="EY121" t="s">
        <v>320</v>
      </c>
    </row>
    <row r="122" spans="1:155">
      <c r="A122"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Dill (White dill) - Mature Stem 3X | Field TP </v>
      </c>
      <c r="B122" s="180"/>
      <c r="C122" s="1"/>
      <c r="D122" s="1"/>
      <c r="E122" s="1" t="b">
        <v>0</v>
      </c>
      <c r="F122" s="1" t="b">
        <f>IFERROR(IF(ISNUMBER(MATCH(Crops[[#This Row],[Identifier]],BedPlan[Crop], 0)), TRUE, FALSE), FALSE)</f>
        <v>0</v>
      </c>
      <c r="G122" s="1" t="b">
        <f>IFERROR(IF(ISNUMBER(MATCH(Crops[[#This Row],[Identifier]],BedPlan[Crop], 0)), TRUE, FALSE), FALSE)</f>
        <v>0</v>
      </c>
      <c r="H122" s="1"/>
      <c r="I122" t="s">
        <v>75</v>
      </c>
      <c r="J122" t="s">
        <v>161</v>
      </c>
      <c r="K122" t="s">
        <v>181</v>
      </c>
      <c r="M122" t="s">
        <v>406</v>
      </c>
      <c r="N122" t="str">
        <f>Crops[[#This Row],[Crop]]</f>
        <v>Dill</v>
      </c>
      <c r="O122" t="s">
        <v>210</v>
      </c>
      <c r="P122" t="str">
        <f>IF(OR(Crops[[#This Row],[Days in Cells]]="",Crops[[#This Row],[Days in Cells]]=0), "DS","TP")</f>
        <v>TP</v>
      </c>
      <c r="V122" t="str">
        <f xml:space="preserve"> IF(Crops[[#This Row],[Sp]], "Sp", "") &amp; IF(Crops[[#This Row],[Su]], "Su", "") &amp; IF(Crops[[#This Row],[Fa]], "Fa", "") &amp; IF(Crops[[#This Row],[Wi]], "Wi", "") &amp; IF(Crops[[#This Row],[OW]], "Ow","")</f>
        <v/>
      </c>
      <c r="W122" t="s">
        <v>144</v>
      </c>
      <c r="X122">
        <v>4</v>
      </c>
      <c r="Y122">
        <v>6</v>
      </c>
      <c r="AA122" t="s">
        <v>474</v>
      </c>
      <c r="AB122" t="b">
        <v>1</v>
      </c>
      <c r="AC122">
        <v>2</v>
      </c>
      <c r="AD122" s="32">
        <f>IFERROR(12/Crops[[#This Row],[Spacing]]*Crops[[#This Row],[Rows]]*BedLength,"")</f>
        <v>400</v>
      </c>
      <c r="AE122">
        <v>3</v>
      </c>
      <c r="AG122">
        <f>IF(Crops[[#This Row],[Custom Safety Factor]]="",PlantingSafetyFactor,Crops[[#This Row],[Custom Safety Factor]])</f>
        <v>1.3</v>
      </c>
      <c r="AH122">
        <f>1</f>
        <v>1</v>
      </c>
      <c r="AI122" s="33">
        <f>IFERROR(Crops[[#This Row],[Plantings Per Bed]]*Crops[[#This Row],[Seeds Per Planting]]*Crops[[#This Row],[Safety Factor]]*Crops[[#This Row],[Seeding Factor]],"")</f>
        <v>1560</v>
      </c>
      <c r="AJ122">
        <v>12</v>
      </c>
      <c r="AK122">
        <v>16</v>
      </c>
      <c r="AL122">
        <f>_xlfn.FLOOR.MATH(IFERROR(AVERAGE(Crops[[#This Row],[DTG Lower]:[DTG Upper]]),0))</f>
        <v>14</v>
      </c>
      <c r="AM122">
        <f>SUM(Crops[[#This Row],[Tray 1 Days]],Crops[[#This Row],[Tray 2 Days]],Crops[[#This Row],[Tray 3 Days]])</f>
        <v>30</v>
      </c>
      <c r="AN122" s="32"/>
      <c r="AO122">
        <v>65</v>
      </c>
      <c r="AP122">
        <v>75</v>
      </c>
      <c r="AQ122">
        <f>IFERROR(_xlfn.FLOOR.MATH(AVERAGE(Crops[[#This Row],[DTM Lower]:[DTM Upper]])),"")</f>
        <v>70</v>
      </c>
      <c r="AR122" cm="1">
        <f t="array" ref="AR122">_xlfn.SWITCH(Crops[[#This Row],[Normal Method]],"DS",Crops[[#This Row],[Days to Germination]]+Crops[[#This Row],[DTM]] + IF(Crops[[#This Row],[Days in Cells]]&gt;0,15,0), "TP",Crops[[#This Row],[DTM]]+Crops[[#This Row],[Days in Cells]] + IF(Crops[[#This Row],[Days in Cells]]&lt;=0,20,0), "X", Crops[[#This Row],[DTM]])</f>
        <v>99</v>
      </c>
      <c r="AS122" t="s">
        <v>338</v>
      </c>
      <c r="AT122">
        <f>(Crops[[#This Row],[Harvests]]-1)*Crops[[#This Row],[Days Between Harvest]]+7</f>
        <v>21</v>
      </c>
      <c r="AU122">
        <f>Crops[[#This Row],[STH]]-Crops[[#This Row],[Days in Cells]]+Crops[[#This Row],[Harvest window]]</f>
        <v>90</v>
      </c>
      <c r="AX122">
        <v>128</v>
      </c>
      <c r="AY122">
        <v>30</v>
      </c>
      <c r="AZ122">
        <f>IFERROR(IF(Crops[[#This Row],[Tray 1 Days]]=0,"",Crops[[#This Row],[Plantings Per Bed]]/Crops[[#This Row],[Tray 1 Size]]*Crops[[#This Row],[Safety Factor]]),"")</f>
        <v>4.0625</v>
      </c>
      <c r="BC122" t="str">
        <f>IFERROR(IF(Crops[[#This Row],[Tray 2 Days]]=0,"",Crops[[#This Row],[Plantings Per Bed]]/Crops[[#This Row],[Tray 2 Size]]*Crops[[#This Row],[Safety Factor]]),"")</f>
        <v/>
      </c>
      <c r="BE122" s="32" t="str">
        <f>IF(NOT(ISBLANK(Crops[[#This Row],[Tray 3 Size]])), Crops[[#This Row],[Days in Cells Old]]-SUM(Crops[[#This Row],[Tray 1 Days]],Crops[[#This Row],[Tray 2 Days]]), "")</f>
        <v/>
      </c>
      <c r="BF122" t="str">
        <f>IFERROR(IF(Crops[[#This Row],[Tray 3 Days]]=0,"",Crops[[#This Row],[Plantings Per Bed]]/Crops[[#This Row],[Tray 3 Size]]*Crops[[#This Row],[Safety Factor]]),"")</f>
        <v/>
      </c>
      <c r="BG122" s="33">
        <f>Crops[[#This Row],[Plantings Per Bed]]</f>
        <v>400</v>
      </c>
      <c r="BH122" s="33">
        <v>3</v>
      </c>
      <c r="BI122" s="33">
        <v>7</v>
      </c>
      <c r="BJ122" s="33">
        <f>_xlfn.XLOOKUP(Crops[[#This Row],[ProductIndex]],Products[ID],Products[Holding Period])</f>
        <v>0</v>
      </c>
      <c r="BK122" s="33"/>
      <c r="BL122" s="33">
        <f>Crops[[#This Row],[Units Per Harvest]]*Crops[[#This Row],[Harvests]]</f>
        <v>1200</v>
      </c>
      <c r="BM122" s="35">
        <v>1</v>
      </c>
      <c r="BN122" s="35">
        <f>Crops[[#This Row],[Direct Price]]*0.6</f>
        <v>0.6</v>
      </c>
      <c r="BO122" s="35"/>
      <c r="BP122" t="s">
        <v>213</v>
      </c>
      <c r="BQ122">
        <f>Crops[[#This Row],[Custom Yield Per Bed]]*Crops[[#This Row],[Direct Price]]</f>
        <v>1200</v>
      </c>
      <c r="BR122" t="b">
        <v>1</v>
      </c>
      <c r="BS122" t="b">
        <f>Crops[[#This Row],[Harvests]]&gt;1</f>
        <v>1</v>
      </c>
      <c r="BT122" s="36">
        <f>IFERROR(Crops[[#This Row],[Direct Revenue Per Bed]]/Crops[[#This Row],[Days In Field]],-1)</f>
        <v>13.333333333333334</v>
      </c>
      <c r="BU122" s="36">
        <f>IFERROR(Crops[[#This Row],[Direct Revenue Per Bed Day]]*GrowingDays*BedsPerAcre,"")</f>
        <v>384000</v>
      </c>
      <c r="BV122" s="38">
        <f>LastFrostDate-5*Crops[[#This Row],[Sewing Rel Last Frost]]</f>
        <v>45738</v>
      </c>
      <c r="BW122" s="38">
        <f>Crops[[#This Row],[Target Sewing Date]]+Crops[[#This Row],[Days in Cells]]</f>
        <v>45768</v>
      </c>
      <c r="BX122" s="38">
        <f>Crops[[#This Row],[Target Sewing Date]]+Crops[[#This Row],[STH]]</f>
        <v>45837</v>
      </c>
      <c r="BY122" s="38">
        <f>Crops[[#This Row],[Target Harvest Data]]+Crops[[#This Row],[Harvest window]]</f>
        <v>45858</v>
      </c>
      <c r="BZ122">
        <v>2</v>
      </c>
      <c r="CB122">
        <f>1</f>
        <v>1</v>
      </c>
      <c r="CC122">
        <f>IF(Crops[[#This Row],[Transplanting]]&gt;0, 2, 3)*BedLength/StandardBedLength</f>
        <v>1</v>
      </c>
      <c r="CD122" s="173">
        <f>IF(Crops[[#This Row],[Days in Cells]]&lt;=0,0,Crops[[#This Row],[Plantings Per Bed]]/StartsPerHourSeeding+Crops[[#This Row],[Tray 1 Count]]*5/60)</f>
        <v>1.9010416666666667</v>
      </c>
      <c r="CE122" s="173">
        <f>IF(ISBLANK(Crops[[#This Row],[Tray 2 Days]]),0,Crops[[#This Row],[Plantings Per Bed]]/UpPottingPerHour)+IF(Crops[[#This Row],[Tray 3 Days]]="",0,Crops[[#This Row],[Plantings Per Bed]]/UpPottingPerHour)</f>
        <v>0</v>
      </c>
      <c r="CF122" s="173">
        <f>IFERROR(Crops[[#This Row],[Tray 1 Count]]/HomeStartFlatIrrigationPerHour,0)*Crops[[#This Row],[Days in Cells]]/DaysBetweenStartIrrigation</f>
        <v>0.5078125</v>
      </c>
      <c r="CG122" s="173">
        <f>0.5/16*MAX(Crops[[#This Row],[Tray 1 Count]],Crops[[#This Row],[Tray 2 Count]],Crops[[#This Row],[Tray 3 Count]])</f>
        <v>0.126953125</v>
      </c>
      <c r="CH122" s="173">
        <f>IF(Crops[[#This Row],[Days in Cells]]&gt;0,IF(IF(Crops[[#This Row],[Tray 3 Size]]&gt;0,Crops[[#This Row],[Tray 3 Size]],IF(Crops[[#This Row],[Tray 2 Size]]&gt;0,Crops[[#This Row],[Tray 2 Size]],Crops[[#This Row],[Tray 1 Size]]))&lt;=18,LargeTransplantTime,SmallTransplantTime)*Crops[[#This Row],[Plantings Per Bed]],0)</f>
        <v>2</v>
      </c>
      <c r="CI122" s="173"/>
      <c r="CJ122" s="173">
        <f>_xlfn.XLOOKUP(Crops[[#This Row],[Trellis Type]],TrellisMethods[Trellis Type],TrellisMethods[Hours],0,0)</f>
        <v>0</v>
      </c>
      <c r="CK122">
        <f>IF(Crops[[#This Row],[Days in Cells]]&lt;=0,Crops[[#This Row],[Rows]]*1/10,0)*BedLength/50</f>
        <v>0</v>
      </c>
      <c r="CL122" cm="1">
        <f t="array" ref="CL122">_xlfn.SWITCH(Crops[[#This Row],[Irrigation]],"DR", 0.5, "OH", 0.25,0)*BedLength/50</f>
        <v>0</v>
      </c>
      <c r="CM122">
        <f>IF(OR(ISBLANK(Crops[[#This Row],[Row Cover]]),Crops[[#This Row],[Row Cover]]="None"),0,1)*BedLength/50</f>
        <v>0</v>
      </c>
      <c r="CN122" s="173">
        <f>HoursPerWeedingPass*Crops[[#This Row],[Days In Field]]/14*Crops[[#This Row],[Rows]]+1*BedLength/50</f>
        <v>5.2857142857142856</v>
      </c>
      <c r="CQ122" s="37">
        <f>_xlfn.XLOOKUP(Crops[[#This Row],[Crop]]&amp;Crops[[#This Row],[Product]]&amp;Crops[[#This Row],[Unit]],Products[ID],Products[Marketing (hr)])*Crops[[#This Row],[Direct Revenue Per Bed]]/2000</f>
        <v>3.6</v>
      </c>
      <c r="CR122" s="37">
        <f>_xlfn.XLOOKUP(Crops[[#This Row],[Crop]]&amp;Crops[[#This Row],[Product]]&amp;Crops[[#This Row],[Unit]],Products[ID],Products[Harvest (s)])*Crops[[#This Row],[Custom Yield Per Bed]]/3600</f>
        <v>1.6666666666666667</v>
      </c>
      <c r="CS122" s="37">
        <f>_xlfn.XLOOKUP(Crops[[#This Row],[Crop]]&amp;Crops[[#This Row],[Product]]&amp;Crops[[#This Row],[Unit]],Products[ID],Products[Bunch (s)])*Crops[[#This Row],[Custom Yield Per Bed]]/3600</f>
        <v>0</v>
      </c>
      <c r="CT122" s="37">
        <f>_xlfn.XLOOKUP(Crops[[#This Row],[Crop]]&amp;Crops[[#This Row],[Product]]&amp;Crops[[#This Row],[Unit]],Products[ID],Products[Haul (s)])*Crops[[#This Row],[Custom Yield Per Bed]]/3600</f>
        <v>0.6</v>
      </c>
      <c r="CU122" s="37">
        <f>_xlfn.XLOOKUP(Crops[[#This Row],[Crop]]&amp;Crops[[#This Row],[Product]]&amp;Crops[[#This Row],[Unit]],Products[ID],Products[Wash (s)])*Crops[[#This Row],[Custom Yield Per Bed]]/3600</f>
        <v>0</v>
      </c>
      <c r="CV122" s="37">
        <f>_xlfn.XLOOKUP(Crops[[#This Row],[Crop]]&amp;Crops[[#This Row],[Product]]&amp;Crops[[#This Row],[Unit]],Products[ID],Products[Condition (s)])*Crops[[#This Row],[Custom Yield Per Bed]]/3600</f>
        <v>0</v>
      </c>
      <c r="CW122" s="37">
        <f>_xlfn.XLOOKUP(Crops[[#This Row],[Crop]]&amp;Crops[[#This Row],[Product]]&amp;Crops[[#This Row],[Unit]],Products[ID],Products[Trim (s)])*Crops[[#This Row],[Custom Yield Per Bed]]/3600</f>
        <v>1</v>
      </c>
      <c r="CX122" s="37">
        <f>_xlfn.XLOOKUP(Crops[[#This Row],[Crop]]&amp;Crops[[#This Row],[Product]]&amp;Crops[[#This Row],[Unit]],Products[ID],Products[Pack (s)])*Crops[[#This Row],[Custom Yield Per Bed]]/3600</f>
        <v>1</v>
      </c>
      <c r="CY122" s="37">
        <f>_xlfn.XLOOKUP(Crops[[#This Row],[Crop]]&amp;Crops[[#This Row],[Product]]&amp;Crops[[#This Row],[Unit]],Products[ID],Products[Clean (s)])*Crops[[#This Row],[Custom Yield Per Bed]]/3600</f>
        <v>0</v>
      </c>
      <c r="CZ122" s="37">
        <f>_xlfn.XLOOKUP(Crops[[#This Row],[Crop]]&amp;Crops[[#This Row],[Product]]&amp;Crops[[#This Row],[Unit]],Products[ID],Products[Rehandle (s)])*Crops[[#This Row],[Custom Yield Per Bed]]/3600</f>
        <v>0</v>
      </c>
      <c r="DA122" s="37">
        <f>_xlfn.XLOOKUP(Crops[[#This Row],[Crop]]&amp;Crops[[#This Row],[Product]]&amp;Crops[[#This Row],[Unit]],Products[ID],Products[Market Transport (s)])*Crops[[#This Row],[Custom Yield Per Bed]]/3600</f>
        <v>1.5</v>
      </c>
      <c r="DC122" s="37">
        <f>Crops[[#This Row],[Direct Revenue Per Bed2]]</f>
        <v>1200</v>
      </c>
      <c r="DD122" s="173">
        <f>_xlfn.AGGREGATE(9,6,Crops[[#This Row],[Bed Prep]:[Remove Crop Residue]])</f>
        <v>20.18818824404762</v>
      </c>
      <c r="DE122" s="173">
        <f>_xlfn.AGGREGATE(9,6,Crops[[#This Row],[Bed Prep]:[Remove Crop Residue]])-0.75*Crops[[#This Row],[Market &amp; Sell]]</f>
        <v>17.48818824404762</v>
      </c>
      <c r="DF122" s="36">
        <f>Crops[[#This Row],[Direct Revenue Per Bed2]]/Crops[[#This Row],[Direct Time]]</f>
        <v>59.440697971191824</v>
      </c>
      <c r="DG122" s="36">
        <f>_xlfn.XLOOKUP(Crops[[#This Row],[ProductIndex]],Products[ID],Products[Packaging Cost])*(Crops[[#This Row],[Custom Yield Per Bed]]/_xlfn.XLOOKUP(Crops[[#This Row],[ProductIndex]],Products[ID],Products[Units Per Pack]))</f>
        <v>96</v>
      </c>
      <c r="DH122" s="36"/>
      <c r="DI122" s="36"/>
      <c r="DJ122" s="36"/>
      <c r="DK122" s="36"/>
      <c r="DL122" s="36"/>
      <c r="DM122" s="33">
        <f>IFERROR(Crops[[#This Row],[Custom Yield Per Bed]]*Crops[[#This Row],[Direct Price]],"")</f>
        <v>1200</v>
      </c>
      <c r="DN122" s="36">
        <f>Crops[[#This Row],[Direct Time]]*LaborRate</f>
        <v>504.70470610119048</v>
      </c>
      <c r="DO122" s="36">
        <f>SUM(Crops[[#This Row],[Irrigation Cost]])</f>
        <v>0</v>
      </c>
      <c r="DP122" s="36">
        <f>Crops[[#This Row],[Direct Labor Cost]]+Crops[[#This Row],[Direct Non-Labor Cost]]</f>
        <v>504.70470610119048</v>
      </c>
      <c r="DQ122" s="36">
        <f>Crops[[#This Row],[Direct Revenue Per Bed2]]-Crops[[#This Row],[Direct Total Cost]]</f>
        <v>695.29529389880952</v>
      </c>
      <c r="DR122" s="36">
        <f>Crops[[#This Row],[Direct Profit]]*BedsPerAcre</f>
        <v>111247.24702380953</v>
      </c>
      <c r="DS122" s="36">
        <f>Crops[[#This Row],[Direct Profit]]*BedsPerAcre*GrowingDays/Crops[[#This Row],[Days In Field]]</f>
        <v>222494.49404761908</v>
      </c>
      <c r="DT122" s="36">
        <f>Crops[[#This Row],[Direct Profit]]/MIN(Crops[[#This Row],[Days In Field]],GrowingDays)</f>
        <v>7.7255032655423284</v>
      </c>
      <c r="DU122" s="36">
        <f>Crops[[#This Row],[Direct Time]] * BedsPerAcre</f>
        <v>3230.1101190476193</v>
      </c>
      <c r="DV122" s="36">
        <f>(Crops[[#This Row],[Direct Revenue Per Bed2]]-Crops[[#This Row],[Direct Non-Labor Cost]])/Crops[[#This Row],[Direct Time]]</f>
        <v>59.440697971191824</v>
      </c>
      <c r="DW122" s="33">
        <f>IFERROR(Crops[[#This Row],[Custom Yield Per Bed]]*Crops[[#This Row],[Rough Wholesale Price]],"")</f>
        <v>720</v>
      </c>
      <c r="DX122" s="36">
        <f>Crops[[#This Row],[Wholesale Time]]*LaborRate</f>
        <v>437.20470610119048</v>
      </c>
      <c r="DY122" s="36">
        <f>SUM(Crops[[#This Row],[Packaging Costs]:[Irrigation Cost]])</f>
        <v>96</v>
      </c>
      <c r="DZ122" s="36">
        <f>Crops[[#This Row],[Wholesale Labor Cost]]+Crops[[#This Row],[Wholesale Non-Labor Cost]]</f>
        <v>533.20470610119048</v>
      </c>
      <c r="EA122" s="36">
        <f>Crops[[#This Row],[Wholesale Revenue Per Bed]]-Crops[[#This Row],[Wholesale Total Cost]]</f>
        <v>186.79529389880952</v>
      </c>
      <c r="EB122" s="36">
        <f>Crops[[#This Row],[Wholesale Profit]]*BedsPerAcre</f>
        <v>29887.247023809523</v>
      </c>
      <c r="EC122" s="36">
        <f>Crops[[#This Row],[Wholesale Profit]]*BedsPerAcre*GrowingDays/Crops[[#This Row],[Days In Field]]</f>
        <v>59774.494047619053</v>
      </c>
      <c r="ED122" s="36">
        <f>Crops[[#This Row],[Wholesale Time]] * BedsPerAcre</f>
        <v>2798.1101190476193</v>
      </c>
      <c r="EE122" s="36">
        <f>Crops[[#This Row],[Wholesale Profit]]/MIN(Crops[[#This Row],[Days In Field]],GrowingDays)</f>
        <v>2.075503265542328</v>
      </c>
      <c r="EF122" s="36">
        <f>(Crops[[#This Row],[Wholesale Revenue Per Bed]]-Crops[[#This Row],[Wholesale Non-Labor Cost]])/Crops[[#This Row],[Direct Time]]</f>
        <v>30.909162945019748</v>
      </c>
      <c r="EG122" s="174">
        <f>Crops[[#This Row],[Packaging Costs]]/Crops[[#This Row],[Wholesale Revenue Per Bed]]</f>
        <v>0.13333333333333333</v>
      </c>
      <c r="EH122" s="36" t="str">
        <f>Crops[[#This Row],[Crop]]&amp;Crops[[#This Row],[Product]]&amp;Crops[[#This Row],[Unit]]</f>
        <v>DillMature StemStem</v>
      </c>
      <c r="EI122" s="36" t="b">
        <f>_xlfn.XLOOKUP(Crops[[#This Row],[ProductIndex]],Products[ID],Products[Target])</f>
        <v>1</v>
      </c>
      <c r="EJ122" s="36">
        <f>Crops[[#This Row],[Custom Yield Per Bed]]</f>
        <v>1200</v>
      </c>
      <c r="EK122" s="210">
        <f>Crops[[#This Row],[Units Per Harvest]]/Crops[[#This Row],[Days Between Harvest]]*7</f>
        <v>400</v>
      </c>
      <c r="EL122" s="210" t="e">
        <f>Crops[[#This Row],[Custom Yield Per Bed]]/_xlfn.XLOOKUP(Crops[[#This Row],[ProductIndex]],Products[ID],Products[CSA Portion])</f>
        <v>#DIV/0!</v>
      </c>
      <c r="EM122" s="210" t="e">
        <f>Crops[[#This Row],[Units Per Harvest]]/Crops[[#This Row],[Days Between Harvest]]*7/_xlfn.XLOOKUP(Crops[[#This Row],[ProductIndex]],Products[ID],Products[CSA Portion])</f>
        <v>#DIV/0!</v>
      </c>
      <c r="EN122" s="210" t="e">
        <f>Crops[[#This Row],[CSA Portions Per Week]]/CSAMembers</f>
        <v>#DIV/0!</v>
      </c>
      <c r="EO122" s="210"/>
      <c r="EP122" s="210"/>
      <c r="EQ122" s="36"/>
      <c r="ER122" s="36">
        <f>Crops[[#This Row],[Harvests]]*Crops[[#This Row],[Days Between Harvest]]/7</f>
        <v>3</v>
      </c>
      <c r="ES122" s="208">
        <f>_xlfn.XLOOKUP(Crops[[#This Row],[ProductIndex]],Products[ID],Products[CSA Need])</f>
        <v>0</v>
      </c>
      <c r="ET122" s="208">
        <f>_xlfn.XLOOKUP(Crops[[#This Row],[ProductIndex]],Products[ID],Products[CSA Times])</f>
        <v>0</v>
      </c>
      <c r="EU122" s="208" t="e">
        <f>Crops[[#This Row],[Custom Yield Per Bed]]/(Crops[[#This Row],[CSA Need]]*(_xlfn.XLOOKUP(Crops[[#This Row],[ProductIndex]],Products[ID],Products[CSA Portion])*CSAMembers))</f>
        <v>#DIV/0!</v>
      </c>
      <c r="EV122" s="208">
        <f>_xlfn.XLOOKUP(Crops[[#This Row],[ProductIndex]],Products[ID],Products[CSA Portion])*CSAMembers*Crops[[#This Row],[CSA Need]]/Crops[[#This Row],[Custom Yield Per Bed]]</f>
        <v>0</v>
      </c>
      <c r="EW122" s="208">
        <f>IFERROR(Crops[[#This Row],[Days In Field]]*Crops[[#This Row],[CSA Beds]],"")</f>
        <v>0</v>
      </c>
      <c r="EX122" s="208" t="e">
        <f>Crops[[#This Row],[CSA Bed Days]]*#REF!</f>
        <v>#REF!</v>
      </c>
      <c r="EY122" t="s">
        <v>320</v>
      </c>
    </row>
    <row r="123" spans="1:155">
      <c r="A123"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Dropmore - Mature Stem 1X | Field TP </v>
      </c>
      <c r="B123" s="189"/>
      <c r="C123" s="1"/>
      <c r="D123" s="1"/>
      <c r="E123" s="1" t="b">
        <v>0</v>
      </c>
      <c r="F123" s="1" t="b">
        <f>IFERROR(IF(ISNUMBER(MATCH(Crops[[#This Row],[Identifier]],BedPlan[Crop], 0)), TRUE, FALSE), FALSE)</f>
        <v>0</v>
      </c>
      <c r="G123" s="1" t="b">
        <f>IFERROR(IF(ISNUMBER(MATCH(Crops[[#This Row],[Identifier]],BedPlan[Crop], 0)), TRUE, FALSE), FALSE)</f>
        <v>0</v>
      </c>
      <c r="H123" s="1"/>
      <c r="I123" t="s">
        <v>142</v>
      </c>
      <c r="J123" t="s">
        <v>145</v>
      </c>
      <c r="K123" t="s">
        <v>181</v>
      </c>
      <c r="M123" t="s">
        <v>406</v>
      </c>
      <c r="N123" t="str">
        <f>Crops[[#This Row],[Crop]]</f>
        <v>Dropmore</v>
      </c>
      <c r="O123" t="s">
        <v>210</v>
      </c>
      <c r="P123" t="str">
        <f>IF(OR(Crops[[#This Row],[Days in Cells]]="",Crops[[#This Row],[Days in Cells]]=0), "DS","TP")</f>
        <v>TP</v>
      </c>
      <c r="V123" t="str">
        <f xml:space="preserve"> IF(Crops[[#This Row],[Sp]], "Sp", "") &amp; IF(Crops[[#This Row],[Su]], "Su", "") &amp; IF(Crops[[#This Row],[Fa]], "Fa", "") &amp; IF(Crops[[#This Row],[Wi]], "Wi", "") &amp; IF(Crops[[#This Row],[OW]], "Ow","")</f>
        <v/>
      </c>
      <c r="X123">
        <v>1</v>
      </c>
      <c r="Y123">
        <v>18</v>
      </c>
      <c r="AA123" t="s">
        <v>474</v>
      </c>
      <c r="AB123" t="b">
        <v>1</v>
      </c>
      <c r="AC123">
        <v>4</v>
      </c>
      <c r="AD123" s="32">
        <f>IFERROR(12/Crops[[#This Row],[Spacing]]*Crops[[#This Row],[Rows]]*BedLength,"")</f>
        <v>33.333333333333329</v>
      </c>
      <c r="AE123">
        <v>1</v>
      </c>
      <c r="AG123">
        <f>IF(Crops[[#This Row],[Custom Safety Factor]]="",PlantingSafetyFactor,Crops[[#This Row],[Custom Safety Factor]])</f>
        <v>1.3</v>
      </c>
      <c r="AH123">
        <f>1</f>
        <v>1</v>
      </c>
      <c r="AI123" s="33">
        <f>IFERROR(Crops[[#This Row],[Plantings Per Bed]]*Crops[[#This Row],[Seeds Per Planting]]*Crops[[#This Row],[Safety Factor]]*Crops[[#This Row],[Seeding Factor]],"")</f>
        <v>43.333333333333329</v>
      </c>
      <c r="AJ123">
        <v>21</v>
      </c>
      <c r="AK123">
        <v>28</v>
      </c>
      <c r="AL123">
        <f>_xlfn.FLOOR.MATH(IFERROR(AVERAGE(Crops[[#This Row],[DTG Lower]:[DTG Upper]]),0))</f>
        <v>24</v>
      </c>
      <c r="AM123">
        <f>SUM(Crops[[#This Row],[Tray 1 Days]],Crops[[#This Row],[Tray 2 Days]],Crops[[#This Row],[Tray 3 Days]])</f>
        <v>40</v>
      </c>
      <c r="AN123" s="32">
        <v>40</v>
      </c>
      <c r="AP123">
        <v>90</v>
      </c>
      <c r="AQ123">
        <f>IFERROR(_xlfn.FLOOR.MATH(AVERAGE(Crops[[#This Row],[DTM Lower]:[DTM Upper]])),"")</f>
        <v>90</v>
      </c>
      <c r="AR123" cm="1">
        <f t="array" ref="AR123">_xlfn.SWITCH(Crops[[#This Row],[Normal Method]],"DS",Crops[[#This Row],[Days to Germination]]+Crops[[#This Row],[DTM]] + IF(Crops[[#This Row],[Days in Cells]]&gt;0,15,0), "TP",Crops[[#This Row],[DTM]]+Crops[[#This Row],[Days in Cells]] + IF(Crops[[#This Row],[Days in Cells]]&lt;=0,20,0), "X", Crops[[#This Row],[DTM]])</f>
        <v>130</v>
      </c>
      <c r="AS123" t="s">
        <v>346</v>
      </c>
      <c r="AT123">
        <f>(Crops[[#This Row],[Harvests]]-1)*Crops[[#This Row],[Days Between Harvest]]+7</f>
        <v>28</v>
      </c>
      <c r="AU123">
        <f>Crops[[#This Row],[STH]]-Crops[[#This Row],[Days in Cells]]+Crops[[#This Row],[Harvest window]]</f>
        <v>118</v>
      </c>
      <c r="AX123">
        <v>72</v>
      </c>
      <c r="AY123">
        <v>40</v>
      </c>
      <c r="AZ123" s="49">
        <f>IFERROR(IF(Crops[[#This Row],[Tray 1 Days]]=0,"",Crops[[#This Row],[Plantings Per Bed]]/Crops[[#This Row],[Tray 1 Size]]*Crops[[#This Row],[Safety Factor]]),"")</f>
        <v>0.60185185185185175</v>
      </c>
      <c r="BC123" t="str">
        <f>IFERROR(IF(Crops[[#This Row],[Tray 2 Days]]=0,"",Crops[[#This Row],[Plantings Per Bed]]/Crops[[#This Row],[Tray 2 Size]]*Crops[[#This Row],[Safety Factor]]),"")</f>
        <v/>
      </c>
      <c r="BE123" s="32" t="str">
        <f>IF(NOT(ISBLANK(Crops[[#This Row],[Tray 3 Size]])), Crops[[#This Row],[Days in Cells Old]]-SUM(Crops[[#This Row],[Tray 1 Days]],Crops[[#This Row],[Tray 2 Days]]), "")</f>
        <v/>
      </c>
      <c r="BF123" s="49" t="str">
        <f>IFERROR(IF(Crops[[#This Row],[Tray 3 Days]]=0,"",Crops[[#This Row],[Plantings Per Bed]]/Crops[[#This Row],[Tray 3 Size]]*Crops[[#This Row],[Safety Factor]]),"")</f>
        <v/>
      </c>
      <c r="BG123" s="33">
        <f>Crops[[#This Row],[Plantings Per Bed]]*8/Crops[[#This Row],[Harvests]]</f>
        <v>66.666666666666657</v>
      </c>
      <c r="BH123" s="33">
        <v>4</v>
      </c>
      <c r="BI123" s="33">
        <v>7</v>
      </c>
      <c r="BJ123" s="33">
        <f>_xlfn.XLOOKUP(Crops[[#This Row],[ProductIndex]],Products[ID],Products[Holding Period])</f>
        <v>0</v>
      </c>
      <c r="BK123" s="33"/>
      <c r="BL123" s="33">
        <f>Crops[[#This Row],[Units Per Harvest]]*Crops[[#This Row],[Harvests]]</f>
        <v>266.66666666666663</v>
      </c>
      <c r="BM123" s="35">
        <v>3</v>
      </c>
      <c r="BN123" s="35">
        <f>Crops[[#This Row],[Direct Price]]*0.6</f>
        <v>1.7999999999999998</v>
      </c>
      <c r="BO123" s="35"/>
      <c r="BP123" t="s">
        <v>213</v>
      </c>
      <c r="BQ123">
        <f>Crops[[#This Row],[Custom Yield Per Bed]]*Crops[[#This Row],[Direct Price]]</f>
        <v>799.99999999999989</v>
      </c>
      <c r="BR123" t="b">
        <v>0</v>
      </c>
      <c r="BS123" t="b">
        <f>Crops[[#This Row],[Harvests]]&gt;1</f>
        <v>1</v>
      </c>
      <c r="BT123" s="36">
        <f>IFERROR(Crops[[#This Row],[Direct Revenue Per Bed]]/Crops[[#This Row],[Days In Field]],-1)</f>
        <v>6.7796610169491514</v>
      </c>
      <c r="BU123" s="36">
        <f>IFERROR(Crops[[#This Row],[Direct Revenue Per Bed Day]]*GrowingDays*BedsPerAcre,"")</f>
        <v>195254.23728813557</v>
      </c>
      <c r="BV123" s="38">
        <f>LastFrostDate-5*Crops[[#This Row],[Sewing Rel Last Frost]]</f>
        <v>45738</v>
      </c>
      <c r="BW123" s="38">
        <f>Crops[[#This Row],[Target Sewing Date]]+Crops[[#This Row],[Days in Cells]]</f>
        <v>45778</v>
      </c>
      <c r="BX123" s="38">
        <f>Crops[[#This Row],[Target Sewing Date]]+Crops[[#This Row],[STH]]</f>
        <v>45868</v>
      </c>
      <c r="BY123" s="38">
        <f>Crops[[#This Row],[Target Harvest Data]]+Crops[[#This Row],[Harvest window]]</f>
        <v>45896</v>
      </c>
      <c r="BZ123">
        <v>2</v>
      </c>
      <c r="CB123">
        <f>1</f>
        <v>1</v>
      </c>
      <c r="CC123">
        <f>IF(Crops[[#This Row],[Transplanting]]&gt;0, 2, 3)*BedLength/StandardBedLength</f>
        <v>1</v>
      </c>
      <c r="CD123" s="173">
        <f>IF(Crops[[#This Row],[Days in Cells]]&lt;=0,0,Crops[[#This Row],[Plantings Per Bed]]/StartsPerHourSeeding+Crops[[#This Row],[Tray 1 Count]]*5/60)</f>
        <v>0.18036265432098764</v>
      </c>
      <c r="CE123" s="173">
        <f>IF(ISBLANK(Crops[[#This Row],[Tray 2 Days]]),0,Crops[[#This Row],[Plantings Per Bed]]/UpPottingPerHour)+IF(Crops[[#This Row],[Tray 3 Days]]="",0,Crops[[#This Row],[Plantings Per Bed]]/UpPottingPerHour)</f>
        <v>0</v>
      </c>
      <c r="CF123" s="173">
        <f>IFERROR(Crops[[#This Row],[Tray 1 Count]]/HomeStartFlatIrrigationPerHour,0)*Crops[[#This Row],[Days in Cells]]/DaysBetweenStartIrrigation</f>
        <v>0.10030864197530862</v>
      </c>
      <c r="CG123" s="173">
        <f>0.5/16*MAX(Crops[[#This Row],[Tray 1 Count]],Crops[[#This Row],[Tray 2 Count]],Crops[[#This Row],[Tray 3 Count]])</f>
        <v>1.8807870370370367E-2</v>
      </c>
      <c r="CH123" s="173">
        <f>IF(Crops[[#This Row],[Days in Cells]]&gt;0,IF(IF(Crops[[#This Row],[Tray 3 Size]]&gt;0,Crops[[#This Row],[Tray 3 Size]],IF(Crops[[#This Row],[Tray 2 Size]]&gt;0,Crops[[#This Row],[Tray 2 Size]],Crops[[#This Row],[Tray 1 Size]]))&lt;=18,LargeTransplantTime,SmallTransplantTime)*Crops[[#This Row],[Plantings Per Bed]],0)</f>
        <v>0.16666666666666666</v>
      </c>
      <c r="CI123" s="173"/>
      <c r="CJ123" s="173">
        <f>_xlfn.XLOOKUP(Crops[[#This Row],[Trellis Type]],TrellisMethods[Trellis Type],TrellisMethods[Hours],0,0)</f>
        <v>0</v>
      </c>
      <c r="CK123">
        <f>IF(Crops[[#This Row],[Days in Cells]]&lt;=0,Crops[[#This Row],[Rows]]*1/10,0)*BedLength/50</f>
        <v>0</v>
      </c>
      <c r="CL123" cm="1">
        <f t="array" ref="CL123">_xlfn.SWITCH(Crops[[#This Row],[Irrigation]],"DR", 0.5, "OH", 0.25,0)*BedLength/50</f>
        <v>0</v>
      </c>
      <c r="CM123">
        <f>IF(OR(ISBLANK(Crops[[#This Row],[Row Cover]]),Crops[[#This Row],[Row Cover]]="None"),0,1)*BedLength/50</f>
        <v>0</v>
      </c>
      <c r="CN123" s="173">
        <f>HoursPerWeedingPass*Crops[[#This Row],[Days In Field]]/14*Crops[[#This Row],[Rows]]+1*BedLength/50</f>
        <v>2.4047619047619047</v>
      </c>
      <c r="CQ123" s="37">
        <f>_xlfn.XLOOKUP(Crops[[#This Row],[Crop]]&amp;Crops[[#This Row],[Product]]&amp;Crops[[#This Row],[Unit]],Products[ID],Products[Marketing (hr)])*Crops[[#This Row],[Direct Revenue Per Bed]]/2000</f>
        <v>2.3999999999999995</v>
      </c>
      <c r="CR123" s="37">
        <f>_xlfn.XLOOKUP(Crops[[#This Row],[Crop]]&amp;Crops[[#This Row],[Product]]&amp;Crops[[#This Row],[Unit]],Products[ID],Products[Harvest (s)])*Crops[[#This Row],[Custom Yield Per Bed]]/3600</f>
        <v>0.74074074074074059</v>
      </c>
      <c r="CS123" s="37">
        <f>_xlfn.XLOOKUP(Crops[[#This Row],[Crop]]&amp;Crops[[#This Row],[Product]]&amp;Crops[[#This Row],[Unit]],Products[ID],Products[Bunch (s)])*Crops[[#This Row],[Custom Yield Per Bed]]/3600</f>
        <v>0</v>
      </c>
      <c r="CT123" s="37">
        <f>_xlfn.XLOOKUP(Crops[[#This Row],[Crop]]&amp;Crops[[#This Row],[Product]]&amp;Crops[[#This Row],[Unit]],Products[ID],Products[Haul (s)])*Crops[[#This Row],[Custom Yield Per Bed]]/3600</f>
        <v>0.26666666666666661</v>
      </c>
      <c r="CU123" s="37">
        <f>_xlfn.XLOOKUP(Crops[[#This Row],[Crop]]&amp;Crops[[#This Row],[Product]]&amp;Crops[[#This Row],[Unit]],Products[ID],Products[Wash (s)])*Crops[[#This Row],[Custom Yield Per Bed]]/3600</f>
        <v>0</v>
      </c>
      <c r="CV123" s="37">
        <f>_xlfn.XLOOKUP(Crops[[#This Row],[Crop]]&amp;Crops[[#This Row],[Product]]&amp;Crops[[#This Row],[Unit]],Products[ID],Products[Condition (s)])*Crops[[#This Row],[Custom Yield Per Bed]]/3600</f>
        <v>0</v>
      </c>
      <c r="CW123" s="37">
        <f>_xlfn.XLOOKUP(Crops[[#This Row],[Crop]]&amp;Crops[[#This Row],[Product]]&amp;Crops[[#This Row],[Unit]],Products[ID],Products[Trim (s)])*Crops[[#This Row],[Custom Yield Per Bed]]/3600</f>
        <v>0.74074074074074059</v>
      </c>
      <c r="CX123" s="37">
        <f>_xlfn.XLOOKUP(Crops[[#This Row],[Crop]]&amp;Crops[[#This Row],[Product]]&amp;Crops[[#This Row],[Unit]],Products[ID],Products[Pack (s)])*Crops[[#This Row],[Custom Yield Per Bed]]/3600</f>
        <v>0.22222222222222218</v>
      </c>
      <c r="CY123" s="37">
        <f>_xlfn.XLOOKUP(Crops[[#This Row],[Crop]]&amp;Crops[[#This Row],[Product]]&amp;Crops[[#This Row],[Unit]],Products[ID],Products[Clean (s)])*Crops[[#This Row],[Custom Yield Per Bed]]/3600</f>
        <v>0</v>
      </c>
      <c r="CZ123" s="37">
        <f>_xlfn.XLOOKUP(Crops[[#This Row],[Crop]]&amp;Crops[[#This Row],[Product]]&amp;Crops[[#This Row],[Unit]],Products[ID],Products[Rehandle (s)])*Crops[[#This Row],[Custom Yield Per Bed]]/3600</f>
        <v>0</v>
      </c>
      <c r="DA123" s="37">
        <f>_xlfn.XLOOKUP(Crops[[#This Row],[Crop]]&amp;Crops[[#This Row],[Product]]&amp;Crops[[#This Row],[Unit]],Products[ID],Products[Market Transport (s)])*Crops[[#This Row],[Custom Yield Per Bed]]/3600</f>
        <v>0.66666666666666652</v>
      </c>
      <c r="DC123" s="37">
        <f>Crops[[#This Row],[Direct Revenue Per Bed2]]</f>
        <v>799.99999999999989</v>
      </c>
      <c r="DD123" s="173">
        <f>_xlfn.AGGREGATE(9,6,Crops[[#This Row],[Bed Prep]:[Remove Crop Residue]])</f>
        <v>8.9079447751322736</v>
      </c>
      <c r="DE123" s="173">
        <f>_xlfn.AGGREGATE(9,6,Crops[[#This Row],[Bed Prep]:[Remove Crop Residue]])-0.75*Crops[[#This Row],[Market &amp; Sell]]</f>
        <v>7.1079447751322737</v>
      </c>
      <c r="DF123" s="36">
        <f>Crops[[#This Row],[Direct Revenue Per Bed2]]/Crops[[#This Row],[Direct Time]]</f>
        <v>89.807471891081718</v>
      </c>
      <c r="DG123" s="36">
        <f>_xlfn.XLOOKUP(Crops[[#This Row],[ProductIndex]],Products[ID],Products[Packaging Cost])*(Crops[[#This Row],[Custom Yield Per Bed]]/_xlfn.XLOOKUP(Crops[[#This Row],[ProductIndex]],Products[ID],Products[Units Per Pack]))</f>
        <v>42.666666666666657</v>
      </c>
      <c r="DH123" s="36"/>
      <c r="DI123" s="36"/>
      <c r="DJ123" s="36"/>
      <c r="DK123" s="36"/>
      <c r="DL123" s="36"/>
      <c r="DM123" s="33">
        <f>IFERROR(Crops[[#This Row],[Custom Yield Per Bed]]*Crops[[#This Row],[Direct Price]],"")</f>
        <v>799.99999999999989</v>
      </c>
      <c r="DN123" s="36">
        <f>Crops[[#This Row],[Direct Time]]*LaborRate</f>
        <v>222.69861937830683</v>
      </c>
      <c r="DO123" s="36">
        <f>SUM(Crops[[#This Row],[Irrigation Cost]])</f>
        <v>0</v>
      </c>
      <c r="DP123" s="36">
        <f>Crops[[#This Row],[Direct Labor Cost]]+Crops[[#This Row],[Direct Non-Labor Cost]]</f>
        <v>222.69861937830683</v>
      </c>
      <c r="DQ123" s="36">
        <f>Crops[[#This Row],[Direct Revenue Per Bed2]]-Crops[[#This Row],[Direct Total Cost]]</f>
        <v>577.30138062169306</v>
      </c>
      <c r="DR123" s="36">
        <f>Crops[[#This Row],[Direct Profit]]*BedsPerAcre</f>
        <v>92368.220899470893</v>
      </c>
      <c r="DS123" s="36">
        <f>Crops[[#This Row],[Direct Profit]]*BedsPerAcre*GrowingDays/Crops[[#This Row],[Days In Field]]</f>
        <v>140900.67594834542</v>
      </c>
      <c r="DT123" s="36">
        <f>Crops[[#This Row],[Direct Profit]]/MIN(Crops[[#This Row],[Days In Field]],GrowingDays)</f>
        <v>4.8923845815397717</v>
      </c>
      <c r="DU123" s="36">
        <f>Crops[[#This Row],[Direct Time]] * BedsPerAcre</f>
        <v>1425.2711640211637</v>
      </c>
      <c r="DV123" s="36">
        <f>(Crops[[#This Row],[Direct Revenue Per Bed2]]-Crops[[#This Row],[Direct Non-Labor Cost]])/Crops[[#This Row],[Direct Time]]</f>
        <v>89.807471891081718</v>
      </c>
      <c r="DW123" s="33">
        <f>IFERROR(Crops[[#This Row],[Custom Yield Per Bed]]*Crops[[#This Row],[Rough Wholesale Price]],"")</f>
        <v>479.99999999999989</v>
      </c>
      <c r="DX123" s="36">
        <f>Crops[[#This Row],[Wholesale Time]]*LaborRate</f>
        <v>177.69861937830683</v>
      </c>
      <c r="DY123" s="36">
        <f>SUM(Crops[[#This Row],[Packaging Costs]:[Irrigation Cost]])</f>
        <v>42.666666666666657</v>
      </c>
      <c r="DZ123" s="36">
        <f>Crops[[#This Row],[Wholesale Labor Cost]]+Crops[[#This Row],[Wholesale Non-Labor Cost]]</f>
        <v>220.36528604497349</v>
      </c>
      <c r="EA123" s="36">
        <f>Crops[[#This Row],[Wholesale Revenue Per Bed]]-Crops[[#This Row],[Wholesale Total Cost]]</f>
        <v>259.63471395502643</v>
      </c>
      <c r="EB123" s="36">
        <f>Crops[[#This Row],[Wholesale Profit]]*BedsPerAcre</f>
        <v>41541.554232804228</v>
      </c>
      <c r="EC123" s="36">
        <f>Crops[[#This Row],[Wholesale Profit]]*BedsPerAcre*GrowingDays/Crops[[#This Row],[Days In Field]]</f>
        <v>63368.472558514928</v>
      </c>
      <c r="ED123" s="36">
        <f>Crops[[#This Row],[Wholesale Time]] * BedsPerAcre</f>
        <v>1137.2711640211637</v>
      </c>
      <c r="EE123" s="36">
        <f>Crops[[#This Row],[Wholesale Profit]]/MIN(Crops[[#This Row],[Days In Field]],GrowingDays)</f>
        <v>2.200294186059546</v>
      </c>
      <c r="EF123" s="36">
        <f>(Crops[[#This Row],[Wholesale Revenue Per Bed]]-Crops[[#This Row],[Wholesale Non-Labor Cost]])/Crops[[#This Row],[Direct Time]]</f>
        <v>49.094751300458</v>
      </c>
      <c r="EG123" s="174">
        <f>Crops[[#This Row],[Packaging Costs]]/Crops[[#This Row],[Wholesale Revenue Per Bed]]</f>
        <v>8.8888888888888892E-2</v>
      </c>
      <c r="EH123" s="36" t="str">
        <f>Crops[[#This Row],[Crop]]&amp;Crops[[#This Row],[Product]]&amp;Crops[[#This Row],[Unit]]</f>
        <v>DropmoreMature StemStem</v>
      </c>
      <c r="EI123" s="36" t="b">
        <f>_xlfn.XLOOKUP(Crops[[#This Row],[ProductIndex]],Products[ID],Products[Target])</f>
        <v>1</v>
      </c>
      <c r="EJ123" s="36">
        <f>Crops[[#This Row],[Custom Yield Per Bed]]</f>
        <v>266.66666666666663</v>
      </c>
      <c r="EK123" s="210">
        <f>Crops[[#This Row],[Units Per Harvest]]/Crops[[#This Row],[Days Between Harvest]]*7</f>
        <v>66.666666666666657</v>
      </c>
      <c r="EL123" s="210" t="e">
        <f>Crops[[#This Row],[Custom Yield Per Bed]]/_xlfn.XLOOKUP(Crops[[#This Row],[ProductIndex]],Products[ID],Products[CSA Portion])</f>
        <v>#DIV/0!</v>
      </c>
      <c r="EM123" s="210" t="e">
        <f>Crops[[#This Row],[Units Per Harvest]]/Crops[[#This Row],[Days Between Harvest]]*7/_xlfn.XLOOKUP(Crops[[#This Row],[ProductIndex]],Products[ID],Products[CSA Portion])</f>
        <v>#DIV/0!</v>
      </c>
      <c r="EN123" s="210" t="e">
        <f>Crops[[#This Row],[CSA Portions Per Week]]/CSAMembers</f>
        <v>#DIV/0!</v>
      </c>
      <c r="EO123" s="210"/>
      <c r="EP123" s="210"/>
      <c r="EQ123" s="36"/>
      <c r="ER123" s="36">
        <f>Crops[[#This Row],[Harvests]]*Crops[[#This Row],[Days Between Harvest]]/7</f>
        <v>4</v>
      </c>
      <c r="ES123" s="208">
        <f>_xlfn.XLOOKUP(Crops[[#This Row],[ProductIndex]],Products[ID],Products[CSA Need])</f>
        <v>0</v>
      </c>
      <c r="ET123" s="208">
        <f>_xlfn.XLOOKUP(Crops[[#This Row],[ProductIndex]],Products[ID],Products[CSA Times])</f>
        <v>0</v>
      </c>
      <c r="EU123" s="208" t="e">
        <f>Crops[[#This Row],[Custom Yield Per Bed]]/(Crops[[#This Row],[CSA Need]]*(_xlfn.XLOOKUP(Crops[[#This Row],[ProductIndex]],Products[ID],Products[CSA Portion])*CSAMembers))</f>
        <v>#DIV/0!</v>
      </c>
      <c r="EV123" s="208">
        <f>_xlfn.XLOOKUP(Crops[[#This Row],[ProductIndex]],Products[ID],Products[CSA Portion])*CSAMembers*Crops[[#This Row],[CSA Need]]/Crops[[#This Row],[Custom Yield Per Bed]]</f>
        <v>0</v>
      </c>
      <c r="EW123" s="208">
        <f>IFERROR(Crops[[#This Row],[Days In Field]]*Crops[[#This Row],[CSA Beds]],"")</f>
        <v>0</v>
      </c>
      <c r="EX123" s="208" t="e">
        <f>Crops[[#This Row],[CSA Bed Days]]*#REF!</f>
        <v>#REF!</v>
      </c>
      <c r="EY123" t="s">
        <v>308</v>
      </c>
    </row>
    <row r="124" spans="1:155">
      <c r="A12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Dropmore (Perennial) - Mature Stem 1X | Field DS </v>
      </c>
      <c r="B124" s="189"/>
      <c r="C124" s="1" t="b">
        <v>1</v>
      </c>
      <c r="D124" s="1"/>
      <c r="E124" s="1" t="b">
        <v>0</v>
      </c>
      <c r="F124" s="1" t="b">
        <f>IFERROR(IF(ISNUMBER(MATCH(Crops[[#This Row],[Identifier]],BedPlan[Crop], 0)), TRUE, FALSE), FALSE)</f>
        <v>0</v>
      </c>
      <c r="G124" s="1" t="b">
        <f>IFERROR(IF(ISNUMBER(MATCH(Crops[[#This Row],[Identifier]],BedPlan[Crop], 0)), TRUE, FALSE), FALSE)</f>
        <v>0</v>
      </c>
      <c r="H124" s="1"/>
      <c r="I124" t="s">
        <v>142</v>
      </c>
      <c r="J124" t="s">
        <v>1521</v>
      </c>
      <c r="K124" t="s">
        <v>181</v>
      </c>
      <c r="M124" t="s">
        <v>406</v>
      </c>
      <c r="N124" t="str">
        <f>Crops[[#This Row],[Crop]]</f>
        <v>Dropmore</v>
      </c>
      <c r="O124" t="s">
        <v>210</v>
      </c>
      <c r="P124" t="str">
        <f>IF(OR(Crops[[#This Row],[Days in Cells]]="",Crops[[#This Row],[Days in Cells]]=0), "DS","TP")</f>
        <v>DS</v>
      </c>
      <c r="V124" t="str">
        <f xml:space="preserve"> IF(Crops[[#This Row],[Sp]], "Sp", "") &amp; IF(Crops[[#This Row],[Su]], "Su", "") &amp; IF(Crops[[#This Row],[Fa]], "Fa", "") &amp; IF(Crops[[#This Row],[Wi]], "Wi", "") &amp; IF(Crops[[#This Row],[OW]], "Ow","")</f>
        <v/>
      </c>
      <c r="X124">
        <v>1</v>
      </c>
      <c r="Y124">
        <v>18</v>
      </c>
      <c r="AA124" t="s">
        <v>474</v>
      </c>
      <c r="AB124" t="b">
        <v>1</v>
      </c>
      <c r="AC124">
        <v>4</v>
      </c>
      <c r="AD124" s="32">
        <f>IFERROR(12/Crops[[#This Row],[Spacing]]*Crops[[#This Row],[Rows]]*BedLength,"")</f>
        <v>33.333333333333329</v>
      </c>
      <c r="AE124">
        <v>1</v>
      </c>
      <c r="AI124" s="33">
        <f>IFERROR(Crops[[#This Row],[Plantings Per Bed]]*Crops[[#This Row],[Seeds Per Planting]]*Crops[[#This Row],[Safety Factor]]*Crops[[#This Row],[Seeding Factor]],"")</f>
        <v>0</v>
      </c>
      <c r="AL124">
        <f>_xlfn.FLOOR.MATH(IFERROR(AVERAGE(Crops[[#This Row],[DTG Lower]:[DTG Upper]]),0))</f>
        <v>0</v>
      </c>
      <c r="AM124">
        <f>SUM(Crops[[#This Row],[Tray 1 Days]],Crops[[#This Row],[Tray 2 Days]],Crops[[#This Row],[Tray 3 Days]])</f>
        <v>0</v>
      </c>
      <c r="AN124" s="32">
        <v>40</v>
      </c>
      <c r="AP124">
        <v>135</v>
      </c>
      <c r="AQ124">
        <f>IFERROR(_xlfn.FLOOR.MATH(AVERAGE(Crops[[#This Row],[DTM Lower]:[DTM Upper]])),"")</f>
        <v>135</v>
      </c>
      <c r="AR124" cm="1">
        <f t="array" ref="AR124">_xlfn.SWITCH(Crops[[#This Row],[Normal Method]],"DS",Crops[[#This Row],[Days to Germination]]+Crops[[#This Row],[DTM]] + IF(Crops[[#This Row],[Days in Cells]]&gt;0,15,0), "TP",Crops[[#This Row],[DTM]]+Crops[[#This Row],[Days in Cells]] + IF(Crops[[#This Row],[Days in Cells]]&lt;=0,20,0), "X", Crops[[#This Row],[DTM]])</f>
        <v>135</v>
      </c>
      <c r="AS124" t="s">
        <v>347</v>
      </c>
      <c r="AT124">
        <f>(Crops[[#This Row],[Harvests]]-1)*Crops[[#This Row],[Days Between Harvest]]+7</f>
        <v>28</v>
      </c>
      <c r="AU124">
        <f>Crops[[#This Row],[STH]]-Crops[[#This Row],[Days in Cells]]+Crops[[#This Row],[Harvest window]]</f>
        <v>163</v>
      </c>
      <c r="AZ124" s="49" t="str">
        <f>IFERROR(IF(Crops[[#This Row],[Tray 1 Days]]=0,"",Crops[[#This Row],[Plantings Per Bed]]/Crops[[#This Row],[Tray 1 Size]]*Crops[[#This Row],[Safety Factor]]),"")</f>
        <v/>
      </c>
      <c r="BC124" t="str">
        <f>IFERROR(IF(Crops[[#This Row],[Tray 2 Days]]=0,"",Crops[[#This Row],[Plantings Per Bed]]/Crops[[#This Row],[Tray 2 Size]]*Crops[[#This Row],[Safety Factor]]),"")</f>
        <v/>
      </c>
      <c r="BE124" s="32" t="str">
        <f>IF(NOT(ISBLANK(Crops[[#This Row],[Tray 3 Size]])), Crops[[#This Row],[Days in Cells Old]]-SUM(Crops[[#This Row],[Tray 1 Days]],Crops[[#This Row],[Tray 2 Days]]), "")</f>
        <v/>
      </c>
      <c r="BF124" s="49" t="str">
        <f>IFERROR(IF(Crops[[#This Row],[Tray 3 Days]]=0,"",Crops[[#This Row],[Plantings Per Bed]]/Crops[[#This Row],[Tray 3 Size]]*Crops[[#This Row],[Safety Factor]]),"")</f>
        <v/>
      </c>
      <c r="BG124" s="33">
        <f>Crops[[#This Row],[Plantings Per Bed]]*8/Crops[[#This Row],[Harvests]]</f>
        <v>66.666666666666657</v>
      </c>
      <c r="BH124" s="33">
        <v>4</v>
      </c>
      <c r="BI124" s="33">
        <v>7</v>
      </c>
      <c r="BJ124" s="33">
        <f>_xlfn.XLOOKUP(Crops[[#This Row],[ProductIndex]],Products[ID],Products[Holding Period])</f>
        <v>0</v>
      </c>
      <c r="BK124" s="33"/>
      <c r="BL124" s="33">
        <f>Crops[[#This Row],[Units Per Harvest]]*Crops[[#This Row],[Harvests]]</f>
        <v>266.66666666666663</v>
      </c>
      <c r="BM124" s="35">
        <v>3</v>
      </c>
      <c r="BN124" s="35">
        <f>Crops[[#This Row],[Direct Price]]*0.6</f>
        <v>1.7999999999999998</v>
      </c>
      <c r="BO124" s="35"/>
      <c r="BP124" t="s">
        <v>213</v>
      </c>
      <c r="BQ124">
        <f>Crops[[#This Row],[Custom Yield Per Bed]]*Crops[[#This Row],[Direct Price]]</f>
        <v>799.99999999999989</v>
      </c>
      <c r="BR124" t="b">
        <v>0</v>
      </c>
      <c r="BS124" t="b">
        <f>Crops[[#This Row],[Harvests]]&gt;1</f>
        <v>1</v>
      </c>
      <c r="BT124" s="36">
        <f>IFERROR(Crops[[#This Row],[Direct Revenue Per Bed]]/Crops[[#This Row],[Days In Field]],-1)</f>
        <v>4.9079754601226986</v>
      </c>
      <c r="BU124" s="36">
        <f>IFERROR(Crops[[#This Row],[Direct Revenue Per Bed Day]]*GrowingDays*BedsPerAcre,"")</f>
        <v>141349.69325153372</v>
      </c>
      <c r="BV124" s="38">
        <f>LastFrostDate-5*Crops[[#This Row],[Sewing Rel Last Frost]]</f>
        <v>45683</v>
      </c>
      <c r="BW124" s="38">
        <f>Crops[[#This Row],[Target Sewing Date]]+Crops[[#This Row],[Days in Cells]]</f>
        <v>45683</v>
      </c>
      <c r="BX124" s="38">
        <f>Crops[[#This Row],[Target Sewing Date]]+Crops[[#This Row],[STH]]</f>
        <v>45818</v>
      </c>
      <c r="BY124" s="38">
        <f>Crops[[#This Row],[Target Harvest Data]]+Crops[[#This Row],[Harvest window]]</f>
        <v>45846</v>
      </c>
      <c r="BZ124">
        <v>13</v>
      </c>
      <c r="CB124">
        <f>1</f>
        <v>1</v>
      </c>
      <c r="CC124">
        <f>IF(Crops[[#This Row],[Transplanting]]&gt;0, 2, 3)*BedLength/StandardBedLength</f>
        <v>1.5</v>
      </c>
      <c r="CD124" s="173">
        <f>IF(Crops[[#This Row],[Days in Cells]]&lt;=0,0,Crops[[#This Row],[Plantings Per Bed]]/StartsPerHourSeeding+Crops[[#This Row],[Tray 1 Count]]*5/60)</f>
        <v>0</v>
      </c>
      <c r="CE124" s="173">
        <f>IF(ISBLANK(Crops[[#This Row],[Tray 2 Days]]),0,Crops[[#This Row],[Plantings Per Bed]]/UpPottingPerHour)+IF(Crops[[#This Row],[Tray 3 Days]]="",0,Crops[[#This Row],[Plantings Per Bed]]/UpPottingPerHour)</f>
        <v>0</v>
      </c>
      <c r="CF124" s="173">
        <f>IFERROR(Crops[[#This Row],[Tray 1 Count]]/HomeStartFlatIrrigationPerHour,0)*Crops[[#This Row],[Days in Cells]]/DaysBetweenStartIrrigation</f>
        <v>0</v>
      </c>
      <c r="CG124" s="173">
        <f>0.5/16*MAX(Crops[[#This Row],[Tray 1 Count]],Crops[[#This Row],[Tray 2 Count]],Crops[[#This Row],[Tray 3 Count]])</f>
        <v>0</v>
      </c>
      <c r="CH124" s="173">
        <f>IF(Crops[[#This Row],[Days in Cells]]&gt;0,IF(IF(Crops[[#This Row],[Tray 3 Size]]&gt;0,Crops[[#This Row],[Tray 3 Size]],IF(Crops[[#This Row],[Tray 2 Size]]&gt;0,Crops[[#This Row],[Tray 2 Size]],Crops[[#This Row],[Tray 1 Size]]))&lt;=18,LargeTransplantTime,SmallTransplantTime)*Crops[[#This Row],[Plantings Per Bed]],0)</f>
        <v>0</v>
      </c>
      <c r="CI124" s="173"/>
      <c r="CJ124" s="173">
        <f>_xlfn.XLOOKUP(Crops[[#This Row],[Trellis Type]],TrellisMethods[Trellis Type],TrellisMethods[Hours],0,0)</f>
        <v>0</v>
      </c>
      <c r="CK124">
        <f>IF(Crops[[#This Row],[Days in Cells]]&lt;=0,Crops[[#This Row],[Rows]]*1/10,0)*BedLength/50</f>
        <v>0.1</v>
      </c>
      <c r="CL124" cm="1">
        <f t="array" ref="CL124">_xlfn.SWITCH(Crops[[#This Row],[Irrigation]],"DR", 0.5, "OH", 0.25,0)*BedLength/50</f>
        <v>0</v>
      </c>
      <c r="CM124">
        <f>IF(OR(ISBLANK(Crops[[#This Row],[Row Cover]]),Crops[[#This Row],[Row Cover]]="None"),0,1)*BedLength/50</f>
        <v>0</v>
      </c>
      <c r="CN124" s="173">
        <f>HoursPerWeedingPass*Crops[[#This Row],[Days In Field]]/14*Crops[[#This Row],[Rows]]+1*BedLength/50</f>
        <v>2.9404761904761902</v>
      </c>
      <c r="CQ124" s="37">
        <f>_xlfn.XLOOKUP(Crops[[#This Row],[Crop]]&amp;Crops[[#This Row],[Product]]&amp;Crops[[#This Row],[Unit]],Products[ID],Products[Marketing (hr)])*Crops[[#This Row],[Direct Revenue Per Bed]]/2000</f>
        <v>2.3999999999999995</v>
      </c>
      <c r="CR124" s="37">
        <f>_xlfn.XLOOKUP(Crops[[#This Row],[Crop]]&amp;Crops[[#This Row],[Product]]&amp;Crops[[#This Row],[Unit]],Products[ID],Products[Harvest (s)])*Crops[[#This Row],[Custom Yield Per Bed]]/3600</f>
        <v>0.74074074074074059</v>
      </c>
      <c r="CS124" s="37">
        <f>_xlfn.XLOOKUP(Crops[[#This Row],[Crop]]&amp;Crops[[#This Row],[Product]]&amp;Crops[[#This Row],[Unit]],Products[ID],Products[Bunch (s)])*Crops[[#This Row],[Custom Yield Per Bed]]/3600</f>
        <v>0</v>
      </c>
      <c r="CT124" s="37">
        <f>_xlfn.XLOOKUP(Crops[[#This Row],[Crop]]&amp;Crops[[#This Row],[Product]]&amp;Crops[[#This Row],[Unit]],Products[ID],Products[Haul (s)])*Crops[[#This Row],[Custom Yield Per Bed]]/3600</f>
        <v>0.26666666666666661</v>
      </c>
      <c r="CU124" s="37">
        <f>_xlfn.XLOOKUP(Crops[[#This Row],[Crop]]&amp;Crops[[#This Row],[Product]]&amp;Crops[[#This Row],[Unit]],Products[ID],Products[Wash (s)])*Crops[[#This Row],[Custom Yield Per Bed]]/3600</f>
        <v>0</v>
      </c>
      <c r="CV124" s="37">
        <f>_xlfn.XLOOKUP(Crops[[#This Row],[Crop]]&amp;Crops[[#This Row],[Product]]&amp;Crops[[#This Row],[Unit]],Products[ID],Products[Condition (s)])*Crops[[#This Row],[Custom Yield Per Bed]]/3600</f>
        <v>0</v>
      </c>
      <c r="CW124" s="37">
        <f>_xlfn.XLOOKUP(Crops[[#This Row],[Crop]]&amp;Crops[[#This Row],[Product]]&amp;Crops[[#This Row],[Unit]],Products[ID],Products[Trim (s)])*Crops[[#This Row],[Custom Yield Per Bed]]/3600</f>
        <v>0.74074074074074059</v>
      </c>
      <c r="CX124" s="37">
        <f>_xlfn.XLOOKUP(Crops[[#This Row],[Crop]]&amp;Crops[[#This Row],[Product]]&amp;Crops[[#This Row],[Unit]],Products[ID],Products[Pack (s)])*Crops[[#This Row],[Custom Yield Per Bed]]/3600</f>
        <v>0.22222222222222218</v>
      </c>
      <c r="CY124" s="37">
        <f>_xlfn.XLOOKUP(Crops[[#This Row],[Crop]]&amp;Crops[[#This Row],[Product]]&amp;Crops[[#This Row],[Unit]],Products[ID],Products[Clean (s)])*Crops[[#This Row],[Custom Yield Per Bed]]/3600</f>
        <v>0</v>
      </c>
      <c r="CZ124" s="37">
        <f>_xlfn.XLOOKUP(Crops[[#This Row],[Crop]]&amp;Crops[[#This Row],[Product]]&amp;Crops[[#This Row],[Unit]],Products[ID],Products[Rehandle (s)])*Crops[[#This Row],[Custom Yield Per Bed]]/3600</f>
        <v>0</v>
      </c>
      <c r="DA124" s="37">
        <f>_xlfn.XLOOKUP(Crops[[#This Row],[Crop]]&amp;Crops[[#This Row],[Product]]&amp;Crops[[#This Row],[Unit]],Products[ID],Products[Market Transport (s)])*Crops[[#This Row],[Custom Yield Per Bed]]/3600</f>
        <v>0.66666666666666652</v>
      </c>
      <c r="DC124" s="37">
        <f>Crops[[#This Row],[Direct Revenue Per Bed2]]</f>
        <v>799.99999999999989</v>
      </c>
      <c r="DD124" s="173">
        <f>_xlfn.AGGREGATE(9,6,Crops[[#This Row],[Bed Prep]:[Remove Crop Residue]])</f>
        <v>9.5775132275132258</v>
      </c>
      <c r="DE124" s="173">
        <f>_xlfn.AGGREGATE(9,6,Crops[[#This Row],[Bed Prep]:[Remove Crop Residue]])-0.75*Crops[[#This Row],[Market &amp; Sell]]</f>
        <v>7.7775132275132259</v>
      </c>
      <c r="DF124" s="36">
        <f>Crops[[#This Row],[Direct Revenue Per Bed2]]/Crops[[#This Row],[Direct Time]]</f>
        <v>83.528989310278163</v>
      </c>
      <c r="DG124" s="36">
        <f>_xlfn.XLOOKUP(Crops[[#This Row],[ProductIndex]],Products[ID],Products[Packaging Cost])*(Crops[[#This Row],[Custom Yield Per Bed]]/_xlfn.XLOOKUP(Crops[[#This Row],[ProductIndex]],Products[ID],Products[Units Per Pack]))</f>
        <v>42.666666666666657</v>
      </c>
      <c r="DH124" s="36"/>
      <c r="DI124" s="36"/>
      <c r="DJ124" s="36"/>
      <c r="DK124" s="36"/>
      <c r="DL124" s="36"/>
      <c r="DM124" s="33">
        <f>IFERROR(Crops[[#This Row],[Custom Yield Per Bed]]*Crops[[#This Row],[Direct Price]],"")</f>
        <v>799.99999999999989</v>
      </c>
      <c r="DN124" s="36">
        <f>Crops[[#This Row],[Direct Time]]*LaborRate</f>
        <v>239.43783068783065</v>
      </c>
      <c r="DO124" s="36">
        <f>SUM(Crops[[#This Row],[Irrigation Cost]])</f>
        <v>0</v>
      </c>
      <c r="DP124" s="36">
        <f>Crops[[#This Row],[Direct Labor Cost]]+Crops[[#This Row],[Direct Non-Labor Cost]]</f>
        <v>239.43783068783065</v>
      </c>
      <c r="DQ124" s="36">
        <f>Crops[[#This Row],[Direct Revenue Per Bed2]]-Crops[[#This Row],[Direct Total Cost]]</f>
        <v>560.5621693121692</v>
      </c>
      <c r="DR124" s="36">
        <f>Crops[[#This Row],[Direct Profit]]*BedsPerAcre</f>
        <v>89689.947089947076</v>
      </c>
      <c r="DS124" s="36">
        <f>Crops[[#This Row],[Direct Profit]]*BedsPerAcre*GrowingDays/Crops[[#This Row],[Days In Field]]</f>
        <v>99044.113350861808</v>
      </c>
      <c r="DT124" s="36">
        <f>Crops[[#This Row],[Direct Profit]]/MIN(Crops[[#This Row],[Days In Field]],GrowingDays)</f>
        <v>3.4390317135715902</v>
      </c>
      <c r="DU124" s="36">
        <f>Crops[[#This Row],[Direct Time]] * BedsPerAcre</f>
        <v>1532.402116402116</v>
      </c>
      <c r="DV124" s="36">
        <f>(Crops[[#This Row],[Direct Revenue Per Bed2]]-Crops[[#This Row],[Direct Non-Labor Cost]])/Crops[[#This Row],[Direct Time]]</f>
        <v>83.528989310278163</v>
      </c>
      <c r="DW124" s="33">
        <f>IFERROR(Crops[[#This Row],[Custom Yield Per Bed]]*Crops[[#This Row],[Rough Wholesale Price]],"")</f>
        <v>479.99999999999989</v>
      </c>
      <c r="DX124" s="36">
        <f>Crops[[#This Row],[Wholesale Time]]*LaborRate</f>
        <v>194.43783068783065</v>
      </c>
      <c r="DY124" s="36">
        <f>SUM(Crops[[#This Row],[Packaging Costs]:[Irrigation Cost]])</f>
        <v>42.666666666666657</v>
      </c>
      <c r="DZ124" s="36">
        <f>Crops[[#This Row],[Wholesale Labor Cost]]+Crops[[#This Row],[Wholesale Non-Labor Cost]]</f>
        <v>237.10449735449731</v>
      </c>
      <c r="EA124" s="36">
        <f>Crops[[#This Row],[Wholesale Revenue Per Bed]]-Crops[[#This Row],[Wholesale Total Cost]]</f>
        <v>242.89550264550257</v>
      </c>
      <c r="EB124" s="36">
        <f>Crops[[#This Row],[Wholesale Profit]]*BedsPerAcre</f>
        <v>38863.280423280412</v>
      </c>
      <c r="EC124" s="36">
        <f>Crops[[#This Row],[Wholesale Profit]]*BedsPerAcre*GrowingDays/Crops[[#This Row],[Days In Field]]</f>
        <v>42916.505988898614</v>
      </c>
      <c r="ED124" s="36">
        <f>Crops[[#This Row],[Wholesale Time]] * BedsPerAcre</f>
        <v>1244.4021164021162</v>
      </c>
      <c r="EE124" s="36">
        <f>Crops[[#This Row],[Wholesale Profit]]/MIN(Crops[[#This Row],[Days In Field]],GrowingDays)</f>
        <v>1.4901564579478686</v>
      </c>
      <c r="EF124" s="36">
        <f>(Crops[[#This Row],[Wholesale Revenue Per Bed]]-Crops[[#This Row],[Wholesale Non-Labor Cost]])/Crops[[#This Row],[Direct Time]]</f>
        <v>45.66251415628539</v>
      </c>
      <c r="EG124" s="174">
        <f>Crops[[#This Row],[Packaging Costs]]/Crops[[#This Row],[Wholesale Revenue Per Bed]]</f>
        <v>8.8888888888888892E-2</v>
      </c>
      <c r="EH124" s="36" t="str">
        <f>Crops[[#This Row],[Crop]]&amp;Crops[[#This Row],[Product]]&amp;Crops[[#This Row],[Unit]]</f>
        <v>DropmoreMature StemStem</v>
      </c>
      <c r="EI124" s="36" t="b">
        <f>_xlfn.XLOOKUP(Crops[[#This Row],[ProductIndex]],Products[ID],Products[Target])</f>
        <v>1</v>
      </c>
      <c r="EJ124" s="36">
        <f>Crops[[#This Row],[Custom Yield Per Bed]]</f>
        <v>266.66666666666663</v>
      </c>
      <c r="EK124" s="210">
        <f>Crops[[#This Row],[Units Per Harvest]]/Crops[[#This Row],[Days Between Harvest]]*7</f>
        <v>66.666666666666657</v>
      </c>
      <c r="EL124" s="210" t="e">
        <f>Crops[[#This Row],[Custom Yield Per Bed]]/_xlfn.XLOOKUP(Crops[[#This Row],[ProductIndex]],Products[ID],Products[CSA Portion])</f>
        <v>#DIV/0!</v>
      </c>
      <c r="EM124" s="210" t="e">
        <f>Crops[[#This Row],[Units Per Harvest]]/Crops[[#This Row],[Days Between Harvest]]*7/_xlfn.XLOOKUP(Crops[[#This Row],[ProductIndex]],Products[ID],Products[CSA Portion])</f>
        <v>#DIV/0!</v>
      </c>
      <c r="EN124" s="210" t="e">
        <f>Crops[[#This Row],[CSA Portions Per Week]]/CSAMembers</f>
        <v>#DIV/0!</v>
      </c>
      <c r="EO124" s="210"/>
      <c r="EP124" s="210"/>
      <c r="EQ124" s="36"/>
      <c r="ER124" s="36">
        <f>Crops[[#This Row],[Harvests]]*Crops[[#This Row],[Days Between Harvest]]/7</f>
        <v>4</v>
      </c>
      <c r="ES124" s="208">
        <f>_xlfn.XLOOKUP(Crops[[#This Row],[ProductIndex]],Products[ID],Products[CSA Need])</f>
        <v>0</v>
      </c>
      <c r="ET124" s="208">
        <f>_xlfn.XLOOKUP(Crops[[#This Row],[ProductIndex]],Products[ID],Products[CSA Times])</f>
        <v>0</v>
      </c>
      <c r="EU124" s="208" t="e">
        <f>Crops[[#This Row],[Custom Yield Per Bed]]/(Crops[[#This Row],[CSA Need]]*(_xlfn.XLOOKUP(Crops[[#This Row],[ProductIndex]],Products[ID],Products[CSA Portion])*CSAMembers))</f>
        <v>#DIV/0!</v>
      </c>
      <c r="EV124" s="208">
        <f>_xlfn.XLOOKUP(Crops[[#This Row],[ProductIndex]],Products[ID],Products[CSA Portion])*CSAMembers*Crops[[#This Row],[CSA Need]]/Crops[[#This Row],[Custom Yield Per Bed]]</f>
        <v>0</v>
      </c>
      <c r="EW124" s="208">
        <f>IFERROR(Crops[[#This Row],[Days In Field]]*Crops[[#This Row],[CSA Beds]],"")</f>
        <v>0</v>
      </c>
      <c r="EX124" s="208" t="e">
        <f>Crops[[#This Row],[CSA Bed Days]]*#REF!</f>
        <v>#REF!</v>
      </c>
      <c r="EY124" t="s">
        <v>308</v>
      </c>
    </row>
    <row r="125" spans="1:155">
      <c r="A125"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Eggplant - Ripe Fruit 1X | Greenhouse TP </v>
      </c>
      <c r="B125" s="190"/>
      <c r="C125" s="1" t="s">
        <v>2588</v>
      </c>
      <c r="D125" s="1"/>
      <c r="E125" s="1" t="b">
        <v>0</v>
      </c>
      <c r="F125" s="1" t="b">
        <f>IFERROR(IF(ISNUMBER(MATCH(Crops[[#This Row],[Identifier]],BedPlan[Crop], 0)), TRUE, FALSE), FALSE)</f>
        <v>0</v>
      </c>
      <c r="G125" s="1" t="b">
        <f>IFERROR(IF(ISNUMBER(MATCH(Crops[[#This Row],[Identifier]],BedPlan[Crop], 0)), TRUE, FALSE), FALSE)</f>
        <v>0</v>
      </c>
      <c r="H125" s="1"/>
      <c r="I125" t="s">
        <v>76</v>
      </c>
      <c r="J125" t="s">
        <v>145</v>
      </c>
      <c r="K125" t="s">
        <v>191</v>
      </c>
      <c r="M125" t="s">
        <v>76</v>
      </c>
      <c r="N125" t="str">
        <f>Crops[[#This Row],[Crop]]</f>
        <v>Eggplant</v>
      </c>
      <c r="O125" t="s">
        <v>211</v>
      </c>
      <c r="P125" t="str">
        <f>IF(OR(Crops[[#This Row],[Days in Cells]]="",Crops[[#This Row],[Days in Cells]]=0), "DS","TP")</f>
        <v>TP</v>
      </c>
      <c r="V125" t="str">
        <f xml:space="preserve"> IF(Crops[[#This Row],[Sp]], "Sp", "") &amp; IF(Crops[[#This Row],[Su]], "Su", "") &amp; IF(Crops[[#This Row],[Fa]], "Fa", "") &amp; IF(Crops[[#This Row],[Wi]], "Wi", "") &amp; IF(Crops[[#This Row],[OW]], "Ow","")</f>
        <v/>
      </c>
      <c r="W125" t="s">
        <v>144</v>
      </c>
      <c r="X125">
        <v>1</v>
      </c>
      <c r="Y125">
        <v>18</v>
      </c>
      <c r="Z125" t="s">
        <v>432</v>
      </c>
      <c r="AA125" t="s">
        <v>476</v>
      </c>
      <c r="AB125" t="b">
        <v>0</v>
      </c>
      <c r="AC125">
        <v>4</v>
      </c>
      <c r="AD125" s="32">
        <f>IFERROR(12/Crops[[#This Row],[Spacing]]*Crops[[#This Row],[Rows]]*BedLength,"")</f>
        <v>33.333333333333329</v>
      </c>
      <c r="AE125">
        <v>1</v>
      </c>
      <c r="AG125">
        <f>IF(Crops[[#This Row],[Custom Safety Factor]]="",PlantingSafetyFactor,Crops[[#This Row],[Custom Safety Factor]])</f>
        <v>1.3</v>
      </c>
      <c r="AH125">
        <f>1</f>
        <v>1</v>
      </c>
      <c r="AI125" s="33">
        <f>IFERROR(Crops[[#This Row],[Plantings Per Bed]]*Crops[[#This Row],[Seeds Per Planting]]*Crops[[#This Row],[Safety Factor]]*Crops[[#This Row],[Seeding Factor]],"")</f>
        <v>43.333333333333329</v>
      </c>
      <c r="AL125">
        <f>_xlfn.FLOOR.MATH(IFERROR(AVERAGE(Crops[[#This Row],[DTG Lower]:[DTG Upper]]),0))</f>
        <v>0</v>
      </c>
      <c r="AM125">
        <f>SUM(Crops[[#This Row],[Tray 1 Days]],Crops[[#This Row],[Tray 2 Days]],Crops[[#This Row],[Tray 3 Days]])</f>
        <v>51</v>
      </c>
      <c r="AN125" s="32">
        <v>60</v>
      </c>
      <c r="AP125">
        <v>90</v>
      </c>
      <c r="AQ125">
        <f>IFERROR(_xlfn.FLOOR.MATH(AVERAGE(Crops[[#This Row],[DTM Lower]:[DTM Upper]])),"")</f>
        <v>90</v>
      </c>
      <c r="AR125" cm="1">
        <f t="array" ref="AR125">_xlfn.SWITCH(Crops[[#This Row],[Normal Method]],"DS",Crops[[#This Row],[Days to Germination]]+Crops[[#This Row],[DTM]] + IF(Crops[[#This Row],[Days in Cells]]&gt;0,15,0), "TP",Crops[[#This Row],[DTM]]+Crops[[#This Row],[Days in Cells]] + IF(Crops[[#This Row],[Days in Cells]]&lt;=0,20,0), "X", Crops[[#This Row],[DTM]])</f>
        <v>141</v>
      </c>
      <c r="AS125" t="s">
        <v>346</v>
      </c>
      <c r="AT125">
        <f>(Crops[[#This Row],[Harvests]]-1)*Crops[[#This Row],[Days Between Harvest]]+7</f>
        <v>51</v>
      </c>
      <c r="AU125">
        <f>Crops[[#This Row],[STH]]-Crops[[#This Row],[Days in Cells]]+Crops[[#This Row],[Harvest window]]</f>
        <v>141</v>
      </c>
      <c r="AX125">
        <v>128</v>
      </c>
      <c r="AY125">
        <v>21</v>
      </c>
      <c r="AZ125" s="49">
        <f>IFERROR(IF(Crops[[#This Row],[Tray 1 Days]]=0,"",Crops[[#This Row],[Plantings Per Bed]]/Crops[[#This Row],[Tray 1 Size]]*Crops[[#This Row],[Safety Factor]]),"")</f>
        <v>0.33854166666666663</v>
      </c>
      <c r="BA125">
        <v>18</v>
      </c>
      <c r="BB125">
        <v>18</v>
      </c>
      <c r="BC125">
        <f>IFERROR(IF(Crops[[#This Row],[Tray 2 Days]]=0,"",Crops[[#This Row],[Plantings Per Bed]]/Crops[[#This Row],[Tray 2 Size]]*Crops[[#This Row],[Safety Factor]]),"")</f>
        <v>2.407407407407407</v>
      </c>
      <c r="BD125">
        <v>9</v>
      </c>
      <c r="BE125" s="32">
        <v>12</v>
      </c>
      <c r="BF125" s="49">
        <f>IFERROR(IF(Crops[[#This Row],[Tray 3 Days]]=0,"",Crops[[#This Row],[Plantings Per Bed]]/Crops[[#This Row],[Tray 3 Size]]*Crops[[#This Row],[Safety Factor]]),"")</f>
        <v>4.814814814814814</v>
      </c>
      <c r="BG125" s="33">
        <f>360*BedLength/StandardBedLength/Crops[[#This Row],[Harvests]]</f>
        <v>15</v>
      </c>
      <c r="BH125" s="33">
        <v>12</v>
      </c>
      <c r="BI125" s="33">
        <v>4</v>
      </c>
      <c r="BJ125" s="33">
        <f>_xlfn.XLOOKUP(Crops[[#This Row],[ProductIndex]],Products[ID],Products[Holding Period])</f>
        <v>0</v>
      </c>
      <c r="BK125" s="33"/>
      <c r="BL125" s="33">
        <f>Crops[[#This Row],[Units Per Harvest]]*Crops[[#This Row],[Harvests]]</f>
        <v>180</v>
      </c>
      <c r="BM125" s="35">
        <v>4.75</v>
      </c>
      <c r="BN125" s="35">
        <f>Crops[[#This Row],[Direct Price]]*0.6</f>
        <v>2.85</v>
      </c>
      <c r="BO125" s="35"/>
      <c r="BP125" t="s">
        <v>383</v>
      </c>
      <c r="BQ125">
        <f>Crops[[#This Row],[Custom Yield Per Bed]]*Crops[[#This Row],[Direct Price]]</f>
        <v>855</v>
      </c>
      <c r="BR125" t="b">
        <v>1</v>
      </c>
      <c r="BS125" t="b">
        <f>Crops[[#This Row],[Harvests]]&gt;1</f>
        <v>1</v>
      </c>
      <c r="BT125" s="36">
        <f>IFERROR(Crops[[#This Row],[Direct Revenue Per Bed]]/Crops[[#This Row],[Days In Field]],-1)</f>
        <v>6.0638297872340425</v>
      </c>
      <c r="BU125" s="36">
        <f>IFERROR(Crops[[#This Row],[Direct Revenue Per Bed Day]]*GrowingDays*BedsPerAcre,"")</f>
        <v>174638.29787234042</v>
      </c>
      <c r="BV125" s="38">
        <f>LastFrostDate-5*Crops[[#This Row],[Sewing Rel Last Frost]]</f>
        <v>45738</v>
      </c>
      <c r="BW125" s="38">
        <f>Crops[[#This Row],[Target Sewing Date]]+Crops[[#This Row],[Days in Cells]]</f>
        <v>45789</v>
      </c>
      <c r="BX125" s="38">
        <f>Crops[[#This Row],[Target Sewing Date]]+Crops[[#This Row],[STH]]</f>
        <v>45879</v>
      </c>
      <c r="BY125" s="38">
        <f>Crops[[#This Row],[Target Harvest Data]]+Crops[[#This Row],[Harvest window]]</f>
        <v>45930</v>
      </c>
      <c r="BZ125">
        <v>2</v>
      </c>
      <c r="CB125">
        <f>1</f>
        <v>1</v>
      </c>
      <c r="CC125">
        <f>IF(Crops[[#This Row],[Transplanting]]&gt;0, 2, 3)*BedLength/StandardBedLength</f>
        <v>1</v>
      </c>
      <c r="CD125" s="173">
        <f>IF(Crops[[#This Row],[Days in Cells]]&lt;=0,0,Crops[[#This Row],[Plantings Per Bed]]/StartsPerHourSeeding+Crops[[#This Row],[Tray 1 Count]]*5/60)</f>
        <v>0.15842013888888887</v>
      </c>
      <c r="CE125" s="173">
        <f>IF(ISBLANK(Crops[[#This Row],[Tray 2 Days]]),0,Crops[[#This Row],[Plantings Per Bed]]/UpPottingPerHour)+IF(Crops[[#This Row],[Tray 3 Days]]="",0,Crops[[#This Row],[Plantings Per Bed]]/UpPottingPerHour)</f>
        <v>0.55555555555555547</v>
      </c>
      <c r="CF125" s="173">
        <f>IFERROR(Crops[[#This Row],[Tray 1 Count]]/HomeStartFlatIrrigationPerHour,0)*Crops[[#This Row],[Days in Cells]]/DaysBetweenStartIrrigation</f>
        <v>7.1940104166666657E-2</v>
      </c>
      <c r="CG125" s="173">
        <f>0.5/16*MAX(Crops[[#This Row],[Tray 1 Count]],Crops[[#This Row],[Tray 2 Count]],Crops[[#This Row],[Tray 3 Count]])</f>
        <v>0.15046296296296294</v>
      </c>
      <c r="CH125" s="173">
        <f>IF(Crops[[#This Row],[Days in Cells]]&gt;0,IF(IF(Crops[[#This Row],[Tray 3 Size]]&gt;0,Crops[[#This Row],[Tray 3 Size]],IF(Crops[[#This Row],[Tray 2 Size]]&gt;0,Crops[[#This Row],[Tray 2 Size]],Crops[[#This Row],[Tray 1 Size]]))&lt;=18,LargeTransplantTime,SmallTransplantTime)*Crops[[#This Row],[Plantings Per Bed]],0)</f>
        <v>1.3888888888888886</v>
      </c>
      <c r="CI125" s="173"/>
      <c r="CJ125" s="173">
        <f>_xlfn.XLOOKUP(Crops[[#This Row],[Trellis Type]],TrellisMethods[Trellis Type],TrellisMethods[Hours],0,0)</f>
        <v>0</v>
      </c>
      <c r="CK125">
        <f>IF(Crops[[#This Row],[Days in Cells]]&lt;=0,Crops[[#This Row],[Rows]]*1/10,0)*BedLength/50</f>
        <v>0</v>
      </c>
      <c r="CL125" cm="1">
        <f t="array" ref="CL125">_xlfn.SWITCH(Crops[[#This Row],[Irrigation]],"DR", 0.5, "OH", 0.25,0)*BedLength/50</f>
        <v>0.5</v>
      </c>
      <c r="CM125">
        <f>IF(OR(ISBLANK(Crops[[#This Row],[Row Cover]]),Crops[[#This Row],[Row Cover]]="None"),0,1)*BedLength/50</f>
        <v>1</v>
      </c>
      <c r="CN125" s="173">
        <f>HoursPerWeedingPass*Crops[[#This Row],[Days In Field]]/14*Crops[[#This Row],[Rows]]+1*BedLength/50</f>
        <v>2.6785714285714288</v>
      </c>
      <c r="CQ125" s="37">
        <f>_xlfn.XLOOKUP(Crops[[#This Row],[Crop]]&amp;Crops[[#This Row],[Product]]&amp;Crops[[#This Row],[Unit]],Products[ID],Products[Marketing (hr)])*Crops[[#This Row],[Direct Revenue Per Bed]]/2000</f>
        <v>1.2825</v>
      </c>
      <c r="CR125" s="37">
        <f>_xlfn.XLOOKUP(Crops[[#This Row],[Crop]]&amp;Crops[[#This Row],[Product]]&amp;Crops[[#This Row],[Unit]],Products[ID],Products[Harvest (s)])*Crops[[#This Row],[Custom Yield Per Bed]]/3600</f>
        <v>0.75</v>
      </c>
      <c r="CS125" s="37">
        <f>_xlfn.XLOOKUP(Crops[[#This Row],[Crop]]&amp;Crops[[#This Row],[Product]]&amp;Crops[[#This Row],[Unit]],Products[ID],Products[Bunch (s)])*Crops[[#This Row],[Custom Yield Per Bed]]/3600</f>
        <v>0</v>
      </c>
      <c r="CT125" s="37">
        <f>_xlfn.XLOOKUP(Crops[[#This Row],[Crop]]&amp;Crops[[#This Row],[Product]]&amp;Crops[[#This Row],[Unit]],Products[ID],Products[Haul (s)])*Crops[[#This Row],[Custom Yield Per Bed]]/3600</f>
        <v>0.22500000000000001</v>
      </c>
      <c r="CU125" s="37">
        <f>_xlfn.XLOOKUP(Crops[[#This Row],[Crop]]&amp;Crops[[#This Row],[Product]]&amp;Crops[[#This Row],[Unit]],Products[ID],Products[Wash (s)])*Crops[[#This Row],[Custom Yield Per Bed]]/3600</f>
        <v>0</v>
      </c>
      <c r="CV125" s="37">
        <f>_xlfn.XLOOKUP(Crops[[#This Row],[Crop]]&amp;Crops[[#This Row],[Product]]&amp;Crops[[#This Row],[Unit]],Products[ID],Products[Condition (s)])*Crops[[#This Row],[Custom Yield Per Bed]]/3600</f>
        <v>0</v>
      </c>
      <c r="CW125" s="37">
        <f>_xlfn.XLOOKUP(Crops[[#This Row],[Crop]]&amp;Crops[[#This Row],[Product]]&amp;Crops[[#This Row],[Unit]],Products[ID],Products[Trim (s)])*Crops[[#This Row],[Custom Yield Per Bed]]/3600</f>
        <v>0</v>
      </c>
      <c r="CX125" s="37">
        <f>_xlfn.XLOOKUP(Crops[[#This Row],[Crop]]&amp;Crops[[#This Row],[Product]]&amp;Crops[[#This Row],[Unit]],Products[ID],Products[Pack (s)])*Crops[[#This Row],[Custom Yield Per Bed]]/3600</f>
        <v>0.15</v>
      </c>
      <c r="CY125" s="37">
        <f>_xlfn.XLOOKUP(Crops[[#This Row],[Crop]]&amp;Crops[[#This Row],[Product]]&amp;Crops[[#This Row],[Unit]],Products[ID],Products[Clean (s)])*Crops[[#This Row],[Custom Yield Per Bed]]/3600</f>
        <v>0</v>
      </c>
      <c r="CZ125" s="37">
        <f>_xlfn.XLOOKUP(Crops[[#This Row],[Crop]]&amp;Crops[[#This Row],[Product]]&amp;Crops[[#This Row],[Unit]],Products[ID],Products[Rehandle (s)])*Crops[[#This Row],[Custom Yield Per Bed]]/3600</f>
        <v>0</v>
      </c>
      <c r="DA125" s="37">
        <f>_xlfn.XLOOKUP(Crops[[#This Row],[Crop]]&amp;Crops[[#This Row],[Product]]&amp;Crops[[#This Row],[Unit]],Products[ID],Products[Market Transport (s)])*Crops[[#This Row],[Custom Yield Per Bed]]/3600</f>
        <v>0.5625</v>
      </c>
      <c r="DC125" s="37">
        <f>Crops[[#This Row],[Direct Revenue Per Bed2]]</f>
        <v>855</v>
      </c>
      <c r="DD125" s="173">
        <f>_xlfn.AGGREGATE(9,6,Crops[[#This Row],[Bed Prep]:[Remove Crop Residue]])</f>
        <v>10.473839079034391</v>
      </c>
      <c r="DE125" s="173">
        <f>_xlfn.AGGREGATE(9,6,Crops[[#This Row],[Bed Prep]:[Remove Crop Residue]])-0.75*Crops[[#This Row],[Market &amp; Sell]]</f>
        <v>9.5119640790343922</v>
      </c>
      <c r="DF125" s="36">
        <f>Crops[[#This Row],[Direct Revenue Per Bed2]]/Crops[[#This Row],[Direct Time]]</f>
        <v>81.63195878304677</v>
      </c>
      <c r="DG125" s="36">
        <f>_xlfn.XLOOKUP(Crops[[#This Row],[ProductIndex]],Products[ID],Products[Packaging Cost])*(Crops[[#This Row],[Custom Yield Per Bed]]/_xlfn.XLOOKUP(Crops[[#This Row],[ProductIndex]],Products[ID],Products[Units Per Pack]))</f>
        <v>34.199999999999996</v>
      </c>
      <c r="DH125" s="36"/>
      <c r="DI125" s="36"/>
      <c r="DJ125" s="36"/>
      <c r="DK125" s="36"/>
      <c r="DL125" s="36"/>
      <c r="DM125" s="33">
        <f>IFERROR(Crops[[#This Row],[Custom Yield Per Bed]]*Crops[[#This Row],[Direct Price]],"")</f>
        <v>855</v>
      </c>
      <c r="DN125" s="36">
        <f>Crops[[#This Row],[Direct Time]]*LaborRate</f>
        <v>261.8459769758598</v>
      </c>
      <c r="DO125" s="36">
        <f>SUM(Crops[[#This Row],[Irrigation Cost]])</f>
        <v>0</v>
      </c>
      <c r="DP125" s="36">
        <f>Crops[[#This Row],[Direct Labor Cost]]+Crops[[#This Row],[Direct Non-Labor Cost]]</f>
        <v>261.8459769758598</v>
      </c>
      <c r="DQ125" s="36">
        <f>Crops[[#This Row],[Direct Revenue Per Bed2]]-Crops[[#This Row],[Direct Total Cost]]</f>
        <v>593.1540230241402</v>
      </c>
      <c r="DR125" s="36">
        <f>Crops[[#This Row],[Direct Profit]]*BedsPerAcre</f>
        <v>94904.643683862436</v>
      </c>
      <c r="DS125" s="36">
        <f>Crops[[#This Row],[Direct Profit]]*BedsPerAcre*GrowingDays/Crops[[#This Row],[Days In Field]]</f>
        <v>121154.86427727119</v>
      </c>
      <c r="DT125" s="36">
        <f>Crops[[#This Row],[Direct Profit]]/MIN(Crops[[#This Row],[Days In Field]],GrowingDays)</f>
        <v>4.2067661207385827</v>
      </c>
      <c r="DU125" s="36">
        <f>Crops[[#This Row],[Direct Time]] * BedsPerAcre</f>
        <v>1675.8142526455026</v>
      </c>
      <c r="DV125" s="36">
        <f>(Crops[[#This Row],[Direct Revenue Per Bed2]]-Crops[[#This Row],[Direct Non-Labor Cost]])/Crops[[#This Row],[Direct Time]]</f>
        <v>81.63195878304677</v>
      </c>
      <c r="DW125" s="33">
        <f>IFERROR(Crops[[#This Row],[Custom Yield Per Bed]]*Crops[[#This Row],[Rough Wholesale Price]],"")</f>
        <v>513</v>
      </c>
      <c r="DX125" s="36">
        <f>Crops[[#This Row],[Wholesale Time]]*LaborRate</f>
        <v>237.7991019758598</v>
      </c>
      <c r="DY125" s="36">
        <f>SUM(Crops[[#This Row],[Packaging Costs]:[Irrigation Cost]])</f>
        <v>34.199999999999996</v>
      </c>
      <c r="DZ125" s="36">
        <f>Crops[[#This Row],[Wholesale Labor Cost]]+Crops[[#This Row],[Wholesale Non-Labor Cost]]</f>
        <v>271.99910197585979</v>
      </c>
      <c r="EA125" s="36">
        <f>Crops[[#This Row],[Wholesale Revenue Per Bed]]-Crops[[#This Row],[Wholesale Total Cost]]</f>
        <v>241.00089802414021</v>
      </c>
      <c r="EB125" s="36">
        <f>Crops[[#This Row],[Wholesale Profit]]*BedsPerAcre</f>
        <v>38560.143683862436</v>
      </c>
      <c r="EC125" s="36">
        <f>Crops[[#This Row],[Wholesale Profit]]*BedsPerAcre*GrowingDays/Crops[[#This Row],[Days In Field]]</f>
        <v>49225.715341100986</v>
      </c>
      <c r="ED125" s="36">
        <f>Crops[[#This Row],[Wholesale Time]] * BedsPerAcre</f>
        <v>1521.9142526455028</v>
      </c>
      <c r="EE125" s="36">
        <f>Crops[[#This Row],[Wholesale Profit]]/MIN(Crops[[#This Row],[Days In Field]],GrowingDays)</f>
        <v>1.7092262271215617</v>
      </c>
      <c r="EF125" s="36">
        <f>(Crops[[#This Row],[Wholesale Revenue Per Bed]]-Crops[[#This Row],[Wholesale Non-Labor Cost]])/Crops[[#This Row],[Direct Time]]</f>
        <v>45.713896918506194</v>
      </c>
      <c r="EG125" s="174">
        <f>Crops[[#This Row],[Packaging Costs]]/Crops[[#This Row],[Wholesale Revenue Per Bed]]</f>
        <v>6.6666666666666652E-2</v>
      </c>
      <c r="EH125" s="36" t="str">
        <f>Crops[[#This Row],[Crop]]&amp;Crops[[#This Row],[Product]]&amp;Crops[[#This Row],[Unit]]</f>
        <v>EggplantRipe FruitLb</v>
      </c>
      <c r="EI125" s="36" t="b">
        <f>_xlfn.XLOOKUP(Crops[[#This Row],[ProductIndex]],Products[ID],Products[Target])</f>
        <v>1</v>
      </c>
      <c r="EJ125" s="36">
        <f>Crops[[#This Row],[Custom Yield Per Bed]]</f>
        <v>180</v>
      </c>
      <c r="EK125" s="210">
        <f>Crops[[#This Row],[Units Per Harvest]]/Crops[[#This Row],[Days Between Harvest]]*7</f>
        <v>26.25</v>
      </c>
      <c r="EL125" s="210" t="e">
        <f>Crops[[#This Row],[Custom Yield Per Bed]]/_xlfn.XLOOKUP(Crops[[#This Row],[ProductIndex]],Products[ID],Products[CSA Portion])</f>
        <v>#DIV/0!</v>
      </c>
      <c r="EM125" s="210" t="e">
        <f>Crops[[#This Row],[Units Per Harvest]]/Crops[[#This Row],[Days Between Harvest]]*7/_xlfn.XLOOKUP(Crops[[#This Row],[ProductIndex]],Products[ID],Products[CSA Portion])</f>
        <v>#DIV/0!</v>
      </c>
      <c r="EN125" s="210" t="e">
        <f>Crops[[#This Row],[CSA Portions Per Week]]/CSAMembers</f>
        <v>#DIV/0!</v>
      </c>
      <c r="EO125" s="210"/>
      <c r="EP125" s="210"/>
      <c r="EQ125" s="36"/>
      <c r="ER125" s="36">
        <f>Crops[[#This Row],[Harvests]]*Crops[[#This Row],[Days Between Harvest]]/7</f>
        <v>6.8571428571428568</v>
      </c>
      <c r="ES125" s="208">
        <f>_xlfn.XLOOKUP(Crops[[#This Row],[ProductIndex]],Products[ID],Products[CSA Need])</f>
        <v>0</v>
      </c>
      <c r="ET125" s="208">
        <f>_xlfn.XLOOKUP(Crops[[#This Row],[ProductIndex]],Products[ID],Products[CSA Times])</f>
        <v>0</v>
      </c>
      <c r="EU125" s="208" t="e">
        <f>Crops[[#This Row],[Custom Yield Per Bed]]/(Crops[[#This Row],[CSA Need]]*(_xlfn.XLOOKUP(Crops[[#This Row],[ProductIndex]],Products[ID],Products[CSA Portion])*CSAMembers))</f>
        <v>#DIV/0!</v>
      </c>
      <c r="EV125" s="208">
        <f>_xlfn.XLOOKUP(Crops[[#This Row],[ProductIndex]],Products[ID],Products[CSA Portion])*CSAMembers*Crops[[#This Row],[CSA Need]]/Crops[[#This Row],[Custom Yield Per Bed]]</f>
        <v>0</v>
      </c>
      <c r="EW125" s="208">
        <f>IFERROR(Crops[[#This Row],[Days In Field]]*Crops[[#This Row],[CSA Beds]],"")</f>
        <v>0</v>
      </c>
      <c r="EX125" s="208" t="e">
        <f>Crops[[#This Row],[CSA Bed Days]]*#REF!</f>
        <v>#REF!</v>
      </c>
      <c r="EY125" t="s">
        <v>2302</v>
      </c>
    </row>
    <row r="126" spans="1:155">
      <c r="A12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Epazote - Mature Stem 3X | Field TP Su</v>
      </c>
      <c r="C126" s="1" t="s">
        <v>2588</v>
      </c>
      <c r="D126" s="1"/>
      <c r="E126" s="1" t="b">
        <v>0</v>
      </c>
      <c r="F126" s="1" t="b">
        <f>IFERROR(IF(ISNUMBER(MATCH(Crops[[#This Row],[Identifier]],BedPlan[Crop], 0)), TRUE, FALSE), FALSE)</f>
        <v>0</v>
      </c>
      <c r="G126" s="1" t="b">
        <f>IFERROR(IF(ISNUMBER(MATCH(Crops[[#This Row],[Identifier]],BedPlan[Crop], 0)), TRUE, FALSE), FALSE)</f>
        <v>0</v>
      </c>
      <c r="H126" s="1"/>
      <c r="I126" t="s">
        <v>2298</v>
      </c>
      <c r="J126" t="s">
        <v>145</v>
      </c>
      <c r="K126" t="s">
        <v>181</v>
      </c>
      <c r="M126" t="s">
        <v>442</v>
      </c>
      <c r="N126" t="str">
        <f>Crops[[#This Row],[Crop]]</f>
        <v>Epazote</v>
      </c>
      <c r="O126" t="s">
        <v>210</v>
      </c>
      <c r="P126" t="str">
        <f>IF(OR(Crops[[#This Row],[Days in Cells]]="",Crops[[#This Row],[Days in Cells]]=0), "DS","TP")</f>
        <v>TP</v>
      </c>
      <c r="R126" t="b">
        <v>1</v>
      </c>
      <c r="V126" t="str">
        <f xml:space="preserve"> IF(Crops[[#This Row],[Sp]], "Sp", "") &amp; IF(Crops[[#This Row],[Su]], "Su", "") &amp; IF(Crops[[#This Row],[Fa]], "Fa", "") &amp; IF(Crops[[#This Row],[Wi]], "Wi", "") &amp; IF(Crops[[#This Row],[OW]], "Ow","")</f>
        <v>Su</v>
      </c>
      <c r="X126">
        <v>3</v>
      </c>
      <c r="Y126">
        <v>9</v>
      </c>
      <c r="AC126">
        <v>3</v>
      </c>
      <c r="AD126" s="32">
        <f>IFERROR(12/Crops[[#This Row],[Spacing]]*Crops[[#This Row],[Rows]]*BedLength,"")</f>
        <v>200</v>
      </c>
      <c r="AE126">
        <v>3</v>
      </c>
      <c r="AG126">
        <f>IF(Crops[[#This Row],[Custom Safety Factor]]="",PlantingSafetyFactor,Crops[[#This Row],[Custom Safety Factor]])</f>
        <v>1.3</v>
      </c>
      <c r="AH126">
        <f>1</f>
        <v>1</v>
      </c>
      <c r="AI126" s="37">
        <f>IFERROR(Crops[[#This Row],[Plantings Per Bed]]*Crops[[#This Row],[Seeds Per Planting]]*Crops[[#This Row],[Safety Factor]]*Crops[[#This Row],[Seeding Factor]],"")</f>
        <v>780</v>
      </c>
      <c r="AJ126">
        <v>8</v>
      </c>
      <c r="AK126">
        <v>21</v>
      </c>
      <c r="AL126">
        <f>_xlfn.FLOOR.MATH(IFERROR(AVERAGE(Crops[[#This Row],[DTG Lower]:[DTG Upper]]),0))</f>
        <v>14</v>
      </c>
      <c r="AM126">
        <f>SUM(Crops[[#This Row],[Tray 1 Days]],Crops[[#This Row],[Tray 2 Days]],Crops[[#This Row],[Tray 3 Days]])</f>
        <v>28</v>
      </c>
      <c r="AO126">
        <v>55</v>
      </c>
      <c r="AQ126">
        <f>IFERROR(_xlfn.FLOOR.MATH(AVERAGE(Crops[[#This Row],[DTM Lower]:[DTM Upper]])),"")</f>
        <v>55</v>
      </c>
      <c r="AR126" cm="1">
        <f t="array" ref="AR126">_xlfn.SWITCH(Crops[[#This Row],[Normal Method]],"DS",Crops[[#This Row],[Days to Germination]]+Crops[[#This Row],[DTM]] + IF(Crops[[#This Row],[Days in Cells]]&gt;0,15,0), "TP",Crops[[#This Row],[DTM]]+Crops[[#This Row],[Days in Cells]] + IF(Crops[[#This Row],[Days in Cells]]&lt;=0,20,0), "X", Crops[[#This Row],[DTM]])</f>
        <v>83</v>
      </c>
      <c r="AS126" t="s">
        <v>346</v>
      </c>
      <c r="AT126">
        <f>(Crops[[#This Row],[Harvests]]-1)*Crops[[#This Row],[Days Between Harvest]]+7</f>
        <v>119</v>
      </c>
      <c r="AU126">
        <f>Crops[[#This Row],[STH]]-Crops[[#This Row],[Days in Cells]]+Crops[[#This Row],[Harvest window]]</f>
        <v>174</v>
      </c>
      <c r="AX126">
        <v>128</v>
      </c>
      <c r="AY126">
        <v>28</v>
      </c>
      <c r="AZ126">
        <f>IFERROR(IF(Crops[[#This Row],[Tray 1 Days]]=0,"",Crops[[#This Row],[Plantings Per Bed]]/Crops[[#This Row],[Tray 1 Size]]*Crops[[#This Row],[Safety Factor]]),"")</f>
        <v>2.03125</v>
      </c>
      <c r="BC126" t="str">
        <f>IFERROR(IF(Crops[[#This Row],[Tray 2 Days]]=0,"",Crops[[#This Row],[Plantings Per Bed]]/Crops[[#This Row],[Tray 2 Size]]*Crops[[#This Row],[Safety Factor]]),"")</f>
        <v/>
      </c>
      <c r="BE126" s="32" t="str">
        <f>IF(NOT(ISBLANK(Crops[[#This Row],[Tray 3 Size]])), Crops[[#This Row],[Days in Cells Old]]-SUM(Crops[[#This Row],[Tray 1 Days]],Crops[[#This Row],[Tray 2 Days]]), "")</f>
        <v/>
      </c>
      <c r="BF126" t="str">
        <f>IFERROR(IF(Crops[[#This Row],[Tray 3 Days]]=0,"",Crops[[#This Row],[Plantings Per Bed]]/Crops[[#This Row],[Tray 3 Size]]*Crops[[#This Row],[Safety Factor]]),"")</f>
        <v/>
      </c>
      <c r="BG126" s="33">
        <f>Crops[[#This Row],[Plantings Per Bed]]</f>
        <v>200</v>
      </c>
      <c r="BH126">
        <v>9</v>
      </c>
      <c r="BI126">
        <v>14</v>
      </c>
      <c r="BJ126" s="37" t="e">
        <f>_xlfn.XLOOKUP(Crops[[#This Row],[ProductIndex]],Products[ID],Products[Holding Period])</f>
        <v>#N/A</v>
      </c>
      <c r="BK126" s="33"/>
      <c r="BL126" s="32">
        <f>Crops[[#This Row],[Units Per Harvest]]*Crops[[#This Row],[Harvests]]</f>
        <v>1800</v>
      </c>
      <c r="BM126" s="35">
        <v>3</v>
      </c>
      <c r="BN126" s="35">
        <f>Crops[[#This Row],[Direct Price]]*0.6</f>
        <v>1.7999999999999998</v>
      </c>
      <c r="BO126" s="35"/>
      <c r="BP126" t="s">
        <v>215</v>
      </c>
      <c r="BQ126">
        <f>Crops[[#This Row],[Custom Yield Per Bed]]*Crops[[#This Row],[Direct Price]]</f>
        <v>5400</v>
      </c>
      <c r="BR126" t="b">
        <v>1</v>
      </c>
      <c r="BS126" t="b">
        <f>Crops[[#This Row],[Harvests]]&gt;1</f>
        <v>1</v>
      </c>
      <c r="BT126" s="36">
        <f>IFERROR(Crops[[#This Row],[Direct Revenue Per Bed]]/Crops[[#This Row],[Days In Field]],-1)</f>
        <v>31.03448275862069</v>
      </c>
      <c r="BU126" s="33">
        <f>IFERROR(Crops[[#This Row],[Direct Revenue Per Bed Day]]*GrowingDays*BedsPerAcre,"")</f>
        <v>893793.10344827594</v>
      </c>
      <c r="BV126" s="38">
        <f>LastFrostDate-5*Crops[[#This Row],[Sewing Rel Last Frost]]</f>
        <v>45748</v>
      </c>
      <c r="BW126" s="38">
        <f>Crops[[#This Row],[Target Sewing Date]]+Crops[[#This Row],[Days in Cells]]</f>
        <v>45776</v>
      </c>
      <c r="BX126" s="38">
        <f>Crops[[#This Row],[Target Sewing Date]]+Crops[[#This Row],[STH]]</f>
        <v>45831</v>
      </c>
      <c r="BY126" s="38">
        <f>Crops[[#This Row],[Target Harvest Data]]+Crops[[#This Row],[Harvest window]]</f>
        <v>45950</v>
      </c>
      <c r="BZ126">
        <v>0</v>
      </c>
      <c r="CB126">
        <f>1</f>
        <v>1</v>
      </c>
      <c r="CC126">
        <f>IF(Crops[[#This Row],[Transplanting]]&gt;0, 2, 3)*BedLength/StandardBedLength</f>
        <v>1</v>
      </c>
      <c r="CD126" s="173">
        <f>IF(Crops[[#This Row],[Days in Cells]]&lt;=0,0,Crops[[#This Row],[Plantings Per Bed]]/StartsPerHourSeeding+Crops[[#This Row],[Tray 1 Count]]*5/60)</f>
        <v>0.95052083333333337</v>
      </c>
      <c r="CE126" s="173">
        <f>IF(ISBLANK(Crops[[#This Row],[Tray 2 Days]]),0,Crops[[#This Row],[Plantings Per Bed]]/UpPottingPerHour)+IF(Crops[[#This Row],[Tray 3 Days]]="",0,Crops[[#This Row],[Plantings Per Bed]]/UpPottingPerHour)</f>
        <v>0</v>
      </c>
      <c r="CF126" s="173">
        <f>IFERROR(Crops[[#This Row],[Tray 1 Count]]/HomeStartFlatIrrigationPerHour,0)*Crops[[#This Row],[Days in Cells]]/DaysBetweenStartIrrigation</f>
        <v>0.23697916666666666</v>
      </c>
      <c r="CG126" s="173">
        <f>0.5/16*MAX(Crops[[#This Row],[Tray 1 Count]],Crops[[#This Row],[Tray 2 Count]],Crops[[#This Row],[Tray 3 Count]])</f>
        <v>6.34765625E-2</v>
      </c>
      <c r="CH126" s="173">
        <f>IF(Crops[[#This Row],[Days in Cells]]&gt;0,IF(IF(Crops[[#This Row],[Tray 3 Size]]&gt;0,Crops[[#This Row],[Tray 3 Size]],IF(Crops[[#This Row],[Tray 2 Size]]&gt;0,Crops[[#This Row],[Tray 2 Size]],Crops[[#This Row],[Tray 1 Size]]))&lt;=18,LargeTransplantTime,SmallTransplantTime)*Crops[[#This Row],[Plantings Per Bed]],0)</f>
        <v>1</v>
      </c>
      <c r="CI126" s="173"/>
      <c r="CJ126" s="173">
        <f>_xlfn.XLOOKUP(Crops[[#This Row],[Trellis Type]],TrellisMethods[Trellis Type],TrellisMethods[Hours],0,0)</f>
        <v>0</v>
      </c>
      <c r="CK126">
        <f>IF(Crops[[#This Row],[Days in Cells]]&lt;=0,Crops[[#This Row],[Rows]]*1/10,0)*BedLength/50</f>
        <v>0</v>
      </c>
      <c r="CL126" cm="1">
        <f t="array" ref="CL126">_xlfn.SWITCH(Crops[[#This Row],[Irrigation]],"DR", 0.5, "OH", 0.25,0)*BedLength/50</f>
        <v>0</v>
      </c>
      <c r="CM126">
        <f>IF(OR(ISBLANK(Crops[[#This Row],[Row Cover]]),Crops[[#This Row],[Row Cover]]="None"),0,1)*BedLength/50</f>
        <v>0</v>
      </c>
      <c r="CN126" s="173">
        <f>HoursPerWeedingPass*Crops[[#This Row],[Days In Field]]/14*Crops[[#This Row],[Rows]]+1*BedLength/50</f>
        <v>7.2142857142857153</v>
      </c>
      <c r="CQ126" s="37" t="e">
        <f>_xlfn.XLOOKUP(Crops[[#This Row],[Crop]]&amp;Crops[[#This Row],[Product]]&amp;Crops[[#This Row],[Unit]],Products[ID],Products[Marketing (hr)])*Crops[[#This Row],[Direct Revenue Per Bed]]/2000</f>
        <v>#N/A</v>
      </c>
      <c r="CR126" s="37" t="e">
        <f>_xlfn.XLOOKUP(Crops[[#This Row],[Crop]]&amp;Crops[[#This Row],[Product]]&amp;Crops[[#This Row],[Unit]],Products[ID],Products[Harvest (s)])*Crops[[#This Row],[Custom Yield Per Bed]]/3600</f>
        <v>#N/A</v>
      </c>
      <c r="CS126" s="37" t="e">
        <f>_xlfn.XLOOKUP(Crops[[#This Row],[Crop]]&amp;Crops[[#This Row],[Product]]&amp;Crops[[#This Row],[Unit]],Products[ID],Products[Bunch (s)])*Crops[[#This Row],[Custom Yield Per Bed]]/3600</f>
        <v>#N/A</v>
      </c>
      <c r="CT126" s="37" t="e">
        <f>_xlfn.XLOOKUP(Crops[[#This Row],[Crop]]&amp;Crops[[#This Row],[Product]]&amp;Crops[[#This Row],[Unit]],Products[ID],Products[Haul (s)])*Crops[[#This Row],[Custom Yield Per Bed]]/3600</f>
        <v>#N/A</v>
      </c>
      <c r="CU126" s="37" t="e">
        <f>_xlfn.XLOOKUP(Crops[[#This Row],[Crop]]&amp;Crops[[#This Row],[Product]]&amp;Crops[[#This Row],[Unit]],Products[ID],Products[Wash (s)])*Crops[[#This Row],[Custom Yield Per Bed]]/3600</f>
        <v>#N/A</v>
      </c>
      <c r="CV126" s="37" t="e">
        <f>_xlfn.XLOOKUP(Crops[[#This Row],[Crop]]&amp;Crops[[#This Row],[Product]]&amp;Crops[[#This Row],[Unit]],Products[ID],Products[Condition (s)])*Crops[[#This Row],[Custom Yield Per Bed]]/3600</f>
        <v>#N/A</v>
      </c>
      <c r="CW126" s="37" t="e">
        <f>_xlfn.XLOOKUP(Crops[[#This Row],[Crop]]&amp;Crops[[#This Row],[Product]]&amp;Crops[[#This Row],[Unit]],Products[ID],Products[Trim (s)])*Crops[[#This Row],[Custom Yield Per Bed]]/3600</f>
        <v>#N/A</v>
      </c>
      <c r="CX126" s="37" t="e">
        <f>_xlfn.XLOOKUP(Crops[[#This Row],[Crop]]&amp;Crops[[#This Row],[Product]]&amp;Crops[[#This Row],[Unit]],Products[ID],Products[Pack (s)])*Crops[[#This Row],[Custom Yield Per Bed]]/3600</f>
        <v>#N/A</v>
      </c>
      <c r="CY126" s="37" t="e">
        <f>_xlfn.XLOOKUP(Crops[[#This Row],[Crop]]&amp;Crops[[#This Row],[Product]]&amp;Crops[[#This Row],[Unit]],Products[ID],Products[Clean (s)])*Crops[[#This Row],[Custom Yield Per Bed]]/3600</f>
        <v>#N/A</v>
      </c>
      <c r="CZ126" s="37" t="e">
        <f>_xlfn.XLOOKUP(Crops[[#This Row],[Crop]]&amp;Crops[[#This Row],[Product]]&amp;Crops[[#This Row],[Unit]],Products[ID],Products[Rehandle (s)])*Crops[[#This Row],[Custom Yield Per Bed]]/3600</f>
        <v>#N/A</v>
      </c>
      <c r="DA126" s="37" t="e">
        <f>_xlfn.XLOOKUP(Crops[[#This Row],[Crop]]&amp;Crops[[#This Row],[Product]]&amp;Crops[[#This Row],[Unit]],Products[ID],Products[Market Transport (s)])*Crops[[#This Row],[Custom Yield Per Bed]]/3600</f>
        <v>#N/A</v>
      </c>
      <c r="DC126" s="37">
        <f>Crops[[#This Row],[Direct Revenue Per Bed2]]</f>
        <v>5400</v>
      </c>
      <c r="DD126" s="173">
        <f>_xlfn.AGGREGATE(9,6,Crops[[#This Row],[Bed Prep]:[Remove Crop Residue]])</f>
        <v>10.465262276785715</v>
      </c>
      <c r="DE126" s="173" t="e">
        <f>_xlfn.AGGREGATE(9,6,Crops[[#This Row],[Bed Prep]:[Remove Crop Residue]])-0.75*Crops[[#This Row],[Market &amp; Sell]]</f>
        <v>#N/A</v>
      </c>
      <c r="DF126" s="36">
        <f>Crops[[#This Row],[Direct Revenue Per Bed2]]/Crops[[#This Row],[Direct Time]]</f>
        <v>515.99280143971203</v>
      </c>
      <c r="DG126" s="36" t="e">
        <f>_xlfn.XLOOKUP(Crops[[#This Row],[ProductIndex]],Products[ID],Products[Packaging Cost])*(Crops[[#This Row],[Custom Yield Per Bed]]/_xlfn.XLOOKUP(Crops[[#This Row],[ProductIndex]],Products[ID],Products[Units Per Pack]))</f>
        <v>#N/A</v>
      </c>
      <c r="DH126" s="36"/>
      <c r="DI126" s="36"/>
      <c r="DJ126" s="36"/>
      <c r="DK126" s="36"/>
      <c r="DL126" s="36"/>
      <c r="DM126" s="37">
        <f>IFERROR(Crops[[#This Row],[Custom Yield Per Bed]]*Crops[[#This Row],[Direct Price]],"")</f>
        <v>5400</v>
      </c>
      <c r="DN126" s="36">
        <f>Crops[[#This Row],[Direct Time]]*LaborRate</f>
        <v>261.63155691964289</v>
      </c>
      <c r="DO126" s="36">
        <f>SUM(Crops[[#This Row],[Irrigation Cost]])</f>
        <v>0</v>
      </c>
      <c r="DP126" s="36">
        <f>Crops[[#This Row],[Direct Labor Cost]]+Crops[[#This Row],[Direct Non-Labor Cost]]</f>
        <v>261.63155691964289</v>
      </c>
      <c r="DQ126" s="36">
        <f>Crops[[#This Row],[Direct Revenue Per Bed2]]-Crops[[#This Row],[Direct Total Cost]]</f>
        <v>5138.3684430803569</v>
      </c>
      <c r="DR126" s="36">
        <f>Crops[[#This Row],[Direct Profit]]*BedsPerAcre</f>
        <v>822138.95089285704</v>
      </c>
      <c r="DS126" s="36">
        <f>Crops[[#This Row],[Direct Profit]]*BedsPerAcre*GrowingDays/Crops[[#This Row],[Days In Field]]</f>
        <v>850488.56988916243</v>
      </c>
      <c r="DT126" s="36">
        <f>Crops[[#This Row],[Direct Profit]]/MIN(Crops[[#This Row],[Days In Field]],GrowingDays)</f>
        <v>29.530853121151477</v>
      </c>
      <c r="DU126" s="36">
        <f>Crops[[#This Row],[Direct Time]] * BedsPerAcre</f>
        <v>1674.4419642857144</v>
      </c>
      <c r="DV126" s="36">
        <f>(Crops[[#This Row],[Direct Revenue Per Bed2]]-Crops[[#This Row],[Direct Non-Labor Cost]])/Crops[[#This Row],[Direct Time]]</f>
        <v>515.99280143971203</v>
      </c>
      <c r="DW126" s="37">
        <f>IFERROR(Crops[[#This Row],[Custom Yield Per Bed]]*Crops[[#This Row],[Rough Wholesale Price]],"")</f>
        <v>3239.9999999999995</v>
      </c>
      <c r="DX126" s="36" t="e">
        <f>Crops[[#This Row],[Wholesale Time]]*LaborRate</f>
        <v>#N/A</v>
      </c>
      <c r="DY126" s="36" t="e">
        <f>SUM(Crops[[#This Row],[Packaging Costs]:[Irrigation Cost]])</f>
        <v>#N/A</v>
      </c>
      <c r="DZ126" s="36" t="e">
        <f>Crops[[#This Row],[Wholesale Labor Cost]]+Crops[[#This Row],[Wholesale Non-Labor Cost]]</f>
        <v>#N/A</v>
      </c>
      <c r="EA126" s="36" t="e">
        <f>Crops[[#This Row],[Wholesale Revenue Per Bed]]-Crops[[#This Row],[Wholesale Total Cost]]</f>
        <v>#N/A</v>
      </c>
      <c r="EB126" s="36" t="e">
        <f>Crops[[#This Row],[Wholesale Profit]]*BedsPerAcre</f>
        <v>#N/A</v>
      </c>
      <c r="EC126" s="36" t="e">
        <f>Crops[[#This Row],[Wholesale Profit]]*BedsPerAcre*GrowingDays/Crops[[#This Row],[Days In Field]]</f>
        <v>#N/A</v>
      </c>
      <c r="ED126" s="36" t="e">
        <f>Crops[[#This Row],[Wholesale Time]] * BedsPerAcre</f>
        <v>#N/A</v>
      </c>
      <c r="EE126" s="36" t="e">
        <f>Crops[[#This Row],[Wholesale Profit]]/MIN(Crops[[#This Row],[Days In Field]],GrowingDays)</f>
        <v>#N/A</v>
      </c>
      <c r="EF126" s="36" t="e">
        <f>(Crops[[#This Row],[Wholesale Revenue Per Bed]]-Crops[[#This Row],[Wholesale Non-Labor Cost]])/Crops[[#This Row],[Direct Time]]</f>
        <v>#N/A</v>
      </c>
      <c r="EG126" s="174" t="e">
        <f>Crops[[#This Row],[Packaging Costs]]/Crops[[#This Row],[Wholesale Revenue Per Bed]]</f>
        <v>#N/A</v>
      </c>
      <c r="EH126" s="36" t="str">
        <f>Crops[[#This Row],[Crop]]&amp;Crops[[#This Row],[Product]]&amp;Crops[[#This Row],[Unit]]</f>
        <v>EpazoteMature StemBunch</v>
      </c>
      <c r="EI126" s="36" t="e">
        <f>_xlfn.XLOOKUP(Crops[[#This Row],[ProductIndex]],Products[ID],Products[Target])</f>
        <v>#N/A</v>
      </c>
      <c r="EJ126" s="36">
        <f>Crops[[#This Row],[Custom Yield Per Bed]]</f>
        <v>1800</v>
      </c>
      <c r="EK126" s="210">
        <f>Crops[[#This Row],[Units Per Harvest]]/Crops[[#This Row],[Days Between Harvest]]*7</f>
        <v>100</v>
      </c>
      <c r="EL126" s="210" t="e">
        <f>Crops[[#This Row],[Custom Yield Per Bed]]/_xlfn.XLOOKUP(Crops[[#This Row],[ProductIndex]],Products[ID],Products[CSA Portion])</f>
        <v>#N/A</v>
      </c>
      <c r="EM126" s="210" t="e">
        <f>Crops[[#This Row],[Units Per Harvest]]/Crops[[#This Row],[Days Between Harvest]]*7/_xlfn.XLOOKUP(Crops[[#This Row],[ProductIndex]],Products[ID],Products[CSA Portion])</f>
        <v>#N/A</v>
      </c>
      <c r="EN126" s="210" t="e">
        <f>Crops[[#This Row],[CSA Portions Per Week]]/CSAMembers</f>
        <v>#N/A</v>
      </c>
      <c r="EO126" s="210"/>
      <c r="EP126" s="210"/>
      <c r="EQ126" s="36"/>
      <c r="ER126" s="36">
        <f>Crops[[#This Row],[Harvests]]*Crops[[#This Row],[Days Between Harvest]]/7</f>
        <v>18</v>
      </c>
      <c r="ES126" s="208" t="e">
        <f>_xlfn.XLOOKUP(Crops[[#This Row],[ProductIndex]],Products[ID],Products[CSA Need])</f>
        <v>#N/A</v>
      </c>
      <c r="ET126" s="208" t="e">
        <f>_xlfn.XLOOKUP(Crops[[#This Row],[ProductIndex]],Products[ID],Products[CSA Times])</f>
        <v>#N/A</v>
      </c>
      <c r="EU126" s="208" t="e">
        <f>Crops[[#This Row],[Custom Yield Per Bed]]/(Crops[[#This Row],[CSA Need]]*(_xlfn.XLOOKUP(Crops[[#This Row],[ProductIndex]],Products[ID],Products[CSA Portion])*CSAMembers))</f>
        <v>#N/A</v>
      </c>
      <c r="EV126" s="208" t="e">
        <f>_xlfn.XLOOKUP(Crops[[#This Row],[ProductIndex]],Products[ID],Products[CSA Portion])*CSAMembers*Crops[[#This Row],[CSA Need]]/Crops[[#This Row],[Custom Yield Per Bed]]</f>
        <v>#N/A</v>
      </c>
      <c r="EW126" s="208" t="str">
        <f>IFERROR(Crops[[#This Row],[Days In Field]]*Crops[[#This Row],[CSA Beds]],"")</f>
        <v/>
      </c>
      <c r="EX126" s="208" t="e">
        <f>Crops[[#This Row],[CSA Bed Days]]*#REF!</f>
        <v>#VALUE!</v>
      </c>
    </row>
    <row r="127" spans="1:155">
      <c r="A12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Everlasting - Mature Stem 1X | Field TP Sp</v>
      </c>
      <c r="B127" s="189"/>
      <c r="C127" s="1" t="b">
        <v>1</v>
      </c>
      <c r="D127" s="1"/>
      <c r="E127" s="1" t="b">
        <v>0</v>
      </c>
      <c r="F127" s="1" t="b">
        <f>IFERROR(IF(ISNUMBER(MATCH(Crops[[#This Row],[Identifier]],BedPlan[Crop], 0)), TRUE, FALSE), FALSE)</f>
        <v>0</v>
      </c>
      <c r="G127" s="1" t="b">
        <f>IFERROR(IF(ISNUMBER(MATCH(Crops[[#This Row],[Identifier]],BedPlan[Crop], 0)), TRUE, FALSE), FALSE)</f>
        <v>0</v>
      </c>
      <c r="H127" s="1"/>
      <c r="I127" t="s">
        <v>1765</v>
      </c>
      <c r="J127" t="s">
        <v>145</v>
      </c>
      <c r="K127" t="s">
        <v>181</v>
      </c>
      <c r="M127" t="s">
        <v>406</v>
      </c>
      <c r="N127" t="str">
        <f>Crops[[#This Row],[Crop]]</f>
        <v>Everlasting</v>
      </c>
      <c r="O127" t="s">
        <v>210</v>
      </c>
      <c r="P127" t="str">
        <f>IF(OR(Crops[[#This Row],[Days in Cells]]="",Crops[[#This Row],[Days in Cells]]=0), "DS","TP")</f>
        <v>TP</v>
      </c>
      <c r="Q127" t="b">
        <v>1</v>
      </c>
      <c r="V127" t="str">
        <f xml:space="preserve"> IF(Crops[[#This Row],[Sp]], "Sp", "") &amp; IF(Crops[[#This Row],[Su]], "Su", "") &amp; IF(Crops[[#This Row],[Fa]], "Fa", "") &amp; IF(Crops[[#This Row],[Wi]], "Wi", "") &amp; IF(Crops[[#This Row],[OW]], "Ow","")</f>
        <v>Sp</v>
      </c>
      <c r="X127">
        <v>3</v>
      </c>
      <c r="Y127">
        <v>9</v>
      </c>
      <c r="AB127" t="b">
        <v>1</v>
      </c>
      <c r="AC127">
        <v>2</v>
      </c>
      <c r="AD127" s="32">
        <f>IFERROR(12/Crops[[#This Row],[Spacing]]*Crops[[#This Row],[Rows]]*BedLength,"")</f>
        <v>200</v>
      </c>
      <c r="AE127">
        <v>1</v>
      </c>
      <c r="AG127">
        <f>IF(Crops[[#This Row],[Custom Safety Factor]]="",PlantingSafetyFactor,Crops[[#This Row],[Custom Safety Factor]])</f>
        <v>1.3</v>
      </c>
      <c r="AH127">
        <f>1</f>
        <v>1</v>
      </c>
      <c r="AI127" s="33">
        <f>IFERROR(Crops[[#This Row],[Plantings Per Bed]]*Crops[[#This Row],[Seeds Per Planting]]*Crops[[#This Row],[Safety Factor]]*Crops[[#This Row],[Seeding Factor]],"")</f>
        <v>260</v>
      </c>
      <c r="AJ127">
        <v>4</v>
      </c>
      <c r="AK127">
        <v>8</v>
      </c>
      <c r="AL127">
        <f>_xlfn.FLOOR.MATH(IFERROR(AVERAGE(Crops[[#This Row],[DTG Lower]:[DTG Upper]]),0))</f>
        <v>6</v>
      </c>
      <c r="AM127">
        <f>SUM(Crops[[#This Row],[Tray 1 Days]],Crops[[#This Row],[Tray 2 Days]],Crops[[#This Row],[Tray 3 Days]])</f>
        <v>35</v>
      </c>
      <c r="AO127">
        <v>70</v>
      </c>
      <c r="AP127">
        <v>80</v>
      </c>
      <c r="AQ127">
        <f>IFERROR(_xlfn.FLOOR.MATH(AVERAGE(Crops[[#This Row],[DTM Lower]:[DTM Upper]])),"")</f>
        <v>75</v>
      </c>
      <c r="AR127" cm="1">
        <f t="array" ref="AR127">_xlfn.SWITCH(Crops[[#This Row],[Normal Method]],"DS",Crops[[#This Row],[Days to Germination]]+Crops[[#This Row],[DTM]] + IF(Crops[[#This Row],[Days in Cells]]&gt;0,15,0), "TP",Crops[[#This Row],[DTM]]+Crops[[#This Row],[Days in Cells]] + IF(Crops[[#This Row],[Days in Cells]]&lt;=0,20,0), "X", Crops[[#This Row],[DTM]])</f>
        <v>96</v>
      </c>
      <c r="AS127" t="s">
        <v>338</v>
      </c>
      <c r="AT127">
        <f>(Crops[[#This Row],[Harvests]]-1)*Crops[[#This Row],[Days Between Harvest]]+7</f>
        <v>56</v>
      </c>
      <c r="AU127">
        <f>Crops[[#This Row],[STH]]-Crops[[#This Row],[Days in Cells]]+Crops[[#This Row],[Harvest window]]</f>
        <v>117</v>
      </c>
      <c r="AX127">
        <v>128</v>
      </c>
      <c r="AY127">
        <v>35</v>
      </c>
      <c r="AZ127">
        <f>IFERROR(IF(Crops[[#This Row],[Tray 1 Days]]=0,"",Crops[[#This Row],[Plantings Per Bed]]/Crops[[#This Row],[Tray 1 Size]]*Crops[[#This Row],[Safety Factor]]),"")</f>
        <v>2.03125</v>
      </c>
      <c r="BC127" t="str">
        <f>IFERROR(IF(Crops[[#This Row],[Tray 2 Days]]=0,"",Crops[[#This Row],[Plantings Per Bed]]/Crops[[#This Row],[Tray 2 Size]]*Crops[[#This Row],[Safety Factor]]),"")</f>
        <v/>
      </c>
      <c r="BE127" s="32" t="str">
        <f>IF(NOT(ISBLANK(Crops[[#This Row],[Tray 3 Size]])), Crops[[#This Row],[Days in Cells Old]]-SUM(Crops[[#This Row],[Tray 1 Days]],Crops[[#This Row],[Tray 2 Days]]), "")</f>
        <v/>
      </c>
      <c r="BF127" t="str">
        <f>IFERROR(IF(Crops[[#This Row],[Tray 3 Days]]=0,"",Crops[[#This Row],[Plantings Per Bed]]/Crops[[#This Row],[Tray 3 Size]]*Crops[[#This Row],[Safety Factor]]),"")</f>
        <v/>
      </c>
      <c r="BG127" s="33">
        <f>Crops[[#This Row],[Plantings Per Bed]]*8/Crops[[#This Row],[Harvests]]</f>
        <v>200</v>
      </c>
      <c r="BH127" s="33">
        <v>8</v>
      </c>
      <c r="BI127" s="33">
        <v>7</v>
      </c>
      <c r="BJ127" s="33">
        <f>_xlfn.XLOOKUP(Crops[[#This Row],[ProductIndex]],Products[ID],Products[Holding Period])</f>
        <v>0</v>
      </c>
      <c r="BK127" s="33"/>
      <c r="BL127" s="33">
        <f>Crops[[#This Row],[Units Per Harvest]]*Crops[[#This Row],[Harvests]]</f>
        <v>1600</v>
      </c>
      <c r="BM127" s="35">
        <v>0.8</v>
      </c>
      <c r="BN127" s="35">
        <f>Crops[[#This Row],[Direct Price]]*0.6</f>
        <v>0.48</v>
      </c>
      <c r="BO127" s="35"/>
      <c r="BP127" t="s">
        <v>213</v>
      </c>
      <c r="BQ127">
        <f>Crops[[#This Row],[Custom Yield Per Bed]]*Crops[[#This Row],[Direct Price]]</f>
        <v>1280</v>
      </c>
      <c r="BR127" t="b">
        <v>0</v>
      </c>
      <c r="BS127" t="b">
        <f>Crops[[#This Row],[Harvests]]&gt;1</f>
        <v>1</v>
      </c>
      <c r="BT127" s="36">
        <f>IFERROR(Crops[[#This Row],[Direct Revenue Per Bed]]/Crops[[#This Row],[Days In Field]],-1)</f>
        <v>10.94017094017094</v>
      </c>
      <c r="BU127" s="33">
        <f>IFERROR(Crops[[#This Row],[Direct Revenue Per Bed Day]]*GrowingDays*BedsPerAcre,"")</f>
        <v>315076.92307692306</v>
      </c>
      <c r="BV127" s="38">
        <f>LastFrostDate-5*Crops[[#This Row],[Sewing Rel Last Frost]]</f>
        <v>45738</v>
      </c>
      <c r="BW127" s="38">
        <f>Crops[[#This Row],[Target Sewing Date]]+Crops[[#This Row],[Days in Cells]]</f>
        <v>45773</v>
      </c>
      <c r="BX127" s="38">
        <f>Crops[[#This Row],[Target Sewing Date]]+Crops[[#This Row],[STH]]</f>
        <v>45834</v>
      </c>
      <c r="BY127" s="38">
        <f>Crops[[#This Row],[Target Harvest Data]]+Crops[[#This Row],[Harvest window]]</f>
        <v>45890</v>
      </c>
      <c r="BZ127">
        <v>2</v>
      </c>
      <c r="CA127" t="s">
        <v>1762</v>
      </c>
      <c r="CB127">
        <f>1</f>
        <v>1</v>
      </c>
      <c r="CC127">
        <f>IF(Crops[[#This Row],[Transplanting]]&gt;0, 2, 3)*BedLength/StandardBedLength</f>
        <v>1</v>
      </c>
      <c r="CD127" s="173">
        <f>IF(Crops[[#This Row],[Days in Cells]]&lt;=0,0,Crops[[#This Row],[Plantings Per Bed]]/StartsPerHourSeeding+Crops[[#This Row],[Tray 1 Count]]*5/60)</f>
        <v>0.95052083333333337</v>
      </c>
      <c r="CE127" s="173">
        <f>IF(ISBLANK(Crops[[#This Row],[Tray 2 Days]]),0,Crops[[#This Row],[Plantings Per Bed]]/UpPottingPerHour)+IF(Crops[[#This Row],[Tray 3 Days]]="",0,Crops[[#This Row],[Plantings Per Bed]]/UpPottingPerHour)</f>
        <v>0</v>
      </c>
      <c r="CF127" s="173">
        <f>IFERROR(Crops[[#This Row],[Tray 1 Count]]/HomeStartFlatIrrigationPerHour,0)*Crops[[#This Row],[Days in Cells]]/DaysBetweenStartIrrigation</f>
        <v>0.29622395833333331</v>
      </c>
      <c r="CG127" s="173">
        <f>0.5/16*MAX(Crops[[#This Row],[Tray 1 Count]],Crops[[#This Row],[Tray 2 Count]],Crops[[#This Row],[Tray 3 Count]])</f>
        <v>6.34765625E-2</v>
      </c>
      <c r="CH127" s="173">
        <f>IF(Crops[[#This Row],[Days in Cells]]&gt;0,IF(IF(Crops[[#This Row],[Tray 3 Size]]&gt;0,Crops[[#This Row],[Tray 3 Size]],IF(Crops[[#This Row],[Tray 2 Size]]&gt;0,Crops[[#This Row],[Tray 2 Size]],Crops[[#This Row],[Tray 1 Size]]))&lt;=18,LargeTransplantTime,SmallTransplantTime)*Crops[[#This Row],[Plantings Per Bed]],0)</f>
        <v>1</v>
      </c>
      <c r="CI127" s="173"/>
      <c r="CJ127" s="173">
        <f>_xlfn.XLOOKUP(Crops[[#This Row],[Trellis Type]],TrellisMethods[Trellis Type],TrellisMethods[Hours],0,0)</f>
        <v>0</v>
      </c>
      <c r="CK127">
        <f>IF(Crops[[#This Row],[Days in Cells]]&lt;=0,Crops[[#This Row],[Rows]]*1/10,0)*BedLength/50</f>
        <v>0</v>
      </c>
      <c r="CL127" cm="1">
        <f t="array" ref="CL127">_xlfn.SWITCH(Crops[[#This Row],[Irrigation]],"DR", 0.5, "OH", 0.25,0)*BedLength/50</f>
        <v>0</v>
      </c>
      <c r="CM127">
        <f>IF(OR(ISBLANK(Crops[[#This Row],[Row Cover]]),Crops[[#This Row],[Row Cover]]="None"),0,1)*BedLength/50</f>
        <v>0</v>
      </c>
      <c r="CN127" s="173">
        <f>HoursPerWeedingPass*Crops[[#This Row],[Days In Field]]/14*Crops[[#This Row],[Rows]]+1*BedLength/50</f>
        <v>5.1785714285714288</v>
      </c>
      <c r="CQ127" s="37">
        <f>_xlfn.XLOOKUP(Crops[[#This Row],[Crop]]&amp;Crops[[#This Row],[Product]]&amp;Crops[[#This Row],[Unit]],Products[ID],Products[Marketing (hr)])*Crops[[#This Row],[Direct Revenue Per Bed]]/2000</f>
        <v>3.84</v>
      </c>
      <c r="CR127" s="37">
        <f>_xlfn.XLOOKUP(Crops[[#This Row],[Crop]]&amp;Crops[[#This Row],[Product]]&amp;Crops[[#This Row],[Unit]],Products[ID],Products[Harvest (s)])*Crops[[#This Row],[Custom Yield Per Bed]]/3600</f>
        <v>2.2222222222222223</v>
      </c>
      <c r="CS127" s="37">
        <f>_xlfn.XLOOKUP(Crops[[#This Row],[Crop]]&amp;Crops[[#This Row],[Product]]&amp;Crops[[#This Row],[Unit]],Products[ID],Products[Bunch (s)])*Crops[[#This Row],[Custom Yield Per Bed]]/3600</f>
        <v>0</v>
      </c>
      <c r="CT127" s="37">
        <f>_xlfn.XLOOKUP(Crops[[#This Row],[Crop]]&amp;Crops[[#This Row],[Product]]&amp;Crops[[#This Row],[Unit]],Products[ID],Products[Haul (s)])*Crops[[#This Row],[Custom Yield Per Bed]]/3600</f>
        <v>0.8</v>
      </c>
      <c r="CU127" s="37">
        <f>_xlfn.XLOOKUP(Crops[[#This Row],[Crop]]&amp;Crops[[#This Row],[Product]]&amp;Crops[[#This Row],[Unit]],Products[ID],Products[Wash (s)])*Crops[[#This Row],[Custom Yield Per Bed]]/3600</f>
        <v>0</v>
      </c>
      <c r="CV127" s="37">
        <f>_xlfn.XLOOKUP(Crops[[#This Row],[Crop]]&amp;Crops[[#This Row],[Product]]&amp;Crops[[#This Row],[Unit]],Products[ID],Products[Condition (s)])*Crops[[#This Row],[Custom Yield Per Bed]]/3600</f>
        <v>0</v>
      </c>
      <c r="CW127" s="37">
        <f>_xlfn.XLOOKUP(Crops[[#This Row],[Crop]]&amp;Crops[[#This Row],[Product]]&amp;Crops[[#This Row],[Unit]],Products[ID],Products[Trim (s)])*Crops[[#This Row],[Custom Yield Per Bed]]/3600</f>
        <v>1.3333333333333333</v>
      </c>
      <c r="CX127" s="37">
        <f>_xlfn.XLOOKUP(Crops[[#This Row],[Crop]]&amp;Crops[[#This Row],[Product]]&amp;Crops[[#This Row],[Unit]],Products[ID],Products[Pack (s)])*Crops[[#This Row],[Custom Yield Per Bed]]/3600</f>
        <v>1.3333333333333333</v>
      </c>
      <c r="CY127" s="37">
        <f>_xlfn.XLOOKUP(Crops[[#This Row],[Crop]]&amp;Crops[[#This Row],[Product]]&amp;Crops[[#This Row],[Unit]],Products[ID],Products[Clean (s)])*Crops[[#This Row],[Custom Yield Per Bed]]/3600</f>
        <v>0</v>
      </c>
      <c r="CZ127" s="37">
        <f>_xlfn.XLOOKUP(Crops[[#This Row],[Crop]]&amp;Crops[[#This Row],[Product]]&amp;Crops[[#This Row],[Unit]],Products[ID],Products[Rehandle (s)])*Crops[[#This Row],[Custom Yield Per Bed]]/3600</f>
        <v>0</v>
      </c>
      <c r="DA127" s="37">
        <f>_xlfn.XLOOKUP(Crops[[#This Row],[Crop]]&amp;Crops[[#This Row],[Product]]&amp;Crops[[#This Row],[Unit]],Products[ID],Products[Market Transport (s)])*Crops[[#This Row],[Custom Yield Per Bed]]/3600</f>
        <v>2</v>
      </c>
      <c r="DC127" s="37">
        <f>Crops[[#This Row],[Direct Revenue Per Bed2]]</f>
        <v>1280</v>
      </c>
      <c r="DD127" s="173">
        <f>_xlfn.AGGREGATE(9,6,Crops[[#This Row],[Bed Prep]:[Remove Crop Residue]])</f>
        <v>20.017681671626981</v>
      </c>
      <c r="DE127" s="173">
        <f>_xlfn.AGGREGATE(9,6,Crops[[#This Row],[Bed Prep]:[Remove Crop Residue]])-0.75*Crops[[#This Row],[Market &amp; Sell]]</f>
        <v>17.137681671626982</v>
      </c>
      <c r="DF127" s="36">
        <f>Crops[[#This Row],[Direct Revenue Per Bed2]]/Crops[[#This Row],[Direct Time]]</f>
        <v>63.943468629250368</v>
      </c>
      <c r="DG127" s="36">
        <f>_xlfn.XLOOKUP(Crops[[#This Row],[ProductIndex]],Products[ID],Products[Packaging Cost])*(Crops[[#This Row],[Custom Yield Per Bed]]/_xlfn.XLOOKUP(Crops[[#This Row],[ProductIndex]],Products[ID],Products[Units Per Pack]))</f>
        <v>128</v>
      </c>
      <c r="DH127" s="36"/>
      <c r="DI127" s="36"/>
      <c r="DJ127" s="36"/>
      <c r="DK127" s="36"/>
      <c r="DL127" s="36"/>
      <c r="DM127" s="33">
        <f>IFERROR(Crops[[#This Row],[Custom Yield Per Bed]]*Crops[[#This Row],[Direct Price]],"")</f>
        <v>1280</v>
      </c>
      <c r="DN127" s="36">
        <f>Crops[[#This Row],[Direct Time]]*LaborRate</f>
        <v>500.44204179067452</v>
      </c>
      <c r="DO127" s="36">
        <f>SUM(Crops[[#This Row],[Irrigation Cost]])</f>
        <v>0</v>
      </c>
      <c r="DP127" s="36">
        <f>Crops[[#This Row],[Direct Labor Cost]]+Crops[[#This Row],[Direct Non-Labor Cost]]</f>
        <v>500.44204179067452</v>
      </c>
      <c r="DQ127" s="36">
        <f>Crops[[#This Row],[Direct Revenue Per Bed2]]-Crops[[#This Row],[Direct Total Cost]]</f>
        <v>779.55795820932553</v>
      </c>
      <c r="DR127" s="36">
        <f>Crops[[#This Row],[Direct Profit]]*BedsPerAcre</f>
        <v>124729.27331349209</v>
      </c>
      <c r="DS127" s="36">
        <f>Crops[[#This Row],[Direct Profit]]*BedsPerAcre*GrowingDays/Crops[[#This Row],[Days In Field]]</f>
        <v>191891.18971306473</v>
      </c>
      <c r="DT127" s="36">
        <f>Crops[[#This Row],[Direct Profit]]/MIN(Crops[[#This Row],[Days In Field]],GrowingDays)</f>
        <v>6.6628885317036373</v>
      </c>
      <c r="DU127" s="36">
        <f>Crops[[#This Row],[Direct Time]] * BedsPerAcre</f>
        <v>3202.8290674603168</v>
      </c>
      <c r="DV127" s="36">
        <f>(Crops[[#This Row],[Direct Revenue Per Bed2]]-Crops[[#This Row],[Direct Non-Labor Cost]])/Crops[[#This Row],[Direct Time]]</f>
        <v>63.943468629250368</v>
      </c>
      <c r="DW127" s="33">
        <f>IFERROR(Crops[[#This Row],[Custom Yield Per Bed]]*Crops[[#This Row],[Rough Wholesale Price]],"")</f>
        <v>768</v>
      </c>
      <c r="DX127" s="36">
        <f>Crops[[#This Row],[Wholesale Time]]*LaborRate</f>
        <v>428.44204179067458</v>
      </c>
      <c r="DY127" s="36">
        <f>SUM(Crops[[#This Row],[Packaging Costs]:[Irrigation Cost]])</f>
        <v>128</v>
      </c>
      <c r="DZ127" s="36">
        <f>Crops[[#This Row],[Wholesale Labor Cost]]+Crops[[#This Row],[Wholesale Non-Labor Cost]]</f>
        <v>556.44204179067458</v>
      </c>
      <c r="EA127" s="36">
        <f>Crops[[#This Row],[Wholesale Revenue Per Bed]]-Crops[[#This Row],[Wholesale Total Cost]]</f>
        <v>211.55795820932542</v>
      </c>
      <c r="EB127" s="36">
        <f>Crops[[#This Row],[Wholesale Profit]]*BedsPerAcre</f>
        <v>33849.273313492071</v>
      </c>
      <c r="EC127" s="36">
        <f>Crops[[#This Row],[Wholesale Profit]]*BedsPerAcre*GrowingDays/Crops[[#This Row],[Days In Field]]</f>
        <v>52075.80509768011</v>
      </c>
      <c r="ED127" s="36">
        <f>Crops[[#This Row],[Wholesale Time]] * BedsPerAcre</f>
        <v>2742.029067460317</v>
      </c>
      <c r="EE127" s="36">
        <f>Crops[[#This Row],[Wholesale Profit]]/MIN(Crops[[#This Row],[Days In Field]],GrowingDays)</f>
        <v>1.8081876770027814</v>
      </c>
      <c r="EF127" s="36">
        <f>(Crops[[#This Row],[Wholesale Revenue Per Bed]]-Crops[[#This Row],[Wholesale Non-Labor Cost]])/Crops[[#This Row],[Direct Time]]</f>
        <v>31.971734314625184</v>
      </c>
      <c r="EG127" s="174">
        <f>Crops[[#This Row],[Packaging Costs]]/Crops[[#This Row],[Wholesale Revenue Per Bed]]</f>
        <v>0.16666666666666666</v>
      </c>
      <c r="EH127" s="36" t="str">
        <f>Crops[[#This Row],[Crop]]&amp;Crops[[#This Row],[Product]]&amp;Crops[[#This Row],[Unit]]</f>
        <v>EverlastingMature StemStem</v>
      </c>
      <c r="EI127" s="36" t="b">
        <f>_xlfn.XLOOKUP(Crops[[#This Row],[ProductIndex]],Products[ID],Products[Target])</f>
        <v>1</v>
      </c>
      <c r="EJ127" s="36">
        <f>Crops[[#This Row],[Custom Yield Per Bed]]</f>
        <v>1600</v>
      </c>
      <c r="EK127" s="210">
        <f>Crops[[#This Row],[Units Per Harvest]]/Crops[[#This Row],[Days Between Harvest]]*7</f>
        <v>200</v>
      </c>
      <c r="EL127" s="210" t="e">
        <f>Crops[[#This Row],[Custom Yield Per Bed]]/_xlfn.XLOOKUP(Crops[[#This Row],[ProductIndex]],Products[ID],Products[CSA Portion])</f>
        <v>#DIV/0!</v>
      </c>
      <c r="EM127" s="210" t="e">
        <f>Crops[[#This Row],[Units Per Harvest]]/Crops[[#This Row],[Days Between Harvest]]*7/_xlfn.XLOOKUP(Crops[[#This Row],[ProductIndex]],Products[ID],Products[CSA Portion])</f>
        <v>#DIV/0!</v>
      </c>
      <c r="EN127" s="210" t="e">
        <f>Crops[[#This Row],[CSA Portions Per Week]]/CSAMembers</f>
        <v>#DIV/0!</v>
      </c>
      <c r="EO127" s="210"/>
      <c r="EP127" s="210"/>
      <c r="EQ127" s="36"/>
      <c r="ER127" s="36">
        <f>Crops[[#This Row],[Harvests]]*Crops[[#This Row],[Days Between Harvest]]/7</f>
        <v>8</v>
      </c>
      <c r="ES127" s="208">
        <f>_xlfn.XLOOKUP(Crops[[#This Row],[ProductIndex]],Products[ID],Products[CSA Need])</f>
        <v>0</v>
      </c>
      <c r="ET127" s="208">
        <f>_xlfn.XLOOKUP(Crops[[#This Row],[ProductIndex]],Products[ID],Products[CSA Times])</f>
        <v>0</v>
      </c>
      <c r="EU127" s="208" t="e">
        <f>Crops[[#This Row],[Custom Yield Per Bed]]/(Crops[[#This Row],[CSA Need]]*(_xlfn.XLOOKUP(Crops[[#This Row],[ProductIndex]],Products[ID],Products[CSA Portion])*CSAMembers))</f>
        <v>#DIV/0!</v>
      </c>
      <c r="EV127" s="208">
        <f>_xlfn.XLOOKUP(Crops[[#This Row],[ProductIndex]],Products[ID],Products[CSA Portion])*CSAMembers*Crops[[#This Row],[CSA Need]]/Crops[[#This Row],[Custom Yield Per Bed]]</f>
        <v>0</v>
      </c>
      <c r="EW127" s="208">
        <f>IFERROR(Crops[[#This Row],[Days In Field]]*Crops[[#This Row],[CSA Beds]],"")</f>
        <v>0</v>
      </c>
      <c r="EX127" s="208" t="e">
        <f>Crops[[#This Row],[CSA Bed Days]]*#REF!</f>
        <v>#REF!</v>
      </c>
      <c r="EY127" t="s">
        <v>1772</v>
      </c>
    </row>
    <row r="128" spans="1:155">
      <c r="A12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Fava Bean - Mature Pod 1X | Field DS Sp</v>
      </c>
      <c r="B128" s="28"/>
      <c r="C128" s="1" t="b">
        <v>1</v>
      </c>
      <c r="D128" s="1"/>
      <c r="E128" s="1" t="b">
        <v>0</v>
      </c>
      <c r="F128" s="1" t="b">
        <f>IFERROR(IF(ISNUMBER(MATCH(Crops[[#This Row],[Identifier]],BedPlan[Crop], 0)), TRUE, FALSE), FALSE)</f>
        <v>1</v>
      </c>
      <c r="G128" s="1" t="b">
        <f>IFERROR(IF(ISNUMBER(MATCH(Crops[[#This Row],[Identifier]],BedPlan[Crop], 0)), TRUE, FALSE), FALSE)</f>
        <v>1</v>
      </c>
      <c r="H128" s="1"/>
      <c r="I128" t="s">
        <v>2281</v>
      </c>
      <c r="J128" t="s">
        <v>145</v>
      </c>
      <c r="K128" t="s">
        <v>192</v>
      </c>
      <c r="M128" t="s">
        <v>2281</v>
      </c>
      <c r="N128" t="str">
        <f>Crops[[#This Row],[Crop]]</f>
        <v>Fava Bean</v>
      </c>
      <c r="O128" t="s">
        <v>210</v>
      </c>
      <c r="P128" t="str">
        <f>IF(OR(Crops[[#This Row],[Days in Cells]]="",Crops[[#This Row],[Days in Cells]]=0), "DS","TP")</f>
        <v>DS</v>
      </c>
      <c r="Q128" t="b">
        <v>1</v>
      </c>
      <c r="V128" t="str">
        <f xml:space="preserve"> IF(Crops[[#This Row],[Sp]], "Sp", "") &amp; IF(Crops[[#This Row],[Su]], "Su", "") &amp; IF(Crops[[#This Row],[Fa]], "Fa", "") &amp; IF(Crops[[#This Row],[Wi]], "Wi", "") &amp; IF(Crops[[#This Row],[OW]], "Ow","")</f>
        <v>Sp</v>
      </c>
      <c r="X128">
        <v>2</v>
      </c>
      <c r="Y128">
        <v>9</v>
      </c>
      <c r="AB128" t="b">
        <v>1</v>
      </c>
      <c r="AC128">
        <v>3.5</v>
      </c>
      <c r="AD128" s="32">
        <f>IFERROR(12/Crops[[#This Row],[Spacing]]*Crops[[#This Row],[Rows]]*BedLength,"")</f>
        <v>133.33333333333331</v>
      </c>
      <c r="AE128">
        <v>1</v>
      </c>
      <c r="AG128">
        <v>1</v>
      </c>
      <c r="AH128">
        <v>1.3</v>
      </c>
      <c r="AI128" s="33">
        <f>IFERROR(Crops[[#This Row],[Plantings Per Bed]]*Crops[[#This Row],[Seeds Per Planting]]*Crops[[#This Row],[Safety Factor]]*Crops[[#This Row],[Seeding Factor]],"")</f>
        <v>173.33333333333331</v>
      </c>
      <c r="AL128">
        <f>_xlfn.FLOOR.MATH(IFERROR(AVERAGE(Crops[[#This Row],[DTG Lower]:[DTG Upper]]),0))</f>
        <v>0</v>
      </c>
      <c r="AM128">
        <f>SUM(Crops[[#This Row],[Tray 1 Days]],Crops[[#This Row],[Tray 2 Days]],Crops[[#This Row],[Tray 3 Days]])</f>
        <v>0</v>
      </c>
      <c r="AP128">
        <v>180</v>
      </c>
      <c r="AQ128">
        <f>IFERROR(_xlfn.FLOOR.MATH(AVERAGE(Crops[[#This Row],[DTM Lower]:[DTM Upper]])),"")</f>
        <v>180</v>
      </c>
      <c r="AR128" cm="1">
        <f t="array" ref="AR128">_xlfn.SWITCH(Crops[[#This Row],[Normal Method]],"DS",Crops[[#This Row],[Days to Germination]]+Crops[[#This Row],[DTM]] + IF(Crops[[#This Row],[Days in Cells]]&gt;0,15,0), "TP",Crops[[#This Row],[DTM]]+Crops[[#This Row],[Days in Cells]] + IF(Crops[[#This Row],[Days in Cells]]&lt;=0,20,0), "X", Crops[[#This Row],[DTM]])</f>
        <v>180</v>
      </c>
      <c r="AS128" t="s">
        <v>347</v>
      </c>
      <c r="AT128">
        <f>(Crops[[#This Row],[Harvests]]-1)*Crops[[#This Row],[Days Between Harvest]]+7</f>
        <v>21</v>
      </c>
      <c r="AU128">
        <f>Crops[[#This Row],[STH]]-Crops[[#This Row],[Days in Cells]]+Crops[[#This Row],[Harvest window]]</f>
        <v>201</v>
      </c>
      <c r="AZ128" t="str">
        <f>IFERROR(IF(Crops[[#This Row],[Tray 1 Days]]=0,"",Crops[[#This Row],[Plantings Per Bed]]/Crops[[#This Row],[Tray 1 Size]]*Crops[[#This Row],[Safety Factor]]),"")</f>
        <v/>
      </c>
      <c r="BC128" t="str">
        <f>IFERROR(IF(Crops[[#This Row],[Tray 2 Days]]=0,"",Crops[[#This Row],[Plantings Per Bed]]/Crops[[#This Row],[Tray 2 Size]]*Crops[[#This Row],[Safety Factor]]),"")</f>
        <v/>
      </c>
      <c r="BE128" s="32" t="str">
        <f>IF(NOT(ISBLANK(Crops[[#This Row],[Tray 3 Size]])), Crops[[#This Row],[Days in Cells Old]]-SUM(Crops[[#This Row],[Tray 1 Days]],Crops[[#This Row],[Tray 2 Days]]), "")</f>
        <v/>
      </c>
      <c r="BF128" t="str">
        <f>IFERROR(IF(Crops[[#This Row],[Tray 3 Days]]=0,"",Crops[[#This Row],[Plantings Per Bed]]/Crops[[#This Row],[Tray 3 Size]]*Crops[[#This Row],[Safety Factor]]),"")</f>
        <v/>
      </c>
      <c r="BG128" s="33">
        <f>200*BedLength/StandardBedLength/Crops[[#This Row],[Harvests]]</f>
        <v>33.333333333333336</v>
      </c>
      <c r="BH128" s="33">
        <v>3</v>
      </c>
      <c r="BI128" s="33">
        <v>7</v>
      </c>
      <c r="BJ128" s="33">
        <f>_xlfn.XLOOKUP(Crops[[#This Row],[ProductIndex]],Products[ID],Products[Holding Period])</f>
        <v>0</v>
      </c>
      <c r="BK128" s="33"/>
      <c r="BL128" s="33">
        <f>Crops[[#This Row],[Units Per Harvest]]*Crops[[#This Row],[Harvests]]</f>
        <v>100</v>
      </c>
      <c r="BM128" s="35">
        <v>6</v>
      </c>
      <c r="BN128" s="35">
        <f>Crops[[#This Row],[Direct Price]]*0.6</f>
        <v>3.5999999999999996</v>
      </c>
      <c r="BO128" s="35"/>
      <c r="BP128" t="s">
        <v>383</v>
      </c>
      <c r="BQ128">
        <f>Crops[[#This Row],[Custom Yield Per Bed]]*Crops[[#This Row],[Direct Price]]</f>
        <v>600</v>
      </c>
      <c r="BR128" t="b">
        <v>1</v>
      </c>
      <c r="BS128" t="b">
        <f>Crops[[#This Row],[Harvests]]&gt;1</f>
        <v>1</v>
      </c>
      <c r="BT128" s="36">
        <f>IFERROR(Crops[[#This Row],[Direct Revenue Per Bed]]/Crops[[#This Row],[Days In Field]],-1)</f>
        <v>2.9850746268656718</v>
      </c>
      <c r="BU128" s="36">
        <f>IFERROR(Crops[[#This Row],[Direct Revenue Per Bed Day]]*GrowingDays*BedsPerAcre,"")</f>
        <v>85970.149253731346</v>
      </c>
      <c r="BV128" s="38">
        <f>LastFrostDate-5*Crops[[#This Row],[Sewing Rel Last Frost]]</f>
        <v>45688</v>
      </c>
      <c r="BW128" s="38">
        <f>Crops[[#This Row],[Target Sewing Date]]+Crops[[#This Row],[Days in Cells]]</f>
        <v>45688</v>
      </c>
      <c r="BX128" s="38">
        <f>Crops[[#This Row],[Target Sewing Date]]+Crops[[#This Row],[STH]]</f>
        <v>45868</v>
      </c>
      <c r="BY128" s="38">
        <f>Crops[[#This Row],[Target Harvest Data]]+Crops[[#This Row],[Harvest window]]</f>
        <v>45889</v>
      </c>
      <c r="BZ128">
        <v>12</v>
      </c>
      <c r="CA128" t="s">
        <v>373</v>
      </c>
      <c r="CB128">
        <f>1</f>
        <v>1</v>
      </c>
      <c r="CC128">
        <f>IF(Crops[[#This Row],[Transplanting]]&gt;0, 2, 3)*BedLength/StandardBedLength</f>
        <v>1.5</v>
      </c>
      <c r="CD128" s="173">
        <f>IF(Crops[[#This Row],[Days in Cells]]&lt;=0,0,Crops[[#This Row],[Plantings Per Bed]]/StartsPerHourSeeding+Crops[[#This Row],[Tray 1 Count]]*5/60)</f>
        <v>0</v>
      </c>
      <c r="CE128" s="173">
        <f>IF(ISBLANK(Crops[[#This Row],[Tray 2 Days]]),0,Crops[[#This Row],[Plantings Per Bed]]/UpPottingPerHour)+IF(Crops[[#This Row],[Tray 3 Days]]="",0,Crops[[#This Row],[Plantings Per Bed]]/UpPottingPerHour)</f>
        <v>0</v>
      </c>
      <c r="CF128" s="173">
        <f>IFERROR(Crops[[#This Row],[Tray 1 Count]]/HomeStartFlatIrrigationPerHour,0)*Crops[[#This Row],[Days in Cells]]/DaysBetweenStartIrrigation</f>
        <v>0</v>
      </c>
      <c r="CG128" s="173">
        <f>0.5/16*MAX(Crops[[#This Row],[Tray 1 Count]],Crops[[#This Row],[Tray 2 Count]],Crops[[#This Row],[Tray 3 Count]])</f>
        <v>0</v>
      </c>
      <c r="CH128" s="173">
        <f>IF(Crops[[#This Row],[Days in Cells]]&gt;0,IF(IF(Crops[[#This Row],[Tray 3 Size]]&gt;0,Crops[[#This Row],[Tray 3 Size]],IF(Crops[[#This Row],[Tray 2 Size]]&gt;0,Crops[[#This Row],[Tray 2 Size]],Crops[[#This Row],[Tray 1 Size]]))&lt;=18,LargeTransplantTime,SmallTransplantTime)*Crops[[#This Row],[Plantings Per Bed]],0)</f>
        <v>0</v>
      </c>
      <c r="CI128" s="173"/>
      <c r="CJ128" s="173">
        <f>_xlfn.XLOOKUP(Crops[[#This Row],[Trellis Type]],TrellisMethods[Trellis Type],TrellisMethods[Hours],0,0)</f>
        <v>0</v>
      </c>
      <c r="CK128">
        <f>IF(Crops[[#This Row],[Days in Cells]]&lt;=0,Crops[[#This Row],[Rows]]*1/10,0)*BedLength/50</f>
        <v>0.2</v>
      </c>
      <c r="CL128" cm="1">
        <f t="array" ref="CL128">_xlfn.SWITCH(Crops[[#This Row],[Irrigation]],"DR", 0.5, "OH", 0.25,0)*BedLength/50</f>
        <v>0</v>
      </c>
      <c r="CM128">
        <f>IF(OR(ISBLANK(Crops[[#This Row],[Row Cover]]),Crops[[#This Row],[Row Cover]]="None"),0,1)*BedLength/50</f>
        <v>0</v>
      </c>
      <c r="CN128" s="173">
        <f>HoursPerWeedingPass*Crops[[#This Row],[Days In Field]]/14*Crops[[#This Row],[Rows]]+1*BedLength/50</f>
        <v>5.7857142857142856</v>
      </c>
      <c r="CO128" s="49"/>
      <c r="CQ128" s="37">
        <f>_xlfn.XLOOKUP(Crops[[#This Row],[Crop]]&amp;Crops[[#This Row],[Product]]&amp;Crops[[#This Row],[Unit]],Products[ID],Products[Marketing (hr)])*Crops[[#This Row],[Direct Revenue Per Bed]]/2000</f>
        <v>1.2</v>
      </c>
      <c r="CR128" s="37">
        <f>_xlfn.XLOOKUP(Crops[[#This Row],[Crop]]&amp;Crops[[#This Row],[Product]]&amp;Crops[[#This Row],[Unit]],Products[ID],Products[Harvest (s)])*Crops[[#This Row],[Custom Yield Per Bed]]/3600</f>
        <v>1.25</v>
      </c>
      <c r="CS128" s="37">
        <f>_xlfn.XLOOKUP(Crops[[#This Row],[Crop]]&amp;Crops[[#This Row],[Product]]&amp;Crops[[#This Row],[Unit]],Products[ID],Products[Bunch (s)])*Crops[[#This Row],[Custom Yield Per Bed]]/3600</f>
        <v>0</v>
      </c>
      <c r="CT128" s="37">
        <f>_xlfn.XLOOKUP(Crops[[#This Row],[Crop]]&amp;Crops[[#This Row],[Product]]&amp;Crops[[#This Row],[Unit]],Products[ID],Products[Haul (s)])*Crops[[#This Row],[Custom Yield Per Bed]]/3600</f>
        <v>6.25E-2</v>
      </c>
      <c r="CU128" s="37">
        <f>_xlfn.XLOOKUP(Crops[[#This Row],[Crop]]&amp;Crops[[#This Row],[Product]]&amp;Crops[[#This Row],[Unit]],Products[ID],Products[Wash (s)])*Crops[[#This Row],[Custom Yield Per Bed]]/3600</f>
        <v>0</v>
      </c>
      <c r="CV128" s="37">
        <f>_xlfn.XLOOKUP(Crops[[#This Row],[Crop]]&amp;Crops[[#This Row],[Product]]&amp;Crops[[#This Row],[Unit]],Products[ID],Products[Condition (s)])*Crops[[#This Row],[Custom Yield Per Bed]]/3600</f>
        <v>0</v>
      </c>
      <c r="CW128" s="37">
        <f>_xlfn.XLOOKUP(Crops[[#This Row],[Crop]]&amp;Crops[[#This Row],[Product]]&amp;Crops[[#This Row],[Unit]],Products[ID],Products[Trim (s)])*Crops[[#This Row],[Custom Yield Per Bed]]/3600</f>
        <v>0</v>
      </c>
      <c r="CX128" s="37">
        <f>_xlfn.XLOOKUP(Crops[[#This Row],[Crop]]&amp;Crops[[#This Row],[Product]]&amp;Crops[[#This Row],[Unit]],Products[ID],Products[Pack (s)])*Crops[[#This Row],[Custom Yield Per Bed]]/3600</f>
        <v>8.3333333333333329E-2</v>
      </c>
      <c r="CY128" s="37">
        <f>_xlfn.XLOOKUP(Crops[[#This Row],[Crop]]&amp;Crops[[#This Row],[Product]]&amp;Crops[[#This Row],[Unit]],Products[ID],Products[Clean (s)])*Crops[[#This Row],[Custom Yield Per Bed]]/3600</f>
        <v>0</v>
      </c>
      <c r="CZ128" s="37">
        <f>_xlfn.XLOOKUP(Crops[[#This Row],[Crop]]&amp;Crops[[#This Row],[Product]]&amp;Crops[[#This Row],[Unit]],Products[ID],Products[Rehandle (s)])*Crops[[#This Row],[Custom Yield Per Bed]]/3600</f>
        <v>0</v>
      </c>
      <c r="DA128" s="37">
        <f>_xlfn.XLOOKUP(Crops[[#This Row],[Crop]]&amp;Crops[[#This Row],[Product]]&amp;Crops[[#This Row],[Unit]],Products[ID],Products[Market Transport (s)])*Crops[[#This Row],[Custom Yield Per Bed]]/3600</f>
        <v>0.15625</v>
      </c>
      <c r="DC128" s="37">
        <f>Crops[[#This Row],[Direct Revenue Per Bed2]]</f>
        <v>600</v>
      </c>
      <c r="DD128" s="173">
        <f>_xlfn.AGGREGATE(9,6,Crops[[#This Row],[Bed Prep]:[Remove Crop Residue]])</f>
        <v>10.237797619047619</v>
      </c>
      <c r="DE128" s="173">
        <f>_xlfn.AGGREGATE(9,6,Crops[[#This Row],[Bed Prep]:[Remove Crop Residue]])-0.75*Crops[[#This Row],[Market &amp; Sell]]</f>
        <v>9.3377976190476186</v>
      </c>
      <c r="DF128" s="36">
        <f>Crops[[#This Row],[Direct Revenue Per Bed2]]/Crops[[#This Row],[Direct Time]]</f>
        <v>58.60635483589639</v>
      </c>
      <c r="DG128" s="36">
        <f>_xlfn.XLOOKUP(Crops[[#This Row],[ProductIndex]],Products[ID],Products[Packaging Cost])*(Crops[[#This Row],[Custom Yield Per Bed]]/_xlfn.XLOOKUP(Crops[[#This Row],[ProductIndex]],Products[ID],Products[Units Per Pack]))</f>
        <v>12.666666666666666</v>
      </c>
      <c r="DH128" s="36"/>
      <c r="DI128" s="36"/>
      <c r="DJ128" s="36"/>
      <c r="DK128" s="36"/>
      <c r="DL128" s="36"/>
      <c r="DM128" s="33">
        <f>IFERROR(Crops[[#This Row],[Custom Yield Per Bed]]*Crops[[#This Row],[Direct Price]],"")</f>
        <v>600</v>
      </c>
      <c r="DN128" s="36">
        <f>Crops[[#This Row],[Direct Time]]*LaborRate</f>
        <v>255.94494047619048</v>
      </c>
      <c r="DO128" s="36">
        <f>SUM(Crops[[#This Row],[Irrigation Cost]])</f>
        <v>0</v>
      </c>
      <c r="DP128" s="36">
        <f>Crops[[#This Row],[Direct Labor Cost]]+Crops[[#This Row],[Direct Non-Labor Cost]]</f>
        <v>255.94494047619048</v>
      </c>
      <c r="DQ128" s="36">
        <f>Crops[[#This Row],[Direct Revenue Per Bed2]]-Crops[[#This Row],[Direct Total Cost]]</f>
        <v>344.05505952380952</v>
      </c>
      <c r="DR128" s="36">
        <f>Crops[[#This Row],[Direct Profit]]*BedsPerAcre</f>
        <v>55048.809523809527</v>
      </c>
      <c r="DS128" s="36">
        <f>Crops[[#This Row],[Direct Profit]]*BedsPerAcre*GrowingDays/Crops[[#This Row],[Days In Field]]</f>
        <v>49297.441364605547</v>
      </c>
      <c r="DT128" s="36">
        <f>Crops[[#This Row],[Direct Profit]]/MIN(Crops[[#This Row],[Days In Field]],GrowingDays)</f>
        <v>1.9114169973544972</v>
      </c>
      <c r="DU128" s="36">
        <f>Crops[[#This Row],[Direct Time]] * BedsPerAcre</f>
        <v>1638.047619047619</v>
      </c>
      <c r="DV128" s="36">
        <f>(Crops[[#This Row],[Direct Revenue Per Bed2]]-Crops[[#This Row],[Direct Non-Labor Cost]])/Crops[[#This Row],[Direct Time]]</f>
        <v>58.60635483589639</v>
      </c>
      <c r="DW128" s="33">
        <f>IFERROR(Crops[[#This Row],[Custom Yield Per Bed]]*Crops[[#This Row],[Rough Wholesale Price]],"")</f>
        <v>359.99999999999994</v>
      </c>
      <c r="DX128" s="36">
        <f>Crops[[#This Row],[Wholesale Time]]*LaborRate</f>
        <v>233.44494047619045</v>
      </c>
      <c r="DY128" s="36">
        <f>SUM(Crops[[#This Row],[Packaging Costs]:[Irrigation Cost]])</f>
        <v>12.666666666666666</v>
      </c>
      <c r="DZ128" s="36">
        <f>Crops[[#This Row],[Wholesale Labor Cost]]+Crops[[#This Row],[Wholesale Non-Labor Cost]]</f>
        <v>246.11160714285711</v>
      </c>
      <c r="EA128" s="36">
        <f>Crops[[#This Row],[Wholesale Revenue Per Bed]]-Crops[[#This Row],[Wholesale Total Cost]]</f>
        <v>113.88839285714283</v>
      </c>
      <c r="EB128" s="36">
        <f>Crops[[#This Row],[Wholesale Profit]]*BedsPerAcre</f>
        <v>18222.142857142855</v>
      </c>
      <c r="EC128" s="36">
        <f>Crops[[#This Row],[Wholesale Profit]]*BedsPerAcre*GrowingDays/Crops[[#This Row],[Days In Field]]</f>
        <v>16318.336886993602</v>
      </c>
      <c r="ED128" s="36">
        <f>Crops[[#This Row],[Wholesale Time]] * BedsPerAcre</f>
        <v>1494.047619047619</v>
      </c>
      <c r="EE128" s="221">
        <f>Crops[[#This Row],[Wholesale Profit]]/MIN(Crops[[#This Row],[Days In Field]],GrowingDays)</f>
        <v>0.63271329365079354</v>
      </c>
      <c r="EF128" s="36">
        <f>(Crops[[#This Row],[Wholesale Revenue Per Bed]]-Crops[[#This Row],[Wholesale Non-Labor Cost]])/Crops[[#This Row],[Direct Time]]</f>
        <v>33.926567632780014</v>
      </c>
      <c r="EG128" s="174">
        <f>Crops[[#This Row],[Packaging Costs]]/Crops[[#This Row],[Wholesale Revenue Per Bed]]</f>
        <v>3.5185185185185187E-2</v>
      </c>
      <c r="EH128" s="36" t="str">
        <f>Crops[[#This Row],[Crop]]&amp;Crops[[#This Row],[Product]]&amp;Crops[[#This Row],[Unit]]</f>
        <v>Fava BeanMature PodLb</v>
      </c>
      <c r="EI128" s="36" t="b">
        <f>_xlfn.XLOOKUP(Crops[[#This Row],[ProductIndex]],Products[ID],Products[Target])</f>
        <v>1</v>
      </c>
      <c r="EJ128" s="33">
        <f>Crops[[#This Row],[Custom Yield Per Bed]]</f>
        <v>100</v>
      </c>
      <c r="EK128" s="210">
        <f>Crops[[#This Row],[Units Per Harvest]]/Crops[[#This Row],[Days Between Harvest]]*7</f>
        <v>33.333333333333336</v>
      </c>
      <c r="EL128" s="210">
        <f>Crops[[#This Row],[Custom Yield Per Bed]]/_xlfn.XLOOKUP(Crops[[#This Row],[ProductIndex]],Products[ID],Products[CSA Portion])</f>
        <v>133.33333333333334</v>
      </c>
      <c r="EM128" s="210">
        <f>Crops[[#This Row],[Units Per Harvest]]/Crops[[#This Row],[Days Between Harvest]]*7/_xlfn.XLOOKUP(Crops[[#This Row],[ProductIndex]],Products[ID],Products[CSA Portion])</f>
        <v>44.44444444444445</v>
      </c>
      <c r="EN128" s="210">
        <f>Crops[[#This Row],[CSA Portions Per Week]]/CSAMembers</f>
        <v>0.88888888888888895</v>
      </c>
      <c r="EO128" s="216">
        <v>1</v>
      </c>
      <c r="EP128" s="216">
        <v>1</v>
      </c>
      <c r="EQ128" s="36"/>
      <c r="ER128" s="36">
        <f>Crops[[#This Row],[Harvests]]*Crops[[#This Row],[Days Between Harvest]]/7</f>
        <v>3</v>
      </c>
      <c r="ES128" s="208">
        <f>_xlfn.XLOOKUP(Crops[[#This Row],[ProductIndex]],Products[ID],Products[CSA Need])</f>
        <v>1.5</v>
      </c>
      <c r="ET128" s="208">
        <f>_xlfn.XLOOKUP(Crops[[#This Row],[ProductIndex]],Products[ID],Products[CSA Times])</f>
        <v>2</v>
      </c>
      <c r="EU128" s="208">
        <f>Crops[[#This Row],[Custom Yield Per Bed]]/(Crops[[#This Row],[CSA Need]]*(_xlfn.XLOOKUP(Crops[[#This Row],[ProductIndex]],Products[ID],Products[CSA Portion])*CSAMembers))</f>
        <v>1.7777777777777777</v>
      </c>
      <c r="EV128" s="208">
        <f>_xlfn.XLOOKUP(Crops[[#This Row],[ProductIndex]],Products[ID],Products[CSA Portion])*CSAMembers*Crops[[#This Row],[CSA Need]]/Crops[[#This Row],[Custom Yield Per Bed]]</f>
        <v>0.5625</v>
      </c>
      <c r="EW128" s="208">
        <f>IFERROR(Crops[[#This Row],[Days In Field]]*Crops[[#This Row],[CSA Beds]],"")</f>
        <v>113.0625</v>
      </c>
      <c r="EX128" s="208" t="e">
        <f>Crops[[#This Row],[CSA Bed Days]]*#REF!</f>
        <v>#REF!</v>
      </c>
      <c r="EY128" t="s">
        <v>286</v>
      </c>
    </row>
    <row r="129" spans="1:155">
      <c r="A129"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Fava Bean - Mature Pod 2X | Field DS Ow</v>
      </c>
      <c r="B129" s="28"/>
      <c r="C129" s="1"/>
      <c r="D129" s="1"/>
      <c r="E129" s="1" t="b">
        <v>0</v>
      </c>
      <c r="F129" s="1" t="b">
        <f>IFERROR(IF(ISNUMBER(MATCH(Crops[[#This Row],[Identifier]],BedPlan[Crop], 0)), TRUE, FALSE), FALSE)</f>
        <v>0</v>
      </c>
      <c r="G129" s="1" t="b">
        <f>IFERROR(IF(ISNUMBER(MATCH(Crops[[#This Row],[Identifier]],BedPlan[Crop], 0)), TRUE, FALSE), FALSE)</f>
        <v>0</v>
      </c>
      <c r="H129" s="1"/>
      <c r="I129" t="s">
        <v>2281</v>
      </c>
      <c r="J129" t="s">
        <v>145</v>
      </c>
      <c r="K129" t="s">
        <v>192</v>
      </c>
      <c r="M129" t="s">
        <v>2281</v>
      </c>
      <c r="N129" t="str">
        <f>Crops[[#This Row],[Crop]]</f>
        <v>Fava Bean</v>
      </c>
      <c r="O129" t="s">
        <v>210</v>
      </c>
      <c r="P129" t="str">
        <f>IF(OR(Crops[[#This Row],[Days in Cells]]="",Crops[[#This Row],[Days in Cells]]=0), "DS","TP")</f>
        <v>DS</v>
      </c>
      <c r="U129" t="s">
        <v>144</v>
      </c>
      <c r="V129" t="str">
        <f xml:space="preserve"> IF(Crops[[#This Row],[Sp]], "Sp", "") &amp; IF(Crops[[#This Row],[Su]], "Su", "") &amp; IF(Crops[[#This Row],[Fa]], "Fa", "") &amp; IF(Crops[[#This Row],[Wi]], "Wi", "") &amp; IF(Crops[[#This Row],[OW]], "Ow","")</f>
        <v>Ow</v>
      </c>
      <c r="X129">
        <v>2</v>
      </c>
      <c r="Y129">
        <v>9</v>
      </c>
      <c r="AB129" t="b">
        <v>1</v>
      </c>
      <c r="AD129" s="32">
        <f>IFERROR(12/Crops[[#This Row],[Spacing]]*Crops[[#This Row],[Rows]]*BedLength,"")</f>
        <v>133.33333333333331</v>
      </c>
      <c r="AE129">
        <v>2</v>
      </c>
      <c r="AG129">
        <v>1</v>
      </c>
      <c r="AH129">
        <f>1</f>
        <v>1</v>
      </c>
      <c r="AI129" s="33">
        <f>IFERROR(Crops[[#This Row],[Plantings Per Bed]]*Crops[[#This Row],[Seeds Per Planting]]*Crops[[#This Row],[Safety Factor]]*Crops[[#This Row],[Seeding Factor]],"")</f>
        <v>266.66666666666663</v>
      </c>
      <c r="AL129">
        <f>_xlfn.FLOOR.MATH(IFERROR(AVERAGE(Crops[[#This Row],[DTG Lower]:[DTG Upper]]),0))</f>
        <v>0</v>
      </c>
      <c r="AM129">
        <f>SUM(Crops[[#This Row],[Tray 1 Days]],Crops[[#This Row],[Tray 2 Days]],Crops[[#This Row],[Tray 3 Days]])</f>
        <v>0</v>
      </c>
      <c r="AO129">
        <v>210</v>
      </c>
      <c r="AP129">
        <v>270</v>
      </c>
      <c r="AQ129">
        <v>230</v>
      </c>
      <c r="AR129" cm="1">
        <f t="array" ref="AR129">_xlfn.SWITCH(Crops[[#This Row],[Normal Method]],"DS",Crops[[#This Row],[Days to Germination]]+Crops[[#This Row],[DTM]] + IF(Crops[[#This Row],[Days in Cells]]&gt;0,15,0), "TP",Crops[[#This Row],[DTM]]+Crops[[#This Row],[Days in Cells]] + IF(Crops[[#This Row],[Days in Cells]]&lt;=0,20,0), "X", Crops[[#This Row],[DTM]])</f>
        <v>230</v>
      </c>
      <c r="AS129" t="s">
        <v>347</v>
      </c>
      <c r="AT129">
        <f>(Crops[[#This Row],[Harvests]]-1)*Crops[[#This Row],[Days Between Harvest]]+7</f>
        <v>21</v>
      </c>
      <c r="AU129">
        <f>Crops[[#This Row],[STH]]-Crops[[#This Row],[Days in Cells]]+Crops[[#This Row],[Harvest window]]</f>
        <v>251</v>
      </c>
      <c r="AZ129" t="str">
        <f>IFERROR(IF(Crops[[#This Row],[Tray 1 Days]]=0,"",Crops[[#This Row],[Plantings Per Bed]]/Crops[[#This Row],[Tray 1 Size]]*Crops[[#This Row],[Safety Factor]]),"")</f>
        <v/>
      </c>
      <c r="BC129" t="str">
        <f>IFERROR(IF(Crops[[#This Row],[Tray 2 Days]]=0,"",Crops[[#This Row],[Plantings Per Bed]]/Crops[[#This Row],[Tray 2 Size]]*Crops[[#This Row],[Safety Factor]]),"")</f>
        <v/>
      </c>
      <c r="BE129" s="32" t="str">
        <f>IF(NOT(ISBLANK(Crops[[#This Row],[Tray 3 Size]])), Crops[[#This Row],[Days in Cells Old]]-SUM(Crops[[#This Row],[Tray 1 Days]],Crops[[#This Row],[Tray 2 Days]]), "")</f>
        <v/>
      </c>
      <c r="BF129" t="str">
        <f>IFERROR(IF(Crops[[#This Row],[Tray 3 Days]]=0,"",Crops[[#This Row],[Plantings Per Bed]]/Crops[[#This Row],[Tray 3 Size]]*Crops[[#This Row],[Safety Factor]]),"")</f>
        <v/>
      </c>
      <c r="BG129" s="33">
        <f>200*BedLength/StandardBedLength/Crops[[#This Row],[Harvests]]</f>
        <v>33.333333333333336</v>
      </c>
      <c r="BH129" s="33">
        <v>3</v>
      </c>
      <c r="BI129" s="33">
        <v>7</v>
      </c>
      <c r="BJ129" s="33">
        <f>_xlfn.XLOOKUP(Crops[[#This Row],[ProductIndex]],Products[ID],Products[Holding Period])</f>
        <v>0</v>
      </c>
      <c r="BK129" s="33"/>
      <c r="BL129" s="33">
        <f>Crops[[#This Row],[Units Per Harvest]]*Crops[[#This Row],[Harvests]]</f>
        <v>100</v>
      </c>
      <c r="BM129" s="35">
        <v>6</v>
      </c>
      <c r="BN129" s="35">
        <f>Crops[[#This Row],[Direct Price]]*0.6</f>
        <v>3.5999999999999996</v>
      </c>
      <c r="BO129" s="35"/>
      <c r="BP129" t="s">
        <v>383</v>
      </c>
      <c r="BQ129">
        <f>Crops[[#This Row],[Custom Yield Per Bed]]*Crops[[#This Row],[Direct Price]]</f>
        <v>600</v>
      </c>
      <c r="BR129" t="b">
        <v>1</v>
      </c>
      <c r="BS129" t="b">
        <f>Crops[[#This Row],[Harvests]]&gt;1</f>
        <v>1</v>
      </c>
      <c r="BT129" s="36">
        <f>IFERROR(Crops[[#This Row],[Direct Revenue Per Bed]]/Crops[[#This Row],[Days In Field]],-1)</f>
        <v>2.3904382470119523</v>
      </c>
      <c r="BU129" s="36">
        <f>IFERROR(Crops[[#This Row],[Direct Revenue Per Bed Day]]*GrowingDays*BedsPerAcre,"")</f>
        <v>68844.621513944236</v>
      </c>
      <c r="BV129" s="38">
        <f>LastFrostDate-5*Crops[[#This Row],[Sewing Rel Last Frost]]</f>
        <v>45903</v>
      </c>
      <c r="BW129" s="38">
        <f>Crops[[#This Row],[Target Sewing Date]]+Crops[[#This Row],[Days in Cells]]</f>
        <v>45903</v>
      </c>
      <c r="BX129" s="38">
        <f>Crops[[#This Row],[Target Sewing Date]]+Crops[[#This Row],[STH]]</f>
        <v>46133</v>
      </c>
      <c r="BY129" s="38">
        <f>Crops[[#This Row],[Target Harvest Data]]+Crops[[#This Row],[Harvest window]]</f>
        <v>46154</v>
      </c>
      <c r="BZ129">
        <v>-31</v>
      </c>
      <c r="CA129" t="s">
        <v>373</v>
      </c>
      <c r="CB129">
        <f>1</f>
        <v>1</v>
      </c>
      <c r="CC129">
        <f>IF(Crops[[#This Row],[Transplanting]]&gt;0, 2, 3)*BedLength/StandardBedLength</f>
        <v>1.5</v>
      </c>
      <c r="CD129" s="173">
        <f>IF(Crops[[#This Row],[Days in Cells]]&lt;=0,0,Crops[[#This Row],[Plantings Per Bed]]/StartsPerHourSeeding+Crops[[#This Row],[Tray 1 Count]]*5/60)</f>
        <v>0</v>
      </c>
      <c r="CE129" s="173">
        <f>IF(ISBLANK(Crops[[#This Row],[Tray 2 Days]]),0,Crops[[#This Row],[Plantings Per Bed]]/UpPottingPerHour)+IF(Crops[[#This Row],[Tray 3 Days]]="",0,Crops[[#This Row],[Plantings Per Bed]]/UpPottingPerHour)</f>
        <v>0</v>
      </c>
      <c r="CF129" s="173">
        <f>IFERROR(Crops[[#This Row],[Tray 1 Count]]/HomeStartFlatIrrigationPerHour,0)*Crops[[#This Row],[Days in Cells]]/DaysBetweenStartIrrigation</f>
        <v>0</v>
      </c>
      <c r="CG129" s="173">
        <f>0.5/16*MAX(Crops[[#This Row],[Tray 1 Count]],Crops[[#This Row],[Tray 2 Count]],Crops[[#This Row],[Tray 3 Count]])</f>
        <v>0</v>
      </c>
      <c r="CH129" s="173">
        <f>IF(Crops[[#This Row],[Days in Cells]]&gt;0,IF(IF(Crops[[#This Row],[Tray 3 Size]]&gt;0,Crops[[#This Row],[Tray 3 Size]],IF(Crops[[#This Row],[Tray 2 Size]]&gt;0,Crops[[#This Row],[Tray 2 Size]],Crops[[#This Row],[Tray 1 Size]]))&lt;=18,LargeTransplantTime,SmallTransplantTime)*Crops[[#This Row],[Plantings Per Bed]],0)</f>
        <v>0</v>
      </c>
      <c r="CI129" s="173"/>
      <c r="CJ129" s="173">
        <f>_xlfn.XLOOKUP(Crops[[#This Row],[Trellis Type]],TrellisMethods[Trellis Type],TrellisMethods[Hours],0,0)</f>
        <v>0</v>
      </c>
      <c r="CK129">
        <f>IF(Crops[[#This Row],[Days in Cells]]&lt;=0,Crops[[#This Row],[Rows]]*1/10,0)*BedLength/50</f>
        <v>0.2</v>
      </c>
      <c r="CL129" cm="1">
        <f t="array" ref="CL129">_xlfn.SWITCH(Crops[[#This Row],[Irrigation]],"DR", 0.5, "OH", 0.25,0)*BedLength/50</f>
        <v>0</v>
      </c>
      <c r="CM129">
        <f>IF(OR(ISBLANK(Crops[[#This Row],[Row Cover]]),Crops[[#This Row],[Row Cover]]="None"),0,1)*BedLength/50</f>
        <v>0</v>
      </c>
      <c r="CN129" s="173">
        <f>HoursPerWeedingPass*Crops[[#This Row],[Days In Field]]/14*Crops[[#This Row],[Rows]]+1*BedLength/50</f>
        <v>6.9761904761904754</v>
      </c>
      <c r="CO129" s="49"/>
      <c r="CQ129" s="37">
        <f>_xlfn.XLOOKUP(Crops[[#This Row],[Crop]]&amp;Crops[[#This Row],[Product]]&amp;Crops[[#This Row],[Unit]],Products[ID],Products[Marketing (hr)])*Crops[[#This Row],[Direct Revenue Per Bed]]/2000</f>
        <v>1.2</v>
      </c>
      <c r="CR129" s="37">
        <f>_xlfn.XLOOKUP(Crops[[#This Row],[Crop]]&amp;Crops[[#This Row],[Product]]&amp;Crops[[#This Row],[Unit]],Products[ID],Products[Harvest (s)])*Crops[[#This Row],[Custom Yield Per Bed]]/3600</f>
        <v>1.25</v>
      </c>
      <c r="CS129" s="37">
        <f>_xlfn.XLOOKUP(Crops[[#This Row],[Crop]]&amp;Crops[[#This Row],[Product]]&amp;Crops[[#This Row],[Unit]],Products[ID],Products[Bunch (s)])*Crops[[#This Row],[Custom Yield Per Bed]]/3600</f>
        <v>0</v>
      </c>
      <c r="CT129" s="37">
        <f>_xlfn.XLOOKUP(Crops[[#This Row],[Crop]]&amp;Crops[[#This Row],[Product]]&amp;Crops[[#This Row],[Unit]],Products[ID],Products[Haul (s)])*Crops[[#This Row],[Custom Yield Per Bed]]/3600</f>
        <v>6.25E-2</v>
      </c>
      <c r="CU129" s="37">
        <f>_xlfn.XLOOKUP(Crops[[#This Row],[Crop]]&amp;Crops[[#This Row],[Product]]&amp;Crops[[#This Row],[Unit]],Products[ID],Products[Wash (s)])*Crops[[#This Row],[Custom Yield Per Bed]]/3600</f>
        <v>0</v>
      </c>
      <c r="CV129" s="37">
        <f>_xlfn.XLOOKUP(Crops[[#This Row],[Crop]]&amp;Crops[[#This Row],[Product]]&amp;Crops[[#This Row],[Unit]],Products[ID],Products[Condition (s)])*Crops[[#This Row],[Custom Yield Per Bed]]/3600</f>
        <v>0</v>
      </c>
      <c r="CW129" s="37">
        <f>_xlfn.XLOOKUP(Crops[[#This Row],[Crop]]&amp;Crops[[#This Row],[Product]]&amp;Crops[[#This Row],[Unit]],Products[ID],Products[Trim (s)])*Crops[[#This Row],[Custom Yield Per Bed]]/3600</f>
        <v>0</v>
      </c>
      <c r="CX129" s="37">
        <f>_xlfn.XLOOKUP(Crops[[#This Row],[Crop]]&amp;Crops[[#This Row],[Product]]&amp;Crops[[#This Row],[Unit]],Products[ID],Products[Pack (s)])*Crops[[#This Row],[Custom Yield Per Bed]]/3600</f>
        <v>8.3333333333333329E-2</v>
      </c>
      <c r="CY129" s="37">
        <f>_xlfn.XLOOKUP(Crops[[#This Row],[Crop]]&amp;Crops[[#This Row],[Product]]&amp;Crops[[#This Row],[Unit]],Products[ID],Products[Clean (s)])*Crops[[#This Row],[Custom Yield Per Bed]]/3600</f>
        <v>0</v>
      </c>
      <c r="CZ129" s="37">
        <f>_xlfn.XLOOKUP(Crops[[#This Row],[Crop]]&amp;Crops[[#This Row],[Product]]&amp;Crops[[#This Row],[Unit]],Products[ID],Products[Rehandle (s)])*Crops[[#This Row],[Custom Yield Per Bed]]/3600</f>
        <v>0</v>
      </c>
      <c r="DA129" s="37">
        <f>_xlfn.XLOOKUP(Crops[[#This Row],[Crop]]&amp;Crops[[#This Row],[Product]]&amp;Crops[[#This Row],[Unit]],Products[ID],Products[Market Transport (s)])*Crops[[#This Row],[Custom Yield Per Bed]]/3600</f>
        <v>0.15625</v>
      </c>
      <c r="DC129" s="37">
        <f>Crops[[#This Row],[Direct Revenue Per Bed2]]</f>
        <v>600</v>
      </c>
      <c r="DD129" s="173">
        <f>_xlfn.AGGREGATE(9,6,Crops[[#This Row],[Bed Prep]:[Remove Crop Residue]])</f>
        <v>11.428273809523809</v>
      </c>
      <c r="DE129" s="173">
        <f>_xlfn.AGGREGATE(9,6,Crops[[#This Row],[Bed Prep]:[Remove Crop Residue]])-0.75*Crops[[#This Row],[Market &amp; Sell]]</f>
        <v>10.528273809523808</v>
      </c>
      <c r="DF129" s="36">
        <f>Crops[[#This Row],[Direct Revenue Per Bed2]]/Crops[[#This Row],[Direct Time]]</f>
        <v>52.501367223104772</v>
      </c>
      <c r="DG129" s="36">
        <f>_xlfn.XLOOKUP(Crops[[#This Row],[ProductIndex]],Products[ID],Products[Packaging Cost])*(Crops[[#This Row],[Custom Yield Per Bed]]/_xlfn.XLOOKUP(Crops[[#This Row],[ProductIndex]],Products[ID],Products[Units Per Pack]))</f>
        <v>12.666666666666666</v>
      </c>
      <c r="DH129" s="36"/>
      <c r="DI129" s="36"/>
      <c r="DJ129" s="36"/>
      <c r="DK129" s="36"/>
      <c r="DL129" s="36"/>
      <c r="DM129" s="33">
        <f>IFERROR(Crops[[#This Row],[Custom Yield Per Bed]]*Crops[[#This Row],[Direct Price]],"")</f>
        <v>600</v>
      </c>
      <c r="DN129" s="36">
        <f>Crops[[#This Row],[Direct Time]]*LaborRate</f>
        <v>285.70684523809524</v>
      </c>
      <c r="DO129" s="36">
        <f>SUM(Crops[[#This Row],[Irrigation Cost]])</f>
        <v>0</v>
      </c>
      <c r="DP129" s="36">
        <f>Crops[[#This Row],[Direct Labor Cost]]+Crops[[#This Row],[Direct Non-Labor Cost]]</f>
        <v>285.70684523809524</v>
      </c>
      <c r="DQ129" s="36">
        <f>Crops[[#This Row],[Direct Revenue Per Bed2]]-Crops[[#This Row],[Direct Total Cost]]</f>
        <v>314.29315476190476</v>
      </c>
      <c r="DR129" s="36">
        <f>Crops[[#This Row],[Direct Profit]]*BedsPerAcre</f>
        <v>50286.904761904763</v>
      </c>
      <c r="DS129" s="36">
        <f>Crops[[#This Row],[Direct Profit]]*BedsPerAcre*GrowingDays/Crops[[#This Row],[Days In Field]]</f>
        <v>36062.322140011391</v>
      </c>
      <c r="DT129" s="36">
        <f>Crops[[#This Row],[Direct Profit]]/MIN(Crops[[#This Row],[Days In Field]],GrowingDays)</f>
        <v>1.7460730820105821</v>
      </c>
      <c r="DU129" s="36">
        <f>Crops[[#This Row],[Direct Time]] * BedsPerAcre</f>
        <v>1828.5238095238094</v>
      </c>
      <c r="DV129" s="36">
        <f>(Crops[[#This Row],[Direct Revenue Per Bed2]]-Crops[[#This Row],[Direct Non-Labor Cost]])/Crops[[#This Row],[Direct Time]]</f>
        <v>52.501367223104772</v>
      </c>
      <c r="DW129" s="33">
        <f>IFERROR(Crops[[#This Row],[Custom Yield Per Bed]]*Crops[[#This Row],[Rough Wholesale Price]],"")</f>
        <v>359.99999999999994</v>
      </c>
      <c r="DX129" s="36">
        <f>Crops[[#This Row],[Wholesale Time]]*LaborRate</f>
        <v>263.20684523809518</v>
      </c>
      <c r="DY129" s="36">
        <f>SUM(Crops[[#This Row],[Packaging Costs]:[Irrigation Cost]])</f>
        <v>12.666666666666666</v>
      </c>
      <c r="DZ129" s="36">
        <f>Crops[[#This Row],[Wholesale Labor Cost]]+Crops[[#This Row],[Wholesale Non-Labor Cost]]</f>
        <v>275.87351190476187</v>
      </c>
      <c r="EA129" s="36">
        <f>Crops[[#This Row],[Wholesale Revenue Per Bed]]-Crops[[#This Row],[Wholesale Total Cost]]</f>
        <v>84.126488095238074</v>
      </c>
      <c r="EB129" s="36">
        <f>Crops[[#This Row],[Wholesale Profit]]*BedsPerAcre</f>
        <v>13460.238095238092</v>
      </c>
      <c r="EC129" s="36">
        <f>Crops[[#This Row],[Wholesale Profit]]*BedsPerAcre*GrowingDays/Crops[[#This Row],[Days In Field]]</f>
        <v>9652.7603870233324</v>
      </c>
      <c r="ED129" s="36">
        <f>Crops[[#This Row],[Wholesale Time]] * BedsPerAcre</f>
        <v>1684.5238095238094</v>
      </c>
      <c r="EE129" s="221">
        <f>Crops[[#This Row],[Wholesale Profit]]/MIN(Crops[[#This Row],[Days In Field]],GrowingDays)</f>
        <v>0.46736937830687819</v>
      </c>
      <c r="EF129" s="36">
        <f>(Crops[[#This Row],[Wholesale Revenue Per Bed]]-Crops[[#This Row],[Wholesale Non-Labor Cost]])/Crops[[#This Row],[Direct Time]]</f>
        <v>30.392458136930646</v>
      </c>
      <c r="EG129" s="174">
        <f>Crops[[#This Row],[Packaging Costs]]/Crops[[#This Row],[Wholesale Revenue Per Bed]]</f>
        <v>3.5185185185185187E-2</v>
      </c>
      <c r="EH129" s="36" t="str">
        <f>Crops[[#This Row],[Crop]]&amp;Crops[[#This Row],[Product]]&amp;Crops[[#This Row],[Unit]]</f>
        <v>Fava BeanMature PodLb</v>
      </c>
      <c r="EI129" s="36" t="b">
        <f>_xlfn.XLOOKUP(Crops[[#This Row],[ProductIndex]],Products[ID],Products[Target])</f>
        <v>1</v>
      </c>
      <c r="EJ129" s="36">
        <f>Crops[[#This Row],[Custom Yield Per Bed]]</f>
        <v>100</v>
      </c>
      <c r="EK129" s="210">
        <f>Crops[[#This Row],[Units Per Harvest]]/Crops[[#This Row],[Days Between Harvest]]*7</f>
        <v>33.333333333333336</v>
      </c>
      <c r="EL129" s="210">
        <f>Crops[[#This Row],[Custom Yield Per Bed]]/_xlfn.XLOOKUP(Crops[[#This Row],[ProductIndex]],Products[ID],Products[CSA Portion])</f>
        <v>133.33333333333334</v>
      </c>
      <c r="EM129" s="210">
        <f>Crops[[#This Row],[Units Per Harvest]]/Crops[[#This Row],[Days Between Harvest]]*7/_xlfn.XLOOKUP(Crops[[#This Row],[ProductIndex]],Products[ID],Products[CSA Portion])</f>
        <v>44.44444444444445</v>
      </c>
      <c r="EN129" s="210">
        <f>Crops[[#This Row],[CSA Portions Per Week]]/CSAMembers</f>
        <v>0.88888888888888895</v>
      </c>
      <c r="EO129" s="210"/>
      <c r="EP129" s="210"/>
      <c r="EQ129" s="36"/>
      <c r="ER129" s="36">
        <f>Crops[[#This Row],[Harvests]]*Crops[[#This Row],[Days Between Harvest]]/7</f>
        <v>3</v>
      </c>
      <c r="ES129" s="208">
        <f>_xlfn.XLOOKUP(Crops[[#This Row],[ProductIndex]],Products[ID],Products[CSA Need])</f>
        <v>1.5</v>
      </c>
      <c r="ET129" s="208">
        <f>_xlfn.XLOOKUP(Crops[[#This Row],[ProductIndex]],Products[ID],Products[CSA Times])</f>
        <v>2</v>
      </c>
      <c r="EU129" s="208">
        <f>Crops[[#This Row],[Custom Yield Per Bed]]/(Crops[[#This Row],[CSA Need]]*(_xlfn.XLOOKUP(Crops[[#This Row],[ProductIndex]],Products[ID],Products[CSA Portion])*CSAMembers))</f>
        <v>1.7777777777777777</v>
      </c>
      <c r="EV129" s="208">
        <f>_xlfn.XLOOKUP(Crops[[#This Row],[ProductIndex]],Products[ID],Products[CSA Portion])*CSAMembers*Crops[[#This Row],[CSA Need]]/Crops[[#This Row],[Custom Yield Per Bed]]</f>
        <v>0.5625</v>
      </c>
      <c r="EW129" s="208">
        <f>IFERROR(Crops[[#This Row],[Days In Field]]*Crops[[#This Row],[CSA Beds]],"")</f>
        <v>141.1875</v>
      </c>
      <c r="EX129" s="208" t="e">
        <f>Crops[[#This Row],[CSA Bed Days]]*#REF!</f>
        <v>#REF!</v>
      </c>
      <c r="EY129" t="s">
        <v>286</v>
      </c>
    </row>
    <row r="130" spans="1:155" ht="15.75" customHeight="1">
      <c r="A130"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Mature Bulb 1X | Field DS Sp</v>
      </c>
      <c r="B130" s="180"/>
      <c r="C130" s="1"/>
      <c r="D130" s="1"/>
      <c r="E130" s="1" t="b">
        <v>0</v>
      </c>
      <c r="F130" s="1" t="b">
        <f>IFERROR(IF(ISNUMBER(MATCH(Crops[[#This Row],[Identifier]],BedPlan[Crop], 0)), TRUE, FALSE), FALSE)</f>
        <v>0</v>
      </c>
      <c r="G130" s="1" t="b">
        <f>IFERROR(IF(ISNUMBER(MATCH(Crops[[#This Row],[Identifier]],BedPlan[Crop], 0)), TRUE, FALSE), FALSE)</f>
        <v>0</v>
      </c>
      <c r="H130" s="1"/>
      <c r="I130" t="s">
        <v>78</v>
      </c>
      <c r="J130" t="s">
        <v>145</v>
      </c>
      <c r="K130" t="s">
        <v>198</v>
      </c>
      <c r="N130" t="str">
        <f>Crops[[#This Row],[Crop]]</f>
        <v>Fennel</v>
      </c>
      <c r="O130" t="s">
        <v>210</v>
      </c>
      <c r="P130" t="str">
        <f>IF(OR(Crops[[#This Row],[Days in Cells]]="",Crops[[#This Row],[Days in Cells]]=0), "DS","TP")</f>
        <v>DS</v>
      </c>
      <c r="Q130" t="b">
        <v>1</v>
      </c>
      <c r="V130" t="str">
        <f xml:space="preserve"> IF(Crops[[#This Row],[Sp]], "Sp", "") &amp; IF(Crops[[#This Row],[Su]], "Su", "") &amp; IF(Crops[[#This Row],[Fa]], "Fa", "") &amp; IF(Crops[[#This Row],[Wi]], "Wi", "") &amp; IF(Crops[[#This Row],[OW]], "Ow","")</f>
        <v>Sp</v>
      </c>
      <c r="W130" t="s">
        <v>144</v>
      </c>
      <c r="X130">
        <v>3</v>
      </c>
      <c r="Y130">
        <v>9</v>
      </c>
      <c r="AD130" s="32">
        <f>IFERROR(12/Crops[[#This Row],[Spacing]]*Crops[[#This Row],[Rows]]*BedLength,"")</f>
        <v>200</v>
      </c>
      <c r="AE130">
        <v>1</v>
      </c>
      <c r="AG130">
        <f>IF(Crops[[#This Row],[Custom Safety Factor]]="",PlantingSafetyFactor,Crops[[#This Row],[Custom Safety Factor]])</f>
        <v>1.3</v>
      </c>
      <c r="AH130">
        <f>1</f>
        <v>1</v>
      </c>
      <c r="AI130" s="33">
        <f>IFERROR(Crops[[#This Row],[Plantings Per Bed]]*Crops[[#This Row],[Seeds Per Planting]]*Crops[[#This Row],[Safety Factor]]*Crops[[#This Row],[Seeding Factor]],"")</f>
        <v>260</v>
      </c>
      <c r="AJ130">
        <v>7</v>
      </c>
      <c r="AK130">
        <v>14</v>
      </c>
      <c r="AL130">
        <f>_xlfn.FLOOR.MATH(IFERROR(AVERAGE(Crops[[#This Row],[DTG Lower]:[DTG Upper]]),0))</f>
        <v>10</v>
      </c>
      <c r="AM130">
        <f>SUM(Crops[[#This Row],[Tray 1 Days]],Crops[[#This Row],[Tray 2 Days]],Crops[[#This Row],[Tray 3 Days]])</f>
        <v>0</v>
      </c>
      <c r="AN130" s="32">
        <v>30</v>
      </c>
      <c r="AP130">
        <f>13*7</f>
        <v>91</v>
      </c>
      <c r="AQ130">
        <f>IFERROR(_xlfn.FLOOR.MATH(AVERAGE(Crops[[#This Row],[DTM Lower]:[DTM Upper]])),"")</f>
        <v>91</v>
      </c>
      <c r="AR130" cm="1">
        <f t="array" ref="AR130">_xlfn.SWITCH(Crops[[#This Row],[Normal Method]],"DS",Crops[[#This Row],[Days to Germination]]+Crops[[#This Row],[DTM]] + IF(Crops[[#This Row],[Days in Cells]]&gt;0,15,0), "TP",Crops[[#This Row],[DTM]]+Crops[[#This Row],[Days in Cells]] + IF(Crops[[#This Row],[Days in Cells]]&lt;=0,20,0), "X", Crops[[#This Row],[DTM]])</f>
        <v>91</v>
      </c>
      <c r="AS130" t="s">
        <v>347</v>
      </c>
      <c r="AT130">
        <v>14</v>
      </c>
      <c r="AU130">
        <f>Crops[[#This Row],[STH]]-Crops[[#This Row],[Days in Cells]]+Crops[[#This Row],[Harvest window]]</f>
        <v>105</v>
      </c>
      <c r="AW130">
        <v>128</v>
      </c>
      <c r="AZ130" t="str">
        <f>IFERROR(IF(Crops[[#This Row],[Tray 1 Days]]=0,"",Crops[[#This Row],[Plantings Per Bed]]/Crops[[#This Row],[Tray 1 Size]]*Crops[[#This Row],[Safety Factor]]),"")</f>
        <v/>
      </c>
      <c r="BC130" t="str">
        <f>IFERROR(IF(Crops[[#This Row],[Tray 2 Days]]=0,"",Crops[[#This Row],[Plantings Per Bed]]/Crops[[#This Row],[Tray 2 Size]]*Crops[[#This Row],[Safety Factor]]),"")</f>
        <v/>
      </c>
      <c r="BE130" s="32" t="str">
        <f>IF(NOT(ISBLANK(Crops[[#This Row],[Tray 3 Size]])), Crops[[#This Row],[Days in Cells Old]]-SUM(Crops[[#This Row],[Tray 1 Days]],Crops[[#This Row],[Tray 2 Days]]), "")</f>
        <v/>
      </c>
      <c r="BF130" t="str">
        <f>IFERROR(IF(Crops[[#This Row],[Tray 3 Days]]=0,"",Crops[[#This Row],[Plantings Per Bed]]/Crops[[#This Row],[Tray 3 Size]]*Crops[[#This Row],[Safety Factor]]),"")</f>
        <v/>
      </c>
      <c r="BG130" s="33">
        <f>Crops[[#This Row],[Plantings Per Bed]]</f>
        <v>200</v>
      </c>
      <c r="BH130" s="33">
        <v>1</v>
      </c>
      <c r="BI130" s="33">
        <v>0</v>
      </c>
      <c r="BJ130" s="33">
        <f>_xlfn.XLOOKUP(Crops[[#This Row],[ProductIndex]],Products[ID],Products[Holding Period])</f>
        <v>0</v>
      </c>
      <c r="BK130" s="33"/>
      <c r="BL130" s="33">
        <f>Crops[[#This Row],[Units Per Harvest]]*Crops[[#This Row],[Harvests]]</f>
        <v>200</v>
      </c>
      <c r="BM130" s="35">
        <f>5/2</f>
        <v>2.5</v>
      </c>
      <c r="BN130" s="35">
        <f>Crops[[#This Row],[Direct Price]]*0.6</f>
        <v>1.5</v>
      </c>
      <c r="BO130" s="35"/>
      <c r="BP130" t="s">
        <v>2356</v>
      </c>
      <c r="BQ130">
        <f>Crops[[#This Row],[Custom Yield Per Bed]]*Crops[[#This Row],[Direct Price]]</f>
        <v>500</v>
      </c>
      <c r="BR130" t="b">
        <v>1</v>
      </c>
      <c r="BS130" t="b">
        <f>Crops[[#This Row],[Harvests]]&gt;1</f>
        <v>0</v>
      </c>
      <c r="BT130" s="36">
        <f>IFERROR(Crops[[#This Row],[Direct Revenue Per Bed]]/Crops[[#This Row],[Days In Field]],-1)</f>
        <v>4.7619047619047619</v>
      </c>
      <c r="BU130" s="36">
        <f>IFERROR(Crops[[#This Row],[Direct Revenue Per Bed Day]]*GrowingDays*BedsPerAcre,"")</f>
        <v>137142.85714285713</v>
      </c>
      <c r="BV130" s="38">
        <f>LastFrostDate-5*Crops[[#This Row],[Sewing Rel Last Frost]]</f>
        <v>45723</v>
      </c>
      <c r="BW130" s="38">
        <f>Crops[[#This Row],[Target Sewing Date]]+Crops[[#This Row],[Days in Cells]]</f>
        <v>45723</v>
      </c>
      <c r="BX130" s="38">
        <f>Crops[[#This Row],[Target Sewing Date]]+Crops[[#This Row],[STH]]</f>
        <v>45814</v>
      </c>
      <c r="BY130" s="38">
        <f>Crops[[#This Row],[Target Harvest Data]]+Crops[[#This Row],[Harvest window]]</f>
        <v>45828</v>
      </c>
      <c r="BZ130">
        <v>5</v>
      </c>
      <c r="CB130">
        <f>1</f>
        <v>1</v>
      </c>
      <c r="CC130">
        <f>IF(Crops[[#This Row],[Transplanting]]&gt;0, 2, 3)*BedLength/StandardBedLength</f>
        <v>1.5</v>
      </c>
      <c r="CD130" s="173">
        <f>IF(Crops[[#This Row],[Days in Cells]]&lt;=0,0,Crops[[#This Row],[Plantings Per Bed]]/StartsPerHourSeeding+Crops[[#This Row],[Tray 1 Count]]*5/60)</f>
        <v>0</v>
      </c>
      <c r="CE130" s="173">
        <f>IF(ISBLANK(Crops[[#This Row],[Tray 2 Days]]),0,Crops[[#This Row],[Plantings Per Bed]]/UpPottingPerHour)+IF(Crops[[#This Row],[Tray 3 Days]]="",0,Crops[[#This Row],[Plantings Per Bed]]/UpPottingPerHour)</f>
        <v>0</v>
      </c>
      <c r="CF130" s="173">
        <f>IFERROR(Crops[[#This Row],[Tray 1 Count]]/HomeStartFlatIrrigationPerHour,0)*Crops[[#This Row],[Days in Cells]]/DaysBetweenStartIrrigation</f>
        <v>0</v>
      </c>
      <c r="CG130" s="173">
        <f>0.5/16*MAX(Crops[[#This Row],[Tray 1 Count]],Crops[[#This Row],[Tray 2 Count]],Crops[[#This Row],[Tray 3 Count]])</f>
        <v>0</v>
      </c>
      <c r="CH130" s="173">
        <f>IF(Crops[[#This Row],[Days in Cells]]&gt;0,IF(IF(Crops[[#This Row],[Tray 3 Size]]&gt;0,Crops[[#This Row],[Tray 3 Size]],IF(Crops[[#This Row],[Tray 2 Size]]&gt;0,Crops[[#This Row],[Tray 2 Size]],Crops[[#This Row],[Tray 1 Size]]))&lt;=18,LargeTransplantTime,SmallTransplantTime)*Crops[[#This Row],[Plantings Per Bed]],0)</f>
        <v>0</v>
      </c>
      <c r="CI130" s="173"/>
      <c r="CJ130" s="173">
        <f>_xlfn.XLOOKUP(Crops[[#This Row],[Trellis Type]],TrellisMethods[Trellis Type],TrellisMethods[Hours],0,0)</f>
        <v>0</v>
      </c>
      <c r="CK130">
        <f>IF(Crops[[#This Row],[Days in Cells]]&lt;=0,Crops[[#This Row],[Rows]]*1/10,0)*BedLength/50</f>
        <v>0.3</v>
      </c>
      <c r="CL130" cm="1">
        <f t="array" ref="CL130">_xlfn.SWITCH(Crops[[#This Row],[Irrigation]],"DR", 0.5, "OH", 0.25,0)*BedLength/50</f>
        <v>0</v>
      </c>
      <c r="CM130">
        <f>IF(OR(ISBLANK(Crops[[#This Row],[Row Cover]]),Crops[[#This Row],[Row Cover]]="None"),0,1)*BedLength/50</f>
        <v>0</v>
      </c>
      <c r="CN130" s="173">
        <f>HoursPerWeedingPass*Crops[[#This Row],[Days In Field]]/14*Crops[[#This Row],[Rows]]+1*BedLength/50</f>
        <v>4.75</v>
      </c>
      <c r="CQ130" s="37">
        <f>_xlfn.XLOOKUP(Crops[[#This Row],[Crop]]&amp;Crops[[#This Row],[Product]]&amp;Crops[[#This Row],[Unit]],Products[ID],Products[Marketing (hr)])*Crops[[#This Row],[Direct Revenue Per Bed]]/2000</f>
        <v>0.5</v>
      </c>
      <c r="CR130" s="37">
        <f>_xlfn.XLOOKUP(Crops[[#This Row],[Crop]]&amp;Crops[[#This Row],[Product]]&amp;Crops[[#This Row],[Unit]],Products[ID],Products[Harvest (s)])*Crops[[#This Row],[Custom Yield Per Bed]]/3600</f>
        <v>0.27777777777777779</v>
      </c>
      <c r="CS130" s="37">
        <f>_xlfn.XLOOKUP(Crops[[#This Row],[Crop]]&amp;Crops[[#This Row],[Product]]&amp;Crops[[#This Row],[Unit]],Products[ID],Products[Bunch (s)])*Crops[[#This Row],[Custom Yield Per Bed]]/3600</f>
        <v>0</v>
      </c>
      <c r="CT130" s="37">
        <f>_xlfn.XLOOKUP(Crops[[#This Row],[Crop]]&amp;Crops[[#This Row],[Product]]&amp;Crops[[#This Row],[Unit]],Products[ID],Products[Haul (s)])*Crops[[#This Row],[Custom Yield Per Bed]]/3600</f>
        <v>0.25</v>
      </c>
      <c r="CU130" s="37">
        <f>_xlfn.XLOOKUP(Crops[[#This Row],[Crop]]&amp;Crops[[#This Row],[Product]]&amp;Crops[[#This Row],[Unit]],Products[ID],Products[Wash (s)])*Crops[[#This Row],[Custom Yield Per Bed]]/3600</f>
        <v>0.55555555555555558</v>
      </c>
      <c r="CV130" s="37">
        <f>_xlfn.XLOOKUP(Crops[[#This Row],[Crop]]&amp;Crops[[#This Row],[Product]]&amp;Crops[[#This Row],[Unit]],Products[ID],Products[Condition (s)])*Crops[[#This Row],[Custom Yield Per Bed]]/3600</f>
        <v>0</v>
      </c>
      <c r="CW130" s="37">
        <f>_xlfn.XLOOKUP(Crops[[#This Row],[Crop]]&amp;Crops[[#This Row],[Product]]&amp;Crops[[#This Row],[Unit]],Products[ID],Products[Trim (s)])*Crops[[#This Row],[Custom Yield Per Bed]]/3600</f>
        <v>0.55555555555555558</v>
      </c>
      <c r="CX130" s="37">
        <f>_xlfn.XLOOKUP(Crops[[#This Row],[Crop]]&amp;Crops[[#This Row],[Product]]&amp;Crops[[#This Row],[Unit]],Products[ID],Products[Pack (s)])*Crops[[#This Row],[Custom Yield Per Bed]]/3600</f>
        <v>0.16666666666666666</v>
      </c>
      <c r="CY130" s="37">
        <f>_xlfn.XLOOKUP(Crops[[#This Row],[Crop]]&amp;Crops[[#This Row],[Product]]&amp;Crops[[#This Row],[Unit]],Products[ID],Products[Clean (s)])*Crops[[#This Row],[Custom Yield Per Bed]]/3600</f>
        <v>0</v>
      </c>
      <c r="CZ130" s="37">
        <f>_xlfn.XLOOKUP(Crops[[#This Row],[Crop]]&amp;Crops[[#This Row],[Product]]&amp;Crops[[#This Row],[Unit]],Products[ID],Products[Rehandle (s)])*Crops[[#This Row],[Custom Yield Per Bed]]/3600</f>
        <v>0</v>
      </c>
      <c r="DA130" s="37">
        <f>_xlfn.XLOOKUP(Crops[[#This Row],[Crop]]&amp;Crops[[#This Row],[Product]]&amp;Crops[[#This Row],[Unit]],Products[ID],Products[Market Transport (s)])*Crops[[#This Row],[Custom Yield Per Bed]]/3600</f>
        <v>0.625</v>
      </c>
      <c r="DC130" s="37">
        <f>Crops[[#This Row],[Direct Revenue Per Bed2]]</f>
        <v>500</v>
      </c>
      <c r="DD130" s="173">
        <f>_xlfn.AGGREGATE(9,6,Crops[[#This Row],[Bed Prep]:[Remove Crop Residue]])</f>
        <v>9.4805555555555543</v>
      </c>
      <c r="DE130" s="173">
        <f>_xlfn.AGGREGATE(9,6,Crops[[#This Row],[Bed Prep]:[Remove Crop Residue]])-0.75*Crops[[#This Row],[Market &amp; Sell]]</f>
        <v>9.1055555555555543</v>
      </c>
      <c r="DF130" s="36">
        <f>Crops[[#This Row],[Direct Revenue Per Bed2]]/Crops[[#This Row],[Direct Time]]</f>
        <v>52.739525344271911</v>
      </c>
      <c r="DG130" s="36">
        <f>_xlfn.XLOOKUP(Crops[[#This Row],[ProductIndex]],Products[ID],Products[Packaging Cost])*(Crops[[#This Row],[Custom Yield Per Bed]]/_xlfn.XLOOKUP(Crops[[#This Row],[ProductIndex]],Products[ID],Products[Units Per Pack]))</f>
        <v>38</v>
      </c>
      <c r="DH130" s="36"/>
      <c r="DI130" s="36"/>
      <c r="DJ130" s="36"/>
      <c r="DK130" s="36"/>
      <c r="DL130" s="36"/>
      <c r="DM130" s="33">
        <f>IFERROR(Crops[[#This Row],[Custom Yield Per Bed]]*Crops[[#This Row],[Direct Price]],"")</f>
        <v>500</v>
      </c>
      <c r="DN130" s="36">
        <f>Crops[[#This Row],[Direct Time]]*LaborRate</f>
        <v>237.01388888888886</v>
      </c>
      <c r="DO130" s="36">
        <f>SUM(Crops[[#This Row],[Irrigation Cost]])</f>
        <v>0</v>
      </c>
      <c r="DP130" s="36">
        <f>Crops[[#This Row],[Direct Labor Cost]]+Crops[[#This Row],[Direct Non-Labor Cost]]</f>
        <v>237.01388888888886</v>
      </c>
      <c r="DQ130" s="36">
        <f>Crops[[#This Row],[Direct Revenue Per Bed2]]-Crops[[#This Row],[Direct Total Cost]]</f>
        <v>262.98611111111114</v>
      </c>
      <c r="DR130" s="36">
        <f>Crops[[#This Row],[Direct Profit]]*BedsPerAcre</f>
        <v>42077.777777777781</v>
      </c>
      <c r="DS130" s="36">
        <f>Crops[[#This Row],[Direct Profit]]*BedsPerAcre*GrowingDays/Crops[[#This Row],[Days In Field]]</f>
        <v>72133.333333333343</v>
      </c>
      <c r="DT130" s="36">
        <f>Crops[[#This Row],[Direct Profit]]/MIN(Crops[[#This Row],[Days In Field]],GrowingDays)</f>
        <v>2.5046296296296298</v>
      </c>
      <c r="DU130" s="36">
        <f>Crops[[#This Row],[Direct Time]] * BedsPerAcre</f>
        <v>1516.8888888888887</v>
      </c>
      <c r="DV130" s="36">
        <f>(Crops[[#This Row],[Direct Revenue Per Bed2]]-Crops[[#This Row],[Direct Non-Labor Cost]])/Crops[[#This Row],[Direct Time]]</f>
        <v>52.739525344271911</v>
      </c>
      <c r="DW130" s="33">
        <f>IFERROR(Crops[[#This Row],[Custom Yield Per Bed]]*Crops[[#This Row],[Rough Wholesale Price]],"")</f>
        <v>300</v>
      </c>
      <c r="DX130" s="36">
        <f>Crops[[#This Row],[Wholesale Time]]*LaborRate</f>
        <v>227.63888888888886</v>
      </c>
      <c r="DY130" s="36">
        <f>SUM(Crops[[#This Row],[Packaging Costs]:[Irrigation Cost]])</f>
        <v>38</v>
      </c>
      <c r="DZ130" s="36">
        <f>Crops[[#This Row],[Wholesale Labor Cost]]+Crops[[#This Row],[Wholesale Non-Labor Cost]]</f>
        <v>265.63888888888886</v>
      </c>
      <c r="EA130" s="36">
        <f>Crops[[#This Row],[Wholesale Revenue Per Bed]]-Crops[[#This Row],[Wholesale Total Cost]]</f>
        <v>34.361111111111143</v>
      </c>
      <c r="EB130" s="36">
        <f>Crops[[#This Row],[Wholesale Profit]]*BedsPerAcre</f>
        <v>5497.7777777777828</v>
      </c>
      <c r="EC130" s="36">
        <f>Crops[[#This Row],[Wholesale Profit]]*BedsPerAcre*GrowingDays/Crops[[#This Row],[Days In Field]]</f>
        <v>9424.7619047619137</v>
      </c>
      <c r="ED130" s="36">
        <f>Crops[[#This Row],[Wholesale Time]] * BedsPerAcre</f>
        <v>1456.8888888888887</v>
      </c>
      <c r="EE130" s="36">
        <f>Crops[[#This Row],[Wholesale Profit]]/MIN(Crops[[#This Row],[Days In Field]],GrowingDays)</f>
        <v>0.32724867724867757</v>
      </c>
      <c r="EF130" s="36">
        <f>(Crops[[#This Row],[Wholesale Revenue Per Bed]]-Crops[[#This Row],[Wholesale Non-Labor Cost]])/Crops[[#This Row],[Direct Time]]</f>
        <v>27.635511280398479</v>
      </c>
      <c r="EG130" s="174">
        <f>Crops[[#This Row],[Packaging Costs]]/Crops[[#This Row],[Wholesale Revenue Per Bed]]</f>
        <v>0.12666666666666668</v>
      </c>
      <c r="EH130" s="36" t="str">
        <f>Crops[[#This Row],[Crop]]&amp;Crops[[#This Row],[Product]]&amp;Crops[[#This Row],[Unit]]</f>
        <v>FennelMature BulbBulb</v>
      </c>
      <c r="EI130" s="36" t="b">
        <f>_xlfn.XLOOKUP(Crops[[#This Row],[ProductIndex]],Products[ID],Products[Target])</f>
        <v>1</v>
      </c>
      <c r="EJ130" s="36">
        <f>Crops[[#This Row],[Custom Yield Per Bed]]</f>
        <v>200</v>
      </c>
      <c r="EK130" s="210" t="e">
        <f>Crops[[#This Row],[Units Per Harvest]]/Crops[[#This Row],[Days Between Harvest]]*7</f>
        <v>#DIV/0!</v>
      </c>
      <c r="EL130" s="210" t="e">
        <f>Crops[[#This Row],[Custom Yield Per Bed]]/_xlfn.XLOOKUP(Crops[[#This Row],[ProductIndex]],Products[ID],Products[CSA Portion])</f>
        <v>#DIV/0!</v>
      </c>
      <c r="EM130" s="210" t="e">
        <f>Crops[[#This Row],[Units Per Harvest]]/Crops[[#This Row],[Days Between Harvest]]*7/_xlfn.XLOOKUP(Crops[[#This Row],[ProductIndex]],Products[ID],Products[CSA Portion])</f>
        <v>#DIV/0!</v>
      </c>
      <c r="EN130" s="210" t="e">
        <f>Crops[[#This Row],[CSA Portions Per Week]]/CSAMembers</f>
        <v>#DIV/0!</v>
      </c>
      <c r="EO130" s="210"/>
      <c r="EP130" s="210"/>
      <c r="EQ130" s="36"/>
      <c r="ER130" s="36">
        <f>Crops[[#This Row],[Harvests]]*Crops[[#This Row],[Days Between Harvest]]/7</f>
        <v>0</v>
      </c>
      <c r="ES130" s="208">
        <f>_xlfn.XLOOKUP(Crops[[#This Row],[ProductIndex]],Products[ID],Products[CSA Need])</f>
        <v>0</v>
      </c>
      <c r="ET130" s="208">
        <f>_xlfn.XLOOKUP(Crops[[#This Row],[ProductIndex]],Products[ID],Products[CSA Times])</f>
        <v>0</v>
      </c>
      <c r="EU130" s="208" t="e">
        <f>Crops[[#This Row],[Custom Yield Per Bed]]/(Crops[[#This Row],[CSA Need]]*(_xlfn.XLOOKUP(Crops[[#This Row],[ProductIndex]],Products[ID],Products[CSA Portion])*CSAMembers))</f>
        <v>#DIV/0!</v>
      </c>
      <c r="EV130" s="208">
        <f>_xlfn.XLOOKUP(Crops[[#This Row],[ProductIndex]],Products[ID],Products[CSA Portion])*CSAMembers*Crops[[#This Row],[CSA Need]]/Crops[[#This Row],[Custom Yield Per Bed]]</f>
        <v>0</v>
      </c>
      <c r="EW130" s="208">
        <f>IFERROR(Crops[[#This Row],[Days In Field]]*Crops[[#This Row],[CSA Beds]],"")</f>
        <v>0</v>
      </c>
      <c r="EX130" s="208" t="e">
        <f>Crops[[#This Row],[CSA Bed Days]]*#REF!</f>
        <v>#REF!</v>
      </c>
      <c r="EY130" t="s">
        <v>1720</v>
      </c>
    </row>
    <row r="131" spans="1:155">
      <c r="A131"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Mature Bulb 1X | Field TP Fa</v>
      </c>
      <c r="B131" s="180"/>
      <c r="C131" s="1"/>
      <c r="D131" s="1"/>
      <c r="E131" s="1" t="b">
        <v>0</v>
      </c>
      <c r="F131" s="1" t="b">
        <f>IFERROR(IF(ISNUMBER(MATCH(Crops[[#This Row],[Identifier]],BedPlan[Crop], 0)), TRUE, FALSE), FALSE)</f>
        <v>0</v>
      </c>
      <c r="G131" s="1" t="b">
        <f>IFERROR(IF(ISNUMBER(MATCH(Crops[[#This Row],[Identifier]],BedPlan[Crop], 0)), TRUE, FALSE), FALSE)</f>
        <v>0</v>
      </c>
      <c r="H131" s="1"/>
      <c r="I131" t="s">
        <v>78</v>
      </c>
      <c r="J131" t="s">
        <v>145</v>
      </c>
      <c r="K131" t="s">
        <v>198</v>
      </c>
      <c r="N131" t="str">
        <f>Crops[[#This Row],[Crop]]</f>
        <v>Fennel</v>
      </c>
      <c r="O131" t="s">
        <v>210</v>
      </c>
      <c r="P131" t="str">
        <f>IF(OR(Crops[[#This Row],[Days in Cells]]="",Crops[[#This Row],[Days in Cells]]=0), "DS","TP")</f>
        <v>TP</v>
      </c>
      <c r="S131" t="b">
        <v>1</v>
      </c>
      <c r="V131" t="str">
        <f xml:space="preserve"> IF(Crops[[#This Row],[Sp]], "Sp", "") &amp; IF(Crops[[#This Row],[Su]], "Su", "") &amp; IF(Crops[[#This Row],[Fa]], "Fa", "") &amp; IF(Crops[[#This Row],[Wi]], "Wi", "") &amp; IF(Crops[[#This Row],[OW]], "Ow","")</f>
        <v>Fa</v>
      </c>
      <c r="W131" t="s">
        <v>144</v>
      </c>
      <c r="X131">
        <v>3</v>
      </c>
      <c r="Y131">
        <v>9</v>
      </c>
      <c r="AD131" s="32">
        <f>IFERROR(12/Crops[[#This Row],[Spacing]]*Crops[[#This Row],[Rows]]*BedLength,"")</f>
        <v>200</v>
      </c>
      <c r="AE131">
        <v>1</v>
      </c>
      <c r="AG131">
        <f>IF(Crops[[#This Row],[Custom Safety Factor]]="",PlantingSafetyFactor,Crops[[#This Row],[Custom Safety Factor]])</f>
        <v>1.3</v>
      </c>
      <c r="AH131">
        <f>1</f>
        <v>1</v>
      </c>
      <c r="AI131" s="33">
        <f>IFERROR(Crops[[#This Row],[Plantings Per Bed]]*Crops[[#This Row],[Seeds Per Planting]]*Crops[[#This Row],[Safety Factor]]*Crops[[#This Row],[Seeding Factor]],"")</f>
        <v>260</v>
      </c>
      <c r="AJ131">
        <v>7</v>
      </c>
      <c r="AK131">
        <v>14</v>
      </c>
      <c r="AL131">
        <f>_xlfn.FLOOR.MATH(IFERROR(AVERAGE(Crops[[#This Row],[DTG Lower]:[DTG Upper]]),0))</f>
        <v>10</v>
      </c>
      <c r="AM131">
        <f>SUM(Crops[[#This Row],[Tray 1 Days]],Crops[[#This Row],[Tray 2 Days]],Crops[[#This Row],[Tray 3 Days]])</f>
        <v>30</v>
      </c>
      <c r="AN131" s="32">
        <v>30</v>
      </c>
      <c r="AP131">
        <f>8*7</f>
        <v>56</v>
      </c>
      <c r="AQ131">
        <f>IFERROR(_xlfn.FLOOR.MATH(AVERAGE(Crops[[#This Row],[DTM Lower]:[DTM Upper]])),"")</f>
        <v>56</v>
      </c>
      <c r="AR131" cm="1">
        <f t="array" ref="AR131">_xlfn.SWITCH(Crops[[#This Row],[Normal Method]],"DS",Crops[[#This Row],[Days to Germination]]+Crops[[#This Row],[DTM]] + IF(Crops[[#This Row],[Days in Cells]]&gt;0,15,0), "TP",Crops[[#This Row],[DTM]]+Crops[[#This Row],[Days in Cells]] + IF(Crops[[#This Row],[Days in Cells]]&lt;=0,20,0), "X", Crops[[#This Row],[DTM]])</f>
        <v>56</v>
      </c>
      <c r="AS131" t="s">
        <v>347</v>
      </c>
      <c r="AT131">
        <v>14</v>
      </c>
      <c r="AU131">
        <f>Crops[[#This Row],[STH]]-Crops[[#This Row],[Days in Cells]]+Crops[[#This Row],[Harvest window]]</f>
        <v>40</v>
      </c>
      <c r="AX131">
        <v>128</v>
      </c>
      <c r="AY131">
        <v>30</v>
      </c>
      <c r="AZ131">
        <f>IFERROR(IF(Crops[[#This Row],[Tray 1 Days]]=0,"",Crops[[#This Row],[Plantings Per Bed]]/Crops[[#This Row],[Tray 1 Size]]*Crops[[#This Row],[Safety Factor]]),"")</f>
        <v>2.03125</v>
      </c>
      <c r="BC131" t="str">
        <f>IFERROR(IF(Crops[[#This Row],[Tray 2 Days]]=0,"",Crops[[#This Row],[Plantings Per Bed]]/Crops[[#This Row],[Tray 2 Size]]*Crops[[#This Row],[Safety Factor]]),"")</f>
        <v/>
      </c>
      <c r="BE131" s="32" t="str">
        <f>IF(NOT(ISBLANK(Crops[[#This Row],[Tray 3 Size]])), Crops[[#This Row],[Days in Cells Old]]-SUM(Crops[[#This Row],[Tray 1 Days]],Crops[[#This Row],[Tray 2 Days]]), "")</f>
        <v/>
      </c>
      <c r="BF131" t="str">
        <f>IFERROR(IF(Crops[[#This Row],[Tray 3 Days]]=0,"",Crops[[#This Row],[Plantings Per Bed]]/Crops[[#This Row],[Tray 3 Size]]*Crops[[#This Row],[Safety Factor]]),"")</f>
        <v/>
      </c>
      <c r="BG131" s="33">
        <f>Crops[[#This Row],[Plantings Per Bed]]</f>
        <v>200</v>
      </c>
      <c r="BH131" s="33">
        <v>1</v>
      </c>
      <c r="BI131" s="33">
        <v>0</v>
      </c>
      <c r="BJ131" s="33">
        <f>_xlfn.XLOOKUP(Crops[[#This Row],[ProductIndex]],Products[ID],Products[Holding Period])</f>
        <v>0</v>
      </c>
      <c r="BK131" s="33"/>
      <c r="BL131" s="33">
        <f>Crops[[#This Row],[Units Per Harvest]]*Crops[[#This Row],[Harvests]]</f>
        <v>200</v>
      </c>
      <c r="BM131" s="35">
        <f>5/2</f>
        <v>2.5</v>
      </c>
      <c r="BN131" s="35">
        <f>Crops[[#This Row],[Direct Price]]*0.6</f>
        <v>1.5</v>
      </c>
      <c r="BO131" s="35"/>
      <c r="BP131" t="s">
        <v>2356</v>
      </c>
      <c r="BQ131">
        <f>Crops[[#This Row],[Custom Yield Per Bed]]*Crops[[#This Row],[Direct Price]]</f>
        <v>500</v>
      </c>
      <c r="BR131" t="b">
        <v>1</v>
      </c>
      <c r="BS131" t="b">
        <f>Crops[[#This Row],[Harvests]]&gt;1</f>
        <v>0</v>
      </c>
      <c r="BT131" s="36">
        <f>IFERROR(Crops[[#This Row],[Direct Revenue Per Bed]]/Crops[[#This Row],[Days In Field]],-1)</f>
        <v>12.5</v>
      </c>
      <c r="BU131" s="36">
        <f>IFERROR(Crops[[#This Row],[Direct Revenue Per Bed Day]]*GrowingDays*BedsPerAcre,"")</f>
        <v>360000</v>
      </c>
      <c r="BV131" s="38">
        <f>LastFrostDate-5*Crops[[#This Row],[Sewing Rel Last Frost]]</f>
        <v>45823</v>
      </c>
      <c r="BW131" s="38">
        <f>Crops[[#This Row],[Target Sewing Date]]+Crops[[#This Row],[Days in Cells]]</f>
        <v>45853</v>
      </c>
      <c r="BX131" s="38">
        <f>Crops[[#This Row],[Target Sewing Date]]+Crops[[#This Row],[STH]]</f>
        <v>45879</v>
      </c>
      <c r="BY131" s="38">
        <f>Crops[[#This Row],[Target Harvest Data]]+Crops[[#This Row],[Harvest window]]</f>
        <v>45893</v>
      </c>
      <c r="BZ131">
        <v>-15</v>
      </c>
      <c r="CB131">
        <f>1</f>
        <v>1</v>
      </c>
      <c r="CC131">
        <f>IF(Crops[[#This Row],[Transplanting]]&gt;0, 2, 3)*BedLength/StandardBedLength</f>
        <v>1</v>
      </c>
      <c r="CD131" s="173">
        <f>IF(Crops[[#This Row],[Days in Cells]]&lt;=0,0,Crops[[#This Row],[Plantings Per Bed]]/StartsPerHourSeeding+Crops[[#This Row],[Tray 1 Count]]*5/60)</f>
        <v>0.95052083333333337</v>
      </c>
      <c r="CE131" s="173">
        <f>IF(ISBLANK(Crops[[#This Row],[Tray 2 Days]]),0,Crops[[#This Row],[Plantings Per Bed]]/UpPottingPerHour)+IF(Crops[[#This Row],[Tray 3 Days]]="",0,Crops[[#This Row],[Plantings Per Bed]]/UpPottingPerHour)</f>
        <v>0</v>
      </c>
      <c r="CF131" s="173">
        <f>IFERROR(Crops[[#This Row],[Tray 1 Count]]/HomeStartFlatIrrigationPerHour,0)*Crops[[#This Row],[Days in Cells]]/DaysBetweenStartIrrigation</f>
        <v>0.25390625</v>
      </c>
      <c r="CG131" s="173">
        <f>0.5/16*MAX(Crops[[#This Row],[Tray 1 Count]],Crops[[#This Row],[Tray 2 Count]],Crops[[#This Row],[Tray 3 Count]])</f>
        <v>6.34765625E-2</v>
      </c>
      <c r="CH131" s="173">
        <f>IF(Crops[[#This Row],[Days in Cells]]&gt;0,IF(IF(Crops[[#This Row],[Tray 3 Size]]&gt;0,Crops[[#This Row],[Tray 3 Size]],IF(Crops[[#This Row],[Tray 2 Size]]&gt;0,Crops[[#This Row],[Tray 2 Size]],Crops[[#This Row],[Tray 1 Size]]))&lt;=18,LargeTransplantTime,SmallTransplantTime)*Crops[[#This Row],[Plantings Per Bed]],0)</f>
        <v>1</v>
      </c>
      <c r="CI131" s="173"/>
      <c r="CJ131" s="173">
        <f>_xlfn.XLOOKUP(Crops[[#This Row],[Trellis Type]],TrellisMethods[Trellis Type],TrellisMethods[Hours],0,0)</f>
        <v>0</v>
      </c>
      <c r="CK131">
        <f>IF(Crops[[#This Row],[Days in Cells]]&lt;=0,Crops[[#This Row],[Rows]]*1/10,0)*BedLength/50</f>
        <v>0</v>
      </c>
      <c r="CL131" cm="1">
        <f t="array" ref="CL131">_xlfn.SWITCH(Crops[[#This Row],[Irrigation]],"DR", 0.5, "OH", 0.25,0)*BedLength/50</f>
        <v>0</v>
      </c>
      <c r="CM131">
        <f>IF(OR(ISBLANK(Crops[[#This Row],[Row Cover]]),Crops[[#This Row],[Row Cover]]="None"),0,1)*BedLength/50</f>
        <v>0</v>
      </c>
      <c r="CN131" s="173">
        <f>HoursPerWeedingPass*Crops[[#This Row],[Days In Field]]/14*Crops[[#This Row],[Rows]]+1*BedLength/50</f>
        <v>2.4285714285714284</v>
      </c>
      <c r="CQ131" s="37">
        <f>_xlfn.XLOOKUP(Crops[[#This Row],[Crop]]&amp;Crops[[#This Row],[Product]]&amp;Crops[[#This Row],[Unit]],Products[ID],Products[Marketing (hr)])*Crops[[#This Row],[Direct Revenue Per Bed]]/2000</f>
        <v>0.5</v>
      </c>
      <c r="CR131" s="37">
        <f>_xlfn.XLOOKUP(Crops[[#This Row],[Crop]]&amp;Crops[[#This Row],[Product]]&amp;Crops[[#This Row],[Unit]],Products[ID],Products[Harvest (s)])*Crops[[#This Row],[Custom Yield Per Bed]]/3600</f>
        <v>0.27777777777777779</v>
      </c>
      <c r="CS131" s="37">
        <f>_xlfn.XLOOKUP(Crops[[#This Row],[Crop]]&amp;Crops[[#This Row],[Product]]&amp;Crops[[#This Row],[Unit]],Products[ID],Products[Bunch (s)])*Crops[[#This Row],[Custom Yield Per Bed]]/3600</f>
        <v>0</v>
      </c>
      <c r="CT131" s="37">
        <f>_xlfn.XLOOKUP(Crops[[#This Row],[Crop]]&amp;Crops[[#This Row],[Product]]&amp;Crops[[#This Row],[Unit]],Products[ID],Products[Haul (s)])*Crops[[#This Row],[Custom Yield Per Bed]]/3600</f>
        <v>0.25</v>
      </c>
      <c r="CU131" s="37">
        <f>_xlfn.XLOOKUP(Crops[[#This Row],[Crop]]&amp;Crops[[#This Row],[Product]]&amp;Crops[[#This Row],[Unit]],Products[ID],Products[Wash (s)])*Crops[[#This Row],[Custom Yield Per Bed]]/3600</f>
        <v>0.55555555555555558</v>
      </c>
      <c r="CV131" s="37">
        <f>_xlfn.XLOOKUP(Crops[[#This Row],[Crop]]&amp;Crops[[#This Row],[Product]]&amp;Crops[[#This Row],[Unit]],Products[ID],Products[Condition (s)])*Crops[[#This Row],[Custom Yield Per Bed]]/3600</f>
        <v>0</v>
      </c>
      <c r="CW131" s="37">
        <f>_xlfn.XLOOKUP(Crops[[#This Row],[Crop]]&amp;Crops[[#This Row],[Product]]&amp;Crops[[#This Row],[Unit]],Products[ID],Products[Trim (s)])*Crops[[#This Row],[Custom Yield Per Bed]]/3600</f>
        <v>0.55555555555555558</v>
      </c>
      <c r="CX131" s="37">
        <f>_xlfn.XLOOKUP(Crops[[#This Row],[Crop]]&amp;Crops[[#This Row],[Product]]&amp;Crops[[#This Row],[Unit]],Products[ID],Products[Pack (s)])*Crops[[#This Row],[Custom Yield Per Bed]]/3600</f>
        <v>0.16666666666666666</v>
      </c>
      <c r="CY131" s="37">
        <f>_xlfn.XLOOKUP(Crops[[#This Row],[Crop]]&amp;Crops[[#This Row],[Product]]&amp;Crops[[#This Row],[Unit]],Products[ID],Products[Clean (s)])*Crops[[#This Row],[Custom Yield Per Bed]]/3600</f>
        <v>0</v>
      </c>
      <c r="CZ131" s="37">
        <f>_xlfn.XLOOKUP(Crops[[#This Row],[Crop]]&amp;Crops[[#This Row],[Product]]&amp;Crops[[#This Row],[Unit]],Products[ID],Products[Rehandle (s)])*Crops[[#This Row],[Custom Yield Per Bed]]/3600</f>
        <v>0</v>
      </c>
      <c r="DA131" s="37">
        <f>_xlfn.XLOOKUP(Crops[[#This Row],[Crop]]&amp;Crops[[#This Row],[Product]]&amp;Crops[[#This Row],[Unit]],Products[ID],Products[Market Transport (s)])*Crops[[#This Row],[Custom Yield Per Bed]]/3600</f>
        <v>0.625</v>
      </c>
      <c r="DC131" s="37">
        <f>Crops[[#This Row],[Direct Revenue Per Bed2]]</f>
        <v>500</v>
      </c>
      <c r="DD131" s="173">
        <f>_xlfn.AGGREGATE(9,6,Crops[[#This Row],[Bed Prep]:[Remove Crop Residue]])</f>
        <v>8.6270306299603163</v>
      </c>
      <c r="DE131" s="173">
        <f>_xlfn.AGGREGATE(9,6,Crops[[#This Row],[Bed Prep]:[Remove Crop Residue]])-0.75*Crops[[#This Row],[Market &amp; Sell]]</f>
        <v>8.2520306299603163</v>
      </c>
      <c r="DF131" s="36">
        <f>Crops[[#This Row],[Direct Revenue Per Bed2]]/Crops[[#This Row],[Direct Time]]</f>
        <v>57.957369278785087</v>
      </c>
      <c r="DG131" s="36">
        <f>_xlfn.XLOOKUP(Crops[[#This Row],[ProductIndex]],Products[ID],Products[Packaging Cost])*(Crops[[#This Row],[Custom Yield Per Bed]]/_xlfn.XLOOKUP(Crops[[#This Row],[ProductIndex]],Products[ID],Products[Units Per Pack]))</f>
        <v>38</v>
      </c>
      <c r="DH131" s="36"/>
      <c r="DI131" s="36"/>
      <c r="DJ131" s="36"/>
      <c r="DK131" s="36"/>
      <c r="DL131" s="36"/>
      <c r="DM131" s="33">
        <f>IFERROR(Crops[[#This Row],[Custom Yield Per Bed]]*Crops[[#This Row],[Direct Price]],"")</f>
        <v>500</v>
      </c>
      <c r="DN131" s="36">
        <f>Crops[[#This Row],[Direct Time]]*LaborRate</f>
        <v>215.67576574900789</v>
      </c>
      <c r="DO131" s="36">
        <f>SUM(Crops[[#This Row],[Irrigation Cost]])</f>
        <v>0</v>
      </c>
      <c r="DP131" s="36">
        <f>Crops[[#This Row],[Direct Labor Cost]]+Crops[[#This Row],[Direct Non-Labor Cost]]</f>
        <v>215.67576574900789</v>
      </c>
      <c r="DQ131" s="36">
        <f>Crops[[#This Row],[Direct Revenue Per Bed2]]-Crops[[#This Row],[Direct Total Cost]]</f>
        <v>284.32423425099211</v>
      </c>
      <c r="DR131" s="36">
        <f>Crops[[#This Row],[Direct Profit]]*BedsPerAcre</f>
        <v>45491.877480158735</v>
      </c>
      <c r="DS131" s="36">
        <f>Crops[[#This Row],[Direct Profit]]*BedsPerAcre*GrowingDays/Crops[[#This Row],[Days In Field]]</f>
        <v>204713.44866071432</v>
      </c>
      <c r="DT131" s="36">
        <f>Crops[[#This Row],[Direct Profit]]/MIN(Crops[[#This Row],[Days In Field]],GrowingDays)</f>
        <v>7.1081058562748023</v>
      </c>
      <c r="DU131" s="36">
        <f>Crops[[#This Row],[Direct Time]] * BedsPerAcre</f>
        <v>1380.3249007936506</v>
      </c>
      <c r="DV131" s="36">
        <f>(Crops[[#This Row],[Direct Revenue Per Bed2]]-Crops[[#This Row],[Direct Non-Labor Cost]])/Crops[[#This Row],[Direct Time]]</f>
        <v>57.957369278785087</v>
      </c>
      <c r="DW131" s="33">
        <f>IFERROR(Crops[[#This Row],[Custom Yield Per Bed]]*Crops[[#This Row],[Rough Wholesale Price]],"")</f>
        <v>300</v>
      </c>
      <c r="DX131" s="36">
        <f>Crops[[#This Row],[Wholesale Time]]*LaborRate</f>
        <v>206.30076574900789</v>
      </c>
      <c r="DY131" s="36">
        <f>SUM(Crops[[#This Row],[Packaging Costs]:[Irrigation Cost]])</f>
        <v>38</v>
      </c>
      <c r="DZ131" s="36">
        <f>Crops[[#This Row],[Wholesale Labor Cost]]+Crops[[#This Row],[Wholesale Non-Labor Cost]]</f>
        <v>244.30076574900789</v>
      </c>
      <c r="EA131" s="36">
        <f>Crops[[#This Row],[Wholesale Revenue Per Bed]]-Crops[[#This Row],[Wholesale Total Cost]]</f>
        <v>55.699234250992106</v>
      </c>
      <c r="EB131" s="36">
        <f>Crops[[#This Row],[Wholesale Profit]]*BedsPerAcre</f>
        <v>8911.8774801587369</v>
      </c>
      <c r="EC131" s="36">
        <f>Crops[[#This Row],[Wholesale Profit]]*BedsPerAcre*GrowingDays/Crops[[#This Row],[Days In Field]]</f>
        <v>40103.448660714319</v>
      </c>
      <c r="ED131" s="36">
        <f>Crops[[#This Row],[Wholesale Time]] * BedsPerAcre</f>
        <v>1320.3249007936506</v>
      </c>
      <c r="EE131" s="36">
        <f>Crops[[#This Row],[Wholesale Profit]]/MIN(Crops[[#This Row],[Days In Field]],GrowingDays)</f>
        <v>1.3924808562748026</v>
      </c>
      <c r="EF131" s="36">
        <f>(Crops[[#This Row],[Wholesale Revenue Per Bed]]-Crops[[#This Row],[Wholesale Non-Labor Cost]])/Crops[[#This Row],[Direct Time]]</f>
        <v>30.369661502083385</v>
      </c>
      <c r="EG131" s="174">
        <f>Crops[[#This Row],[Packaging Costs]]/Crops[[#This Row],[Wholesale Revenue Per Bed]]</f>
        <v>0.12666666666666668</v>
      </c>
      <c r="EH131" s="36" t="str">
        <f>Crops[[#This Row],[Crop]]&amp;Crops[[#This Row],[Product]]&amp;Crops[[#This Row],[Unit]]</f>
        <v>FennelMature BulbBulb</v>
      </c>
      <c r="EI131" s="36" t="b">
        <f>_xlfn.XLOOKUP(Crops[[#This Row],[ProductIndex]],Products[ID],Products[Target])</f>
        <v>1</v>
      </c>
      <c r="EJ131" s="36">
        <f>Crops[[#This Row],[Custom Yield Per Bed]]</f>
        <v>200</v>
      </c>
      <c r="EK131" s="210" t="e">
        <f>Crops[[#This Row],[Units Per Harvest]]/Crops[[#This Row],[Days Between Harvest]]*7</f>
        <v>#DIV/0!</v>
      </c>
      <c r="EL131" s="210" t="e">
        <f>Crops[[#This Row],[Custom Yield Per Bed]]/_xlfn.XLOOKUP(Crops[[#This Row],[ProductIndex]],Products[ID],Products[CSA Portion])</f>
        <v>#DIV/0!</v>
      </c>
      <c r="EM131" s="210" t="e">
        <f>Crops[[#This Row],[Units Per Harvest]]/Crops[[#This Row],[Days Between Harvest]]*7/_xlfn.XLOOKUP(Crops[[#This Row],[ProductIndex]],Products[ID],Products[CSA Portion])</f>
        <v>#DIV/0!</v>
      </c>
      <c r="EN131" s="210" t="e">
        <f>Crops[[#This Row],[CSA Portions Per Week]]/CSAMembers</f>
        <v>#DIV/0!</v>
      </c>
      <c r="EO131" s="210"/>
      <c r="EP131" s="210"/>
      <c r="EQ131" s="36"/>
      <c r="ER131" s="36">
        <f>Crops[[#This Row],[Harvests]]*Crops[[#This Row],[Days Between Harvest]]/7</f>
        <v>0</v>
      </c>
      <c r="ES131" s="208">
        <f>_xlfn.XLOOKUP(Crops[[#This Row],[ProductIndex]],Products[ID],Products[CSA Need])</f>
        <v>0</v>
      </c>
      <c r="ET131" s="208">
        <f>_xlfn.XLOOKUP(Crops[[#This Row],[ProductIndex]],Products[ID],Products[CSA Times])</f>
        <v>0</v>
      </c>
      <c r="EU131" s="208" t="e">
        <f>Crops[[#This Row],[Custom Yield Per Bed]]/(Crops[[#This Row],[CSA Need]]*(_xlfn.XLOOKUP(Crops[[#This Row],[ProductIndex]],Products[ID],Products[CSA Portion])*CSAMembers))</f>
        <v>#DIV/0!</v>
      </c>
      <c r="EV131" s="208">
        <f>_xlfn.XLOOKUP(Crops[[#This Row],[ProductIndex]],Products[ID],Products[CSA Portion])*CSAMembers*Crops[[#This Row],[CSA Need]]/Crops[[#This Row],[Custom Yield Per Bed]]</f>
        <v>0</v>
      </c>
      <c r="EW131" s="208">
        <f>IFERROR(Crops[[#This Row],[Days In Field]]*Crops[[#This Row],[CSA Beds]],"")</f>
        <v>0</v>
      </c>
      <c r="EX131" s="208" t="e">
        <f>Crops[[#This Row],[CSA Bed Days]]*#REF!</f>
        <v>#REF!</v>
      </c>
      <c r="EY131" t="s">
        <v>1720</v>
      </c>
    </row>
    <row r="132" spans="1:155">
      <c r="A132"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Mini Bulb 1X | Field TP Fa</v>
      </c>
      <c r="B132" s="180"/>
      <c r="C132" s="1" t="s">
        <v>2588</v>
      </c>
      <c r="D132" s="1"/>
      <c r="E132" s="1" t="b">
        <v>0</v>
      </c>
      <c r="F132" s="1" t="b">
        <f>IFERROR(IF(ISNUMBER(MATCH(Crops[[#This Row],[Identifier]],BedPlan[Crop], 0)), TRUE, FALSE), FALSE)</f>
        <v>0</v>
      </c>
      <c r="G132" s="1" t="b">
        <f>IFERROR(IF(ISNUMBER(MATCH(Crops[[#This Row],[Identifier]],BedPlan[Crop], 0)), TRUE, FALSE), FALSE)</f>
        <v>0</v>
      </c>
      <c r="H132" s="1"/>
      <c r="I132" t="s">
        <v>78</v>
      </c>
      <c r="J132" t="s">
        <v>145</v>
      </c>
      <c r="K132" t="s">
        <v>193</v>
      </c>
      <c r="M132" t="s">
        <v>78</v>
      </c>
      <c r="N132" t="str">
        <f>Crops[[#This Row],[Crop]]</f>
        <v>Fennel</v>
      </c>
      <c r="O132" t="s">
        <v>210</v>
      </c>
      <c r="P132" t="str">
        <f>IF(OR(Crops[[#This Row],[Days in Cells]]="",Crops[[#This Row],[Days in Cells]]=0), "DS","TP")</f>
        <v>TP</v>
      </c>
      <c r="S132" t="b">
        <v>1</v>
      </c>
      <c r="V132" t="str">
        <f xml:space="preserve"> IF(Crops[[#This Row],[Sp]], "Sp", "") &amp; IF(Crops[[#This Row],[Su]], "Su", "") &amp; IF(Crops[[#This Row],[Fa]], "Fa", "") &amp; IF(Crops[[#This Row],[Wi]], "Wi", "") &amp; IF(Crops[[#This Row],[OW]], "Ow","")</f>
        <v>Fa</v>
      </c>
      <c r="W132" t="s">
        <v>144</v>
      </c>
      <c r="X132">
        <v>4</v>
      </c>
      <c r="Y132">
        <v>6</v>
      </c>
      <c r="AA132" t="s">
        <v>474</v>
      </c>
      <c r="AB132" t="b">
        <v>1</v>
      </c>
      <c r="AC132">
        <v>2.5</v>
      </c>
      <c r="AD132" s="32">
        <f>IFERROR(12/Crops[[#This Row],[Spacing]]*Crops[[#This Row],[Rows]]*BedLength,"")</f>
        <v>400</v>
      </c>
      <c r="AE132">
        <v>1</v>
      </c>
      <c r="AG132">
        <f>IF(Crops[[#This Row],[Custom Safety Factor]]="",PlantingSafetyFactor,Crops[[#This Row],[Custom Safety Factor]])</f>
        <v>1.3</v>
      </c>
      <c r="AH132">
        <f>1</f>
        <v>1</v>
      </c>
      <c r="AI132" s="33">
        <f>IFERROR(Crops[[#This Row],[Plantings Per Bed]]*Crops[[#This Row],[Seeds Per Planting]]*Crops[[#This Row],[Safety Factor]]*Crops[[#This Row],[Seeding Factor]],"")</f>
        <v>520</v>
      </c>
      <c r="AJ132">
        <v>7</v>
      </c>
      <c r="AK132">
        <v>14</v>
      </c>
      <c r="AL132">
        <f>_xlfn.FLOOR.MATH(IFERROR(AVERAGE(Crops[[#This Row],[DTG Lower]:[DTG Upper]]),0))</f>
        <v>10</v>
      </c>
      <c r="AM132">
        <f>SUM(Crops[[#This Row],[Tray 1 Days]],Crops[[#This Row],[Tray 2 Days]],Crops[[#This Row],[Tray 3 Days]])</f>
        <v>30</v>
      </c>
      <c r="AN132" s="32">
        <v>30</v>
      </c>
      <c r="AP132">
        <f>8*7</f>
        <v>56</v>
      </c>
      <c r="AQ132">
        <f>IFERROR(_xlfn.FLOOR.MATH(AVERAGE(Crops[[#This Row],[DTM Lower]:[DTM Upper]])),"")</f>
        <v>56</v>
      </c>
      <c r="AR132" cm="1">
        <f t="array" ref="AR132">_xlfn.SWITCH(Crops[[#This Row],[Normal Method]],"DS",Crops[[#This Row],[Days to Germination]]+Crops[[#This Row],[DTM]] + IF(Crops[[#This Row],[Days in Cells]]&gt;0,15,0), "TP",Crops[[#This Row],[DTM]]+Crops[[#This Row],[Days in Cells]] + IF(Crops[[#This Row],[Days in Cells]]&lt;=0,20,0), "X", Crops[[#This Row],[DTM]])</f>
        <v>56</v>
      </c>
      <c r="AS132" t="s">
        <v>347</v>
      </c>
      <c r="AT132">
        <v>14</v>
      </c>
      <c r="AU132">
        <f>Crops[[#This Row],[STH]]-Crops[[#This Row],[Days in Cells]]+Crops[[#This Row],[Harvest window]]</f>
        <v>40</v>
      </c>
      <c r="AX132">
        <v>128</v>
      </c>
      <c r="AY132">
        <v>30</v>
      </c>
      <c r="AZ132" s="49">
        <f>IFERROR(IF(Crops[[#This Row],[Tray 1 Days]]=0,"",Crops[[#This Row],[Plantings Per Bed]]/Crops[[#This Row],[Tray 1 Size]]*Crops[[#This Row],[Safety Factor]]),"")</f>
        <v>4.0625</v>
      </c>
      <c r="BC132" t="str">
        <f>IFERROR(IF(Crops[[#This Row],[Tray 2 Days]]=0,"",Crops[[#This Row],[Plantings Per Bed]]/Crops[[#This Row],[Tray 2 Size]]*Crops[[#This Row],[Safety Factor]]),"")</f>
        <v/>
      </c>
      <c r="BE132" s="32" t="str">
        <f>IF(NOT(ISBLANK(Crops[[#This Row],[Tray 3 Size]])), Crops[[#This Row],[Days in Cells Old]]-SUM(Crops[[#This Row],[Tray 1 Days]],Crops[[#This Row],[Tray 2 Days]]), "")</f>
        <v/>
      </c>
      <c r="BF132" s="49" t="str">
        <f>IFERROR(IF(Crops[[#This Row],[Tray 3 Days]]=0,"",Crops[[#This Row],[Plantings Per Bed]]/Crops[[#This Row],[Tray 3 Size]]*Crops[[#This Row],[Safety Factor]]),"")</f>
        <v/>
      </c>
      <c r="BG132" s="33">
        <f>Crops[[#This Row],[Plantings Per Bed]]/Crops[[#This Row],[Harvests]]</f>
        <v>200</v>
      </c>
      <c r="BH132" s="33">
        <v>2</v>
      </c>
      <c r="BI132" s="33">
        <v>7</v>
      </c>
      <c r="BJ132" s="33">
        <f>_xlfn.XLOOKUP(Crops[[#This Row],[ProductIndex]],Products[ID],Products[Holding Period])</f>
        <v>0</v>
      </c>
      <c r="BK132" s="33"/>
      <c r="BL132" s="33">
        <f>Crops[[#This Row],[Units Per Harvest]]*Crops[[#This Row],[Harvests]]</f>
        <v>400</v>
      </c>
      <c r="BM132" s="35">
        <f>5/3</f>
        <v>1.6666666666666667</v>
      </c>
      <c r="BN132" s="35">
        <f>Crops[[#This Row],[Direct Price]]*0.6</f>
        <v>1</v>
      </c>
      <c r="BO132" s="35"/>
      <c r="BP132" t="s">
        <v>2356</v>
      </c>
      <c r="BQ132">
        <f>Crops[[#This Row],[Custom Yield Per Bed]]*Crops[[#This Row],[Direct Price]]</f>
        <v>666.66666666666674</v>
      </c>
      <c r="BR132" t="b">
        <v>1</v>
      </c>
      <c r="BS132" t="b">
        <f>Crops[[#This Row],[Harvests]]&gt;1</f>
        <v>1</v>
      </c>
      <c r="BT132" s="36">
        <f>IFERROR(Crops[[#This Row],[Direct Revenue Per Bed]]/Crops[[#This Row],[Days In Field]],-1)</f>
        <v>16.666666666666668</v>
      </c>
      <c r="BU132" s="36">
        <f>IFERROR(Crops[[#This Row],[Direct Revenue Per Bed Day]]*GrowingDays*BedsPerAcre,"")</f>
        <v>480000</v>
      </c>
      <c r="BV132" s="38">
        <f>LastFrostDate-5*Crops[[#This Row],[Sewing Rel Last Frost]]</f>
        <v>45823</v>
      </c>
      <c r="BW132" s="38">
        <f>Crops[[#This Row],[Target Sewing Date]]+Crops[[#This Row],[Days in Cells]]</f>
        <v>45853</v>
      </c>
      <c r="BX132" s="38">
        <f>Crops[[#This Row],[Target Sewing Date]]+Crops[[#This Row],[STH]]</f>
        <v>45879</v>
      </c>
      <c r="BY132" s="38">
        <f>Crops[[#This Row],[Target Harvest Data]]+Crops[[#This Row],[Harvest window]]</f>
        <v>45893</v>
      </c>
      <c r="BZ132">
        <v>-15</v>
      </c>
      <c r="CB132">
        <f>1</f>
        <v>1</v>
      </c>
      <c r="CC132">
        <f>IF(Crops[[#This Row],[Transplanting]]&gt;0, 2, 3)*BedLength/StandardBedLength</f>
        <v>1</v>
      </c>
      <c r="CD132" s="173">
        <f>IF(Crops[[#This Row],[Days in Cells]]&lt;=0,0,Crops[[#This Row],[Plantings Per Bed]]/StartsPerHourSeeding+Crops[[#This Row],[Tray 1 Count]]*5/60)</f>
        <v>1.9010416666666667</v>
      </c>
      <c r="CE132" s="173">
        <f>IF(ISBLANK(Crops[[#This Row],[Tray 2 Days]]),0,Crops[[#This Row],[Plantings Per Bed]]/UpPottingPerHour)+IF(Crops[[#This Row],[Tray 3 Days]]="",0,Crops[[#This Row],[Plantings Per Bed]]/UpPottingPerHour)</f>
        <v>0</v>
      </c>
      <c r="CF132" s="173">
        <f>IFERROR(Crops[[#This Row],[Tray 1 Count]]/HomeStartFlatIrrigationPerHour,0)*Crops[[#This Row],[Days in Cells]]/DaysBetweenStartIrrigation</f>
        <v>0.5078125</v>
      </c>
      <c r="CG132" s="173">
        <f>0.5/16*MAX(Crops[[#This Row],[Tray 1 Count]],Crops[[#This Row],[Tray 2 Count]],Crops[[#This Row],[Tray 3 Count]])</f>
        <v>0.126953125</v>
      </c>
      <c r="CH132" s="173">
        <f>IF(Crops[[#This Row],[Days in Cells]]&gt;0,IF(IF(Crops[[#This Row],[Tray 3 Size]]&gt;0,Crops[[#This Row],[Tray 3 Size]],IF(Crops[[#This Row],[Tray 2 Size]]&gt;0,Crops[[#This Row],[Tray 2 Size]],Crops[[#This Row],[Tray 1 Size]]))&lt;=18,LargeTransplantTime,SmallTransplantTime)*Crops[[#This Row],[Plantings Per Bed]],0)</f>
        <v>2</v>
      </c>
      <c r="CI132" s="173"/>
      <c r="CJ132" s="173">
        <f>_xlfn.XLOOKUP(Crops[[#This Row],[Trellis Type]],TrellisMethods[Trellis Type],TrellisMethods[Hours],0,0)</f>
        <v>0</v>
      </c>
      <c r="CK132">
        <f>IF(Crops[[#This Row],[Days in Cells]]&lt;=0,Crops[[#This Row],[Rows]]*1/10,0)*BedLength/50</f>
        <v>0</v>
      </c>
      <c r="CL132" cm="1">
        <f t="array" ref="CL132">_xlfn.SWITCH(Crops[[#This Row],[Irrigation]],"DR", 0.5, "OH", 0.25,0)*BedLength/50</f>
        <v>0</v>
      </c>
      <c r="CM132">
        <f>IF(OR(ISBLANK(Crops[[#This Row],[Row Cover]]),Crops[[#This Row],[Row Cover]]="None"),0,1)*BedLength/50</f>
        <v>0</v>
      </c>
      <c r="CN132" s="173">
        <f>HoursPerWeedingPass*Crops[[#This Row],[Days In Field]]/14*Crops[[#This Row],[Rows]]+1*BedLength/50</f>
        <v>2.9047619047619047</v>
      </c>
      <c r="CQ132" s="37">
        <f>_xlfn.XLOOKUP(Crops[[#This Row],[Crop]]&amp;Crops[[#This Row],[Product]]&amp;Crops[[#This Row],[Unit]],Products[ID],Products[Marketing (hr)])*Crops[[#This Row],[Direct Revenue Per Bed]]/2000</f>
        <v>0.66666666666666674</v>
      </c>
      <c r="CR132" s="37">
        <f>_xlfn.XLOOKUP(Crops[[#This Row],[Crop]]&amp;Crops[[#This Row],[Product]]&amp;Crops[[#This Row],[Unit]],Products[ID],Products[Harvest (s)])*Crops[[#This Row],[Custom Yield Per Bed]]/3600</f>
        <v>0.55555555555555558</v>
      </c>
      <c r="CS132" s="37">
        <f>_xlfn.XLOOKUP(Crops[[#This Row],[Crop]]&amp;Crops[[#This Row],[Product]]&amp;Crops[[#This Row],[Unit]],Products[ID],Products[Bunch (s)])*Crops[[#This Row],[Custom Yield Per Bed]]/3600</f>
        <v>0</v>
      </c>
      <c r="CT132" s="37">
        <f>_xlfn.XLOOKUP(Crops[[#This Row],[Crop]]&amp;Crops[[#This Row],[Product]]&amp;Crops[[#This Row],[Unit]],Products[ID],Products[Haul (s)])*Crops[[#This Row],[Custom Yield Per Bed]]/3600</f>
        <v>0.14285714285714288</v>
      </c>
      <c r="CU132" s="37">
        <f>_xlfn.XLOOKUP(Crops[[#This Row],[Crop]]&amp;Crops[[#This Row],[Product]]&amp;Crops[[#This Row],[Unit]],Products[ID],Products[Wash (s)])*Crops[[#This Row],[Custom Yield Per Bed]]/3600</f>
        <v>1.1111111111111112</v>
      </c>
      <c r="CV132" s="37">
        <f>_xlfn.XLOOKUP(Crops[[#This Row],[Crop]]&amp;Crops[[#This Row],[Product]]&amp;Crops[[#This Row],[Unit]],Products[ID],Products[Condition (s)])*Crops[[#This Row],[Custom Yield Per Bed]]/3600</f>
        <v>0</v>
      </c>
      <c r="CW132" s="37">
        <f>_xlfn.XLOOKUP(Crops[[#This Row],[Crop]]&amp;Crops[[#This Row],[Product]]&amp;Crops[[#This Row],[Unit]],Products[ID],Products[Trim (s)])*Crops[[#This Row],[Custom Yield Per Bed]]/3600</f>
        <v>1.1111111111111112</v>
      </c>
      <c r="CX132" s="37">
        <f>_xlfn.XLOOKUP(Crops[[#This Row],[Crop]]&amp;Crops[[#This Row],[Product]]&amp;Crops[[#This Row],[Unit]],Products[ID],Products[Pack (s)])*Crops[[#This Row],[Custom Yield Per Bed]]/3600</f>
        <v>0.33333333333333331</v>
      </c>
      <c r="CY132" s="37">
        <f>_xlfn.XLOOKUP(Crops[[#This Row],[Crop]]&amp;Crops[[#This Row],[Product]]&amp;Crops[[#This Row],[Unit]],Products[ID],Products[Clean (s)])*Crops[[#This Row],[Custom Yield Per Bed]]/3600</f>
        <v>0</v>
      </c>
      <c r="CZ132" s="37">
        <f>_xlfn.XLOOKUP(Crops[[#This Row],[Crop]]&amp;Crops[[#This Row],[Product]]&amp;Crops[[#This Row],[Unit]],Products[ID],Products[Rehandle (s)])*Crops[[#This Row],[Custom Yield Per Bed]]/3600</f>
        <v>0</v>
      </c>
      <c r="DA132" s="37">
        <f>_xlfn.XLOOKUP(Crops[[#This Row],[Crop]]&amp;Crops[[#This Row],[Product]]&amp;Crops[[#This Row],[Unit]],Products[ID],Products[Market Transport (s)])*Crops[[#This Row],[Custom Yield Per Bed]]/3600</f>
        <v>0.35714285714285715</v>
      </c>
      <c r="DC132" s="37">
        <f>Crops[[#This Row],[Direct Revenue Per Bed2]]</f>
        <v>666.66666666666674</v>
      </c>
      <c r="DD132" s="173">
        <f>_xlfn.AGGREGATE(9,6,Crops[[#This Row],[Bed Prep]:[Remove Crop Residue]])</f>
        <v>12.718346974206348</v>
      </c>
      <c r="DE132" s="173">
        <f>_xlfn.AGGREGATE(9,6,Crops[[#This Row],[Bed Prep]:[Remove Crop Residue]])-0.75*Crops[[#This Row],[Market &amp; Sell]]</f>
        <v>12.218346974206348</v>
      </c>
      <c r="DF132" s="36">
        <f>Crops[[#This Row],[Direct Revenue Per Bed2]]/Crops[[#This Row],[Direct Time]]</f>
        <v>52.417713404006903</v>
      </c>
      <c r="DG132" s="36">
        <f>_xlfn.XLOOKUP(Crops[[#This Row],[ProductIndex]],Products[ID],Products[Packaging Cost])*(Crops[[#This Row],[Custom Yield Per Bed]]/_xlfn.XLOOKUP(Crops[[#This Row],[ProductIndex]],Products[ID],Products[Units Per Pack]))</f>
        <v>21.714285714285715</v>
      </c>
      <c r="DH132" s="36"/>
      <c r="DI132" s="36"/>
      <c r="DJ132" s="36"/>
      <c r="DK132" s="36"/>
      <c r="DL132" s="36"/>
      <c r="DM132" s="33">
        <f>IFERROR(Crops[[#This Row],[Custom Yield Per Bed]]*Crops[[#This Row],[Direct Price]],"")</f>
        <v>666.66666666666674</v>
      </c>
      <c r="DN132" s="36">
        <f>Crops[[#This Row],[Direct Time]]*LaborRate</f>
        <v>317.95867435515868</v>
      </c>
      <c r="DO132" s="36">
        <f>SUM(Crops[[#This Row],[Irrigation Cost]])</f>
        <v>0</v>
      </c>
      <c r="DP132" s="36">
        <f>Crops[[#This Row],[Direct Labor Cost]]+Crops[[#This Row],[Direct Non-Labor Cost]]</f>
        <v>317.95867435515868</v>
      </c>
      <c r="DQ132" s="36">
        <f>Crops[[#This Row],[Direct Revenue Per Bed2]]-Crops[[#This Row],[Direct Total Cost]]</f>
        <v>348.70799231150806</v>
      </c>
      <c r="DR132" s="36">
        <f>Crops[[#This Row],[Direct Profit]]*BedsPerAcre</f>
        <v>55793.278769841287</v>
      </c>
      <c r="DS132" s="36">
        <f>Crops[[#This Row],[Direct Profit]]*BedsPerAcre*GrowingDays/Crops[[#This Row],[Days In Field]]</f>
        <v>251069.75446428577</v>
      </c>
      <c r="DT132" s="36">
        <f>Crops[[#This Row],[Direct Profit]]/MIN(Crops[[#This Row],[Days In Field]],GrowingDays)</f>
        <v>8.7176998077877013</v>
      </c>
      <c r="DU132" s="36">
        <f>Crops[[#This Row],[Direct Time]] * BedsPerAcre</f>
        <v>2034.9355158730157</v>
      </c>
      <c r="DV132" s="36">
        <f>(Crops[[#This Row],[Direct Revenue Per Bed2]]-Crops[[#This Row],[Direct Non-Labor Cost]])/Crops[[#This Row],[Direct Time]]</f>
        <v>52.417713404006903</v>
      </c>
      <c r="DW132" s="33">
        <f>IFERROR(Crops[[#This Row],[Custom Yield Per Bed]]*Crops[[#This Row],[Rough Wholesale Price]],"")</f>
        <v>400</v>
      </c>
      <c r="DX132" s="36">
        <f>Crops[[#This Row],[Wholesale Time]]*LaborRate</f>
        <v>305.45867435515868</v>
      </c>
      <c r="DY132" s="36">
        <f>SUM(Crops[[#This Row],[Packaging Costs]:[Irrigation Cost]])</f>
        <v>21.714285714285715</v>
      </c>
      <c r="DZ132" s="36">
        <f>Crops[[#This Row],[Wholesale Labor Cost]]+Crops[[#This Row],[Wholesale Non-Labor Cost]]</f>
        <v>327.1729600694444</v>
      </c>
      <c r="EA132" s="36">
        <f>Crops[[#This Row],[Wholesale Revenue Per Bed]]-Crops[[#This Row],[Wholesale Total Cost]]</f>
        <v>72.8270399305556</v>
      </c>
      <c r="EB132" s="36">
        <f>Crops[[#This Row],[Wholesale Profit]]*BedsPerAcre</f>
        <v>11652.326388888896</v>
      </c>
      <c r="EC132" s="36">
        <f>Crops[[#This Row],[Wholesale Profit]]*BedsPerAcre*GrowingDays/Crops[[#This Row],[Days In Field]]</f>
        <v>52435.468750000036</v>
      </c>
      <c r="ED132" s="36">
        <f>Crops[[#This Row],[Wholesale Time]] * BedsPerAcre</f>
        <v>1954.9355158730157</v>
      </c>
      <c r="EE132" s="36">
        <f>Crops[[#This Row],[Wholesale Profit]]/MIN(Crops[[#This Row],[Days In Field]],GrowingDays)</f>
        <v>1.82067599826389</v>
      </c>
      <c r="EF132" s="36">
        <f>(Crops[[#This Row],[Wholesale Revenue Per Bed]]-Crops[[#This Row],[Wholesale Non-Labor Cost]])/Crops[[#This Row],[Direct Time]]</f>
        <v>29.743308234387914</v>
      </c>
      <c r="EG132" s="174">
        <f>Crops[[#This Row],[Packaging Costs]]/Crops[[#This Row],[Wholesale Revenue Per Bed]]</f>
        <v>5.4285714285714291E-2</v>
      </c>
      <c r="EH132" s="36" t="str">
        <f>Crops[[#This Row],[Crop]]&amp;Crops[[#This Row],[Product]]&amp;Crops[[#This Row],[Unit]]</f>
        <v>FennelMini BulbBulb</v>
      </c>
      <c r="EI132" s="36" t="b">
        <f>_xlfn.XLOOKUP(Crops[[#This Row],[ProductIndex]],Products[ID],Products[Target])</f>
        <v>1</v>
      </c>
      <c r="EJ132" s="36">
        <f>Crops[[#This Row],[Custom Yield Per Bed]]</f>
        <v>400</v>
      </c>
      <c r="EK132" s="210">
        <f>Crops[[#This Row],[Units Per Harvest]]/Crops[[#This Row],[Days Between Harvest]]*7</f>
        <v>200</v>
      </c>
      <c r="EL132" s="210" t="e">
        <f>Crops[[#This Row],[Custom Yield Per Bed]]/_xlfn.XLOOKUP(Crops[[#This Row],[ProductIndex]],Products[ID],Products[CSA Portion])</f>
        <v>#DIV/0!</v>
      </c>
      <c r="EM132" s="210" t="e">
        <f>Crops[[#This Row],[Units Per Harvest]]/Crops[[#This Row],[Days Between Harvest]]*7/_xlfn.XLOOKUP(Crops[[#This Row],[ProductIndex]],Products[ID],Products[CSA Portion])</f>
        <v>#DIV/0!</v>
      </c>
      <c r="EN132" s="210" t="e">
        <f>Crops[[#This Row],[CSA Portions Per Week]]/CSAMembers</f>
        <v>#DIV/0!</v>
      </c>
      <c r="EO132" s="210"/>
      <c r="EP132" s="210"/>
      <c r="EQ132" s="36"/>
      <c r="ER132" s="36">
        <f>Crops[[#This Row],[Harvests]]*Crops[[#This Row],[Days Between Harvest]]/7</f>
        <v>2</v>
      </c>
      <c r="ES132" s="208">
        <f>_xlfn.XLOOKUP(Crops[[#This Row],[ProductIndex]],Products[ID],Products[CSA Need])</f>
        <v>0</v>
      </c>
      <c r="ET132" s="208">
        <f>_xlfn.XLOOKUP(Crops[[#This Row],[ProductIndex]],Products[ID],Products[CSA Times])</f>
        <v>0</v>
      </c>
      <c r="EU132" s="208" t="e">
        <f>Crops[[#This Row],[Custom Yield Per Bed]]/(Crops[[#This Row],[CSA Need]]*(_xlfn.XLOOKUP(Crops[[#This Row],[ProductIndex]],Products[ID],Products[CSA Portion])*CSAMembers))</f>
        <v>#DIV/0!</v>
      </c>
      <c r="EV132" s="208">
        <f>_xlfn.XLOOKUP(Crops[[#This Row],[ProductIndex]],Products[ID],Products[CSA Portion])*CSAMembers*Crops[[#This Row],[CSA Need]]/Crops[[#This Row],[Custom Yield Per Bed]]</f>
        <v>0</v>
      </c>
      <c r="EW132" s="208">
        <f>IFERROR(Crops[[#This Row],[Days In Field]]*Crops[[#This Row],[CSA Beds]],"")</f>
        <v>0</v>
      </c>
      <c r="EX132" s="208" t="e">
        <f>Crops[[#This Row],[CSA Bed Days]]*#REF!</f>
        <v>#REF!</v>
      </c>
      <c r="EY132" t="s">
        <v>1721</v>
      </c>
    </row>
    <row r="133" spans="1:155">
      <c r="A133"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Mini Bulb 1X | Field TP Sp</v>
      </c>
      <c r="B133" s="180"/>
      <c r="C133" s="1" t="s">
        <v>2588</v>
      </c>
      <c r="D133" s="1"/>
      <c r="E133" s="1" t="b">
        <v>0</v>
      </c>
      <c r="F133" s="1" t="b">
        <f>IFERROR(IF(ISNUMBER(MATCH(Crops[[#This Row],[Identifier]],BedPlan[Crop], 0)), TRUE, FALSE), FALSE)</f>
        <v>1</v>
      </c>
      <c r="G133" s="1" t="b">
        <f>IFERROR(IF(ISNUMBER(MATCH(Crops[[#This Row],[Identifier]],BedPlan[Crop], 0)), TRUE, FALSE), FALSE)</f>
        <v>1</v>
      </c>
      <c r="H133" s="1"/>
      <c r="I133" t="s">
        <v>78</v>
      </c>
      <c r="J133" t="s">
        <v>145</v>
      </c>
      <c r="K133" t="s">
        <v>193</v>
      </c>
      <c r="M133" t="s">
        <v>78</v>
      </c>
      <c r="N133" t="str">
        <f>Crops[[#This Row],[Crop]]</f>
        <v>Fennel</v>
      </c>
      <c r="O133" t="s">
        <v>210</v>
      </c>
      <c r="P133" t="str">
        <f>IF(OR(Crops[[#This Row],[Days in Cells]]="",Crops[[#This Row],[Days in Cells]]=0), "DS","TP")</f>
        <v>TP</v>
      </c>
      <c r="Q133" t="b">
        <v>1</v>
      </c>
      <c r="V133" t="str">
        <f xml:space="preserve"> IF(Crops[[#This Row],[Sp]], "Sp", "") &amp; IF(Crops[[#This Row],[Su]], "Su", "") &amp; IF(Crops[[#This Row],[Fa]], "Fa", "") &amp; IF(Crops[[#This Row],[Wi]], "Wi", "") &amp; IF(Crops[[#This Row],[OW]], "Ow","")</f>
        <v>Sp</v>
      </c>
      <c r="W133" t="s">
        <v>144</v>
      </c>
      <c r="X133">
        <v>4</v>
      </c>
      <c r="Y133">
        <v>6</v>
      </c>
      <c r="AA133" t="s">
        <v>474</v>
      </c>
      <c r="AB133" t="b">
        <v>1</v>
      </c>
      <c r="AC133">
        <v>2.5</v>
      </c>
      <c r="AD133" s="32">
        <f>IFERROR(12/Crops[[#This Row],[Spacing]]*Crops[[#This Row],[Rows]]*BedLength,"")</f>
        <v>400</v>
      </c>
      <c r="AE133">
        <v>1</v>
      </c>
      <c r="AG133">
        <f>IF(Crops[[#This Row],[Custom Safety Factor]]="",PlantingSafetyFactor,Crops[[#This Row],[Custom Safety Factor]])</f>
        <v>1.3</v>
      </c>
      <c r="AH133">
        <f>1</f>
        <v>1</v>
      </c>
      <c r="AI133" s="33">
        <f>IFERROR(Crops[[#This Row],[Plantings Per Bed]]*Crops[[#This Row],[Seeds Per Planting]]*Crops[[#This Row],[Safety Factor]]*Crops[[#This Row],[Seeding Factor]],"")</f>
        <v>520</v>
      </c>
      <c r="AJ133">
        <v>7</v>
      </c>
      <c r="AK133">
        <v>14</v>
      </c>
      <c r="AL133">
        <f>_xlfn.FLOOR.MATH(IFERROR(AVERAGE(Crops[[#This Row],[DTG Lower]:[DTG Upper]]),0))</f>
        <v>10</v>
      </c>
      <c r="AM133">
        <f>SUM(Crops[[#This Row],[Tray 1 Days]],Crops[[#This Row],[Tray 2 Days]],Crops[[#This Row],[Tray 3 Days]])</f>
        <v>30</v>
      </c>
      <c r="AN133" s="32">
        <v>30</v>
      </c>
      <c r="AP133">
        <f>11*7</f>
        <v>77</v>
      </c>
      <c r="AQ133">
        <f>IFERROR(_xlfn.FLOOR.MATH(AVERAGE(Crops[[#This Row],[DTM Lower]:[DTM Upper]])),"")</f>
        <v>77</v>
      </c>
      <c r="AR133" cm="1">
        <f t="array" ref="AR133">_xlfn.SWITCH(Crops[[#This Row],[Normal Method]],"DS",Crops[[#This Row],[Days to Germination]]+Crops[[#This Row],[DTM]] + IF(Crops[[#This Row],[Days in Cells]]&gt;0,15,0), "TP",Crops[[#This Row],[DTM]]+Crops[[#This Row],[Days in Cells]] + IF(Crops[[#This Row],[Days in Cells]]&lt;=0,20,0), "X", Crops[[#This Row],[DTM]])</f>
        <v>77</v>
      </c>
      <c r="AS133" t="s">
        <v>347</v>
      </c>
      <c r="AT133">
        <v>14</v>
      </c>
      <c r="AU133">
        <f>Crops[[#This Row],[STH]]-Crops[[#This Row],[Days in Cells]]+Crops[[#This Row],[Harvest window]]</f>
        <v>61</v>
      </c>
      <c r="AX133">
        <v>128</v>
      </c>
      <c r="AY133">
        <v>30</v>
      </c>
      <c r="AZ133" s="49">
        <f>IFERROR(IF(Crops[[#This Row],[Tray 1 Days]]=0,"",Crops[[#This Row],[Plantings Per Bed]]/Crops[[#This Row],[Tray 1 Size]]*Crops[[#This Row],[Safety Factor]]),"")</f>
        <v>4.0625</v>
      </c>
      <c r="BC133" t="str">
        <f>IFERROR(IF(Crops[[#This Row],[Tray 2 Days]]=0,"",Crops[[#This Row],[Plantings Per Bed]]/Crops[[#This Row],[Tray 2 Size]]*Crops[[#This Row],[Safety Factor]]),"")</f>
        <v/>
      </c>
      <c r="BE133" s="32" t="str">
        <f>IF(NOT(ISBLANK(Crops[[#This Row],[Tray 3 Size]])), Crops[[#This Row],[Days in Cells Old]]-SUM(Crops[[#This Row],[Tray 1 Days]],Crops[[#This Row],[Tray 2 Days]]), "")</f>
        <v/>
      </c>
      <c r="BF133" s="49" t="str">
        <f>IFERROR(IF(Crops[[#This Row],[Tray 3 Days]]=0,"",Crops[[#This Row],[Plantings Per Bed]]/Crops[[#This Row],[Tray 3 Size]]*Crops[[#This Row],[Safety Factor]]),"")</f>
        <v/>
      </c>
      <c r="BG133" s="33">
        <f>Crops[[#This Row],[Plantings Per Bed]]/Crops[[#This Row],[Harvests]]</f>
        <v>200</v>
      </c>
      <c r="BH133" s="33">
        <v>2</v>
      </c>
      <c r="BI133" s="33">
        <v>7</v>
      </c>
      <c r="BJ133" s="33">
        <f>_xlfn.XLOOKUP(Crops[[#This Row],[ProductIndex]],Products[ID],Products[Holding Period])</f>
        <v>0</v>
      </c>
      <c r="BK133" s="33"/>
      <c r="BL133" s="33">
        <f>Crops[[#This Row],[Units Per Harvest]]*Crops[[#This Row],[Harvests]]</f>
        <v>400</v>
      </c>
      <c r="BM133" s="35">
        <f>5/3</f>
        <v>1.6666666666666667</v>
      </c>
      <c r="BN133" s="35">
        <f>Crops[[#This Row],[Direct Price]]*0.6</f>
        <v>1</v>
      </c>
      <c r="BO133" s="35"/>
      <c r="BP133" t="s">
        <v>2356</v>
      </c>
      <c r="BQ133">
        <f>Crops[[#This Row],[Custom Yield Per Bed]]*Crops[[#This Row],[Direct Price]]</f>
        <v>666.66666666666674</v>
      </c>
      <c r="BR133" t="b">
        <v>1</v>
      </c>
      <c r="BS133" t="b">
        <f>Crops[[#This Row],[Harvests]]&gt;1</f>
        <v>1</v>
      </c>
      <c r="BT133" s="36">
        <f>IFERROR(Crops[[#This Row],[Direct Revenue Per Bed]]/Crops[[#This Row],[Days In Field]],-1)</f>
        <v>10.928961748633881</v>
      </c>
      <c r="BU133" s="36">
        <f>IFERROR(Crops[[#This Row],[Direct Revenue Per Bed Day]]*GrowingDays*BedsPerAcre,"")</f>
        <v>314754.09836065577</v>
      </c>
      <c r="BV133" s="38">
        <f>LastFrostDate-5*Crops[[#This Row],[Sewing Rel Last Frost]]</f>
        <v>45723</v>
      </c>
      <c r="BW133" s="38">
        <f>Crops[[#This Row],[Target Sewing Date]]+Crops[[#This Row],[Days in Cells]]</f>
        <v>45753</v>
      </c>
      <c r="BX133" s="38">
        <f>Crops[[#This Row],[Target Sewing Date]]+Crops[[#This Row],[STH]]</f>
        <v>45800</v>
      </c>
      <c r="BY133" s="38">
        <f>Crops[[#This Row],[Target Harvest Data]]+Crops[[#This Row],[Harvest window]]</f>
        <v>45814</v>
      </c>
      <c r="BZ133">
        <v>5</v>
      </c>
      <c r="CB133">
        <f>1</f>
        <v>1</v>
      </c>
      <c r="CC133">
        <f>IF(Crops[[#This Row],[Transplanting]]&gt;0, 2, 3)*BedLength/StandardBedLength</f>
        <v>1</v>
      </c>
      <c r="CD133" s="173">
        <f>IF(Crops[[#This Row],[Days in Cells]]&lt;=0,0,Crops[[#This Row],[Plantings Per Bed]]/StartsPerHourSeeding+Crops[[#This Row],[Tray 1 Count]]*5/60)</f>
        <v>1.9010416666666667</v>
      </c>
      <c r="CE133" s="173">
        <f>IF(ISBLANK(Crops[[#This Row],[Tray 2 Days]]),0,Crops[[#This Row],[Plantings Per Bed]]/UpPottingPerHour)+IF(Crops[[#This Row],[Tray 3 Days]]="",0,Crops[[#This Row],[Plantings Per Bed]]/UpPottingPerHour)</f>
        <v>0</v>
      </c>
      <c r="CF133" s="173">
        <f>IFERROR(Crops[[#This Row],[Tray 1 Count]]/HomeStartFlatIrrigationPerHour,0)*Crops[[#This Row],[Days in Cells]]/DaysBetweenStartIrrigation</f>
        <v>0.5078125</v>
      </c>
      <c r="CG133" s="173">
        <f>0.5/16*MAX(Crops[[#This Row],[Tray 1 Count]],Crops[[#This Row],[Tray 2 Count]],Crops[[#This Row],[Tray 3 Count]])</f>
        <v>0.126953125</v>
      </c>
      <c r="CH133" s="173">
        <f>IF(Crops[[#This Row],[Days in Cells]]&gt;0,IF(IF(Crops[[#This Row],[Tray 3 Size]]&gt;0,Crops[[#This Row],[Tray 3 Size]],IF(Crops[[#This Row],[Tray 2 Size]]&gt;0,Crops[[#This Row],[Tray 2 Size]],Crops[[#This Row],[Tray 1 Size]]))&lt;=18,LargeTransplantTime,SmallTransplantTime)*Crops[[#This Row],[Plantings Per Bed]],0)</f>
        <v>2</v>
      </c>
      <c r="CI133" s="173"/>
      <c r="CJ133" s="173">
        <f>_xlfn.XLOOKUP(Crops[[#This Row],[Trellis Type]],TrellisMethods[Trellis Type],TrellisMethods[Hours],0,0)</f>
        <v>0</v>
      </c>
      <c r="CK133">
        <f>IF(Crops[[#This Row],[Days in Cells]]&lt;=0,Crops[[#This Row],[Rows]]*1/10,0)*BedLength/50</f>
        <v>0</v>
      </c>
      <c r="CL133" cm="1">
        <f t="array" ref="CL133">_xlfn.SWITCH(Crops[[#This Row],[Irrigation]],"DR", 0.5, "OH", 0.25,0)*BedLength/50</f>
        <v>0</v>
      </c>
      <c r="CM133">
        <f>IF(OR(ISBLANK(Crops[[#This Row],[Row Cover]]),Crops[[#This Row],[Row Cover]]="None"),0,1)*BedLength/50</f>
        <v>0</v>
      </c>
      <c r="CN133" s="173">
        <f>HoursPerWeedingPass*Crops[[#This Row],[Days In Field]]/14*Crops[[#This Row],[Rows]]+1*BedLength/50</f>
        <v>3.9047619047619047</v>
      </c>
      <c r="CQ133" s="37">
        <f>_xlfn.XLOOKUP(Crops[[#This Row],[Crop]]&amp;Crops[[#This Row],[Product]]&amp;Crops[[#This Row],[Unit]],Products[ID],Products[Marketing (hr)])*Crops[[#This Row],[Direct Revenue Per Bed]]/2000</f>
        <v>0.66666666666666674</v>
      </c>
      <c r="CR133" s="37">
        <f>_xlfn.XLOOKUP(Crops[[#This Row],[Crop]]&amp;Crops[[#This Row],[Product]]&amp;Crops[[#This Row],[Unit]],Products[ID],Products[Harvest (s)])*Crops[[#This Row],[Custom Yield Per Bed]]/3600</f>
        <v>0.55555555555555558</v>
      </c>
      <c r="CS133" s="37">
        <f>_xlfn.XLOOKUP(Crops[[#This Row],[Crop]]&amp;Crops[[#This Row],[Product]]&amp;Crops[[#This Row],[Unit]],Products[ID],Products[Bunch (s)])*Crops[[#This Row],[Custom Yield Per Bed]]/3600</f>
        <v>0</v>
      </c>
      <c r="CT133" s="37">
        <f>_xlfn.XLOOKUP(Crops[[#This Row],[Crop]]&amp;Crops[[#This Row],[Product]]&amp;Crops[[#This Row],[Unit]],Products[ID],Products[Haul (s)])*Crops[[#This Row],[Custom Yield Per Bed]]/3600</f>
        <v>0.14285714285714288</v>
      </c>
      <c r="CU133" s="37">
        <f>_xlfn.XLOOKUP(Crops[[#This Row],[Crop]]&amp;Crops[[#This Row],[Product]]&amp;Crops[[#This Row],[Unit]],Products[ID],Products[Wash (s)])*Crops[[#This Row],[Custom Yield Per Bed]]/3600</f>
        <v>1.1111111111111112</v>
      </c>
      <c r="CV133" s="37">
        <f>_xlfn.XLOOKUP(Crops[[#This Row],[Crop]]&amp;Crops[[#This Row],[Product]]&amp;Crops[[#This Row],[Unit]],Products[ID],Products[Condition (s)])*Crops[[#This Row],[Custom Yield Per Bed]]/3600</f>
        <v>0</v>
      </c>
      <c r="CW133" s="37">
        <f>_xlfn.XLOOKUP(Crops[[#This Row],[Crop]]&amp;Crops[[#This Row],[Product]]&amp;Crops[[#This Row],[Unit]],Products[ID],Products[Trim (s)])*Crops[[#This Row],[Custom Yield Per Bed]]/3600</f>
        <v>1.1111111111111112</v>
      </c>
      <c r="CX133" s="37">
        <f>_xlfn.XLOOKUP(Crops[[#This Row],[Crop]]&amp;Crops[[#This Row],[Product]]&amp;Crops[[#This Row],[Unit]],Products[ID],Products[Pack (s)])*Crops[[#This Row],[Custom Yield Per Bed]]/3600</f>
        <v>0.33333333333333331</v>
      </c>
      <c r="CY133" s="37">
        <f>_xlfn.XLOOKUP(Crops[[#This Row],[Crop]]&amp;Crops[[#This Row],[Product]]&amp;Crops[[#This Row],[Unit]],Products[ID],Products[Clean (s)])*Crops[[#This Row],[Custom Yield Per Bed]]/3600</f>
        <v>0</v>
      </c>
      <c r="CZ133" s="37">
        <f>_xlfn.XLOOKUP(Crops[[#This Row],[Crop]]&amp;Crops[[#This Row],[Product]]&amp;Crops[[#This Row],[Unit]],Products[ID],Products[Rehandle (s)])*Crops[[#This Row],[Custom Yield Per Bed]]/3600</f>
        <v>0</v>
      </c>
      <c r="DA133" s="37">
        <f>_xlfn.XLOOKUP(Crops[[#This Row],[Crop]]&amp;Crops[[#This Row],[Product]]&amp;Crops[[#This Row],[Unit]],Products[ID],Products[Market Transport (s)])*Crops[[#This Row],[Custom Yield Per Bed]]/3600</f>
        <v>0.35714285714285715</v>
      </c>
      <c r="DC133" s="37">
        <f>Crops[[#This Row],[Direct Revenue Per Bed2]]</f>
        <v>666.66666666666674</v>
      </c>
      <c r="DD133" s="173">
        <f>_xlfn.AGGREGATE(9,6,Crops[[#This Row],[Bed Prep]:[Remove Crop Residue]])</f>
        <v>13.718346974206348</v>
      </c>
      <c r="DE133" s="173">
        <f>_xlfn.AGGREGATE(9,6,Crops[[#This Row],[Bed Prep]:[Remove Crop Residue]])-0.75*Crops[[#This Row],[Market &amp; Sell]]</f>
        <v>13.218346974206348</v>
      </c>
      <c r="DF133" s="36">
        <f>Crops[[#This Row],[Direct Revenue Per Bed2]]/Crops[[#This Row],[Direct Time]]</f>
        <v>48.596719992587566</v>
      </c>
      <c r="DG133" s="36">
        <f>_xlfn.XLOOKUP(Crops[[#This Row],[ProductIndex]],Products[ID],Products[Packaging Cost])*(Crops[[#This Row],[Custom Yield Per Bed]]/_xlfn.XLOOKUP(Crops[[#This Row],[ProductIndex]],Products[ID],Products[Units Per Pack]))</f>
        <v>21.714285714285715</v>
      </c>
      <c r="DH133" s="36"/>
      <c r="DI133" s="36"/>
      <c r="DJ133" s="36"/>
      <c r="DK133" s="36"/>
      <c r="DL133" s="36"/>
      <c r="DM133" s="33">
        <f>IFERROR(Crops[[#This Row],[Custom Yield Per Bed]]*Crops[[#This Row],[Direct Price]],"")</f>
        <v>666.66666666666674</v>
      </c>
      <c r="DN133" s="36">
        <f>Crops[[#This Row],[Direct Time]]*LaborRate</f>
        <v>342.95867435515868</v>
      </c>
      <c r="DO133" s="36">
        <f>SUM(Crops[[#This Row],[Irrigation Cost]])</f>
        <v>0</v>
      </c>
      <c r="DP133" s="36">
        <f>Crops[[#This Row],[Direct Labor Cost]]+Crops[[#This Row],[Direct Non-Labor Cost]]</f>
        <v>342.95867435515868</v>
      </c>
      <c r="DQ133" s="36">
        <f>Crops[[#This Row],[Direct Revenue Per Bed2]]-Crops[[#This Row],[Direct Total Cost]]</f>
        <v>323.70799231150806</v>
      </c>
      <c r="DR133" s="36">
        <f>Crops[[#This Row],[Direct Profit]]*BedsPerAcre</f>
        <v>51793.278769841287</v>
      </c>
      <c r="DS133" s="36">
        <f>Crops[[#This Row],[Direct Profit]]*BedsPerAcre*GrowingDays/Crops[[#This Row],[Days In Field]]</f>
        <v>152832.62587822019</v>
      </c>
      <c r="DT133" s="36">
        <f>Crops[[#This Row],[Direct Profit]]/MIN(Crops[[#This Row],[Days In Field]],GrowingDays)</f>
        <v>5.306688398549313</v>
      </c>
      <c r="DU133" s="36">
        <f>Crops[[#This Row],[Direct Time]] * BedsPerAcre</f>
        <v>2194.9355158730159</v>
      </c>
      <c r="DV133" s="36">
        <f>(Crops[[#This Row],[Direct Revenue Per Bed2]]-Crops[[#This Row],[Direct Non-Labor Cost]])/Crops[[#This Row],[Direct Time]]</f>
        <v>48.596719992587566</v>
      </c>
      <c r="DW133" s="33">
        <f>IFERROR(Crops[[#This Row],[Custom Yield Per Bed]]*Crops[[#This Row],[Rough Wholesale Price]],"")</f>
        <v>400</v>
      </c>
      <c r="DX133" s="36">
        <f>Crops[[#This Row],[Wholesale Time]]*LaborRate</f>
        <v>330.45867435515868</v>
      </c>
      <c r="DY133" s="36">
        <f>SUM(Crops[[#This Row],[Packaging Costs]:[Irrigation Cost]])</f>
        <v>21.714285714285715</v>
      </c>
      <c r="DZ133" s="36">
        <f>Crops[[#This Row],[Wholesale Labor Cost]]+Crops[[#This Row],[Wholesale Non-Labor Cost]]</f>
        <v>352.1729600694444</v>
      </c>
      <c r="EA133" s="36">
        <f>Crops[[#This Row],[Wholesale Revenue Per Bed]]-Crops[[#This Row],[Wholesale Total Cost]]</f>
        <v>47.8270399305556</v>
      </c>
      <c r="EB133" s="36">
        <f>Crops[[#This Row],[Wholesale Profit]]*BedsPerAcre</f>
        <v>7652.326388888896</v>
      </c>
      <c r="EC133" s="36">
        <f>Crops[[#This Row],[Wholesale Profit]]*BedsPerAcre*GrowingDays/Crops[[#This Row],[Days In Field]]</f>
        <v>22580.63524590166</v>
      </c>
      <c r="ED133" s="36">
        <f>Crops[[#This Row],[Wholesale Time]] * BedsPerAcre</f>
        <v>2114.9355158730159</v>
      </c>
      <c r="EE133" s="36">
        <f>Crops[[#This Row],[Wholesale Profit]]/MIN(Crops[[#This Row],[Days In Field]],GrowingDays)</f>
        <v>0.78404983492714098</v>
      </c>
      <c r="EF133" s="36">
        <f>(Crops[[#This Row],[Wholesale Revenue Per Bed]]-Crops[[#This Row],[Wholesale Non-Labor Cost]])/Crops[[#This Row],[Direct Time]]</f>
        <v>27.575167401508253</v>
      </c>
      <c r="EG133" s="174">
        <f>Crops[[#This Row],[Packaging Costs]]/Crops[[#This Row],[Wholesale Revenue Per Bed]]</f>
        <v>5.4285714285714291E-2</v>
      </c>
      <c r="EH133" s="36" t="str">
        <f>Crops[[#This Row],[Crop]]&amp;Crops[[#This Row],[Product]]&amp;Crops[[#This Row],[Unit]]</f>
        <v>FennelMini BulbBulb</v>
      </c>
      <c r="EI133" s="36" t="b">
        <f>_xlfn.XLOOKUP(Crops[[#This Row],[ProductIndex]],Products[ID],Products[Target])</f>
        <v>1</v>
      </c>
      <c r="EJ133" s="36">
        <f>Crops[[#This Row],[Custom Yield Per Bed]]</f>
        <v>400</v>
      </c>
      <c r="EK133" s="210">
        <f>Crops[[#This Row],[Units Per Harvest]]/Crops[[#This Row],[Days Between Harvest]]*7</f>
        <v>200</v>
      </c>
      <c r="EL133" s="210" t="e">
        <f>Crops[[#This Row],[Custom Yield Per Bed]]/_xlfn.XLOOKUP(Crops[[#This Row],[ProductIndex]],Products[ID],Products[CSA Portion])</f>
        <v>#DIV/0!</v>
      </c>
      <c r="EM133" s="210" t="e">
        <f>Crops[[#This Row],[Units Per Harvest]]/Crops[[#This Row],[Days Between Harvest]]*7/_xlfn.XLOOKUP(Crops[[#This Row],[ProductIndex]],Products[ID],Products[CSA Portion])</f>
        <v>#DIV/0!</v>
      </c>
      <c r="EN133" s="210" t="e">
        <f>Crops[[#This Row],[CSA Portions Per Week]]/CSAMembers</f>
        <v>#DIV/0!</v>
      </c>
      <c r="EO133" s="210"/>
      <c r="EP133" s="210"/>
      <c r="EQ133" s="36"/>
      <c r="ER133" s="36">
        <f>Crops[[#This Row],[Harvests]]*Crops[[#This Row],[Days Between Harvest]]/7</f>
        <v>2</v>
      </c>
      <c r="ES133" s="208">
        <f>_xlfn.XLOOKUP(Crops[[#This Row],[ProductIndex]],Products[ID],Products[CSA Need])</f>
        <v>0</v>
      </c>
      <c r="ET133" s="208">
        <f>_xlfn.XLOOKUP(Crops[[#This Row],[ProductIndex]],Products[ID],Products[CSA Times])</f>
        <v>0</v>
      </c>
      <c r="EU133" s="208" t="e">
        <f>Crops[[#This Row],[Custom Yield Per Bed]]/(Crops[[#This Row],[CSA Need]]*(_xlfn.XLOOKUP(Crops[[#This Row],[ProductIndex]],Products[ID],Products[CSA Portion])*CSAMembers))</f>
        <v>#DIV/0!</v>
      </c>
      <c r="EV133" s="208">
        <f>_xlfn.XLOOKUP(Crops[[#This Row],[ProductIndex]],Products[ID],Products[CSA Portion])*CSAMembers*Crops[[#This Row],[CSA Need]]/Crops[[#This Row],[Custom Yield Per Bed]]</f>
        <v>0</v>
      </c>
      <c r="EW133" s="208">
        <f>IFERROR(Crops[[#This Row],[Days In Field]]*Crops[[#This Row],[CSA Beds]],"")</f>
        <v>0</v>
      </c>
      <c r="EX133" s="208" t="e">
        <f>Crops[[#This Row],[CSA Bed Days]]*#REF!</f>
        <v>#REF!</v>
      </c>
      <c r="EY133" t="s">
        <v>1721</v>
      </c>
    </row>
    <row r="134" spans="1:155">
      <c r="A13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Flax - Flowering Stalks 1X | Field DS </v>
      </c>
      <c r="B134" s="189"/>
      <c r="C134" s="1" t="b">
        <v>1</v>
      </c>
      <c r="D134" s="1"/>
      <c r="E134" s="1" t="b">
        <v>0</v>
      </c>
      <c r="F134" s="1" t="b">
        <f>IFERROR(IF(ISNUMBER(MATCH(Crops[[#This Row],[Identifier]],BedPlan[Crop], 0)), TRUE, FALSE), FALSE)</f>
        <v>0</v>
      </c>
      <c r="G134" s="1" t="b">
        <f>IFERROR(IF(ISNUMBER(MATCH(Crops[[#This Row],[Identifier]],BedPlan[Crop], 0)), TRUE, FALSE), FALSE)</f>
        <v>0</v>
      </c>
      <c r="H134" s="1"/>
      <c r="I134" t="s">
        <v>1768</v>
      </c>
      <c r="J134" t="s">
        <v>145</v>
      </c>
      <c r="K134" t="s">
        <v>368</v>
      </c>
      <c r="M134" t="s">
        <v>406</v>
      </c>
      <c r="N134" t="str">
        <f>Crops[[#This Row],[Crop]]</f>
        <v>Flax</v>
      </c>
      <c r="O134" t="s">
        <v>210</v>
      </c>
      <c r="P134" t="str">
        <f>IF(OR(Crops[[#This Row],[Days in Cells]]="",Crops[[#This Row],[Days in Cells]]=0), "DS","TP")</f>
        <v>DS</v>
      </c>
      <c r="V134" t="str">
        <f xml:space="preserve"> IF(Crops[[#This Row],[Sp]], "Sp", "") &amp; IF(Crops[[#This Row],[Su]], "Su", "") &amp; IF(Crops[[#This Row],[Fa]], "Fa", "") &amp; IF(Crops[[#This Row],[Wi]], "Wi", "") &amp; IF(Crops[[#This Row],[OW]], "Ow","")</f>
        <v/>
      </c>
      <c r="X134">
        <v>4</v>
      </c>
      <c r="Y134">
        <v>3</v>
      </c>
      <c r="AB134" t="b">
        <v>0</v>
      </c>
      <c r="AC134">
        <v>3</v>
      </c>
      <c r="AD134" s="32">
        <f>IFERROR(12/Crops[[#This Row],[Spacing]]*Crops[[#This Row],[Rows]]*BedLength,"")</f>
        <v>800</v>
      </c>
      <c r="AE134">
        <v>1</v>
      </c>
      <c r="AG134">
        <f>IF(Crops[[#This Row],[Custom Safety Factor]]="",PlantingSafetyFactor,Crops[[#This Row],[Custom Safety Factor]])</f>
        <v>1.3</v>
      </c>
      <c r="AH134">
        <f>1</f>
        <v>1</v>
      </c>
      <c r="AI134" s="37">
        <f>IFERROR(Crops[[#This Row],[Plantings Per Bed]]*Crops[[#This Row],[Seeds Per Planting]]*Crops[[#This Row],[Safety Factor]]*Crops[[#This Row],[Seeding Factor]],"")</f>
        <v>1040</v>
      </c>
      <c r="AJ134">
        <v>20</v>
      </c>
      <c r="AK134">
        <v>25</v>
      </c>
      <c r="AL134">
        <f>_xlfn.FLOOR.MATH(IFERROR(AVERAGE(Crops[[#This Row],[DTG Lower]:[DTG Upper]]),0))</f>
        <v>22</v>
      </c>
      <c r="AM134">
        <f>SUM(Crops[[#This Row],[Tray 1 Days]],Crops[[#This Row],[Tray 2 Days]],Crops[[#This Row],[Tray 3 Days]])</f>
        <v>0</v>
      </c>
      <c r="AP134">
        <v>55</v>
      </c>
      <c r="AQ134">
        <f>IFERROR(_xlfn.FLOOR.MATH(AVERAGE(Crops[[#This Row],[DTM Lower]:[DTM Upper]])),"")</f>
        <v>55</v>
      </c>
      <c r="AR134" cm="1">
        <f t="array" ref="AR134">_xlfn.SWITCH(Crops[[#This Row],[Normal Method]],"DS",Crops[[#This Row],[Days to Germination]]+Crops[[#This Row],[DTM]] + IF(Crops[[#This Row],[Days in Cells]]&gt;0,15,0), "TP",Crops[[#This Row],[DTM]]+Crops[[#This Row],[Days in Cells]] + IF(Crops[[#This Row],[Days in Cells]]&lt;=0,20,0), "X", Crops[[#This Row],[DTM]])</f>
        <v>77</v>
      </c>
      <c r="AS134" t="s">
        <v>338</v>
      </c>
      <c r="AT134">
        <f>(Crops[[#This Row],[Harvests]]-1)*Crops[[#This Row],[Days Between Harvest]]+7</f>
        <v>13</v>
      </c>
      <c r="AU134">
        <f>Crops[[#This Row],[STH]]-Crops[[#This Row],[Days in Cells]]+Crops[[#This Row],[Harvest window]]</f>
        <v>90</v>
      </c>
      <c r="AZ134" t="str">
        <f>IFERROR(IF(Crops[[#This Row],[Tray 1 Days]]=0,"",Crops[[#This Row],[Plantings Per Bed]]/Crops[[#This Row],[Tray 1 Size]]*Crops[[#This Row],[Safety Factor]]),"")</f>
        <v/>
      </c>
      <c r="BC134" t="str">
        <f>IFERROR(IF(Crops[[#This Row],[Tray 2 Days]]=0,"",Crops[[#This Row],[Plantings Per Bed]]/Crops[[#This Row],[Tray 2 Size]]*Crops[[#This Row],[Safety Factor]]),"")</f>
        <v/>
      </c>
      <c r="BE134" s="32" t="str">
        <f>IF(NOT(ISBLANK(Crops[[#This Row],[Tray 3 Size]])), Crops[[#This Row],[Days in Cells Old]]-SUM(Crops[[#This Row],[Tray 1 Days]],Crops[[#This Row],[Tray 2 Days]]), "")</f>
        <v/>
      </c>
      <c r="BF134" t="str">
        <f>IFERROR(IF(Crops[[#This Row],[Tray 3 Days]]=0,"",Crops[[#This Row],[Plantings Per Bed]]/Crops[[#This Row],[Tray 3 Size]]*Crops[[#This Row],[Safety Factor]]),"")</f>
        <v/>
      </c>
      <c r="BG134" s="33">
        <f>Crops[[#This Row],[Plantings Per Bed]]*4/Crops[[#This Row],[Harvests]]</f>
        <v>800</v>
      </c>
      <c r="BH134">
        <v>4</v>
      </c>
      <c r="BI134">
        <v>2</v>
      </c>
      <c r="BJ134" s="37">
        <f>_xlfn.XLOOKUP(Crops[[#This Row],[ProductIndex]],Products[ID],Products[Holding Period])</f>
        <v>0</v>
      </c>
      <c r="BK134" s="33"/>
      <c r="BL134" s="37">
        <f>Crops[[#This Row],[Units Per Harvest]]*Crops[[#This Row],[Harvests]]</f>
        <v>3200</v>
      </c>
      <c r="BM134">
        <v>0.3</v>
      </c>
      <c r="BN134" s="211">
        <f>Crops[[#This Row],[Direct Price]]*0.6</f>
        <v>0.18</v>
      </c>
      <c r="BO134" s="211"/>
      <c r="BP134" t="s">
        <v>213</v>
      </c>
      <c r="BQ134">
        <f>Crops[[#This Row],[Custom Yield Per Bed]]*Crops[[#This Row],[Direct Price]]</f>
        <v>960</v>
      </c>
      <c r="BR134" t="b">
        <v>0</v>
      </c>
      <c r="BS134" t="b">
        <f>Crops[[#This Row],[Harvests]]&gt;1</f>
        <v>1</v>
      </c>
      <c r="BT134" s="36">
        <f>IFERROR(Crops[[#This Row],[Direct Revenue Per Bed]]/Crops[[#This Row],[Days In Field]],-1)</f>
        <v>10.666666666666666</v>
      </c>
      <c r="BU134" s="33">
        <f>IFERROR(Crops[[#This Row],[Direct Revenue Per Bed Day]]*GrowingDays*BedsPerAcre,"")</f>
        <v>307200</v>
      </c>
      <c r="BV134" s="38">
        <f>LastFrostDate-5*Crops[[#This Row],[Sewing Rel Last Frost]]</f>
        <v>45753</v>
      </c>
      <c r="BW134" s="38">
        <f>Crops[[#This Row],[Target Sewing Date]]+Crops[[#This Row],[Days in Cells]]</f>
        <v>45753</v>
      </c>
      <c r="BX134" s="38">
        <f>Crops[[#This Row],[Target Sewing Date]]+Crops[[#This Row],[STH]]</f>
        <v>45830</v>
      </c>
      <c r="BY134" s="38">
        <f>Crops[[#This Row],[Target Harvest Data]]+Crops[[#This Row],[Harvest window]]</f>
        <v>45843</v>
      </c>
      <c r="BZ134">
        <v>-1</v>
      </c>
      <c r="CA134" t="s">
        <v>1783</v>
      </c>
      <c r="CB134">
        <f>1</f>
        <v>1</v>
      </c>
      <c r="CC134">
        <f>IF(Crops[[#This Row],[Transplanting]]&gt;0, 2, 3)*BedLength/StandardBedLength</f>
        <v>1.5</v>
      </c>
      <c r="CD134" s="173">
        <f>IF(Crops[[#This Row],[Days in Cells]]&lt;=0,0,Crops[[#This Row],[Plantings Per Bed]]/StartsPerHourSeeding+Crops[[#This Row],[Tray 1 Count]]*5/60)</f>
        <v>0</v>
      </c>
      <c r="CE134" s="173">
        <f>IF(ISBLANK(Crops[[#This Row],[Tray 2 Days]]),0,Crops[[#This Row],[Plantings Per Bed]]/UpPottingPerHour)+IF(Crops[[#This Row],[Tray 3 Days]]="",0,Crops[[#This Row],[Plantings Per Bed]]/UpPottingPerHour)</f>
        <v>0</v>
      </c>
      <c r="CF134" s="173">
        <f>IFERROR(Crops[[#This Row],[Tray 1 Count]]/HomeStartFlatIrrigationPerHour,0)*Crops[[#This Row],[Days in Cells]]/DaysBetweenStartIrrigation</f>
        <v>0</v>
      </c>
      <c r="CG134" s="173">
        <f>0.5/16*MAX(Crops[[#This Row],[Tray 1 Count]],Crops[[#This Row],[Tray 2 Count]],Crops[[#This Row],[Tray 3 Count]])</f>
        <v>0</v>
      </c>
      <c r="CH134" s="173">
        <f>IF(Crops[[#This Row],[Days in Cells]]&gt;0,IF(IF(Crops[[#This Row],[Tray 3 Size]]&gt;0,Crops[[#This Row],[Tray 3 Size]],IF(Crops[[#This Row],[Tray 2 Size]]&gt;0,Crops[[#This Row],[Tray 2 Size]],Crops[[#This Row],[Tray 1 Size]]))&lt;=18,LargeTransplantTime,SmallTransplantTime)*Crops[[#This Row],[Plantings Per Bed]],0)</f>
        <v>0</v>
      </c>
      <c r="CI134" s="173"/>
      <c r="CJ134" s="173">
        <f>_xlfn.XLOOKUP(Crops[[#This Row],[Trellis Type]],TrellisMethods[Trellis Type],TrellisMethods[Hours],0,0)</f>
        <v>0</v>
      </c>
      <c r="CK134">
        <f>IF(Crops[[#This Row],[Days in Cells]]&lt;=0,Crops[[#This Row],[Rows]]*1/10,0)*BedLength/50</f>
        <v>0.4</v>
      </c>
      <c r="CL134" cm="1">
        <f t="array" ref="CL134">_xlfn.SWITCH(Crops[[#This Row],[Irrigation]],"DR", 0.5, "OH", 0.25,0)*BedLength/50</f>
        <v>0</v>
      </c>
      <c r="CM134">
        <f>IF(OR(ISBLANK(Crops[[#This Row],[Row Cover]]),Crops[[#This Row],[Row Cover]]="None"),0,1)*BedLength/50</f>
        <v>0</v>
      </c>
      <c r="CN134" s="173">
        <f>HoursPerWeedingPass*Crops[[#This Row],[Days In Field]]/14*Crops[[#This Row],[Rows]]+1*BedLength/50</f>
        <v>5.2857142857142856</v>
      </c>
      <c r="CQ134" s="37">
        <f>_xlfn.XLOOKUP(Crops[[#This Row],[Crop]]&amp;Crops[[#This Row],[Product]]&amp;Crops[[#This Row],[Unit]],Products[ID],Products[Marketing (hr)])*Crops[[#This Row],[Direct Revenue Per Bed]]/2000</f>
        <v>2.88</v>
      </c>
      <c r="CR134" s="37">
        <f>_xlfn.XLOOKUP(Crops[[#This Row],[Crop]]&amp;Crops[[#This Row],[Product]]&amp;Crops[[#This Row],[Unit]],Products[ID],Products[Harvest (s)])*Crops[[#This Row],[Custom Yield Per Bed]]/3600</f>
        <v>4.4444444444444446</v>
      </c>
      <c r="CS134" s="37">
        <f>_xlfn.XLOOKUP(Crops[[#This Row],[Crop]]&amp;Crops[[#This Row],[Product]]&amp;Crops[[#This Row],[Unit]],Products[ID],Products[Bunch (s)])*Crops[[#This Row],[Custom Yield Per Bed]]/3600</f>
        <v>0</v>
      </c>
      <c r="CT134" s="37">
        <f>_xlfn.XLOOKUP(Crops[[#This Row],[Crop]]&amp;Crops[[#This Row],[Product]]&amp;Crops[[#This Row],[Unit]],Products[ID],Products[Haul (s)])*Crops[[#This Row],[Custom Yield Per Bed]]/3600</f>
        <v>1</v>
      </c>
      <c r="CU134" s="37">
        <f>_xlfn.XLOOKUP(Crops[[#This Row],[Crop]]&amp;Crops[[#This Row],[Product]]&amp;Crops[[#This Row],[Unit]],Products[ID],Products[Wash (s)])*Crops[[#This Row],[Custom Yield Per Bed]]/3600</f>
        <v>0</v>
      </c>
      <c r="CV134" s="37">
        <f>_xlfn.XLOOKUP(Crops[[#This Row],[Crop]]&amp;Crops[[#This Row],[Product]]&amp;Crops[[#This Row],[Unit]],Products[ID],Products[Condition (s)])*Crops[[#This Row],[Custom Yield Per Bed]]/3600</f>
        <v>0</v>
      </c>
      <c r="CW134" s="37">
        <f>_xlfn.XLOOKUP(Crops[[#This Row],[Crop]]&amp;Crops[[#This Row],[Product]]&amp;Crops[[#This Row],[Unit]],Products[ID],Products[Trim (s)])*Crops[[#This Row],[Custom Yield Per Bed]]/3600</f>
        <v>2.6666666666666665</v>
      </c>
      <c r="CX134" s="37">
        <f>_xlfn.XLOOKUP(Crops[[#This Row],[Crop]]&amp;Crops[[#This Row],[Product]]&amp;Crops[[#This Row],[Unit]],Products[ID],Products[Pack (s)])*Crops[[#This Row],[Custom Yield Per Bed]]/3600</f>
        <v>2.6666666666666665</v>
      </c>
      <c r="CY134" s="37">
        <f>_xlfn.XLOOKUP(Crops[[#This Row],[Crop]]&amp;Crops[[#This Row],[Product]]&amp;Crops[[#This Row],[Unit]],Products[ID],Products[Clean (s)])*Crops[[#This Row],[Custom Yield Per Bed]]/3600</f>
        <v>0</v>
      </c>
      <c r="CZ134" s="37">
        <f>_xlfn.XLOOKUP(Crops[[#This Row],[Crop]]&amp;Crops[[#This Row],[Product]]&amp;Crops[[#This Row],[Unit]],Products[ID],Products[Rehandle (s)])*Crops[[#This Row],[Custom Yield Per Bed]]/3600</f>
        <v>0</v>
      </c>
      <c r="DA134" s="37">
        <f>_xlfn.XLOOKUP(Crops[[#This Row],[Crop]]&amp;Crops[[#This Row],[Product]]&amp;Crops[[#This Row],[Unit]],Products[ID],Products[Market Transport (s)])*Crops[[#This Row],[Custom Yield Per Bed]]/3600</f>
        <v>2.5</v>
      </c>
      <c r="DC134" s="37">
        <f>Crops[[#This Row],[Direct Revenue Per Bed2]]</f>
        <v>960</v>
      </c>
      <c r="DD134" s="173">
        <f>_xlfn.AGGREGATE(9,6,Crops[[#This Row],[Bed Prep]:[Remove Crop Residue]])</f>
        <v>23.343492063492064</v>
      </c>
      <c r="DE134" s="173">
        <f>_xlfn.AGGREGATE(9,6,Crops[[#This Row],[Bed Prep]:[Remove Crop Residue]])-0.75*Crops[[#This Row],[Market &amp; Sell]]</f>
        <v>21.183492063492064</v>
      </c>
      <c r="DF134" s="36">
        <f>Crops[[#This Row],[Direct Revenue Per Bed2]]/Crops[[#This Row],[Direct Time]]</f>
        <v>41.124952401675458</v>
      </c>
      <c r="DG134" s="36">
        <f>_xlfn.XLOOKUP(Crops[[#This Row],[ProductIndex]],Products[ID],Products[Packaging Cost])*(Crops[[#This Row],[Custom Yield Per Bed]]/_xlfn.XLOOKUP(Crops[[#This Row],[ProductIndex]],Products[ID],Products[Units Per Pack]))</f>
        <v>160</v>
      </c>
      <c r="DH134" s="36"/>
      <c r="DI134" s="36"/>
      <c r="DJ134" s="36"/>
      <c r="DK134" s="36"/>
      <c r="DL134" s="36"/>
      <c r="DM134" s="37">
        <f>IFERROR(Crops[[#This Row],[Custom Yield Per Bed]]*Crops[[#This Row],[Direct Price]],"")</f>
        <v>960</v>
      </c>
      <c r="DN134" s="36">
        <f>Crops[[#This Row],[Direct Time]]*LaborRate</f>
        <v>583.58730158730157</v>
      </c>
      <c r="DO134" s="36">
        <f>SUM(Crops[[#This Row],[Irrigation Cost]])</f>
        <v>0</v>
      </c>
      <c r="DP134" s="36">
        <f>Crops[[#This Row],[Direct Labor Cost]]+Crops[[#This Row],[Direct Non-Labor Cost]]</f>
        <v>583.58730158730157</v>
      </c>
      <c r="DQ134" s="36">
        <f>Crops[[#This Row],[Direct Revenue Per Bed2]]-Crops[[#This Row],[Direct Total Cost]]</f>
        <v>376.41269841269843</v>
      </c>
      <c r="DR134" s="36">
        <f>Crops[[#This Row],[Direct Profit]]*BedsPerAcre</f>
        <v>60226.031746031746</v>
      </c>
      <c r="DS134" s="36">
        <f>Crops[[#This Row],[Direct Profit]]*BedsPerAcre*GrowingDays/Crops[[#This Row],[Days In Field]]</f>
        <v>120452.06349206349</v>
      </c>
      <c r="DT134" s="36">
        <f>Crops[[#This Row],[Direct Profit]]/MIN(Crops[[#This Row],[Days In Field]],GrowingDays)</f>
        <v>4.1823633156966489</v>
      </c>
      <c r="DU134" s="36">
        <f>Crops[[#This Row],[Direct Time]] * BedsPerAcre</f>
        <v>3734.9587301587303</v>
      </c>
      <c r="DV134" s="36">
        <f>(Crops[[#This Row],[Direct Revenue Per Bed2]]-Crops[[#This Row],[Direct Non-Labor Cost]])/Crops[[#This Row],[Direct Time]]</f>
        <v>41.124952401675458</v>
      </c>
      <c r="DW134" s="37">
        <f>IFERROR(Crops[[#This Row],[Custom Yield Per Bed]]*Crops[[#This Row],[Rough Wholesale Price]],"")</f>
        <v>576</v>
      </c>
      <c r="DX134" s="36">
        <f>Crops[[#This Row],[Wholesale Time]]*LaborRate</f>
        <v>529.58730158730157</v>
      </c>
      <c r="DY134" s="36">
        <f>SUM(Crops[[#This Row],[Packaging Costs]:[Irrigation Cost]])</f>
        <v>160</v>
      </c>
      <c r="DZ134" s="36">
        <f>Crops[[#This Row],[Wholesale Labor Cost]]+Crops[[#This Row],[Wholesale Non-Labor Cost]]</f>
        <v>689.58730158730157</v>
      </c>
      <c r="EA134" s="36">
        <f>Crops[[#This Row],[Wholesale Revenue Per Bed]]-Crops[[#This Row],[Wholesale Total Cost]]</f>
        <v>-113.58730158730157</v>
      </c>
      <c r="EB134" s="36">
        <f>Crops[[#This Row],[Wholesale Profit]]*BedsPerAcre</f>
        <v>-18173.968253968251</v>
      </c>
      <c r="EC134" s="36">
        <f>Crops[[#This Row],[Wholesale Profit]]*BedsPerAcre*GrowingDays/Crops[[#This Row],[Days In Field]]</f>
        <v>-36347.936507936502</v>
      </c>
      <c r="ED134" s="36">
        <f>Crops[[#This Row],[Wholesale Time]] * BedsPerAcre</f>
        <v>3389.3587301587304</v>
      </c>
      <c r="EE134" s="36">
        <f>Crops[[#This Row],[Wholesale Profit]]/MIN(Crops[[#This Row],[Days In Field]],GrowingDays)</f>
        <v>-1.2620811287477951</v>
      </c>
      <c r="EF134" s="36">
        <f>(Crops[[#This Row],[Wholesale Revenue Per Bed]]-Crops[[#This Row],[Wholesale Non-Labor Cost]])/Crops[[#This Row],[Direct Time]]</f>
        <v>17.820812707392697</v>
      </c>
      <c r="EG134" s="174">
        <f>Crops[[#This Row],[Packaging Costs]]/Crops[[#This Row],[Wholesale Revenue Per Bed]]</f>
        <v>0.27777777777777779</v>
      </c>
      <c r="EH134" s="36" t="str">
        <f>Crops[[#This Row],[Crop]]&amp;Crops[[#This Row],[Product]]&amp;Crops[[#This Row],[Unit]]</f>
        <v>FlaxFlowering StalksStem</v>
      </c>
      <c r="EI134" s="36" t="b">
        <f>_xlfn.XLOOKUP(Crops[[#This Row],[ProductIndex]],Products[ID],Products[Target])</f>
        <v>1</v>
      </c>
      <c r="EJ134" s="36">
        <f>Crops[[#This Row],[Custom Yield Per Bed]]</f>
        <v>3200</v>
      </c>
      <c r="EK134" s="210">
        <f>Crops[[#This Row],[Units Per Harvest]]/Crops[[#This Row],[Days Between Harvest]]*7</f>
        <v>2800</v>
      </c>
      <c r="EL134" s="210" t="e">
        <f>Crops[[#This Row],[Custom Yield Per Bed]]/_xlfn.XLOOKUP(Crops[[#This Row],[ProductIndex]],Products[ID],Products[CSA Portion])</f>
        <v>#DIV/0!</v>
      </c>
      <c r="EM134" s="210" t="e">
        <f>Crops[[#This Row],[Units Per Harvest]]/Crops[[#This Row],[Days Between Harvest]]*7/_xlfn.XLOOKUP(Crops[[#This Row],[ProductIndex]],Products[ID],Products[CSA Portion])</f>
        <v>#DIV/0!</v>
      </c>
      <c r="EN134" s="210" t="e">
        <f>Crops[[#This Row],[CSA Portions Per Week]]/CSAMembers</f>
        <v>#DIV/0!</v>
      </c>
      <c r="EO134" s="210"/>
      <c r="EP134" s="210"/>
      <c r="EQ134" s="36"/>
      <c r="ER134" s="36">
        <f>Crops[[#This Row],[Harvests]]*Crops[[#This Row],[Days Between Harvest]]/7</f>
        <v>1.1428571428571428</v>
      </c>
      <c r="ES134" s="208">
        <f>_xlfn.XLOOKUP(Crops[[#This Row],[ProductIndex]],Products[ID],Products[CSA Need])</f>
        <v>0</v>
      </c>
      <c r="ET134" s="208">
        <f>_xlfn.XLOOKUP(Crops[[#This Row],[ProductIndex]],Products[ID],Products[CSA Times])</f>
        <v>0</v>
      </c>
      <c r="EU134" s="208" t="e">
        <f>Crops[[#This Row],[Custom Yield Per Bed]]/(Crops[[#This Row],[CSA Need]]*(_xlfn.XLOOKUP(Crops[[#This Row],[ProductIndex]],Products[ID],Products[CSA Portion])*CSAMembers))</f>
        <v>#DIV/0!</v>
      </c>
      <c r="EV134" s="208">
        <f>_xlfn.XLOOKUP(Crops[[#This Row],[ProductIndex]],Products[ID],Products[CSA Portion])*CSAMembers*Crops[[#This Row],[CSA Need]]/Crops[[#This Row],[Custom Yield Per Bed]]</f>
        <v>0</v>
      </c>
      <c r="EW134" s="208">
        <f>IFERROR(Crops[[#This Row],[Days In Field]]*Crops[[#This Row],[CSA Beds]],"")</f>
        <v>0</v>
      </c>
      <c r="EX134" s="208" t="e">
        <f>Crops[[#This Row],[CSA Bed Days]]*#REF!</f>
        <v>#REF!</v>
      </c>
      <c r="EY134" t="s">
        <v>1784</v>
      </c>
    </row>
    <row r="135" spans="1:155">
      <c r="A13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Frisée - Baby Leaf 1X | Field DS </v>
      </c>
      <c r="B135" s="179"/>
      <c r="C135" s="1"/>
      <c r="D135" s="1"/>
      <c r="E135" s="1" t="b">
        <v>0</v>
      </c>
      <c r="F135" s="1" t="b">
        <f>IFERROR(IF(ISNUMBER(MATCH(Crops[[#This Row],[Identifier]],BedPlan[Crop], 0)), TRUE, FALSE), FALSE)</f>
        <v>0</v>
      </c>
      <c r="G135" s="1" t="b">
        <f>IFERROR(IF(ISNUMBER(MATCH(Crops[[#This Row],[Identifier]],BedPlan[Crop], 0)), TRUE, FALSE), FALSE)</f>
        <v>0</v>
      </c>
      <c r="H135" s="1" t="b">
        <v>1</v>
      </c>
      <c r="I135" t="s">
        <v>79</v>
      </c>
      <c r="J135" t="s">
        <v>145</v>
      </c>
      <c r="K135" t="s">
        <v>182</v>
      </c>
      <c r="N135" t="str">
        <f>Crops[[#This Row],[Crop]]</f>
        <v>Frisée</v>
      </c>
      <c r="O135" t="s">
        <v>210</v>
      </c>
      <c r="P135" t="str">
        <f>IF(OR(Crops[[#This Row],[Days in Cells]]="",Crops[[#This Row],[Days in Cells]]=0), "DS","TP")</f>
        <v>DS</v>
      </c>
      <c r="V135" t="str">
        <f xml:space="preserve"> IF(Crops[[#This Row],[Sp]], "Sp", "") &amp; IF(Crops[[#This Row],[Su]], "Su", "") &amp; IF(Crops[[#This Row],[Fa]], "Fa", "") &amp; IF(Crops[[#This Row],[Wi]], "Wi", "") &amp; IF(Crops[[#This Row],[OW]], "Ow","")</f>
        <v/>
      </c>
      <c r="W135" t="s">
        <v>144</v>
      </c>
      <c r="X135">
        <v>4</v>
      </c>
      <c r="Y135">
        <v>6</v>
      </c>
      <c r="AD135" s="32">
        <f>IFERROR(12/Crops[[#This Row],[Spacing]]*Crops[[#This Row],[Rows]]*BedLength,"")</f>
        <v>400</v>
      </c>
      <c r="AE135">
        <v>1</v>
      </c>
      <c r="AG135">
        <f>IF(Crops[[#This Row],[Custom Safety Factor]]="",PlantingSafetyFactor,Crops[[#This Row],[Custom Safety Factor]])</f>
        <v>1.3</v>
      </c>
      <c r="AH135">
        <f>1</f>
        <v>1</v>
      </c>
      <c r="AI135" s="33">
        <f>IFERROR(Crops[[#This Row],[Plantings Per Bed]]*Crops[[#This Row],[Seeds Per Planting]]*Crops[[#This Row],[Safety Factor]]*Crops[[#This Row],[Seeding Factor]],"")</f>
        <v>520</v>
      </c>
      <c r="AL135">
        <f>_xlfn.FLOOR.MATH(IFERROR(AVERAGE(Crops[[#This Row],[DTG Lower]:[DTG Upper]]),0))</f>
        <v>0</v>
      </c>
      <c r="AM135">
        <f>SUM(Crops[[#This Row],[Tray 1 Days]],Crops[[#This Row],[Tray 2 Days]],Crops[[#This Row],[Tray 3 Days]])</f>
        <v>0</v>
      </c>
      <c r="AN135">
        <v>37</v>
      </c>
      <c r="AP135">
        <v>50</v>
      </c>
      <c r="AQ135">
        <f>IFERROR(_xlfn.FLOOR.MATH(AVERAGE(Crops[[#This Row],[DTM Lower]:[DTM Upper]])),"")</f>
        <v>50</v>
      </c>
      <c r="AR135" cm="1">
        <f t="array" ref="AR135">_xlfn.SWITCH(Crops[[#This Row],[Normal Method]],"DS",Crops[[#This Row],[Days to Germination]]+Crops[[#This Row],[DTM]] + IF(Crops[[#This Row],[Days in Cells]]&gt;0,15,0), "TP",Crops[[#This Row],[DTM]]+Crops[[#This Row],[Days in Cells]] + IF(Crops[[#This Row],[Days in Cells]]&lt;=0,20,0), "X", Crops[[#This Row],[DTM]])</f>
        <v>50</v>
      </c>
      <c r="AS135" t="s">
        <v>338</v>
      </c>
      <c r="AT135">
        <f>(Crops[[#This Row],[Harvests]]-1)*Crops[[#This Row],[Days Between Harvest]]+7</f>
        <v>55</v>
      </c>
      <c r="AU135">
        <f>Crops[[#This Row],[STH]]-Crops[[#This Row],[Days in Cells]]+Crops[[#This Row],[Harvest window]]</f>
        <v>105</v>
      </c>
      <c r="AW135">
        <v>128</v>
      </c>
      <c r="AZ135" t="str">
        <f>IFERROR(IF(Crops[[#This Row],[Tray 1 Days]]=0,"",Crops[[#This Row],[Plantings Per Bed]]/Crops[[#This Row],[Tray 1 Size]]*Crops[[#This Row],[Safety Factor]]),"")</f>
        <v/>
      </c>
      <c r="BC135" t="str">
        <f>IFERROR(IF(Crops[[#This Row],[Tray 2 Days]]=0,"",Crops[[#This Row],[Plantings Per Bed]]/Crops[[#This Row],[Tray 2 Size]]*Crops[[#This Row],[Safety Factor]]),"")</f>
        <v/>
      </c>
      <c r="BE135" s="32" t="str">
        <f>IF(NOT(ISBLANK(Crops[[#This Row],[Tray 3 Size]])), Crops[[#This Row],[Days in Cells Old]]-SUM(Crops[[#This Row],[Tray 1 Days]],Crops[[#This Row],[Tray 2 Days]]), "")</f>
        <v/>
      </c>
      <c r="BF135" t="str">
        <f>IFERROR(IF(Crops[[#This Row],[Tray 3 Days]]=0,"",Crops[[#This Row],[Plantings Per Bed]]/Crops[[#This Row],[Tray 3 Size]]*Crops[[#This Row],[Safety Factor]]),"")</f>
        <v/>
      </c>
      <c r="BG135" s="33">
        <f>45*BedLength/StandardBedLength</f>
        <v>22.5</v>
      </c>
      <c r="BH135" s="33">
        <v>4</v>
      </c>
      <c r="BI135" s="33">
        <v>16</v>
      </c>
      <c r="BJ135" s="33">
        <f>_xlfn.XLOOKUP(Crops[[#This Row],[ProductIndex]],Products[ID],Products[Holding Period])</f>
        <v>0</v>
      </c>
      <c r="BK135" s="33"/>
      <c r="BL135" s="33">
        <f>Crops[[#This Row],[Units Per Harvest]]*Crops[[#This Row],[Harvests]]</f>
        <v>90</v>
      </c>
      <c r="BM135" s="35">
        <v>10</v>
      </c>
      <c r="BN135" s="35">
        <f>Crops[[#This Row],[Direct Price]]*0.6</f>
        <v>6</v>
      </c>
      <c r="BO135" s="35"/>
      <c r="BP135" t="s">
        <v>383</v>
      </c>
      <c r="BQ135">
        <f>Crops[[#This Row],[Custom Yield Per Bed]]*Crops[[#This Row],[Direct Price]]</f>
        <v>900</v>
      </c>
      <c r="BR135" t="b">
        <v>1</v>
      </c>
      <c r="BS135" t="b">
        <f>Crops[[#This Row],[Harvests]]&gt;1</f>
        <v>1</v>
      </c>
      <c r="BT135" s="36">
        <f>IFERROR(Crops[[#This Row],[Direct Revenue Per Bed]]/Crops[[#This Row],[Days In Field]],-1)</f>
        <v>8.5714285714285712</v>
      </c>
      <c r="BU135" s="36">
        <f>IFERROR(Crops[[#This Row],[Direct Revenue Per Bed Day]]*GrowingDays*BedsPerAcre,"")</f>
        <v>246857.14285714287</v>
      </c>
      <c r="BV135" s="38">
        <f>LastFrostDate-5*Crops[[#This Row],[Sewing Rel Last Frost]]</f>
        <v>45748</v>
      </c>
      <c r="BW135" s="38">
        <f>Crops[[#This Row],[Target Sewing Date]]+Crops[[#This Row],[Days in Cells]]</f>
        <v>45748</v>
      </c>
      <c r="BX135" s="38">
        <f>Crops[[#This Row],[Target Sewing Date]]+Crops[[#This Row],[STH]]</f>
        <v>45798</v>
      </c>
      <c r="BY135" s="38">
        <f>Crops[[#This Row],[Target Harvest Data]]+Crops[[#This Row],[Harvest window]]</f>
        <v>45853</v>
      </c>
      <c r="CB135">
        <f>1</f>
        <v>1</v>
      </c>
      <c r="CC135">
        <f>IF(Crops[[#This Row],[Transplanting]]&gt;0, 2, 3)*BedLength/StandardBedLength</f>
        <v>1.5</v>
      </c>
      <c r="CD135" s="173">
        <f>IF(Crops[[#This Row],[Days in Cells]]&lt;=0,0,Crops[[#This Row],[Plantings Per Bed]]/StartsPerHourSeeding+Crops[[#This Row],[Tray 1 Count]]*5/60)</f>
        <v>0</v>
      </c>
      <c r="CE135" s="173">
        <f>IF(ISBLANK(Crops[[#This Row],[Tray 2 Days]]),0,Crops[[#This Row],[Plantings Per Bed]]/UpPottingPerHour)+IF(Crops[[#This Row],[Tray 3 Days]]="",0,Crops[[#This Row],[Plantings Per Bed]]/UpPottingPerHour)</f>
        <v>0</v>
      </c>
      <c r="CF135" s="173">
        <f>IFERROR(Crops[[#This Row],[Tray 1 Count]]/HomeStartFlatIrrigationPerHour,0)*Crops[[#This Row],[Days in Cells]]/DaysBetweenStartIrrigation</f>
        <v>0</v>
      </c>
      <c r="CG135" s="173">
        <f>0.5/16*MAX(Crops[[#This Row],[Tray 1 Count]],Crops[[#This Row],[Tray 2 Count]],Crops[[#This Row],[Tray 3 Count]])</f>
        <v>0</v>
      </c>
      <c r="CH135" s="173">
        <f>IF(Crops[[#This Row],[Days in Cells]]&gt;0,IF(IF(Crops[[#This Row],[Tray 3 Size]]&gt;0,Crops[[#This Row],[Tray 3 Size]],IF(Crops[[#This Row],[Tray 2 Size]]&gt;0,Crops[[#This Row],[Tray 2 Size]],Crops[[#This Row],[Tray 1 Size]]))&lt;=18,LargeTransplantTime,SmallTransplantTime)*Crops[[#This Row],[Plantings Per Bed]],0)</f>
        <v>0</v>
      </c>
      <c r="CI135" s="173"/>
      <c r="CJ135" s="173">
        <f>_xlfn.XLOOKUP(Crops[[#This Row],[Trellis Type]],TrellisMethods[Trellis Type],TrellisMethods[Hours],0,0)</f>
        <v>0</v>
      </c>
      <c r="CK135">
        <f>IF(Crops[[#This Row],[Days in Cells]]&lt;=0,Crops[[#This Row],[Rows]]*1/10,0)*BedLength/50</f>
        <v>0.4</v>
      </c>
      <c r="CL135" cm="1">
        <f t="array" ref="CL135">_xlfn.SWITCH(Crops[[#This Row],[Irrigation]],"DR", 0.5, "OH", 0.25,0)*BedLength/50</f>
        <v>0</v>
      </c>
      <c r="CM135">
        <f>IF(OR(ISBLANK(Crops[[#This Row],[Row Cover]]),Crops[[#This Row],[Row Cover]]="None"),0,1)*BedLength/50</f>
        <v>0</v>
      </c>
      <c r="CN135" s="173">
        <f>HoursPerWeedingPass*Crops[[#This Row],[Days In Field]]/14*Crops[[#This Row],[Rows]]+1*BedLength/50</f>
        <v>6</v>
      </c>
      <c r="CQ135" s="37">
        <f>_xlfn.XLOOKUP(Crops[[#This Row],[Crop]]&amp;Crops[[#This Row],[Product]]&amp;Crops[[#This Row],[Unit]],Products[ID],Products[Marketing (hr)])*Crops[[#This Row],[Direct Revenue Per Bed]]/2000</f>
        <v>1.35</v>
      </c>
      <c r="CR135" s="37">
        <f>_xlfn.XLOOKUP(Crops[[#This Row],[Crop]]&amp;Crops[[#This Row],[Product]]&amp;Crops[[#This Row],[Unit]],Products[ID],Products[Harvest (s)])*Crops[[#This Row],[Custom Yield Per Bed]]/3600</f>
        <v>3</v>
      </c>
      <c r="CS135" s="37">
        <f>_xlfn.XLOOKUP(Crops[[#This Row],[Crop]]&amp;Crops[[#This Row],[Product]]&amp;Crops[[#This Row],[Unit]],Products[ID],Products[Bunch (s)])*Crops[[#This Row],[Custom Yield Per Bed]]/3600</f>
        <v>0</v>
      </c>
      <c r="CT135" s="37">
        <f>_xlfn.XLOOKUP(Crops[[#This Row],[Crop]]&amp;Crops[[#This Row],[Product]]&amp;Crops[[#This Row],[Unit]],Products[ID],Products[Haul (s)])*Crops[[#This Row],[Custom Yield Per Bed]]/3600</f>
        <v>0.22500000000000001</v>
      </c>
      <c r="CU135" s="37">
        <f>_xlfn.XLOOKUP(Crops[[#This Row],[Crop]]&amp;Crops[[#This Row],[Product]]&amp;Crops[[#This Row],[Unit]],Products[ID],Products[Wash (s)])*Crops[[#This Row],[Custom Yield Per Bed]]/3600</f>
        <v>1.5</v>
      </c>
      <c r="CV135" s="37">
        <f>_xlfn.XLOOKUP(Crops[[#This Row],[Crop]]&amp;Crops[[#This Row],[Product]]&amp;Crops[[#This Row],[Unit]],Products[ID],Products[Condition (s)])*Crops[[#This Row],[Custom Yield Per Bed]]/3600</f>
        <v>0</v>
      </c>
      <c r="CW135" s="37">
        <f>_xlfn.XLOOKUP(Crops[[#This Row],[Crop]]&amp;Crops[[#This Row],[Product]]&amp;Crops[[#This Row],[Unit]],Products[ID],Products[Trim (s)])*Crops[[#This Row],[Custom Yield Per Bed]]/3600</f>
        <v>0.25</v>
      </c>
      <c r="CX135" s="37">
        <f>_xlfn.XLOOKUP(Crops[[#This Row],[Crop]]&amp;Crops[[#This Row],[Product]]&amp;Crops[[#This Row],[Unit]],Products[ID],Products[Pack (s)])*Crops[[#This Row],[Custom Yield Per Bed]]/3600</f>
        <v>7.4999999999999997E-2</v>
      </c>
      <c r="CY135" s="37">
        <f>_xlfn.XLOOKUP(Crops[[#This Row],[Crop]]&amp;Crops[[#This Row],[Product]]&amp;Crops[[#This Row],[Unit]],Products[ID],Products[Clean (s)])*Crops[[#This Row],[Custom Yield Per Bed]]/3600</f>
        <v>0</v>
      </c>
      <c r="CZ135" s="37">
        <f>_xlfn.XLOOKUP(Crops[[#This Row],[Crop]]&amp;Crops[[#This Row],[Product]]&amp;Crops[[#This Row],[Unit]],Products[ID],Products[Rehandle (s)])*Crops[[#This Row],[Custom Yield Per Bed]]/3600</f>
        <v>0</v>
      </c>
      <c r="DA135" s="37">
        <f>_xlfn.XLOOKUP(Crops[[#This Row],[Crop]]&amp;Crops[[#This Row],[Product]]&amp;Crops[[#This Row],[Unit]],Products[ID],Products[Market Transport (s)])*Crops[[#This Row],[Custom Yield Per Bed]]/3600</f>
        <v>0.5625</v>
      </c>
      <c r="DC135" s="37">
        <f>Crops[[#This Row],[Direct Revenue Per Bed2]]</f>
        <v>900</v>
      </c>
      <c r="DD135" s="173">
        <f>_xlfn.AGGREGATE(9,6,Crops[[#This Row],[Bed Prep]:[Remove Crop Residue]])</f>
        <v>14.862499999999999</v>
      </c>
      <c r="DE135" s="173">
        <f>_xlfn.AGGREGATE(9,6,Crops[[#This Row],[Bed Prep]:[Remove Crop Residue]])-0.75*Crops[[#This Row],[Market &amp; Sell]]</f>
        <v>13.849999999999998</v>
      </c>
      <c r="DF135" s="36">
        <f>Crops[[#This Row],[Direct Revenue Per Bed2]]/Crops[[#This Row],[Direct Time]]</f>
        <v>60.555088309503788</v>
      </c>
      <c r="DG135" s="36">
        <f>_xlfn.XLOOKUP(Crops[[#This Row],[ProductIndex]],Products[ID],Products[Packaging Cost])*(Crops[[#This Row],[Custom Yield Per Bed]]/_xlfn.XLOOKUP(Crops[[#This Row],[ProductIndex]],Products[ID],Products[Units Per Pack]))</f>
        <v>34.199999999999996</v>
      </c>
      <c r="DH135" s="36"/>
      <c r="DI135" s="36"/>
      <c r="DJ135" s="36"/>
      <c r="DK135" s="36"/>
      <c r="DL135" s="36"/>
      <c r="DM135" s="33">
        <f>IFERROR(Crops[[#This Row],[Custom Yield Per Bed]]*Crops[[#This Row],[Direct Price]],"")</f>
        <v>900</v>
      </c>
      <c r="DN135" s="36">
        <f>Crops[[#This Row],[Direct Time]]*LaborRate</f>
        <v>371.5625</v>
      </c>
      <c r="DO135" s="36">
        <f>SUM(Crops[[#This Row],[Irrigation Cost]])</f>
        <v>0</v>
      </c>
      <c r="DP135" s="36">
        <f>Crops[[#This Row],[Direct Labor Cost]]+Crops[[#This Row],[Direct Non-Labor Cost]]</f>
        <v>371.5625</v>
      </c>
      <c r="DQ135" s="36">
        <f>Crops[[#This Row],[Direct Revenue Per Bed2]]-Crops[[#This Row],[Direct Total Cost]]</f>
        <v>528.4375</v>
      </c>
      <c r="DR135" s="36">
        <f>Crops[[#This Row],[Direct Profit]]*BedsPerAcre</f>
        <v>84550</v>
      </c>
      <c r="DS135" s="36">
        <f>Crops[[#This Row],[Direct Profit]]*BedsPerAcre*GrowingDays/Crops[[#This Row],[Days In Field]]</f>
        <v>144942.85714285713</v>
      </c>
      <c r="DT135" s="36">
        <f>Crops[[#This Row],[Direct Profit]]/MIN(Crops[[#This Row],[Days In Field]],GrowingDays)</f>
        <v>5.0327380952380949</v>
      </c>
      <c r="DU135" s="36">
        <f>Crops[[#This Row],[Direct Time]] * BedsPerAcre</f>
        <v>2378</v>
      </c>
      <c r="DV135" s="36">
        <f>(Crops[[#This Row],[Direct Revenue Per Bed2]]-Crops[[#This Row],[Direct Non-Labor Cost]])/Crops[[#This Row],[Direct Time]]</f>
        <v>60.555088309503788</v>
      </c>
      <c r="DW135" s="33">
        <f>IFERROR(Crops[[#This Row],[Custom Yield Per Bed]]*Crops[[#This Row],[Rough Wholesale Price]],"")</f>
        <v>540</v>
      </c>
      <c r="DX135" s="36">
        <f>Crops[[#This Row],[Wholesale Time]]*LaborRate</f>
        <v>346.24999999999994</v>
      </c>
      <c r="DY135" s="36">
        <f>SUM(Crops[[#This Row],[Packaging Costs]:[Irrigation Cost]])</f>
        <v>34.199999999999996</v>
      </c>
      <c r="DZ135" s="36">
        <f>Crops[[#This Row],[Wholesale Labor Cost]]+Crops[[#This Row],[Wholesale Non-Labor Cost]]</f>
        <v>380.44999999999993</v>
      </c>
      <c r="EA135" s="36">
        <f>Crops[[#This Row],[Wholesale Revenue Per Bed]]-Crops[[#This Row],[Wholesale Total Cost]]</f>
        <v>159.55000000000007</v>
      </c>
      <c r="EB135" s="36">
        <f>Crops[[#This Row],[Wholesale Profit]]*BedsPerAcre</f>
        <v>25528.000000000011</v>
      </c>
      <c r="EC135" s="36">
        <f>Crops[[#This Row],[Wholesale Profit]]*BedsPerAcre*GrowingDays/Crops[[#This Row],[Days In Field]]</f>
        <v>43762.285714285732</v>
      </c>
      <c r="ED135" s="36">
        <f>Crops[[#This Row],[Wholesale Time]] * BedsPerAcre</f>
        <v>2215.9999999999995</v>
      </c>
      <c r="EE135" s="36">
        <f>Crops[[#This Row],[Wholesale Profit]]/MIN(Crops[[#This Row],[Days In Field]],GrowingDays)</f>
        <v>1.5195238095238102</v>
      </c>
      <c r="EF135" s="36">
        <f>(Crops[[#This Row],[Wholesale Revenue Per Bed]]-Crops[[#This Row],[Wholesale Non-Labor Cost]])/Crops[[#This Row],[Direct Time]]</f>
        <v>34.031959629941127</v>
      </c>
      <c r="EG135" s="174">
        <f>Crops[[#This Row],[Packaging Costs]]/Crops[[#This Row],[Wholesale Revenue Per Bed]]</f>
        <v>6.3333333333333325E-2</v>
      </c>
      <c r="EH135" s="36" t="str">
        <f>Crops[[#This Row],[Crop]]&amp;Crops[[#This Row],[Product]]&amp;Crops[[#This Row],[Unit]]</f>
        <v>FriséeBaby LeafLb</v>
      </c>
      <c r="EI135" s="36" t="b">
        <f>_xlfn.XLOOKUP(Crops[[#This Row],[ProductIndex]],Products[ID],Products[Target])</f>
        <v>1</v>
      </c>
      <c r="EJ135" s="36">
        <f>Crops[[#This Row],[Custom Yield Per Bed]]</f>
        <v>90</v>
      </c>
      <c r="EK135" s="210">
        <f>Crops[[#This Row],[Units Per Harvest]]/Crops[[#This Row],[Days Between Harvest]]*7</f>
        <v>9.84375</v>
      </c>
      <c r="EL135" s="210" t="e">
        <f>Crops[[#This Row],[Custom Yield Per Bed]]/_xlfn.XLOOKUP(Crops[[#This Row],[ProductIndex]],Products[ID],Products[CSA Portion])</f>
        <v>#DIV/0!</v>
      </c>
      <c r="EM135" s="210" t="e">
        <f>Crops[[#This Row],[Units Per Harvest]]/Crops[[#This Row],[Days Between Harvest]]*7/_xlfn.XLOOKUP(Crops[[#This Row],[ProductIndex]],Products[ID],Products[CSA Portion])</f>
        <v>#DIV/0!</v>
      </c>
      <c r="EN135" s="210" t="e">
        <f>Crops[[#This Row],[CSA Portions Per Week]]/CSAMembers</f>
        <v>#DIV/0!</v>
      </c>
      <c r="EO135" s="210"/>
      <c r="EP135" s="210"/>
      <c r="EQ135" s="36"/>
      <c r="ER135" s="36">
        <f>Crops[[#This Row],[Harvests]]*Crops[[#This Row],[Days Between Harvest]]/7</f>
        <v>9.1428571428571423</v>
      </c>
      <c r="ES135" s="208">
        <f>_xlfn.XLOOKUP(Crops[[#This Row],[ProductIndex]],Products[ID],Products[CSA Need])</f>
        <v>0</v>
      </c>
      <c r="ET135" s="208">
        <f>_xlfn.XLOOKUP(Crops[[#This Row],[ProductIndex]],Products[ID],Products[CSA Times])</f>
        <v>0</v>
      </c>
      <c r="EU135" s="208" t="e">
        <f>Crops[[#This Row],[Custom Yield Per Bed]]/(Crops[[#This Row],[CSA Need]]*(_xlfn.XLOOKUP(Crops[[#This Row],[ProductIndex]],Products[ID],Products[CSA Portion])*CSAMembers))</f>
        <v>#DIV/0!</v>
      </c>
      <c r="EV135" s="208">
        <f>_xlfn.XLOOKUP(Crops[[#This Row],[ProductIndex]],Products[ID],Products[CSA Portion])*CSAMembers*Crops[[#This Row],[CSA Need]]/Crops[[#This Row],[Custom Yield Per Bed]]</f>
        <v>0</v>
      </c>
      <c r="EW135" s="208">
        <f>IFERROR(Crops[[#This Row],[Days In Field]]*Crops[[#This Row],[CSA Beds]],"")</f>
        <v>0</v>
      </c>
      <c r="EX135" s="208" t="e">
        <f>Crops[[#This Row],[CSA Bed Days]]*#REF!</f>
        <v>#REF!</v>
      </c>
      <c r="EY135">
        <v>0</v>
      </c>
    </row>
    <row r="136" spans="1:155">
      <c r="A13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Frisée - Mature Head 1X | Field DS </v>
      </c>
      <c r="B136" s="179"/>
      <c r="C136" s="1" t="b">
        <v>1</v>
      </c>
      <c r="D136" s="1"/>
      <c r="E136" s="1" t="b">
        <v>0</v>
      </c>
      <c r="F136" s="1" t="b">
        <f>IFERROR(IF(ISNUMBER(MATCH(Crops[[#This Row],[Identifier]],BedPlan[Crop], 0)), TRUE, FALSE), FALSE)</f>
        <v>0</v>
      </c>
      <c r="G136" s="1" t="b">
        <f>IFERROR(IF(ISNUMBER(MATCH(Crops[[#This Row],[Identifier]],BedPlan[Crop], 0)), TRUE, FALSE), FALSE)</f>
        <v>0</v>
      </c>
      <c r="H136" s="1" t="b">
        <v>1</v>
      </c>
      <c r="I136" t="s">
        <v>79</v>
      </c>
      <c r="J136" t="s">
        <v>145</v>
      </c>
      <c r="K136" t="s">
        <v>186</v>
      </c>
      <c r="N136" t="str">
        <f>Crops[[#This Row],[Crop]]</f>
        <v>Frisée</v>
      </c>
      <c r="O136" t="s">
        <v>210</v>
      </c>
      <c r="P136" t="str">
        <f>IF(OR(Crops[[#This Row],[Days in Cells]]="",Crops[[#This Row],[Days in Cells]]=0), "DS","TP")</f>
        <v>DS</v>
      </c>
      <c r="V136" t="str">
        <f xml:space="preserve"> IF(Crops[[#This Row],[Sp]], "Sp", "") &amp; IF(Crops[[#This Row],[Su]], "Su", "") &amp; IF(Crops[[#This Row],[Fa]], "Fa", "") &amp; IF(Crops[[#This Row],[Wi]], "Wi", "") &amp; IF(Crops[[#This Row],[OW]], "Ow","")</f>
        <v/>
      </c>
      <c r="W136" t="s">
        <v>144</v>
      </c>
      <c r="X136">
        <v>3</v>
      </c>
      <c r="Y136">
        <v>6</v>
      </c>
      <c r="AD136" s="32">
        <f>IFERROR(12/Crops[[#This Row],[Spacing]]*Crops[[#This Row],[Rows]]*BedLength,"")</f>
        <v>300</v>
      </c>
      <c r="AE136">
        <v>1</v>
      </c>
      <c r="AG136">
        <f>IF(Crops[[#This Row],[Custom Safety Factor]]="",PlantingSafetyFactor,Crops[[#This Row],[Custom Safety Factor]])</f>
        <v>1.3</v>
      </c>
      <c r="AH136">
        <f>1</f>
        <v>1</v>
      </c>
      <c r="AI136" s="33">
        <f>IFERROR(Crops[[#This Row],[Plantings Per Bed]]*Crops[[#This Row],[Seeds Per Planting]]*Crops[[#This Row],[Safety Factor]]*Crops[[#This Row],[Seeding Factor]],"")</f>
        <v>390</v>
      </c>
      <c r="AL136">
        <f>_xlfn.FLOOR.MATH(IFERROR(AVERAGE(Crops[[#This Row],[DTG Lower]:[DTG Upper]]),0))</f>
        <v>0</v>
      </c>
      <c r="AM136">
        <f>SUM(Crops[[#This Row],[Tray 1 Days]],Crops[[#This Row],[Tray 2 Days]],Crops[[#This Row],[Tray 3 Days]])</f>
        <v>0</v>
      </c>
      <c r="AN136">
        <v>37</v>
      </c>
      <c r="AP136">
        <v>57</v>
      </c>
      <c r="AQ136">
        <f>IFERROR(_xlfn.FLOOR.MATH(AVERAGE(Crops[[#This Row],[DTM Lower]:[DTM Upper]])),"")</f>
        <v>57</v>
      </c>
      <c r="AR136" cm="1">
        <f t="array" ref="AR136">_xlfn.SWITCH(Crops[[#This Row],[Normal Method]],"DS",Crops[[#This Row],[Days to Germination]]+Crops[[#This Row],[DTM]] + IF(Crops[[#This Row],[Days in Cells]]&gt;0,15,0), "TP",Crops[[#This Row],[DTM]]+Crops[[#This Row],[Days in Cells]] + IF(Crops[[#This Row],[Days in Cells]]&lt;=0,20,0), "X", Crops[[#This Row],[DTM]])</f>
        <v>77</v>
      </c>
      <c r="AS136" t="s">
        <v>346</v>
      </c>
      <c r="AT136">
        <f>(Crops[[#This Row],[Harvests]]-1)*Crops[[#This Row],[Days Between Harvest]]+7</f>
        <v>7</v>
      </c>
      <c r="AU136">
        <f>Crops[[#This Row],[STH]]-Crops[[#This Row],[Days in Cells]]+Crops[[#This Row],[Harvest window]]</f>
        <v>84</v>
      </c>
      <c r="AW136">
        <v>128</v>
      </c>
      <c r="AZ136" t="str">
        <f>IFERROR(IF(Crops[[#This Row],[Tray 1 Days]]=0,"",Crops[[#This Row],[Plantings Per Bed]]/Crops[[#This Row],[Tray 1 Size]]*Crops[[#This Row],[Safety Factor]]),"")</f>
        <v/>
      </c>
      <c r="BC136" t="str">
        <f>IFERROR(IF(Crops[[#This Row],[Tray 2 Days]]=0,"",Crops[[#This Row],[Plantings Per Bed]]/Crops[[#This Row],[Tray 2 Size]]*Crops[[#This Row],[Safety Factor]]),"")</f>
        <v/>
      </c>
      <c r="BE136" s="32" t="str">
        <f>IF(NOT(ISBLANK(Crops[[#This Row],[Tray 3 Size]])), Crops[[#This Row],[Days in Cells Old]]-SUM(Crops[[#This Row],[Tray 1 Days]],Crops[[#This Row],[Tray 2 Days]]), "")</f>
        <v/>
      </c>
      <c r="BF136" t="str">
        <f>IFERROR(IF(Crops[[#This Row],[Tray 3 Days]]=0,"",Crops[[#This Row],[Plantings Per Bed]]/Crops[[#This Row],[Tray 3 Size]]*Crops[[#This Row],[Safety Factor]]),"")</f>
        <v/>
      </c>
      <c r="BG136" s="33">
        <f>Crops[[#This Row],[Plantings Per Bed]]</f>
        <v>300</v>
      </c>
      <c r="BH136" s="33">
        <f>Crops[[#This Row],[Days Between Harvest]]</f>
        <v>0</v>
      </c>
      <c r="BI136" s="33">
        <v>0</v>
      </c>
      <c r="BJ136" s="33">
        <f>_xlfn.XLOOKUP(Crops[[#This Row],[ProductIndex]],Products[ID],Products[Holding Period])</f>
        <v>0</v>
      </c>
      <c r="BK136" s="33"/>
      <c r="BL136" s="33">
        <f>Crops[[#This Row],[Units Per Harvest]]*Crops[[#This Row],[Harvests]]</f>
        <v>0</v>
      </c>
      <c r="BM136" s="35">
        <v>3</v>
      </c>
      <c r="BN136" s="35">
        <f>Crops[[#This Row],[Direct Price]]*0.6</f>
        <v>1.7999999999999998</v>
      </c>
      <c r="BO136" s="35"/>
      <c r="BP136" t="s">
        <v>214</v>
      </c>
      <c r="BQ136">
        <f>Crops[[#This Row],[Custom Yield Per Bed]]*Crops[[#This Row],[Direct Price]]</f>
        <v>0</v>
      </c>
      <c r="BR136" t="b">
        <v>1</v>
      </c>
      <c r="BS136" t="b">
        <f>Crops[[#This Row],[Harvests]]&gt;1</f>
        <v>0</v>
      </c>
      <c r="BT136" s="36">
        <f>IFERROR(Crops[[#This Row],[Direct Revenue Per Bed]]/Crops[[#This Row],[Days In Field]],-1)</f>
        <v>0</v>
      </c>
      <c r="BU136" s="36">
        <f>IFERROR(Crops[[#This Row],[Direct Revenue Per Bed Day]]*GrowingDays*BedsPerAcre,"")</f>
        <v>0</v>
      </c>
      <c r="BV136" s="38">
        <f>LastFrostDate-5*Crops[[#This Row],[Sewing Rel Last Frost]]</f>
        <v>45748</v>
      </c>
      <c r="BW136" s="38">
        <f>Crops[[#This Row],[Target Sewing Date]]+Crops[[#This Row],[Days in Cells]]</f>
        <v>45748</v>
      </c>
      <c r="BX136" s="38">
        <f>Crops[[#This Row],[Target Sewing Date]]+Crops[[#This Row],[STH]]</f>
        <v>45825</v>
      </c>
      <c r="BY136" s="38">
        <f>Crops[[#This Row],[Target Harvest Data]]+Crops[[#This Row],[Harvest window]]</f>
        <v>45832</v>
      </c>
      <c r="CB136">
        <f>1</f>
        <v>1</v>
      </c>
      <c r="CC136">
        <f>IF(Crops[[#This Row],[Transplanting]]&gt;0, 2, 3)*BedLength/StandardBedLength</f>
        <v>1.5</v>
      </c>
      <c r="CD136" s="173">
        <f>IF(Crops[[#This Row],[Days in Cells]]&lt;=0,0,Crops[[#This Row],[Plantings Per Bed]]/StartsPerHourSeeding+Crops[[#This Row],[Tray 1 Count]]*5/60)</f>
        <v>0</v>
      </c>
      <c r="CE136" s="173">
        <f>IF(ISBLANK(Crops[[#This Row],[Tray 2 Days]]),0,Crops[[#This Row],[Plantings Per Bed]]/UpPottingPerHour)+IF(Crops[[#This Row],[Tray 3 Days]]="",0,Crops[[#This Row],[Plantings Per Bed]]/UpPottingPerHour)</f>
        <v>0</v>
      </c>
      <c r="CF136" s="173">
        <f>IFERROR(Crops[[#This Row],[Tray 1 Count]]/HomeStartFlatIrrigationPerHour,0)*Crops[[#This Row],[Days in Cells]]/DaysBetweenStartIrrigation</f>
        <v>0</v>
      </c>
      <c r="CG136" s="173">
        <f>0.5/16*MAX(Crops[[#This Row],[Tray 1 Count]],Crops[[#This Row],[Tray 2 Count]],Crops[[#This Row],[Tray 3 Count]])</f>
        <v>0</v>
      </c>
      <c r="CH136" s="173">
        <f>IF(Crops[[#This Row],[Days in Cells]]&gt;0,IF(IF(Crops[[#This Row],[Tray 3 Size]]&gt;0,Crops[[#This Row],[Tray 3 Size]],IF(Crops[[#This Row],[Tray 2 Size]]&gt;0,Crops[[#This Row],[Tray 2 Size]],Crops[[#This Row],[Tray 1 Size]]))&lt;=18,LargeTransplantTime,SmallTransplantTime)*Crops[[#This Row],[Plantings Per Bed]],0)</f>
        <v>0</v>
      </c>
      <c r="CI136" s="173"/>
      <c r="CJ136" s="173">
        <f>_xlfn.XLOOKUP(Crops[[#This Row],[Trellis Type]],TrellisMethods[Trellis Type],TrellisMethods[Hours],0,0)</f>
        <v>0</v>
      </c>
      <c r="CK136">
        <f>IF(Crops[[#This Row],[Days in Cells]]&lt;=0,Crops[[#This Row],[Rows]]*1/10,0)*BedLength/50</f>
        <v>0.3</v>
      </c>
      <c r="CL136" cm="1">
        <f t="array" ref="CL136">_xlfn.SWITCH(Crops[[#This Row],[Irrigation]],"DR", 0.5, "OH", 0.25,0)*BedLength/50</f>
        <v>0</v>
      </c>
      <c r="CM136">
        <f>IF(OR(ISBLANK(Crops[[#This Row],[Row Cover]]),Crops[[#This Row],[Row Cover]]="None"),0,1)*BedLength/50</f>
        <v>0</v>
      </c>
      <c r="CN136" s="173">
        <f>HoursPerWeedingPass*Crops[[#This Row],[Days In Field]]/14*Crops[[#This Row],[Rows]]+1*BedLength/50</f>
        <v>4</v>
      </c>
      <c r="CQ136" s="37">
        <f>_xlfn.XLOOKUP(Crops[[#This Row],[Crop]]&amp;Crops[[#This Row],[Product]]&amp;Crops[[#This Row],[Unit]],Products[ID],Products[Marketing (hr)])*Crops[[#This Row],[Direct Revenue Per Bed]]/2000</f>
        <v>0</v>
      </c>
      <c r="CR136" s="37">
        <f>_xlfn.XLOOKUP(Crops[[#This Row],[Crop]]&amp;Crops[[#This Row],[Product]]&amp;Crops[[#This Row],[Unit]],Products[ID],Products[Harvest (s)])*Crops[[#This Row],[Custom Yield Per Bed]]/3600</f>
        <v>0</v>
      </c>
      <c r="CS136" s="37">
        <f>_xlfn.XLOOKUP(Crops[[#This Row],[Crop]]&amp;Crops[[#This Row],[Product]]&amp;Crops[[#This Row],[Unit]],Products[ID],Products[Bunch (s)])*Crops[[#This Row],[Custom Yield Per Bed]]/3600</f>
        <v>0</v>
      </c>
      <c r="CT136" s="37">
        <f>_xlfn.XLOOKUP(Crops[[#This Row],[Crop]]&amp;Crops[[#This Row],[Product]]&amp;Crops[[#This Row],[Unit]],Products[ID],Products[Haul (s)])*Crops[[#This Row],[Custom Yield Per Bed]]/3600</f>
        <v>0</v>
      </c>
      <c r="CU136" s="37">
        <f>_xlfn.XLOOKUP(Crops[[#This Row],[Crop]]&amp;Crops[[#This Row],[Product]]&amp;Crops[[#This Row],[Unit]],Products[ID],Products[Wash (s)])*Crops[[#This Row],[Custom Yield Per Bed]]/3600</f>
        <v>0</v>
      </c>
      <c r="CV136" s="37">
        <f>_xlfn.XLOOKUP(Crops[[#This Row],[Crop]]&amp;Crops[[#This Row],[Product]]&amp;Crops[[#This Row],[Unit]],Products[ID],Products[Condition (s)])*Crops[[#This Row],[Custom Yield Per Bed]]/3600</f>
        <v>0</v>
      </c>
      <c r="CW136" s="37">
        <f>_xlfn.XLOOKUP(Crops[[#This Row],[Crop]]&amp;Crops[[#This Row],[Product]]&amp;Crops[[#This Row],[Unit]],Products[ID],Products[Trim (s)])*Crops[[#This Row],[Custom Yield Per Bed]]/3600</f>
        <v>0</v>
      </c>
      <c r="CX136" s="37">
        <f>_xlfn.XLOOKUP(Crops[[#This Row],[Crop]]&amp;Crops[[#This Row],[Product]]&amp;Crops[[#This Row],[Unit]],Products[ID],Products[Pack (s)])*Crops[[#This Row],[Custom Yield Per Bed]]/3600</f>
        <v>0</v>
      </c>
      <c r="CY136" s="37">
        <f>_xlfn.XLOOKUP(Crops[[#This Row],[Crop]]&amp;Crops[[#This Row],[Product]]&amp;Crops[[#This Row],[Unit]],Products[ID],Products[Clean (s)])*Crops[[#This Row],[Custom Yield Per Bed]]/3600</f>
        <v>0</v>
      </c>
      <c r="CZ136" s="37">
        <f>_xlfn.XLOOKUP(Crops[[#This Row],[Crop]]&amp;Crops[[#This Row],[Product]]&amp;Crops[[#This Row],[Unit]],Products[ID],Products[Rehandle (s)])*Crops[[#This Row],[Custom Yield Per Bed]]/3600</f>
        <v>0</v>
      </c>
      <c r="DA136" s="37">
        <f>_xlfn.XLOOKUP(Crops[[#This Row],[Crop]]&amp;Crops[[#This Row],[Product]]&amp;Crops[[#This Row],[Unit]],Products[ID],Products[Market Transport (s)])*Crops[[#This Row],[Custom Yield Per Bed]]/3600</f>
        <v>0</v>
      </c>
      <c r="DC136" s="37">
        <f>Crops[[#This Row],[Direct Revenue Per Bed2]]</f>
        <v>0</v>
      </c>
      <c r="DD136" s="173">
        <f>_xlfn.AGGREGATE(9,6,Crops[[#This Row],[Bed Prep]:[Remove Crop Residue]])</f>
        <v>5.8</v>
      </c>
      <c r="DE136" s="173">
        <f>_xlfn.AGGREGATE(9,6,Crops[[#This Row],[Bed Prep]:[Remove Crop Residue]])-0.75*Crops[[#This Row],[Market &amp; Sell]]</f>
        <v>5.8</v>
      </c>
      <c r="DF136" s="36">
        <f>Crops[[#This Row],[Direct Revenue Per Bed2]]/Crops[[#This Row],[Direct Time]]</f>
        <v>0</v>
      </c>
      <c r="DG136" s="36">
        <f>_xlfn.XLOOKUP(Crops[[#This Row],[ProductIndex]],Products[ID],Products[Packaging Cost])*(Crops[[#This Row],[Custom Yield Per Bed]]/_xlfn.XLOOKUP(Crops[[#This Row],[ProductIndex]],Products[ID],Products[Units Per Pack]))</f>
        <v>0</v>
      </c>
      <c r="DH136" s="36"/>
      <c r="DI136" s="36"/>
      <c r="DJ136" s="36"/>
      <c r="DK136" s="36"/>
      <c r="DL136" s="36"/>
      <c r="DM136" s="33">
        <f>IFERROR(Crops[[#This Row],[Custom Yield Per Bed]]*Crops[[#This Row],[Direct Price]],"")</f>
        <v>0</v>
      </c>
      <c r="DN136" s="36">
        <f>Crops[[#This Row],[Direct Time]]*LaborRate</f>
        <v>145</v>
      </c>
      <c r="DO136" s="36">
        <f>SUM(Crops[[#This Row],[Irrigation Cost]])</f>
        <v>0</v>
      </c>
      <c r="DP136" s="36">
        <f>Crops[[#This Row],[Direct Labor Cost]]+Crops[[#This Row],[Direct Non-Labor Cost]]</f>
        <v>145</v>
      </c>
      <c r="DQ136" s="36">
        <f>Crops[[#This Row],[Direct Revenue Per Bed2]]-Crops[[#This Row],[Direct Total Cost]]</f>
        <v>-145</v>
      </c>
      <c r="DR136" s="36">
        <f>Crops[[#This Row],[Direct Profit]]*BedsPerAcre</f>
        <v>-23200</v>
      </c>
      <c r="DS136" s="36">
        <f>Crops[[#This Row],[Direct Profit]]*BedsPerAcre*GrowingDays/Crops[[#This Row],[Days In Field]]</f>
        <v>-49714.285714285717</v>
      </c>
      <c r="DT136" s="36">
        <f>Crops[[#This Row],[Direct Profit]]/MIN(Crops[[#This Row],[Days In Field]],GrowingDays)</f>
        <v>-1.7261904761904763</v>
      </c>
      <c r="DU136" s="36">
        <f>Crops[[#This Row],[Direct Time]] * BedsPerAcre</f>
        <v>928</v>
      </c>
      <c r="DV136" s="36">
        <f>(Crops[[#This Row],[Direct Revenue Per Bed2]]-Crops[[#This Row],[Direct Non-Labor Cost]])/Crops[[#This Row],[Direct Time]]</f>
        <v>0</v>
      </c>
      <c r="DW136" s="33">
        <f>IFERROR(Crops[[#This Row],[Custom Yield Per Bed]]*Crops[[#This Row],[Rough Wholesale Price]],"")</f>
        <v>0</v>
      </c>
      <c r="DX136" s="36">
        <f>Crops[[#This Row],[Wholesale Time]]*LaborRate</f>
        <v>145</v>
      </c>
      <c r="DY136" s="36">
        <f>SUM(Crops[[#This Row],[Packaging Costs]:[Irrigation Cost]])</f>
        <v>0</v>
      </c>
      <c r="DZ136" s="36">
        <f>Crops[[#This Row],[Wholesale Labor Cost]]+Crops[[#This Row],[Wholesale Non-Labor Cost]]</f>
        <v>145</v>
      </c>
      <c r="EA136" s="36">
        <f>Crops[[#This Row],[Wholesale Revenue Per Bed]]-Crops[[#This Row],[Wholesale Total Cost]]</f>
        <v>-145</v>
      </c>
      <c r="EB136" s="36">
        <f>Crops[[#This Row],[Wholesale Profit]]*BedsPerAcre</f>
        <v>-23200</v>
      </c>
      <c r="EC136" s="36">
        <f>Crops[[#This Row],[Wholesale Profit]]*BedsPerAcre*GrowingDays/Crops[[#This Row],[Days In Field]]</f>
        <v>-49714.285714285717</v>
      </c>
      <c r="ED136" s="36">
        <f>Crops[[#This Row],[Wholesale Time]] * BedsPerAcre</f>
        <v>928</v>
      </c>
      <c r="EE136" s="36">
        <f>Crops[[#This Row],[Wholesale Profit]]/MIN(Crops[[#This Row],[Days In Field]],GrowingDays)</f>
        <v>-1.7261904761904763</v>
      </c>
      <c r="EF136" s="36">
        <f>(Crops[[#This Row],[Wholesale Revenue Per Bed]]-Crops[[#This Row],[Wholesale Non-Labor Cost]])/Crops[[#This Row],[Direct Time]]</f>
        <v>0</v>
      </c>
      <c r="EG136" s="174" t="e">
        <f>Crops[[#This Row],[Packaging Costs]]/Crops[[#This Row],[Wholesale Revenue Per Bed]]</f>
        <v>#DIV/0!</v>
      </c>
      <c r="EH136" s="36" t="str">
        <f>Crops[[#This Row],[Crop]]&amp;Crops[[#This Row],[Product]]&amp;Crops[[#This Row],[Unit]]</f>
        <v>FriséeMature HeadHead</v>
      </c>
      <c r="EI136" s="36" t="b">
        <f>_xlfn.XLOOKUP(Crops[[#This Row],[ProductIndex]],Products[ID],Products[Target])</f>
        <v>1</v>
      </c>
      <c r="EJ136" s="36">
        <f>Crops[[#This Row],[Custom Yield Per Bed]]</f>
        <v>0</v>
      </c>
      <c r="EK136" s="210" t="e">
        <f>Crops[[#This Row],[Units Per Harvest]]/Crops[[#This Row],[Days Between Harvest]]*7</f>
        <v>#DIV/0!</v>
      </c>
      <c r="EL136" s="210" t="e">
        <f>Crops[[#This Row],[Custom Yield Per Bed]]/_xlfn.XLOOKUP(Crops[[#This Row],[ProductIndex]],Products[ID],Products[CSA Portion])</f>
        <v>#DIV/0!</v>
      </c>
      <c r="EM136" s="210" t="e">
        <f>Crops[[#This Row],[Units Per Harvest]]/Crops[[#This Row],[Days Between Harvest]]*7/_xlfn.XLOOKUP(Crops[[#This Row],[ProductIndex]],Products[ID],Products[CSA Portion])</f>
        <v>#DIV/0!</v>
      </c>
      <c r="EN136" s="210" t="e">
        <f>Crops[[#This Row],[CSA Portions Per Week]]/CSAMembers</f>
        <v>#DIV/0!</v>
      </c>
      <c r="EO136" s="210"/>
      <c r="EP136" s="210"/>
      <c r="EQ136" s="36"/>
      <c r="ER136" s="36">
        <f>Crops[[#This Row],[Harvests]]*Crops[[#This Row],[Days Between Harvest]]/7</f>
        <v>0</v>
      </c>
      <c r="ES136" s="208">
        <f>_xlfn.XLOOKUP(Crops[[#This Row],[ProductIndex]],Products[ID],Products[CSA Need])</f>
        <v>0</v>
      </c>
      <c r="ET136" s="208">
        <f>_xlfn.XLOOKUP(Crops[[#This Row],[ProductIndex]],Products[ID],Products[CSA Times])</f>
        <v>0</v>
      </c>
      <c r="EU136" s="208" t="e">
        <f>Crops[[#This Row],[Custom Yield Per Bed]]/(Crops[[#This Row],[CSA Need]]*(_xlfn.XLOOKUP(Crops[[#This Row],[ProductIndex]],Products[ID],Products[CSA Portion])*CSAMembers))</f>
        <v>#DIV/0!</v>
      </c>
      <c r="EV136" s="208" t="e">
        <f>_xlfn.XLOOKUP(Crops[[#This Row],[ProductIndex]],Products[ID],Products[CSA Portion])*CSAMembers*Crops[[#This Row],[CSA Need]]/Crops[[#This Row],[Custom Yield Per Bed]]</f>
        <v>#DIV/0!</v>
      </c>
      <c r="EW136" s="208" t="str">
        <f>IFERROR(Crops[[#This Row],[Days In Field]]*Crops[[#This Row],[CSA Beds]],"")</f>
        <v/>
      </c>
      <c r="EX136" s="208" t="e">
        <f>Crops[[#This Row],[CSA Bed Days]]*#REF!</f>
        <v>#VALUE!</v>
      </c>
      <c r="EY136" t="s">
        <v>287</v>
      </c>
    </row>
    <row r="137" spans="1:155" ht="15.75" customHeight="1">
      <c r="A13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Garlic (Green) - Young Bulb 1X | Field DS Ow</v>
      </c>
      <c r="B137" s="185"/>
      <c r="C137" s="1"/>
      <c r="D137" s="1"/>
      <c r="E137" s="1" t="b">
        <v>0</v>
      </c>
      <c r="F137" s="1" t="b">
        <f>IFERROR(IF(ISNUMBER(MATCH(Crops[[#This Row],[Identifier]],BedPlan[Crop], 0)), TRUE, FALSE), FALSE)</f>
        <v>1</v>
      </c>
      <c r="G137" s="1" t="b">
        <f>IFERROR(IF(ISNUMBER(MATCH(Crops[[#This Row],[Identifier]],BedPlan[Crop], 0)), TRUE, FALSE), FALSE)</f>
        <v>1</v>
      </c>
      <c r="H137" s="1"/>
      <c r="I137" t="s">
        <v>80</v>
      </c>
      <c r="J137" t="s">
        <v>441</v>
      </c>
      <c r="K137" t="s">
        <v>358</v>
      </c>
      <c r="M137" t="s">
        <v>80</v>
      </c>
      <c r="N137" t="str">
        <f>Crops[[#This Row],[Crop]]</f>
        <v>Garlic</v>
      </c>
      <c r="O137" t="s">
        <v>210</v>
      </c>
      <c r="P137" t="str">
        <f>IF(OR(Crops[[#This Row],[Days in Cells]]="",Crops[[#This Row],[Days in Cells]]=0), "DS","TP")</f>
        <v>DS</v>
      </c>
      <c r="U137" t="s">
        <v>144</v>
      </c>
      <c r="V137" t="str">
        <f xml:space="preserve"> IF(Crops[[#This Row],[Sp]], "Sp", "") &amp; IF(Crops[[#This Row],[Su]], "Su", "") &amp; IF(Crops[[#This Row],[Fa]], "Fa", "") &amp; IF(Crops[[#This Row],[Wi]], "Wi", "") &amp; IF(Crops[[#This Row],[OW]], "Ow","")</f>
        <v>Ow</v>
      </c>
      <c r="W137" t="s">
        <v>144</v>
      </c>
      <c r="X137">
        <v>3</v>
      </c>
      <c r="Y137">
        <v>2</v>
      </c>
      <c r="AA137" t="s">
        <v>474</v>
      </c>
      <c r="AB137" t="b">
        <v>1</v>
      </c>
      <c r="AC137">
        <v>2</v>
      </c>
      <c r="AD137" s="32">
        <f>IFERROR(12/Crops[[#This Row],[Spacing]]*Crops[[#This Row],[Rows]]*BedLength,"")</f>
        <v>900</v>
      </c>
      <c r="AE137">
        <v>1</v>
      </c>
      <c r="AF137">
        <v>1</v>
      </c>
      <c r="AG137">
        <f>IF(Crops[[#This Row],[Custom Safety Factor]]="",PlantingSafetyFactor,Crops[[#This Row],[Custom Safety Factor]])</f>
        <v>1</v>
      </c>
      <c r="AH137">
        <f>1</f>
        <v>1</v>
      </c>
      <c r="AI137" s="33">
        <f>IFERROR(Crops[[#This Row],[Plantings Per Bed]]*Crops[[#This Row],[Seeds Per Planting]]*Crops[[#This Row],[Safety Factor]]*Crops[[#This Row],[Seeding Factor]],"")</f>
        <v>900</v>
      </c>
      <c r="AL137">
        <f>_xlfn.FLOOR.MATH(IFERROR(AVERAGE(Crops[[#This Row],[DTG Lower]:[DTG Upper]]),0))</f>
        <v>0</v>
      </c>
      <c r="AM137">
        <f>SUM(Crops[[#This Row],[Tray 1 Days]],Crops[[#This Row],[Tray 2 Days]],Crops[[#This Row],[Tray 3 Days]])</f>
        <v>0</v>
      </c>
      <c r="AN137" s="32"/>
      <c r="AP137">
        <f>8*30</f>
        <v>240</v>
      </c>
      <c r="AQ137">
        <f>IFERROR(_xlfn.FLOOR.MATH(AVERAGE(Crops[[#This Row],[DTM Lower]:[DTM Upper]])),"")</f>
        <v>240</v>
      </c>
      <c r="AR137" cm="1">
        <f t="array" ref="AR137">_xlfn.SWITCH(Crops[[#This Row],[Normal Method]],"DS",Crops[[#This Row],[Days to Germination]]+Crops[[#This Row],[DTM]] + IF(Crops[[#This Row],[Days in Cells]]&gt;0,15,0), "TP",Crops[[#This Row],[DTM]]+Crops[[#This Row],[Days in Cells]] + IF(Crops[[#This Row],[Days in Cells]]&lt;=0,20,0), "X", Crops[[#This Row],[DTM]])</f>
        <v>240</v>
      </c>
      <c r="AS137" t="s">
        <v>347</v>
      </c>
      <c r="AT137">
        <f>(Crops[[#This Row],[Harvests]]-1)*Crops[[#This Row],[Days Between Harvest]]+7</f>
        <v>7</v>
      </c>
      <c r="AU137">
        <f>Crops[[#This Row],[STH]]-Crops[[#This Row],[Days in Cells]]+Crops[[#This Row],[Harvest window]]</f>
        <v>247</v>
      </c>
      <c r="AZ137" t="str">
        <f>IFERROR(IF(Crops[[#This Row],[Tray 1 Days]]=0,"",Crops[[#This Row],[Plantings Per Bed]]/Crops[[#This Row],[Tray 1 Size]]*Crops[[#This Row],[Safety Factor]]),"")</f>
        <v/>
      </c>
      <c r="BC137" t="str">
        <f>IFERROR(IF(Crops[[#This Row],[Tray 2 Days]]=0,"",Crops[[#This Row],[Plantings Per Bed]]/Crops[[#This Row],[Tray 2 Size]]*Crops[[#This Row],[Safety Factor]]),"")</f>
        <v/>
      </c>
      <c r="BE137" s="32" t="str">
        <f>IF(NOT(ISBLANK(Crops[[#This Row],[Tray 3 Size]])), Crops[[#This Row],[Days in Cells Old]]-SUM(Crops[[#This Row],[Tray 1 Days]],Crops[[#This Row],[Tray 2 Days]]), "")</f>
        <v/>
      </c>
      <c r="BF137" t="str">
        <f>IFERROR(IF(Crops[[#This Row],[Tray 3 Days]]=0,"",Crops[[#This Row],[Plantings Per Bed]]/Crops[[#This Row],[Tray 3 Size]]*Crops[[#This Row],[Safety Factor]]),"")</f>
        <v/>
      </c>
      <c r="BG137" s="33">
        <f>Crops[[#This Row],[Plantings Per Bed]]/7</f>
        <v>128.57142857142858</v>
      </c>
      <c r="BH137" s="33">
        <v>1</v>
      </c>
      <c r="BI137" s="33">
        <v>0</v>
      </c>
      <c r="BJ137" s="33">
        <f>_xlfn.XLOOKUP(Crops[[#This Row],[ProductIndex]],Products[ID],Products[Holding Period])</f>
        <v>28</v>
      </c>
      <c r="BK137" s="33"/>
      <c r="BL137" s="33">
        <f>Crops[[#This Row],[Units Per Harvest]]*Crops[[#This Row],[Harvests]]</f>
        <v>128.57142857142858</v>
      </c>
      <c r="BM137" s="35">
        <v>5</v>
      </c>
      <c r="BN137" s="35">
        <f>Crops[[#This Row],[Direct Price]]*0.6</f>
        <v>3</v>
      </c>
      <c r="BO137" s="35"/>
      <c r="BP137" t="s">
        <v>215</v>
      </c>
      <c r="BQ137">
        <f>Crops[[#This Row],[Custom Yield Per Bed]]*Crops[[#This Row],[Direct Price]]</f>
        <v>642.85714285714289</v>
      </c>
      <c r="BR137" t="b">
        <v>1</v>
      </c>
      <c r="BS137" t="b">
        <f>Crops[[#This Row],[Harvests]]&gt;1</f>
        <v>0</v>
      </c>
      <c r="BT137" s="36">
        <f>IFERROR(Crops[[#This Row],[Direct Revenue Per Bed]]/Crops[[#This Row],[Days In Field]],-1)</f>
        <v>2.6026604973973395</v>
      </c>
      <c r="BU137" s="36">
        <f>IFERROR(Crops[[#This Row],[Direct Revenue Per Bed Day]]*GrowingDays*BedsPerAcre,"")</f>
        <v>74956.622325043383</v>
      </c>
      <c r="BV137" s="38">
        <f>LastFrostDate-5*Crops[[#This Row],[Sewing Rel Last Frost]]</f>
        <v>45888</v>
      </c>
      <c r="BW137" s="38">
        <f>Crops[[#This Row],[Target Sewing Date]]+Crops[[#This Row],[Days in Cells]]</f>
        <v>45888</v>
      </c>
      <c r="BX137" s="38">
        <f>Crops[[#This Row],[Target Sewing Date]]+Crops[[#This Row],[STH]]</f>
        <v>46128</v>
      </c>
      <c r="BY137" s="38">
        <f>Crops[[#This Row],[Target Harvest Data]]+Crops[[#This Row],[Harvest window]]</f>
        <v>46135</v>
      </c>
      <c r="BZ137">
        <v>-28</v>
      </c>
      <c r="CA137" t="s">
        <v>375</v>
      </c>
      <c r="CB137">
        <f>1</f>
        <v>1</v>
      </c>
      <c r="CC137">
        <f>IF(Crops[[#This Row],[Transplanting]]&gt;0, 2, 3)*BedLength/StandardBedLength</f>
        <v>1.5</v>
      </c>
      <c r="CD137" s="173">
        <f>IF(Crops[[#This Row],[Days in Cells]]&lt;=0,0,Crops[[#This Row],[Plantings Per Bed]]/StartsPerHourSeeding+Crops[[#This Row],[Tray 1 Count]]*5/60)</f>
        <v>0</v>
      </c>
      <c r="CE137" s="173">
        <f>IF(ISBLANK(Crops[[#This Row],[Tray 2 Days]]),0,Crops[[#This Row],[Plantings Per Bed]]/UpPottingPerHour)+IF(Crops[[#This Row],[Tray 3 Days]]="",0,Crops[[#This Row],[Plantings Per Bed]]/UpPottingPerHour)</f>
        <v>0</v>
      </c>
      <c r="CF137" s="173">
        <f>IFERROR(Crops[[#This Row],[Tray 1 Count]]/HomeStartFlatIrrigationPerHour,0)*Crops[[#This Row],[Days in Cells]]/DaysBetweenStartIrrigation</f>
        <v>0</v>
      </c>
      <c r="CG137" s="173">
        <f>0.5/16*MAX(Crops[[#This Row],[Tray 1 Count]],Crops[[#This Row],[Tray 2 Count]],Crops[[#This Row],[Tray 3 Count]])</f>
        <v>0</v>
      </c>
      <c r="CH137" s="173">
        <f>IF(Crops[[#This Row],[Days in Cells]]&gt;0,IF(IF(Crops[[#This Row],[Tray 3 Size]]&gt;0,Crops[[#This Row],[Tray 3 Size]],IF(Crops[[#This Row],[Tray 2 Size]]&gt;0,Crops[[#This Row],[Tray 2 Size]],Crops[[#This Row],[Tray 1 Size]]))&lt;=18,LargeTransplantTime,SmallTransplantTime)*Crops[[#This Row],[Plantings Per Bed]],0)</f>
        <v>0</v>
      </c>
      <c r="CI137" s="173"/>
      <c r="CJ137" s="173">
        <f>_xlfn.XLOOKUP(Crops[[#This Row],[Trellis Type]],TrellisMethods[Trellis Type],TrellisMethods[Hours],0,0)</f>
        <v>0</v>
      </c>
      <c r="CK137">
        <f>IF(Crops[[#This Row],[Days in Cells]]&lt;=0,Crops[[#This Row],[Rows]]*1/10,0)*BedLength/50</f>
        <v>0.3</v>
      </c>
      <c r="CL137" cm="1">
        <f t="array" ref="CL137">_xlfn.SWITCH(Crops[[#This Row],[Irrigation]],"DR", 0.5, "OH", 0.25,0)*BedLength/50</f>
        <v>0</v>
      </c>
      <c r="CM137">
        <f>IF(OR(ISBLANK(Crops[[#This Row],[Row Cover]]),Crops[[#This Row],[Row Cover]]="None"),0,1)*BedLength/50</f>
        <v>0</v>
      </c>
      <c r="CN137" s="173">
        <f>HoursPerWeedingPass*Crops[[#This Row],[Days In Field]]/14*Crops[[#This Row],[Rows]]+1*BedLength/50</f>
        <v>9.8214285714285712</v>
      </c>
      <c r="CO137" s="49"/>
      <c r="CQ137" s="37">
        <f>_xlfn.XLOOKUP(Crops[[#This Row],[Crop]]&amp;Crops[[#This Row],[Product]]&amp;Crops[[#This Row],[Unit]],Products[ID],Products[Marketing (hr)])*Crops[[#This Row],[Direct Revenue Per Bed]]/2000</f>
        <v>0.9642857142857143</v>
      </c>
      <c r="CR137" s="37">
        <f>_xlfn.XLOOKUP(Crops[[#This Row],[Crop]]&amp;Crops[[#This Row],[Product]]&amp;Crops[[#This Row],[Unit]],Products[ID],Products[Harvest (s)])*Crops[[#This Row],[Custom Yield Per Bed]]/3600</f>
        <v>2.6785714285714288</v>
      </c>
      <c r="CS137" s="37">
        <f>_xlfn.XLOOKUP(Crops[[#This Row],[Crop]]&amp;Crops[[#This Row],[Product]]&amp;Crops[[#This Row],[Unit]],Products[ID],Products[Bunch (s)])*Crops[[#This Row],[Custom Yield Per Bed]]/3600</f>
        <v>0.35714285714285715</v>
      </c>
      <c r="CT137" s="37">
        <f>_xlfn.XLOOKUP(Crops[[#This Row],[Crop]]&amp;Crops[[#This Row],[Product]]&amp;Crops[[#This Row],[Unit]],Products[ID],Products[Haul (s)])*Crops[[#This Row],[Custom Yield Per Bed]]/3600</f>
        <v>8.9285714285714288E-2</v>
      </c>
      <c r="CU137" s="37">
        <f>_xlfn.XLOOKUP(Crops[[#This Row],[Crop]]&amp;Crops[[#This Row],[Product]]&amp;Crops[[#This Row],[Unit]],Products[ID],Products[Wash (s)])*Crops[[#This Row],[Custom Yield Per Bed]]/3600</f>
        <v>0.35714285714285715</v>
      </c>
      <c r="CV137" s="37">
        <f>_xlfn.XLOOKUP(Crops[[#This Row],[Crop]]&amp;Crops[[#This Row],[Product]]&amp;Crops[[#This Row],[Unit]],Products[ID],Products[Condition (s)])*Crops[[#This Row],[Custom Yield Per Bed]]/3600</f>
        <v>0</v>
      </c>
      <c r="CW137" s="37">
        <f>_xlfn.XLOOKUP(Crops[[#This Row],[Crop]]&amp;Crops[[#This Row],[Product]]&amp;Crops[[#This Row],[Unit]],Products[ID],Products[Trim (s)])*Crops[[#This Row],[Custom Yield Per Bed]]/3600</f>
        <v>2.1428571428571428</v>
      </c>
      <c r="CX137" s="37">
        <f>_xlfn.XLOOKUP(Crops[[#This Row],[Crop]]&amp;Crops[[#This Row],[Product]]&amp;Crops[[#This Row],[Unit]],Products[ID],Products[Pack (s)])*Crops[[#This Row],[Custom Yield Per Bed]]/3600</f>
        <v>0.10714285714285716</v>
      </c>
      <c r="CY137" s="37">
        <f>_xlfn.XLOOKUP(Crops[[#This Row],[Crop]]&amp;Crops[[#This Row],[Product]]&amp;Crops[[#This Row],[Unit]],Products[ID],Products[Clean (s)])*Crops[[#This Row],[Custom Yield Per Bed]]/3600</f>
        <v>0</v>
      </c>
      <c r="CZ137" s="37">
        <f>_xlfn.XLOOKUP(Crops[[#This Row],[Crop]]&amp;Crops[[#This Row],[Product]]&amp;Crops[[#This Row],[Unit]],Products[ID],Products[Rehandle (s)])*Crops[[#This Row],[Custom Yield Per Bed]]/3600</f>
        <v>0</v>
      </c>
      <c r="DA137" s="37">
        <f>_xlfn.XLOOKUP(Crops[[#This Row],[Crop]]&amp;Crops[[#This Row],[Product]]&amp;Crops[[#This Row],[Unit]],Products[ID],Products[Market Transport (s)])*Crops[[#This Row],[Custom Yield Per Bed]]/3600</f>
        <v>0.22321428571428575</v>
      </c>
      <c r="DC137" s="37">
        <f>Crops[[#This Row],[Direct Revenue Per Bed2]]</f>
        <v>642.85714285714289</v>
      </c>
      <c r="DD137" s="173">
        <f>_xlfn.AGGREGATE(9,6,Crops[[#This Row],[Bed Prep]:[Remove Crop Residue]])</f>
        <v>18.541071428571428</v>
      </c>
      <c r="DE137" s="173">
        <f>_xlfn.AGGREGATE(9,6,Crops[[#This Row],[Bed Prep]:[Remove Crop Residue]])-0.75*Crops[[#This Row],[Market &amp; Sell]]</f>
        <v>17.817857142857143</v>
      </c>
      <c r="DF137" s="36">
        <f>Crops[[#This Row],[Direct Revenue Per Bed2]]/Crops[[#This Row],[Direct Time]]</f>
        <v>34.672060098237509</v>
      </c>
      <c r="DG137" s="36">
        <f>_xlfn.XLOOKUP(Crops[[#This Row],[ProductIndex]],Products[ID],Products[Packaging Cost])*(Crops[[#This Row],[Custom Yield Per Bed]]/_xlfn.XLOOKUP(Crops[[#This Row],[ProductIndex]],Products[ID],Products[Units Per Pack]))</f>
        <v>13.571428571428571</v>
      </c>
      <c r="DH137" s="36"/>
      <c r="DI137" s="36"/>
      <c r="DJ137" s="36"/>
      <c r="DK137" s="36"/>
      <c r="DL137" s="36"/>
      <c r="DM137" s="33">
        <f>IFERROR(Crops[[#This Row],[Custom Yield Per Bed]]*Crops[[#This Row],[Direct Price]],"")</f>
        <v>642.85714285714289</v>
      </c>
      <c r="DN137" s="36">
        <f>Crops[[#This Row],[Direct Time]]*LaborRate</f>
        <v>463.52678571428567</v>
      </c>
      <c r="DO137" s="36">
        <f>SUM(Crops[[#This Row],[Irrigation Cost]])</f>
        <v>0</v>
      </c>
      <c r="DP137" s="36">
        <f>Crops[[#This Row],[Direct Labor Cost]]+Crops[[#This Row],[Direct Non-Labor Cost]]</f>
        <v>463.52678571428567</v>
      </c>
      <c r="DQ137" s="36">
        <f>Crops[[#This Row],[Direct Revenue Per Bed2]]-Crops[[#This Row],[Direct Total Cost]]</f>
        <v>179.33035714285722</v>
      </c>
      <c r="DR137" s="36">
        <f>Crops[[#This Row],[Direct Profit]]*BedsPerAcre</f>
        <v>28692.857142857156</v>
      </c>
      <c r="DS137" s="36">
        <f>Crops[[#This Row],[Direct Profit]]*BedsPerAcre*GrowingDays/Crops[[#This Row],[Days In Field]]</f>
        <v>20909.774436090236</v>
      </c>
      <c r="DT137" s="36">
        <f>Crops[[#This Row],[Direct Profit]]/MIN(Crops[[#This Row],[Days In Field]],GrowingDays)</f>
        <v>0.99627976190476231</v>
      </c>
      <c r="DU137" s="33">
        <f>Crops[[#This Row],[Direct Time]] * BedsPerAcre</f>
        <v>2966.5714285714284</v>
      </c>
      <c r="DV137" s="36">
        <f>(Crops[[#This Row],[Direct Revenue Per Bed2]]-Crops[[#This Row],[Direct Non-Labor Cost]])/Crops[[#This Row],[Direct Time]]</f>
        <v>34.672060098237509</v>
      </c>
      <c r="DW137" s="33">
        <f>IFERROR(Crops[[#This Row],[Custom Yield Per Bed]]*Crops[[#This Row],[Rough Wholesale Price]],"")</f>
        <v>385.71428571428578</v>
      </c>
      <c r="DX137" s="36">
        <f>Crops[[#This Row],[Wholesale Time]]*LaborRate</f>
        <v>445.44642857142856</v>
      </c>
      <c r="DY137" s="36">
        <f>SUM(Crops[[#This Row],[Packaging Costs]:[Irrigation Cost]])</f>
        <v>13.571428571428571</v>
      </c>
      <c r="DZ137" s="36">
        <f>Crops[[#This Row],[Wholesale Labor Cost]]+Crops[[#This Row],[Wholesale Non-Labor Cost]]</f>
        <v>459.01785714285711</v>
      </c>
      <c r="EA137" s="36">
        <f>Crops[[#This Row],[Wholesale Revenue Per Bed]]-Crops[[#This Row],[Wholesale Total Cost]]</f>
        <v>-73.303571428571331</v>
      </c>
      <c r="EB137" s="36">
        <f>Crops[[#This Row],[Wholesale Profit]]*BedsPerAcre</f>
        <v>-11728.571428571413</v>
      </c>
      <c r="EC137" s="36">
        <f>Crops[[#This Row],[Wholesale Profit]]*BedsPerAcre*GrowingDays/Crops[[#This Row],[Days In Field]]</f>
        <v>-8547.1370734528518</v>
      </c>
      <c r="ED137" s="33">
        <f>Crops[[#This Row],[Wholesale Time]] * BedsPerAcre</f>
        <v>2850.8571428571431</v>
      </c>
      <c r="EE137" s="221">
        <f>Crops[[#This Row],[Wholesale Profit]]/MIN(Crops[[#This Row],[Days In Field]],GrowingDays)</f>
        <v>-0.40724206349206293</v>
      </c>
      <c r="EF137" s="36">
        <f>(Crops[[#This Row],[Wholesale Revenue Per Bed]]-Crops[[#This Row],[Wholesale Non-Labor Cost]])/Crops[[#This Row],[Direct Time]]</f>
        <v>20.071270345757494</v>
      </c>
      <c r="EG137" s="174">
        <f>Crops[[#This Row],[Packaging Costs]]/Crops[[#This Row],[Wholesale Revenue Per Bed]]</f>
        <v>3.518518518518518E-2</v>
      </c>
      <c r="EH137" s="36" t="str">
        <f>Crops[[#This Row],[Crop]]&amp;Crops[[#This Row],[Product]]&amp;Crops[[#This Row],[Unit]]</f>
        <v>GarlicYoung BulbBunch</v>
      </c>
      <c r="EI137" s="36" t="b">
        <f>_xlfn.XLOOKUP(Crops[[#This Row],[ProductIndex]],Products[ID],Products[Target])</f>
        <v>1</v>
      </c>
      <c r="EJ137" s="36">
        <f>Crops[[#This Row],[Custom Yield Per Bed]]</f>
        <v>128.57142857142858</v>
      </c>
      <c r="EK137" s="210" t="e">
        <f>Crops[[#This Row],[Units Per Harvest]]/Crops[[#This Row],[Days Between Harvest]]*7</f>
        <v>#DIV/0!</v>
      </c>
      <c r="EL137" s="210">
        <f>Crops[[#This Row],[Custom Yield Per Bed]]/_xlfn.XLOOKUP(Crops[[#This Row],[ProductIndex]],Products[ID],Products[CSA Portion])</f>
        <v>128.57142857142858</v>
      </c>
      <c r="EM137" s="210" t="e">
        <f>Crops[[#This Row],[Units Per Harvest]]/Crops[[#This Row],[Days Between Harvest]]*7/_xlfn.XLOOKUP(Crops[[#This Row],[ProductIndex]],Products[ID],Products[CSA Portion])</f>
        <v>#DIV/0!</v>
      </c>
      <c r="EN137" s="210" t="e">
        <f>Crops[[#This Row],[CSA Portions Per Week]]/CSAMembers</f>
        <v>#DIV/0!</v>
      </c>
      <c r="EO137" s="210"/>
      <c r="EP137" s="210"/>
      <c r="EQ137" s="210"/>
      <c r="ER137" s="210">
        <f>Crops[[#This Row],[Harvests]]*Crops[[#This Row],[Days Between Harvest]]/7</f>
        <v>0</v>
      </c>
      <c r="ES137" s="217">
        <f>_xlfn.XLOOKUP(Crops[[#This Row],[ProductIndex]],Products[ID],Products[CSA Need])</f>
        <v>2</v>
      </c>
      <c r="ET137" s="217">
        <f>_xlfn.XLOOKUP(Crops[[#This Row],[ProductIndex]],Products[ID],Products[CSA Times])</f>
        <v>2</v>
      </c>
      <c r="EU137" s="208">
        <f>Crops[[#This Row],[Custom Yield Per Bed]]/(Crops[[#This Row],[CSA Need]]*(_xlfn.XLOOKUP(Crops[[#This Row],[ProductIndex]],Products[ID],Products[CSA Portion])*CSAMembers))</f>
        <v>1.2857142857142858</v>
      </c>
      <c r="EV137" s="208">
        <f>_xlfn.XLOOKUP(Crops[[#This Row],[ProductIndex]],Products[ID],Products[CSA Portion])*CSAMembers*Crops[[#This Row],[CSA Need]]/Crops[[#This Row],[Custom Yield Per Bed]]</f>
        <v>0.77777777777777768</v>
      </c>
      <c r="EW137" s="208">
        <f>IFERROR(Crops[[#This Row],[Days In Field]]*Crops[[#This Row],[CSA Beds]],"")</f>
        <v>192.11111111111109</v>
      </c>
      <c r="EX137" s="208" t="e">
        <f>Crops[[#This Row],[CSA Bed Days]]*#REF!</f>
        <v>#REF!</v>
      </c>
      <c r="EY137" t="s">
        <v>1531</v>
      </c>
    </row>
    <row r="138" spans="1:155">
      <c r="A138"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Garlic (Hardneck) - Storage Bulb 1X | Field DS Ow</v>
      </c>
      <c r="B138" s="185"/>
      <c r="C138" s="1" t="b">
        <v>1</v>
      </c>
      <c r="D138" s="1"/>
      <c r="E138" s="1" t="b">
        <v>0</v>
      </c>
      <c r="F138" s="1" t="b">
        <f>IFERROR(IF(ISNUMBER(MATCH(Crops[[#This Row],[Identifier]],BedPlan[Crop], 0)), TRUE, FALSE), FALSE)</f>
        <v>1</v>
      </c>
      <c r="G138" s="1" t="b">
        <f>IFERROR(IF(ISNUMBER(MATCH(Crops[[#This Row],[Identifier]],BedPlan[Crop], 0)), TRUE, FALSE), FALSE)</f>
        <v>1</v>
      </c>
      <c r="H138" s="1"/>
      <c r="I138" t="s">
        <v>80</v>
      </c>
      <c r="J138" t="s">
        <v>1530</v>
      </c>
      <c r="K138" t="s">
        <v>194</v>
      </c>
      <c r="M138" t="s">
        <v>80</v>
      </c>
      <c r="N138" t="str">
        <f>Crops[[#This Row],[Crop]]</f>
        <v>Garlic</v>
      </c>
      <c r="O138" t="s">
        <v>210</v>
      </c>
      <c r="P138" t="str">
        <f>IF(OR(Crops[[#This Row],[Days in Cells]]="",Crops[[#This Row],[Days in Cells]]=0), "DS","TP")</f>
        <v>DS</v>
      </c>
      <c r="U138" t="s">
        <v>144</v>
      </c>
      <c r="V138" t="str">
        <f xml:space="preserve"> IF(Crops[[#This Row],[Sp]], "Sp", "") &amp; IF(Crops[[#This Row],[Su]], "Su", "") &amp; IF(Crops[[#This Row],[Fa]], "Fa", "") &amp; IF(Crops[[#This Row],[Wi]], "Wi", "") &amp; IF(Crops[[#This Row],[OW]], "Ow","")</f>
        <v>Ow</v>
      </c>
      <c r="W138" t="s">
        <v>144</v>
      </c>
      <c r="X138">
        <v>3</v>
      </c>
      <c r="Y138">
        <v>6</v>
      </c>
      <c r="AA138" t="s">
        <v>474</v>
      </c>
      <c r="AB138" t="b">
        <v>1</v>
      </c>
      <c r="AC138">
        <v>2</v>
      </c>
      <c r="AD138" s="32">
        <f>IFERROR(12/Crops[[#This Row],[Spacing]]*Crops[[#This Row],[Rows]]*BedLength,"")</f>
        <v>300</v>
      </c>
      <c r="AE138">
        <v>1</v>
      </c>
      <c r="AF138">
        <v>1</v>
      </c>
      <c r="AG138">
        <f>IF(Crops[[#This Row],[Custom Safety Factor]]="",PlantingSafetyFactor,Crops[[#This Row],[Custom Safety Factor]])</f>
        <v>1</v>
      </c>
      <c r="AH138">
        <f>1</f>
        <v>1</v>
      </c>
      <c r="AI138" s="33">
        <f>IFERROR(Crops[[#This Row],[Plantings Per Bed]]*Crops[[#This Row],[Seeds Per Planting]]*Crops[[#This Row],[Safety Factor]]*Crops[[#This Row],[Seeding Factor]],"")</f>
        <v>300</v>
      </c>
      <c r="AL138">
        <f>_xlfn.FLOOR.MATH(IFERROR(AVERAGE(Crops[[#This Row],[DTG Lower]:[DTG Upper]]),0))</f>
        <v>0</v>
      </c>
      <c r="AM138">
        <f>SUM(Crops[[#This Row],[Tray 1 Days]],Crops[[#This Row],[Tray 2 Days]],Crops[[#This Row],[Tray 3 Days]])</f>
        <v>0</v>
      </c>
      <c r="AN138" s="32"/>
      <c r="AP138">
        <v>270</v>
      </c>
      <c r="AQ138">
        <f>IFERROR(_xlfn.FLOOR.MATH(AVERAGE(Crops[[#This Row],[DTM Lower]:[DTM Upper]])),"")</f>
        <v>270</v>
      </c>
      <c r="AR138" cm="1">
        <f t="array" ref="AR138">_xlfn.SWITCH(Crops[[#This Row],[Normal Method]],"DS",Crops[[#This Row],[Days to Germination]]+Crops[[#This Row],[DTM]] + IF(Crops[[#This Row],[Days in Cells]]&gt;0,15,0), "TP",Crops[[#This Row],[DTM]]+Crops[[#This Row],[Days in Cells]] + IF(Crops[[#This Row],[Days in Cells]]&lt;=0,20,0), "X", Crops[[#This Row],[DTM]])</f>
        <v>270</v>
      </c>
      <c r="AS138" t="s">
        <v>347</v>
      </c>
      <c r="AT138">
        <f>(Crops[[#This Row],[Harvests]]-1)*Crops[[#This Row],[Days Between Harvest]]+7</f>
        <v>7</v>
      </c>
      <c r="AU138">
        <f>Crops[[#This Row],[STH]]-Crops[[#This Row],[Days in Cells]]+Crops[[#This Row],[Harvest window]]</f>
        <v>277</v>
      </c>
      <c r="AZ138" t="str">
        <f>IFERROR(IF(Crops[[#This Row],[Tray 1 Days]]=0,"",Crops[[#This Row],[Plantings Per Bed]]/Crops[[#This Row],[Tray 1 Size]]*Crops[[#This Row],[Safety Factor]]),"")</f>
        <v/>
      </c>
      <c r="BC138" t="str">
        <f>IFERROR(IF(Crops[[#This Row],[Tray 2 Days]]=0,"",Crops[[#This Row],[Plantings Per Bed]]/Crops[[#This Row],[Tray 2 Size]]*Crops[[#This Row],[Safety Factor]]),"")</f>
        <v/>
      </c>
      <c r="BE138" s="32" t="str">
        <f>IF(NOT(ISBLANK(Crops[[#This Row],[Tray 3 Size]])), Crops[[#This Row],[Days in Cells Old]]-SUM(Crops[[#This Row],[Tray 1 Days]],Crops[[#This Row],[Tray 2 Days]]), "")</f>
        <v/>
      </c>
      <c r="BF138" t="str">
        <f>IFERROR(IF(Crops[[#This Row],[Tray 3 Days]]=0,"",Crops[[#This Row],[Plantings Per Bed]]/Crops[[#This Row],[Tray 3 Size]]*Crops[[#This Row],[Safety Factor]]),"")</f>
        <v/>
      </c>
      <c r="BG138" s="33">
        <f>Crops[[#This Row],[Plantings Per Bed]]/7</f>
        <v>42.857142857142854</v>
      </c>
      <c r="BH138" s="33">
        <v>1</v>
      </c>
      <c r="BI138" s="33">
        <v>7</v>
      </c>
      <c r="BJ138" s="33">
        <f>_xlfn.XLOOKUP(Crops[[#This Row],[ProductIndex]],Products[ID],Products[Holding Period])</f>
        <v>90</v>
      </c>
      <c r="BK138" s="33">
        <v>45</v>
      </c>
      <c r="BL138" s="33">
        <f>Crops[[#This Row],[Units Per Harvest]]*Crops[[#This Row],[Harvests]]</f>
        <v>42.857142857142854</v>
      </c>
      <c r="BM138" s="35">
        <v>18</v>
      </c>
      <c r="BN138" s="35">
        <f>Crops[[#This Row],[Direct Price]]*0.6</f>
        <v>10.799999999999999</v>
      </c>
      <c r="BO138" s="35"/>
      <c r="BP138" t="s">
        <v>383</v>
      </c>
      <c r="BQ138">
        <f>Crops[[#This Row],[Custom Yield Per Bed]]*Crops[[#This Row],[Direct Price]]</f>
        <v>771.42857142857133</v>
      </c>
      <c r="BR138" t="b">
        <v>1</v>
      </c>
      <c r="BS138" t="b">
        <f>Crops[[#This Row],[Harvests]]&gt;1</f>
        <v>0</v>
      </c>
      <c r="BT138" s="36">
        <f>IFERROR(Crops[[#This Row],[Direct Revenue Per Bed]]/Crops[[#This Row],[Days In Field]],-1)</f>
        <v>2.7849406910778747</v>
      </c>
      <c r="BU138" s="36">
        <f>IFERROR(Crops[[#This Row],[Direct Revenue Per Bed Day]]*GrowingDays*BedsPerAcre,"")</f>
        <v>80206.291903042787</v>
      </c>
      <c r="BV138" s="38">
        <f>LastFrostDate-5*Crops[[#This Row],[Sewing Rel Last Frost]]</f>
        <v>45888</v>
      </c>
      <c r="BW138" s="38">
        <f>Crops[[#This Row],[Target Sewing Date]]+Crops[[#This Row],[Days in Cells]]</f>
        <v>45888</v>
      </c>
      <c r="BX138" s="38">
        <f>Crops[[#This Row],[Target Sewing Date]]+Crops[[#This Row],[STH]]</f>
        <v>46158</v>
      </c>
      <c r="BY138" s="38">
        <f>Crops[[#This Row],[Target Harvest Data]]+Crops[[#This Row],[Harvest window]]</f>
        <v>46165</v>
      </c>
      <c r="BZ138">
        <v>-28</v>
      </c>
      <c r="CA138" t="s">
        <v>375</v>
      </c>
      <c r="CB138">
        <f>1</f>
        <v>1</v>
      </c>
      <c r="CC138">
        <f>IF(Crops[[#This Row],[Transplanting]]&gt;0, 2, 3)*BedLength/StandardBedLength</f>
        <v>1.5</v>
      </c>
      <c r="CD138" s="173">
        <f>IF(Crops[[#This Row],[Days in Cells]]&lt;=0,0,Crops[[#This Row],[Plantings Per Bed]]/StartsPerHourSeeding+Crops[[#This Row],[Tray 1 Count]]*5/60)</f>
        <v>0</v>
      </c>
      <c r="CE138" s="173">
        <f>IF(ISBLANK(Crops[[#This Row],[Tray 2 Days]]),0,Crops[[#This Row],[Plantings Per Bed]]/UpPottingPerHour)+IF(Crops[[#This Row],[Tray 3 Days]]="",0,Crops[[#This Row],[Plantings Per Bed]]/UpPottingPerHour)</f>
        <v>0</v>
      </c>
      <c r="CF138" s="173">
        <f>IFERROR(Crops[[#This Row],[Tray 1 Count]]/HomeStartFlatIrrigationPerHour,0)*Crops[[#This Row],[Days in Cells]]/DaysBetweenStartIrrigation</f>
        <v>0</v>
      </c>
      <c r="CG138" s="173">
        <f>0.5/16*MAX(Crops[[#This Row],[Tray 1 Count]],Crops[[#This Row],[Tray 2 Count]],Crops[[#This Row],[Tray 3 Count]])</f>
        <v>0</v>
      </c>
      <c r="CH138" s="173">
        <f>IF(Crops[[#This Row],[Days in Cells]]&gt;0,IF(IF(Crops[[#This Row],[Tray 3 Size]]&gt;0,Crops[[#This Row],[Tray 3 Size]],IF(Crops[[#This Row],[Tray 2 Size]]&gt;0,Crops[[#This Row],[Tray 2 Size]],Crops[[#This Row],[Tray 1 Size]]))&lt;=18,LargeTransplantTime,SmallTransplantTime)*Crops[[#This Row],[Plantings Per Bed]],0)</f>
        <v>0</v>
      </c>
      <c r="CI138" s="173"/>
      <c r="CJ138" s="173">
        <f>_xlfn.XLOOKUP(Crops[[#This Row],[Trellis Type]],TrellisMethods[Trellis Type],TrellisMethods[Hours],0,0)</f>
        <v>0</v>
      </c>
      <c r="CK138">
        <f>IF(Crops[[#This Row],[Days in Cells]]&lt;=0,Crops[[#This Row],[Rows]]*1/10,0)*BedLength/50</f>
        <v>0.3</v>
      </c>
      <c r="CL138" cm="1">
        <f t="array" ref="CL138">_xlfn.SWITCH(Crops[[#This Row],[Irrigation]],"DR", 0.5, "OH", 0.25,0)*BedLength/50</f>
        <v>0</v>
      </c>
      <c r="CM138">
        <f>IF(OR(ISBLANK(Crops[[#This Row],[Row Cover]]),Crops[[#This Row],[Row Cover]]="None"),0,1)*BedLength/50</f>
        <v>0</v>
      </c>
      <c r="CN138" s="173">
        <f>HoursPerWeedingPass*Crops[[#This Row],[Days In Field]]/14*Crops[[#This Row],[Rows]]+1*BedLength/50</f>
        <v>10.892857142857142</v>
      </c>
      <c r="CO138" s="49"/>
      <c r="CQ138" s="37">
        <f>_xlfn.XLOOKUP(Crops[[#This Row],[Crop]]&amp;Crops[[#This Row],[Product]]&amp;Crops[[#This Row],[Unit]],Products[ID],Products[Marketing (hr)])*Crops[[#This Row],[Direct Revenue Per Bed]]/2000</f>
        <v>1.1571428571428568</v>
      </c>
      <c r="CR138" s="37">
        <f>_xlfn.XLOOKUP(Crops[[#This Row],[Crop]]&amp;Crops[[#This Row],[Product]]&amp;Crops[[#This Row],[Unit]],Products[ID],Products[Harvest (s)])*Crops[[#This Row],[Custom Yield Per Bed]]/3600</f>
        <v>1.4285714285714284</v>
      </c>
      <c r="CS138" s="37">
        <f>_xlfn.XLOOKUP(Crops[[#This Row],[Crop]]&amp;Crops[[#This Row],[Product]]&amp;Crops[[#This Row],[Unit]],Products[ID],Products[Bunch (s)])*Crops[[#This Row],[Custom Yield Per Bed]]/3600</f>
        <v>0</v>
      </c>
      <c r="CT138" s="37">
        <f>_xlfn.XLOOKUP(Crops[[#This Row],[Crop]]&amp;Crops[[#This Row],[Product]]&amp;Crops[[#This Row],[Unit]],Products[ID],Products[Haul (s)])*Crops[[#This Row],[Custom Yield Per Bed]]/3600</f>
        <v>3.0612244897959183E-2</v>
      </c>
      <c r="CU138" s="37">
        <f>_xlfn.XLOOKUP(Crops[[#This Row],[Crop]]&amp;Crops[[#This Row],[Product]]&amp;Crops[[#This Row],[Unit]],Products[ID],Products[Wash (s)])*Crops[[#This Row],[Custom Yield Per Bed]]/3600</f>
        <v>1.9047619047619047</v>
      </c>
      <c r="CV138" s="37">
        <f>_xlfn.XLOOKUP(Crops[[#This Row],[Crop]]&amp;Crops[[#This Row],[Product]]&amp;Crops[[#This Row],[Unit]],Products[ID],Products[Condition (s)])*Crops[[#This Row],[Custom Yield Per Bed]]/3600</f>
        <v>0</v>
      </c>
      <c r="CW138" s="37">
        <f>_xlfn.XLOOKUP(Crops[[#This Row],[Crop]]&amp;Crops[[#This Row],[Product]]&amp;Crops[[#This Row],[Unit]],Products[ID],Products[Trim (s)])*Crops[[#This Row],[Custom Yield Per Bed]]/3600</f>
        <v>6.4285714285714279</v>
      </c>
      <c r="CX138" s="37">
        <f>_xlfn.XLOOKUP(Crops[[#This Row],[Crop]]&amp;Crops[[#This Row],[Product]]&amp;Crops[[#This Row],[Unit]],Products[ID],Products[Pack (s)])*Crops[[#This Row],[Custom Yield Per Bed]]/3600</f>
        <v>3.5714285714285712E-2</v>
      </c>
      <c r="CY138" s="37">
        <f>_xlfn.XLOOKUP(Crops[[#This Row],[Crop]]&amp;Crops[[#This Row],[Product]]&amp;Crops[[#This Row],[Unit]],Products[ID],Products[Clean (s)])*Crops[[#This Row],[Custom Yield Per Bed]]/3600</f>
        <v>0</v>
      </c>
      <c r="CZ138" s="37">
        <f>_xlfn.XLOOKUP(Crops[[#This Row],[Crop]]&amp;Crops[[#This Row],[Product]]&amp;Crops[[#This Row],[Unit]],Products[ID],Products[Rehandle (s)])*Crops[[#This Row],[Custom Yield Per Bed]]/3600</f>
        <v>0</v>
      </c>
      <c r="DA138" s="37">
        <f>_xlfn.XLOOKUP(Crops[[#This Row],[Crop]]&amp;Crops[[#This Row],[Product]]&amp;Crops[[#This Row],[Unit]],Products[ID],Products[Market Transport (s)])*Crops[[#This Row],[Custom Yield Per Bed]]/3600</f>
        <v>7.6530612244897961E-2</v>
      </c>
      <c r="DC138" s="37">
        <f>Crops[[#This Row],[Direct Revenue Per Bed2]]</f>
        <v>771.42857142857133</v>
      </c>
      <c r="DD138" s="173">
        <f>_xlfn.AGGREGATE(9,6,Crops[[#This Row],[Bed Prep]:[Remove Crop Residue]])</f>
        <v>23.754761904761903</v>
      </c>
      <c r="DE138" s="173">
        <f>_xlfn.AGGREGATE(9,6,Crops[[#This Row],[Bed Prep]:[Remove Crop Residue]])-0.75*Crops[[#This Row],[Market &amp; Sell]]</f>
        <v>22.886904761904759</v>
      </c>
      <c r="DF138" s="36">
        <f>Crops[[#This Row],[Direct Revenue Per Bed2]]/Crops[[#This Row],[Direct Time]]</f>
        <v>32.474691791119575</v>
      </c>
      <c r="DG138" s="36">
        <f>_xlfn.XLOOKUP(Crops[[#This Row],[ProductIndex]],Products[ID],Products[Packaging Cost])*(Crops[[#This Row],[Custom Yield Per Bed]]/_xlfn.XLOOKUP(Crops[[#This Row],[ProductIndex]],Products[ID],Products[Units Per Pack]))</f>
        <v>4.6530612244897949</v>
      </c>
      <c r="DH138" s="36"/>
      <c r="DI138" s="36"/>
      <c r="DJ138" s="36"/>
      <c r="DK138" s="36"/>
      <c r="DL138" s="36"/>
      <c r="DM138" s="33">
        <f>IFERROR(Crops[[#This Row],[Custom Yield Per Bed]]*Crops[[#This Row],[Direct Price]],"")</f>
        <v>771.42857142857133</v>
      </c>
      <c r="DN138" s="36">
        <f>Crops[[#This Row],[Direct Time]]*LaborRate</f>
        <v>593.86904761904759</v>
      </c>
      <c r="DO138" s="36">
        <f>SUM(Crops[[#This Row],[Irrigation Cost]])</f>
        <v>0</v>
      </c>
      <c r="DP138" s="36">
        <f>Crops[[#This Row],[Direct Labor Cost]]+Crops[[#This Row],[Direct Non-Labor Cost]]</f>
        <v>593.86904761904759</v>
      </c>
      <c r="DQ138" s="36">
        <f>Crops[[#This Row],[Direct Revenue Per Bed2]]-Crops[[#This Row],[Direct Total Cost]]</f>
        <v>177.55952380952374</v>
      </c>
      <c r="DR138" s="36">
        <f>Crops[[#This Row],[Direct Profit]]*BedsPerAcre</f>
        <v>28409.523809523798</v>
      </c>
      <c r="DS138" s="36">
        <f>Crops[[#This Row],[Direct Profit]]*BedsPerAcre*GrowingDays/Crops[[#This Row],[Days In Field]]</f>
        <v>18461.062403300664</v>
      </c>
      <c r="DT138" s="36">
        <f>Crops[[#This Row],[Direct Profit]]/MIN(Crops[[#This Row],[Days In Field]],GrowingDays)</f>
        <v>0.98644179894179851</v>
      </c>
      <c r="DU138" s="33">
        <f>Crops[[#This Row],[Direct Time]] * BedsPerAcre</f>
        <v>3800.7619047619046</v>
      </c>
      <c r="DV138" s="36">
        <f>(Crops[[#This Row],[Direct Revenue Per Bed2]]-Crops[[#This Row],[Direct Non-Labor Cost]])/Crops[[#This Row],[Direct Time]]</f>
        <v>32.474691791119575</v>
      </c>
      <c r="DW138" s="33">
        <f>IFERROR(Crops[[#This Row],[Custom Yield Per Bed]]*Crops[[#This Row],[Rough Wholesale Price]],"")</f>
        <v>462.85714285714278</v>
      </c>
      <c r="DX138" s="36">
        <f>Crops[[#This Row],[Wholesale Time]]*LaborRate</f>
        <v>572.17261904761904</v>
      </c>
      <c r="DY138" s="36">
        <f>SUM(Crops[[#This Row],[Packaging Costs]:[Irrigation Cost]])</f>
        <v>4.6530612244897949</v>
      </c>
      <c r="DZ138" s="36">
        <f>Crops[[#This Row],[Wholesale Labor Cost]]+Crops[[#This Row],[Wholesale Non-Labor Cost]]</f>
        <v>576.8256802721088</v>
      </c>
      <c r="EA138" s="36">
        <f>Crops[[#This Row],[Wholesale Revenue Per Bed]]-Crops[[#This Row],[Wholesale Total Cost]]</f>
        <v>-113.96853741496602</v>
      </c>
      <c r="EB138" s="36">
        <f>Crops[[#This Row],[Wholesale Profit]]*BedsPerAcre</f>
        <v>-18234.965986394564</v>
      </c>
      <c r="EC138" s="36">
        <f>Crops[[#This Row],[Wholesale Profit]]*BedsPerAcre*GrowingDays/Crops[[#This Row],[Days In Field]]</f>
        <v>-11849.436381050618</v>
      </c>
      <c r="ED138" s="33">
        <f>Crops[[#This Row],[Wholesale Time]] * BedsPerAcre</f>
        <v>3661.9047619047615</v>
      </c>
      <c r="EE138" s="221">
        <f>Crops[[#This Row],[Wholesale Profit]]/MIN(Crops[[#This Row],[Days In Field]],GrowingDays)</f>
        <v>-0.63315854119425563</v>
      </c>
      <c r="EF138" s="36">
        <f>(Crops[[#This Row],[Wholesale Revenue Per Bed]]-Crops[[#This Row],[Wholesale Non-Labor Cost]])/Crops[[#This Row],[Direct Time]]</f>
        <v>19.288935981328482</v>
      </c>
      <c r="EG138" s="174">
        <f>Crops[[#This Row],[Packaging Costs]]/Crops[[#This Row],[Wholesale Revenue Per Bed]]</f>
        <v>1.0052910052910053E-2</v>
      </c>
      <c r="EH138" s="36" t="str">
        <f>Crops[[#This Row],[Crop]]&amp;Crops[[#This Row],[Product]]&amp;Crops[[#This Row],[Unit]]</f>
        <v>GarlicStorage BulbLb</v>
      </c>
      <c r="EI138" s="36" t="b">
        <f>_xlfn.XLOOKUP(Crops[[#This Row],[ProductIndex]],Products[ID],Products[Target])</f>
        <v>1</v>
      </c>
      <c r="EJ138" s="33">
        <f>Crops[[#This Row],[Custom Yield Per Bed]]</f>
        <v>42.857142857142854</v>
      </c>
      <c r="EK138" s="210">
        <f>Crops[[#This Row],[Units Per Harvest]]/Crops[[#This Row],[Days Between Harvest]]*7</f>
        <v>42.857142857142854</v>
      </c>
      <c r="EL138" s="210">
        <f>Crops[[#This Row],[Custom Yield Per Bed]]/_xlfn.XLOOKUP(Crops[[#This Row],[ProductIndex]],Products[ID],Products[CSA Portion])</f>
        <v>42.857142857142854</v>
      </c>
      <c r="EM138" s="210">
        <f>Crops[[#This Row],[Units Per Harvest]]/Crops[[#This Row],[Days Between Harvest]]*7/_xlfn.XLOOKUP(Crops[[#This Row],[ProductIndex]],Products[ID],Products[CSA Portion])</f>
        <v>42.857142857142854</v>
      </c>
      <c r="EN138" s="210">
        <f>Crops[[#This Row],[CSA Portions Per Week]]/CSAMembers</f>
        <v>0.8571428571428571</v>
      </c>
      <c r="EO138" s="216">
        <v>0.25</v>
      </c>
      <c r="EP138" s="216">
        <v>1</v>
      </c>
      <c r="EQ138" s="210"/>
      <c r="ER138" s="210">
        <f>Crops[[#This Row],[Harvests]]*Crops[[#This Row],[Days Between Harvest]]/7</f>
        <v>1</v>
      </c>
      <c r="ES138" s="217">
        <f>_xlfn.XLOOKUP(Crops[[#This Row],[ProductIndex]],Products[ID],Products[CSA Need])</f>
        <v>2</v>
      </c>
      <c r="ET138" s="217">
        <f>_xlfn.XLOOKUP(Crops[[#This Row],[ProductIndex]],Products[ID],Products[CSA Times])</f>
        <v>2</v>
      </c>
      <c r="EU138" s="208">
        <f>Crops[[#This Row],[Custom Yield Per Bed]]/(Crops[[#This Row],[CSA Need]]*(_xlfn.XLOOKUP(Crops[[#This Row],[ProductIndex]],Products[ID],Products[CSA Portion])*CSAMembers))</f>
        <v>0.42857142857142855</v>
      </c>
      <c r="EV138" s="208">
        <f>_xlfn.XLOOKUP(Crops[[#This Row],[ProductIndex]],Products[ID],Products[CSA Portion])*CSAMembers*Crops[[#This Row],[CSA Need]]/Crops[[#This Row],[Custom Yield Per Bed]]</f>
        <v>2.3333333333333335</v>
      </c>
      <c r="EW138" s="208">
        <f>IFERROR(Crops[[#This Row],[Days In Field]]*Crops[[#This Row],[CSA Beds]],"")</f>
        <v>646.33333333333337</v>
      </c>
      <c r="EX138" s="208" t="e">
        <f>Crops[[#This Row],[CSA Bed Days]]*#REF!</f>
        <v>#REF!</v>
      </c>
      <c r="EY138" t="s">
        <v>321</v>
      </c>
    </row>
    <row r="139" spans="1:155">
      <c r="A139"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Garlic (Softneck) - Storage Bulb 1X | Field DS Ow</v>
      </c>
      <c r="B139" s="185"/>
      <c r="C139" s="1" t="b">
        <v>1</v>
      </c>
      <c r="D139" s="1"/>
      <c r="E139" s="1" t="b">
        <v>0</v>
      </c>
      <c r="F139" s="1" t="b">
        <f>IFERROR(IF(ISNUMBER(MATCH(Crops[[#This Row],[Identifier]],BedPlan[Crop], 0)), TRUE, FALSE), FALSE)</f>
        <v>1</v>
      </c>
      <c r="G139" s="1" t="b">
        <f>IFERROR(IF(ISNUMBER(MATCH(Crops[[#This Row],[Identifier]],BedPlan[Crop], 0)), TRUE, FALSE), FALSE)</f>
        <v>1</v>
      </c>
      <c r="H139" s="1"/>
      <c r="I139" t="s">
        <v>80</v>
      </c>
      <c r="J139" t="s">
        <v>1529</v>
      </c>
      <c r="K139" t="s">
        <v>194</v>
      </c>
      <c r="M139" t="s">
        <v>80</v>
      </c>
      <c r="N139" t="str">
        <f>Crops[[#This Row],[Crop]]</f>
        <v>Garlic</v>
      </c>
      <c r="O139" t="s">
        <v>210</v>
      </c>
      <c r="P139" t="str">
        <f>IF(OR(Crops[[#This Row],[Days in Cells]]="",Crops[[#This Row],[Days in Cells]]=0), "DS","TP")</f>
        <v>DS</v>
      </c>
      <c r="U139" t="s">
        <v>144</v>
      </c>
      <c r="V139" t="str">
        <f xml:space="preserve"> IF(Crops[[#This Row],[Sp]], "Sp", "") &amp; IF(Crops[[#This Row],[Su]], "Su", "") &amp; IF(Crops[[#This Row],[Fa]], "Fa", "") &amp; IF(Crops[[#This Row],[Wi]], "Wi", "") &amp; IF(Crops[[#This Row],[OW]], "Ow","")</f>
        <v>Ow</v>
      </c>
      <c r="W139" t="s">
        <v>144</v>
      </c>
      <c r="X139">
        <v>3</v>
      </c>
      <c r="Y139">
        <v>6</v>
      </c>
      <c r="AA139" t="s">
        <v>474</v>
      </c>
      <c r="AB139" t="b">
        <v>1</v>
      </c>
      <c r="AC139">
        <v>2</v>
      </c>
      <c r="AD139" s="32">
        <f>IFERROR(12/Crops[[#This Row],[Spacing]]*Crops[[#This Row],[Rows]]*BedLength,"")</f>
        <v>300</v>
      </c>
      <c r="AE139">
        <v>1</v>
      </c>
      <c r="AF139">
        <v>1</v>
      </c>
      <c r="AG139">
        <f>IF(Crops[[#This Row],[Custom Safety Factor]]="",PlantingSafetyFactor,Crops[[#This Row],[Custom Safety Factor]])</f>
        <v>1</v>
      </c>
      <c r="AH139">
        <f>1</f>
        <v>1</v>
      </c>
      <c r="AI139" s="33">
        <f>IFERROR(Crops[[#This Row],[Plantings Per Bed]]*Crops[[#This Row],[Seeds Per Planting]]*Crops[[#This Row],[Safety Factor]]*Crops[[#This Row],[Seeding Factor]],"")</f>
        <v>300</v>
      </c>
      <c r="AL139">
        <f>_xlfn.FLOOR.MATH(IFERROR(AVERAGE(Crops[[#This Row],[DTG Lower]:[DTG Upper]]),0))</f>
        <v>0</v>
      </c>
      <c r="AM139">
        <f>SUM(Crops[[#This Row],[Tray 1 Days]],Crops[[#This Row],[Tray 2 Days]],Crops[[#This Row],[Tray 3 Days]])</f>
        <v>0</v>
      </c>
      <c r="AN139" s="32"/>
      <c r="AP139">
        <f>8*30</f>
        <v>240</v>
      </c>
      <c r="AQ139">
        <f>IFERROR(_xlfn.FLOOR.MATH(AVERAGE(Crops[[#This Row],[DTM Lower]:[DTM Upper]])),"")</f>
        <v>240</v>
      </c>
      <c r="AR139" cm="1">
        <f t="array" ref="AR139">_xlfn.SWITCH(Crops[[#This Row],[Normal Method]],"DS",Crops[[#This Row],[Days to Germination]]+Crops[[#This Row],[DTM]] + IF(Crops[[#This Row],[Days in Cells]]&gt;0,15,0), "TP",Crops[[#This Row],[DTM]]+Crops[[#This Row],[Days in Cells]] + IF(Crops[[#This Row],[Days in Cells]]&lt;=0,20,0), "X", Crops[[#This Row],[DTM]])</f>
        <v>240</v>
      </c>
      <c r="AS139" t="s">
        <v>347</v>
      </c>
      <c r="AT139">
        <f>(Crops[[#This Row],[Harvests]]-1)*Crops[[#This Row],[Days Between Harvest]]+7</f>
        <v>7</v>
      </c>
      <c r="AU139">
        <f>Crops[[#This Row],[STH]]-Crops[[#This Row],[Days in Cells]]+Crops[[#This Row],[Harvest window]]</f>
        <v>247</v>
      </c>
      <c r="AZ139" t="str">
        <f>IFERROR(IF(Crops[[#This Row],[Tray 1 Days]]=0,"",Crops[[#This Row],[Plantings Per Bed]]/Crops[[#This Row],[Tray 1 Size]]*Crops[[#This Row],[Safety Factor]]),"")</f>
        <v/>
      </c>
      <c r="BC139" t="str">
        <f>IFERROR(IF(Crops[[#This Row],[Tray 2 Days]]=0,"",Crops[[#This Row],[Plantings Per Bed]]/Crops[[#This Row],[Tray 2 Size]]*Crops[[#This Row],[Safety Factor]]),"")</f>
        <v/>
      </c>
      <c r="BE139" s="32" t="str">
        <f>IF(NOT(ISBLANK(Crops[[#This Row],[Tray 3 Size]])), Crops[[#This Row],[Days in Cells Old]]-SUM(Crops[[#This Row],[Tray 1 Days]],Crops[[#This Row],[Tray 2 Days]]), "")</f>
        <v/>
      </c>
      <c r="BF139" t="str">
        <f>IFERROR(IF(Crops[[#This Row],[Tray 3 Days]]=0,"",Crops[[#This Row],[Plantings Per Bed]]/Crops[[#This Row],[Tray 3 Size]]*Crops[[#This Row],[Safety Factor]]),"")</f>
        <v/>
      </c>
      <c r="BG139" s="33">
        <f>Crops[[#This Row],[Plantings Per Bed]]/7</f>
        <v>42.857142857142854</v>
      </c>
      <c r="BH139" s="33">
        <v>1</v>
      </c>
      <c r="BI139" s="33">
        <v>7</v>
      </c>
      <c r="BJ139" s="33">
        <f>_xlfn.XLOOKUP(Crops[[#This Row],[ProductIndex]],Products[ID],Products[Holding Period])</f>
        <v>90</v>
      </c>
      <c r="BK139" s="33">
        <v>45</v>
      </c>
      <c r="BL139" s="33">
        <f>Crops[[#This Row],[Units Per Harvest]]*Crops[[#This Row],[Harvests]]</f>
        <v>42.857142857142854</v>
      </c>
      <c r="BM139" s="35">
        <v>18</v>
      </c>
      <c r="BN139" s="35">
        <f>Crops[[#This Row],[Direct Price]]*0.6</f>
        <v>10.799999999999999</v>
      </c>
      <c r="BO139" s="35"/>
      <c r="BP139" t="s">
        <v>383</v>
      </c>
      <c r="BQ139">
        <f>Crops[[#This Row],[Custom Yield Per Bed]]*Crops[[#This Row],[Direct Price]]</f>
        <v>771.42857142857133</v>
      </c>
      <c r="BR139" t="b">
        <v>1</v>
      </c>
      <c r="BS139" t="b">
        <f>Crops[[#This Row],[Harvests]]&gt;1</f>
        <v>0</v>
      </c>
      <c r="BT139" s="36">
        <f>IFERROR(Crops[[#This Row],[Direct Revenue Per Bed]]/Crops[[#This Row],[Days In Field]],-1)</f>
        <v>3.1231925968768071</v>
      </c>
      <c r="BU139" s="36">
        <f>IFERROR(Crops[[#This Row],[Direct Revenue Per Bed Day]]*GrowingDays*BedsPerAcre,"")</f>
        <v>89947.946790052054</v>
      </c>
      <c r="BV139" s="38">
        <f>LastFrostDate-5*Crops[[#This Row],[Sewing Rel Last Frost]]</f>
        <v>45888</v>
      </c>
      <c r="BW139" s="38">
        <f>Crops[[#This Row],[Target Sewing Date]]+Crops[[#This Row],[Days in Cells]]</f>
        <v>45888</v>
      </c>
      <c r="BX139" s="38">
        <f>Crops[[#This Row],[Target Sewing Date]]+Crops[[#This Row],[STH]]</f>
        <v>46128</v>
      </c>
      <c r="BY139" s="38">
        <f>Crops[[#This Row],[Target Harvest Data]]+Crops[[#This Row],[Harvest window]]</f>
        <v>46135</v>
      </c>
      <c r="BZ139">
        <v>-28</v>
      </c>
      <c r="CA139" t="s">
        <v>375</v>
      </c>
      <c r="CB139">
        <f>1</f>
        <v>1</v>
      </c>
      <c r="CC139">
        <f>IF(Crops[[#This Row],[Transplanting]]&gt;0, 2, 3)*BedLength/StandardBedLength</f>
        <v>1.5</v>
      </c>
      <c r="CD139" s="173">
        <f>IF(Crops[[#This Row],[Days in Cells]]&lt;=0,0,Crops[[#This Row],[Plantings Per Bed]]/StartsPerHourSeeding+Crops[[#This Row],[Tray 1 Count]]*5/60)</f>
        <v>0</v>
      </c>
      <c r="CE139" s="173">
        <f>IF(ISBLANK(Crops[[#This Row],[Tray 2 Days]]),0,Crops[[#This Row],[Plantings Per Bed]]/UpPottingPerHour)+IF(Crops[[#This Row],[Tray 3 Days]]="",0,Crops[[#This Row],[Plantings Per Bed]]/UpPottingPerHour)</f>
        <v>0</v>
      </c>
      <c r="CF139" s="173">
        <f>IFERROR(Crops[[#This Row],[Tray 1 Count]]/HomeStartFlatIrrigationPerHour,0)*Crops[[#This Row],[Days in Cells]]/DaysBetweenStartIrrigation</f>
        <v>0</v>
      </c>
      <c r="CG139" s="173">
        <f>0.5/16*MAX(Crops[[#This Row],[Tray 1 Count]],Crops[[#This Row],[Tray 2 Count]],Crops[[#This Row],[Tray 3 Count]])</f>
        <v>0</v>
      </c>
      <c r="CH139" s="173">
        <f>IF(Crops[[#This Row],[Days in Cells]]&gt;0,IF(IF(Crops[[#This Row],[Tray 3 Size]]&gt;0,Crops[[#This Row],[Tray 3 Size]],IF(Crops[[#This Row],[Tray 2 Size]]&gt;0,Crops[[#This Row],[Tray 2 Size]],Crops[[#This Row],[Tray 1 Size]]))&lt;=18,LargeTransplantTime,SmallTransplantTime)*Crops[[#This Row],[Plantings Per Bed]],0)</f>
        <v>0</v>
      </c>
      <c r="CI139" s="173"/>
      <c r="CJ139" s="173">
        <f>_xlfn.XLOOKUP(Crops[[#This Row],[Trellis Type]],TrellisMethods[Trellis Type],TrellisMethods[Hours],0,0)</f>
        <v>0</v>
      </c>
      <c r="CK139">
        <f>IF(Crops[[#This Row],[Days in Cells]]&lt;=0,Crops[[#This Row],[Rows]]*1/10,0)*BedLength/50</f>
        <v>0.3</v>
      </c>
      <c r="CL139" cm="1">
        <f t="array" ref="CL139">_xlfn.SWITCH(Crops[[#This Row],[Irrigation]],"DR", 0.5, "OH", 0.25,0)*BedLength/50</f>
        <v>0</v>
      </c>
      <c r="CM139">
        <f>IF(OR(ISBLANK(Crops[[#This Row],[Row Cover]]),Crops[[#This Row],[Row Cover]]="None"),0,1)*BedLength/50</f>
        <v>0</v>
      </c>
      <c r="CN139" s="173">
        <f>HoursPerWeedingPass*Crops[[#This Row],[Days In Field]]/14*Crops[[#This Row],[Rows]]+1*BedLength/50</f>
        <v>9.8214285714285712</v>
      </c>
      <c r="CO139" s="49"/>
      <c r="CQ139" s="37">
        <f>_xlfn.XLOOKUP(Crops[[#This Row],[Crop]]&amp;Crops[[#This Row],[Product]]&amp;Crops[[#This Row],[Unit]],Products[ID],Products[Marketing (hr)])*Crops[[#This Row],[Direct Revenue Per Bed]]/2000</f>
        <v>1.1571428571428568</v>
      </c>
      <c r="CR139" s="37">
        <f>_xlfn.XLOOKUP(Crops[[#This Row],[Crop]]&amp;Crops[[#This Row],[Product]]&amp;Crops[[#This Row],[Unit]],Products[ID],Products[Harvest (s)])*Crops[[#This Row],[Custom Yield Per Bed]]/3600</f>
        <v>1.4285714285714284</v>
      </c>
      <c r="CS139" s="37">
        <f>_xlfn.XLOOKUP(Crops[[#This Row],[Crop]]&amp;Crops[[#This Row],[Product]]&amp;Crops[[#This Row],[Unit]],Products[ID],Products[Bunch (s)])*Crops[[#This Row],[Custom Yield Per Bed]]/3600</f>
        <v>0</v>
      </c>
      <c r="CT139" s="37">
        <f>_xlfn.XLOOKUP(Crops[[#This Row],[Crop]]&amp;Crops[[#This Row],[Product]]&amp;Crops[[#This Row],[Unit]],Products[ID],Products[Haul (s)])*Crops[[#This Row],[Custom Yield Per Bed]]/3600</f>
        <v>3.0612244897959183E-2</v>
      </c>
      <c r="CU139" s="37">
        <f>_xlfn.XLOOKUP(Crops[[#This Row],[Crop]]&amp;Crops[[#This Row],[Product]]&amp;Crops[[#This Row],[Unit]],Products[ID],Products[Wash (s)])*Crops[[#This Row],[Custom Yield Per Bed]]/3600</f>
        <v>1.9047619047619047</v>
      </c>
      <c r="CV139" s="37">
        <f>_xlfn.XLOOKUP(Crops[[#This Row],[Crop]]&amp;Crops[[#This Row],[Product]]&amp;Crops[[#This Row],[Unit]],Products[ID],Products[Condition (s)])*Crops[[#This Row],[Custom Yield Per Bed]]/3600</f>
        <v>0</v>
      </c>
      <c r="CW139" s="37">
        <f>_xlfn.XLOOKUP(Crops[[#This Row],[Crop]]&amp;Crops[[#This Row],[Product]]&amp;Crops[[#This Row],[Unit]],Products[ID],Products[Trim (s)])*Crops[[#This Row],[Custom Yield Per Bed]]/3600</f>
        <v>6.4285714285714279</v>
      </c>
      <c r="CX139" s="37">
        <f>_xlfn.XLOOKUP(Crops[[#This Row],[Crop]]&amp;Crops[[#This Row],[Product]]&amp;Crops[[#This Row],[Unit]],Products[ID],Products[Pack (s)])*Crops[[#This Row],[Custom Yield Per Bed]]/3600</f>
        <v>3.5714285714285712E-2</v>
      </c>
      <c r="CY139" s="37">
        <f>_xlfn.XLOOKUP(Crops[[#This Row],[Crop]]&amp;Crops[[#This Row],[Product]]&amp;Crops[[#This Row],[Unit]],Products[ID],Products[Clean (s)])*Crops[[#This Row],[Custom Yield Per Bed]]/3600</f>
        <v>0</v>
      </c>
      <c r="CZ139" s="37">
        <f>_xlfn.XLOOKUP(Crops[[#This Row],[Crop]]&amp;Crops[[#This Row],[Product]]&amp;Crops[[#This Row],[Unit]],Products[ID],Products[Rehandle (s)])*Crops[[#This Row],[Custom Yield Per Bed]]/3600</f>
        <v>0</v>
      </c>
      <c r="DA139" s="37">
        <f>_xlfn.XLOOKUP(Crops[[#This Row],[Crop]]&amp;Crops[[#This Row],[Product]]&amp;Crops[[#This Row],[Unit]],Products[ID],Products[Market Transport (s)])*Crops[[#This Row],[Custom Yield Per Bed]]/3600</f>
        <v>7.6530612244897961E-2</v>
      </c>
      <c r="DC139" s="37">
        <f>Crops[[#This Row],[Direct Revenue Per Bed2]]</f>
        <v>771.42857142857133</v>
      </c>
      <c r="DD139" s="173">
        <f>_xlfn.AGGREGATE(9,6,Crops[[#This Row],[Bed Prep]:[Remove Crop Residue]])</f>
        <v>22.68333333333333</v>
      </c>
      <c r="DE139" s="173">
        <f>_xlfn.AGGREGATE(9,6,Crops[[#This Row],[Bed Prep]:[Remove Crop Residue]])-0.75*Crops[[#This Row],[Market &amp; Sell]]</f>
        <v>21.815476190476186</v>
      </c>
      <c r="DF139" s="36">
        <f>Crops[[#This Row],[Direct Revenue Per Bed2]]/Crops[[#This Row],[Direct Time]]</f>
        <v>34.008607116615934</v>
      </c>
      <c r="DG139" s="36">
        <f>_xlfn.XLOOKUP(Crops[[#This Row],[ProductIndex]],Products[ID],Products[Packaging Cost])*(Crops[[#This Row],[Custom Yield Per Bed]]/_xlfn.XLOOKUP(Crops[[#This Row],[ProductIndex]],Products[ID],Products[Units Per Pack]))</f>
        <v>4.6530612244897949</v>
      </c>
      <c r="DH139" s="36"/>
      <c r="DI139" s="36"/>
      <c r="DJ139" s="36"/>
      <c r="DK139" s="36"/>
      <c r="DL139" s="36"/>
      <c r="DM139" s="33">
        <f>IFERROR(Crops[[#This Row],[Custom Yield Per Bed]]*Crops[[#This Row],[Direct Price]],"")</f>
        <v>771.42857142857133</v>
      </c>
      <c r="DN139" s="36">
        <f>Crops[[#This Row],[Direct Time]]*LaborRate</f>
        <v>567.08333333333326</v>
      </c>
      <c r="DO139" s="36">
        <f>SUM(Crops[[#This Row],[Irrigation Cost]])</f>
        <v>0</v>
      </c>
      <c r="DP139" s="36">
        <f>Crops[[#This Row],[Direct Labor Cost]]+Crops[[#This Row],[Direct Non-Labor Cost]]</f>
        <v>567.08333333333326</v>
      </c>
      <c r="DQ139" s="36">
        <f>Crops[[#This Row],[Direct Revenue Per Bed2]]-Crops[[#This Row],[Direct Total Cost]]</f>
        <v>204.34523809523807</v>
      </c>
      <c r="DR139" s="36">
        <f>Crops[[#This Row],[Direct Profit]]*BedsPerAcre</f>
        <v>32695.238095238092</v>
      </c>
      <c r="DS139" s="36">
        <f>Crops[[#This Row],[Direct Profit]]*BedsPerAcre*GrowingDays/Crops[[#This Row],[Days In Field]]</f>
        <v>23826.489300173507</v>
      </c>
      <c r="DT139" s="36">
        <f>Crops[[#This Row],[Direct Profit]]/MIN(Crops[[#This Row],[Days In Field]],GrowingDays)</f>
        <v>1.1352513227513226</v>
      </c>
      <c r="DU139" s="33">
        <f>Crops[[#This Row],[Direct Time]] * BedsPerAcre</f>
        <v>3629.333333333333</v>
      </c>
      <c r="DV139" s="36">
        <f>(Crops[[#This Row],[Direct Revenue Per Bed2]]-Crops[[#This Row],[Direct Non-Labor Cost]])/Crops[[#This Row],[Direct Time]]</f>
        <v>34.008607116615934</v>
      </c>
      <c r="DW139" s="33">
        <f>IFERROR(Crops[[#This Row],[Custom Yield Per Bed]]*Crops[[#This Row],[Rough Wholesale Price]],"")</f>
        <v>462.85714285714278</v>
      </c>
      <c r="DX139" s="36">
        <f>Crops[[#This Row],[Wholesale Time]]*LaborRate</f>
        <v>545.3869047619047</v>
      </c>
      <c r="DY139" s="36">
        <f>SUM(Crops[[#This Row],[Packaging Costs]:[Irrigation Cost]])</f>
        <v>4.6530612244897949</v>
      </c>
      <c r="DZ139" s="36">
        <f>Crops[[#This Row],[Wholesale Labor Cost]]+Crops[[#This Row],[Wholesale Non-Labor Cost]]</f>
        <v>550.03996598639446</v>
      </c>
      <c r="EA139" s="36">
        <f>Crops[[#This Row],[Wholesale Revenue Per Bed]]-Crops[[#This Row],[Wholesale Total Cost]]</f>
        <v>-87.182823129251688</v>
      </c>
      <c r="EB139" s="36">
        <f>Crops[[#This Row],[Wholesale Profit]]*BedsPerAcre</f>
        <v>-13949.25170068027</v>
      </c>
      <c r="EC139" s="36">
        <f>Crops[[#This Row],[Wholesale Profit]]*BedsPerAcre*GrowingDays/Crops[[#This Row],[Days In Field]]</f>
        <v>-10165.446583491695</v>
      </c>
      <c r="ED139" s="33">
        <f>Crops[[#This Row],[Wholesale Time]] * BedsPerAcre</f>
        <v>3490.4761904761899</v>
      </c>
      <c r="EE139" s="221">
        <f>Crops[[#This Row],[Wholesale Profit]]/MIN(Crops[[#This Row],[Days In Field]],GrowingDays)</f>
        <v>-0.48434901738473157</v>
      </c>
      <c r="EF139" s="36">
        <f>(Crops[[#This Row],[Wholesale Revenue Per Bed]]-Crops[[#This Row],[Wholesale Non-Labor Cost]])/Crops[[#This Row],[Direct Time]]</f>
        <v>20.200032988948699</v>
      </c>
      <c r="EG139" s="174">
        <f>Crops[[#This Row],[Packaging Costs]]/Crops[[#This Row],[Wholesale Revenue Per Bed]]</f>
        <v>1.0052910052910053E-2</v>
      </c>
      <c r="EH139" s="36" t="str">
        <f>Crops[[#This Row],[Crop]]&amp;Crops[[#This Row],[Product]]&amp;Crops[[#This Row],[Unit]]</f>
        <v>GarlicStorage BulbLb</v>
      </c>
      <c r="EI139" s="36" t="b">
        <f>_xlfn.XLOOKUP(Crops[[#This Row],[ProductIndex]],Products[ID],Products[Target])</f>
        <v>1</v>
      </c>
      <c r="EJ139" s="33">
        <f>Crops[[#This Row],[Custom Yield Per Bed]]</f>
        <v>42.857142857142854</v>
      </c>
      <c r="EK139" s="210">
        <f>Crops[[#This Row],[Units Per Harvest]]/Crops[[#This Row],[Days Between Harvest]]*7</f>
        <v>42.857142857142854</v>
      </c>
      <c r="EL139" s="210">
        <f>Crops[[#This Row],[Custom Yield Per Bed]]/_xlfn.XLOOKUP(Crops[[#This Row],[ProductIndex]],Products[ID],Products[CSA Portion])</f>
        <v>42.857142857142854</v>
      </c>
      <c r="EM139" s="210">
        <f>Crops[[#This Row],[Units Per Harvest]]/Crops[[#This Row],[Days Between Harvest]]*7/_xlfn.XLOOKUP(Crops[[#This Row],[ProductIndex]],Products[ID],Products[CSA Portion])</f>
        <v>42.857142857142854</v>
      </c>
      <c r="EN139" s="210">
        <f>Crops[[#This Row],[CSA Portions Per Week]]/CSAMembers</f>
        <v>0.8571428571428571</v>
      </c>
      <c r="EO139" s="216">
        <v>0.25</v>
      </c>
      <c r="EP139" s="216">
        <v>1</v>
      </c>
      <c r="EQ139" s="210"/>
      <c r="ER139" s="210">
        <f>Crops[[#This Row],[Harvests]]*Crops[[#This Row],[Days Between Harvest]]/7</f>
        <v>1</v>
      </c>
      <c r="ES139" s="217">
        <f>_xlfn.XLOOKUP(Crops[[#This Row],[ProductIndex]],Products[ID],Products[CSA Need])</f>
        <v>2</v>
      </c>
      <c r="ET139" s="217">
        <f>_xlfn.XLOOKUP(Crops[[#This Row],[ProductIndex]],Products[ID],Products[CSA Times])</f>
        <v>2</v>
      </c>
      <c r="EU139" s="208">
        <f>Crops[[#This Row],[Custom Yield Per Bed]]/(Crops[[#This Row],[CSA Need]]*(_xlfn.XLOOKUP(Crops[[#This Row],[ProductIndex]],Products[ID],Products[CSA Portion])*CSAMembers))</f>
        <v>0.42857142857142855</v>
      </c>
      <c r="EV139" s="208">
        <f>_xlfn.XLOOKUP(Crops[[#This Row],[ProductIndex]],Products[ID],Products[CSA Portion])*CSAMembers*Crops[[#This Row],[CSA Need]]/Crops[[#This Row],[Custom Yield Per Bed]]</f>
        <v>2.3333333333333335</v>
      </c>
      <c r="EW139" s="208">
        <f>IFERROR(Crops[[#This Row],[Days In Field]]*Crops[[#This Row],[CSA Beds]],"")</f>
        <v>576.33333333333337</v>
      </c>
      <c r="EX139" s="208" t="e">
        <f>Crops[[#This Row],[CSA Bed Days]]*#REF!</f>
        <v>#REF!</v>
      </c>
      <c r="EY139" t="s">
        <v>321</v>
      </c>
    </row>
    <row r="140" spans="1:155">
      <c r="A14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Ginger - Young Root 1X | Field DS Sp</v>
      </c>
      <c r="C140" s="1"/>
      <c r="D140" s="1"/>
      <c r="E140" s="1" t="b">
        <v>0</v>
      </c>
      <c r="F140" s="1" t="b">
        <f>IFERROR(IF(ISNUMBER(MATCH(Crops[[#This Row],[Identifier]],BedPlan[Crop], 0)), TRUE, FALSE), FALSE)</f>
        <v>0</v>
      </c>
      <c r="G140" s="1" t="b">
        <f>IFERROR(IF(ISNUMBER(MATCH(Crops[[#This Row],[Identifier]],BedPlan[Crop], 0)), TRUE, FALSE), FALSE)</f>
        <v>0</v>
      </c>
      <c r="H140" s="1" t="b">
        <v>1</v>
      </c>
      <c r="I140" t="s">
        <v>81</v>
      </c>
      <c r="J140" t="s">
        <v>145</v>
      </c>
      <c r="K140" t="s">
        <v>195</v>
      </c>
      <c r="N140" t="str">
        <f>Crops[[#This Row],[Crop]]</f>
        <v>Ginger</v>
      </c>
      <c r="O140" t="s">
        <v>210</v>
      </c>
      <c r="P140" t="str">
        <f>IF(OR(Crops[[#This Row],[Days in Cells]]="",Crops[[#This Row],[Days in Cells]]=0), "DS","TP")</f>
        <v>DS</v>
      </c>
      <c r="Q140" t="s">
        <v>144</v>
      </c>
      <c r="V140" t="str">
        <f xml:space="preserve"> IF(Crops[[#This Row],[Sp]], "Sp", "") &amp; IF(Crops[[#This Row],[Su]], "Su", "") &amp; IF(Crops[[#This Row],[Fa]], "Fa", "") &amp; IF(Crops[[#This Row],[Wi]], "Wi", "") &amp; IF(Crops[[#This Row],[OW]], "Ow","")</f>
        <v>Sp</v>
      </c>
      <c r="W140" t="s">
        <v>144</v>
      </c>
      <c r="X140">
        <v>1</v>
      </c>
      <c r="Y140">
        <v>4</v>
      </c>
      <c r="AD140" s="32">
        <f>IFERROR(12/Crops[[#This Row],[Spacing]]*Crops[[#This Row],[Rows]]*BedLength,"")</f>
        <v>150</v>
      </c>
      <c r="AE140">
        <v>1</v>
      </c>
      <c r="AG140">
        <f>IF(Crops[[#This Row],[Custom Safety Factor]]="",PlantingSafetyFactor,Crops[[#This Row],[Custom Safety Factor]])</f>
        <v>1.3</v>
      </c>
      <c r="AH140">
        <f>1</f>
        <v>1</v>
      </c>
      <c r="AI140" s="33">
        <f>IFERROR(Crops[[#This Row],[Plantings Per Bed]]*Crops[[#This Row],[Seeds Per Planting]]*Crops[[#This Row],[Safety Factor]]*Crops[[#This Row],[Seeding Factor]],"")</f>
        <v>195</v>
      </c>
      <c r="AL140">
        <f>_xlfn.FLOOR.MATH(IFERROR(AVERAGE(Crops[[#This Row],[DTG Lower]:[DTG Upper]]),0))</f>
        <v>0</v>
      </c>
      <c r="AM140">
        <f>SUM(Crops[[#This Row],[Tray 1 Days]],Crops[[#This Row],[Tray 2 Days]],Crops[[#This Row],[Tray 3 Days]])</f>
        <v>0</v>
      </c>
      <c r="AN140">
        <v>42</v>
      </c>
      <c r="AP140">
        <v>180</v>
      </c>
      <c r="AQ140">
        <f>IFERROR(_xlfn.FLOOR.MATH(AVERAGE(Crops[[#This Row],[DTM Lower]:[DTM Upper]])),"")</f>
        <v>180</v>
      </c>
      <c r="AR140" cm="1">
        <f t="array" ref="AR140">_xlfn.SWITCH(Crops[[#This Row],[Normal Method]],"DS",Crops[[#This Row],[Days to Germination]]+Crops[[#This Row],[DTM]] + IF(Crops[[#This Row],[Days in Cells]]&gt;0,15,0), "TP",Crops[[#This Row],[DTM]]+Crops[[#This Row],[Days in Cells]] + IF(Crops[[#This Row],[Days in Cells]]&lt;=0,20,0), "X", Crops[[#This Row],[DTM]])</f>
        <v>200</v>
      </c>
      <c r="AS140" t="s">
        <v>346</v>
      </c>
      <c r="AT140">
        <f>(Crops[[#This Row],[Harvests]]-1)*Crops[[#This Row],[Days Between Harvest]]+7</f>
        <v>7</v>
      </c>
      <c r="AU140">
        <f>Crops[[#This Row],[STH]]-Crops[[#This Row],[Days in Cells]]+Crops[[#This Row],[Harvest window]]</f>
        <v>207</v>
      </c>
      <c r="AW140">
        <v>18</v>
      </c>
      <c r="AZ140" t="str">
        <f>IFERROR(IF(Crops[[#This Row],[Tray 1 Days]]=0,"",Crops[[#This Row],[Plantings Per Bed]]/Crops[[#This Row],[Tray 1 Size]]*Crops[[#This Row],[Safety Factor]]),"")</f>
        <v/>
      </c>
      <c r="BC140" t="str">
        <f>IFERROR(IF(Crops[[#This Row],[Tray 2 Days]]=0,"",Crops[[#This Row],[Plantings Per Bed]]/Crops[[#This Row],[Tray 2 Size]]*Crops[[#This Row],[Safety Factor]]),"")</f>
        <v/>
      </c>
      <c r="BE140" s="32" t="str">
        <f>IF(NOT(ISBLANK(Crops[[#This Row],[Tray 3 Size]])), Crops[[#This Row],[Days in Cells Old]]-SUM(Crops[[#This Row],[Tray 1 Days]],Crops[[#This Row],[Tray 2 Days]]), "")</f>
        <v/>
      </c>
      <c r="BF140" t="str">
        <f>IFERROR(IF(Crops[[#This Row],[Tray 3 Days]]=0,"",Crops[[#This Row],[Plantings Per Bed]]/Crops[[#This Row],[Tray 3 Size]]*Crops[[#This Row],[Safety Factor]]),"")</f>
        <v/>
      </c>
      <c r="BG140" s="33"/>
      <c r="BH140" s="33"/>
      <c r="BI140" s="33"/>
      <c r="BJ140" s="33">
        <f>_xlfn.XLOOKUP(Crops[[#This Row],[ProductIndex]],Products[ID],Products[Holding Period])</f>
        <v>0</v>
      </c>
      <c r="BK140" s="33"/>
      <c r="BL140" s="33">
        <f>Crops[[#This Row],[Units Per Harvest]]*Crops[[#This Row],[Harvests]]</f>
        <v>0</v>
      </c>
      <c r="BM140" s="35">
        <v>14</v>
      </c>
      <c r="BN140" s="35">
        <f>Crops[[#This Row],[Direct Price]]*0.6</f>
        <v>8.4</v>
      </c>
      <c r="BO140" s="35"/>
      <c r="BP140" t="s">
        <v>383</v>
      </c>
      <c r="BQ140">
        <f>Crops[[#This Row],[Custom Yield Per Bed]]*Crops[[#This Row],[Direct Price]]</f>
        <v>0</v>
      </c>
      <c r="BR140" t="b">
        <v>1</v>
      </c>
      <c r="BS140" t="b">
        <f>Crops[[#This Row],[Harvests]]&gt;1</f>
        <v>0</v>
      </c>
      <c r="BT140" s="36">
        <f>IFERROR(Crops[[#This Row],[Direct Revenue Per Bed]]/Crops[[#This Row],[Days In Field]],-1)</f>
        <v>0</v>
      </c>
      <c r="BU140" s="36">
        <f>IFERROR(Crops[[#This Row],[Direct Revenue Per Bed Day]]*GrowingDays*BedsPerAcre,"")</f>
        <v>0</v>
      </c>
      <c r="BV140" s="38">
        <f>LastFrostDate-5*Crops[[#This Row],[Sewing Rel Last Frost]]</f>
        <v>45748</v>
      </c>
      <c r="BW140" s="38">
        <f>Crops[[#This Row],[Target Sewing Date]]+Crops[[#This Row],[Days in Cells]]</f>
        <v>45748</v>
      </c>
      <c r="BX140" s="38">
        <f>Crops[[#This Row],[Target Sewing Date]]+Crops[[#This Row],[STH]]</f>
        <v>45948</v>
      </c>
      <c r="BY140" s="38">
        <f>Crops[[#This Row],[Target Harvest Data]]+Crops[[#This Row],[Harvest window]]</f>
        <v>45955</v>
      </c>
      <c r="CB140">
        <f>1</f>
        <v>1</v>
      </c>
      <c r="CC140">
        <f>IF(Crops[[#This Row],[Transplanting]]&gt;0, 2, 3)*BedLength/StandardBedLength</f>
        <v>1.5</v>
      </c>
      <c r="CD140" s="173">
        <f>IF(Crops[[#This Row],[Days in Cells]]&lt;=0,0,Crops[[#This Row],[Plantings Per Bed]]/StartsPerHourSeeding+Crops[[#This Row],[Tray 1 Count]]*5/60)</f>
        <v>0</v>
      </c>
      <c r="CE140" s="173">
        <f>IF(ISBLANK(Crops[[#This Row],[Tray 2 Days]]),0,Crops[[#This Row],[Plantings Per Bed]]/UpPottingPerHour)+IF(Crops[[#This Row],[Tray 3 Days]]="",0,Crops[[#This Row],[Plantings Per Bed]]/UpPottingPerHour)</f>
        <v>0</v>
      </c>
      <c r="CF140" s="173">
        <f>IFERROR(Crops[[#This Row],[Tray 1 Count]]/HomeStartFlatIrrigationPerHour,0)*Crops[[#This Row],[Days in Cells]]/DaysBetweenStartIrrigation</f>
        <v>0</v>
      </c>
      <c r="CG140" s="173">
        <f>0.5/16*MAX(Crops[[#This Row],[Tray 1 Count]],Crops[[#This Row],[Tray 2 Count]],Crops[[#This Row],[Tray 3 Count]])</f>
        <v>0</v>
      </c>
      <c r="CH140" s="173">
        <f>IF(Crops[[#This Row],[Days in Cells]]&gt;0,IF(IF(Crops[[#This Row],[Tray 3 Size]]&gt;0,Crops[[#This Row],[Tray 3 Size]],IF(Crops[[#This Row],[Tray 2 Size]]&gt;0,Crops[[#This Row],[Tray 2 Size]],Crops[[#This Row],[Tray 1 Size]]))&lt;=18,LargeTransplantTime,SmallTransplantTime)*Crops[[#This Row],[Plantings Per Bed]],0)</f>
        <v>0</v>
      </c>
      <c r="CI140" s="173"/>
      <c r="CJ140" s="173">
        <f>_xlfn.XLOOKUP(Crops[[#This Row],[Trellis Type]],TrellisMethods[Trellis Type],TrellisMethods[Hours],0,0)</f>
        <v>0</v>
      </c>
      <c r="CK140">
        <f>IF(Crops[[#This Row],[Days in Cells]]&lt;=0,Crops[[#This Row],[Rows]]*1/10,0)*BedLength/50</f>
        <v>0.1</v>
      </c>
      <c r="CL140" cm="1">
        <f t="array" ref="CL140">_xlfn.SWITCH(Crops[[#This Row],[Irrigation]],"DR", 0.5, "OH", 0.25,0)*BedLength/50</f>
        <v>0</v>
      </c>
      <c r="CM140">
        <f>IF(OR(ISBLANK(Crops[[#This Row],[Row Cover]]),Crops[[#This Row],[Row Cover]]="None"),0,1)*BedLength/50</f>
        <v>0</v>
      </c>
      <c r="CN140" s="173">
        <f>HoursPerWeedingPass*Crops[[#This Row],[Days In Field]]/14*Crops[[#This Row],[Rows]]+1*BedLength/50</f>
        <v>3.4642857142857144</v>
      </c>
      <c r="CQ140" s="37">
        <f>_xlfn.XLOOKUP(Crops[[#This Row],[Crop]]&amp;Crops[[#This Row],[Product]]&amp;Crops[[#This Row],[Unit]],Products[ID],Products[Marketing (hr)])*Crops[[#This Row],[Direct Revenue Per Bed]]/2000</f>
        <v>0</v>
      </c>
      <c r="CR140" s="37">
        <f>_xlfn.XLOOKUP(Crops[[#This Row],[Crop]]&amp;Crops[[#This Row],[Product]]&amp;Crops[[#This Row],[Unit]],Products[ID],Products[Harvest (s)])*Crops[[#This Row],[Custom Yield Per Bed]]/3600</f>
        <v>0</v>
      </c>
      <c r="CS140" s="37">
        <f>_xlfn.XLOOKUP(Crops[[#This Row],[Crop]]&amp;Crops[[#This Row],[Product]]&amp;Crops[[#This Row],[Unit]],Products[ID],Products[Bunch (s)])*Crops[[#This Row],[Custom Yield Per Bed]]/3600</f>
        <v>0</v>
      </c>
      <c r="CT140" s="37">
        <f>_xlfn.XLOOKUP(Crops[[#This Row],[Crop]]&amp;Crops[[#This Row],[Product]]&amp;Crops[[#This Row],[Unit]],Products[ID],Products[Haul (s)])*Crops[[#This Row],[Custom Yield Per Bed]]/3600</f>
        <v>0</v>
      </c>
      <c r="CU140" s="37">
        <f>_xlfn.XLOOKUP(Crops[[#This Row],[Crop]]&amp;Crops[[#This Row],[Product]]&amp;Crops[[#This Row],[Unit]],Products[ID],Products[Wash (s)])*Crops[[#This Row],[Custom Yield Per Bed]]/3600</f>
        <v>0</v>
      </c>
      <c r="CV140" s="37">
        <f>_xlfn.XLOOKUP(Crops[[#This Row],[Crop]]&amp;Crops[[#This Row],[Product]]&amp;Crops[[#This Row],[Unit]],Products[ID],Products[Condition (s)])*Crops[[#This Row],[Custom Yield Per Bed]]/3600</f>
        <v>0</v>
      </c>
      <c r="CW140" s="37">
        <f>_xlfn.XLOOKUP(Crops[[#This Row],[Crop]]&amp;Crops[[#This Row],[Product]]&amp;Crops[[#This Row],[Unit]],Products[ID],Products[Trim (s)])*Crops[[#This Row],[Custom Yield Per Bed]]/3600</f>
        <v>0</v>
      </c>
      <c r="CX140" s="37">
        <f>_xlfn.XLOOKUP(Crops[[#This Row],[Crop]]&amp;Crops[[#This Row],[Product]]&amp;Crops[[#This Row],[Unit]],Products[ID],Products[Pack (s)])*Crops[[#This Row],[Custom Yield Per Bed]]/3600</f>
        <v>0</v>
      </c>
      <c r="CY140" s="37">
        <f>_xlfn.XLOOKUP(Crops[[#This Row],[Crop]]&amp;Crops[[#This Row],[Product]]&amp;Crops[[#This Row],[Unit]],Products[ID],Products[Clean (s)])*Crops[[#This Row],[Custom Yield Per Bed]]/3600</f>
        <v>0</v>
      </c>
      <c r="CZ140" s="37">
        <f>_xlfn.XLOOKUP(Crops[[#This Row],[Crop]]&amp;Crops[[#This Row],[Product]]&amp;Crops[[#This Row],[Unit]],Products[ID],Products[Rehandle (s)])*Crops[[#This Row],[Custom Yield Per Bed]]/3600</f>
        <v>0</v>
      </c>
      <c r="DA140" s="37">
        <f>_xlfn.XLOOKUP(Crops[[#This Row],[Crop]]&amp;Crops[[#This Row],[Product]]&amp;Crops[[#This Row],[Unit]],Products[ID],Products[Market Transport (s)])*Crops[[#This Row],[Custom Yield Per Bed]]/3600</f>
        <v>0</v>
      </c>
      <c r="DC140" s="37">
        <f>Crops[[#This Row],[Direct Revenue Per Bed2]]</f>
        <v>0</v>
      </c>
      <c r="DD140" s="173">
        <f>_xlfn.AGGREGATE(9,6,Crops[[#This Row],[Bed Prep]:[Remove Crop Residue]])</f>
        <v>5.0642857142857149</v>
      </c>
      <c r="DE140" s="173">
        <f>_xlfn.AGGREGATE(9,6,Crops[[#This Row],[Bed Prep]:[Remove Crop Residue]])-0.75*Crops[[#This Row],[Market &amp; Sell]]</f>
        <v>5.0642857142857149</v>
      </c>
      <c r="DF140" s="36">
        <f>Crops[[#This Row],[Direct Revenue Per Bed2]]/Crops[[#This Row],[Direct Time]]</f>
        <v>0</v>
      </c>
      <c r="DG140" s="36">
        <f>_xlfn.XLOOKUP(Crops[[#This Row],[ProductIndex]],Products[ID],Products[Packaging Cost])*(Crops[[#This Row],[Custom Yield Per Bed]]/_xlfn.XLOOKUP(Crops[[#This Row],[ProductIndex]],Products[ID],Products[Units Per Pack]))</f>
        <v>0</v>
      </c>
      <c r="DH140" s="36"/>
      <c r="DI140" s="36"/>
      <c r="DJ140" s="36"/>
      <c r="DK140" s="36"/>
      <c r="DL140" s="36"/>
      <c r="DM140" s="33">
        <f>IFERROR(Crops[[#This Row],[Custom Yield Per Bed]]*Crops[[#This Row],[Direct Price]],"")</f>
        <v>0</v>
      </c>
      <c r="DN140" s="36">
        <f>Crops[[#This Row],[Direct Time]]*LaborRate</f>
        <v>126.60714285714288</v>
      </c>
      <c r="DO140" s="36">
        <f>SUM(Crops[[#This Row],[Irrigation Cost]])</f>
        <v>0</v>
      </c>
      <c r="DP140" s="36">
        <f>Crops[[#This Row],[Direct Labor Cost]]+Crops[[#This Row],[Direct Non-Labor Cost]]</f>
        <v>126.60714285714288</v>
      </c>
      <c r="DQ140" s="36">
        <f>Crops[[#This Row],[Direct Revenue Per Bed2]]-Crops[[#This Row],[Direct Total Cost]]</f>
        <v>-126.60714285714288</v>
      </c>
      <c r="DR140" s="36">
        <f>Crops[[#This Row],[Direct Profit]]*BedsPerAcre</f>
        <v>-20257.142857142859</v>
      </c>
      <c r="DS140" s="36">
        <f>Crops[[#This Row],[Direct Profit]]*BedsPerAcre*GrowingDays/Crops[[#This Row],[Days In Field]]</f>
        <v>-17614.906832298137</v>
      </c>
      <c r="DT140" s="36">
        <f>Crops[[#This Row],[Direct Profit]]/MIN(Crops[[#This Row],[Days In Field]],GrowingDays)</f>
        <v>-0.70337301587301593</v>
      </c>
      <c r="DU140" s="36">
        <f>Crops[[#This Row],[Direct Time]] * BedsPerAcre</f>
        <v>810.28571428571445</v>
      </c>
      <c r="DV140" s="36">
        <f>(Crops[[#This Row],[Direct Revenue Per Bed2]]-Crops[[#This Row],[Direct Non-Labor Cost]])/Crops[[#This Row],[Direct Time]]</f>
        <v>0</v>
      </c>
      <c r="DW140" s="33">
        <f>IFERROR(Crops[[#This Row],[Custom Yield Per Bed]]*Crops[[#This Row],[Rough Wholesale Price]],"")</f>
        <v>0</v>
      </c>
      <c r="DX140" s="36">
        <f>Crops[[#This Row],[Wholesale Time]]*LaborRate</f>
        <v>126.60714285714288</v>
      </c>
      <c r="DY140" s="36">
        <f>SUM(Crops[[#This Row],[Packaging Costs]:[Irrigation Cost]])</f>
        <v>0</v>
      </c>
      <c r="DZ140" s="36">
        <f>Crops[[#This Row],[Wholesale Labor Cost]]+Crops[[#This Row],[Wholesale Non-Labor Cost]]</f>
        <v>126.60714285714288</v>
      </c>
      <c r="EA140" s="36">
        <f>Crops[[#This Row],[Wholesale Revenue Per Bed]]-Crops[[#This Row],[Wholesale Total Cost]]</f>
        <v>-126.60714285714288</v>
      </c>
      <c r="EB140" s="36">
        <f>Crops[[#This Row],[Wholesale Profit]]*BedsPerAcre</f>
        <v>-20257.142857142859</v>
      </c>
      <c r="EC140" s="36">
        <f>Crops[[#This Row],[Wholesale Profit]]*BedsPerAcre*GrowingDays/Crops[[#This Row],[Days In Field]]</f>
        <v>-17614.906832298137</v>
      </c>
      <c r="ED140" s="36">
        <f>Crops[[#This Row],[Wholesale Time]] * BedsPerAcre</f>
        <v>810.28571428571445</v>
      </c>
      <c r="EE140" s="36">
        <f>Crops[[#This Row],[Wholesale Profit]]/MIN(Crops[[#This Row],[Days In Field]],GrowingDays)</f>
        <v>-0.70337301587301593</v>
      </c>
      <c r="EF140" s="36">
        <f>(Crops[[#This Row],[Wholesale Revenue Per Bed]]-Crops[[#This Row],[Wholesale Non-Labor Cost]])/Crops[[#This Row],[Direct Time]]</f>
        <v>0</v>
      </c>
      <c r="EG140" s="174" t="e">
        <f>Crops[[#This Row],[Packaging Costs]]/Crops[[#This Row],[Wholesale Revenue Per Bed]]</f>
        <v>#DIV/0!</v>
      </c>
      <c r="EH140" s="36" t="str">
        <f>Crops[[#This Row],[Crop]]&amp;Crops[[#This Row],[Product]]&amp;Crops[[#This Row],[Unit]]</f>
        <v>GingerYoung RootLb</v>
      </c>
      <c r="EI140" s="36" t="b">
        <f>_xlfn.XLOOKUP(Crops[[#This Row],[ProductIndex]],Products[ID],Products[Target])</f>
        <v>0</v>
      </c>
      <c r="EJ140" s="36">
        <f>Crops[[#This Row],[Custom Yield Per Bed]]</f>
        <v>0</v>
      </c>
      <c r="EK140" s="210" t="e">
        <f>Crops[[#This Row],[Units Per Harvest]]/Crops[[#This Row],[Days Between Harvest]]*7</f>
        <v>#DIV/0!</v>
      </c>
      <c r="EL140" s="210" t="e">
        <f>Crops[[#This Row],[Custom Yield Per Bed]]/_xlfn.XLOOKUP(Crops[[#This Row],[ProductIndex]],Products[ID],Products[CSA Portion])</f>
        <v>#DIV/0!</v>
      </c>
      <c r="EM140" s="210" t="e">
        <f>Crops[[#This Row],[Units Per Harvest]]/Crops[[#This Row],[Days Between Harvest]]*7/_xlfn.XLOOKUP(Crops[[#This Row],[ProductIndex]],Products[ID],Products[CSA Portion])</f>
        <v>#DIV/0!</v>
      </c>
      <c r="EN140" s="210" t="e">
        <f>Crops[[#This Row],[CSA Portions Per Week]]/CSAMembers</f>
        <v>#DIV/0!</v>
      </c>
      <c r="EO140" s="210"/>
      <c r="EP140" s="210"/>
      <c r="EQ140" s="36"/>
      <c r="ER140" s="36">
        <f>Crops[[#This Row],[Harvests]]*Crops[[#This Row],[Days Between Harvest]]/7</f>
        <v>0</v>
      </c>
      <c r="ES140" s="208">
        <f>_xlfn.XLOOKUP(Crops[[#This Row],[ProductIndex]],Products[ID],Products[CSA Need])</f>
        <v>0</v>
      </c>
      <c r="ET140" s="208">
        <f>_xlfn.XLOOKUP(Crops[[#This Row],[ProductIndex]],Products[ID],Products[CSA Times])</f>
        <v>0</v>
      </c>
      <c r="EU140" s="208" t="e">
        <f>Crops[[#This Row],[Custom Yield Per Bed]]/(Crops[[#This Row],[CSA Need]]*(_xlfn.XLOOKUP(Crops[[#This Row],[ProductIndex]],Products[ID],Products[CSA Portion])*CSAMembers))</f>
        <v>#DIV/0!</v>
      </c>
      <c r="EV140" s="208" t="e">
        <f>_xlfn.XLOOKUP(Crops[[#This Row],[ProductIndex]],Products[ID],Products[CSA Portion])*CSAMembers*Crops[[#This Row],[CSA Need]]/Crops[[#This Row],[Custom Yield Per Bed]]</f>
        <v>#DIV/0!</v>
      </c>
      <c r="EW140" s="208" t="str">
        <f>IFERROR(Crops[[#This Row],[Days In Field]]*Crops[[#This Row],[CSA Beds]],"")</f>
        <v/>
      </c>
      <c r="EX140" s="208" t="e">
        <f>Crops[[#This Row],[CSA Bed Days]]*#REF!</f>
        <v>#VALUE!</v>
      </c>
      <c r="EY140">
        <v>0</v>
      </c>
    </row>
    <row r="141" spans="1:155">
      <c r="A14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Ginger (Moiga) - Young Root X | Field DS </v>
      </c>
      <c r="C141" s="1"/>
      <c r="D141" s="1"/>
      <c r="E141" s="1" t="b">
        <v>0</v>
      </c>
      <c r="F141" s="1" t="b">
        <f>IFERROR(IF(ISNUMBER(MATCH(Crops[[#This Row],[Identifier]],BedPlan[Crop], 0)), TRUE, FALSE), FALSE)</f>
        <v>0</v>
      </c>
      <c r="G141" s="1" t="b">
        <f>IFERROR(IF(ISNUMBER(MATCH(Crops[[#This Row],[Identifier]],BedPlan[Crop], 0)), TRUE, FALSE), FALSE)</f>
        <v>0</v>
      </c>
      <c r="H141" s="1" t="b">
        <v>1</v>
      </c>
      <c r="I141" t="s">
        <v>81</v>
      </c>
      <c r="J141" t="s">
        <v>162</v>
      </c>
      <c r="K141" t="s">
        <v>195</v>
      </c>
      <c r="N141" t="str">
        <f>Crops[[#This Row],[Crop]]</f>
        <v>Ginger</v>
      </c>
      <c r="O141" t="s">
        <v>210</v>
      </c>
      <c r="P141" t="str">
        <f>IF(OR(Crops[[#This Row],[Days in Cells]]="",Crops[[#This Row],[Days in Cells]]=0), "DS","TP")</f>
        <v>DS</v>
      </c>
      <c r="V141" t="str">
        <f xml:space="preserve"> IF(Crops[[#This Row],[Sp]], "Sp", "") &amp; IF(Crops[[#This Row],[Su]], "Su", "") &amp; IF(Crops[[#This Row],[Fa]], "Fa", "") &amp; IF(Crops[[#This Row],[Wi]], "Wi", "") &amp; IF(Crops[[#This Row],[OW]], "Ow","")</f>
        <v/>
      </c>
      <c r="AD141" s="32" t="str">
        <f>IFERROR(12/Crops[[#This Row],[Spacing]]*Crops[[#This Row],[Rows]]*BedLength,"")</f>
        <v/>
      </c>
      <c r="AG141">
        <f>IF(Crops[[#This Row],[Custom Safety Factor]]="",PlantingSafetyFactor,Crops[[#This Row],[Custom Safety Factor]])</f>
        <v>1.3</v>
      </c>
      <c r="AH141">
        <f>1</f>
        <v>1</v>
      </c>
      <c r="AI141" s="33" t="str">
        <f>IFERROR(Crops[[#This Row],[Plantings Per Bed]]*Crops[[#This Row],[Seeds Per Planting]]*Crops[[#This Row],[Safety Factor]]*Crops[[#This Row],[Seeding Factor]],"")</f>
        <v/>
      </c>
      <c r="AL141">
        <f>_xlfn.FLOOR.MATH(IFERROR(AVERAGE(Crops[[#This Row],[DTG Lower]:[DTG Upper]]),0))</f>
        <v>0</v>
      </c>
      <c r="AM141">
        <f>SUM(Crops[[#This Row],[Tray 1 Days]],Crops[[#This Row],[Tray 2 Days]],Crops[[#This Row],[Tray 3 Days]])</f>
        <v>0</v>
      </c>
      <c r="AP141">
        <v>0</v>
      </c>
      <c r="AQ141">
        <f>IFERROR(_xlfn.FLOOR.MATH(AVERAGE(Crops[[#This Row],[DTM Lower]:[DTM Upper]])),"")</f>
        <v>0</v>
      </c>
      <c r="AR141" cm="1">
        <f t="array" ref="AR141">_xlfn.SWITCH(Crops[[#This Row],[Normal Method]],"DS",Crops[[#This Row],[Days to Germination]]+Crops[[#This Row],[DTM]] + IF(Crops[[#This Row],[Days in Cells]]&gt;0,15,0), "TP",Crops[[#This Row],[DTM]]+Crops[[#This Row],[Days in Cells]] + IF(Crops[[#This Row],[Days in Cells]]&lt;=0,20,0), "X", Crops[[#This Row],[DTM]])</f>
        <v>20</v>
      </c>
      <c r="AS141" t="s">
        <v>346</v>
      </c>
      <c r="AT141">
        <f>(Crops[[#This Row],[Harvests]]-1)*Crops[[#This Row],[Days Between Harvest]]+7</f>
        <v>7</v>
      </c>
      <c r="AU141">
        <f>Crops[[#This Row],[STH]]-Crops[[#This Row],[Days in Cells]]+Crops[[#This Row],[Harvest window]]</f>
        <v>27</v>
      </c>
      <c r="AW141" t="s">
        <v>212</v>
      </c>
      <c r="AZ141" t="str">
        <f>IFERROR(IF(Crops[[#This Row],[Tray 1 Days]]=0,"",Crops[[#This Row],[Plantings Per Bed]]/Crops[[#This Row],[Tray 1 Size]]*Crops[[#This Row],[Safety Factor]]),"")</f>
        <v/>
      </c>
      <c r="BC141" t="str">
        <f>IFERROR(IF(Crops[[#This Row],[Tray 2 Days]]=0,"",Crops[[#This Row],[Plantings Per Bed]]/Crops[[#This Row],[Tray 2 Size]]*Crops[[#This Row],[Safety Factor]]),"")</f>
        <v/>
      </c>
      <c r="BE141" s="32" t="str">
        <f>IF(NOT(ISBLANK(Crops[[#This Row],[Tray 3 Size]])), Crops[[#This Row],[Days in Cells Old]]-SUM(Crops[[#This Row],[Tray 1 Days]],Crops[[#This Row],[Tray 2 Days]]), "")</f>
        <v/>
      </c>
      <c r="BF141" t="str">
        <f>IFERROR(IF(Crops[[#This Row],[Tray 3 Days]]=0,"",Crops[[#This Row],[Plantings Per Bed]]/Crops[[#This Row],[Tray 3 Size]]*Crops[[#This Row],[Safety Factor]]),"")</f>
        <v/>
      </c>
      <c r="BG141" s="33"/>
      <c r="BH141" s="33"/>
      <c r="BI141" s="33"/>
      <c r="BJ141" s="33">
        <f>_xlfn.XLOOKUP(Crops[[#This Row],[ProductIndex]],Products[ID],Products[Holding Period])</f>
        <v>0</v>
      </c>
      <c r="BK141" s="33"/>
      <c r="BL141" s="33">
        <f>Crops[[#This Row],[Units Per Harvest]]*Crops[[#This Row],[Harvests]]</f>
        <v>0</v>
      </c>
      <c r="BM141" s="35">
        <v>20</v>
      </c>
      <c r="BN141" s="35">
        <f>Crops[[#This Row],[Direct Price]]*0.6</f>
        <v>12</v>
      </c>
      <c r="BO141" s="35"/>
      <c r="BP141" t="s">
        <v>397</v>
      </c>
      <c r="BQ141">
        <f>Crops[[#This Row],[Custom Yield Per Bed]]*Crops[[#This Row],[Direct Price]]</f>
        <v>0</v>
      </c>
      <c r="BR141" t="b">
        <v>1</v>
      </c>
      <c r="BS141" t="b">
        <f>Crops[[#This Row],[Harvests]]&gt;1</f>
        <v>0</v>
      </c>
      <c r="BT141" s="36">
        <f>IFERROR(Crops[[#This Row],[Direct Revenue Per Bed]]/Crops[[#This Row],[Days In Field]],-1)</f>
        <v>0</v>
      </c>
      <c r="BU141" s="36">
        <f>IFERROR(Crops[[#This Row],[Direct Revenue Per Bed Day]]*GrowingDays*BedsPerAcre,"")</f>
        <v>0</v>
      </c>
      <c r="BV141" s="38">
        <f>LastFrostDate-5*Crops[[#This Row],[Sewing Rel Last Frost]]</f>
        <v>45748</v>
      </c>
      <c r="BW141" s="38">
        <f>Crops[[#This Row],[Target Sewing Date]]+Crops[[#This Row],[Days in Cells]]</f>
        <v>45748</v>
      </c>
      <c r="BX141" s="38">
        <f>Crops[[#This Row],[Target Sewing Date]]+Crops[[#This Row],[STH]]</f>
        <v>45768</v>
      </c>
      <c r="BY141" s="38">
        <f>Crops[[#This Row],[Target Harvest Data]]+Crops[[#This Row],[Harvest window]]</f>
        <v>45775</v>
      </c>
      <c r="CB141">
        <f>1</f>
        <v>1</v>
      </c>
      <c r="CC141">
        <f>IF(Crops[[#This Row],[Transplanting]]&gt;0, 2, 3)*BedLength/StandardBedLength</f>
        <v>1.5</v>
      </c>
      <c r="CD141" s="173">
        <f>IF(Crops[[#This Row],[Days in Cells]]&lt;=0,0,Crops[[#This Row],[Plantings Per Bed]]/StartsPerHourSeeding+Crops[[#This Row],[Tray 1 Count]]*5/60)</f>
        <v>0</v>
      </c>
      <c r="CE141" s="173">
        <f>IF(ISBLANK(Crops[[#This Row],[Tray 2 Days]]),0,Crops[[#This Row],[Plantings Per Bed]]/UpPottingPerHour)+IF(Crops[[#This Row],[Tray 3 Days]]="",0,Crops[[#This Row],[Plantings Per Bed]]/UpPottingPerHour)</f>
        <v>0</v>
      </c>
      <c r="CF141" s="173">
        <f>IFERROR(Crops[[#This Row],[Tray 1 Count]]/HomeStartFlatIrrigationPerHour,0)*Crops[[#This Row],[Days in Cells]]/DaysBetweenStartIrrigation</f>
        <v>0</v>
      </c>
      <c r="CG141" s="173">
        <f>0.5/16*MAX(Crops[[#This Row],[Tray 1 Count]],Crops[[#This Row],[Tray 2 Count]],Crops[[#This Row],[Tray 3 Count]])</f>
        <v>0</v>
      </c>
      <c r="CH141" s="173">
        <f>IF(Crops[[#This Row],[Days in Cells]]&gt;0,IF(IF(Crops[[#This Row],[Tray 3 Size]]&gt;0,Crops[[#This Row],[Tray 3 Size]],IF(Crops[[#This Row],[Tray 2 Size]]&gt;0,Crops[[#This Row],[Tray 2 Size]],Crops[[#This Row],[Tray 1 Size]]))&lt;=18,LargeTransplantTime,SmallTransplantTime)*Crops[[#This Row],[Plantings Per Bed]],0)</f>
        <v>0</v>
      </c>
      <c r="CI141" s="173"/>
      <c r="CJ141" s="173">
        <f>_xlfn.XLOOKUP(Crops[[#This Row],[Trellis Type]],TrellisMethods[Trellis Type],TrellisMethods[Hours],0,0)</f>
        <v>0</v>
      </c>
      <c r="CK141">
        <f>IF(Crops[[#This Row],[Days in Cells]]&lt;=0,Crops[[#This Row],[Rows]]*1/10,0)*BedLength/50</f>
        <v>0</v>
      </c>
      <c r="CL141" cm="1">
        <f t="array" ref="CL141">_xlfn.SWITCH(Crops[[#This Row],[Irrigation]],"DR", 0.5, "OH", 0.25,0)*BedLength/50</f>
        <v>0</v>
      </c>
      <c r="CM141">
        <f>IF(OR(ISBLANK(Crops[[#This Row],[Row Cover]]),Crops[[#This Row],[Row Cover]]="None"),0,1)*BedLength/50</f>
        <v>0</v>
      </c>
      <c r="CN141" s="173">
        <f>HoursPerWeedingPass*Crops[[#This Row],[Days In Field]]/14*Crops[[#This Row],[Rows]]+1*BedLength/50</f>
        <v>1</v>
      </c>
      <c r="CQ141" s="37">
        <f>_xlfn.XLOOKUP(Crops[[#This Row],[Crop]]&amp;Crops[[#This Row],[Product]]&amp;Crops[[#This Row],[Unit]],Products[ID],Products[Marketing (hr)])*Crops[[#This Row],[Direct Revenue Per Bed]]/2000</f>
        <v>0</v>
      </c>
      <c r="CR141" s="37">
        <f>_xlfn.XLOOKUP(Crops[[#This Row],[Crop]]&amp;Crops[[#This Row],[Product]]&amp;Crops[[#This Row],[Unit]],Products[ID],Products[Harvest (s)])*Crops[[#This Row],[Custom Yield Per Bed]]/3600</f>
        <v>0</v>
      </c>
      <c r="CS141" s="37">
        <f>_xlfn.XLOOKUP(Crops[[#This Row],[Crop]]&amp;Crops[[#This Row],[Product]]&amp;Crops[[#This Row],[Unit]],Products[ID],Products[Bunch (s)])*Crops[[#This Row],[Custom Yield Per Bed]]/3600</f>
        <v>0</v>
      </c>
      <c r="CT141" s="37">
        <f>_xlfn.XLOOKUP(Crops[[#This Row],[Crop]]&amp;Crops[[#This Row],[Product]]&amp;Crops[[#This Row],[Unit]],Products[ID],Products[Haul (s)])*Crops[[#This Row],[Custom Yield Per Bed]]/3600</f>
        <v>0</v>
      </c>
      <c r="CU141" s="37">
        <f>_xlfn.XLOOKUP(Crops[[#This Row],[Crop]]&amp;Crops[[#This Row],[Product]]&amp;Crops[[#This Row],[Unit]],Products[ID],Products[Wash (s)])*Crops[[#This Row],[Custom Yield Per Bed]]/3600</f>
        <v>0</v>
      </c>
      <c r="CV141" s="37">
        <f>_xlfn.XLOOKUP(Crops[[#This Row],[Crop]]&amp;Crops[[#This Row],[Product]]&amp;Crops[[#This Row],[Unit]],Products[ID],Products[Condition (s)])*Crops[[#This Row],[Custom Yield Per Bed]]/3600</f>
        <v>0</v>
      </c>
      <c r="CW141" s="37">
        <f>_xlfn.XLOOKUP(Crops[[#This Row],[Crop]]&amp;Crops[[#This Row],[Product]]&amp;Crops[[#This Row],[Unit]],Products[ID],Products[Trim (s)])*Crops[[#This Row],[Custom Yield Per Bed]]/3600</f>
        <v>0</v>
      </c>
      <c r="CX141" s="37">
        <f>_xlfn.XLOOKUP(Crops[[#This Row],[Crop]]&amp;Crops[[#This Row],[Product]]&amp;Crops[[#This Row],[Unit]],Products[ID],Products[Pack (s)])*Crops[[#This Row],[Custom Yield Per Bed]]/3600</f>
        <v>0</v>
      </c>
      <c r="CY141" s="37">
        <f>_xlfn.XLOOKUP(Crops[[#This Row],[Crop]]&amp;Crops[[#This Row],[Product]]&amp;Crops[[#This Row],[Unit]],Products[ID],Products[Clean (s)])*Crops[[#This Row],[Custom Yield Per Bed]]/3600</f>
        <v>0</v>
      </c>
      <c r="CZ141" s="37">
        <f>_xlfn.XLOOKUP(Crops[[#This Row],[Crop]]&amp;Crops[[#This Row],[Product]]&amp;Crops[[#This Row],[Unit]],Products[ID],Products[Rehandle (s)])*Crops[[#This Row],[Custom Yield Per Bed]]/3600</f>
        <v>0</v>
      </c>
      <c r="DA141" s="37">
        <f>_xlfn.XLOOKUP(Crops[[#This Row],[Crop]]&amp;Crops[[#This Row],[Product]]&amp;Crops[[#This Row],[Unit]],Products[ID],Products[Market Transport (s)])*Crops[[#This Row],[Custom Yield Per Bed]]/3600</f>
        <v>0</v>
      </c>
      <c r="DC141" s="37">
        <f>Crops[[#This Row],[Direct Revenue Per Bed2]]</f>
        <v>0</v>
      </c>
      <c r="DD141" s="173">
        <f>_xlfn.AGGREGATE(9,6,Crops[[#This Row],[Bed Prep]:[Remove Crop Residue]])</f>
        <v>2.5</v>
      </c>
      <c r="DE141" s="173">
        <f>_xlfn.AGGREGATE(9,6,Crops[[#This Row],[Bed Prep]:[Remove Crop Residue]])-0.75*Crops[[#This Row],[Market &amp; Sell]]</f>
        <v>2.5</v>
      </c>
      <c r="DF141" s="36">
        <f>Crops[[#This Row],[Direct Revenue Per Bed2]]/Crops[[#This Row],[Direct Time]]</f>
        <v>0</v>
      </c>
      <c r="DG141" s="36">
        <f>_xlfn.XLOOKUP(Crops[[#This Row],[ProductIndex]],Products[ID],Products[Packaging Cost])*(Crops[[#This Row],[Custom Yield Per Bed]]/_xlfn.XLOOKUP(Crops[[#This Row],[ProductIndex]],Products[ID],Products[Units Per Pack]))</f>
        <v>0</v>
      </c>
      <c r="DH141" s="36"/>
      <c r="DI141" s="36"/>
      <c r="DJ141" s="36"/>
      <c r="DK141" s="36"/>
      <c r="DL141" s="36"/>
      <c r="DM141" s="33">
        <f>IFERROR(Crops[[#This Row],[Custom Yield Per Bed]]*Crops[[#This Row],[Direct Price]],"")</f>
        <v>0</v>
      </c>
      <c r="DN141" s="36">
        <f>Crops[[#This Row],[Direct Time]]*LaborRate</f>
        <v>62.5</v>
      </c>
      <c r="DO141" s="36">
        <f>SUM(Crops[[#This Row],[Irrigation Cost]])</f>
        <v>0</v>
      </c>
      <c r="DP141" s="36">
        <f>Crops[[#This Row],[Direct Labor Cost]]+Crops[[#This Row],[Direct Non-Labor Cost]]</f>
        <v>62.5</v>
      </c>
      <c r="DQ141" s="36">
        <f>Crops[[#This Row],[Direct Revenue Per Bed2]]-Crops[[#This Row],[Direct Total Cost]]</f>
        <v>-62.5</v>
      </c>
      <c r="DR141" s="36">
        <f>Crops[[#This Row],[Direct Profit]]*BedsPerAcre</f>
        <v>-10000</v>
      </c>
      <c r="DS141" s="36">
        <f>Crops[[#This Row],[Direct Profit]]*BedsPerAcre*GrowingDays/Crops[[#This Row],[Days In Field]]</f>
        <v>-66666.666666666672</v>
      </c>
      <c r="DT141" s="36">
        <f>Crops[[#This Row],[Direct Profit]]/MIN(Crops[[#This Row],[Days In Field]],GrowingDays)</f>
        <v>-2.3148148148148149</v>
      </c>
      <c r="DU141" s="36">
        <f>Crops[[#This Row],[Direct Time]] * BedsPerAcre</f>
        <v>400</v>
      </c>
      <c r="DV141" s="36">
        <f>(Crops[[#This Row],[Direct Revenue Per Bed2]]-Crops[[#This Row],[Direct Non-Labor Cost]])/Crops[[#This Row],[Direct Time]]</f>
        <v>0</v>
      </c>
      <c r="DW141" s="33">
        <f>IFERROR(Crops[[#This Row],[Custom Yield Per Bed]]*Crops[[#This Row],[Rough Wholesale Price]],"")</f>
        <v>0</v>
      </c>
      <c r="DX141" s="36">
        <f>Crops[[#This Row],[Wholesale Time]]*LaborRate</f>
        <v>62.5</v>
      </c>
      <c r="DY141" s="36">
        <f>SUM(Crops[[#This Row],[Packaging Costs]:[Irrigation Cost]])</f>
        <v>0</v>
      </c>
      <c r="DZ141" s="36">
        <f>Crops[[#This Row],[Wholesale Labor Cost]]+Crops[[#This Row],[Wholesale Non-Labor Cost]]</f>
        <v>62.5</v>
      </c>
      <c r="EA141" s="36">
        <f>Crops[[#This Row],[Wholesale Revenue Per Bed]]-Crops[[#This Row],[Wholesale Total Cost]]</f>
        <v>-62.5</v>
      </c>
      <c r="EB141" s="36">
        <f>Crops[[#This Row],[Wholesale Profit]]*BedsPerAcre</f>
        <v>-10000</v>
      </c>
      <c r="EC141" s="36">
        <f>Crops[[#This Row],[Wholesale Profit]]*BedsPerAcre*GrowingDays/Crops[[#This Row],[Days In Field]]</f>
        <v>-66666.666666666672</v>
      </c>
      <c r="ED141" s="36">
        <f>Crops[[#This Row],[Wholesale Time]] * BedsPerAcre</f>
        <v>400</v>
      </c>
      <c r="EE141" s="36">
        <f>Crops[[#This Row],[Wholesale Profit]]/MIN(Crops[[#This Row],[Days In Field]],GrowingDays)</f>
        <v>-2.3148148148148149</v>
      </c>
      <c r="EF141" s="36">
        <f>(Crops[[#This Row],[Wholesale Revenue Per Bed]]-Crops[[#This Row],[Wholesale Non-Labor Cost]])/Crops[[#This Row],[Direct Time]]</f>
        <v>0</v>
      </c>
      <c r="EG141" s="174" t="e">
        <f>Crops[[#This Row],[Packaging Costs]]/Crops[[#This Row],[Wholesale Revenue Per Bed]]</f>
        <v>#DIV/0!</v>
      </c>
      <c r="EH141" s="36" t="str">
        <f>Crops[[#This Row],[Crop]]&amp;Crops[[#This Row],[Product]]&amp;Crops[[#This Row],[Unit]]</f>
        <v>GingerYoung Rootlb</v>
      </c>
      <c r="EI141" s="36" t="b">
        <f>_xlfn.XLOOKUP(Crops[[#This Row],[ProductIndex]],Products[ID],Products[Target])</f>
        <v>0</v>
      </c>
      <c r="EJ141" s="36">
        <f>Crops[[#This Row],[Custom Yield Per Bed]]</f>
        <v>0</v>
      </c>
      <c r="EK141" s="210" t="e">
        <f>Crops[[#This Row],[Units Per Harvest]]/Crops[[#This Row],[Days Between Harvest]]*7</f>
        <v>#DIV/0!</v>
      </c>
      <c r="EL141" s="210" t="e">
        <f>Crops[[#This Row],[Custom Yield Per Bed]]/_xlfn.XLOOKUP(Crops[[#This Row],[ProductIndex]],Products[ID],Products[CSA Portion])</f>
        <v>#DIV/0!</v>
      </c>
      <c r="EM141" s="210" t="e">
        <f>Crops[[#This Row],[Units Per Harvest]]/Crops[[#This Row],[Days Between Harvest]]*7/_xlfn.XLOOKUP(Crops[[#This Row],[ProductIndex]],Products[ID],Products[CSA Portion])</f>
        <v>#DIV/0!</v>
      </c>
      <c r="EN141" s="210" t="e">
        <f>Crops[[#This Row],[CSA Portions Per Week]]/CSAMembers</f>
        <v>#DIV/0!</v>
      </c>
      <c r="EO141" s="210"/>
      <c r="EP141" s="210"/>
      <c r="EQ141" s="36"/>
      <c r="ER141" s="36">
        <f>Crops[[#This Row],[Harvests]]*Crops[[#This Row],[Days Between Harvest]]/7</f>
        <v>0</v>
      </c>
      <c r="ES141" s="208">
        <f>_xlfn.XLOOKUP(Crops[[#This Row],[ProductIndex]],Products[ID],Products[CSA Need])</f>
        <v>0</v>
      </c>
      <c r="ET141" s="208">
        <f>_xlfn.XLOOKUP(Crops[[#This Row],[ProductIndex]],Products[ID],Products[CSA Times])</f>
        <v>0</v>
      </c>
      <c r="EU141" s="208" t="e">
        <f>Crops[[#This Row],[Custom Yield Per Bed]]/(Crops[[#This Row],[CSA Need]]*(_xlfn.XLOOKUP(Crops[[#This Row],[ProductIndex]],Products[ID],Products[CSA Portion])*CSAMembers))</f>
        <v>#DIV/0!</v>
      </c>
      <c r="EV141" s="208" t="e">
        <f>_xlfn.XLOOKUP(Crops[[#This Row],[ProductIndex]],Products[ID],Products[CSA Portion])*CSAMembers*Crops[[#This Row],[CSA Need]]/Crops[[#This Row],[Custom Yield Per Bed]]</f>
        <v>#DIV/0!</v>
      </c>
      <c r="EW141" s="208" t="str">
        <f>IFERROR(Crops[[#This Row],[Days In Field]]*Crops[[#This Row],[CSA Beds]],"")</f>
        <v/>
      </c>
      <c r="EX141" s="208" t="e">
        <f>Crops[[#This Row],[CSA Bed Days]]*#REF!</f>
        <v>#VALUE!</v>
      </c>
      <c r="EY141" t="s">
        <v>282</v>
      </c>
    </row>
    <row r="142" spans="1:155">
      <c r="A142"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Gooseberry (Cape) - Mature Berry 1X | Field TP </v>
      </c>
      <c r="B142" s="190"/>
      <c r="C142" s="1" t="s">
        <v>2588</v>
      </c>
      <c r="D142" s="1"/>
      <c r="E142" s="1" t="b">
        <v>0</v>
      </c>
      <c r="F142" s="1" t="b">
        <f>IFERROR(IF(ISNUMBER(MATCH(Crops[[#This Row],[Identifier]],BedPlan[Crop], 0)), TRUE, FALSE), FALSE)</f>
        <v>1</v>
      </c>
      <c r="G142" s="1" t="b">
        <f>IFERROR(IF(ISNUMBER(MATCH(Crops[[#This Row],[Identifier]],BedPlan[Crop], 0)), TRUE, FALSE), FALSE)</f>
        <v>1</v>
      </c>
      <c r="H142" s="1" t="b">
        <v>1</v>
      </c>
      <c r="I142" t="s">
        <v>393</v>
      </c>
      <c r="J142" t="s">
        <v>394</v>
      </c>
      <c r="K142" t="s">
        <v>395</v>
      </c>
      <c r="N142" t="str">
        <f>Crops[[#This Row],[Crop]]</f>
        <v>Gooseberry</v>
      </c>
      <c r="O142" t="s">
        <v>210</v>
      </c>
      <c r="P142" t="str">
        <f>IF(OR(Crops[[#This Row],[Days in Cells]]="",Crops[[#This Row],[Days in Cells]]=0), "DS","TP")</f>
        <v>TP</v>
      </c>
      <c r="V142" t="str">
        <f xml:space="preserve"> IF(Crops[[#This Row],[Sp]], "Sp", "") &amp; IF(Crops[[#This Row],[Su]], "Su", "") &amp; IF(Crops[[#This Row],[Fa]], "Fa", "") &amp; IF(Crops[[#This Row],[Wi]], "Wi", "") &amp; IF(Crops[[#This Row],[OW]], "Ow","")</f>
        <v/>
      </c>
      <c r="W142" t="b">
        <v>1</v>
      </c>
      <c r="X142">
        <v>1</v>
      </c>
      <c r="Y142">
        <v>30</v>
      </c>
      <c r="AD142" s="32">
        <f>IFERROR(12/Crops[[#This Row],[Spacing]]*Crops[[#This Row],[Rows]]*BedLength,"")</f>
        <v>20</v>
      </c>
      <c r="AE142">
        <v>1</v>
      </c>
      <c r="AG142">
        <f>IF(Crops[[#This Row],[Custom Safety Factor]]="",PlantingSafetyFactor,Crops[[#This Row],[Custom Safety Factor]])</f>
        <v>1.3</v>
      </c>
      <c r="AH142">
        <f>1</f>
        <v>1</v>
      </c>
      <c r="AI142" s="37">
        <f>IFERROR(Crops[[#This Row],[Plantings Per Bed]]*Crops[[#This Row],[Seeds Per Planting]]*Crops[[#This Row],[Safety Factor]]*Crops[[#This Row],[Seeding Factor]],"")</f>
        <v>26</v>
      </c>
      <c r="AL142">
        <f>_xlfn.FLOOR.MATH(IFERROR(AVERAGE(Crops[[#This Row],[DTG Lower]:[DTG Upper]]),0))</f>
        <v>0</v>
      </c>
      <c r="AM142">
        <f>SUM(Crops[[#This Row],[Tray 1 Days]],Crops[[#This Row],[Tray 2 Days]],Crops[[#This Row],[Tray 3 Days]])</f>
        <v>53</v>
      </c>
      <c r="AN142">
        <v>55</v>
      </c>
      <c r="AO142">
        <v>90</v>
      </c>
      <c r="AP142">
        <v>120</v>
      </c>
      <c r="AQ142">
        <f>IFERROR(_xlfn.FLOOR.MATH(AVERAGE(Crops[[#This Row],[DTM Lower]:[DTM Upper]])),"")</f>
        <v>105</v>
      </c>
      <c r="AR142" cm="1">
        <f t="array" ref="AR142">_xlfn.SWITCH(Crops[[#This Row],[Normal Method]],"DS",Crops[[#This Row],[Days to Germination]]+Crops[[#This Row],[DTM]] + IF(Crops[[#This Row],[Days in Cells]]&gt;0,15,0), "TP",Crops[[#This Row],[DTM]]+Crops[[#This Row],[Days in Cells]] + IF(Crops[[#This Row],[Days in Cells]]&lt;=0,20,0), "X", Crops[[#This Row],[DTM]])</f>
        <v>158</v>
      </c>
      <c r="AS142" t="s">
        <v>346</v>
      </c>
      <c r="AT142">
        <f>(Crops[[#This Row],[Harvests]]-1)*Crops[[#This Row],[Days Between Harvest]]+7</f>
        <v>98</v>
      </c>
      <c r="AU142">
        <f>Crops[[#This Row],[STH]]-Crops[[#This Row],[Days in Cells]]+Crops[[#This Row],[Harvest window]]</f>
        <v>203</v>
      </c>
      <c r="AX142">
        <v>72</v>
      </c>
      <c r="AY142">
        <v>21</v>
      </c>
      <c r="AZ142">
        <f>IFERROR(IF(Crops[[#This Row],[Tray 1 Days]]=0,"",Crops[[#This Row],[Plantings Per Bed]]/Crops[[#This Row],[Tray 1 Size]]*Crops[[#This Row],[Safety Factor]]),"")</f>
        <v>0.36111111111111116</v>
      </c>
      <c r="BA142">
        <v>21</v>
      </c>
      <c r="BB142">
        <v>18</v>
      </c>
      <c r="BC142">
        <f>IFERROR(IF(Crops[[#This Row],[Tray 2 Days]]=0,"",Crops[[#This Row],[Plantings Per Bed]]/Crops[[#This Row],[Tray 2 Size]]*Crops[[#This Row],[Safety Factor]]),"")</f>
        <v>1.2380952380952381</v>
      </c>
      <c r="BD142">
        <v>9</v>
      </c>
      <c r="BE142" s="32">
        <v>14</v>
      </c>
      <c r="BF142">
        <f>IFERROR(IF(Crops[[#This Row],[Tray 3 Days]]=0,"",Crops[[#This Row],[Plantings Per Bed]]/Crops[[#This Row],[Tray 3 Size]]*Crops[[#This Row],[Safety Factor]]),"")</f>
        <v>2.8888888888888893</v>
      </c>
      <c r="BG142" s="32">
        <f>Crops[[#This Row],[Plantings Per Bed]]*8/Crops[[#This Row],[Harvests]]</f>
        <v>11.428571428571429</v>
      </c>
      <c r="BH142">
        <v>14</v>
      </c>
      <c r="BI142">
        <v>7</v>
      </c>
      <c r="BJ142" s="37">
        <f>_xlfn.XLOOKUP(Crops[[#This Row],[ProductIndex]],Products[ID],Products[Holding Period])</f>
        <v>0</v>
      </c>
      <c r="BL142" s="37">
        <f>Crops[[#This Row],[Units Per Harvest]]*Crops[[#This Row],[Harvests]]</f>
        <v>160</v>
      </c>
      <c r="BM142" s="35">
        <v>8</v>
      </c>
      <c r="BN142" s="35">
        <f>Crops[[#This Row],[Direct Price]]*0.6</f>
        <v>4.8</v>
      </c>
      <c r="BO142" s="35"/>
      <c r="BP142" t="s">
        <v>2359</v>
      </c>
      <c r="BQ142" s="193">
        <f>Crops[[#This Row],[Custom Yield Per Bed]]*Crops[[#This Row],[Direct Price]]</f>
        <v>1280</v>
      </c>
      <c r="BR142" s="193" t="b">
        <v>0</v>
      </c>
      <c r="BS142" t="b">
        <f>Crops[[#This Row],[Harvests]]&gt;1</f>
        <v>1</v>
      </c>
      <c r="BT142" s="36">
        <f>IFERROR(Crops[[#This Row],[Direct Revenue Per Bed]]/Crops[[#This Row],[Days In Field]],-1)</f>
        <v>6.305418719211823</v>
      </c>
      <c r="BU142" s="33">
        <f>IFERROR(Crops[[#This Row],[Direct Revenue Per Bed Day]]*GrowingDays*BedsPerAcre,"")</f>
        <v>181596.05911330052</v>
      </c>
      <c r="BV142" s="38">
        <f>LastFrostDate-5*Crops[[#This Row],[Sewing Rel Last Frost]]</f>
        <v>45748</v>
      </c>
      <c r="BW142" s="38">
        <f>Crops[[#This Row],[Target Sewing Date]]+Crops[[#This Row],[Days in Cells]]</f>
        <v>45801</v>
      </c>
      <c r="BX142" s="38">
        <f>Crops[[#This Row],[Target Sewing Date]]+Crops[[#This Row],[STH]]</f>
        <v>45906</v>
      </c>
      <c r="BY142" s="38">
        <f>Crops[[#This Row],[Target Harvest Data]]+Crops[[#This Row],[Harvest window]]</f>
        <v>46004</v>
      </c>
      <c r="CB142">
        <f>1</f>
        <v>1</v>
      </c>
      <c r="CC142">
        <f>IF(Crops[[#This Row],[Transplanting]]&gt;0, 2, 3)*BedLength/StandardBedLength</f>
        <v>1</v>
      </c>
      <c r="CD142" s="173">
        <f>IF(Crops[[#This Row],[Days in Cells]]&lt;=0,0,Crops[[#This Row],[Plantings Per Bed]]/StartsPerHourSeeding+Crops[[#This Row],[Tray 1 Count]]*5/60)</f>
        <v>0.1082175925925926</v>
      </c>
      <c r="CE142" s="173">
        <f>IF(ISBLANK(Crops[[#This Row],[Tray 2 Days]]),0,Crops[[#This Row],[Plantings Per Bed]]/UpPottingPerHour)+IF(Crops[[#This Row],[Tray 3 Days]]="",0,Crops[[#This Row],[Plantings Per Bed]]/UpPottingPerHour)</f>
        <v>0.33333333333333331</v>
      </c>
      <c r="CF142" s="173">
        <f>IFERROR(Crops[[#This Row],[Tray 1 Count]]/HomeStartFlatIrrigationPerHour,0)*Crops[[#This Row],[Days in Cells]]/DaysBetweenStartIrrigation</f>
        <v>7.9745370370370383E-2</v>
      </c>
      <c r="CG142" s="173">
        <f>0.5/16*MAX(Crops[[#This Row],[Tray 1 Count]],Crops[[#This Row],[Tray 2 Count]],Crops[[#This Row],[Tray 3 Count]])</f>
        <v>9.027777777777779E-2</v>
      </c>
      <c r="CH142" s="173">
        <f>IF(Crops[[#This Row],[Days in Cells]]&gt;0,IF(IF(Crops[[#This Row],[Tray 3 Size]]&gt;0,Crops[[#This Row],[Tray 3 Size]],IF(Crops[[#This Row],[Tray 2 Size]]&gt;0,Crops[[#This Row],[Tray 2 Size]],Crops[[#This Row],[Tray 1 Size]]))&lt;=18,LargeTransplantTime,SmallTransplantTime)*Crops[[#This Row],[Plantings Per Bed]],0)</f>
        <v>0.83333333333333326</v>
      </c>
      <c r="CI142" s="173"/>
      <c r="CJ142" s="173">
        <f>_xlfn.XLOOKUP(Crops[[#This Row],[Trellis Type]],TrellisMethods[Trellis Type],TrellisMethods[Hours],0,0)</f>
        <v>0</v>
      </c>
      <c r="CK142">
        <f>IF(Crops[[#This Row],[Days in Cells]]&lt;=0,Crops[[#This Row],[Rows]]*1/10,0)*BedLength/50</f>
        <v>0</v>
      </c>
      <c r="CL142" cm="1">
        <f t="array" ref="CL142">_xlfn.SWITCH(Crops[[#This Row],[Irrigation]],"DR", 0.5, "OH", 0.25,0)*BedLength/50</f>
        <v>0</v>
      </c>
      <c r="CM142">
        <f>IF(OR(ISBLANK(Crops[[#This Row],[Row Cover]]),Crops[[#This Row],[Row Cover]]="None"),0,1)*BedLength/50</f>
        <v>0</v>
      </c>
      <c r="CN142" s="173">
        <f>HoursPerWeedingPass*Crops[[#This Row],[Days In Field]]/14*Crops[[#This Row],[Rows]]+1*BedLength/50</f>
        <v>3.4166666666666665</v>
      </c>
      <c r="CO142" s="49">
        <f>0.25*Crops[[#This Row],[Days In Field]]/7*BedLength/50</f>
        <v>7.25</v>
      </c>
      <c r="CQ142" s="37">
        <f>_xlfn.XLOOKUP(Crops[[#This Row],[Crop]]&amp;Crops[[#This Row],[Product]]&amp;Crops[[#This Row],[Unit]],Products[ID],Products[Marketing (hr)])*Crops[[#This Row],[Direct Revenue Per Bed]]/2000</f>
        <v>3.2</v>
      </c>
      <c r="CR142" s="37">
        <f>_xlfn.XLOOKUP(Crops[[#This Row],[Crop]]&amp;Crops[[#This Row],[Product]]&amp;Crops[[#This Row],[Unit]],Products[ID],Products[Harvest (s)])*Crops[[#This Row],[Custom Yield Per Bed]]/3600</f>
        <v>7.1111111111111107</v>
      </c>
      <c r="CS142" s="37">
        <f>_xlfn.XLOOKUP(Crops[[#This Row],[Crop]]&amp;Crops[[#This Row],[Product]]&amp;Crops[[#This Row],[Unit]],Products[ID],Products[Bunch (s)])*Crops[[#This Row],[Custom Yield Per Bed]]/3600</f>
        <v>0</v>
      </c>
      <c r="CT142" s="37">
        <f>_xlfn.XLOOKUP(Crops[[#This Row],[Crop]]&amp;Crops[[#This Row],[Product]]&amp;Crops[[#This Row],[Unit]],Products[ID],Products[Haul (s)])*Crops[[#This Row],[Custom Yield Per Bed]]/3600</f>
        <v>5.3333333333333337E-2</v>
      </c>
      <c r="CU142" s="37">
        <f>_xlfn.XLOOKUP(Crops[[#This Row],[Crop]]&amp;Crops[[#This Row],[Product]]&amp;Crops[[#This Row],[Unit]],Products[ID],Products[Wash (s)])*Crops[[#This Row],[Custom Yield Per Bed]]/3600</f>
        <v>0</v>
      </c>
      <c r="CV142" s="37">
        <f>_xlfn.XLOOKUP(Crops[[#This Row],[Crop]]&amp;Crops[[#This Row],[Product]]&amp;Crops[[#This Row],[Unit]],Products[ID],Products[Condition (s)])*Crops[[#This Row],[Custom Yield Per Bed]]/3600</f>
        <v>0</v>
      </c>
      <c r="CW142" s="37">
        <f>_xlfn.XLOOKUP(Crops[[#This Row],[Crop]]&amp;Crops[[#This Row],[Product]]&amp;Crops[[#This Row],[Unit]],Products[ID],Products[Trim (s)])*Crops[[#This Row],[Custom Yield Per Bed]]/3600</f>
        <v>0</v>
      </c>
      <c r="CX142" s="37">
        <f>_xlfn.XLOOKUP(Crops[[#This Row],[Crop]]&amp;Crops[[#This Row],[Product]]&amp;Crops[[#This Row],[Unit]],Products[ID],Products[Pack (s)])*Crops[[#This Row],[Custom Yield Per Bed]]/3600</f>
        <v>0.13333333333333333</v>
      </c>
      <c r="CY142" s="37">
        <f>_xlfn.XLOOKUP(Crops[[#This Row],[Crop]]&amp;Crops[[#This Row],[Product]]&amp;Crops[[#This Row],[Unit]],Products[ID],Products[Clean (s)])*Crops[[#This Row],[Custom Yield Per Bed]]/3600</f>
        <v>0</v>
      </c>
      <c r="CZ142" s="37">
        <f>_xlfn.XLOOKUP(Crops[[#This Row],[Crop]]&amp;Crops[[#This Row],[Product]]&amp;Crops[[#This Row],[Unit]],Products[ID],Products[Rehandle (s)])*Crops[[#This Row],[Custom Yield Per Bed]]/3600</f>
        <v>0</v>
      </c>
      <c r="DA142" s="37">
        <f>_xlfn.XLOOKUP(Crops[[#This Row],[Crop]]&amp;Crops[[#This Row],[Product]]&amp;Crops[[#This Row],[Unit]],Products[ID],Products[Market Transport (s)])*Crops[[#This Row],[Custom Yield Per Bed]]/3600</f>
        <v>0.13333333333333333</v>
      </c>
      <c r="DC142" s="37">
        <f>Crops[[#This Row],[Direct Revenue Per Bed2]]</f>
        <v>1280</v>
      </c>
      <c r="DD142" s="173">
        <f>_xlfn.AGGREGATE(9,6,Crops[[#This Row],[Bed Prep]:[Remove Crop Residue]])</f>
        <v>23.742685185185184</v>
      </c>
      <c r="DE142" s="173">
        <f>_xlfn.AGGREGATE(9,6,Crops[[#This Row],[Bed Prep]:[Remove Crop Residue]])-0.75*Crops[[#This Row],[Market &amp; Sell]]</f>
        <v>21.342685185185182</v>
      </c>
      <c r="DF142" s="36">
        <f>Crops[[#This Row],[Direct Revenue Per Bed2]]/Crops[[#This Row],[Direct Time]]</f>
        <v>53.911341114807293</v>
      </c>
      <c r="DG142" s="36">
        <f>_xlfn.XLOOKUP(Crops[[#This Row],[ProductIndex]],Products[ID],Products[Packaging Cost])*(Crops[[#This Row],[Custom Yield Per Bed]]/_xlfn.XLOOKUP(Crops[[#This Row],[ProductIndex]],Products[ID],Products[Units Per Pack]))</f>
        <v>57.600000000000009</v>
      </c>
      <c r="DH142" s="36"/>
      <c r="DI142" s="36"/>
      <c r="DJ142" s="36"/>
      <c r="DK142" s="36"/>
      <c r="DL142" s="36"/>
      <c r="DM142" s="37">
        <f>IFERROR(Crops[[#This Row],[Custom Yield Per Bed]]*Crops[[#This Row],[Direct Price]],"")</f>
        <v>1280</v>
      </c>
      <c r="DN142" s="36">
        <f>Crops[[#This Row],[Direct Time]]*LaborRate</f>
        <v>593.56712962962956</v>
      </c>
      <c r="DO142" s="36">
        <f>SUM(Crops[[#This Row],[Irrigation Cost]])</f>
        <v>0</v>
      </c>
      <c r="DP142" s="36">
        <f>Crops[[#This Row],[Direct Labor Cost]]+Crops[[#This Row],[Direct Non-Labor Cost]]</f>
        <v>593.56712962962956</v>
      </c>
      <c r="DQ142" s="36">
        <f>Crops[[#This Row],[Direct Revenue Per Bed2]]-Crops[[#This Row],[Direct Total Cost]]</f>
        <v>686.43287037037044</v>
      </c>
      <c r="DR142" s="36">
        <f>Crops[[#This Row],[Direct Profit]]*BedsPerAcre</f>
        <v>109829.25925925927</v>
      </c>
      <c r="DS142" s="36">
        <f>Crops[[#This Row],[Direct Profit]]*BedsPerAcre*GrowingDays/Crops[[#This Row],[Days In Field]]</f>
        <v>97385.550082101807</v>
      </c>
      <c r="DT142" s="36">
        <f>Crops[[#This Row],[Direct Profit]]/MIN(Crops[[#This Row],[Days In Field]],GrowingDays)</f>
        <v>3.8135159465020578</v>
      </c>
      <c r="DU142" s="36">
        <f>Crops[[#This Row],[Direct Time]] * BedsPerAcre</f>
        <v>3798.8296296296294</v>
      </c>
      <c r="DV142" s="36">
        <f>(Crops[[#This Row],[Direct Revenue Per Bed2]]-Crops[[#This Row],[Direct Non-Labor Cost]])/Crops[[#This Row],[Direct Time]]</f>
        <v>53.911341114807293</v>
      </c>
      <c r="DW142" s="37">
        <f>IFERROR(Crops[[#This Row],[Custom Yield Per Bed]]*Crops[[#This Row],[Rough Wholesale Price]],"")</f>
        <v>768</v>
      </c>
      <c r="DX142" s="36">
        <f>Crops[[#This Row],[Wholesale Time]]*LaborRate</f>
        <v>533.56712962962956</v>
      </c>
      <c r="DY142" s="36">
        <f>SUM(Crops[[#This Row],[Packaging Costs]:[Irrigation Cost]])</f>
        <v>57.600000000000009</v>
      </c>
      <c r="DZ142" s="36">
        <f>Crops[[#This Row],[Wholesale Labor Cost]]+Crops[[#This Row],[Wholesale Non-Labor Cost]]</f>
        <v>591.16712962962958</v>
      </c>
      <c r="EA142" s="36">
        <f>Crops[[#This Row],[Wholesale Revenue Per Bed]]-Crops[[#This Row],[Wholesale Total Cost]]</f>
        <v>176.83287037037042</v>
      </c>
      <c r="EB142" s="36">
        <f>Crops[[#This Row],[Wholesale Profit]]*BedsPerAcre</f>
        <v>28293.259259259266</v>
      </c>
      <c r="EC142" s="36">
        <f>Crops[[#This Row],[Wholesale Profit]]*BedsPerAcre*GrowingDays/Crops[[#This Row],[Days In Field]]</f>
        <v>25087.619047619053</v>
      </c>
      <c r="ED142" s="36">
        <f>Crops[[#This Row],[Wholesale Time]] * BedsPerAcre</f>
        <v>3414.8296296296294</v>
      </c>
      <c r="EE142" s="221">
        <f>Crops[[#This Row],[Wholesale Profit]]/MIN(Crops[[#This Row],[Days In Field]],GrowingDays)</f>
        <v>0.9824048353909467</v>
      </c>
      <c r="EF142" s="36">
        <f>(Crops[[#This Row],[Wholesale Revenue Per Bed]]-Crops[[#This Row],[Wholesale Non-Labor Cost]])/Crops[[#This Row],[Direct Time]]</f>
        <v>29.920794318718045</v>
      </c>
      <c r="EG142" s="174">
        <f>Crops[[#This Row],[Packaging Costs]]/Crops[[#This Row],[Wholesale Revenue Per Bed]]</f>
        <v>7.5000000000000011E-2</v>
      </c>
      <c r="EH142" s="36" t="str">
        <f>Crops[[#This Row],[Crop]]&amp;Crops[[#This Row],[Product]]&amp;Crops[[#This Row],[Unit]]</f>
        <v>GooseberryMature BerryPint</v>
      </c>
      <c r="EI142" s="36" t="b">
        <f>_xlfn.XLOOKUP(Crops[[#This Row],[ProductIndex]],Products[ID],Products[Target])</f>
        <v>1</v>
      </c>
      <c r="EJ142" s="33">
        <f>Crops[[#This Row],[Custom Yield Per Bed]]</f>
        <v>160</v>
      </c>
      <c r="EK142" s="210">
        <f>Crops[[#This Row],[Units Per Harvest]]/Crops[[#This Row],[Days Between Harvest]]*7</f>
        <v>11.428571428571429</v>
      </c>
      <c r="EL142" s="210">
        <f>Crops[[#This Row],[Custom Yield Per Bed]]/_xlfn.XLOOKUP(Crops[[#This Row],[ProductIndex]],Products[ID],Products[CSA Portion])</f>
        <v>320</v>
      </c>
      <c r="EM142" s="210">
        <f>Crops[[#This Row],[Units Per Harvest]]/Crops[[#This Row],[Days Between Harvest]]*7/_xlfn.XLOOKUP(Crops[[#This Row],[ProductIndex]],Products[ID],Products[CSA Portion])</f>
        <v>22.857142857142858</v>
      </c>
      <c r="EN142" s="210">
        <f>Crops[[#This Row],[CSA Portions Per Week]]/CSAMembers</f>
        <v>0.45714285714285713</v>
      </c>
      <c r="EO142" s="216"/>
      <c r="EP142" s="216"/>
      <c r="EQ142" s="36"/>
      <c r="ER142" s="36">
        <f>Crops[[#This Row],[Harvests]]*Crops[[#This Row],[Days Between Harvest]]/7</f>
        <v>14</v>
      </c>
      <c r="ES142" s="208">
        <f>_xlfn.XLOOKUP(Crops[[#This Row],[ProductIndex]],Products[ID],Products[CSA Need])</f>
        <v>0.5</v>
      </c>
      <c r="ET142" s="208">
        <f>_xlfn.XLOOKUP(Crops[[#This Row],[ProductIndex]],Products[ID],Products[CSA Times])</f>
        <v>1</v>
      </c>
      <c r="EU142" s="208">
        <f>Crops[[#This Row],[Custom Yield Per Bed]]/(Crops[[#This Row],[CSA Need]]*(_xlfn.XLOOKUP(Crops[[#This Row],[ProductIndex]],Products[ID],Products[CSA Portion])*CSAMembers))</f>
        <v>12.8</v>
      </c>
      <c r="EV142" s="208">
        <f>_xlfn.XLOOKUP(Crops[[#This Row],[ProductIndex]],Products[ID],Products[CSA Portion])*CSAMembers*Crops[[#This Row],[CSA Need]]/Crops[[#This Row],[Custom Yield Per Bed]]</f>
        <v>7.8125E-2</v>
      </c>
      <c r="EW142" s="208">
        <f>IFERROR(Crops[[#This Row],[Days In Field]]*Crops[[#This Row],[CSA Beds]],"")</f>
        <v>15.859375</v>
      </c>
      <c r="EX142" s="208" t="e">
        <f>Crops[[#This Row],[CSA Bed Days]]*#REF!</f>
        <v>#REF!</v>
      </c>
      <c r="EY142" t="s">
        <v>396</v>
      </c>
    </row>
    <row r="143" spans="1:155">
      <c r="A143"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Grass (Frosted Explosion) - Mature Stalks 1X | Field TP </v>
      </c>
      <c r="B143" s="189"/>
      <c r="C143" s="1" t="b">
        <v>1</v>
      </c>
      <c r="D143" s="1"/>
      <c r="E143" s="1" t="b">
        <v>0</v>
      </c>
      <c r="F143" s="1" t="b">
        <f>IFERROR(IF(ISNUMBER(MATCH(Crops[[#This Row],[Identifier]],BedPlan[Crop], 0)), TRUE, FALSE), FALSE)</f>
        <v>0</v>
      </c>
      <c r="G143" s="1" t="b">
        <f>IFERROR(IF(ISNUMBER(MATCH(Crops[[#This Row],[Identifier]],BedPlan[Crop], 0)), TRUE, FALSE), FALSE)</f>
        <v>0</v>
      </c>
      <c r="H143" s="1"/>
      <c r="I143" t="s">
        <v>1771</v>
      </c>
      <c r="J143" t="s">
        <v>1787</v>
      </c>
      <c r="K143" t="s">
        <v>206</v>
      </c>
      <c r="M143" t="s">
        <v>406</v>
      </c>
      <c r="N143" t="str">
        <f>Crops[[#This Row],[Crop]]</f>
        <v>Grass</v>
      </c>
      <c r="O143" t="s">
        <v>210</v>
      </c>
      <c r="P143" t="str">
        <f>IF(OR(Crops[[#This Row],[Days in Cells]]="",Crops[[#This Row],[Days in Cells]]=0), "DS","TP")</f>
        <v>TP</v>
      </c>
      <c r="V143" t="str">
        <f xml:space="preserve"> IF(Crops[[#This Row],[Sp]], "Sp", "") &amp; IF(Crops[[#This Row],[Su]], "Su", "") &amp; IF(Crops[[#This Row],[Fa]], "Fa", "") &amp; IF(Crops[[#This Row],[Wi]], "Wi", "") &amp; IF(Crops[[#This Row],[OW]], "Ow","")</f>
        <v/>
      </c>
      <c r="X143">
        <v>2</v>
      </c>
      <c r="Y143">
        <v>12</v>
      </c>
      <c r="AB143" t="b">
        <v>0</v>
      </c>
      <c r="AC143">
        <v>3</v>
      </c>
      <c r="AD143" s="32">
        <f>IFERROR(12/Crops[[#This Row],[Spacing]]*Crops[[#This Row],[Rows]]*BedLength,"")</f>
        <v>100</v>
      </c>
      <c r="AE143">
        <v>1</v>
      </c>
      <c r="AG143">
        <f>IF(Crops[[#This Row],[Custom Safety Factor]]="",PlantingSafetyFactor,Crops[[#This Row],[Custom Safety Factor]])</f>
        <v>1.3</v>
      </c>
      <c r="AH143">
        <f>1</f>
        <v>1</v>
      </c>
      <c r="AI143" s="37">
        <f>IFERROR(Crops[[#This Row],[Plantings Per Bed]]*Crops[[#This Row],[Seeds Per Planting]]*Crops[[#This Row],[Safety Factor]]*Crops[[#This Row],[Seeding Factor]],"")</f>
        <v>130</v>
      </c>
      <c r="AJ143">
        <v>7</v>
      </c>
      <c r="AK143">
        <v>14</v>
      </c>
      <c r="AL143">
        <f>_xlfn.FLOOR.MATH(IFERROR(AVERAGE(Crops[[#This Row],[DTG Lower]:[DTG Upper]]),0))</f>
        <v>10</v>
      </c>
      <c r="AM143">
        <f>SUM(Crops[[#This Row],[Tray 1 Days]],Crops[[#This Row],[Tray 2 Days]],Crops[[#This Row],[Tray 3 Days]])</f>
        <v>38.5</v>
      </c>
      <c r="AO143">
        <v>84</v>
      </c>
      <c r="AP143">
        <v>112</v>
      </c>
      <c r="AQ143">
        <f>IFERROR(_xlfn.FLOOR.MATH(AVERAGE(Crops[[#This Row],[DTM Lower]:[DTM Upper]])),"")</f>
        <v>98</v>
      </c>
      <c r="AR143" cm="1">
        <f t="array" ref="AR143">_xlfn.SWITCH(Crops[[#This Row],[Normal Method]],"DS",Crops[[#This Row],[Days to Germination]]+Crops[[#This Row],[DTM]] + IF(Crops[[#This Row],[Days in Cells]]&gt;0,15,0), "TP",Crops[[#This Row],[DTM]]+Crops[[#This Row],[Days in Cells]] + IF(Crops[[#This Row],[Days in Cells]]&lt;=0,20,0), "X", Crops[[#This Row],[DTM]])</f>
        <v>123</v>
      </c>
      <c r="AS143" t="s">
        <v>338</v>
      </c>
      <c r="AT143">
        <f>(Crops[[#This Row],[Harvests]]-1)*Crops[[#This Row],[Days Between Harvest]]+7</f>
        <v>70</v>
      </c>
      <c r="AU143">
        <f>Crops[[#This Row],[STH]]-Crops[[#This Row],[Days in Cells]]+Crops[[#This Row],[Harvest window]]</f>
        <v>154.5</v>
      </c>
      <c r="AX143">
        <v>72</v>
      </c>
      <c r="AY143">
        <f>5.5*7</f>
        <v>38.5</v>
      </c>
      <c r="AZ143">
        <f>IFERROR(IF(Crops[[#This Row],[Tray 1 Days]]=0,"",Crops[[#This Row],[Plantings Per Bed]]/Crops[[#This Row],[Tray 1 Size]]*Crops[[#This Row],[Safety Factor]]),"")</f>
        <v>1.8055555555555556</v>
      </c>
      <c r="BC143" t="str">
        <f>IFERROR(IF(Crops[[#This Row],[Tray 2 Days]]=0,"",Crops[[#This Row],[Plantings Per Bed]]/Crops[[#This Row],[Tray 2 Size]]*Crops[[#This Row],[Safety Factor]]),"")</f>
        <v/>
      </c>
      <c r="BE143" s="32" t="str">
        <f>IF(NOT(ISBLANK(Crops[[#This Row],[Tray 3 Size]])), Crops[[#This Row],[Days in Cells Old]]-SUM(Crops[[#This Row],[Tray 1 Days]],Crops[[#This Row],[Tray 2 Days]]), "")</f>
        <v/>
      </c>
      <c r="BF143" t="str">
        <f>IFERROR(IF(Crops[[#This Row],[Tray 3 Days]]=0,"",Crops[[#This Row],[Plantings Per Bed]]/Crops[[#This Row],[Tray 3 Size]]*Crops[[#This Row],[Safety Factor]]),"")</f>
        <v/>
      </c>
      <c r="BG143">
        <f>Crops[[#This Row],[Plantings Per Bed]]*15/Crops[[#This Row],[Harvests]]</f>
        <v>150</v>
      </c>
      <c r="BH143">
        <v>10</v>
      </c>
      <c r="BI143">
        <v>7</v>
      </c>
      <c r="BJ143" s="37">
        <f>_xlfn.XLOOKUP(Crops[[#This Row],[ProductIndex]],Products[ID],Products[Holding Period])</f>
        <v>0</v>
      </c>
      <c r="BK143" s="33"/>
      <c r="BL143" s="37">
        <f>Crops[[#This Row],[Units Per Harvest]]*Crops[[#This Row],[Harvests]]</f>
        <v>1500</v>
      </c>
      <c r="BM143" s="35">
        <v>1</v>
      </c>
      <c r="BN143" s="35">
        <f>Crops[[#This Row],[Direct Price]]*0.6</f>
        <v>0.6</v>
      </c>
      <c r="BO143" s="35"/>
      <c r="BP143" t="s">
        <v>213</v>
      </c>
      <c r="BQ143">
        <f>Crops[[#This Row],[Custom Yield Per Bed]]*Crops[[#This Row],[Direct Price]]</f>
        <v>1500</v>
      </c>
      <c r="BR143" t="b">
        <v>0</v>
      </c>
      <c r="BS143" t="b">
        <f>Crops[[#This Row],[Harvests]]&gt;1</f>
        <v>1</v>
      </c>
      <c r="BT143" s="36">
        <f>IFERROR(Crops[[#This Row],[Direct Revenue Per Bed]]/Crops[[#This Row],[Days In Field]],-1)</f>
        <v>9.7087378640776691</v>
      </c>
      <c r="BU143" s="33">
        <f>IFERROR(Crops[[#This Row],[Direct Revenue Per Bed Day]]*GrowingDays*BedsPerAcre,"")</f>
        <v>279611.6504854369</v>
      </c>
      <c r="BV143" s="38">
        <f>LastFrostDate-5*Crops[[#This Row],[Sewing Rel Last Frost]]</f>
        <v>45738</v>
      </c>
      <c r="BW143" s="38">
        <f>Crops[[#This Row],[Target Sewing Date]]+Crops[[#This Row],[Days in Cells]]</f>
        <v>45776.5</v>
      </c>
      <c r="BX143" s="38">
        <f>Crops[[#This Row],[Target Sewing Date]]+Crops[[#This Row],[STH]]</f>
        <v>45861</v>
      </c>
      <c r="BY143" s="38">
        <f>Crops[[#This Row],[Target Harvest Data]]+Crops[[#This Row],[Harvest window]]</f>
        <v>45931</v>
      </c>
      <c r="BZ143">
        <v>2</v>
      </c>
      <c r="CB143">
        <f>1</f>
        <v>1</v>
      </c>
      <c r="CC143">
        <f>IF(Crops[[#This Row],[Transplanting]]&gt;0, 2, 3)*BedLength/StandardBedLength</f>
        <v>1</v>
      </c>
      <c r="CD143" s="173">
        <f>IF(Crops[[#This Row],[Days in Cells]]&lt;=0,0,Crops[[#This Row],[Plantings Per Bed]]/StartsPerHourSeeding+Crops[[#This Row],[Tray 1 Count]]*5/60)</f>
        <v>0.54108796296296302</v>
      </c>
      <c r="CE143" s="173">
        <f>IF(ISBLANK(Crops[[#This Row],[Tray 2 Days]]),0,Crops[[#This Row],[Plantings Per Bed]]/UpPottingPerHour)+IF(Crops[[#This Row],[Tray 3 Days]]="",0,Crops[[#This Row],[Plantings Per Bed]]/UpPottingPerHour)</f>
        <v>0</v>
      </c>
      <c r="CF143" s="173">
        <f>IFERROR(Crops[[#This Row],[Tray 1 Count]]/HomeStartFlatIrrigationPerHour,0)*Crops[[#This Row],[Days in Cells]]/DaysBetweenStartIrrigation</f>
        <v>0.28964120370370372</v>
      </c>
      <c r="CG143" s="173">
        <f>0.5/16*MAX(Crops[[#This Row],[Tray 1 Count]],Crops[[#This Row],[Tray 2 Count]],Crops[[#This Row],[Tray 3 Count]])</f>
        <v>5.6423611111111112E-2</v>
      </c>
      <c r="CH143" s="173">
        <f>IF(Crops[[#This Row],[Days in Cells]]&gt;0,IF(IF(Crops[[#This Row],[Tray 3 Size]]&gt;0,Crops[[#This Row],[Tray 3 Size]],IF(Crops[[#This Row],[Tray 2 Size]]&gt;0,Crops[[#This Row],[Tray 2 Size]],Crops[[#This Row],[Tray 1 Size]]))&lt;=18,LargeTransplantTime,SmallTransplantTime)*Crops[[#This Row],[Plantings Per Bed]],0)</f>
        <v>0.5</v>
      </c>
      <c r="CI143" s="173"/>
      <c r="CJ143" s="173">
        <f>_xlfn.XLOOKUP(Crops[[#This Row],[Trellis Type]],TrellisMethods[Trellis Type],TrellisMethods[Hours],0,0)</f>
        <v>0</v>
      </c>
      <c r="CK143">
        <f>IF(Crops[[#This Row],[Days in Cells]]&lt;=0,Crops[[#This Row],[Rows]]*1/10,0)*BedLength/50</f>
        <v>0</v>
      </c>
      <c r="CL143" cm="1">
        <f t="array" ref="CL143">_xlfn.SWITCH(Crops[[#This Row],[Irrigation]],"DR", 0.5, "OH", 0.25,0)*BedLength/50</f>
        <v>0</v>
      </c>
      <c r="CM143">
        <f>IF(OR(ISBLANK(Crops[[#This Row],[Row Cover]]),Crops[[#This Row],[Row Cover]]="None"),0,1)*BedLength/50</f>
        <v>0</v>
      </c>
      <c r="CN143" s="173">
        <f>HoursPerWeedingPass*Crops[[#This Row],[Days In Field]]/14*Crops[[#This Row],[Rows]]+1*BedLength/50</f>
        <v>4.6785714285714288</v>
      </c>
      <c r="CQ143" s="37">
        <f>_xlfn.XLOOKUP(Crops[[#This Row],[Crop]]&amp;Crops[[#This Row],[Product]]&amp;Crops[[#This Row],[Unit]],Products[ID],Products[Marketing (hr)])*Crops[[#This Row],[Direct Revenue Per Bed]]/2000</f>
        <v>4.5</v>
      </c>
      <c r="CR143" s="37">
        <f>_xlfn.XLOOKUP(Crops[[#This Row],[Crop]]&amp;Crops[[#This Row],[Product]]&amp;Crops[[#This Row],[Unit]],Products[ID],Products[Harvest (s)])*Crops[[#This Row],[Custom Yield Per Bed]]/3600</f>
        <v>2.0833333333333335</v>
      </c>
      <c r="CS143" s="37">
        <f>_xlfn.XLOOKUP(Crops[[#This Row],[Crop]]&amp;Crops[[#This Row],[Product]]&amp;Crops[[#This Row],[Unit]],Products[ID],Products[Bunch (s)])*Crops[[#This Row],[Custom Yield Per Bed]]/3600</f>
        <v>0</v>
      </c>
      <c r="CT143" s="37">
        <f>_xlfn.XLOOKUP(Crops[[#This Row],[Crop]]&amp;Crops[[#This Row],[Product]]&amp;Crops[[#This Row],[Unit]],Products[ID],Products[Haul (s)])*Crops[[#This Row],[Custom Yield Per Bed]]/3600</f>
        <v>0.46875</v>
      </c>
      <c r="CU143" s="37">
        <f>_xlfn.XLOOKUP(Crops[[#This Row],[Crop]]&amp;Crops[[#This Row],[Product]]&amp;Crops[[#This Row],[Unit]],Products[ID],Products[Wash (s)])*Crops[[#This Row],[Custom Yield Per Bed]]/3600</f>
        <v>0</v>
      </c>
      <c r="CV143" s="37">
        <f>_xlfn.XLOOKUP(Crops[[#This Row],[Crop]]&amp;Crops[[#This Row],[Product]]&amp;Crops[[#This Row],[Unit]],Products[ID],Products[Condition (s)])*Crops[[#This Row],[Custom Yield Per Bed]]/3600</f>
        <v>0</v>
      </c>
      <c r="CW143" s="37">
        <f>_xlfn.XLOOKUP(Crops[[#This Row],[Crop]]&amp;Crops[[#This Row],[Product]]&amp;Crops[[#This Row],[Unit]],Products[ID],Products[Trim (s)])*Crops[[#This Row],[Custom Yield Per Bed]]/3600</f>
        <v>0</v>
      </c>
      <c r="CX143" s="37">
        <f>_xlfn.XLOOKUP(Crops[[#This Row],[Crop]]&amp;Crops[[#This Row],[Product]]&amp;Crops[[#This Row],[Unit]],Products[ID],Products[Pack (s)])*Crops[[#This Row],[Custom Yield Per Bed]]/3600</f>
        <v>1.25</v>
      </c>
      <c r="CY143" s="37">
        <f>_xlfn.XLOOKUP(Crops[[#This Row],[Crop]]&amp;Crops[[#This Row],[Product]]&amp;Crops[[#This Row],[Unit]],Products[ID],Products[Clean (s)])*Crops[[#This Row],[Custom Yield Per Bed]]/3600</f>
        <v>0</v>
      </c>
      <c r="CZ143" s="37">
        <f>_xlfn.XLOOKUP(Crops[[#This Row],[Crop]]&amp;Crops[[#This Row],[Product]]&amp;Crops[[#This Row],[Unit]],Products[ID],Products[Rehandle (s)])*Crops[[#This Row],[Custom Yield Per Bed]]/3600</f>
        <v>0</v>
      </c>
      <c r="DA143" s="37">
        <f>_xlfn.XLOOKUP(Crops[[#This Row],[Crop]]&amp;Crops[[#This Row],[Product]]&amp;Crops[[#This Row],[Unit]],Products[ID],Products[Market Transport (s)])*Crops[[#This Row],[Custom Yield Per Bed]]/3600</f>
        <v>1.171875</v>
      </c>
      <c r="DC143" s="37">
        <f>Crops[[#This Row],[Direct Revenue Per Bed2]]</f>
        <v>1500</v>
      </c>
      <c r="DD143" s="173">
        <f>_xlfn.AGGREGATE(9,6,Crops[[#This Row],[Bed Prep]:[Remove Crop Residue]])</f>
        <v>16.539682539682538</v>
      </c>
      <c r="DE143" s="173">
        <f>_xlfn.AGGREGATE(9,6,Crops[[#This Row],[Bed Prep]:[Remove Crop Residue]])-0.75*Crops[[#This Row],[Market &amp; Sell]]</f>
        <v>13.164682539682538</v>
      </c>
      <c r="DF143" s="36">
        <f>Crops[[#This Row],[Direct Revenue Per Bed2]]/Crops[[#This Row],[Direct Time]]</f>
        <v>90.690978886756255</v>
      </c>
      <c r="DG143" s="36">
        <f>_xlfn.XLOOKUP(Crops[[#This Row],[ProductIndex]],Products[ID],Products[Packaging Cost])*(Crops[[#This Row],[Custom Yield Per Bed]]/_xlfn.XLOOKUP(Crops[[#This Row],[ProductIndex]],Products[ID],Products[Units Per Pack]))</f>
        <v>75</v>
      </c>
      <c r="DH143" s="36"/>
      <c r="DI143" s="36"/>
      <c r="DJ143" s="36"/>
      <c r="DK143" s="36"/>
      <c r="DL143" s="36"/>
      <c r="DM143" s="37">
        <f>IFERROR(Crops[[#This Row],[Custom Yield Per Bed]]*Crops[[#This Row],[Direct Price]],"")</f>
        <v>1500</v>
      </c>
      <c r="DN143" s="36">
        <f>Crops[[#This Row],[Direct Time]]*LaborRate</f>
        <v>413.49206349206344</v>
      </c>
      <c r="DO143" s="36">
        <f>SUM(Crops[[#This Row],[Irrigation Cost]])</f>
        <v>0</v>
      </c>
      <c r="DP143" s="36">
        <f>Crops[[#This Row],[Direct Labor Cost]]+Crops[[#This Row],[Direct Non-Labor Cost]]</f>
        <v>413.49206349206344</v>
      </c>
      <c r="DQ143" s="36">
        <f>Crops[[#This Row],[Direct Revenue Per Bed2]]-Crops[[#This Row],[Direct Total Cost]]</f>
        <v>1086.5079365079366</v>
      </c>
      <c r="DR143" s="36">
        <f>Crops[[#This Row],[Direct Profit]]*BedsPerAcre</f>
        <v>173841.26984126985</v>
      </c>
      <c r="DS143" s="36">
        <f>Crops[[#This Row],[Direct Profit]]*BedsPerAcre*GrowingDays/Crops[[#This Row],[Days In Field]]</f>
        <v>202533.51826167363</v>
      </c>
      <c r="DT143" s="36">
        <f>Crops[[#This Row],[Direct Profit]]/MIN(Crops[[#This Row],[Days In Field]],GrowingDays)</f>
        <v>7.0324138285303341</v>
      </c>
      <c r="DU143" s="36">
        <f>Crops[[#This Row],[Direct Time]] * BedsPerAcre</f>
        <v>2646.3492063492058</v>
      </c>
      <c r="DV143" s="36">
        <f>(Crops[[#This Row],[Direct Revenue Per Bed2]]-Crops[[#This Row],[Direct Non-Labor Cost]])/Crops[[#This Row],[Direct Time]]</f>
        <v>90.690978886756255</v>
      </c>
      <c r="DW143" s="37">
        <f>IFERROR(Crops[[#This Row],[Custom Yield Per Bed]]*Crops[[#This Row],[Rough Wholesale Price]],"")</f>
        <v>900</v>
      </c>
      <c r="DX143" s="36">
        <f>Crops[[#This Row],[Wholesale Time]]*LaborRate</f>
        <v>329.11706349206344</v>
      </c>
      <c r="DY143" s="36">
        <f>SUM(Crops[[#This Row],[Packaging Costs]:[Irrigation Cost]])</f>
        <v>75</v>
      </c>
      <c r="DZ143" s="36">
        <f>Crops[[#This Row],[Wholesale Labor Cost]]+Crops[[#This Row],[Wholesale Non-Labor Cost]]</f>
        <v>404.11706349206344</v>
      </c>
      <c r="EA143" s="36">
        <f>Crops[[#This Row],[Wholesale Revenue Per Bed]]-Crops[[#This Row],[Wholesale Total Cost]]</f>
        <v>495.88293650793656</v>
      </c>
      <c r="EB143" s="36">
        <f>Crops[[#This Row],[Wholesale Profit]]*BedsPerAcre</f>
        <v>79341.269841269852</v>
      </c>
      <c r="EC143" s="36">
        <f>Crops[[#This Row],[Wholesale Profit]]*BedsPerAcre*GrowingDays/Crops[[#This Row],[Days In Field]]</f>
        <v>92436.430883032837</v>
      </c>
      <c r="ED143" s="36">
        <f>Crops[[#This Row],[Wholesale Time]] * BedsPerAcre</f>
        <v>2106.3492063492058</v>
      </c>
      <c r="EE143" s="36">
        <f>Crops[[#This Row],[Wholesale Profit]]/MIN(Crops[[#This Row],[Days In Field]],GrowingDays)</f>
        <v>3.2095982945497514</v>
      </c>
      <c r="EF143" s="36">
        <f>(Crops[[#This Row],[Wholesale Revenue Per Bed]]-Crops[[#This Row],[Wholesale Non-Labor Cost]])/Crops[[#This Row],[Direct Time]]</f>
        <v>49.880038387715935</v>
      </c>
      <c r="EG143" s="174">
        <f>Crops[[#This Row],[Packaging Costs]]/Crops[[#This Row],[Wholesale Revenue Per Bed]]</f>
        <v>8.3333333333333329E-2</v>
      </c>
      <c r="EH143" s="36" t="str">
        <f>Crops[[#This Row],[Crop]]&amp;Crops[[#This Row],[Product]]&amp;Crops[[#This Row],[Unit]]</f>
        <v>GrassMature StalksStem</v>
      </c>
      <c r="EI143" s="36" t="b">
        <f>_xlfn.XLOOKUP(Crops[[#This Row],[ProductIndex]],Products[ID],Products[Target])</f>
        <v>1</v>
      </c>
      <c r="EJ143" s="36">
        <f>Crops[[#This Row],[Custom Yield Per Bed]]</f>
        <v>1500</v>
      </c>
      <c r="EK143" s="210">
        <f>Crops[[#This Row],[Units Per Harvest]]/Crops[[#This Row],[Days Between Harvest]]*7</f>
        <v>150</v>
      </c>
      <c r="EL143" s="210" t="e">
        <f>Crops[[#This Row],[Custom Yield Per Bed]]/_xlfn.XLOOKUP(Crops[[#This Row],[ProductIndex]],Products[ID],Products[CSA Portion])</f>
        <v>#DIV/0!</v>
      </c>
      <c r="EM143" s="210" t="e">
        <f>Crops[[#This Row],[Units Per Harvest]]/Crops[[#This Row],[Days Between Harvest]]*7/_xlfn.XLOOKUP(Crops[[#This Row],[ProductIndex]],Products[ID],Products[CSA Portion])</f>
        <v>#DIV/0!</v>
      </c>
      <c r="EN143" s="210" t="e">
        <f>Crops[[#This Row],[CSA Portions Per Week]]/CSAMembers</f>
        <v>#DIV/0!</v>
      </c>
      <c r="EO143" s="210"/>
      <c r="EP143" s="210"/>
      <c r="EQ143" s="36"/>
      <c r="ER143" s="36">
        <f>Crops[[#This Row],[Harvests]]*Crops[[#This Row],[Days Between Harvest]]/7</f>
        <v>10</v>
      </c>
      <c r="ES143" s="208">
        <f>_xlfn.XLOOKUP(Crops[[#This Row],[ProductIndex]],Products[ID],Products[CSA Need])</f>
        <v>0</v>
      </c>
      <c r="ET143" s="208">
        <f>_xlfn.XLOOKUP(Crops[[#This Row],[ProductIndex]],Products[ID],Products[CSA Times])</f>
        <v>0</v>
      </c>
      <c r="EU143" s="208" t="e">
        <f>Crops[[#This Row],[Custom Yield Per Bed]]/(Crops[[#This Row],[CSA Need]]*(_xlfn.XLOOKUP(Crops[[#This Row],[ProductIndex]],Products[ID],Products[CSA Portion])*CSAMembers))</f>
        <v>#DIV/0!</v>
      </c>
      <c r="EV143" s="208">
        <f>_xlfn.XLOOKUP(Crops[[#This Row],[ProductIndex]],Products[ID],Products[CSA Portion])*CSAMembers*Crops[[#This Row],[CSA Need]]/Crops[[#This Row],[Custom Yield Per Bed]]</f>
        <v>0</v>
      </c>
      <c r="EW143" s="208">
        <f>IFERROR(Crops[[#This Row],[Days In Field]]*Crops[[#This Row],[CSA Beds]],"")</f>
        <v>0</v>
      </c>
      <c r="EX143" s="208" t="e">
        <f>Crops[[#This Row],[CSA Bed Days]]*#REF!</f>
        <v>#REF!</v>
      </c>
    </row>
    <row r="144" spans="1:155">
      <c r="A14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Ground Cherry - Mature Fruit 1X | Field TP </v>
      </c>
      <c r="B144" s="190"/>
      <c r="C144" s="1" t="s">
        <v>2588</v>
      </c>
      <c r="D144" s="1"/>
      <c r="E144" s="1" t="b">
        <v>0</v>
      </c>
      <c r="F144" s="1" t="b">
        <f>IFERROR(IF(ISNUMBER(MATCH(Crops[[#This Row],[Identifier]],BedPlan[Crop], 0)), TRUE, FALSE), FALSE)</f>
        <v>0</v>
      </c>
      <c r="G144" s="1" t="b">
        <f>IFERROR(IF(ISNUMBER(MATCH(Crops[[#This Row],[Identifier]],BedPlan[Crop], 0)), TRUE, FALSE), FALSE)</f>
        <v>0</v>
      </c>
      <c r="H144" s="1"/>
      <c r="I144" t="s">
        <v>82</v>
      </c>
      <c r="J144" t="s">
        <v>145</v>
      </c>
      <c r="K144" t="s">
        <v>196</v>
      </c>
      <c r="M144" t="s">
        <v>446</v>
      </c>
      <c r="N144" t="str">
        <f>Crops[[#This Row],[Crop]]</f>
        <v>Ground Cherry</v>
      </c>
      <c r="O144" t="s">
        <v>210</v>
      </c>
      <c r="P144" t="str">
        <f>IF(OR(Crops[[#This Row],[Days in Cells]]="",Crops[[#This Row],[Days in Cells]]=0), "DS","TP")</f>
        <v>TP</v>
      </c>
      <c r="V144" t="str">
        <f xml:space="preserve"> IF(Crops[[#This Row],[Sp]], "Sp", "") &amp; IF(Crops[[#This Row],[Su]], "Su", "") &amp; IF(Crops[[#This Row],[Fa]], "Fa", "") &amp; IF(Crops[[#This Row],[Wi]], "Wi", "") &amp; IF(Crops[[#This Row],[OW]], "Ow","")</f>
        <v/>
      </c>
      <c r="W144" t="s">
        <v>144</v>
      </c>
      <c r="X144">
        <v>1</v>
      </c>
      <c r="Y144">
        <v>18</v>
      </c>
      <c r="Z144" t="s">
        <v>432</v>
      </c>
      <c r="AA144" t="s">
        <v>476</v>
      </c>
      <c r="AB144" t="b">
        <v>0</v>
      </c>
      <c r="AC144">
        <v>2</v>
      </c>
      <c r="AD144" s="32">
        <f>IFERROR(12/Crops[[#This Row],[Spacing]]*Crops[[#This Row],[Rows]]*BedLength,"")</f>
        <v>33.333333333333329</v>
      </c>
      <c r="AE144">
        <v>1</v>
      </c>
      <c r="AG144">
        <f>IF(Crops[[#This Row],[Custom Safety Factor]]="",PlantingSafetyFactor,Crops[[#This Row],[Custom Safety Factor]])</f>
        <v>1.3</v>
      </c>
      <c r="AH144">
        <f>1</f>
        <v>1</v>
      </c>
      <c r="AI144" s="33">
        <f>IFERROR(Crops[[#This Row],[Plantings Per Bed]]*Crops[[#This Row],[Seeds Per Planting]]*Crops[[#This Row],[Safety Factor]]*Crops[[#This Row],[Seeding Factor]],"")</f>
        <v>43.333333333333329</v>
      </c>
      <c r="AL144">
        <f>_xlfn.FLOOR.MATH(IFERROR(AVERAGE(Crops[[#This Row],[DTG Lower]:[DTG Upper]]),0))</f>
        <v>0</v>
      </c>
      <c r="AM144">
        <f>SUM(Crops[[#This Row],[Tray 1 Days]],Crops[[#This Row],[Tray 2 Days]],Crops[[#This Row],[Tray 3 Days]])</f>
        <v>76</v>
      </c>
      <c r="AN144" s="32">
        <v>55</v>
      </c>
      <c r="AP144">
        <v>75</v>
      </c>
      <c r="AQ144">
        <f>IFERROR(_xlfn.FLOOR.MATH(AVERAGE(Crops[[#This Row],[DTM Lower]:[DTM Upper]])),"")</f>
        <v>75</v>
      </c>
      <c r="AR144" cm="1">
        <f t="array" ref="AR144">_xlfn.SWITCH(Crops[[#This Row],[Normal Method]],"DS",Crops[[#This Row],[Days to Germination]]+Crops[[#This Row],[DTM]] + IF(Crops[[#This Row],[Days in Cells]]&gt;0,15,0), "TP",Crops[[#This Row],[DTM]]+Crops[[#This Row],[Days in Cells]] + IF(Crops[[#This Row],[Days in Cells]]&lt;=0,20,0), "X", Crops[[#This Row],[DTM]])</f>
        <v>151</v>
      </c>
      <c r="AS144" t="s">
        <v>346</v>
      </c>
      <c r="AT144">
        <f>(Crops[[#This Row],[Harvests]]-1)*Crops[[#This Row],[Days Between Harvest]]+7</f>
        <v>49</v>
      </c>
      <c r="AU144">
        <f>Crops[[#This Row],[STH]]-Crops[[#This Row],[Days in Cells]]+Crops[[#This Row],[Harvest window]]</f>
        <v>124</v>
      </c>
      <c r="AV144">
        <v>72</v>
      </c>
      <c r="AX144">
        <v>72</v>
      </c>
      <c r="AY144">
        <v>21</v>
      </c>
      <c r="AZ144" s="49">
        <f>IFERROR(IF(Crops[[#This Row],[Tray 1 Days]]=0,"",Crops[[#This Row],[Plantings Per Bed]]/Crops[[#This Row],[Tray 1 Size]]*Crops[[#This Row],[Safety Factor]]),"")</f>
        <v>0.60185185185185175</v>
      </c>
      <c r="BA144">
        <v>18</v>
      </c>
      <c r="BB144">
        <v>21</v>
      </c>
      <c r="BC144">
        <f>IFERROR(IF(Crops[[#This Row],[Tray 2 Days]]=0,"",Crops[[#This Row],[Plantings Per Bed]]/Crops[[#This Row],[Tray 2 Size]]*Crops[[#This Row],[Safety Factor]]),"")</f>
        <v>2.407407407407407</v>
      </c>
      <c r="BD144">
        <v>9</v>
      </c>
      <c r="BE144" s="32">
        <v>34</v>
      </c>
      <c r="BF144" s="49">
        <f>IFERROR(IF(Crops[[#This Row],[Tray 3 Days]]=0,"",Crops[[#This Row],[Plantings Per Bed]]/Crops[[#This Row],[Tray 3 Size]]*Crops[[#This Row],[Safety Factor]]),"")</f>
        <v>4.814814814814814</v>
      </c>
      <c r="BG144" s="33">
        <f>1/Crops[[#This Row],[Harvests]]*Crops[[#This Row],[Plantings Per Bed]]</f>
        <v>4.761904761904761</v>
      </c>
      <c r="BH144" s="33">
        <v>7</v>
      </c>
      <c r="BI144" s="33">
        <v>7</v>
      </c>
      <c r="BJ144" s="33">
        <f>_xlfn.XLOOKUP(Crops[[#This Row],[ProductIndex]],Products[ID],Products[Holding Period])</f>
        <v>0</v>
      </c>
      <c r="BK144" s="33"/>
      <c r="BL144" s="33">
        <f>Crops[[#This Row],[Units Per Harvest]]*Crops[[#This Row],[Harvests]]</f>
        <v>33.333333333333329</v>
      </c>
      <c r="BM144" s="35">
        <v>12</v>
      </c>
      <c r="BN144" s="35">
        <f>Crops[[#This Row],[Direct Price]]*0.6</f>
        <v>7.1999999999999993</v>
      </c>
      <c r="BO144" s="35"/>
      <c r="BP144" t="s">
        <v>383</v>
      </c>
      <c r="BQ144" s="193">
        <f>Crops[[#This Row],[Custom Yield Per Bed]]*Crops[[#This Row],[Direct Price]]</f>
        <v>399.99999999999994</v>
      </c>
      <c r="BR144" s="193" t="b">
        <v>0</v>
      </c>
      <c r="BS144" t="b">
        <f>Crops[[#This Row],[Harvests]]&gt;1</f>
        <v>1</v>
      </c>
      <c r="BT144" s="36">
        <f>IFERROR(Crops[[#This Row],[Direct Revenue Per Bed]]/Crops[[#This Row],[Days In Field]],-1)</f>
        <v>3.2258064516129026</v>
      </c>
      <c r="BU144" s="36">
        <f>IFERROR(Crops[[#This Row],[Direct Revenue Per Bed Day]]*GrowingDays*BedsPerAcre,"")</f>
        <v>92903.225806451592</v>
      </c>
      <c r="BV144" s="38">
        <f>LastFrostDate-5*Crops[[#This Row],[Sewing Rel Last Frost]]</f>
        <v>45728</v>
      </c>
      <c r="BW144" s="38">
        <f>Crops[[#This Row],[Target Sewing Date]]+Crops[[#This Row],[Days in Cells]]</f>
        <v>45804</v>
      </c>
      <c r="BX144" s="38">
        <f>Crops[[#This Row],[Target Sewing Date]]+Crops[[#This Row],[STH]]</f>
        <v>45879</v>
      </c>
      <c r="BY144" s="38">
        <f>Crops[[#This Row],[Target Harvest Data]]+Crops[[#This Row],[Harvest window]]</f>
        <v>45928</v>
      </c>
      <c r="BZ144">
        <v>4</v>
      </c>
      <c r="CB144">
        <f>1</f>
        <v>1</v>
      </c>
      <c r="CC144">
        <f>IF(Crops[[#This Row],[Transplanting]]&gt;0, 2, 3)*BedLength/StandardBedLength</f>
        <v>1</v>
      </c>
      <c r="CD144" s="173">
        <f>IF(Crops[[#This Row],[Days in Cells]]&lt;=0,0,Crops[[#This Row],[Plantings Per Bed]]/StartsPerHourSeeding+Crops[[#This Row],[Tray 1 Count]]*5/60)</f>
        <v>0.18036265432098764</v>
      </c>
      <c r="CE144" s="173">
        <f>IF(ISBLANK(Crops[[#This Row],[Tray 2 Days]]),0,Crops[[#This Row],[Plantings Per Bed]]/UpPottingPerHour)+IF(Crops[[#This Row],[Tray 3 Days]]="",0,Crops[[#This Row],[Plantings Per Bed]]/UpPottingPerHour)</f>
        <v>0.55555555555555547</v>
      </c>
      <c r="CF144" s="173">
        <f>IFERROR(Crops[[#This Row],[Tray 1 Count]]/HomeStartFlatIrrigationPerHour,0)*Crops[[#This Row],[Days in Cells]]/DaysBetweenStartIrrigation</f>
        <v>0.19058641975308638</v>
      </c>
      <c r="CG144" s="173">
        <f>0.5/16*MAX(Crops[[#This Row],[Tray 1 Count]],Crops[[#This Row],[Tray 2 Count]],Crops[[#This Row],[Tray 3 Count]])</f>
        <v>0.15046296296296294</v>
      </c>
      <c r="CH144" s="173">
        <f>IF(Crops[[#This Row],[Days in Cells]]&gt;0,IF(IF(Crops[[#This Row],[Tray 3 Size]]&gt;0,Crops[[#This Row],[Tray 3 Size]],IF(Crops[[#This Row],[Tray 2 Size]]&gt;0,Crops[[#This Row],[Tray 2 Size]],Crops[[#This Row],[Tray 1 Size]]))&lt;=18,LargeTransplantTime,SmallTransplantTime)*Crops[[#This Row],[Plantings Per Bed]],0)</f>
        <v>1.3888888888888886</v>
      </c>
      <c r="CI144" s="173"/>
      <c r="CJ144" s="173">
        <f>_xlfn.XLOOKUP(Crops[[#This Row],[Trellis Type]],TrellisMethods[Trellis Type],TrellisMethods[Hours],0,0)</f>
        <v>0</v>
      </c>
      <c r="CK144">
        <f>IF(Crops[[#This Row],[Days in Cells]]&lt;=0,Crops[[#This Row],[Rows]]*1/10,0)*BedLength/50</f>
        <v>0</v>
      </c>
      <c r="CL144" cm="1">
        <f t="array" ref="CL144">_xlfn.SWITCH(Crops[[#This Row],[Irrigation]],"DR", 0.5, "OH", 0.25,0)*BedLength/50</f>
        <v>0.5</v>
      </c>
      <c r="CM144">
        <f>IF(OR(ISBLANK(Crops[[#This Row],[Row Cover]]),Crops[[#This Row],[Row Cover]]="None"),0,1)*BedLength/50</f>
        <v>1</v>
      </c>
      <c r="CN144" s="173">
        <f>HoursPerWeedingPass*Crops[[#This Row],[Days In Field]]/14*Crops[[#This Row],[Rows]]+1*BedLength/50</f>
        <v>2.4761904761904763</v>
      </c>
      <c r="CQ144" s="37">
        <f>_xlfn.XLOOKUP(Crops[[#This Row],[Crop]]&amp;Crops[[#This Row],[Product]]&amp;Crops[[#This Row],[Unit]],Products[ID],Products[Marketing (hr)])*Crops[[#This Row],[Direct Revenue Per Bed]]/2000</f>
        <v>0.79999999999999993</v>
      </c>
      <c r="CR144" s="37">
        <f>_xlfn.XLOOKUP(Crops[[#This Row],[Crop]]&amp;Crops[[#This Row],[Product]]&amp;Crops[[#This Row],[Unit]],Products[ID],Products[Harvest (s)])*Crops[[#This Row],[Custom Yield Per Bed]]/3600</f>
        <v>2.7777777777777772</v>
      </c>
      <c r="CS144" s="37">
        <f>_xlfn.XLOOKUP(Crops[[#This Row],[Crop]]&amp;Crops[[#This Row],[Product]]&amp;Crops[[#This Row],[Unit]],Products[ID],Products[Bunch (s)])*Crops[[#This Row],[Custom Yield Per Bed]]/3600</f>
        <v>0</v>
      </c>
      <c r="CT144" s="37">
        <f>_xlfn.XLOOKUP(Crops[[#This Row],[Crop]]&amp;Crops[[#This Row],[Product]]&amp;Crops[[#This Row],[Unit]],Products[ID],Products[Haul (s)])*Crops[[#This Row],[Custom Yield Per Bed]]/3600</f>
        <v>1.111111111111111E-2</v>
      </c>
      <c r="CU144" s="37">
        <f>_xlfn.XLOOKUP(Crops[[#This Row],[Crop]]&amp;Crops[[#This Row],[Product]]&amp;Crops[[#This Row],[Unit]],Products[ID],Products[Wash (s)])*Crops[[#This Row],[Custom Yield Per Bed]]/3600</f>
        <v>0</v>
      </c>
      <c r="CV144" s="37">
        <f>_xlfn.XLOOKUP(Crops[[#This Row],[Crop]]&amp;Crops[[#This Row],[Product]]&amp;Crops[[#This Row],[Unit]],Products[ID],Products[Condition (s)])*Crops[[#This Row],[Custom Yield Per Bed]]/3600</f>
        <v>0</v>
      </c>
      <c r="CW144" s="37">
        <f>_xlfn.XLOOKUP(Crops[[#This Row],[Crop]]&amp;Crops[[#This Row],[Product]]&amp;Crops[[#This Row],[Unit]],Products[ID],Products[Trim (s)])*Crops[[#This Row],[Custom Yield Per Bed]]/3600</f>
        <v>0</v>
      </c>
      <c r="CX144" s="37">
        <f>_xlfn.XLOOKUP(Crops[[#This Row],[Crop]]&amp;Crops[[#This Row],[Product]]&amp;Crops[[#This Row],[Unit]],Products[ID],Products[Pack (s)])*Crops[[#This Row],[Custom Yield Per Bed]]/3600</f>
        <v>2.7777777777777773E-2</v>
      </c>
      <c r="CY144" s="37">
        <f>_xlfn.XLOOKUP(Crops[[#This Row],[Crop]]&amp;Crops[[#This Row],[Product]]&amp;Crops[[#This Row],[Unit]],Products[ID],Products[Clean (s)])*Crops[[#This Row],[Custom Yield Per Bed]]/3600</f>
        <v>0</v>
      </c>
      <c r="CZ144" s="37">
        <f>_xlfn.XLOOKUP(Crops[[#This Row],[Crop]]&amp;Crops[[#This Row],[Product]]&amp;Crops[[#This Row],[Unit]],Products[ID],Products[Rehandle (s)])*Crops[[#This Row],[Custom Yield Per Bed]]/3600</f>
        <v>0</v>
      </c>
      <c r="DA144" s="37">
        <f>_xlfn.XLOOKUP(Crops[[#This Row],[Crop]]&amp;Crops[[#This Row],[Product]]&amp;Crops[[#This Row],[Unit]],Products[ID],Products[Market Transport (s)])*Crops[[#This Row],[Custom Yield Per Bed]]/3600</f>
        <v>2.7777777777777773E-2</v>
      </c>
      <c r="DC144" s="37">
        <f>Crops[[#This Row],[Direct Revenue Per Bed2]]</f>
        <v>399.99999999999994</v>
      </c>
      <c r="DD144" s="173">
        <f>_xlfn.AGGREGATE(9,6,Crops[[#This Row],[Bed Prep]:[Remove Crop Residue]])</f>
        <v>11.086491402116403</v>
      </c>
      <c r="DE144" s="173">
        <f>_xlfn.AGGREGATE(9,6,Crops[[#This Row],[Bed Prep]:[Remove Crop Residue]])-0.75*Crops[[#This Row],[Market &amp; Sell]]</f>
        <v>10.486491402116403</v>
      </c>
      <c r="DF144" s="36">
        <f>Crops[[#This Row],[Direct Revenue Per Bed2]]/Crops[[#This Row],[Direct Time]]</f>
        <v>36.07994499717379</v>
      </c>
      <c r="DG144" s="36">
        <f>_xlfn.XLOOKUP(Crops[[#This Row],[ProductIndex]],Products[ID],Products[Packaging Cost])*(Crops[[#This Row],[Custom Yield Per Bed]]/_xlfn.XLOOKUP(Crops[[#This Row],[ProductIndex]],Products[ID],Products[Units Per Pack]))</f>
        <v>11.999999999999998</v>
      </c>
      <c r="DH144" s="36"/>
      <c r="DI144" s="36"/>
      <c r="DJ144" s="36"/>
      <c r="DK144" s="36"/>
      <c r="DL144" s="36"/>
      <c r="DM144" s="33">
        <f>IFERROR(Crops[[#This Row],[Custom Yield Per Bed]]*Crops[[#This Row],[Direct Price]],"")</f>
        <v>399.99999999999994</v>
      </c>
      <c r="DN144" s="36">
        <f>Crops[[#This Row],[Direct Time]]*LaborRate</f>
        <v>277.16228505291008</v>
      </c>
      <c r="DO144" s="36">
        <f>SUM(Crops[[#This Row],[Irrigation Cost]])</f>
        <v>0</v>
      </c>
      <c r="DP144" s="36">
        <f>Crops[[#This Row],[Direct Labor Cost]]+Crops[[#This Row],[Direct Non-Labor Cost]]</f>
        <v>277.16228505291008</v>
      </c>
      <c r="DQ144" s="36">
        <f>Crops[[#This Row],[Direct Revenue Per Bed2]]-Crops[[#This Row],[Direct Total Cost]]</f>
        <v>122.83771494708986</v>
      </c>
      <c r="DR144" s="36">
        <f>Crops[[#This Row],[Direct Profit]]*BedsPerAcre</f>
        <v>19654.034391534376</v>
      </c>
      <c r="DS144" s="36">
        <f>Crops[[#This Row],[Direct Profit]]*BedsPerAcre*GrowingDays/Crops[[#This Row],[Days In Field]]</f>
        <v>28530.049923195063</v>
      </c>
      <c r="DT144" s="36">
        <f>Crops[[#This Row],[Direct Profit]]/MIN(Crops[[#This Row],[Days In Field]],GrowingDays)</f>
        <v>0.9906267334442731</v>
      </c>
      <c r="DU144" s="36">
        <f>Crops[[#This Row],[Direct Time]] * BedsPerAcre</f>
        <v>1773.8386243386244</v>
      </c>
      <c r="DV144" s="36">
        <f>(Crops[[#This Row],[Direct Revenue Per Bed2]]-Crops[[#This Row],[Direct Non-Labor Cost]])/Crops[[#This Row],[Direct Time]]</f>
        <v>36.07994499717379</v>
      </c>
      <c r="DW144" s="33">
        <f>IFERROR(Crops[[#This Row],[Custom Yield Per Bed]]*Crops[[#This Row],[Rough Wholesale Price]],"")</f>
        <v>239.99999999999994</v>
      </c>
      <c r="DX144" s="36">
        <f>Crops[[#This Row],[Wholesale Time]]*LaborRate</f>
        <v>262.16228505291008</v>
      </c>
      <c r="DY144" s="36">
        <f>SUM(Crops[[#This Row],[Packaging Costs]:[Irrigation Cost]])</f>
        <v>11.999999999999998</v>
      </c>
      <c r="DZ144" s="36">
        <f>Crops[[#This Row],[Wholesale Labor Cost]]+Crops[[#This Row],[Wholesale Non-Labor Cost]]</f>
        <v>274.16228505291008</v>
      </c>
      <c r="EA144" s="36">
        <f>Crops[[#This Row],[Wholesale Revenue Per Bed]]-Crops[[#This Row],[Wholesale Total Cost]]</f>
        <v>-34.162285052910136</v>
      </c>
      <c r="EB144" s="36">
        <f>Crops[[#This Row],[Wholesale Profit]]*BedsPerAcre</f>
        <v>-5465.9656084656217</v>
      </c>
      <c r="EC144" s="36">
        <f>Crops[[#This Row],[Wholesale Profit]]*BedsPerAcre*GrowingDays/Crops[[#This Row],[Days In Field]]</f>
        <v>-7934.4662058371932</v>
      </c>
      <c r="ED144" s="36">
        <f>Crops[[#This Row],[Wholesale Time]] * BedsPerAcre</f>
        <v>1677.8386243386244</v>
      </c>
      <c r="EE144" s="36">
        <f>Crops[[#This Row],[Wholesale Profit]]/MIN(Crops[[#This Row],[Days In Field]],GrowingDays)</f>
        <v>-0.2755022988137914</v>
      </c>
      <c r="EF144" s="36">
        <f>(Crops[[#This Row],[Wholesale Revenue Per Bed]]-Crops[[#This Row],[Wholesale Non-Labor Cost]])/Crops[[#This Row],[Direct Time]]</f>
        <v>20.565568648389057</v>
      </c>
      <c r="EG144" s="174">
        <f>Crops[[#This Row],[Packaging Costs]]/Crops[[#This Row],[Wholesale Revenue Per Bed]]</f>
        <v>0.05</v>
      </c>
      <c r="EH144" s="36" t="str">
        <f>Crops[[#This Row],[Crop]]&amp;Crops[[#This Row],[Product]]&amp;Crops[[#This Row],[Unit]]</f>
        <v>Ground CherryMature FruitLb</v>
      </c>
      <c r="EI144" s="36" t="b">
        <f>_xlfn.XLOOKUP(Crops[[#This Row],[ProductIndex]],Products[ID],Products[Target])</f>
        <v>1</v>
      </c>
      <c r="EJ144" s="36">
        <f>Crops[[#This Row],[Custom Yield Per Bed]]</f>
        <v>33.333333333333329</v>
      </c>
      <c r="EK144" s="210">
        <f>Crops[[#This Row],[Units Per Harvest]]/Crops[[#This Row],[Days Between Harvest]]*7</f>
        <v>4.761904761904761</v>
      </c>
      <c r="EL144" s="210" t="e">
        <f>Crops[[#This Row],[Custom Yield Per Bed]]/_xlfn.XLOOKUP(Crops[[#This Row],[ProductIndex]],Products[ID],Products[CSA Portion])</f>
        <v>#DIV/0!</v>
      </c>
      <c r="EM144" s="210" t="e">
        <f>Crops[[#This Row],[Units Per Harvest]]/Crops[[#This Row],[Days Between Harvest]]*7/_xlfn.XLOOKUP(Crops[[#This Row],[ProductIndex]],Products[ID],Products[CSA Portion])</f>
        <v>#DIV/0!</v>
      </c>
      <c r="EN144" s="210" t="e">
        <f>Crops[[#This Row],[CSA Portions Per Week]]/CSAMembers</f>
        <v>#DIV/0!</v>
      </c>
      <c r="EO144" s="210"/>
      <c r="EP144" s="210"/>
      <c r="EQ144" s="36"/>
      <c r="ER144" s="36">
        <f>Crops[[#This Row],[Harvests]]*Crops[[#This Row],[Days Between Harvest]]/7</f>
        <v>7</v>
      </c>
      <c r="ES144" s="208">
        <f>_xlfn.XLOOKUP(Crops[[#This Row],[ProductIndex]],Products[ID],Products[CSA Need])</f>
        <v>0</v>
      </c>
      <c r="ET144" s="208">
        <f>_xlfn.XLOOKUP(Crops[[#This Row],[ProductIndex]],Products[ID],Products[CSA Times])</f>
        <v>0</v>
      </c>
      <c r="EU144" s="208" t="e">
        <f>Crops[[#This Row],[Custom Yield Per Bed]]/(Crops[[#This Row],[CSA Need]]*(_xlfn.XLOOKUP(Crops[[#This Row],[ProductIndex]],Products[ID],Products[CSA Portion])*CSAMembers))</f>
        <v>#DIV/0!</v>
      </c>
      <c r="EV144" s="208">
        <f>_xlfn.XLOOKUP(Crops[[#This Row],[ProductIndex]],Products[ID],Products[CSA Portion])*CSAMembers*Crops[[#This Row],[CSA Need]]/Crops[[#This Row],[Custom Yield Per Bed]]</f>
        <v>0</v>
      </c>
      <c r="EW144" s="208">
        <f>IFERROR(Crops[[#This Row],[Days In Field]]*Crops[[#This Row],[CSA Beds]],"")</f>
        <v>0</v>
      </c>
      <c r="EX144" s="208" t="e">
        <f>Crops[[#This Row],[CSA Bed Days]]*#REF!</f>
        <v>#REF!</v>
      </c>
      <c r="EY144" t="s">
        <v>322</v>
      </c>
    </row>
    <row r="145" spans="1:155">
      <c r="A14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Hibiscus (Mahagony Splendor) - Mature Stem 1X | Field TP SuFa</v>
      </c>
      <c r="B145" s="189"/>
      <c r="C145" s="1" t="s">
        <v>2588</v>
      </c>
      <c r="D145" s="1"/>
      <c r="E145" s="1" t="b">
        <v>0</v>
      </c>
      <c r="F145" s="1" t="b">
        <f>IFERROR(IF(ISNUMBER(MATCH(Crops[[#This Row],[Identifier]],BedPlan[Crop], 0)), TRUE, FALSE), FALSE)</f>
        <v>0</v>
      </c>
      <c r="G145" s="1" t="b">
        <f>IFERROR(IF(ISNUMBER(MATCH(Crops[[#This Row],[Identifier]],BedPlan[Crop], 0)), TRUE, FALSE), FALSE)</f>
        <v>0</v>
      </c>
      <c r="H145" s="1"/>
      <c r="I145" t="s">
        <v>1773</v>
      </c>
      <c r="J145" t="s">
        <v>1774</v>
      </c>
      <c r="K145" t="s">
        <v>181</v>
      </c>
      <c r="M145" t="s">
        <v>406</v>
      </c>
      <c r="N145" t="str">
        <f>Crops[[#This Row],[Crop]]</f>
        <v>Hibiscus</v>
      </c>
      <c r="O145" t="s">
        <v>210</v>
      </c>
      <c r="P145" t="str">
        <f>IF(OR(Crops[[#This Row],[Days in Cells]]="",Crops[[#This Row],[Days in Cells]]=0), "DS","TP")</f>
        <v>TP</v>
      </c>
      <c r="R145" t="b">
        <v>1</v>
      </c>
      <c r="S145" t="b">
        <v>1</v>
      </c>
      <c r="V145" t="str">
        <f xml:space="preserve"> IF(Crops[[#This Row],[Sp]], "Sp", "") &amp; IF(Crops[[#This Row],[Su]], "Su", "") &amp; IF(Crops[[#This Row],[Fa]], "Fa", "") &amp; IF(Crops[[#This Row],[Wi]], "Wi", "") &amp; IF(Crops[[#This Row],[OW]], "Ow","")</f>
        <v>SuFa</v>
      </c>
      <c r="X145">
        <v>1</v>
      </c>
      <c r="Y145">
        <v>36</v>
      </c>
      <c r="AB145" t="b">
        <v>0</v>
      </c>
      <c r="AC145">
        <v>6</v>
      </c>
      <c r="AD145" s="32">
        <f>IFERROR(12/Crops[[#This Row],[Spacing]]*Crops[[#This Row],[Rows]]*BedLength,"")</f>
        <v>16.666666666666664</v>
      </c>
      <c r="AE145">
        <v>1</v>
      </c>
      <c r="AG145">
        <f>IF(Crops[[#This Row],[Custom Safety Factor]]="",PlantingSafetyFactor,Crops[[#This Row],[Custom Safety Factor]])</f>
        <v>1.3</v>
      </c>
      <c r="AH145">
        <f>1</f>
        <v>1</v>
      </c>
      <c r="AI145" s="33">
        <f>IFERROR(Crops[[#This Row],[Plantings Per Bed]]*Crops[[#This Row],[Seeds Per Planting]]*Crops[[#This Row],[Safety Factor]]*Crops[[#This Row],[Seeding Factor]],"")</f>
        <v>21.666666666666664</v>
      </c>
      <c r="AJ145">
        <v>3</v>
      </c>
      <c r="AK145">
        <v>5</v>
      </c>
      <c r="AL145">
        <f>_xlfn.FLOOR.MATH(IFERROR(AVERAGE(Crops[[#This Row],[DTG Lower]:[DTG Upper]]),0))</f>
        <v>4</v>
      </c>
      <c r="AM145">
        <f>SUM(Crops[[#This Row],[Tray 1 Days]],Crops[[#This Row],[Tray 2 Days]],Crops[[#This Row],[Tray 3 Days]])</f>
        <v>50</v>
      </c>
      <c r="AN145" s="32"/>
      <c r="AO145">
        <v>115</v>
      </c>
      <c r="AP145">
        <v>130</v>
      </c>
      <c r="AQ145">
        <f>IFERROR(_xlfn.FLOOR.MATH(AVERAGE(Crops[[#This Row],[DTM Lower]:[DTM Upper]])),"")</f>
        <v>122</v>
      </c>
      <c r="AR145" cm="1">
        <f t="array" ref="AR145">_xlfn.SWITCH(Crops[[#This Row],[Normal Method]],"DS",Crops[[#This Row],[Days to Germination]]+Crops[[#This Row],[DTM]] + IF(Crops[[#This Row],[Days in Cells]]&gt;0,15,0), "TP",Crops[[#This Row],[DTM]]+Crops[[#This Row],[Days in Cells]] + IF(Crops[[#This Row],[Days in Cells]]&lt;=0,20,0), "X", Crops[[#This Row],[DTM]])</f>
        <v>141</v>
      </c>
      <c r="AS145" t="s">
        <v>338</v>
      </c>
      <c r="AT145">
        <f>(Crops[[#This Row],[Harvests]]-1)*Crops[[#This Row],[Days Between Harvest]]+7</f>
        <v>42</v>
      </c>
      <c r="AU145">
        <f>Crops[[#This Row],[STH]]-Crops[[#This Row],[Days in Cells]]+Crops[[#This Row],[Harvest window]]</f>
        <v>133</v>
      </c>
      <c r="AX145">
        <v>72</v>
      </c>
      <c r="AY145">
        <v>50</v>
      </c>
      <c r="AZ145">
        <f>IFERROR(IF(Crops[[#This Row],[Tray 1 Days]]=0,"",Crops[[#This Row],[Plantings Per Bed]]/Crops[[#This Row],[Tray 1 Size]]*Crops[[#This Row],[Safety Factor]]),"")</f>
        <v>0.30092592592592587</v>
      </c>
      <c r="BC145" t="str">
        <f>IFERROR(IF(Crops[[#This Row],[Tray 2 Days]]=0,"",Crops[[#This Row],[Plantings Per Bed]]/Crops[[#This Row],[Tray 2 Size]]*Crops[[#This Row],[Safety Factor]]),"")</f>
        <v/>
      </c>
      <c r="BE145" s="32" t="str">
        <f>IF(NOT(ISBLANK(Crops[[#This Row],[Tray 3 Size]])), Crops[[#This Row],[Days in Cells Old]]-SUM(Crops[[#This Row],[Tray 1 Days]],Crops[[#This Row],[Tray 2 Days]]), "")</f>
        <v/>
      </c>
      <c r="BF145" t="str">
        <f>IFERROR(IF(Crops[[#This Row],[Tray 3 Days]]=0,"",Crops[[#This Row],[Plantings Per Bed]]/Crops[[#This Row],[Tray 3 Size]]*Crops[[#This Row],[Safety Factor]]),"")</f>
        <v/>
      </c>
      <c r="BG145" s="33">
        <f>Crops[[#This Row],[Plantings Per Bed]]*40/Crops[[#This Row],[Harvests]]</f>
        <v>111.11111111111109</v>
      </c>
      <c r="BH145" s="33">
        <v>6</v>
      </c>
      <c r="BI145" s="33">
        <v>7</v>
      </c>
      <c r="BJ145" s="33">
        <f>_xlfn.XLOOKUP(Crops[[#This Row],[ProductIndex]],Products[ID],Products[Holding Period])</f>
        <v>0</v>
      </c>
      <c r="BK145" s="33"/>
      <c r="BL145" s="178">
        <f>Crops[[#This Row],[Units Per Harvest]]*Crops[[#This Row],[Harvests]]</f>
        <v>666.66666666666652</v>
      </c>
      <c r="BM145" s="35">
        <v>1</v>
      </c>
      <c r="BN145" s="35">
        <f>Crops[[#This Row],[Direct Price]]*0.6</f>
        <v>0.6</v>
      </c>
      <c r="BO145" s="35"/>
      <c r="BP145" t="s">
        <v>213</v>
      </c>
      <c r="BQ145">
        <f>Crops[[#This Row],[Custom Yield Per Bed]]*Crops[[#This Row],[Direct Price]]</f>
        <v>666.66666666666652</v>
      </c>
      <c r="BR145" t="b">
        <v>0</v>
      </c>
      <c r="BS145" t="b">
        <f>Crops[[#This Row],[Harvests]]&gt;1</f>
        <v>1</v>
      </c>
      <c r="BT145" s="36">
        <f>IFERROR(Crops[[#This Row],[Direct Revenue Per Bed]]/Crops[[#This Row],[Days In Field]],-1)</f>
        <v>5.0125313283208008</v>
      </c>
      <c r="BU145" s="33">
        <f>IFERROR(Crops[[#This Row],[Direct Revenue Per Bed Day]]*GrowingDays*BedsPerAcre,"")</f>
        <v>144360.90225563906</v>
      </c>
      <c r="BV145" s="38">
        <f>LastFrostDate-5*Crops[[#This Row],[Sewing Rel Last Frost]]</f>
        <v>45743</v>
      </c>
      <c r="BW145" s="38">
        <f>Crops[[#This Row],[Target Sewing Date]]+Crops[[#This Row],[Days in Cells]]</f>
        <v>45793</v>
      </c>
      <c r="BX145" s="38">
        <f>Crops[[#This Row],[Target Sewing Date]]+Crops[[#This Row],[STH]]</f>
        <v>45884</v>
      </c>
      <c r="BY145" s="38">
        <f>Crops[[#This Row],[Target Harvest Data]]+Crops[[#This Row],[Harvest window]]</f>
        <v>45926</v>
      </c>
      <c r="BZ145">
        <v>1</v>
      </c>
      <c r="CB145">
        <f>1</f>
        <v>1</v>
      </c>
      <c r="CC145">
        <f>IF(Crops[[#This Row],[Transplanting]]&gt;0, 2, 3)*BedLength/StandardBedLength</f>
        <v>1</v>
      </c>
      <c r="CD145" s="173">
        <f>IF(Crops[[#This Row],[Days in Cells]]&lt;=0,0,Crops[[#This Row],[Plantings Per Bed]]/StartsPerHourSeeding+Crops[[#This Row],[Tray 1 Count]]*5/60)</f>
        <v>9.0181327160493818E-2</v>
      </c>
      <c r="CE145" s="173">
        <f>IF(ISBLANK(Crops[[#This Row],[Tray 2 Days]]),0,Crops[[#This Row],[Plantings Per Bed]]/UpPottingPerHour)+IF(Crops[[#This Row],[Tray 3 Days]]="",0,Crops[[#This Row],[Plantings Per Bed]]/UpPottingPerHour)</f>
        <v>0</v>
      </c>
      <c r="CF145" s="173">
        <f>IFERROR(Crops[[#This Row],[Tray 1 Count]]/HomeStartFlatIrrigationPerHour,0)*Crops[[#This Row],[Days in Cells]]/DaysBetweenStartIrrigation</f>
        <v>6.2692901234567888E-2</v>
      </c>
      <c r="CG145" s="173">
        <f>0.5/16*MAX(Crops[[#This Row],[Tray 1 Count]],Crops[[#This Row],[Tray 2 Count]],Crops[[#This Row],[Tray 3 Count]])</f>
        <v>9.4039351851851836E-3</v>
      </c>
      <c r="CH145" s="173">
        <f>IF(Crops[[#This Row],[Days in Cells]]&gt;0,IF(IF(Crops[[#This Row],[Tray 3 Size]]&gt;0,Crops[[#This Row],[Tray 3 Size]],IF(Crops[[#This Row],[Tray 2 Size]]&gt;0,Crops[[#This Row],[Tray 2 Size]],Crops[[#This Row],[Tray 1 Size]]))&lt;=18,LargeTransplantTime,SmallTransplantTime)*Crops[[#This Row],[Plantings Per Bed]],0)</f>
        <v>8.3333333333333329E-2</v>
      </c>
      <c r="CI145" s="173"/>
      <c r="CJ145" s="173">
        <f>_xlfn.XLOOKUP(Crops[[#This Row],[Trellis Type]],TrellisMethods[Trellis Type],TrellisMethods[Hours],0,0)</f>
        <v>0</v>
      </c>
      <c r="CK145">
        <f>IF(Crops[[#This Row],[Days in Cells]]&lt;=0,Crops[[#This Row],[Rows]]*1/10,0)*BedLength/50</f>
        <v>0</v>
      </c>
      <c r="CL145" cm="1">
        <f t="array" ref="CL145">_xlfn.SWITCH(Crops[[#This Row],[Irrigation]],"DR", 0.5, "OH", 0.25,0)*BedLength/50</f>
        <v>0</v>
      </c>
      <c r="CM145">
        <f>IF(OR(ISBLANK(Crops[[#This Row],[Row Cover]]),Crops[[#This Row],[Row Cover]]="None"),0,1)*BedLength/50</f>
        <v>0</v>
      </c>
      <c r="CN145" s="173">
        <f>HoursPerWeedingPass*Crops[[#This Row],[Days In Field]]/14*Crops[[#This Row],[Rows]]+1*BedLength/50</f>
        <v>2.583333333333333</v>
      </c>
      <c r="CO145">
        <f>0.25*Crops[[#This Row],[Days In Field]]/7*BedLength/50</f>
        <v>4.75</v>
      </c>
      <c r="CQ145" s="37">
        <f>_xlfn.XLOOKUP(Crops[[#This Row],[Crop]]&amp;Crops[[#This Row],[Product]]&amp;Crops[[#This Row],[Unit]],Products[ID],Products[Marketing (hr)])*Crops[[#This Row],[Direct Revenue Per Bed]]/2000</f>
        <v>1.9999999999999996</v>
      </c>
      <c r="CR145" s="37">
        <f>_xlfn.XLOOKUP(Crops[[#This Row],[Crop]]&amp;Crops[[#This Row],[Product]]&amp;Crops[[#This Row],[Unit]],Products[ID],Products[Harvest (s)])*Crops[[#This Row],[Custom Yield Per Bed]]/3600</f>
        <v>0.92592592592592571</v>
      </c>
      <c r="CS145" s="37">
        <f>_xlfn.XLOOKUP(Crops[[#This Row],[Crop]]&amp;Crops[[#This Row],[Product]]&amp;Crops[[#This Row],[Unit]],Products[ID],Products[Bunch (s)])*Crops[[#This Row],[Custom Yield Per Bed]]/3600</f>
        <v>0</v>
      </c>
      <c r="CT145" s="37">
        <f>_xlfn.XLOOKUP(Crops[[#This Row],[Crop]]&amp;Crops[[#This Row],[Product]]&amp;Crops[[#This Row],[Unit]],Products[ID],Products[Haul (s)])*Crops[[#This Row],[Custom Yield Per Bed]]/3600</f>
        <v>0.46296296296296285</v>
      </c>
      <c r="CU145" s="37">
        <f>_xlfn.XLOOKUP(Crops[[#This Row],[Crop]]&amp;Crops[[#This Row],[Product]]&amp;Crops[[#This Row],[Unit]],Products[ID],Products[Wash (s)])*Crops[[#This Row],[Custom Yield Per Bed]]/3600</f>
        <v>0</v>
      </c>
      <c r="CV145" s="37">
        <f>_xlfn.XLOOKUP(Crops[[#This Row],[Crop]]&amp;Crops[[#This Row],[Product]]&amp;Crops[[#This Row],[Unit]],Products[ID],Products[Condition (s)])*Crops[[#This Row],[Custom Yield Per Bed]]/3600</f>
        <v>0</v>
      </c>
      <c r="CW145" s="37">
        <f>_xlfn.XLOOKUP(Crops[[#This Row],[Crop]]&amp;Crops[[#This Row],[Product]]&amp;Crops[[#This Row],[Unit]],Products[ID],Products[Trim (s)])*Crops[[#This Row],[Custom Yield Per Bed]]/3600</f>
        <v>0.55555555555555547</v>
      </c>
      <c r="CX145" s="37">
        <f>_xlfn.XLOOKUP(Crops[[#This Row],[Crop]]&amp;Crops[[#This Row],[Product]]&amp;Crops[[#This Row],[Unit]],Products[ID],Products[Pack (s)])*Crops[[#This Row],[Custom Yield Per Bed]]/3600</f>
        <v>0.55555555555555547</v>
      </c>
      <c r="CY145" s="37">
        <f>_xlfn.XLOOKUP(Crops[[#This Row],[Crop]]&amp;Crops[[#This Row],[Product]]&amp;Crops[[#This Row],[Unit]],Products[ID],Products[Clean (s)])*Crops[[#This Row],[Custom Yield Per Bed]]/3600</f>
        <v>0</v>
      </c>
      <c r="CZ145" s="37">
        <f>_xlfn.XLOOKUP(Crops[[#This Row],[Crop]]&amp;Crops[[#This Row],[Product]]&amp;Crops[[#This Row],[Unit]],Products[ID],Products[Rehandle (s)])*Crops[[#This Row],[Custom Yield Per Bed]]/3600</f>
        <v>0</v>
      </c>
      <c r="DA145" s="37">
        <f>_xlfn.XLOOKUP(Crops[[#This Row],[Crop]]&amp;Crops[[#This Row],[Product]]&amp;Crops[[#This Row],[Unit]],Products[ID],Products[Market Transport (s)])*Crops[[#This Row],[Custom Yield Per Bed]]/3600</f>
        <v>1.1574074074074072</v>
      </c>
      <c r="DC145" s="37">
        <f>Crops[[#This Row],[Direct Revenue Per Bed2]]</f>
        <v>666.66666666666652</v>
      </c>
      <c r="DD145" s="173">
        <f>_xlfn.AGGREGATE(9,6,Crops[[#This Row],[Bed Prep]:[Remove Crop Residue]])</f>
        <v>14.236352237654319</v>
      </c>
      <c r="DE145" s="173">
        <f>_xlfn.AGGREGATE(9,6,Crops[[#This Row],[Bed Prep]:[Remove Crop Residue]])-0.75*Crops[[#This Row],[Market &amp; Sell]]</f>
        <v>12.736352237654319</v>
      </c>
      <c r="DF145" s="36">
        <f>Crops[[#This Row],[Direct Revenue Per Bed2]]/Crops[[#This Row],[Direct Time]]</f>
        <v>46.8284751274538</v>
      </c>
      <c r="DG145" s="36">
        <f>_xlfn.XLOOKUP(Crops[[#This Row],[ProductIndex]],Products[ID],Products[Packaging Cost])*(Crops[[#This Row],[Custom Yield Per Bed]]/_xlfn.XLOOKUP(Crops[[#This Row],[ProductIndex]],Products[ID],Products[Units Per Pack]))</f>
        <v>74.074074074074062</v>
      </c>
      <c r="DH145" s="36"/>
      <c r="DI145" s="36"/>
      <c r="DJ145" s="36"/>
      <c r="DK145" s="36"/>
      <c r="DL145" s="36"/>
      <c r="DM145" s="33">
        <f>IFERROR(Crops[[#This Row],[Custom Yield Per Bed]]*Crops[[#This Row],[Direct Price]],"")</f>
        <v>666.66666666666652</v>
      </c>
      <c r="DN145" s="36">
        <f>Crops[[#This Row],[Direct Time]]*LaborRate</f>
        <v>355.90880594135797</v>
      </c>
      <c r="DO145" s="36">
        <f>SUM(Crops[[#This Row],[Irrigation Cost]])</f>
        <v>0</v>
      </c>
      <c r="DP145" s="36">
        <f>Crops[[#This Row],[Direct Labor Cost]]+Crops[[#This Row],[Direct Non-Labor Cost]]</f>
        <v>355.90880594135797</v>
      </c>
      <c r="DQ145" s="36">
        <f>Crops[[#This Row],[Direct Revenue Per Bed2]]-Crops[[#This Row],[Direct Total Cost]]</f>
        <v>310.75786072530855</v>
      </c>
      <c r="DR145" s="36">
        <f>Crops[[#This Row],[Direct Profit]]*BedsPerAcre</f>
        <v>49721.257716049367</v>
      </c>
      <c r="DS145" s="36">
        <f>Crops[[#This Row],[Direct Profit]]*BedsPerAcre*GrowingDays/Crops[[#This Row],[Days In Field]]</f>
        <v>67291.927736006663</v>
      </c>
      <c r="DT145" s="36">
        <f>Crops[[#This Row],[Direct Profit]]/MIN(Crops[[#This Row],[Days In Field]],GrowingDays)</f>
        <v>2.3365252686113425</v>
      </c>
      <c r="DU145" s="36">
        <f>Crops[[#This Row],[Direct Time]] * BedsPerAcre</f>
        <v>2277.816358024691</v>
      </c>
      <c r="DV145" s="36">
        <f>(Crops[[#This Row],[Direct Revenue Per Bed2]]-Crops[[#This Row],[Direct Non-Labor Cost]])/Crops[[#This Row],[Direct Time]]</f>
        <v>46.8284751274538</v>
      </c>
      <c r="DW145" s="33">
        <f>IFERROR(Crops[[#This Row],[Custom Yield Per Bed]]*Crops[[#This Row],[Rough Wholesale Price]],"")</f>
        <v>399.99999999999989</v>
      </c>
      <c r="DX145" s="36">
        <f>Crops[[#This Row],[Wholesale Time]]*LaborRate</f>
        <v>318.40880594135797</v>
      </c>
      <c r="DY145" s="36">
        <f>SUM(Crops[[#This Row],[Packaging Costs]:[Irrigation Cost]])</f>
        <v>74.074074074074062</v>
      </c>
      <c r="DZ145" s="36">
        <f>Crops[[#This Row],[Wholesale Labor Cost]]+Crops[[#This Row],[Wholesale Non-Labor Cost]]</f>
        <v>392.48288001543204</v>
      </c>
      <c r="EA145" s="36">
        <f>Crops[[#This Row],[Wholesale Revenue Per Bed]]-Crops[[#This Row],[Wholesale Total Cost]]</f>
        <v>7.5171199845678416</v>
      </c>
      <c r="EB145" s="36">
        <f>Crops[[#This Row],[Wholesale Profit]]*BedsPerAcre</f>
        <v>1202.7391975308547</v>
      </c>
      <c r="EC145" s="36">
        <f>Crops[[#This Row],[Wholesale Profit]]*BedsPerAcre*GrowingDays/Crops[[#This Row],[Days In Field]]</f>
        <v>1627.7673350041644</v>
      </c>
      <c r="ED145" s="36">
        <f>Crops[[#This Row],[Wholesale Time]] * BedsPerAcre</f>
        <v>2037.816358024691</v>
      </c>
      <c r="EE145" s="36">
        <f>Crops[[#This Row],[Wholesale Profit]]/MIN(Crops[[#This Row],[Days In Field]],GrowingDays)</f>
        <v>5.6519699132089034E-2</v>
      </c>
      <c r="EF145" s="36">
        <f>(Crops[[#This Row],[Wholesale Revenue Per Bed]]-Crops[[#This Row],[Wholesale Non-Labor Cost]])/Crops[[#This Row],[Direct Time]]</f>
        <v>22.893921173421855</v>
      </c>
      <c r="EG145" s="174">
        <f>Crops[[#This Row],[Packaging Costs]]/Crops[[#This Row],[Wholesale Revenue Per Bed]]</f>
        <v>0.1851851851851852</v>
      </c>
      <c r="EH145" s="36" t="str">
        <f>Crops[[#This Row],[Crop]]&amp;Crops[[#This Row],[Product]]&amp;Crops[[#This Row],[Unit]]</f>
        <v>HibiscusMature StemStem</v>
      </c>
      <c r="EI145" s="36" t="b">
        <f>_xlfn.XLOOKUP(Crops[[#This Row],[ProductIndex]],Products[ID],Products[Target])</f>
        <v>1</v>
      </c>
      <c r="EJ145" s="36">
        <f>Crops[[#This Row],[Custom Yield Per Bed]]</f>
        <v>666.66666666666652</v>
      </c>
      <c r="EK145" s="210">
        <f>Crops[[#This Row],[Units Per Harvest]]/Crops[[#This Row],[Days Between Harvest]]*7</f>
        <v>111.11111111111109</v>
      </c>
      <c r="EL145" s="210" t="e">
        <f>Crops[[#This Row],[Custom Yield Per Bed]]/_xlfn.XLOOKUP(Crops[[#This Row],[ProductIndex]],Products[ID],Products[CSA Portion])</f>
        <v>#DIV/0!</v>
      </c>
      <c r="EM145" s="210" t="e">
        <f>Crops[[#This Row],[Units Per Harvest]]/Crops[[#This Row],[Days Between Harvest]]*7/_xlfn.XLOOKUP(Crops[[#This Row],[ProductIndex]],Products[ID],Products[CSA Portion])</f>
        <v>#DIV/0!</v>
      </c>
      <c r="EN145" s="210" t="e">
        <f>Crops[[#This Row],[CSA Portions Per Week]]/CSAMembers</f>
        <v>#DIV/0!</v>
      </c>
      <c r="EO145" s="210"/>
      <c r="EP145" s="210"/>
      <c r="EQ145" s="36"/>
      <c r="ER145" s="36">
        <f>Crops[[#This Row],[Harvests]]*Crops[[#This Row],[Days Between Harvest]]/7</f>
        <v>6</v>
      </c>
      <c r="ES145" s="208">
        <f>_xlfn.XLOOKUP(Crops[[#This Row],[ProductIndex]],Products[ID],Products[CSA Need])</f>
        <v>0</v>
      </c>
      <c r="ET145" s="208">
        <f>_xlfn.XLOOKUP(Crops[[#This Row],[ProductIndex]],Products[ID],Products[CSA Times])</f>
        <v>0</v>
      </c>
      <c r="EU145" s="208" t="e">
        <f>Crops[[#This Row],[Custom Yield Per Bed]]/(Crops[[#This Row],[CSA Need]]*(_xlfn.XLOOKUP(Crops[[#This Row],[ProductIndex]],Products[ID],Products[CSA Portion])*CSAMembers))</f>
        <v>#DIV/0!</v>
      </c>
      <c r="EV145" s="208">
        <f>_xlfn.XLOOKUP(Crops[[#This Row],[ProductIndex]],Products[ID],Products[CSA Portion])*CSAMembers*Crops[[#This Row],[CSA Need]]/Crops[[#This Row],[Custom Yield Per Bed]]</f>
        <v>0</v>
      </c>
      <c r="EW145" s="208">
        <f>IFERROR(Crops[[#This Row],[Days In Field]]*Crops[[#This Row],[CSA Beds]],"")</f>
        <v>0</v>
      </c>
      <c r="EX145" s="208" t="e">
        <f>Crops[[#This Row],[CSA Bed Days]]*#REF!</f>
        <v>#REF!</v>
      </c>
      <c r="EY145" t="s">
        <v>1775</v>
      </c>
    </row>
    <row r="146" spans="1:155">
      <c r="A14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Hops Vine with Flowers - Flowering Vine 1X | Field DS </v>
      </c>
      <c r="C146" s="1"/>
      <c r="D146" s="1"/>
      <c r="E146" s="1" t="b">
        <v>0</v>
      </c>
      <c r="F146" s="1" t="b">
        <f>IFERROR(IF(ISNUMBER(MATCH(Crops[[#This Row],[Identifier]],BedPlan[Crop], 0)), TRUE, FALSE), FALSE)</f>
        <v>0</v>
      </c>
      <c r="G146" s="1" t="b">
        <f>IFERROR(IF(ISNUMBER(MATCH(Crops[[#This Row],[Identifier]],BedPlan[Crop], 0)), TRUE, FALSE), FALSE)</f>
        <v>0</v>
      </c>
      <c r="H146" s="1" t="b">
        <v>1</v>
      </c>
      <c r="I146" t="s">
        <v>83</v>
      </c>
      <c r="J146" t="s">
        <v>145</v>
      </c>
      <c r="K146" t="s">
        <v>197</v>
      </c>
      <c r="N146" t="str">
        <f>Crops[[#This Row],[Crop]]</f>
        <v>Hops Vine with Flowers</v>
      </c>
      <c r="O146" t="s">
        <v>210</v>
      </c>
      <c r="P146" t="str">
        <f>IF(OR(Crops[[#This Row],[Days in Cells]]="",Crops[[#This Row],[Days in Cells]]=0), "DS","TP")</f>
        <v>DS</v>
      </c>
      <c r="V146" t="str">
        <f xml:space="preserve"> IF(Crops[[#This Row],[Sp]], "Sp", "") &amp; IF(Crops[[#This Row],[Su]], "Su", "") &amp; IF(Crops[[#This Row],[Fa]], "Fa", "") &amp; IF(Crops[[#This Row],[Wi]], "Wi", "") &amp; IF(Crops[[#This Row],[OW]], "Ow","")</f>
        <v/>
      </c>
      <c r="X146">
        <v>1</v>
      </c>
      <c r="Y146">
        <v>36</v>
      </c>
      <c r="AD146" s="32">
        <f>IFERROR(12/Crops[[#This Row],[Spacing]]*Crops[[#This Row],[Rows]]*BedLength,"")</f>
        <v>16.666666666666664</v>
      </c>
      <c r="AE146">
        <v>1</v>
      </c>
      <c r="AG146">
        <f>IF(Crops[[#This Row],[Custom Safety Factor]]="",PlantingSafetyFactor,Crops[[#This Row],[Custom Safety Factor]])</f>
        <v>1.3</v>
      </c>
      <c r="AH146">
        <f>1</f>
        <v>1</v>
      </c>
      <c r="AI146" s="33">
        <f>IFERROR(Crops[[#This Row],[Plantings Per Bed]]*Crops[[#This Row],[Seeds Per Planting]]*Crops[[#This Row],[Safety Factor]]*Crops[[#This Row],[Seeding Factor]],"")</f>
        <v>21.666666666666664</v>
      </c>
      <c r="AL146">
        <f>_xlfn.FLOOR.MATH(IFERROR(AVERAGE(Crops[[#This Row],[DTG Lower]:[DTG Upper]]),0))</f>
        <v>0</v>
      </c>
      <c r="AM146">
        <f>SUM(Crops[[#This Row],[Tray 1 Days]],Crops[[#This Row],[Tray 2 Days]],Crops[[#This Row],[Tray 3 Days]])</f>
        <v>0</v>
      </c>
      <c r="AP146">
        <v>180</v>
      </c>
      <c r="AQ146">
        <f>IFERROR(_xlfn.FLOOR.MATH(AVERAGE(Crops[[#This Row],[DTM Lower]:[DTM Upper]])),"")</f>
        <v>180</v>
      </c>
      <c r="AR146" cm="1">
        <f t="array" ref="AR146">_xlfn.SWITCH(Crops[[#This Row],[Normal Method]],"DS",Crops[[#This Row],[Days to Germination]]+Crops[[#This Row],[DTM]] + IF(Crops[[#This Row],[Days in Cells]]&gt;0,15,0), "TP",Crops[[#This Row],[DTM]]+Crops[[#This Row],[Days in Cells]] + IF(Crops[[#This Row],[Days in Cells]]&lt;=0,20,0), "X", Crops[[#This Row],[DTM]])</f>
        <v>180</v>
      </c>
      <c r="AS146" t="s">
        <v>347</v>
      </c>
      <c r="AT146">
        <f>(Crops[[#This Row],[Harvests]]-1)*Crops[[#This Row],[Days Between Harvest]]+7</f>
        <v>7</v>
      </c>
      <c r="AU146">
        <f>Crops[[#This Row],[STH]]-Crops[[#This Row],[Days in Cells]]+Crops[[#This Row],[Harvest window]]</f>
        <v>187</v>
      </c>
      <c r="AW146" t="s">
        <v>212</v>
      </c>
      <c r="AZ146" t="str">
        <f>IFERROR(IF(Crops[[#This Row],[Tray 1 Days]]=0,"",Crops[[#This Row],[Plantings Per Bed]]/Crops[[#This Row],[Tray 1 Size]]*Crops[[#This Row],[Safety Factor]]),"")</f>
        <v/>
      </c>
      <c r="BC146" t="str">
        <f>IFERROR(IF(Crops[[#This Row],[Tray 2 Days]]=0,"",Crops[[#This Row],[Plantings Per Bed]]/Crops[[#This Row],[Tray 2 Size]]*Crops[[#This Row],[Safety Factor]]),"")</f>
        <v/>
      </c>
      <c r="BE146" s="32" t="str">
        <f>IF(NOT(ISBLANK(Crops[[#This Row],[Tray 3 Size]])), Crops[[#This Row],[Days in Cells Old]]-SUM(Crops[[#This Row],[Tray 1 Days]],Crops[[#This Row],[Tray 2 Days]]), "")</f>
        <v/>
      </c>
      <c r="BF146" t="str">
        <f>IFERROR(IF(Crops[[#This Row],[Tray 3 Days]]=0,"",Crops[[#This Row],[Plantings Per Bed]]/Crops[[#This Row],[Tray 3 Size]]*Crops[[#This Row],[Safety Factor]]),"")</f>
        <v/>
      </c>
      <c r="BG146" s="33"/>
      <c r="BH146" s="33"/>
      <c r="BI146" s="33"/>
      <c r="BJ146" s="33">
        <f>_xlfn.XLOOKUP(Crops[[#This Row],[ProductIndex]],Products[ID],Products[Holding Period])</f>
        <v>0</v>
      </c>
      <c r="BK146" s="33"/>
      <c r="BL146" s="33">
        <f>Crops[[#This Row],[Units Per Harvest]]*Crops[[#This Row],[Harvests]]</f>
        <v>0</v>
      </c>
      <c r="BM146" s="35">
        <v>5.0310000000000006</v>
      </c>
      <c r="BN146" s="35">
        <f>Crops[[#This Row],[Direct Price]]*0.6</f>
        <v>3.0186000000000002</v>
      </c>
      <c r="BO146" s="35"/>
      <c r="BP146" t="s">
        <v>213</v>
      </c>
      <c r="BQ146" s="193">
        <f>Crops[[#This Row],[Custom Yield Per Bed]]*Crops[[#This Row],[Direct Price]]</f>
        <v>0</v>
      </c>
      <c r="BR146" s="193" t="b">
        <v>0</v>
      </c>
      <c r="BS146" t="b">
        <f>Crops[[#This Row],[Harvests]]&gt;1</f>
        <v>0</v>
      </c>
      <c r="BT146" s="36">
        <f>IFERROR(Crops[[#This Row],[Direct Revenue Per Bed]]/Crops[[#This Row],[Days In Field]],-1)</f>
        <v>0</v>
      </c>
      <c r="BU146" s="36">
        <f>IFERROR(Crops[[#This Row],[Direct Revenue Per Bed Day]]*GrowingDays*BedsPerAcre,"")</f>
        <v>0</v>
      </c>
      <c r="BV146" s="38">
        <f>LastFrostDate-5*Crops[[#This Row],[Sewing Rel Last Frost]]</f>
        <v>45748</v>
      </c>
      <c r="BW146" s="38">
        <f>Crops[[#This Row],[Target Sewing Date]]+Crops[[#This Row],[Days in Cells]]</f>
        <v>45748</v>
      </c>
      <c r="BX146" s="38">
        <f>Crops[[#This Row],[Target Sewing Date]]+Crops[[#This Row],[STH]]</f>
        <v>45928</v>
      </c>
      <c r="BY146" s="38">
        <f>Crops[[#This Row],[Target Harvest Data]]+Crops[[#This Row],[Harvest window]]</f>
        <v>45935</v>
      </c>
      <c r="CB146">
        <f>1</f>
        <v>1</v>
      </c>
      <c r="CC146">
        <f>IF(Crops[[#This Row],[Transplanting]]&gt;0, 2, 3)*BedLength/StandardBedLength</f>
        <v>1.5</v>
      </c>
      <c r="CD146" s="173">
        <f>IF(Crops[[#This Row],[Days in Cells]]&lt;=0,0,Crops[[#This Row],[Plantings Per Bed]]/StartsPerHourSeeding+Crops[[#This Row],[Tray 1 Count]]*5/60)</f>
        <v>0</v>
      </c>
      <c r="CE146" s="173">
        <f>IF(ISBLANK(Crops[[#This Row],[Tray 2 Days]]),0,Crops[[#This Row],[Plantings Per Bed]]/UpPottingPerHour)+IF(Crops[[#This Row],[Tray 3 Days]]="",0,Crops[[#This Row],[Plantings Per Bed]]/UpPottingPerHour)</f>
        <v>0</v>
      </c>
      <c r="CF146" s="173">
        <f>IFERROR(Crops[[#This Row],[Tray 1 Count]]/HomeStartFlatIrrigationPerHour,0)*Crops[[#This Row],[Days in Cells]]/DaysBetweenStartIrrigation</f>
        <v>0</v>
      </c>
      <c r="CG146" s="173">
        <f>0.5/16*MAX(Crops[[#This Row],[Tray 1 Count]],Crops[[#This Row],[Tray 2 Count]],Crops[[#This Row],[Tray 3 Count]])</f>
        <v>0</v>
      </c>
      <c r="CH146" s="173">
        <f>IF(Crops[[#This Row],[Days in Cells]]&gt;0,IF(IF(Crops[[#This Row],[Tray 3 Size]]&gt;0,Crops[[#This Row],[Tray 3 Size]],IF(Crops[[#This Row],[Tray 2 Size]]&gt;0,Crops[[#This Row],[Tray 2 Size]],Crops[[#This Row],[Tray 1 Size]]))&lt;=18,LargeTransplantTime,SmallTransplantTime)*Crops[[#This Row],[Plantings Per Bed]],0)</f>
        <v>0</v>
      </c>
      <c r="CI146" s="173"/>
      <c r="CJ146" s="173">
        <f>_xlfn.XLOOKUP(Crops[[#This Row],[Trellis Type]],TrellisMethods[Trellis Type],TrellisMethods[Hours],0,0)</f>
        <v>0</v>
      </c>
      <c r="CK146">
        <f>IF(Crops[[#This Row],[Days in Cells]]&lt;=0,Crops[[#This Row],[Rows]]*1/10,0)*BedLength/50</f>
        <v>0.1</v>
      </c>
      <c r="CL146" cm="1">
        <f t="array" ref="CL146">_xlfn.SWITCH(Crops[[#This Row],[Irrigation]],"DR", 0.5, "OH", 0.25,0)*BedLength/50</f>
        <v>0</v>
      </c>
      <c r="CM146">
        <f>IF(OR(ISBLANK(Crops[[#This Row],[Row Cover]]),Crops[[#This Row],[Row Cover]]="None"),0,1)*BedLength/50</f>
        <v>0</v>
      </c>
      <c r="CN146" s="173">
        <f>HoursPerWeedingPass*Crops[[#This Row],[Days In Field]]/14*Crops[[#This Row],[Rows]]+1*BedLength/50</f>
        <v>3.2261904761904758</v>
      </c>
      <c r="CQ146" s="37">
        <f>_xlfn.XLOOKUP(Crops[[#This Row],[Crop]]&amp;Crops[[#This Row],[Product]]&amp;Crops[[#This Row],[Unit]],Products[ID],Products[Marketing (hr)])*Crops[[#This Row],[Direct Revenue Per Bed]]/2000</f>
        <v>0</v>
      </c>
      <c r="CR146" s="37">
        <f>_xlfn.XLOOKUP(Crops[[#This Row],[Crop]]&amp;Crops[[#This Row],[Product]]&amp;Crops[[#This Row],[Unit]],Products[ID],Products[Harvest (s)])*Crops[[#This Row],[Custom Yield Per Bed]]/3600</f>
        <v>0</v>
      </c>
      <c r="CS146" s="37">
        <f>_xlfn.XLOOKUP(Crops[[#This Row],[Crop]]&amp;Crops[[#This Row],[Product]]&amp;Crops[[#This Row],[Unit]],Products[ID],Products[Bunch (s)])*Crops[[#This Row],[Custom Yield Per Bed]]/3600</f>
        <v>0</v>
      </c>
      <c r="CT146" s="37">
        <f>_xlfn.XLOOKUP(Crops[[#This Row],[Crop]]&amp;Crops[[#This Row],[Product]]&amp;Crops[[#This Row],[Unit]],Products[ID],Products[Haul (s)])*Crops[[#This Row],[Custom Yield Per Bed]]/3600</f>
        <v>0</v>
      </c>
      <c r="CU146" s="37">
        <f>_xlfn.XLOOKUP(Crops[[#This Row],[Crop]]&amp;Crops[[#This Row],[Product]]&amp;Crops[[#This Row],[Unit]],Products[ID],Products[Wash (s)])*Crops[[#This Row],[Custom Yield Per Bed]]/3600</f>
        <v>0</v>
      </c>
      <c r="CV146" s="37">
        <f>_xlfn.XLOOKUP(Crops[[#This Row],[Crop]]&amp;Crops[[#This Row],[Product]]&amp;Crops[[#This Row],[Unit]],Products[ID],Products[Condition (s)])*Crops[[#This Row],[Custom Yield Per Bed]]/3600</f>
        <v>0</v>
      </c>
      <c r="CW146" s="37">
        <f>_xlfn.XLOOKUP(Crops[[#This Row],[Crop]]&amp;Crops[[#This Row],[Product]]&amp;Crops[[#This Row],[Unit]],Products[ID],Products[Trim (s)])*Crops[[#This Row],[Custom Yield Per Bed]]/3600</f>
        <v>0</v>
      </c>
      <c r="CX146" s="37">
        <f>_xlfn.XLOOKUP(Crops[[#This Row],[Crop]]&amp;Crops[[#This Row],[Product]]&amp;Crops[[#This Row],[Unit]],Products[ID],Products[Pack (s)])*Crops[[#This Row],[Custom Yield Per Bed]]/3600</f>
        <v>0</v>
      </c>
      <c r="CY146" s="37">
        <f>_xlfn.XLOOKUP(Crops[[#This Row],[Crop]]&amp;Crops[[#This Row],[Product]]&amp;Crops[[#This Row],[Unit]],Products[ID],Products[Clean (s)])*Crops[[#This Row],[Custom Yield Per Bed]]/3600</f>
        <v>0</v>
      </c>
      <c r="CZ146" s="37">
        <f>_xlfn.XLOOKUP(Crops[[#This Row],[Crop]]&amp;Crops[[#This Row],[Product]]&amp;Crops[[#This Row],[Unit]],Products[ID],Products[Rehandle (s)])*Crops[[#This Row],[Custom Yield Per Bed]]/3600</f>
        <v>0</v>
      </c>
      <c r="DA146" s="37">
        <f>_xlfn.XLOOKUP(Crops[[#This Row],[Crop]]&amp;Crops[[#This Row],[Product]]&amp;Crops[[#This Row],[Unit]],Products[ID],Products[Market Transport (s)])*Crops[[#This Row],[Custom Yield Per Bed]]/3600</f>
        <v>0</v>
      </c>
      <c r="DC146" s="37">
        <f>Crops[[#This Row],[Direct Revenue Per Bed2]]</f>
        <v>0</v>
      </c>
      <c r="DD146" s="173">
        <f>_xlfn.AGGREGATE(9,6,Crops[[#This Row],[Bed Prep]:[Remove Crop Residue]])</f>
        <v>4.8261904761904759</v>
      </c>
      <c r="DE146" s="173">
        <f>_xlfn.AGGREGATE(9,6,Crops[[#This Row],[Bed Prep]:[Remove Crop Residue]])-0.75*Crops[[#This Row],[Market &amp; Sell]]</f>
        <v>4.8261904761904759</v>
      </c>
      <c r="DF146" s="36">
        <f>Crops[[#This Row],[Direct Revenue Per Bed2]]/Crops[[#This Row],[Direct Time]]</f>
        <v>0</v>
      </c>
      <c r="DG146" s="36">
        <f>_xlfn.XLOOKUP(Crops[[#This Row],[ProductIndex]],Products[ID],Products[Packaging Cost])*(Crops[[#This Row],[Custom Yield Per Bed]]/_xlfn.XLOOKUP(Crops[[#This Row],[ProductIndex]],Products[ID],Products[Units Per Pack]))</f>
        <v>0</v>
      </c>
      <c r="DH146" s="36"/>
      <c r="DI146" s="36"/>
      <c r="DJ146" s="36"/>
      <c r="DK146" s="36"/>
      <c r="DL146" s="36"/>
      <c r="DM146" s="33">
        <f>IFERROR(Crops[[#This Row],[Custom Yield Per Bed]]*Crops[[#This Row],[Direct Price]],"")</f>
        <v>0</v>
      </c>
      <c r="DN146" s="36">
        <f>Crops[[#This Row],[Direct Time]]*LaborRate</f>
        <v>120.6547619047619</v>
      </c>
      <c r="DO146" s="36">
        <f>SUM(Crops[[#This Row],[Irrigation Cost]])</f>
        <v>0</v>
      </c>
      <c r="DP146" s="36">
        <f>Crops[[#This Row],[Direct Labor Cost]]+Crops[[#This Row],[Direct Non-Labor Cost]]</f>
        <v>120.6547619047619</v>
      </c>
      <c r="DQ146" s="36">
        <f>Crops[[#This Row],[Direct Revenue Per Bed2]]-Crops[[#This Row],[Direct Total Cost]]</f>
        <v>-120.6547619047619</v>
      </c>
      <c r="DR146" s="36">
        <f>Crops[[#This Row],[Direct Profit]]*BedsPerAcre</f>
        <v>-19304.761904761905</v>
      </c>
      <c r="DS146" s="36">
        <f>Crops[[#This Row],[Direct Profit]]*BedsPerAcre*GrowingDays/Crops[[#This Row],[Days In Field]]</f>
        <v>-18582.123758594345</v>
      </c>
      <c r="DT146" s="36">
        <f>Crops[[#This Row],[Direct Profit]]/MIN(Crops[[#This Row],[Days In Field]],GrowingDays)</f>
        <v>-0.67030423280423279</v>
      </c>
      <c r="DU146" s="36">
        <f>Crops[[#This Row],[Direct Time]] * BedsPerAcre</f>
        <v>772.19047619047615</v>
      </c>
      <c r="DV146" s="36">
        <f>(Crops[[#This Row],[Direct Revenue Per Bed2]]-Crops[[#This Row],[Direct Non-Labor Cost]])/Crops[[#This Row],[Direct Time]]</f>
        <v>0</v>
      </c>
      <c r="DW146" s="33">
        <f>IFERROR(Crops[[#This Row],[Custom Yield Per Bed]]*Crops[[#This Row],[Rough Wholesale Price]],"")</f>
        <v>0</v>
      </c>
      <c r="DX146" s="36">
        <f>Crops[[#This Row],[Wholesale Time]]*LaborRate</f>
        <v>120.6547619047619</v>
      </c>
      <c r="DY146" s="36">
        <f>SUM(Crops[[#This Row],[Packaging Costs]:[Irrigation Cost]])</f>
        <v>0</v>
      </c>
      <c r="DZ146" s="36">
        <f>Crops[[#This Row],[Wholesale Labor Cost]]+Crops[[#This Row],[Wholesale Non-Labor Cost]]</f>
        <v>120.6547619047619</v>
      </c>
      <c r="EA146" s="36">
        <f>Crops[[#This Row],[Wholesale Revenue Per Bed]]-Crops[[#This Row],[Wholesale Total Cost]]</f>
        <v>-120.6547619047619</v>
      </c>
      <c r="EB146" s="36">
        <f>Crops[[#This Row],[Wholesale Profit]]*BedsPerAcre</f>
        <v>-19304.761904761905</v>
      </c>
      <c r="EC146" s="36">
        <f>Crops[[#This Row],[Wholesale Profit]]*BedsPerAcre*GrowingDays/Crops[[#This Row],[Days In Field]]</f>
        <v>-18582.123758594345</v>
      </c>
      <c r="ED146" s="36">
        <f>Crops[[#This Row],[Wholesale Time]] * BedsPerAcre</f>
        <v>772.19047619047615</v>
      </c>
      <c r="EE146" s="36">
        <f>Crops[[#This Row],[Wholesale Profit]]/MIN(Crops[[#This Row],[Days In Field]],GrowingDays)</f>
        <v>-0.67030423280423279</v>
      </c>
      <c r="EF146" s="36">
        <f>(Crops[[#This Row],[Wholesale Revenue Per Bed]]-Crops[[#This Row],[Wholesale Non-Labor Cost]])/Crops[[#This Row],[Direct Time]]</f>
        <v>0</v>
      </c>
      <c r="EG146" s="174" t="e">
        <f>Crops[[#This Row],[Packaging Costs]]/Crops[[#This Row],[Wholesale Revenue Per Bed]]</f>
        <v>#DIV/0!</v>
      </c>
      <c r="EH146" s="36" t="str">
        <f>Crops[[#This Row],[Crop]]&amp;Crops[[#This Row],[Product]]&amp;Crops[[#This Row],[Unit]]</f>
        <v>Hops Vine with FlowersFlowering VineStem</v>
      </c>
      <c r="EI146" s="36" t="b">
        <f>_xlfn.XLOOKUP(Crops[[#This Row],[ProductIndex]],Products[ID],Products[Target])</f>
        <v>0</v>
      </c>
      <c r="EJ146" s="36">
        <f>Crops[[#This Row],[Custom Yield Per Bed]]</f>
        <v>0</v>
      </c>
      <c r="EK146" s="210" t="e">
        <f>Crops[[#This Row],[Units Per Harvest]]/Crops[[#This Row],[Days Between Harvest]]*7</f>
        <v>#DIV/0!</v>
      </c>
      <c r="EL146" s="210" t="e">
        <f>Crops[[#This Row],[Custom Yield Per Bed]]/_xlfn.XLOOKUP(Crops[[#This Row],[ProductIndex]],Products[ID],Products[CSA Portion])</f>
        <v>#DIV/0!</v>
      </c>
      <c r="EM146" s="210" t="e">
        <f>Crops[[#This Row],[Units Per Harvest]]/Crops[[#This Row],[Days Between Harvest]]*7/_xlfn.XLOOKUP(Crops[[#This Row],[ProductIndex]],Products[ID],Products[CSA Portion])</f>
        <v>#DIV/0!</v>
      </c>
      <c r="EN146" s="210" t="e">
        <f>Crops[[#This Row],[CSA Portions Per Week]]/CSAMembers</f>
        <v>#DIV/0!</v>
      </c>
      <c r="EO146" s="210"/>
      <c r="EP146" s="210"/>
      <c r="EQ146" s="36"/>
      <c r="ER146" s="36">
        <f>Crops[[#This Row],[Harvests]]*Crops[[#This Row],[Days Between Harvest]]/7</f>
        <v>0</v>
      </c>
      <c r="ES146" s="208">
        <f>_xlfn.XLOOKUP(Crops[[#This Row],[ProductIndex]],Products[ID],Products[CSA Need])</f>
        <v>0</v>
      </c>
      <c r="ET146" s="208">
        <f>_xlfn.XLOOKUP(Crops[[#This Row],[ProductIndex]],Products[ID],Products[CSA Times])</f>
        <v>0</v>
      </c>
      <c r="EU146" s="208" t="e">
        <f>Crops[[#This Row],[Custom Yield Per Bed]]/(Crops[[#This Row],[CSA Need]]*(_xlfn.XLOOKUP(Crops[[#This Row],[ProductIndex]],Products[ID],Products[CSA Portion])*CSAMembers))</f>
        <v>#DIV/0!</v>
      </c>
      <c r="EV146" s="208" t="e">
        <f>_xlfn.XLOOKUP(Crops[[#This Row],[ProductIndex]],Products[ID],Products[CSA Portion])*CSAMembers*Crops[[#This Row],[CSA Need]]/Crops[[#This Row],[Custom Yield Per Bed]]</f>
        <v>#DIV/0!</v>
      </c>
      <c r="EW146" s="208" t="str">
        <f>IFERROR(Crops[[#This Row],[Days In Field]]*Crops[[#This Row],[CSA Beds]],"")</f>
        <v/>
      </c>
      <c r="EX146" s="208" t="e">
        <f>Crops[[#This Row],[CSA Bed Days]]*#REF!</f>
        <v>#VALUE!</v>
      </c>
      <c r="EY146" t="s">
        <v>288</v>
      </c>
    </row>
    <row r="147" spans="1:155">
      <c r="A14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Huauzontle - Mature Stem 1X | Field DS </v>
      </c>
      <c r="C147" s="1"/>
      <c r="D147" s="1"/>
      <c r="E147" s="1" t="b">
        <v>0</v>
      </c>
      <c r="F147" s="1" t="b">
        <f>IFERROR(IF(ISNUMBER(MATCH(Crops[[#This Row],[Identifier]],BedPlan[Crop], 0)), TRUE, FALSE), FALSE)</f>
        <v>0</v>
      </c>
      <c r="G147" s="1" t="b">
        <f>IFERROR(IF(ISNUMBER(MATCH(Crops[[#This Row],[Identifier]],BedPlan[Crop], 0)), TRUE, FALSE), FALSE)</f>
        <v>0</v>
      </c>
      <c r="H147" s="1" t="b">
        <v>1</v>
      </c>
      <c r="I147" t="s">
        <v>84</v>
      </c>
      <c r="J147" t="s">
        <v>145</v>
      </c>
      <c r="K147" t="s">
        <v>181</v>
      </c>
      <c r="N147" t="str">
        <f>Crops[[#This Row],[Crop]]</f>
        <v>Huauzontle</v>
      </c>
      <c r="O147" t="s">
        <v>210</v>
      </c>
      <c r="P147" t="str">
        <f>IF(OR(Crops[[#This Row],[Days in Cells]]="",Crops[[#This Row],[Days in Cells]]=0), "DS","TP")</f>
        <v>DS</v>
      </c>
      <c r="V147" t="str">
        <f xml:space="preserve"> IF(Crops[[#This Row],[Sp]], "Sp", "") &amp; IF(Crops[[#This Row],[Su]], "Su", "") &amp; IF(Crops[[#This Row],[Fa]], "Fa", "") &amp; IF(Crops[[#This Row],[Wi]], "Wi", "") &amp; IF(Crops[[#This Row],[OW]], "Ow","")</f>
        <v/>
      </c>
      <c r="W147" t="b">
        <v>1</v>
      </c>
      <c r="X147">
        <v>2</v>
      </c>
      <c r="Y147">
        <v>12</v>
      </c>
      <c r="AD147" s="32">
        <f>IFERROR(12/Crops[[#This Row],[Spacing]]*Crops[[#This Row],[Rows]]*BedLength,"")</f>
        <v>100</v>
      </c>
      <c r="AE147">
        <v>1</v>
      </c>
      <c r="AG147">
        <f>IF(Crops[[#This Row],[Custom Safety Factor]]="",PlantingSafetyFactor,Crops[[#This Row],[Custom Safety Factor]])</f>
        <v>1.3</v>
      </c>
      <c r="AH147">
        <f>1</f>
        <v>1</v>
      </c>
      <c r="AI147" s="33">
        <f>IFERROR(Crops[[#This Row],[Plantings Per Bed]]*Crops[[#This Row],[Seeds Per Planting]]*Crops[[#This Row],[Safety Factor]]*Crops[[#This Row],[Seeding Factor]],"")</f>
        <v>130</v>
      </c>
      <c r="AL147">
        <f>_xlfn.FLOOR.MATH(IFERROR(AVERAGE(Crops[[#This Row],[DTG Lower]:[DTG Upper]]),0))</f>
        <v>0</v>
      </c>
      <c r="AM147">
        <f>SUM(Crops[[#This Row],[Tray 1 Days]],Crops[[#This Row],[Tray 2 Days]],Crops[[#This Row],[Tray 3 Days]])</f>
        <v>0</v>
      </c>
      <c r="AN147">
        <v>28</v>
      </c>
      <c r="AP147">
        <v>80</v>
      </c>
      <c r="AQ147">
        <f>IFERROR(_xlfn.FLOOR.MATH(AVERAGE(Crops[[#This Row],[DTM Lower]:[DTM Upper]])),"")</f>
        <v>80</v>
      </c>
      <c r="AR147" cm="1">
        <f t="array" ref="AR147">_xlfn.SWITCH(Crops[[#This Row],[Normal Method]],"DS",Crops[[#This Row],[Days to Germination]]+Crops[[#This Row],[DTM]] + IF(Crops[[#This Row],[Days in Cells]]&gt;0,15,0), "TP",Crops[[#This Row],[DTM]]+Crops[[#This Row],[Days in Cells]] + IF(Crops[[#This Row],[Days in Cells]]&lt;=0,20,0), "X", Crops[[#This Row],[DTM]])</f>
        <v>100</v>
      </c>
      <c r="AS147" t="s">
        <v>346</v>
      </c>
      <c r="AT147">
        <f>(Crops[[#This Row],[Harvests]]-1)*Crops[[#This Row],[Days Between Harvest]]+7</f>
        <v>7</v>
      </c>
      <c r="AU147">
        <f>Crops[[#This Row],[STH]]-Crops[[#This Row],[Days in Cells]]+Crops[[#This Row],[Harvest window]]</f>
        <v>107</v>
      </c>
      <c r="AW147">
        <v>128</v>
      </c>
      <c r="AZ147" t="str">
        <f>IFERROR(IF(Crops[[#This Row],[Tray 1 Days]]=0,"",Crops[[#This Row],[Plantings Per Bed]]/Crops[[#This Row],[Tray 1 Size]]*Crops[[#This Row],[Safety Factor]]),"")</f>
        <v/>
      </c>
      <c r="BC147" t="str">
        <f>IFERROR(IF(Crops[[#This Row],[Tray 2 Days]]=0,"",Crops[[#This Row],[Plantings Per Bed]]/Crops[[#This Row],[Tray 2 Size]]*Crops[[#This Row],[Safety Factor]]),"")</f>
        <v/>
      </c>
      <c r="BE147" s="32" t="str">
        <f>IF(NOT(ISBLANK(Crops[[#This Row],[Tray 3 Size]])), Crops[[#This Row],[Days in Cells Old]]-SUM(Crops[[#This Row],[Tray 1 Days]],Crops[[#This Row],[Tray 2 Days]]), "")</f>
        <v/>
      </c>
      <c r="BF147" t="str">
        <f>IFERROR(IF(Crops[[#This Row],[Tray 3 Days]]=0,"",Crops[[#This Row],[Plantings Per Bed]]/Crops[[#This Row],[Tray 3 Size]]*Crops[[#This Row],[Safety Factor]]),"")</f>
        <v/>
      </c>
      <c r="BG147" s="33"/>
      <c r="BH147" s="33"/>
      <c r="BI147" s="33"/>
      <c r="BJ147" s="33">
        <f>_xlfn.XLOOKUP(Crops[[#This Row],[ProductIndex]],Products[ID],Products[Holding Period])</f>
        <v>0</v>
      </c>
      <c r="BK147" s="33"/>
      <c r="BL147" s="33">
        <f>Crops[[#This Row],[Units Per Harvest]]*Crops[[#This Row],[Harvests]]</f>
        <v>0</v>
      </c>
      <c r="BM147" s="35">
        <v>4.5</v>
      </c>
      <c r="BN147" s="35">
        <f>Crops[[#This Row],[Direct Price]]*0.6</f>
        <v>2.6999999999999997</v>
      </c>
      <c r="BO147" s="35"/>
      <c r="BP147" t="s">
        <v>383</v>
      </c>
      <c r="BQ147" s="193">
        <f>Crops[[#This Row],[Custom Yield Per Bed]]*Crops[[#This Row],[Direct Price]]</f>
        <v>0</v>
      </c>
      <c r="BR147" s="193" t="b">
        <v>0</v>
      </c>
      <c r="BS147" t="b">
        <f>Crops[[#This Row],[Harvests]]&gt;1</f>
        <v>0</v>
      </c>
      <c r="BT147" s="36">
        <f>IFERROR(Crops[[#This Row],[Direct Revenue Per Bed]]/Crops[[#This Row],[Days In Field]],-1)</f>
        <v>0</v>
      </c>
      <c r="BU147" s="36">
        <f>IFERROR(Crops[[#This Row],[Direct Revenue Per Bed Day]]*GrowingDays*BedsPerAcre,"")</f>
        <v>0</v>
      </c>
      <c r="BV147" s="38">
        <f>LastFrostDate-5*Crops[[#This Row],[Sewing Rel Last Frost]]</f>
        <v>45748</v>
      </c>
      <c r="BW147" s="38">
        <f>Crops[[#This Row],[Target Sewing Date]]+Crops[[#This Row],[Days in Cells]]</f>
        <v>45748</v>
      </c>
      <c r="BX147" s="38">
        <f>Crops[[#This Row],[Target Sewing Date]]+Crops[[#This Row],[STH]]</f>
        <v>45848</v>
      </c>
      <c r="BY147" s="38">
        <f>Crops[[#This Row],[Target Harvest Data]]+Crops[[#This Row],[Harvest window]]</f>
        <v>45855</v>
      </c>
      <c r="CB147">
        <f>1</f>
        <v>1</v>
      </c>
      <c r="CC147">
        <f>IF(Crops[[#This Row],[Transplanting]]&gt;0, 2, 3)*BedLength/StandardBedLength</f>
        <v>1.5</v>
      </c>
      <c r="CD147" s="173">
        <f>IF(Crops[[#This Row],[Days in Cells]]&lt;=0,0,Crops[[#This Row],[Plantings Per Bed]]/StartsPerHourSeeding+Crops[[#This Row],[Tray 1 Count]]*5/60)</f>
        <v>0</v>
      </c>
      <c r="CE147" s="173">
        <f>IF(ISBLANK(Crops[[#This Row],[Tray 2 Days]]),0,Crops[[#This Row],[Plantings Per Bed]]/UpPottingPerHour)+IF(Crops[[#This Row],[Tray 3 Days]]="",0,Crops[[#This Row],[Plantings Per Bed]]/UpPottingPerHour)</f>
        <v>0</v>
      </c>
      <c r="CF147" s="173">
        <f>IFERROR(Crops[[#This Row],[Tray 1 Count]]/HomeStartFlatIrrigationPerHour,0)*Crops[[#This Row],[Days in Cells]]/DaysBetweenStartIrrigation</f>
        <v>0</v>
      </c>
      <c r="CG147" s="173">
        <f>0.5/16*MAX(Crops[[#This Row],[Tray 1 Count]],Crops[[#This Row],[Tray 2 Count]],Crops[[#This Row],[Tray 3 Count]])</f>
        <v>0</v>
      </c>
      <c r="CH147" s="173">
        <f>IF(Crops[[#This Row],[Days in Cells]]&gt;0,IF(IF(Crops[[#This Row],[Tray 3 Size]]&gt;0,Crops[[#This Row],[Tray 3 Size]],IF(Crops[[#This Row],[Tray 2 Size]]&gt;0,Crops[[#This Row],[Tray 2 Size]],Crops[[#This Row],[Tray 1 Size]]))&lt;=18,LargeTransplantTime,SmallTransplantTime)*Crops[[#This Row],[Plantings Per Bed]],0)</f>
        <v>0</v>
      </c>
      <c r="CI147" s="173"/>
      <c r="CJ147" s="173">
        <f>_xlfn.XLOOKUP(Crops[[#This Row],[Trellis Type]],TrellisMethods[Trellis Type],TrellisMethods[Hours],0,0)</f>
        <v>0</v>
      </c>
      <c r="CK147">
        <f>IF(Crops[[#This Row],[Days in Cells]]&lt;=0,Crops[[#This Row],[Rows]]*1/10,0)*BedLength/50</f>
        <v>0.2</v>
      </c>
      <c r="CL147" cm="1">
        <f t="array" ref="CL147">_xlfn.SWITCH(Crops[[#This Row],[Irrigation]],"DR", 0.5, "OH", 0.25,0)*BedLength/50</f>
        <v>0</v>
      </c>
      <c r="CM147">
        <f>IF(OR(ISBLANK(Crops[[#This Row],[Row Cover]]),Crops[[#This Row],[Row Cover]]="None"),0,1)*BedLength/50</f>
        <v>0</v>
      </c>
      <c r="CN147" s="173">
        <f>HoursPerWeedingPass*Crops[[#This Row],[Days In Field]]/14*Crops[[#This Row],[Rows]]+1*BedLength/50</f>
        <v>3.5476190476190474</v>
      </c>
      <c r="CQ147" s="37">
        <f>_xlfn.XLOOKUP(Crops[[#This Row],[Crop]]&amp;Crops[[#This Row],[Product]]&amp;Crops[[#This Row],[Unit]],Products[ID],Products[Marketing (hr)])*Crops[[#This Row],[Direct Revenue Per Bed]]/2000</f>
        <v>0</v>
      </c>
      <c r="CR147" s="37">
        <f>_xlfn.XLOOKUP(Crops[[#This Row],[Crop]]&amp;Crops[[#This Row],[Product]]&amp;Crops[[#This Row],[Unit]],Products[ID],Products[Harvest (s)])*Crops[[#This Row],[Custom Yield Per Bed]]/3600</f>
        <v>0</v>
      </c>
      <c r="CS147" s="37">
        <f>_xlfn.XLOOKUP(Crops[[#This Row],[Crop]]&amp;Crops[[#This Row],[Product]]&amp;Crops[[#This Row],[Unit]],Products[ID],Products[Bunch (s)])*Crops[[#This Row],[Custom Yield Per Bed]]/3600</f>
        <v>0</v>
      </c>
      <c r="CT147" s="37">
        <f>_xlfn.XLOOKUP(Crops[[#This Row],[Crop]]&amp;Crops[[#This Row],[Product]]&amp;Crops[[#This Row],[Unit]],Products[ID],Products[Haul (s)])*Crops[[#This Row],[Custom Yield Per Bed]]/3600</f>
        <v>0</v>
      </c>
      <c r="CU147" s="37">
        <f>_xlfn.XLOOKUP(Crops[[#This Row],[Crop]]&amp;Crops[[#This Row],[Product]]&amp;Crops[[#This Row],[Unit]],Products[ID],Products[Wash (s)])*Crops[[#This Row],[Custom Yield Per Bed]]/3600</f>
        <v>0</v>
      </c>
      <c r="CV147" s="37">
        <f>_xlfn.XLOOKUP(Crops[[#This Row],[Crop]]&amp;Crops[[#This Row],[Product]]&amp;Crops[[#This Row],[Unit]],Products[ID],Products[Condition (s)])*Crops[[#This Row],[Custom Yield Per Bed]]/3600</f>
        <v>0</v>
      </c>
      <c r="CW147" s="37">
        <f>_xlfn.XLOOKUP(Crops[[#This Row],[Crop]]&amp;Crops[[#This Row],[Product]]&amp;Crops[[#This Row],[Unit]],Products[ID],Products[Trim (s)])*Crops[[#This Row],[Custom Yield Per Bed]]/3600</f>
        <v>0</v>
      </c>
      <c r="CX147" s="37">
        <f>_xlfn.XLOOKUP(Crops[[#This Row],[Crop]]&amp;Crops[[#This Row],[Product]]&amp;Crops[[#This Row],[Unit]],Products[ID],Products[Pack (s)])*Crops[[#This Row],[Custom Yield Per Bed]]/3600</f>
        <v>0</v>
      </c>
      <c r="CY147" s="37">
        <f>_xlfn.XLOOKUP(Crops[[#This Row],[Crop]]&amp;Crops[[#This Row],[Product]]&amp;Crops[[#This Row],[Unit]],Products[ID],Products[Clean (s)])*Crops[[#This Row],[Custom Yield Per Bed]]/3600</f>
        <v>0</v>
      </c>
      <c r="CZ147" s="37">
        <f>_xlfn.XLOOKUP(Crops[[#This Row],[Crop]]&amp;Crops[[#This Row],[Product]]&amp;Crops[[#This Row],[Unit]],Products[ID],Products[Rehandle (s)])*Crops[[#This Row],[Custom Yield Per Bed]]/3600</f>
        <v>0</v>
      </c>
      <c r="DA147" s="37">
        <f>_xlfn.XLOOKUP(Crops[[#This Row],[Crop]]&amp;Crops[[#This Row],[Product]]&amp;Crops[[#This Row],[Unit]],Products[ID],Products[Market Transport (s)])*Crops[[#This Row],[Custom Yield Per Bed]]/3600</f>
        <v>0</v>
      </c>
      <c r="DC147" s="37">
        <f>Crops[[#This Row],[Direct Revenue Per Bed2]]</f>
        <v>0</v>
      </c>
      <c r="DD147" s="173">
        <f>_xlfn.AGGREGATE(9,6,Crops[[#This Row],[Bed Prep]:[Remove Crop Residue]])</f>
        <v>5.2476190476190476</v>
      </c>
      <c r="DE147" s="173">
        <f>_xlfn.AGGREGATE(9,6,Crops[[#This Row],[Bed Prep]:[Remove Crop Residue]])-0.75*Crops[[#This Row],[Market &amp; Sell]]</f>
        <v>5.2476190476190476</v>
      </c>
      <c r="DF147" s="36">
        <f>Crops[[#This Row],[Direct Revenue Per Bed2]]/Crops[[#This Row],[Direct Time]]</f>
        <v>0</v>
      </c>
      <c r="DG147" s="36">
        <f>_xlfn.XLOOKUP(Crops[[#This Row],[ProductIndex]],Products[ID],Products[Packaging Cost])*(Crops[[#This Row],[Custom Yield Per Bed]]/_xlfn.XLOOKUP(Crops[[#This Row],[ProductIndex]],Products[ID],Products[Units Per Pack]))</f>
        <v>0</v>
      </c>
      <c r="DH147" s="36"/>
      <c r="DI147" s="36"/>
      <c r="DJ147" s="36"/>
      <c r="DK147" s="36"/>
      <c r="DL147" s="36"/>
      <c r="DM147" s="33">
        <f>IFERROR(Crops[[#This Row],[Custom Yield Per Bed]]*Crops[[#This Row],[Direct Price]],"")</f>
        <v>0</v>
      </c>
      <c r="DN147" s="36">
        <f>Crops[[#This Row],[Direct Time]]*LaborRate</f>
        <v>131.1904761904762</v>
      </c>
      <c r="DO147" s="36">
        <f>SUM(Crops[[#This Row],[Irrigation Cost]])</f>
        <v>0</v>
      </c>
      <c r="DP147" s="36">
        <f>Crops[[#This Row],[Direct Labor Cost]]+Crops[[#This Row],[Direct Non-Labor Cost]]</f>
        <v>131.1904761904762</v>
      </c>
      <c r="DQ147" s="36">
        <f>Crops[[#This Row],[Direct Revenue Per Bed2]]-Crops[[#This Row],[Direct Total Cost]]</f>
        <v>-131.1904761904762</v>
      </c>
      <c r="DR147" s="36">
        <f>Crops[[#This Row],[Direct Profit]]*BedsPerAcre</f>
        <v>-20990.476190476191</v>
      </c>
      <c r="DS147" s="36">
        <f>Crops[[#This Row],[Direct Profit]]*BedsPerAcre*GrowingDays/Crops[[#This Row],[Days In Field]]</f>
        <v>-35311.081441922564</v>
      </c>
      <c r="DT147" s="36">
        <f>Crops[[#This Row],[Direct Profit]]/MIN(Crops[[#This Row],[Days In Field]],GrowingDays)</f>
        <v>-1.2260792167334225</v>
      </c>
      <c r="DU147" s="36">
        <f>Crops[[#This Row],[Direct Time]] * BedsPerAcre</f>
        <v>839.61904761904759</v>
      </c>
      <c r="DV147" s="36">
        <f>(Crops[[#This Row],[Direct Revenue Per Bed2]]-Crops[[#This Row],[Direct Non-Labor Cost]])/Crops[[#This Row],[Direct Time]]</f>
        <v>0</v>
      </c>
      <c r="DW147" s="33">
        <f>IFERROR(Crops[[#This Row],[Custom Yield Per Bed]]*Crops[[#This Row],[Rough Wholesale Price]],"")</f>
        <v>0</v>
      </c>
      <c r="DX147" s="36">
        <f>Crops[[#This Row],[Wholesale Time]]*LaborRate</f>
        <v>131.1904761904762</v>
      </c>
      <c r="DY147" s="36">
        <f>SUM(Crops[[#This Row],[Packaging Costs]:[Irrigation Cost]])</f>
        <v>0</v>
      </c>
      <c r="DZ147" s="36">
        <f>Crops[[#This Row],[Wholesale Labor Cost]]+Crops[[#This Row],[Wholesale Non-Labor Cost]]</f>
        <v>131.1904761904762</v>
      </c>
      <c r="EA147" s="36">
        <f>Crops[[#This Row],[Wholesale Revenue Per Bed]]-Crops[[#This Row],[Wholesale Total Cost]]</f>
        <v>-131.1904761904762</v>
      </c>
      <c r="EB147" s="36">
        <f>Crops[[#This Row],[Wholesale Profit]]*BedsPerAcre</f>
        <v>-20990.476190476191</v>
      </c>
      <c r="EC147" s="36">
        <f>Crops[[#This Row],[Wholesale Profit]]*BedsPerAcre*GrowingDays/Crops[[#This Row],[Days In Field]]</f>
        <v>-35311.081441922564</v>
      </c>
      <c r="ED147" s="36">
        <f>Crops[[#This Row],[Wholesale Time]] * BedsPerAcre</f>
        <v>839.61904761904759</v>
      </c>
      <c r="EE147" s="36">
        <f>Crops[[#This Row],[Wholesale Profit]]/MIN(Crops[[#This Row],[Days In Field]],GrowingDays)</f>
        <v>-1.2260792167334225</v>
      </c>
      <c r="EF147" s="36">
        <f>(Crops[[#This Row],[Wholesale Revenue Per Bed]]-Crops[[#This Row],[Wholesale Non-Labor Cost]])/Crops[[#This Row],[Direct Time]]</f>
        <v>0</v>
      </c>
      <c r="EG147" s="174" t="e">
        <f>Crops[[#This Row],[Packaging Costs]]/Crops[[#This Row],[Wholesale Revenue Per Bed]]</f>
        <v>#DIV/0!</v>
      </c>
      <c r="EH147" s="36" t="str">
        <f>Crops[[#This Row],[Crop]]&amp;Crops[[#This Row],[Product]]&amp;Crops[[#This Row],[Unit]]</f>
        <v>HuauzontleMature StemLb</v>
      </c>
      <c r="EI147" s="36" t="b">
        <f>_xlfn.XLOOKUP(Crops[[#This Row],[ProductIndex]],Products[ID],Products[Target])</f>
        <v>0</v>
      </c>
      <c r="EJ147" s="36">
        <f>Crops[[#This Row],[Custom Yield Per Bed]]</f>
        <v>0</v>
      </c>
      <c r="EK147" s="210" t="e">
        <f>Crops[[#This Row],[Units Per Harvest]]/Crops[[#This Row],[Days Between Harvest]]*7</f>
        <v>#DIV/0!</v>
      </c>
      <c r="EL147" s="210" t="e">
        <f>Crops[[#This Row],[Custom Yield Per Bed]]/_xlfn.XLOOKUP(Crops[[#This Row],[ProductIndex]],Products[ID],Products[CSA Portion])</f>
        <v>#DIV/0!</v>
      </c>
      <c r="EM147" s="210" t="e">
        <f>Crops[[#This Row],[Units Per Harvest]]/Crops[[#This Row],[Days Between Harvest]]*7/_xlfn.XLOOKUP(Crops[[#This Row],[ProductIndex]],Products[ID],Products[CSA Portion])</f>
        <v>#DIV/0!</v>
      </c>
      <c r="EN147" s="210" t="e">
        <f>Crops[[#This Row],[CSA Portions Per Week]]/CSAMembers</f>
        <v>#DIV/0!</v>
      </c>
      <c r="EO147" s="210"/>
      <c r="EP147" s="210"/>
      <c r="EQ147" s="36"/>
      <c r="ER147" s="36">
        <f>Crops[[#This Row],[Harvests]]*Crops[[#This Row],[Days Between Harvest]]/7</f>
        <v>0</v>
      </c>
      <c r="ES147" s="208">
        <f>_xlfn.XLOOKUP(Crops[[#This Row],[ProductIndex]],Products[ID],Products[CSA Need])</f>
        <v>0</v>
      </c>
      <c r="ET147" s="208">
        <f>_xlfn.XLOOKUP(Crops[[#This Row],[ProductIndex]],Products[ID],Products[CSA Times])</f>
        <v>0</v>
      </c>
      <c r="EU147" s="208" t="e">
        <f>Crops[[#This Row],[Custom Yield Per Bed]]/(Crops[[#This Row],[CSA Need]]*(_xlfn.XLOOKUP(Crops[[#This Row],[ProductIndex]],Products[ID],Products[CSA Portion])*CSAMembers))</f>
        <v>#DIV/0!</v>
      </c>
      <c r="EV147" s="208" t="e">
        <f>_xlfn.XLOOKUP(Crops[[#This Row],[ProductIndex]],Products[ID],Products[CSA Portion])*CSAMembers*Crops[[#This Row],[CSA Need]]/Crops[[#This Row],[Custom Yield Per Bed]]</f>
        <v>#DIV/0!</v>
      </c>
      <c r="EW147" s="208" t="str">
        <f>IFERROR(Crops[[#This Row],[Days In Field]]*Crops[[#This Row],[CSA Beds]],"")</f>
        <v/>
      </c>
      <c r="EX147" s="208" t="e">
        <f>Crops[[#This Row],[CSA Bed Days]]*#REF!</f>
        <v>#VALUE!</v>
      </c>
      <c r="EY147" t="s">
        <v>289</v>
      </c>
    </row>
    <row r="148" spans="1:155">
      <c r="A14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Hyacinth Bean Vine - Flowering Tendril 1X | Field DS </v>
      </c>
      <c r="B148" s="28"/>
      <c r="C148" s="1"/>
      <c r="D148" s="1"/>
      <c r="E148" s="1" t="b">
        <v>0</v>
      </c>
      <c r="F148" s="1" t="b">
        <f>IFERROR(IF(ISNUMBER(MATCH(Crops[[#This Row],[Identifier]],BedPlan[Crop], 0)), TRUE, FALSE), FALSE)</f>
        <v>0</v>
      </c>
      <c r="G148" s="1" t="b">
        <f>IFERROR(IF(ISNUMBER(MATCH(Crops[[#This Row],[Identifier]],BedPlan[Crop], 0)), TRUE, FALSE), FALSE)</f>
        <v>0</v>
      </c>
      <c r="H148" s="1" t="b">
        <v>1</v>
      </c>
      <c r="I148" t="s">
        <v>85</v>
      </c>
      <c r="J148" t="s">
        <v>145</v>
      </c>
      <c r="K148" t="s">
        <v>184</v>
      </c>
      <c r="N148" t="str">
        <f>Crops[[#This Row],[Crop]]</f>
        <v>Hyacinth Bean Vine</v>
      </c>
      <c r="O148" t="s">
        <v>210</v>
      </c>
      <c r="P148" t="str">
        <f>IF(OR(Crops[[#This Row],[Days in Cells]]="",Crops[[#This Row],[Days in Cells]]=0), "DS","TP")</f>
        <v>DS</v>
      </c>
      <c r="V148" t="str">
        <f xml:space="preserve"> IF(Crops[[#This Row],[Sp]], "Sp", "") &amp; IF(Crops[[#This Row],[Su]], "Su", "") &amp; IF(Crops[[#This Row],[Fa]], "Fa", "") &amp; IF(Crops[[#This Row],[Wi]], "Wi", "") &amp; IF(Crops[[#This Row],[OW]], "Ow","")</f>
        <v/>
      </c>
      <c r="W148" t="b">
        <v>1</v>
      </c>
      <c r="X148">
        <v>1</v>
      </c>
      <c r="Y148">
        <v>12</v>
      </c>
      <c r="AD148" s="32">
        <f>IFERROR(12/Crops[[#This Row],[Spacing]]*Crops[[#This Row],[Rows]]*BedLength,"")</f>
        <v>50</v>
      </c>
      <c r="AE148">
        <v>1</v>
      </c>
      <c r="AG148">
        <f>IF(Crops[[#This Row],[Custom Safety Factor]]="",PlantingSafetyFactor,Crops[[#This Row],[Custom Safety Factor]])</f>
        <v>1.3</v>
      </c>
      <c r="AH148">
        <f>1</f>
        <v>1</v>
      </c>
      <c r="AI148" s="33">
        <f>IFERROR(Crops[[#This Row],[Plantings Per Bed]]*Crops[[#This Row],[Seeds Per Planting]]*Crops[[#This Row],[Safety Factor]]*Crops[[#This Row],[Seeding Factor]],"")</f>
        <v>65</v>
      </c>
      <c r="AL148">
        <f>_xlfn.FLOOR.MATH(IFERROR(AVERAGE(Crops[[#This Row],[DTG Lower]:[DTG Upper]]),0))</f>
        <v>0</v>
      </c>
      <c r="AM148">
        <f>SUM(Crops[[#This Row],[Tray 1 Days]],Crops[[#This Row],[Tray 2 Days]],Crops[[#This Row],[Tray 3 Days]])</f>
        <v>0</v>
      </c>
      <c r="AN148">
        <v>42</v>
      </c>
      <c r="AP148">
        <v>120</v>
      </c>
      <c r="AQ148">
        <f>IFERROR(_xlfn.FLOOR.MATH(AVERAGE(Crops[[#This Row],[DTM Lower]:[DTM Upper]])),"")</f>
        <v>120</v>
      </c>
      <c r="AR148" cm="1">
        <f t="array" ref="AR148">_xlfn.SWITCH(Crops[[#This Row],[Normal Method]],"DS",Crops[[#This Row],[Days to Germination]]+Crops[[#This Row],[DTM]] + IF(Crops[[#This Row],[Days in Cells]]&gt;0,15,0), "TP",Crops[[#This Row],[DTM]]+Crops[[#This Row],[Days in Cells]] + IF(Crops[[#This Row],[Days in Cells]]&lt;=0,20,0), "X", Crops[[#This Row],[DTM]])</f>
        <v>140</v>
      </c>
      <c r="AS148" t="s">
        <v>346</v>
      </c>
      <c r="AT148">
        <f>(Crops[[#This Row],[Harvests]]-1)*Crops[[#This Row],[Days Between Harvest]]+7</f>
        <v>7</v>
      </c>
      <c r="AU148">
        <f>Crops[[#This Row],[STH]]-Crops[[#This Row],[Days in Cells]]+Crops[[#This Row],[Harvest window]]</f>
        <v>147</v>
      </c>
      <c r="AW148">
        <v>72</v>
      </c>
      <c r="AZ148" t="str">
        <f>IFERROR(IF(Crops[[#This Row],[Tray 1 Days]]=0,"",Crops[[#This Row],[Plantings Per Bed]]/Crops[[#This Row],[Tray 1 Size]]*Crops[[#This Row],[Safety Factor]]),"")</f>
        <v/>
      </c>
      <c r="BC148" t="str">
        <f>IFERROR(IF(Crops[[#This Row],[Tray 2 Days]]=0,"",Crops[[#This Row],[Plantings Per Bed]]/Crops[[#This Row],[Tray 2 Size]]*Crops[[#This Row],[Safety Factor]]),"")</f>
        <v/>
      </c>
      <c r="BE148" s="32" t="str">
        <f>IF(NOT(ISBLANK(Crops[[#This Row],[Tray 3 Size]])), Crops[[#This Row],[Days in Cells Old]]-SUM(Crops[[#This Row],[Tray 1 Days]],Crops[[#This Row],[Tray 2 Days]]), "")</f>
        <v/>
      </c>
      <c r="BF148" t="str">
        <f>IFERROR(IF(Crops[[#This Row],[Tray 3 Days]]=0,"",Crops[[#This Row],[Plantings Per Bed]]/Crops[[#This Row],[Tray 3 Size]]*Crops[[#This Row],[Safety Factor]]),"")</f>
        <v/>
      </c>
      <c r="BG148" s="33"/>
      <c r="BH148" s="33"/>
      <c r="BI148" s="33"/>
      <c r="BJ148" s="33">
        <f>_xlfn.XLOOKUP(Crops[[#This Row],[ProductIndex]],Products[ID],Products[Holding Period])</f>
        <v>0</v>
      </c>
      <c r="BK148" s="33"/>
      <c r="BL148" s="33">
        <f>Crops[[#This Row],[Units Per Harvest]]*Crops[[#This Row],[Harvests]]</f>
        <v>0</v>
      </c>
      <c r="BM148" s="35">
        <v>4.0250000000000004</v>
      </c>
      <c r="BN148" s="35">
        <f>Crops[[#This Row],[Direct Price]]*0.6</f>
        <v>2.415</v>
      </c>
      <c r="BO148" s="35"/>
      <c r="BP148" t="s">
        <v>213</v>
      </c>
      <c r="BQ148" s="193">
        <f>Crops[[#This Row],[Custom Yield Per Bed]]*Crops[[#This Row],[Direct Price]]</f>
        <v>0</v>
      </c>
      <c r="BR148" s="193" t="b">
        <v>0</v>
      </c>
      <c r="BS148" t="b">
        <f>Crops[[#This Row],[Harvests]]&gt;1</f>
        <v>0</v>
      </c>
      <c r="BT148" s="36">
        <f>IFERROR(Crops[[#This Row],[Direct Revenue Per Bed]]/Crops[[#This Row],[Days In Field]],-1)</f>
        <v>0</v>
      </c>
      <c r="BU148" s="36">
        <f>IFERROR(Crops[[#This Row],[Direct Revenue Per Bed Day]]*GrowingDays*BedsPerAcre,"")</f>
        <v>0</v>
      </c>
      <c r="BV148" s="38">
        <f>LastFrostDate-5*Crops[[#This Row],[Sewing Rel Last Frost]]</f>
        <v>45748</v>
      </c>
      <c r="BW148" s="38">
        <f>Crops[[#This Row],[Target Sewing Date]]+Crops[[#This Row],[Days in Cells]]</f>
        <v>45748</v>
      </c>
      <c r="BX148" s="38">
        <f>Crops[[#This Row],[Target Sewing Date]]+Crops[[#This Row],[STH]]</f>
        <v>45888</v>
      </c>
      <c r="BY148" s="38">
        <f>Crops[[#This Row],[Target Harvest Data]]+Crops[[#This Row],[Harvest window]]</f>
        <v>45895</v>
      </c>
      <c r="CB148">
        <f>1</f>
        <v>1</v>
      </c>
      <c r="CC148">
        <f>IF(Crops[[#This Row],[Transplanting]]&gt;0, 2, 3)*BedLength/StandardBedLength</f>
        <v>1.5</v>
      </c>
      <c r="CD148" s="173">
        <f>IF(Crops[[#This Row],[Days in Cells]]&lt;=0,0,Crops[[#This Row],[Plantings Per Bed]]/StartsPerHourSeeding+Crops[[#This Row],[Tray 1 Count]]*5/60)</f>
        <v>0</v>
      </c>
      <c r="CE148" s="173">
        <f>IF(ISBLANK(Crops[[#This Row],[Tray 2 Days]]),0,Crops[[#This Row],[Plantings Per Bed]]/UpPottingPerHour)+IF(Crops[[#This Row],[Tray 3 Days]]="",0,Crops[[#This Row],[Plantings Per Bed]]/UpPottingPerHour)</f>
        <v>0</v>
      </c>
      <c r="CF148" s="173">
        <f>IFERROR(Crops[[#This Row],[Tray 1 Count]]/HomeStartFlatIrrigationPerHour,0)*Crops[[#This Row],[Days in Cells]]/DaysBetweenStartIrrigation</f>
        <v>0</v>
      </c>
      <c r="CG148" s="173">
        <f>0.5/16*MAX(Crops[[#This Row],[Tray 1 Count]],Crops[[#This Row],[Tray 2 Count]],Crops[[#This Row],[Tray 3 Count]])</f>
        <v>0</v>
      </c>
      <c r="CH148" s="173">
        <f>IF(Crops[[#This Row],[Days in Cells]]&gt;0,IF(IF(Crops[[#This Row],[Tray 3 Size]]&gt;0,Crops[[#This Row],[Tray 3 Size]],IF(Crops[[#This Row],[Tray 2 Size]]&gt;0,Crops[[#This Row],[Tray 2 Size]],Crops[[#This Row],[Tray 1 Size]]))&lt;=18,LargeTransplantTime,SmallTransplantTime)*Crops[[#This Row],[Plantings Per Bed]],0)</f>
        <v>0</v>
      </c>
      <c r="CI148" s="173"/>
      <c r="CJ148" s="173">
        <f>_xlfn.XLOOKUP(Crops[[#This Row],[Trellis Type]],TrellisMethods[Trellis Type],TrellisMethods[Hours],0,0)</f>
        <v>0</v>
      </c>
      <c r="CK148">
        <f>IF(Crops[[#This Row],[Days in Cells]]&lt;=0,Crops[[#This Row],[Rows]]*1/10,0)*BedLength/50</f>
        <v>0.1</v>
      </c>
      <c r="CL148" cm="1">
        <f t="array" ref="CL148">_xlfn.SWITCH(Crops[[#This Row],[Irrigation]],"DR", 0.5, "OH", 0.25,0)*BedLength/50</f>
        <v>0</v>
      </c>
      <c r="CM148">
        <f>IF(OR(ISBLANK(Crops[[#This Row],[Row Cover]]),Crops[[#This Row],[Row Cover]]="None"),0,1)*BedLength/50</f>
        <v>0</v>
      </c>
      <c r="CN148" s="173">
        <f>HoursPerWeedingPass*Crops[[#This Row],[Days In Field]]/14*Crops[[#This Row],[Rows]]+1*BedLength/50</f>
        <v>2.75</v>
      </c>
      <c r="CQ148" s="37">
        <f>_xlfn.XLOOKUP(Crops[[#This Row],[Crop]]&amp;Crops[[#This Row],[Product]]&amp;Crops[[#This Row],[Unit]],Products[ID],Products[Marketing (hr)])*Crops[[#This Row],[Direct Revenue Per Bed]]/2000</f>
        <v>0</v>
      </c>
      <c r="CR148" s="37">
        <f>_xlfn.XLOOKUP(Crops[[#This Row],[Crop]]&amp;Crops[[#This Row],[Product]]&amp;Crops[[#This Row],[Unit]],Products[ID],Products[Harvest (s)])*Crops[[#This Row],[Custom Yield Per Bed]]/3600</f>
        <v>0</v>
      </c>
      <c r="CS148" s="37">
        <f>_xlfn.XLOOKUP(Crops[[#This Row],[Crop]]&amp;Crops[[#This Row],[Product]]&amp;Crops[[#This Row],[Unit]],Products[ID],Products[Bunch (s)])*Crops[[#This Row],[Custom Yield Per Bed]]/3600</f>
        <v>0</v>
      </c>
      <c r="CT148" s="37">
        <f>_xlfn.XLOOKUP(Crops[[#This Row],[Crop]]&amp;Crops[[#This Row],[Product]]&amp;Crops[[#This Row],[Unit]],Products[ID],Products[Haul (s)])*Crops[[#This Row],[Custom Yield Per Bed]]/3600</f>
        <v>0</v>
      </c>
      <c r="CU148" s="37">
        <f>_xlfn.XLOOKUP(Crops[[#This Row],[Crop]]&amp;Crops[[#This Row],[Product]]&amp;Crops[[#This Row],[Unit]],Products[ID],Products[Wash (s)])*Crops[[#This Row],[Custom Yield Per Bed]]/3600</f>
        <v>0</v>
      </c>
      <c r="CV148" s="37">
        <f>_xlfn.XLOOKUP(Crops[[#This Row],[Crop]]&amp;Crops[[#This Row],[Product]]&amp;Crops[[#This Row],[Unit]],Products[ID],Products[Condition (s)])*Crops[[#This Row],[Custom Yield Per Bed]]/3600</f>
        <v>0</v>
      </c>
      <c r="CW148" s="37">
        <f>_xlfn.XLOOKUP(Crops[[#This Row],[Crop]]&amp;Crops[[#This Row],[Product]]&amp;Crops[[#This Row],[Unit]],Products[ID],Products[Trim (s)])*Crops[[#This Row],[Custom Yield Per Bed]]/3600</f>
        <v>0</v>
      </c>
      <c r="CX148" s="37">
        <f>_xlfn.XLOOKUP(Crops[[#This Row],[Crop]]&amp;Crops[[#This Row],[Product]]&amp;Crops[[#This Row],[Unit]],Products[ID],Products[Pack (s)])*Crops[[#This Row],[Custom Yield Per Bed]]/3600</f>
        <v>0</v>
      </c>
      <c r="CY148" s="37">
        <f>_xlfn.XLOOKUP(Crops[[#This Row],[Crop]]&amp;Crops[[#This Row],[Product]]&amp;Crops[[#This Row],[Unit]],Products[ID],Products[Clean (s)])*Crops[[#This Row],[Custom Yield Per Bed]]/3600</f>
        <v>0</v>
      </c>
      <c r="CZ148" s="37">
        <f>_xlfn.XLOOKUP(Crops[[#This Row],[Crop]]&amp;Crops[[#This Row],[Product]]&amp;Crops[[#This Row],[Unit]],Products[ID],Products[Rehandle (s)])*Crops[[#This Row],[Custom Yield Per Bed]]/3600</f>
        <v>0</v>
      </c>
      <c r="DA148" s="37">
        <f>_xlfn.XLOOKUP(Crops[[#This Row],[Crop]]&amp;Crops[[#This Row],[Product]]&amp;Crops[[#This Row],[Unit]],Products[ID],Products[Market Transport (s)])*Crops[[#This Row],[Custom Yield Per Bed]]/3600</f>
        <v>0</v>
      </c>
      <c r="DC148" s="37">
        <f>Crops[[#This Row],[Direct Revenue Per Bed2]]</f>
        <v>0</v>
      </c>
      <c r="DD148" s="173">
        <f>_xlfn.AGGREGATE(9,6,Crops[[#This Row],[Bed Prep]:[Remove Crop Residue]])</f>
        <v>4.3499999999999996</v>
      </c>
      <c r="DE148" s="173">
        <f>_xlfn.AGGREGATE(9,6,Crops[[#This Row],[Bed Prep]:[Remove Crop Residue]])-0.75*Crops[[#This Row],[Market &amp; Sell]]</f>
        <v>4.3499999999999996</v>
      </c>
      <c r="DF148" s="36">
        <f>Crops[[#This Row],[Direct Revenue Per Bed2]]/Crops[[#This Row],[Direct Time]]</f>
        <v>0</v>
      </c>
      <c r="DG148" s="36">
        <f>_xlfn.XLOOKUP(Crops[[#This Row],[ProductIndex]],Products[ID],Products[Packaging Cost])*(Crops[[#This Row],[Custom Yield Per Bed]]/_xlfn.XLOOKUP(Crops[[#This Row],[ProductIndex]],Products[ID],Products[Units Per Pack]))</f>
        <v>0</v>
      </c>
      <c r="DH148" s="36"/>
      <c r="DI148" s="36"/>
      <c r="DJ148" s="36"/>
      <c r="DK148" s="36"/>
      <c r="DL148" s="36"/>
      <c r="DM148" s="33">
        <f>IFERROR(Crops[[#This Row],[Custom Yield Per Bed]]*Crops[[#This Row],[Direct Price]],"")</f>
        <v>0</v>
      </c>
      <c r="DN148" s="36">
        <f>Crops[[#This Row],[Direct Time]]*LaborRate</f>
        <v>108.74999999999999</v>
      </c>
      <c r="DO148" s="36">
        <f>SUM(Crops[[#This Row],[Irrigation Cost]])</f>
        <v>0</v>
      </c>
      <c r="DP148" s="36">
        <f>Crops[[#This Row],[Direct Labor Cost]]+Crops[[#This Row],[Direct Non-Labor Cost]]</f>
        <v>108.74999999999999</v>
      </c>
      <c r="DQ148" s="36">
        <f>Crops[[#This Row],[Direct Revenue Per Bed2]]-Crops[[#This Row],[Direct Total Cost]]</f>
        <v>-108.74999999999999</v>
      </c>
      <c r="DR148" s="36">
        <f>Crops[[#This Row],[Direct Profit]]*BedsPerAcre</f>
        <v>-17399.999999999996</v>
      </c>
      <c r="DS148" s="36">
        <f>Crops[[#This Row],[Direct Profit]]*BedsPerAcre*GrowingDays/Crops[[#This Row],[Days In Field]]</f>
        <v>-21306.12244897959</v>
      </c>
      <c r="DT148" s="36">
        <f>Crops[[#This Row],[Direct Profit]]/MIN(Crops[[#This Row],[Days In Field]],GrowingDays)</f>
        <v>-0.73979591836734682</v>
      </c>
      <c r="DU148" s="36">
        <f>Crops[[#This Row],[Direct Time]] * BedsPerAcre</f>
        <v>696</v>
      </c>
      <c r="DV148" s="36">
        <f>(Crops[[#This Row],[Direct Revenue Per Bed2]]-Crops[[#This Row],[Direct Non-Labor Cost]])/Crops[[#This Row],[Direct Time]]</f>
        <v>0</v>
      </c>
      <c r="DW148" s="33">
        <f>IFERROR(Crops[[#This Row],[Custom Yield Per Bed]]*Crops[[#This Row],[Rough Wholesale Price]],"")</f>
        <v>0</v>
      </c>
      <c r="DX148" s="36">
        <f>Crops[[#This Row],[Wholesale Time]]*LaborRate</f>
        <v>108.74999999999999</v>
      </c>
      <c r="DY148" s="36">
        <f>SUM(Crops[[#This Row],[Packaging Costs]:[Irrigation Cost]])</f>
        <v>0</v>
      </c>
      <c r="DZ148" s="36">
        <f>Crops[[#This Row],[Wholesale Labor Cost]]+Crops[[#This Row],[Wholesale Non-Labor Cost]]</f>
        <v>108.74999999999999</v>
      </c>
      <c r="EA148" s="36">
        <f>Crops[[#This Row],[Wholesale Revenue Per Bed]]-Crops[[#This Row],[Wholesale Total Cost]]</f>
        <v>-108.74999999999999</v>
      </c>
      <c r="EB148" s="36">
        <f>Crops[[#This Row],[Wholesale Profit]]*BedsPerAcre</f>
        <v>-17399.999999999996</v>
      </c>
      <c r="EC148" s="36">
        <f>Crops[[#This Row],[Wholesale Profit]]*BedsPerAcre*GrowingDays/Crops[[#This Row],[Days In Field]]</f>
        <v>-21306.12244897959</v>
      </c>
      <c r="ED148" s="36">
        <f>Crops[[#This Row],[Wholesale Time]] * BedsPerAcre</f>
        <v>696</v>
      </c>
      <c r="EE148" s="36">
        <f>Crops[[#This Row],[Wholesale Profit]]/MIN(Crops[[#This Row],[Days In Field]],GrowingDays)</f>
        <v>-0.73979591836734682</v>
      </c>
      <c r="EF148" s="36">
        <f>(Crops[[#This Row],[Wholesale Revenue Per Bed]]-Crops[[#This Row],[Wholesale Non-Labor Cost]])/Crops[[#This Row],[Direct Time]]</f>
        <v>0</v>
      </c>
      <c r="EG148" s="174" t="e">
        <f>Crops[[#This Row],[Packaging Costs]]/Crops[[#This Row],[Wholesale Revenue Per Bed]]</f>
        <v>#DIV/0!</v>
      </c>
      <c r="EH148" s="36" t="str">
        <f>Crops[[#This Row],[Crop]]&amp;Crops[[#This Row],[Product]]&amp;Crops[[#This Row],[Unit]]</f>
        <v>Hyacinth Bean VineFlowering TendrilStem</v>
      </c>
      <c r="EI148" s="36" t="b">
        <f>_xlfn.XLOOKUP(Crops[[#This Row],[ProductIndex]],Products[ID],Products[Target])</f>
        <v>0</v>
      </c>
      <c r="EJ148" s="36">
        <f>Crops[[#This Row],[Custom Yield Per Bed]]</f>
        <v>0</v>
      </c>
      <c r="EK148" s="210" t="e">
        <f>Crops[[#This Row],[Units Per Harvest]]/Crops[[#This Row],[Days Between Harvest]]*7</f>
        <v>#DIV/0!</v>
      </c>
      <c r="EL148" s="210" t="e">
        <f>Crops[[#This Row],[Custom Yield Per Bed]]/_xlfn.XLOOKUP(Crops[[#This Row],[ProductIndex]],Products[ID],Products[CSA Portion])</f>
        <v>#DIV/0!</v>
      </c>
      <c r="EM148" s="210" t="e">
        <f>Crops[[#This Row],[Units Per Harvest]]/Crops[[#This Row],[Days Between Harvest]]*7/_xlfn.XLOOKUP(Crops[[#This Row],[ProductIndex]],Products[ID],Products[CSA Portion])</f>
        <v>#DIV/0!</v>
      </c>
      <c r="EN148" s="210" t="e">
        <f>Crops[[#This Row],[CSA Portions Per Week]]/CSAMembers</f>
        <v>#DIV/0!</v>
      </c>
      <c r="EO148" s="210"/>
      <c r="EP148" s="210"/>
      <c r="EQ148" s="36"/>
      <c r="ER148" s="36">
        <f>Crops[[#This Row],[Harvests]]*Crops[[#This Row],[Days Between Harvest]]/7</f>
        <v>0</v>
      </c>
      <c r="ES148" s="208">
        <f>_xlfn.XLOOKUP(Crops[[#This Row],[ProductIndex]],Products[ID],Products[CSA Need])</f>
        <v>0</v>
      </c>
      <c r="ET148" s="208">
        <f>_xlfn.XLOOKUP(Crops[[#This Row],[ProductIndex]],Products[ID],Products[CSA Times])</f>
        <v>0</v>
      </c>
      <c r="EU148" s="208" t="e">
        <f>Crops[[#This Row],[Custom Yield Per Bed]]/(Crops[[#This Row],[CSA Need]]*(_xlfn.XLOOKUP(Crops[[#This Row],[ProductIndex]],Products[ID],Products[CSA Portion])*CSAMembers))</f>
        <v>#DIV/0!</v>
      </c>
      <c r="EV148" s="208" t="e">
        <f>_xlfn.XLOOKUP(Crops[[#This Row],[ProductIndex]],Products[ID],Products[CSA Portion])*CSAMembers*Crops[[#This Row],[CSA Need]]/Crops[[#This Row],[Custom Yield Per Bed]]</f>
        <v>#DIV/0!</v>
      </c>
      <c r="EW148" s="208" t="str">
        <f>IFERROR(Crops[[#This Row],[Days In Field]]*Crops[[#This Row],[CSA Beds]],"")</f>
        <v/>
      </c>
      <c r="EX148" s="208" t="e">
        <f>Crops[[#This Row],[CSA Bed Days]]*#REF!</f>
        <v>#VALUE!</v>
      </c>
      <c r="EY148" t="s">
        <v>290</v>
      </c>
    </row>
    <row r="149" spans="1:155">
      <c r="A14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Hydrangea (Annabelle) - Mature Stem 1X | Field DS </v>
      </c>
      <c r="B149" s="189"/>
      <c r="C149" s="1"/>
      <c r="D149" s="1"/>
      <c r="E149" s="1" t="b">
        <v>0</v>
      </c>
      <c r="F149" s="1" t="b">
        <f>IFERROR(IF(ISNUMBER(MATCH(Crops[[#This Row],[Identifier]],BedPlan[Crop], 0)), TRUE, FALSE), FALSE)</f>
        <v>0</v>
      </c>
      <c r="G149" s="1" t="b">
        <f>IFERROR(IF(ISNUMBER(MATCH(Crops[[#This Row],[Identifier]],BedPlan[Crop], 0)), TRUE, FALSE), FALSE)</f>
        <v>0</v>
      </c>
      <c r="H149" s="1" t="b">
        <v>1</v>
      </c>
      <c r="I149" t="s">
        <v>86</v>
      </c>
      <c r="J149" t="s">
        <v>165</v>
      </c>
      <c r="K149" t="s">
        <v>181</v>
      </c>
      <c r="N149" t="str">
        <f>Crops[[#This Row],[Crop]]</f>
        <v>Hydrangea</v>
      </c>
      <c r="O149" t="s">
        <v>210</v>
      </c>
      <c r="P149" t="str">
        <f>IF(OR(Crops[[#This Row],[Days in Cells]]="",Crops[[#This Row],[Days in Cells]]=0), "DS","TP")</f>
        <v>DS</v>
      </c>
      <c r="V149" t="str">
        <f xml:space="preserve"> IF(Crops[[#This Row],[Sp]], "Sp", "") &amp; IF(Crops[[#This Row],[Su]], "Su", "") &amp; IF(Crops[[#This Row],[Fa]], "Fa", "") &amp; IF(Crops[[#This Row],[Wi]], "Wi", "") &amp; IF(Crops[[#This Row],[OW]], "Ow","")</f>
        <v/>
      </c>
      <c r="X149">
        <v>1</v>
      </c>
      <c r="Y149">
        <v>60</v>
      </c>
      <c r="AD149" s="32">
        <f>IFERROR(12/Crops[[#This Row],[Spacing]]*Crops[[#This Row],[Rows]]*BedLength,"")</f>
        <v>10</v>
      </c>
      <c r="AE149">
        <v>1</v>
      </c>
      <c r="AG149">
        <f>IF(Crops[[#This Row],[Custom Safety Factor]]="",PlantingSafetyFactor,Crops[[#This Row],[Custom Safety Factor]])</f>
        <v>1.3</v>
      </c>
      <c r="AH149">
        <f>1</f>
        <v>1</v>
      </c>
      <c r="AI149" s="33">
        <f>IFERROR(Crops[[#This Row],[Plantings Per Bed]]*Crops[[#This Row],[Seeds Per Planting]]*Crops[[#This Row],[Safety Factor]]*Crops[[#This Row],[Seeding Factor]],"")</f>
        <v>13</v>
      </c>
      <c r="AL149">
        <f>_xlfn.FLOOR.MATH(IFERROR(AVERAGE(Crops[[#This Row],[DTG Lower]:[DTG Upper]]),0))</f>
        <v>0</v>
      </c>
      <c r="AM149">
        <f>SUM(Crops[[#This Row],[Tray 1 Days]],Crops[[#This Row],[Tray 2 Days]],Crops[[#This Row],[Tray 3 Days]])</f>
        <v>0</v>
      </c>
      <c r="AP149">
        <v>365</v>
      </c>
      <c r="AQ149">
        <f>IFERROR(_xlfn.FLOOR.MATH(AVERAGE(Crops[[#This Row],[DTM Lower]:[DTM Upper]])),"")</f>
        <v>365</v>
      </c>
      <c r="AR149" cm="1">
        <f t="array" ref="AR149">_xlfn.SWITCH(Crops[[#This Row],[Normal Method]],"DS",Crops[[#This Row],[Days to Germination]]+Crops[[#This Row],[DTM]] + IF(Crops[[#This Row],[Days in Cells]]&gt;0,15,0), "TP",Crops[[#This Row],[DTM]]+Crops[[#This Row],[Days in Cells]] + IF(Crops[[#This Row],[Days in Cells]]&lt;=0,20,0), "X", Crops[[#This Row],[DTM]])</f>
        <v>365</v>
      </c>
      <c r="AS149" t="s">
        <v>347</v>
      </c>
      <c r="AT149">
        <f>(Crops[[#This Row],[Harvests]]-1)*Crops[[#This Row],[Days Between Harvest]]+7</f>
        <v>7</v>
      </c>
      <c r="AU149">
        <f>Crops[[#This Row],[STH]]-Crops[[#This Row],[Days in Cells]]+Crops[[#This Row],[Harvest window]]</f>
        <v>372</v>
      </c>
      <c r="AW149" t="s">
        <v>212</v>
      </c>
      <c r="AZ149" t="str">
        <f>IFERROR(IF(Crops[[#This Row],[Tray 1 Days]]=0,"",Crops[[#This Row],[Plantings Per Bed]]/Crops[[#This Row],[Tray 1 Size]]*Crops[[#This Row],[Safety Factor]]),"")</f>
        <v/>
      </c>
      <c r="BC149" t="str">
        <f>IFERROR(IF(Crops[[#This Row],[Tray 2 Days]]=0,"",Crops[[#This Row],[Plantings Per Bed]]/Crops[[#This Row],[Tray 2 Size]]*Crops[[#This Row],[Safety Factor]]),"")</f>
        <v/>
      </c>
      <c r="BE149" s="32" t="str">
        <f>IF(NOT(ISBLANK(Crops[[#This Row],[Tray 3 Size]])), Crops[[#This Row],[Days in Cells Old]]-SUM(Crops[[#This Row],[Tray 1 Days]],Crops[[#This Row],[Tray 2 Days]]), "")</f>
        <v/>
      </c>
      <c r="BF149" t="str">
        <f>IFERROR(IF(Crops[[#This Row],[Tray 3 Days]]=0,"",Crops[[#This Row],[Plantings Per Bed]]/Crops[[#This Row],[Tray 3 Size]]*Crops[[#This Row],[Safety Factor]]),"")</f>
        <v/>
      </c>
      <c r="BG149" s="33"/>
      <c r="BH149" s="33"/>
      <c r="BI149" s="33"/>
      <c r="BJ149" s="33">
        <f>_xlfn.XLOOKUP(Crops[[#This Row],[ProductIndex]],Products[ID],Products[Holding Period])</f>
        <v>0</v>
      </c>
      <c r="BK149" s="33"/>
      <c r="BL149" s="33">
        <f>Crops[[#This Row],[Units Per Harvest]]*Crops[[#This Row],[Harvests]]</f>
        <v>0</v>
      </c>
      <c r="BM149" s="35">
        <v>3.5939999999999999</v>
      </c>
      <c r="BN149" s="212">
        <f>Crops[[#This Row],[Direct Price]]*0.6</f>
        <v>2.1563999999999997</v>
      </c>
      <c r="BO149" s="212"/>
      <c r="BP149" t="s">
        <v>213</v>
      </c>
      <c r="BQ149">
        <f>Crops[[#This Row],[Custom Yield Per Bed]]*Crops[[#This Row],[Direct Price]]</f>
        <v>0</v>
      </c>
      <c r="BR149" t="b">
        <v>0</v>
      </c>
      <c r="BS149" t="b">
        <f>Crops[[#This Row],[Harvests]]&gt;1</f>
        <v>0</v>
      </c>
      <c r="BT149" s="36">
        <f>IFERROR(Crops[[#This Row],[Direct Revenue Per Bed]]/Crops[[#This Row],[Days In Field]],-1)</f>
        <v>0</v>
      </c>
      <c r="BU149" s="36">
        <f>IFERROR(Crops[[#This Row],[Direct Revenue Per Bed Day]]*GrowingDays*BedsPerAcre,"")</f>
        <v>0</v>
      </c>
      <c r="BV149" s="38">
        <f>LastFrostDate-5*Crops[[#This Row],[Sewing Rel Last Frost]]</f>
        <v>45748</v>
      </c>
      <c r="BW149" s="38">
        <f>Crops[[#This Row],[Target Sewing Date]]+Crops[[#This Row],[Days in Cells]]</f>
        <v>45748</v>
      </c>
      <c r="BX149" s="38">
        <f>Crops[[#This Row],[Target Sewing Date]]+Crops[[#This Row],[STH]]</f>
        <v>46113</v>
      </c>
      <c r="BY149" s="38">
        <f>Crops[[#This Row],[Target Harvest Data]]+Crops[[#This Row],[Harvest window]]</f>
        <v>46120</v>
      </c>
      <c r="CB149">
        <f>1</f>
        <v>1</v>
      </c>
      <c r="CC149">
        <f>IF(Crops[[#This Row],[Transplanting]]&gt;0, 2, 3)*BedLength/StandardBedLength</f>
        <v>1.5</v>
      </c>
      <c r="CD149" s="173">
        <f>IF(Crops[[#This Row],[Days in Cells]]&lt;=0,0,Crops[[#This Row],[Plantings Per Bed]]/StartsPerHourSeeding+Crops[[#This Row],[Tray 1 Count]]*5/60)</f>
        <v>0</v>
      </c>
      <c r="CE149" s="173">
        <f>IF(ISBLANK(Crops[[#This Row],[Tray 2 Days]]),0,Crops[[#This Row],[Plantings Per Bed]]/UpPottingPerHour)+IF(Crops[[#This Row],[Tray 3 Days]]="",0,Crops[[#This Row],[Plantings Per Bed]]/UpPottingPerHour)</f>
        <v>0</v>
      </c>
      <c r="CF149" s="173">
        <f>IFERROR(Crops[[#This Row],[Tray 1 Count]]/HomeStartFlatIrrigationPerHour,0)*Crops[[#This Row],[Days in Cells]]/DaysBetweenStartIrrigation</f>
        <v>0</v>
      </c>
      <c r="CG149" s="173">
        <f>0.5/16*MAX(Crops[[#This Row],[Tray 1 Count]],Crops[[#This Row],[Tray 2 Count]],Crops[[#This Row],[Tray 3 Count]])</f>
        <v>0</v>
      </c>
      <c r="CH149" s="173">
        <f>IF(Crops[[#This Row],[Days in Cells]]&gt;0,IF(IF(Crops[[#This Row],[Tray 3 Size]]&gt;0,Crops[[#This Row],[Tray 3 Size]],IF(Crops[[#This Row],[Tray 2 Size]]&gt;0,Crops[[#This Row],[Tray 2 Size]],Crops[[#This Row],[Tray 1 Size]]))&lt;=18,LargeTransplantTime,SmallTransplantTime)*Crops[[#This Row],[Plantings Per Bed]],0)</f>
        <v>0</v>
      </c>
      <c r="CI149" s="173"/>
      <c r="CJ149" s="173">
        <f>_xlfn.XLOOKUP(Crops[[#This Row],[Trellis Type]],TrellisMethods[Trellis Type],TrellisMethods[Hours],0,0)</f>
        <v>0</v>
      </c>
      <c r="CK149">
        <f>IF(Crops[[#This Row],[Days in Cells]]&lt;=0,Crops[[#This Row],[Rows]]*1/10,0)*BedLength/50</f>
        <v>0.1</v>
      </c>
      <c r="CL149" cm="1">
        <f t="array" ref="CL149">_xlfn.SWITCH(Crops[[#This Row],[Irrigation]],"DR", 0.5, "OH", 0.25,0)*BedLength/50</f>
        <v>0</v>
      </c>
      <c r="CM149">
        <f>IF(OR(ISBLANK(Crops[[#This Row],[Row Cover]]),Crops[[#This Row],[Row Cover]]="None"),0,1)*BedLength/50</f>
        <v>0</v>
      </c>
      <c r="CN149" s="173">
        <f>HoursPerWeedingPass*Crops[[#This Row],[Days In Field]]/14*Crops[[#This Row],[Rows]]+1*BedLength/50</f>
        <v>5.4285714285714288</v>
      </c>
      <c r="CQ149" s="37">
        <f>_xlfn.XLOOKUP(Crops[[#This Row],[Crop]]&amp;Crops[[#This Row],[Product]]&amp;Crops[[#This Row],[Unit]],Products[ID],Products[Marketing (hr)])*Crops[[#This Row],[Direct Revenue Per Bed]]/2000</f>
        <v>0</v>
      </c>
      <c r="CR149" s="37">
        <f>_xlfn.XLOOKUP(Crops[[#This Row],[Crop]]&amp;Crops[[#This Row],[Product]]&amp;Crops[[#This Row],[Unit]],Products[ID],Products[Harvest (s)])*Crops[[#This Row],[Custom Yield Per Bed]]/3600</f>
        <v>0</v>
      </c>
      <c r="CS149" s="37">
        <f>_xlfn.XLOOKUP(Crops[[#This Row],[Crop]]&amp;Crops[[#This Row],[Product]]&amp;Crops[[#This Row],[Unit]],Products[ID],Products[Bunch (s)])*Crops[[#This Row],[Custom Yield Per Bed]]/3600</f>
        <v>0</v>
      </c>
      <c r="CT149" s="37">
        <f>_xlfn.XLOOKUP(Crops[[#This Row],[Crop]]&amp;Crops[[#This Row],[Product]]&amp;Crops[[#This Row],[Unit]],Products[ID],Products[Haul (s)])*Crops[[#This Row],[Custom Yield Per Bed]]/3600</f>
        <v>0</v>
      </c>
      <c r="CU149" s="37">
        <f>_xlfn.XLOOKUP(Crops[[#This Row],[Crop]]&amp;Crops[[#This Row],[Product]]&amp;Crops[[#This Row],[Unit]],Products[ID],Products[Wash (s)])*Crops[[#This Row],[Custom Yield Per Bed]]/3600</f>
        <v>0</v>
      </c>
      <c r="CV149" s="37">
        <f>_xlfn.XLOOKUP(Crops[[#This Row],[Crop]]&amp;Crops[[#This Row],[Product]]&amp;Crops[[#This Row],[Unit]],Products[ID],Products[Condition (s)])*Crops[[#This Row],[Custom Yield Per Bed]]/3600</f>
        <v>0</v>
      </c>
      <c r="CW149" s="37">
        <f>_xlfn.XLOOKUP(Crops[[#This Row],[Crop]]&amp;Crops[[#This Row],[Product]]&amp;Crops[[#This Row],[Unit]],Products[ID],Products[Trim (s)])*Crops[[#This Row],[Custom Yield Per Bed]]/3600</f>
        <v>0</v>
      </c>
      <c r="CX149" s="37">
        <f>_xlfn.XLOOKUP(Crops[[#This Row],[Crop]]&amp;Crops[[#This Row],[Product]]&amp;Crops[[#This Row],[Unit]],Products[ID],Products[Pack (s)])*Crops[[#This Row],[Custom Yield Per Bed]]/3600</f>
        <v>0</v>
      </c>
      <c r="CY149" s="37">
        <f>_xlfn.XLOOKUP(Crops[[#This Row],[Crop]]&amp;Crops[[#This Row],[Product]]&amp;Crops[[#This Row],[Unit]],Products[ID],Products[Clean (s)])*Crops[[#This Row],[Custom Yield Per Bed]]/3600</f>
        <v>0</v>
      </c>
      <c r="CZ149" s="37">
        <f>_xlfn.XLOOKUP(Crops[[#This Row],[Crop]]&amp;Crops[[#This Row],[Product]]&amp;Crops[[#This Row],[Unit]],Products[ID],Products[Rehandle (s)])*Crops[[#This Row],[Custom Yield Per Bed]]/3600</f>
        <v>0</v>
      </c>
      <c r="DA149" s="37">
        <f>_xlfn.XLOOKUP(Crops[[#This Row],[Crop]]&amp;Crops[[#This Row],[Product]]&amp;Crops[[#This Row],[Unit]],Products[ID],Products[Market Transport (s)])*Crops[[#This Row],[Custom Yield Per Bed]]/3600</f>
        <v>0</v>
      </c>
      <c r="DC149" s="37">
        <f>Crops[[#This Row],[Direct Revenue Per Bed2]]</f>
        <v>0</v>
      </c>
      <c r="DD149" s="173">
        <f>_xlfn.AGGREGATE(9,6,Crops[[#This Row],[Bed Prep]:[Remove Crop Residue]])</f>
        <v>7.0285714285714285</v>
      </c>
      <c r="DE149" s="173">
        <f>_xlfn.AGGREGATE(9,6,Crops[[#This Row],[Bed Prep]:[Remove Crop Residue]])-0.75*Crops[[#This Row],[Market &amp; Sell]]</f>
        <v>7.0285714285714285</v>
      </c>
      <c r="DF149" s="36">
        <f>Crops[[#This Row],[Direct Revenue Per Bed2]]/Crops[[#This Row],[Direct Time]]</f>
        <v>0</v>
      </c>
      <c r="DG149" s="36">
        <f>_xlfn.XLOOKUP(Crops[[#This Row],[ProductIndex]],Products[ID],Products[Packaging Cost])*(Crops[[#This Row],[Custom Yield Per Bed]]/_xlfn.XLOOKUP(Crops[[#This Row],[ProductIndex]],Products[ID],Products[Units Per Pack]))</f>
        <v>0</v>
      </c>
      <c r="DH149" s="36"/>
      <c r="DI149" s="36"/>
      <c r="DJ149" s="36"/>
      <c r="DK149" s="36"/>
      <c r="DL149" s="36"/>
      <c r="DM149" s="33">
        <f>IFERROR(Crops[[#This Row],[Custom Yield Per Bed]]*Crops[[#This Row],[Direct Price]],"")</f>
        <v>0</v>
      </c>
      <c r="DN149" s="36">
        <f>Crops[[#This Row],[Direct Time]]*LaborRate</f>
        <v>175.71428571428572</v>
      </c>
      <c r="DO149" s="36">
        <f>SUM(Crops[[#This Row],[Irrigation Cost]])</f>
        <v>0</v>
      </c>
      <c r="DP149" s="36">
        <f>Crops[[#This Row],[Direct Labor Cost]]+Crops[[#This Row],[Direct Non-Labor Cost]]</f>
        <v>175.71428571428572</v>
      </c>
      <c r="DQ149" s="36">
        <f>Crops[[#This Row],[Direct Revenue Per Bed2]]-Crops[[#This Row],[Direct Total Cost]]</f>
        <v>-175.71428571428572</v>
      </c>
      <c r="DR149" s="36">
        <f>Crops[[#This Row],[Direct Profit]]*BedsPerAcre</f>
        <v>-28114.285714285717</v>
      </c>
      <c r="DS149" s="36">
        <f>Crops[[#This Row],[Direct Profit]]*BedsPerAcre*GrowingDays/Crops[[#This Row],[Days In Field]]</f>
        <v>-13603.686635944701</v>
      </c>
      <c r="DT149" s="36">
        <f>Crops[[#This Row],[Direct Profit]]/MIN(Crops[[#This Row],[Days In Field]],GrowingDays)</f>
        <v>-0.97619047619047628</v>
      </c>
      <c r="DU149" s="36">
        <f>Crops[[#This Row],[Direct Time]] * BedsPerAcre</f>
        <v>1124.5714285714284</v>
      </c>
      <c r="DV149" s="36">
        <f>(Crops[[#This Row],[Direct Revenue Per Bed2]]-Crops[[#This Row],[Direct Non-Labor Cost]])/Crops[[#This Row],[Direct Time]]</f>
        <v>0</v>
      </c>
      <c r="DW149" s="33">
        <f>IFERROR(Crops[[#This Row],[Custom Yield Per Bed]]*Crops[[#This Row],[Rough Wholesale Price]],"")</f>
        <v>0</v>
      </c>
      <c r="DX149" s="36">
        <f>Crops[[#This Row],[Wholesale Time]]*LaborRate</f>
        <v>175.71428571428572</v>
      </c>
      <c r="DY149" s="36">
        <f>SUM(Crops[[#This Row],[Packaging Costs]:[Irrigation Cost]])</f>
        <v>0</v>
      </c>
      <c r="DZ149" s="36">
        <f>Crops[[#This Row],[Wholesale Labor Cost]]+Crops[[#This Row],[Wholesale Non-Labor Cost]]</f>
        <v>175.71428571428572</v>
      </c>
      <c r="EA149" s="36">
        <f>Crops[[#This Row],[Wholesale Revenue Per Bed]]-Crops[[#This Row],[Wholesale Total Cost]]</f>
        <v>-175.71428571428572</v>
      </c>
      <c r="EB149" s="36">
        <f>Crops[[#This Row],[Wholesale Profit]]*BedsPerAcre</f>
        <v>-28114.285714285717</v>
      </c>
      <c r="EC149" s="36">
        <f>Crops[[#This Row],[Wholesale Profit]]*BedsPerAcre*GrowingDays/Crops[[#This Row],[Days In Field]]</f>
        <v>-13603.686635944701</v>
      </c>
      <c r="ED149" s="36">
        <f>Crops[[#This Row],[Wholesale Time]] * BedsPerAcre</f>
        <v>1124.5714285714284</v>
      </c>
      <c r="EE149" s="36">
        <f>Crops[[#This Row],[Wholesale Profit]]/MIN(Crops[[#This Row],[Days In Field]],GrowingDays)</f>
        <v>-0.97619047619047628</v>
      </c>
      <c r="EF149" s="36">
        <f>(Crops[[#This Row],[Wholesale Revenue Per Bed]]-Crops[[#This Row],[Wholesale Non-Labor Cost]])/Crops[[#This Row],[Direct Time]]</f>
        <v>0</v>
      </c>
      <c r="EG149" s="174" t="e">
        <f>Crops[[#This Row],[Packaging Costs]]/Crops[[#This Row],[Wholesale Revenue Per Bed]]</f>
        <v>#DIV/0!</v>
      </c>
      <c r="EH149" s="36" t="str">
        <f>Crops[[#This Row],[Crop]]&amp;Crops[[#This Row],[Product]]&amp;Crops[[#This Row],[Unit]]</f>
        <v>HydrangeaMature StemStem</v>
      </c>
      <c r="EI149" s="36" t="b">
        <f>_xlfn.XLOOKUP(Crops[[#This Row],[ProductIndex]],Products[ID],Products[Target])</f>
        <v>0</v>
      </c>
      <c r="EJ149" s="36">
        <f>Crops[[#This Row],[Custom Yield Per Bed]]</f>
        <v>0</v>
      </c>
      <c r="EK149" s="210" t="e">
        <f>Crops[[#This Row],[Units Per Harvest]]/Crops[[#This Row],[Days Between Harvest]]*7</f>
        <v>#DIV/0!</v>
      </c>
      <c r="EL149" s="210" t="e">
        <f>Crops[[#This Row],[Custom Yield Per Bed]]/_xlfn.XLOOKUP(Crops[[#This Row],[ProductIndex]],Products[ID],Products[CSA Portion])</f>
        <v>#DIV/0!</v>
      </c>
      <c r="EM149" s="210" t="e">
        <f>Crops[[#This Row],[Units Per Harvest]]/Crops[[#This Row],[Days Between Harvest]]*7/_xlfn.XLOOKUP(Crops[[#This Row],[ProductIndex]],Products[ID],Products[CSA Portion])</f>
        <v>#DIV/0!</v>
      </c>
      <c r="EN149" s="210" t="e">
        <f>Crops[[#This Row],[CSA Portions Per Week]]/CSAMembers</f>
        <v>#DIV/0!</v>
      </c>
      <c r="EO149" s="210"/>
      <c r="EP149" s="210"/>
      <c r="EQ149" s="36"/>
      <c r="ER149" s="36">
        <f>Crops[[#This Row],[Harvests]]*Crops[[#This Row],[Days Between Harvest]]/7</f>
        <v>0</v>
      </c>
      <c r="ES149" s="208">
        <f>_xlfn.XLOOKUP(Crops[[#This Row],[ProductIndex]],Products[ID],Products[CSA Need])</f>
        <v>0</v>
      </c>
      <c r="ET149" s="208">
        <f>_xlfn.XLOOKUP(Crops[[#This Row],[ProductIndex]],Products[ID],Products[CSA Times])</f>
        <v>0</v>
      </c>
      <c r="EU149" s="208" t="e">
        <f>Crops[[#This Row],[Custom Yield Per Bed]]/(Crops[[#This Row],[CSA Need]]*(_xlfn.XLOOKUP(Crops[[#This Row],[ProductIndex]],Products[ID],Products[CSA Portion])*CSAMembers))</f>
        <v>#DIV/0!</v>
      </c>
      <c r="EV149" s="208" t="e">
        <f>_xlfn.XLOOKUP(Crops[[#This Row],[ProductIndex]],Products[ID],Products[CSA Portion])*CSAMembers*Crops[[#This Row],[CSA Need]]/Crops[[#This Row],[Custom Yield Per Bed]]</f>
        <v>#DIV/0!</v>
      </c>
      <c r="EW149" s="208" t="str">
        <f>IFERROR(Crops[[#This Row],[Days In Field]]*Crops[[#This Row],[CSA Beds]],"")</f>
        <v/>
      </c>
      <c r="EX149" s="208" t="e">
        <f>Crops[[#This Row],[CSA Bed Days]]*#REF!</f>
        <v>#VALUE!</v>
      </c>
      <c r="EY149">
        <v>0</v>
      </c>
    </row>
    <row r="150" spans="1:155">
      <c r="A15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Hydrangea (Pee Gee) - Mature Stem 1X | Field DS </v>
      </c>
      <c r="B150" s="189"/>
      <c r="C150" s="1"/>
      <c r="D150" s="1"/>
      <c r="E150" s="1" t="b">
        <v>0</v>
      </c>
      <c r="F150" s="1" t="b">
        <f>IFERROR(IF(ISNUMBER(MATCH(Crops[[#This Row],[Identifier]],BedPlan[Crop], 0)), TRUE, FALSE), FALSE)</f>
        <v>0</v>
      </c>
      <c r="G150" s="1" t="b">
        <f>IFERROR(IF(ISNUMBER(MATCH(Crops[[#This Row],[Identifier]],BedPlan[Crop], 0)), TRUE, FALSE), FALSE)</f>
        <v>0</v>
      </c>
      <c r="H150" s="1" t="b">
        <v>1</v>
      </c>
      <c r="I150" t="s">
        <v>86</v>
      </c>
      <c r="J150" t="s">
        <v>164</v>
      </c>
      <c r="K150" t="s">
        <v>181</v>
      </c>
      <c r="N150" t="str">
        <f>Crops[[#This Row],[Crop]]</f>
        <v>Hydrangea</v>
      </c>
      <c r="O150" t="s">
        <v>210</v>
      </c>
      <c r="P150" t="str">
        <f>IF(OR(Crops[[#This Row],[Days in Cells]]="",Crops[[#This Row],[Days in Cells]]=0), "DS","TP")</f>
        <v>DS</v>
      </c>
      <c r="V150" t="str">
        <f xml:space="preserve"> IF(Crops[[#This Row],[Sp]], "Sp", "") &amp; IF(Crops[[#This Row],[Su]], "Su", "") &amp; IF(Crops[[#This Row],[Fa]], "Fa", "") &amp; IF(Crops[[#This Row],[Wi]], "Wi", "") &amp; IF(Crops[[#This Row],[OW]], "Ow","")</f>
        <v/>
      </c>
      <c r="X150">
        <v>1</v>
      </c>
      <c r="Y150">
        <v>60</v>
      </c>
      <c r="AD150" s="32">
        <f>IFERROR(12/Crops[[#This Row],[Spacing]]*Crops[[#This Row],[Rows]]*BedLength,"")</f>
        <v>10</v>
      </c>
      <c r="AE150">
        <v>1</v>
      </c>
      <c r="AG150">
        <f>IF(Crops[[#This Row],[Custom Safety Factor]]="",PlantingSafetyFactor,Crops[[#This Row],[Custom Safety Factor]])</f>
        <v>1.3</v>
      </c>
      <c r="AH150">
        <f>1</f>
        <v>1</v>
      </c>
      <c r="AI150" s="33">
        <f>IFERROR(Crops[[#This Row],[Plantings Per Bed]]*Crops[[#This Row],[Seeds Per Planting]]*Crops[[#This Row],[Safety Factor]]*Crops[[#This Row],[Seeding Factor]],"")</f>
        <v>13</v>
      </c>
      <c r="AL150">
        <f>_xlfn.FLOOR.MATH(IFERROR(AVERAGE(Crops[[#This Row],[DTG Lower]:[DTG Upper]]),0))</f>
        <v>0</v>
      </c>
      <c r="AM150">
        <f>SUM(Crops[[#This Row],[Tray 1 Days]],Crops[[#This Row],[Tray 2 Days]],Crops[[#This Row],[Tray 3 Days]])</f>
        <v>0</v>
      </c>
      <c r="AP150">
        <v>365</v>
      </c>
      <c r="AQ150">
        <f>IFERROR(_xlfn.FLOOR.MATH(AVERAGE(Crops[[#This Row],[DTM Lower]:[DTM Upper]])),"")</f>
        <v>365</v>
      </c>
      <c r="AR150" cm="1">
        <f t="array" ref="AR150">_xlfn.SWITCH(Crops[[#This Row],[Normal Method]],"DS",Crops[[#This Row],[Days to Germination]]+Crops[[#This Row],[DTM]] + IF(Crops[[#This Row],[Days in Cells]]&gt;0,15,0), "TP",Crops[[#This Row],[DTM]]+Crops[[#This Row],[Days in Cells]] + IF(Crops[[#This Row],[Days in Cells]]&lt;=0,20,0), "X", Crops[[#This Row],[DTM]])</f>
        <v>365</v>
      </c>
      <c r="AS150" t="s">
        <v>347</v>
      </c>
      <c r="AT150">
        <f>(Crops[[#This Row],[Harvests]]-1)*Crops[[#This Row],[Days Between Harvest]]+7</f>
        <v>7</v>
      </c>
      <c r="AU150">
        <f>Crops[[#This Row],[STH]]-Crops[[#This Row],[Days in Cells]]+Crops[[#This Row],[Harvest window]]</f>
        <v>372</v>
      </c>
      <c r="AW150" t="s">
        <v>212</v>
      </c>
      <c r="AZ150" t="str">
        <f>IFERROR(IF(Crops[[#This Row],[Tray 1 Days]]=0,"",Crops[[#This Row],[Plantings Per Bed]]/Crops[[#This Row],[Tray 1 Size]]*Crops[[#This Row],[Safety Factor]]),"")</f>
        <v/>
      </c>
      <c r="BC150" t="str">
        <f>IFERROR(IF(Crops[[#This Row],[Tray 2 Days]]=0,"",Crops[[#This Row],[Plantings Per Bed]]/Crops[[#This Row],[Tray 2 Size]]*Crops[[#This Row],[Safety Factor]]),"")</f>
        <v/>
      </c>
      <c r="BE150" s="32" t="str">
        <f>IF(NOT(ISBLANK(Crops[[#This Row],[Tray 3 Size]])), Crops[[#This Row],[Days in Cells Old]]-SUM(Crops[[#This Row],[Tray 1 Days]],Crops[[#This Row],[Tray 2 Days]]), "")</f>
        <v/>
      </c>
      <c r="BF150" t="str">
        <f>IFERROR(IF(Crops[[#This Row],[Tray 3 Days]]=0,"",Crops[[#This Row],[Plantings Per Bed]]/Crops[[#This Row],[Tray 3 Size]]*Crops[[#This Row],[Safety Factor]]),"")</f>
        <v/>
      </c>
      <c r="BG150" s="33"/>
      <c r="BH150" s="33"/>
      <c r="BI150" s="33"/>
      <c r="BJ150" s="33">
        <f>_xlfn.XLOOKUP(Crops[[#This Row],[ProductIndex]],Products[ID],Products[Holding Period])</f>
        <v>0</v>
      </c>
      <c r="BK150" s="33"/>
      <c r="BL150" s="33">
        <f>Crops[[#This Row],[Units Per Harvest]]*Crops[[#This Row],[Harvests]]</f>
        <v>0</v>
      </c>
      <c r="BM150" s="35">
        <v>3.5939999999999999</v>
      </c>
      <c r="BN150" s="35">
        <f>Crops[[#This Row],[Direct Price]]*0.6</f>
        <v>2.1563999999999997</v>
      </c>
      <c r="BO150" s="35"/>
      <c r="BP150" t="s">
        <v>213</v>
      </c>
      <c r="BQ150">
        <f>Crops[[#This Row],[Custom Yield Per Bed]]*Crops[[#This Row],[Direct Price]]</f>
        <v>0</v>
      </c>
      <c r="BR150" t="b">
        <v>0</v>
      </c>
      <c r="BS150" t="b">
        <f>Crops[[#This Row],[Harvests]]&gt;1</f>
        <v>0</v>
      </c>
      <c r="BT150" s="36">
        <f>IFERROR(Crops[[#This Row],[Direct Revenue Per Bed]]/Crops[[#This Row],[Days In Field]],-1)</f>
        <v>0</v>
      </c>
      <c r="BU150" s="36">
        <f>IFERROR(Crops[[#This Row],[Direct Revenue Per Bed Day]]*GrowingDays*BedsPerAcre,"")</f>
        <v>0</v>
      </c>
      <c r="BV150" s="38">
        <f>LastFrostDate-5*Crops[[#This Row],[Sewing Rel Last Frost]]</f>
        <v>45748</v>
      </c>
      <c r="BW150" s="38">
        <f>Crops[[#This Row],[Target Sewing Date]]+Crops[[#This Row],[Days in Cells]]</f>
        <v>45748</v>
      </c>
      <c r="BX150" s="38">
        <f>Crops[[#This Row],[Target Sewing Date]]+Crops[[#This Row],[STH]]</f>
        <v>46113</v>
      </c>
      <c r="BY150" s="38">
        <f>Crops[[#This Row],[Target Harvest Data]]+Crops[[#This Row],[Harvest window]]</f>
        <v>46120</v>
      </c>
      <c r="CB150">
        <f>1</f>
        <v>1</v>
      </c>
      <c r="CC150">
        <f>IF(Crops[[#This Row],[Transplanting]]&gt;0, 2, 3)*BedLength/StandardBedLength</f>
        <v>1.5</v>
      </c>
      <c r="CD150" s="173">
        <f>IF(Crops[[#This Row],[Days in Cells]]&lt;=0,0,Crops[[#This Row],[Plantings Per Bed]]/StartsPerHourSeeding+Crops[[#This Row],[Tray 1 Count]]*5/60)</f>
        <v>0</v>
      </c>
      <c r="CE150" s="173">
        <f>IF(ISBLANK(Crops[[#This Row],[Tray 2 Days]]),0,Crops[[#This Row],[Plantings Per Bed]]/UpPottingPerHour)+IF(Crops[[#This Row],[Tray 3 Days]]="",0,Crops[[#This Row],[Plantings Per Bed]]/UpPottingPerHour)</f>
        <v>0</v>
      </c>
      <c r="CF150" s="173">
        <f>IFERROR(Crops[[#This Row],[Tray 1 Count]]/HomeStartFlatIrrigationPerHour,0)*Crops[[#This Row],[Days in Cells]]/DaysBetweenStartIrrigation</f>
        <v>0</v>
      </c>
      <c r="CG150" s="173">
        <f>0.5/16*MAX(Crops[[#This Row],[Tray 1 Count]],Crops[[#This Row],[Tray 2 Count]],Crops[[#This Row],[Tray 3 Count]])</f>
        <v>0</v>
      </c>
      <c r="CH150" s="173">
        <f>IF(Crops[[#This Row],[Days in Cells]]&gt;0,IF(IF(Crops[[#This Row],[Tray 3 Size]]&gt;0,Crops[[#This Row],[Tray 3 Size]],IF(Crops[[#This Row],[Tray 2 Size]]&gt;0,Crops[[#This Row],[Tray 2 Size]],Crops[[#This Row],[Tray 1 Size]]))&lt;=18,LargeTransplantTime,SmallTransplantTime)*Crops[[#This Row],[Plantings Per Bed]],0)</f>
        <v>0</v>
      </c>
      <c r="CI150" s="173"/>
      <c r="CJ150" s="173">
        <f>_xlfn.XLOOKUP(Crops[[#This Row],[Trellis Type]],TrellisMethods[Trellis Type],TrellisMethods[Hours],0,0)</f>
        <v>0</v>
      </c>
      <c r="CK150">
        <f>IF(Crops[[#This Row],[Days in Cells]]&lt;=0,Crops[[#This Row],[Rows]]*1/10,0)*BedLength/50</f>
        <v>0.1</v>
      </c>
      <c r="CL150" cm="1">
        <f t="array" ref="CL150">_xlfn.SWITCH(Crops[[#This Row],[Irrigation]],"DR", 0.5, "OH", 0.25,0)*BedLength/50</f>
        <v>0</v>
      </c>
      <c r="CM150">
        <f>IF(OR(ISBLANK(Crops[[#This Row],[Row Cover]]),Crops[[#This Row],[Row Cover]]="None"),0,1)*BedLength/50</f>
        <v>0</v>
      </c>
      <c r="CN150" s="173">
        <f>HoursPerWeedingPass*Crops[[#This Row],[Days In Field]]/14*Crops[[#This Row],[Rows]]+1*BedLength/50</f>
        <v>5.4285714285714288</v>
      </c>
      <c r="CQ150" s="37">
        <f>_xlfn.XLOOKUP(Crops[[#This Row],[Crop]]&amp;Crops[[#This Row],[Product]]&amp;Crops[[#This Row],[Unit]],Products[ID],Products[Marketing (hr)])*Crops[[#This Row],[Direct Revenue Per Bed]]/2000</f>
        <v>0</v>
      </c>
      <c r="CR150" s="37">
        <f>_xlfn.XLOOKUP(Crops[[#This Row],[Crop]]&amp;Crops[[#This Row],[Product]]&amp;Crops[[#This Row],[Unit]],Products[ID],Products[Harvest (s)])*Crops[[#This Row],[Custom Yield Per Bed]]/3600</f>
        <v>0</v>
      </c>
      <c r="CS150" s="37">
        <f>_xlfn.XLOOKUP(Crops[[#This Row],[Crop]]&amp;Crops[[#This Row],[Product]]&amp;Crops[[#This Row],[Unit]],Products[ID],Products[Bunch (s)])*Crops[[#This Row],[Custom Yield Per Bed]]/3600</f>
        <v>0</v>
      </c>
      <c r="CT150" s="37">
        <f>_xlfn.XLOOKUP(Crops[[#This Row],[Crop]]&amp;Crops[[#This Row],[Product]]&amp;Crops[[#This Row],[Unit]],Products[ID],Products[Haul (s)])*Crops[[#This Row],[Custom Yield Per Bed]]/3600</f>
        <v>0</v>
      </c>
      <c r="CU150" s="37">
        <f>_xlfn.XLOOKUP(Crops[[#This Row],[Crop]]&amp;Crops[[#This Row],[Product]]&amp;Crops[[#This Row],[Unit]],Products[ID],Products[Wash (s)])*Crops[[#This Row],[Custom Yield Per Bed]]/3600</f>
        <v>0</v>
      </c>
      <c r="CV150" s="37">
        <f>_xlfn.XLOOKUP(Crops[[#This Row],[Crop]]&amp;Crops[[#This Row],[Product]]&amp;Crops[[#This Row],[Unit]],Products[ID],Products[Condition (s)])*Crops[[#This Row],[Custom Yield Per Bed]]/3600</f>
        <v>0</v>
      </c>
      <c r="CW150" s="37">
        <f>_xlfn.XLOOKUP(Crops[[#This Row],[Crop]]&amp;Crops[[#This Row],[Product]]&amp;Crops[[#This Row],[Unit]],Products[ID],Products[Trim (s)])*Crops[[#This Row],[Custom Yield Per Bed]]/3600</f>
        <v>0</v>
      </c>
      <c r="CX150" s="37">
        <f>_xlfn.XLOOKUP(Crops[[#This Row],[Crop]]&amp;Crops[[#This Row],[Product]]&amp;Crops[[#This Row],[Unit]],Products[ID],Products[Pack (s)])*Crops[[#This Row],[Custom Yield Per Bed]]/3600</f>
        <v>0</v>
      </c>
      <c r="CY150" s="37">
        <f>_xlfn.XLOOKUP(Crops[[#This Row],[Crop]]&amp;Crops[[#This Row],[Product]]&amp;Crops[[#This Row],[Unit]],Products[ID],Products[Clean (s)])*Crops[[#This Row],[Custom Yield Per Bed]]/3600</f>
        <v>0</v>
      </c>
      <c r="CZ150" s="37">
        <f>_xlfn.XLOOKUP(Crops[[#This Row],[Crop]]&amp;Crops[[#This Row],[Product]]&amp;Crops[[#This Row],[Unit]],Products[ID],Products[Rehandle (s)])*Crops[[#This Row],[Custom Yield Per Bed]]/3600</f>
        <v>0</v>
      </c>
      <c r="DA150" s="37">
        <f>_xlfn.XLOOKUP(Crops[[#This Row],[Crop]]&amp;Crops[[#This Row],[Product]]&amp;Crops[[#This Row],[Unit]],Products[ID],Products[Market Transport (s)])*Crops[[#This Row],[Custom Yield Per Bed]]/3600</f>
        <v>0</v>
      </c>
      <c r="DC150" s="37">
        <f>Crops[[#This Row],[Direct Revenue Per Bed2]]</f>
        <v>0</v>
      </c>
      <c r="DD150" s="173">
        <f>_xlfn.AGGREGATE(9,6,Crops[[#This Row],[Bed Prep]:[Remove Crop Residue]])</f>
        <v>7.0285714285714285</v>
      </c>
      <c r="DE150" s="173">
        <f>_xlfn.AGGREGATE(9,6,Crops[[#This Row],[Bed Prep]:[Remove Crop Residue]])-0.75*Crops[[#This Row],[Market &amp; Sell]]</f>
        <v>7.0285714285714285</v>
      </c>
      <c r="DF150" s="36">
        <f>Crops[[#This Row],[Direct Revenue Per Bed2]]/Crops[[#This Row],[Direct Time]]</f>
        <v>0</v>
      </c>
      <c r="DG150" s="36">
        <f>_xlfn.XLOOKUP(Crops[[#This Row],[ProductIndex]],Products[ID],Products[Packaging Cost])*(Crops[[#This Row],[Custom Yield Per Bed]]/_xlfn.XLOOKUP(Crops[[#This Row],[ProductIndex]],Products[ID],Products[Units Per Pack]))</f>
        <v>0</v>
      </c>
      <c r="DH150" s="36"/>
      <c r="DI150" s="36"/>
      <c r="DJ150" s="36"/>
      <c r="DK150" s="36"/>
      <c r="DL150" s="36"/>
      <c r="DM150" s="33">
        <f>IFERROR(Crops[[#This Row],[Custom Yield Per Bed]]*Crops[[#This Row],[Direct Price]],"")</f>
        <v>0</v>
      </c>
      <c r="DN150" s="36">
        <f>Crops[[#This Row],[Direct Time]]*LaborRate</f>
        <v>175.71428571428572</v>
      </c>
      <c r="DO150" s="36">
        <f>SUM(Crops[[#This Row],[Irrigation Cost]])</f>
        <v>0</v>
      </c>
      <c r="DP150" s="36">
        <f>Crops[[#This Row],[Direct Labor Cost]]+Crops[[#This Row],[Direct Non-Labor Cost]]</f>
        <v>175.71428571428572</v>
      </c>
      <c r="DQ150" s="36">
        <f>Crops[[#This Row],[Direct Revenue Per Bed2]]-Crops[[#This Row],[Direct Total Cost]]</f>
        <v>-175.71428571428572</v>
      </c>
      <c r="DR150" s="36">
        <f>Crops[[#This Row],[Direct Profit]]*BedsPerAcre</f>
        <v>-28114.285714285717</v>
      </c>
      <c r="DS150" s="36">
        <f>Crops[[#This Row],[Direct Profit]]*BedsPerAcre*GrowingDays/Crops[[#This Row],[Days In Field]]</f>
        <v>-13603.686635944701</v>
      </c>
      <c r="DT150" s="36">
        <f>Crops[[#This Row],[Direct Profit]]/MIN(Crops[[#This Row],[Days In Field]],GrowingDays)</f>
        <v>-0.97619047619047628</v>
      </c>
      <c r="DU150" s="36">
        <f>Crops[[#This Row],[Direct Time]] * BedsPerAcre</f>
        <v>1124.5714285714284</v>
      </c>
      <c r="DV150" s="36">
        <f>(Crops[[#This Row],[Direct Revenue Per Bed2]]-Crops[[#This Row],[Direct Non-Labor Cost]])/Crops[[#This Row],[Direct Time]]</f>
        <v>0</v>
      </c>
      <c r="DW150" s="33">
        <f>IFERROR(Crops[[#This Row],[Custom Yield Per Bed]]*Crops[[#This Row],[Rough Wholesale Price]],"")</f>
        <v>0</v>
      </c>
      <c r="DX150" s="36">
        <f>Crops[[#This Row],[Wholesale Time]]*LaborRate</f>
        <v>175.71428571428572</v>
      </c>
      <c r="DY150" s="36">
        <f>SUM(Crops[[#This Row],[Packaging Costs]:[Irrigation Cost]])</f>
        <v>0</v>
      </c>
      <c r="DZ150" s="36">
        <f>Crops[[#This Row],[Wholesale Labor Cost]]+Crops[[#This Row],[Wholesale Non-Labor Cost]]</f>
        <v>175.71428571428572</v>
      </c>
      <c r="EA150" s="36">
        <f>Crops[[#This Row],[Wholesale Revenue Per Bed]]-Crops[[#This Row],[Wholesale Total Cost]]</f>
        <v>-175.71428571428572</v>
      </c>
      <c r="EB150" s="36">
        <f>Crops[[#This Row],[Wholesale Profit]]*BedsPerAcre</f>
        <v>-28114.285714285717</v>
      </c>
      <c r="EC150" s="36">
        <f>Crops[[#This Row],[Wholesale Profit]]*BedsPerAcre*GrowingDays/Crops[[#This Row],[Days In Field]]</f>
        <v>-13603.686635944701</v>
      </c>
      <c r="ED150" s="36">
        <f>Crops[[#This Row],[Wholesale Time]] * BedsPerAcre</f>
        <v>1124.5714285714284</v>
      </c>
      <c r="EE150" s="36">
        <f>Crops[[#This Row],[Wholesale Profit]]/MIN(Crops[[#This Row],[Days In Field]],GrowingDays)</f>
        <v>-0.97619047619047628</v>
      </c>
      <c r="EF150" s="36">
        <f>(Crops[[#This Row],[Wholesale Revenue Per Bed]]-Crops[[#This Row],[Wholesale Non-Labor Cost]])/Crops[[#This Row],[Direct Time]]</f>
        <v>0</v>
      </c>
      <c r="EG150" s="174" t="e">
        <f>Crops[[#This Row],[Packaging Costs]]/Crops[[#This Row],[Wholesale Revenue Per Bed]]</f>
        <v>#DIV/0!</v>
      </c>
      <c r="EH150" s="36" t="str">
        <f>Crops[[#This Row],[Crop]]&amp;Crops[[#This Row],[Product]]&amp;Crops[[#This Row],[Unit]]</f>
        <v>HydrangeaMature StemStem</v>
      </c>
      <c r="EI150" s="36" t="b">
        <f>_xlfn.XLOOKUP(Crops[[#This Row],[ProductIndex]],Products[ID],Products[Target])</f>
        <v>0</v>
      </c>
      <c r="EJ150" s="36">
        <f>Crops[[#This Row],[Custom Yield Per Bed]]</f>
        <v>0</v>
      </c>
      <c r="EK150" s="210" t="e">
        <f>Crops[[#This Row],[Units Per Harvest]]/Crops[[#This Row],[Days Between Harvest]]*7</f>
        <v>#DIV/0!</v>
      </c>
      <c r="EL150" s="210" t="e">
        <f>Crops[[#This Row],[Custom Yield Per Bed]]/_xlfn.XLOOKUP(Crops[[#This Row],[ProductIndex]],Products[ID],Products[CSA Portion])</f>
        <v>#DIV/0!</v>
      </c>
      <c r="EM150" s="210" t="e">
        <f>Crops[[#This Row],[Units Per Harvest]]/Crops[[#This Row],[Days Between Harvest]]*7/_xlfn.XLOOKUP(Crops[[#This Row],[ProductIndex]],Products[ID],Products[CSA Portion])</f>
        <v>#DIV/0!</v>
      </c>
      <c r="EN150" s="210" t="e">
        <f>Crops[[#This Row],[CSA Portions Per Week]]/CSAMembers</f>
        <v>#DIV/0!</v>
      </c>
      <c r="EO150" s="210"/>
      <c r="EP150" s="210"/>
      <c r="EQ150" s="36"/>
      <c r="ER150" s="36">
        <f>Crops[[#This Row],[Harvests]]*Crops[[#This Row],[Days Between Harvest]]/7</f>
        <v>0</v>
      </c>
      <c r="ES150" s="208">
        <f>_xlfn.XLOOKUP(Crops[[#This Row],[ProductIndex]],Products[ID],Products[CSA Need])</f>
        <v>0</v>
      </c>
      <c r="ET150" s="208">
        <f>_xlfn.XLOOKUP(Crops[[#This Row],[ProductIndex]],Products[ID],Products[CSA Times])</f>
        <v>0</v>
      </c>
      <c r="EU150" s="208" t="e">
        <f>Crops[[#This Row],[Custom Yield Per Bed]]/(Crops[[#This Row],[CSA Need]]*(_xlfn.XLOOKUP(Crops[[#This Row],[ProductIndex]],Products[ID],Products[CSA Portion])*CSAMembers))</f>
        <v>#DIV/0!</v>
      </c>
      <c r="EV150" s="208" t="e">
        <f>_xlfn.XLOOKUP(Crops[[#This Row],[ProductIndex]],Products[ID],Products[CSA Portion])*CSAMembers*Crops[[#This Row],[CSA Need]]/Crops[[#This Row],[Custom Yield Per Bed]]</f>
        <v>#DIV/0!</v>
      </c>
      <c r="EW150" s="208" t="str">
        <f>IFERROR(Crops[[#This Row],[Days In Field]]*Crops[[#This Row],[CSA Beds]],"")</f>
        <v/>
      </c>
      <c r="EX150" s="208" t="e">
        <f>Crops[[#This Row],[CSA Bed Days]]*#REF!</f>
        <v>#VALUE!</v>
      </c>
      <c r="EY150">
        <v>0</v>
      </c>
    </row>
    <row r="151" spans="1:155">
      <c r="A15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Hydrangea (Quick Fire) - Mature Stem 1X | Field DS </v>
      </c>
      <c r="B151" s="189"/>
      <c r="C151" s="1"/>
      <c r="D151" s="1"/>
      <c r="E151" s="1" t="b">
        <v>0</v>
      </c>
      <c r="F151" s="1" t="b">
        <f>IFERROR(IF(ISNUMBER(MATCH(Crops[[#This Row],[Identifier]],BedPlan[Crop], 0)), TRUE, FALSE), FALSE)</f>
        <v>0</v>
      </c>
      <c r="G151" s="1" t="b">
        <f>IFERROR(IF(ISNUMBER(MATCH(Crops[[#This Row],[Identifier]],BedPlan[Crop], 0)), TRUE, FALSE), FALSE)</f>
        <v>0</v>
      </c>
      <c r="H151" s="1" t="b">
        <v>1</v>
      </c>
      <c r="I151" t="s">
        <v>86</v>
      </c>
      <c r="J151" t="s">
        <v>163</v>
      </c>
      <c r="K151" t="s">
        <v>181</v>
      </c>
      <c r="N151" t="str">
        <f>Crops[[#This Row],[Crop]]</f>
        <v>Hydrangea</v>
      </c>
      <c r="O151" t="s">
        <v>210</v>
      </c>
      <c r="P151" t="str">
        <f>IF(OR(Crops[[#This Row],[Days in Cells]]="",Crops[[#This Row],[Days in Cells]]=0), "DS","TP")</f>
        <v>DS</v>
      </c>
      <c r="V151" t="str">
        <f xml:space="preserve"> IF(Crops[[#This Row],[Sp]], "Sp", "") &amp; IF(Crops[[#This Row],[Su]], "Su", "") &amp; IF(Crops[[#This Row],[Fa]], "Fa", "") &amp; IF(Crops[[#This Row],[Wi]], "Wi", "") &amp; IF(Crops[[#This Row],[OW]], "Ow","")</f>
        <v/>
      </c>
      <c r="X151">
        <v>1</v>
      </c>
      <c r="Y151">
        <v>60</v>
      </c>
      <c r="AD151" s="32">
        <f>IFERROR(12/Crops[[#This Row],[Spacing]]*Crops[[#This Row],[Rows]]*BedLength,"")</f>
        <v>10</v>
      </c>
      <c r="AE151">
        <v>1</v>
      </c>
      <c r="AG151">
        <f>IF(Crops[[#This Row],[Custom Safety Factor]]="",PlantingSafetyFactor,Crops[[#This Row],[Custom Safety Factor]])</f>
        <v>1.3</v>
      </c>
      <c r="AH151">
        <f>1</f>
        <v>1</v>
      </c>
      <c r="AI151" s="33">
        <f>IFERROR(Crops[[#This Row],[Plantings Per Bed]]*Crops[[#This Row],[Seeds Per Planting]]*Crops[[#This Row],[Safety Factor]]*Crops[[#This Row],[Seeding Factor]],"")</f>
        <v>13</v>
      </c>
      <c r="AL151">
        <f>_xlfn.FLOOR.MATH(IFERROR(AVERAGE(Crops[[#This Row],[DTG Lower]:[DTG Upper]]),0))</f>
        <v>0</v>
      </c>
      <c r="AM151">
        <f>SUM(Crops[[#This Row],[Tray 1 Days]],Crops[[#This Row],[Tray 2 Days]],Crops[[#This Row],[Tray 3 Days]])</f>
        <v>0</v>
      </c>
      <c r="AP151">
        <v>365</v>
      </c>
      <c r="AQ151">
        <f>IFERROR(_xlfn.FLOOR.MATH(AVERAGE(Crops[[#This Row],[DTM Lower]:[DTM Upper]])),"")</f>
        <v>365</v>
      </c>
      <c r="AR151" cm="1">
        <f t="array" ref="AR151">_xlfn.SWITCH(Crops[[#This Row],[Normal Method]],"DS",Crops[[#This Row],[Days to Germination]]+Crops[[#This Row],[DTM]] + IF(Crops[[#This Row],[Days in Cells]]&gt;0,15,0), "TP",Crops[[#This Row],[DTM]]+Crops[[#This Row],[Days in Cells]] + IF(Crops[[#This Row],[Days in Cells]]&lt;=0,20,0), "X", Crops[[#This Row],[DTM]])</f>
        <v>365</v>
      </c>
      <c r="AS151" t="s">
        <v>347</v>
      </c>
      <c r="AT151">
        <f>(Crops[[#This Row],[Harvests]]-1)*Crops[[#This Row],[Days Between Harvest]]+7</f>
        <v>7</v>
      </c>
      <c r="AU151">
        <f>Crops[[#This Row],[STH]]-Crops[[#This Row],[Days in Cells]]+Crops[[#This Row],[Harvest window]]</f>
        <v>372</v>
      </c>
      <c r="AW151" t="s">
        <v>212</v>
      </c>
      <c r="AZ151" t="str">
        <f>IFERROR(IF(Crops[[#This Row],[Tray 1 Days]]=0,"",Crops[[#This Row],[Plantings Per Bed]]/Crops[[#This Row],[Tray 1 Size]]*Crops[[#This Row],[Safety Factor]]),"")</f>
        <v/>
      </c>
      <c r="BC151" t="str">
        <f>IFERROR(IF(Crops[[#This Row],[Tray 2 Days]]=0,"",Crops[[#This Row],[Plantings Per Bed]]/Crops[[#This Row],[Tray 2 Size]]*Crops[[#This Row],[Safety Factor]]),"")</f>
        <v/>
      </c>
      <c r="BE151" s="32" t="str">
        <f>IF(NOT(ISBLANK(Crops[[#This Row],[Tray 3 Size]])), Crops[[#This Row],[Days in Cells Old]]-SUM(Crops[[#This Row],[Tray 1 Days]],Crops[[#This Row],[Tray 2 Days]]), "")</f>
        <v/>
      </c>
      <c r="BF151" t="str">
        <f>IFERROR(IF(Crops[[#This Row],[Tray 3 Days]]=0,"",Crops[[#This Row],[Plantings Per Bed]]/Crops[[#This Row],[Tray 3 Size]]*Crops[[#This Row],[Safety Factor]]),"")</f>
        <v/>
      </c>
      <c r="BG151" s="33"/>
      <c r="BH151" s="33"/>
      <c r="BI151" s="33"/>
      <c r="BJ151" s="33">
        <f>_xlfn.XLOOKUP(Crops[[#This Row],[ProductIndex]],Products[ID],Products[Holding Period])</f>
        <v>0</v>
      </c>
      <c r="BK151" s="33"/>
      <c r="BL151" s="33">
        <f>Crops[[#This Row],[Units Per Harvest]]*Crops[[#This Row],[Harvests]]</f>
        <v>0</v>
      </c>
      <c r="BM151" s="35">
        <v>5.0310000000000006</v>
      </c>
      <c r="BN151" s="35">
        <f>Crops[[#This Row],[Direct Price]]*0.6</f>
        <v>3.0186000000000002</v>
      </c>
      <c r="BO151" s="35"/>
      <c r="BP151" t="s">
        <v>213</v>
      </c>
      <c r="BQ151">
        <f>Crops[[#This Row],[Custom Yield Per Bed]]*Crops[[#This Row],[Direct Price]]</f>
        <v>0</v>
      </c>
      <c r="BR151" t="b">
        <v>0</v>
      </c>
      <c r="BS151" t="b">
        <f>Crops[[#This Row],[Harvests]]&gt;1</f>
        <v>0</v>
      </c>
      <c r="BT151" s="36">
        <f>IFERROR(Crops[[#This Row],[Direct Revenue Per Bed]]/Crops[[#This Row],[Days In Field]],-1)</f>
        <v>0</v>
      </c>
      <c r="BU151" s="36">
        <f>IFERROR(Crops[[#This Row],[Direct Revenue Per Bed Day]]*GrowingDays*BedsPerAcre,"")</f>
        <v>0</v>
      </c>
      <c r="BV151" s="38">
        <f>LastFrostDate-5*Crops[[#This Row],[Sewing Rel Last Frost]]</f>
        <v>45748</v>
      </c>
      <c r="BW151" s="38">
        <f>Crops[[#This Row],[Target Sewing Date]]+Crops[[#This Row],[Days in Cells]]</f>
        <v>45748</v>
      </c>
      <c r="BX151" s="38">
        <f>Crops[[#This Row],[Target Sewing Date]]+Crops[[#This Row],[STH]]</f>
        <v>46113</v>
      </c>
      <c r="BY151" s="38">
        <f>Crops[[#This Row],[Target Harvest Data]]+Crops[[#This Row],[Harvest window]]</f>
        <v>46120</v>
      </c>
      <c r="CB151">
        <f>1</f>
        <v>1</v>
      </c>
      <c r="CC151">
        <f>IF(Crops[[#This Row],[Transplanting]]&gt;0, 2, 3)*BedLength/StandardBedLength</f>
        <v>1.5</v>
      </c>
      <c r="CD151" s="173">
        <f>IF(Crops[[#This Row],[Days in Cells]]&lt;=0,0,Crops[[#This Row],[Plantings Per Bed]]/StartsPerHourSeeding+Crops[[#This Row],[Tray 1 Count]]*5/60)</f>
        <v>0</v>
      </c>
      <c r="CE151" s="173">
        <f>IF(ISBLANK(Crops[[#This Row],[Tray 2 Days]]),0,Crops[[#This Row],[Plantings Per Bed]]/UpPottingPerHour)+IF(Crops[[#This Row],[Tray 3 Days]]="",0,Crops[[#This Row],[Plantings Per Bed]]/UpPottingPerHour)</f>
        <v>0</v>
      </c>
      <c r="CF151" s="173">
        <f>IFERROR(Crops[[#This Row],[Tray 1 Count]]/HomeStartFlatIrrigationPerHour,0)*Crops[[#This Row],[Days in Cells]]/DaysBetweenStartIrrigation</f>
        <v>0</v>
      </c>
      <c r="CG151" s="173">
        <f>0.5/16*MAX(Crops[[#This Row],[Tray 1 Count]],Crops[[#This Row],[Tray 2 Count]],Crops[[#This Row],[Tray 3 Count]])</f>
        <v>0</v>
      </c>
      <c r="CH151" s="173">
        <f>IF(Crops[[#This Row],[Days in Cells]]&gt;0,IF(IF(Crops[[#This Row],[Tray 3 Size]]&gt;0,Crops[[#This Row],[Tray 3 Size]],IF(Crops[[#This Row],[Tray 2 Size]]&gt;0,Crops[[#This Row],[Tray 2 Size]],Crops[[#This Row],[Tray 1 Size]]))&lt;=18,LargeTransplantTime,SmallTransplantTime)*Crops[[#This Row],[Plantings Per Bed]],0)</f>
        <v>0</v>
      </c>
      <c r="CI151" s="173"/>
      <c r="CJ151" s="173">
        <f>_xlfn.XLOOKUP(Crops[[#This Row],[Trellis Type]],TrellisMethods[Trellis Type],TrellisMethods[Hours],0,0)</f>
        <v>0</v>
      </c>
      <c r="CK151">
        <f>IF(Crops[[#This Row],[Days in Cells]]&lt;=0,Crops[[#This Row],[Rows]]*1/10,0)*BedLength/50</f>
        <v>0.1</v>
      </c>
      <c r="CL151" cm="1">
        <f t="array" ref="CL151">_xlfn.SWITCH(Crops[[#This Row],[Irrigation]],"DR", 0.5, "OH", 0.25,0)*BedLength/50</f>
        <v>0</v>
      </c>
      <c r="CM151">
        <f>IF(OR(ISBLANK(Crops[[#This Row],[Row Cover]]),Crops[[#This Row],[Row Cover]]="None"),0,1)*BedLength/50</f>
        <v>0</v>
      </c>
      <c r="CN151" s="173">
        <f>HoursPerWeedingPass*Crops[[#This Row],[Days In Field]]/14*Crops[[#This Row],[Rows]]+1*BedLength/50</f>
        <v>5.4285714285714288</v>
      </c>
      <c r="CQ151" s="37">
        <f>_xlfn.XLOOKUP(Crops[[#This Row],[Crop]]&amp;Crops[[#This Row],[Product]]&amp;Crops[[#This Row],[Unit]],Products[ID],Products[Marketing (hr)])*Crops[[#This Row],[Direct Revenue Per Bed]]/2000</f>
        <v>0</v>
      </c>
      <c r="CR151" s="37">
        <f>_xlfn.XLOOKUP(Crops[[#This Row],[Crop]]&amp;Crops[[#This Row],[Product]]&amp;Crops[[#This Row],[Unit]],Products[ID],Products[Harvest (s)])*Crops[[#This Row],[Custom Yield Per Bed]]/3600</f>
        <v>0</v>
      </c>
      <c r="CS151" s="37">
        <f>_xlfn.XLOOKUP(Crops[[#This Row],[Crop]]&amp;Crops[[#This Row],[Product]]&amp;Crops[[#This Row],[Unit]],Products[ID],Products[Bunch (s)])*Crops[[#This Row],[Custom Yield Per Bed]]/3600</f>
        <v>0</v>
      </c>
      <c r="CT151" s="37">
        <f>_xlfn.XLOOKUP(Crops[[#This Row],[Crop]]&amp;Crops[[#This Row],[Product]]&amp;Crops[[#This Row],[Unit]],Products[ID],Products[Haul (s)])*Crops[[#This Row],[Custom Yield Per Bed]]/3600</f>
        <v>0</v>
      </c>
      <c r="CU151" s="37">
        <f>_xlfn.XLOOKUP(Crops[[#This Row],[Crop]]&amp;Crops[[#This Row],[Product]]&amp;Crops[[#This Row],[Unit]],Products[ID],Products[Wash (s)])*Crops[[#This Row],[Custom Yield Per Bed]]/3600</f>
        <v>0</v>
      </c>
      <c r="CV151" s="37">
        <f>_xlfn.XLOOKUP(Crops[[#This Row],[Crop]]&amp;Crops[[#This Row],[Product]]&amp;Crops[[#This Row],[Unit]],Products[ID],Products[Condition (s)])*Crops[[#This Row],[Custom Yield Per Bed]]/3600</f>
        <v>0</v>
      </c>
      <c r="CW151" s="37">
        <f>_xlfn.XLOOKUP(Crops[[#This Row],[Crop]]&amp;Crops[[#This Row],[Product]]&amp;Crops[[#This Row],[Unit]],Products[ID],Products[Trim (s)])*Crops[[#This Row],[Custom Yield Per Bed]]/3600</f>
        <v>0</v>
      </c>
      <c r="CX151" s="37">
        <f>_xlfn.XLOOKUP(Crops[[#This Row],[Crop]]&amp;Crops[[#This Row],[Product]]&amp;Crops[[#This Row],[Unit]],Products[ID],Products[Pack (s)])*Crops[[#This Row],[Custom Yield Per Bed]]/3600</f>
        <v>0</v>
      </c>
      <c r="CY151" s="37">
        <f>_xlfn.XLOOKUP(Crops[[#This Row],[Crop]]&amp;Crops[[#This Row],[Product]]&amp;Crops[[#This Row],[Unit]],Products[ID],Products[Clean (s)])*Crops[[#This Row],[Custom Yield Per Bed]]/3600</f>
        <v>0</v>
      </c>
      <c r="CZ151" s="37">
        <f>_xlfn.XLOOKUP(Crops[[#This Row],[Crop]]&amp;Crops[[#This Row],[Product]]&amp;Crops[[#This Row],[Unit]],Products[ID],Products[Rehandle (s)])*Crops[[#This Row],[Custom Yield Per Bed]]/3600</f>
        <v>0</v>
      </c>
      <c r="DA151" s="37">
        <f>_xlfn.XLOOKUP(Crops[[#This Row],[Crop]]&amp;Crops[[#This Row],[Product]]&amp;Crops[[#This Row],[Unit]],Products[ID],Products[Market Transport (s)])*Crops[[#This Row],[Custom Yield Per Bed]]/3600</f>
        <v>0</v>
      </c>
      <c r="DC151" s="37">
        <f>Crops[[#This Row],[Direct Revenue Per Bed2]]</f>
        <v>0</v>
      </c>
      <c r="DD151" s="173">
        <f>_xlfn.AGGREGATE(9,6,Crops[[#This Row],[Bed Prep]:[Remove Crop Residue]])</f>
        <v>7.0285714285714285</v>
      </c>
      <c r="DE151" s="173">
        <f>_xlfn.AGGREGATE(9,6,Crops[[#This Row],[Bed Prep]:[Remove Crop Residue]])-0.75*Crops[[#This Row],[Market &amp; Sell]]</f>
        <v>7.0285714285714285</v>
      </c>
      <c r="DF151" s="36">
        <f>Crops[[#This Row],[Direct Revenue Per Bed2]]/Crops[[#This Row],[Direct Time]]</f>
        <v>0</v>
      </c>
      <c r="DG151" s="36">
        <f>_xlfn.XLOOKUP(Crops[[#This Row],[ProductIndex]],Products[ID],Products[Packaging Cost])*(Crops[[#This Row],[Custom Yield Per Bed]]/_xlfn.XLOOKUP(Crops[[#This Row],[ProductIndex]],Products[ID],Products[Units Per Pack]))</f>
        <v>0</v>
      </c>
      <c r="DH151" s="36"/>
      <c r="DI151" s="36"/>
      <c r="DJ151" s="36"/>
      <c r="DK151" s="36"/>
      <c r="DL151" s="36"/>
      <c r="DM151" s="33">
        <f>IFERROR(Crops[[#This Row],[Custom Yield Per Bed]]*Crops[[#This Row],[Direct Price]],"")</f>
        <v>0</v>
      </c>
      <c r="DN151" s="36">
        <f>Crops[[#This Row],[Direct Time]]*LaborRate</f>
        <v>175.71428571428572</v>
      </c>
      <c r="DO151" s="36">
        <f>SUM(Crops[[#This Row],[Irrigation Cost]])</f>
        <v>0</v>
      </c>
      <c r="DP151" s="36">
        <f>Crops[[#This Row],[Direct Labor Cost]]+Crops[[#This Row],[Direct Non-Labor Cost]]</f>
        <v>175.71428571428572</v>
      </c>
      <c r="DQ151" s="36">
        <f>Crops[[#This Row],[Direct Revenue Per Bed2]]-Crops[[#This Row],[Direct Total Cost]]</f>
        <v>-175.71428571428572</v>
      </c>
      <c r="DR151" s="36">
        <f>Crops[[#This Row],[Direct Profit]]*BedsPerAcre</f>
        <v>-28114.285714285717</v>
      </c>
      <c r="DS151" s="36">
        <f>Crops[[#This Row],[Direct Profit]]*BedsPerAcre*GrowingDays/Crops[[#This Row],[Days In Field]]</f>
        <v>-13603.686635944701</v>
      </c>
      <c r="DT151" s="36">
        <f>Crops[[#This Row],[Direct Profit]]/MIN(Crops[[#This Row],[Days In Field]],GrowingDays)</f>
        <v>-0.97619047619047628</v>
      </c>
      <c r="DU151" s="36">
        <f>Crops[[#This Row],[Direct Time]] * BedsPerAcre</f>
        <v>1124.5714285714284</v>
      </c>
      <c r="DV151" s="36">
        <f>(Crops[[#This Row],[Direct Revenue Per Bed2]]-Crops[[#This Row],[Direct Non-Labor Cost]])/Crops[[#This Row],[Direct Time]]</f>
        <v>0</v>
      </c>
      <c r="DW151" s="33">
        <f>IFERROR(Crops[[#This Row],[Custom Yield Per Bed]]*Crops[[#This Row],[Rough Wholesale Price]],"")</f>
        <v>0</v>
      </c>
      <c r="DX151" s="36">
        <f>Crops[[#This Row],[Wholesale Time]]*LaborRate</f>
        <v>175.71428571428572</v>
      </c>
      <c r="DY151" s="36">
        <f>SUM(Crops[[#This Row],[Packaging Costs]:[Irrigation Cost]])</f>
        <v>0</v>
      </c>
      <c r="DZ151" s="36">
        <f>Crops[[#This Row],[Wholesale Labor Cost]]+Crops[[#This Row],[Wholesale Non-Labor Cost]]</f>
        <v>175.71428571428572</v>
      </c>
      <c r="EA151" s="36">
        <f>Crops[[#This Row],[Wholesale Revenue Per Bed]]-Crops[[#This Row],[Wholesale Total Cost]]</f>
        <v>-175.71428571428572</v>
      </c>
      <c r="EB151" s="36">
        <f>Crops[[#This Row],[Wholesale Profit]]*BedsPerAcre</f>
        <v>-28114.285714285717</v>
      </c>
      <c r="EC151" s="36">
        <f>Crops[[#This Row],[Wholesale Profit]]*BedsPerAcre*GrowingDays/Crops[[#This Row],[Days In Field]]</f>
        <v>-13603.686635944701</v>
      </c>
      <c r="ED151" s="36">
        <f>Crops[[#This Row],[Wholesale Time]] * BedsPerAcre</f>
        <v>1124.5714285714284</v>
      </c>
      <c r="EE151" s="36">
        <f>Crops[[#This Row],[Wholesale Profit]]/MIN(Crops[[#This Row],[Days In Field]],GrowingDays)</f>
        <v>-0.97619047619047628</v>
      </c>
      <c r="EF151" s="36">
        <f>(Crops[[#This Row],[Wholesale Revenue Per Bed]]-Crops[[#This Row],[Wholesale Non-Labor Cost]])/Crops[[#This Row],[Direct Time]]</f>
        <v>0</v>
      </c>
      <c r="EG151" s="174" t="e">
        <f>Crops[[#This Row],[Packaging Costs]]/Crops[[#This Row],[Wholesale Revenue Per Bed]]</f>
        <v>#DIV/0!</v>
      </c>
      <c r="EH151" s="36" t="str">
        <f>Crops[[#This Row],[Crop]]&amp;Crops[[#This Row],[Product]]&amp;Crops[[#This Row],[Unit]]</f>
        <v>HydrangeaMature StemStem</v>
      </c>
      <c r="EI151" s="36" t="b">
        <f>_xlfn.XLOOKUP(Crops[[#This Row],[ProductIndex]],Products[ID],Products[Target])</f>
        <v>0</v>
      </c>
      <c r="EJ151" s="36">
        <f>Crops[[#This Row],[Custom Yield Per Bed]]</f>
        <v>0</v>
      </c>
      <c r="EK151" s="210" t="e">
        <f>Crops[[#This Row],[Units Per Harvest]]/Crops[[#This Row],[Days Between Harvest]]*7</f>
        <v>#DIV/0!</v>
      </c>
      <c r="EL151" s="210" t="e">
        <f>Crops[[#This Row],[Custom Yield Per Bed]]/_xlfn.XLOOKUP(Crops[[#This Row],[ProductIndex]],Products[ID],Products[CSA Portion])</f>
        <v>#DIV/0!</v>
      </c>
      <c r="EM151" s="210" t="e">
        <f>Crops[[#This Row],[Units Per Harvest]]/Crops[[#This Row],[Days Between Harvest]]*7/_xlfn.XLOOKUP(Crops[[#This Row],[ProductIndex]],Products[ID],Products[CSA Portion])</f>
        <v>#DIV/0!</v>
      </c>
      <c r="EN151" s="210" t="e">
        <f>Crops[[#This Row],[CSA Portions Per Week]]/CSAMembers</f>
        <v>#DIV/0!</v>
      </c>
      <c r="EO151" s="210"/>
      <c r="EP151" s="210"/>
      <c r="EQ151" s="36"/>
      <c r="ER151" s="36">
        <f>Crops[[#This Row],[Harvests]]*Crops[[#This Row],[Days Between Harvest]]/7</f>
        <v>0</v>
      </c>
      <c r="ES151" s="208">
        <f>_xlfn.XLOOKUP(Crops[[#This Row],[ProductIndex]],Products[ID],Products[CSA Need])</f>
        <v>0</v>
      </c>
      <c r="ET151" s="208">
        <f>_xlfn.XLOOKUP(Crops[[#This Row],[ProductIndex]],Products[ID],Products[CSA Times])</f>
        <v>0</v>
      </c>
      <c r="EU151" s="208" t="e">
        <f>Crops[[#This Row],[Custom Yield Per Bed]]/(Crops[[#This Row],[CSA Need]]*(_xlfn.XLOOKUP(Crops[[#This Row],[ProductIndex]],Products[ID],Products[CSA Portion])*CSAMembers))</f>
        <v>#DIV/0!</v>
      </c>
      <c r="EV151" s="208" t="e">
        <f>_xlfn.XLOOKUP(Crops[[#This Row],[ProductIndex]],Products[ID],Products[CSA Portion])*CSAMembers*Crops[[#This Row],[CSA Need]]/Crops[[#This Row],[Custom Yield Per Bed]]</f>
        <v>#DIV/0!</v>
      </c>
      <c r="EW151" s="208" t="str">
        <f>IFERROR(Crops[[#This Row],[Days In Field]]*Crops[[#This Row],[CSA Beds]],"")</f>
        <v/>
      </c>
      <c r="EX151" s="208" t="e">
        <f>Crops[[#This Row],[CSA Bed Days]]*#REF!</f>
        <v>#VALUE!</v>
      </c>
      <c r="EY151">
        <v>0</v>
      </c>
    </row>
    <row r="152" spans="1:155">
      <c r="A152"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Jelly Melon - Ripe Fruit 1X | Field DS </v>
      </c>
      <c r="B152" s="182"/>
      <c r="C152" s="1"/>
      <c r="D152" s="1"/>
      <c r="E152" s="1" t="b">
        <v>0</v>
      </c>
      <c r="F152" s="1" t="b">
        <f>IFERROR(IF(ISNUMBER(MATCH(Crops[[#This Row],[Identifier]],BedPlan[Crop], 0)), TRUE, FALSE), FALSE)</f>
        <v>0</v>
      </c>
      <c r="G152" s="1" t="b">
        <f>IFERROR(IF(ISNUMBER(MATCH(Crops[[#This Row],[Identifier]],BedPlan[Crop], 0)), TRUE, FALSE), FALSE)</f>
        <v>0</v>
      </c>
      <c r="H152" s="1" t="b">
        <v>1</v>
      </c>
      <c r="I152" t="s">
        <v>87</v>
      </c>
      <c r="J152" t="s">
        <v>145</v>
      </c>
      <c r="K152" t="s">
        <v>191</v>
      </c>
      <c r="N152" t="str">
        <f>Crops[[#This Row],[Crop]]</f>
        <v>Jelly Melon</v>
      </c>
      <c r="O152" t="s">
        <v>210</v>
      </c>
      <c r="P152" t="str">
        <f>IF(OR(Crops[[#This Row],[Days in Cells]]="",Crops[[#This Row],[Days in Cells]]=0), "DS","TP")</f>
        <v>DS</v>
      </c>
      <c r="V152" t="str">
        <f xml:space="preserve"> IF(Crops[[#This Row],[Sp]], "Sp", "") &amp; IF(Crops[[#This Row],[Su]], "Su", "") &amp; IF(Crops[[#This Row],[Fa]], "Fa", "") &amp; IF(Crops[[#This Row],[Wi]], "Wi", "") &amp; IF(Crops[[#This Row],[OW]], "Ow","")</f>
        <v/>
      </c>
      <c r="W152" t="b">
        <v>1</v>
      </c>
      <c r="X152">
        <v>1</v>
      </c>
      <c r="Y152">
        <v>12</v>
      </c>
      <c r="AD152" s="32">
        <f>IFERROR(12/Crops[[#This Row],[Spacing]]*Crops[[#This Row],[Rows]]*BedLength,"")</f>
        <v>50</v>
      </c>
      <c r="AE152">
        <v>1</v>
      </c>
      <c r="AG152">
        <f>IF(Crops[[#This Row],[Custom Safety Factor]]="",PlantingSafetyFactor,Crops[[#This Row],[Custom Safety Factor]])</f>
        <v>1.3</v>
      </c>
      <c r="AH152">
        <f>1</f>
        <v>1</v>
      </c>
      <c r="AI152" s="33">
        <f>IFERROR(Crops[[#This Row],[Plantings Per Bed]]*Crops[[#This Row],[Seeds Per Planting]]*Crops[[#This Row],[Safety Factor]]*Crops[[#This Row],[Seeding Factor]],"")</f>
        <v>65</v>
      </c>
      <c r="AL152">
        <f>_xlfn.FLOOR.MATH(IFERROR(AVERAGE(Crops[[#This Row],[DTG Lower]:[DTG Upper]]),0))</f>
        <v>0</v>
      </c>
      <c r="AM152">
        <f>SUM(Crops[[#This Row],[Tray 1 Days]],Crops[[#This Row],[Tray 2 Days]],Crops[[#This Row],[Tray 3 Days]])</f>
        <v>0</v>
      </c>
      <c r="AN152">
        <v>28</v>
      </c>
      <c r="AP152">
        <v>120</v>
      </c>
      <c r="AQ152">
        <f>IFERROR(_xlfn.FLOOR.MATH(AVERAGE(Crops[[#This Row],[DTM Lower]:[DTM Upper]])),"")</f>
        <v>120</v>
      </c>
      <c r="AR152" cm="1">
        <f t="array" ref="AR152">_xlfn.SWITCH(Crops[[#This Row],[Normal Method]],"DS",Crops[[#This Row],[Days to Germination]]+Crops[[#This Row],[DTM]] + IF(Crops[[#This Row],[Days in Cells]]&gt;0,15,0), "TP",Crops[[#This Row],[DTM]]+Crops[[#This Row],[Days in Cells]] + IF(Crops[[#This Row],[Days in Cells]]&lt;=0,20,0), "X", Crops[[#This Row],[DTM]])</f>
        <v>140</v>
      </c>
      <c r="AS152" t="s">
        <v>346</v>
      </c>
      <c r="AT152">
        <f>(Crops[[#This Row],[Harvests]]-1)*Crops[[#This Row],[Days Between Harvest]]+7</f>
        <v>7</v>
      </c>
      <c r="AU152">
        <f>Crops[[#This Row],[STH]]-Crops[[#This Row],[Days in Cells]]+Crops[[#This Row],[Harvest window]]</f>
        <v>147</v>
      </c>
      <c r="AW152">
        <v>18</v>
      </c>
      <c r="AZ152" t="str">
        <f>IFERROR(IF(Crops[[#This Row],[Tray 1 Days]]=0,"",Crops[[#This Row],[Plantings Per Bed]]/Crops[[#This Row],[Tray 1 Size]]*Crops[[#This Row],[Safety Factor]]),"")</f>
        <v/>
      </c>
      <c r="BC152" t="str">
        <f>IFERROR(IF(Crops[[#This Row],[Tray 2 Days]]=0,"",Crops[[#This Row],[Plantings Per Bed]]/Crops[[#This Row],[Tray 2 Size]]*Crops[[#This Row],[Safety Factor]]),"")</f>
        <v/>
      </c>
      <c r="BE152" s="32" t="str">
        <f>IF(NOT(ISBLANK(Crops[[#This Row],[Tray 3 Size]])), Crops[[#This Row],[Days in Cells Old]]-SUM(Crops[[#This Row],[Tray 1 Days]],Crops[[#This Row],[Tray 2 Days]]), "")</f>
        <v/>
      </c>
      <c r="BF152" t="str">
        <f>IFERROR(IF(Crops[[#This Row],[Tray 3 Days]]=0,"",Crops[[#This Row],[Plantings Per Bed]]/Crops[[#This Row],[Tray 3 Size]]*Crops[[#This Row],[Safety Factor]]),"")</f>
        <v/>
      </c>
      <c r="BG152" s="33"/>
      <c r="BH152" s="33"/>
      <c r="BI152" s="33"/>
      <c r="BJ152" s="33">
        <f>_xlfn.XLOOKUP(Crops[[#This Row],[ProductIndex]],Products[ID],Products[Holding Period])</f>
        <v>0</v>
      </c>
      <c r="BK152" s="33"/>
      <c r="BL152" s="33">
        <f>Crops[[#This Row],[Units Per Harvest]]*Crops[[#This Row],[Harvests]]</f>
        <v>0</v>
      </c>
      <c r="BM152" s="35">
        <v>4</v>
      </c>
      <c r="BN152" s="35">
        <f>Crops[[#This Row],[Direct Price]]*0.6</f>
        <v>2.4</v>
      </c>
      <c r="BO152" s="35"/>
      <c r="BP152" t="s">
        <v>383</v>
      </c>
      <c r="BQ152" s="193">
        <f>Crops[[#This Row],[Custom Yield Per Bed]]*Crops[[#This Row],[Direct Price]]</f>
        <v>0</v>
      </c>
      <c r="BR152" s="193" t="b">
        <v>0</v>
      </c>
      <c r="BS152" t="b">
        <f>Crops[[#This Row],[Harvests]]&gt;1</f>
        <v>0</v>
      </c>
      <c r="BT152" s="36">
        <f>IFERROR(Crops[[#This Row],[Direct Revenue Per Bed]]/Crops[[#This Row],[Days In Field]],-1)</f>
        <v>0</v>
      </c>
      <c r="BU152" s="36">
        <f>IFERROR(Crops[[#This Row],[Direct Revenue Per Bed Day]]*GrowingDays*BedsPerAcre,"")</f>
        <v>0</v>
      </c>
      <c r="BV152" s="38">
        <f>LastFrostDate-5*Crops[[#This Row],[Sewing Rel Last Frost]]</f>
        <v>45748</v>
      </c>
      <c r="BW152" s="38">
        <f>Crops[[#This Row],[Target Sewing Date]]+Crops[[#This Row],[Days in Cells]]</f>
        <v>45748</v>
      </c>
      <c r="BX152" s="38">
        <f>Crops[[#This Row],[Target Sewing Date]]+Crops[[#This Row],[STH]]</f>
        <v>45888</v>
      </c>
      <c r="BY152" s="38">
        <f>Crops[[#This Row],[Target Harvest Data]]+Crops[[#This Row],[Harvest window]]</f>
        <v>45895</v>
      </c>
      <c r="CB152">
        <f>1</f>
        <v>1</v>
      </c>
      <c r="CC152">
        <f>IF(Crops[[#This Row],[Transplanting]]&gt;0, 2, 3)*BedLength/StandardBedLength</f>
        <v>1.5</v>
      </c>
      <c r="CD152" s="173">
        <f>IF(Crops[[#This Row],[Days in Cells]]&lt;=0,0,Crops[[#This Row],[Plantings Per Bed]]/StartsPerHourSeeding+Crops[[#This Row],[Tray 1 Count]]*5/60)</f>
        <v>0</v>
      </c>
      <c r="CE152" s="173">
        <f>IF(ISBLANK(Crops[[#This Row],[Tray 2 Days]]),0,Crops[[#This Row],[Plantings Per Bed]]/UpPottingPerHour)+IF(Crops[[#This Row],[Tray 3 Days]]="",0,Crops[[#This Row],[Plantings Per Bed]]/UpPottingPerHour)</f>
        <v>0</v>
      </c>
      <c r="CF152" s="173">
        <f>IFERROR(Crops[[#This Row],[Tray 1 Count]]/HomeStartFlatIrrigationPerHour,0)*Crops[[#This Row],[Days in Cells]]/DaysBetweenStartIrrigation</f>
        <v>0</v>
      </c>
      <c r="CG152" s="173">
        <f>0.5/16*MAX(Crops[[#This Row],[Tray 1 Count]],Crops[[#This Row],[Tray 2 Count]],Crops[[#This Row],[Tray 3 Count]])</f>
        <v>0</v>
      </c>
      <c r="CH152" s="173">
        <f>IF(Crops[[#This Row],[Days in Cells]]&gt;0,IF(IF(Crops[[#This Row],[Tray 3 Size]]&gt;0,Crops[[#This Row],[Tray 3 Size]],IF(Crops[[#This Row],[Tray 2 Size]]&gt;0,Crops[[#This Row],[Tray 2 Size]],Crops[[#This Row],[Tray 1 Size]]))&lt;=18,LargeTransplantTime,SmallTransplantTime)*Crops[[#This Row],[Plantings Per Bed]],0)</f>
        <v>0</v>
      </c>
      <c r="CI152" s="173"/>
      <c r="CJ152" s="173">
        <f>_xlfn.XLOOKUP(Crops[[#This Row],[Trellis Type]],TrellisMethods[Trellis Type],TrellisMethods[Hours],0,0)</f>
        <v>0</v>
      </c>
      <c r="CK152">
        <f>IF(Crops[[#This Row],[Days in Cells]]&lt;=0,Crops[[#This Row],[Rows]]*1/10,0)*BedLength/50</f>
        <v>0.1</v>
      </c>
      <c r="CL152" cm="1">
        <f t="array" ref="CL152">_xlfn.SWITCH(Crops[[#This Row],[Irrigation]],"DR", 0.5, "OH", 0.25,0)*BedLength/50</f>
        <v>0</v>
      </c>
      <c r="CM152">
        <f>IF(OR(ISBLANK(Crops[[#This Row],[Row Cover]]),Crops[[#This Row],[Row Cover]]="None"),0,1)*BedLength/50</f>
        <v>0</v>
      </c>
      <c r="CN152" s="173">
        <f>HoursPerWeedingPass*Crops[[#This Row],[Days In Field]]/14*Crops[[#This Row],[Rows]]+1*BedLength/50</f>
        <v>2.75</v>
      </c>
      <c r="CO152">
        <f>0.25*Crops[[#This Row],[Days In Field]]/7*BedLength/50</f>
        <v>5.25</v>
      </c>
      <c r="CQ152" s="37">
        <f>_xlfn.XLOOKUP(Crops[[#This Row],[Crop]]&amp;Crops[[#This Row],[Product]]&amp;Crops[[#This Row],[Unit]],Products[ID],Products[Marketing (hr)])*Crops[[#This Row],[Direct Revenue Per Bed]]/2000</f>
        <v>0</v>
      </c>
      <c r="CR152" s="37">
        <f>_xlfn.XLOOKUP(Crops[[#This Row],[Crop]]&amp;Crops[[#This Row],[Product]]&amp;Crops[[#This Row],[Unit]],Products[ID],Products[Harvest (s)])*Crops[[#This Row],[Custom Yield Per Bed]]/3600</f>
        <v>0</v>
      </c>
      <c r="CS152" s="37">
        <f>_xlfn.XLOOKUP(Crops[[#This Row],[Crop]]&amp;Crops[[#This Row],[Product]]&amp;Crops[[#This Row],[Unit]],Products[ID],Products[Bunch (s)])*Crops[[#This Row],[Custom Yield Per Bed]]/3600</f>
        <v>0</v>
      </c>
      <c r="CT152" s="37">
        <f>_xlfn.XLOOKUP(Crops[[#This Row],[Crop]]&amp;Crops[[#This Row],[Product]]&amp;Crops[[#This Row],[Unit]],Products[ID],Products[Haul (s)])*Crops[[#This Row],[Custom Yield Per Bed]]/3600</f>
        <v>0</v>
      </c>
      <c r="CU152" s="37">
        <f>_xlfn.XLOOKUP(Crops[[#This Row],[Crop]]&amp;Crops[[#This Row],[Product]]&amp;Crops[[#This Row],[Unit]],Products[ID],Products[Wash (s)])*Crops[[#This Row],[Custom Yield Per Bed]]/3600</f>
        <v>0</v>
      </c>
      <c r="CV152" s="37">
        <f>_xlfn.XLOOKUP(Crops[[#This Row],[Crop]]&amp;Crops[[#This Row],[Product]]&amp;Crops[[#This Row],[Unit]],Products[ID],Products[Condition (s)])*Crops[[#This Row],[Custom Yield Per Bed]]/3600</f>
        <v>0</v>
      </c>
      <c r="CW152" s="37">
        <f>_xlfn.XLOOKUP(Crops[[#This Row],[Crop]]&amp;Crops[[#This Row],[Product]]&amp;Crops[[#This Row],[Unit]],Products[ID],Products[Trim (s)])*Crops[[#This Row],[Custom Yield Per Bed]]/3600</f>
        <v>0</v>
      </c>
      <c r="CX152" s="37">
        <f>_xlfn.XLOOKUP(Crops[[#This Row],[Crop]]&amp;Crops[[#This Row],[Product]]&amp;Crops[[#This Row],[Unit]],Products[ID],Products[Pack (s)])*Crops[[#This Row],[Custom Yield Per Bed]]/3600</f>
        <v>0</v>
      </c>
      <c r="CY152" s="37">
        <f>_xlfn.XLOOKUP(Crops[[#This Row],[Crop]]&amp;Crops[[#This Row],[Product]]&amp;Crops[[#This Row],[Unit]],Products[ID],Products[Clean (s)])*Crops[[#This Row],[Custom Yield Per Bed]]/3600</f>
        <v>0</v>
      </c>
      <c r="CZ152" s="37">
        <f>_xlfn.XLOOKUP(Crops[[#This Row],[Crop]]&amp;Crops[[#This Row],[Product]]&amp;Crops[[#This Row],[Unit]],Products[ID],Products[Rehandle (s)])*Crops[[#This Row],[Custom Yield Per Bed]]/3600</f>
        <v>0</v>
      </c>
      <c r="DA152" s="37">
        <f>_xlfn.XLOOKUP(Crops[[#This Row],[Crop]]&amp;Crops[[#This Row],[Product]]&amp;Crops[[#This Row],[Unit]],Products[ID],Products[Market Transport (s)])*Crops[[#This Row],[Custom Yield Per Bed]]/3600</f>
        <v>0</v>
      </c>
      <c r="DC152" s="37">
        <f>Crops[[#This Row],[Direct Revenue Per Bed2]]</f>
        <v>0</v>
      </c>
      <c r="DD152" s="173">
        <f>_xlfn.AGGREGATE(9,6,Crops[[#This Row],[Bed Prep]:[Remove Crop Residue]])</f>
        <v>9.6</v>
      </c>
      <c r="DE152" s="173">
        <f>_xlfn.AGGREGATE(9,6,Crops[[#This Row],[Bed Prep]:[Remove Crop Residue]])-0.75*Crops[[#This Row],[Market &amp; Sell]]</f>
        <v>9.6</v>
      </c>
      <c r="DF152" s="36">
        <f>Crops[[#This Row],[Direct Revenue Per Bed2]]/Crops[[#This Row],[Direct Time]]</f>
        <v>0</v>
      </c>
      <c r="DG152" s="36">
        <f>_xlfn.XLOOKUP(Crops[[#This Row],[ProductIndex]],Products[ID],Products[Packaging Cost])*(Crops[[#This Row],[Custom Yield Per Bed]]/_xlfn.XLOOKUP(Crops[[#This Row],[ProductIndex]],Products[ID],Products[Units Per Pack]))</f>
        <v>0</v>
      </c>
      <c r="DH152" s="36"/>
      <c r="DI152" s="36"/>
      <c r="DJ152" s="36"/>
      <c r="DK152" s="36"/>
      <c r="DL152" s="36"/>
      <c r="DM152" s="33">
        <f>IFERROR(Crops[[#This Row],[Custom Yield Per Bed]]*Crops[[#This Row],[Direct Price]],"")</f>
        <v>0</v>
      </c>
      <c r="DN152" s="36">
        <f>Crops[[#This Row],[Direct Time]]*LaborRate</f>
        <v>240</v>
      </c>
      <c r="DO152" s="36">
        <f>SUM(Crops[[#This Row],[Irrigation Cost]])</f>
        <v>0</v>
      </c>
      <c r="DP152" s="36">
        <f>Crops[[#This Row],[Direct Labor Cost]]+Crops[[#This Row],[Direct Non-Labor Cost]]</f>
        <v>240</v>
      </c>
      <c r="DQ152" s="36">
        <f>Crops[[#This Row],[Direct Revenue Per Bed2]]-Crops[[#This Row],[Direct Total Cost]]</f>
        <v>-240</v>
      </c>
      <c r="DR152" s="36">
        <f>Crops[[#This Row],[Direct Profit]]*BedsPerAcre</f>
        <v>-38400</v>
      </c>
      <c r="DS152" s="36">
        <f>Crops[[#This Row],[Direct Profit]]*BedsPerAcre*GrowingDays/Crops[[#This Row],[Days In Field]]</f>
        <v>-47020.408163265303</v>
      </c>
      <c r="DT152" s="36">
        <f>Crops[[#This Row],[Direct Profit]]/MIN(Crops[[#This Row],[Days In Field]],GrowingDays)</f>
        <v>-1.6326530612244898</v>
      </c>
      <c r="DU152" s="36">
        <f>Crops[[#This Row],[Direct Time]] * BedsPerAcre</f>
        <v>1536</v>
      </c>
      <c r="DV152" s="36">
        <f>(Crops[[#This Row],[Direct Revenue Per Bed2]]-Crops[[#This Row],[Direct Non-Labor Cost]])/Crops[[#This Row],[Direct Time]]</f>
        <v>0</v>
      </c>
      <c r="DW152" s="33">
        <f>IFERROR(Crops[[#This Row],[Custom Yield Per Bed]]*Crops[[#This Row],[Rough Wholesale Price]],"")</f>
        <v>0</v>
      </c>
      <c r="DX152" s="36">
        <f>Crops[[#This Row],[Wholesale Time]]*LaborRate</f>
        <v>240</v>
      </c>
      <c r="DY152" s="36">
        <f>SUM(Crops[[#This Row],[Packaging Costs]:[Irrigation Cost]])</f>
        <v>0</v>
      </c>
      <c r="DZ152" s="36">
        <f>Crops[[#This Row],[Wholesale Labor Cost]]+Crops[[#This Row],[Wholesale Non-Labor Cost]]</f>
        <v>240</v>
      </c>
      <c r="EA152" s="36">
        <f>Crops[[#This Row],[Wholesale Revenue Per Bed]]-Crops[[#This Row],[Wholesale Total Cost]]</f>
        <v>-240</v>
      </c>
      <c r="EB152" s="36">
        <f>Crops[[#This Row],[Wholesale Profit]]*BedsPerAcre</f>
        <v>-38400</v>
      </c>
      <c r="EC152" s="36">
        <f>Crops[[#This Row],[Wholesale Profit]]*BedsPerAcre*GrowingDays/Crops[[#This Row],[Days In Field]]</f>
        <v>-47020.408163265303</v>
      </c>
      <c r="ED152" s="36">
        <f>Crops[[#This Row],[Wholesale Time]] * BedsPerAcre</f>
        <v>1536</v>
      </c>
      <c r="EE152" s="36">
        <f>Crops[[#This Row],[Wholesale Profit]]/MIN(Crops[[#This Row],[Days In Field]],GrowingDays)</f>
        <v>-1.6326530612244898</v>
      </c>
      <c r="EF152" s="36">
        <f>(Crops[[#This Row],[Wholesale Revenue Per Bed]]-Crops[[#This Row],[Wholesale Non-Labor Cost]])/Crops[[#This Row],[Direct Time]]</f>
        <v>0</v>
      </c>
      <c r="EG152" s="174" t="e">
        <f>Crops[[#This Row],[Packaging Costs]]/Crops[[#This Row],[Wholesale Revenue Per Bed]]</f>
        <v>#DIV/0!</v>
      </c>
      <c r="EH152" s="36" t="str">
        <f>Crops[[#This Row],[Crop]]&amp;Crops[[#This Row],[Product]]&amp;Crops[[#This Row],[Unit]]</f>
        <v>Jelly MelonRipe FruitLb</v>
      </c>
      <c r="EI152" s="36" t="b">
        <f>_xlfn.XLOOKUP(Crops[[#This Row],[ProductIndex]],Products[ID],Products[Target])</f>
        <v>0</v>
      </c>
      <c r="EJ152" s="36">
        <f>Crops[[#This Row],[Custom Yield Per Bed]]</f>
        <v>0</v>
      </c>
      <c r="EK152" s="210" t="e">
        <f>Crops[[#This Row],[Units Per Harvest]]/Crops[[#This Row],[Days Between Harvest]]*7</f>
        <v>#DIV/0!</v>
      </c>
      <c r="EL152" s="210" t="e">
        <f>Crops[[#This Row],[Custom Yield Per Bed]]/_xlfn.XLOOKUP(Crops[[#This Row],[ProductIndex]],Products[ID],Products[CSA Portion])</f>
        <v>#DIV/0!</v>
      </c>
      <c r="EM152" s="210" t="e">
        <f>Crops[[#This Row],[Units Per Harvest]]/Crops[[#This Row],[Days Between Harvest]]*7/_xlfn.XLOOKUP(Crops[[#This Row],[ProductIndex]],Products[ID],Products[CSA Portion])</f>
        <v>#DIV/0!</v>
      </c>
      <c r="EN152" s="210" t="e">
        <f>Crops[[#This Row],[CSA Portions Per Week]]/CSAMembers</f>
        <v>#DIV/0!</v>
      </c>
      <c r="EO152" s="210"/>
      <c r="EP152" s="210"/>
      <c r="EQ152" s="36"/>
      <c r="ER152" s="36">
        <f>Crops[[#This Row],[Harvests]]*Crops[[#This Row],[Days Between Harvest]]/7</f>
        <v>0</v>
      </c>
      <c r="ES152" s="208">
        <f>_xlfn.XLOOKUP(Crops[[#This Row],[ProductIndex]],Products[ID],Products[CSA Need])</f>
        <v>0</v>
      </c>
      <c r="ET152" s="208">
        <f>_xlfn.XLOOKUP(Crops[[#This Row],[ProductIndex]],Products[ID],Products[CSA Times])</f>
        <v>0</v>
      </c>
      <c r="EU152" s="208" t="e">
        <f>Crops[[#This Row],[Custom Yield Per Bed]]/(Crops[[#This Row],[CSA Need]]*(_xlfn.XLOOKUP(Crops[[#This Row],[ProductIndex]],Products[ID],Products[CSA Portion])*CSAMembers))</f>
        <v>#DIV/0!</v>
      </c>
      <c r="EV152" s="208" t="e">
        <f>_xlfn.XLOOKUP(Crops[[#This Row],[ProductIndex]],Products[ID],Products[CSA Portion])*CSAMembers*Crops[[#This Row],[CSA Need]]/Crops[[#This Row],[Custom Yield Per Bed]]</f>
        <v>#DIV/0!</v>
      </c>
      <c r="EW152" s="208" t="str">
        <f>IFERROR(Crops[[#This Row],[Days In Field]]*Crops[[#This Row],[CSA Beds]],"")</f>
        <v/>
      </c>
      <c r="EX152" s="208" t="e">
        <f>Crops[[#This Row],[CSA Bed Days]]*#REF!</f>
        <v>#VALUE!</v>
      </c>
      <c r="EY152">
        <v>0</v>
      </c>
    </row>
    <row r="153" spans="1:155">
      <c r="A15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Kaibroc - Loose Florets 1X | Field TP Wi</v>
      </c>
      <c r="B153" s="191"/>
      <c r="C153" s="1" t="b">
        <v>0</v>
      </c>
      <c r="D153" s="1"/>
      <c r="E153" s="1" t="b">
        <v>0</v>
      </c>
      <c r="F153" s="1" t="b">
        <f>IFERROR(IF(ISNUMBER(MATCH(Crops[[#This Row],[Identifier]],BedPlan[Crop], 0)), TRUE, FALSE), FALSE)</f>
        <v>0</v>
      </c>
      <c r="G153" s="1" t="b">
        <f>IFERROR(IF(ISNUMBER(MATCH(Crops[[#This Row],[Identifier]],BedPlan[Crop], 0)), TRUE, FALSE), FALSE)</f>
        <v>0</v>
      </c>
      <c r="H153" s="1"/>
      <c r="I153" t="s">
        <v>366</v>
      </c>
      <c r="J153" t="s">
        <v>145</v>
      </c>
      <c r="K153" t="s">
        <v>367</v>
      </c>
      <c r="M153" t="s">
        <v>445</v>
      </c>
      <c r="N153" t="s">
        <v>1312</v>
      </c>
      <c r="O153" t="s">
        <v>210</v>
      </c>
      <c r="P153" t="str">
        <f>IF(OR(Crops[[#This Row],[Days in Cells]]="",Crops[[#This Row],[Days in Cells]]=0), "DS","TP")</f>
        <v>TP</v>
      </c>
      <c r="T153" t="b">
        <v>1</v>
      </c>
      <c r="V153" t="str">
        <f xml:space="preserve"> IF(Crops[[#This Row],[Sp]], "Sp", "") &amp; IF(Crops[[#This Row],[Su]], "Su", "") &amp; IF(Crops[[#This Row],[Fa]], "Fa", "") &amp; IF(Crops[[#This Row],[Wi]], "Wi", "") &amp; IF(Crops[[#This Row],[OW]], "Ow","")</f>
        <v>Wi</v>
      </c>
      <c r="W153" t="b">
        <v>1</v>
      </c>
      <c r="X153">
        <v>2</v>
      </c>
      <c r="Y153">
        <v>15</v>
      </c>
      <c r="AA153" t="s">
        <v>475</v>
      </c>
      <c r="AB153" t="b">
        <v>1</v>
      </c>
      <c r="AC153">
        <v>2</v>
      </c>
      <c r="AD153" s="32">
        <f>IFERROR(12/Crops[[#This Row],[Spacing]]*Crops[[#This Row],[Rows]]*BedLength,"")</f>
        <v>80</v>
      </c>
      <c r="AE153">
        <v>1</v>
      </c>
      <c r="AG153">
        <f>IF(Crops[[#This Row],[Custom Safety Factor]]="",PlantingSafetyFactor,Crops[[#This Row],[Custom Safety Factor]])</f>
        <v>1.3</v>
      </c>
      <c r="AH153">
        <f>1</f>
        <v>1</v>
      </c>
      <c r="AI153" s="37">
        <f>IFERROR(Crops[[#This Row],[Plantings Per Bed]]*Crops[[#This Row],[Seeds Per Planting]]*Crops[[#This Row],[Safety Factor]]*Crops[[#This Row],[Seeding Factor]],"")</f>
        <v>104</v>
      </c>
      <c r="AL153">
        <f>_xlfn.FLOOR.MATH(IFERROR(AVERAGE(Crops[[#This Row],[DTG Lower]:[DTG Upper]]),0))</f>
        <v>0</v>
      </c>
      <c r="AM153">
        <f>SUM(Crops[[#This Row],[Tray 1 Days]],Crops[[#This Row],[Tray 2 Days]],Crops[[#This Row],[Tray 3 Days]])</f>
        <v>28</v>
      </c>
      <c r="AN153" s="32">
        <f>5*7</f>
        <v>35</v>
      </c>
      <c r="AP153">
        <v>75</v>
      </c>
      <c r="AQ153">
        <f>IFERROR(_xlfn.FLOOR.MATH(AVERAGE(Crops[[#This Row],[DTM Lower]:[DTM Upper]])),"")</f>
        <v>75</v>
      </c>
      <c r="AR153" cm="1">
        <f t="array" ref="AR153">_xlfn.SWITCH(Crops[[#This Row],[Normal Method]],"DS",Crops[[#This Row],[Days to Germination]]+Crops[[#This Row],[DTM]] + IF(Crops[[#This Row],[Days in Cells]]&gt;0,15,0), "TP",Crops[[#This Row],[DTM]]+Crops[[#This Row],[Days in Cells]] + IF(Crops[[#This Row],[Days in Cells]]&lt;=0,20,0), "X", Crops[[#This Row],[DTM]])</f>
        <v>75</v>
      </c>
      <c r="AS153" t="s">
        <v>347</v>
      </c>
      <c r="AT153">
        <f>(Crops[[#This Row],[Harvests]]-1)*Crops[[#This Row],[Days Between Harvest]]+7</f>
        <v>56</v>
      </c>
      <c r="AU153">
        <f>Crops[[#This Row],[STH]]-Crops[[#This Row],[Days in Cells]]+Crops[[#This Row],[Harvest window]]</f>
        <v>103</v>
      </c>
      <c r="AX153">
        <v>400</v>
      </c>
      <c r="AY153">
        <v>7</v>
      </c>
      <c r="AZ153" s="49">
        <f>IFERROR(IF(Crops[[#This Row],[Tray 1 Days]]=0,"",Crops[[#This Row],[Plantings Per Bed]]/Crops[[#This Row],[Tray 1 Size]]*Crops[[#This Row],[Safety Factor]]),"")</f>
        <v>0.26</v>
      </c>
      <c r="BA153">
        <v>128</v>
      </c>
      <c r="BB153">
        <v>21</v>
      </c>
      <c r="BC153">
        <f>IFERROR(IF(Crops[[#This Row],[Tray 2 Days]]=0,"",Crops[[#This Row],[Plantings Per Bed]]/Crops[[#This Row],[Tray 2 Size]]*Crops[[#This Row],[Safety Factor]]),"")</f>
        <v>0.8125</v>
      </c>
      <c r="BE153" s="32" t="str">
        <f>IF(NOT(ISBLANK(Crops[[#This Row],[Tray 3 Size]])), Crops[[#This Row],[Days in Cells Old]]-SUM(Crops[[#This Row],[Tray 1 Days]],Crops[[#This Row],[Tray 2 Days]]), "")</f>
        <v/>
      </c>
      <c r="BF153" s="49" t="str">
        <f>IFERROR(IF(Crops[[#This Row],[Tray 3 Days]]=0,"",Crops[[#This Row],[Plantings Per Bed]]/Crops[[#This Row],[Tray 3 Size]]*Crops[[#This Row],[Safety Factor]]),"")</f>
        <v/>
      </c>
      <c r="BG153">
        <f>Crops[[#This Row],[Plantings Per Bed]]*0.125</f>
        <v>10</v>
      </c>
      <c r="BH153">
        <v>8</v>
      </c>
      <c r="BI153">
        <v>7</v>
      </c>
      <c r="BJ153" s="37">
        <f>_xlfn.XLOOKUP(Crops[[#This Row],[ProductIndex]],Products[ID],Products[Holding Period])</f>
        <v>0</v>
      </c>
      <c r="BL153" s="37">
        <f>Crops[[#This Row],[Units Per Harvest]]*Crops[[#This Row],[Harvests]]</f>
        <v>80</v>
      </c>
      <c r="BM153">
        <v>4</v>
      </c>
      <c r="BN153" s="211">
        <f>Crops[[#This Row],[Direct Price]]*0.6</f>
        <v>2.4</v>
      </c>
      <c r="BO153" s="211"/>
      <c r="BP153" t="s">
        <v>383</v>
      </c>
      <c r="BQ153" s="193">
        <f>Crops[[#This Row],[Custom Yield Per Bed]]*Crops[[#This Row],[Direct Price]]</f>
        <v>320</v>
      </c>
      <c r="BR153" s="193" t="b">
        <v>0</v>
      </c>
      <c r="BS153" t="b">
        <f>Crops[[#This Row],[Harvests]]&gt;1</f>
        <v>1</v>
      </c>
      <c r="BT153" s="36">
        <f>IFERROR(Crops[[#This Row],[Direct Revenue Per Bed]]/Crops[[#This Row],[Days In Field]],-1)</f>
        <v>3.1067961165048543</v>
      </c>
      <c r="BU153" s="33">
        <f>IFERROR(Crops[[#This Row],[Direct Revenue Per Bed Day]]*GrowingDays*BedsPerAcre,"")</f>
        <v>89475.728155339806</v>
      </c>
      <c r="BV153" s="38">
        <f>LastFrostDate-5*Crops[[#This Row],[Sewing Rel Last Frost]]</f>
        <v>45758</v>
      </c>
      <c r="BW153" s="38">
        <f>Crops[[#This Row],[Target Sewing Date]]+Crops[[#This Row],[Days in Cells]]</f>
        <v>45786</v>
      </c>
      <c r="BX153" s="38">
        <f>Crops[[#This Row],[Target Sewing Date]]+Crops[[#This Row],[STH]]</f>
        <v>45833</v>
      </c>
      <c r="BY153" s="38">
        <f>Crops[[#This Row],[Target Harvest Data]]+Crops[[#This Row],[Harvest window]]</f>
        <v>45889</v>
      </c>
      <c r="BZ153">
        <v>-2</v>
      </c>
      <c r="CA153" t="s">
        <v>373</v>
      </c>
      <c r="CB153">
        <f>1</f>
        <v>1</v>
      </c>
      <c r="CC153">
        <f>IF(Crops[[#This Row],[Transplanting]]&gt;0, 2, 3)*BedLength/StandardBedLength</f>
        <v>1</v>
      </c>
      <c r="CD153" s="173">
        <f>IF(Crops[[#This Row],[Days in Cells]]&lt;=0,0,Crops[[#This Row],[Plantings Per Bed]]/StartsPerHourSeeding+Crops[[#This Row],[Tray 1 Count]]*5/60)</f>
        <v>0.33416666666666667</v>
      </c>
      <c r="CE153" s="173">
        <f>IF(ISBLANK(Crops[[#This Row],[Tray 2 Days]]),0,Crops[[#This Row],[Plantings Per Bed]]/UpPottingPerHour)+IF(Crops[[#This Row],[Tray 3 Days]]="",0,Crops[[#This Row],[Plantings Per Bed]]/UpPottingPerHour)</f>
        <v>0.66666666666666663</v>
      </c>
      <c r="CF153" s="173">
        <f>IFERROR(Crops[[#This Row],[Tray 1 Count]]/HomeStartFlatIrrigationPerHour,0)*Crops[[#This Row],[Days in Cells]]/DaysBetweenStartIrrigation</f>
        <v>3.033333333333333E-2</v>
      </c>
      <c r="CG153" s="173">
        <f>0.5/16*MAX(Crops[[#This Row],[Tray 1 Count]],Crops[[#This Row],[Tray 2 Count]],Crops[[#This Row],[Tray 3 Count]])</f>
        <v>2.5390625E-2</v>
      </c>
      <c r="CH153" s="173">
        <f>IF(Crops[[#This Row],[Days in Cells]]&gt;0,IF(IF(Crops[[#This Row],[Tray 3 Size]]&gt;0,Crops[[#This Row],[Tray 3 Size]],IF(Crops[[#This Row],[Tray 2 Size]]&gt;0,Crops[[#This Row],[Tray 2 Size]],Crops[[#This Row],[Tray 1 Size]]))&lt;=18,LargeTransplantTime,SmallTransplantTime)*Crops[[#This Row],[Plantings Per Bed]],0)</f>
        <v>0.4</v>
      </c>
      <c r="CI153" s="173"/>
      <c r="CJ153" s="173">
        <f>_xlfn.XLOOKUP(Crops[[#This Row],[Trellis Type]],TrellisMethods[Trellis Type],TrellisMethods[Hours],0,0)</f>
        <v>0</v>
      </c>
      <c r="CK153">
        <f>IF(Crops[[#This Row],[Days in Cells]]&lt;=0,Crops[[#This Row],[Rows]]*1/10,0)*BedLength/50</f>
        <v>0</v>
      </c>
      <c r="CL153" cm="1">
        <f t="array" ref="CL153">_xlfn.SWITCH(Crops[[#This Row],[Irrigation]],"DR", 0.5, "OH", 0.25,0)*BedLength/50</f>
        <v>0</v>
      </c>
      <c r="CM153">
        <f>IF(OR(ISBLANK(Crops[[#This Row],[Row Cover]]),Crops[[#This Row],[Row Cover]]="None"),0,1)*BedLength/50</f>
        <v>1</v>
      </c>
      <c r="CN153" s="173">
        <f>HoursPerWeedingPass*Crops[[#This Row],[Days In Field]]/14*Crops[[#This Row],[Rows]]+1*BedLength/50</f>
        <v>3.4523809523809521</v>
      </c>
      <c r="CQ153" s="37">
        <f>_xlfn.XLOOKUP(Crops[[#This Row],[Crop]]&amp;Crops[[#This Row],[Product]]&amp;Crops[[#This Row],[Unit]],Products[ID],Products[Marketing (hr)])*Crops[[#This Row],[Direct Revenue Per Bed]]/2000</f>
        <v>0.32</v>
      </c>
      <c r="CR153" s="37">
        <f>_xlfn.XLOOKUP(Crops[[#This Row],[Crop]]&amp;Crops[[#This Row],[Product]]&amp;Crops[[#This Row],[Unit]],Products[ID],Products[Harvest (s)])*Crops[[#This Row],[Custom Yield Per Bed]]/3600</f>
        <v>0.22222222222222221</v>
      </c>
      <c r="CS153" s="37">
        <f>_xlfn.XLOOKUP(Crops[[#This Row],[Crop]]&amp;Crops[[#This Row],[Product]]&amp;Crops[[#This Row],[Unit]],Products[ID],Products[Bunch (s)])*Crops[[#This Row],[Custom Yield Per Bed]]/3600</f>
        <v>0</v>
      </c>
      <c r="CT153" s="37">
        <f>_xlfn.XLOOKUP(Crops[[#This Row],[Crop]]&amp;Crops[[#This Row],[Product]]&amp;Crops[[#This Row],[Unit]],Products[ID],Products[Haul (s)])*Crops[[#This Row],[Custom Yield Per Bed]]/3600</f>
        <v>6.6666666666666666E-2</v>
      </c>
      <c r="CU153" s="37">
        <f>_xlfn.XLOOKUP(Crops[[#This Row],[Crop]]&amp;Crops[[#This Row],[Product]]&amp;Crops[[#This Row],[Unit]],Products[ID],Products[Wash (s)])*Crops[[#This Row],[Custom Yield Per Bed]]/3600</f>
        <v>0</v>
      </c>
      <c r="CV153" s="37">
        <f>_xlfn.XLOOKUP(Crops[[#This Row],[Crop]]&amp;Crops[[#This Row],[Product]]&amp;Crops[[#This Row],[Unit]],Products[ID],Products[Condition (s)])*Crops[[#This Row],[Custom Yield Per Bed]]/3600</f>
        <v>0.22222222222222221</v>
      </c>
      <c r="CW153" s="37">
        <f>_xlfn.XLOOKUP(Crops[[#This Row],[Crop]]&amp;Crops[[#This Row],[Product]]&amp;Crops[[#This Row],[Unit]],Products[ID],Products[Trim (s)])*Crops[[#This Row],[Custom Yield Per Bed]]/3600</f>
        <v>0</v>
      </c>
      <c r="CX153" s="37">
        <f>_xlfn.XLOOKUP(Crops[[#This Row],[Crop]]&amp;Crops[[#This Row],[Product]]&amp;Crops[[#This Row],[Unit]],Products[ID],Products[Pack (s)])*Crops[[#This Row],[Custom Yield Per Bed]]/3600</f>
        <v>6.6666666666666666E-2</v>
      </c>
      <c r="CY153" s="37">
        <f>_xlfn.XLOOKUP(Crops[[#This Row],[Crop]]&amp;Crops[[#This Row],[Product]]&amp;Crops[[#This Row],[Unit]],Products[ID],Products[Clean (s)])*Crops[[#This Row],[Custom Yield Per Bed]]/3600</f>
        <v>0</v>
      </c>
      <c r="CZ153" s="37">
        <f>_xlfn.XLOOKUP(Crops[[#This Row],[Crop]]&amp;Crops[[#This Row],[Product]]&amp;Crops[[#This Row],[Unit]],Products[ID],Products[Rehandle (s)])*Crops[[#This Row],[Custom Yield Per Bed]]/3600</f>
        <v>0</v>
      </c>
      <c r="DA153" s="37">
        <f>_xlfn.XLOOKUP(Crops[[#This Row],[Crop]]&amp;Crops[[#This Row],[Product]]&amp;Crops[[#This Row],[Unit]],Products[ID],Products[Market Transport (s)])*Crops[[#This Row],[Custom Yield Per Bed]]/3600</f>
        <v>0.16666666666666666</v>
      </c>
      <c r="DC153" s="37">
        <f>Crops[[#This Row],[Direct Revenue Per Bed2]]</f>
        <v>320</v>
      </c>
      <c r="DD153" s="173">
        <f>_xlfn.AGGREGATE(9,6,Crops[[#This Row],[Bed Prep]:[Remove Crop Residue]])</f>
        <v>7.9733826884920633</v>
      </c>
      <c r="DE153" s="173">
        <f>_xlfn.AGGREGATE(9,6,Crops[[#This Row],[Bed Prep]:[Remove Crop Residue]])-0.75*Crops[[#This Row],[Market &amp; Sell]]</f>
        <v>7.7333826884920631</v>
      </c>
      <c r="DF153" s="36">
        <f>Crops[[#This Row],[Direct Revenue Per Bed2]]/Crops[[#This Row],[Direct Time]]</f>
        <v>40.13353083652364</v>
      </c>
      <c r="DG153" s="36">
        <f>_xlfn.XLOOKUP(Crops[[#This Row],[ProductIndex]],Products[ID],Products[Packaging Cost])*(Crops[[#This Row],[Custom Yield Per Bed]]/_xlfn.XLOOKUP(Crops[[#This Row],[ProductIndex]],Products[ID],Products[Units Per Pack]))</f>
        <v>12.16</v>
      </c>
      <c r="DH153" s="36"/>
      <c r="DI153" s="36"/>
      <c r="DJ153" s="36"/>
      <c r="DK153" s="36"/>
      <c r="DL153" s="36"/>
      <c r="DM153" s="37">
        <f>IFERROR(Crops[[#This Row],[Custom Yield Per Bed]]*Crops[[#This Row],[Direct Price]],"")</f>
        <v>320</v>
      </c>
      <c r="DN153" s="36">
        <f>Crops[[#This Row],[Direct Time]]*LaborRate</f>
        <v>199.33456721230158</v>
      </c>
      <c r="DO153" s="36">
        <f>SUM(Crops[[#This Row],[Irrigation Cost]])</f>
        <v>0</v>
      </c>
      <c r="DP153" s="36">
        <f>Crops[[#This Row],[Direct Labor Cost]]+Crops[[#This Row],[Direct Non-Labor Cost]]</f>
        <v>199.33456721230158</v>
      </c>
      <c r="DQ153" s="36">
        <f>Crops[[#This Row],[Direct Revenue Per Bed2]]-Crops[[#This Row],[Direct Total Cost]]</f>
        <v>120.66543278769842</v>
      </c>
      <c r="DR153" s="36">
        <f>Crops[[#This Row],[Direct Profit]]*BedsPerAcre</f>
        <v>19306.469246031746</v>
      </c>
      <c r="DS153" s="36">
        <f>Crops[[#This Row],[Direct Profit]]*BedsPerAcre*GrowingDays/Crops[[#This Row],[Days In Field]]</f>
        <v>33739.460818307904</v>
      </c>
      <c r="DT153" s="36">
        <f>Crops[[#This Row],[Direct Profit]]/MIN(Crops[[#This Row],[Days In Field]],GrowingDays)</f>
        <v>1.1715090561912469</v>
      </c>
      <c r="DU153" s="36">
        <f>Crops[[#This Row],[Direct Time]] * BedsPerAcre</f>
        <v>1275.7412301587301</v>
      </c>
      <c r="DV153" s="36">
        <f>(Crops[[#This Row],[Direct Revenue Per Bed2]]-Crops[[#This Row],[Direct Non-Labor Cost]])/Crops[[#This Row],[Direct Time]]</f>
        <v>40.13353083652364</v>
      </c>
      <c r="DW153" s="37">
        <f>IFERROR(Crops[[#This Row],[Custom Yield Per Bed]]*Crops[[#This Row],[Rough Wholesale Price]],"")</f>
        <v>192</v>
      </c>
      <c r="DX153" s="36">
        <f>Crops[[#This Row],[Wholesale Time]]*LaborRate</f>
        <v>193.33456721230158</v>
      </c>
      <c r="DY153" s="36">
        <f>SUM(Crops[[#This Row],[Packaging Costs]:[Irrigation Cost]])</f>
        <v>12.16</v>
      </c>
      <c r="DZ153" s="36">
        <f>Crops[[#This Row],[Wholesale Labor Cost]]+Crops[[#This Row],[Wholesale Non-Labor Cost]]</f>
        <v>205.49456721230158</v>
      </c>
      <c r="EA153" s="36">
        <f>Crops[[#This Row],[Wholesale Revenue Per Bed]]-Crops[[#This Row],[Wholesale Total Cost]]</f>
        <v>-13.494567212301575</v>
      </c>
      <c r="EB153" s="36">
        <f>Crops[[#This Row],[Wholesale Profit]]*BedsPerAcre</f>
        <v>-2159.1307539682521</v>
      </c>
      <c r="EC153" s="36">
        <f>Crops[[#This Row],[Wholesale Profit]]*BedsPerAcre*GrowingDays/Crops[[#This Row],[Days In Field]]</f>
        <v>-3773.2382108183047</v>
      </c>
      <c r="ED153" s="36">
        <f>Crops[[#This Row],[Wholesale Time]] * BedsPerAcre</f>
        <v>1237.34123015873</v>
      </c>
      <c r="EE153" s="36">
        <f>Crops[[#This Row],[Wholesale Profit]]/MIN(Crops[[#This Row],[Days In Field]],GrowingDays)</f>
        <v>-0.13101521565341334</v>
      </c>
      <c r="EF153" s="36">
        <f>(Crops[[#This Row],[Wholesale Revenue Per Bed]]-Crops[[#This Row],[Wholesale Non-Labor Cost]])/Crops[[#This Row],[Direct Time]]</f>
        <v>22.555044330126286</v>
      </c>
      <c r="EG153" s="174">
        <f>Crops[[#This Row],[Packaging Costs]]/Crops[[#This Row],[Wholesale Revenue Per Bed]]</f>
        <v>6.3333333333333339E-2</v>
      </c>
      <c r="EH153" s="36" t="str">
        <f>Crops[[#This Row],[Crop]]&amp;Crops[[#This Row],[Product]]&amp;Crops[[#This Row],[Unit]]</f>
        <v>KaibrocLoose FloretsLb</v>
      </c>
      <c r="EI153" s="36" t="b">
        <f>_xlfn.XLOOKUP(Crops[[#This Row],[ProductIndex]],Products[ID],Products[Target])</f>
        <v>1</v>
      </c>
      <c r="EJ153" s="36">
        <f>Crops[[#This Row],[Custom Yield Per Bed]]</f>
        <v>80</v>
      </c>
      <c r="EK153" s="210">
        <f>Crops[[#This Row],[Units Per Harvest]]/Crops[[#This Row],[Days Between Harvest]]*7</f>
        <v>10</v>
      </c>
      <c r="EL153" s="210" t="e">
        <f>Crops[[#This Row],[Custom Yield Per Bed]]/_xlfn.XLOOKUP(Crops[[#This Row],[ProductIndex]],Products[ID],Products[CSA Portion])</f>
        <v>#DIV/0!</v>
      </c>
      <c r="EM153" s="210" t="e">
        <f>Crops[[#This Row],[Units Per Harvest]]/Crops[[#This Row],[Days Between Harvest]]*7/_xlfn.XLOOKUP(Crops[[#This Row],[ProductIndex]],Products[ID],Products[CSA Portion])</f>
        <v>#DIV/0!</v>
      </c>
      <c r="EN153" s="210" t="e">
        <f>Crops[[#This Row],[CSA Portions Per Week]]/CSAMembers</f>
        <v>#DIV/0!</v>
      </c>
      <c r="EO153" s="210"/>
      <c r="EP153" s="210"/>
      <c r="EQ153" s="36"/>
      <c r="ER153" s="36">
        <f>Crops[[#This Row],[Harvests]]*Crops[[#This Row],[Days Between Harvest]]/7</f>
        <v>8</v>
      </c>
      <c r="ES153" s="208">
        <f>_xlfn.XLOOKUP(Crops[[#This Row],[ProductIndex]],Products[ID],Products[CSA Need])</f>
        <v>0</v>
      </c>
      <c r="ET153" s="208">
        <f>_xlfn.XLOOKUP(Crops[[#This Row],[ProductIndex]],Products[ID],Products[CSA Times])</f>
        <v>0</v>
      </c>
      <c r="EU153" s="208" t="e">
        <f>Crops[[#This Row],[Custom Yield Per Bed]]/(Crops[[#This Row],[CSA Need]]*(_xlfn.XLOOKUP(Crops[[#This Row],[ProductIndex]],Products[ID],Products[CSA Portion])*CSAMembers))</f>
        <v>#DIV/0!</v>
      </c>
      <c r="EV153" s="208">
        <f>_xlfn.XLOOKUP(Crops[[#This Row],[ProductIndex]],Products[ID],Products[CSA Portion])*CSAMembers*Crops[[#This Row],[CSA Need]]/Crops[[#This Row],[Custom Yield Per Bed]]</f>
        <v>0</v>
      </c>
      <c r="EW153" s="208">
        <f>IFERROR(Crops[[#This Row],[Days In Field]]*Crops[[#This Row],[CSA Beds]],"")</f>
        <v>0</v>
      </c>
      <c r="EX153" s="208" t="e">
        <f>Crops[[#This Row],[CSA Bed Days]]*#REF!</f>
        <v>#REF!</v>
      </c>
      <c r="EY153" t="s">
        <v>378</v>
      </c>
    </row>
    <row r="154" spans="1:155">
      <c r="A15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Baby Leaf 1X | Field DS Su</v>
      </c>
      <c r="B154" s="191"/>
      <c r="C154" s="1"/>
      <c r="D154" s="1"/>
      <c r="E154" s="1" t="b">
        <v>0</v>
      </c>
      <c r="F154" s="1" t="b">
        <f>IFERROR(IF(ISNUMBER(MATCH(Crops[[#This Row],[Identifier]],BedPlan[Crop], 0)), TRUE, FALSE), FALSE)</f>
        <v>0</v>
      </c>
      <c r="G154" s="1" t="b">
        <f>IFERROR(IF(ISNUMBER(MATCH(Crops[[#This Row],[Identifier]],BedPlan[Crop], 0)), TRUE, FALSE), FALSE)</f>
        <v>0</v>
      </c>
      <c r="H154" s="1" t="b">
        <v>1</v>
      </c>
      <c r="I154" t="s">
        <v>88</v>
      </c>
      <c r="J154" t="s">
        <v>145</v>
      </c>
      <c r="K154" t="s">
        <v>182</v>
      </c>
      <c r="N154" t="str">
        <f>Crops[[#This Row],[Crop]]</f>
        <v>Kale</v>
      </c>
      <c r="O154" t="s">
        <v>210</v>
      </c>
      <c r="P154" t="str">
        <f>IF(OR(Crops[[#This Row],[Days in Cells]]="",Crops[[#This Row],[Days in Cells]]=0), "DS","TP")</f>
        <v>DS</v>
      </c>
      <c r="R154" t="s">
        <v>144</v>
      </c>
      <c r="V154" t="str">
        <f xml:space="preserve"> IF(Crops[[#This Row],[Sp]], "Sp", "") &amp; IF(Crops[[#This Row],[Su]], "Su", "") &amp; IF(Crops[[#This Row],[Fa]], "Fa", "") &amp; IF(Crops[[#This Row],[Wi]], "Wi", "") &amp; IF(Crops[[#This Row],[OW]], "Ow","")</f>
        <v>Su</v>
      </c>
      <c r="W154" t="s">
        <v>144</v>
      </c>
      <c r="X154">
        <v>10</v>
      </c>
      <c r="Y154">
        <v>1.5</v>
      </c>
      <c r="AD154" s="32">
        <f>IFERROR(12/Crops[[#This Row],[Spacing]]*Crops[[#This Row],[Rows]]*BedLength,"")</f>
        <v>4000</v>
      </c>
      <c r="AE154">
        <v>1</v>
      </c>
      <c r="AG154">
        <f>IF(Crops[[#This Row],[Custom Safety Factor]]="",PlantingSafetyFactor,Crops[[#This Row],[Custom Safety Factor]])</f>
        <v>1.3</v>
      </c>
      <c r="AH154">
        <f>1</f>
        <v>1</v>
      </c>
      <c r="AI154" s="33">
        <f>IFERROR(Crops[[#This Row],[Plantings Per Bed]]*Crops[[#This Row],[Seeds Per Planting]]*Crops[[#This Row],[Safety Factor]]*Crops[[#This Row],[Seeding Factor]],"")</f>
        <v>5200</v>
      </c>
      <c r="AL154">
        <f>_xlfn.FLOOR.MATH(IFERROR(AVERAGE(Crops[[#This Row],[DTG Lower]:[DTG Upper]]),0))</f>
        <v>0</v>
      </c>
      <c r="AM154">
        <f>SUM(Crops[[#This Row],[Tray 1 Days]],Crops[[#This Row],[Tray 2 Days]],Crops[[#This Row],[Tray 3 Days]])</f>
        <v>0</v>
      </c>
      <c r="AP154">
        <v>28</v>
      </c>
      <c r="AQ154">
        <f>IFERROR(_xlfn.FLOOR.MATH(AVERAGE(Crops[[#This Row],[DTM Lower]:[DTM Upper]])),"")</f>
        <v>28</v>
      </c>
      <c r="AR154" cm="1">
        <f t="array" ref="AR154">_xlfn.SWITCH(Crops[[#This Row],[Normal Method]],"DS",Crops[[#This Row],[Days to Germination]]+Crops[[#This Row],[DTM]] + IF(Crops[[#This Row],[Days in Cells]]&gt;0,15,0), "TP",Crops[[#This Row],[DTM]]+Crops[[#This Row],[Days in Cells]] + IF(Crops[[#This Row],[Days in Cells]]&lt;=0,20,0), "X", Crops[[#This Row],[DTM]])</f>
        <v>28</v>
      </c>
      <c r="AS154" t="s">
        <v>338</v>
      </c>
      <c r="AT154">
        <f>(Crops[[#This Row],[Harvests]]-1)*Crops[[#This Row],[Days Between Harvest]]+7</f>
        <v>7</v>
      </c>
      <c r="AU154">
        <f>Crops[[#This Row],[STH]]-Crops[[#This Row],[Days in Cells]]+Crops[[#This Row],[Harvest window]]</f>
        <v>35</v>
      </c>
      <c r="AW154" t="s">
        <v>212</v>
      </c>
      <c r="AZ154" t="str">
        <f>IFERROR(IF(Crops[[#This Row],[Tray 1 Days]]=0,"",Crops[[#This Row],[Plantings Per Bed]]/Crops[[#This Row],[Tray 1 Size]]*Crops[[#This Row],[Safety Factor]]),"")</f>
        <v/>
      </c>
      <c r="BC154" t="str">
        <f>IFERROR(IF(Crops[[#This Row],[Tray 2 Days]]=0,"",Crops[[#This Row],[Plantings Per Bed]]/Crops[[#This Row],[Tray 2 Size]]*Crops[[#This Row],[Safety Factor]]),"")</f>
        <v/>
      </c>
      <c r="BE154" s="32" t="str">
        <f>IF(NOT(ISBLANK(Crops[[#This Row],[Tray 3 Size]])), Crops[[#This Row],[Days in Cells Old]]-SUM(Crops[[#This Row],[Tray 1 Days]],Crops[[#This Row],[Tray 2 Days]]), "")</f>
        <v/>
      </c>
      <c r="BF154" t="str">
        <f>IFERROR(IF(Crops[[#This Row],[Tray 3 Days]]=0,"",Crops[[#This Row],[Plantings Per Bed]]/Crops[[#This Row],[Tray 3 Size]]*Crops[[#This Row],[Safety Factor]]),"")</f>
        <v/>
      </c>
      <c r="BG154" s="33"/>
      <c r="BH154" s="33"/>
      <c r="BI154" s="33"/>
      <c r="BJ154" s="33">
        <f>_xlfn.XLOOKUP(Crops[[#This Row],[ProductIndex]],Products[ID],Products[Holding Period])</f>
        <v>0</v>
      </c>
      <c r="BK154" s="33"/>
      <c r="BL154" s="33">
        <f>Crops[[#This Row],[Units Per Harvest]]*Crops[[#This Row],[Harvests]]</f>
        <v>0</v>
      </c>
      <c r="BM154" s="35">
        <v>10</v>
      </c>
      <c r="BN154" s="35">
        <f>Crops[[#This Row],[Direct Price]]*0.6</f>
        <v>6</v>
      </c>
      <c r="BO154" s="35"/>
      <c r="BP154" t="s">
        <v>383</v>
      </c>
      <c r="BQ154">
        <f>Crops[[#This Row],[Custom Yield Per Bed]]*Crops[[#This Row],[Direct Price]]</f>
        <v>0</v>
      </c>
      <c r="BR154" t="b">
        <v>1</v>
      </c>
      <c r="BS154" t="b">
        <f>Crops[[#This Row],[Harvests]]&gt;1</f>
        <v>0</v>
      </c>
      <c r="BT154" s="36">
        <f>IFERROR(Crops[[#This Row],[Direct Revenue Per Bed]]/Crops[[#This Row],[Days In Field]],-1)</f>
        <v>0</v>
      </c>
      <c r="BU154" s="36">
        <f>IFERROR(Crops[[#This Row],[Direct Revenue Per Bed Day]]*GrowingDays*BedsPerAcre,"")</f>
        <v>0</v>
      </c>
      <c r="BV154" s="38">
        <f>LastFrostDate-5*Crops[[#This Row],[Sewing Rel Last Frost]]</f>
        <v>45748</v>
      </c>
      <c r="BW154" s="38">
        <f>Crops[[#This Row],[Target Sewing Date]]+Crops[[#This Row],[Days in Cells]]</f>
        <v>45748</v>
      </c>
      <c r="BX154" s="38">
        <f>Crops[[#This Row],[Target Sewing Date]]+Crops[[#This Row],[STH]]</f>
        <v>45776</v>
      </c>
      <c r="BY154" s="38">
        <f>Crops[[#This Row],[Target Harvest Data]]+Crops[[#This Row],[Harvest window]]</f>
        <v>45783</v>
      </c>
      <c r="CA154" t="s">
        <v>376</v>
      </c>
      <c r="CB154">
        <f>1</f>
        <v>1</v>
      </c>
      <c r="CC154">
        <f>IF(Crops[[#This Row],[Transplanting]]&gt;0, 2, 3)*BedLength/StandardBedLength</f>
        <v>1.5</v>
      </c>
      <c r="CD154" s="173">
        <f>IF(Crops[[#This Row],[Days in Cells]]&lt;=0,0,Crops[[#This Row],[Plantings Per Bed]]/StartsPerHourSeeding+Crops[[#This Row],[Tray 1 Count]]*5/60)</f>
        <v>0</v>
      </c>
      <c r="CE154" s="173">
        <f>IF(ISBLANK(Crops[[#This Row],[Tray 2 Days]]),0,Crops[[#This Row],[Plantings Per Bed]]/UpPottingPerHour)+IF(Crops[[#This Row],[Tray 3 Days]]="",0,Crops[[#This Row],[Plantings Per Bed]]/UpPottingPerHour)</f>
        <v>0</v>
      </c>
      <c r="CF154" s="173">
        <f>IFERROR(Crops[[#This Row],[Tray 1 Count]]/HomeStartFlatIrrigationPerHour,0)*Crops[[#This Row],[Days in Cells]]/DaysBetweenStartIrrigation</f>
        <v>0</v>
      </c>
      <c r="CG154" s="173">
        <f>0.5/16*MAX(Crops[[#This Row],[Tray 1 Count]],Crops[[#This Row],[Tray 2 Count]],Crops[[#This Row],[Tray 3 Count]])</f>
        <v>0</v>
      </c>
      <c r="CH154" s="173">
        <f>IF(Crops[[#This Row],[Days in Cells]]&gt;0,IF(IF(Crops[[#This Row],[Tray 3 Size]]&gt;0,Crops[[#This Row],[Tray 3 Size]],IF(Crops[[#This Row],[Tray 2 Size]]&gt;0,Crops[[#This Row],[Tray 2 Size]],Crops[[#This Row],[Tray 1 Size]]))&lt;=18,LargeTransplantTime,SmallTransplantTime)*Crops[[#This Row],[Plantings Per Bed]],0)</f>
        <v>0</v>
      </c>
      <c r="CI154" s="173"/>
      <c r="CJ154" s="173">
        <f>_xlfn.XLOOKUP(Crops[[#This Row],[Trellis Type]],TrellisMethods[Trellis Type],TrellisMethods[Hours],0,0)</f>
        <v>0</v>
      </c>
      <c r="CK154">
        <f>IF(Crops[[#This Row],[Days in Cells]]&lt;=0,Crops[[#This Row],[Rows]]*1/10,0)*BedLength/50</f>
        <v>1</v>
      </c>
      <c r="CL154" cm="1">
        <f t="array" ref="CL154">_xlfn.SWITCH(Crops[[#This Row],[Irrigation]],"DR", 0.5, "OH", 0.25,0)*BedLength/50</f>
        <v>0</v>
      </c>
      <c r="CM154">
        <f>IF(OR(ISBLANK(Crops[[#This Row],[Row Cover]]),Crops[[#This Row],[Row Cover]]="None"),0,1)*BedLength/50</f>
        <v>0</v>
      </c>
      <c r="CN154" s="173">
        <f>HoursPerWeedingPass*Crops[[#This Row],[Days In Field]]/14*Crops[[#This Row],[Rows]]+1*BedLength/50</f>
        <v>5.1666666666666661</v>
      </c>
      <c r="CQ154" s="37">
        <f>_xlfn.XLOOKUP(Crops[[#This Row],[Crop]]&amp;Crops[[#This Row],[Product]]&amp;Crops[[#This Row],[Unit]],Products[ID],Products[Marketing (hr)])*Crops[[#This Row],[Direct Revenue Per Bed]]/2000</f>
        <v>0</v>
      </c>
      <c r="CR154" s="37">
        <f>_xlfn.XLOOKUP(Crops[[#This Row],[Crop]]&amp;Crops[[#This Row],[Product]]&amp;Crops[[#This Row],[Unit]],Products[ID],Products[Harvest (s)])*Crops[[#This Row],[Custom Yield Per Bed]]/3600</f>
        <v>0</v>
      </c>
      <c r="CS154" s="37">
        <f>_xlfn.XLOOKUP(Crops[[#This Row],[Crop]]&amp;Crops[[#This Row],[Product]]&amp;Crops[[#This Row],[Unit]],Products[ID],Products[Bunch (s)])*Crops[[#This Row],[Custom Yield Per Bed]]/3600</f>
        <v>0</v>
      </c>
      <c r="CT154" s="37">
        <f>_xlfn.XLOOKUP(Crops[[#This Row],[Crop]]&amp;Crops[[#This Row],[Product]]&amp;Crops[[#This Row],[Unit]],Products[ID],Products[Haul (s)])*Crops[[#This Row],[Custom Yield Per Bed]]/3600</f>
        <v>0</v>
      </c>
      <c r="CU154" s="37">
        <f>_xlfn.XLOOKUP(Crops[[#This Row],[Crop]]&amp;Crops[[#This Row],[Product]]&amp;Crops[[#This Row],[Unit]],Products[ID],Products[Wash (s)])*Crops[[#This Row],[Custom Yield Per Bed]]/3600</f>
        <v>0</v>
      </c>
      <c r="CV154" s="37">
        <f>_xlfn.XLOOKUP(Crops[[#This Row],[Crop]]&amp;Crops[[#This Row],[Product]]&amp;Crops[[#This Row],[Unit]],Products[ID],Products[Condition (s)])*Crops[[#This Row],[Custom Yield Per Bed]]/3600</f>
        <v>0</v>
      </c>
      <c r="CW154" s="37">
        <f>_xlfn.XLOOKUP(Crops[[#This Row],[Crop]]&amp;Crops[[#This Row],[Product]]&amp;Crops[[#This Row],[Unit]],Products[ID],Products[Trim (s)])*Crops[[#This Row],[Custom Yield Per Bed]]/3600</f>
        <v>0</v>
      </c>
      <c r="CX154" s="37">
        <f>_xlfn.XLOOKUP(Crops[[#This Row],[Crop]]&amp;Crops[[#This Row],[Product]]&amp;Crops[[#This Row],[Unit]],Products[ID],Products[Pack (s)])*Crops[[#This Row],[Custom Yield Per Bed]]/3600</f>
        <v>0</v>
      </c>
      <c r="CY154" s="37">
        <f>_xlfn.XLOOKUP(Crops[[#This Row],[Crop]]&amp;Crops[[#This Row],[Product]]&amp;Crops[[#This Row],[Unit]],Products[ID],Products[Clean (s)])*Crops[[#This Row],[Custom Yield Per Bed]]/3600</f>
        <v>0</v>
      </c>
      <c r="CZ154" s="37">
        <f>_xlfn.XLOOKUP(Crops[[#This Row],[Crop]]&amp;Crops[[#This Row],[Product]]&amp;Crops[[#This Row],[Unit]],Products[ID],Products[Rehandle (s)])*Crops[[#This Row],[Custom Yield Per Bed]]/3600</f>
        <v>0</v>
      </c>
      <c r="DA154" s="37">
        <f>_xlfn.XLOOKUP(Crops[[#This Row],[Crop]]&amp;Crops[[#This Row],[Product]]&amp;Crops[[#This Row],[Unit]],Products[ID],Products[Market Transport (s)])*Crops[[#This Row],[Custom Yield Per Bed]]/3600</f>
        <v>0</v>
      </c>
      <c r="DC154" s="37">
        <f>Crops[[#This Row],[Direct Revenue Per Bed2]]</f>
        <v>0</v>
      </c>
      <c r="DD154" s="173">
        <f>_xlfn.AGGREGATE(9,6,Crops[[#This Row],[Bed Prep]:[Remove Crop Residue]])</f>
        <v>7.6666666666666661</v>
      </c>
      <c r="DE154" s="173">
        <f>_xlfn.AGGREGATE(9,6,Crops[[#This Row],[Bed Prep]:[Remove Crop Residue]])-0.75*Crops[[#This Row],[Market &amp; Sell]]</f>
        <v>7.6666666666666661</v>
      </c>
      <c r="DF154" s="36">
        <f>Crops[[#This Row],[Direct Revenue Per Bed2]]/Crops[[#This Row],[Direct Time]]</f>
        <v>0</v>
      </c>
      <c r="DG154" s="36">
        <f>_xlfn.XLOOKUP(Crops[[#This Row],[ProductIndex]],Products[ID],Products[Packaging Cost])*(Crops[[#This Row],[Custom Yield Per Bed]]/_xlfn.XLOOKUP(Crops[[#This Row],[ProductIndex]],Products[ID],Products[Units Per Pack]))</f>
        <v>0</v>
      </c>
      <c r="DH154" s="36"/>
      <c r="DI154" s="36"/>
      <c r="DJ154" s="36"/>
      <c r="DK154" s="36"/>
      <c r="DL154" s="36"/>
      <c r="DM154" s="33">
        <f>IFERROR(Crops[[#This Row],[Custom Yield Per Bed]]*Crops[[#This Row],[Direct Price]],"")</f>
        <v>0</v>
      </c>
      <c r="DN154" s="36">
        <f>Crops[[#This Row],[Direct Time]]*LaborRate</f>
        <v>191.66666666666666</v>
      </c>
      <c r="DO154" s="36">
        <f>SUM(Crops[[#This Row],[Irrigation Cost]])</f>
        <v>0</v>
      </c>
      <c r="DP154" s="36">
        <f>Crops[[#This Row],[Direct Labor Cost]]+Crops[[#This Row],[Direct Non-Labor Cost]]</f>
        <v>191.66666666666666</v>
      </c>
      <c r="DQ154" s="36">
        <f>Crops[[#This Row],[Direct Revenue Per Bed2]]-Crops[[#This Row],[Direct Total Cost]]</f>
        <v>-191.66666666666666</v>
      </c>
      <c r="DR154" s="36">
        <f>Crops[[#This Row],[Direct Profit]]*BedsPerAcre</f>
        <v>-30666.666666666664</v>
      </c>
      <c r="DS154" s="36">
        <f>Crops[[#This Row],[Direct Profit]]*BedsPerAcre*GrowingDays/Crops[[#This Row],[Days In Field]]</f>
        <v>-157714.28571428571</v>
      </c>
      <c r="DT154" s="36">
        <f>Crops[[#This Row],[Direct Profit]]/MIN(Crops[[#This Row],[Days In Field]],GrowingDays)</f>
        <v>-5.4761904761904763</v>
      </c>
      <c r="DU154" s="36">
        <f>Crops[[#This Row],[Direct Time]] * BedsPerAcre</f>
        <v>1226.6666666666665</v>
      </c>
      <c r="DV154" s="36">
        <f>(Crops[[#This Row],[Direct Revenue Per Bed2]]-Crops[[#This Row],[Direct Non-Labor Cost]])/Crops[[#This Row],[Direct Time]]</f>
        <v>0</v>
      </c>
      <c r="DW154" s="33">
        <f>IFERROR(Crops[[#This Row],[Custom Yield Per Bed]]*Crops[[#This Row],[Rough Wholesale Price]],"")</f>
        <v>0</v>
      </c>
      <c r="DX154" s="36">
        <f>Crops[[#This Row],[Wholesale Time]]*LaborRate</f>
        <v>191.66666666666666</v>
      </c>
      <c r="DY154" s="36">
        <f>SUM(Crops[[#This Row],[Packaging Costs]:[Irrigation Cost]])</f>
        <v>0</v>
      </c>
      <c r="DZ154" s="36">
        <f>Crops[[#This Row],[Wholesale Labor Cost]]+Crops[[#This Row],[Wholesale Non-Labor Cost]]</f>
        <v>191.66666666666666</v>
      </c>
      <c r="EA154" s="36">
        <f>Crops[[#This Row],[Wholesale Revenue Per Bed]]-Crops[[#This Row],[Wholesale Total Cost]]</f>
        <v>-191.66666666666666</v>
      </c>
      <c r="EB154" s="36">
        <f>Crops[[#This Row],[Wholesale Profit]]*BedsPerAcre</f>
        <v>-30666.666666666664</v>
      </c>
      <c r="EC154" s="36">
        <f>Crops[[#This Row],[Wholesale Profit]]*BedsPerAcre*GrowingDays/Crops[[#This Row],[Days In Field]]</f>
        <v>-157714.28571428571</v>
      </c>
      <c r="ED154" s="36">
        <f>Crops[[#This Row],[Wholesale Time]] * BedsPerAcre</f>
        <v>1226.6666666666665</v>
      </c>
      <c r="EE154" s="36">
        <f>Crops[[#This Row],[Wholesale Profit]]/MIN(Crops[[#This Row],[Days In Field]],GrowingDays)</f>
        <v>-5.4761904761904763</v>
      </c>
      <c r="EF154" s="36">
        <f>(Crops[[#This Row],[Wholesale Revenue Per Bed]]-Crops[[#This Row],[Wholesale Non-Labor Cost]])/Crops[[#This Row],[Direct Time]]</f>
        <v>0</v>
      </c>
      <c r="EG154" s="174" t="e">
        <f>Crops[[#This Row],[Packaging Costs]]/Crops[[#This Row],[Wholesale Revenue Per Bed]]</f>
        <v>#DIV/0!</v>
      </c>
      <c r="EH154" s="36" t="str">
        <f>Crops[[#This Row],[Crop]]&amp;Crops[[#This Row],[Product]]&amp;Crops[[#This Row],[Unit]]</f>
        <v>KaleBaby LeafLb</v>
      </c>
      <c r="EI154" s="36" t="b">
        <f>_xlfn.XLOOKUP(Crops[[#This Row],[ProductIndex]],Products[ID],Products[Target])</f>
        <v>1</v>
      </c>
      <c r="EJ154" s="36">
        <f>Crops[[#This Row],[Custom Yield Per Bed]]</f>
        <v>0</v>
      </c>
      <c r="EK154" s="210" t="e">
        <f>Crops[[#This Row],[Units Per Harvest]]/Crops[[#This Row],[Days Between Harvest]]*7</f>
        <v>#DIV/0!</v>
      </c>
      <c r="EL154" s="210">
        <f>Crops[[#This Row],[Custom Yield Per Bed]]/_xlfn.XLOOKUP(Crops[[#This Row],[ProductIndex]],Products[ID],Products[CSA Portion])</f>
        <v>0</v>
      </c>
      <c r="EM154" s="210" t="e">
        <f>Crops[[#This Row],[Units Per Harvest]]/Crops[[#This Row],[Days Between Harvest]]*7/_xlfn.XLOOKUP(Crops[[#This Row],[ProductIndex]],Products[ID],Products[CSA Portion])</f>
        <v>#DIV/0!</v>
      </c>
      <c r="EN154" s="210" t="e">
        <f>Crops[[#This Row],[CSA Portions Per Week]]/CSAMembers</f>
        <v>#DIV/0!</v>
      </c>
      <c r="EO154" s="210"/>
      <c r="EP154" s="210"/>
      <c r="EQ154" s="36"/>
      <c r="ER154" s="36">
        <f>Crops[[#This Row],[Harvests]]*Crops[[#This Row],[Days Between Harvest]]/7</f>
        <v>0</v>
      </c>
      <c r="ES154" s="208">
        <f>_xlfn.XLOOKUP(Crops[[#This Row],[ProductIndex]],Products[ID],Products[CSA Need])</f>
        <v>0</v>
      </c>
      <c r="ET154" s="208">
        <f>_xlfn.XLOOKUP(Crops[[#This Row],[ProductIndex]],Products[ID],Products[CSA Times])</f>
        <v>0</v>
      </c>
      <c r="EU154" s="208" t="e">
        <f>Crops[[#This Row],[Custom Yield Per Bed]]/(Crops[[#This Row],[CSA Need]]*(_xlfn.XLOOKUP(Crops[[#This Row],[ProductIndex]],Products[ID],Products[CSA Portion])*CSAMembers))</f>
        <v>#DIV/0!</v>
      </c>
      <c r="EV154" s="208" t="e">
        <f>_xlfn.XLOOKUP(Crops[[#This Row],[ProductIndex]],Products[ID],Products[CSA Portion])*CSAMembers*Crops[[#This Row],[CSA Need]]/Crops[[#This Row],[Custom Yield Per Bed]]</f>
        <v>#DIV/0!</v>
      </c>
      <c r="EW154" s="208" t="str">
        <f>IFERROR(Crops[[#This Row],[Days In Field]]*Crops[[#This Row],[CSA Beds]],"")</f>
        <v/>
      </c>
      <c r="EX154" s="208" t="e">
        <f>Crops[[#This Row],[CSA Bed Days]]*#REF!</f>
        <v>#VALUE!</v>
      </c>
      <c r="EY154" t="s">
        <v>292</v>
      </c>
    </row>
    <row r="155" spans="1:155">
      <c r="A15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Mature Leaf 2X | Field TP Fa</v>
      </c>
      <c r="B155" s="191"/>
      <c r="C155" s="1" t="b">
        <v>1</v>
      </c>
      <c r="D155" s="1"/>
      <c r="E155" s="1" t="b">
        <v>0</v>
      </c>
      <c r="F155" s="1" t="b">
        <f>IFERROR(IF(ISNUMBER(MATCH(Crops[[#This Row],[Identifier]],BedPlan[Crop], 0)), TRUE, FALSE), FALSE)</f>
        <v>0</v>
      </c>
      <c r="G155" s="1" t="b">
        <f>IFERROR(IF(ISNUMBER(MATCH(Crops[[#This Row],[Identifier]],BedPlan[Crop], 0)), TRUE, FALSE), FALSE)</f>
        <v>0</v>
      </c>
      <c r="H155" s="1" t="b">
        <v>1</v>
      </c>
      <c r="I155" t="s">
        <v>88</v>
      </c>
      <c r="J155" t="s">
        <v>145</v>
      </c>
      <c r="K155" t="s">
        <v>179</v>
      </c>
      <c r="M155" t="s">
        <v>445</v>
      </c>
      <c r="N155" t="str">
        <f>Crops[[#This Row],[Crop]]</f>
        <v>Kale</v>
      </c>
      <c r="O155" t="s">
        <v>210</v>
      </c>
      <c r="P155" t="str">
        <f>IF(OR(Crops[[#This Row],[Days in Cells]]="",Crops[[#This Row],[Days in Cells]]=0), "DS","TP")</f>
        <v>TP</v>
      </c>
      <c r="S155" t="b">
        <v>1</v>
      </c>
      <c r="V155" t="str">
        <f xml:space="preserve"> IF(Crops[[#This Row],[Sp]], "Sp", "") &amp; IF(Crops[[#This Row],[Su]], "Su", "") &amp; IF(Crops[[#This Row],[Fa]], "Fa", "") &amp; IF(Crops[[#This Row],[Wi]], "Wi", "") &amp; IF(Crops[[#This Row],[OW]], "Ow","")</f>
        <v>Fa</v>
      </c>
      <c r="W155" t="s">
        <v>144</v>
      </c>
      <c r="X155">
        <v>2</v>
      </c>
      <c r="Y155">
        <v>18</v>
      </c>
      <c r="AA155" t="s">
        <v>475</v>
      </c>
      <c r="AB155" t="b">
        <v>1</v>
      </c>
      <c r="AC155">
        <v>3</v>
      </c>
      <c r="AD155" s="32">
        <f>IFERROR(12/Crops[[#This Row],[Spacing]]*Crops[[#This Row],[Rows]]*BedLength,"")</f>
        <v>66.666666666666657</v>
      </c>
      <c r="AE155">
        <v>2</v>
      </c>
      <c r="AG155">
        <v>1.1000000000000001</v>
      </c>
      <c r="AH155">
        <f>1</f>
        <v>1</v>
      </c>
      <c r="AI155" s="33">
        <f>IFERROR(Crops[[#This Row],[Plantings Per Bed]]*Crops[[#This Row],[Seeds Per Planting]]*Crops[[#This Row],[Safety Factor]]*Crops[[#This Row],[Seeding Factor]],"")</f>
        <v>146.66666666666666</v>
      </c>
      <c r="AL155">
        <f>_xlfn.FLOOR.MATH(IFERROR(AVERAGE(Crops[[#This Row],[DTG Lower]:[DTG Upper]]),0))</f>
        <v>0</v>
      </c>
      <c r="AM155">
        <f>SUM(Crops[[#This Row],[Tray 1 Days]],Crops[[#This Row],[Tray 2 Days]],Crops[[#This Row],[Tray 3 Days]])</f>
        <v>35</v>
      </c>
      <c r="AN155">
        <v>30</v>
      </c>
      <c r="AP155">
        <v>75</v>
      </c>
      <c r="AQ155">
        <f>IFERROR(_xlfn.FLOOR.MATH(AVERAGE(Crops[[#This Row],[DTM Lower]:[DTM Upper]])),"")</f>
        <v>75</v>
      </c>
      <c r="AR155" cm="1">
        <f t="array" ref="AR155">_xlfn.SWITCH(Crops[[#This Row],[Normal Method]],"DS",Crops[[#This Row],[Days to Germination]]+Crops[[#This Row],[DTM]] + IF(Crops[[#This Row],[Days in Cells]]&gt;0,15,0), "TP",Crops[[#This Row],[DTM]]+Crops[[#This Row],[Days in Cells]] + IF(Crops[[#This Row],[Days in Cells]]&lt;=0,20,0), "X", Crops[[#This Row],[DTM]])</f>
        <v>75</v>
      </c>
      <c r="AS155" t="s">
        <v>347</v>
      </c>
      <c r="AT155">
        <f>(Crops[[#This Row],[Harvests]]-1)*Crops[[#This Row],[Days Between Harvest]]+7</f>
        <v>56</v>
      </c>
      <c r="AU155">
        <f>Crops[[#This Row],[STH]]-Crops[[#This Row],[Days in Cells]]+Crops[[#This Row],[Harvest window]]</f>
        <v>96</v>
      </c>
      <c r="AX155">
        <v>72</v>
      </c>
      <c r="AY155">
        <v>35</v>
      </c>
      <c r="AZ155">
        <f>IFERROR(IF(Crops[[#This Row],[Tray 1 Days]]=0,"",Crops[[#This Row],[Plantings Per Bed]]/Crops[[#This Row],[Tray 1 Size]]*Crops[[#This Row],[Safety Factor]]),"")</f>
        <v>1.0185185185185184</v>
      </c>
      <c r="BC155" t="str">
        <f>IFERROR(IF(Crops[[#This Row],[Tray 2 Days]]=0,"",Crops[[#This Row],[Plantings Per Bed]]/Crops[[#This Row],[Tray 2 Size]]*Crops[[#This Row],[Safety Factor]]),"")</f>
        <v/>
      </c>
      <c r="BE155" s="32" t="str">
        <f>IF(NOT(ISBLANK(Crops[[#This Row],[Tray 3 Size]])), Crops[[#This Row],[Days in Cells Old]]-SUM(Crops[[#This Row],[Tray 1 Days]],Crops[[#This Row],[Tray 2 Days]]), "")</f>
        <v/>
      </c>
      <c r="BF155" t="str">
        <f>IFERROR(IF(Crops[[#This Row],[Tray 3 Days]]=0,"",Crops[[#This Row],[Plantings Per Bed]]/Crops[[#This Row],[Tray 3 Size]]*Crops[[#This Row],[Safety Factor]]),"")</f>
        <v/>
      </c>
      <c r="BG155" s="33">
        <f>Crops[[#This Row],[Plantings Per Bed]]/2</f>
        <v>33.333333333333329</v>
      </c>
      <c r="BH155" s="33">
        <v>8</v>
      </c>
      <c r="BI155" s="33">
        <v>7</v>
      </c>
      <c r="BJ155" s="33">
        <f>_xlfn.XLOOKUP(Crops[[#This Row],[ProductIndex]],Products[ID],Products[Holding Period])</f>
        <v>5</v>
      </c>
      <c r="BK155" s="33"/>
      <c r="BL155" s="33">
        <f>Crops[[#This Row],[Units Per Harvest]]*Crops[[#This Row],[Harvests]]</f>
        <v>266.66666666666663</v>
      </c>
      <c r="BM155" s="35">
        <v>3</v>
      </c>
      <c r="BN155" s="35">
        <f>Crops[[#This Row],[Direct Price]]*0.6</f>
        <v>1.7999999999999998</v>
      </c>
      <c r="BO155" s="35"/>
      <c r="BP155" t="s">
        <v>215</v>
      </c>
      <c r="BQ155">
        <f>Crops[[#This Row],[Custom Yield Per Bed]]*Crops[[#This Row],[Direct Price]]</f>
        <v>799.99999999999989</v>
      </c>
      <c r="BR155" t="b">
        <v>1</v>
      </c>
      <c r="BS155" t="b">
        <f>Crops[[#This Row],[Harvests]]&gt;1</f>
        <v>1</v>
      </c>
      <c r="BT155" s="36">
        <f>IFERROR(Crops[[#This Row],[Direct Revenue Per Bed]]/Crops[[#This Row],[Days In Field]],-1)</f>
        <v>8.3333333333333321</v>
      </c>
      <c r="BU155" s="36">
        <f>IFERROR(Crops[[#This Row],[Direct Revenue Per Bed Day]]*GrowingDays*BedsPerAcre,"")</f>
        <v>239999.99999999997</v>
      </c>
      <c r="BV155" s="38">
        <f>LastFrostDate-5*Crops[[#This Row],[Sewing Rel Last Frost]]</f>
        <v>45803</v>
      </c>
      <c r="BW155" s="38">
        <f>Crops[[#This Row],[Target Sewing Date]]+Crops[[#This Row],[Days in Cells]]</f>
        <v>45838</v>
      </c>
      <c r="BX155" s="38">
        <f>Crops[[#This Row],[Target Sewing Date]]+Crops[[#This Row],[STH]]</f>
        <v>45878</v>
      </c>
      <c r="BY155" s="38">
        <f>Crops[[#This Row],[Target Harvest Data]]+Crops[[#This Row],[Harvest window]]</f>
        <v>45934</v>
      </c>
      <c r="BZ155">
        <v>-11</v>
      </c>
      <c r="CA155" t="s">
        <v>375</v>
      </c>
      <c r="CB155">
        <f>1</f>
        <v>1</v>
      </c>
      <c r="CC155">
        <f>IF(Crops[[#This Row],[Transplanting]]&gt;0, 2, 3)*BedLength/StandardBedLength</f>
        <v>1</v>
      </c>
      <c r="CD155" s="173">
        <f>IF(Crops[[#This Row],[Days in Cells]]&lt;=0,0,Crops[[#This Row],[Plantings Per Bed]]/StartsPerHourSeeding+Crops[[#This Row],[Tray 1 Count]]*5/60)</f>
        <v>0.34529320987654316</v>
      </c>
      <c r="CE155" s="173">
        <f>IF(ISBLANK(Crops[[#This Row],[Tray 2 Days]]),0,Crops[[#This Row],[Plantings Per Bed]]/UpPottingPerHour)+IF(Crops[[#This Row],[Tray 3 Days]]="",0,Crops[[#This Row],[Plantings Per Bed]]/UpPottingPerHour)</f>
        <v>0</v>
      </c>
      <c r="CF155" s="173">
        <f>IFERROR(Crops[[#This Row],[Tray 1 Count]]/HomeStartFlatIrrigationPerHour,0)*Crops[[#This Row],[Days in Cells]]/DaysBetweenStartIrrigation</f>
        <v>0.14853395061728394</v>
      </c>
      <c r="CG155" s="173">
        <f>0.5/16*MAX(Crops[[#This Row],[Tray 1 Count]],Crops[[#This Row],[Tray 2 Count]],Crops[[#This Row],[Tray 3 Count]])</f>
        <v>3.1828703703703699E-2</v>
      </c>
      <c r="CH155" s="173">
        <f>IF(Crops[[#This Row],[Days in Cells]]&gt;0,IF(IF(Crops[[#This Row],[Tray 3 Size]]&gt;0,Crops[[#This Row],[Tray 3 Size]],IF(Crops[[#This Row],[Tray 2 Size]]&gt;0,Crops[[#This Row],[Tray 2 Size]],Crops[[#This Row],[Tray 1 Size]]))&lt;=18,LargeTransplantTime,SmallTransplantTime)*Crops[[#This Row],[Plantings Per Bed]],0)</f>
        <v>0.33333333333333331</v>
      </c>
      <c r="CI155" s="173"/>
      <c r="CJ155" s="173">
        <f>_xlfn.XLOOKUP(Crops[[#This Row],[Trellis Type]],TrellisMethods[Trellis Type],TrellisMethods[Hours],0,0)</f>
        <v>0</v>
      </c>
      <c r="CK155">
        <f>IF(Crops[[#This Row],[Days in Cells]]&lt;=0,Crops[[#This Row],[Rows]]*1/10,0)*BedLength/50</f>
        <v>0</v>
      </c>
      <c r="CL155" cm="1">
        <f t="array" ref="CL155">_xlfn.SWITCH(Crops[[#This Row],[Irrigation]],"DR", 0.5, "OH", 0.25,0)*BedLength/50</f>
        <v>0</v>
      </c>
      <c r="CM155">
        <f>IF(OR(ISBLANK(Crops[[#This Row],[Row Cover]]),Crops[[#This Row],[Row Cover]]="None"),0,1)*BedLength/50</f>
        <v>1</v>
      </c>
      <c r="CN155" s="173">
        <f>HoursPerWeedingPass*Crops[[#This Row],[Days In Field]]/14*Crops[[#This Row],[Rows]]+1*BedLength/50</f>
        <v>3.2857142857142856</v>
      </c>
      <c r="CO155" s="49"/>
      <c r="CQ155" s="37">
        <f>_xlfn.XLOOKUP(Crops[[#This Row],[Crop]]&amp;Crops[[#This Row],[Product]]&amp;Crops[[#This Row],[Unit]],Products[ID],Products[Marketing (hr)])*Crops[[#This Row],[Direct Revenue Per Bed]]/2000</f>
        <v>0.79999999999999993</v>
      </c>
      <c r="CR155" s="37">
        <f>_xlfn.XLOOKUP(Crops[[#This Row],[Crop]]&amp;Crops[[#This Row],[Product]]&amp;Crops[[#This Row],[Unit]],Products[ID],Products[Harvest (s)])*Crops[[#This Row],[Custom Yield Per Bed]]/3600</f>
        <v>0.74074074074074059</v>
      </c>
      <c r="CS155" s="37">
        <f>_xlfn.XLOOKUP(Crops[[#This Row],[Crop]]&amp;Crops[[#This Row],[Product]]&amp;Crops[[#This Row],[Unit]],Products[ID],Products[Bunch (s)])*Crops[[#This Row],[Custom Yield Per Bed]]/3600</f>
        <v>0.74074074074074059</v>
      </c>
      <c r="CT155" s="37">
        <f>_xlfn.XLOOKUP(Crops[[#This Row],[Crop]]&amp;Crops[[#This Row],[Product]]&amp;Crops[[#This Row],[Unit]],Products[ID],Products[Haul (s)])*Crops[[#This Row],[Custom Yield Per Bed]]/3600</f>
        <v>0.37037037037037029</v>
      </c>
      <c r="CU155" s="37">
        <f>_xlfn.XLOOKUP(Crops[[#This Row],[Crop]]&amp;Crops[[#This Row],[Product]]&amp;Crops[[#This Row],[Unit]],Products[ID],Products[Wash (s)])*Crops[[#This Row],[Custom Yield Per Bed]]/3600</f>
        <v>0</v>
      </c>
      <c r="CV155" s="37">
        <f>_xlfn.XLOOKUP(Crops[[#This Row],[Crop]]&amp;Crops[[#This Row],[Product]]&amp;Crops[[#This Row],[Unit]],Products[ID],Products[Condition (s)])*Crops[[#This Row],[Custom Yield Per Bed]]/3600</f>
        <v>0.74074074074074059</v>
      </c>
      <c r="CW155" s="37">
        <f>_xlfn.XLOOKUP(Crops[[#This Row],[Crop]]&amp;Crops[[#This Row],[Product]]&amp;Crops[[#This Row],[Unit]],Products[ID],Products[Trim (s)])*Crops[[#This Row],[Custom Yield Per Bed]]/3600</f>
        <v>0.74074074074074059</v>
      </c>
      <c r="CX155" s="37">
        <f>_xlfn.XLOOKUP(Crops[[#This Row],[Crop]]&amp;Crops[[#This Row],[Product]]&amp;Crops[[#This Row],[Unit]],Products[ID],Products[Pack (s)])*Crops[[#This Row],[Custom Yield Per Bed]]/3600</f>
        <v>0.22222222222222218</v>
      </c>
      <c r="CY155" s="37">
        <f>_xlfn.XLOOKUP(Crops[[#This Row],[Crop]]&amp;Crops[[#This Row],[Product]]&amp;Crops[[#This Row],[Unit]],Products[ID],Products[Clean (s)])*Crops[[#This Row],[Custom Yield Per Bed]]/3600</f>
        <v>0</v>
      </c>
      <c r="CZ155" s="37">
        <f>_xlfn.XLOOKUP(Crops[[#This Row],[Crop]]&amp;Crops[[#This Row],[Product]]&amp;Crops[[#This Row],[Unit]],Products[ID],Products[Rehandle (s)])*Crops[[#This Row],[Custom Yield Per Bed]]/3600</f>
        <v>0</v>
      </c>
      <c r="DA155" s="37">
        <f>_xlfn.XLOOKUP(Crops[[#This Row],[Crop]]&amp;Crops[[#This Row],[Product]]&amp;Crops[[#This Row],[Unit]],Products[ID],Products[Market Transport (s)])*Crops[[#This Row],[Custom Yield Per Bed]]/3600</f>
        <v>0.92592592592592582</v>
      </c>
      <c r="DC155" s="37">
        <f>Crops[[#This Row],[Direct Revenue Per Bed2]]</f>
        <v>799.99999999999989</v>
      </c>
      <c r="DD155" s="173">
        <f>_xlfn.AGGREGATE(9,6,Crops[[#This Row],[Bed Prep]:[Remove Crop Residue]])</f>
        <v>11.426184964726628</v>
      </c>
      <c r="DE155" s="173">
        <f>_xlfn.AGGREGATE(9,6,Crops[[#This Row],[Bed Prep]:[Remove Crop Residue]])-0.75*Crops[[#This Row],[Market &amp; Sell]]</f>
        <v>10.826184964726629</v>
      </c>
      <c r="DF155" s="36">
        <f>Crops[[#This Row],[Direct Revenue Per Bed2]]/Crops[[#This Row],[Direct Time]]</f>
        <v>70.014620143963327</v>
      </c>
      <c r="DG155" s="36">
        <f>_xlfn.XLOOKUP(Crops[[#This Row],[ProductIndex]],Products[ID],Products[Packaging Cost])*(Crops[[#This Row],[Custom Yield Per Bed]]/_xlfn.XLOOKUP(Crops[[#This Row],[ProductIndex]],Products[ID],Products[Units Per Pack]))</f>
        <v>56.296296296296291</v>
      </c>
      <c r="DH155" s="36"/>
      <c r="DI155" s="36"/>
      <c r="DJ155" s="36"/>
      <c r="DK155" s="36"/>
      <c r="DL155" s="36"/>
      <c r="DM155" s="33">
        <f>IFERROR(Crops[[#This Row],[Custom Yield Per Bed]]*Crops[[#This Row],[Direct Price]],"")</f>
        <v>799.99999999999989</v>
      </c>
      <c r="DN155" s="36">
        <f>Crops[[#This Row],[Direct Time]]*LaborRate</f>
        <v>285.65462411816571</v>
      </c>
      <c r="DO155" s="36">
        <f>SUM(Crops[[#This Row],[Irrigation Cost]])</f>
        <v>0</v>
      </c>
      <c r="DP155" s="36">
        <f>Crops[[#This Row],[Direct Labor Cost]]+Crops[[#This Row],[Direct Non-Labor Cost]]</f>
        <v>285.65462411816571</v>
      </c>
      <c r="DQ155" s="36">
        <f>Crops[[#This Row],[Direct Revenue Per Bed2]]-Crops[[#This Row],[Direct Total Cost]]</f>
        <v>514.34537588183412</v>
      </c>
      <c r="DR155" s="36">
        <f>Crops[[#This Row],[Direct Profit]]*BedsPerAcre</f>
        <v>82295.260141093459</v>
      </c>
      <c r="DS155" s="36">
        <f>Crops[[#This Row],[Direct Profit]]*BedsPerAcre*GrowingDays/Crops[[#This Row],[Days In Field]]</f>
        <v>154303.61276455023</v>
      </c>
      <c r="DT155" s="36">
        <f>Crops[[#This Row],[Direct Profit]]/MIN(Crops[[#This Row],[Days In Field]],GrowingDays)</f>
        <v>5.3577643321024384</v>
      </c>
      <c r="DU155" s="33">
        <f>Crops[[#This Row],[Direct Time]] * BedsPerAcre</f>
        <v>1828.1895943562606</v>
      </c>
      <c r="DV155" s="36">
        <f>(Crops[[#This Row],[Direct Revenue Per Bed2]]-Crops[[#This Row],[Direct Non-Labor Cost]])/Crops[[#This Row],[Direct Time]]</f>
        <v>70.014620143963327</v>
      </c>
      <c r="DW155" s="33">
        <f>IFERROR(Crops[[#This Row],[Custom Yield Per Bed]]*Crops[[#This Row],[Rough Wholesale Price]],"")</f>
        <v>479.99999999999989</v>
      </c>
      <c r="DX155" s="36">
        <f>Crops[[#This Row],[Wholesale Time]]*LaborRate</f>
        <v>270.65462411816571</v>
      </c>
      <c r="DY155" s="36">
        <f>SUM(Crops[[#This Row],[Packaging Costs]:[Irrigation Cost]])</f>
        <v>56.296296296296291</v>
      </c>
      <c r="DZ155" s="36">
        <f>Crops[[#This Row],[Wholesale Labor Cost]]+Crops[[#This Row],[Wholesale Non-Labor Cost]]</f>
        <v>326.95092041446202</v>
      </c>
      <c r="EA155" s="36">
        <f>Crops[[#This Row],[Wholesale Revenue Per Bed]]-Crops[[#This Row],[Wholesale Total Cost]]</f>
        <v>153.04907958553787</v>
      </c>
      <c r="EB155" s="36">
        <f>Crops[[#This Row],[Wholesale Profit]]*BedsPerAcre</f>
        <v>24487.852733686057</v>
      </c>
      <c r="EC155" s="36">
        <f>Crops[[#This Row],[Wholesale Profit]]*BedsPerAcre*GrowingDays/Crops[[#This Row],[Days In Field]]</f>
        <v>45914.723875661359</v>
      </c>
      <c r="ED155" s="33">
        <f>Crops[[#This Row],[Wholesale Time]] * BedsPerAcre</f>
        <v>1732.1895943562606</v>
      </c>
      <c r="EE155" s="221">
        <f>Crops[[#This Row],[Wholesale Profit]]/MIN(Crops[[#This Row],[Days In Field]],GrowingDays)</f>
        <v>1.5942612456826861</v>
      </c>
      <c r="EF155" s="36">
        <f>(Crops[[#This Row],[Wholesale Revenue Per Bed]]-Crops[[#This Row],[Wholesale Non-Labor Cost]])/Crops[[#This Row],[Direct Time]]</f>
        <v>37.0818173355065</v>
      </c>
      <c r="EG155" s="174">
        <f>Crops[[#This Row],[Packaging Costs]]/Crops[[#This Row],[Wholesale Revenue Per Bed]]</f>
        <v>0.11728395061728397</v>
      </c>
      <c r="EH155" s="36" t="str">
        <f>Crops[[#This Row],[Crop]]&amp;Crops[[#This Row],[Product]]&amp;Crops[[#This Row],[Unit]]</f>
        <v>KaleMature LeafBunch</v>
      </c>
      <c r="EI155" s="36" t="b">
        <f>_xlfn.XLOOKUP(Crops[[#This Row],[ProductIndex]],Products[ID],Products[Target])</f>
        <v>1</v>
      </c>
      <c r="EJ155" s="33">
        <f>Crops[[#This Row],[Custom Yield Per Bed]]</f>
        <v>266.66666666666663</v>
      </c>
      <c r="EK155" s="210">
        <f>Crops[[#This Row],[Units Per Harvest]]/Crops[[#This Row],[Days Between Harvest]]*7</f>
        <v>33.333333333333329</v>
      </c>
      <c r="EL155" s="210">
        <f>Crops[[#This Row],[Custom Yield Per Bed]]/_xlfn.XLOOKUP(Crops[[#This Row],[ProductIndex]],Products[ID],Products[CSA Portion])</f>
        <v>266.66666666666663</v>
      </c>
      <c r="EM155" s="210">
        <f>Crops[[#This Row],[Units Per Harvest]]/Crops[[#This Row],[Days Between Harvest]]*7/_xlfn.XLOOKUP(Crops[[#This Row],[ProductIndex]],Products[ID],Products[CSA Portion])</f>
        <v>33.333333333333329</v>
      </c>
      <c r="EN155" s="210">
        <f>Crops[[#This Row],[CSA Portions Per Week]]/CSAMembers</f>
        <v>0.66666666666666652</v>
      </c>
      <c r="EO155" s="216">
        <v>2</v>
      </c>
      <c r="EP155" s="216">
        <v>1</v>
      </c>
      <c r="EQ155" s="210"/>
      <c r="ER155" s="210">
        <f>Crops[[#This Row],[Harvests]]*Crops[[#This Row],[Days Between Harvest]]/7</f>
        <v>8</v>
      </c>
      <c r="ES155" s="217">
        <f>_xlfn.XLOOKUP(Crops[[#This Row],[ProductIndex]],Products[ID],Products[CSA Need])</f>
        <v>5</v>
      </c>
      <c r="ET155" s="217">
        <f>_xlfn.XLOOKUP(Crops[[#This Row],[ProductIndex]],Products[ID],Products[CSA Times])</f>
        <v>5</v>
      </c>
      <c r="EU155" s="208">
        <f>Crops[[#This Row],[Custom Yield Per Bed]]/(Crops[[#This Row],[CSA Need]]*(_xlfn.XLOOKUP(Crops[[#This Row],[ProductIndex]],Products[ID],Products[CSA Portion])*CSAMembers))</f>
        <v>1.0666666666666664</v>
      </c>
      <c r="EV155" s="208">
        <f>_xlfn.XLOOKUP(Crops[[#This Row],[ProductIndex]],Products[ID],Products[CSA Portion])*CSAMembers*Crops[[#This Row],[CSA Need]]/Crops[[#This Row],[Custom Yield Per Bed]]</f>
        <v>0.93750000000000011</v>
      </c>
      <c r="EW155" s="208">
        <f>IFERROR(Crops[[#This Row],[Days In Field]]*Crops[[#This Row],[CSA Beds]],"")</f>
        <v>90.000000000000014</v>
      </c>
      <c r="EX155" s="208" t="e">
        <f>Crops[[#This Row],[CSA Bed Days]]*#REF!</f>
        <v>#REF!</v>
      </c>
      <c r="EY155" t="s">
        <v>1411</v>
      </c>
    </row>
    <row r="156" spans="1:155">
      <c r="A15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Mature Leaf 2X | Field TP Ow</v>
      </c>
      <c r="B156" s="191"/>
      <c r="C156" s="1" t="b">
        <v>1</v>
      </c>
      <c r="D156" s="1"/>
      <c r="E156" s="1" t="b">
        <v>0</v>
      </c>
      <c r="F156" s="1" t="b">
        <f>IFERROR(IF(ISNUMBER(MATCH(Crops[[#This Row],[Identifier]],BedPlan[Crop], 0)), TRUE, FALSE), FALSE)</f>
        <v>0</v>
      </c>
      <c r="G156" s="1" t="b">
        <f>IFERROR(IF(ISNUMBER(MATCH(Crops[[#This Row],[Identifier]],BedPlan[Crop], 0)), TRUE, FALSE), FALSE)</f>
        <v>0</v>
      </c>
      <c r="H156" s="1"/>
      <c r="I156" t="s">
        <v>88</v>
      </c>
      <c r="J156" t="s">
        <v>145</v>
      </c>
      <c r="K156" t="s">
        <v>179</v>
      </c>
      <c r="M156" t="s">
        <v>445</v>
      </c>
      <c r="N156" t="str">
        <f>Crops[[#This Row],[Crop]]</f>
        <v>Kale</v>
      </c>
      <c r="O156" t="s">
        <v>210</v>
      </c>
      <c r="P156" t="str">
        <f>IF(OR(Crops[[#This Row],[Days in Cells]]="",Crops[[#This Row],[Days in Cells]]=0), "DS","TP")</f>
        <v>TP</v>
      </c>
      <c r="U156" t="s">
        <v>144</v>
      </c>
      <c r="V156" t="str">
        <f xml:space="preserve"> IF(Crops[[#This Row],[Sp]], "Sp", "") &amp; IF(Crops[[#This Row],[Su]], "Su", "") &amp; IF(Crops[[#This Row],[Fa]], "Fa", "") &amp; IF(Crops[[#This Row],[Wi]], "Wi", "") &amp; IF(Crops[[#This Row],[OW]], "Ow","")</f>
        <v>Ow</v>
      </c>
      <c r="W156" t="b">
        <v>1</v>
      </c>
      <c r="X156">
        <v>2</v>
      </c>
      <c r="Y156">
        <v>18</v>
      </c>
      <c r="AA156" t="s">
        <v>475</v>
      </c>
      <c r="AB156" t="b">
        <v>1</v>
      </c>
      <c r="AC156">
        <v>3</v>
      </c>
      <c r="AD156" s="32">
        <f>IFERROR(12/Crops[[#This Row],[Spacing]]*Crops[[#This Row],[Rows]]*BedLength,"")</f>
        <v>66.666666666666657</v>
      </c>
      <c r="AE156">
        <v>2</v>
      </c>
      <c r="AG156">
        <v>1.1000000000000001</v>
      </c>
      <c r="AH156">
        <f>1</f>
        <v>1</v>
      </c>
      <c r="AI156" s="33">
        <f>IFERROR(Crops[[#This Row],[Plantings Per Bed]]*Crops[[#This Row],[Seeds Per Planting]]*Crops[[#This Row],[Safety Factor]]*Crops[[#This Row],[Seeding Factor]],"")</f>
        <v>146.66666666666666</v>
      </c>
      <c r="AL156">
        <f>_xlfn.FLOOR.MATH(IFERROR(AVERAGE(Crops[[#This Row],[DTG Lower]:[DTG Upper]]),0))</f>
        <v>0</v>
      </c>
      <c r="AM156">
        <f>SUM(Crops[[#This Row],[Tray 1 Days]],Crops[[#This Row],[Tray 2 Days]],Crops[[#This Row],[Tray 3 Days]])</f>
        <v>35</v>
      </c>
      <c r="AN156">
        <v>30</v>
      </c>
      <c r="AP156">
        <v>90</v>
      </c>
      <c r="AQ156">
        <f>IFERROR(_xlfn.FLOOR.MATH(AVERAGE(Crops[[#This Row],[DTM Lower]:[DTM Upper]])),"")</f>
        <v>90</v>
      </c>
      <c r="AR156" cm="1">
        <f t="array" ref="AR156">_xlfn.SWITCH(Crops[[#This Row],[Normal Method]],"DS",Crops[[#This Row],[Days to Germination]]+Crops[[#This Row],[DTM]] + IF(Crops[[#This Row],[Days in Cells]]&gt;0,15,0), "TP",Crops[[#This Row],[DTM]]+Crops[[#This Row],[Days in Cells]] + IF(Crops[[#This Row],[Days in Cells]]&lt;=0,20,0), "X", Crops[[#This Row],[DTM]])</f>
        <v>90</v>
      </c>
      <c r="AS156" t="s">
        <v>347</v>
      </c>
      <c r="AT156">
        <f>(Crops[[#This Row],[Harvests]]-1)*Crops[[#This Row],[Days Between Harvest]]+7</f>
        <v>154</v>
      </c>
      <c r="AU156">
        <f>Crops[[#This Row],[STH]]-Crops[[#This Row],[Days in Cells]]+Crops[[#This Row],[Harvest window]]</f>
        <v>209</v>
      </c>
      <c r="AX156">
        <v>72</v>
      </c>
      <c r="AY156">
        <v>35</v>
      </c>
      <c r="AZ156">
        <f>IFERROR(IF(Crops[[#This Row],[Tray 1 Days]]=0,"",Crops[[#This Row],[Plantings Per Bed]]/Crops[[#This Row],[Tray 1 Size]]*Crops[[#This Row],[Safety Factor]]),"")</f>
        <v>1.0185185185185184</v>
      </c>
      <c r="BC156" t="str">
        <f>IFERROR(IF(Crops[[#This Row],[Tray 2 Days]]=0,"",Crops[[#This Row],[Plantings Per Bed]]/Crops[[#This Row],[Tray 2 Size]]*Crops[[#This Row],[Safety Factor]]),"")</f>
        <v/>
      </c>
      <c r="BE156" s="32" t="str">
        <f>IF(NOT(ISBLANK(Crops[[#This Row],[Tray 3 Size]])), Crops[[#This Row],[Days in Cells Old]]-SUM(Crops[[#This Row],[Tray 1 Days]],Crops[[#This Row],[Tray 2 Days]]), "")</f>
        <v/>
      </c>
      <c r="BF156" t="str">
        <f>IFERROR(IF(Crops[[#This Row],[Tray 3 Days]]=0,"",Crops[[#This Row],[Plantings Per Bed]]/Crops[[#This Row],[Tray 3 Size]]*Crops[[#This Row],[Safety Factor]]),"")</f>
        <v/>
      </c>
      <c r="BG156" s="33">
        <f>Crops[[#This Row],[Plantings Per Bed]]/8</f>
        <v>8.3333333333333321</v>
      </c>
      <c r="BH156" s="33">
        <v>8</v>
      </c>
      <c r="BI156" s="33">
        <v>21</v>
      </c>
      <c r="BJ156" s="33">
        <f>_xlfn.XLOOKUP(Crops[[#This Row],[ProductIndex]],Products[ID],Products[Holding Period])</f>
        <v>5</v>
      </c>
      <c r="BK156" s="33"/>
      <c r="BL156" s="33">
        <f>Crops[[#This Row],[Units Per Harvest]]*Crops[[#This Row],[Harvests]]</f>
        <v>66.666666666666657</v>
      </c>
      <c r="BM156" s="35">
        <v>3</v>
      </c>
      <c r="BN156" s="35">
        <f>Crops[[#This Row],[Direct Price]]*0.6</f>
        <v>1.7999999999999998</v>
      </c>
      <c r="BO156" s="35"/>
      <c r="BP156" t="s">
        <v>215</v>
      </c>
      <c r="BQ156">
        <f>Crops[[#This Row],[Custom Yield Per Bed]]*Crops[[#This Row],[Direct Price]]</f>
        <v>199.99999999999997</v>
      </c>
      <c r="BR156" t="b">
        <v>1</v>
      </c>
      <c r="BS156" t="b">
        <f>Crops[[#This Row],[Harvests]]&gt;1</f>
        <v>1</v>
      </c>
      <c r="BT156" s="36">
        <f>IFERROR(Crops[[#This Row],[Direct Revenue Per Bed]]/Crops[[#This Row],[Days In Field]],-1)</f>
        <v>0.95693779904306209</v>
      </c>
      <c r="BU156" s="36">
        <f>IFERROR(Crops[[#This Row],[Direct Revenue Per Bed Day]]*GrowingDays*BedsPerAcre,"")</f>
        <v>27559.808612440189</v>
      </c>
      <c r="BV156" s="38">
        <f>LastFrostDate-5*Crops[[#This Row],[Sewing Rel Last Frost]]</f>
        <v>45813</v>
      </c>
      <c r="BW156" s="38">
        <f>Crops[[#This Row],[Target Sewing Date]]+Crops[[#This Row],[Days in Cells]]</f>
        <v>45848</v>
      </c>
      <c r="BX156" s="38">
        <f>Crops[[#This Row],[Target Sewing Date]]+Crops[[#This Row],[STH]]</f>
        <v>45903</v>
      </c>
      <c r="BY156" s="38">
        <f>Crops[[#This Row],[Target Harvest Data]]+Crops[[#This Row],[Harvest window]]</f>
        <v>46057</v>
      </c>
      <c r="BZ156">
        <v>-13</v>
      </c>
      <c r="CA156" t="s">
        <v>375</v>
      </c>
      <c r="CB156">
        <f>1</f>
        <v>1</v>
      </c>
      <c r="CC156">
        <f>IF(Crops[[#This Row],[Transplanting]]&gt;0, 2, 3)*BedLength/StandardBedLength</f>
        <v>1</v>
      </c>
      <c r="CD156" s="173">
        <f>IF(Crops[[#This Row],[Days in Cells]]&lt;=0,0,Crops[[#This Row],[Plantings Per Bed]]/StartsPerHourSeeding+Crops[[#This Row],[Tray 1 Count]]*5/60)</f>
        <v>0.34529320987654316</v>
      </c>
      <c r="CE156" s="173">
        <f>IF(ISBLANK(Crops[[#This Row],[Tray 2 Days]]),0,Crops[[#This Row],[Plantings Per Bed]]/UpPottingPerHour)+IF(Crops[[#This Row],[Tray 3 Days]]="",0,Crops[[#This Row],[Plantings Per Bed]]/UpPottingPerHour)</f>
        <v>0</v>
      </c>
      <c r="CF156" s="173">
        <f>IFERROR(Crops[[#This Row],[Tray 1 Count]]/HomeStartFlatIrrigationPerHour,0)*Crops[[#This Row],[Days in Cells]]/DaysBetweenStartIrrigation</f>
        <v>0.14853395061728394</v>
      </c>
      <c r="CG156" s="173">
        <f>0.5/16*MAX(Crops[[#This Row],[Tray 1 Count]],Crops[[#This Row],[Tray 2 Count]],Crops[[#This Row],[Tray 3 Count]])</f>
        <v>3.1828703703703699E-2</v>
      </c>
      <c r="CH156" s="173">
        <f>IF(Crops[[#This Row],[Days in Cells]]&gt;0,IF(IF(Crops[[#This Row],[Tray 3 Size]]&gt;0,Crops[[#This Row],[Tray 3 Size]],IF(Crops[[#This Row],[Tray 2 Size]]&gt;0,Crops[[#This Row],[Tray 2 Size]],Crops[[#This Row],[Tray 1 Size]]))&lt;=18,LargeTransplantTime,SmallTransplantTime)*Crops[[#This Row],[Plantings Per Bed]],0)</f>
        <v>0.33333333333333331</v>
      </c>
      <c r="CI156" s="173"/>
      <c r="CJ156" s="173">
        <f>_xlfn.XLOOKUP(Crops[[#This Row],[Trellis Type]],TrellisMethods[Trellis Type],TrellisMethods[Hours],0,0)</f>
        <v>0</v>
      </c>
      <c r="CK156">
        <f>IF(Crops[[#This Row],[Days in Cells]]&lt;=0,Crops[[#This Row],[Rows]]*1/10,0)*BedLength/50</f>
        <v>0</v>
      </c>
      <c r="CL156" cm="1">
        <f t="array" ref="CL156">_xlfn.SWITCH(Crops[[#This Row],[Irrigation]],"DR", 0.5, "OH", 0.25,0)*BedLength/50</f>
        <v>0</v>
      </c>
      <c r="CM156">
        <f>IF(OR(ISBLANK(Crops[[#This Row],[Row Cover]]),Crops[[#This Row],[Row Cover]]="None"),0,1)*BedLength/50</f>
        <v>1</v>
      </c>
      <c r="CN156" s="173">
        <f>HoursPerWeedingPass*Crops[[#This Row],[Days In Field]]/14*Crops[[#This Row],[Rows]]+1*BedLength/50</f>
        <v>5.9761904761904754</v>
      </c>
      <c r="CO156" s="49"/>
      <c r="CQ156" s="37">
        <f>_xlfn.XLOOKUP(Crops[[#This Row],[Crop]]&amp;Crops[[#This Row],[Product]]&amp;Crops[[#This Row],[Unit]],Products[ID],Products[Marketing (hr)])*Crops[[#This Row],[Direct Revenue Per Bed]]/2000</f>
        <v>0.19999999999999998</v>
      </c>
      <c r="CR156" s="37">
        <f>_xlfn.XLOOKUP(Crops[[#This Row],[Crop]]&amp;Crops[[#This Row],[Product]]&amp;Crops[[#This Row],[Unit]],Products[ID],Products[Harvest (s)])*Crops[[#This Row],[Custom Yield Per Bed]]/3600</f>
        <v>0.18518518518518515</v>
      </c>
      <c r="CS156" s="37">
        <f>_xlfn.XLOOKUP(Crops[[#This Row],[Crop]]&amp;Crops[[#This Row],[Product]]&amp;Crops[[#This Row],[Unit]],Products[ID],Products[Bunch (s)])*Crops[[#This Row],[Custom Yield Per Bed]]/3600</f>
        <v>0.18518518518518515</v>
      </c>
      <c r="CT156" s="37">
        <f>_xlfn.XLOOKUP(Crops[[#This Row],[Crop]]&amp;Crops[[#This Row],[Product]]&amp;Crops[[#This Row],[Unit]],Products[ID],Products[Haul (s)])*Crops[[#This Row],[Custom Yield Per Bed]]/3600</f>
        <v>9.2592592592592574E-2</v>
      </c>
      <c r="CU156" s="37">
        <f>_xlfn.XLOOKUP(Crops[[#This Row],[Crop]]&amp;Crops[[#This Row],[Product]]&amp;Crops[[#This Row],[Unit]],Products[ID],Products[Wash (s)])*Crops[[#This Row],[Custom Yield Per Bed]]/3600</f>
        <v>0</v>
      </c>
      <c r="CV156" s="37">
        <f>_xlfn.XLOOKUP(Crops[[#This Row],[Crop]]&amp;Crops[[#This Row],[Product]]&amp;Crops[[#This Row],[Unit]],Products[ID],Products[Condition (s)])*Crops[[#This Row],[Custom Yield Per Bed]]/3600</f>
        <v>0.18518518518518515</v>
      </c>
      <c r="CW156" s="37">
        <f>_xlfn.XLOOKUP(Crops[[#This Row],[Crop]]&amp;Crops[[#This Row],[Product]]&amp;Crops[[#This Row],[Unit]],Products[ID],Products[Trim (s)])*Crops[[#This Row],[Custom Yield Per Bed]]/3600</f>
        <v>0.18518518518518515</v>
      </c>
      <c r="CX156" s="37">
        <f>_xlfn.XLOOKUP(Crops[[#This Row],[Crop]]&amp;Crops[[#This Row],[Product]]&amp;Crops[[#This Row],[Unit]],Products[ID],Products[Pack (s)])*Crops[[#This Row],[Custom Yield Per Bed]]/3600</f>
        <v>5.5555555555555546E-2</v>
      </c>
      <c r="CY156" s="37">
        <f>_xlfn.XLOOKUP(Crops[[#This Row],[Crop]]&amp;Crops[[#This Row],[Product]]&amp;Crops[[#This Row],[Unit]],Products[ID],Products[Clean (s)])*Crops[[#This Row],[Custom Yield Per Bed]]/3600</f>
        <v>0</v>
      </c>
      <c r="CZ156" s="37">
        <f>_xlfn.XLOOKUP(Crops[[#This Row],[Crop]]&amp;Crops[[#This Row],[Product]]&amp;Crops[[#This Row],[Unit]],Products[ID],Products[Rehandle (s)])*Crops[[#This Row],[Custom Yield Per Bed]]/3600</f>
        <v>0</v>
      </c>
      <c r="DA156" s="37">
        <f>_xlfn.XLOOKUP(Crops[[#This Row],[Crop]]&amp;Crops[[#This Row],[Product]]&amp;Crops[[#This Row],[Unit]],Products[ID],Products[Market Transport (s)])*Crops[[#This Row],[Custom Yield Per Bed]]/3600</f>
        <v>0.23148148148148145</v>
      </c>
      <c r="DC156" s="37">
        <f>Crops[[#This Row],[Direct Revenue Per Bed2]]</f>
        <v>199.99999999999997</v>
      </c>
      <c r="DD156" s="173">
        <f>_xlfn.AGGREGATE(9,6,Crops[[#This Row],[Bed Prep]:[Remove Crop Residue]])</f>
        <v>10.155550044091708</v>
      </c>
      <c r="DE156" s="173">
        <f>_xlfn.AGGREGATE(9,6,Crops[[#This Row],[Bed Prep]:[Remove Crop Residue]])-0.75*Crops[[#This Row],[Market &amp; Sell]]</f>
        <v>10.005550044091708</v>
      </c>
      <c r="DF156" s="36">
        <f>Crops[[#This Row],[Direct Revenue Per Bed2]]/Crops[[#This Row],[Direct Time]]</f>
        <v>19.693664954795423</v>
      </c>
      <c r="DG156" s="36">
        <f>_xlfn.XLOOKUP(Crops[[#This Row],[ProductIndex]],Products[ID],Products[Packaging Cost])*(Crops[[#This Row],[Custom Yield Per Bed]]/_xlfn.XLOOKUP(Crops[[#This Row],[ProductIndex]],Products[ID],Products[Units Per Pack]))</f>
        <v>14.074074074074073</v>
      </c>
      <c r="DH156" s="36"/>
      <c r="DI156" s="36"/>
      <c r="DJ156" s="36"/>
      <c r="DK156" s="36"/>
      <c r="DL156" s="36"/>
      <c r="DM156" s="33">
        <f>IFERROR(Crops[[#This Row],[Custom Yield Per Bed]]*Crops[[#This Row],[Direct Price]],"")</f>
        <v>199.99999999999997</v>
      </c>
      <c r="DN156" s="36">
        <f>Crops[[#This Row],[Direct Time]]*LaborRate</f>
        <v>253.8887511022927</v>
      </c>
      <c r="DO156" s="36">
        <f>SUM(Crops[[#This Row],[Irrigation Cost]])</f>
        <v>0</v>
      </c>
      <c r="DP156" s="36">
        <f>Crops[[#This Row],[Direct Labor Cost]]+Crops[[#This Row],[Direct Non-Labor Cost]]</f>
        <v>253.8887511022927</v>
      </c>
      <c r="DQ156" s="36">
        <f>Crops[[#This Row],[Direct Revenue Per Bed2]]-Crops[[#This Row],[Direct Total Cost]]</f>
        <v>-53.88875110229273</v>
      </c>
      <c r="DR156" s="36">
        <f>Crops[[#This Row],[Direct Profit]]*BedsPerAcre</f>
        <v>-8622.2001763668377</v>
      </c>
      <c r="DS156" s="36">
        <f>Crops[[#This Row],[Direct Profit]]*BedsPerAcre*GrowingDays/Crops[[#This Row],[Days In Field]]</f>
        <v>-7425.8183337130658</v>
      </c>
      <c r="DT156" s="36">
        <f>Crops[[#This Row],[Direct Profit]]/MIN(Crops[[#This Row],[Days In Field]],GrowingDays)</f>
        <v>-0.29938195056829292</v>
      </c>
      <c r="DU156" s="33">
        <f>Crops[[#This Row],[Direct Time]] * BedsPerAcre</f>
        <v>1624.8880070546734</v>
      </c>
      <c r="DV156" s="36">
        <f>(Crops[[#This Row],[Direct Revenue Per Bed2]]-Crops[[#This Row],[Direct Non-Labor Cost]])/Crops[[#This Row],[Direct Time]]</f>
        <v>19.693664954795423</v>
      </c>
      <c r="DW156" s="33">
        <f>IFERROR(Crops[[#This Row],[Custom Yield Per Bed]]*Crops[[#This Row],[Rough Wholesale Price]],"")</f>
        <v>119.99999999999997</v>
      </c>
      <c r="DX156" s="36">
        <f>Crops[[#This Row],[Wholesale Time]]*LaborRate</f>
        <v>250.1387511022927</v>
      </c>
      <c r="DY156" s="36">
        <f>SUM(Crops[[#This Row],[Packaging Costs]:[Irrigation Cost]])</f>
        <v>14.074074074074073</v>
      </c>
      <c r="DZ156" s="36">
        <f>Crops[[#This Row],[Wholesale Labor Cost]]+Crops[[#This Row],[Wholesale Non-Labor Cost]]</f>
        <v>264.21282517636678</v>
      </c>
      <c r="EA156" s="36">
        <f>Crops[[#This Row],[Wholesale Revenue Per Bed]]-Crops[[#This Row],[Wholesale Total Cost]]</f>
        <v>-144.21282517636681</v>
      </c>
      <c r="EB156" s="36">
        <f>Crops[[#This Row],[Wholesale Profit]]*BedsPerAcre</f>
        <v>-23074.052028218688</v>
      </c>
      <c r="EC156" s="36">
        <f>Crops[[#This Row],[Wholesale Profit]]*BedsPerAcre*GrowingDays/Crops[[#This Row],[Days In Field]]</f>
        <v>-19872.389306599827</v>
      </c>
      <c r="ED156" s="33">
        <f>Crops[[#This Row],[Wholesale Time]] * BedsPerAcre</f>
        <v>1600.8880070546732</v>
      </c>
      <c r="EE156" s="221">
        <f>Crops[[#This Row],[Wholesale Profit]]/MIN(Crops[[#This Row],[Days In Field]],GrowingDays)</f>
        <v>-0.80118236209092675</v>
      </c>
      <c r="EF156" s="36">
        <f>(Crops[[#This Row],[Wholesale Revenue Per Bed]]-Crops[[#This Row],[Wholesale Non-Labor Cost]])/Crops[[#This Row],[Direct Time]]</f>
        <v>10.430348476058315</v>
      </c>
      <c r="EG156" s="174">
        <f>Crops[[#This Row],[Packaging Costs]]/Crops[[#This Row],[Wholesale Revenue Per Bed]]</f>
        <v>0.11728395061728397</v>
      </c>
      <c r="EH156" s="36" t="str">
        <f>Crops[[#This Row],[Crop]]&amp;Crops[[#This Row],[Product]]&amp;Crops[[#This Row],[Unit]]</f>
        <v>KaleMature LeafBunch</v>
      </c>
      <c r="EI156" s="36" t="b">
        <f>_xlfn.XLOOKUP(Crops[[#This Row],[ProductIndex]],Products[ID],Products[Target])</f>
        <v>1</v>
      </c>
      <c r="EJ156" s="33">
        <f>Crops[[#This Row],[Custom Yield Per Bed]]</f>
        <v>66.666666666666657</v>
      </c>
      <c r="EK156" s="210">
        <f>Crops[[#This Row],[Units Per Harvest]]/Crops[[#This Row],[Days Between Harvest]]*7</f>
        <v>2.7777777777777772</v>
      </c>
      <c r="EL156" s="210">
        <f>Crops[[#This Row],[Custom Yield Per Bed]]/_xlfn.XLOOKUP(Crops[[#This Row],[ProductIndex]],Products[ID],Products[CSA Portion])</f>
        <v>66.666666666666657</v>
      </c>
      <c r="EM156" s="210">
        <f>Crops[[#This Row],[Units Per Harvest]]/Crops[[#This Row],[Days Between Harvest]]*7/_xlfn.XLOOKUP(Crops[[#This Row],[ProductIndex]],Products[ID],Products[CSA Portion])</f>
        <v>2.7777777777777772</v>
      </c>
      <c r="EN156" s="210">
        <f>Crops[[#This Row],[CSA Portions Per Week]]/CSAMembers</f>
        <v>5.5555555555555546E-2</v>
      </c>
      <c r="EO156" s="216"/>
      <c r="EP156" s="216"/>
      <c r="EQ156" s="210"/>
      <c r="ER156" s="210">
        <f>Crops[[#This Row],[Harvests]]*Crops[[#This Row],[Days Between Harvest]]/7</f>
        <v>24</v>
      </c>
      <c r="ES156" s="217">
        <f>_xlfn.XLOOKUP(Crops[[#This Row],[ProductIndex]],Products[ID],Products[CSA Need])</f>
        <v>5</v>
      </c>
      <c r="ET156" s="217">
        <f>_xlfn.XLOOKUP(Crops[[#This Row],[ProductIndex]],Products[ID],Products[CSA Times])</f>
        <v>5</v>
      </c>
      <c r="EU156" s="208">
        <f>Crops[[#This Row],[Custom Yield Per Bed]]/(Crops[[#This Row],[CSA Need]]*(_xlfn.XLOOKUP(Crops[[#This Row],[ProductIndex]],Products[ID],Products[CSA Portion])*CSAMembers))</f>
        <v>0.26666666666666661</v>
      </c>
      <c r="EV156" s="208">
        <f>_xlfn.XLOOKUP(Crops[[#This Row],[ProductIndex]],Products[ID],Products[CSA Portion])*CSAMembers*Crops[[#This Row],[CSA Need]]/Crops[[#This Row],[Custom Yield Per Bed]]</f>
        <v>3.7500000000000004</v>
      </c>
      <c r="EW156" s="208">
        <f>IFERROR(Crops[[#This Row],[Days In Field]]*Crops[[#This Row],[CSA Beds]],"")</f>
        <v>783.75000000000011</v>
      </c>
      <c r="EX156" s="208" t="e">
        <f>Crops[[#This Row],[CSA Bed Days]]*#REF!</f>
        <v>#REF!</v>
      </c>
      <c r="EY156" t="s">
        <v>291</v>
      </c>
    </row>
    <row r="157" spans="1:155">
      <c r="A15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Mature Leaf 2X | Field TP Sp</v>
      </c>
      <c r="B157" s="191"/>
      <c r="C157" s="1" t="b">
        <v>1</v>
      </c>
      <c r="D157" s="1"/>
      <c r="E157" s="1" t="b">
        <v>0</v>
      </c>
      <c r="F157" s="1" t="b">
        <f>IFERROR(IF(ISNUMBER(MATCH(Crops[[#This Row],[Identifier]],BedPlan[Crop], 0)), TRUE, FALSE), FALSE)</f>
        <v>1</v>
      </c>
      <c r="G157" s="1" t="b">
        <f>IFERROR(IF(ISNUMBER(MATCH(Crops[[#This Row],[Identifier]],BedPlan[Crop], 0)), TRUE, FALSE), FALSE)</f>
        <v>1</v>
      </c>
      <c r="H157" s="1" t="b">
        <v>1</v>
      </c>
      <c r="I157" t="s">
        <v>88</v>
      </c>
      <c r="J157" t="s">
        <v>145</v>
      </c>
      <c r="K157" t="s">
        <v>179</v>
      </c>
      <c r="M157" t="s">
        <v>445</v>
      </c>
      <c r="N157" t="str">
        <f>Crops[[#This Row],[Crop]]</f>
        <v>Kale</v>
      </c>
      <c r="O157" t="s">
        <v>210</v>
      </c>
      <c r="P157" t="str">
        <f>IF(OR(Crops[[#This Row],[Days in Cells]]="",Crops[[#This Row],[Days in Cells]]=0), "DS","TP")</f>
        <v>TP</v>
      </c>
      <c r="Q157" t="b">
        <v>1</v>
      </c>
      <c r="V157" t="str">
        <f xml:space="preserve"> IF(Crops[[#This Row],[Sp]], "Sp", "") &amp; IF(Crops[[#This Row],[Su]], "Su", "") &amp; IF(Crops[[#This Row],[Fa]], "Fa", "") &amp; IF(Crops[[#This Row],[Wi]], "Wi", "") &amp; IF(Crops[[#This Row],[OW]], "Ow","")</f>
        <v>Sp</v>
      </c>
      <c r="W157" t="s">
        <v>144</v>
      </c>
      <c r="X157">
        <v>2</v>
      </c>
      <c r="Y157">
        <v>18</v>
      </c>
      <c r="AA157" t="s">
        <v>475</v>
      </c>
      <c r="AB157" t="b">
        <v>1</v>
      </c>
      <c r="AC157">
        <v>3</v>
      </c>
      <c r="AD157" s="32">
        <f>IFERROR(12/Crops[[#This Row],[Spacing]]*Crops[[#This Row],[Rows]]*BedLength,"")</f>
        <v>66.666666666666657</v>
      </c>
      <c r="AE157">
        <v>2</v>
      </c>
      <c r="AG157">
        <v>1.1000000000000001</v>
      </c>
      <c r="AH157">
        <f>1</f>
        <v>1</v>
      </c>
      <c r="AI157" s="33">
        <f>IFERROR(Crops[[#This Row],[Plantings Per Bed]]*Crops[[#This Row],[Seeds Per Planting]]*Crops[[#This Row],[Safety Factor]]*Crops[[#This Row],[Seeding Factor]],"")</f>
        <v>146.66666666666666</v>
      </c>
      <c r="AL157">
        <f>_xlfn.FLOOR.MATH(IFERROR(AVERAGE(Crops[[#This Row],[DTG Lower]:[DTG Upper]]),0))</f>
        <v>0</v>
      </c>
      <c r="AM157">
        <f>SUM(Crops[[#This Row],[Tray 1 Days]],Crops[[#This Row],[Tray 2 Days]],Crops[[#This Row],[Tray 3 Days]])</f>
        <v>35</v>
      </c>
      <c r="AN157">
        <v>30</v>
      </c>
      <c r="AP157">
        <v>90</v>
      </c>
      <c r="AQ157">
        <f>IFERROR(_xlfn.FLOOR.MATH(AVERAGE(Crops[[#This Row],[DTM Lower]:[DTM Upper]])),"")</f>
        <v>90</v>
      </c>
      <c r="AR157" cm="1">
        <f t="array" ref="AR157">_xlfn.SWITCH(Crops[[#This Row],[Normal Method]],"DS",Crops[[#This Row],[Days to Germination]]+Crops[[#This Row],[DTM]] + IF(Crops[[#This Row],[Days in Cells]]&gt;0,15,0), "TP",Crops[[#This Row],[DTM]]+Crops[[#This Row],[Days in Cells]] + IF(Crops[[#This Row],[Days in Cells]]&lt;=0,20,0), "X", Crops[[#This Row],[DTM]])</f>
        <v>90</v>
      </c>
      <c r="AS157" t="s">
        <v>347</v>
      </c>
      <c r="AT157">
        <f>(Crops[[#This Row],[Harvests]]-1)*Crops[[#This Row],[Days Between Harvest]]+7</f>
        <v>56</v>
      </c>
      <c r="AU157">
        <f>Crops[[#This Row],[STH]]-Crops[[#This Row],[Days in Cells]]+Crops[[#This Row],[Harvest window]]</f>
        <v>111</v>
      </c>
      <c r="AX157">
        <v>72</v>
      </c>
      <c r="AY157">
        <v>35</v>
      </c>
      <c r="AZ157">
        <f>IFERROR(IF(Crops[[#This Row],[Tray 1 Days]]=0,"",Crops[[#This Row],[Plantings Per Bed]]/Crops[[#This Row],[Tray 1 Size]]*Crops[[#This Row],[Safety Factor]]),"")</f>
        <v>1.0185185185185184</v>
      </c>
      <c r="BC157" t="str">
        <f>IFERROR(IF(Crops[[#This Row],[Tray 2 Days]]=0,"",Crops[[#This Row],[Plantings Per Bed]]/Crops[[#This Row],[Tray 2 Size]]*Crops[[#This Row],[Safety Factor]]),"")</f>
        <v/>
      </c>
      <c r="BE157" s="32" t="str">
        <f>IF(NOT(ISBLANK(Crops[[#This Row],[Tray 3 Size]])), Crops[[#This Row],[Days in Cells Old]]-SUM(Crops[[#This Row],[Tray 1 Days]],Crops[[#This Row],[Tray 2 Days]]), "")</f>
        <v/>
      </c>
      <c r="BF157" t="str">
        <f>IFERROR(IF(Crops[[#This Row],[Tray 3 Days]]=0,"",Crops[[#This Row],[Plantings Per Bed]]/Crops[[#This Row],[Tray 3 Size]]*Crops[[#This Row],[Safety Factor]]),"")</f>
        <v/>
      </c>
      <c r="BG157" s="33">
        <f>Crops[[#This Row],[Plantings Per Bed]]/2</f>
        <v>33.333333333333329</v>
      </c>
      <c r="BH157" s="33">
        <v>8</v>
      </c>
      <c r="BI157" s="33">
        <v>7</v>
      </c>
      <c r="BJ157" s="33">
        <f>_xlfn.XLOOKUP(Crops[[#This Row],[ProductIndex]],Products[ID],Products[Holding Period])</f>
        <v>5</v>
      </c>
      <c r="BK157" s="33"/>
      <c r="BL157" s="33">
        <f>Crops[[#This Row],[Units Per Harvest]]*Crops[[#This Row],[Harvests]]</f>
        <v>266.66666666666663</v>
      </c>
      <c r="BM157" s="35">
        <v>3</v>
      </c>
      <c r="BN157" s="35">
        <f>Crops[[#This Row],[Direct Price]]*0.6</f>
        <v>1.7999999999999998</v>
      </c>
      <c r="BO157" s="35"/>
      <c r="BP157" t="s">
        <v>215</v>
      </c>
      <c r="BQ157">
        <f>Crops[[#This Row],[Custom Yield Per Bed]]*Crops[[#This Row],[Direct Price]]</f>
        <v>799.99999999999989</v>
      </c>
      <c r="BR157" t="b">
        <v>1</v>
      </c>
      <c r="BS157" t="b">
        <f>Crops[[#This Row],[Harvests]]&gt;1</f>
        <v>1</v>
      </c>
      <c r="BT157" s="36">
        <f>IFERROR(Crops[[#This Row],[Direct Revenue Per Bed]]/Crops[[#This Row],[Days In Field]],-1)</f>
        <v>7.2072072072072064</v>
      </c>
      <c r="BU157" s="36">
        <f>IFERROR(Crops[[#This Row],[Direct Revenue Per Bed Day]]*GrowingDays*BedsPerAcre,"")</f>
        <v>207567.56756756752</v>
      </c>
      <c r="BV157" s="38">
        <f>LastFrostDate-5*Crops[[#This Row],[Sewing Rel Last Frost]]</f>
        <v>45738</v>
      </c>
      <c r="BW157" s="38">
        <f>Crops[[#This Row],[Target Sewing Date]]+Crops[[#This Row],[Days in Cells]]</f>
        <v>45773</v>
      </c>
      <c r="BX157" s="38">
        <f>Crops[[#This Row],[Target Sewing Date]]+Crops[[#This Row],[STH]]</f>
        <v>45828</v>
      </c>
      <c r="BY157" s="38">
        <f>Crops[[#This Row],[Target Harvest Data]]+Crops[[#This Row],[Harvest window]]</f>
        <v>45884</v>
      </c>
      <c r="BZ157">
        <v>2</v>
      </c>
      <c r="CA157" t="s">
        <v>375</v>
      </c>
      <c r="CB157">
        <f>1</f>
        <v>1</v>
      </c>
      <c r="CC157">
        <f>IF(Crops[[#This Row],[Transplanting]]&gt;0, 2, 3)*BedLength/StandardBedLength</f>
        <v>1</v>
      </c>
      <c r="CD157" s="173">
        <f>IF(Crops[[#This Row],[Days in Cells]]&lt;=0,0,Crops[[#This Row],[Plantings Per Bed]]/StartsPerHourSeeding+Crops[[#This Row],[Tray 1 Count]]*5/60)</f>
        <v>0.34529320987654316</v>
      </c>
      <c r="CE157" s="173">
        <f>IF(ISBLANK(Crops[[#This Row],[Tray 2 Days]]),0,Crops[[#This Row],[Plantings Per Bed]]/UpPottingPerHour)+IF(Crops[[#This Row],[Tray 3 Days]]="",0,Crops[[#This Row],[Plantings Per Bed]]/UpPottingPerHour)</f>
        <v>0</v>
      </c>
      <c r="CF157" s="173">
        <f>IFERROR(Crops[[#This Row],[Tray 1 Count]]/HomeStartFlatIrrigationPerHour,0)*Crops[[#This Row],[Days in Cells]]/DaysBetweenStartIrrigation</f>
        <v>0.14853395061728394</v>
      </c>
      <c r="CG157" s="173">
        <f>0.5/16*MAX(Crops[[#This Row],[Tray 1 Count]],Crops[[#This Row],[Tray 2 Count]],Crops[[#This Row],[Tray 3 Count]])</f>
        <v>3.1828703703703699E-2</v>
      </c>
      <c r="CH157" s="173">
        <f>IF(Crops[[#This Row],[Days in Cells]]&gt;0,IF(IF(Crops[[#This Row],[Tray 3 Size]]&gt;0,Crops[[#This Row],[Tray 3 Size]],IF(Crops[[#This Row],[Tray 2 Size]]&gt;0,Crops[[#This Row],[Tray 2 Size]],Crops[[#This Row],[Tray 1 Size]]))&lt;=18,LargeTransplantTime,SmallTransplantTime)*Crops[[#This Row],[Plantings Per Bed]],0)</f>
        <v>0.33333333333333331</v>
      </c>
      <c r="CI157" s="173"/>
      <c r="CJ157" s="173">
        <f>_xlfn.XLOOKUP(Crops[[#This Row],[Trellis Type]],TrellisMethods[Trellis Type],TrellisMethods[Hours],0,0)</f>
        <v>0</v>
      </c>
      <c r="CK157">
        <f>IF(Crops[[#This Row],[Days in Cells]]&lt;=0,Crops[[#This Row],[Rows]]*1/10,0)*BedLength/50</f>
        <v>0</v>
      </c>
      <c r="CL157" cm="1">
        <f t="array" ref="CL157">_xlfn.SWITCH(Crops[[#This Row],[Irrigation]],"DR", 0.5, "OH", 0.25,0)*BedLength/50</f>
        <v>0</v>
      </c>
      <c r="CM157">
        <f>IF(OR(ISBLANK(Crops[[#This Row],[Row Cover]]),Crops[[#This Row],[Row Cover]]="None"),0,1)*BedLength/50</f>
        <v>1</v>
      </c>
      <c r="CN157" s="173">
        <f>HoursPerWeedingPass*Crops[[#This Row],[Days In Field]]/14*Crops[[#This Row],[Rows]]+1*BedLength/50</f>
        <v>3.6428571428571428</v>
      </c>
      <c r="CO157" s="49"/>
      <c r="CQ157" s="37">
        <f>_xlfn.XLOOKUP(Crops[[#This Row],[Crop]]&amp;Crops[[#This Row],[Product]]&amp;Crops[[#This Row],[Unit]],Products[ID],Products[Marketing (hr)])*Crops[[#This Row],[Direct Revenue Per Bed]]/2000</f>
        <v>0.79999999999999993</v>
      </c>
      <c r="CR157" s="37">
        <f>_xlfn.XLOOKUP(Crops[[#This Row],[Crop]]&amp;Crops[[#This Row],[Product]]&amp;Crops[[#This Row],[Unit]],Products[ID],Products[Harvest (s)])*Crops[[#This Row],[Custom Yield Per Bed]]/3600</f>
        <v>0.74074074074074059</v>
      </c>
      <c r="CS157" s="37">
        <f>_xlfn.XLOOKUP(Crops[[#This Row],[Crop]]&amp;Crops[[#This Row],[Product]]&amp;Crops[[#This Row],[Unit]],Products[ID],Products[Bunch (s)])*Crops[[#This Row],[Custom Yield Per Bed]]/3600</f>
        <v>0.74074074074074059</v>
      </c>
      <c r="CT157" s="37">
        <f>_xlfn.XLOOKUP(Crops[[#This Row],[Crop]]&amp;Crops[[#This Row],[Product]]&amp;Crops[[#This Row],[Unit]],Products[ID],Products[Haul (s)])*Crops[[#This Row],[Custom Yield Per Bed]]/3600</f>
        <v>0.37037037037037029</v>
      </c>
      <c r="CU157" s="37">
        <f>_xlfn.XLOOKUP(Crops[[#This Row],[Crop]]&amp;Crops[[#This Row],[Product]]&amp;Crops[[#This Row],[Unit]],Products[ID],Products[Wash (s)])*Crops[[#This Row],[Custom Yield Per Bed]]/3600</f>
        <v>0</v>
      </c>
      <c r="CV157" s="37">
        <f>_xlfn.XLOOKUP(Crops[[#This Row],[Crop]]&amp;Crops[[#This Row],[Product]]&amp;Crops[[#This Row],[Unit]],Products[ID],Products[Condition (s)])*Crops[[#This Row],[Custom Yield Per Bed]]/3600</f>
        <v>0.74074074074074059</v>
      </c>
      <c r="CW157" s="37">
        <f>_xlfn.XLOOKUP(Crops[[#This Row],[Crop]]&amp;Crops[[#This Row],[Product]]&amp;Crops[[#This Row],[Unit]],Products[ID],Products[Trim (s)])*Crops[[#This Row],[Custom Yield Per Bed]]/3600</f>
        <v>0.74074074074074059</v>
      </c>
      <c r="CX157" s="37">
        <f>_xlfn.XLOOKUP(Crops[[#This Row],[Crop]]&amp;Crops[[#This Row],[Product]]&amp;Crops[[#This Row],[Unit]],Products[ID],Products[Pack (s)])*Crops[[#This Row],[Custom Yield Per Bed]]/3600</f>
        <v>0.22222222222222218</v>
      </c>
      <c r="CY157" s="37">
        <f>_xlfn.XLOOKUP(Crops[[#This Row],[Crop]]&amp;Crops[[#This Row],[Product]]&amp;Crops[[#This Row],[Unit]],Products[ID],Products[Clean (s)])*Crops[[#This Row],[Custom Yield Per Bed]]/3600</f>
        <v>0</v>
      </c>
      <c r="CZ157" s="37">
        <f>_xlfn.XLOOKUP(Crops[[#This Row],[Crop]]&amp;Crops[[#This Row],[Product]]&amp;Crops[[#This Row],[Unit]],Products[ID],Products[Rehandle (s)])*Crops[[#This Row],[Custom Yield Per Bed]]/3600</f>
        <v>0</v>
      </c>
      <c r="DA157" s="37">
        <f>_xlfn.XLOOKUP(Crops[[#This Row],[Crop]]&amp;Crops[[#This Row],[Product]]&amp;Crops[[#This Row],[Unit]],Products[ID],Products[Market Transport (s)])*Crops[[#This Row],[Custom Yield Per Bed]]/3600</f>
        <v>0.92592592592592582</v>
      </c>
      <c r="DC157" s="37">
        <f>Crops[[#This Row],[Direct Revenue Per Bed2]]</f>
        <v>799.99999999999989</v>
      </c>
      <c r="DD157" s="173">
        <f>_xlfn.AGGREGATE(9,6,Crops[[#This Row],[Bed Prep]:[Remove Crop Residue]])</f>
        <v>11.783327821869486</v>
      </c>
      <c r="DE157" s="173">
        <f>_xlfn.AGGREGATE(9,6,Crops[[#This Row],[Bed Prep]:[Remove Crop Residue]])-0.75*Crops[[#This Row],[Market &amp; Sell]]</f>
        <v>11.183327821869486</v>
      </c>
      <c r="DF157" s="36">
        <f>Crops[[#This Row],[Direct Revenue Per Bed2]]/Crops[[#This Row],[Direct Time]]</f>
        <v>67.892535291704689</v>
      </c>
      <c r="DG157" s="36">
        <f>_xlfn.XLOOKUP(Crops[[#This Row],[ProductIndex]],Products[ID],Products[Packaging Cost])*(Crops[[#This Row],[Custom Yield Per Bed]]/_xlfn.XLOOKUP(Crops[[#This Row],[ProductIndex]],Products[ID],Products[Units Per Pack]))</f>
        <v>56.296296296296291</v>
      </c>
      <c r="DH157" s="36"/>
      <c r="DI157" s="36"/>
      <c r="DJ157" s="36"/>
      <c r="DK157" s="36"/>
      <c r="DL157" s="36"/>
      <c r="DM157" s="33">
        <f>IFERROR(Crops[[#This Row],[Custom Yield Per Bed]]*Crops[[#This Row],[Direct Price]],"")</f>
        <v>799.99999999999989</v>
      </c>
      <c r="DN157" s="36">
        <f>Crops[[#This Row],[Direct Time]]*LaborRate</f>
        <v>294.58319554673716</v>
      </c>
      <c r="DO157" s="36">
        <f>SUM(Crops[[#This Row],[Irrigation Cost]])</f>
        <v>0</v>
      </c>
      <c r="DP157" s="36">
        <f>Crops[[#This Row],[Direct Labor Cost]]+Crops[[#This Row],[Direct Non-Labor Cost]]</f>
        <v>294.58319554673716</v>
      </c>
      <c r="DQ157" s="36">
        <f>Crops[[#This Row],[Direct Revenue Per Bed2]]-Crops[[#This Row],[Direct Total Cost]]</f>
        <v>505.41680445326273</v>
      </c>
      <c r="DR157" s="36">
        <f>Crops[[#This Row],[Direct Profit]]*BedsPerAcre</f>
        <v>80866.688712522038</v>
      </c>
      <c r="DS157" s="36">
        <f>Crops[[#This Row],[Direct Profit]]*BedsPerAcre*GrowingDays/Crops[[#This Row],[Days In Field]]</f>
        <v>131135.17088517087</v>
      </c>
      <c r="DT157" s="36">
        <f>Crops[[#This Row],[Direct Profit]]/MIN(Crops[[#This Row],[Days In Field]],GrowingDays)</f>
        <v>4.5533045446239884</v>
      </c>
      <c r="DU157" s="33">
        <f>Crops[[#This Row],[Direct Time]] * BedsPerAcre</f>
        <v>1885.3324514991177</v>
      </c>
      <c r="DV157" s="36">
        <f>(Crops[[#This Row],[Direct Revenue Per Bed2]]-Crops[[#This Row],[Direct Non-Labor Cost]])/Crops[[#This Row],[Direct Time]]</f>
        <v>67.892535291704689</v>
      </c>
      <c r="DW157" s="33">
        <f>IFERROR(Crops[[#This Row],[Custom Yield Per Bed]]*Crops[[#This Row],[Rough Wholesale Price]],"")</f>
        <v>479.99999999999989</v>
      </c>
      <c r="DX157" s="36">
        <f>Crops[[#This Row],[Wholesale Time]]*LaborRate</f>
        <v>279.58319554673716</v>
      </c>
      <c r="DY157" s="36">
        <f>SUM(Crops[[#This Row],[Packaging Costs]:[Irrigation Cost]])</f>
        <v>56.296296296296291</v>
      </c>
      <c r="DZ157" s="36">
        <f>Crops[[#This Row],[Wholesale Labor Cost]]+Crops[[#This Row],[Wholesale Non-Labor Cost]]</f>
        <v>335.87949184303346</v>
      </c>
      <c r="EA157" s="36">
        <f>Crops[[#This Row],[Wholesale Revenue Per Bed]]-Crops[[#This Row],[Wholesale Total Cost]]</f>
        <v>144.12050815696642</v>
      </c>
      <c r="EB157" s="36">
        <f>Crops[[#This Row],[Wholesale Profit]]*BedsPerAcre</f>
        <v>23059.28130511463</v>
      </c>
      <c r="EC157" s="36">
        <f>Crops[[#This Row],[Wholesale Profit]]*BedsPerAcre*GrowingDays/Crops[[#This Row],[Days In Field]]</f>
        <v>37393.42914342913</v>
      </c>
      <c r="ED157" s="33">
        <f>Crops[[#This Row],[Wholesale Time]] * BedsPerAcre</f>
        <v>1789.3324514991177</v>
      </c>
      <c r="EE157" s="221">
        <f>Crops[[#This Row],[Wholesale Profit]]/MIN(Crops[[#This Row],[Days In Field]],GrowingDays)</f>
        <v>1.298382956369067</v>
      </c>
      <c r="EF157" s="36">
        <f>(Crops[[#This Row],[Wholesale Revenue Per Bed]]-Crops[[#This Row],[Wholesale Non-Labor Cost]])/Crops[[#This Row],[Direct Time]]</f>
        <v>35.957898321162112</v>
      </c>
      <c r="EG157" s="174">
        <f>Crops[[#This Row],[Packaging Costs]]/Crops[[#This Row],[Wholesale Revenue Per Bed]]</f>
        <v>0.11728395061728397</v>
      </c>
      <c r="EH157" s="36" t="str">
        <f>Crops[[#This Row],[Crop]]&amp;Crops[[#This Row],[Product]]&amp;Crops[[#This Row],[Unit]]</f>
        <v>KaleMature LeafBunch</v>
      </c>
      <c r="EI157" s="36" t="b">
        <f>_xlfn.XLOOKUP(Crops[[#This Row],[ProductIndex]],Products[ID],Products[Target])</f>
        <v>1</v>
      </c>
      <c r="EJ157" s="33">
        <f>Crops[[#This Row],[Custom Yield Per Bed]]</f>
        <v>266.66666666666663</v>
      </c>
      <c r="EK157" s="210">
        <f>Crops[[#This Row],[Units Per Harvest]]/Crops[[#This Row],[Days Between Harvest]]*7</f>
        <v>33.333333333333329</v>
      </c>
      <c r="EL157" s="210">
        <f>Crops[[#This Row],[Custom Yield Per Bed]]/_xlfn.XLOOKUP(Crops[[#This Row],[ProductIndex]],Products[ID],Products[CSA Portion])</f>
        <v>266.66666666666663</v>
      </c>
      <c r="EM157" s="210">
        <f>Crops[[#This Row],[Units Per Harvest]]/Crops[[#This Row],[Days Between Harvest]]*7/_xlfn.XLOOKUP(Crops[[#This Row],[ProductIndex]],Products[ID],Products[CSA Portion])</f>
        <v>33.333333333333329</v>
      </c>
      <c r="EN157" s="210">
        <f>Crops[[#This Row],[CSA Portions Per Week]]/CSAMembers</f>
        <v>0.66666666666666652</v>
      </c>
      <c r="EO157" s="216"/>
      <c r="EP157" s="216"/>
      <c r="EQ157" s="210"/>
      <c r="ER157" s="210">
        <f>Crops[[#This Row],[Harvests]]*Crops[[#This Row],[Days Between Harvest]]/7</f>
        <v>8</v>
      </c>
      <c r="ES157" s="217">
        <f>_xlfn.XLOOKUP(Crops[[#This Row],[ProductIndex]],Products[ID],Products[CSA Need])</f>
        <v>5</v>
      </c>
      <c r="ET157" s="217">
        <f>_xlfn.XLOOKUP(Crops[[#This Row],[ProductIndex]],Products[ID],Products[CSA Times])</f>
        <v>5</v>
      </c>
      <c r="EU157" s="208">
        <f>Crops[[#This Row],[Custom Yield Per Bed]]/(Crops[[#This Row],[CSA Need]]*(_xlfn.XLOOKUP(Crops[[#This Row],[ProductIndex]],Products[ID],Products[CSA Portion])*CSAMembers))</f>
        <v>1.0666666666666664</v>
      </c>
      <c r="EV157" s="208">
        <f>_xlfn.XLOOKUP(Crops[[#This Row],[ProductIndex]],Products[ID],Products[CSA Portion])*CSAMembers*Crops[[#This Row],[CSA Need]]/Crops[[#This Row],[Custom Yield Per Bed]]</f>
        <v>0.93750000000000011</v>
      </c>
      <c r="EW157" s="208">
        <f>IFERROR(Crops[[#This Row],[Days In Field]]*Crops[[#This Row],[CSA Beds]],"")</f>
        <v>104.06250000000001</v>
      </c>
      <c r="EX157" s="208" t="e">
        <f>Crops[[#This Row],[CSA Bed Days]]*#REF!</f>
        <v>#REF!</v>
      </c>
      <c r="EY157" t="s">
        <v>1713</v>
      </c>
    </row>
    <row r="158" spans="1:155">
      <c r="A15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Kohlrabi (Lg) - Storage Bulb 1X | Field TP Fa</v>
      </c>
      <c r="B158" s="191"/>
      <c r="C158" s="1" t="b">
        <v>1</v>
      </c>
      <c r="D158" s="1" t="s">
        <v>2578</v>
      </c>
      <c r="E158" s="1" t="b">
        <v>0</v>
      </c>
      <c r="F158" s="1" t="b">
        <f>IFERROR(IF(ISNUMBER(MATCH(Crops[[#This Row],[Identifier]],BedPlan[Crop], 0)), TRUE, FALSE), FALSE)</f>
        <v>0</v>
      </c>
      <c r="G158" s="1" t="b">
        <f>IFERROR(IF(ISNUMBER(MATCH(Crops[[#This Row],[Identifier]],BedPlan[Crop], 0)), TRUE, FALSE), FALSE)</f>
        <v>0</v>
      </c>
      <c r="H158" s="1" t="b">
        <v>1</v>
      </c>
      <c r="I158" t="s">
        <v>89</v>
      </c>
      <c r="J158" t="s">
        <v>1887</v>
      </c>
      <c r="K158" t="s">
        <v>194</v>
      </c>
      <c r="M158" t="s">
        <v>445</v>
      </c>
      <c r="N158" t="str">
        <f>Crops[[#This Row],[Crop]]</f>
        <v>Kohlrabi</v>
      </c>
      <c r="O158" t="s">
        <v>210</v>
      </c>
      <c r="P158" t="str">
        <f>IF(OR(Crops[[#This Row],[Days in Cells]]="",Crops[[#This Row],[Days in Cells]]=0), "DS","TP")</f>
        <v>TP</v>
      </c>
      <c r="S158" t="s">
        <v>144</v>
      </c>
      <c r="V158" t="str">
        <f xml:space="preserve"> IF(Crops[[#This Row],[Sp]], "Sp", "") &amp; IF(Crops[[#This Row],[Su]], "Su", "") &amp; IF(Crops[[#This Row],[Fa]], "Fa", "") &amp; IF(Crops[[#This Row],[Wi]], "Wi", "") &amp; IF(Crops[[#This Row],[OW]], "Ow","")</f>
        <v>Fa</v>
      </c>
      <c r="W158" t="s">
        <v>144</v>
      </c>
      <c r="X158">
        <v>2</v>
      </c>
      <c r="Y158">
        <v>12</v>
      </c>
      <c r="AA158" t="s">
        <v>475</v>
      </c>
      <c r="AB158" t="b">
        <v>1</v>
      </c>
      <c r="AC158">
        <v>2</v>
      </c>
      <c r="AD158" s="32">
        <f>IFERROR(12/Crops[[#This Row],[Spacing]]*Crops[[#This Row],[Rows]]*BedLength,"")</f>
        <v>100</v>
      </c>
      <c r="AE158">
        <v>1</v>
      </c>
      <c r="AG158">
        <f>IF(Crops[[#This Row],[Custom Safety Factor]]="",PlantingSafetyFactor,Crops[[#This Row],[Custom Safety Factor]])</f>
        <v>1.3</v>
      </c>
      <c r="AH158">
        <f>1</f>
        <v>1</v>
      </c>
      <c r="AI158" s="33">
        <f>IFERROR(Crops[[#This Row],[Plantings Per Bed]]*Crops[[#This Row],[Seeds Per Planting]]*Crops[[#This Row],[Safety Factor]]*Crops[[#This Row],[Seeding Factor]],"")</f>
        <v>130</v>
      </c>
      <c r="AL158">
        <f>_xlfn.FLOOR.MATH(IFERROR(AVERAGE(Crops[[#This Row],[DTG Lower]:[DTG Upper]]),0))</f>
        <v>0</v>
      </c>
      <c r="AM158">
        <f>SUM(Crops[[#This Row],[Tray 1 Days]],Crops[[#This Row],[Tray 2 Days]],Crops[[#This Row],[Tray 3 Days]])</f>
        <v>25</v>
      </c>
      <c r="AN158">
        <v>30</v>
      </c>
      <c r="AP158">
        <v>70</v>
      </c>
      <c r="AQ158">
        <f>IFERROR(_xlfn.FLOOR.MATH(AVERAGE(Crops[[#This Row],[DTM Lower]:[DTM Upper]])),"")</f>
        <v>70</v>
      </c>
      <c r="AR158" cm="1">
        <f t="array" ref="AR158">_xlfn.SWITCH(Crops[[#This Row],[Normal Method]],"DS",Crops[[#This Row],[Days to Germination]]+Crops[[#This Row],[DTM]] + IF(Crops[[#This Row],[Days in Cells]]&gt;0,15,0), "TP",Crops[[#This Row],[DTM]]+Crops[[#This Row],[Days in Cells]] + IF(Crops[[#This Row],[Days in Cells]]&lt;=0,20,0), "X", Crops[[#This Row],[DTM]])</f>
        <v>95</v>
      </c>
      <c r="AS158" t="s">
        <v>346</v>
      </c>
      <c r="AT158">
        <f>(Crops[[#This Row],[Harvests]]-1)*Crops[[#This Row],[Days Between Harvest]]+7</f>
        <v>14</v>
      </c>
      <c r="AU158">
        <f>Crops[[#This Row],[STH]]-Crops[[#This Row],[Days in Cells]]+Crops[[#This Row],[Harvest window]]</f>
        <v>84</v>
      </c>
      <c r="AX158">
        <v>128</v>
      </c>
      <c r="AY158">
        <v>25</v>
      </c>
      <c r="AZ158">
        <f>IFERROR(IF(Crops[[#This Row],[Tray 1 Days]]=0,"",Crops[[#This Row],[Plantings Per Bed]]/Crops[[#This Row],[Tray 1 Size]]*Crops[[#This Row],[Safety Factor]]),"")</f>
        <v>1.015625</v>
      </c>
      <c r="BC158" t="str">
        <f>IFERROR(IF(Crops[[#This Row],[Tray 2 Days]]=0,"",Crops[[#This Row],[Plantings Per Bed]]/Crops[[#This Row],[Tray 2 Size]]*Crops[[#This Row],[Safety Factor]]),"")</f>
        <v/>
      </c>
      <c r="BE158" s="32" t="str">
        <f>IF(NOT(ISBLANK(Crops[[#This Row],[Tray 3 Size]])), Crops[[#This Row],[Days in Cells Old]]-SUM(Crops[[#This Row],[Tray 1 Days]],Crops[[#This Row],[Tray 2 Days]]), "")</f>
        <v/>
      </c>
      <c r="BF158" t="str">
        <f>IFERROR(IF(Crops[[#This Row],[Tray 3 Days]]=0,"",Crops[[#This Row],[Plantings Per Bed]]/Crops[[#This Row],[Tray 3 Size]]*Crops[[#This Row],[Safety Factor]]),"")</f>
        <v/>
      </c>
      <c r="BG158" s="33">
        <f>Crops[[#This Row],[Plantings Per Bed]]/Crops[[#This Row],[Harvests]]</f>
        <v>50</v>
      </c>
      <c r="BH158" s="33">
        <v>2</v>
      </c>
      <c r="BI158" s="33">
        <v>7</v>
      </c>
      <c r="BJ158" s="33">
        <f>_xlfn.XLOOKUP(Crops[[#This Row],[ProductIndex]],Products[ID],Products[Holding Period])</f>
        <v>0</v>
      </c>
      <c r="BK158" s="33"/>
      <c r="BL158" s="33">
        <f>Crops[[#This Row],[Units Per Harvest]]*Crops[[#This Row],[Harvests]]</f>
        <v>100</v>
      </c>
      <c r="BM158" s="35">
        <v>7</v>
      </c>
      <c r="BN158" s="35">
        <f>Crops[[#This Row],[Direct Price]]*0.6</f>
        <v>4.2</v>
      </c>
      <c r="BO158" s="35"/>
      <c r="BP158" t="s">
        <v>2356</v>
      </c>
      <c r="BQ158">
        <f>Crops[[#This Row],[Custom Yield Per Bed]]*Crops[[#This Row],[Direct Price]]</f>
        <v>700</v>
      </c>
      <c r="BR158" t="b">
        <v>1</v>
      </c>
      <c r="BS158" t="b">
        <f>Crops[[#This Row],[Harvests]]&gt;1</f>
        <v>1</v>
      </c>
      <c r="BT158" s="36">
        <f>IFERROR(Crops[[#This Row],[Direct Revenue Per Bed]]/Crops[[#This Row],[Days In Field]],-1)</f>
        <v>8.3333333333333339</v>
      </c>
      <c r="BU158" s="36">
        <f>IFERROR(Crops[[#This Row],[Direct Revenue Per Bed Day]]*GrowingDays*BedsPerAcre,"")</f>
        <v>240000</v>
      </c>
      <c r="BV158" s="38">
        <f>LastFrostDate-5*Crops[[#This Row],[Sewing Rel Last Frost]]</f>
        <v>45823</v>
      </c>
      <c r="BW158" s="38">
        <f>Crops[[#This Row],[Target Sewing Date]]+Crops[[#This Row],[Days in Cells]]</f>
        <v>45848</v>
      </c>
      <c r="BX158" s="38">
        <f>Crops[[#This Row],[Target Sewing Date]]+Crops[[#This Row],[STH]]</f>
        <v>45918</v>
      </c>
      <c r="BY158" s="38">
        <f>Crops[[#This Row],[Target Harvest Data]]+Crops[[#This Row],[Harvest window]]</f>
        <v>45932</v>
      </c>
      <c r="BZ158">
        <v>-15</v>
      </c>
      <c r="CA158" t="s">
        <v>373</v>
      </c>
      <c r="CB158">
        <f>1</f>
        <v>1</v>
      </c>
      <c r="CC158">
        <f>IF(Crops[[#This Row],[Transplanting]]&gt;0, 2, 3)*BedLength/StandardBedLength</f>
        <v>1</v>
      </c>
      <c r="CD158" s="173">
        <f>IF(Crops[[#This Row],[Days in Cells]]&lt;=0,0,Crops[[#This Row],[Plantings Per Bed]]/StartsPerHourSeeding+Crops[[#This Row],[Tray 1 Count]]*5/60)</f>
        <v>0.47526041666666669</v>
      </c>
      <c r="CE158" s="173">
        <f>IF(ISBLANK(Crops[[#This Row],[Tray 2 Days]]),0,Crops[[#This Row],[Plantings Per Bed]]/UpPottingPerHour)+IF(Crops[[#This Row],[Tray 3 Days]]="",0,Crops[[#This Row],[Plantings Per Bed]]/UpPottingPerHour)</f>
        <v>0</v>
      </c>
      <c r="CF158" s="173">
        <f>IFERROR(Crops[[#This Row],[Tray 1 Count]]/HomeStartFlatIrrigationPerHour,0)*Crops[[#This Row],[Days in Cells]]/DaysBetweenStartIrrigation</f>
        <v>0.10579427083333333</v>
      </c>
      <c r="CG158" s="173">
        <f>0.5/16*MAX(Crops[[#This Row],[Tray 1 Count]],Crops[[#This Row],[Tray 2 Count]],Crops[[#This Row],[Tray 3 Count]])</f>
        <v>3.173828125E-2</v>
      </c>
      <c r="CH158" s="173">
        <f>IF(Crops[[#This Row],[Days in Cells]]&gt;0,IF(IF(Crops[[#This Row],[Tray 3 Size]]&gt;0,Crops[[#This Row],[Tray 3 Size]],IF(Crops[[#This Row],[Tray 2 Size]]&gt;0,Crops[[#This Row],[Tray 2 Size]],Crops[[#This Row],[Tray 1 Size]]))&lt;=18,LargeTransplantTime,SmallTransplantTime)*Crops[[#This Row],[Plantings Per Bed]],0)</f>
        <v>0.5</v>
      </c>
      <c r="CI158" s="173"/>
      <c r="CJ158" s="173">
        <f>_xlfn.XLOOKUP(Crops[[#This Row],[Trellis Type]],TrellisMethods[Trellis Type],TrellisMethods[Hours],0,0)</f>
        <v>0</v>
      </c>
      <c r="CK158">
        <f>IF(Crops[[#This Row],[Days in Cells]]&lt;=0,Crops[[#This Row],[Rows]]*1/10,0)*BedLength/50</f>
        <v>0</v>
      </c>
      <c r="CL158" cm="1">
        <f t="array" ref="CL158">_xlfn.SWITCH(Crops[[#This Row],[Irrigation]],"DR", 0.5, "OH", 0.25,0)*BedLength/50</f>
        <v>0</v>
      </c>
      <c r="CM158">
        <f>IF(OR(ISBLANK(Crops[[#This Row],[Row Cover]]),Crops[[#This Row],[Row Cover]]="None"),0,1)*BedLength/50</f>
        <v>1</v>
      </c>
      <c r="CN158" s="173">
        <f>HoursPerWeedingPass*Crops[[#This Row],[Days In Field]]/14*Crops[[#This Row],[Rows]]+1*BedLength/50</f>
        <v>3</v>
      </c>
      <c r="CO158" s="49"/>
      <c r="CQ158" s="37">
        <f>_xlfn.XLOOKUP(Crops[[#This Row],[Crop]]&amp;Crops[[#This Row],[Product]]&amp;Crops[[#This Row],[Unit]],Products[ID],Products[Marketing (hr)])*Crops[[#This Row],[Direct Revenue Per Bed]]/2000</f>
        <v>1.05</v>
      </c>
      <c r="CR158" s="37">
        <f>_xlfn.XLOOKUP(Crops[[#This Row],[Crop]]&amp;Crops[[#This Row],[Product]]&amp;Crops[[#This Row],[Unit]],Products[ID],Products[Harvest (s)])*Crops[[#This Row],[Custom Yield Per Bed]]/3600</f>
        <v>0.27777777777777779</v>
      </c>
      <c r="CS158" s="37">
        <f>_xlfn.XLOOKUP(Crops[[#This Row],[Crop]]&amp;Crops[[#This Row],[Product]]&amp;Crops[[#This Row],[Unit]],Products[ID],Products[Bunch (s)])*Crops[[#This Row],[Custom Yield Per Bed]]/3600</f>
        <v>0</v>
      </c>
      <c r="CT158" s="37">
        <f>_xlfn.XLOOKUP(Crops[[#This Row],[Crop]]&amp;Crops[[#This Row],[Product]]&amp;Crops[[#This Row],[Unit]],Products[ID],Products[Haul (s)])*Crops[[#This Row],[Custom Yield Per Bed]]/3600</f>
        <v>6.25E-2</v>
      </c>
      <c r="CU158" s="37">
        <f>_xlfn.XLOOKUP(Crops[[#This Row],[Crop]]&amp;Crops[[#This Row],[Product]]&amp;Crops[[#This Row],[Unit]],Products[ID],Products[Wash (s)])*Crops[[#This Row],[Custom Yield Per Bed]]/3600</f>
        <v>0</v>
      </c>
      <c r="CV158" s="37">
        <f>_xlfn.XLOOKUP(Crops[[#This Row],[Crop]]&amp;Crops[[#This Row],[Product]]&amp;Crops[[#This Row],[Unit]],Products[ID],Products[Condition (s)])*Crops[[#This Row],[Custom Yield Per Bed]]/3600</f>
        <v>0</v>
      </c>
      <c r="CW158" s="37">
        <f>_xlfn.XLOOKUP(Crops[[#This Row],[Crop]]&amp;Crops[[#This Row],[Product]]&amp;Crops[[#This Row],[Unit]],Products[ID],Products[Trim (s)])*Crops[[#This Row],[Custom Yield Per Bed]]/3600</f>
        <v>0.27777777777777779</v>
      </c>
      <c r="CX158" s="37">
        <f>_xlfn.XLOOKUP(Crops[[#This Row],[Crop]]&amp;Crops[[#This Row],[Product]]&amp;Crops[[#This Row],[Unit]],Products[ID],Products[Pack (s)])*Crops[[#This Row],[Custom Yield Per Bed]]/3600</f>
        <v>8.3333333333333329E-2</v>
      </c>
      <c r="CY158" s="37">
        <f>_xlfn.XLOOKUP(Crops[[#This Row],[Crop]]&amp;Crops[[#This Row],[Product]]&amp;Crops[[#This Row],[Unit]],Products[ID],Products[Clean (s)])*Crops[[#This Row],[Custom Yield Per Bed]]/3600</f>
        <v>0</v>
      </c>
      <c r="CZ158" s="37">
        <f>_xlfn.XLOOKUP(Crops[[#This Row],[Crop]]&amp;Crops[[#This Row],[Product]]&amp;Crops[[#This Row],[Unit]],Products[ID],Products[Rehandle (s)])*Crops[[#This Row],[Custom Yield Per Bed]]/3600</f>
        <v>0</v>
      </c>
      <c r="DA158" s="37">
        <f>_xlfn.XLOOKUP(Crops[[#This Row],[Crop]]&amp;Crops[[#This Row],[Product]]&amp;Crops[[#This Row],[Unit]],Products[ID],Products[Market Transport (s)])*Crops[[#This Row],[Custom Yield Per Bed]]/3600</f>
        <v>0.15625</v>
      </c>
      <c r="DC158" s="37">
        <f>Crops[[#This Row],[Direct Revenue Per Bed2]]</f>
        <v>700</v>
      </c>
      <c r="DD158" s="173">
        <f>_xlfn.AGGREGATE(9,6,Crops[[#This Row],[Bed Prep]:[Remove Crop Residue]])</f>
        <v>8.0204318576388882</v>
      </c>
      <c r="DE158" s="173">
        <f>_xlfn.AGGREGATE(9,6,Crops[[#This Row],[Bed Prep]:[Remove Crop Residue]])-0.75*Crops[[#This Row],[Market &amp; Sell]]</f>
        <v>7.2329318576388886</v>
      </c>
      <c r="DF158" s="36">
        <f>Crops[[#This Row],[Direct Revenue Per Bed2]]/Crops[[#This Row],[Direct Time]]</f>
        <v>87.277095850306367</v>
      </c>
      <c r="DG158" s="36">
        <f>_xlfn.XLOOKUP(Crops[[#This Row],[ProductIndex]],Products[ID],Products[Packaging Cost])*(Crops[[#This Row],[Custom Yield Per Bed]]/_xlfn.XLOOKUP(Crops[[#This Row],[ProductIndex]],Products[ID],Products[Units Per Pack]))</f>
        <v>15.2</v>
      </c>
      <c r="DH158" s="36"/>
      <c r="DI158" s="36"/>
      <c r="DJ158" s="36"/>
      <c r="DK158" s="36"/>
      <c r="DL158" s="36"/>
      <c r="DM158" s="33">
        <f>IFERROR(Crops[[#This Row],[Custom Yield Per Bed]]*Crops[[#This Row],[Direct Price]],"")</f>
        <v>700</v>
      </c>
      <c r="DN158" s="36">
        <f>Crops[[#This Row],[Direct Time]]*LaborRate</f>
        <v>200.5107964409722</v>
      </c>
      <c r="DO158" s="36">
        <f>SUM(Crops[[#This Row],[Irrigation Cost]])</f>
        <v>0</v>
      </c>
      <c r="DP158" s="36">
        <f>Crops[[#This Row],[Direct Labor Cost]]+Crops[[#This Row],[Direct Non-Labor Cost]]</f>
        <v>200.5107964409722</v>
      </c>
      <c r="DQ158" s="36">
        <f>Crops[[#This Row],[Direct Revenue Per Bed2]]-Crops[[#This Row],[Direct Total Cost]]</f>
        <v>499.48920355902783</v>
      </c>
      <c r="DR158" s="36">
        <f>Crops[[#This Row],[Direct Profit]]*BedsPerAcre</f>
        <v>79918.272569444453</v>
      </c>
      <c r="DS158" s="36">
        <f>Crops[[#This Row],[Direct Profit]]*BedsPerAcre*GrowingDays/Crops[[#This Row],[Days In Field]]</f>
        <v>171253.44122023811</v>
      </c>
      <c r="DT158" s="36">
        <f>Crops[[#This Row],[Direct Profit]]/MIN(Crops[[#This Row],[Days In Field]],GrowingDays)</f>
        <v>5.946300042369379</v>
      </c>
      <c r="DU158" s="36">
        <f>Crops[[#This Row],[Direct Time]] * BedsPerAcre</f>
        <v>1283.2690972222222</v>
      </c>
      <c r="DV158" s="36">
        <f>(Crops[[#This Row],[Direct Revenue Per Bed2]]-Crops[[#This Row],[Direct Non-Labor Cost]])/Crops[[#This Row],[Direct Time]]</f>
        <v>87.277095850306367</v>
      </c>
      <c r="DW158" s="33">
        <f>IFERROR(Crops[[#This Row],[Custom Yield Per Bed]]*Crops[[#This Row],[Rough Wholesale Price]],"")</f>
        <v>420</v>
      </c>
      <c r="DX158" s="36">
        <f>Crops[[#This Row],[Wholesale Time]]*LaborRate</f>
        <v>180.82329644097223</v>
      </c>
      <c r="DY158" s="36">
        <f>SUM(Crops[[#This Row],[Packaging Costs]:[Irrigation Cost]])</f>
        <v>15.2</v>
      </c>
      <c r="DZ158" s="36">
        <f>Crops[[#This Row],[Wholesale Labor Cost]]+Crops[[#This Row],[Wholesale Non-Labor Cost]]</f>
        <v>196.02329644097222</v>
      </c>
      <c r="EA158" s="36">
        <f>Crops[[#This Row],[Wholesale Revenue Per Bed]]-Crops[[#This Row],[Wholesale Total Cost]]</f>
        <v>223.97670355902778</v>
      </c>
      <c r="EB158" s="36">
        <f>Crops[[#This Row],[Wholesale Profit]]*BedsPerAcre</f>
        <v>35836.272569444445</v>
      </c>
      <c r="EC158" s="36">
        <f>Crops[[#This Row],[Wholesale Profit]]*BedsPerAcre*GrowingDays/Crops[[#This Row],[Days In Field]]</f>
        <v>76792.012648809527</v>
      </c>
      <c r="ED158" s="36">
        <f>Crops[[#This Row],[Wholesale Time]] * BedsPerAcre</f>
        <v>1157.2690972222222</v>
      </c>
      <c r="EE158" s="221">
        <f>Crops[[#This Row],[Wholesale Profit]]/MIN(Crops[[#This Row],[Days In Field]],GrowingDays)</f>
        <v>2.6663893280836639</v>
      </c>
      <c r="EF158" s="36">
        <f>(Crops[[#This Row],[Wholesale Revenue Per Bed]]-Crops[[#This Row],[Wholesale Non-Labor Cost]])/Crops[[#This Row],[Direct Time]]</f>
        <v>50.471097714577169</v>
      </c>
      <c r="EG158" s="174">
        <f>Crops[[#This Row],[Packaging Costs]]/Crops[[#This Row],[Wholesale Revenue Per Bed]]</f>
        <v>3.619047619047619E-2</v>
      </c>
      <c r="EH158" s="36" t="str">
        <f>Crops[[#This Row],[Crop]]&amp;Crops[[#This Row],[Product]]&amp;Crops[[#This Row],[Unit]]</f>
        <v>KohlrabiStorage BulbBulb</v>
      </c>
      <c r="EI158" s="36" t="b">
        <f>_xlfn.XLOOKUP(Crops[[#This Row],[ProductIndex]],Products[ID],Products[Target])</f>
        <v>1</v>
      </c>
      <c r="EJ158" s="33">
        <f>Crops[[#This Row],[Custom Yield Per Bed]]</f>
        <v>100</v>
      </c>
      <c r="EK158" s="210">
        <f>Crops[[#This Row],[Units Per Harvest]]/Crops[[#This Row],[Days Between Harvest]]*7</f>
        <v>50</v>
      </c>
      <c r="EL158" s="210">
        <f>Crops[[#This Row],[Custom Yield Per Bed]]/_xlfn.XLOOKUP(Crops[[#This Row],[ProductIndex]],Products[ID],Products[CSA Portion])</f>
        <v>100</v>
      </c>
      <c r="EM158" s="210">
        <f>Crops[[#This Row],[Units Per Harvest]]/Crops[[#This Row],[Days Between Harvest]]*7/_xlfn.XLOOKUP(Crops[[#This Row],[ProductIndex]],Products[ID],Products[CSA Portion])</f>
        <v>50</v>
      </c>
      <c r="EN158" s="210">
        <f>Crops[[#This Row],[CSA Portions Per Week]]/CSAMembers</f>
        <v>1</v>
      </c>
      <c r="EO158" s="216"/>
      <c r="EP158" s="216"/>
      <c r="EQ158" s="36"/>
      <c r="ER158" s="36">
        <f>Crops[[#This Row],[Harvests]]*Crops[[#This Row],[Days Between Harvest]]/7</f>
        <v>2</v>
      </c>
      <c r="ES158" s="208">
        <f>_xlfn.XLOOKUP(Crops[[#This Row],[ProductIndex]],Products[ID],Products[CSA Need])</f>
        <v>1</v>
      </c>
      <c r="ET158" s="208">
        <f>_xlfn.XLOOKUP(Crops[[#This Row],[ProductIndex]],Products[ID],Products[CSA Times])</f>
        <v>1</v>
      </c>
      <c r="EU158" s="208">
        <f>Crops[[#This Row],[Custom Yield Per Bed]]/(Crops[[#This Row],[CSA Need]]*(_xlfn.XLOOKUP(Crops[[#This Row],[ProductIndex]],Products[ID],Products[CSA Portion])*CSAMembers))</f>
        <v>2</v>
      </c>
      <c r="EV158" s="208">
        <f>_xlfn.XLOOKUP(Crops[[#This Row],[ProductIndex]],Products[ID],Products[CSA Portion])*CSAMembers*Crops[[#This Row],[CSA Need]]/Crops[[#This Row],[Custom Yield Per Bed]]</f>
        <v>0.5</v>
      </c>
      <c r="EW158" s="208">
        <f>IFERROR(Crops[[#This Row],[Days In Field]]*Crops[[#This Row],[CSA Beds]],"")</f>
        <v>42</v>
      </c>
      <c r="EX158" s="208" t="e">
        <f>Crops[[#This Row],[CSA Bed Days]]*#REF!</f>
        <v>#REF!</v>
      </c>
      <c r="EY158" t="s">
        <v>1407</v>
      </c>
    </row>
    <row r="159" spans="1:155">
      <c r="A15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Kohlrabi (Sm) - Storage Bulb 1X | Field TP Fa</v>
      </c>
      <c r="B159" s="191"/>
      <c r="C159" s="1" t="b">
        <v>1</v>
      </c>
      <c r="D159" s="1"/>
      <c r="E159" s="1" t="b">
        <v>0</v>
      </c>
      <c r="F159" s="1" t="b">
        <f>IFERROR(IF(ISNUMBER(MATCH(Crops[[#This Row],[Identifier]],BedPlan[Crop], 0)), TRUE, FALSE), FALSE)</f>
        <v>1</v>
      </c>
      <c r="G159" s="1" t="b">
        <f>IFERROR(IF(ISNUMBER(MATCH(Crops[[#This Row],[Identifier]],BedPlan[Crop], 0)), TRUE, FALSE), FALSE)</f>
        <v>1</v>
      </c>
      <c r="H159" s="1" t="b">
        <v>1</v>
      </c>
      <c r="I159" t="s">
        <v>89</v>
      </c>
      <c r="J159" t="s">
        <v>1888</v>
      </c>
      <c r="K159" t="s">
        <v>194</v>
      </c>
      <c r="M159" t="s">
        <v>445</v>
      </c>
      <c r="N159" t="str">
        <f>Crops[[#This Row],[Crop]]</f>
        <v>Kohlrabi</v>
      </c>
      <c r="O159" t="s">
        <v>210</v>
      </c>
      <c r="P159" t="str">
        <f>IF(OR(Crops[[#This Row],[Days in Cells]]="",Crops[[#This Row],[Days in Cells]]=0), "DS","TP")</f>
        <v>TP</v>
      </c>
      <c r="S159" t="s">
        <v>144</v>
      </c>
      <c r="V159" t="str">
        <f xml:space="preserve"> IF(Crops[[#This Row],[Sp]], "Sp", "") &amp; IF(Crops[[#This Row],[Su]], "Su", "") &amp; IF(Crops[[#This Row],[Fa]], "Fa", "") &amp; IF(Crops[[#This Row],[Wi]], "Wi", "") &amp; IF(Crops[[#This Row],[OW]], "Ow","")</f>
        <v>Fa</v>
      </c>
      <c r="W159" t="s">
        <v>144</v>
      </c>
      <c r="X159">
        <v>2</v>
      </c>
      <c r="Y159">
        <v>4</v>
      </c>
      <c r="AA159" t="s">
        <v>475</v>
      </c>
      <c r="AB159" t="b">
        <v>1</v>
      </c>
      <c r="AC159">
        <v>2</v>
      </c>
      <c r="AD159" s="32">
        <f>IFERROR(12/Crops[[#This Row],[Spacing]]*Crops[[#This Row],[Rows]]*BedLength,"")</f>
        <v>300</v>
      </c>
      <c r="AE159">
        <v>1</v>
      </c>
      <c r="AG159">
        <f>IF(Crops[[#This Row],[Custom Safety Factor]]="",PlantingSafetyFactor,Crops[[#This Row],[Custom Safety Factor]])</f>
        <v>1.3</v>
      </c>
      <c r="AH159">
        <f>1</f>
        <v>1</v>
      </c>
      <c r="AI159" s="33">
        <f>IFERROR(Crops[[#This Row],[Plantings Per Bed]]*Crops[[#This Row],[Seeds Per Planting]]*Crops[[#This Row],[Safety Factor]]*Crops[[#This Row],[Seeding Factor]],"")</f>
        <v>390</v>
      </c>
      <c r="AL159">
        <f>_xlfn.FLOOR.MATH(IFERROR(AVERAGE(Crops[[#This Row],[DTG Lower]:[DTG Upper]]),0))</f>
        <v>0</v>
      </c>
      <c r="AM159">
        <f>SUM(Crops[[#This Row],[Tray 1 Days]],Crops[[#This Row],[Tray 2 Days]],Crops[[#This Row],[Tray 3 Days]])</f>
        <v>25</v>
      </c>
      <c r="AN159">
        <v>30</v>
      </c>
      <c r="AP159">
        <v>48</v>
      </c>
      <c r="AQ159">
        <f>IFERROR(_xlfn.FLOOR.MATH(AVERAGE(Crops[[#This Row],[DTM Lower]:[DTM Upper]])),"")</f>
        <v>48</v>
      </c>
      <c r="AR159" cm="1">
        <f t="array" ref="AR159">_xlfn.SWITCH(Crops[[#This Row],[Normal Method]],"DS",Crops[[#This Row],[Days to Germination]]+Crops[[#This Row],[DTM]] + IF(Crops[[#This Row],[Days in Cells]]&gt;0,15,0), "TP",Crops[[#This Row],[DTM]]+Crops[[#This Row],[Days in Cells]] + IF(Crops[[#This Row],[Days in Cells]]&lt;=0,20,0), "X", Crops[[#This Row],[DTM]])</f>
        <v>73</v>
      </c>
      <c r="AS159" t="s">
        <v>346</v>
      </c>
      <c r="AT159">
        <f>(Crops[[#This Row],[Harvests]]-1)*Crops[[#This Row],[Days Between Harvest]]+7</f>
        <v>14</v>
      </c>
      <c r="AU159">
        <f>Crops[[#This Row],[STH]]-Crops[[#This Row],[Days in Cells]]+Crops[[#This Row],[Harvest window]]</f>
        <v>62</v>
      </c>
      <c r="AX159">
        <v>128</v>
      </c>
      <c r="AY159">
        <v>25</v>
      </c>
      <c r="AZ159">
        <f>IFERROR(IF(Crops[[#This Row],[Tray 1 Days]]=0,"",Crops[[#This Row],[Plantings Per Bed]]/Crops[[#This Row],[Tray 1 Size]]*Crops[[#This Row],[Safety Factor]]),"")</f>
        <v>3.046875</v>
      </c>
      <c r="BC159" t="str">
        <f>IFERROR(IF(Crops[[#This Row],[Tray 2 Days]]=0,"",Crops[[#This Row],[Plantings Per Bed]]/Crops[[#This Row],[Tray 2 Size]]*Crops[[#This Row],[Safety Factor]]),"")</f>
        <v/>
      </c>
      <c r="BE159" s="32" t="str">
        <f>IF(NOT(ISBLANK(Crops[[#This Row],[Tray 3 Size]])), Crops[[#This Row],[Days in Cells Old]]-SUM(Crops[[#This Row],[Tray 1 Days]],Crops[[#This Row],[Tray 2 Days]]), "")</f>
        <v/>
      </c>
      <c r="BF159" t="str">
        <f>IFERROR(IF(Crops[[#This Row],[Tray 3 Days]]=0,"",Crops[[#This Row],[Plantings Per Bed]]/Crops[[#This Row],[Tray 3 Size]]*Crops[[#This Row],[Safety Factor]]),"")</f>
        <v/>
      </c>
      <c r="BG159" s="33">
        <f>Crops[[#This Row],[Plantings Per Bed]]/Crops[[#This Row],[Harvests]]</f>
        <v>150</v>
      </c>
      <c r="BH159" s="33">
        <v>2</v>
      </c>
      <c r="BI159" s="33">
        <v>7</v>
      </c>
      <c r="BJ159" s="33">
        <f>_xlfn.XLOOKUP(Crops[[#This Row],[ProductIndex]],Products[ID],Products[Holding Period])</f>
        <v>0</v>
      </c>
      <c r="BK159" s="33"/>
      <c r="BL159" s="33">
        <f>Crops[[#This Row],[Units Per Harvest]]*Crops[[#This Row],[Harvests]]</f>
        <v>300</v>
      </c>
      <c r="BM159" s="35">
        <v>2</v>
      </c>
      <c r="BN159" s="35">
        <f>Crops[[#This Row],[Direct Price]]*0.6</f>
        <v>1.2</v>
      </c>
      <c r="BO159" s="35"/>
      <c r="BP159" t="s">
        <v>2356</v>
      </c>
      <c r="BQ159">
        <f>Crops[[#This Row],[Custom Yield Per Bed]]*Crops[[#This Row],[Direct Price]]</f>
        <v>600</v>
      </c>
      <c r="BR159" t="b">
        <v>1</v>
      </c>
      <c r="BS159" t="b">
        <f>Crops[[#This Row],[Harvests]]&gt;1</f>
        <v>1</v>
      </c>
      <c r="BT159" s="36">
        <f>IFERROR(Crops[[#This Row],[Direct Revenue Per Bed]]/Crops[[#This Row],[Days In Field]],-1)</f>
        <v>9.67741935483871</v>
      </c>
      <c r="BU159" s="36">
        <f>IFERROR(Crops[[#This Row],[Direct Revenue Per Bed Day]]*GrowingDays*BedsPerAcre,"")</f>
        <v>278709.67741935485</v>
      </c>
      <c r="BV159" s="38">
        <f>LastFrostDate-5*Crops[[#This Row],[Sewing Rel Last Frost]]</f>
        <v>45823</v>
      </c>
      <c r="BW159" s="38">
        <f>Crops[[#This Row],[Target Sewing Date]]+Crops[[#This Row],[Days in Cells]]</f>
        <v>45848</v>
      </c>
      <c r="BX159" s="38">
        <f>Crops[[#This Row],[Target Sewing Date]]+Crops[[#This Row],[STH]]</f>
        <v>45896</v>
      </c>
      <c r="BY159" s="38">
        <f>Crops[[#This Row],[Target Harvest Data]]+Crops[[#This Row],[Harvest window]]</f>
        <v>45910</v>
      </c>
      <c r="BZ159">
        <v>-15</v>
      </c>
      <c r="CA159" t="s">
        <v>373</v>
      </c>
      <c r="CB159">
        <f>1</f>
        <v>1</v>
      </c>
      <c r="CC159">
        <f>IF(Crops[[#This Row],[Transplanting]]&gt;0, 2, 3)*BedLength/StandardBedLength</f>
        <v>1</v>
      </c>
      <c r="CD159" s="173">
        <f>IF(Crops[[#This Row],[Days in Cells]]&lt;=0,0,Crops[[#This Row],[Plantings Per Bed]]/StartsPerHourSeeding+Crops[[#This Row],[Tray 1 Count]]*5/60)</f>
        <v>1.42578125</v>
      </c>
      <c r="CE159" s="173">
        <f>IF(ISBLANK(Crops[[#This Row],[Tray 2 Days]]),0,Crops[[#This Row],[Plantings Per Bed]]/UpPottingPerHour)+IF(Crops[[#This Row],[Tray 3 Days]]="",0,Crops[[#This Row],[Plantings Per Bed]]/UpPottingPerHour)</f>
        <v>0</v>
      </c>
      <c r="CF159" s="173">
        <f>IFERROR(Crops[[#This Row],[Tray 1 Count]]/HomeStartFlatIrrigationPerHour,0)*Crops[[#This Row],[Days in Cells]]/DaysBetweenStartIrrigation</f>
        <v>0.3173828125</v>
      </c>
      <c r="CG159" s="173">
        <f>0.5/16*MAX(Crops[[#This Row],[Tray 1 Count]],Crops[[#This Row],[Tray 2 Count]],Crops[[#This Row],[Tray 3 Count]])</f>
        <v>9.521484375E-2</v>
      </c>
      <c r="CH159" s="173">
        <f>IF(Crops[[#This Row],[Days in Cells]]&gt;0,IF(IF(Crops[[#This Row],[Tray 3 Size]]&gt;0,Crops[[#This Row],[Tray 3 Size]],IF(Crops[[#This Row],[Tray 2 Size]]&gt;0,Crops[[#This Row],[Tray 2 Size]],Crops[[#This Row],[Tray 1 Size]]))&lt;=18,LargeTransplantTime,SmallTransplantTime)*Crops[[#This Row],[Plantings Per Bed]],0)</f>
        <v>1.5</v>
      </c>
      <c r="CI159" s="173"/>
      <c r="CJ159" s="173">
        <f>_xlfn.XLOOKUP(Crops[[#This Row],[Trellis Type]],TrellisMethods[Trellis Type],TrellisMethods[Hours],0,0)</f>
        <v>0</v>
      </c>
      <c r="CK159">
        <f>IF(Crops[[#This Row],[Days in Cells]]&lt;=0,Crops[[#This Row],[Rows]]*1/10,0)*BedLength/50</f>
        <v>0</v>
      </c>
      <c r="CL159" cm="1">
        <f t="array" ref="CL159">_xlfn.SWITCH(Crops[[#This Row],[Irrigation]],"DR", 0.5, "OH", 0.25,0)*BedLength/50</f>
        <v>0</v>
      </c>
      <c r="CM159">
        <f>IF(OR(ISBLANK(Crops[[#This Row],[Row Cover]]),Crops[[#This Row],[Row Cover]]="None"),0,1)*BedLength/50</f>
        <v>1</v>
      </c>
      <c r="CN159" s="173">
        <f>HoursPerWeedingPass*Crops[[#This Row],[Days In Field]]/14*Crops[[#This Row],[Rows]]+1*BedLength/50</f>
        <v>2.4761904761904763</v>
      </c>
      <c r="CO159" s="49"/>
      <c r="CQ159" s="37">
        <f>_xlfn.XLOOKUP(Crops[[#This Row],[Crop]]&amp;Crops[[#This Row],[Product]]&amp;Crops[[#This Row],[Unit]],Products[ID],Products[Marketing (hr)])*Crops[[#This Row],[Direct Revenue Per Bed]]/2000</f>
        <v>0.9</v>
      </c>
      <c r="CR159" s="37">
        <f>_xlfn.XLOOKUP(Crops[[#This Row],[Crop]]&amp;Crops[[#This Row],[Product]]&amp;Crops[[#This Row],[Unit]],Products[ID],Products[Harvest (s)])*Crops[[#This Row],[Custom Yield Per Bed]]/3600</f>
        <v>0.83333333333333337</v>
      </c>
      <c r="CS159" s="37">
        <f>_xlfn.XLOOKUP(Crops[[#This Row],[Crop]]&amp;Crops[[#This Row],[Product]]&amp;Crops[[#This Row],[Unit]],Products[ID],Products[Bunch (s)])*Crops[[#This Row],[Custom Yield Per Bed]]/3600</f>
        <v>0</v>
      </c>
      <c r="CT159" s="37">
        <f>_xlfn.XLOOKUP(Crops[[#This Row],[Crop]]&amp;Crops[[#This Row],[Product]]&amp;Crops[[#This Row],[Unit]],Products[ID],Products[Haul (s)])*Crops[[#This Row],[Custom Yield Per Bed]]/3600</f>
        <v>0.1875</v>
      </c>
      <c r="CU159" s="37">
        <f>_xlfn.XLOOKUP(Crops[[#This Row],[Crop]]&amp;Crops[[#This Row],[Product]]&amp;Crops[[#This Row],[Unit]],Products[ID],Products[Wash (s)])*Crops[[#This Row],[Custom Yield Per Bed]]/3600</f>
        <v>0</v>
      </c>
      <c r="CV159" s="37">
        <f>_xlfn.XLOOKUP(Crops[[#This Row],[Crop]]&amp;Crops[[#This Row],[Product]]&amp;Crops[[#This Row],[Unit]],Products[ID],Products[Condition (s)])*Crops[[#This Row],[Custom Yield Per Bed]]/3600</f>
        <v>0</v>
      </c>
      <c r="CW159" s="37">
        <f>_xlfn.XLOOKUP(Crops[[#This Row],[Crop]]&amp;Crops[[#This Row],[Product]]&amp;Crops[[#This Row],[Unit]],Products[ID],Products[Trim (s)])*Crops[[#This Row],[Custom Yield Per Bed]]/3600</f>
        <v>0.83333333333333337</v>
      </c>
      <c r="CX159" s="37">
        <f>_xlfn.XLOOKUP(Crops[[#This Row],[Crop]]&amp;Crops[[#This Row],[Product]]&amp;Crops[[#This Row],[Unit]],Products[ID],Products[Pack (s)])*Crops[[#This Row],[Custom Yield Per Bed]]/3600</f>
        <v>0.25</v>
      </c>
      <c r="CY159" s="37">
        <f>_xlfn.XLOOKUP(Crops[[#This Row],[Crop]]&amp;Crops[[#This Row],[Product]]&amp;Crops[[#This Row],[Unit]],Products[ID],Products[Clean (s)])*Crops[[#This Row],[Custom Yield Per Bed]]/3600</f>
        <v>0</v>
      </c>
      <c r="CZ159" s="37">
        <f>_xlfn.XLOOKUP(Crops[[#This Row],[Crop]]&amp;Crops[[#This Row],[Product]]&amp;Crops[[#This Row],[Unit]],Products[ID],Products[Rehandle (s)])*Crops[[#This Row],[Custom Yield Per Bed]]/3600</f>
        <v>0</v>
      </c>
      <c r="DA159" s="37">
        <f>_xlfn.XLOOKUP(Crops[[#This Row],[Crop]]&amp;Crops[[#This Row],[Product]]&amp;Crops[[#This Row],[Unit]],Products[ID],Products[Market Transport (s)])*Crops[[#This Row],[Custom Yield Per Bed]]/3600</f>
        <v>0.46875</v>
      </c>
      <c r="DC159" s="37">
        <f>Crops[[#This Row],[Direct Revenue Per Bed2]]</f>
        <v>600</v>
      </c>
      <c r="DD159" s="173">
        <f>_xlfn.AGGREGATE(9,6,Crops[[#This Row],[Bed Prep]:[Remove Crop Residue]])</f>
        <v>11.287486049107144</v>
      </c>
      <c r="DE159" s="173">
        <f>_xlfn.AGGREGATE(9,6,Crops[[#This Row],[Bed Prep]:[Remove Crop Residue]])-0.75*Crops[[#This Row],[Market &amp; Sell]]</f>
        <v>10.612486049107144</v>
      </c>
      <c r="DF159" s="36">
        <f>Crops[[#This Row],[Direct Revenue Per Bed2]]/Crops[[#This Row],[Direct Time]]</f>
        <v>53.156211878327042</v>
      </c>
      <c r="DG159" s="36">
        <f>_xlfn.XLOOKUP(Crops[[#This Row],[ProductIndex]],Products[ID],Products[Packaging Cost])*(Crops[[#This Row],[Custom Yield Per Bed]]/_xlfn.XLOOKUP(Crops[[#This Row],[ProductIndex]],Products[ID],Products[Units Per Pack]))</f>
        <v>45.599999999999994</v>
      </c>
      <c r="DH159" s="36"/>
      <c r="DI159" s="36"/>
      <c r="DJ159" s="36"/>
      <c r="DK159" s="36"/>
      <c r="DL159" s="36"/>
      <c r="DM159" s="33">
        <f>IFERROR(Crops[[#This Row],[Custom Yield Per Bed]]*Crops[[#This Row],[Direct Price]],"")</f>
        <v>600</v>
      </c>
      <c r="DN159" s="36">
        <f>Crops[[#This Row],[Direct Time]]*LaborRate</f>
        <v>282.18715122767861</v>
      </c>
      <c r="DO159" s="36">
        <f>SUM(Crops[[#This Row],[Irrigation Cost]])</f>
        <v>0</v>
      </c>
      <c r="DP159" s="36">
        <f>Crops[[#This Row],[Direct Labor Cost]]+Crops[[#This Row],[Direct Non-Labor Cost]]</f>
        <v>282.18715122767861</v>
      </c>
      <c r="DQ159" s="36">
        <f>Crops[[#This Row],[Direct Revenue Per Bed2]]-Crops[[#This Row],[Direct Total Cost]]</f>
        <v>317.81284877232139</v>
      </c>
      <c r="DR159" s="36">
        <f>Crops[[#This Row],[Direct Profit]]*BedsPerAcre</f>
        <v>50850.05580357142</v>
      </c>
      <c r="DS159" s="36">
        <f>Crops[[#This Row],[Direct Profit]]*BedsPerAcre*GrowingDays/Crops[[#This Row],[Days In Field]]</f>
        <v>147629.19426843317</v>
      </c>
      <c r="DT159" s="36">
        <f>Crops[[#This Row],[Direct Profit]]/MIN(Crops[[#This Row],[Days In Field]],GrowingDays)</f>
        <v>5.1260136898761512</v>
      </c>
      <c r="DU159" s="36">
        <f>Crops[[#This Row],[Direct Time]] * BedsPerAcre</f>
        <v>1805.9977678571431</v>
      </c>
      <c r="DV159" s="36">
        <f>(Crops[[#This Row],[Direct Revenue Per Bed2]]-Crops[[#This Row],[Direct Non-Labor Cost]])/Crops[[#This Row],[Direct Time]]</f>
        <v>53.156211878327042</v>
      </c>
      <c r="DW159" s="33">
        <f>IFERROR(Crops[[#This Row],[Custom Yield Per Bed]]*Crops[[#This Row],[Rough Wholesale Price]],"")</f>
        <v>360</v>
      </c>
      <c r="DX159" s="36">
        <f>Crops[[#This Row],[Wholesale Time]]*LaborRate</f>
        <v>265.31215122767861</v>
      </c>
      <c r="DY159" s="36">
        <f>SUM(Crops[[#This Row],[Packaging Costs]:[Irrigation Cost]])</f>
        <v>45.599999999999994</v>
      </c>
      <c r="DZ159" s="36">
        <f>Crops[[#This Row],[Wholesale Labor Cost]]+Crops[[#This Row],[Wholesale Non-Labor Cost]]</f>
        <v>310.91215122767858</v>
      </c>
      <c r="EA159" s="36">
        <f>Crops[[#This Row],[Wholesale Revenue Per Bed]]-Crops[[#This Row],[Wholesale Total Cost]]</f>
        <v>49.087848772321422</v>
      </c>
      <c r="EB159" s="36">
        <f>Crops[[#This Row],[Wholesale Profit]]*BedsPerAcre</f>
        <v>7854.0558035714275</v>
      </c>
      <c r="EC159" s="36">
        <f>Crops[[#This Row],[Wholesale Profit]]*BedsPerAcre*GrowingDays/Crops[[#This Row],[Days In Field]]</f>
        <v>22802.097494239631</v>
      </c>
      <c r="ED159" s="36">
        <f>Crops[[#This Row],[Wholesale Time]] * BedsPerAcre</f>
        <v>1697.9977678571431</v>
      </c>
      <c r="EE159" s="221">
        <f>Crops[[#This Row],[Wholesale Profit]]/MIN(Crops[[#This Row],[Days In Field]],GrowingDays)</f>
        <v>0.79173949632776486</v>
      </c>
      <c r="EF159" s="36">
        <f>(Crops[[#This Row],[Wholesale Revenue Per Bed]]-Crops[[#This Row],[Wholesale Non-Labor Cost]])/Crops[[#This Row],[Direct Time]]</f>
        <v>27.853855024243369</v>
      </c>
      <c r="EG159" s="174">
        <f>Crops[[#This Row],[Packaging Costs]]/Crops[[#This Row],[Wholesale Revenue Per Bed]]</f>
        <v>0.12666666666666665</v>
      </c>
      <c r="EH159" s="36" t="str">
        <f>Crops[[#This Row],[Crop]]&amp;Crops[[#This Row],[Product]]&amp;Crops[[#This Row],[Unit]]</f>
        <v>KohlrabiStorage BulbBulb</v>
      </c>
      <c r="EI159" s="36" t="b">
        <f>_xlfn.XLOOKUP(Crops[[#This Row],[ProductIndex]],Products[ID],Products[Target])</f>
        <v>1</v>
      </c>
      <c r="EJ159" s="33">
        <f>Crops[[#This Row],[Custom Yield Per Bed]]</f>
        <v>300</v>
      </c>
      <c r="EK159" s="210">
        <f>Crops[[#This Row],[Units Per Harvest]]/Crops[[#This Row],[Days Between Harvest]]*7</f>
        <v>150</v>
      </c>
      <c r="EL159" s="210">
        <f>Crops[[#This Row],[Custom Yield Per Bed]]/_xlfn.XLOOKUP(Crops[[#This Row],[ProductIndex]],Products[ID],Products[CSA Portion])</f>
        <v>300</v>
      </c>
      <c r="EM159" s="210">
        <f>Crops[[#This Row],[Units Per Harvest]]/Crops[[#This Row],[Days Between Harvest]]*7/_xlfn.XLOOKUP(Crops[[#This Row],[ProductIndex]],Products[ID],Products[CSA Portion])</f>
        <v>150</v>
      </c>
      <c r="EN159" s="210">
        <f>Crops[[#This Row],[CSA Portions Per Week]]/CSAMembers</f>
        <v>3</v>
      </c>
      <c r="EO159" s="216"/>
      <c r="EP159" s="216"/>
      <c r="EQ159" s="36"/>
      <c r="ER159" s="36">
        <f>Crops[[#This Row],[Harvests]]*Crops[[#This Row],[Days Between Harvest]]/7</f>
        <v>2</v>
      </c>
      <c r="ES159" s="208">
        <f>_xlfn.XLOOKUP(Crops[[#This Row],[ProductIndex]],Products[ID],Products[CSA Need])</f>
        <v>1</v>
      </c>
      <c r="ET159" s="208">
        <f>_xlfn.XLOOKUP(Crops[[#This Row],[ProductIndex]],Products[ID],Products[CSA Times])</f>
        <v>1</v>
      </c>
      <c r="EU159" s="208">
        <f>Crops[[#This Row],[Custom Yield Per Bed]]/(Crops[[#This Row],[CSA Need]]*(_xlfn.XLOOKUP(Crops[[#This Row],[ProductIndex]],Products[ID],Products[CSA Portion])*CSAMembers))</f>
        <v>6</v>
      </c>
      <c r="EV159" s="208">
        <f>_xlfn.XLOOKUP(Crops[[#This Row],[ProductIndex]],Products[ID],Products[CSA Portion])*CSAMembers*Crops[[#This Row],[CSA Need]]/Crops[[#This Row],[Custom Yield Per Bed]]</f>
        <v>0.16666666666666666</v>
      </c>
      <c r="EW159" s="208">
        <f>IFERROR(Crops[[#This Row],[Days In Field]]*Crops[[#This Row],[CSA Beds]],"")</f>
        <v>10.333333333333332</v>
      </c>
      <c r="EX159" s="208" t="e">
        <f>Crops[[#This Row],[CSA Bed Days]]*#REF!</f>
        <v>#REF!</v>
      </c>
      <c r="EY159" t="s">
        <v>1407</v>
      </c>
    </row>
    <row r="160" spans="1:155">
      <c r="A16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Kohlrabi (Sm) - Storage Bulb 1X | Field TP Sp</v>
      </c>
      <c r="B160" s="191"/>
      <c r="C160" s="1" t="b">
        <v>1</v>
      </c>
      <c r="D160" s="1"/>
      <c r="E160" s="1" t="b">
        <v>0</v>
      </c>
      <c r="F160" s="1" t="b">
        <f>IFERROR(IF(ISNUMBER(MATCH(Crops[[#This Row],[Identifier]],BedPlan[Crop], 0)), TRUE, FALSE), FALSE)</f>
        <v>1</v>
      </c>
      <c r="G160" s="1" t="b">
        <f>IFERROR(IF(ISNUMBER(MATCH(Crops[[#This Row],[Identifier]],BedPlan[Crop], 0)), TRUE, FALSE), FALSE)</f>
        <v>1</v>
      </c>
      <c r="H160" s="1"/>
      <c r="I160" t="s">
        <v>89</v>
      </c>
      <c r="J160" t="s">
        <v>1888</v>
      </c>
      <c r="K160" t="s">
        <v>194</v>
      </c>
      <c r="N160" t="str">
        <f>Crops[[#This Row],[Crop]]</f>
        <v>Kohlrabi</v>
      </c>
      <c r="O160" t="s">
        <v>210</v>
      </c>
      <c r="P160" t="str">
        <f>IF(OR(Crops[[#This Row],[Days in Cells]]="",Crops[[#This Row],[Days in Cells]]=0), "DS","TP")</f>
        <v>TP</v>
      </c>
      <c r="Q160" t="b">
        <v>1</v>
      </c>
      <c r="V160" t="str">
        <f xml:space="preserve"> IF(Crops[[#This Row],[Sp]], "Sp", "") &amp; IF(Crops[[#This Row],[Su]], "Su", "") &amp; IF(Crops[[#This Row],[Fa]], "Fa", "") &amp; IF(Crops[[#This Row],[Wi]], "Wi", "") &amp; IF(Crops[[#This Row],[OW]], "Ow","")</f>
        <v>Sp</v>
      </c>
      <c r="W160" t="s">
        <v>144</v>
      </c>
      <c r="X160">
        <v>2</v>
      </c>
      <c r="Y160">
        <v>4</v>
      </c>
      <c r="AA160" t="s">
        <v>475</v>
      </c>
      <c r="AB160" t="b">
        <v>1</v>
      </c>
      <c r="AD160" s="32">
        <f>IFERROR(12/Crops[[#This Row],[Spacing]]*Crops[[#This Row],[Rows]]*BedLength,"")</f>
        <v>300</v>
      </c>
      <c r="AE160">
        <v>1</v>
      </c>
      <c r="AG160">
        <f>IF(Crops[[#This Row],[Custom Safety Factor]]="",PlantingSafetyFactor,Crops[[#This Row],[Custom Safety Factor]])</f>
        <v>1.3</v>
      </c>
      <c r="AH160">
        <f>1</f>
        <v>1</v>
      </c>
      <c r="AI160" s="33">
        <f>IFERROR(Crops[[#This Row],[Plantings Per Bed]]*Crops[[#This Row],[Seeds Per Planting]]*Crops[[#This Row],[Safety Factor]]*Crops[[#This Row],[Seeding Factor]],"")</f>
        <v>390</v>
      </c>
      <c r="AL160">
        <f>_xlfn.FLOOR.MATH(IFERROR(AVERAGE(Crops[[#This Row],[DTG Lower]:[DTG Upper]]),0))</f>
        <v>0</v>
      </c>
      <c r="AM160">
        <f>SUM(Crops[[#This Row],[Tray 1 Days]],Crops[[#This Row],[Tray 2 Days]],Crops[[#This Row],[Tray 3 Days]])</f>
        <v>25</v>
      </c>
      <c r="AN160">
        <v>30</v>
      </c>
      <c r="AP160">
        <v>55</v>
      </c>
      <c r="AQ160">
        <f>IFERROR(_xlfn.FLOOR.MATH(AVERAGE(Crops[[#This Row],[DTM Lower]:[DTM Upper]])),"")</f>
        <v>55</v>
      </c>
      <c r="AR160" cm="1">
        <f t="array" ref="AR160">_xlfn.SWITCH(Crops[[#This Row],[Normal Method]],"DS",Crops[[#This Row],[Days to Germination]]+Crops[[#This Row],[DTM]] + IF(Crops[[#This Row],[Days in Cells]]&gt;0,15,0), "TP",Crops[[#This Row],[DTM]]+Crops[[#This Row],[Days in Cells]] + IF(Crops[[#This Row],[Days in Cells]]&lt;=0,20,0), "X", Crops[[#This Row],[DTM]])</f>
        <v>55</v>
      </c>
      <c r="AS160" t="s">
        <v>347</v>
      </c>
      <c r="AT160">
        <f>(Crops[[#This Row],[Harvests]]-1)*Crops[[#This Row],[Days Between Harvest]]+7</f>
        <v>14</v>
      </c>
      <c r="AU160">
        <f>Crops[[#This Row],[STH]]-Crops[[#This Row],[Days in Cells]]+Crops[[#This Row],[Harvest window]]</f>
        <v>44</v>
      </c>
      <c r="AX160">
        <v>128</v>
      </c>
      <c r="AY160">
        <v>25</v>
      </c>
      <c r="AZ160">
        <f>IFERROR(IF(Crops[[#This Row],[Tray 1 Days]]=0,"",Crops[[#This Row],[Plantings Per Bed]]/Crops[[#This Row],[Tray 1 Size]]*Crops[[#This Row],[Safety Factor]]),"")</f>
        <v>3.046875</v>
      </c>
      <c r="BC160" t="str">
        <f>IFERROR(IF(Crops[[#This Row],[Tray 2 Days]]=0,"",Crops[[#This Row],[Plantings Per Bed]]/Crops[[#This Row],[Tray 2 Size]]*Crops[[#This Row],[Safety Factor]]),"")</f>
        <v/>
      </c>
      <c r="BE160" s="32" t="str">
        <f>IF(NOT(ISBLANK(Crops[[#This Row],[Tray 3 Size]])), Crops[[#This Row],[Days in Cells Old]]-SUM(Crops[[#This Row],[Tray 1 Days]],Crops[[#This Row],[Tray 2 Days]]), "")</f>
        <v/>
      </c>
      <c r="BF160" t="str">
        <f>IFERROR(IF(Crops[[#This Row],[Tray 3 Days]]=0,"",Crops[[#This Row],[Plantings Per Bed]]/Crops[[#This Row],[Tray 3 Size]]*Crops[[#This Row],[Safety Factor]]),"")</f>
        <v/>
      </c>
      <c r="BG160" s="33">
        <f>Crops[[#This Row],[Plantings Per Bed]]/Crops[[#This Row],[Harvests]]</f>
        <v>150</v>
      </c>
      <c r="BH160" s="33">
        <v>2</v>
      </c>
      <c r="BI160" s="33">
        <v>7</v>
      </c>
      <c r="BJ160" s="33">
        <f>_xlfn.XLOOKUP(Crops[[#This Row],[ProductIndex]],Products[ID],Products[Holding Period])</f>
        <v>0</v>
      </c>
      <c r="BK160" s="33"/>
      <c r="BL160" s="33">
        <f>Crops[[#This Row],[Units Per Harvest]]*Crops[[#This Row],[Harvests]]</f>
        <v>300</v>
      </c>
      <c r="BM160" s="35">
        <v>2</v>
      </c>
      <c r="BN160" s="35">
        <f>Crops[[#This Row],[Direct Price]]*0.6</f>
        <v>1.2</v>
      </c>
      <c r="BO160" s="35"/>
      <c r="BP160" t="s">
        <v>2356</v>
      </c>
      <c r="BQ160">
        <f>Crops[[#This Row],[Custom Yield Per Bed]]*Crops[[#This Row],[Direct Price]]</f>
        <v>600</v>
      </c>
      <c r="BR160" t="b">
        <v>1</v>
      </c>
      <c r="BS160" t="b">
        <f>Crops[[#This Row],[Harvests]]&gt;1</f>
        <v>1</v>
      </c>
      <c r="BT160" s="36">
        <f>IFERROR(Crops[[#This Row],[Direct Revenue Per Bed]]/Crops[[#This Row],[Days In Field]],-1)</f>
        <v>13.636363636363637</v>
      </c>
      <c r="BU160" s="36">
        <f>IFERROR(Crops[[#This Row],[Direct Revenue Per Bed Day]]*GrowingDays*BedsPerAcre,"")</f>
        <v>392727.27272727271</v>
      </c>
      <c r="BV160" s="38">
        <f>LastFrostDate-5*Crops[[#This Row],[Sewing Rel Last Frost]]</f>
        <v>45718</v>
      </c>
      <c r="BW160" s="38">
        <f>Crops[[#This Row],[Target Sewing Date]]+Crops[[#This Row],[Days in Cells]]</f>
        <v>45743</v>
      </c>
      <c r="BX160" s="38">
        <f>Crops[[#This Row],[Target Sewing Date]]+Crops[[#This Row],[STH]]</f>
        <v>45773</v>
      </c>
      <c r="BY160" s="38">
        <f>Crops[[#This Row],[Target Harvest Data]]+Crops[[#This Row],[Harvest window]]</f>
        <v>45787</v>
      </c>
      <c r="BZ160">
        <v>6</v>
      </c>
      <c r="CA160" t="s">
        <v>373</v>
      </c>
      <c r="CB160">
        <f>1</f>
        <v>1</v>
      </c>
      <c r="CC160">
        <f>IF(Crops[[#This Row],[Transplanting]]&gt;0, 2, 3)*BedLength/StandardBedLength</f>
        <v>1</v>
      </c>
      <c r="CD160" s="173">
        <f>IF(Crops[[#This Row],[Days in Cells]]&lt;=0,0,Crops[[#This Row],[Plantings Per Bed]]/StartsPerHourSeeding+Crops[[#This Row],[Tray 1 Count]]*5/60)</f>
        <v>1.42578125</v>
      </c>
      <c r="CE160" s="173">
        <f>IF(ISBLANK(Crops[[#This Row],[Tray 2 Days]]),0,Crops[[#This Row],[Plantings Per Bed]]/UpPottingPerHour)+IF(Crops[[#This Row],[Tray 3 Days]]="",0,Crops[[#This Row],[Plantings Per Bed]]/UpPottingPerHour)</f>
        <v>0</v>
      </c>
      <c r="CF160" s="173">
        <f>IFERROR(Crops[[#This Row],[Tray 1 Count]]/HomeStartFlatIrrigationPerHour,0)*Crops[[#This Row],[Days in Cells]]/DaysBetweenStartIrrigation</f>
        <v>0.3173828125</v>
      </c>
      <c r="CG160" s="173">
        <f>0.5/16*MAX(Crops[[#This Row],[Tray 1 Count]],Crops[[#This Row],[Tray 2 Count]],Crops[[#This Row],[Tray 3 Count]])</f>
        <v>9.521484375E-2</v>
      </c>
      <c r="CH160" s="173">
        <f>IF(Crops[[#This Row],[Days in Cells]]&gt;0,IF(IF(Crops[[#This Row],[Tray 3 Size]]&gt;0,Crops[[#This Row],[Tray 3 Size]],IF(Crops[[#This Row],[Tray 2 Size]]&gt;0,Crops[[#This Row],[Tray 2 Size]],Crops[[#This Row],[Tray 1 Size]]))&lt;=18,LargeTransplantTime,SmallTransplantTime)*Crops[[#This Row],[Plantings Per Bed]],0)</f>
        <v>1.5</v>
      </c>
      <c r="CI160" s="173"/>
      <c r="CJ160" s="173">
        <f>_xlfn.XLOOKUP(Crops[[#This Row],[Trellis Type]],TrellisMethods[Trellis Type],TrellisMethods[Hours],0,0)</f>
        <v>0</v>
      </c>
      <c r="CK160">
        <f>IF(Crops[[#This Row],[Days in Cells]]&lt;=0,Crops[[#This Row],[Rows]]*1/10,0)*BedLength/50</f>
        <v>0</v>
      </c>
      <c r="CL160" cm="1">
        <f t="array" ref="CL160">_xlfn.SWITCH(Crops[[#This Row],[Irrigation]],"DR", 0.5, "OH", 0.25,0)*BedLength/50</f>
        <v>0</v>
      </c>
      <c r="CM160">
        <f>IF(OR(ISBLANK(Crops[[#This Row],[Row Cover]]),Crops[[#This Row],[Row Cover]]="None"),0,1)*BedLength/50</f>
        <v>1</v>
      </c>
      <c r="CN160" s="173">
        <f>HoursPerWeedingPass*Crops[[#This Row],[Days In Field]]/14*Crops[[#This Row],[Rows]]+1*BedLength/50</f>
        <v>2.0476190476190474</v>
      </c>
      <c r="CO160" s="49"/>
      <c r="CQ160" s="37">
        <f>_xlfn.XLOOKUP(Crops[[#This Row],[Crop]]&amp;Crops[[#This Row],[Product]]&amp;Crops[[#This Row],[Unit]],Products[ID],Products[Marketing (hr)])*Crops[[#This Row],[Direct Revenue Per Bed]]/2000</f>
        <v>0.9</v>
      </c>
      <c r="CR160" s="37">
        <f>_xlfn.XLOOKUP(Crops[[#This Row],[Crop]]&amp;Crops[[#This Row],[Product]]&amp;Crops[[#This Row],[Unit]],Products[ID],Products[Harvest (s)])*Crops[[#This Row],[Custom Yield Per Bed]]/3600</f>
        <v>0.83333333333333337</v>
      </c>
      <c r="CS160" s="37">
        <f>_xlfn.XLOOKUP(Crops[[#This Row],[Crop]]&amp;Crops[[#This Row],[Product]]&amp;Crops[[#This Row],[Unit]],Products[ID],Products[Bunch (s)])*Crops[[#This Row],[Custom Yield Per Bed]]/3600</f>
        <v>0</v>
      </c>
      <c r="CT160" s="37">
        <f>_xlfn.XLOOKUP(Crops[[#This Row],[Crop]]&amp;Crops[[#This Row],[Product]]&amp;Crops[[#This Row],[Unit]],Products[ID],Products[Haul (s)])*Crops[[#This Row],[Custom Yield Per Bed]]/3600</f>
        <v>0.1875</v>
      </c>
      <c r="CU160" s="37">
        <f>_xlfn.XLOOKUP(Crops[[#This Row],[Crop]]&amp;Crops[[#This Row],[Product]]&amp;Crops[[#This Row],[Unit]],Products[ID],Products[Wash (s)])*Crops[[#This Row],[Custom Yield Per Bed]]/3600</f>
        <v>0</v>
      </c>
      <c r="CV160" s="37">
        <f>_xlfn.XLOOKUP(Crops[[#This Row],[Crop]]&amp;Crops[[#This Row],[Product]]&amp;Crops[[#This Row],[Unit]],Products[ID],Products[Condition (s)])*Crops[[#This Row],[Custom Yield Per Bed]]/3600</f>
        <v>0</v>
      </c>
      <c r="CW160" s="37">
        <f>_xlfn.XLOOKUP(Crops[[#This Row],[Crop]]&amp;Crops[[#This Row],[Product]]&amp;Crops[[#This Row],[Unit]],Products[ID],Products[Trim (s)])*Crops[[#This Row],[Custom Yield Per Bed]]/3600</f>
        <v>0.83333333333333337</v>
      </c>
      <c r="CX160" s="37">
        <f>_xlfn.XLOOKUP(Crops[[#This Row],[Crop]]&amp;Crops[[#This Row],[Product]]&amp;Crops[[#This Row],[Unit]],Products[ID],Products[Pack (s)])*Crops[[#This Row],[Custom Yield Per Bed]]/3600</f>
        <v>0.25</v>
      </c>
      <c r="CY160" s="37">
        <f>_xlfn.XLOOKUP(Crops[[#This Row],[Crop]]&amp;Crops[[#This Row],[Product]]&amp;Crops[[#This Row],[Unit]],Products[ID],Products[Clean (s)])*Crops[[#This Row],[Custom Yield Per Bed]]/3600</f>
        <v>0</v>
      </c>
      <c r="CZ160" s="37">
        <f>_xlfn.XLOOKUP(Crops[[#This Row],[Crop]]&amp;Crops[[#This Row],[Product]]&amp;Crops[[#This Row],[Unit]],Products[ID],Products[Rehandle (s)])*Crops[[#This Row],[Custom Yield Per Bed]]/3600</f>
        <v>0</v>
      </c>
      <c r="DA160" s="37">
        <f>_xlfn.XLOOKUP(Crops[[#This Row],[Crop]]&amp;Crops[[#This Row],[Product]]&amp;Crops[[#This Row],[Unit]],Products[ID],Products[Market Transport (s)])*Crops[[#This Row],[Custom Yield Per Bed]]/3600</f>
        <v>0.46875</v>
      </c>
      <c r="DC160" s="37">
        <f>Crops[[#This Row],[Direct Revenue Per Bed2]]</f>
        <v>600</v>
      </c>
      <c r="DD160" s="173">
        <f>_xlfn.AGGREGATE(9,6,Crops[[#This Row],[Bed Prep]:[Remove Crop Residue]])</f>
        <v>10.858914620535716</v>
      </c>
      <c r="DE160" s="173">
        <f>_xlfn.AGGREGATE(9,6,Crops[[#This Row],[Bed Prep]:[Remove Crop Residue]])-0.75*Crops[[#This Row],[Market &amp; Sell]]</f>
        <v>10.183914620535715</v>
      </c>
      <c r="DF160" s="36">
        <f>Crops[[#This Row],[Direct Revenue Per Bed2]]/Crops[[#This Row],[Direct Time]]</f>
        <v>55.254141041436746</v>
      </c>
      <c r="DG160" s="36">
        <f>_xlfn.XLOOKUP(Crops[[#This Row],[ProductIndex]],Products[ID],Products[Packaging Cost])*(Crops[[#This Row],[Custom Yield Per Bed]]/_xlfn.XLOOKUP(Crops[[#This Row],[ProductIndex]],Products[ID],Products[Units Per Pack]))</f>
        <v>45.599999999999994</v>
      </c>
      <c r="DH160" s="36"/>
      <c r="DI160" s="36"/>
      <c r="DJ160" s="36"/>
      <c r="DK160" s="36"/>
      <c r="DL160" s="36"/>
      <c r="DM160" s="33">
        <f>IFERROR(Crops[[#This Row],[Custom Yield Per Bed]]*Crops[[#This Row],[Direct Price]],"")</f>
        <v>600</v>
      </c>
      <c r="DN160" s="36">
        <f>Crops[[#This Row],[Direct Time]]*LaborRate</f>
        <v>271.47286551339289</v>
      </c>
      <c r="DO160" s="36">
        <f>SUM(Crops[[#This Row],[Irrigation Cost]])</f>
        <v>0</v>
      </c>
      <c r="DP160" s="36">
        <f>Crops[[#This Row],[Direct Labor Cost]]+Crops[[#This Row],[Direct Non-Labor Cost]]</f>
        <v>271.47286551339289</v>
      </c>
      <c r="DQ160" s="36">
        <f>Crops[[#This Row],[Direct Revenue Per Bed2]]-Crops[[#This Row],[Direct Total Cost]]</f>
        <v>328.52713448660711</v>
      </c>
      <c r="DR160" s="36">
        <f>Crops[[#This Row],[Direct Profit]]*BedsPerAcre</f>
        <v>52564.341517857138</v>
      </c>
      <c r="DS160" s="36">
        <f>Crops[[#This Row],[Direct Profit]]*BedsPerAcre*GrowingDays/Crops[[#This Row],[Days In Field]]</f>
        <v>215035.94257305193</v>
      </c>
      <c r="DT160" s="36">
        <f>Crops[[#This Row],[Direct Profit]]/MIN(Crops[[#This Row],[Days In Field]],GrowingDays)</f>
        <v>7.4665257837865253</v>
      </c>
      <c r="DU160" s="36">
        <f>Crops[[#This Row],[Direct Time]] * BedsPerAcre</f>
        <v>1737.4263392857144</v>
      </c>
      <c r="DV160" s="36">
        <f>(Crops[[#This Row],[Direct Revenue Per Bed2]]-Crops[[#This Row],[Direct Non-Labor Cost]])/Crops[[#This Row],[Direct Time]]</f>
        <v>55.254141041436746</v>
      </c>
      <c r="DW160" s="33">
        <f>IFERROR(Crops[[#This Row],[Custom Yield Per Bed]]*Crops[[#This Row],[Rough Wholesale Price]],"")</f>
        <v>360</v>
      </c>
      <c r="DX160" s="36">
        <f>Crops[[#This Row],[Wholesale Time]]*LaborRate</f>
        <v>254.59786551339286</v>
      </c>
      <c r="DY160" s="36">
        <f>SUM(Crops[[#This Row],[Packaging Costs]:[Irrigation Cost]])</f>
        <v>45.599999999999994</v>
      </c>
      <c r="DZ160" s="36">
        <f>Crops[[#This Row],[Wholesale Labor Cost]]+Crops[[#This Row],[Wholesale Non-Labor Cost]]</f>
        <v>300.19786551339286</v>
      </c>
      <c r="EA160" s="36">
        <f>Crops[[#This Row],[Wholesale Revenue Per Bed]]-Crops[[#This Row],[Wholesale Total Cost]]</f>
        <v>59.802134486607144</v>
      </c>
      <c r="EB160" s="36">
        <f>Crops[[#This Row],[Wholesale Profit]]*BedsPerAcre</f>
        <v>9568.3415178571431</v>
      </c>
      <c r="EC160" s="36">
        <f>Crops[[#This Row],[Wholesale Profit]]*BedsPerAcre*GrowingDays/Crops[[#This Row],[Days In Field]]</f>
        <v>39143.215300324671</v>
      </c>
      <c r="ED160" s="36">
        <f>Crops[[#This Row],[Wholesale Time]] * BedsPerAcre</f>
        <v>1629.4263392857144</v>
      </c>
      <c r="EE160" s="221">
        <f>Crops[[#This Row],[Wholesale Profit]]/MIN(Crops[[#This Row],[Days In Field]],GrowingDays)</f>
        <v>1.3591394201501623</v>
      </c>
      <c r="EF160" s="36">
        <f>(Crops[[#This Row],[Wholesale Revenue Per Bed]]-Crops[[#This Row],[Wholesale Non-Labor Cost]])/Crops[[#This Row],[Direct Time]]</f>
        <v>28.953169905712851</v>
      </c>
      <c r="EG160" s="174">
        <f>Crops[[#This Row],[Packaging Costs]]/Crops[[#This Row],[Wholesale Revenue Per Bed]]</f>
        <v>0.12666666666666665</v>
      </c>
      <c r="EH160" s="36" t="str">
        <f>Crops[[#This Row],[Crop]]&amp;Crops[[#This Row],[Product]]&amp;Crops[[#This Row],[Unit]]</f>
        <v>KohlrabiStorage BulbBulb</v>
      </c>
      <c r="EI160" s="36" t="b">
        <f>_xlfn.XLOOKUP(Crops[[#This Row],[ProductIndex]],Products[ID],Products[Target])</f>
        <v>1</v>
      </c>
      <c r="EJ160" s="33">
        <f>Crops[[#This Row],[Custom Yield Per Bed]]</f>
        <v>300</v>
      </c>
      <c r="EK160" s="210">
        <f>Crops[[#This Row],[Units Per Harvest]]/Crops[[#This Row],[Days Between Harvest]]*7</f>
        <v>150</v>
      </c>
      <c r="EL160" s="210">
        <f>Crops[[#This Row],[Custom Yield Per Bed]]/_xlfn.XLOOKUP(Crops[[#This Row],[ProductIndex]],Products[ID],Products[CSA Portion])</f>
        <v>300</v>
      </c>
      <c r="EM160" s="210">
        <f>Crops[[#This Row],[Units Per Harvest]]/Crops[[#This Row],[Days Between Harvest]]*7/_xlfn.XLOOKUP(Crops[[#This Row],[ProductIndex]],Products[ID],Products[CSA Portion])</f>
        <v>150</v>
      </c>
      <c r="EN160" s="210">
        <f>Crops[[#This Row],[CSA Portions Per Week]]/CSAMembers</f>
        <v>3</v>
      </c>
      <c r="EO160" s="216">
        <v>1</v>
      </c>
      <c r="EP160" s="216">
        <v>1</v>
      </c>
      <c r="EQ160" s="36" t="s">
        <v>2686</v>
      </c>
      <c r="ER160" s="36">
        <f>Crops[[#This Row],[Harvests]]*Crops[[#This Row],[Days Between Harvest]]/7</f>
        <v>2</v>
      </c>
      <c r="ES160" s="208">
        <f>_xlfn.XLOOKUP(Crops[[#This Row],[ProductIndex]],Products[ID],Products[CSA Need])</f>
        <v>1</v>
      </c>
      <c r="ET160" s="208">
        <f>_xlfn.XLOOKUP(Crops[[#This Row],[ProductIndex]],Products[ID],Products[CSA Times])</f>
        <v>1</v>
      </c>
      <c r="EU160" s="208">
        <f>Crops[[#This Row],[Custom Yield Per Bed]]/(Crops[[#This Row],[CSA Need]]*(_xlfn.XLOOKUP(Crops[[#This Row],[ProductIndex]],Products[ID],Products[CSA Portion])*CSAMembers))</f>
        <v>6</v>
      </c>
      <c r="EV160" s="208">
        <f>_xlfn.XLOOKUP(Crops[[#This Row],[ProductIndex]],Products[ID],Products[CSA Portion])*CSAMembers*Crops[[#This Row],[CSA Need]]/Crops[[#This Row],[Custom Yield Per Bed]]</f>
        <v>0.16666666666666666</v>
      </c>
      <c r="EW160" s="208">
        <f>IFERROR(Crops[[#This Row],[Days In Field]]*Crops[[#This Row],[CSA Beds]],"")</f>
        <v>7.333333333333333</v>
      </c>
      <c r="EX160" s="208" t="e">
        <f>Crops[[#This Row],[CSA Bed Days]]*#REF!</f>
        <v>#REF!</v>
      </c>
      <c r="EY160" t="s">
        <v>1407</v>
      </c>
    </row>
    <row r="161" spans="1:155">
      <c r="A16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Loose Leaf 1.5X | Field TP Ow</v>
      </c>
      <c r="B161" s="191"/>
      <c r="C161" s="1"/>
      <c r="D161" s="1"/>
      <c r="E161" s="1" t="b">
        <v>0</v>
      </c>
      <c r="F161" s="1" t="b">
        <f>IFERROR(IF(ISNUMBER(MATCH(Crops[[#This Row],[Identifier]],BedPlan[Crop], 0)), TRUE, FALSE), FALSE)</f>
        <v>0</v>
      </c>
      <c r="G161" s="1" t="b">
        <f>IFERROR(IF(ISNUMBER(MATCH(Crops[[#This Row],[Identifier]],BedPlan[Crop], 0)), TRUE, FALSE), FALSE)</f>
        <v>0</v>
      </c>
      <c r="H161" s="1"/>
      <c r="I161" t="s">
        <v>90</v>
      </c>
      <c r="J161" t="s">
        <v>145</v>
      </c>
      <c r="K161" t="s">
        <v>190</v>
      </c>
      <c r="N161" t="str">
        <f>Crops[[#This Row],[Crop]]</f>
        <v>Komatsuna</v>
      </c>
      <c r="O161" t="s">
        <v>210</v>
      </c>
      <c r="P161" t="str">
        <f>IF(OR(Crops[[#This Row],[Days in Cells]]="",Crops[[#This Row],[Days in Cells]]=0), "DS","TP")</f>
        <v>TP</v>
      </c>
      <c r="U161" t="s">
        <v>144</v>
      </c>
      <c r="V161" t="str">
        <f xml:space="preserve"> IF(Crops[[#This Row],[Sp]], "Sp", "") &amp; IF(Crops[[#This Row],[Su]], "Su", "") &amp; IF(Crops[[#This Row],[Fa]], "Fa", "") &amp; IF(Crops[[#This Row],[Wi]], "Wi", "") &amp; IF(Crops[[#This Row],[OW]], "Ow","")</f>
        <v>Ow</v>
      </c>
      <c r="X161">
        <v>3</v>
      </c>
      <c r="Y161">
        <v>9</v>
      </c>
      <c r="AD161" s="32">
        <f>IFERROR(12/Crops[[#This Row],[Spacing]]*Crops[[#This Row],[Rows]]*BedLength,"")</f>
        <v>200</v>
      </c>
      <c r="AE161">
        <v>1.5</v>
      </c>
      <c r="AG161">
        <v>1.1000000000000001</v>
      </c>
      <c r="AH161">
        <f>1</f>
        <v>1</v>
      </c>
      <c r="AI161" s="33">
        <f>IFERROR(Crops[[#This Row],[Plantings Per Bed]]*Crops[[#This Row],[Seeds Per Planting]]*Crops[[#This Row],[Safety Factor]]*Crops[[#This Row],[Seeding Factor]],"")</f>
        <v>330</v>
      </c>
      <c r="AL161">
        <f>_xlfn.FLOOR.MATH(IFERROR(AVERAGE(Crops[[#This Row],[DTG Lower]:[DTG Upper]]),0))</f>
        <v>0</v>
      </c>
      <c r="AM161">
        <f>SUM(Crops[[#This Row],[Tray 1 Days]],Crops[[#This Row],[Tray 2 Days]],Crops[[#This Row],[Tray 3 Days]])</f>
        <v>21</v>
      </c>
      <c r="AN161">
        <v>30</v>
      </c>
      <c r="AP161">
        <v>90</v>
      </c>
      <c r="AQ161">
        <f>IFERROR(_xlfn.FLOOR.MATH(AVERAGE(Crops[[#This Row],[DTM Lower]:[DTM Upper]])),"")</f>
        <v>90</v>
      </c>
      <c r="AR161" cm="1">
        <f t="array" ref="AR161">_xlfn.SWITCH(Crops[[#This Row],[Normal Method]],"DS",Crops[[#This Row],[Days to Germination]]+Crops[[#This Row],[DTM]] + IF(Crops[[#This Row],[Days in Cells]]&gt;0,15,0), "TP",Crops[[#This Row],[DTM]]+Crops[[#This Row],[Days in Cells]] + IF(Crops[[#This Row],[Days in Cells]]&lt;=0,20,0), "X", Crops[[#This Row],[DTM]])</f>
        <v>90</v>
      </c>
      <c r="AS161" t="s">
        <v>347</v>
      </c>
      <c r="AT161">
        <f>(Crops[[#This Row],[Harvests]]-1)*Crops[[#This Row],[Days Between Harvest]]+7</f>
        <v>77</v>
      </c>
      <c r="AU161">
        <f>Crops[[#This Row],[STH]]-Crops[[#This Row],[Days in Cells]]+Crops[[#This Row],[Harvest window]]</f>
        <v>146</v>
      </c>
      <c r="AX161">
        <v>128</v>
      </c>
      <c r="AY161">
        <v>21</v>
      </c>
      <c r="AZ161">
        <f>IFERROR(IF(Crops[[#This Row],[Tray 1 Days]]=0,"",Crops[[#This Row],[Plantings Per Bed]]/Crops[[#This Row],[Tray 1 Size]]*Crops[[#This Row],[Safety Factor]]),"")</f>
        <v>1.7187500000000002</v>
      </c>
      <c r="BC161" t="str">
        <f>IFERROR(IF(Crops[[#This Row],[Tray 2 Days]]=0,"",Crops[[#This Row],[Plantings Per Bed]]/Crops[[#This Row],[Tray 2 Size]]*Crops[[#This Row],[Safety Factor]]),"")</f>
        <v/>
      </c>
      <c r="BE161" s="32" t="str">
        <f>IF(NOT(ISBLANK(Crops[[#This Row],[Tray 3 Size]])), Crops[[#This Row],[Days in Cells Old]]-SUM(Crops[[#This Row],[Tray 1 Days]],Crops[[#This Row],[Tray 2 Days]]), "")</f>
        <v/>
      </c>
      <c r="BF161" t="str">
        <f>IFERROR(IF(Crops[[#This Row],[Tray 3 Days]]=0,"",Crops[[#This Row],[Plantings Per Bed]]/Crops[[#This Row],[Tray 3 Size]]*Crops[[#This Row],[Safety Factor]]),"")</f>
        <v/>
      </c>
      <c r="BG161" s="33">
        <f>Crops[[#This Row],[Plantings Per Bed]]*2/9</f>
        <v>44.444444444444443</v>
      </c>
      <c r="BH161" s="33">
        <v>3</v>
      </c>
      <c r="BI161" s="33">
        <v>35</v>
      </c>
      <c r="BJ161" s="33">
        <f>_xlfn.XLOOKUP(Crops[[#This Row],[ProductIndex]],Products[ID],Products[Holding Period])</f>
        <v>5</v>
      </c>
      <c r="BK161" s="33"/>
      <c r="BL161" s="33">
        <f>Crops[[#This Row],[Units Per Harvest]]*Crops[[#This Row],[Harvests]]</f>
        <v>133.33333333333331</v>
      </c>
      <c r="BM161" s="35">
        <v>3</v>
      </c>
      <c r="BN161" s="35">
        <f>Crops[[#This Row],[Direct Price]]*0.6</f>
        <v>1.7999999999999998</v>
      </c>
      <c r="BO161" s="35"/>
      <c r="BP161" t="s">
        <v>215</v>
      </c>
      <c r="BQ161">
        <f>Crops[[#This Row],[Custom Yield Per Bed]]*Crops[[#This Row],[Direct Price]]</f>
        <v>399.99999999999994</v>
      </c>
      <c r="BR161" t="b">
        <v>1</v>
      </c>
      <c r="BS161" t="b">
        <f>Crops[[#This Row],[Harvests]]&gt;1</f>
        <v>1</v>
      </c>
      <c r="BT161" s="36">
        <f>IFERROR(Crops[[#This Row],[Direct Revenue Per Bed]]/Crops[[#This Row],[Days In Field]],-1)</f>
        <v>2.7397260273972597</v>
      </c>
      <c r="BU161" s="36">
        <f>IFERROR(Crops[[#This Row],[Direct Revenue Per Bed Day]]*GrowingDays*BedsPerAcre,"")</f>
        <v>78904.10958904108</v>
      </c>
      <c r="BV161" s="38">
        <f>LastFrostDate-5*Crops[[#This Row],[Sewing Rel Last Frost]]</f>
        <v>45853</v>
      </c>
      <c r="BW161" s="38">
        <f>Crops[[#This Row],[Target Sewing Date]]+Crops[[#This Row],[Days in Cells]]</f>
        <v>45874</v>
      </c>
      <c r="BX161" s="38">
        <f>Crops[[#This Row],[Target Sewing Date]]+Crops[[#This Row],[STH]]</f>
        <v>45943</v>
      </c>
      <c r="BY161" s="38">
        <f>Crops[[#This Row],[Target Harvest Data]]+Crops[[#This Row],[Harvest window]]</f>
        <v>46020</v>
      </c>
      <c r="BZ161">
        <v>-21</v>
      </c>
      <c r="CB161">
        <f>1</f>
        <v>1</v>
      </c>
      <c r="CC161">
        <f>IF(Crops[[#This Row],[Transplanting]]&gt;0, 2, 3)*BedLength/StandardBedLength</f>
        <v>1</v>
      </c>
      <c r="CD161" s="173">
        <f>IF(Crops[[#This Row],[Days in Cells]]&lt;=0,0,Crops[[#This Row],[Plantings Per Bed]]/StartsPerHourSeeding+Crops[[#This Row],[Tray 1 Count]]*5/60)</f>
        <v>0.92447916666666674</v>
      </c>
      <c r="CE161" s="173">
        <f>IF(ISBLANK(Crops[[#This Row],[Tray 2 Days]]),0,Crops[[#This Row],[Plantings Per Bed]]/UpPottingPerHour)+IF(Crops[[#This Row],[Tray 3 Days]]="",0,Crops[[#This Row],[Plantings Per Bed]]/UpPottingPerHour)</f>
        <v>0</v>
      </c>
      <c r="CF161" s="173">
        <f>IFERROR(Crops[[#This Row],[Tray 1 Count]]/HomeStartFlatIrrigationPerHour,0)*Crops[[#This Row],[Days in Cells]]/DaysBetweenStartIrrigation</f>
        <v>0.150390625</v>
      </c>
      <c r="CG161" s="173">
        <f>0.5/16*MAX(Crops[[#This Row],[Tray 1 Count]],Crops[[#This Row],[Tray 2 Count]],Crops[[#This Row],[Tray 3 Count]])</f>
        <v>5.3710937500000007E-2</v>
      </c>
      <c r="CH161" s="173">
        <f>IF(Crops[[#This Row],[Days in Cells]]&gt;0,IF(IF(Crops[[#This Row],[Tray 3 Size]]&gt;0,Crops[[#This Row],[Tray 3 Size]],IF(Crops[[#This Row],[Tray 2 Size]]&gt;0,Crops[[#This Row],[Tray 2 Size]],Crops[[#This Row],[Tray 1 Size]]))&lt;=18,LargeTransplantTime,SmallTransplantTime)*Crops[[#This Row],[Plantings Per Bed]],0)</f>
        <v>1</v>
      </c>
      <c r="CI161" s="173"/>
      <c r="CJ161" s="173">
        <f>_xlfn.XLOOKUP(Crops[[#This Row],[Trellis Type]],TrellisMethods[Trellis Type],TrellisMethods[Hours],0,0)</f>
        <v>0</v>
      </c>
      <c r="CK161">
        <f>IF(Crops[[#This Row],[Days in Cells]]&lt;=0,Crops[[#This Row],[Rows]]*1/10,0)*BedLength/50</f>
        <v>0</v>
      </c>
      <c r="CL161" cm="1">
        <f t="array" ref="CL161">_xlfn.SWITCH(Crops[[#This Row],[Irrigation]],"DR", 0.5, "OH", 0.25,0)*BedLength/50</f>
        <v>0</v>
      </c>
      <c r="CM161">
        <f>IF(OR(ISBLANK(Crops[[#This Row],[Row Cover]]),Crops[[#This Row],[Row Cover]]="None"),0,1)*BedLength/50</f>
        <v>0</v>
      </c>
      <c r="CN161" s="173">
        <f>HoursPerWeedingPass*Crops[[#This Row],[Days In Field]]/14*Crops[[#This Row],[Rows]]+1*BedLength/50</f>
        <v>6.2142857142857135</v>
      </c>
      <c r="CO161" s="49"/>
      <c r="CQ161" s="37">
        <f>_xlfn.XLOOKUP(Crops[[#This Row],[Crop]]&amp;Crops[[#This Row],[Product]]&amp;Crops[[#This Row],[Unit]],Products[ID],Products[Marketing (hr)])*Crops[[#This Row],[Direct Revenue Per Bed]]/2000</f>
        <v>0.79999999999999993</v>
      </c>
      <c r="CR161" s="37">
        <f>_xlfn.XLOOKUP(Crops[[#This Row],[Crop]]&amp;Crops[[#This Row],[Product]]&amp;Crops[[#This Row],[Unit]],Products[ID],Products[Harvest (s)])*Crops[[#This Row],[Custom Yield Per Bed]]/3600</f>
        <v>0.88888888888888873</v>
      </c>
      <c r="CS161" s="37">
        <f>_xlfn.XLOOKUP(Crops[[#This Row],[Crop]]&amp;Crops[[#This Row],[Product]]&amp;Crops[[#This Row],[Unit]],Products[ID],Products[Bunch (s)])*Crops[[#This Row],[Custom Yield Per Bed]]/3600</f>
        <v>0.37037037037037029</v>
      </c>
      <c r="CT161" s="37">
        <f>_xlfn.XLOOKUP(Crops[[#This Row],[Crop]]&amp;Crops[[#This Row],[Product]]&amp;Crops[[#This Row],[Unit]],Products[ID],Products[Haul (s)])*Crops[[#This Row],[Custom Yield Per Bed]]/3600</f>
        <v>0.13888888888888887</v>
      </c>
      <c r="CU161" s="37">
        <f>_xlfn.XLOOKUP(Crops[[#This Row],[Crop]]&amp;Crops[[#This Row],[Product]]&amp;Crops[[#This Row],[Unit]],Products[ID],Products[Wash (s)])*Crops[[#This Row],[Custom Yield Per Bed]]/3600</f>
        <v>0</v>
      </c>
      <c r="CV161" s="37">
        <f>_xlfn.XLOOKUP(Crops[[#This Row],[Crop]]&amp;Crops[[#This Row],[Product]]&amp;Crops[[#This Row],[Unit]],Products[ID],Products[Condition (s)])*Crops[[#This Row],[Custom Yield Per Bed]]/3600</f>
        <v>0.37037037037037029</v>
      </c>
      <c r="CW161" s="37">
        <f>_xlfn.XLOOKUP(Crops[[#This Row],[Crop]]&amp;Crops[[#This Row],[Product]]&amp;Crops[[#This Row],[Unit]],Products[ID],Products[Trim (s)])*Crops[[#This Row],[Custom Yield Per Bed]]/3600</f>
        <v>0</v>
      </c>
      <c r="CX161" s="37">
        <f>_xlfn.XLOOKUP(Crops[[#This Row],[Crop]]&amp;Crops[[#This Row],[Product]]&amp;Crops[[#This Row],[Unit]],Products[ID],Products[Pack (s)])*Crops[[#This Row],[Custom Yield Per Bed]]/3600</f>
        <v>0.11111111111111109</v>
      </c>
      <c r="CY161" s="37">
        <f>_xlfn.XLOOKUP(Crops[[#This Row],[Crop]]&amp;Crops[[#This Row],[Product]]&amp;Crops[[#This Row],[Unit]],Products[ID],Products[Clean (s)])*Crops[[#This Row],[Custom Yield Per Bed]]/3600</f>
        <v>0</v>
      </c>
      <c r="CZ161" s="37">
        <f>_xlfn.XLOOKUP(Crops[[#This Row],[Crop]]&amp;Crops[[#This Row],[Product]]&amp;Crops[[#This Row],[Unit]],Products[ID],Products[Rehandle (s)])*Crops[[#This Row],[Custom Yield Per Bed]]/3600</f>
        <v>0</v>
      </c>
      <c r="DA161" s="37">
        <f>_xlfn.XLOOKUP(Crops[[#This Row],[Crop]]&amp;Crops[[#This Row],[Product]]&amp;Crops[[#This Row],[Unit]],Products[ID],Products[Market Transport (s)])*Crops[[#This Row],[Custom Yield Per Bed]]/3600</f>
        <v>0.34722222222222215</v>
      </c>
      <c r="DC161" s="37">
        <f>Crops[[#This Row],[Direct Revenue Per Bed2]]</f>
        <v>399.99999999999994</v>
      </c>
      <c r="DD161" s="173">
        <f>_xlfn.AGGREGATE(9,6,Crops[[#This Row],[Bed Prep]:[Remove Crop Residue]])</f>
        <v>12.369718295304232</v>
      </c>
      <c r="DE161" s="173">
        <f>_xlfn.AGGREGATE(9,6,Crops[[#This Row],[Bed Prep]:[Remove Crop Residue]])-0.75*Crops[[#This Row],[Market &amp; Sell]]</f>
        <v>11.769718295304232</v>
      </c>
      <c r="DF161" s="36">
        <f>Crops[[#This Row],[Direct Revenue Per Bed2]]/Crops[[#This Row],[Direct Time]]</f>
        <v>32.337033912231227</v>
      </c>
      <c r="DG161" s="36">
        <f>_xlfn.XLOOKUP(Crops[[#This Row],[ProductIndex]],Products[ID],Products[Packaging Cost])*(Crops[[#This Row],[Custom Yield Per Bed]]/_xlfn.XLOOKUP(Crops[[#This Row],[ProductIndex]],Products[ID],Products[Units Per Pack]))</f>
        <v>21.111111111111107</v>
      </c>
      <c r="DH161" s="36"/>
      <c r="DI161" s="36"/>
      <c r="DJ161" s="36"/>
      <c r="DK161" s="36"/>
      <c r="DL161" s="36"/>
      <c r="DM161" s="33">
        <f>IFERROR(Crops[[#This Row],[Custom Yield Per Bed]]*Crops[[#This Row],[Direct Price]],"")</f>
        <v>399.99999999999994</v>
      </c>
      <c r="DN161" s="36">
        <f>Crops[[#This Row],[Direct Time]]*LaborRate</f>
        <v>309.24295738260577</v>
      </c>
      <c r="DO161" s="36">
        <f>SUM(Crops[[#This Row],[Irrigation Cost]])</f>
        <v>0</v>
      </c>
      <c r="DP161" s="36">
        <f>Crops[[#This Row],[Direct Labor Cost]]+Crops[[#This Row],[Direct Non-Labor Cost]]</f>
        <v>309.24295738260577</v>
      </c>
      <c r="DQ161" s="36">
        <f>Crops[[#This Row],[Direct Revenue Per Bed2]]-Crops[[#This Row],[Direct Total Cost]]</f>
        <v>90.757042617394177</v>
      </c>
      <c r="DR161" s="36">
        <f>Crops[[#This Row],[Direct Profit]]*BedsPerAcre</f>
        <v>14521.126818783068</v>
      </c>
      <c r="DS161" s="36">
        <f>Crops[[#This Row],[Direct Profit]]*BedsPerAcre*GrowingDays/Crops[[#This Row],[Days In Field]]</f>
        <v>17902.759091650358</v>
      </c>
      <c r="DT161" s="36">
        <f>Crops[[#This Row],[Direct Profit]]/MIN(Crops[[#This Row],[Days In Field]],GrowingDays)</f>
        <v>0.62162357957119296</v>
      </c>
      <c r="DU161" s="33">
        <f>Crops[[#This Row],[Direct Time]] * BedsPerAcre</f>
        <v>1979.154927248677</v>
      </c>
      <c r="DV161" s="36">
        <f>(Crops[[#This Row],[Direct Revenue Per Bed2]]-Crops[[#This Row],[Direct Non-Labor Cost]])/Crops[[#This Row],[Direct Time]]</f>
        <v>32.337033912231227</v>
      </c>
      <c r="DW161" s="33">
        <f>IFERROR(Crops[[#This Row],[Custom Yield Per Bed]]*Crops[[#This Row],[Rough Wholesale Price]],"")</f>
        <v>239.99999999999994</v>
      </c>
      <c r="DX161" s="36">
        <f>Crops[[#This Row],[Wholesale Time]]*LaborRate</f>
        <v>294.24295738260582</v>
      </c>
      <c r="DY161" s="36">
        <f>SUM(Crops[[#This Row],[Packaging Costs]:[Irrigation Cost]])</f>
        <v>21.111111111111107</v>
      </c>
      <c r="DZ161" s="36">
        <f>Crops[[#This Row],[Wholesale Labor Cost]]+Crops[[#This Row],[Wholesale Non-Labor Cost]]</f>
        <v>315.35406849371691</v>
      </c>
      <c r="EA161" s="36">
        <f>Crops[[#This Row],[Wholesale Revenue Per Bed]]-Crops[[#This Row],[Wholesale Total Cost]]</f>
        <v>-75.354068493716966</v>
      </c>
      <c r="EB161" s="36">
        <f>Crops[[#This Row],[Wholesale Profit]]*BedsPerAcre</f>
        <v>-12056.650958994715</v>
      </c>
      <c r="EC161" s="36">
        <f>Crops[[#This Row],[Wholesale Profit]]*BedsPerAcre*GrowingDays/Crops[[#This Row],[Days In Field]]</f>
        <v>-14864.364196020881</v>
      </c>
      <c r="ED161" s="33">
        <f>Crops[[#This Row],[Wholesale Time]] * BedsPerAcre</f>
        <v>1883.154927248677</v>
      </c>
      <c r="EE161" s="221">
        <f>Crops[[#This Row],[Wholesale Profit]]/MIN(Crops[[#This Row],[Days In Field]],GrowingDays)</f>
        <v>-0.51612375680628064</v>
      </c>
      <c r="EF161" s="36">
        <f>(Crops[[#This Row],[Wholesale Revenue Per Bed]]-Crops[[#This Row],[Wholesale Non-Labor Cost]])/Crops[[#This Row],[Direct Time]]</f>
        <v>17.695543557526527</v>
      </c>
      <c r="EG161" s="174">
        <f>Crops[[#This Row],[Packaging Costs]]/Crops[[#This Row],[Wholesale Revenue Per Bed]]</f>
        <v>8.7962962962962965E-2</v>
      </c>
      <c r="EH161" s="36" t="str">
        <f>Crops[[#This Row],[Crop]]&amp;Crops[[#This Row],[Product]]&amp;Crops[[#This Row],[Unit]]</f>
        <v>KomatsunaLoose LeafBunch</v>
      </c>
      <c r="EI161" s="36" t="b">
        <f>_xlfn.XLOOKUP(Crops[[#This Row],[ProductIndex]],Products[ID],Products[Target])</f>
        <v>1</v>
      </c>
      <c r="EJ161" s="36">
        <f>Crops[[#This Row],[Custom Yield Per Bed]]</f>
        <v>133.33333333333331</v>
      </c>
      <c r="EK161" s="210">
        <f>Crops[[#This Row],[Units Per Harvest]]/Crops[[#This Row],[Days Between Harvest]]*7</f>
        <v>8.8888888888888893</v>
      </c>
      <c r="EL161" s="210">
        <f>Crops[[#This Row],[Custom Yield Per Bed]]/_xlfn.XLOOKUP(Crops[[#This Row],[ProductIndex]],Products[ID],Products[CSA Portion])</f>
        <v>133.33333333333331</v>
      </c>
      <c r="EM161" s="210">
        <f>Crops[[#This Row],[Units Per Harvest]]/Crops[[#This Row],[Days Between Harvest]]*7/_xlfn.XLOOKUP(Crops[[#This Row],[ProductIndex]],Products[ID],Products[CSA Portion])</f>
        <v>8.8888888888888893</v>
      </c>
      <c r="EN161" s="210">
        <f>Crops[[#This Row],[CSA Portions Per Week]]/CSAMembers</f>
        <v>0.17777777777777778</v>
      </c>
      <c r="EO161" s="210"/>
      <c r="EP161" s="210"/>
      <c r="EQ161" s="210"/>
      <c r="ER161" s="210">
        <f>Crops[[#This Row],[Harvests]]*Crops[[#This Row],[Days Between Harvest]]/7</f>
        <v>15</v>
      </c>
      <c r="ES161" s="217">
        <f>_xlfn.XLOOKUP(Crops[[#This Row],[ProductIndex]],Products[ID],Products[CSA Need])</f>
        <v>2</v>
      </c>
      <c r="ET161" s="217">
        <f>_xlfn.XLOOKUP(Crops[[#This Row],[ProductIndex]],Products[ID],Products[CSA Times])</f>
        <v>2</v>
      </c>
      <c r="EU161" s="208">
        <f>Crops[[#This Row],[Custom Yield Per Bed]]/(Crops[[#This Row],[CSA Need]]*(_xlfn.XLOOKUP(Crops[[#This Row],[ProductIndex]],Products[ID],Products[CSA Portion])*CSAMembers))</f>
        <v>1.333333333333333</v>
      </c>
      <c r="EV161" s="208">
        <f>_xlfn.XLOOKUP(Crops[[#This Row],[ProductIndex]],Products[ID],Products[CSA Portion])*CSAMembers*Crops[[#This Row],[CSA Need]]/Crops[[#This Row],[Custom Yield Per Bed]]</f>
        <v>0.75000000000000011</v>
      </c>
      <c r="EW161" s="208">
        <f>IFERROR(Crops[[#This Row],[Days In Field]]*Crops[[#This Row],[CSA Beds]],"")</f>
        <v>109.50000000000001</v>
      </c>
      <c r="EX161" s="208" t="e">
        <f>Crops[[#This Row],[CSA Bed Days]]*#REF!</f>
        <v>#REF!</v>
      </c>
    </row>
    <row r="162" spans="1:155">
      <c r="A16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Loose Leaf 1.5X | Tunnel TP Ow</v>
      </c>
      <c r="B162" s="191"/>
      <c r="C162" s="1"/>
      <c r="D162" s="1"/>
      <c r="E162" s="1" t="b">
        <v>0</v>
      </c>
      <c r="F162" s="1" t="b">
        <f>IFERROR(IF(ISNUMBER(MATCH(Crops[[#This Row],[Identifier]],BedPlan[Crop], 0)), TRUE, FALSE), FALSE)</f>
        <v>0</v>
      </c>
      <c r="G162" s="1" t="b">
        <f>IFERROR(IF(ISNUMBER(MATCH(Crops[[#This Row],[Identifier]],BedPlan[Crop], 0)), TRUE, FALSE), FALSE)</f>
        <v>0</v>
      </c>
      <c r="H162" s="1"/>
      <c r="I162" t="s">
        <v>90</v>
      </c>
      <c r="J162" t="s">
        <v>145</v>
      </c>
      <c r="K162" t="s">
        <v>190</v>
      </c>
      <c r="N162" t="str">
        <f>Crops[[#This Row],[Crop]]</f>
        <v>Komatsuna</v>
      </c>
      <c r="O162" t="s">
        <v>1413</v>
      </c>
      <c r="P162" t="str">
        <f>IF(OR(Crops[[#This Row],[Days in Cells]]="",Crops[[#This Row],[Days in Cells]]=0), "DS","TP")</f>
        <v>TP</v>
      </c>
      <c r="U162" t="s">
        <v>144</v>
      </c>
      <c r="V162" t="str">
        <f xml:space="preserve"> IF(Crops[[#This Row],[Sp]], "Sp", "") &amp; IF(Crops[[#This Row],[Su]], "Su", "") &amp; IF(Crops[[#This Row],[Fa]], "Fa", "") &amp; IF(Crops[[#This Row],[Wi]], "Wi", "") &amp; IF(Crops[[#This Row],[OW]], "Ow","")</f>
        <v>Ow</v>
      </c>
      <c r="X162">
        <v>3</v>
      </c>
      <c r="Y162">
        <v>9</v>
      </c>
      <c r="AD162" s="32">
        <f>IFERROR(12/Crops[[#This Row],[Spacing]]*Crops[[#This Row],[Rows]]*BedLength,"")</f>
        <v>200</v>
      </c>
      <c r="AE162">
        <v>1.5</v>
      </c>
      <c r="AG162">
        <v>1.1000000000000001</v>
      </c>
      <c r="AH162">
        <f>1</f>
        <v>1</v>
      </c>
      <c r="AI162" s="33">
        <f>IFERROR(Crops[[#This Row],[Plantings Per Bed]]*Crops[[#This Row],[Seeds Per Planting]]*Crops[[#This Row],[Safety Factor]]*Crops[[#This Row],[Seeding Factor]],"")</f>
        <v>330</v>
      </c>
      <c r="AL162">
        <f>_xlfn.FLOOR.MATH(IFERROR(AVERAGE(Crops[[#This Row],[DTG Lower]:[DTG Upper]]),0))</f>
        <v>0</v>
      </c>
      <c r="AM162">
        <f>SUM(Crops[[#This Row],[Tray 1 Days]],Crops[[#This Row],[Tray 2 Days]],Crops[[#This Row],[Tray 3 Days]])</f>
        <v>21</v>
      </c>
      <c r="AN162">
        <v>30</v>
      </c>
      <c r="AP162">
        <v>90</v>
      </c>
      <c r="AQ162">
        <f>IFERROR(_xlfn.FLOOR.MATH(AVERAGE(Crops[[#This Row],[DTM Lower]:[DTM Upper]])),"")</f>
        <v>90</v>
      </c>
      <c r="AR162" cm="1">
        <f t="array" ref="AR162">_xlfn.SWITCH(Crops[[#This Row],[Normal Method]],"DS",Crops[[#This Row],[Days to Germination]]+Crops[[#This Row],[DTM]] + IF(Crops[[#This Row],[Days in Cells]]&gt;0,15,0), "TP",Crops[[#This Row],[DTM]]+Crops[[#This Row],[Days in Cells]] + IF(Crops[[#This Row],[Days in Cells]]&lt;=0,20,0), "X", Crops[[#This Row],[DTM]])</f>
        <v>90</v>
      </c>
      <c r="AS162" t="s">
        <v>347</v>
      </c>
      <c r="AT162">
        <f>(Crops[[#This Row],[Harvests]]-1)*Crops[[#This Row],[Days Between Harvest]]+7</f>
        <v>77</v>
      </c>
      <c r="AU162">
        <f>Crops[[#This Row],[STH]]-Crops[[#This Row],[Days in Cells]]+Crops[[#This Row],[Harvest window]]</f>
        <v>146</v>
      </c>
      <c r="AX162">
        <v>128</v>
      </c>
      <c r="AY162">
        <v>21</v>
      </c>
      <c r="AZ162">
        <f>IFERROR(IF(Crops[[#This Row],[Tray 1 Days]]=0,"",Crops[[#This Row],[Plantings Per Bed]]/Crops[[#This Row],[Tray 1 Size]]*Crops[[#This Row],[Safety Factor]]),"")</f>
        <v>1.7187500000000002</v>
      </c>
      <c r="BC162" t="str">
        <f>IFERROR(IF(Crops[[#This Row],[Tray 2 Days]]=0,"",Crops[[#This Row],[Plantings Per Bed]]/Crops[[#This Row],[Tray 2 Size]]*Crops[[#This Row],[Safety Factor]]),"")</f>
        <v/>
      </c>
      <c r="BE162" s="32" t="str">
        <f>IF(NOT(ISBLANK(Crops[[#This Row],[Tray 3 Size]])), Crops[[#This Row],[Days in Cells Old]]-SUM(Crops[[#This Row],[Tray 1 Days]],Crops[[#This Row],[Tray 2 Days]]), "")</f>
        <v/>
      </c>
      <c r="BF162" t="str">
        <f>IFERROR(IF(Crops[[#This Row],[Tray 3 Days]]=0,"",Crops[[#This Row],[Plantings Per Bed]]/Crops[[#This Row],[Tray 3 Size]]*Crops[[#This Row],[Safety Factor]]),"")</f>
        <v/>
      </c>
      <c r="BG162" s="33">
        <f>Crops[[#This Row],[Plantings Per Bed]]*2/9</f>
        <v>44.444444444444443</v>
      </c>
      <c r="BH162" s="33">
        <v>3</v>
      </c>
      <c r="BI162" s="33">
        <v>35</v>
      </c>
      <c r="BJ162" s="33">
        <f>_xlfn.XLOOKUP(Crops[[#This Row],[ProductIndex]],Products[ID],Products[Holding Period])</f>
        <v>5</v>
      </c>
      <c r="BK162" s="33"/>
      <c r="BL162" s="33">
        <f>Crops[[#This Row],[Units Per Harvest]]*Crops[[#This Row],[Harvests]]</f>
        <v>133.33333333333331</v>
      </c>
      <c r="BM162" s="35">
        <v>3</v>
      </c>
      <c r="BN162" s="212">
        <f>Crops[[#This Row],[Direct Price]]*0.6</f>
        <v>1.7999999999999998</v>
      </c>
      <c r="BO162" s="212"/>
      <c r="BP162" t="s">
        <v>215</v>
      </c>
      <c r="BQ162">
        <f>Crops[[#This Row],[Custom Yield Per Bed]]*Crops[[#This Row],[Direct Price]]</f>
        <v>399.99999999999994</v>
      </c>
      <c r="BR162" t="b">
        <v>1</v>
      </c>
      <c r="BS162" t="b">
        <f>Crops[[#This Row],[Harvests]]&gt;1</f>
        <v>1</v>
      </c>
      <c r="BT162" s="36">
        <f>IFERROR(Crops[[#This Row],[Direct Revenue Per Bed]]/Crops[[#This Row],[Days In Field]],-1)</f>
        <v>2.7397260273972597</v>
      </c>
      <c r="BU162" s="36">
        <f>IFERROR(Crops[[#This Row],[Direct Revenue Per Bed Day]]*GrowingDays*BedsPerAcre,"")</f>
        <v>78904.10958904108</v>
      </c>
      <c r="BV162" s="38">
        <f>LastFrostDate-5*Crops[[#This Row],[Sewing Rel Last Frost]]</f>
        <v>45853</v>
      </c>
      <c r="BW162" s="38">
        <f>Crops[[#This Row],[Target Sewing Date]]+Crops[[#This Row],[Days in Cells]]</f>
        <v>45874</v>
      </c>
      <c r="BX162" s="38">
        <f>Crops[[#This Row],[Target Sewing Date]]+Crops[[#This Row],[STH]]</f>
        <v>45943</v>
      </c>
      <c r="BY162" s="38">
        <f>Crops[[#This Row],[Target Harvest Data]]+Crops[[#This Row],[Harvest window]]</f>
        <v>46020</v>
      </c>
      <c r="BZ162">
        <v>-21</v>
      </c>
      <c r="CB162">
        <f>1</f>
        <v>1</v>
      </c>
      <c r="CC162">
        <f>IF(Crops[[#This Row],[Transplanting]]&gt;0, 2, 3)*BedLength/StandardBedLength</f>
        <v>1</v>
      </c>
      <c r="CD162" s="173">
        <f>IF(Crops[[#This Row],[Days in Cells]]&lt;=0,0,Crops[[#This Row],[Plantings Per Bed]]/StartsPerHourSeeding+Crops[[#This Row],[Tray 1 Count]]*5/60)</f>
        <v>0.92447916666666674</v>
      </c>
      <c r="CE162" s="173">
        <f>IF(ISBLANK(Crops[[#This Row],[Tray 2 Days]]),0,Crops[[#This Row],[Plantings Per Bed]]/UpPottingPerHour)+IF(Crops[[#This Row],[Tray 3 Days]]="",0,Crops[[#This Row],[Plantings Per Bed]]/UpPottingPerHour)</f>
        <v>0</v>
      </c>
      <c r="CF162" s="173">
        <f>IFERROR(Crops[[#This Row],[Tray 1 Count]]/HomeStartFlatIrrigationPerHour,0)*Crops[[#This Row],[Days in Cells]]/DaysBetweenStartIrrigation</f>
        <v>0.150390625</v>
      </c>
      <c r="CG162" s="173">
        <f>0.5/16*MAX(Crops[[#This Row],[Tray 1 Count]],Crops[[#This Row],[Tray 2 Count]],Crops[[#This Row],[Tray 3 Count]])</f>
        <v>5.3710937500000007E-2</v>
      </c>
      <c r="CH162" s="173">
        <f>IF(Crops[[#This Row],[Days in Cells]]&gt;0,IF(IF(Crops[[#This Row],[Tray 3 Size]]&gt;0,Crops[[#This Row],[Tray 3 Size]],IF(Crops[[#This Row],[Tray 2 Size]]&gt;0,Crops[[#This Row],[Tray 2 Size]],Crops[[#This Row],[Tray 1 Size]]))&lt;=18,LargeTransplantTime,SmallTransplantTime)*Crops[[#This Row],[Plantings Per Bed]],0)</f>
        <v>1</v>
      </c>
      <c r="CI162" s="173"/>
      <c r="CJ162" s="173">
        <f>_xlfn.XLOOKUP(Crops[[#This Row],[Trellis Type]],TrellisMethods[Trellis Type],TrellisMethods[Hours],0,0)</f>
        <v>0</v>
      </c>
      <c r="CK162">
        <f>IF(Crops[[#This Row],[Days in Cells]]&lt;=0,Crops[[#This Row],[Rows]]*1/10,0)*BedLength/50</f>
        <v>0</v>
      </c>
      <c r="CL162" cm="1">
        <f t="array" ref="CL162">_xlfn.SWITCH(Crops[[#This Row],[Irrigation]],"DR", 0.5, "OH", 0.25,0)*BedLength/50</f>
        <v>0</v>
      </c>
      <c r="CM162">
        <f>IF(OR(ISBLANK(Crops[[#This Row],[Row Cover]]),Crops[[#This Row],[Row Cover]]="None"),0,1)*BedLength/50</f>
        <v>0</v>
      </c>
      <c r="CN162" s="173">
        <f>HoursPerWeedingPass*Crops[[#This Row],[Days In Field]]/14*Crops[[#This Row],[Rows]]+1*BedLength/50</f>
        <v>6.2142857142857135</v>
      </c>
      <c r="CO162" s="49"/>
      <c r="CQ162" s="37">
        <f>_xlfn.XLOOKUP(Crops[[#This Row],[Crop]]&amp;Crops[[#This Row],[Product]]&amp;Crops[[#This Row],[Unit]],Products[ID],Products[Marketing (hr)])*Crops[[#This Row],[Direct Revenue Per Bed]]/2000</f>
        <v>0.79999999999999993</v>
      </c>
      <c r="CR162" s="37">
        <f>_xlfn.XLOOKUP(Crops[[#This Row],[Crop]]&amp;Crops[[#This Row],[Product]]&amp;Crops[[#This Row],[Unit]],Products[ID],Products[Harvest (s)])*Crops[[#This Row],[Custom Yield Per Bed]]/3600</f>
        <v>0.88888888888888873</v>
      </c>
      <c r="CS162" s="37">
        <f>_xlfn.XLOOKUP(Crops[[#This Row],[Crop]]&amp;Crops[[#This Row],[Product]]&amp;Crops[[#This Row],[Unit]],Products[ID],Products[Bunch (s)])*Crops[[#This Row],[Custom Yield Per Bed]]/3600</f>
        <v>0.37037037037037029</v>
      </c>
      <c r="CT162" s="37">
        <f>_xlfn.XLOOKUP(Crops[[#This Row],[Crop]]&amp;Crops[[#This Row],[Product]]&amp;Crops[[#This Row],[Unit]],Products[ID],Products[Haul (s)])*Crops[[#This Row],[Custom Yield Per Bed]]/3600</f>
        <v>0.13888888888888887</v>
      </c>
      <c r="CU162" s="37">
        <f>_xlfn.XLOOKUP(Crops[[#This Row],[Crop]]&amp;Crops[[#This Row],[Product]]&amp;Crops[[#This Row],[Unit]],Products[ID],Products[Wash (s)])*Crops[[#This Row],[Custom Yield Per Bed]]/3600</f>
        <v>0</v>
      </c>
      <c r="CV162" s="37">
        <f>_xlfn.XLOOKUP(Crops[[#This Row],[Crop]]&amp;Crops[[#This Row],[Product]]&amp;Crops[[#This Row],[Unit]],Products[ID],Products[Condition (s)])*Crops[[#This Row],[Custom Yield Per Bed]]/3600</f>
        <v>0.37037037037037029</v>
      </c>
      <c r="CW162" s="37">
        <f>_xlfn.XLOOKUP(Crops[[#This Row],[Crop]]&amp;Crops[[#This Row],[Product]]&amp;Crops[[#This Row],[Unit]],Products[ID],Products[Trim (s)])*Crops[[#This Row],[Custom Yield Per Bed]]/3600</f>
        <v>0</v>
      </c>
      <c r="CX162" s="37">
        <f>_xlfn.XLOOKUP(Crops[[#This Row],[Crop]]&amp;Crops[[#This Row],[Product]]&amp;Crops[[#This Row],[Unit]],Products[ID],Products[Pack (s)])*Crops[[#This Row],[Custom Yield Per Bed]]/3600</f>
        <v>0.11111111111111109</v>
      </c>
      <c r="CY162" s="37">
        <f>_xlfn.XLOOKUP(Crops[[#This Row],[Crop]]&amp;Crops[[#This Row],[Product]]&amp;Crops[[#This Row],[Unit]],Products[ID],Products[Clean (s)])*Crops[[#This Row],[Custom Yield Per Bed]]/3600</f>
        <v>0</v>
      </c>
      <c r="CZ162" s="37">
        <f>_xlfn.XLOOKUP(Crops[[#This Row],[Crop]]&amp;Crops[[#This Row],[Product]]&amp;Crops[[#This Row],[Unit]],Products[ID],Products[Rehandle (s)])*Crops[[#This Row],[Custom Yield Per Bed]]/3600</f>
        <v>0</v>
      </c>
      <c r="DA162" s="37">
        <f>_xlfn.XLOOKUP(Crops[[#This Row],[Crop]]&amp;Crops[[#This Row],[Product]]&amp;Crops[[#This Row],[Unit]],Products[ID],Products[Market Transport (s)])*Crops[[#This Row],[Custom Yield Per Bed]]/3600</f>
        <v>0.34722222222222215</v>
      </c>
      <c r="DC162" s="37">
        <f>Crops[[#This Row],[Direct Revenue Per Bed2]]</f>
        <v>399.99999999999994</v>
      </c>
      <c r="DD162" s="173">
        <f>_xlfn.AGGREGATE(9,6,Crops[[#This Row],[Bed Prep]:[Remove Crop Residue]])</f>
        <v>12.369718295304232</v>
      </c>
      <c r="DE162" s="173">
        <f>_xlfn.AGGREGATE(9,6,Crops[[#This Row],[Bed Prep]:[Remove Crop Residue]])-0.75*Crops[[#This Row],[Market &amp; Sell]]</f>
        <v>11.769718295304232</v>
      </c>
      <c r="DF162" s="36">
        <f>Crops[[#This Row],[Direct Revenue Per Bed2]]/Crops[[#This Row],[Direct Time]]</f>
        <v>32.337033912231227</v>
      </c>
      <c r="DG162" s="36">
        <f>_xlfn.XLOOKUP(Crops[[#This Row],[ProductIndex]],Products[ID],Products[Packaging Cost])*(Crops[[#This Row],[Custom Yield Per Bed]]/_xlfn.XLOOKUP(Crops[[#This Row],[ProductIndex]],Products[ID],Products[Units Per Pack]))</f>
        <v>21.111111111111107</v>
      </c>
      <c r="DH162" s="36"/>
      <c r="DI162" s="36"/>
      <c r="DJ162" s="36"/>
      <c r="DK162" s="36"/>
      <c r="DL162" s="36"/>
      <c r="DM162" s="33">
        <f>IFERROR(Crops[[#This Row],[Custom Yield Per Bed]]*Crops[[#This Row],[Direct Price]],"")</f>
        <v>399.99999999999994</v>
      </c>
      <c r="DN162" s="36">
        <f>Crops[[#This Row],[Direct Time]]*LaborRate</f>
        <v>309.24295738260577</v>
      </c>
      <c r="DO162" s="36">
        <f>SUM(Crops[[#This Row],[Irrigation Cost]])</f>
        <v>0</v>
      </c>
      <c r="DP162" s="36">
        <f>Crops[[#This Row],[Direct Labor Cost]]+Crops[[#This Row],[Direct Non-Labor Cost]]</f>
        <v>309.24295738260577</v>
      </c>
      <c r="DQ162" s="36">
        <f>Crops[[#This Row],[Direct Revenue Per Bed2]]-Crops[[#This Row],[Direct Total Cost]]</f>
        <v>90.757042617394177</v>
      </c>
      <c r="DR162" s="36">
        <f>Crops[[#This Row],[Direct Profit]]*BedsPerAcre</f>
        <v>14521.126818783068</v>
      </c>
      <c r="DS162" s="36">
        <f>Crops[[#This Row],[Direct Profit]]*BedsPerAcre*GrowingDays/Crops[[#This Row],[Days In Field]]</f>
        <v>17902.759091650358</v>
      </c>
      <c r="DT162" s="36">
        <f>Crops[[#This Row],[Direct Profit]]/MIN(Crops[[#This Row],[Days In Field]],GrowingDays)</f>
        <v>0.62162357957119296</v>
      </c>
      <c r="DU162" s="33">
        <f>Crops[[#This Row],[Direct Time]] * BedsPerAcre</f>
        <v>1979.154927248677</v>
      </c>
      <c r="DV162" s="36">
        <f>(Crops[[#This Row],[Direct Revenue Per Bed2]]-Crops[[#This Row],[Direct Non-Labor Cost]])/Crops[[#This Row],[Direct Time]]</f>
        <v>32.337033912231227</v>
      </c>
      <c r="DW162" s="33">
        <f>IFERROR(Crops[[#This Row],[Custom Yield Per Bed]]*Crops[[#This Row],[Rough Wholesale Price]],"")</f>
        <v>239.99999999999994</v>
      </c>
      <c r="DX162" s="36">
        <f>Crops[[#This Row],[Wholesale Time]]*LaborRate</f>
        <v>294.24295738260582</v>
      </c>
      <c r="DY162" s="36">
        <f>SUM(Crops[[#This Row],[Packaging Costs]:[Irrigation Cost]])</f>
        <v>21.111111111111107</v>
      </c>
      <c r="DZ162" s="36">
        <f>Crops[[#This Row],[Wholesale Labor Cost]]+Crops[[#This Row],[Wholesale Non-Labor Cost]]</f>
        <v>315.35406849371691</v>
      </c>
      <c r="EA162" s="36">
        <f>Crops[[#This Row],[Wholesale Revenue Per Bed]]-Crops[[#This Row],[Wholesale Total Cost]]</f>
        <v>-75.354068493716966</v>
      </c>
      <c r="EB162" s="36">
        <f>Crops[[#This Row],[Wholesale Profit]]*BedsPerAcre</f>
        <v>-12056.650958994715</v>
      </c>
      <c r="EC162" s="36">
        <f>Crops[[#This Row],[Wholesale Profit]]*BedsPerAcre*GrowingDays/Crops[[#This Row],[Days In Field]]</f>
        <v>-14864.364196020881</v>
      </c>
      <c r="ED162" s="33">
        <f>Crops[[#This Row],[Wholesale Time]] * BedsPerAcre</f>
        <v>1883.154927248677</v>
      </c>
      <c r="EE162" s="221">
        <f>Crops[[#This Row],[Wholesale Profit]]/MIN(Crops[[#This Row],[Days In Field]],GrowingDays)</f>
        <v>-0.51612375680628064</v>
      </c>
      <c r="EF162" s="36">
        <f>(Crops[[#This Row],[Wholesale Revenue Per Bed]]-Crops[[#This Row],[Wholesale Non-Labor Cost]])/Crops[[#This Row],[Direct Time]]</f>
        <v>17.695543557526527</v>
      </c>
      <c r="EG162" s="174">
        <f>Crops[[#This Row],[Packaging Costs]]/Crops[[#This Row],[Wholesale Revenue Per Bed]]</f>
        <v>8.7962962962962965E-2</v>
      </c>
      <c r="EH162" s="36" t="str">
        <f>Crops[[#This Row],[Crop]]&amp;Crops[[#This Row],[Product]]&amp;Crops[[#This Row],[Unit]]</f>
        <v>KomatsunaLoose LeafBunch</v>
      </c>
      <c r="EI162" s="36" t="b">
        <f>_xlfn.XLOOKUP(Crops[[#This Row],[ProductIndex]],Products[ID],Products[Target])</f>
        <v>1</v>
      </c>
      <c r="EJ162" s="36">
        <f>Crops[[#This Row],[Custom Yield Per Bed]]</f>
        <v>133.33333333333331</v>
      </c>
      <c r="EK162" s="210">
        <f>Crops[[#This Row],[Units Per Harvest]]/Crops[[#This Row],[Days Between Harvest]]*7</f>
        <v>8.8888888888888893</v>
      </c>
      <c r="EL162" s="210">
        <f>Crops[[#This Row],[Custom Yield Per Bed]]/_xlfn.XLOOKUP(Crops[[#This Row],[ProductIndex]],Products[ID],Products[CSA Portion])</f>
        <v>133.33333333333331</v>
      </c>
      <c r="EM162" s="210">
        <f>Crops[[#This Row],[Units Per Harvest]]/Crops[[#This Row],[Days Between Harvest]]*7/_xlfn.XLOOKUP(Crops[[#This Row],[ProductIndex]],Products[ID],Products[CSA Portion])</f>
        <v>8.8888888888888893</v>
      </c>
      <c r="EN162" s="210">
        <f>Crops[[#This Row],[CSA Portions Per Week]]/CSAMembers</f>
        <v>0.17777777777777778</v>
      </c>
      <c r="EO162" s="210"/>
      <c r="EP162" s="210"/>
      <c r="EQ162" s="210"/>
      <c r="ER162" s="210">
        <f>Crops[[#This Row],[Harvests]]*Crops[[#This Row],[Days Between Harvest]]/7</f>
        <v>15</v>
      </c>
      <c r="ES162" s="217">
        <f>_xlfn.XLOOKUP(Crops[[#This Row],[ProductIndex]],Products[ID],Products[CSA Need])</f>
        <v>2</v>
      </c>
      <c r="ET162" s="217">
        <f>_xlfn.XLOOKUP(Crops[[#This Row],[ProductIndex]],Products[ID],Products[CSA Times])</f>
        <v>2</v>
      </c>
      <c r="EU162" s="208">
        <f>Crops[[#This Row],[Custom Yield Per Bed]]/(Crops[[#This Row],[CSA Need]]*(_xlfn.XLOOKUP(Crops[[#This Row],[ProductIndex]],Products[ID],Products[CSA Portion])*CSAMembers))</f>
        <v>1.333333333333333</v>
      </c>
      <c r="EV162" s="208">
        <f>_xlfn.XLOOKUP(Crops[[#This Row],[ProductIndex]],Products[ID],Products[CSA Portion])*CSAMembers*Crops[[#This Row],[CSA Need]]/Crops[[#This Row],[Custom Yield Per Bed]]</f>
        <v>0.75000000000000011</v>
      </c>
      <c r="EW162" s="208">
        <f>IFERROR(Crops[[#This Row],[Days In Field]]*Crops[[#This Row],[CSA Beds]],"")</f>
        <v>109.50000000000001</v>
      </c>
      <c r="EX162" s="208" t="e">
        <f>Crops[[#This Row],[CSA Bed Days]]*#REF!</f>
        <v>#REF!</v>
      </c>
    </row>
    <row r="163" spans="1:155">
      <c r="A16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Mature Head 1.5X | Field TP Wi</v>
      </c>
      <c r="B163" s="191"/>
      <c r="C163" s="1"/>
      <c r="D163" s="1"/>
      <c r="E163" s="1" t="b">
        <v>0</v>
      </c>
      <c r="F163" s="1" t="b">
        <f>IFERROR(IF(ISNUMBER(MATCH(Crops[[#This Row],[Identifier]],BedPlan[Crop], 0)), TRUE, FALSE), FALSE)</f>
        <v>0</v>
      </c>
      <c r="G163" s="1" t="b">
        <f>IFERROR(IF(ISNUMBER(MATCH(Crops[[#This Row],[Identifier]],BedPlan[Crop], 0)), TRUE, FALSE), FALSE)</f>
        <v>0</v>
      </c>
      <c r="H163" s="1" t="b">
        <v>1</v>
      </c>
      <c r="I163" t="s">
        <v>90</v>
      </c>
      <c r="J163" t="s">
        <v>145</v>
      </c>
      <c r="K163" t="s">
        <v>186</v>
      </c>
      <c r="N163" t="str">
        <f>Crops[[#This Row],[Crop]]</f>
        <v>Komatsuna</v>
      </c>
      <c r="O163" t="s">
        <v>210</v>
      </c>
      <c r="P163" t="str">
        <f>IF(OR(Crops[[#This Row],[Days in Cells]]="",Crops[[#This Row],[Days in Cells]]=0), "DS","TP")</f>
        <v>TP</v>
      </c>
      <c r="T163" t="b">
        <v>1</v>
      </c>
      <c r="V163" t="str">
        <f xml:space="preserve"> IF(Crops[[#This Row],[Sp]], "Sp", "") &amp; IF(Crops[[#This Row],[Su]], "Su", "") &amp; IF(Crops[[#This Row],[Fa]], "Fa", "") &amp; IF(Crops[[#This Row],[Wi]], "Wi", "") &amp; IF(Crops[[#This Row],[OW]], "Ow","")</f>
        <v>Wi</v>
      </c>
      <c r="X163">
        <v>3</v>
      </c>
      <c r="Y163">
        <v>9</v>
      </c>
      <c r="AD163" s="32">
        <f>IFERROR(12/Crops[[#This Row],[Spacing]]*Crops[[#This Row],[Rows]]*BedLength,"")</f>
        <v>200</v>
      </c>
      <c r="AE163">
        <v>1.5</v>
      </c>
      <c r="AG163">
        <v>1.1000000000000001</v>
      </c>
      <c r="AH163">
        <f>1</f>
        <v>1</v>
      </c>
      <c r="AI163" s="33">
        <f>IFERROR(Crops[[#This Row],[Plantings Per Bed]]*Crops[[#This Row],[Seeds Per Planting]]*Crops[[#This Row],[Safety Factor]]*Crops[[#This Row],[Seeding Factor]],"")</f>
        <v>330</v>
      </c>
      <c r="AL163">
        <f>_xlfn.FLOOR.MATH(IFERROR(AVERAGE(Crops[[#This Row],[DTG Lower]:[DTG Upper]]),0))</f>
        <v>0</v>
      </c>
      <c r="AM163">
        <f>SUM(Crops[[#This Row],[Tray 1 Days]],Crops[[#This Row],[Tray 2 Days]],Crops[[#This Row],[Tray 3 Days]])</f>
        <v>21</v>
      </c>
      <c r="AN163">
        <v>30</v>
      </c>
      <c r="AP163">
        <v>90</v>
      </c>
      <c r="AQ163">
        <f>IFERROR(_xlfn.FLOOR.MATH(AVERAGE(Crops[[#This Row],[DTM Lower]:[DTM Upper]])),"")</f>
        <v>90</v>
      </c>
      <c r="AR163" cm="1">
        <f t="array" ref="AR163">_xlfn.SWITCH(Crops[[#This Row],[Normal Method]],"DS",Crops[[#This Row],[Days to Germination]]+Crops[[#This Row],[DTM]] + IF(Crops[[#This Row],[Days in Cells]]&gt;0,15,0), "TP",Crops[[#This Row],[DTM]]+Crops[[#This Row],[Days in Cells]] + IF(Crops[[#This Row],[Days in Cells]]&lt;=0,20,0), "X", Crops[[#This Row],[DTM]])</f>
        <v>90</v>
      </c>
      <c r="AS163" t="s">
        <v>347</v>
      </c>
      <c r="AT163">
        <f>(Crops[[#This Row],[Harvests]]-1)*Crops[[#This Row],[Days Between Harvest]]+7</f>
        <v>14</v>
      </c>
      <c r="AU163">
        <f>Crops[[#This Row],[STH]]-Crops[[#This Row],[Days in Cells]]+Crops[[#This Row],[Harvest window]]</f>
        <v>83</v>
      </c>
      <c r="AX163">
        <v>128</v>
      </c>
      <c r="AY163">
        <v>21</v>
      </c>
      <c r="AZ163">
        <f>IFERROR(IF(Crops[[#This Row],[Tray 1 Days]]=0,"",Crops[[#This Row],[Plantings Per Bed]]/Crops[[#This Row],[Tray 1 Size]]*Crops[[#This Row],[Safety Factor]]),"")</f>
        <v>1.7187500000000002</v>
      </c>
      <c r="BC163" t="str">
        <f>IFERROR(IF(Crops[[#This Row],[Tray 2 Days]]=0,"",Crops[[#This Row],[Plantings Per Bed]]/Crops[[#This Row],[Tray 2 Size]]*Crops[[#This Row],[Safety Factor]]),"")</f>
        <v/>
      </c>
      <c r="BE163" s="32" t="str">
        <f>IF(NOT(ISBLANK(Crops[[#This Row],[Tray 3 Size]])), Crops[[#This Row],[Days in Cells Old]]-SUM(Crops[[#This Row],[Tray 1 Days]],Crops[[#This Row],[Tray 2 Days]]), "")</f>
        <v/>
      </c>
      <c r="BF163" t="str">
        <f>IFERROR(IF(Crops[[#This Row],[Tray 3 Days]]=0,"",Crops[[#This Row],[Plantings Per Bed]]/Crops[[#This Row],[Tray 3 Size]]*Crops[[#This Row],[Safety Factor]]),"")</f>
        <v/>
      </c>
      <c r="BG163" s="33">
        <f>Crops[[#This Row],[Plantings Per Bed]]/2/Crops[[#This Row],[Harvests]]</f>
        <v>50</v>
      </c>
      <c r="BH163" s="33">
        <v>2</v>
      </c>
      <c r="BI163" s="33">
        <v>7</v>
      </c>
      <c r="BJ163" s="33">
        <f>_xlfn.XLOOKUP(Crops[[#This Row],[ProductIndex]],Products[ID],Products[Holding Period])</f>
        <v>10</v>
      </c>
      <c r="BK163" s="33"/>
      <c r="BL163" s="33">
        <f>Crops[[#This Row],[Units Per Harvest]]*Crops[[#This Row],[Harvests]]</f>
        <v>100</v>
      </c>
      <c r="BM163" s="35">
        <v>3</v>
      </c>
      <c r="BN163" s="35">
        <f>Crops[[#This Row],[Direct Price]]*0.6</f>
        <v>1.7999999999999998</v>
      </c>
      <c r="BO163" s="35"/>
      <c r="BP163" t="s">
        <v>215</v>
      </c>
      <c r="BQ163">
        <f>Crops[[#This Row],[Custom Yield Per Bed]]*Crops[[#This Row],[Direct Price]]</f>
        <v>300</v>
      </c>
      <c r="BR163" t="b">
        <v>1</v>
      </c>
      <c r="BS163" t="b">
        <f>Crops[[#This Row],[Harvests]]&gt;1</f>
        <v>1</v>
      </c>
      <c r="BT163" s="36">
        <f>IFERROR(Crops[[#This Row],[Direct Revenue Per Bed]]/Crops[[#This Row],[Days In Field]],-1)</f>
        <v>3.6144578313253013</v>
      </c>
      <c r="BU163" s="36">
        <f>IFERROR(Crops[[#This Row],[Direct Revenue Per Bed Day]]*GrowingDays*BedsPerAcre,"")</f>
        <v>104096.38554216869</v>
      </c>
      <c r="BV163" s="38">
        <f>LastFrostDate-5*Crops[[#This Row],[Sewing Rel Last Frost]]</f>
        <v>45853</v>
      </c>
      <c r="BW163" s="38">
        <f>Crops[[#This Row],[Target Sewing Date]]+Crops[[#This Row],[Days in Cells]]</f>
        <v>45874</v>
      </c>
      <c r="BX163" s="38">
        <f>Crops[[#This Row],[Target Sewing Date]]+Crops[[#This Row],[STH]]</f>
        <v>45943</v>
      </c>
      <c r="BY163" s="38">
        <f>Crops[[#This Row],[Target Harvest Data]]+Crops[[#This Row],[Harvest window]]</f>
        <v>45957</v>
      </c>
      <c r="BZ163">
        <v>-21</v>
      </c>
      <c r="CB163">
        <f>1</f>
        <v>1</v>
      </c>
      <c r="CC163">
        <f>IF(Crops[[#This Row],[Transplanting]]&gt;0, 2, 3)*BedLength/StandardBedLength</f>
        <v>1</v>
      </c>
      <c r="CD163" s="173">
        <f>IF(Crops[[#This Row],[Days in Cells]]&lt;=0,0,Crops[[#This Row],[Plantings Per Bed]]/StartsPerHourSeeding+Crops[[#This Row],[Tray 1 Count]]*5/60)</f>
        <v>0.92447916666666674</v>
      </c>
      <c r="CE163" s="173">
        <f>IF(ISBLANK(Crops[[#This Row],[Tray 2 Days]]),0,Crops[[#This Row],[Plantings Per Bed]]/UpPottingPerHour)+IF(Crops[[#This Row],[Tray 3 Days]]="",0,Crops[[#This Row],[Plantings Per Bed]]/UpPottingPerHour)</f>
        <v>0</v>
      </c>
      <c r="CF163" s="173">
        <f>IFERROR(Crops[[#This Row],[Tray 1 Count]]/HomeStartFlatIrrigationPerHour,0)*Crops[[#This Row],[Days in Cells]]/DaysBetweenStartIrrigation</f>
        <v>0.150390625</v>
      </c>
      <c r="CG163" s="173">
        <f>0.5/16*MAX(Crops[[#This Row],[Tray 1 Count]],Crops[[#This Row],[Tray 2 Count]],Crops[[#This Row],[Tray 3 Count]])</f>
        <v>5.3710937500000007E-2</v>
      </c>
      <c r="CH163" s="173">
        <f>IF(Crops[[#This Row],[Days in Cells]]&gt;0,IF(IF(Crops[[#This Row],[Tray 3 Size]]&gt;0,Crops[[#This Row],[Tray 3 Size]],IF(Crops[[#This Row],[Tray 2 Size]]&gt;0,Crops[[#This Row],[Tray 2 Size]],Crops[[#This Row],[Tray 1 Size]]))&lt;=18,LargeTransplantTime,SmallTransplantTime)*Crops[[#This Row],[Plantings Per Bed]],0)</f>
        <v>1</v>
      </c>
      <c r="CI163" s="173"/>
      <c r="CJ163" s="173">
        <f>_xlfn.XLOOKUP(Crops[[#This Row],[Trellis Type]],TrellisMethods[Trellis Type],TrellisMethods[Hours],0,0)</f>
        <v>0</v>
      </c>
      <c r="CK163">
        <f>IF(Crops[[#This Row],[Days in Cells]]&lt;=0,Crops[[#This Row],[Rows]]*1/10,0)*BedLength/50</f>
        <v>0</v>
      </c>
      <c r="CL163" cm="1">
        <f t="array" ref="CL163">_xlfn.SWITCH(Crops[[#This Row],[Irrigation]],"DR", 0.5, "OH", 0.25,0)*BedLength/50</f>
        <v>0</v>
      </c>
      <c r="CM163">
        <f>IF(OR(ISBLANK(Crops[[#This Row],[Row Cover]]),Crops[[#This Row],[Row Cover]]="None"),0,1)*BedLength/50</f>
        <v>0</v>
      </c>
      <c r="CN163" s="173">
        <f>HoursPerWeedingPass*Crops[[#This Row],[Days In Field]]/14*Crops[[#This Row],[Rows]]+1*BedLength/50</f>
        <v>3.964285714285714</v>
      </c>
      <c r="CQ163" s="37">
        <f>_xlfn.XLOOKUP(Crops[[#This Row],[Crop]]&amp;Crops[[#This Row],[Product]]&amp;Crops[[#This Row],[Unit]],Products[ID],Products[Marketing (hr)])*Crops[[#This Row],[Direct Revenue Per Bed]]/2000</f>
        <v>0.6</v>
      </c>
      <c r="CR163" s="37">
        <f>_xlfn.XLOOKUP(Crops[[#This Row],[Crop]]&amp;Crops[[#This Row],[Product]]&amp;Crops[[#This Row],[Unit]],Products[ID],Products[Harvest (s)])*Crops[[#This Row],[Custom Yield Per Bed]]/3600</f>
        <v>0.27777777777777779</v>
      </c>
      <c r="CS163" s="37">
        <f>_xlfn.XLOOKUP(Crops[[#This Row],[Crop]]&amp;Crops[[#This Row],[Product]]&amp;Crops[[#This Row],[Unit]],Products[ID],Products[Bunch (s)])*Crops[[#This Row],[Custom Yield Per Bed]]/3600</f>
        <v>0.27777777777777779</v>
      </c>
      <c r="CT163" s="37">
        <f>_xlfn.XLOOKUP(Crops[[#This Row],[Crop]]&amp;Crops[[#This Row],[Product]]&amp;Crops[[#This Row],[Unit]],Products[ID],Products[Haul (s)])*Crops[[#This Row],[Custom Yield Per Bed]]/3600</f>
        <v>0.10416666666666667</v>
      </c>
      <c r="CU163" s="37">
        <f>_xlfn.XLOOKUP(Crops[[#This Row],[Crop]]&amp;Crops[[#This Row],[Product]]&amp;Crops[[#This Row],[Unit]],Products[ID],Products[Wash (s)])*Crops[[#This Row],[Custom Yield Per Bed]]/3600</f>
        <v>0</v>
      </c>
      <c r="CV163" s="37">
        <f>_xlfn.XLOOKUP(Crops[[#This Row],[Crop]]&amp;Crops[[#This Row],[Product]]&amp;Crops[[#This Row],[Unit]],Products[ID],Products[Condition (s)])*Crops[[#This Row],[Custom Yield Per Bed]]/3600</f>
        <v>0.27777777777777779</v>
      </c>
      <c r="CW163" s="37">
        <f>_xlfn.XLOOKUP(Crops[[#This Row],[Crop]]&amp;Crops[[#This Row],[Product]]&amp;Crops[[#This Row],[Unit]],Products[ID],Products[Trim (s)])*Crops[[#This Row],[Custom Yield Per Bed]]/3600</f>
        <v>0.83333333333333337</v>
      </c>
      <c r="CX163" s="37">
        <f>_xlfn.XLOOKUP(Crops[[#This Row],[Crop]]&amp;Crops[[#This Row],[Product]]&amp;Crops[[#This Row],[Unit]],Products[ID],Products[Pack (s)])*Crops[[#This Row],[Custom Yield Per Bed]]/3600</f>
        <v>8.3333333333333329E-2</v>
      </c>
      <c r="CY163" s="37">
        <f>_xlfn.XLOOKUP(Crops[[#This Row],[Crop]]&amp;Crops[[#This Row],[Product]]&amp;Crops[[#This Row],[Unit]],Products[ID],Products[Clean (s)])*Crops[[#This Row],[Custom Yield Per Bed]]/3600</f>
        <v>0</v>
      </c>
      <c r="CZ163" s="37">
        <f>_xlfn.XLOOKUP(Crops[[#This Row],[Crop]]&amp;Crops[[#This Row],[Product]]&amp;Crops[[#This Row],[Unit]],Products[ID],Products[Rehandle (s)])*Crops[[#This Row],[Custom Yield Per Bed]]/3600</f>
        <v>0</v>
      </c>
      <c r="DA163" s="37">
        <f>_xlfn.XLOOKUP(Crops[[#This Row],[Crop]]&amp;Crops[[#This Row],[Product]]&amp;Crops[[#This Row],[Unit]],Products[ID],Products[Market Transport (s)])*Crops[[#This Row],[Custom Yield Per Bed]]/3600</f>
        <v>0.26041666666666669</v>
      </c>
      <c r="DC163" s="37">
        <f>Crops[[#This Row],[Direct Revenue Per Bed2]]</f>
        <v>300</v>
      </c>
      <c r="DD163" s="173">
        <f>_xlfn.AGGREGATE(9,6,Crops[[#This Row],[Bed Prep]:[Remove Crop Residue]])</f>
        <v>9.8074497767857149</v>
      </c>
      <c r="DE163" s="173">
        <f>_xlfn.AGGREGATE(9,6,Crops[[#This Row],[Bed Prep]:[Remove Crop Residue]])-0.75*Crops[[#This Row],[Market &amp; Sell]]</f>
        <v>9.3574497767857157</v>
      </c>
      <c r="DF163" s="36">
        <f>Crops[[#This Row],[Direct Revenue Per Bed2]]/Crops[[#This Row],[Direct Time]]</f>
        <v>30.588991718326366</v>
      </c>
      <c r="DG163" s="36">
        <f>_xlfn.XLOOKUP(Crops[[#This Row],[ProductIndex]],Products[ID],Products[Packaging Cost])*(Crops[[#This Row],[Custom Yield Per Bed]]/_xlfn.XLOOKUP(Crops[[#This Row],[ProductIndex]],Products[ID],Products[Units Per Pack]))</f>
        <v>15.833333333333334</v>
      </c>
      <c r="DH163" s="36"/>
      <c r="DI163" s="36"/>
      <c r="DJ163" s="36"/>
      <c r="DK163" s="36"/>
      <c r="DL163" s="36"/>
      <c r="DM163" s="33">
        <f>IFERROR(Crops[[#This Row],[Custom Yield Per Bed]]*Crops[[#This Row],[Direct Price]],"")</f>
        <v>300</v>
      </c>
      <c r="DN163" s="36">
        <f>Crops[[#This Row],[Direct Time]]*LaborRate</f>
        <v>245.18624441964286</v>
      </c>
      <c r="DO163" s="36">
        <f>SUM(Crops[[#This Row],[Irrigation Cost]])</f>
        <v>0</v>
      </c>
      <c r="DP163" s="36">
        <f>Crops[[#This Row],[Direct Labor Cost]]+Crops[[#This Row],[Direct Non-Labor Cost]]</f>
        <v>245.18624441964286</v>
      </c>
      <c r="DQ163" s="36">
        <f>Crops[[#This Row],[Direct Revenue Per Bed2]]-Crops[[#This Row],[Direct Total Cost]]</f>
        <v>54.813755580357139</v>
      </c>
      <c r="DR163" s="36">
        <f>Crops[[#This Row],[Direct Profit]]*BedsPerAcre</f>
        <v>8770.2008928571413</v>
      </c>
      <c r="DS163" s="36">
        <f>Crops[[#This Row],[Direct Profit]]*BedsPerAcre*GrowingDays/Crops[[#This Row],[Days In Field]]</f>
        <v>19019.712779690188</v>
      </c>
      <c r="DT163" s="36">
        <f>Crops[[#This Row],[Direct Profit]]/MIN(Crops[[#This Row],[Days In Field]],GrowingDays)</f>
        <v>0.66040669373924266</v>
      </c>
      <c r="DU163" s="36">
        <f>Crops[[#This Row],[Direct Time]] * BedsPerAcre</f>
        <v>1569.1919642857144</v>
      </c>
      <c r="DV163" s="36">
        <f>(Crops[[#This Row],[Direct Revenue Per Bed2]]-Crops[[#This Row],[Direct Non-Labor Cost]])/Crops[[#This Row],[Direct Time]]</f>
        <v>30.588991718326366</v>
      </c>
      <c r="DW163" s="33">
        <f>IFERROR(Crops[[#This Row],[Custom Yield Per Bed]]*Crops[[#This Row],[Rough Wholesale Price]],"")</f>
        <v>179.99999999999997</v>
      </c>
      <c r="DX163" s="36">
        <f>Crops[[#This Row],[Wholesale Time]]*LaborRate</f>
        <v>233.93624441964289</v>
      </c>
      <c r="DY163" s="36">
        <f>SUM(Crops[[#This Row],[Packaging Costs]:[Irrigation Cost]])</f>
        <v>15.833333333333334</v>
      </c>
      <c r="DZ163" s="36">
        <f>Crops[[#This Row],[Wholesale Labor Cost]]+Crops[[#This Row],[Wholesale Non-Labor Cost]]</f>
        <v>249.76957775297623</v>
      </c>
      <c r="EA163" s="36">
        <f>Crops[[#This Row],[Wholesale Revenue Per Bed]]-Crops[[#This Row],[Wholesale Total Cost]]</f>
        <v>-69.769577752976261</v>
      </c>
      <c r="EB163" s="36">
        <f>Crops[[#This Row],[Wholesale Profit]]*BedsPerAcre</f>
        <v>-11163.132440476202</v>
      </c>
      <c r="EC163" s="36">
        <f>Crops[[#This Row],[Wholesale Profit]]*BedsPerAcre*GrowingDays/Crops[[#This Row],[Days In Field]]</f>
        <v>-24209.202882960439</v>
      </c>
      <c r="ED163" s="36">
        <f>Crops[[#This Row],[Wholesale Time]] * BedsPerAcre</f>
        <v>1497.1919642857144</v>
      </c>
      <c r="EE163" s="36">
        <f>Crops[[#This Row],[Wholesale Profit]]/MIN(Crops[[#This Row],[Days In Field]],GrowingDays)</f>
        <v>-0.84059732232501516</v>
      </c>
      <c r="EF163" s="36">
        <f>(Crops[[#This Row],[Wholesale Revenue Per Bed]]-Crops[[#This Row],[Wholesale Non-Labor Cost]])/Crops[[#This Row],[Direct Time]]</f>
        <v>16.738976023639701</v>
      </c>
      <c r="EG163" s="174">
        <f>Crops[[#This Row],[Packaging Costs]]/Crops[[#This Row],[Wholesale Revenue Per Bed]]</f>
        <v>8.7962962962962979E-2</v>
      </c>
      <c r="EH163" s="36" t="str">
        <f>Crops[[#This Row],[Crop]]&amp;Crops[[#This Row],[Product]]&amp;Crops[[#This Row],[Unit]]</f>
        <v>KomatsunaMature HeadBunch</v>
      </c>
      <c r="EI163" s="36" t="b">
        <f>_xlfn.XLOOKUP(Crops[[#This Row],[ProductIndex]],Products[ID],Products[Target])</f>
        <v>1</v>
      </c>
      <c r="EJ163" s="36">
        <f>Crops[[#This Row],[Custom Yield Per Bed]]</f>
        <v>100</v>
      </c>
      <c r="EK163" s="210">
        <f>Crops[[#This Row],[Units Per Harvest]]/Crops[[#This Row],[Days Between Harvest]]*7</f>
        <v>50</v>
      </c>
      <c r="EL163" s="210">
        <f>Crops[[#This Row],[Custom Yield Per Bed]]/_xlfn.XLOOKUP(Crops[[#This Row],[ProductIndex]],Products[ID],Products[CSA Portion])</f>
        <v>100</v>
      </c>
      <c r="EM163" s="210">
        <f>Crops[[#This Row],[Units Per Harvest]]/Crops[[#This Row],[Days Between Harvest]]*7/_xlfn.XLOOKUP(Crops[[#This Row],[ProductIndex]],Products[ID],Products[CSA Portion])</f>
        <v>50</v>
      </c>
      <c r="EN163" s="210">
        <f>Crops[[#This Row],[CSA Portions Per Week]]/CSAMembers</f>
        <v>1</v>
      </c>
      <c r="EO163" s="210"/>
      <c r="EP163" s="210"/>
      <c r="EQ163" s="36"/>
      <c r="ER163" s="36">
        <f>Crops[[#This Row],[Harvests]]*Crops[[#This Row],[Days Between Harvest]]/7</f>
        <v>2</v>
      </c>
      <c r="ES163" s="208">
        <f>_xlfn.XLOOKUP(Crops[[#This Row],[ProductIndex]],Products[ID],Products[CSA Need])</f>
        <v>0</v>
      </c>
      <c r="ET163" s="208">
        <f>_xlfn.XLOOKUP(Crops[[#This Row],[ProductIndex]],Products[ID],Products[CSA Times])</f>
        <v>0</v>
      </c>
      <c r="EU163" s="208" t="e">
        <f>Crops[[#This Row],[Custom Yield Per Bed]]/(Crops[[#This Row],[CSA Need]]*(_xlfn.XLOOKUP(Crops[[#This Row],[ProductIndex]],Products[ID],Products[CSA Portion])*CSAMembers))</f>
        <v>#DIV/0!</v>
      </c>
      <c r="EV163" s="208">
        <f>_xlfn.XLOOKUP(Crops[[#This Row],[ProductIndex]],Products[ID],Products[CSA Portion])*CSAMembers*Crops[[#This Row],[CSA Need]]/Crops[[#This Row],[Custom Yield Per Bed]]</f>
        <v>0</v>
      </c>
      <c r="EW163" s="208">
        <f>IFERROR(Crops[[#This Row],[Days In Field]]*Crops[[#This Row],[CSA Beds]],"")</f>
        <v>0</v>
      </c>
      <c r="EX163" s="208" t="e">
        <f>Crops[[#This Row],[CSA Bed Days]]*#REF!</f>
        <v>#REF!</v>
      </c>
      <c r="EY163">
        <v>0</v>
      </c>
    </row>
    <row r="164" spans="1:155">
      <c r="A16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Mature Leaf 2X | Field TP Su</v>
      </c>
      <c r="B164" s="191"/>
      <c r="C164" s="1"/>
      <c r="D164" s="1"/>
      <c r="E164" s="1" t="b">
        <v>0</v>
      </c>
      <c r="F164" s="1" t="b">
        <f>IFERROR(IF(ISNUMBER(MATCH(Crops[[#This Row],[Identifier]],BedPlan[Crop], 0)), TRUE, FALSE), FALSE)</f>
        <v>0</v>
      </c>
      <c r="G164" s="1" t="b">
        <f>IFERROR(IF(ISNUMBER(MATCH(Crops[[#This Row],[Identifier]],BedPlan[Crop], 0)), TRUE, FALSE), FALSE)</f>
        <v>0</v>
      </c>
      <c r="H164" s="1"/>
      <c r="I164" t="s">
        <v>90</v>
      </c>
      <c r="J164" t="s">
        <v>145</v>
      </c>
      <c r="K164" t="s">
        <v>179</v>
      </c>
      <c r="M164" t="s">
        <v>445</v>
      </c>
      <c r="N164" t="str">
        <f>Crops[[#This Row],[Crop]]</f>
        <v>Komatsuna</v>
      </c>
      <c r="O164" t="s">
        <v>210</v>
      </c>
      <c r="P164" t="str">
        <f>IF(OR(Crops[[#This Row],[Days in Cells]]="",Crops[[#This Row],[Days in Cells]]=0), "DS","TP")</f>
        <v>TP</v>
      </c>
      <c r="R164" t="b">
        <v>1</v>
      </c>
      <c r="V164" t="str">
        <f xml:space="preserve"> IF(Crops[[#This Row],[Sp]], "Sp", "") &amp; IF(Crops[[#This Row],[Su]], "Su", "") &amp; IF(Crops[[#This Row],[Fa]], "Fa", "") &amp; IF(Crops[[#This Row],[Wi]], "Wi", "") &amp; IF(Crops[[#This Row],[OW]], "Ow","")</f>
        <v>Su</v>
      </c>
      <c r="X164">
        <v>4</v>
      </c>
      <c r="Y164">
        <v>6</v>
      </c>
      <c r="AA164" t="s">
        <v>475</v>
      </c>
      <c r="AB164" t="b">
        <v>1</v>
      </c>
      <c r="AC164">
        <v>2</v>
      </c>
      <c r="AD164" s="32">
        <f>IFERROR(12/Crops[[#This Row],[Spacing]]*Crops[[#This Row],[Rows]]*BedLength,"")</f>
        <v>400</v>
      </c>
      <c r="AE164">
        <v>2</v>
      </c>
      <c r="AG164">
        <v>1.1000000000000001</v>
      </c>
      <c r="AH164">
        <f>1</f>
        <v>1</v>
      </c>
      <c r="AI164" s="33">
        <f>IFERROR(Crops[[#This Row],[Plantings Per Bed]]*Crops[[#This Row],[Seeds Per Planting]]*Crops[[#This Row],[Safety Factor]]*Crops[[#This Row],[Seeding Factor]],"")</f>
        <v>880.00000000000011</v>
      </c>
      <c r="AJ164">
        <v>4</v>
      </c>
      <c r="AK164">
        <v>7</v>
      </c>
      <c r="AL164">
        <f>_xlfn.FLOOR.MATH(IFERROR(AVERAGE(Crops[[#This Row],[DTG Lower]:[DTG Upper]]),0))</f>
        <v>5</v>
      </c>
      <c r="AM164">
        <f>SUM(Crops[[#This Row],[Tray 1 Days]],Crops[[#This Row],[Tray 2 Days]],Crops[[#This Row],[Tray 3 Days]])</f>
        <v>21</v>
      </c>
      <c r="AN164" s="32">
        <v>18</v>
      </c>
      <c r="AO164">
        <v>45</v>
      </c>
      <c r="AP164">
        <v>50</v>
      </c>
      <c r="AQ164">
        <f>IFERROR(_xlfn.FLOOR.MATH(AVERAGE(Crops[[#This Row],[DTM Lower]:[DTM Upper]])),"")</f>
        <v>47</v>
      </c>
      <c r="AR164" cm="1">
        <f t="array" ref="AR164">_xlfn.SWITCH(Crops[[#This Row],[Normal Method]],"DS",Crops[[#This Row],[Days to Germination]]+Crops[[#This Row],[DTM]] + IF(Crops[[#This Row],[Days in Cells]]&gt;0,15,0), "TP",Crops[[#This Row],[DTM]]+Crops[[#This Row],[Days in Cells]] + IF(Crops[[#This Row],[Days in Cells]]&lt;=0,20,0), "X", Crops[[#This Row],[DTM]])</f>
        <v>67</v>
      </c>
      <c r="AS164" t="s">
        <v>338</v>
      </c>
      <c r="AT164">
        <f>(Crops[[#This Row],[Harvests]]-1)*Crops[[#This Row],[Days Between Harvest]]+7</f>
        <v>14</v>
      </c>
      <c r="AU164">
        <f>Crops[[#This Row],[STH]]-Crops[[#This Row],[Days in Cells]]+Crops[[#This Row],[Harvest window]]</f>
        <v>60</v>
      </c>
      <c r="AX164">
        <v>128</v>
      </c>
      <c r="AY164">
        <v>21</v>
      </c>
      <c r="AZ164" s="49">
        <f>IFERROR(IF(Crops[[#This Row],[Tray 1 Days]]=0,"",Crops[[#This Row],[Plantings Per Bed]]/Crops[[#This Row],[Tray 1 Size]]*Crops[[#This Row],[Safety Factor]]),"")</f>
        <v>3.4375000000000004</v>
      </c>
      <c r="BC164" t="str">
        <f>IFERROR(IF(Crops[[#This Row],[Tray 2 Days]]=0,"",Crops[[#This Row],[Plantings Per Bed]]/Crops[[#This Row],[Tray 2 Size]]*Crops[[#This Row],[Safety Factor]]),"")</f>
        <v/>
      </c>
      <c r="BE164" s="32" t="str">
        <f>IF(NOT(ISBLANK(Crops[[#This Row],[Tray 3 Size]])), Crops[[#This Row],[Days in Cells Old]]-SUM(Crops[[#This Row],[Tray 1 Days]],Crops[[#This Row],[Tray 2 Days]]), "")</f>
        <v/>
      </c>
      <c r="BF164" s="49" t="str">
        <f>IFERROR(IF(Crops[[#This Row],[Tray 3 Days]]=0,"",Crops[[#This Row],[Plantings Per Bed]]/Crops[[#This Row],[Tray 3 Size]]*Crops[[#This Row],[Safety Factor]]),"")</f>
        <v/>
      </c>
      <c r="BG164" s="33">
        <f>Crops[[#This Row],[Plantings Per Bed]]*0.25/Crops[[#This Row],[Harvests]]</f>
        <v>50</v>
      </c>
      <c r="BH164" s="33">
        <v>2</v>
      </c>
      <c r="BI164" s="33">
        <v>7</v>
      </c>
      <c r="BJ164" s="33">
        <f>_xlfn.XLOOKUP(Crops[[#This Row],[ProductIndex]],Products[ID],Products[Holding Period])</f>
        <v>5</v>
      </c>
      <c r="BK164" s="33"/>
      <c r="BL164" s="33">
        <f>Crops[[#This Row],[Units Per Harvest]]*Crops[[#This Row],[Harvests]]</f>
        <v>100</v>
      </c>
      <c r="BM164" s="35">
        <v>5</v>
      </c>
      <c r="BN164" s="35">
        <f>Crops[[#This Row],[Direct Price]]*0.6</f>
        <v>3</v>
      </c>
      <c r="BO164" s="35"/>
      <c r="BP164" t="s">
        <v>383</v>
      </c>
      <c r="BQ164">
        <f>Crops[[#This Row],[Custom Yield Per Bed]]*Crops[[#This Row],[Direct Price]]</f>
        <v>500</v>
      </c>
      <c r="BR164" t="b">
        <v>1</v>
      </c>
      <c r="BS164" t="b">
        <f>Crops[[#This Row],[Harvests]]&gt;1</f>
        <v>1</v>
      </c>
      <c r="BT164" s="36">
        <f>IFERROR(Crops[[#This Row],[Direct Revenue Per Bed]]/Crops[[#This Row],[Days In Field]],-1)</f>
        <v>8.3333333333333339</v>
      </c>
      <c r="BU164" s="36">
        <f>IFERROR(Crops[[#This Row],[Direct Revenue Per Bed Day]]*GrowingDays*BedsPerAcre,"")</f>
        <v>240000</v>
      </c>
      <c r="BV164" s="38">
        <f>LastFrostDate-5*Crops[[#This Row],[Sewing Rel Last Frost]]</f>
        <v>45723</v>
      </c>
      <c r="BW164" s="38">
        <f>Crops[[#This Row],[Target Sewing Date]]+Crops[[#This Row],[Days in Cells]]</f>
        <v>45744</v>
      </c>
      <c r="BX164" s="38">
        <f>Crops[[#This Row],[Target Sewing Date]]+Crops[[#This Row],[STH]]</f>
        <v>45790</v>
      </c>
      <c r="BY164" s="38">
        <f>Crops[[#This Row],[Target Harvest Data]]+Crops[[#This Row],[Harvest window]]</f>
        <v>45804</v>
      </c>
      <c r="BZ164">
        <v>5</v>
      </c>
      <c r="CB164">
        <f>1</f>
        <v>1</v>
      </c>
      <c r="CC164">
        <f>IF(Crops[[#This Row],[Transplanting]]&gt;0, 2, 3)*BedLength/StandardBedLength</f>
        <v>1</v>
      </c>
      <c r="CD164" s="173">
        <f>IF(Crops[[#This Row],[Days in Cells]]&lt;=0,0,Crops[[#This Row],[Plantings Per Bed]]/StartsPerHourSeeding+Crops[[#This Row],[Tray 1 Count]]*5/60)</f>
        <v>1.8489583333333335</v>
      </c>
      <c r="CE164" s="173">
        <f>IF(ISBLANK(Crops[[#This Row],[Tray 2 Days]]),0,Crops[[#This Row],[Plantings Per Bed]]/UpPottingPerHour)+IF(Crops[[#This Row],[Tray 3 Days]]="",0,Crops[[#This Row],[Plantings Per Bed]]/UpPottingPerHour)</f>
        <v>0</v>
      </c>
      <c r="CF164" s="173">
        <f>IFERROR(Crops[[#This Row],[Tray 1 Count]]/HomeStartFlatIrrigationPerHour,0)*Crops[[#This Row],[Days in Cells]]/DaysBetweenStartIrrigation</f>
        <v>0.30078125</v>
      </c>
      <c r="CG164" s="173">
        <f>0.5/16*MAX(Crops[[#This Row],[Tray 1 Count]],Crops[[#This Row],[Tray 2 Count]],Crops[[#This Row],[Tray 3 Count]])</f>
        <v>0.10742187500000001</v>
      </c>
      <c r="CH164" s="173">
        <f>IF(Crops[[#This Row],[Days in Cells]]&gt;0,IF(IF(Crops[[#This Row],[Tray 3 Size]]&gt;0,Crops[[#This Row],[Tray 3 Size]],IF(Crops[[#This Row],[Tray 2 Size]]&gt;0,Crops[[#This Row],[Tray 2 Size]],Crops[[#This Row],[Tray 1 Size]]))&lt;=18,LargeTransplantTime,SmallTransplantTime)*Crops[[#This Row],[Plantings Per Bed]],0)</f>
        <v>2</v>
      </c>
      <c r="CI164" s="173"/>
      <c r="CJ164" s="173">
        <f>_xlfn.XLOOKUP(Crops[[#This Row],[Trellis Type]],TrellisMethods[Trellis Type],TrellisMethods[Hours],0,0)</f>
        <v>0</v>
      </c>
      <c r="CK164">
        <f>IF(Crops[[#This Row],[Days in Cells]]&lt;=0,Crops[[#This Row],[Rows]]*1/10,0)*BedLength/50</f>
        <v>0</v>
      </c>
      <c r="CL164" cm="1">
        <f t="array" ref="CL164">_xlfn.SWITCH(Crops[[#This Row],[Irrigation]],"DR", 0.5, "OH", 0.25,0)*BedLength/50</f>
        <v>0</v>
      </c>
      <c r="CM164">
        <f>IF(OR(ISBLANK(Crops[[#This Row],[Row Cover]]),Crops[[#This Row],[Row Cover]]="None"),0,1)*BedLength/50</f>
        <v>1</v>
      </c>
      <c r="CN164" s="173">
        <f>HoursPerWeedingPass*Crops[[#This Row],[Days In Field]]/14*Crops[[#This Row],[Rows]]+1*BedLength/50</f>
        <v>3.8571428571428572</v>
      </c>
      <c r="CQ164" s="37">
        <f>_xlfn.XLOOKUP(Crops[[#This Row],[Crop]]&amp;Crops[[#This Row],[Product]]&amp;Crops[[#This Row],[Unit]],Products[ID],Products[Marketing (hr)])*Crops[[#This Row],[Direct Revenue Per Bed]]/2000</f>
        <v>1</v>
      </c>
      <c r="CR164" s="37">
        <f>_xlfn.XLOOKUP(Crops[[#This Row],[Crop]]&amp;Crops[[#This Row],[Product]]&amp;Crops[[#This Row],[Unit]],Products[ID],Products[Harvest (s)])*Crops[[#This Row],[Custom Yield Per Bed]]/3600</f>
        <v>1.6666666666666667</v>
      </c>
      <c r="CS164" s="37">
        <f>_xlfn.XLOOKUP(Crops[[#This Row],[Crop]]&amp;Crops[[#This Row],[Product]]&amp;Crops[[#This Row],[Unit]],Products[ID],Products[Bunch (s)])*Crops[[#This Row],[Custom Yield Per Bed]]/3600</f>
        <v>0</v>
      </c>
      <c r="CT164" s="37">
        <f>_xlfn.XLOOKUP(Crops[[#This Row],[Crop]]&amp;Crops[[#This Row],[Product]]&amp;Crops[[#This Row],[Unit]],Products[ID],Products[Haul (s)])*Crops[[#This Row],[Custom Yield Per Bed]]/3600</f>
        <v>0.125</v>
      </c>
      <c r="CU164" s="37">
        <f>_xlfn.XLOOKUP(Crops[[#This Row],[Crop]]&amp;Crops[[#This Row],[Product]]&amp;Crops[[#This Row],[Unit]],Products[ID],Products[Wash (s)])*Crops[[#This Row],[Custom Yield Per Bed]]/3600</f>
        <v>0</v>
      </c>
      <c r="CV164" s="37">
        <f>_xlfn.XLOOKUP(Crops[[#This Row],[Crop]]&amp;Crops[[#This Row],[Product]]&amp;Crops[[#This Row],[Unit]],Products[ID],Products[Condition (s)])*Crops[[#This Row],[Custom Yield Per Bed]]/3600</f>
        <v>0.27777777777777779</v>
      </c>
      <c r="CW164" s="37">
        <f>_xlfn.XLOOKUP(Crops[[#This Row],[Crop]]&amp;Crops[[#This Row],[Product]]&amp;Crops[[#This Row],[Unit]],Products[ID],Products[Trim (s)])*Crops[[#This Row],[Custom Yield Per Bed]]/3600</f>
        <v>0</v>
      </c>
      <c r="CX164" s="37">
        <f>_xlfn.XLOOKUP(Crops[[#This Row],[Crop]]&amp;Crops[[#This Row],[Product]]&amp;Crops[[#This Row],[Unit]],Products[ID],Products[Pack (s)])*Crops[[#This Row],[Custom Yield Per Bed]]/3600</f>
        <v>8.3333333333333329E-2</v>
      </c>
      <c r="CY164" s="37">
        <f>_xlfn.XLOOKUP(Crops[[#This Row],[Crop]]&amp;Crops[[#This Row],[Product]]&amp;Crops[[#This Row],[Unit]],Products[ID],Products[Clean (s)])*Crops[[#This Row],[Custom Yield Per Bed]]/3600</f>
        <v>0</v>
      </c>
      <c r="CZ164" s="37">
        <f>_xlfn.XLOOKUP(Crops[[#This Row],[Crop]]&amp;Crops[[#This Row],[Product]]&amp;Crops[[#This Row],[Unit]],Products[ID],Products[Rehandle (s)])*Crops[[#This Row],[Custom Yield Per Bed]]/3600</f>
        <v>0</v>
      </c>
      <c r="DA164" s="37">
        <f>_xlfn.XLOOKUP(Crops[[#This Row],[Crop]]&amp;Crops[[#This Row],[Product]]&amp;Crops[[#This Row],[Unit]],Products[ID],Products[Market Transport (s)])*Crops[[#This Row],[Custom Yield Per Bed]]/3600</f>
        <v>0.3125</v>
      </c>
      <c r="DC164" s="37">
        <f>Crops[[#This Row],[Direct Revenue Per Bed2]]</f>
        <v>500</v>
      </c>
      <c r="DD164" s="173">
        <f>_xlfn.AGGREGATE(9,6,Crops[[#This Row],[Bed Prep]:[Remove Crop Residue]])</f>
        <v>13.57958209325397</v>
      </c>
      <c r="DE164" s="173">
        <f>_xlfn.AGGREGATE(9,6,Crops[[#This Row],[Bed Prep]:[Remove Crop Residue]])-0.75*Crops[[#This Row],[Market &amp; Sell]]</f>
        <v>12.82958209325397</v>
      </c>
      <c r="DF164" s="36">
        <f>Crops[[#This Row],[Direct Revenue Per Bed2]]/Crops[[#This Row],[Direct Time]]</f>
        <v>36.819984338721937</v>
      </c>
      <c r="DG164" s="36">
        <f>_xlfn.XLOOKUP(Crops[[#This Row],[ProductIndex]],Products[ID],Products[Packaging Cost])*(Crops[[#This Row],[Custom Yield Per Bed]]/_xlfn.XLOOKUP(Crops[[#This Row],[ProductIndex]],Products[ID],Products[Units Per Pack]))</f>
        <v>19</v>
      </c>
      <c r="DH164" s="36"/>
      <c r="DI164" s="36"/>
      <c r="DJ164" s="36"/>
      <c r="DK164" s="36"/>
      <c r="DL164" s="36"/>
      <c r="DM164" s="33">
        <f>IFERROR(Crops[[#This Row],[Custom Yield Per Bed]]*Crops[[#This Row],[Direct Price]],"")</f>
        <v>500</v>
      </c>
      <c r="DN164" s="36">
        <f>Crops[[#This Row],[Direct Time]]*LaborRate</f>
        <v>339.48955233134927</v>
      </c>
      <c r="DO164" s="36">
        <f>SUM(Crops[[#This Row],[Irrigation Cost]])</f>
        <v>0</v>
      </c>
      <c r="DP164" s="36">
        <f>Crops[[#This Row],[Direct Labor Cost]]+Crops[[#This Row],[Direct Non-Labor Cost]]</f>
        <v>339.48955233134927</v>
      </c>
      <c r="DQ164" s="36">
        <f>Crops[[#This Row],[Direct Revenue Per Bed2]]-Crops[[#This Row],[Direct Total Cost]]</f>
        <v>160.51044766865073</v>
      </c>
      <c r="DR164" s="36">
        <f>Crops[[#This Row],[Direct Profit]]*BedsPerAcre</f>
        <v>25681.671626984116</v>
      </c>
      <c r="DS164" s="36">
        <f>Crops[[#This Row],[Direct Profit]]*BedsPerAcre*GrowingDays/Crops[[#This Row],[Days In Field]]</f>
        <v>77045.014880952353</v>
      </c>
      <c r="DT164" s="36">
        <f>Crops[[#This Row],[Direct Profit]]/MIN(Crops[[#This Row],[Days In Field]],GrowingDays)</f>
        <v>2.6751741278108456</v>
      </c>
      <c r="DU164" s="36">
        <f>Crops[[#This Row],[Direct Time]] * BedsPerAcre</f>
        <v>2172.7331349206352</v>
      </c>
      <c r="DV164" s="36">
        <f>(Crops[[#This Row],[Direct Revenue Per Bed2]]-Crops[[#This Row],[Direct Non-Labor Cost]])/Crops[[#This Row],[Direct Time]]</f>
        <v>36.819984338721937</v>
      </c>
      <c r="DW164" s="33">
        <f>IFERROR(Crops[[#This Row],[Custom Yield Per Bed]]*Crops[[#This Row],[Rough Wholesale Price]],"")</f>
        <v>300</v>
      </c>
      <c r="DX164" s="36">
        <f>Crops[[#This Row],[Wholesale Time]]*LaborRate</f>
        <v>320.73955233134927</v>
      </c>
      <c r="DY164" s="36">
        <f>SUM(Crops[[#This Row],[Packaging Costs]:[Irrigation Cost]])</f>
        <v>19</v>
      </c>
      <c r="DZ164" s="36">
        <f>Crops[[#This Row],[Wholesale Labor Cost]]+Crops[[#This Row],[Wholesale Non-Labor Cost]]</f>
        <v>339.73955233134927</v>
      </c>
      <c r="EA164" s="36">
        <f>Crops[[#This Row],[Wholesale Revenue Per Bed]]-Crops[[#This Row],[Wholesale Total Cost]]</f>
        <v>-39.739552331349273</v>
      </c>
      <c r="EB164" s="36">
        <f>Crops[[#This Row],[Wholesale Profit]]*BedsPerAcre</f>
        <v>-6358.3283730158837</v>
      </c>
      <c r="EC164" s="36">
        <f>Crops[[#This Row],[Wholesale Profit]]*BedsPerAcre*GrowingDays/Crops[[#This Row],[Days In Field]]</f>
        <v>-19074.985119047651</v>
      </c>
      <c r="ED164" s="36">
        <f>Crops[[#This Row],[Wholesale Time]] * BedsPerAcre</f>
        <v>2052.7331349206352</v>
      </c>
      <c r="EE164" s="36">
        <f>Crops[[#This Row],[Wholesale Profit]]/MIN(Crops[[#This Row],[Days In Field]],GrowingDays)</f>
        <v>-0.66232587218915451</v>
      </c>
      <c r="EF164" s="36">
        <f>(Crops[[#This Row],[Wholesale Revenue Per Bed]]-Crops[[#This Row],[Wholesale Non-Labor Cost]])/Crops[[#This Row],[Direct Time]]</f>
        <v>20.692831198361727</v>
      </c>
      <c r="EG164" s="174">
        <f>Crops[[#This Row],[Packaging Costs]]/Crops[[#This Row],[Wholesale Revenue Per Bed]]</f>
        <v>6.3333333333333339E-2</v>
      </c>
      <c r="EH164" s="36" t="str">
        <f>Crops[[#This Row],[Crop]]&amp;Crops[[#This Row],[Product]]&amp;Crops[[#This Row],[Unit]]</f>
        <v>KomatsunaMature LeafLb</v>
      </c>
      <c r="EI164" s="36" t="b">
        <f>_xlfn.XLOOKUP(Crops[[#This Row],[ProductIndex]],Products[ID],Products[Target])</f>
        <v>1</v>
      </c>
      <c r="EJ164" s="36">
        <f>Crops[[#This Row],[Custom Yield Per Bed]]</f>
        <v>100</v>
      </c>
      <c r="EK164" s="210">
        <f>Crops[[#This Row],[Units Per Harvest]]/Crops[[#This Row],[Days Between Harvest]]*7</f>
        <v>50</v>
      </c>
      <c r="EL164" s="210">
        <f>Crops[[#This Row],[Custom Yield Per Bed]]/_xlfn.XLOOKUP(Crops[[#This Row],[ProductIndex]],Products[ID],Products[CSA Portion])</f>
        <v>100</v>
      </c>
      <c r="EM164" s="210">
        <f>Crops[[#This Row],[Units Per Harvest]]/Crops[[#This Row],[Days Between Harvest]]*7/_xlfn.XLOOKUP(Crops[[#This Row],[ProductIndex]],Products[ID],Products[CSA Portion])</f>
        <v>50</v>
      </c>
      <c r="EN164" s="210">
        <f>Crops[[#This Row],[CSA Portions Per Week]]/CSAMembers</f>
        <v>1</v>
      </c>
      <c r="EO164" s="210"/>
      <c r="EP164" s="210"/>
      <c r="EQ164" s="36"/>
      <c r="ER164" s="36">
        <f>Crops[[#This Row],[Harvests]]*Crops[[#This Row],[Days Between Harvest]]/7</f>
        <v>2</v>
      </c>
      <c r="ES164" s="208">
        <f>_xlfn.XLOOKUP(Crops[[#This Row],[ProductIndex]],Products[ID],Products[CSA Need])</f>
        <v>0</v>
      </c>
      <c r="ET164" s="208">
        <f>_xlfn.XLOOKUP(Crops[[#This Row],[ProductIndex]],Products[ID],Products[CSA Times])</f>
        <v>0</v>
      </c>
      <c r="EU164" s="208" t="e">
        <f>Crops[[#This Row],[Custom Yield Per Bed]]/(Crops[[#This Row],[CSA Need]]*(_xlfn.XLOOKUP(Crops[[#This Row],[ProductIndex]],Products[ID],Products[CSA Portion])*CSAMembers))</f>
        <v>#DIV/0!</v>
      </c>
      <c r="EV164" s="208">
        <f>_xlfn.XLOOKUP(Crops[[#This Row],[ProductIndex]],Products[ID],Products[CSA Portion])*CSAMembers*Crops[[#This Row],[CSA Need]]/Crops[[#This Row],[Custom Yield Per Bed]]</f>
        <v>0</v>
      </c>
      <c r="EW164" s="208">
        <f>IFERROR(Crops[[#This Row],[Days In Field]]*Crops[[#This Row],[CSA Beds]],"")</f>
        <v>0</v>
      </c>
      <c r="EX164" s="208" t="e">
        <f>Crops[[#This Row],[CSA Bed Days]]*#REF!</f>
        <v>#REF!</v>
      </c>
      <c r="EY164" t="s">
        <v>323</v>
      </c>
    </row>
    <row r="165" spans="1:155">
      <c r="A16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Mature Leaf 4X | Field DS Su</v>
      </c>
      <c r="B165" s="191"/>
      <c r="C165" s="1" t="b">
        <v>1</v>
      </c>
      <c r="D165" s="1"/>
      <c r="E165" s="1" t="b">
        <v>0</v>
      </c>
      <c r="F165" s="1" t="b">
        <f>IFERROR(IF(ISNUMBER(MATCH(Crops[[#This Row],[Identifier]],BedPlan[Crop], 0)), TRUE, FALSE), FALSE)</f>
        <v>0</v>
      </c>
      <c r="G165" s="1" t="b">
        <f>IFERROR(IF(ISNUMBER(MATCH(Crops[[#This Row],[Identifier]],BedPlan[Crop], 0)), TRUE, FALSE), FALSE)</f>
        <v>0</v>
      </c>
      <c r="H165" s="1"/>
      <c r="I165" t="s">
        <v>90</v>
      </c>
      <c r="J165" t="s">
        <v>145</v>
      </c>
      <c r="K165" t="s">
        <v>179</v>
      </c>
      <c r="M165" t="s">
        <v>445</v>
      </c>
      <c r="N165" t="str">
        <f>Crops[[#This Row],[Crop]]</f>
        <v>Komatsuna</v>
      </c>
      <c r="O165" t="s">
        <v>210</v>
      </c>
      <c r="P165" t="str">
        <f>IF(OR(Crops[[#This Row],[Days in Cells]]="",Crops[[#This Row],[Days in Cells]]=0), "DS","TP")</f>
        <v>DS</v>
      </c>
      <c r="R165" t="b">
        <v>1</v>
      </c>
      <c r="V165" t="str">
        <f xml:space="preserve"> IF(Crops[[#This Row],[Sp]], "Sp", "") &amp; IF(Crops[[#This Row],[Su]], "Su", "") &amp; IF(Crops[[#This Row],[Fa]], "Fa", "") &amp; IF(Crops[[#This Row],[Wi]], "Wi", "") &amp; IF(Crops[[#This Row],[OW]], "Ow","")</f>
        <v>Su</v>
      </c>
      <c r="X165">
        <v>4</v>
      </c>
      <c r="Y165">
        <v>6</v>
      </c>
      <c r="AA165" t="s">
        <v>475</v>
      </c>
      <c r="AB165" t="b">
        <v>1</v>
      </c>
      <c r="AC165">
        <v>2</v>
      </c>
      <c r="AD165" s="32">
        <f>IFERROR(12/Crops[[#This Row],[Spacing]]*Crops[[#This Row],[Rows]]*BedLength,"")</f>
        <v>400</v>
      </c>
      <c r="AE165">
        <v>4</v>
      </c>
      <c r="AG165">
        <v>1.1000000000000001</v>
      </c>
      <c r="AH165">
        <f>1</f>
        <v>1</v>
      </c>
      <c r="AI165" s="33">
        <f>IFERROR(Crops[[#This Row],[Plantings Per Bed]]*Crops[[#This Row],[Seeds Per Planting]]*Crops[[#This Row],[Safety Factor]]*Crops[[#This Row],[Seeding Factor]],"")</f>
        <v>1760.0000000000002</v>
      </c>
      <c r="AJ165">
        <v>4</v>
      </c>
      <c r="AK165">
        <v>7</v>
      </c>
      <c r="AL165">
        <f>_xlfn.FLOOR.MATH(IFERROR(AVERAGE(Crops[[#This Row],[DTG Lower]:[DTG Upper]]),0))</f>
        <v>5</v>
      </c>
      <c r="AM165">
        <f>SUM(Crops[[#This Row],[Tray 1 Days]],Crops[[#This Row],[Tray 2 Days]],Crops[[#This Row],[Tray 3 Days]])</f>
        <v>0</v>
      </c>
      <c r="AN165" s="32">
        <v>18</v>
      </c>
      <c r="AO165">
        <v>45</v>
      </c>
      <c r="AP165">
        <v>50</v>
      </c>
      <c r="AQ165">
        <f>IFERROR(_xlfn.FLOOR.MATH(AVERAGE(Crops[[#This Row],[DTM Lower]:[DTM Upper]])),"")</f>
        <v>47</v>
      </c>
      <c r="AR165" cm="1">
        <f t="array" ref="AR165">_xlfn.SWITCH(Crops[[#This Row],[Normal Method]],"DS",Crops[[#This Row],[Days to Germination]]+Crops[[#This Row],[DTM]] + IF(Crops[[#This Row],[Days in Cells]]&gt;0,15,0), "TP",Crops[[#This Row],[DTM]]+Crops[[#This Row],[Days in Cells]] + IF(Crops[[#This Row],[Days in Cells]]&lt;=0,20,0), "X", Crops[[#This Row],[DTM]])</f>
        <v>52</v>
      </c>
      <c r="AS165" t="s">
        <v>338</v>
      </c>
      <c r="AT165">
        <f>(Crops[[#This Row],[Harvests]]-1)*Crops[[#This Row],[Days Between Harvest]]+7</f>
        <v>14</v>
      </c>
      <c r="AU165">
        <f>Crops[[#This Row],[STH]]-Crops[[#This Row],[Days in Cells]]+Crops[[#This Row],[Harvest window]]</f>
        <v>66</v>
      </c>
      <c r="AZ165" s="49" t="str">
        <f>IFERROR(IF(Crops[[#This Row],[Tray 1 Days]]=0,"",Crops[[#This Row],[Plantings Per Bed]]/Crops[[#This Row],[Tray 1 Size]]*Crops[[#This Row],[Safety Factor]]),"")</f>
        <v/>
      </c>
      <c r="BC165" t="str">
        <f>IFERROR(IF(Crops[[#This Row],[Tray 2 Days]]=0,"",Crops[[#This Row],[Plantings Per Bed]]/Crops[[#This Row],[Tray 2 Size]]*Crops[[#This Row],[Safety Factor]]),"")</f>
        <v/>
      </c>
      <c r="BE165" s="32" t="str">
        <f>IF(NOT(ISBLANK(Crops[[#This Row],[Tray 3 Size]])), Crops[[#This Row],[Days in Cells Old]]-SUM(Crops[[#This Row],[Tray 1 Days]],Crops[[#This Row],[Tray 2 Days]]), "")</f>
        <v/>
      </c>
      <c r="BF165" s="49" t="str">
        <f>IFERROR(IF(Crops[[#This Row],[Tray 3 Days]]=0,"",Crops[[#This Row],[Plantings Per Bed]]/Crops[[#This Row],[Tray 3 Size]]*Crops[[#This Row],[Safety Factor]]),"")</f>
        <v/>
      </c>
      <c r="BG165" s="33">
        <f>Crops[[#This Row],[Plantings Per Bed]]*0.25/Crops[[#This Row],[Harvests]]</f>
        <v>50</v>
      </c>
      <c r="BH165" s="33">
        <v>2</v>
      </c>
      <c r="BI165" s="33">
        <v>7</v>
      </c>
      <c r="BJ165" s="33">
        <f>_xlfn.XLOOKUP(Crops[[#This Row],[ProductIndex]],Products[ID],Products[Holding Period])</f>
        <v>5</v>
      </c>
      <c r="BK165" s="33"/>
      <c r="BL165" s="33">
        <f>Crops[[#This Row],[Units Per Harvest]]*Crops[[#This Row],[Harvests]]</f>
        <v>100</v>
      </c>
      <c r="BM165" s="35">
        <v>5</v>
      </c>
      <c r="BN165" s="35">
        <f>Crops[[#This Row],[Direct Price]]*0.6</f>
        <v>3</v>
      </c>
      <c r="BO165" s="35"/>
      <c r="BP165" t="s">
        <v>383</v>
      </c>
      <c r="BQ165">
        <f>Crops[[#This Row],[Custom Yield Per Bed]]*Crops[[#This Row],[Direct Price]]</f>
        <v>500</v>
      </c>
      <c r="BR165" t="b">
        <v>1</v>
      </c>
      <c r="BS165" t="b">
        <f>Crops[[#This Row],[Harvests]]&gt;1</f>
        <v>1</v>
      </c>
      <c r="BT165" s="36">
        <f>IFERROR(Crops[[#This Row],[Direct Revenue Per Bed]]/Crops[[#This Row],[Days In Field]],-1)</f>
        <v>7.5757575757575761</v>
      </c>
      <c r="BU165" s="36">
        <f>IFERROR(Crops[[#This Row],[Direct Revenue Per Bed Day]]*GrowingDays*BedsPerAcre,"")</f>
        <v>218181.81818181821</v>
      </c>
      <c r="BV165" s="38">
        <f>LastFrostDate-5*Crops[[#This Row],[Sewing Rel Last Frost]]</f>
        <v>45723</v>
      </c>
      <c r="BW165" s="38">
        <f>Crops[[#This Row],[Target Sewing Date]]+Crops[[#This Row],[Days in Cells]]</f>
        <v>45723</v>
      </c>
      <c r="BX165" s="38">
        <f>Crops[[#This Row],[Target Sewing Date]]+Crops[[#This Row],[STH]]</f>
        <v>45775</v>
      </c>
      <c r="BY165" s="38">
        <f>Crops[[#This Row],[Target Harvest Data]]+Crops[[#This Row],[Harvest window]]</f>
        <v>45789</v>
      </c>
      <c r="BZ165">
        <v>5</v>
      </c>
      <c r="CB165">
        <f>1</f>
        <v>1</v>
      </c>
      <c r="CC165">
        <f>IF(Crops[[#This Row],[Transplanting]]&gt;0, 2, 3)*BedLength/StandardBedLength</f>
        <v>1.5</v>
      </c>
      <c r="CD165" s="173">
        <f>IF(Crops[[#This Row],[Days in Cells]]&lt;=0,0,Crops[[#This Row],[Plantings Per Bed]]/StartsPerHourSeeding+Crops[[#This Row],[Tray 1 Count]]*5/60)</f>
        <v>0</v>
      </c>
      <c r="CE165" s="173">
        <f>IF(ISBLANK(Crops[[#This Row],[Tray 2 Days]]),0,Crops[[#This Row],[Plantings Per Bed]]/UpPottingPerHour)+IF(Crops[[#This Row],[Tray 3 Days]]="",0,Crops[[#This Row],[Plantings Per Bed]]/UpPottingPerHour)</f>
        <v>0</v>
      </c>
      <c r="CF165" s="173">
        <f>IFERROR(Crops[[#This Row],[Tray 1 Count]]/HomeStartFlatIrrigationPerHour,0)*Crops[[#This Row],[Days in Cells]]/DaysBetweenStartIrrigation</f>
        <v>0</v>
      </c>
      <c r="CG165" s="173">
        <f>0.5/16*MAX(Crops[[#This Row],[Tray 1 Count]],Crops[[#This Row],[Tray 2 Count]],Crops[[#This Row],[Tray 3 Count]])</f>
        <v>0</v>
      </c>
      <c r="CH165" s="173">
        <f>IF(Crops[[#This Row],[Days in Cells]]&gt;0,IF(IF(Crops[[#This Row],[Tray 3 Size]]&gt;0,Crops[[#This Row],[Tray 3 Size]],IF(Crops[[#This Row],[Tray 2 Size]]&gt;0,Crops[[#This Row],[Tray 2 Size]],Crops[[#This Row],[Tray 1 Size]]))&lt;=18,LargeTransplantTime,SmallTransplantTime)*Crops[[#This Row],[Plantings Per Bed]],0)</f>
        <v>0</v>
      </c>
      <c r="CI165" s="173"/>
      <c r="CJ165" s="173">
        <f>_xlfn.XLOOKUP(Crops[[#This Row],[Trellis Type]],TrellisMethods[Trellis Type],TrellisMethods[Hours],0,0)</f>
        <v>0</v>
      </c>
      <c r="CK165">
        <f>IF(Crops[[#This Row],[Days in Cells]]&lt;=0,Crops[[#This Row],[Rows]]*1/10,0)*BedLength/50</f>
        <v>0.4</v>
      </c>
      <c r="CL165" cm="1">
        <f t="array" ref="CL165">_xlfn.SWITCH(Crops[[#This Row],[Irrigation]],"DR", 0.5, "OH", 0.25,0)*BedLength/50</f>
        <v>0</v>
      </c>
      <c r="CM165">
        <f>IF(OR(ISBLANK(Crops[[#This Row],[Row Cover]]),Crops[[#This Row],[Row Cover]]="None"),0,1)*BedLength/50</f>
        <v>1</v>
      </c>
      <c r="CN165" s="173">
        <f>HoursPerWeedingPass*Crops[[#This Row],[Days In Field]]/14*Crops[[#This Row],[Rows]]+1*BedLength/50</f>
        <v>4.1428571428571423</v>
      </c>
      <c r="CQ165" s="37">
        <f>_xlfn.XLOOKUP(Crops[[#This Row],[Crop]]&amp;Crops[[#This Row],[Product]]&amp;Crops[[#This Row],[Unit]],Products[ID],Products[Marketing (hr)])*Crops[[#This Row],[Direct Revenue Per Bed]]/2000</f>
        <v>1</v>
      </c>
      <c r="CR165" s="37">
        <f>_xlfn.XLOOKUP(Crops[[#This Row],[Crop]]&amp;Crops[[#This Row],[Product]]&amp;Crops[[#This Row],[Unit]],Products[ID],Products[Harvest (s)])*Crops[[#This Row],[Custom Yield Per Bed]]/3600</f>
        <v>1.6666666666666667</v>
      </c>
      <c r="CS165" s="37">
        <f>_xlfn.XLOOKUP(Crops[[#This Row],[Crop]]&amp;Crops[[#This Row],[Product]]&amp;Crops[[#This Row],[Unit]],Products[ID],Products[Bunch (s)])*Crops[[#This Row],[Custom Yield Per Bed]]/3600</f>
        <v>0</v>
      </c>
      <c r="CT165" s="37">
        <f>_xlfn.XLOOKUP(Crops[[#This Row],[Crop]]&amp;Crops[[#This Row],[Product]]&amp;Crops[[#This Row],[Unit]],Products[ID],Products[Haul (s)])*Crops[[#This Row],[Custom Yield Per Bed]]/3600</f>
        <v>0.125</v>
      </c>
      <c r="CU165" s="37">
        <f>_xlfn.XLOOKUP(Crops[[#This Row],[Crop]]&amp;Crops[[#This Row],[Product]]&amp;Crops[[#This Row],[Unit]],Products[ID],Products[Wash (s)])*Crops[[#This Row],[Custom Yield Per Bed]]/3600</f>
        <v>0</v>
      </c>
      <c r="CV165" s="37">
        <f>_xlfn.XLOOKUP(Crops[[#This Row],[Crop]]&amp;Crops[[#This Row],[Product]]&amp;Crops[[#This Row],[Unit]],Products[ID],Products[Condition (s)])*Crops[[#This Row],[Custom Yield Per Bed]]/3600</f>
        <v>0.27777777777777779</v>
      </c>
      <c r="CW165" s="37">
        <f>_xlfn.XLOOKUP(Crops[[#This Row],[Crop]]&amp;Crops[[#This Row],[Product]]&amp;Crops[[#This Row],[Unit]],Products[ID],Products[Trim (s)])*Crops[[#This Row],[Custom Yield Per Bed]]/3600</f>
        <v>0</v>
      </c>
      <c r="CX165" s="37">
        <f>_xlfn.XLOOKUP(Crops[[#This Row],[Crop]]&amp;Crops[[#This Row],[Product]]&amp;Crops[[#This Row],[Unit]],Products[ID],Products[Pack (s)])*Crops[[#This Row],[Custom Yield Per Bed]]/3600</f>
        <v>8.3333333333333329E-2</v>
      </c>
      <c r="CY165" s="37">
        <f>_xlfn.XLOOKUP(Crops[[#This Row],[Crop]]&amp;Crops[[#This Row],[Product]]&amp;Crops[[#This Row],[Unit]],Products[ID],Products[Clean (s)])*Crops[[#This Row],[Custom Yield Per Bed]]/3600</f>
        <v>0</v>
      </c>
      <c r="CZ165" s="37">
        <f>_xlfn.XLOOKUP(Crops[[#This Row],[Crop]]&amp;Crops[[#This Row],[Product]]&amp;Crops[[#This Row],[Unit]],Products[ID],Products[Rehandle (s)])*Crops[[#This Row],[Custom Yield Per Bed]]/3600</f>
        <v>0</v>
      </c>
      <c r="DA165" s="37">
        <f>_xlfn.XLOOKUP(Crops[[#This Row],[Crop]]&amp;Crops[[#This Row],[Product]]&amp;Crops[[#This Row],[Unit]],Products[ID],Products[Market Transport (s)])*Crops[[#This Row],[Custom Yield Per Bed]]/3600</f>
        <v>0.3125</v>
      </c>
      <c r="DC165" s="37">
        <f>Crops[[#This Row],[Direct Revenue Per Bed2]]</f>
        <v>500</v>
      </c>
      <c r="DD165" s="173">
        <f>_xlfn.AGGREGATE(9,6,Crops[[#This Row],[Bed Prep]:[Remove Crop Residue]])</f>
        <v>10.508134920634921</v>
      </c>
      <c r="DE165" s="173">
        <f>_xlfn.AGGREGATE(9,6,Crops[[#This Row],[Bed Prep]:[Remove Crop Residue]])-0.75*Crops[[#This Row],[Market &amp; Sell]]</f>
        <v>9.7581349206349213</v>
      </c>
      <c r="DF165" s="36">
        <f>Crops[[#This Row],[Direct Revenue Per Bed2]]/Crops[[#This Row],[Direct Time]]</f>
        <v>47.582183115877719</v>
      </c>
      <c r="DG165" s="36">
        <f>_xlfn.XLOOKUP(Crops[[#This Row],[ProductIndex]],Products[ID],Products[Packaging Cost])*(Crops[[#This Row],[Custom Yield Per Bed]]/_xlfn.XLOOKUP(Crops[[#This Row],[ProductIndex]],Products[ID],Products[Units Per Pack]))</f>
        <v>19</v>
      </c>
      <c r="DH165" s="36"/>
      <c r="DI165" s="36"/>
      <c r="DJ165" s="36"/>
      <c r="DK165" s="36"/>
      <c r="DL165" s="36"/>
      <c r="DM165" s="33">
        <f>IFERROR(Crops[[#This Row],[Custom Yield Per Bed]]*Crops[[#This Row],[Direct Price]],"")</f>
        <v>500</v>
      </c>
      <c r="DN165" s="36">
        <f>Crops[[#This Row],[Direct Time]]*LaborRate</f>
        <v>262.70337301587301</v>
      </c>
      <c r="DO165" s="36">
        <f>SUM(Crops[[#This Row],[Irrigation Cost]])</f>
        <v>0</v>
      </c>
      <c r="DP165" s="36">
        <f>Crops[[#This Row],[Direct Labor Cost]]+Crops[[#This Row],[Direct Non-Labor Cost]]</f>
        <v>262.70337301587301</v>
      </c>
      <c r="DQ165" s="36">
        <f>Crops[[#This Row],[Direct Revenue Per Bed2]]-Crops[[#This Row],[Direct Total Cost]]</f>
        <v>237.29662698412699</v>
      </c>
      <c r="DR165" s="36">
        <f>Crops[[#This Row],[Direct Profit]]*BedsPerAcre</f>
        <v>37967.460317460318</v>
      </c>
      <c r="DS165" s="36">
        <f>Crops[[#This Row],[Direct Profit]]*BedsPerAcre*GrowingDays/Crops[[#This Row],[Days In Field]]</f>
        <v>103547.61904761905</v>
      </c>
      <c r="DT165" s="36">
        <f>Crops[[#This Row],[Direct Profit]]/MIN(Crops[[#This Row],[Days In Field]],GrowingDays)</f>
        <v>3.5954034391534391</v>
      </c>
      <c r="DU165" s="36">
        <f>Crops[[#This Row],[Direct Time]] * BedsPerAcre</f>
        <v>1681.3015873015875</v>
      </c>
      <c r="DV165" s="36">
        <f>(Crops[[#This Row],[Direct Revenue Per Bed2]]-Crops[[#This Row],[Direct Non-Labor Cost]])/Crops[[#This Row],[Direct Time]]</f>
        <v>47.582183115877719</v>
      </c>
      <c r="DW165" s="33">
        <f>IFERROR(Crops[[#This Row],[Custom Yield Per Bed]]*Crops[[#This Row],[Rough Wholesale Price]],"")</f>
        <v>300</v>
      </c>
      <c r="DX165" s="36">
        <f>Crops[[#This Row],[Wholesale Time]]*LaborRate</f>
        <v>243.95337301587304</v>
      </c>
      <c r="DY165" s="36">
        <f>SUM(Crops[[#This Row],[Packaging Costs]:[Irrigation Cost]])</f>
        <v>19</v>
      </c>
      <c r="DZ165" s="36">
        <f>Crops[[#This Row],[Wholesale Labor Cost]]+Crops[[#This Row],[Wholesale Non-Labor Cost]]</f>
        <v>262.95337301587301</v>
      </c>
      <c r="EA165" s="36">
        <f>Crops[[#This Row],[Wholesale Revenue Per Bed]]-Crops[[#This Row],[Wholesale Total Cost]]</f>
        <v>37.046626984126988</v>
      </c>
      <c r="EB165" s="36">
        <f>Crops[[#This Row],[Wholesale Profit]]*BedsPerAcre</f>
        <v>5927.460317460318</v>
      </c>
      <c r="EC165" s="36">
        <f>Crops[[#This Row],[Wholesale Profit]]*BedsPerAcre*GrowingDays/Crops[[#This Row],[Days In Field]]</f>
        <v>16165.800865800868</v>
      </c>
      <c r="ED165" s="36">
        <f>Crops[[#This Row],[Wholesale Time]] * BedsPerAcre</f>
        <v>1561.3015873015875</v>
      </c>
      <c r="EE165" s="36">
        <f>Crops[[#This Row],[Wholesale Profit]]/MIN(Crops[[#This Row],[Days In Field]],GrowingDays)</f>
        <v>0.56131253006253012</v>
      </c>
      <c r="EF165" s="36">
        <f>(Crops[[#This Row],[Wholesale Revenue Per Bed]]-Crops[[#This Row],[Wholesale Non-Labor Cost]])/Crops[[#This Row],[Direct Time]]</f>
        <v>26.741186911123279</v>
      </c>
      <c r="EG165" s="174">
        <f>Crops[[#This Row],[Packaging Costs]]/Crops[[#This Row],[Wholesale Revenue Per Bed]]</f>
        <v>6.3333333333333339E-2</v>
      </c>
      <c r="EH165" s="36" t="str">
        <f>Crops[[#This Row],[Crop]]&amp;Crops[[#This Row],[Product]]&amp;Crops[[#This Row],[Unit]]</f>
        <v>KomatsunaMature LeafLb</v>
      </c>
      <c r="EI165" s="36" t="b">
        <f>_xlfn.XLOOKUP(Crops[[#This Row],[ProductIndex]],Products[ID],Products[Target])</f>
        <v>1</v>
      </c>
      <c r="EJ165" s="36">
        <f>Crops[[#This Row],[Custom Yield Per Bed]]</f>
        <v>100</v>
      </c>
      <c r="EK165" s="210">
        <f>Crops[[#This Row],[Units Per Harvest]]/Crops[[#This Row],[Days Between Harvest]]*7</f>
        <v>50</v>
      </c>
      <c r="EL165" s="210">
        <f>Crops[[#This Row],[Custom Yield Per Bed]]/_xlfn.XLOOKUP(Crops[[#This Row],[ProductIndex]],Products[ID],Products[CSA Portion])</f>
        <v>100</v>
      </c>
      <c r="EM165" s="210">
        <f>Crops[[#This Row],[Units Per Harvest]]/Crops[[#This Row],[Days Between Harvest]]*7/_xlfn.XLOOKUP(Crops[[#This Row],[ProductIndex]],Products[ID],Products[CSA Portion])</f>
        <v>50</v>
      </c>
      <c r="EN165" s="210">
        <f>Crops[[#This Row],[CSA Portions Per Week]]/CSAMembers</f>
        <v>1</v>
      </c>
      <c r="EO165" s="210"/>
      <c r="EP165" s="210"/>
      <c r="EQ165" s="36"/>
      <c r="ER165" s="36">
        <f>Crops[[#This Row],[Harvests]]*Crops[[#This Row],[Days Between Harvest]]/7</f>
        <v>2</v>
      </c>
      <c r="ES165" s="208">
        <f>_xlfn.XLOOKUP(Crops[[#This Row],[ProductIndex]],Products[ID],Products[CSA Need])</f>
        <v>0</v>
      </c>
      <c r="ET165" s="208">
        <f>_xlfn.XLOOKUP(Crops[[#This Row],[ProductIndex]],Products[ID],Products[CSA Times])</f>
        <v>0</v>
      </c>
      <c r="EU165" s="208" t="e">
        <f>Crops[[#This Row],[Custom Yield Per Bed]]/(Crops[[#This Row],[CSA Need]]*(_xlfn.XLOOKUP(Crops[[#This Row],[ProductIndex]],Products[ID],Products[CSA Portion])*CSAMembers))</f>
        <v>#DIV/0!</v>
      </c>
      <c r="EV165" s="208">
        <f>_xlfn.XLOOKUP(Crops[[#This Row],[ProductIndex]],Products[ID],Products[CSA Portion])*CSAMembers*Crops[[#This Row],[CSA Need]]/Crops[[#This Row],[Custom Yield Per Bed]]</f>
        <v>0</v>
      </c>
      <c r="EW165" s="208">
        <f>IFERROR(Crops[[#This Row],[Days In Field]]*Crops[[#This Row],[CSA Beds]],"")</f>
        <v>0</v>
      </c>
      <c r="EX165" s="208" t="e">
        <f>Crops[[#This Row],[CSA Bed Days]]*#REF!</f>
        <v>#REF!</v>
      </c>
      <c r="EY165" t="s">
        <v>323</v>
      </c>
    </row>
    <row r="166" spans="1:155">
      <c r="A166"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1X | Field DS FaWi</v>
      </c>
      <c r="B166" s="185"/>
      <c r="C166" s="1"/>
      <c r="D166" s="1"/>
      <c r="E166" s="1" t="b">
        <v>0</v>
      </c>
      <c r="F166" s="1" t="b">
        <f>IFERROR(IF(ISNUMBER(MATCH(Crops[[#This Row],[Identifier]],BedPlan[Crop], 0)), TRUE, FALSE), FALSE)</f>
        <v>0</v>
      </c>
      <c r="G166" s="1" t="b">
        <f>IFERROR(IF(ISNUMBER(MATCH(Crops[[#This Row],[Identifier]],BedPlan[Crop], 0)), TRUE, FALSE), FALSE)</f>
        <v>0</v>
      </c>
      <c r="H166" s="1" t="b">
        <v>1</v>
      </c>
      <c r="I166" t="s">
        <v>91</v>
      </c>
      <c r="J166" t="s">
        <v>145</v>
      </c>
      <c r="K166" t="s">
        <v>199</v>
      </c>
      <c r="N166" t="str">
        <f>Crops[[#This Row],[Crop]]</f>
        <v>Leek</v>
      </c>
      <c r="O166" t="s">
        <v>210</v>
      </c>
      <c r="P166" t="str">
        <f>IF(OR(Crops[[#This Row],[Days in Cells]]="",Crops[[#This Row],[Days in Cells]]=0), "DS","TP")</f>
        <v>DS</v>
      </c>
      <c r="S166" t="s">
        <v>144</v>
      </c>
      <c r="T166" t="s">
        <v>144</v>
      </c>
      <c r="V166" t="str">
        <f xml:space="preserve"> IF(Crops[[#This Row],[Sp]], "Sp", "") &amp; IF(Crops[[#This Row],[Su]], "Su", "") &amp; IF(Crops[[#This Row],[Fa]], "Fa", "") &amp; IF(Crops[[#This Row],[Wi]], "Wi", "") &amp; IF(Crops[[#This Row],[OW]], "Ow","")</f>
        <v>FaWi</v>
      </c>
      <c r="W166" t="s">
        <v>144</v>
      </c>
      <c r="X166">
        <v>3</v>
      </c>
      <c r="Y166">
        <v>6</v>
      </c>
      <c r="AD166" s="32">
        <f>IFERROR(12/Crops[[#This Row],[Spacing]]*Crops[[#This Row],[Rows]]*BedLength,"")</f>
        <v>300</v>
      </c>
      <c r="AE166">
        <v>1</v>
      </c>
      <c r="AG166">
        <f>IF(Crops[[#This Row],[Custom Safety Factor]]="",PlantingSafetyFactor,Crops[[#This Row],[Custom Safety Factor]])</f>
        <v>1.3</v>
      </c>
      <c r="AH166">
        <f>1</f>
        <v>1</v>
      </c>
      <c r="AI166" s="33">
        <f>IFERROR(Crops[[#This Row],[Plantings Per Bed]]*Crops[[#This Row],[Seeds Per Planting]]*Crops[[#This Row],[Safety Factor]]*Crops[[#This Row],[Seeding Factor]],"")</f>
        <v>390</v>
      </c>
      <c r="AL166">
        <f>_xlfn.FLOOR.MATH(IFERROR(AVERAGE(Crops[[#This Row],[DTG Lower]:[DTG Upper]]),0))</f>
        <v>0</v>
      </c>
      <c r="AM166">
        <f>SUM(Crops[[#This Row],[Tray 1 Days]],Crops[[#This Row],[Tray 2 Days]],Crops[[#This Row],[Tray 3 Days]])</f>
        <v>0</v>
      </c>
      <c r="AN166">
        <v>49</v>
      </c>
      <c r="AP166">
        <v>120</v>
      </c>
      <c r="AQ166">
        <f>IFERROR(_xlfn.FLOOR.MATH(AVERAGE(Crops[[#This Row],[DTM Lower]:[DTM Upper]])),"")</f>
        <v>120</v>
      </c>
      <c r="AR166" cm="1">
        <f t="array" ref="AR166">_xlfn.SWITCH(Crops[[#This Row],[Normal Method]],"DS",Crops[[#This Row],[Days to Germination]]+Crops[[#This Row],[DTM]] + IF(Crops[[#This Row],[Days in Cells]]&gt;0,15,0), "TP",Crops[[#This Row],[DTM]]+Crops[[#This Row],[Days in Cells]] + IF(Crops[[#This Row],[Days in Cells]]&lt;=0,20,0), "X", Crops[[#This Row],[DTM]])</f>
        <v>140</v>
      </c>
      <c r="AS166" t="s">
        <v>346</v>
      </c>
      <c r="AT166">
        <f>(Crops[[#This Row],[Harvests]]-1)*Crops[[#This Row],[Days Between Harvest]]+7</f>
        <v>7</v>
      </c>
      <c r="AU166">
        <f>Crops[[#This Row],[STH]]-Crops[[#This Row],[Days in Cells]]+Crops[[#This Row],[Harvest window]]</f>
        <v>147</v>
      </c>
      <c r="AW166">
        <v>400</v>
      </c>
      <c r="AX166">
        <v>400</v>
      </c>
      <c r="AZ166" t="str">
        <f>IFERROR(IF(Crops[[#This Row],[Tray 1 Days]]=0,"",Crops[[#This Row],[Plantings Per Bed]]/Crops[[#This Row],[Tray 1 Size]]*Crops[[#This Row],[Safety Factor]]),"")</f>
        <v/>
      </c>
      <c r="BC166" t="str">
        <f>IFERROR(IF(Crops[[#This Row],[Tray 2 Days]]=0,"",Crops[[#This Row],[Plantings Per Bed]]/Crops[[#This Row],[Tray 2 Size]]*Crops[[#This Row],[Safety Factor]]),"")</f>
        <v/>
      </c>
      <c r="BE166" s="32" t="str">
        <f>IF(NOT(ISBLANK(Crops[[#This Row],[Tray 3 Size]])), Crops[[#This Row],[Days in Cells Old]]-SUM(Crops[[#This Row],[Tray 1 Days]],Crops[[#This Row],[Tray 2 Days]]), "")</f>
        <v/>
      </c>
      <c r="BF166" t="str">
        <f>IFERROR(IF(Crops[[#This Row],[Tray 3 Days]]=0,"",Crops[[#This Row],[Plantings Per Bed]]/Crops[[#This Row],[Tray 3 Size]]*Crops[[#This Row],[Safety Factor]]),"")</f>
        <v/>
      </c>
      <c r="BG166" s="33">
        <f>Crops[[#This Row],[Plantings Per Bed]]/3.5</f>
        <v>85.714285714285708</v>
      </c>
      <c r="BH166" s="33">
        <v>1</v>
      </c>
      <c r="BI166" s="33">
        <v>0</v>
      </c>
      <c r="BJ166" s="33">
        <f>_xlfn.XLOOKUP(Crops[[#This Row],[ProductIndex]],Products[ID],Products[Holding Period])</f>
        <v>30</v>
      </c>
      <c r="BK166" s="33"/>
      <c r="BL166" s="33">
        <f>Crops[[#This Row],[Units Per Harvest]]*Crops[[#This Row],[Harvests]]</f>
        <v>85.714285714285708</v>
      </c>
      <c r="BM166" s="35">
        <v>3</v>
      </c>
      <c r="BN166" s="35">
        <f>Crops[[#This Row],[Direct Price]]*0.6</f>
        <v>1.7999999999999998</v>
      </c>
      <c r="BO166" s="35"/>
      <c r="BP166" t="s">
        <v>2358</v>
      </c>
      <c r="BQ166">
        <f>Crops[[#This Row],[Custom Yield Per Bed]]*Crops[[#This Row],[Direct Price]]</f>
        <v>257.14285714285711</v>
      </c>
      <c r="BR166" t="b">
        <v>1</v>
      </c>
      <c r="BS166" t="b">
        <f>Crops[[#This Row],[Harvests]]&gt;1</f>
        <v>0</v>
      </c>
      <c r="BT166" s="36">
        <f>IFERROR(Crops[[#This Row],[Direct Revenue Per Bed]]/Crops[[#This Row],[Days In Field]],-1)</f>
        <v>1.7492711370262388</v>
      </c>
      <c r="BU166" s="36">
        <f>IFERROR(Crops[[#This Row],[Direct Revenue Per Bed Day]]*GrowingDays*BedsPerAcre,"")</f>
        <v>50379.008746355677</v>
      </c>
      <c r="BV166" s="38">
        <f>LastFrostDate-5*Crops[[#This Row],[Sewing Rel Last Frost]]</f>
        <v>45748</v>
      </c>
      <c r="BW166" s="38">
        <f>Crops[[#This Row],[Target Sewing Date]]+Crops[[#This Row],[Days in Cells]]</f>
        <v>45748</v>
      </c>
      <c r="BX166" s="38">
        <f>Crops[[#This Row],[Target Sewing Date]]+Crops[[#This Row],[STH]]</f>
        <v>45888</v>
      </c>
      <c r="BY166" s="38">
        <f>Crops[[#This Row],[Target Harvest Data]]+Crops[[#This Row],[Harvest window]]</f>
        <v>45895</v>
      </c>
      <c r="CB166">
        <f>1</f>
        <v>1</v>
      </c>
      <c r="CC166">
        <f>IF(Crops[[#This Row],[Transplanting]]&gt;0, 2, 3)*BedLength/StandardBedLength</f>
        <v>1.5</v>
      </c>
      <c r="CD166" s="173">
        <f>IF(Crops[[#This Row],[Days in Cells]]&lt;=0,0,Crops[[#This Row],[Plantings Per Bed]]/StartsPerHourSeeding+Crops[[#This Row],[Tray 1 Count]]*5/60)</f>
        <v>0</v>
      </c>
      <c r="CE166" s="173">
        <f>IF(ISBLANK(Crops[[#This Row],[Tray 2 Days]]),0,Crops[[#This Row],[Plantings Per Bed]]/UpPottingPerHour)+IF(Crops[[#This Row],[Tray 3 Days]]="",0,Crops[[#This Row],[Plantings Per Bed]]/UpPottingPerHour)</f>
        <v>0</v>
      </c>
      <c r="CF166" s="173">
        <f>IFERROR(Crops[[#This Row],[Tray 1 Count]]/HomeStartFlatIrrigationPerHour,0)*Crops[[#This Row],[Days in Cells]]/DaysBetweenStartIrrigation</f>
        <v>0</v>
      </c>
      <c r="CG166" s="173">
        <f>0.5/16*MAX(Crops[[#This Row],[Tray 1 Count]],Crops[[#This Row],[Tray 2 Count]],Crops[[#This Row],[Tray 3 Count]])</f>
        <v>0</v>
      </c>
      <c r="CH166" s="173">
        <f>IF(Crops[[#This Row],[Days in Cells]]&gt;0,IF(IF(Crops[[#This Row],[Tray 3 Size]]&gt;0,Crops[[#This Row],[Tray 3 Size]],IF(Crops[[#This Row],[Tray 2 Size]]&gt;0,Crops[[#This Row],[Tray 2 Size]],Crops[[#This Row],[Tray 1 Size]]))&lt;=18,LargeTransplantTime,SmallTransplantTime)*Crops[[#This Row],[Plantings Per Bed]],0)</f>
        <v>0</v>
      </c>
      <c r="CI166" s="173"/>
      <c r="CJ166" s="173">
        <f>_xlfn.XLOOKUP(Crops[[#This Row],[Trellis Type]],TrellisMethods[Trellis Type],TrellisMethods[Hours],0,0)</f>
        <v>0</v>
      </c>
      <c r="CK166">
        <f>IF(Crops[[#This Row],[Days in Cells]]&lt;=0,Crops[[#This Row],[Rows]]*1/10,0)*BedLength/50</f>
        <v>0.3</v>
      </c>
      <c r="CL166" cm="1">
        <f t="array" ref="CL166">_xlfn.SWITCH(Crops[[#This Row],[Irrigation]],"DR", 0.5, "OH", 0.25,0)*BedLength/50</f>
        <v>0</v>
      </c>
      <c r="CM166">
        <f>IF(OR(ISBLANK(Crops[[#This Row],[Row Cover]]),Crops[[#This Row],[Row Cover]]="None"),0,1)*BedLength/50</f>
        <v>0</v>
      </c>
      <c r="CN166" s="173">
        <f>HoursPerWeedingPass*Crops[[#This Row],[Days In Field]]/14*Crops[[#This Row],[Rows]]+1*BedLength/50</f>
        <v>6.25</v>
      </c>
      <c r="CQ166" s="37">
        <f>_xlfn.XLOOKUP(Crops[[#This Row],[Crop]]&amp;Crops[[#This Row],[Product]]&amp;Crops[[#This Row],[Unit]],Products[ID],Products[Marketing (hr)])*Crops[[#This Row],[Direct Revenue Per Bed]]/2000</f>
        <v>0.12857142857142856</v>
      </c>
      <c r="CR166" s="37">
        <f>_xlfn.XLOOKUP(Crops[[#This Row],[Crop]]&amp;Crops[[#This Row],[Product]]&amp;Crops[[#This Row],[Unit]],Products[ID],Products[Harvest (s)])*Crops[[#This Row],[Custom Yield Per Bed]]/3600</f>
        <v>0.3571428571428571</v>
      </c>
      <c r="CS166" s="37">
        <f>_xlfn.XLOOKUP(Crops[[#This Row],[Crop]]&amp;Crops[[#This Row],[Product]]&amp;Crops[[#This Row],[Unit]],Products[ID],Products[Bunch (s)])*Crops[[#This Row],[Custom Yield Per Bed]]/3600</f>
        <v>0</v>
      </c>
      <c r="CT166" s="37">
        <f>_xlfn.XLOOKUP(Crops[[#This Row],[Crop]]&amp;Crops[[#This Row],[Product]]&amp;Crops[[#This Row],[Unit]],Products[ID],Products[Haul (s)])*Crops[[#This Row],[Custom Yield Per Bed]]/3600</f>
        <v>8.9285714285714274E-2</v>
      </c>
      <c r="CU166" s="37">
        <f>_xlfn.XLOOKUP(Crops[[#This Row],[Crop]]&amp;Crops[[#This Row],[Product]]&amp;Crops[[#This Row],[Unit]],Products[ID],Products[Wash (s)])*Crops[[#This Row],[Custom Yield Per Bed]]/3600</f>
        <v>0.11904761904761904</v>
      </c>
      <c r="CV166" s="37">
        <f>_xlfn.XLOOKUP(Crops[[#This Row],[Crop]]&amp;Crops[[#This Row],[Product]]&amp;Crops[[#This Row],[Unit]],Products[ID],Products[Condition (s)])*Crops[[#This Row],[Custom Yield Per Bed]]/3600</f>
        <v>0</v>
      </c>
      <c r="CW166" s="37">
        <f>_xlfn.XLOOKUP(Crops[[#This Row],[Crop]]&amp;Crops[[#This Row],[Product]]&amp;Crops[[#This Row],[Unit]],Products[ID],Products[Trim (s)])*Crops[[#This Row],[Custom Yield Per Bed]]/3600</f>
        <v>0.23809523809523808</v>
      </c>
      <c r="CX166" s="37">
        <f>_xlfn.XLOOKUP(Crops[[#This Row],[Crop]]&amp;Crops[[#This Row],[Product]]&amp;Crops[[#This Row],[Unit]],Products[ID],Products[Pack (s)])*Crops[[#This Row],[Custom Yield Per Bed]]/3600</f>
        <v>7.1428571428571425E-2</v>
      </c>
      <c r="CY166" s="37">
        <f>_xlfn.XLOOKUP(Crops[[#This Row],[Crop]]&amp;Crops[[#This Row],[Product]]&amp;Crops[[#This Row],[Unit]],Products[ID],Products[Clean (s)])*Crops[[#This Row],[Custom Yield Per Bed]]/3600</f>
        <v>0</v>
      </c>
      <c r="CZ166" s="37">
        <f>_xlfn.XLOOKUP(Crops[[#This Row],[Crop]]&amp;Crops[[#This Row],[Product]]&amp;Crops[[#This Row],[Unit]],Products[ID],Products[Rehandle (s)])*Crops[[#This Row],[Custom Yield Per Bed]]/3600</f>
        <v>0</v>
      </c>
      <c r="DA166" s="37">
        <f>_xlfn.XLOOKUP(Crops[[#This Row],[Crop]]&amp;Crops[[#This Row],[Product]]&amp;Crops[[#This Row],[Unit]],Products[ID],Products[Market Transport (s)])*Crops[[#This Row],[Custom Yield Per Bed]]/3600</f>
        <v>0.2232142857142857</v>
      </c>
      <c r="DC166" s="37">
        <f>Crops[[#This Row],[Direct Revenue Per Bed2]]</f>
        <v>257.14285714285711</v>
      </c>
      <c r="DD166" s="173">
        <f>_xlfn.AGGREGATE(9,6,Crops[[#This Row],[Bed Prep]:[Remove Crop Residue]])</f>
        <v>9.2767857142857135</v>
      </c>
      <c r="DE166" s="173">
        <f>_xlfn.AGGREGATE(9,6,Crops[[#This Row],[Bed Prep]:[Remove Crop Residue]])-0.75*Crops[[#This Row],[Market &amp; Sell]]</f>
        <v>9.180357142857142</v>
      </c>
      <c r="DF166" s="36">
        <f>Crops[[#This Row],[Direct Revenue Per Bed2]]/Crops[[#This Row],[Direct Time]]</f>
        <v>27.718960538979786</v>
      </c>
      <c r="DG166" s="36">
        <f>_xlfn.XLOOKUP(Crops[[#This Row],[ProductIndex]],Products[ID],Products[Packaging Cost])*(Crops[[#This Row],[Custom Yield Per Bed]]/_xlfn.XLOOKUP(Crops[[#This Row],[ProductIndex]],Products[ID],Products[Units Per Pack]))</f>
        <v>13.571428571428569</v>
      </c>
      <c r="DH166" s="36"/>
      <c r="DI166" s="36"/>
      <c r="DJ166" s="36"/>
      <c r="DK166" s="36"/>
      <c r="DL166" s="36"/>
      <c r="DM166" s="33">
        <f>IFERROR(Crops[[#This Row],[Custom Yield Per Bed]]*Crops[[#This Row],[Direct Price]],"")</f>
        <v>257.14285714285711</v>
      </c>
      <c r="DN166" s="36">
        <f>Crops[[#This Row],[Direct Time]]*LaborRate</f>
        <v>231.91964285714283</v>
      </c>
      <c r="DO166" s="36">
        <f>SUM(Crops[[#This Row],[Irrigation Cost]])</f>
        <v>0</v>
      </c>
      <c r="DP166" s="36">
        <f>Crops[[#This Row],[Direct Labor Cost]]+Crops[[#This Row],[Direct Non-Labor Cost]]</f>
        <v>231.91964285714283</v>
      </c>
      <c r="DQ166" s="36">
        <f>Crops[[#This Row],[Direct Revenue Per Bed2]]-Crops[[#This Row],[Direct Total Cost]]</f>
        <v>25.223214285714278</v>
      </c>
      <c r="DR166" s="36">
        <f>Crops[[#This Row],[Direct Profit]]*BedsPerAcre</f>
        <v>4035.7142857142844</v>
      </c>
      <c r="DS166" s="36">
        <f>Crops[[#This Row],[Direct Profit]]*BedsPerAcre*GrowingDays/Crops[[#This Row],[Days In Field]]</f>
        <v>4941.6909620991237</v>
      </c>
      <c r="DT166" s="36">
        <f>Crops[[#This Row],[Direct Profit]]/MIN(Crops[[#This Row],[Days In Field]],GrowingDays)</f>
        <v>0.1715864917395529</v>
      </c>
      <c r="DU166" s="36">
        <f>Crops[[#This Row],[Direct Time]] * BedsPerAcre</f>
        <v>1484.2857142857142</v>
      </c>
      <c r="DV166" s="36">
        <f>(Crops[[#This Row],[Direct Revenue Per Bed2]]-Crops[[#This Row],[Direct Non-Labor Cost]])/Crops[[#This Row],[Direct Time]]</f>
        <v>27.718960538979786</v>
      </c>
      <c r="DW166" s="33">
        <f>IFERROR(Crops[[#This Row],[Custom Yield Per Bed]]*Crops[[#This Row],[Rough Wholesale Price]],"")</f>
        <v>154.28571428571425</v>
      </c>
      <c r="DX166" s="36">
        <f>Crops[[#This Row],[Wholesale Time]]*LaborRate</f>
        <v>229.50892857142856</v>
      </c>
      <c r="DY166" s="36">
        <f>SUM(Crops[[#This Row],[Packaging Costs]:[Irrigation Cost]])</f>
        <v>13.571428571428569</v>
      </c>
      <c r="DZ166" s="36">
        <f>Crops[[#This Row],[Wholesale Labor Cost]]+Crops[[#This Row],[Wholesale Non-Labor Cost]]</f>
        <v>243.08035714285711</v>
      </c>
      <c r="EA166" s="36">
        <f>Crops[[#This Row],[Wholesale Revenue Per Bed]]-Crops[[#This Row],[Wholesale Total Cost]]</f>
        <v>-88.794642857142861</v>
      </c>
      <c r="EB166" s="36">
        <f>Crops[[#This Row],[Wholesale Profit]]*BedsPerAcre</f>
        <v>-14207.142857142859</v>
      </c>
      <c r="EC166" s="36">
        <f>Crops[[#This Row],[Wholesale Profit]]*BedsPerAcre*GrowingDays/Crops[[#This Row],[Days In Field]]</f>
        <v>-17396.50145772595</v>
      </c>
      <c r="ED166" s="36">
        <f>Crops[[#This Row],[Wholesale Time]] * BedsPerAcre</f>
        <v>1468.8571428571427</v>
      </c>
      <c r="EE166" s="36">
        <f>Crops[[#This Row],[Wholesale Profit]]/MIN(Crops[[#This Row],[Days In Field]],GrowingDays)</f>
        <v>-0.60404518950437325</v>
      </c>
      <c r="EF166" s="36">
        <f>(Crops[[#This Row],[Wholesale Revenue Per Bed]]-Crops[[#This Row],[Wholesale Non-Labor Cost]])/Crops[[#This Row],[Direct Time]]</f>
        <v>15.168431183830602</v>
      </c>
      <c r="EG166" s="174">
        <f>Crops[[#This Row],[Packaging Costs]]/Crops[[#This Row],[Wholesale Revenue Per Bed]]</f>
        <v>8.7962962962962965E-2</v>
      </c>
      <c r="EH166" s="36" t="str">
        <f>Crops[[#This Row],[Crop]]&amp;Crops[[#This Row],[Product]]&amp;Crops[[#This Row],[Unit]]</f>
        <v>LeekMature StalkStalk</v>
      </c>
      <c r="EI166" s="36" t="b">
        <f>_xlfn.XLOOKUP(Crops[[#This Row],[ProductIndex]],Products[ID],Products[Target])</f>
        <v>1</v>
      </c>
      <c r="EJ166" s="36">
        <f>Crops[[#This Row],[Custom Yield Per Bed]]</f>
        <v>85.714285714285708</v>
      </c>
      <c r="EK166" s="210" t="e">
        <f>Crops[[#This Row],[Units Per Harvest]]/Crops[[#This Row],[Days Between Harvest]]*7</f>
        <v>#DIV/0!</v>
      </c>
      <c r="EL166" s="210">
        <f>Crops[[#This Row],[Custom Yield Per Bed]]/_xlfn.XLOOKUP(Crops[[#This Row],[ProductIndex]],Products[ID],Products[CSA Portion])</f>
        <v>85.714285714285708</v>
      </c>
      <c r="EM166" s="210" t="e">
        <f>Crops[[#This Row],[Units Per Harvest]]/Crops[[#This Row],[Days Between Harvest]]*7/_xlfn.XLOOKUP(Crops[[#This Row],[ProductIndex]],Products[ID],Products[CSA Portion])</f>
        <v>#DIV/0!</v>
      </c>
      <c r="EN166" s="210" t="e">
        <f>Crops[[#This Row],[CSA Portions Per Week]]/CSAMembers</f>
        <v>#DIV/0!</v>
      </c>
      <c r="EO166" s="210"/>
      <c r="EP166" s="210"/>
      <c r="EQ166" s="36"/>
      <c r="ER166" s="36">
        <f>Crops[[#This Row],[Harvests]]*Crops[[#This Row],[Days Between Harvest]]/7</f>
        <v>0</v>
      </c>
      <c r="ES166" s="208">
        <f>_xlfn.XLOOKUP(Crops[[#This Row],[ProductIndex]],Products[ID],Products[CSA Need])</f>
        <v>0</v>
      </c>
      <c r="ET166" s="208">
        <f>_xlfn.XLOOKUP(Crops[[#This Row],[ProductIndex]],Products[ID],Products[CSA Times])</f>
        <v>0</v>
      </c>
      <c r="EU166" s="208" t="e">
        <f>Crops[[#This Row],[Custom Yield Per Bed]]/(Crops[[#This Row],[CSA Need]]*(_xlfn.XLOOKUP(Crops[[#This Row],[ProductIndex]],Products[ID],Products[CSA Portion])*CSAMembers))</f>
        <v>#DIV/0!</v>
      </c>
      <c r="EV166" s="208">
        <f>_xlfn.XLOOKUP(Crops[[#This Row],[ProductIndex]],Products[ID],Products[CSA Portion])*CSAMembers*Crops[[#This Row],[CSA Need]]/Crops[[#This Row],[Custom Yield Per Bed]]</f>
        <v>0</v>
      </c>
      <c r="EW166" s="208">
        <f>IFERROR(Crops[[#This Row],[Days In Field]]*Crops[[#This Row],[CSA Beds]],"")</f>
        <v>0</v>
      </c>
      <c r="EX166" s="208" t="e">
        <f>Crops[[#This Row],[CSA Bed Days]]*#REF!</f>
        <v>#REF!</v>
      </c>
      <c r="EY166" t="s">
        <v>345</v>
      </c>
    </row>
    <row r="167" spans="1:155">
      <c r="A16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1X | Field DS Ow</v>
      </c>
      <c r="B167" s="185"/>
      <c r="C167" s="1"/>
      <c r="D167" s="1"/>
      <c r="E167" s="1" t="b">
        <v>0</v>
      </c>
      <c r="F167" s="1" t="b">
        <f>IFERROR(IF(ISNUMBER(MATCH(Crops[[#This Row],[Identifier]],BedPlan[Crop], 0)), TRUE, FALSE), FALSE)</f>
        <v>0</v>
      </c>
      <c r="G167" s="1" t="b">
        <f>IFERROR(IF(ISNUMBER(MATCH(Crops[[#This Row],[Identifier]],BedPlan[Crop], 0)), TRUE, FALSE), FALSE)</f>
        <v>0</v>
      </c>
      <c r="H167" s="1" t="b">
        <v>1</v>
      </c>
      <c r="I167" t="s">
        <v>91</v>
      </c>
      <c r="J167" t="s">
        <v>145</v>
      </c>
      <c r="K167" t="s">
        <v>199</v>
      </c>
      <c r="N167" t="str">
        <f>Crops[[#This Row],[Crop]]</f>
        <v>Leek</v>
      </c>
      <c r="O167" t="s">
        <v>210</v>
      </c>
      <c r="P167" t="str">
        <f>IF(OR(Crops[[#This Row],[Days in Cells]]="",Crops[[#This Row],[Days in Cells]]=0), "DS","TP")</f>
        <v>DS</v>
      </c>
      <c r="U167" t="s">
        <v>144</v>
      </c>
      <c r="V167" t="str">
        <f xml:space="preserve"> IF(Crops[[#This Row],[Sp]], "Sp", "") &amp; IF(Crops[[#This Row],[Su]], "Su", "") &amp; IF(Crops[[#This Row],[Fa]], "Fa", "") &amp; IF(Crops[[#This Row],[Wi]], "Wi", "") &amp; IF(Crops[[#This Row],[OW]], "Ow","")</f>
        <v>Ow</v>
      </c>
      <c r="X167">
        <v>3</v>
      </c>
      <c r="Y167">
        <v>6</v>
      </c>
      <c r="AD167" s="32">
        <f>IFERROR(12/Crops[[#This Row],[Spacing]]*Crops[[#This Row],[Rows]]*BedLength,"")</f>
        <v>300</v>
      </c>
      <c r="AE167">
        <v>1</v>
      </c>
      <c r="AG167">
        <f>IF(Crops[[#This Row],[Custom Safety Factor]]="",PlantingSafetyFactor,Crops[[#This Row],[Custom Safety Factor]])</f>
        <v>1.3</v>
      </c>
      <c r="AH167">
        <f>1</f>
        <v>1</v>
      </c>
      <c r="AI167" s="33">
        <f>IFERROR(Crops[[#This Row],[Plantings Per Bed]]*Crops[[#This Row],[Seeds Per Planting]]*Crops[[#This Row],[Safety Factor]]*Crops[[#This Row],[Seeding Factor]],"")</f>
        <v>390</v>
      </c>
      <c r="AL167">
        <f>_xlfn.FLOOR.MATH(IFERROR(AVERAGE(Crops[[#This Row],[DTG Lower]:[DTG Upper]]),0))</f>
        <v>0</v>
      </c>
      <c r="AM167">
        <f>SUM(Crops[[#This Row],[Tray 1 Days]],Crops[[#This Row],[Tray 2 Days]],Crops[[#This Row],[Tray 3 Days]])</f>
        <v>0</v>
      </c>
      <c r="AN167">
        <v>77</v>
      </c>
      <c r="AP167">
        <v>277</v>
      </c>
      <c r="AQ167">
        <f>IFERROR(_xlfn.FLOOR.MATH(AVERAGE(Crops[[#This Row],[DTM Lower]:[DTM Upper]])),"")</f>
        <v>277</v>
      </c>
      <c r="AR167" cm="1">
        <f t="array" ref="AR167">_xlfn.SWITCH(Crops[[#This Row],[Normal Method]],"DS",Crops[[#This Row],[Days to Germination]]+Crops[[#This Row],[DTM]] + IF(Crops[[#This Row],[Days in Cells]]&gt;0,15,0), "TP",Crops[[#This Row],[DTM]]+Crops[[#This Row],[Days in Cells]] + IF(Crops[[#This Row],[Days in Cells]]&lt;=0,20,0), "X", Crops[[#This Row],[DTM]])</f>
        <v>297</v>
      </c>
      <c r="AS167" t="s">
        <v>346</v>
      </c>
      <c r="AT167">
        <f>(Crops[[#This Row],[Harvests]]-1)*Crops[[#This Row],[Days Between Harvest]]+7</f>
        <v>7</v>
      </c>
      <c r="AU167">
        <f>Crops[[#This Row],[STH]]-Crops[[#This Row],[Days in Cells]]+Crops[[#This Row],[Harvest window]]</f>
        <v>304</v>
      </c>
      <c r="AW167">
        <v>128</v>
      </c>
      <c r="AZ167" t="str">
        <f>IFERROR(IF(Crops[[#This Row],[Tray 1 Days]]=0,"",Crops[[#This Row],[Plantings Per Bed]]/Crops[[#This Row],[Tray 1 Size]]*Crops[[#This Row],[Safety Factor]]),"")</f>
        <v/>
      </c>
      <c r="BC167" t="str">
        <f>IFERROR(IF(Crops[[#This Row],[Tray 2 Days]]=0,"",Crops[[#This Row],[Plantings Per Bed]]/Crops[[#This Row],[Tray 2 Size]]*Crops[[#This Row],[Safety Factor]]),"")</f>
        <v/>
      </c>
      <c r="BE167" s="32" t="str">
        <f>IF(NOT(ISBLANK(Crops[[#This Row],[Tray 3 Size]])), Crops[[#This Row],[Days in Cells Old]]-SUM(Crops[[#This Row],[Tray 1 Days]],Crops[[#This Row],[Tray 2 Days]]), "")</f>
        <v/>
      </c>
      <c r="BF167" t="str">
        <f>IFERROR(IF(Crops[[#This Row],[Tray 3 Days]]=0,"",Crops[[#This Row],[Plantings Per Bed]]/Crops[[#This Row],[Tray 3 Size]]*Crops[[#This Row],[Safety Factor]]),"")</f>
        <v/>
      </c>
      <c r="BG167" s="33">
        <f>Crops[[#This Row],[Plantings Per Bed]]</f>
        <v>300</v>
      </c>
      <c r="BH167" s="33">
        <v>1</v>
      </c>
      <c r="BI167" s="33">
        <v>0</v>
      </c>
      <c r="BJ167" s="33">
        <f>_xlfn.XLOOKUP(Crops[[#This Row],[ProductIndex]],Products[ID],Products[Holding Period])</f>
        <v>30</v>
      </c>
      <c r="BK167" s="33"/>
      <c r="BL167" s="33">
        <f>Crops[[#This Row],[Units Per Harvest]]*Crops[[#This Row],[Harvests]]</f>
        <v>300</v>
      </c>
      <c r="BM167" s="35">
        <v>3</v>
      </c>
      <c r="BN167" s="35">
        <f>Crops[[#This Row],[Direct Price]]*0.6</f>
        <v>1.7999999999999998</v>
      </c>
      <c r="BO167" s="35"/>
      <c r="BP167" t="s">
        <v>2358</v>
      </c>
      <c r="BQ167">
        <f>Crops[[#This Row],[Custom Yield Per Bed]]*Crops[[#This Row],[Direct Price]]</f>
        <v>900</v>
      </c>
      <c r="BR167" t="b">
        <v>1</v>
      </c>
      <c r="BS167" t="b">
        <f>Crops[[#This Row],[Harvests]]&gt;1</f>
        <v>0</v>
      </c>
      <c r="BT167" s="36">
        <f>IFERROR(Crops[[#This Row],[Direct Revenue Per Bed]]/Crops[[#This Row],[Days In Field]],-1)</f>
        <v>2.9605263157894739</v>
      </c>
      <c r="BU167" s="36">
        <f>IFERROR(Crops[[#This Row],[Direct Revenue Per Bed Day]]*GrowingDays*BedsPerAcre,"")</f>
        <v>85263.157894736854</v>
      </c>
      <c r="BV167" s="38">
        <f>LastFrostDate-5*Crops[[#This Row],[Sewing Rel Last Frost]]</f>
        <v>45748</v>
      </c>
      <c r="BW167" s="38">
        <f>Crops[[#This Row],[Target Sewing Date]]+Crops[[#This Row],[Days in Cells]]</f>
        <v>45748</v>
      </c>
      <c r="BX167" s="38">
        <f>Crops[[#This Row],[Target Sewing Date]]+Crops[[#This Row],[STH]]</f>
        <v>46045</v>
      </c>
      <c r="BY167" s="38">
        <f>Crops[[#This Row],[Target Harvest Data]]+Crops[[#This Row],[Harvest window]]</f>
        <v>46052</v>
      </c>
      <c r="CB167">
        <f>1</f>
        <v>1</v>
      </c>
      <c r="CC167">
        <f>IF(Crops[[#This Row],[Transplanting]]&gt;0, 2, 3)*BedLength/StandardBedLength</f>
        <v>1.5</v>
      </c>
      <c r="CD167" s="173">
        <f>IF(Crops[[#This Row],[Days in Cells]]&lt;=0,0,Crops[[#This Row],[Plantings Per Bed]]/StartsPerHourSeeding+Crops[[#This Row],[Tray 1 Count]]*5/60)</f>
        <v>0</v>
      </c>
      <c r="CE167" s="173">
        <f>IF(ISBLANK(Crops[[#This Row],[Tray 2 Days]]),0,Crops[[#This Row],[Plantings Per Bed]]/UpPottingPerHour)+IF(Crops[[#This Row],[Tray 3 Days]]="",0,Crops[[#This Row],[Plantings Per Bed]]/UpPottingPerHour)</f>
        <v>0</v>
      </c>
      <c r="CF167" s="173">
        <f>IFERROR(Crops[[#This Row],[Tray 1 Count]]/HomeStartFlatIrrigationPerHour,0)*Crops[[#This Row],[Days in Cells]]/DaysBetweenStartIrrigation</f>
        <v>0</v>
      </c>
      <c r="CG167" s="173">
        <f>0.5/16*MAX(Crops[[#This Row],[Tray 1 Count]],Crops[[#This Row],[Tray 2 Count]],Crops[[#This Row],[Tray 3 Count]])</f>
        <v>0</v>
      </c>
      <c r="CH167" s="173">
        <f>IF(Crops[[#This Row],[Days in Cells]]&gt;0,IF(IF(Crops[[#This Row],[Tray 3 Size]]&gt;0,Crops[[#This Row],[Tray 3 Size]],IF(Crops[[#This Row],[Tray 2 Size]]&gt;0,Crops[[#This Row],[Tray 2 Size]],Crops[[#This Row],[Tray 1 Size]]))&lt;=18,LargeTransplantTime,SmallTransplantTime)*Crops[[#This Row],[Plantings Per Bed]],0)</f>
        <v>0</v>
      </c>
      <c r="CI167" s="173"/>
      <c r="CJ167" s="173">
        <f>_xlfn.XLOOKUP(Crops[[#This Row],[Trellis Type]],TrellisMethods[Trellis Type],TrellisMethods[Hours],0,0)</f>
        <v>0</v>
      </c>
      <c r="CK167">
        <f>IF(Crops[[#This Row],[Days in Cells]]&lt;=0,Crops[[#This Row],[Rows]]*1/10,0)*BedLength/50</f>
        <v>0.3</v>
      </c>
      <c r="CL167" cm="1">
        <f t="array" ref="CL167">_xlfn.SWITCH(Crops[[#This Row],[Irrigation]],"DR", 0.5, "OH", 0.25,0)*BedLength/50</f>
        <v>0</v>
      </c>
      <c r="CM167">
        <f>IF(OR(ISBLANK(Crops[[#This Row],[Row Cover]]),Crops[[#This Row],[Row Cover]]="None"),0,1)*BedLength/50</f>
        <v>0</v>
      </c>
      <c r="CN167" s="173">
        <f>HoursPerWeedingPass*Crops[[#This Row],[Days In Field]]/14*Crops[[#This Row],[Rows]]+1*BedLength/50</f>
        <v>11.857142857142858</v>
      </c>
      <c r="CQ167" s="37">
        <f>_xlfn.XLOOKUP(Crops[[#This Row],[Crop]]&amp;Crops[[#This Row],[Product]]&amp;Crops[[#This Row],[Unit]],Products[ID],Products[Marketing (hr)])*Crops[[#This Row],[Direct Revenue Per Bed]]/2000</f>
        <v>0.45</v>
      </c>
      <c r="CR167" s="37">
        <f>_xlfn.XLOOKUP(Crops[[#This Row],[Crop]]&amp;Crops[[#This Row],[Product]]&amp;Crops[[#This Row],[Unit]],Products[ID],Products[Harvest (s)])*Crops[[#This Row],[Custom Yield Per Bed]]/3600</f>
        <v>1.25</v>
      </c>
      <c r="CS167" s="37">
        <f>_xlfn.XLOOKUP(Crops[[#This Row],[Crop]]&amp;Crops[[#This Row],[Product]]&amp;Crops[[#This Row],[Unit]],Products[ID],Products[Bunch (s)])*Crops[[#This Row],[Custom Yield Per Bed]]/3600</f>
        <v>0</v>
      </c>
      <c r="CT167" s="37">
        <f>_xlfn.XLOOKUP(Crops[[#This Row],[Crop]]&amp;Crops[[#This Row],[Product]]&amp;Crops[[#This Row],[Unit]],Products[ID],Products[Haul (s)])*Crops[[#This Row],[Custom Yield Per Bed]]/3600</f>
        <v>0.3125</v>
      </c>
      <c r="CU167" s="37">
        <f>_xlfn.XLOOKUP(Crops[[#This Row],[Crop]]&amp;Crops[[#This Row],[Product]]&amp;Crops[[#This Row],[Unit]],Products[ID],Products[Wash (s)])*Crops[[#This Row],[Custom Yield Per Bed]]/3600</f>
        <v>0.41666666666666669</v>
      </c>
      <c r="CV167" s="37">
        <f>_xlfn.XLOOKUP(Crops[[#This Row],[Crop]]&amp;Crops[[#This Row],[Product]]&amp;Crops[[#This Row],[Unit]],Products[ID],Products[Condition (s)])*Crops[[#This Row],[Custom Yield Per Bed]]/3600</f>
        <v>0</v>
      </c>
      <c r="CW167" s="37">
        <f>_xlfn.XLOOKUP(Crops[[#This Row],[Crop]]&amp;Crops[[#This Row],[Product]]&amp;Crops[[#This Row],[Unit]],Products[ID],Products[Trim (s)])*Crops[[#This Row],[Custom Yield Per Bed]]/3600</f>
        <v>0.83333333333333337</v>
      </c>
      <c r="CX167" s="37">
        <f>_xlfn.XLOOKUP(Crops[[#This Row],[Crop]]&amp;Crops[[#This Row],[Product]]&amp;Crops[[#This Row],[Unit]],Products[ID],Products[Pack (s)])*Crops[[#This Row],[Custom Yield Per Bed]]/3600</f>
        <v>0.25</v>
      </c>
      <c r="CY167" s="37">
        <f>_xlfn.XLOOKUP(Crops[[#This Row],[Crop]]&amp;Crops[[#This Row],[Product]]&amp;Crops[[#This Row],[Unit]],Products[ID],Products[Clean (s)])*Crops[[#This Row],[Custom Yield Per Bed]]/3600</f>
        <v>0</v>
      </c>
      <c r="CZ167" s="37">
        <f>_xlfn.XLOOKUP(Crops[[#This Row],[Crop]]&amp;Crops[[#This Row],[Product]]&amp;Crops[[#This Row],[Unit]],Products[ID],Products[Rehandle (s)])*Crops[[#This Row],[Custom Yield Per Bed]]/3600</f>
        <v>0</v>
      </c>
      <c r="DA167" s="37">
        <f>_xlfn.XLOOKUP(Crops[[#This Row],[Crop]]&amp;Crops[[#This Row],[Product]]&amp;Crops[[#This Row],[Unit]],Products[ID],Products[Market Transport (s)])*Crops[[#This Row],[Custom Yield Per Bed]]/3600</f>
        <v>0.78125</v>
      </c>
      <c r="DC167" s="37">
        <f>Crops[[#This Row],[Direct Revenue Per Bed2]]</f>
        <v>900</v>
      </c>
      <c r="DD167" s="173">
        <f>_xlfn.AGGREGATE(9,6,Crops[[#This Row],[Bed Prep]:[Remove Crop Residue]])</f>
        <v>17.950892857142858</v>
      </c>
      <c r="DE167" s="173">
        <f>_xlfn.AGGREGATE(9,6,Crops[[#This Row],[Bed Prep]:[Remove Crop Residue]])-0.75*Crops[[#This Row],[Market &amp; Sell]]</f>
        <v>17.613392857142859</v>
      </c>
      <c r="DF167" s="36">
        <f>Crops[[#This Row],[Direct Revenue Per Bed2]]/Crops[[#This Row],[Direct Time]]</f>
        <v>50.13678189505098</v>
      </c>
      <c r="DG167" s="36">
        <f>_xlfn.XLOOKUP(Crops[[#This Row],[ProductIndex]],Products[ID],Products[Packaging Cost])*(Crops[[#This Row],[Custom Yield Per Bed]]/_xlfn.XLOOKUP(Crops[[#This Row],[ProductIndex]],Products[ID],Products[Units Per Pack]))</f>
        <v>47.5</v>
      </c>
      <c r="DH167" s="36"/>
      <c r="DI167" s="36"/>
      <c r="DJ167" s="36"/>
      <c r="DK167" s="36"/>
      <c r="DL167" s="36"/>
      <c r="DM167" s="33">
        <f>IFERROR(Crops[[#This Row],[Custom Yield Per Bed]]*Crops[[#This Row],[Direct Price]],"")</f>
        <v>900</v>
      </c>
      <c r="DN167" s="36">
        <f>Crops[[#This Row],[Direct Time]]*LaborRate</f>
        <v>448.77232142857144</v>
      </c>
      <c r="DO167" s="36">
        <f>SUM(Crops[[#This Row],[Irrigation Cost]])</f>
        <v>0</v>
      </c>
      <c r="DP167" s="36">
        <f>Crops[[#This Row],[Direct Labor Cost]]+Crops[[#This Row],[Direct Non-Labor Cost]]</f>
        <v>448.77232142857144</v>
      </c>
      <c r="DQ167" s="36">
        <f>Crops[[#This Row],[Direct Revenue Per Bed2]]-Crops[[#This Row],[Direct Total Cost]]</f>
        <v>451.22767857142856</v>
      </c>
      <c r="DR167" s="36">
        <f>Crops[[#This Row],[Direct Profit]]*BedsPerAcre</f>
        <v>72196.428571428565</v>
      </c>
      <c r="DS167" s="36">
        <f>Crops[[#This Row],[Direct Profit]]*BedsPerAcre*GrowingDays/Crops[[#This Row],[Days In Field]]</f>
        <v>42747.885338345863</v>
      </c>
      <c r="DT167" s="36">
        <f>Crops[[#This Row],[Direct Profit]]/MIN(Crops[[#This Row],[Days In Field]],GrowingDays)</f>
        <v>2.5068204365079363</v>
      </c>
      <c r="DU167" s="36">
        <f>Crops[[#This Row],[Direct Time]] * BedsPerAcre</f>
        <v>2872.1428571428573</v>
      </c>
      <c r="DV167" s="36">
        <f>(Crops[[#This Row],[Direct Revenue Per Bed2]]-Crops[[#This Row],[Direct Non-Labor Cost]])/Crops[[#This Row],[Direct Time]]</f>
        <v>50.13678189505098</v>
      </c>
      <c r="DW167" s="33">
        <f>IFERROR(Crops[[#This Row],[Custom Yield Per Bed]]*Crops[[#This Row],[Rough Wholesale Price]],"")</f>
        <v>540</v>
      </c>
      <c r="DX167" s="36">
        <f>Crops[[#This Row],[Wholesale Time]]*LaborRate</f>
        <v>440.3348214285715</v>
      </c>
      <c r="DY167" s="36">
        <f>SUM(Crops[[#This Row],[Packaging Costs]:[Irrigation Cost]])</f>
        <v>47.5</v>
      </c>
      <c r="DZ167" s="36">
        <f>Crops[[#This Row],[Wholesale Labor Cost]]+Crops[[#This Row],[Wholesale Non-Labor Cost]]</f>
        <v>487.8348214285715</v>
      </c>
      <c r="EA167" s="36">
        <f>Crops[[#This Row],[Wholesale Revenue Per Bed]]-Crops[[#This Row],[Wholesale Total Cost]]</f>
        <v>52.165178571428498</v>
      </c>
      <c r="EB167" s="36">
        <f>Crops[[#This Row],[Wholesale Profit]]*BedsPerAcre</f>
        <v>8346.4285714285597</v>
      </c>
      <c r="EC167" s="36">
        <f>Crops[[#This Row],[Wholesale Profit]]*BedsPerAcre*GrowingDays/Crops[[#This Row],[Days In Field]]</f>
        <v>4941.964285714279</v>
      </c>
      <c r="ED167" s="36">
        <f>Crops[[#This Row],[Wholesale Time]] * BedsPerAcre</f>
        <v>2818.1428571428573</v>
      </c>
      <c r="EE167" s="36">
        <f>Crops[[#This Row],[Wholesale Profit]]/MIN(Crops[[#This Row],[Days In Field]],GrowingDays)</f>
        <v>0.28980654761904723</v>
      </c>
      <c r="EF167" s="36">
        <f>(Crops[[#This Row],[Wholesale Revenue Per Bed]]-Crops[[#This Row],[Wholesale Non-Labor Cost]])/Crops[[#This Row],[Direct Time]]</f>
        <v>27.435961203680677</v>
      </c>
      <c r="EG167" s="174">
        <f>Crops[[#This Row],[Packaging Costs]]/Crops[[#This Row],[Wholesale Revenue Per Bed]]</f>
        <v>8.7962962962962965E-2</v>
      </c>
      <c r="EH167" s="36" t="str">
        <f>Crops[[#This Row],[Crop]]&amp;Crops[[#This Row],[Product]]&amp;Crops[[#This Row],[Unit]]</f>
        <v>LeekMature StalkStalk</v>
      </c>
      <c r="EI167" s="36" t="b">
        <f>_xlfn.XLOOKUP(Crops[[#This Row],[ProductIndex]],Products[ID],Products[Target])</f>
        <v>1</v>
      </c>
      <c r="EJ167" s="36">
        <f>Crops[[#This Row],[Custom Yield Per Bed]]</f>
        <v>300</v>
      </c>
      <c r="EK167" s="210" t="e">
        <f>Crops[[#This Row],[Units Per Harvest]]/Crops[[#This Row],[Days Between Harvest]]*7</f>
        <v>#DIV/0!</v>
      </c>
      <c r="EL167" s="210">
        <f>Crops[[#This Row],[Custom Yield Per Bed]]/_xlfn.XLOOKUP(Crops[[#This Row],[ProductIndex]],Products[ID],Products[CSA Portion])</f>
        <v>300</v>
      </c>
      <c r="EM167" s="210" t="e">
        <f>Crops[[#This Row],[Units Per Harvest]]/Crops[[#This Row],[Days Between Harvest]]*7/_xlfn.XLOOKUP(Crops[[#This Row],[ProductIndex]],Products[ID],Products[CSA Portion])</f>
        <v>#DIV/0!</v>
      </c>
      <c r="EN167" s="210" t="e">
        <f>Crops[[#This Row],[CSA Portions Per Week]]/CSAMembers</f>
        <v>#DIV/0!</v>
      </c>
      <c r="EO167" s="210"/>
      <c r="EP167" s="210"/>
      <c r="EQ167" s="36"/>
      <c r="ER167" s="36">
        <f>Crops[[#This Row],[Harvests]]*Crops[[#This Row],[Days Between Harvest]]/7</f>
        <v>0</v>
      </c>
      <c r="ES167" s="208">
        <f>_xlfn.XLOOKUP(Crops[[#This Row],[ProductIndex]],Products[ID],Products[CSA Need])</f>
        <v>0</v>
      </c>
      <c r="ET167" s="208">
        <f>_xlfn.XLOOKUP(Crops[[#This Row],[ProductIndex]],Products[ID],Products[CSA Times])</f>
        <v>0</v>
      </c>
      <c r="EU167" s="208" t="e">
        <f>Crops[[#This Row],[Custom Yield Per Bed]]/(Crops[[#This Row],[CSA Need]]*(_xlfn.XLOOKUP(Crops[[#This Row],[ProductIndex]],Products[ID],Products[CSA Portion])*CSAMembers))</f>
        <v>#DIV/0!</v>
      </c>
      <c r="EV167" s="208">
        <f>_xlfn.XLOOKUP(Crops[[#This Row],[ProductIndex]],Products[ID],Products[CSA Portion])*CSAMembers*Crops[[#This Row],[CSA Need]]/Crops[[#This Row],[Custom Yield Per Bed]]</f>
        <v>0</v>
      </c>
      <c r="EW167" s="208">
        <f>IFERROR(Crops[[#This Row],[Days In Field]]*Crops[[#This Row],[CSA Beds]],"")</f>
        <v>0</v>
      </c>
      <c r="EX167" s="208" t="e">
        <f>Crops[[#This Row],[CSA Bed Days]]*#REF!</f>
        <v>#REF!</v>
      </c>
      <c r="EY167" t="s">
        <v>345</v>
      </c>
    </row>
    <row r="168" spans="1:155">
      <c r="A168"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1X | Field DS Su</v>
      </c>
      <c r="B168" s="185"/>
      <c r="C168" s="1"/>
      <c r="D168" s="1"/>
      <c r="E168" s="1" t="b">
        <v>0</v>
      </c>
      <c r="F168" s="1" t="b">
        <f>IFERROR(IF(ISNUMBER(MATCH(Crops[[#This Row],[Identifier]],BedPlan[Crop], 0)), TRUE, FALSE), FALSE)</f>
        <v>0</v>
      </c>
      <c r="G168" s="1" t="b">
        <f>IFERROR(IF(ISNUMBER(MATCH(Crops[[#This Row],[Identifier]],BedPlan[Crop], 0)), TRUE, FALSE), FALSE)</f>
        <v>0</v>
      </c>
      <c r="H168" s="1" t="b">
        <v>1</v>
      </c>
      <c r="I168" t="s">
        <v>91</v>
      </c>
      <c r="J168" t="s">
        <v>145</v>
      </c>
      <c r="K168" t="s">
        <v>199</v>
      </c>
      <c r="N168" t="str">
        <f>Crops[[#This Row],[Crop]]</f>
        <v>Leek</v>
      </c>
      <c r="O168" t="s">
        <v>210</v>
      </c>
      <c r="P168" t="str">
        <f>IF(OR(Crops[[#This Row],[Days in Cells]]="",Crops[[#This Row],[Days in Cells]]=0), "DS","TP")</f>
        <v>DS</v>
      </c>
      <c r="R168" t="s">
        <v>144</v>
      </c>
      <c r="V168" t="str">
        <f xml:space="preserve"> IF(Crops[[#This Row],[Sp]], "Sp", "") &amp; IF(Crops[[#This Row],[Su]], "Su", "") &amp; IF(Crops[[#This Row],[Fa]], "Fa", "") &amp; IF(Crops[[#This Row],[Wi]], "Wi", "") &amp; IF(Crops[[#This Row],[OW]], "Ow","")</f>
        <v>Su</v>
      </c>
      <c r="W168" t="s">
        <v>144</v>
      </c>
      <c r="X168">
        <v>3</v>
      </c>
      <c r="Y168">
        <v>6</v>
      </c>
      <c r="AD168" s="32">
        <f>IFERROR(12/Crops[[#This Row],[Spacing]]*Crops[[#This Row],[Rows]]*BedLength,"")</f>
        <v>300</v>
      </c>
      <c r="AE168">
        <v>1</v>
      </c>
      <c r="AG168">
        <f>IF(Crops[[#This Row],[Custom Safety Factor]]="",PlantingSafetyFactor,Crops[[#This Row],[Custom Safety Factor]])</f>
        <v>1.3</v>
      </c>
      <c r="AH168">
        <f>1</f>
        <v>1</v>
      </c>
      <c r="AI168" s="33">
        <f>IFERROR(Crops[[#This Row],[Plantings Per Bed]]*Crops[[#This Row],[Seeds Per Planting]]*Crops[[#This Row],[Safety Factor]]*Crops[[#This Row],[Seeding Factor]],"")</f>
        <v>390</v>
      </c>
      <c r="AL168">
        <f>_xlfn.FLOOR.MATH(IFERROR(AVERAGE(Crops[[#This Row],[DTG Lower]:[DTG Upper]]),0))</f>
        <v>0</v>
      </c>
      <c r="AM168">
        <f>SUM(Crops[[#This Row],[Tray 1 Days]],Crops[[#This Row],[Tray 2 Days]],Crops[[#This Row],[Tray 3 Days]])</f>
        <v>0</v>
      </c>
      <c r="AN168">
        <v>49</v>
      </c>
      <c r="AP168">
        <v>120</v>
      </c>
      <c r="AQ168">
        <f>IFERROR(_xlfn.FLOOR.MATH(AVERAGE(Crops[[#This Row],[DTM Lower]:[DTM Upper]])),"")</f>
        <v>120</v>
      </c>
      <c r="AR168" cm="1">
        <f t="array" ref="AR168">_xlfn.SWITCH(Crops[[#This Row],[Normal Method]],"DS",Crops[[#This Row],[Days to Germination]]+Crops[[#This Row],[DTM]] + IF(Crops[[#This Row],[Days in Cells]]&gt;0,15,0), "TP",Crops[[#This Row],[DTM]]+Crops[[#This Row],[Days in Cells]] + IF(Crops[[#This Row],[Days in Cells]]&lt;=0,20,0), "X", Crops[[#This Row],[DTM]])</f>
        <v>140</v>
      </c>
      <c r="AS168" t="s">
        <v>346</v>
      </c>
      <c r="AT168">
        <f>(Crops[[#This Row],[Harvests]]-1)*Crops[[#This Row],[Days Between Harvest]]+7</f>
        <v>7</v>
      </c>
      <c r="AU168">
        <f>Crops[[#This Row],[STH]]-Crops[[#This Row],[Days in Cells]]+Crops[[#This Row],[Harvest window]]</f>
        <v>147</v>
      </c>
      <c r="AW168">
        <v>400</v>
      </c>
      <c r="AX168">
        <v>400</v>
      </c>
      <c r="AZ168" t="str">
        <f>IFERROR(IF(Crops[[#This Row],[Tray 1 Days]]=0,"",Crops[[#This Row],[Plantings Per Bed]]/Crops[[#This Row],[Tray 1 Size]]*Crops[[#This Row],[Safety Factor]]),"")</f>
        <v/>
      </c>
      <c r="BC168" t="str">
        <f>IFERROR(IF(Crops[[#This Row],[Tray 2 Days]]=0,"",Crops[[#This Row],[Plantings Per Bed]]/Crops[[#This Row],[Tray 2 Size]]*Crops[[#This Row],[Safety Factor]]),"")</f>
        <v/>
      </c>
      <c r="BE168" s="32" t="str">
        <f>IF(NOT(ISBLANK(Crops[[#This Row],[Tray 3 Size]])), Crops[[#This Row],[Days in Cells Old]]-SUM(Crops[[#This Row],[Tray 1 Days]],Crops[[#This Row],[Tray 2 Days]]), "")</f>
        <v/>
      </c>
      <c r="BF168" t="str">
        <f>IFERROR(IF(Crops[[#This Row],[Tray 3 Days]]=0,"",Crops[[#This Row],[Plantings Per Bed]]/Crops[[#This Row],[Tray 3 Size]]*Crops[[#This Row],[Safety Factor]]),"")</f>
        <v/>
      </c>
      <c r="BG168" s="33">
        <f>Crops[[#This Row],[Plantings Per Bed]]/3.5</f>
        <v>85.714285714285708</v>
      </c>
      <c r="BH168" s="33">
        <v>1</v>
      </c>
      <c r="BI168" s="33">
        <v>0</v>
      </c>
      <c r="BJ168" s="33">
        <f>_xlfn.XLOOKUP(Crops[[#This Row],[ProductIndex]],Products[ID],Products[Holding Period])</f>
        <v>30</v>
      </c>
      <c r="BK168" s="33"/>
      <c r="BL168" s="33">
        <f>Crops[[#This Row],[Units Per Harvest]]*Crops[[#This Row],[Harvests]]</f>
        <v>85.714285714285708</v>
      </c>
      <c r="BM168" s="35">
        <v>3</v>
      </c>
      <c r="BN168" s="35">
        <f>Crops[[#This Row],[Direct Price]]*0.6</f>
        <v>1.7999999999999998</v>
      </c>
      <c r="BO168" s="35"/>
      <c r="BP168" t="s">
        <v>2358</v>
      </c>
      <c r="BQ168">
        <f>Crops[[#This Row],[Custom Yield Per Bed]]*Crops[[#This Row],[Direct Price]]</f>
        <v>257.14285714285711</v>
      </c>
      <c r="BR168" t="b">
        <v>1</v>
      </c>
      <c r="BS168" t="b">
        <f>Crops[[#This Row],[Harvests]]&gt;1</f>
        <v>0</v>
      </c>
      <c r="BT168" s="36">
        <f>IFERROR(Crops[[#This Row],[Direct Revenue Per Bed]]/Crops[[#This Row],[Days In Field]],-1)</f>
        <v>1.7492711370262388</v>
      </c>
      <c r="BU168" s="36">
        <f>IFERROR(Crops[[#This Row],[Direct Revenue Per Bed Day]]*GrowingDays*BedsPerAcre,"")</f>
        <v>50379.008746355677</v>
      </c>
      <c r="BV168" s="38">
        <f>LastFrostDate-5*Crops[[#This Row],[Sewing Rel Last Frost]]</f>
        <v>45748</v>
      </c>
      <c r="BW168" s="38">
        <f>Crops[[#This Row],[Target Sewing Date]]+Crops[[#This Row],[Days in Cells]]</f>
        <v>45748</v>
      </c>
      <c r="BX168" s="38">
        <f>Crops[[#This Row],[Target Sewing Date]]+Crops[[#This Row],[STH]]</f>
        <v>45888</v>
      </c>
      <c r="BY168" s="38">
        <f>Crops[[#This Row],[Target Harvest Data]]+Crops[[#This Row],[Harvest window]]</f>
        <v>45895</v>
      </c>
      <c r="CB168">
        <f>1</f>
        <v>1</v>
      </c>
      <c r="CC168">
        <f>IF(Crops[[#This Row],[Transplanting]]&gt;0, 2, 3)*BedLength/StandardBedLength</f>
        <v>1.5</v>
      </c>
      <c r="CD168" s="173">
        <f>IF(Crops[[#This Row],[Days in Cells]]&lt;=0,0,Crops[[#This Row],[Plantings Per Bed]]/StartsPerHourSeeding+Crops[[#This Row],[Tray 1 Count]]*5/60)</f>
        <v>0</v>
      </c>
      <c r="CE168" s="173">
        <f>IF(ISBLANK(Crops[[#This Row],[Tray 2 Days]]),0,Crops[[#This Row],[Plantings Per Bed]]/UpPottingPerHour)+IF(Crops[[#This Row],[Tray 3 Days]]="",0,Crops[[#This Row],[Plantings Per Bed]]/UpPottingPerHour)</f>
        <v>0</v>
      </c>
      <c r="CF168" s="173">
        <f>IFERROR(Crops[[#This Row],[Tray 1 Count]]/HomeStartFlatIrrigationPerHour,0)*Crops[[#This Row],[Days in Cells]]/DaysBetweenStartIrrigation</f>
        <v>0</v>
      </c>
      <c r="CG168" s="173">
        <f>0.5/16*MAX(Crops[[#This Row],[Tray 1 Count]],Crops[[#This Row],[Tray 2 Count]],Crops[[#This Row],[Tray 3 Count]])</f>
        <v>0</v>
      </c>
      <c r="CH168" s="173">
        <f>IF(Crops[[#This Row],[Days in Cells]]&gt;0,IF(IF(Crops[[#This Row],[Tray 3 Size]]&gt;0,Crops[[#This Row],[Tray 3 Size]],IF(Crops[[#This Row],[Tray 2 Size]]&gt;0,Crops[[#This Row],[Tray 2 Size]],Crops[[#This Row],[Tray 1 Size]]))&lt;=18,LargeTransplantTime,SmallTransplantTime)*Crops[[#This Row],[Plantings Per Bed]],0)</f>
        <v>0</v>
      </c>
      <c r="CI168" s="173"/>
      <c r="CJ168" s="173">
        <f>_xlfn.XLOOKUP(Crops[[#This Row],[Trellis Type]],TrellisMethods[Trellis Type],TrellisMethods[Hours],0,0)</f>
        <v>0</v>
      </c>
      <c r="CK168">
        <f>IF(Crops[[#This Row],[Days in Cells]]&lt;=0,Crops[[#This Row],[Rows]]*1/10,0)*BedLength/50</f>
        <v>0.3</v>
      </c>
      <c r="CL168" cm="1">
        <f t="array" ref="CL168">_xlfn.SWITCH(Crops[[#This Row],[Irrigation]],"DR", 0.5, "OH", 0.25,0)*BedLength/50</f>
        <v>0</v>
      </c>
      <c r="CM168">
        <f>IF(OR(ISBLANK(Crops[[#This Row],[Row Cover]]),Crops[[#This Row],[Row Cover]]="None"),0,1)*BedLength/50</f>
        <v>0</v>
      </c>
      <c r="CN168" s="173">
        <f>HoursPerWeedingPass*Crops[[#This Row],[Days In Field]]/14*Crops[[#This Row],[Rows]]+1*BedLength/50</f>
        <v>6.25</v>
      </c>
      <c r="CQ168" s="37">
        <f>_xlfn.XLOOKUP(Crops[[#This Row],[Crop]]&amp;Crops[[#This Row],[Product]]&amp;Crops[[#This Row],[Unit]],Products[ID],Products[Marketing (hr)])*Crops[[#This Row],[Direct Revenue Per Bed]]/2000</f>
        <v>0.12857142857142856</v>
      </c>
      <c r="CR168" s="37">
        <f>_xlfn.XLOOKUP(Crops[[#This Row],[Crop]]&amp;Crops[[#This Row],[Product]]&amp;Crops[[#This Row],[Unit]],Products[ID],Products[Harvest (s)])*Crops[[#This Row],[Custom Yield Per Bed]]/3600</f>
        <v>0.3571428571428571</v>
      </c>
      <c r="CS168" s="37">
        <f>_xlfn.XLOOKUP(Crops[[#This Row],[Crop]]&amp;Crops[[#This Row],[Product]]&amp;Crops[[#This Row],[Unit]],Products[ID],Products[Bunch (s)])*Crops[[#This Row],[Custom Yield Per Bed]]/3600</f>
        <v>0</v>
      </c>
      <c r="CT168" s="37">
        <f>_xlfn.XLOOKUP(Crops[[#This Row],[Crop]]&amp;Crops[[#This Row],[Product]]&amp;Crops[[#This Row],[Unit]],Products[ID],Products[Haul (s)])*Crops[[#This Row],[Custom Yield Per Bed]]/3600</f>
        <v>8.9285714285714274E-2</v>
      </c>
      <c r="CU168" s="37">
        <f>_xlfn.XLOOKUP(Crops[[#This Row],[Crop]]&amp;Crops[[#This Row],[Product]]&amp;Crops[[#This Row],[Unit]],Products[ID],Products[Wash (s)])*Crops[[#This Row],[Custom Yield Per Bed]]/3600</f>
        <v>0.11904761904761904</v>
      </c>
      <c r="CV168" s="37">
        <f>_xlfn.XLOOKUP(Crops[[#This Row],[Crop]]&amp;Crops[[#This Row],[Product]]&amp;Crops[[#This Row],[Unit]],Products[ID],Products[Condition (s)])*Crops[[#This Row],[Custom Yield Per Bed]]/3600</f>
        <v>0</v>
      </c>
      <c r="CW168" s="37">
        <f>_xlfn.XLOOKUP(Crops[[#This Row],[Crop]]&amp;Crops[[#This Row],[Product]]&amp;Crops[[#This Row],[Unit]],Products[ID],Products[Trim (s)])*Crops[[#This Row],[Custom Yield Per Bed]]/3600</f>
        <v>0.23809523809523808</v>
      </c>
      <c r="CX168" s="37">
        <f>_xlfn.XLOOKUP(Crops[[#This Row],[Crop]]&amp;Crops[[#This Row],[Product]]&amp;Crops[[#This Row],[Unit]],Products[ID],Products[Pack (s)])*Crops[[#This Row],[Custom Yield Per Bed]]/3600</f>
        <v>7.1428571428571425E-2</v>
      </c>
      <c r="CY168" s="37">
        <f>_xlfn.XLOOKUP(Crops[[#This Row],[Crop]]&amp;Crops[[#This Row],[Product]]&amp;Crops[[#This Row],[Unit]],Products[ID],Products[Clean (s)])*Crops[[#This Row],[Custom Yield Per Bed]]/3600</f>
        <v>0</v>
      </c>
      <c r="CZ168" s="37">
        <f>_xlfn.XLOOKUP(Crops[[#This Row],[Crop]]&amp;Crops[[#This Row],[Product]]&amp;Crops[[#This Row],[Unit]],Products[ID],Products[Rehandle (s)])*Crops[[#This Row],[Custom Yield Per Bed]]/3600</f>
        <v>0</v>
      </c>
      <c r="DA168" s="37">
        <f>_xlfn.XLOOKUP(Crops[[#This Row],[Crop]]&amp;Crops[[#This Row],[Product]]&amp;Crops[[#This Row],[Unit]],Products[ID],Products[Market Transport (s)])*Crops[[#This Row],[Custom Yield Per Bed]]/3600</f>
        <v>0.2232142857142857</v>
      </c>
      <c r="DC168" s="37">
        <f>Crops[[#This Row],[Direct Revenue Per Bed2]]</f>
        <v>257.14285714285711</v>
      </c>
      <c r="DD168" s="173">
        <f>_xlfn.AGGREGATE(9,6,Crops[[#This Row],[Bed Prep]:[Remove Crop Residue]])</f>
        <v>9.2767857142857135</v>
      </c>
      <c r="DE168" s="173">
        <f>_xlfn.AGGREGATE(9,6,Crops[[#This Row],[Bed Prep]:[Remove Crop Residue]])-0.75*Crops[[#This Row],[Market &amp; Sell]]</f>
        <v>9.180357142857142</v>
      </c>
      <c r="DF168" s="36">
        <f>Crops[[#This Row],[Direct Revenue Per Bed2]]/Crops[[#This Row],[Direct Time]]</f>
        <v>27.718960538979786</v>
      </c>
      <c r="DG168" s="36">
        <f>_xlfn.XLOOKUP(Crops[[#This Row],[ProductIndex]],Products[ID],Products[Packaging Cost])*(Crops[[#This Row],[Custom Yield Per Bed]]/_xlfn.XLOOKUP(Crops[[#This Row],[ProductIndex]],Products[ID],Products[Units Per Pack]))</f>
        <v>13.571428571428569</v>
      </c>
      <c r="DH168" s="36"/>
      <c r="DI168" s="36"/>
      <c r="DJ168" s="36"/>
      <c r="DK168" s="36"/>
      <c r="DL168" s="36"/>
      <c r="DM168" s="33">
        <f>IFERROR(Crops[[#This Row],[Custom Yield Per Bed]]*Crops[[#This Row],[Direct Price]],"")</f>
        <v>257.14285714285711</v>
      </c>
      <c r="DN168" s="36">
        <f>Crops[[#This Row],[Direct Time]]*LaborRate</f>
        <v>231.91964285714283</v>
      </c>
      <c r="DO168" s="36">
        <f>SUM(Crops[[#This Row],[Irrigation Cost]])</f>
        <v>0</v>
      </c>
      <c r="DP168" s="36">
        <f>Crops[[#This Row],[Direct Labor Cost]]+Crops[[#This Row],[Direct Non-Labor Cost]]</f>
        <v>231.91964285714283</v>
      </c>
      <c r="DQ168" s="36">
        <f>Crops[[#This Row],[Direct Revenue Per Bed2]]-Crops[[#This Row],[Direct Total Cost]]</f>
        <v>25.223214285714278</v>
      </c>
      <c r="DR168" s="36">
        <f>Crops[[#This Row],[Direct Profit]]*BedsPerAcre</f>
        <v>4035.7142857142844</v>
      </c>
      <c r="DS168" s="36">
        <f>Crops[[#This Row],[Direct Profit]]*BedsPerAcre*GrowingDays/Crops[[#This Row],[Days In Field]]</f>
        <v>4941.6909620991237</v>
      </c>
      <c r="DT168" s="36">
        <f>Crops[[#This Row],[Direct Profit]]/MIN(Crops[[#This Row],[Days In Field]],GrowingDays)</f>
        <v>0.1715864917395529</v>
      </c>
      <c r="DU168" s="36">
        <f>Crops[[#This Row],[Direct Time]] * BedsPerAcre</f>
        <v>1484.2857142857142</v>
      </c>
      <c r="DV168" s="36">
        <f>(Crops[[#This Row],[Direct Revenue Per Bed2]]-Crops[[#This Row],[Direct Non-Labor Cost]])/Crops[[#This Row],[Direct Time]]</f>
        <v>27.718960538979786</v>
      </c>
      <c r="DW168" s="33">
        <f>IFERROR(Crops[[#This Row],[Custom Yield Per Bed]]*Crops[[#This Row],[Rough Wholesale Price]],"")</f>
        <v>154.28571428571425</v>
      </c>
      <c r="DX168" s="36">
        <f>Crops[[#This Row],[Wholesale Time]]*LaborRate</f>
        <v>229.50892857142856</v>
      </c>
      <c r="DY168" s="36">
        <f>SUM(Crops[[#This Row],[Packaging Costs]:[Irrigation Cost]])</f>
        <v>13.571428571428569</v>
      </c>
      <c r="DZ168" s="36">
        <f>Crops[[#This Row],[Wholesale Labor Cost]]+Crops[[#This Row],[Wholesale Non-Labor Cost]]</f>
        <v>243.08035714285711</v>
      </c>
      <c r="EA168" s="36">
        <f>Crops[[#This Row],[Wholesale Revenue Per Bed]]-Crops[[#This Row],[Wholesale Total Cost]]</f>
        <v>-88.794642857142861</v>
      </c>
      <c r="EB168" s="36">
        <f>Crops[[#This Row],[Wholesale Profit]]*BedsPerAcre</f>
        <v>-14207.142857142859</v>
      </c>
      <c r="EC168" s="36">
        <f>Crops[[#This Row],[Wholesale Profit]]*BedsPerAcre*GrowingDays/Crops[[#This Row],[Days In Field]]</f>
        <v>-17396.50145772595</v>
      </c>
      <c r="ED168" s="36">
        <f>Crops[[#This Row],[Wholesale Time]] * BedsPerAcre</f>
        <v>1468.8571428571427</v>
      </c>
      <c r="EE168" s="36">
        <f>Crops[[#This Row],[Wholesale Profit]]/MIN(Crops[[#This Row],[Days In Field]],GrowingDays)</f>
        <v>-0.60404518950437325</v>
      </c>
      <c r="EF168" s="36">
        <f>(Crops[[#This Row],[Wholesale Revenue Per Bed]]-Crops[[#This Row],[Wholesale Non-Labor Cost]])/Crops[[#This Row],[Direct Time]]</f>
        <v>15.168431183830602</v>
      </c>
      <c r="EG168" s="174">
        <f>Crops[[#This Row],[Packaging Costs]]/Crops[[#This Row],[Wholesale Revenue Per Bed]]</f>
        <v>8.7962962962962965E-2</v>
      </c>
      <c r="EH168" s="36" t="str">
        <f>Crops[[#This Row],[Crop]]&amp;Crops[[#This Row],[Product]]&amp;Crops[[#This Row],[Unit]]</f>
        <v>LeekMature StalkStalk</v>
      </c>
      <c r="EI168" s="36" t="b">
        <f>_xlfn.XLOOKUP(Crops[[#This Row],[ProductIndex]],Products[ID],Products[Target])</f>
        <v>1</v>
      </c>
      <c r="EJ168" s="36">
        <f>Crops[[#This Row],[Custom Yield Per Bed]]</f>
        <v>85.714285714285708</v>
      </c>
      <c r="EK168" s="210" t="e">
        <f>Crops[[#This Row],[Units Per Harvest]]/Crops[[#This Row],[Days Between Harvest]]*7</f>
        <v>#DIV/0!</v>
      </c>
      <c r="EL168" s="210">
        <f>Crops[[#This Row],[Custom Yield Per Bed]]/_xlfn.XLOOKUP(Crops[[#This Row],[ProductIndex]],Products[ID],Products[CSA Portion])</f>
        <v>85.714285714285708</v>
      </c>
      <c r="EM168" s="210" t="e">
        <f>Crops[[#This Row],[Units Per Harvest]]/Crops[[#This Row],[Days Between Harvest]]*7/_xlfn.XLOOKUP(Crops[[#This Row],[ProductIndex]],Products[ID],Products[CSA Portion])</f>
        <v>#DIV/0!</v>
      </c>
      <c r="EN168" s="210" t="e">
        <f>Crops[[#This Row],[CSA Portions Per Week]]/CSAMembers</f>
        <v>#DIV/0!</v>
      </c>
      <c r="EO168" s="210"/>
      <c r="EP168" s="210"/>
      <c r="EQ168" s="36"/>
      <c r="ER168" s="36">
        <f>Crops[[#This Row],[Harvests]]*Crops[[#This Row],[Days Between Harvest]]/7</f>
        <v>0</v>
      </c>
      <c r="ES168" s="208">
        <f>_xlfn.XLOOKUP(Crops[[#This Row],[ProductIndex]],Products[ID],Products[CSA Need])</f>
        <v>0</v>
      </c>
      <c r="ET168" s="208">
        <f>_xlfn.XLOOKUP(Crops[[#This Row],[ProductIndex]],Products[ID],Products[CSA Times])</f>
        <v>0</v>
      </c>
      <c r="EU168" s="208" t="e">
        <f>Crops[[#This Row],[Custom Yield Per Bed]]/(Crops[[#This Row],[CSA Need]]*(_xlfn.XLOOKUP(Crops[[#This Row],[ProductIndex]],Products[ID],Products[CSA Portion])*CSAMembers))</f>
        <v>#DIV/0!</v>
      </c>
      <c r="EV168" s="208">
        <f>_xlfn.XLOOKUP(Crops[[#This Row],[ProductIndex]],Products[ID],Products[CSA Portion])*CSAMembers*Crops[[#This Row],[CSA Need]]/Crops[[#This Row],[Custom Yield Per Bed]]</f>
        <v>0</v>
      </c>
      <c r="EW168" s="208">
        <f>IFERROR(Crops[[#This Row],[Days In Field]]*Crops[[#This Row],[CSA Beds]],"")</f>
        <v>0</v>
      </c>
      <c r="EX168" s="208" t="e">
        <f>Crops[[#This Row],[CSA Bed Days]]*#REF!</f>
        <v>#REF!</v>
      </c>
      <c r="EY168" t="s">
        <v>345</v>
      </c>
    </row>
    <row r="169" spans="1:155">
      <c r="A169"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5X | Field DS FaWi</v>
      </c>
      <c r="B169" s="185"/>
      <c r="C169" s="1"/>
      <c r="D169" s="1"/>
      <c r="E169" s="1" t="b">
        <v>0</v>
      </c>
      <c r="F169" s="1" t="b">
        <f>IFERROR(IF(ISNUMBER(MATCH(Crops[[#This Row],[Identifier]],BedPlan[Crop], 0)), TRUE, FALSE), FALSE)</f>
        <v>0</v>
      </c>
      <c r="G169" s="1" t="b">
        <f>IFERROR(IF(ISNUMBER(MATCH(Crops[[#This Row],[Identifier]],BedPlan[Crop], 0)), TRUE, FALSE), FALSE)</f>
        <v>0</v>
      </c>
      <c r="H169" s="1"/>
      <c r="I169" t="s">
        <v>91</v>
      </c>
      <c r="J169" t="s">
        <v>145</v>
      </c>
      <c r="K169" t="s">
        <v>199</v>
      </c>
      <c r="M169" t="s">
        <v>105</v>
      </c>
      <c r="N169" t="str">
        <f>Crops[[#This Row],[Crop]]</f>
        <v>Leek</v>
      </c>
      <c r="O169" t="s">
        <v>210</v>
      </c>
      <c r="P169" t="str">
        <f>IF(OR(Crops[[#This Row],[Days in Cells]]="",Crops[[#This Row],[Days in Cells]]=0), "DS","TP")</f>
        <v>DS</v>
      </c>
      <c r="S169" t="b">
        <v>1</v>
      </c>
      <c r="T169" t="b">
        <v>1</v>
      </c>
      <c r="V169" t="str">
        <f xml:space="preserve"> IF(Crops[[#This Row],[Sp]], "Sp", "") &amp; IF(Crops[[#This Row],[Su]], "Su", "") &amp; IF(Crops[[#This Row],[Fa]], "Fa", "") &amp; IF(Crops[[#This Row],[Wi]], "Wi", "") &amp; IF(Crops[[#This Row],[OW]], "Ow","")</f>
        <v>FaWi</v>
      </c>
      <c r="W169" t="s">
        <v>144</v>
      </c>
      <c r="X169">
        <v>4</v>
      </c>
      <c r="Y169">
        <v>9</v>
      </c>
      <c r="AA169" t="s">
        <v>474</v>
      </c>
      <c r="AC169">
        <v>2.5</v>
      </c>
      <c r="AD169" s="32">
        <f>IFERROR(12/Crops[[#This Row],[Spacing]]*Crops[[#This Row],[Rows]]*BedLength,"")</f>
        <v>266.66666666666663</v>
      </c>
      <c r="AE169">
        <v>5</v>
      </c>
      <c r="AG169">
        <f>IF(Crops[[#This Row],[Custom Safety Factor]]="",PlantingSafetyFactor,Crops[[#This Row],[Custom Safety Factor]])</f>
        <v>1.3</v>
      </c>
      <c r="AH169">
        <f>1</f>
        <v>1</v>
      </c>
      <c r="AI169" s="33">
        <f>IFERROR(Crops[[#This Row],[Plantings Per Bed]]*Crops[[#This Row],[Seeds Per Planting]]*Crops[[#This Row],[Safety Factor]]*Crops[[#This Row],[Seeding Factor]],"")</f>
        <v>1733.333333333333</v>
      </c>
      <c r="AL169">
        <f>_xlfn.FLOOR.MATH(IFERROR(AVERAGE(Crops[[#This Row],[DTG Lower]:[DTG Upper]]),0))</f>
        <v>0</v>
      </c>
      <c r="AM169">
        <f>SUM(Crops[[#This Row],[Tray 1 Days]],Crops[[#This Row],[Tray 2 Days]],Crops[[#This Row],[Tray 3 Days]])</f>
        <v>0</v>
      </c>
      <c r="AN169" s="32">
        <v>75</v>
      </c>
      <c r="AO169">
        <f>5*30</f>
        <v>150</v>
      </c>
      <c r="AP169">
        <v>180</v>
      </c>
      <c r="AQ169">
        <f>IFERROR(_xlfn.FLOOR.MATH(AVERAGE(Crops[[#This Row],[DTM Lower]:[DTM Upper]])),"")</f>
        <v>165</v>
      </c>
      <c r="AR169" cm="1">
        <f t="array" ref="AR169">_xlfn.SWITCH(Crops[[#This Row],[Normal Method]],"DS",Crops[[#This Row],[Days to Germination]]+Crops[[#This Row],[DTM]] + IF(Crops[[#This Row],[Days in Cells]]&gt;0,15,0), "TP",Crops[[#This Row],[DTM]]+Crops[[#This Row],[Days in Cells]] + IF(Crops[[#This Row],[Days in Cells]]&lt;=0,20,0), "X", Crops[[#This Row],[DTM]])</f>
        <v>165</v>
      </c>
      <c r="AS169" t="s">
        <v>347</v>
      </c>
      <c r="AT169">
        <f>(Crops[[#This Row],[Harvests]]-1)*Crops[[#This Row],[Days Between Harvest]]+7</f>
        <v>28</v>
      </c>
      <c r="AU169">
        <f>Crops[[#This Row],[STH]]-Crops[[#This Row],[Days in Cells]]+Crops[[#This Row],[Harvest window]]</f>
        <v>193</v>
      </c>
      <c r="AW169">
        <v>400</v>
      </c>
      <c r="AX169">
        <v>400</v>
      </c>
      <c r="AZ169" t="str">
        <f>IFERROR(IF(Crops[[#This Row],[Tray 1 Days]]=0,"",Crops[[#This Row],[Plantings Per Bed]]/Crops[[#This Row],[Tray 1 Size]]*Crops[[#This Row],[Safety Factor]]),"")</f>
        <v/>
      </c>
      <c r="BC169" t="str">
        <f>IFERROR(IF(Crops[[#This Row],[Tray 2 Days]]=0,"",Crops[[#This Row],[Plantings Per Bed]]/Crops[[#This Row],[Tray 2 Size]]*Crops[[#This Row],[Safety Factor]]),"")</f>
        <v/>
      </c>
      <c r="BE169" s="32" t="str">
        <f>IF(NOT(ISBLANK(Crops[[#This Row],[Tray 3 Size]])), Crops[[#This Row],[Days in Cells Old]]-SUM(Crops[[#This Row],[Tray 1 Days]],Crops[[#This Row],[Tray 2 Days]]), "")</f>
        <v/>
      </c>
      <c r="BF169" t="str">
        <f>IFERROR(IF(Crops[[#This Row],[Tray 3 Days]]=0,"",Crops[[#This Row],[Plantings Per Bed]]/Crops[[#This Row],[Tray 3 Size]]*Crops[[#This Row],[Safety Factor]]),"")</f>
        <v/>
      </c>
      <c r="BG169" s="33">
        <f>Crops[[#This Row],[Plantings Per Bed]]/Crops[[#This Row],[Harvests]]</f>
        <v>66.666666666666657</v>
      </c>
      <c r="BH169" s="33">
        <v>4</v>
      </c>
      <c r="BI169" s="33">
        <v>7</v>
      </c>
      <c r="BJ169" s="33">
        <f>_xlfn.XLOOKUP(Crops[[#This Row],[ProductIndex]],Products[ID],Products[Holding Period])</f>
        <v>30</v>
      </c>
      <c r="BK169" s="33"/>
      <c r="BL169" s="33">
        <f>Crops[[#This Row],[Units Per Harvest]]*Crops[[#This Row],[Harvests]]</f>
        <v>266.66666666666663</v>
      </c>
      <c r="BM169" s="35">
        <v>5</v>
      </c>
      <c r="BN169" s="35">
        <f>Crops[[#This Row],[Direct Price]]*0.6</f>
        <v>3</v>
      </c>
      <c r="BO169" s="35"/>
      <c r="BP169" t="s">
        <v>2358</v>
      </c>
      <c r="BQ169">
        <f>Crops[[#This Row],[Custom Yield Per Bed]]*Crops[[#This Row],[Direct Price]]</f>
        <v>1333.333333333333</v>
      </c>
      <c r="BR169" t="b">
        <v>1</v>
      </c>
      <c r="BS169" t="b">
        <f>Crops[[#This Row],[Harvests]]&gt;1</f>
        <v>1</v>
      </c>
      <c r="BT169" s="36">
        <f>IFERROR(Crops[[#This Row],[Direct Revenue Per Bed]]/Crops[[#This Row],[Days In Field]],-1)</f>
        <v>6.908462867012088</v>
      </c>
      <c r="BU169" s="36">
        <f>IFERROR(Crops[[#This Row],[Direct Revenue Per Bed Day]]*GrowingDays*BedsPerAcre,"")</f>
        <v>198963.73056994812</v>
      </c>
      <c r="BV169" s="38">
        <f>LastFrostDate-5*Crops[[#This Row],[Sewing Rel Last Frost]]</f>
        <v>45748</v>
      </c>
      <c r="BW169" s="38">
        <f>Crops[[#This Row],[Target Sewing Date]]+Crops[[#This Row],[Days in Cells]]</f>
        <v>45748</v>
      </c>
      <c r="BX169" s="38">
        <f>Crops[[#This Row],[Target Sewing Date]]+Crops[[#This Row],[STH]]</f>
        <v>45913</v>
      </c>
      <c r="BY169" s="38">
        <f>Crops[[#This Row],[Target Harvest Data]]+Crops[[#This Row],[Harvest window]]</f>
        <v>45941</v>
      </c>
      <c r="BZ169">
        <v>0</v>
      </c>
      <c r="CA169" t="s">
        <v>373</v>
      </c>
      <c r="CB169">
        <f>1</f>
        <v>1</v>
      </c>
      <c r="CC169">
        <f>IF(Crops[[#This Row],[Transplanting]]&gt;0, 2, 3)*BedLength/StandardBedLength</f>
        <v>1.5</v>
      </c>
      <c r="CD169" s="173">
        <f>IF(Crops[[#This Row],[Days in Cells]]&lt;=0,0,Crops[[#This Row],[Plantings Per Bed]]/StartsPerHourSeeding+Crops[[#This Row],[Tray 1 Count]]*5/60)</f>
        <v>0</v>
      </c>
      <c r="CE169" s="173">
        <f>IF(ISBLANK(Crops[[#This Row],[Tray 2 Days]]),0,Crops[[#This Row],[Plantings Per Bed]]/UpPottingPerHour)+IF(Crops[[#This Row],[Tray 3 Days]]="",0,Crops[[#This Row],[Plantings Per Bed]]/UpPottingPerHour)</f>
        <v>0</v>
      </c>
      <c r="CF169" s="173">
        <f>IFERROR(Crops[[#This Row],[Tray 1 Count]]/HomeStartFlatIrrigationPerHour,0)*Crops[[#This Row],[Days in Cells]]/DaysBetweenStartIrrigation</f>
        <v>0</v>
      </c>
      <c r="CG169" s="173">
        <f>0.5/16*MAX(Crops[[#This Row],[Tray 1 Count]],Crops[[#This Row],[Tray 2 Count]],Crops[[#This Row],[Tray 3 Count]])</f>
        <v>0</v>
      </c>
      <c r="CH169" s="173">
        <f>IF(Crops[[#This Row],[Days in Cells]]&gt;0,IF(IF(Crops[[#This Row],[Tray 3 Size]]&gt;0,Crops[[#This Row],[Tray 3 Size]],IF(Crops[[#This Row],[Tray 2 Size]]&gt;0,Crops[[#This Row],[Tray 2 Size]],Crops[[#This Row],[Tray 1 Size]]))&lt;=18,LargeTransplantTime,SmallTransplantTime)*Crops[[#This Row],[Plantings Per Bed]],0)</f>
        <v>0</v>
      </c>
      <c r="CI169" s="173"/>
      <c r="CJ169" s="173">
        <f>_xlfn.XLOOKUP(Crops[[#This Row],[Trellis Type]],TrellisMethods[Trellis Type],TrellisMethods[Hours],0,0)</f>
        <v>0</v>
      </c>
      <c r="CK169">
        <f>IF(Crops[[#This Row],[Days in Cells]]&lt;=0,Crops[[#This Row],[Rows]]*1/10,0)*BedLength/50</f>
        <v>0.4</v>
      </c>
      <c r="CL169" cm="1">
        <f t="array" ref="CL169">_xlfn.SWITCH(Crops[[#This Row],[Irrigation]],"DR", 0.5, "OH", 0.25,0)*BedLength/50</f>
        <v>0</v>
      </c>
      <c r="CM169">
        <f>IF(OR(ISBLANK(Crops[[#This Row],[Row Cover]]),Crops[[#This Row],[Row Cover]]="None"),0,1)*BedLength/50</f>
        <v>0</v>
      </c>
      <c r="CN169" s="173">
        <f>HoursPerWeedingPass*Crops[[#This Row],[Days In Field]]/14*Crops[[#This Row],[Rows]]+1*BedLength/50</f>
        <v>10.19047619047619</v>
      </c>
      <c r="CQ169" s="37">
        <f>_xlfn.XLOOKUP(Crops[[#This Row],[Crop]]&amp;Crops[[#This Row],[Product]]&amp;Crops[[#This Row],[Unit]],Products[ID],Products[Marketing (hr)])*Crops[[#This Row],[Direct Revenue Per Bed]]/2000</f>
        <v>0.66666666666666652</v>
      </c>
      <c r="CR169" s="37">
        <f>_xlfn.XLOOKUP(Crops[[#This Row],[Crop]]&amp;Crops[[#This Row],[Product]]&amp;Crops[[#This Row],[Unit]],Products[ID],Products[Harvest (s)])*Crops[[#This Row],[Custom Yield Per Bed]]/3600</f>
        <v>1.1111111111111109</v>
      </c>
      <c r="CS169" s="37">
        <f>_xlfn.XLOOKUP(Crops[[#This Row],[Crop]]&amp;Crops[[#This Row],[Product]]&amp;Crops[[#This Row],[Unit]],Products[ID],Products[Bunch (s)])*Crops[[#This Row],[Custom Yield Per Bed]]/3600</f>
        <v>0</v>
      </c>
      <c r="CT169" s="37">
        <f>_xlfn.XLOOKUP(Crops[[#This Row],[Crop]]&amp;Crops[[#This Row],[Product]]&amp;Crops[[#This Row],[Unit]],Products[ID],Products[Haul (s)])*Crops[[#This Row],[Custom Yield Per Bed]]/3600</f>
        <v>0.27777777777777773</v>
      </c>
      <c r="CU169" s="37">
        <f>_xlfn.XLOOKUP(Crops[[#This Row],[Crop]]&amp;Crops[[#This Row],[Product]]&amp;Crops[[#This Row],[Unit]],Products[ID],Products[Wash (s)])*Crops[[#This Row],[Custom Yield Per Bed]]/3600</f>
        <v>0.37037037037037029</v>
      </c>
      <c r="CV169" s="37">
        <f>_xlfn.XLOOKUP(Crops[[#This Row],[Crop]]&amp;Crops[[#This Row],[Product]]&amp;Crops[[#This Row],[Unit]],Products[ID],Products[Condition (s)])*Crops[[#This Row],[Custom Yield Per Bed]]/3600</f>
        <v>0</v>
      </c>
      <c r="CW169" s="37">
        <f>_xlfn.XLOOKUP(Crops[[#This Row],[Crop]]&amp;Crops[[#This Row],[Product]]&amp;Crops[[#This Row],[Unit]],Products[ID],Products[Trim (s)])*Crops[[#This Row],[Custom Yield Per Bed]]/3600</f>
        <v>0.74074074074074059</v>
      </c>
      <c r="CX169" s="37">
        <f>_xlfn.XLOOKUP(Crops[[#This Row],[Crop]]&amp;Crops[[#This Row],[Product]]&amp;Crops[[#This Row],[Unit]],Products[ID],Products[Pack (s)])*Crops[[#This Row],[Custom Yield Per Bed]]/3600</f>
        <v>0.22222222222222218</v>
      </c>
      <c r="CY169" s="37">
        <f>_xlfn.XLOOKUP(Crops[[#This Row],[Crop]]&amp;Crops[[#This Row],[Product]]&amp;Crops[[#This Row],[Unit]],Products[ID],Products[Clean (s)])*Crops[[#This Row],[Custom Yield Per Bed]]/3600</f>
        <v>0</v>
      </c>
      <c r="CZ169" s="37">
        <f>_xlfn.XLOOKUP(Crops[[#This Row],[Crop]]&amp;Crops[[#This Row],[Product]]&amp;Crops[[#This Row],[Unit]],Products[ID],Products[Rehandle (s)])*Crops[[#This Row],[Custom Yield Per Bed]]/3600</f>
        <v>0</v>
      </c>
      <c r="DA169" s="37">
        <f>_xlfn.XLOOKUP(Crops[[#This Row],[Crop]]&amp;Crops[[#This Row],[Product]]&amp;Crops[[#This Row],[Unit]],Products[ID],Products[Market Transport (s)])*Crops[[#This Row],[Custom Yield Per Bed]]/3600</f>
        <v>0.69444444444444431</v>
      </c>
      <c r="DC169" s="37">
        <f>Crops[[#This Row],[Direct Revenue Per Bed2]]</f>
        <v>1333.333333333333</v>
      </c>
      <c r="DD169" s="173">
        <f>_xlfn.AGGREGATE(9,6,Crops[[#This Row],[Bed Prep]:[Remove Crop Residue]])</f>
        <v>16.173809523809521</v>
      </c>
      <c r="DE169" s="173">
        <f>_xlfn.AGGREGATE(9,6,Crops[[#This Row],[Bed Prep]:[Remove Crop Residue]])-0.75*Crops[[#This Row],[Market &amp; Sell]]</f>
        <v>15.673809523809521</v>
      </c>
      <c r="DF169" s="36">
        <f>Crops[[#This Row],[Direct Revenue Per Bed2]]/Crops[[#This Row],[Direct Time]]</f>
        <v>82.43780362137494</v>
      </c>
      <c r="DG169" s="36">
        <f>_xlfn.XLOOKUP(Crops[[#This Row],[ProductIndex]],Products[ID],Products[Packaging Cost])*(Crops[[#This Row],[Custom Yield Per Bed]]/_xlfn.XLOOKUP(Crops[[#This Row],[ProductIndex]],Products[ID],Products[Units Per Pack]))</f>
        <v>42.222222222222214</v>
      </c>
      <c r="DH169" s="36"/>
      <c r="DI169" s="36"/>
      <c r="DJ169" s="36"/>
      <c r="DK169" s="36"/>
      <c r="DL169" s="36"/>
      <c r="DM169" s="33">
        <f>IFERROR(Crops[[#This Row],[Custom Yield Per Bed]]*Crops[[#This Row],[Direct Price]],"")</f>
        <v>1333.333333333333</v>
      </c>
      <c r="DN169" s="36">
        <f>Crops[[#This Row],[Direct Time]]*LaborRate</f>
        <v>404.34523809523802</v>
      </c>
      <c r="DO169" s="36">
        <f>SUM(Crops[[#This Row],[Irrigation Cost]])</f>
        <v>0</v>
      </c>
      <c r="DP169" s="36">
        <f>Crops[[#This Row],[Direct Labor Cost]]+Crops[[#This Row],[Direct Non-Labor Cost]]</f>
        <v>404.34523809523802</v>
      </c>
      <c r="DQ169" s="36">
        <f>Crops[[#This Row],[Direct Revenue Per Bed2]]-Crops[[#This Row],[Direct Total Cost]]</f>
        <v>928.98809523809496</v>
      </c>
      <c r="DR169" s="36">
        <f>Crops[[#This Row],[Direct Profit]]*BedsPerAcre</f>
        <v>148638.09523809521</v>
      </c>
      <c r="DS169" s="36">
        <f>Crops[[#This Row],[Direct Profit]]*BedsPerAcre*GrowingDays/Crops[[#This Row],[Days In Field]]</f>
        <v>138626.2028127313</v>
      </c>
      <c r="DT169" s="36">
        <f>Crops[[#This Row],[Direct Profit]]/MIN(Crops[[#This Row],[Days In Field]],GrowingDays)</f>
        <v>5.1610449735449722</v>
      </c>
      <c r="DU169" s="36">
        <f>Crops[[#This Row],[Direct Time]] * BedsPerAcre</f>
        <v>2587.8095238095234</v>
      </c>
      <c r="DV169" s="36">
        <f>(Crops[[#This Row],[Direct Revenue Per Bed2]]-Crops[[#This Row],[Direct Non-Labor Cost]])/Crops[[#This Row],[Direct Time]]</f>
        <v>82.43780362137494</v>
      </c>
      <c r="DW169" s="33">
        <f>IFERROR(Crops[[#This Row],[Custom Yield Per Bed]]*Crops[[#This Row],[Rough Wholesale Price]],"")</f>
        <v>799.99999999999989</v>
      </c>
      <c r="DX169" s="36">
        <f>Crops[[#This Row],[Wholesale Time]]*LaborRate</f>
        <v>391.84523809523802</v>
      </c>
      <c r="DY169" s="36">
        <f>SUM(Crops[[#This Row],[Packaging Costs]:[Irrigation Cost]])</f>
        <v>42.222222222222214</v>
      </c>
      <c r="DZ169" s="36">
        <f>Crops[[#This Row],[Wholesale Labor Cost]]+Crops[[#This Row],[Wholesale Non-Labor Cost]]</f>
        <v>434.06746031746025</v>
      </c>
      <c r="EA169" s="36">
        <f>Crops[[#This Row],[Wholesale Revenue Per Bed]]-Crops[[#This Row],[Wholesale Total Cost]]</f>
        <v>365.93253968253964</v>
      </c>
      <c r="EB169" s="36">
        <f>Crops[[#This Row],[Wholesale Profit]]*BedsPerAcre</f>
        <v>58549.206349206346</v>
      </c>
      <c r="EC169" s="36">
        <f>Crops[[#This Row],[Wholesale Profit]]*BedsPerAcre*GrowingDays/Crops[[#This Row],[Days In Field]]</f>
        <v>54605.477424130266</v>
      </c>
      <c r="ED169" s="36">
        <f>Crops[[#This Row],[Wholesale Time]] * BedsPerAcre</f>
        <v>2507.8095238095234</v>
      </c>
      <c r="EE169" s="36">
        <f>Crops[[#This Row],[Wholesale Profit]]/MIN(Crops[[#This Row],[Days In Field]],GrowingDays)</f>
        <v>2.0329585537918868</v>
      </c>
      <c r="EF169" s="36">
        <f>(Crops[[#This Row],[Wholesale Revenue Per Bed]]-Crops[[#This Row],[Wholesale Non-Labor Cost]])/Crops[[#This Row],[Direct Time]]</f>
        <v>46.852151724814767</v>
      </c>
      <c r="EG169" s="174">
        <f>Crops[[#This Row],[Packaging Costs]]/Crops[[#This Row],[Wholesale Revenue Per Bed]]</f>
        <v>5.2777777777777778E-2</v>
      </c>
      <c r="EH169" s="36" t="str">
        <f>Crops[[#This Row],[Crop]]&amp;Crops[[#This Row],[Product]]&amp;Crops[[#This Row],[Unit]]</f>
        <v>LeekMature StalkStalk</v>
      </c>
      <c r="EI169" s="36" t="b">
        <f>_xlfn.XLOOKUP(Crops[[#This Row],[ProductIndex]],Products[ID],Products[Target])</f>
        <v>1</v>
      </c>
      <c r="EJ169" s="36">
        <f>Crops[[#This Row],[Custom Yield Per Bed]]</f>
        <v>266.66666666666663</v>
      </c>
      <c r="EK169" s="210">
        <f>Crops[[#This Row],[Units Per Harvest]]/Crops[[#This Row],[Days Between Harvest]]*7</f>
        <v>66.666666666666657</v>
      </c>
      <c r="EL169" s="210">
        <f>Crops[[#This Row],[Custom Yield Per Bed]]/_xlfn.XLOOKUP(Crops[[#This Row],[ProductIndex]],Products[ID],Products[CSA Portion])</f>
        <v>266.66666666666663</v>
      </c>
      <c r="EM169" s="210">
        <f>Crops[[#This Row],[Units Per Harvest]]/Crops[[#This Row],[Days Between Harvest]]*7/_xlfn.XLOOKUP(Crops[[#This Row],[ProductIndex]],Products[ID],Products[CSA Portion])</f>
        <v>66.666666666666657</v>
      </c>
      <c r="EN169" s="210">
        <f>Crops[[#This Row],[CSA Portions Per Week]]/CSAMembers</f>
        <v>1.333333333333333</v>
      </c>
      <c r="EO169" s="210"/>
      <c r="EP169" s="210"/>
      <c r="EQ169" s="36"/>
      <c r="ER169" s="36">
        <f>Crops[[#This Row],[Harvests]]*Crops[[#This Row],[Days Between Harvest]]/7</f>
        <v>4</v>
      </c>
      <c r="ES169" s="208">
        <f>_xlfn.XLOOKUP(Crops[[#This Row],[ProductIndex]],Products[ID],Products[CSA Need])</f>
        <v>0</v>
      </c>
      <c r="ET169" s="208">
        <f>_xlfn.XLOOKUP(Crops[[#This Row],[ProductIndex]],Products[ID],Products[CSA Times])</f>
        <v>0</v>
      </c>
      <c r="EU169" s="208" t="e">
        <f>Crops[[#This Row],[Custom Yield Per Bed]]/(Crops[[#This Row],[CSA Need]]*(_xlfn.XLOOKUP(Crops[[#This Row],[ProductIndex]],Products[ID],Products[CSA Portion])*CSAMembers))</f>
        <v>#DIV/0!</v>
      </c>
      <c r="EV169" s="208">
        <f>_xlfn.XLOOKUP(Crops[[#This Row],[ProductIndex]],Products[ID],Products[CSA Portion])*CSAMembers*Crops[[#This Row],[CSA Need]]/Crops[[#This Row],[Custom Yield Per Bed]]</f>
        <v>0</v>
      </c>
      <c r="EW169" s="208">
        <f>IFERROR(Crops[[#This Row],[Days In Field]]*Crops[[#This Row],[CSA Beds]],"")</f>
        <v>0</v>
      </c>
      <c r="EX169" s="208" t="e">
        <f>Crops[[#This Row],[CSA Bed Days]]*#REF!</f>
        <v>#REF!</v>
      </c>
      <c r="EY169" t="s">
        <v>362</v>
      </c>
    </row>
    <row r="170" spans="1:155">
      <c r="A170"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5X | Field TP Ow</v>
      </c>
      <c r="B170" s="185"/>
      <c r="C170" s="1" t="s">
        <v>2588</v>
      </c>
      <c r="D170" s="1"/>
      <c r="E170" s="1" t="b">
        <v>0</v>
      </c>
      <c r="F170" s="1" t="b">
        <f>IFERROR(IF(ISNUMBER(MATCH(Crops[[#This Row],[Identifier]],BedPlan[Crop], 0)), TRUE, FALSE), FALSE)</f>
        <v>0</v>
      </c>
      <c r="G170" s="1" t="b">
        <f>IFERROR(IF(ISNUMBER(MATCH(Crops[[#This Row],[Identifier]],BedPlan[Crop], 0)), TRUE, FALSE), FALSE)</f>
        <v>0</v>
      </c>
      <c r="H170" s="1"/>
      <c r="I170" t="s">
        <v>91</v>
      </c>
      <c r="J170" t="s">
        <v>145</v>
      </c>
      <c r="K170" t="s">
        <v>199</v>
      </c>
      <c r="M170" t="s">
        <v>105</v>
      </c>
      <c r="N170" t="str">
        <f>Crops[[#This Row],[Crop]]</f>
        <v>Leek</v>
      </c>
      <c r="O170" t="s">
        <v>210</v>
      </c>
      <c r="P170" t="str">
        <f>IF(OR(Crops[[#This Row],[Days in Cells]]="",Crops[[#This Row],[Days in Cells]]=0), "DS","TP")</f>
        <v>TP</v>
      </c>
      <c r="U170" t="b">
        <v>1</v>
      </c>
      <c r="V170" t="str">
        <f xml:space="preserve"> IF(Crops[[#This Row],[Sp]], "Sp", "") &amp; IF(Crops[[#This Row],[Su]], "Su", "") &amp; IF(Crops[[#This Row],[Fa]], "Fa", "") &amp; IF(Crops[[#This Row],[Wi]], "Wi", "") &amp; IF(Crops[[#This Row],[OW]], "Ow","")</f>
        <v>Ow</v>
      </c>
      <c r="W170" t="s">
        <v>144</v>
      </c>
      <c r="X170">
        <v>3</v>
      </c>
      <c r="Y170">
        <v>9</v>
      </c>
      <c r="AA170" t="s">
        <v>474</v>
      </c>
      <c r="AB170" t="b">
        <v>1</v>
      </c>
      <c r="AC170">
        <v>2.5</v>
      </c>
      <c r="AD170" s="32">
        <f>IFERROR(12/Crops[[#This Row],[Spacing]]*Crops[[#This Row],[Rows]]*BedLength,"")</f>
        <v>200</v>
      </c>
      <c r="AE170">
        <v>5</v>
      </c>
      <c r="AG170">
        <f>IF(Crops[[#This Row],[Custom Safety Factor]]="",PlantingSafetyFactor,Crops[[#This Row],[Custom Safety Factor]])</f>
        <v>1.3</v>
      </c>
      <c r="AH170">
        <f>1</f>
        <v>1</v>
      </c>
      <c r="AI170" s="33">
        <f>IFERROR(Crops[[#This Row],[Plantings Per Bed]]*Crops[[#This Row],[Seeds Per Planting]]*Crops[[#This Row],[Safety Factor]]*Crops[[#This Row],[Seeding Factor]],"")</f>
        <v>1300</v>
      </c>
      <c r="AL170">
        <f>_xlfn.FLOOR.MATH(IFERROR(AVERAGE(Crops[[#This Row],[DTG Lower]:[DTG Upper]]),0))</f>
        <v>0</v>
      </c>
      <c r="AM170">
        <f>SUM(Crops[[#This Row],[Tray 1 Days]],Crops[[#This Row],[Tray 2 Days]],Crops[[#This Row],[Tray 3 Days]])</f>
        <v>90</v>
      </c>
      <c r="AN170" s="32">
        <v>90</v>
      </c>
      <c r="AO170">
        <f>10*30</f>
        <v>300</v>
      </c>
      <c r="AP170">
        <f>13*30</f>
        <v>390</v>
      </c>
      <c r="AQ170">
        <f>IFERROR(_xlfn.FLOOR.MATH(AVERAGE(Crops[[#This Row],[DTM Lower]:[DTM Upper]])),"")</f>
        <v>345</v>
      </c>
      <c r="AR170" cm="1">
        <f t="array" ref="AR170">_xlfn.SWITCH(Crops[[#This Row],[Normal Method]],"DS",Crops[[#This Row],[Days to Germination]]+Crops[[#This Row],[DTM]] + IF(Crops[[#This Row],[Days in Cells]]&gt;0,15,0), "TP",Crops[[#This Row],[DTM]]+Crops[[#This Row],[Days in Cells]] + IF(Crops[[#This Row],[Days in Cells]]&lt;=0,20,0), "X", Crops[[#This Row],[DTM]])</f>
        <v>345</v>
      </c>
      <c r="AS170" t="s">
        <v>347</v>
      </c>
      <c r="AT170">
        <f>(Crops[[#This Row],[Harvests]]-1)*Crops[[#This Row],[Days Between Harvest]]+7</f>
        <v>28</v>
      </c>
      <c r="AU170">
        <f>Crops[[#This Row],[STH]]-Crops[[#This Row],[Days in Cells]]+Crops[[#This Row],[Harvest window]]</f>
        <v>283</v>
      </c>
      <c r="AX170">
        <v>50</v>
      </c>
      <c r="AY170">
        <v>90</v>
      </c>
      <c r="AZ170" s="49">
        <f>IFERROR(IF(Crops[[#This Row],[Tray 1 Days]]=0,"",Crops[[#This Row],[Plantings Per Bed]]/Crops[[#This Row],[Tray 1 Size]]*Crops[[#This Row],[Safety Factor]]),"")</f>
        <v>5.2</v>
      </c>
      <c r="BC170" t="str">
        <f>IFERROR(IF(Crops[[#This Row],[Tray 2 Days]]=0,"",Crops[[#This Row],[Plantings Per Bed]]/Crops[[#This Row],[Tray 2 Size]]*Crops[[#This Row],[Safety Factor]]),"")</f>
        <v/>
      </c>
      <c r="BE170" s="32" t="str">
        <f>IF(NOT(ISBLANK(Crops[[#This Row],[Tray 3 Size]])), Crops[[#This Row],[Days in Cells Old]]-SUM(Crops[[#This Row],[Tray 1 Days]],Crops[[#This Row],[Tray 2 Days]]), "")</f>
        <v/>
      </c>
      <c r="BF170" s="49" t="str">
        <f>IFERROR(IF(Crops[[#This Row],[Tray 3 Days]]=0,"",Crops[[#This Row],[Plantings Per Bed]]/Crops[[#This Row],[Tray 3 Size]]*Crops[[#This Row],[Safety Factor]]),"")</f>
        <v/>
      </c>
      <c r="BG170" s="33">
        <f>Crops[[#This Row],[Plantings Per Bed]]/Crops[[#This Row],[Harvests]]</f>
        <v>50</v>
      </c>
      <c r="BH170" s="33">
        <v>4</v>
      </c>
      <c r="BI170" s="33">
        <v>7</v>
      </c>
      <c r="BJ170" s="33">
        <f>_xlfn.XLOOKUP(Crops[[#This Row],[ProductIndex]],Products[ID],Products[Holding Period])</f>
        <v>30</v>
      </c>
      <c r="BK170" s="33"/>
      <c r="BL170" s="33">
        <f>Crops[[#This Row],[Units Per Harvest]]*Crops[[#This Row],[Harvests]]</f>
        <v>200</v>
      </c>
      <c r="BM170" s="35">
        <v>5</v>
      </c>
      <c r="BN170" s="35">
        <v>1.91</v>
      </c>
      <c r="BO170" s="35"/>
      <c r="BP170" t="s">
        <v>215</v>
      </c>
      <c r="BQ170">
        <f>Crops[[#This Row],[Custom Yield Per Bed]]*Crops[[#This Row],[Direct Price]]</f>
        <v>1000</v>
      </c>
      <c r="BR170" t="b">
        <v>1</v>
      </c>
      <c r="BS170" t="b">
        <f>Crops[[#This Row],[Harvests]]&gt;1</f>
        <v>1</v>
      </c>
      <c r="BT170" s="36">
        <f>IFERROR(Crops[[#This Row],[Direct Revenue Per Bed]]/Crops[[#This Row],[Days In Field]],-1)</f>
        <v>3.5335689045936394</v>
      </c>
      <c r="BU170" s="36">
        <f>IFERROR(Crops[[#This Row],[Direct Revenue Per Bed Day]]*GrowingDays*BedsPerAcre,"")</f>
        <v>101766.78445229682</v>
      </c>
      <c r="BV170" s="38">
        <f>LastFrostDate-5*Crops[[#This Row],[Sewing Rel Last Frost]]</f>
        <v>45748</v>
      </c>
      <c r="BW170" s="38">
        <f>Crops[[#This Row],[Target Sewing Date]]+Crops[[#This Row],[Days in Cells]]</f>
        <v>45838</v>
      </c>
      <c r="BX170" s="38">
        <f>Crops[[#This Row],[Target Sewing Date]]+Crops[[#This Row],[STH]]</f>
        <v>46093</v>
      </c>
      <c r="BY170" s="38">
        <f>Crops[[#This Row],[Target Harvest Data]]+Crops[[#This Row],[Harvest window]]</f>
        <v>46121</v>
      </c>
      <c r="BZ170">
        <v>0</v>
      </c>
      <c r="CA170" t="s">
        <v>373</v>
      </c>
      <c r="CB170">
        <f>1</f>
        <v>1</v>
      </c>
      <c r="CC170">
        <f>IF(Crops[[#This Row],[Transplanting]]&gt;0, 2, 3)*BedLength/StandardBedLength</f>
        <v>1</v>
      </c>
      <c r="CD170" s="173">
        <f>IF(Crops[[#This Row],[Days in Cells]]&lt;=0,0,Crops[[#This Row],[Plantings Per Bed]]/StartsPerHourSeeding+Crops[[#This Row],[Tray 1 Count]]*5/60)</f>
        <v>1.2145833333333333</v>
      </c>
      <c r="CE170" s="173">
        <f>IF(ISBLANK(Crops[[#This Row],[Tray 2 Days]]),0,Crops[[#This Row],[Plantings Per Bed]]/UpPottingPerHour)+IF(Crops[[#This Row],[Tray 3 Days]]="",0,Crops[[#This Row],[Plantings Per Bed]]/UpPottingPerHour)</f>
        <v>0</v>
      </c>
      <c r="CF170" s="173">
        <f>IFERROR(Crops[[#This Row],[Tray 1 Count]]/HomeStartFlatIrrigationPerHour,0)*Crops[[#This Row],[Days in Cells]]/DaysBetweenStartIrrigation</f>
        <v>1.9500000000000002</v>
      </c>
      <c r="CG170" s="173">
        <f>0.5/16*MAX(Crops[[#This Row],[Tray 1 Count]],Crops[[#This Row],[Tray 2 Count]],Crops[[#This Row],[Tray 3 Count]])</f>
        <v>0.16250000000000001</v>
      </c>
      <c r="CH170" s="173">
        <f>IF(Crops[[#This Row],[Days in Cells]]&gt;0,IF(IF(Crops[[#This Row],[Tray 3 Size]]&gt;0,Crops[[#This Row],[Tray 3 Size]],IF(Crops[[#This Row],[Tray 2 Size]]&gt;0,Crops[[#This Row],[Tray 2 Size]],Crops[[#This Row],[Tray 1 Size]]))&lt;=18,LargeTransplantTime,SmallTransplantTime)*Crops[[#This Row],[Plantings Per Bed]],0)</f>
        <v>1</v>
      </c>
      <c r="CI170" s="173"/>
      <c r="CJ170" s="173">
        <f>_xlfn.XLOOKUP(Crops[[#This Row],[Trellis Type]],TrellisMethods[Trellis Type],TrellisMethods[Hours],0,0)</f>
        <v>0</v>
      </c>
      <c r="CK170">
        <f>IF(Crops[[#This Row],[Days in Cells]]&lt;=0,Crops[[#This Row],[Rows]]*1/10,0)*BedLength/50</f>
        <v>0</v>
      </c>
      <c r="CL170" cm="1">
        <f t="array" ref="CL170">_xlfn.SWITCH(Crops[[#This Row],[Irrigation]],"DR", 0.5, "OH", 0.25,0)*BedLength/50</f>
        <v>0</v>
      </c>
      <c r="CM170">
        <f>IF(OR(ISBLANK(Crops[[#This Row],[Row Cover]]),Crops[[#This Row],[Row Cover]]="None"),0,1)*BedLength/50</f>
        <v>0</v>
      </c>
      <c r="CN170" s="173">
        <f>HoursPerWeedingPass*Crops[[#This Row],[Days In Field]]/14*Crops[[#This Row],[Rows]]+1*BedLength/50</f>
        <v>11.107142857142858</v>
      </c>
      <c r="CO170" s="49"/>
      <c r="CQ170" s="37">
        <f>_xlfn.XLOOKUP(Crops[[#This Row],[Crop]]&amp;Crops[[#This Row],[Product]]&amp;Crops[[#This Row],[Unit]],Products[ID],Products[Marketing (hr)])*Crops[[#This Row],[Direct Revenue Per Bed]]/2000</f>
        <v>0.5</v>
      </c>
      <c r="CR170" s="37">
        <f>_xlfn.XLOOKUP(Crops[[#This Row],[Crop]]&amp;Crops[[#This Row],[Product]]&amp;Crops[[#This Row],[Unit]],Products[ID],Products[Harvest (s)])*Crops[[#This Row],[Custom Yield Per Bed]]/3600</f>
        <v>2.5</v>
      </c>
      <c r="CS170" s="37">
        <f>_xlfn.XLOOKUP(Crops[[#This Row],[Crop]]&amp;Crops[[#This Row],[Product]]&amp;Crops[[#This Row],[Unit]],Products[ID],Products[Bunch (s)])*Crops[[#This Row],[Custom Yield Per Bed]]/3600</f>
        <v>0.55555555555555558</v>
      </c>
      <c r="CT170" s="37">
        <f>_xlfn.XLOOKUP(Crops[[#This Row],[Crop]]&amp;Crops[[#This Row],[Product]]&amp;Crops[[#This Row],[Unit]],Products[ID],Products[Haul (s)])*Crops[[#This Row],[Custom Yield Per Bed]]/3600</f>
        <v>0.20833333333333334</v>
      </c>
      <c r="CU170" s="37">
        <f>_xlfn.XLOOKUP(Crops[[#This Row],[Crop]]&amp;Crops[[#This Row],[Product]]&amp;Crops[[#This Row],[Unit]],Products[ID],Products[Wash (s)])*Crops[[#This Row],[Custom Yield Per Bed]]/3600</f>
        <v>0.83333333333333337</v>
      </c>
      <c r="CV170" s="37">
        <f>_xlfn.XLOOKUP(Crops[[#This Row],[Crop]]&amp;Crops[[#This Row],[Product]]&amp;Crops[[#This Row],[Unit]],Products[ID],Products[Condition (s)])*Crops[[#This Row],[Custom Yield Per Bed]]/3600</f>
        <v>0</v>
      </c>
      <c r="CW170" s="37">
        <f>_xlfn.XLOOKUP(Crops[[#This Row],[Crop]]&amp;Crops[[#This Row],[Product]]&amp;Crops[[#This Row],[Unit]],Products[ID],Products[Trim (s)])*Crops[[#This Row],[Custom Yield Per Bed]]/3600</f>
        <v>2.2222222222222223</v>
      </c>
      <c r="CX170" s="37">
        <f>_xlfn.XLOOKUP(Crops[[#This Row],[Crop]]&amp;Crops[[#This Row],[Product]]&amp;Crops[[#This Row],[Unit]],Products[ID],Products[Pack (s)])*Crops[[#This Row],[Custom Yield Per Bed]]/3600</f>
        <v>0.16666666666666666</v>
      </c>
      <c r="CY170" s="37">
        <f>_xlfn.XLOOKUP(Crops[[#This Row],[Crop]]&amp;Crops[[#This Row],[Product]]&amp;Crops[[#This Row],[Unit]],Products[ID],Products[Clean (s)])*Crops[[#This Row],[Custom Yield Per Bed]]/3600</f>
        <v>0</v>
      </c>
      <c r="CZ170" s="37">
        <f>_xlfn.XLOOKUP(Crops[[#This Row],[Crop]]&amp;Crops[[#This Row],[Product]]&amp;Crops[[#This Row],[Unit]],Products[ID],Products[Rehandle (s)])*Crops[[#This Row],[Custom Yield Per Bed]]/3600</f>
        <v>0</v>
      </c>
      <c r="DA170" s="37">
        <f>_xlfn.XLOOKUP(Crops[[#This Row],[Crop]]&amp;Crops[[#This Row],[Product]]&amp;Crops[[#This Row],[Unit]],Products[ID],Products[Market Transport (s)])*Crops[[#This Row],[Custom Yield Per Bed]]/3600</f>
        <v>0.52083333333333337</v>
      </c>
      <c r="DC170" s="37">
        <f>Crops[[#This Row],[Direct Revenue Per Bed2]]</f>
        <v>1000</v>
      </c>
      <c r="DD170" s="173">
        <f>_xlfn.AGGREGATE(9,6,Crops[[#This Row],[Bed Prep]:[Remove Crop Residue]])</f>
        <v>23.941170634920635</v>
      </c>
      <c r="DE170" s="173">
        <f>_xlfn.AGGREGATE(9,6,Crops[[#This Row],[Bed Prep]:[Remove Crop Residue]])-0.75*Crops[[#This Row],[Market &amp; Sell]]</f>
        <v>23.566170634920635</v>
      </c>
      <c r="DF170" s="36">
        <f>Crops[[#This Row],[Direct Revenue Per Bed2]]/Crops[[#This Row],[Direct Time]]</f>
        <v>41.769051950258365</v>
      </c>
      <c r="DG170" s="36">
        <f>_xlfn.XLOOKUP(Crops[[#This Row],[ProductIndex]],Products[ID],Products[Packaging Cost])*(Crops[[#This Row],[Custom Yield Per Bed]]/_xlfn.XLOOKUP(Crops[[#This Row],[ProductIndex]],Products[ID],Products[Units Per Pack]))</f>
        <v>31.666666666666668</v>
      </c>
      <c r="DH170" s="36"/>
      <c r="DI170" s="36"/>
      <c r="DJ170" s="36"/>
      <c r="DK170" s="36"/>
      <c r="DL170" s="36"/>
      <c r="DM170" s="33">
        <f>IFERROR(Crops[[#This Row],[Custom Yield Per Bed]]*Crops[[#This Row],[Direct Price]],"")</f>
        <v>1000</v>
      </c>
      <c r="DN170" s="36">
        <f>Crops[[#This Row],[Direct Time]]*LaborRate</f>
        <v>598.5292658730159</v>
      </c>
      <c r="DO170" s="36">
        <f>SUM(Crops[[#This Row],[Irrigation Cost]])</f>
        <v>0</v>
      </c>
      <c r="DP170" s="36">
        <f>Crops[[#This Row],[Direct Labor Cost]]+Crops[[#This Row],[Direct Non-Labor Cost]]</f>
        <v>598.5292658730159</v>
      </c>
      <c r="DQ170" s="36">
        <f>Crops[[#This Row],[Direct Revenue Per Bed2]]-Crops[[#This Row],[Direct Total Cost]]</f>
        <v>401.4707341269841</v>
      </c>
      <c r="DR170" s="36">
        <f>Crops[[#This Row],[Direct Profit]]*BedsPerAcre</f>
        <v>64235.317460317456</v>
      </c>
      <c r="DS170" s="36">
        <f>Crops[[#This Row],[Direct Profit]]*BedsPerAcre*GrowingDays/Crops[[#This Row],[Days In Field]]</f>
        <v>40856.385663806155</v>
      </c>
      <c r="DT170" s="36">
        <f>Crops[[#This Row],[Direct Profit]]/MIN(Crops[[#This Row],[Days In Field]],GrowingDays)</f>
        <v>2.2303929673721337</v>
      </c>
      <c r="DU170" s="33">
        <f>Crops[[#This Row],[Direct Time]] * BedsPerAcre</f>
        <v>3830.5873015873017</v>
      </c>
      <c r="DV170" s="36">
        <f>(Crops[[#This Row],[Direct Revenue Per Bed2]]-Crops[[#This Row],[Direct Non-Labor Cost]])/Crops[[#This Row],[Direct Time]]</f>
        <v>41.769051950258365</v>
      </c>
      <c r="DW170" s="33">
        <f>IFERROR(Crops[[#This Row],[Custom Yield Per Bed]]*Crops[[#This Row],[Rough Wholesale Price]],"")</f>
        <v>382</v>
      </c>
      <c r="DX170" s="36">
        <f>Crops[[#This Row],[Wholesale Time]]*LaborRate</f>
        <v>589.1542658730159</v>
      </c>
      <c r="DY170" s="36">
        <f>SUM(Crops[[#This Row],[Packaging Costs]:[Irrigation Cost]])</f>
        <v>31.666666666666668</v>
      </c>
      <c r="DZ170" s="36">
        <f>Crops[[#This Row],[Wholesale Labor Cost]]+Crops[[#This Row],[Wholesale Non-Labor Cost]]</f>
        <v>620.82093253968253</v>
      </c>
      <c r="EA170" s="36">
        <f>Crops[[#This Row],[Wholesale Revenue Per Bed]]-Crops[[#This Row],[Wholesale Total Cost]]</f>
        <v>-238.82093253968253</v>
      </c>
      <c r="EB170" s="36">
        <f>Crops[[#This Row],[Wholesale Profit]]*BedsPerAcre</f>
        <v>-38211.349206349201</v>
      </c>
      <c r="EC170" s="36">
        <f>Crops[[#This Row],[Wholesale Profit]]*BedsPerAcre*GrowingDays/Crops[[#This Row],[Days In Field]]</f>
        <v>-24304.038364462391</v>
      </c>
      <c r="ED170" s="33">
        <f>Crops[[#This Row],[Wholesale Time]] * BedsPerAcre</f>
        <v>3770.5873015873017</v>
      </c>
      <c r="EE170" s="221">
        <f>Crops[[#This Row],[Wholesale Profit]]/MIN(Crops[[#This Row],[Days In Field]],GrowingDays)</f>
        <v>-1.3267829585537918</v>
      </c>
      <c r="EF170" s="36">
        <f>(Crops[[#This Row],[Wholesale Revenue Per Bed]]-Crops[[#This Row],[Wholesale Non-Labor Cost]])/Crops[[#This Row],[Direct Time]]</f>
        <v>14.633091199907179</v>
      </c>
      <c r="EG170" s="174">
        <f>Crops[[#This Row],[Packaging Costs]]/Crops[[#This Row],[Wholesale Revenue Per Bed]]</f>
        <v>8.2897033158813263E-2</v>
      </c>
      <c r="EH170" s="36" t="str">
        <f>Crops[[#This Row],[Crop]]&amp;Crops[[#This Row],[Product]]&amp;Crops[[#This Row],[Unit]]</f>
        <v>LeekMature StalkBunch</v>
      </c>
      <c r="EI170" s="36" t="b">
        <f>_xlfn.XLOOKUP(Crops[[#This Row],[ProductIndex]],Products[ID],Products[Target])</f>
        <v>1</v>
      </c>
      <c r="EJ170" s="33">
        <f>Crops[[#This Row],[Custom Yield Per Bed]]</f>
        <v>200</v>
      </c>
      <c r="EK170" s="210">
        <f>Crops[[#This Row],[Units Per Harvest]]/Crops[[#This Row],[Days Between Harvest]]*7</f>
        <v>50</v>
      </c>
      <c r="EL170" s="210">
        <f>Crops[[#This Row],[Custom Yield Per Bed]]/_xlfn.XLOOKUP(Crops[[#This Row],[ProductIndex]],Products[ID],Products[CSA Portion])</f>
        <v>200</v>
      </c>
      <c r="EM170" s="210">
        <f>Crops[[#This Row],[Units Per Harvest]]/Crops[[#This Row],[Days Between Harvest]]*7/_xlfn.XLOOKUP(Crops[[#This Row],[ProductIndex]],Products[ID],Products[CSA Portion])</f>
        <v>50</v>
      </c>
      <c r="EN170" s="210">
        <f>Crops[[#This Row],[CSA Portions Per Week]]/CSAMembers</f>
        <v>1</v>
      </c>
      <c r="EO170" s="216">
        <v>1</v>
      </c>
      <c r="EP170" s="216">
        <v>1</v>
      </c>
      <c r="EQ170" s="210" t="s">
        <v>2687</v>
      </c>
      <c r="ER170" s="210">
        <f>Crops[[#This Row],[Harvests]]*Crops[[#This Row],[Days Between Harvest]]/7</f>
        <v>4</v>
      </c>
      <c r="ES170" s="217">
        <f>_xlfn.XLOOKUP(Crops[[#This Row],[ProductIndex]],Products[ID],Products[CSA Need])</f>
        <v>2</v>
      </c>
      <c r="ET170" s="217">
        <f>_xlfn.XLOOKUP(Crops[[#This Row],[ProductIndex]],Products[ID],Products[CSA Times])</f>
        <v>2</v>
      </c>
      <c r="EU170" s="208">
        <f>Crops[[#This Row],[Custom Yield Per Bed]]/(Crops[[#This Row],[CSA Need]]*(_xlfn.XLOOKUP(Crops[[#This Row],[ProductIndex]],Products[ID],Products[CSA Portion])*CSAMembers))</f>
        <v>2</v>
      </c>
      <c r="EV170" s="208">
        <f>_xlfn.XLOOKUP(Crops[[#This Row],[ProductIndex]],Products[ID],Products[CSA Portion])*CSAMembers*Crops[[#This Row],[CSA Need]]/Crops[[#This Row],[Custom Yield Per Bed]]</f>
        <v>0.5</v>
      </c>
      <c r="EW170" s="208">
        <f>IFERROR(Crops[[#This Row],[Days In Field]]*Crops[[#This Row],[CSA Beds]],"")</f>
        <v>141.5</v>
      </c>
      <c r="EX170" s="208" t="e">
        <f>Crops[[#This Row],[CSA Bed Days]]*#REF!</f>
        <v>#REF!</v>
      </c>
      <c r="EY170" t="s">
        <v>1410</v>
      </c>
    </row>
    <row r="171" spans="1:155">
      <c r="A171"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5X | Field TP Su</v>
      </c>
      <c r="B171" s="185"/>
      <c r="C171" s="1" t="b">
        <v>1</v>
      </c>
      <c r="D171" s="1"/>
      <c r="E171" s="1" t="b">
        <v>0</v>
      </c>
      <c r="F171" s="1" t="b">
        <f>IFERROR(IF(ISNUMBER(MATCH(Crops[[#This Row],[Identifier]],BedPlan[Crop], 0)), TRUE, FALSE), FALSE)</f>
        <v>1</v>
      </c>
      <c r="G171" s="1" t="b">
        <f>IFERROR(IF(ISNUMBER(MATCH(Crops[[#This Row],[Identifier]],BedPlan[Crop], 0)), TRUE, FALSE), FALSE)</f>
        <v>1</v>
      </c>
      <c r="H171" s="1"/>
      <c r="I171" t="s">
        <v>91</v>
      </c>
      <c r="J171" t="s">
        <v>145</v>
      </c>
      <c r="K171" t="s">
        <v>199</v>
      </c>
      <c r="N171" t="str">
        <f>Crops[[#This Row],[Crop]]</f>
        <v>Leek</v>
      </c>
      <c r="O171" t="s">
        <v>210</v>
      </c>
      <c r="P171" t="str">
        <f>IF(OR(Crops[[#This Row],[Days in Cells]]="",Crops[[#This Row],[Days in Cells]]=0), "DS","TP")</f>
        <v>TP</v>
      </c>
      <c r="R171" t="b">
        <v>1</v>
      </c>
      <c r="V171" t="str">
        <f xml:space="preserve"> IF(Crops[[#This Row],[Sp]], "Sp", "") &amp; IF(Crops[[#This Row],[Su]], "Su", "") &amp; IF(Crops[[#This Row],[Fa]], "Fa", "") &amp; IF(Crops[[#This Row],[Wi]], "Wi", "") &amp; IF(Crops[[#This Row],[OW]], "Ow","")</f>
        <v>Su</v>
      </c>
      <c r="W171" t="s">
        <v>144</v>
      </c>
      <c r="X171">
        <v>4</v>
      </c>
      <c r="Y171">
        <v>9</v>
      </c>
      <c r="AD171" s="32">
        <f>IFERROR(12/Crops[[#This Row],[Spacing]]*Crops[[#This Row],[Rows]]*BedLength,"")</f>
        <v>266.66666666666663</v>
      </c>
      <c r="AE171">
        <v>5</v>
      </c>
      <c r="AG171">
        <f>IF(Crops[[#This Row],[Custom Safety Factor]]="",PlantingSafetyFactor,Crops[[#This Row],[Custom Safety Factor]])</f>
        <v>1.3</v>
      </c>
      <c r="AH171">
        <f>1</f>
        <v>1</v>
      </c>
      <c r="AI171" s="33">
        <f>IFERROR(Crops[[#This Row],[Plantings Per Bed]]*Crops[[#This Row],[Seeds Per Planting]]*Crops[[#This Row],[Safety Factor]]*Crops[[#This Row],[Seeding Factor]],"")</f>
        <v>1733.333333333333</v>
      </c>
      <c r="AL171">
        <f>_xlfn.FLOOR.MATH(IFERROR(AVERAGE(Crops[[#This Row],[DTG Lower]:[DTG Upper]]),0))</f>
        <v>0</v>
      </c>
      <c r="AM171">
        <f>SUM(Crops[[#This Row],[Tray 1 Days]],Crops[[#This Row],[Tray 2 Days]],Crops[[#This Row],[Tray 3 Days]])</f>
        <v>60</v>
      </c>
      <c r="AN171" s="32">
        <v>60</v>
      </c>
      <c r="AO171">
        <f>4.5*30</f>
        <v>135</v>
      </c>
      <c r="AP171">
        <v>150</v>
      </c>
      <c r="AQ171">
        <f>IFERROR(_xlfn.FLOOR.MATH(AVERAGE(Crops[[#This Row],[DTM Lower]:[DTM Upper]])),"")</f>
        <v>142</v>
      </c>
      <c r="AR171" cm="1">
        <f t="array" ref="AR171">_xlfn.SWITCH(Crops[[#This Row],[Normal Method]],"DS",Crops[[#This Row],[Days to Germination]]+Crops[[#This Row],[DTM]] + IF(Crops[[#This Row],[Days in Cells]]&gt;0,15,0), "TP",Crops[[#This Row],[DTM]]+Crops[[#This Row],[Days in Cells]] + IF(Crops[[#This Row],[Days in Cells]]&lt;=0,20,0), "X", Crops[[#This Row],[DTM]])</f>
        <v>142</v>
      </c>
      <c r="AS171" t="s">
        <v>347</v>
      </c>
      <c r="AT171">
        <f>(Crops[[#This Row],[Harvests]]-1)*Crops[[#This Row],[Days Between Harvest]]+7</f>
        <v>28</v>
      </c>
      <c r="AU171">
        <f>Crops[[#This Row],[STH]]-Crops[[#This Row],[Days in Cells]]+Crops[[#This Row],[Harvest window]]</f>
        <v>110</v>
      </c>
      <c r="AX171">
        <v>400</v>
      </c>
      <c r="AY171">
        <v>60</v>
      </c>
      <c r="AZ171">
        <f>IFERROR(IF(Crops[[#This Row],[Tray 1 Days]]=0,"",Crops[[#This Row],[Plantings Per Bed]]/Crops[[#This Row],[Tray 1 Size]]*Crops[[#This Row],[Safety Factor]]),"")</f>
        <v>0.86666666666666647</v>
      </c>
      <c r="BC171" t="str">
        <f>IFERROR(IF(Crops[[#This Row],[Tray 2 Days]]=0,"",Crops[[#This Row],[Plantings Per Bed]]/Crops[[#This Row],[Tray 2 Size]]*Crops[[#This Row],[Safety Factor]]),"")</f>
        <v/>
      </c>
      <c r="BE171" s="32" t="str">
        <f>IF(NOT(ISBLANK(Crops[[#This Row],[Tray 3 Size]])), Crops[[#This Row],[Days in Cells Old]]-SUM(Crops[[#This Row],[Tray 1 Days]],Crops[[#This Row],[Tray 2 Days]]), "")</f>
        <v/>
      </c>
      <c r="BF171" t="str">
        <f>IFERROR(IF(Crops[[#This Row],[Tray 3 Days]]=0,"",Crops[[#This Row],[Plantings Per Bed]]/Crops[[#This Row],[Tray 3 Size]]*Crops[[#This Row],[Safety Factor]]),"")</f>
        <v/>
      </c>
      <c r="BG171" s="33">
        <f>Crops[[#This Row],[Plantings Per Bed]]/Crops[[#This Row],[Harvests]]</f>
        <v>66.666666666666657</v>
      </c>
      <c r="BH171" s="33">
        <v>4</v>
      </c>
      <c r="BI171" s="33">
        <v>7</v>
      </c>
      <c r="BJ171" s="33">
        <f>_xlfn.XLOOKUP(Crops[[#This Row],[ProductIndex]],Products[ID],Products[Holding Period])</f>
        <v>30</v>
      </c>
      <c r="BK171" s="33"/>
      <c r="BL171" s="33">
        <f>Crops[[#This Row],[Units Per Harvest]]*Crops[[#This Row],[Harvests]]</f>
        <v>266.66666666666663</v>
      </c>
      <c r="BM171" s="35">
        <v>5</v>
      </c>
      <c r="BN171" s="35">
        <f>Crops[[#This Row],[Direct Price]]*0.6</f>
        <v>3</v>
      </c>
      <c r="BO171" s="35"/>
      <c r="BP171" t="s">
        <v>215</v>
      </c>
      <c r="BQ171">
        <f>Crops[[#This Row],[Custom Yield Per Bed]]*Crops[[#This Row],[Direct Price]]</f>
        <v>1333.333333333333</v>
      </c>
      <c r="BR171" t="b">
        <v>1</v>
      </c>
      <c r="BS171" t="b">
        <f>Crops[[#This Row],[Harvests]]&gt;1</f>
        <v>1</v>
      </c>
      <c r="BT171" s="36">
        <f>IFERROR(Crops[[#This Row],[Direct Revenue Per Bed]]/Crops[[#This Row],[Days In Field]],-1)</f>
        <v>12.121212121212119</v>
      </c>
      <c r="BU171" s="36">
        <f>IFERROR(Crops[[#This Row],[Direct Revenue Per Bed Day]]*GrowingDays*BedsPerAcre,"")</f>
        <v>349090.90909090906</v>
      </c>
      <c r="BV171" s="38">
        <f>LastFrostDate-5*Crops[[#This Row],[Sewing Rel Last Frost]]</f>
        <v>45748</v>
      </c>
      <c r="BW171" s="38">
        <f>Crops[[#This Row],[Target Sewing Date]]+Crops[[#This Row],[Days in Cells]]</f>
        <v>45808</v>
      </c>
      <c r="BX171" s="38">
        <f>Crops[[#This Row],[Target Sewing Date]]+Crops[[#This Row],[STH]]</f>
        <v>45890</v>
      </c>
      <c r="BY171" s="38">
        <f>Crops[[#This Row],[Target Harvest Data]]+Crops[[#This Row],[Harvest window]]</f>
        <v>45918</v>
      </c>
      <c r="BZ171">
        <v>0</v>
      </c>
      <c r="CA171" t="s">
        <v>373</v>
      </c>
      <c r="CB171">
        <f>1</f>
        <v>1</v>
      </c>
      <c r="CC171">
        <f>IF(Crops[[#This Row],[Transplanting]]&gt;0, 2, 3)*BedLength/StandardBedLength</f>
        <v>1</v>
      </c>
      <c r="CD171" s="173">
        <f>IF(Crops[[#This Row],[Days in Cells]]&lt;=0,0,Crops[[#This Row],[Plantings Per Bed]]/StartsPerHourSeeding+Crops[[#This Row],[Tray 1 Count]]*5/60)</f>
        <v>1.1138888888888887</v>
      </c>
      <c r="CE171" s="173">
        <f>IF(ISBLANK(Crops[[#This Row],[Tray 2 Days]]),0,Crops[[#This Row],[Plantings Per Bed]]/UpPottingPerHour)+IF(Crops[[#This Row],[Tray 3 Days]]="",0,Crops[[#This Row],[Plantings Per Bed]]/UpPottingPerHour)</f>
        <v>0</v>
      </c>
      <c r="CF171" s="173">
        <f>IFERROR(Crops[[#This Row],[Tray 1 Count]]/HomeStartFlatIrrigationPerHour,0)*Crops[[#This Row],[Days in Cells]]/DaysBetweenStartIrrigation</f>
        <v>0.21666666666666662</v>
      </c>
      <c r="CG171" s="173">
        <f>0.5/16*MAX(Crops[[#This Row],[Tray 1 Count]],Crops[[#This Row],[Tray 2 Count]],Crops[[#This Row],[Tray 3 Count]])</f>
        <v>2.7083333333333327E-2</v>
      </c>
      <c r="CH171" s="173">
        <f>IF(Crops[[#This Row],[Days in Cells]]&gt;0,IF(IF(Crops[[#This Row],[Tray 3 Size]]&gt;0,Crops[[#This Row],[Tray 3 Size]],IF(Crops[[#This Row],[Tray 2 Size]]&gt;0,Crops[[#This Row],[Tray 2 Size]],Crops[[#This Row],[Tray 1 Size]]))&lt;=18,LargeTransplantTime,SmallTransplantTime)*Crops[[#This Row],[Plantings Per Bed]],0)</f>
        <v>1.3333333333333333</v>
      </c>
      <c r="CI171" s="173"/>
      <c r="CJ171" s="173">
        <f>_xlfn.XLOOKUP(Crops[[#This Row],[Trellis Type]],TrellisMethods[Trellis Type],TrellisMethods[Hours],0,0)</f>
        <v>0</v>
      </c>
      <c r="CK171">
        <f>IF(Crops[[#This Row],[Days in Cells]]&lt;=0,Crops[[#This Row],[Rows]]*1/10,0)*BedLength/50</f>
        <v>0</v>
      </c>
      <c r="CL171" cm="1">
        <f t="array" ref="CL171">_xlfn.SWITCH(Crops[[#This Row],[Irrigation]],"DR", 0.5, "OH", 0.25,0)*BedLength/50</f>
        <v>0</v>
      </c>
      <c r="CM171">
        <f>IF(OR(ISBLANK(Crops[[#This Row],[Row Cover]]),Crops[[#This Row],[Row Cover]]="None"),0,1)*BedLength/50</f>
        <v>0</v>
      </c>
      <c r="CN171" s="173">
        <f>HoursPerWeedingPass*Crops[[#This Row],[Days In Field]]/14*Crops[[#This Row],[Rows]]+1*BedLength/50</f>
        <v>6.2380952380952381</v>
      </c>
      <c r="CQ171" s="37">
        <f>_xlfn.XLOOKUP(Crops[[#This Row],[Crop]]&amp;Crops[[#This Row],[Product]]&amp;Crops[[#This Row],[Unit]],Products[ID],Products[Marketing (hr)])*Crops[[#This Row],[Direct Revenue Per Bed]]/2000</f>
        <v>0.66666666666666652</v>
      </c>
      <c r="CR171" s="37">
        <f>_xlfn.XLOOKUP(Crops[[#This Row],[Crop]]&amp;Crops[[#This Row],[Product]]&amp;Crops[[#This Row],[Unit]],Products[ID],Products[Harvest (s)])*Crops[[#This Row],[Custom Yield Per Bed]]/3600</f>
        <v>3.333333333333333</v>
      </c>
      <c r="CS171" s="37">
        <f>_xlfn.XLOOKUP(Crops[[#This Row],[Crop]]&amp;Crops[[#This Row],[Product]]&amp;Crops[[#This Row],[Unit]],Products[ID],Products[Bunch (s)])*Crops[[#This Row],[Custom Yield Per Bed]]/3600</f>
        <v>0.74074074074074059</v>
      </c>
      <c r="CT171" s="37">
        <f>_xlfn.XLOOKUP(Crops[[#This Row],[Crop]]&amp;Crops[[#This Row],[Product]]&amp;Crops[[#This Row],[Unit]],Products[ID],Products[Haul (s)])*Crops[[#This Row],[Custom Yield Per Bed]]/3600</f>
        <v>0.27777777777777773</v>
      </c>
      <c r="CU171" s="37">
        <f>_xlfn.XLOOKUP(Crops[[#This Row],[Crop]]&amp;Crops[[#This Row],[Product]]&amp;Crops[[#This Row],[Unit]],Products[ID],Products[Wash (s)])*Crops[[#This Row],[Custom Yield Per Bed]]/3600</f>
        <v>1.1111111111111109</v>
      </c>
      <c r="CV171" s="37">
        <f>_xlfn.XLOOKUP(Crops[[#This Row],[Crop]]&amp;Crops[[#This Row],[Product]]&amp;Crops[[#This Row],[Unit]],Products[ID],Products[Condition (s)])*Crops[[#This Row],[Custom Yield Per Bed]]/3600</f>
        <v>0</v>
      </c>
      <c r="CW171" s="37">
        <f>_xlfn.XLOOKUP(Crops[[#This Row],[Crop]]&amp;Crops[[#This Row],[Product]]&amp;Crops[[#This Row],[Unit]],Products[ID],Products[Trim (s)])*Crops[[#This Row],[Custom Yield Per Bed]]/3600</f>
        <v>2.9629629629629624</v>
      </c>
      <c r="CX171" s="37">
        <f>_xlfn.XLOOKUP(Crops[[#This Row],[Crop]]&amp;Crops[[#This Row],[Product]]&amp;Crops[[#This Row],[Unit]],Products[ID],Products[Pack (s)])*Crops[[#This Row],[Custom Yield Per Bed]]/3600</f>
        <v>0.22222222222222218</v>
      </c>
      <c r="CY171" s="37">
        <f>_xlfn.XLOOKUP(Crops[[#This Row],[Crop]]&amp;Crops[[#This Row],[Product]]&amp;Crops[[#This Row],[Unit]],Products[ID],Products[Clean (s)])*Crops[[#This Row],[Custom Yield Per Bed]]/3600</f>
        <v>0</v>
      </c>
      <c r="CZ171" s="37">
        <f>_xlfn.XLOOKUP(Crops[[#This Row],[Crop]]&amp;Crops[[#This Row],[Product]]&amp;Crops[[#This Row],[Unit]],Products[ID],Products[Rehandle (s)])*Crops[[#This Row],[Custom Yield Per Bed]]/3600</f>
        <v>0</v>
      </c>
      <c r="DA171" s="37">
        <f>_xlfn.XLOOKUP(Crops[[#This Row],[Crop]]&amp;Crops[[#This Row],[Product]]&amp;Crops[[#This Row],[Unit]],Products[ID],Products[Market Transport (s)])*Crops[[#This Row],[Custom Yield Per Bed]]/3600</f>
        <v>0.69444444444444431</v>
      </c>
      <c r="DC171" s="37">
        <f>Crops[[#This Row],[Direct Revenue Per Bed2]]</f>
        <v>1333.333333333333</v>
      </c>
      <c r="DD171" s="173">
        <f>_xlfn.AGGREGATE(9,6,Crops[[#This Row],[Bed Prep]:[Remove Crop Residue]])</f>
        <v>19.938326719576715</v>
      </c>
      <c r="DE171" s="173">
        <f>_xlfn.AGGREGATE(9,6,Crops[[#This Row],[Bed Prep]:[Remove Crop Residue]])-0.75*Crops[[#This Row],[Market &amp; Sell]]</f>
        <v>19.438326719576715</v>
      </c>
      <c r="DF171" s="36">
        <f>Crops[[#This Row],[Direct Revenue Per Bed2]]/Crops[[#This Row],[Direct Time]]</f>
        <v>66.872880161211413</v>
      </c>
      <c r="DG171" s="36">
        <f>_xlfn.XLOOKUP(Crops[[#This Row],[ProductIndex]],Products[ID],Products[Packaging Cost])*(Crops[[#This Row],[Custom Yield Per Bed]]/_xlfn.XLOOKUP(Crops[[#This Row],[ProductIndex]],Products[ID],Products[Units Per Pack]))</f>
        <v>42.222222222222214</v>
      </c>
      <c r="DH171" s="36"/>
      <c r="DI171" s="36"/>
      <c r="DJ171" s="36"/>
      <c r="DK171" s="36"/>
      <c r="DL171" s="36"/>
      <c r="DM171" s="33">
        <f>IFERROR(Crops[[#This Row],[Custom Yield Per Bed]]*Crops[[#This Row],[Direct Price]],"")</f>
        <v>1333.333333333333</v>
      </c>
      <c r="DN171" s="36">
        <f>Crops[[#This Row],[Direct Time]]*LaborRate</f>
        <v>498.45816798941786</v>
      </c>
      <c r="DO171" s="36">
        <f>SUM(Crops[[#This Row],[Irrigation Cost]])</f>
        <v>0</v>
      </c>
      <c r="DP171" s="36">
        <f>Crops[[#This Row],[Direct Labor Cost]]+Crops[[#This Row],[Direct Non-Labor Cost]]</f>
        <v>498.45816798941786</v>
      </c>
      <c r="DQ171" s="36">
        <f>Crops[[#This Row],[Direct Revenue Per Bed2]]-Crops[[#This Row],[Direct Total Cost]]</f>
        <v>834.87516534391511</v>
      </c>
      <c r="DR171" s="36">
        <f>Crops[[#This Row],[Direct Profit]]*BedsPerAcre</f>
        <v>133580.02645502641</v>
      </c>
      <c r="DS171" s="36">
        <f>Crops[[#This Row],[Direct Profit]]*BedsPerAcre*GrowingDays/Crops[[#This Row],[Days In Field]]</f>
        <v>218585.49783549775</v>
      </c>
      <c r="DT171" s="36">
        <f>Crops[[#This Row],[Direct Profit]]/MIN(Crops[[#This Row],[Days In Field]],GrowingDays)</f>
        <v>7.5897742303992279</v>
      </c>
      <c r="DU171" s="36">
        <f>Crops[[#This Row],[Direct Time]] * BedsPerAcre</f>
        <v>3190.1322751322741</v>
      </c>
      <c r="DV171" s="36">
        <f>(Crops[[#This Row],[Direct Revenue Per Bed2]]-Crops[[#This Row],[Direct Non-Labor Cost]])/Crops[[#This Row],[Direct Time]]</f>
        <v>66.872880161211413</v>
      </c>
      <c r="DW171" s="33">
        <f>IFERROR(Crops[[#This Row],[Custom Yield Per Bed]]*Crops[[#This Row],[Rough Wholesale Price]],"")</f>
        <v>799.99999999999989</v>
      </c>
      <c r="DX171" s="36">
        <f>Crops[[#This Row],[Wholesale Time]]*LaborRate</f>
        <v>485.95816798941786</v>
      </c>
      <c r="DY171" s="36">
        <f>SUM(Crops[[#This Row],[Packaging Costs]:[Irrigation Cost]])</f>
        <v>42.222222222222214</v>
      </c>
      <c r="DZ171" s="36">
        <f>Crops[[#This Row],[Wholesale Labor Cost]]+Crops[[#This Row],[Wholesale Non-Labor Cost]]</f>
        <v>528.18039021164009</v>
      </c>
      <c r="EA171" s="36">
        <f>Crops[[#This Row],[Wholesale Revenue Per Bed]]-Crops[[#This Row],[Wholesale Total Cost]]</f>
        <v>271.8196097883598</v>
      </c>
      <c r="EB171" s="36">
        <f>Crops[[#This Row],[Wholesale Profit]]*BedsPerAcre</f>
        <v>43491.137566137564</v>
      </c>
      <c r="EC171" s="36">
        <f>Crops[[#This Row],[Wholesale Profit]]*BedsPerAcre*GrowingDays/Crops[[#This Row],[Days In Field]]</f>
        <v>71167.316017316014</v>
      </c>
      <c r="ED171" s="36">
        <f>Crops[[#This Row],[Wholesale Time]] * BedsPerAcre</f>
        <v>3110.1322751322741</v>
      </c>
      <c r="EE171" s="36">
        <f>Crops[[#This Row],[Wholesale Profit]]/MIN(Crops[[#This Row],[Days In Field]],GrowingDays)</f>
        <v>2.4710873617123617</v>
      </c>
      <c r="EF171" s="36">
        <f>(Crops[[#This Row],[Wholesale Revenue Per Bed]]-Crops[[#This Row],[Wholesale Non-Labor Cost]])/Crops[[#This Row],[Direct Time]]</f>
        <v>38.00608689162182</v>
      </c>
      <c r="EG171" s="174">
        <f>Crops[[#This Row],[Packaging Costs]]/Crops[[#This Row],[Wholesale Revenue Per Bed]]</f>
        <v>5.2777777777777778E-2</v>
      </c>
      <c r="EH171" s="36" t="str">
        <f>Crops[[#This Row],[Crop]]&amp;Crops[[#This Row],[Product]]&amp;Crops[[#This Row],[Unit]]</f>
        <v>LeekMature StalkBunch</v>
      </c>
      <c r="EI171" s="36" t="b">
        <f>_xlfn.XLOOKUP(Crops[[#This Row],[ProductIndex]],Products[ID],Products[Target])</f>
        <v>1</v>
      </c>
      <c r="EJ171" s="36">
        <f>Crops[[#This Row],[Custom Yield Per Bed]]</f>
        <v>266.66666666666663</v>
      </c>
      <c r="EK171" s="210">
        <f>Crops[[#This Row],[Units Per Harvest]]/Crops[[#This Row],[Days Between Harvest]]*7</f>
        <v>66.666666666666657</v>
      </c>
      <c r="EL171" s="210">
        <f>Crops[[#This Row],[Custom Yield Per Bed]]/_xlfn.XLOOKUP(Crops[[#This Row],[ProductIndex]],Products[ID],Products[CSA Portion])</f>
        <v>266.66666666666663</v>
      </c>
      <c r="EM171" s="210">
        <f>Crops[[#This Row],[Units Per Harvest]]/Crops[[#This Row],[Days Between Harvest]]*7/_xlfn.XLOOKUP(Crops[[#This Row],[ProductIndex]],Products[ID],Products[CSA Portion])</f>
        <v>66.666666666666657</v>
      </c>
      <c r="EN171" s="210">
        <f>Crops[[#This Row],[CSA Portions Per Week]]/CSAMembers</f>
        <v>1.333333333333333</v>
      </c>
      <c r="EO171" s="210"/>
      <c r="EP171" s="210"/>
      <c r="EQ171" s="36"/>
      <c r="ER171" s="36">
        <f>Crops[[#This Row],[Harvests]]*Crops[[#This Row],[Days Between Harvest]]/7</f>
        <v>4</v>
      </c>
      <c r="ES171" s="208">
        <f>_xlfn.XLOOKUP(Crops[[#This Row],[ProductIndex]],Products[ID],Products[CSA Need])</f>
        <v>2</v>
      </c>
      <c r="ET171" s="208">
        <f>_xlfn.XLOOKUP(Crops[[#This Row],[ProductIndex]],Products[ID],Products[CSA Times])</f>
        <v>2</v>
      </c>
      <c r="EU171" s="208">
        <f>Crops[[#This Row],[Custom Yield Per Bed]]/(Crops[[#This Row],[CSA Need]]*(_xlfn.XLOOKUP(Crops[[#This Row],[ProductIndex]],Products[ID],Products[CSA Portion])*CSAMembers))</f>
        <v>2.6666666666666661</v>
      </c>
      <c r="EV171" s="208">
        <f>_xlfn.XLOOKUP(Crops[[#This Row],[ProductIndex]],Products[ID],Products[CSA Portion])*CSAMembers*Crops[[#This Row],[CSA Need]]/Crops[[#This Row],[Custom Yield Per Bed]]</f>
        <v>0.37500000000000006</v>
      </c>
      <c r="EW171" s="208">
        <f>IFERROR(Crops[[#This Row],[Days In Field]]*Crops[[#This Row],[CSA Beds]],"")</f>
        <v>41.250000000000007</v>
      </c>
      <c r="EX171" s="208" t="e">
        <f>Crops[[#This Row],[CSA Bed Days]]*#REF!</f>
        <v>#REF!</v>
      </c>
      <c r="EY171" t="s">
        <v>362</v>
      </c>
    </row>
    <row r="172" spans="1:155">
      <c r="A17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Lemon Balm - Mature Stem 1X | Field TP Su</v>
      </c>
      <c r="C172" s="1" t="b">
        <v>1</v>
      </c>
      <c r="D172" s="1"/>
      <c r="E172" s="1" t="b">
        <v>0</v>
      </c>
      <c r="F172" s="1" t="b">
        <f>IFERROR(IF(ISNUMBER(MATCH(Crops[[#This Row],[Identifier]],BedPlan[Crop], 0)), TRUE, FALSE), FALSE)</f>
        <v>0</v>
      </c>
      <c r="G172" s="1" t="b">
        <f>IFERROR(IF(ISNUMBER(MATCH(Crops[[#This Row],[Identifier]],BedPlan[Crop], 0)), TRUE, FALSE), FALSE)</f>
        <v>0</v>
      </c>
      <c r="H172" s="1"/>
      <c r="I172" t="s">
        <v>2292</v>
      </c>
      <c r="J172" t="s">
        <v>145</v>
      </c>
      <c r="K172" t="s">
        <v>181</v>
      </c>
      <c r="M172" t="s">
        <v>442</v>
      </c>
      <c r="N172" t="str">
        <f>Crops[[#This Row],[Crop]]</f>
        <v>Lemon Balm</v>
      </c>
      <c r="O172" t="s">
        <v>210</v>
      </c>
      <c r="P172" t="str">
        <f>IF(OR(Crops[[#This Row],[Days in Cells]]="",Crops[[#This Row],[Days in Cells]]=0), "DS","TP")</f>
        <v>TP</v>
      </c>
      <c r="R172" t="b">
        <v>1</v>
      </c>
      <c r="V172" t="str">
        <f xml:space="preserve"> IF(Crops[[#This Row],[Sp]], "Sp", "") &amp; IF(Crops[[#This Row],[Su]], "Su", "") &amp; IF(Crops[[#This Row],[Fa]], "Fa", "") &amp; IF(Crops[[#This Row],[Wi]], "Wi", "") &amp; IF(Crops[[#This Row],[OW]], "Ow","")</f>
        <v>Su</v>
      </c>
      <c r="X172">
        <v>2</v>
      </c>
      <c r="Y172">
        <v>12</v>
      </c>
      <c r="AC172">
        <v>2</v>
      </c>
      <c r="AD172" s="32">
        <f>IFERROR(12/Crops[[#This Row],[Spacing]]*Crops[[#This Row],[Rows]]*BedLength,"")</f>
        <v>100</v>
      </c>
      <c r="AE172">
        <v>1</v>
      </c>
      <c r="AG172">
        <f>IF(Crops[[#This Row],[Custom Safety Factor]]="",PlantingSafetyFactor,Crops[[#This Row],[Custom Safety Factor]])</f>
        <v>1.3</v>
      </c>
      <c r="AH172">
        <f>1</f>
        <v>1</v>
      </c>
      <c r="AI172" s="37">
        <f>IFERROR(Crops[[#This Row],[Plantings Per Bed]]*Crops[[#This Row],[Seeds Per Planting]]*Crops[[#This Row],[Safety Factor]]*Crops[[#This Row],[Seeding Factor]],"")</f>
        <v>130</v>
      </c>
      <c r="AJ172">
        <v>7</v>
      </c>
      <c r="AK172">
        <v>14</v>
      </c>
      <c r="AL172">
        <f>_xlfn.FLOOR.MATH(IFERROR(AVERAGE(Crops[[#This Row],[DTG Lower]:[DTG Upper]]),0))</f>
        <v>10</v>
      </c>
      <c r="AM172">
        <f>SUM(Crops[[#This Row],[Tray 1 Days]],Crops[[#This Row],[Tray 2 Days]],Crops[[#This Row],[Tray 3 Days]])</f>
        <v>49</v>
      </c>
      <c r="AO172">
        <v>70</v>
      </c>
      <c r="AQ172">
        <f>IFERROR(_xlfn.FLOOR.MATH(AVERAGE(Crops[[#This Row],[DTM Lower]:[DTM Upper]])),"")</f>
        <v>70</v>
      </c>
      <c r="AR172" cm="1">
        <f t="array" ref="AR172">_xlfn.SWITCH(Crops[[#This Row],[Normal Method]],"DS",Crops[[#This Row],[Days to Germination]]+Crops[[#This Row],[DTM]] + IF(Crops[[#This Row],[Days in Cells]]&gt;0,15,0), "TP",Crops[[#This Row],[DTM]]+Crops[[#This Row],[Days in Cells]] + IF(Crops[[#This Row],[Days in Cells]]&lt;=0,20,0), "X", Crops[[#This Row],[DTM]])</f>
        <v>119</v>
      </c>
      <c r="AS172" t="s">
        <v>346</v>
      </c>
      <c r="AT172">
        <f>(Crops[[#This Row],[Harvests]]-1)*Crops[[#This Row],[Days Between Harvest]]+7</f>
        <v>105</v>
      </c>
      <c r="AU172">
        <f>Crops[[#This Row],[STH]]-Crops[[#This Row],[Days in Cells]]+Crops[[#This Row],[Harvest window]]</f>
        <v>175</v>
      </c>
      <c r="AX172">
        <v>72</v>
      </c>
      <c r="AY172">
        <f>7*7</f>
        <v>49</v>
      </c>
      <c r="AZ172">
        <f>IFERROR(IF(Crops[[#This Row],[Tray 1 Days]]=0,"",Crops[[#This Row],[Plantings Per Bed]]/Crops[[#This Row],[Tray 1 Size]]*Crops[[#This Row],[Safety Factor]]),"")</f>
        <v>1.8055555555555556</v>
      </c>
      <c r="BC172" t="str">
        <f>IFERROR(IF(Crops[[#This Row],[Tray 2 Days]]=0,"",Crops[[#This Row],[Plantings Per Bed]]/Crops[[#This Row],[Tray 2 Size]]*Crops[[#This Row],[Safety Factor]]),"")</f>
        <v/>
      </c>
      <c r="BE172" s="32" t="str">
        <f>IF(NOT(ISBLANK(Crops[[#This Row],[Tray 3 Size]])), Crops[[#This Row],[Days in Cells Old]]-SUM(Crops[[#This Row],[Tray 1 Days]],Crops[[#This Row],[Tray 2 Days]]), "")</f>
        <v/>
      </c>
      <c r="BF172" t="str">
        <f>IFERROR(IF(Crops[[#This Row],[Tray 3 Days]]=0,"",Crops[[#This Row],[Plantings Per Bed]]/Crops[[#This Row],[Tray 3 Size]]*Crops[[#This Row],[Safety Factor]]),"")</f>
        <v/>
      </c>
      <c r="BG172" s="33">
        <f>Crops[[#This Row],[Plantings Per Bed]]</f>
        <v>100</v>
      </c>
      <c r="BH172">
        <v>8</v>
      </c>
      <c r="BI172">
        <v>14</v>
      </c>
      <c r="BJ172" s="37">
        <f>_xlfn.XLOOKUP(Crops[[#This Row],[ProductIndex]],Products[ID],Products[Holding Period])</f>
        <v>0</v>
      </c>
      <c r="BK172" s="33"/>
      <c r="BL172" s="32">
        <f>Crops[[#This Row],[Units Per Harvest]]*Crops[[#This Row],[Harvests]]</f>
        <v>800</v>
      </c>
      <c r="BM172" s="35">
        <v>3</v>
      </c>
      <c r="BN172" s="35">
        <f>Crops[[#This Row],[Direct Price]]*0.6</f>
        <v>1.7999999999999998</v>
      </c>
      <c r="BO172" s="35"/>
      <c r="BP172" t="s">
        <v>215</v>
      </c>
      <c r="BQ172">
        <f>Crops[[#This Row],[Custom Yield Per Bed]]*Crops[[#This Row],[Direct Price]]</f>
        <v>2400</v>
      </c>
      <c r="BR172" t="b">
        <v>1</v>
      </c>
      <c r="BS172" t="b">
        <f>Crops[[#This Row],[Harvests]]&gt;1</f>
        <v>1</v>
      </c>
      <c r="BT172" s="36">
        <f>IFERROR(Crops[[#This Row],[Direct Revenue Per Bed]]/Crops[[#This Row],[Days In Field]],-1)</f>
        <v>13.714285714285714</v>
      </c>
      <c r="BU172" s="33">
        <f>IFERROR(Crops[[#This Row],[Direct Revenue Per Bed Day]]*GrowingDays*BedsPerAcre,"")</f>
        <v>394971.42857142852</v>
      </c>
      <c r="BV172" s="38">
        <f>LastFrostDate-5*Crops[[#This Row],[Sewing Rel Last Frost]]</f>
        <v>45733</v>
      </c>
      <c r="BW172" s="38">
        <f>Crops[[#This Row],[Target Sewing Date]]+Crops[[#This Row],[Days in Cells]]</f>
        <v>45782</v>
      </c>
      <c r="BX172" s="38">
        <f>Crops[[#This Row],[Target Sewing Date]]+Crops[[#This Row],[STH]]</f>
        <v>45852</v>
      </c>
      <c r="BY172" s="38">
        <f>Crops[[#This Row],[Target Harvest Data]]+Crops[[#This Row],[Harvest window]]</f>
        <v>45957</v>
      </c>
      <c r="BZ172">
        <v>3</v>
      </c>
      <c r="CB172">
        <f>1</f>
        <v>1</v>
      </c>
      <c r="CC172">
        <f>IF(Crops[[#This Row],[Transplanting]]&gt;0, 2, 3)*BedLength/StandardBedLength</f>
        <v>1</v>
      </c>
      <c r="CD172" s="173">
        <f>IF(Crops[[#This Row],[Days in Cells]]&lt;=0,0,Crops[[#This Row],[Plantings Per Bed]]/StartsPerHourSeeding+Crops[[#This Row],[Tray 1 Count]]*5/60)</f>
        <v>0.54108796296296302</v>
      </c>
      <c r="CE172" s="173">
        <f>IF(ISBLANK(Crops[[#This Row],[Tray 2 Days]]),0,Crops[[#This Row],[Plantings Per Bed]]/UpPottingPerHour)+IF(Crops[[#This Row],[Tray 3 Days]]="",0,Crops[[#This Row],[Plantings Per Bed]]/UpPottingPerHour)</f>
        <v>0</v>
      </c>
      <c r="CF172" s="173">
        <f>IFERROR(Crops[[#This Row],[Tray 1 Count]]/HomeStartFlatIrrigationPerHour,0)*Crops[[#This Row],[Days in Cells]]/DaysBetweenStartIrrigation</f>
        <v>0.3686342592592593</v>
      </c>
      <c r="CG172" s="173">
        <f>0.5/16*MAX(Crops[[#This Row],[Tray 1 Count]],Crops[[#This Row],[Tray 2 Count]],Crops[[#This Row],[Tray 3 Count]])</f>
        <v>5.6423611111111112E-2</v>
      </c>
      <c r="CH172" s="173">
        <f>IF(Crops[[#This Row],[Days in Cells]]&gt;0,IF(IF(Crops[[#This Row],[Tray 3 Size]]&gt;0,Crops[[#This Row],[Tray 3 Size]],IF(Crops[[#This Row],[Tray 2 Size]]&gt;0,Crops[[#This Row],[Tray 2 Size]],Crops[[#This Row],[Tray 1 Size]]))&lt;=18,LargeTransplantTime,SmallTransplantTime)*Crops[[#This Row],[Plantings Per Bed]],0)</f>
        <v>0.5</v>
      </c>
      <c r="CI172" s="173"/>
      <c r="CJ172" s="173">
        <f>_xlfn.XLOOKUP(Crops[[#This Row],[Trellis Type]],TrellisMethods[Trellis Type],TrellisMethods[Hours],0,0)</f>
        <v>0</v>
      </c>
      <c r="CK172">
        <f>IF(Crops[[#This Row],[Days in Cells]]&lt;=0,Crops[[#This Row],[Rows]]*1/10,0)*BedLength/50</f>
        <v>0</v>
      </c>
      <c r="CL172" cm="1">
        <f t="array" ref="CL172">_xlfn.SWITCH(Crops[[#This Row],[Irrigation]],"DR", 0.5, "OH", 0.25,0)*BedLength/50</f>
        <v>0</v>
      </c>
      <c r="CM172">
        <f>IF(OR(ISBLANK(Crops[[#This Row],[Row Cover]]),Crops[[#This Row],[Row Cover]]="None"),0,1)*BedLength/50</f>
        <v>0</v>
      </c>
      <c r="CN172" s="173">
        <f>HoursPerWeedingPass*Crops[[#This Row],[Days In Field]]/14*Crops[[#This Row],[Rows]]+1*BedLength/50</f>
        <v>5.1666666666666661</v>
      </c>
      <c r="CQ172" s="37">
        <f>_xlfn.XLOOKUP(Crops[[#This Row],[Crop]]&amp;Crops[[#This Row],[Product]]&amp;Crops[[#This Row],[Unit]],Products[ID],Products[Marketing (hr)])*Crops[[#This Row],[Direct Revenue Per Bed]]/2000</f>
        <v>3.6</v>
      </c>
      <c r="CR172" s="37">
        <f>_xlfn.XLOOKUP(Crops[[#This Row],[Crop]]&amp;Crops[[#This Row],[Product]]&amp;Crops[[#This Row],[Unit]],Products[ID],Products[Harvest (s)])*Crops[[#This Row],[Custom Yield Per Bed]]/3600</f>
        <v>4.4444444444444446</v>
      </c>
      <c r="CS172" s="37">
        <f>_xlfn.XLOOKUP(Crops[[#This Row],[Crop]]&amp;Crops[[#This Row],[Product]]&amp;Crops[[#This Row],[Unit]],Products[ID],Products[Bunch (s)])*Crops[[#This Row],[Custom Yield Per Bed]]/3600</f>
        <v>2.2222222222222223</v>
      </c>
      <c r="CT172" s="37">
        <f>_xlfn.XLOOKUP(Crops[[#This Row],[Crop]]&amp;Crops[[#This Row],[Product]]&amp;Crops[[#This Row],[Unit]],Products[ID],Products[Haul (s)])*Crops[[#This Row],[Custom Yield Per Bed]]/3600</f>
        <v>0.5</v>
      </c>
      <c r="CU172" s="37">
        <f>_xlfn.XLOOKUP(Crops[[#This Row],[Crop]]&amp;Crops[[#This Row],[Product]]&amp;Crops[[#This Row],[Unit]],Products[ID],Products[Wash (s)])*Crops[[#This Row],[Custom Yield Per Bed]]/3600</f>
        <v>0</v>
      </c>
      <c r="CV172" s="37">
        <f>_xlfn.XLOOKUP(Crops[[#This Row],[Crop]]&amp;Crops[[#This Row],[Product]]&amp;Crops[[#This Row],[Unit]],Products[ID],Products[Condition (s)])*Crops[[#This Row],[Custom Yield Per Bed]]/3600</f>
        <v>0</v>
      </c>
      <c r="CW172" s="37">
        <f>_xlfn.XLOOKUP(Crops[[#This Row],[Crop]]&amp;Crops[[#This Row],[Product]]&amp;Crops[[#This Row],[Unit]],Products[ID],Products[Trim (s)])*Crops[[#This Row],[Custom Yield Per Bed]]/3600</f>
        <v>0</v>
      </c>
      <c r="CX172" s="37">
        <f>_xlfn.XLOOKUP(Crops[[#This Row],[Crop]]&amp;Crops[[#This Row],[Product]]&amp;Crops[[#This Row],[Unit]],Products[ID],Products[Pack (s)])*Crops[[#This Row],[Custom Yield Per Bed]]/3600</f>
        <v>0.66666666666666663</v>
      </c>
      <c r="CY172" s="37">
        <f>_xlfn.XLOOKUP(Crops[[#This Row],[Crop]]&amp;Crops[[#This Row],[Product]]&amp;Crops[[#This Row],[Unit]],Products[ID],Products[Clean (s)])*Crops[[#This Row],[Custom Yield Per Bed]]/3600</f>
        <v>0</v>
      </c>
      <c r="CZ172" s="37">
        <f>_xlfn.XLOOKUP(Crops[[#This Row],[Crop]]&amp;Crops[[#This Row],[Product]]&amp;Crops[[#This Row],[Unit]],Products[ID],Products[Rehandle (s)])*Crops[[#This Row],[Custom Yield Per Bed]]/3600</f>
        <v>0</v>
      </c>
      <c r="DA172" s="37">
        <f>_xlfn.XLOOKUP(Crops[[#This Row],[Crop]]&amp;Crops[[#This Row],[Product]]&amp;Crops[[#This Row],[Unit]],Products[ID],Products[Market Transport (s)])*Crops[[#This Row],[Custom Yield Per Bed]]/3600</f>
        <v>1.25</v>
      </c>
      <c r="DC172" s="37">
        <f>Crops[[#This Row],[Direct Revenue Per Bed2]]</f>
        <v>2400</v>
      </c>
      <c r="DD172" s="173">
        <f>_xlfn.AGGREGATE(9,6,Crops[[#This Row],[Bed Prep]:[Remove Crop Residue]])</f>
        <v>20.316145833333334</v>
      </c>
      <c r="DE172" s="173">
        <f>_xlfn.AGGREGATE(9,6,Crops[[#This Row],[Bed Prep]:[Remove Crop Residue]])-0.75*Crops[[#This Row],[Market &amp; Sell]]</f>
        <v>17.616145833333334</v>
      </c>
      <c r="DF172" s="36">
        <f>Crops[[#This Row],[Direct Revenue Per Bed2]]/Crops[[#This Row],[Direct Time]]</f>
        <v>118.13264285897402</v>
      </c>
      <c r="DG172" s="36">
        <f>_xlfn.XLOOKUP(Crops[[#This Row],[ProductIndex]],Products[ID],Products[Packaging Cost])*(Crops[[#This Row],[Custom Yield Per Bed]]/_xlfn.XLOOKUP(Crops[[#This Row],[ProductIndex]],Products[ID],Products[Units Per Pack]))</f>
        <v>76</v>
      </c>
      <c r="DH172" s="36"/>
      <c r="DI172" s="36"/>
      <c r="DJ172" s="36"/>
      <c r="DK172" s="36"/>
      <c r="DL172" s="36"/>
      <c r="DM172" s="37">
        <f>IFERROR(Crops[[#This Row],[Custom Yield Per Bed]]*Crops[[#This Row],[Direct Price]],"")</f>
        <v>2400</v>
      </c>
      <c r="DN172" s="36">
        <f>Crops[[#This Row],[Direct Time]]*LaborRate</f>
        <v>507.90364583333331</v>
      </c>
      <c r="DO172" s="36">
        <f>SUM(Crops[[#This Row],[Irrigation Cost]])</f>
        <v>0</v>
      </c>
      <c r="DP172" s="36">
        <f>Crops[[#This Row],[Direct Labor Cost]]+Crops[[#This Row],[Direct Non-Labor Cost]]</f>
        <v>507.90364583333331</v>
      </c>
      <c r="DQ172" s="36">
        <f>Crops[[#This Row],[Direct Revenue Per Bed2]]-Crops[[#This Row],[Direct Total Cost]]</f>
        <v>1892.0963541666667</v>
      </c>
      <c r="DR172" s="36">
        <f>Crops[[#This Row],[Direct Profit]]*BedsPerAcre</f>
        <v>302735.41666666669</v>
      </c>
      <c r="DS172" s="36">
        <f>Crops[[#This Row],[Direct Profit]]*BedsPerAcre*GrowingDays/Crops[[#This Row],[Days In Field]]</f>
        <v>311385</v>
      </c>
      <c r="DT172" s="36">
        <f>Crops[[#This Row],[Direct Profit]]/MIN(Crops[[#This Row],[Days In Field]],GrowingDays)</f>
        <v>10.811979166666667</v>
      </c>
      <c r="DU172" s="36">
        <f>Crops[[#This Row],[Direct Time]] * BedsPerAcre</f>
        <v>3250.5833333333335</v>
      </c>
      <c r="DV172" s="36">
        <f>(Crops[[#This Row],[Direct Revenue Per Bed2]]-Crops[[#This Row],[Direct Non-Labor Cost]])/Crops[[#This Row],[Direct Time]]</f>
        <v>118.13264285897402</v>
      </c>
      <c r="DW172" s="37">
        <f>IFERROR(Crops[[#This Row],[Custom Yield Per Bed]]*Crops[[#This Row],[Rough Wholesale Price]],"")</f>
        <v>1439.9999999999998</v>
      </c>
      <c r="DX172" s="36">
        <f>Crops[[#This Row],[Wholesale Time]]*LaborRate</f>
        <v>440.40364583333337</v>
      </c>
      <c r="DY172" s="36">
        <f>SUM(Crops[[#This Row],[Packaging Costs]:[Irrigation Cost]])</f>
        <v>76</v>
      </c>
      <c r="DZ172" s="36">
        <f>Crops[[#This Row],[Wholesale Labor Cost]]+Crops[[#This Row],[Wholesale Non-Labor Cost]]</f>
        <v>516.40364583333337</v>
      </c>
      <c r="EA172" s="36">
        <f>Crops[[#This Row],[Wholesale Revenue Per Bed]]-Crops[[#This Row],[Wholesale Total Cost]]</f>
        <v>923.5963541666664</v>
      </c>
      <c r="EB172" s="36">
        <f>Crops[[#This Row],[Wholesale Profit]]*BedsPerAcre</f>
        <v>147775.41666666663</v>
      </c>
      <c r="EC172" s="36">
        <f>Crops[[#This Row],[Wholesale Profit]]*BedsPerAcre*GrowingDays/Crops[[#This Row],[Days In Field]]</f>
        <v>151997.57142857139</v>
      </c>
      <c r="ED172" s="36">
        <f>Crops[[#This Row],[Wholesale Time]] * BedsPerAcre</f>
        <v>2818.5833333333335</v>
      </c>
      <c r="EE172" s="36">
        <f>Crops[[#This Row],[Wholesale Profit]]/MIN(Crops[[#This Row],[Days In Field]],GrowingDays)</f>
        <v>5.2776934523809507</v>
      </c>
      <c r="EF172" s="36">
        <f>(Crops[[#This Row],[Wholesale Revenue Per Bed]]-Crops[[#This Row],[Wholesale Non-Labor Cost]])/Crops[[#This Row],[Direct Time]]</f>
        <v>67.1387186915169</v>
      </c>
      <c r="EG172" s="174">
        <f>Crops[[#This Row],[Packaging Costs]]/Crops[[#This Row],[Wholesale Revenue Per Bed]]</f>
        <v>5.2777777777777785E-2</v>
      </c>
      <c r="EH172" s="36" t="str">
        <f>Crops[[#This Row],[Crop]]&amp;Crops[[#This Row],[Product]]&amp;Crops[[#This Row],[Unit]]</f>
        <v>Lemon BalmMature StemBunch</v>
      </c>
      <c r="EI172" s="36" t="b">
        <f>_xlfn.XLOOKUP(Crops[[#This Row],[ProductIndex]],Products[ID],Products[Target])</f>
        <v>0</v>
      </c>
      <c r="EJ172" s="36">
        <f>Crops[[#This Row],[Custom Yield Per Bed]]</f>
        <v>800</v>
      </c>
      <c r="EK172" s="210">
        <f>Crops[[#This Row],[Units Per Harvest]]/Crops[[#This Row],[Days Between Harvest]]*7</f>
        <v>50</v>
      </c>
      <c r="EL172" s="210" t="e">
        <f>Crops[[#This Row],[Custom Yield Per Bed]]/_xlfn.XLOOKUP(Crops[[#This Row],[ProductIndex]],Products[ID],Products[CSA Portion])</f>
        <v>#DIV/0!</v>
      </c>
      <c r="EM172" s="210" t="e">
        <f>Crops[[#This Row],[Units Per Harvest]]/Crops[[#This Row],[Days Between Harvest]]*7/_xlfn.XLOOKUP(Crops[[#This Row],[ProductIndex]],Products[ID],Products[CSA Portion])</f>
        <v>#DIV/0!</v>
      </c>
      <c r="EN172" s="210" t="e">
        <f>Crops[[#This Row],[CSA Portions Per Week]]/CSAMembers</f>
        <v>#DIV/0!</v>
      </c>
      <c r="EO172" s="210"/>
      <c r="EP172" s="210"/>
      <c r="EQ172" s="36"/>
      <c r="ER172" s="36">
        <f>Crops[[#This Row],[Harvests]]*Crops[[#This Row],[Days Between Harvest]]/7</f>
        <v>16</v>
      </c>
      <c r="ES172" s="208">
        <f>_xlfn.XLOOKUP(Crops[[#This Row],[ProductIndex]],Products[ID],Products[CSA Need])</f>
        <v>0</v>
      </c>
      <c r="ET172" s="208">
        <f>_xlfn.XLOOKUP(Crops[[#This Row],[ProductIndex]],Products[ID],Products[CSA Times])</f>
        <v>0</v>
      </c>
      <c r="EU172" s="208" t="e">
        <f>Crops[[#This Row],[Custom Yield Per Bed]]/(Crops[[#This Row],[CSA Need]]*(_xlfn.XLOOKUP(Crops[[#This Row],[ProductIndex]],Products[ID],Products[CSA Portion])*CSAMembers))</f>
        <v>#DIV/0!</v>
      </c>
      <c r="EV172" s="208">
        <f>_xlfn.XLOOKUP(Crops[[#This Row],[ProductIndex]],Products[ID],Products[CSA Portion])*CSAMembers*Crops[[#This Row],[CSA Need]]/Crops[[#This Row],[Custom Yield Per Bed]]</f>
        <v>0</v>
      </c>
      <c r="EW172" s="208">
        <f>IFERROR(Crops[[#This Row],[Days In Field]]*Crops[[#This Row],[CSA Beds]],"")</f>
        <v>0</v>
      </c>
      <c r="EX172" s="208" t="e">
        <f>Crops[[#This Row],[CSA Bed Days]]*#REF!</f>
        <v>#REF!</v>
      </c>
    </row>
    <row r="173" spans="1:155">
      <c r="A173" s="184"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Lemongrass - Mature Stalks 1X | Field TP SpSu</v>
      </c>
      <c r="B173" s="184"/>
      <c r="C173" s="1" t="b">
        <v>1</v>
      </c>
      <c r="D173" s="1"/>
      <c r="E173" s="1" t="b">
        <v>0</v>
      </c>
      <c r="F173" s="1" t="b">
        <f>IFERROR(IF(ISNUMBER(MATCH(Crops[[#This Row],[Identifier]],BedPlan[Crop], 0)), TRUE, FALSE), FALSE)</f>
        <v>1</v>
      </c>
      <c r="G173" s="1" t="b">
        <f>IFERROR(IF(ISNUMBER(MATCH(Crops[[#This Row],[Identifier]],BedPlan[Crop], 0)), TRUE, FALSE), FALSE)</f>
        <v>1</v>
      </c>
      <c r="H173" s="1"/>
      <c r="I173" t="s">
        <v>387</v>
      </c>
      <c r="J173" t="s">
        <v>145</v>
      </c>
      <c r="K173" t="s">
        <v>206</v>
      </c>
      <c r="M173" t="s">
        <v>442</v>
      </c>
      <c r="N173" t="str">
        <f>Crops[[#This Row],[Crop]]</f>
        <v>Lemongrass</v>
      </c>
      <c r="O173" t="s">
        <v>210</v>
      </c>
      <c r="P173" t="str">
        <f>IF(OR(Crops[[#This Row],[Days in Cells]]="",Crops[[#This Row],[Days in Cells]]=0), "DS","TP")</f>
        <v>TP</v>
      </c>
      <c r="Q173" t="b">
        <v>1</v>
      </c>
      <c r="R173" t="b">
        <v>1</v>
      </c>
      <c r="V173" t="str">
        <f xml:space="preserve"> IF(Crops[[#This Row],[Sp]], "Sp", "") &amp; IF(Crops[[#This Row],[Su]], "Su", "") &amp; IF(Crops[[#This Row],[Fa]], "Fa", "") &amp; IF(Crops[[#This Row],[Wi]], "Wi", "") &amp; IF(Crops[[#This Row],[OW]], "Ow","")</f>
        <v>SpSu</v>
      </c>
      <c r="W173" t="b">
        <v>1</v>
      </c>
      <c r="X173">
        <v>2</v>
      </c>
      <c r="Y173">
        <v>12</v>
      </c>
      <c r="AA173" t="s">
        <v>474</v>
      </c>
      <c r="AB173" t="b">
        <v>0</v>
      </c>
      <c r="AC173">
        <v>4</v>
      </c>
      <c r="AD173" s="32">
        <f>IFERROR(12/Crops[[#This Row],[Spacing]]*Crops[[#This Row],[Rows]]*BedLength,"")</f>
        <v>100</v>
      </c>
      <c r="AE173">
        <v>1</v>
      </c>
      <c r="AG173">
        <f>IF(Crops[[#This Row],[Custom Safety Factor]]="",PlantingSafetyFactor,Crops[[#This Row],[Custom Safety Factor]])</f>
        <v>1.3</v>
      </c>
      <c r="AH173">
        <f>1</f>
        <v>1</v>
      </c>
      <c r="AI173" s="37">
        <f>IFERROR(Crops[[#This Row],[Plantings Per Bed]]*Crops[[#This Row],[Seeds Per Planting]]*Crops[[#This Row],[Safety Factor]]*Crops[[#This Row],[Seeding Factor]],"")</f>
        <v>130</v>
      </c>
      <c r="AJ173">
        <v>7</v>
      </c>
      <c r="AK173">
        <v>14</v>
      </c>
      <c r="AL173">
        <f>_xlfn.FLOOR.MATH(IFERROR(AVERAGE(Crops[[#This Row],[DTG Lower]:[DTG Upper]]),0))</f>
        <v>10</v>
      </c>
      <c r="AM173">
        <f>SUM(Crops[[#This Row],[Tray 1 Days]],Crops[[#This Row],[Tray 2 Days]],Crops[[#This Row],[Tray 3 Days]])</f>
        <v>40</v>
      </c>
      <c r="AN173" s="32">
        <v>40</v>
      </c>
      <c r="AO173">
        <v>75</v>
      </c>
      <c r="AP173">
        <v>85</v>
      </c>
      <c r="AQ173">
        <f>IFERROR(_xlfn.FLOOR.MATH(AVERAGE(Crops[[#This Row],[DTM Lower]:[DTM Upper]])),"")</f>
        <v>80</v>
      </c>
      <c r="AR173" cm="1">
        <f t="array" ref="AR173">_xlfn.SWITCH(Crops[[#This Row],[Normal Method]],"DS",Crops[[#This Row],[Days to Germination]]+Crops[[#This Row],[DTM]] + IF(Crops[[#This Row],[Days in Cells]]&gt;0,15,0), "TP",Crops[[#This Row],[DTM]]+Crops[[#This Row],[Days in Cells]] + IF(Crops[[#This Row],[Days in Cells]]&lt;=0,20,0), "X", Crops[[#This Row],[DTM]])</f>
        <v>120</v>
      </c>
      <c r="AS173" t="s">
        <v>346</v>
      </c>
      <c r="AT173">
        <f>(Crops[[#This Row],[Harvests]]-1)*Crops[[#This Row],[Days Between Harvest]]+7</f>
        <v>63</v>
      </c>
      <c r="AU173">
        <f>Crops[[#This Row],[STH]]-Crops[[#This Row],[Days in Cells]]+Crops[[#This Row],[Harvest window]]</f>
        <v>143</v>
      </c>
      <c r="AX173">
        <v>72</v>
      </c>
      <c r="AY173">
        <v>40</v>
      </c>
      <c r="AZ173" s="49">
        <f>IFERROR(IF(Crops[[#This Row],[Tray 1 Days]]=0,"",Crops[[#This Row],[Plantings Per Bed]]/Crops[[#This Row],[Tray 1 Size]]*Crops[[#This Row],[Safety Factor]]),"")</f>
        <v>1.8055555555555556</v>
      </c>
      <c r="BC173" t="str">
        <f>IFERROR(IF(Crops[[#This Row],[Tray 2 Days]]=0,"",Crops[[#This Row],[Plantings Per Bed]]/Crops[[#This Row],[Tray 2 Size]]*Crops[[#This Row],[Safety Factor]]),"")</f>
        <v/>
      </c>
      <c r="BE173" s="32" t="str">
        <f>IF(NOT(ISBLANK(Crops[[#This Row],[Tray 3 Size]])), Crops[[#This Row],[Days in Cells Old]]-SUM(Crops[[#This Row],[Tray 1 Days]],Crops[[#This Row],[Tray 2 Days]]), "")</f>
        <v/>
      </c>
      <c r="BF173" s="49" t="str">
        <f>IFERROR(IF(Crops[[#This Row],[Tray 3 Days]]=0,"",Crops[[#This Row],[Plantings Per Bed]]/Crops[[#This Row],[Tray 3 Size]]*Crops[[#This Row],[Safety Factor]]),"")</f>
        <v/>
      </c>
      <c r="BG173">
        <f>Crops[[#This Row],[Plantings Per Bed]]*8/Crops[[#This Row],[Harvests]]</f>
        <v>160</v>
      </c>
      <c r="BH173">
        <v>5</v>
      </c>
      <c r="BI173">
        <v>14</v>
      </c>
      <c r="BJ173" s="37">
        <f>_xlfn.XLOOKUP(Crops[[#This Row],[ProductIndex]],Products[ID],Products[Holding Period])</f>
        <v>0</v>
      </c>
      <c r="BL173" s="37">
        <f>Crops[[#This Row],[Units Per Harvest]]*Crops[[#This Row],[Harvests]]</f>
        <v>800</v>
      </c>
      <c r="BM173" s="35">
        <v>3</v>
      </c>
      <c r="BN173" s="35">
        <f>Crops[[#This Row],[Direct Price]]*0.6</f>
        <v>1.7999999999999998</v>
      </c>
      <c r="BO173" s="35"/>
      <c r="BP173" t="s">
        <v>215</v>
      </c>
      <c r="BQ173">
        <f>Crops[[#This Row],[Custom Yield Per Bed]]*Crops[[#This Row],[Direct Price]]</f>
        <v>2400</v>
      </c>
      <c r="BR173" t="b">
        <v>1</v>
      </c>
      <c r="BS173" t="b">
        <f>Crops[[#This Row],[Harvests]]&gt;1</f>
        <v>1</v>
      </c>
      <c r="BT173" s="36">
        <f>IFERROR(Crops[[#This Row],[Direct Revenue Per Bed]]/Crops[[#This Row],[Days In Field]],-1)</f>
        <v>16.783216783216783</v>
      </c>
      <c r="BU173" s="33">
        <f>IFERROR(Crops[[#This Row],[Direct Revenue Per Bed Day]]*GrowingDays*BedsPerAcre,"")</f>
        <v>483356.64335664333</v>
      </c>
      <c r="BV173" s="38">
        <f>LastFrostDate-5*Crops[[#This Row],[Sewing Rel Last Frost]]</f>
        <v>45738</v>
      </c>
      <c r="BW173" s="38">
        <f>Crops[[#This Row],[Target Sewing Date]]+Crops[[#This Row],[Days in Cells]]</f>
        <v>45778</v>
      </c>
      <c r="BX173" s="38">
        <f>Crops[[#This Row],[Target Sewing Date]]+Crops[[#This Row],[STH]]</f>
        <v>45858</v>
      </c>
      <c r="BY173" s="38">
        <f>Crops[[#This Row],[Target Harvest Data]]+Crops[[#This Row],[Harvest window]]</f>
        <v>45921</v>
      </c>
      <c r="BZ173">
        <v>2</v>
      </c>
      <c r="CB173">
        <f>1</f>
        <v>1</v>
      </c>
      <c r="CC173">
        <f>IF(Crops[[#This Row],[Transplanting]]&gt;0, 2, 3)*BedLength/StandardBedLength</f>
        <v>1</v>
      </c>
      <c r="CD173" s="173">
        <f>IF(Crops[[#This Row],[Days in Cells]]&lt;=0,0,Crops[[#This Row],[Plantings Per Bed]]/StartsPerHourSeeding+Crops[[#This Row],[Tray 1 Count]]*5/60)</f>
        <v>0.54108796296296302</v>
      </c>
      <c r="CE173" s="173">
        <f>IF(ISBLANK(Crops[[#This Row],[Tray 2 Days]]),0,Crops[[#This Row],[Plantings Per Bed]]/UpPottingPerHour)+IF(Crops[[#This Row],[Tray 3 Days]]="",0,Crops[[#This Row],[Plantings Per Bed]]/UpPottingPerHour)</f>
        <v>0</v>
      </c>
      <c r="CF173" s="173">
        <f>IFERROR(Crops[[#This Row],[Tray 1 Count]]/HomeStartFlatIrrigationPerHour,0)*Crops[[#This Row],[Days in Cells]]/DaysBetweenStartIrrigation</f>
        <v>0.30092592592592593</v>
      </c>
      <c r="CG173" s="173">
        <f>0.5/16*MAX(Crops[[#This Row],[Tray 1 Count]],Crops[[#This Row],[Tray 2 Count]],Crops[[#This Row],[Tray 3 Count]])</f>
        <v>5.6423611111111112E-2</v>
      </c>
      <c r="CH173" s="173">
        <f>IF(Crops[[#This Row],[Days in Cells]]&gt;0,IF(IF(Crops[[#This Row],[Tray 3 Size]]&gt;0,Crops[[#This Row],[Tray 3 Size]],IF(Crops[[#This Row],[Tray 2 Size]]&gt;0,Crops[[#This Row],[Tray 2 Size]],Crops[[#This Row],[Tray 1 Size]]))&lt;=18,LargeTransplantTime,SmallTransplantTime)*Crops[[#This Row],[Plantings Per Bed]],0)</f>
        <v>0.5</v>
      </c>
      <c r="CI173" s="173"/>
      <c r="CJ173" s="173">
        <f>_xlfn.XLOOKUP(Crops[[#This Row],[Trellis Type]],TrellisMethods[Trellis Type],TrellisMethods[Hours],0,0)</f>
        <v>0</v>
      </c>
      <c r="CK173">
        <f>IF(Crops[[#This Row],[Days in Cells]]&lt;=0,Crops[[#This Row],[Rows]]*1/10,0)*BedLength/50</f>
        <v>0</v>
      </c>
      <c r="CL173" cm="1">
        <f t="array" ref="CL173">_xlfn.SWITCH(Crops[[#This Row],[Irrigation]],"DR", 0.5, "OH", 0.25,0)*BedLength/50</f>
        <v>0</v>
      </c>
      <c r="CM173">
        <f>IF(OR(ISBLANK(Crops[[#This Row],[Row Cover]]),Crops[[#This Row],[Row Cover]]="None"),0,1)*BedLength/50</f>
        <v>0</v>
      </c>
      <c r="CN173" s="173">
        <f>HoursPerWeedingPass*Crops[[#This Row],[Days In Field]]/14*Crops[[#This Row],[Rows]]+1*BedLength/50</f>
        <v>4.4047619047619051</v>
      </c>
      <c r="CO173" s="49"/>
      <c r="CQ173" s="37">
        <f>_xlfn.XLOOKUP(Crops[[#This Row],[Crop]]&amp;Crops[[#This Row],[Product]]&amp;Crops[[#This Row],[Unit]],Products[ID],Products[Marketing (hr)])*Crops[[#This Row],[Direct Revenue Per Bed]]/2000</f>
        <v>4.8</v>
      </c>
      <c r="CR173" s="37">
        <f>_xlfn.XLOOKUP(Crops[[#This Row],[Crop]]&amp;Crops[[#This Row],[Product]]&amp;Crops[[#This Row],[Unit]],Products[ID],Products[Harvest (s)])*Crops[[#This Row],[Custom Yield Per Bed]]/3600</f>
        <v>10.666666666666666</v>
      </c>
      <c r="CS173" s="37">
        <f>_xlfn.XLOOKUP(Crops[[#This Row],[Crop]]&amp;Crops[[#This Row],[Product]]&amp;Crops[[#This Row],[Unit]],Products[ID],Products[Bunch (s)])*Crops[[#This Row],[Custom Yield Per Bed]]/3600</f>
        <v>2.2222222222222223</v>
      </c>
      <c r="CT173" s="37">
        <f>_xlfn.XLOOKUP(Crops[[#This Row],[Crop]]&amp;Crops[[#This Row],[Product]]&amp;Crops[[#This Row],[Unit]],Products[ID],Products[Haul (s)])*Crops[[#This Row],[Custom Yield Per Bed]]/3600</f>
        <v>0.08</v>
      </c>
      <c r="CU173" s="37">
        <f>_xlfn.XLOOKUP(Crops[[#This Row],[Crop]]&amp;Crops[[#This Row],[Product]]&amp;Crops[[#This Row],[Unit]],Products[ID],Products[Wash (s)])*Crops[[#This Row],[Custom Yield Per Bed]]/3600</f>
        <v>0</v>
      </c>
      <c r="CV173" s="37">
        <f>_xlfn.XLOOKUP(Crops[[#This Row],[Crop]]&amp;Crops[[#This Row],[Product]]&amp;Crops[[#This Row],[Unit]],Products[ID],Products[Condition (s)])*Crops[[#This Row],[Custom Yield Per Bed]]/3600</f>
        <v>0</v>
      </c>
      <c r="CW173" s="37">
        <f>_xlfn.XLOOKUP(Crops[[#This Row],[Crop]]&amp;Crops[[#This Row],[Product]]&amp;Crops[[#This Row],[Unit]],Products[ID],Products[Trim (s)])*Crops[[#This Row],[Custom Yield Per Bed]]/3600</f>
        <v>0</v>
      </c>
      <c r="CX173" s="37">
        <f>_xlfn.XLOOKUP(Crops[[#This Row],[Crop]]&amp;Crops[[#This Row],[Product]]&amp;Crops[[#This Row],[Unit]],Products[ID],Products[Pack (s)])*Crops[[#This Row],[Custom Yield Per Bed]]/3600</f>
        <v>0.66666666666666663</v>
      </c>
      <c r="CY173" s="37">
        <f>_xlfn.XLOOKUP(Crops[[#This Row],[Crop]]&amp;Crops[[#This Row],[Product]]&amp;Crops[[#This Row],[Unit]],Products[ID],Products[Clean (s)])*Crops[[#This Row],[Custom Yield Per Bed]]/3600</f>
        <v>0</v>
      </c>
      <c r="CZ173" s="37">
        <f>_xlfn.XLOOKUP(Crops[[#This Row],[Crop]]&amp;Crops[[#This Row],[Product]]&amp;Crops[[#This Row],[Unit]],Products[ID],Products[Rehandle (s)])*Crops[[#This Row],[Custom Yield Per Bed]]/3600</f>
        <v>0</v>
      </c>
      <c r="DA173" s="37">
        <f>_xlfn.XLOOKUP(Crops[[#This Row],[Crop]]&amp;Crops[[#This Row],[Product]]&amp;Crops[[#This Row],[Unit]],Products[ID],Products[Market Transport (s)])*Crops[[#This Row],[Custom Yield Per Bed]]/3600</f>
        <v>0.2</v>
      </c>
      <c r="DC173" s="37">
        <f>Crops[[#This Row],[Direct Revenue Per Bed2]]</f>
        <v>2400</v>
      </c>
      <c r="DD173" s="173">
        <f>_xlfn.AGGREGATE(9,6,Crops[[#This Row],[Bed Prep]:[Remove Crop Residue]])</f>
        <v>25.438754960317461</v>
      </c>
      <c r="DE173" s="173">
        <f>_xlfn.AGGREGATE(9,6,Crops[[#This Row],[Bed Prep]:[Remove Crop Residue]])-0.75*Crops[[#This Row],[Market &amp; Sell]]</f>
        <v>21.838754960317459</v>
      </c>
      <c r="DF173" s="36">
        <f>Crops[[#This Row],[Direct Revenue Per Bed2]]/Crops[[#This Row],[Direct Time]]</f>
        <v>94.344239871165826</v>
      </c>
      <c r="DG173" s="36">
        <f>_xlfn.XLOOKUP(Crops[[#This Row],[ProductIndex]],Products[ID],Products[Packaging Cost])*(Crops[[#This Row],[Custom Yield Per Bed]]/_xlfn.XLOOKUP(Crops[[#This Row],[ProductIndex]],Products[ID],Products[Units Per Pack]))</f>
        <v>12.16</v>
      </c>
      <c r="DH173" s="36"/>
      <c r="DI173" s="36"/>
      <c r="DJ173" s="36"/>
      <c r="DK173" s="36"/>
      <c r="DL173" s="36"/>
      <c r="DM173" s="37">
        <f>IFERROR(Crops[[#This Row],[Custom Yield Per Bed]]*Crops[[#This Row],[Direct Price]],"")</f>
        <v>2400</v>
      </c>
      <c r="DN173" s="36">
        <f>Crops[[#This Row],[Direct Time]]*LaborRate</f>
        <v>635.96887400793651</v>
      </c>
      <c r="DO173" s="36">
        <f>SUM(Crops[[#This Row],[Irrigation Cost]])</f>
        <v>0</v>
      </c>
      <c r="DP173" s="36">
        <f>Crops[[#This Row],[Direct Labor Cost]]+Crops[[#This Row],[Direct Non-Labor Cost]]</f>
        <v>635.96887400793651</v>
      </c>
      <c r="DQ173" s="36">
        <f>Crops[[#This Row],[Direct Revenue Per Bed2]]-Crops[[#This Row],[Direct Total Cost]]</f>
        <v>1764.0311259920636</v>
      </c>
      <c r="DR173" s="36">
        <f>Crops[[#This Row],[Direct Profit]]*BedsPerAcre</f>
        <v>282244.98015873018</v>
      </c>
      <c r="DS173" s="36">
        <f>Crops[[#This Row],[Direct Profit]]*BedsPerAcre*GrowingDays/Crops[[#This Row],[Days In Field]]</f>
        <v>355273.4015984016</v>
      </c>
      <c r="DT173" s="36">
        <f>Crops[[#This Row],[Direct Profit]]/MIN(Crops[[#This Row],[Days In Field]],GrowingDays)</f>
        <v>12.335881999944501</v>
      </c>
      <c r="DU173" s="36">
        <f>Crops[[#This Row],[Direct Time]] * BedsPerAcre</f>
        <v>4070.2007936507935</v>
      </c>
      <c r="DV173" s="36">
        <f>(Crops[[#This Row],[Direct Revenue Per Bed2]]-Crops[[#This Row],[Direct Non-Labor Cost]])/Crops[[#This Row],[Direct Time]]</f>
        <v>94.344239871165826</v>
      </c>
      <c r="DW173" s="37">
        <f>IFERROR(Crops[[#This Row],[Custom Yield Per Bed]]*Crops[[#This Row],[Rough Wholesale Price]],"")</f>
        <v>1439.9999999999998</v>
      </c>
      <c r="DX173" s="36">
        <f>Crops[[#This Row],[Wholesale Time]]*LaborRate</f>
        <v>545.96887400793651</v>
      </c>
      <c r="DY173" s="36">
        <f>SUM(Crops[[#This Row],[Packaging Costs]:[Irrigation Cost]])</f>
        <v>12.16</v>
      </c>
      <c r="DZ173" s="36">
        <f>Crops[[#This Row],[Wholesale Labor Cost]]+Crops[[#This Row],[Wholesale Non-Labor Cost]]</f>
        <v>558.12887400793647</v>
      </c>
      <c r="EA173" s="36">
        <f>Crops[[#This Row],[Wholesale Revenue Per Bed]]-Crops[[#This Row],[Wholesale Total Cost]]</f>
        <v>881.8711259920633</v>
      </c>
      <c r="EB173" s="36">
        <f>Crops[[#This Row],[Wholesale Profit]]*BedsPerAcre</f>
        <v>141099.38015873014</v>
      </c>
      <c r="EC173" s="36">
        <f>Crops[[#This Row],[Wholesale Profit]]*BedsPerAcre*GrowingDays/Crops[[#This Row],[Days In Field]]</f>
        <v>177607.61138861137</v>
      </c>
      <c r="ED173" s="36">
        <f>Crops[[#This Row],[Wholesale Time]] * BedsPerAcre</f>
        <v>3494.2007936507935</v>
      </c>
      <c r="EE173" s="221">
        <f>Crops[[#This Row],[Wholesale Profit]]/MIN(Crops[[#This Row],[Days In Field]],GrowingDays)</f>
        <v>6.16693095099345</v>
      </c>
      <c r="EF173" s="36">
        <f>(Crops[[#This Row],[Wholesale Revenue Per Bed]]-Crops[[#This Row],[Wholesale Non-Labor Cost]])/Crops[[#This Row],[Direct Time]]</f>
        <v>56.12853310735224</v>
      </c>
      <c r="EG173" s="174">
        <f>Crops[[#This Row],[Packaging Costs]]/Crops[[#This Row],[Wholesale Revenue Per Bed]]</f>
        <v>8.4444444444444454E-3</v>
      </c>
      <c r="EH173" s="36" t="str">
        <f>Crops[[#This Row],[Crop]]&amp;Crops[[#This Row],[Product]]&amp;Crops[[#This Row],[Unit]]</f>
        <v>LemongrassMature StalksBunch</v>
      </c>
      <c r="EI173" s="36" t="b">
        <f>_xlfn.XLOOKUP(Crops[[#This Row],[ProductIndex]],Products[ID],Products[Target])</f>
        <v>1</v>
      </c>
      <c r="EJ173" s="33">
        <f>Crops[[#This Row],[Custom Yield Per Bed]]</f>
        <v>800</v>
      </c>
      <c r="EK173" s="210">
        <f>Crops[[#This Row],[Units Per Harvest]]/Crops[[#This Row],[Days Between Harvest]]*7</f>
        <v>80</v>
      </c>
      <c r="EL173" s="210">
        <f>Crops[[#This Row],[Custom Yield Per Bed]]/_xlfn.XLOOKUP(Crops[[#This Row],[ProductIndex]],Products[ID],Products[CSA Portion])</f>
        <v>800</v>
      </c>
      <c r="EM173" s="210">
        <f>Crops[[#This Row],[Units Per Harvest]]/Crops[[#This Row],[Days Between Harvest]]*7/_xlfn.XLOOKUP(Crops[[#This Row],[ProductIndex]],Products[ID],Products[CSA Portion])</f>
        <v>80</v>
      </c>
      <c r="EN173" s="210">
        <f>Crops[[#This Row],[CSA Portions Per Week]]/CSAMembers</f>
        <v>1.6</v>
      </c>
      <c r="EO173" s="216">
        <v>1</v>
      </c>
      <c r="EP173" s="216">
        <v>1</v>
      </c>
      <c r="EQ173" s="36"/>
      <c r="ER173" s="36">
        <f>Crops[[#This Row],[Harvests]]*Crops[[#This Row],[Days Between Harvest]]/7</f>
        <v>10</v>
      </c>
      <c r="ES173" s="208">
        <f>_xlfn.XLOOKUP(Crops[[#This Row],[ProductIndex]],Products[ID],Products[CSA Need])</f>
        <v>1</v>
      </c>
      <c r="ET173" s="208">
        <f>_xlfn.XLOOKUP(Crops[[#This Row],[ProductIndex]],Products[ID],Products[CSA Times])</f>
        <v>1</v>
      </c>
      <c r="EU173" s="208">
        <f>Crops[[#This Row],[Custom Yield Per Bed]]/(Crops[[#This Row],[CSA Need]]*(_xlfn.XLOOKUP(Crops[[#This Row],[ProductIndex]],Products[ID],Products[CSA Portion])*CSAMembers))</f>
        <v>16</v>
      </c>
      <c r="EV173" s="208">
        <f>_xlfn.XLOOKUP(Crops[[#This Row],[ProductIndex]],Products[ID],Products[CSA Portion])*CSAMembers*Crops[[#This Row],[CSA Need]]/Crops[[#This Row],[Custom Yield Per Bed]]</f>
        <v>6.25E-2</v>
      </c>
      <c r="EW173" s="208">
        <f>IFERROR(Crops[[#This Row],[Days In Field]]*Crops[[#This Row],[CSA Beds]],"")</f>
        <v>8.9375</v>
      </c>
      <c r="EX173" s="208" t="e">
        <f>Crops[[#This Row],[CSA Bed Days]]*#REF!</f>
        <v>#REF!</v>
      </c>
      <c r="EY173" t="s">
        <v>1401</v>
      </c>
    </row>
    <row r="174" spans="1:155">
      <c r="A17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 Baby Leaf X | Field DS Ow</v>
      </c>
      <c r="B174" s="179"/>
      <c r="C174" s="1"/>
      <c r="D174" s="1"/>
      <c r="E174" s="1" t="b">
        <v>0</v>
      </c>
      <c r="F174" s="1" t="b">
        <f>IFERROR(IF(ISNUMBER(MATCH(Crops[[#This Row],[Identifier]],BedPlan[Crop], 0)), TRUE, FALSE), FALSE)</f>
        <v>0</v>
      </c>
      <c r="G174" s="1" t="b">
        <f>IFERROR(IF(ISNUMBER(MATCH(Crops[[#This Row],[Identifier]],BedPlan[Crop], 0)), TRUE, FALSE), FALSE)</f>
        <v>0</v>
      </c>
      <c r="H174" s="1" t="b">
        <v>1</v>
      </c>
      <c r="I174" t="s">
        <v>92</v>
      </c>
      <c r="J174" t="s">
        <v>145</v>
      </c>
      <c r="K174" t="s">
        <v>182</v>
      </c>
      <c r="N174" t="str">
        <f>Crops[[#This Row],[Crop]]</f>
        <v>Lettuce</v>
      </c>
      <c r="O174" t="s">
        <v>210</v>
      </c>
      <c r="P174" t="str">
        <f>IF(OR(Crops[[#This Row],[Days in Cells]]="",Crops[[#This Row],[Days in Cells]]=0), "DS","TP")</f>
        <v>DS</v>
      </c>
      <c r="U174" t="s">
        <v>144</v>
      </c>
      <c r="V174" t="str">
        <f xml:space="preserve"> IF(Crops[[#This Row],[Sp]], "Sp", "") &amp; IF(Crops[[#This Row],[Su]], "Su", "") &amp; IF(Crops[[#This Row],[Fa]], "Fa", "") &amp; IF(Crops[[#This Row],[Wi]], "Wi", "") &amp; IF(Crops[[#This Row],[OW]], "Ow","")</f>
        <v>Ow</v>
      </c>
      <c r="AD174" s="32" t="str">
        <f>IFERROR(12/Crops[[#This Row],[Spacing]]*Crops[[#This Row],[Rows]]*BedLength,"")</f>
        <v/>
      </c>
      <c r="AG174">
        <f>IF(Crops[[#This Row],[Custom Safety Factor]]="",PlantingSafetyFactor,Crops[[#This Row],[Custom Safety Factor]])</f>
        <v>1.3</v>
      </c>
      <c r="AH174">
        <f>1</f>
        <v>1</v>
      </c>
      <c r="AI174" s="33" t="str">
        <f>IFERROR(Crops[[#This Row],[Plantings Per Bed]]*Crops[[#This Row],[Seeds Per Planting]]*Crops[[#This Row],[Safety Factor]]*Crops[[#This Row],[Seeding Factor]],"")</f>
        <v/>
      </c>
      <c r="AL174">
        <f>_xlfn.FLOOR.MATH(IFERROR(AVERAGE(Crops[[#This Row],[DTG Lower]:[DTG Upper]]),0))</f>
        <v>0</v>
      </c>
      <c r="AM174">
        <f>SUM(Crops[[#This Row],[Tray 1 Days]],Crops[[#This Row],[Tray 2 Days]],Crops[[#This Row],[Tray 3 Days]])</f>
        <v>0</v>
      </c>
      <c r="AP174">
        <v>0</v>
      </c>
      <c r="AQ174">
        <f>IFERROR(_xlfn.FLOOR.MATH(AVERAGE(Crops[[#This Row],[DTM Lower]:[DTM Upper]])),"")</f>
        <v>0</v>
      </c>
      <c r="AR174" cm="1">
        <f t="array" ref="AR174">_xlfn.SWITCH(Crops[[#This Row],[Normal Method]],"DS",Crops[[#This Row],[Days to Germination]]+Crops[[#This Row],[DTM]] + IF(Crops[[#This Row],[Days in Cells]]&gt;0,15,0), "TP",Crops[[#This Row],[DTM]]+Crops[[#This Row],[Days in Cells]] + IF(Crops[[#This Row],[Days in Cells]]&lt;=0,20,0), "X", Crops[[#This Row],[DTM]])</f>
        <v>0</v>
      </c>
      <c r="AS174" t="s">
        <v>338</v>
      </c>
      <c r="AT174">
        <f>(Crops[[#This Row],[Harvests]]-1)*Crops[[#This Row],[Days Between Harvest]]+7</f>
        <v>7</v>
      </c>
      <c r="AU174">
        <f>Crops[[#This Row],[STH]]-Crops[[#This Row],[Days in Cells]]+Crops[[#This Row],[Harvest window]]</f>
        <v>7</v>
      </c>
      <c r="AW174">
        <v>128</v>
      </c>
      <c r="AZ174" t="str">
        <f>IFERROR(IF(Crops[[#This Row],[Tray 1 Days]]=0,"",Crops[[#This Row],[Plantings Per Bed]]/Crops[[#This Row],[Tray 1 Size]]*Crops[[#This Row],[Safety Factor]]),"")</f>
        <v/>
      </c>
      <c r="BC174" t="str">
        <f>IFERROR(IF(Crops[[#This Row],[Tray 2 Days]]=0,"",Crops[[#This Row],[Plantings Per Bed]]/Crops[[#This Row],[Tray 2 Size]]*Crops[[#This Row],[Safety Factor]]),"")</f>
        <v/>
      </c>
      <c r="BE174" s="32" t="str">
        <f>IF(NOT(ISBLANK(Crops[[#This Row],[Tray 3 Size]])), Crops[[#This Row],[Days in Cells Old]]-SUM(Crops[[#This Row],[Tray 1 Days]],Crops[[#This Row],[Tray 2 Days]]), "")</f>
        <v/>
      </c>
      <c r="BF174" t="str">
        <f>IFERROR(IF(Crops[[#This Row],[Tray 3 Days]]=0,"",Crops[[#This Row],[Plantings Per Bed]]/Crops[[#This Row],[Tray 3 Size]]*Crops[[#This Row],[Safety Factor]]),"")</f>
        <v/>
      </c>
      <c r="BG174" s="33"/>
      <c r="BH174" s="33"/>
      <c r="BI174" s="33"/>
      <c r="BJ174" s="33" t="e">
        <f>_xlfn.XLOOKUP(Crops[[#This Row],[ProductIndex]],Products[ID],Products[Holding Period])</f>
        <v>#N/A</v>
      </c>
      <c r="BK174" s="33"/>
      <c r="BL174" s="33">
        <f>Crops[[#This Row],[Units Per Harvest]]*Crops[[#This Row],[Harvests]]</f>
        <v>0</v>
      </c>
      <c r="BM174" s="35">
        <v>10</v>
      </c>
      <c r="BN174" s="35">
        <f>Crops[[#This Row],[Direct Price]]*0.6</f>
        <v>6</v>
      </c>
      <c r="BO174" s="35"/>
      <c r="BP174" t="s">
        <v>383</v>
      </c>
      <c r="BQ174">
        <f>Crops[[#This Row],[Custom Yield Per Bed]]*Crops[[#This Row],[Direct Price]]</f>
        <v>0</v>
      </c>
      <c r="BR174" t="b">
        <v>1</v>
      </c>
      <c r="BS174" t="b">
        <f>Crops[[#This Row],[Harvests]]&gt;1</f>
        <v>0</v>
      </c>
      <c r="BT174" s="36">
        <f>IFERROR(Crops[[#This Row],[Direct Revenue Per Bed]]/Crops[[#This Row],[Days In Field]],-1)</f>
        <v>0</v>
      </c>
      <c r="BU174" s="36">
        <f>IFERROR(Crops[[#This Row],[Direct Revenue Per Bed Day]]*GrowingDays*BedsPerAcre,"")</f>
        <v>0</v>
      </c>
      <c r="BV174" s="38">
        <f>LastFrostDate-5*Crops[[#This Row],[Sewing Rel Last Frost]]</f>
        <v>45748</v>
      </c>
      <c r="BW174" s="38">
        <f>Crops[[#This Row],[Target Sewing Date]]+Crops[[#This Row],[Days in Cells]]</f>
        <v>45748</v>
      </c>
      <c r="BX174" s="38">
        <f>Crops[[#This Row],[Target Sewing Date]]+Crops[[#This Row],[STH]]</f>
        <v>45748</v>
      </c>
      <c r="BY174" s="38">
        <f>Crops[[#This Row],[Target Harvest Data]]+Crops[[#This Row],[Harvest window]]</f>
        <v>45755</v>
      </c>
      <c r="CB174">
        <f>1</f>
        <v>1</v>
      </c>
      <c r="CC174">
        <f>IF(Crops[[#This Row],[Transplanting]]&gt;0, 2, 3)*BedLength/StandardBedLength</f>
        <v>1.5</v>
      </c>
      <c r="CD174" s="173">
        <f>IF(Crops[[#This Row],[Days in Cells]]&lt;=0,0,Crops[[#This Row],[Plantings Per Bed]]/StartsPerHourSeeding+Crops[[#This Row],[Tray 1 Count]]*5/60)</f>
        <v>0</v>
      </c>
      <c r="CE174" s="173">
        <f>IF(ISBLANK(Crops[[#This Row],[Tray 2 Days]]),0,Crops[[#This Row],[Plantings Per Bed]]/UpPottingPerHour)+IF(Crops[[#This Row],[Tray 3 Days]]="",0,Crops[[#This Row],[Plantings Per Bed]]/UpPottingPerHour)</f>
        <v>0</v>
      </c>
      <c r="CF174" s="173">
        <f>IFERROR(Crops[[#This Row],[Tray 1 Count]]/HomeStartFlatIrrigationPerHour,0)*Crops[[#This Row],[Days in Cells]]/DaysBetweenStartIrrigation</f>
        <v>0</v>
      </c>
      <c r="CG174" s="173">
        <f>0.5/16*MAX(Crops[[#This Row],[Tray 1 Count]],Crops[[#This Row],[Tray 2 Count]],Crops[[#This Row],[Tray 3 Count]])</f>
        <v>0</v>
      </c>
      <c r="CH174" s="173">
        <f>IF(Crops[[#This Row],[Days in Cells]]&gt;0,IF(IF(Crops[[#This Row],[Tray 3 Size]]&gt;0,Crops[[#This Row],[Tray 3 Size]],IF(Crops[[#This Row],[Tray 2 Size]]&gt;0,Crops[[#This Row],[Tray 2 Size]],Crops[[#This Row],[Tray 1 Size]]))&lt;=18,LargeTransplantTime,SmallTransplantTime)*Crops[[#This Row],[Plantings Per Bed]],0)</f>
        <v>0</v>
      </c>
      <c r="CI174" s="173"/>
      <c r="CJ174" s="173">
        <f>_xlfn.XLOOKUP(Crops[[#This Row],[Trellis Type]],TrellisMethods[Trellis Type],TrellisMethods[Hours],0,0)</f>
        <v>0</v>
      </c>
      <c r="CK174">
        <f>IF(Crops[[#This Row],[Days in Cells]]&lt;=0,Crops[[#This Row],[Rows]]*1/10,0)*BedLength/50</f>
        <v>0</v>
      </c>
      <c r="CL174" cm="1">
        <f t="array" ref="CL174">_xlfn.SWITCH(Crops[[#This Row],[Irrigation]],"DR", 0.5, "OH", 0.25,0)*BedLength/50</f>
        <v>0</v>
      </c>
      <c r="CM174">
        <f>IF(OR(ISBLANK(Crops[[#This Row],[Row Cover]]),Crops[[#This Row],[Row Cover]]="None"),0,1)*BedLength/50</f>
        <v>0</v>
      </c>
      <c r="CN174" s="173">
        <f>HoursPerWeedingPass*Crops[[#This Row],[Days In Field]]/14*Crops[[#This Row],[Rows]]+1*BedLength/50</f>
        <v>1</v>
      </c>
      <c r="CQ174" s="37" t="e">
        <f>_xlfn.XLOOKUP(Crops[[#This Row],[Crop]]&amp;Crops[[#This Row],[Product]]&amp;Crops[[#This Row],[Unit]],Products[ID],Products[Marketing (hr)])*Crops[[#This Row],[Direct Revenue Per Bed]]/2000</f>
        <v>#N/A</v>
      </c>
      <c r="CR174" s="37" t="e">
        <f>_xlfn.XLOOKUP(Crops[[#This Row],[Crop]]&amp;Crops[[#This Row],[Product]]&amp;Crops[[#This Row],[Unit]],Products[ID],Products[Harvest (s)])*Crops[[#This Row],[Custom Yield Per Bed]]/3600</f>
        <v>#N/A</v>
      </c>
      <c r="CS174" s="37" t="e">
        <f>_xlfn.XLOOKUP(Crops[[#This Row],[Crop]]&amp;Crops[[#This Row],[Product]]&amp;Crops[[#This Row],[Unit]],Products[ID],Products[Bunch (s)])*Crops[[#This Row],[Custom Yield Per Bed]]/3600</f>
        <v>#N/A</v>
      </c>
      <c r="CT174" s="37" t="e">
        <f>_xlfn.XLOOKUP(Crops[[#This Row],[Crop]]&amp;Crops[[#This Row],[Product]]&amp;Crops[[#This Row],[Unit]],Products[ID],Products[Haul (s)])*Crops[[#This Row],[Custom Yield Per Bed]]/3600</f>
        <v>#N/A</v>
      </c>
      <c r="CU174" s="37" t="e">
        <f>_xlfn.XLOOKUP(Crops[[#This Row],[Crop]]&amp;Crops[[#This Row],[Product]]&amp;Crops[[#This Row],[Unit]],Products[ID],Products[Wash (s)])*Crops[[#This Row],[Custom Yield Per Bed]]/3600</f>
        <v>#N/A</v>
      </c>
      <c r="CV174" s="37" t="e">
        <f>_xlfn.XLOOKUP(Crops[[#This Row],[Crop]]&amp;Crops[[#This Row],[Product]]&amp;Crops[[#This Row],[Unit]],Products[ID],Products[Condition (s)])*Crops[[#This Row],[Custom Yield Per Bed]]/3600</f>
        <v>#N/A</v>
      </c>
      <c r="CW174" s="37" t="e">
        <f>_xlfn.XLOOKUP(Crops[[#This Row],[Crop]]&amp;Crops[[#This Row],[Product]]&amp;Crops[[#This Row],[Unit]],Products[ID],Products[Trim (s)])*Crops[[#This Row],[Custom Yield Per Bed]]/3600</f>
        <v>#N/A</v>
      </c>
      <c r="CX174" s="37" t="e">
        <f>_xlfn.XLOOKUP(Crops[[#This Row],[Crop]]&amp;Crops[[#This Row],[Product]]&amp;Crops[[#This Row],[Unit]],Products[ID],Products[Pack (s)])*Crops[[#This Row],[Custom Yield Per Bed]]/3600</f>
        <v>#N/A</v>
      </c>
      <c r="CY174" s="37" t="e">
        <f>_xlfn.XLOOKUP(Crops[[#This Row],[Crop]]&amp;Crops[[#This Row],[Product]]&amp;Crops[[#This Row],[Unit]],Products[ID],Products[Clean (s)])*Crops[[#This Row],[Custom Yield Per Bed]]/3600</f>
        <v>#N/A</v>
      </c>
      <c r="CZ174" s="37" t="e">
        <f>_xlfn.XLOOKUP(Crops[[#This Row],[Crop]]&amp;Crops[[#This Row],[Product]]&amp;Crops[[#This Row],[Unit]],Products[ID],Products[Rehandle (s)])*Crops[[#This Row],[Custom Yield Per Bed]]/3600</f>
        <v>#N/A</v>
      </c>
      <c r="DA174" s="37" t="e">
        <f>_xlfn.XLOOKUP(Crops[[#This Row],[Crop]]&amp;Crops[[#This Row],[Product]]&amp;Crops[[#This Row],[Unit]],Products[ID],Products[Market Transport (s)])*Crops[[#This Row],[Custom Yield Per Bed]]/3600</f>
        <v>#N/A</v>
      </c>
      <c r="DC174" s="37">
        <f>Crops[[#This Row],[Direct Revenue Per Bed2]]</f>
        <v>0</v>
      </c>
      <c r="DD174" s="173">
        <f>_xlfn.AGGREGATE(9,6,Crops[[#This Row],[Bed Prep]:[Remove Crop Residue]])</f>
        <v>2.5</v>
      </c>
      <c r="DE174" s="173" t="e">
        <f>_xlfn.AGGREGATE(9,6,Crops[[#This Row],[Bed Prep]:[Remove Crop Residue]])-0.75*Crops[[#This Row],[Market &amp; Sell]]</f>
        <v>#N/A</v>
      </c>
      <c r="DF174" s="36">
        <f>Crops[[#This Row],[Direct Revenue Per Bed2]]/Crops[[#This Row],[Direct Time]]</f>
        <v>0</v>
      </c>
      <c r="DG174" s="36" t="e">
        <f>_xlfn.XLOOKUP(Crops[[#This Row],[ProductIndex]],Products[ID],Products[Packaging Cost])*(Crops[[#This Row],[Custom Yield Per Bed]]/_xlfn.XLOOKUP(Crops[[#This Row],[ProductIndex]],Products[ID],Products[Units Per Pack]))</f>
        <v>#N/A</v>
      </c>
      <c r="DH174" s="36"/>
      <c r="DI174" s="36"/>
      <c r="DJ174" s="36"/>
      <c r="DK174" s="36"/>
      <c r="DL174" s="36"/>
      <c r="DM174" s="33">
        <f>IFERROR(Crops[[#This Row],[Custom Yield Per Bed]]*Crops[[#This Row],[Direct Price]],"")</f>
        <v>0</v>
      </c>
      <c r="DN174" s="36">
        <f>Crops[[#This Row],[Direct Time]]*LaborRate</f>
        <v>62.5</v>
      </c>
      <c r="DO174" s="36">
        <f>SUM(Crops[[#This Row],[Irrigation Cost]])</f>
        <v>0</v>
      </c>
      <c r="DP174" s="36">
        <f>Crops[[#This Row],[Direct Labor Cost]]+Crops[[#This Row],[Direct Non-Labor Cost]]</f>
        <v>62.5</v>
      </c>
      <c r="DQ174" s="36">
        <f>Crops[[#This Row],[Direct Revenue Per Bed2]]-Crops[[#This Row],[Direct Total Cost]]</f>
        <v>-62.5</v>
      </c>
      <c r="DR174" s="36">
        <f>Crops[[#This Row],[Direct Profit]]*BedsPerAcre</f>
        <v>-10000</v>
      </c>
      <c r="DS174" s="36">
        <f>Crops[[#This Row],[Direct Profit]]*BedsPerAcre*GrowingDays/Crops[[#This Row],[Days In Field]]</f>
        <v>-257142.85714285713</v>
      </c>
      <c r="DT174" s="36">
        <f>Crops[[#This Row],[Direct Profit]]/MIN(Crops[[#This Row],[Days In Field]],GrowingDays)</f>
        <v>-8.9285714285714288</v>
      </c>
      <c r="DU174" s="36">
        <f>Crops[[#This Row],[Direct Time]] * BedsPerAcre</f>
        <v>400</v>
      </c>
      <c r="DV174" s="36">
        <f>(Crops[[#This Row],[Direct Revenue Per Bed2]]-Crops[[#This Row],[Direct Non-Labor Cost]])/Crops[[#This Row],[Direct Time]]</f>
        <v>0</v>
      </c>
      <c r="DW174" s="33">
        <f>IFERROR(Crops[[#This Row],[Custom Yield Per Bed]]*Crops[[#This Row],[Rough Wholesale Price]],"")</f>
        <v>0</v>
      </c>
      <c r="DX174" s="36" t="e">
        <f>Crops[[#This Row],[Wholesale Time]]*LaborRate</f>
        <v>#N/A</v>
      </c>
      <c r="DY174" s="36" t="e">
        <f>SUM(Crops[[#This Row],[Packaging Costs]:[Irrigation Cost]])</f>
        <v>#N/A</v>
      </c>
      <c r="DZ174" s="36" t="e">
        <f>Crops[[#This Row],[Wholesale Labor Cost]]+Crops[[#This Row],[Wholesale Non-Labor Cost]]</f>
        <v>#N/A</v>
      </c>
      <c r="EA174" s="36" t="e">
        <f>Crops[[#This Row],[Wholesale Revenue Per Bed]]-Crops[[#This Row],[Wholesale Total Cost]]</f>
        <v>#N/A</v>
      </c>
      <c r="EB174" s="36" t="e">
        <f>Crops[[#This Row],[Wholesale Profit]]*BedsPerAcre</f>
        <v>#N/A</v>
      </c>
      <c r="EC174" s="36" t="e">
        <f>Crops[[#This Row],[Wholesale Profit]]*BedsPerAcre*GrowingDays/Crops[[#This Row],[Days In Field]]</f>
        <v>#N/A</v>
      </c>
      <c r="ED174" s="36" t="e">
        <f>Crops[[#This Row],[Wholesale Time]] * BedsPerAcre</f>
        <v>#N/A</v>
      </c>
      <c r="EE174" s="36" t="e">
        <f>Crops[[#This Row],[Wholesale Profit]]/MIN(Crops[[#This Row],[Days In Field]],GrowingDays)</f>
        <v>#N/A</v>
      </c>
      <c r="EF174" s="36" t="e">
        <f>(Crops[[#This Row],[Wholesale Revenue Per Bed]]-Crops[[#This Row],[Wholesale Non-Labor Cost]])/Crops[[#This Row],[Direct Time]]</f>
        <v>#N/A</v>
      </c>
      <c r="EG174" s="174" t="e">
        <f>Crops[[#This Row],[Packaging Costs]]/Crops[[#This Row],[Wholesale Revenue Per Bed]]</f>
        <v>#N/A</v>
      </c>
      <c r="EH174" s="36" t="str">
        <f>Crops[[#This Row],[Crop]]&amp;Crops[[#This Row],[Product]]&amp;Crops[[#This Row],[Unit]]</f>
        <v>LettuceBaby LeafLb</v>
      </c>
      <c r="EI174" s="36" t="e">
        <f>_xlfn.XLOOKUP(Crops[[#This Row],[ProductIndex]],Products[ID],Products[Target])</f>
        <v>#N/A</v>
      </c>
      <c r="EJ174" s="36">
        <f>Crops[[#This Row],[Custom Yield Per Bed]]</f>
        <v>0</v>
      </c>
      <c r="EK174" s="210" t="e">
        <f>Crops[[#This Row],[Units Per Harvest]]/Crops[[#This Row],[Days Between Harvest]]*7</f>
        <v>#DIV/0!</v>
      </c>
      <c r="EL174" s="210" t="e">
        <f>Crops[[#This Row],[Custom Yield Per Bed]]/_xlfn.XLOOKUP(Crops[[#This Row],[ProductIndex]],Products[ID],Products[CSA Portion])</f>
        <v>#N/A</v>
      </c>
      <c r="EM174" s="210" t="e">
        <f>Crops[[#This Row],[Units Per Harvest]]/Crops[[#This Row],[Days Between Harvest]]*7/_xlfn.XLOOKUP(Crops[[#This Row],[ProductIndex]],Products[ID],Products[CSA Portion])</f>
        <v>#DIV/0!</v>
      </c>
      <c r="EN174" s="210" t="e">
        <f>Crops[[#This Row],[CSA Portions Per Week]]/CSAMembers</f>
        <v>#DIV/0!</v>
      </c>
      <c r="EO174" s="210"/>
      <c r="EP174" s="210"/>
      <c r="EQ174" s="36"/>
      <c r="ER174" s="36">
        <f>Crops[[#This Row],[Harvests]]*Crops[[#This Row],[Days Between Harvest]]/7</f>
        <v>0</v>
      </c>
      <c r="ES174" s="208" t="e">
        <f>_xlfn.XLOOKUP(Crops[[#This Row],[ProductIndex]],Products[ID],Products[CSA Need])</f>
        <v>#N/A</v>
      </c>
      <c r="ET174" s="208" t="e">
        <f>_xlfn.XLOOKUP(Crops[[#This Row],[ProductIndex]],Products[ID],Products[CSA Times])</f>
        <v>#N/A</v>
      </c>
      <c r="EU174" s="208" t="e">
        <f>Crops[[#This Row],[Custom Yield Per Bed]]/(Crops[[#This Row],[CSA Need]]*(_xlfn.XLOOKUP(Crops[[#This Row],[ProductIndex]],Products[ID],Products[CSA Portion])*CSAMembers))</f>
        <v>#N/A</v>
      </c>
      <c r="EV174" s="208" t="e">
        <f>_xlfn.XLOOKUP(Crops[[#This Row],[ProductIndex]],Products[ID],Products[CSA Portion])*CSAMembers*Crops[[#This Row],[CSA Need]]/Crops[[#This Row],[Custom Yield Per Bed]]</f>
        <v>#N/A</v>
      </c>
      <c r="EW174" s="208" t="str">
        <f>IFERROR(Crops[[#This Row],[Days In Field]]*Crops[[#This Row],[CSA Beds]],"")</f>
        <v/>
      </c>
      <c r="EX174" s="208" t="e">
        <f>Crops[[#This Row],[CSA Bed Days]]*#REF!</f>
        <v>#VALUE!</v>
      </c>
      <c r="EY174">
        <v>0</v>
      </c>
    </row>
    <row r="175" spans="1:155">
      <c r="A17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 Overwinter Head 1X | Field DS Ow</v>
      </c>
      <c r="B175" s="179"/>
      <c r="C175" s="1"/>
      <c r="D175" s="1"/>
      <c r="E175" s="1" t="b">
        <v>0</v>
      </c>
      <c r="F175" s="1" t="b">
        <f>IFERROR(IF(ISNUMBER(MATCH(Crops[[#This Row],[Identifier]],BedPlan[Crop], 0)), TRUE, FALSE), FALSE)</f>
        <v>0</v>
      </c>
      <c r="G175" s="1" t="b">
        <f>IFERROR(IF(ISNUMBER(MATCH(Crops[[#This Row],[Identifier]],BedPlan[Crop], 0)), TRUE, FALSE), FALSE)</f>
        <v>0</v>
      </c>
      <c r="H175" s="1" t="b">
        <v>1</v>
      </c>
      <c r="I175" t="s">
        <v>92</v>
      </c>
      <c r="J175" t="s">
        <v>145</v>
      </c>
      <c r="K175" t="s">
        <v>201</v>
      </c>
      <c r="N175" t="str">
        <f>Crops[[#This Row],[Crop]]</f>
        <v>Lettuce</v>
      </c>
      <c r="O175" t="s">
        <v>210</v>
      </c>
      <c r="P175" t="str">
        <f>IF(OR(Crops[[#This Row],[Days in Cells]]="",Crops[[#This Row],[Days in Cells]]=0), "DS","TP")</f>
        <v>DS</v>
      </c>
      <c r="U175" t="s">
        <v>144</v>
      </c>
      <c r="V175" t="str">
        <f xml:space="preserve"> IF(Crops[[#This Row],[Sp]], "Sp", "") &amp; IF(Crops[[#This Row],[Su]], "Su", "") &amp; IF(Crops[[#This Row],[Fa]], "Fa", "") &amp; IF(Crops[[#This Row],[Wi]], "Wi", "") &amp; IF(Crops[[#This Row],[OW]], "Ow","")</f>
        <v>Ow</v>
      </c>
      <c r="X175">
        <v>3</v>
      </c>
      <c r="Y175">
        <v>9</v>
      </c>
      <c r="AD175" s="32">
        <f>IFERROR(12/Crops[[#This Row],[Spacing]]*Crops[[#This Row],[Rows]]*BedLength,"")</f>
        <v>200</v>
      </c>
      <c r="AE175">
        <v>1</v>
      </c>
      <c r="AG175">
        <f>IF(Crops[[#This Row],[Custom Safety Factor]]="",PlantingSafetyFactor,Crops[[#This Row],[Custom Safety Factor]])</f>
        <v>1.3</v>
      </c>
      <c r="AH175">
        <v>1.3</v>
      </c>
      <c r="AI175" s="33">
        <f>IFERROR(Crops[[#This Row],[Plantings Per Bed]]*Crops[[#This Row],[Seeds Per Planting]]*Crops[[#This Row],[Safety Factor]]*Crops[[#This Row],[Seeding Factor]],"")</f>
        <v>338</v>
      </c>
      <c r="AL175">
        <f>_xlfn.FLOOR.MATH(IFERROR(AVERAGE(Crops[[#This Row],[DTG Lower]:[DTG Upper]]),0))</f>
        <v>0</v>
      </c>
      <c r="AM175">
        <f>SUM(Crops[[#This Row],[Tray 1 Days]],Crops[[#This Row],[Tray 2 Days]],Crops[[#This Row],[Tray 3 Days]])</f>
        <v>0</v>
      </c>
      <c r="AP175">
        <v>180</v>
      </c>
      <c r="AQ175">
        <f>IFERROR(_xlfn.FLOOR.MATH(AVERAGE(Crops[[#This Row],[DTM Lower]:[DTM Upper]])),"")</f>
        <v>180</v>
      </c>
      <c r="AR175" cm="1">
        <f t="array" ref="AR175">_xlfn.SWITCH(Crops[[#This Row],[Normal Method]],"DS",Crops[[#This Row],[Days to Germination]]+Crops[[#This Row],[DTM]] + IF(Crops[[#This Row],[Days in Cells]]&gt;0,15,0), "TP",Crops[[#This Row],[DTM]]+Crops[[#This Row],[Days in Cells]] + IF(Crops[[#This Row],[Days in Cells]]&lt;=0,20,0), "X", Crops[[#This Row],[DTM]])</f>
        <v>200</v>
      </c>
      <c r="AS175" t="s">
        <v>346</v>
      </c>
      <c r="AT175">
        <f>(Crops[[#This Row],[Harvests]]-1)*Crops[[#This Row],[Days Between Harvest]]+7</f>
        <v>7</v>
      </c>
      <c r="AU175">
        <f>Crops[[#This Row],[STH]]-Crops[[#This Row],[Days in Cells]]+Crops[[#This Row],[Harvest window]]</f>
        <v>207</v>
      </c>
      <c r="AW175">
        <v>128</v>
      </c>
      <c r="AZ175" t="str">
        <f>IFERROR(IF(Crops[[#This Row],[Tray 1 Days]]=0,"",Crops[[#This Row],[Plantings Per Bed]]/Crops[[#This Row],[Tray 1 Size]]*Crops[[#This Row],[Safety Factor]]),"")</f>
        <v/>
      </c>
      <c r="BC175" t="str">
        <f>IFERROR(IF(Crops[[#This Row],[Tray 2 Days]]=0,"",Crops[[#This Row],[Plantings Per Bed]]/Crops[[#This Row],[Tray 2 Size]]*Crops[[#This Row],[Safety Factor]]),"")</f>
        <v/>
      </c>
      <c r="BE175" s="32" t="str">
        <f>IF(NOT(ISBLANK(Crops[[#This Row],[Tray 3 Size]])), Crops[[#This Row],[Days in Cells Old]]-SUM(Crops[[#This Row],[Tray 1 Days]],Crops[[#This Row],[Tray 2 Days]]), "")</f>
        <v/>
      </c>
      <c r="BF175" t="str">
        <f>IFERROR(IF(Crops[[#This Row],[Tray 3 Days]]=0,"",Crops[[#This Row],[Plantings Per Bed]]/Crops[[#This Row],[Tray 3 Size]]*Crops[[#This Row],[Safety Factor]]),"")</f>
        <v/>
      </c>
      <c r="BG175" s="33">
        <f>Crops[[#This Row],[Plantings Per Bed]]</f>
        <v>200</v>
      </c>
      <c r="BH175" s="33">
        <v>1</v>
      </c>
      <c r="BI175" s="33">
        <v>0</v>
      </c>
      <c r="BJ175" s="33">
        <f>_xlfn.XLOOKUP(Crops[[#This Row],[ProductIndex]],Products[ID],Products[Holding Period])</f>
        <v>0</v>
      </c>
      <c r="BK175" s="33"/>
      <c r="BL175" s="33">
        <f>Crops[[#This Row],[Units Per Harvest]]*Crops[[#This Row],[Harvests]]</f>
        <v>200</v>
      </c>
      <c r="BM175" s="35">
        <v>4</v>
      </c>
      <c r="BN175" s="35">
        <f>Crops[[#This Row],[Direct Price]]*0.6</f>
        <v>2.4</v>
      </c>
      <c r="BO175" s="35"/>
      <c r="BP175" t="s">
        <v>214</v>
      </c>
      <c r="BQ175">
        <f>Crops[[#This Row],[Custom Yield Per Bed]]*Crops[[#This Row],[Direct Price]]</f>
        <v>800</v>
      </c>
      <c r="BR175" t="b">
        <v>1</v>
      </c>
      <c r="BS175" t="b">
        <f>Crops[[#This Row],[Harvests]]&gt;1</f>
        <v>0</v>
      </c>
      <c r="BT175" s="36">
        <f>IFERROR(Crops[[#This Row],[Direct Revenue Per Bed]]/Crops[[#This Row],[Days In Field]],-1)</f>
        <v>3.8647342995169081</v>
      </c>
      <c r="BU175" s="36">
        <f>IFERROR(Crops[[#This Row],[Direct Revenue Per Bed Day]]*GrowingDays*BedsPerAcre,"")</f>
        <v>111304.34782608696</v>
      </c>
      <c r="BV175" s="38">
        <f>LastFrostDate-5*Crops[[#This Row],[Sewing Rel Last Frost]]</f>
        <v>45748</v>
      </c>
      <c r="BW175" s="38">
        <f>Crops[[#This Row],[Target Sewing Date]]+Crops[[#This Row],[Days in Cells]]</f>
        <v>45748</v>
      </c>
      <c r="BX175" s="38">
        <f>Crops[[#This Row],[Target Sewing Date]]+Crops[[#This Row],[STH]]</f>
        <v>45948</v>
      </c>
      <c r="BY175" s="38">
        <f>Crops[[#This Row],[Target Harvest Data]]+Crops[[#This Row],[Harvest window]]</f>
        <v>45955</v>
      </c>
      <c r="CB175">
        <f>1</f>
        <v>1</v>
      </c>
      <c r="CC175">
        <f>IF(Crops[[#This Row],[Transplanting]]&gt;0, 2, 3)*BedLength/StandardBedLength</f>
        <v>1.5</v>
      </c>
      <c r="CD175" s="173">
        <f>IF(Crops[[#This Row],[Days in Cells]]&lt;=0,0,Crops[[#This Row],[Plantings Per Bed]]/StartsPerHourSeeding+Crops[[#This Row],[Tray 1 Count]]*5/60)</f>
        <v>0</v>
      </c>
      <c r="CE175" s="173">
        <f>IF(ISBLANK(Crops[[#This Row],[Tray 2 Days]]),0,Crops[[#This Row],[Plantings Per Bed]]/UpPottingPerHour)+IF(Crops[[#This Row],[Tray 3 Days]]="",0,Crops[[#This Row],[Plantings Per Bed]]/UpPottingPerHour)</f>
        <v>0</v>
      </c>
      <c r="CF175" s="173">
        <f>IFERROR(Crops[[#This Row],[Tray 1 Count]]/HomeStartFlatIrrigationPerHour,0)*Crops[[#This Row],[Days in Cells]]/DaysBetweenStartIrrigation</f>
        <v>0</v>
      </c>
      <c r="CG175" s="173">
        <f>0.5/16*MAX(Crops[[#This Row],[Tray 1 Count]],Crops[[#This Row],[Tray 2 Count]],Crops[[#This Row],[Tray 3 Count]])</f>
        <v>0</v>
      </c>
      <c r="CH175" s="173">
        <f>IF(Crops[[#This Row],[Days in Cells]]&gt;0,IF(IF(Crops[[#This Row],[Tray 3 Size]]&gt;0,Crops[[#This Row],[Tray 3 Size]],IF(Crops[[#This Row],[Tray 2 Size]]&gt;0,Crops[[#This Row],[Tray 2 Size]],Crops[[#This Row],[Tray 1 Size]]))&lt;=18,LargeTransplantTime,SmallTransplantTime)*Crops[[#This Row],[Plantings Per Bed]],0)</f>
        <v>0</v>
      </c>
      <c r="CI175" s="173"/>
      <c r="CJ175" s="173">
        <f>_xlfn.XLOOKUP(Crops[[#This Row],[Trellis Type]],TrellisMethods[Trellis Type],TrellisMethods[Hours],0,0)</f>
        <v>0</v>
      </c>
      <c r="CK175">
        <f>IF(Crops[[#This Row],[Days in Cells]]&lt;=0,Crops[[#This Row],[Rows]]*1/10,0)*BedLength/50</f>
        <v>0.3</v>
      </c>
      <c r="CL175" cm="1">
        <f t="array" ref="CL175">_xlfn.SWITCH(Crops[[#This Row],[Irrigation]],"DR", 0.5, "OH", 0.25,0)*BedLength/50</f>
        <v>0</v>
      </c>
      <c r="CM175">
        <f>IF(OR(ISBLANK(Crops[[#This Row],[Row Cover]]),Crops[[#This Row],[Row Cover]]="None"),0,1)*BedLength/50</f>
        <v>0</v>
      </c>
      <c r="CN175" s="173">
        <f>HoursPerWeedingPass*Crops[[#This Row],[Days In Field]]/14*Crops[[#This Row],[Rows]]+1*BedLength/50</f>
        <v>8.3928571428571423</v>
      </c>
      <c r="CQ175" s="37">
        <f>_xlfn.XLOOKUP(Crops[[#This Row],[Crop]]&amp;Crops[[#This Row],[Product]]&amp;Crops[[#This Row],[Unit]],Products[ID],Products[Marketing (hr)])*Crops[[#This Row],[Direct Revenue Per Bed]]/2000</f>
        <v>0.8</v>
      </c>
      <c r="CR175" s="37">
        <f>_xlfn.XLOOKUP(Crops[[#This Row],[Crop]]&amp;Crops[[#This Row],[Product]]&amp;Crops[[#This Row],[Unit]],Products[ID],Products[Harvest (s)])*Crops[[#This Row],[Custom Yield Per Bed]]/3600</f>
        <v>0.55555555555555558</v>
      </c>
      <c r="CS175" s="37">
        <f>_xlfn.XLOOKUP(Crops[[#This Row],[Crop]]&amp;Crops[[#This Row],[Product]]&amp;Crops[[#This Row],[Unit]],Products[ID],Products[Bunch (s)])*Crops[[#This Row],[Custom Yield Per Bed]]/3600</f>
        <v>0</v>
      </c>
      <c r="CT175" s="37">
        <f>_xlfn.XLOOKUP(Crops[[#This Row],[Crop]]&amp;Crops[[#This Row],[Product]]&amp;Crops[[#This Row],[Unit]],Products[ID],Products[Haul (s)])*Crops[[#This Row],[Custom Yield Per Bed]]/3600</f>
        <v>0.20833333333333334</v>
      </c>
      <c r="CU175" s="37">
        <f>_xlfn.XLOOKUP(Crops[[#This Row],[Crop]]&amp;Crops[[#This Row],[Product]]&amp;Crops[[#This Row],[Unit]],Products[ID],Products[Wash (s)])*Crops[[#This Row],[Custom Yield Per Bed]]/3600</f>
        <v>1.1111111111111112</v>
      </c>
      <c r="CV175" s="37">
        <f>_xlfn.XLOOKUP(Crops[[#This Row],[Crop]]&amp;Crops[[#This Row],[Product]]&amp;Crops[[#This Row],[Unit]],Products[ID],Products[Condition (s)])*Crops[[#This Row],[Custom Yield Per Bed]]/3600</f>
        <v>0</v>
      </c>
      <c r="CW175" s="37">
        <f>_xlfn.XLOOKUP(Crops[[#This Row],[Crop]]&amp;Crops[[#This Row],[Product]]&amp;Crops[[#This Row],[Unit]],Products[ID],Products[Trim (s)])*Crops[[#This Row],[Custom Yield Per Bed]]/3600</f>
        <v>0.55555555555555558</v>
      </c>
      <c r="CX175" s="37">
        <f>_xlfn.XLOOKUP(Crops[[#This Row],[Crop]]&amp;Crops[[#This Row],[Product]]&amp;Crops[[#This Row],[Unit]],Products[ID],Products[Pack (s)])*Crops[[#This Row],[Custom Yield Per Bed]]/3600</f>
        <v>0.16666666666666666</v>
      </c>
      <c r="CY175" s="37">
        <f>_xlfn.XLOOKUP(Crops[[#This Row],[Crop]]&amp;Crops[[#This Row],[Product]]&amp;Crops[[#This Row],[Unit]],Products[ID],Products[Clean (s)])*Crops[[#This Row],[Custom Yield Per Bed]]/3600</f>
        <v>0</v>
      </c>
      <c r="CZ175" s="37">
        <f>_xlfn.XLOOKUP(Crops[[#This Row],[Crop]]&amp;Crops[[#This Row],[Product]]&amp;Crops[[#This Row],[Unit]],Products[ID],Products[Rehandle (s)])*Crops[[#This Row],[Custom Yield Per Bed]]/3600</f>
        <v>0</v>
      </c>
      <c r="DA175" s="37">
        <f>_xlfn.XLOOKUP(Crops[[#This Row],[Crop]]&amp;Crops[[#This Row],[Product]]&amp;Crops[[#This Row],[Unit]],Products[ID],Products[Market Transport (s)])*Crops[[#This Row],[Custom Yield Per Bed]]/3600</f>
        <v>0.52083333333333337</v>
      </c>
      <c r="DC175" s="37">
        <f>Crops[[#This Row],[Direct Revenue Per Bed2]]</f>
        <v>800</v>
      </c>
      <c r="DD175" s="173">
        <f>_xlfn.AGGREGATE(9,6,Crops[[#This Row],[Bed Prep]:[Remove Crop Residue]])</f>
        <v>14.110912698412699</v>
      </c>
      <c r="DE175" s="173">
        <f>_xlfn.AGGREGATE(9,6,Crops[[#This Row],[Bed Prep]:[Remove Crop Residue]])-0.75*Crops[[#This Row],[Market &amp; Sell]]</f>
        <v>13.510912698412699</v>
      </c>
      <c r="DF175" s="36">
        <f>Crops[[#This Row],[Direct Revenue Per Bed2]]/Crops[[#This Row],[Direct Time]]</f>
        <v>56.693710541486801</v>
      </c>
      <c r="DG175" s="36">
        <f>_xlfn.XLOOKUP(Crops[[#This Row],[ProductIndex]],Products[ID],Products[Packaging Cost])*(Crops[[#This Row],[Custom Yield Per Bed]]/_xlfn.XLOOKUP(Crops[[#This Row],[ProductIndex]],Products[ID],Products[Units Per Pack]))</f>
        <v>31.666666666666668</v>
      </c>
      <c r="DH175" s="36"/>
      <c r="DI175" s="36"/>
      <c r="DJ175" s="36"/>
      <c r="DK175" s="36"/>
      <c r="DL175" s="36"/>
      <c r="DM175" s="33">
        <f>IFERROR(Crops[[#This Row],[Custom Yield Per Bed]]*Crops[[#This Row],[Direct Price]],"")</f>
        <v>800</v>
      </c>
      <c r="DN175" s="36">
        <f>Crops[[#This Row],[Direct Time]]*LaborRate</f>
        <v>352.77281746031747</v>
      </c>
      <c r="DO175" s="36">
        <f>SUM(Crops[[#This Row],[Irrigation Cost]])</f>
        <v>0</v>
      </c>
      <c r="DP175" s="36">
        <f>Crops[[#This Row],[Direct Labor Cost]]+Crops[[#This Row],[Direct Non-Labor Cost]]</f>
        <v>352.77281746031747</v>
      </c>
      <c r="DQ175" s="36">
        <f>Crops[[#This Row],[Direct Revenue Per Bed2]]-Crops[[#This Row],[Direct Total Cost]]</f>
        <v>447.22718253968253</v>
      </c>
      <c r="DR175" s="36">
        <f>Crops[[#This Row],[Direct Profit]]*BedsPerAcre</f>
        <v>71556.349206349201</v>
      </c>
      <c r="DS175" s="36">
        <f>Crops[[#This Row],[Direct Profit]]*BedsPerAcre*GrowingDays/Crops[[#This Row],[Days In Field]]</f>
        <v>62222.912353347136</v>
      </c>
      <c r="DT175" s="36">
        <f>Crops[[#This Row],[Direct Profit]]/MIN(Crops[[#This Row],[Days In Field]],GrowingDays)</f>
        <v>2.4845954585537919</v>
      </c>
      <c r="DU175" s="36">
        <f>Crops[[#This Row],[Direct Time]] * BedsPerAcre</f>
        <v>2257.7460317460318</v>
      </c>
      <c r="DV175" s="36">
        <f>(Crops[[#This Row],[Direct Revenue Per Bed2]]-Crops[[#This Row],[Direct Non-Labor Cost]])/Crops[[#This Row],[Direct Time]]</f>
        <v>56.693710541486801</v>
      </c>
      <c r="DW175" s="33">
        <f>IFERROR(Crops[[#This Row],[Custom Yield Per Bed]]*Crops[[#This Row],[Rough Wholesale Price]],"")</f>
        <v>480</v>
      </c>
      <c r="DX175" s="36">
        <f>Crops[[#This Row],[Wholesale Time]]*LaborRate</f>
        <v>337.77281746031747</v>
      </c>
      <c r="DY175" s="36">
        <f>SUM(Crops[[#This Row],[Packaging Costs]:[Irrigation Cost]])</f>
        <v>31.666666666666668</v>
      </c>
      <c r="DZ175" s="36">
        <f>Crops[[#This Row],[Wholesale Labor Cost]]+Crops[[#This Row],[Wholesale Non-Labor Cost]]</f>
        <v>369.43948412698415</v>
      </c>
      <c r="EA175" s="36">
        <f>Crops[[#This Row],[Wholesale Revenue Per Bed]]-Crops[[#This Row],[Wholesale Total Cost]]</f>
        <v>110.56051587301585</v>
      </c>
      <c r="EB175" s="36">
        <f>Crops[[#This Row],[Wholesale Profit]]*BedsPerAcre</f>
        <v>17689.682539682537</v>
      </c>
      <c r="EC175" s="36">
        <f>Crops[[#This Row],[Wholesale Profit]]*BedsPerAcre*GrowingDays/Crops[[#This Row],[Days In Field]]</f>
        <v>15382.332643202208</v>
      </c>
      <c r="ED175" s="36">
        <f>Crops[[#This Row],[Wholesale Time]] * BedsPerAcre</f>
        <v>2161.7460317460318</v>
      </c>
      <c r="EE175" s="36">
        <f>Crops[[#This Row],[Wholesale Profit]]/MIN(Crops[[#This Row],[Days In Field]],GrowingDays)</f>
        <v>0.61422508818342136</v>
      </c>
      <c r="EF175" s="36">
        <f>(Crops[[#This Row],[Wholesale Revenue Per Bed]]-Crops[[#This Row],[Wholesale Non-Labor Cost]])/Crops[[#This Row],[Direct Time]]</f>
        <v>31.772100282624894</v>
      </c>
      <c r="EG175" s="174">
        <f>Crops[[#This Row],[Packaging Costs]]/Crops[[#This Row],[Wholesale Revenue Per Bed]]</f>
        <v>6.5972222222222224E-2</v>
      </c>
      <c r="EH175" s="36" t="str">
        <f>Crops[[#This Row],[Crop]]&amp;Crops[[#This Row],[Product]]&amp;Crops[[#This Row],[Unit]]</f>
        <v>LettuceOverwinter HeadHead</v>
      </c>
      <c r="EI175" s="36" t="b">
        <f>_xlfn.XLOOKUP(Crops[[#This Row],[ProductIndex]],Products[ID],Products[Target])</f>
        <v>1</v>
      </c>
      <c r="EJ175" s="36">
        <f>Crops[[#This Row],[Custom Yield Per Bed]]</f>
        <v>200</v>
      </c>
      <c r="EK175" s="210" t="e">
        <f>Crops[[#This Row],[Units Per Harvest]]/Crops[[#This Row],[Days Between Harvest]]*7</f>
        <v>#DIV/0!</v>
      </c>
      <c r="EL175" s="210" t="e">
        <f>Crops[[#This Row],[Custom Yield Per Bed]]/_xlfn.XLOOKUP(Crops[[#This Row],[ProductIndex]],Products[ID],Products[CSA Portion])</f>
        <v>#DIV/0!</v>
      </c>
      <c r="EM175" s="210" t="e">
        <f>Crops[[#This Row],[Units Per Harvest]]/Crops[[#This Row],[Days Between Harvest]]*7/_xlfn.XLOOKUP(Crops[[#This Row],[ProductIndex]],Products[ID],Products[CSA Portion])</f>
        <v>#DIV/0!</v>
      </c>
      <c r="EN175" s="210" t="e">
        <f>Crops[[#This Row],[CSA Portions Per Week]]/CSAMembers</f>
        <v>#DIV/0!</v>
      </c>
      <c r="EO175" s="210"/>
      <c r="EP175" s="210"/>
      <c r="EQ175" s="36"/>
      <c r="ER175" s="36">
        <f>Crops[[#This Row],[Harvests]]*Crops[[#This Row],[Days Between Harvest]]/7</f>
        <v>0</v>
      </c>
      <c r="ES175" s="208">
        <f>_xlfn.XLOOKUP(Crops[[#This Row],[ProductIndex]],Products[ID],Products[CSA Need])</f>
        <v>0</v>
      </c>
      <c r="ET175" s="208">
        <f>_xlfn.XLOOKUP(Crops[[#This Row],[ProductIndex]],Products[ID],Products[CSA Times])</f>
        <v>0</v>
      </c>
      <c r="EU175" s="208" t="e">
        <f>Crops[[#This Row],[Custom Yield Per Bed]]/(Crops[[#This Row],[CSA Need]]*(_xlfn.XLOOKUP(Crops[[#This Row],[ProductIndex]],Products[ID],Products[CSA Portion])*CSAMembers))</f>
        <v>#DIV/0!</v>
      </c>
      <c r="EV175" s="208">
        <f>_xlfn.XLOOKUP(Crops[[#This Row],[ProductIndex]],Products[ID],Products[CSA Portion])*CSAMembers*Crops[[#This Row],[CSA Need]]/Crops[[#This Row],[Custom Yield Per Bed]]</f>
        <v>0</v>
      </c>
      <c r="EW175" s="208">
        <f>IFERROR(Crops[[#This Row],[Days In Field]]*Crops[[#This Row],[CSA Beds]],"")</f>
        <v>0</v>
      </c>
      <c r="EX175" s="208" t="e">
        <f>Crops[[#This Row],[CSA Bed Days]]*#REF!</f>
        <v>#REF!</v>
      </c>
      <c r="EY175" t="s">
        <v>293</v>
      </c>
    </row>
    <row r="176" spans="1:155">
      <c r="A17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(4x9) - Mature Head 1X | Field TP Sp</v>
      </c>
      <c r="B176" s="179"/>
      <c r="C176" s="1" t="b">
        <v>1</v>
      </c>
      <c r="D176" s="1" t="s">
        <v>2569</v>
      </c>
      <c r="E176" s="1" t="b">
        <v>0</v>
      </c>
      <c r="F176" s="1" t="b">
        <f>IFERROR(IF(ISNUMBER(MATCH(Crops[[#This Row],[Identifier]],BedPlan[Crop], 0)), TRUE, FALSE), FALSE)</f>
        <v>1</v>
      </c>
      <c r="G176" s="1" t="b">
        <f>IFERROR(IF(ISNUMBER(MATCH(Crops[[#This Row],[Identifier]],BedPlan[Crop], 0)), TRUE, FALSE), FALSE)</f>
        <v>1</v>
      </c>
      <c r="H176" s="1"/>
      <c r="I176" t="s">
        <v>92</v>
      </c>
      <c r="J176" t="s">
        <v>2704</v>
      </c>
      <c r="K176" t="s">
        <v>186</v>
      </c>
      <c r="M176" t="s">
        <v>441</v>
      </c>
      <c r="N176" t="str">
        <f>Crops[[#This Row],[Crop]]</f>
        <v>Lettuce</v>
      </c>
      <c r="O176" t="s">
        <v>210</v>
      </c>
      <c r="P176" t="str">
        <f>IF(OR(Crops[[#This Row],[Days in Cells]]="",Crops[[#This Row],[Days in Cells]]=0), "DS","TP")</f>
        <v>TP</v>
      </c>
      <c r="Q176" t="b">
        <v>1</v>
      </c>
      <c r="V176" t="str">
        <f xml:space="preserve"> IF(Crops[[#This Row],[Sp]], "Sp", "") &amp; IF(Crops[[#This Row],[Su]], "Su", "") &amp; IF(Crops[[#This Row],[Fa]], "Fa", "") &amp; IF(Crops[[#This Row],[Wi]], "Wi", "") &amp; IF(Crops[[#This Row],[OW]], "Ow","")</f>
        <v>Sp</v>
      </c>
      <c r="W176" t="s">
        <v>144</v>
      </c>
      <c r="X176">
        <v>4</v>
      </c>
      <c r="Y176">
        <v>9</v>
      </c>
      <c r="AA176" t="s">
        <v>474</v>
      </c>
      <c r="AB176" t="b">
        <v>1</v>
      </c>
      <c r="AC176">
        <v>1</v>
      </c>
      <c r="AD176" s="32">
        <f>IFERROR(12/Crops[[#This Row],[Spacing]]*Crops[[#This Row],[Rows]]*BedLength,"")</f>
        <v>266.66666666666663</v>
      </c>
      <c r="AE176">
        <v>1</v>
      </c>
      <c r="AG176">
        <f>IF(Crops[[#This Row],[Custom Safety Factor]]="",PlantingSafetyFactor,Crops[[#This Row],[Custom Safety Factor]])</f>
        <v>1.3</v>
      </c>
      <c r="AH176">
        <v>1.3</v>
      </c>
      <c r="AI176" s="33">
        <f>IFERROR(Crops[[#This Row],[Plantings Per Bed]]*Crops[[#This Row],[Seeds Per Planting]]*Crops[[#This Row],[Safety Factor]]*Crops[[#This Row],[Seeding Factor]],"")</f>
        <v>450.66666666666663</v>
      </c>
      <c r="AL176">
        <f>_xlfn.FLOOR.MATH(IFERROR(AVERAGE(Crops[[#This Row],[DTG Lower]:[DTG Upper]]),0))</f>
        <v>0</v>
      </c>
      <c r="AM176">
        <f>SUM(Crops[[#This Row],[Tray 1 Days]],Crops[[#This Row],[Tray 2 Days]],Crops[[#This Row],[Tray 3 Days]])</f>
        <v>30</v>
      </c>
      <c r="AN176">
        <v>30</v>
      </c>
      <c r="AP176">
        <v>65</v>
      </c>
      <c r="AQ176">
        <f>IFERROR(_xlfn.FLOOR.MATH(AVERAGE(Crops[[#This Row],[DTM Lower]:[DTM Upper]])),"")</f>
        <v>65</v>
      </c>
      <c r="AR176" cm="1">
        <f t="array" ref="AR176">_xlfn.SWITCH(Crops[[#This Row],[Normal Method]],"DS",Crops[[#This Row],[Days to Germination]]+Crops[[#This Row],[DTM]] + IF(Crops[[#This Row],[Days in Cells]]&gt;0,15,0), "TP",Crops[[#This Row],[DTM]]+Crops[[#This Row],[Days in Cells]] + IF(Crops[[#This Row],[Days in Cells]]&lt;=0,20,0), "X", Crops[[#This Row],[DTM]])</f>
        <v>95</v>
      </c>
      <c r="AS176" t="s">
        <v>346</v>
      </c>
      <c r="AT176">
        <f>(Crops[[#This Row],[Harvests]]-1)*Crops[[#This Row],[Days Between Harvest]]+7</f>
        <v>14</v>
      </c>
      <c r="AU176">
        <f>Crops[[#This Row],[STH]]-Crops[[#This Row],[Days in Cells]]+Crops[[#This Row],[Harvest window]]</f>
        <v>79</v>
      </c>
      <c r="AX176">
        <v>128</v>
      </c>
      <c r="AY176">
        <v>30</v>
      </c>
      <c r="AZ176" s="49">
        <f>IFERROR(IF(Crops[[#This Row],[Tray 1 Days]]=0,"",Crops[[#This Row],[Plantings Per Bed]]/Crops[[#This Row],[Tray 1 Size]]*Crops[[#This Row],[Safety Factor]]),"")</f>
        <v>2.708333333333333</v>
      </c>
      <c r="BC176" t="str">
        <f>IFERROR(IF(Crops[[#This Row],[Tray 2 Days]]=0,"",Crops[[#This Row],[Plantings Per Bed]]/Crops[[#This Row],[Tray 2 Size]]*Crops[[#This Row],[Safety Factor]]),"")</f>
        <v/>
      </c>
      <c r="BE176" s="32" t="str">
        <f>IF(NOT(ISBLANK(Crops[[#This Row],[Tray 3 Size]])), Crops[[#This Row],[Days in Cells Old]]-SUM(Crops[[#This Row],[Tray 1 Days]],Crops[[#This Row],[Tray 2 Days]]), "")</f>
        <v/>
      </c>
      <c r="BF176" s="49" t="str">
        <f>IFERROR(IF(Crops[[#This Row],[Tray 3 Days]]=0,"",Crops[[#This Row],[Plantings Per Bed]]/Crops[[#This Row],[Tray 3 Size]]*Crops[[#This Row],[Safety Factor]]),"")</f>
        <v/>
      </c>
      <c r="BG176" s="33">
        <f>Crops[[#This Row],[Plantings Per Bed]]/Crops[[#This Row],[Harvests]]</f>
        <v>133.33333333333331</v>
      </c>
      <c r="BH176" s="33">
        <v>2</v>
      </c>
      <c r="BI176" s="33">
        <v>7</v>
      </c>
      <c r="BJ176" s="33">
        <f>_xlfn.XLOOKUP(Crops[[#This Row],[ProductIndex]],Products[ID],Products[Holding Period])</f>
        <v>10</v>
      </c>
      <c r="BK176" s="33"/>
      <c r="BL176" s="33">
        <f>Crops[[#This Row],[Units Per Harvest]]*Crops[[#This Row],[Harvests]]</f>
        <v>266.66666666666663</v>
      </c>
      <c r="BM176" s="35">
        <v>4</v>
      </c>
      <c r="BN176" s="35">
        <v>3</v>
      </c>
      <c r="BO176" s="35"/>
      <c r="BP176" t="s">
        <v>214</v>
      </c>
      <c r="BQ176">
        <f>Crops[[#This Row],[Custom Yield Per Bed]]*Crops[[#This Row],[Direct Price]]</f>
        <v>1066.6666666666665</v>
      </c>
      <c r="BR176" t="b">
        <v>1</v>
      </c>
      <c r="BS176" t="b">
        <f>Crops[[#This Row],[Harvests]]&gt;1</f>
        <v>1</v>
      </c>
      <c r="BT176" s="36">
        <f>IFERROR(Crops[[#This Row],[Direct Revenue Per Bed]]/Crops[[#This Row],[Days In Field]],-1)</f>
        <v>13.502109704641349</v>
      </c>
      <c r="BU176" s="36">
        <f>IFERROR(Crops[[#This Row],[Direct Revenue Per Bed Day]]*GrowingDays*BedsPerAcre,"")</f>
        <v>388860.75949367083</v>
      </c>
      <c r="BV176" s="38">
        <f>LastFrostDate-5*Crops[[#This Row],[Sewing Rel Last Frost]]</f>
        <v>45728</v>
      </c>
      <c r="BW176" s="38">
        <f>Crops[[#This Row],[Target Sewing Date]]+Crops[[#This Row],[Days in Cells]]</f>
        <v>45758</v>
      </c>
      <c r="BX176" s="38">
        <f>Crops[[#This Row],[Target Sewing Date]]+Crops[[#This Row],[STH]]</f>
        <v>45823</v>
      </c>
      <c r="BY176" s="38">
        <f>Crops[[#This Row],[Target Harvest Data]]+Crops[[#This Row],[Harvest window]]</f>
        <v>45837</v>
      </c>
      <c r="BZ176">
        <v>4</v>
      </c>
      <c r="CB176">
        <f>1</f>
        <v>1</v>
      </c>
      <c r="CC176">
        <f>IF(Crops[[#This Row],[Transplanting]]&gt;0, 2, 3)*BedLength/StandardBedLength</f>
        <v>1</v>
      </c>
      <c r="CD176" s="173">
        <f>IF(Crops[[#This Row],[Days in Cells]]&lt;=0,0,Crops[[#This Row],[Plantings Per Bed]]/StartsPerHourSeeding+Crops[[#This Row],[Tray 1 Count]]*5/60)</f>
        <v>1.2673611111111109</v>
      </c>
      <c r="CE176" s="173">
        <f>IF(ISBLANK(Crops[[#This Row],[Tray 2 Days]]),0,Crops[[#This Row],[Plantings Per Bed]]/UpPottingPerHour)+IF(Crops[[#This Row],[Tray 3 Days]]="",0,Crops[[#This Row],[Plantings Per Bed]]/UpPottingPerHour)</f>
        <v>0</v>
      </c>
      <c r="CF176" s="173">
        <f>IFERROR(Crops[[#This Row],[Tray 1 Count]]/HomeStartFlatIrrigationPerHour,0)*Crops[[#This Row],[Days in Cells]]/DaysBetweenStartIrrigation</f>
        <v>0.33854166666666663</v>
      </c>
      <c r="CG176" s="173">
        <f>0.5/16*MAX(Crops[[#This Row],[Tray 1 Count]],Crops[[#This Row],[Tray 2 Count]],Crops[[#This Row],[Tray 3 Count]])</f>
        <v>8.4635416666666657E-2</v>
      </c>
      <c r="CH176" s="173">
        <f>IF(Crops[[#This Row],[Days in Cells]]&gt;0,IF(IF(Crops[[#This Row],[Tray 3 Size]]&gt;0,Crops[[#This Row],[Tray 3 Size]],IF(Crops[[#This Row],[Tray 2 Size]]&gt;0,Crops[[#This Row],[Tray 2 Size]],Crops[[#This Row],[Tray 1 Size]]))&lt;=18,LargeTransplantTime,SmallTransplantTime)*Crops[[#This Row],[Plantings Per Bed]],0)</f>
        <v>1.3333333333333333</v>
      </c>
      <c r="CI176" s="173"/>
      <c r="CJ176" s="173">
        <f>_xlfn.XLOOKUP(Crops[[#This Row],[Trellis Type]],TrellisMethods[Trellis Type],TrellisMethods[Hours],0,0)</f>
        <v>0</v>
      </c>
      <c r="CK176">
        <f>IF(Crops[[#This Row],[Days in Cells]]&lt;=0,Crops[[#This Row],[Rows]]*1/10,0)*BedLength/50</f>
        <v>0</v>
      </c>
      <c r="CL176" cm="1">
        <f t="array" ref="CL176">_xlfn.SWITCH(Crops[[#This Row],[Irrigation]],"DR", 0.5, "OH", 0.25,0)*BedLength/50</f>
        <v>0</v>
      </c>
      <c r="CM176">
        <f>IF(OR(ISBLANK(Crops[[#This Row],[Row Cover]]),Crops[[#This Row],[Row Cover]]="None"),0,1)*BedLength/50</f>
        <v>0</v>
      </c>
      <c r="CN176" s="173">
        <f>HoursPerWeedingPass*Crops[[#This Row],[Days In Field]]/14*Crops[[#This Row],[Rows]]+1*BedLength/50</f>
        <v>4.7619047619047619</v>
      </c>
      <c r="CO176" s="49"/>
      <c r="CQ176" s="37">
        <f>_xlfn.XLOOKUP(Crops[[#This Row],[Crop]]&amp;Crops[[#This Row],[Product]]&amp;Crops[[#This Row],[Unit]],Products[ID],Products[Marketing (hr)])*Crops[[#This Row],[Direct Revenue Per Bed]]/2000</f>
        <v>1.0666666666666664</v>
      </c>
      <c r="CR176" s="37">
        <f>_xlfn.XLOOKUP(Crops[[#This Row],[Crop]]&amp;Crops[[#This Row],[Product]]&amp;Crops[[#This Row],[Unit]],Products[ID],Products[Harvest (s)])*Crops[[#This Row],[Custom Yield Per Bed]]/3600</f>
        <v>0.74074074074074059</v>
      </c>
      <c r="CS176" s="37">
        <f>_xlfn.XLOOKUP(Crops[[#This Row],[Crop]]&amp;Crops[[#This Row],[Product]]&amp;Crops[[#This Row],[Unit]],Products[ID],Products[Bunch (s)])*Crops[[#This Row],[Custom Yield Per Bed]]/3600</f>
        <v>0</v>
      </c>
      <c r="CT176" s="37">
        <f>_xlfn.XLOOKUP(Crops[[#This Row],[Crop]]&amp;Crops[[#This Row],[Product]]&amp;Crops[[#This Row],[Unit]],Products[ID],Products[Haul (s)])*Crops[[#This Row],[Custom Yield Per Bed]]/3600</f>
        <v>0.27777777777777773</v>
      </c>
      <c r="CU176" s="37">
        <f>_xlfn.XLOOKUP(Crops[[#This Row],[Crop]]&amp;Crops[[#This Row],[Product]]&amp;Crops[[#This Row],[Unit]],Products[ID],Products[Wash (s)])*Crops[[#This Row],[Custom Yield Per Bed]]/3600</f>
        <v>1.4814814814814812</v>
      </c>
      <c r="CV176" s="37">
        <f>_xlfn.XLOOKUP(Crops[[#This Row],[Crop]]&amp;Crops[[#This Row],[Product]]&amp;Crops[[#This Row],[Unit]],Products[ID],Products[Condition (s)])*Crops[[#This Row],[Custom Yield Per Bed]]/3600</f>
        <v>0</v>
      </c>
      <c r="CW176" s="37">
        <f>_xlfn.XLOOKUP(Crops[[#This Row],[Crop]]&amp;Crops[[#This Row],[Product]]&amp;Crops[[#This Row],[Unit]],Products[ID],Products[Trim (s)])*Crops[[#This Row],[Custom Yield Per Bed]]/3600</f>
        <v>0.74074074074074059</v>
      </c>
      <c r="CX176" s="37">
        <f>_xlfn.XLOOKUP(Crops[[#This Row],[Crop]]&amp;Crops[[#This Row],[Product]]&amp;Crops[[#This Row],[Unit]],Products[ID],Products[Pack (s)])*Crops[[#This Row],[Custom Yield Per Bed]]/3600</f>
        <v>0.22222222222222218</v>
      </c>
      <c r="CY176" s="37">
        <f>_xlfn.XLOOKUP(Crops[[#This Row],[Crop]]&amp;Crops[[#This Row],[Product]]&amp;Crops[[#This Row],[Unit]],Products[ID],Products[Clean (s)])*Crops[[#This Row],[Custom Yield Per Bed]]/3600</f>
        <v>0</v>
      </c>
      <c r="CZ176" s="37">
        <f>_xlfn.XLOOKUP(Crops[[#This Row],[Crop]]&amp;Crops[[#This Row],[Product]]&amp;Crops[[#This Row],[Unit]],Products[ID],Products[Rehandle (s)])*Crops[[#This Row],[Custom Yield Per Bed]]/3600</f>
        <v>0</v>
      </c>
      <c r="DA176" s="37">
        <f>_xlfn.XLOOKUP(Crops[[#This Row],[Crop]]&amp;Crops[[#This Row],[Product]]&amp;Crops[[#This Row],[Unit]],Products[ID],Products[Market Transport (s)])*Crops[[#This Row],[Custom Yield Per Bed]]/3600</f>
        <v>0.69444444444444431</v>
      </c>
      <c r="DC176" s="37">
        <f>Crops[[#This Row],[Direct Revenue Per Bed2]]</f>
        <v>1066.6666666666665</v>
      </c>
      <c r="DD176" s="173">
        <f>_xlfn.AGGREGATE(9,6,Crops[[#This Row],[Bed Prep]:[Remove Crop Residue]])</f>
        <v>14.009850363756611</v>
      </c>
      <c r="DE176" s="173">
        <f>_xlfn.AGGREGATE(9,6,Crops[[#This Row],[Bed Prep]:[Remove Crop Residue]])-0.75*Crops[[#This Row],[Market &amp; Sell]]</f>
        <v>13.209850363756612</v>
      </c>
      <c r="DF176" s="36">
        <f>Crops[[#This Row],[Direct Revenue Per Bed2]]/Crops[[#This Row],[Direct Time]]</f>
        <v>76.136906460195036</v>
      </c>
      <c r="DG176" s="36">
        <f>_xlfn.XLOOKUP(Crops[[#This Row],[ProductIndex]],Products[ID],Products[Packaging Cost])*(Crops[[#This Row],[Custom Yield Per Bed]]/_xlfn.XLOOKUP(Crops[[#This Row],[ProductIndex]],Products[ID],Products[Units Per Pack]))</f>
        <v>42.222222222222214</v>
      </c>
      <c r="DH176" s="36"/>
      <c r="DI176" s="36"/>
      <c r="DJ176" s="36"/>
      <c r="DK176" s="36"/>
      <c r="DL176" s="36"/>
      <c r="DM176" s="33">
        <f>IFERROR(Crops[[#This Row],[Custom Yield Per Bed]]*Crops[[#This Row],[Direct Price]],"")</f>
        <v>1066.6666666666665</v>
      </c>
      <c r="DN176" s="36">
        <f>Crops[[#This Row],[Direct Time]]*LaborRate</f>
        <v>350.24625909391528</v>
      </c>
      <c r="DO176" s="36">
        <f>SUM(Crops[[#This Row],[Irrigation Cost]])</f>
        <v>0</v>
      </c>
      <c r="DP176" s="36">
        <f>Crops[[#This Row],[Direct Labor Cost]]+Crops[[#This Row],[Direct Non-Labor Cost]]</f>
        <v>350.24625909391528</v>
      </c>
      <c r="DQ176" s="36">
        <f>Crops[[#This Row],[Direct Revenue Per Bed2]]-Crops[[#This Row],[Direct Total Cost]]</f>
        <v>716.42040757275117</v>
      </c>
      <c r="DR176" s="36">
        <f>Crops[[#This Row],[Direct Profit]]*BedsPerAcre</f>
        <v>114627.26521164019</v>
      </c>
      <c r="DS176" s="36">
        <f>Crops[[#This Row],[Direct Profit]]*BedsPerAcre*GrowingDays/Crops[[#This Row],[Days In Field]]</f>
        <v>261176.0473176612</v>
      </c>
      <c r="DT176" s="36">
        <f>Crops[[#This Row],[Direct Profit]]/MIN(Crops[[#This Row],[Days In Field]],GrowingDays)</f>
        <v>9.0686127540854571</v>
      </c>
      <c r="DU176" s="33">
        <f>Crops[[#This Row],[Direct Time]] * BedsPerAcre</f>
        <v>2241.5760582010575</v>
      </c>
      <c r="DV176" s="36">
        <f>(Crops[[#This Row],[Direct Revenue Per Bed2]]-Crops[[#This Row],[Direct Non-Labor Cost]])/Crops[[#This Row],[Direct Time]]</f>
        <v>76.136906460195036</v>
      </c>
      <c r="DW176" s="33">
        <f>IFERROR(Crops[[#This Row],[Custom Yield Per Bed]]*Crops[[#This Row],[Rough Wholesale Price]],"")</f>
        <v>799.99999999999989</v>
      </c>
      <c r="DX176" s="36">
        <f>Crops[[#This Row],[Wholesale Time]]*LaborRate</f>
        <v>330.24625909391528</v>
      </c>
      <c r="DY176" s="36">
        <f>SUM(Crops[[#This Row],[Packaging Costs]:[Irrigation Cost]])</f>
        <v>42.222222222222214</v>
      </c>
      <c r="DZ176" s="36">
        <f>Crops[[#This Row],[Wholesale Labor Cost]]+Crops[[#This Row],[Wholesale Non-Labor Cost]]</f>
        <v>372.46848131613751</v>
      </c>
      <c r="EA176" s="36">
        <f>Crops[[#This Row],[Wholesale Revenue Per Bed]]-Crops[[#This Row],[Wholesale Total Cost]]</f>
        <v>427.53151868386237</v>
      </c>
      <c r="EB176" s="36">
        <f>Crops[[#This Row],[Wholesale Profit]]*BedsPerAcre</f>
        <v>68405.042989417983</v>
      </c>
      <c r="EC176" s="36">
        <f>Crops[[#This Row],[Wholesale Profit]]*BedsPerAcre*GrowingDays/Crops[[#This Row],[Days In Field]]</f>
        <v>155859.59162145871</v>
      </c>
      <c r="ED176" s="33">
        <f>Crops[[#This Row],[Wholesale Time]] * BedsPerAcre</f>
        <v>2113.576058201058</v>
      </c>
      <c r="EE176" s="221">
        <f>Crops[[#This Row],[Wholesale Profit]]/MIN(Crops[[#This Row],[Days In Field]],GrowingDays)</f>
        <v>5.4117913757450937</v>
      </c>
      <c r="EF176" s="36">
        <f>(Crops[[#This Row],[Wholesale Revenue Per Bed]]-Crops[[#This Row],[Wholesale Non-Labor Cost]])/Crops[[#This Row],[Direct Time]]</f>
        <v>54.088927297763561</v>
      </c>
      <c r="EG176" s="174">
        <f>Crops[[#This Row],[Packaging Costs]]/Crops[[#This Row],[Wholesale Revenue Per Bed]]</f>
        <v>5.2777777777777778E-2</v>
      </c>
      <c r="EH176" s="36" t="str">
        <f>Crops[[#This Row],[Crop]]&amp;Crops[[#This Row],[Product]]&amp;Crops[[#This Row],[Unit]]</f>
        <v>LettuceMature HeadHead</v>
      </c>
      <c r="EI176" s="36" t="b">
        <f>_xlfn.XLOOKUP(Crops[[#This Row],[ProductIndex]],Products[ID],Products[Target])</f>
        <v>1</v>
      </c>
      <c r="EJ176" s="33">
        <f>Crops[[#This Row],[Custom Yield Per Bed]]</f>
        <v>266.66666666666663</v>
      </c>
      <c r="EK176" s="210">
        <f>Crops[[#This Row],[Units Per Harvest]]/Crops[[#This Row],[Days Between Harvest]]*7</f>
        <v>133.33333333333331</v>
      </c>
      <c r="EL176" s="210">
        <f>Crops[[#This Row],[Custom Yield Per Bed]]/_xlfn.XLOOKUP(Crops[[#This Row],[ProductIndex]],Products[ID],Products[CSA Portion])</f>
        <v>266.66666666666663</v>
      </c>
      <c r="EM176" s="210">
        <f>Crops[[#This Row],[Units Per Harvest]]/Crops[[#This Row],[Days Between Harvest]]*7/_xlfn.XLOOKUP(Crops[[#This Row],[ProductIndex]],Products[ID],Products[CSA Portion])</f>
        <v>133.33333333333331</v>
      </c>
      <c r="EN176" s="210">
        <f>Crops[[#This Row],[CSA Portions Per Week]]/CSAMembers</f>
        <v>2.6666666666666661</v>
      </c>
      <c r="EO176" s="216"/>
      <c r="EP176" s="216"/>
      <c r="EQ176" s="210"/>
      <c r="ER176" s="210">
        <f>Crops[[#This Row],[Harvests]]*Crops[[#This Row],[Days Between Harvest]]/7</f>
        <v>2</v>
      </c>
      <c r="ES176" s="217">
        <f>_xlfn.XLOOKUP(Crops[[#This Row],[ProductIndex]],Products[ID],Products[CSA Need])</f>
        <v>2</v>
      </c>
      <c r="ET176" s="217">
        <f>_xlfn.XLOOKUP(Crops[[#This Row],[ProductIndex]],Products[ID],Products[CSA Times])</f>
        <v>2</v>
      </c>
      <c r="EU176" s="208">
        <f>Crops[[#This Row],[Custom Yield Per Bed]]/(Crops[[#This Row],[CSA Need]]*(_xlfn.XLOOKUP(Crops[[#This Row],[ProductIndex]],Products[ID],Products[CSA Portion])*CSAMembers))</f>
        <v>2.6666666666666661</v>
      </c>
      <c r="EV176" s="208">
        <f>_xlfn.XLOOKUP(Crops[[#This Row],[ProductIndex]],Products[ID],Products[CSA Portion])*CSAMembers*Crops[[#This Row],[CSA Need]]/Crops[[#This Row],[Custom Yield Per Bed]]</f>
        <v>0.37500000000000006</v>
      </c>
      <c r="EW176" s="208">
        <f>IFERROR(Crops[[#This Row],[Days In Field]]*Crops[[#This Row],[CSA Beds]],"")</f>
        <v>29.625000000000004</v>
      </c>
      <c r="EX176" s="208" t="e">
        <f>Crops[[#This Row],[CSA Bed Days]]*#REF!</f>
        <v>#REF!</v>
      </c>
      <c r="EY176" t="s">
        <v>421</v>
      </c>
    </row>
    <row r="177" spans="1:155">
      <c r="A17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(4x9) - Mature Head 1X | Field TP SuFa</v>
      </c>
      <c r="B177" s="179"/>
      <c r="C177" s="1" t="b">
        <v>1</v>
      </c>
      <c r="D177" s="1" t="s">
        <v>2569</v>
      </c>
      <c r="E177" s="1" t="b">
        <v>0</v>
      </c>
      <c r="F177" s="1" t="b">
        <f>IFERROR(IF(ISNUMBER(MATCH(Crops[[#This Row],[Identifier]],BedPlan[Crop], 0)), TRUE, FALSE), FALSE)</f>
        <v>1</v>
      </c>
      <c r="G177" s="1" t="b">
        <f>IFERROR(IF(ISNUMBER(MATCH(Crops[[#This Row],[Identifier]],BedPlan[Crop], 0)), TRUE, FALSE), FALSE)</f>
        <v>1</v>
      </c>
      <c r="H177" s="1"/>
      <c r="I177" t="s">
        <v>92</v>
      </c>
      <c r="J177" t="s">
        <v>2704</v>
      </c>
      <c r="K177" t="s">
        <v>186</v>
      </c>
      <c r="M177" t="s">
        <v>441</v>
      </c>
      <c r="N177" t="str">
        <f>Crops[[#This Row],[Crop]]</f>
        <v>Lettuce</v>
      </c>
      <c r="O177" t="s">
        <v>210</v>
      </c>
      <c r="P177" t="str">
        <f>IF(OR(Crops[[#This Row],[Days in Cells]]="",Crops[[#This Row],[Days in Cells]]=0), "DS","TP")</f>
        <v>TP</v>
      </c>
      <c r="R177" t="b">
        <v>1</v>
      </c>
      <c r="S177" t="b">
        <v>1</v>
      </c>
      <c r="V177" t="str">
        <f xml:space="preserve"> IF(Crops[[#This Row],[Sp]], "Sp", "") &amp; IF(Crops[[#This Row],[Su]], "Su", "") &amp; IF(Crops[[#This Row],[Fa]], "Fa", "") &amp; IF(Crops[[#This Row],[Wi]], "Wi", "") &amp; IF(Crops[[#This Row],[OW]], "Ow","")</f>
        <v>SuFa</v>
      </c>
      <c r="W177" t="s">
        <v>144</v>
      </c>
      <c r="X177">
        <v>4</v>
      </c>
      <c r="Y177">
        <v>9</v>
      </c>
      <c r="AA177" t="s">
        <v>474</v>
      </c>
      <c r="AB177" t="b">
        <v>1</v>
      </c>
      <c r="AC177">
        <v>1</v>
      </c>
      <c r="AD177" s="32">
        <f>IFERROR(12/Crops[[#This Row],[Spacing]]*Crops[[#This Row],[Rows]]*BedLength,"")</f>
        <v>266.66666666666663</v>
      </c>
      <c r="AE177">
        <v>1</v>
      </c>
      <c r="AG177">
        <f>IF(Crops[[#This Row],[Custom Safety Factor]]="",PlantingSafetyFactor,Crops[[#This Row],[Custom Safety Factor]])</f>
        <v>1.3</v>
      </c>
      <c r="AH177">
        <v>1.3</v>
      </c>
      <c r="AI177" s="33">
        <f>IFERROR(Crops[[#This Row],[Plantings Per Bed]]*Crops[[#This Row],[Seeds Per Planting]]*Crops[[#This Row],[Safety Factor]]*Crops[[#This Row],[Seeding Factor]],"")</f>
        <v>450.66666666666663</v>
      </c>
      <c r="AL177">
        <f>_xlfn.FLOOR.MATH(IFERROR(AVERAGE(Crops[[#This Row],[DTG Lower]:[DTG Upper]]),0))</f>
        <v>0</v>
      </c>
      <c r="AM177">
        <f>SUM(Crops[[#This Row],[Tray 1 Days]],Crops[[#This Row],[Tray 2 Days]],Crops[[#This Row],[Tray 3 Days]])</f>
        <v>30</v>
      </c>
      <c r="AN177">
        <v>30</v>
      </c>
      <c r="AP177">
        <v>40</v>
      </c>
      <c r="AQ177">
        <f>IFERROR(_xlfn.FLOOR.MATH(AVERAGE(Crops[[#This Row],[DTM Lower]:[DTM Upper]])),"")</f>
        <v>40</v>
      </c>
      <c r="AR177" cm="1">
        <f t="array" ref="AR177">_xlfn.SWITCH(Crops[[#This Row],[Normal Method]],"DS",Crops[[#This Row],[Days to Germination]]+Crops[[#This Row],[DTM]] + IF(Crops[[#This Row],[Days in Cells]]&gt;0,15,0), "TP",Crops[[#This Row],[DTM]]+Crops[[#This Row],[Days in Cells]] + IF(Crops[[#This Row],[Days in Cells]]&lt;=0,20,0), "X", Crops[[#This Row],[DTM]])</f>
        <v>70</v>
      </c>
      <c r="AS177" t="s">
        <v>346</v>
      </c>
      <c r="AT177">
        <f>(Crops[[#This Row],[Harvests]]-1)*Crops[[#This Row],[Days Between Harvest]]+7</f>
        <v>14</v>
      </c>
      <c r="AU177">
        <f>Crops[[#This Row],[STH]]-Crops[[#This Row],[Days in Cells]]+Crops[[#This Row],[Harvest window]]</f>
        <v>54</v>
      </c>
      <c r="AX177">
        <v>128</v>
      </c>
      <c r="AY177">
        <v>30</v>
      </c>
      <c r="AZ177" s="49">
        <f>IFERROR(IF(Crops[[#This Row],[Tray 1 Days]]=0,"",Crops[[#This Row],[Plantings Per Bed]]/Crops[[#This Row],[Tray 1 Size]]*Crops[[#This Row],[Safety Factor]]),"")</f>
        <v>2.708333333333333</v>
      </c>
      <c r="BC177" t="str">
        <f>IFERROR(IF(Crops[[#This Row],[Tray 2 Days]]=0,"",Crops[[#This Row],[Plantings Per Bed]]/Crops[[#This Row],[Tray 2 Size]]*Crops[[#This Row],[Safety Factor]]),"")</f>
        <v/>
      </c>
      <c r="BE177" s="32" t="str">
        <f>IF(NOT(ISBLANK(Crops[[#This Row],[Tray 3 Size]])), Crops[[#This Row],[Days in Cells Old]]-SUM(Crops[[#This Row],[Tray 1 Days]],Crops[[#This Row],[Tray 2 Days]]), "")</f>
        <v/>
      </c>
      <c r="BF177" s="49" t="str">
        <f>IFERROR(IF(Crops[[#This Row],[Tray 3 Days]]=0,"",Crops[[#This Row],[Plantings Per Bed]]/Crops[[#This Row],[Tray 3 Size]]*Crops[[#This Row],[Safety Factor]]),"")</f>
        <v/>
      </c>
      <c r="BG177" s="33">
        <f>Crops[[#This Row],[Plantings Per Bed]]/Crops[[#This Row],[Harvests]]</f>
        <v>133.33333333333331</v>
      </c>
      <c r="BH177" s="33">
        <v>2</v>
      </c>
      <c r="BI177" s="33">
        <v>7</v>
      </c>
      <c r="BJ177" s="33">
        <f>_xlfn.XLOOKUP(Crops[[#This Row],[ProductIndex]],Products[ID],Products[Holding Period])</f>
        <v>10</v>
      </c>
      <c r="BK177" s="33"/>
      <c r="BL177" s="33">
        <f>Crops[[#This Row],[Units Per Harvest]]*Crops[[#This Row],[Harvests]]</f>
        <v>266.66666666666663</v>
      </c>
      <c r="BM177" s="35">
        <v>4</v>
      </c>
      <c r="BN177" s="35">
        <v>3</v>
      </c>
      <c r="BO177" s="35"/>
      <c r="BP177" t="s">
        <v>214</v>
      </c>
      <c r="BQ177">
        <f>Crops[[#This Row],[Custom Yield Per Bed]]*Crops[[#This Row],[Direct Price]]</f>
        <v>1066.6666666666665</v>
      </c>
      <c r="BR177" t="b">
        <v>1</v>
      </c>
      <c r="BS177" t="b">
        <f>Crops[[#This Row],[Harvests]]&gt;1</f>
        <v>1</v>
      </c>
      <c r="BT177" s="36">
        <f>IFERROR(Crops[[#This Row],[Direct Revenue Per Bed]]/Crops[[#This Row],[Days In Field]],-1)</f>
        <v>19.753086419753085</v>
      </c>
      <c r="BU177" s="36">
        <f>IFERROR(Crops[[#This Row],[Direct Revenue Per Bed Day]]*GrowingDays*BedsPerAcre,"")</f>
        <v>568888.88888888888</v>
      </c>
      <c r="BV177" s="38">
        <f>LastFrostDate-5*Crops[[#This Row],[Sewing Rel Last Frost]]</f>
        <v>45763</v>
      </c>
      <c r="BW177" s="38">
        <f>Crops[[#This Row],[Target Sewing Date]]+Crops[[#This Row],[Days in Cells]]</f>
        <v>45793</v>
      </c>
      <c r="BX177" s="38">
        <f>Crops[[#This Row],[Target Sewing Date]]+Crops[[#This Row],[STH]]</f>
        <v>45833</v>
      </c>
      <c r="BY177" s="38">
        <f>Crops[[#This Row],[Target Harvest Data]]+Crops[[#This Row],[Harvest window]]</f>
        <v>45847</v>
      </c>
      <c r="BZ177">
        <v>-3</v>
      </c>
      <c r="CB177">
        <f>1</f>
        <v>1</v>
      </c>
      <c r="CC177">
        <f>IF(Crops[[#This Row],[Transplanting]]&gt;0, 2, 3)*BedLength/StandardBedLength</f>
        <v>1</v>
      </c>
      <c r="CD177" s="173">
        <f>IF(Crops[[#This Row],[Days in Cells]]&lt;=0,0,Crops[[#This Row],[Plantings Per Bed]]/StartsPerHourSeeding+Crops[[#This Row],[Tray 1 Count]]*5/60)</f>
        <v>1.2673611111111109</v>
      </c>
      <c r="CE177" s="173">
        <f>IF(ISBLANK(Crops[[#This Row],[Tray 2 Days]]),0,Crops[[#This Row],[Plantings Per Bed]]/UpPottingPerHour)+IF(Crops[[#This Row],[Tray 3 Days]]="",0,Crops[[#This Row],[Plantings Per Bed]]/UpPottingPerHour)</f>
        <v>0</v>
      </c>
      <c r="CF177" s="173">
        <f>IFERROR(Crops[[#This Row],[Tray 1 Count]]/HomeStartFlatIrrigationPerHour,0)*Crops[[#This Row],[Days in Cells]]/DaysBetweenStartIrrigation</f>
        <v>0.33854166666666663</v>
      </c>
      <c r="CG177" s="173">
        <f>0.5/16*MAX(Crops[[#This Row],[Tray 1 Count]],Crops[[#This Row],[Tray 2 Count]],Crops[[#This Row],[Tray 3 Count]])</f>
        <v>8.4635416666666657E-2</v>
      </c>
      <c r="CH177" s="173">
        <f>IF(Crops[[#This Row],[Days in Cells]]&gt;0,IF(IF(Crops[[#This Row],[Tray 3 Size]]&gt;0,Crops[[#This Row],[Tray 3 Size]],IF(Crops[[#This Row],[Tray 2 Size]]&gt;0,Crops[[#This Row],[Tray 2 Size]],Crops[[#This Row],[Tray 1 Size]]))&lt;=18,LargeTransplantTime,SmallTransplantTime)*Crops[[#This Row],[Plantings Per Bed]],0)</f>
        <v>1.3333333333333333</v>
      </c>
      <c r="CI177" s="173"/>
      <c r="CJ177" s="173">
        <f>_xlfn.XLOOKUP(Crops[[#This Row],[Trellis Type]],TrellisMethods[Trellis Type],TrellisMethods[Hours],0,0)</f>
        <v>0</v>
      </c>
      <c r="CK177">
        <f>IF(Crops[[#This Row],[Days in Cells]]&lt;=0,Crops[[#This Row],[Rows]]*1/10,0)*BedLength/50</f>
        <v>0</v>
      </c>
      <c r="CL177" cm="1">
        <f t="array" ref="CL177">_xlfn.SWITCH(Crops[[#This Row],[Irrigation]],"DR", 0.5, "OH", 0.25,0)*BedLength/50</f>
        <v>0</v>
      </c>
      <c r="CM177">
        <f>IF(OR(ISBLANK(Crops[[#This Row],[Row Cover]]),Crops[[#This Row],[Row Cover]]="None"),0,1)*BedLength/50</f>
        <v>0</v>
      </c>
      <c r="CN177" s="173">
        <f>HoursPerWeedingPass*Crops[[#This Row],[Days In Field]]/14*Crops[[#This Row],[Rows]]+1*BedLength/50</f>
        <v>3.5714285714285716</v>
      </c>
      <c r="CO177" s="49"/>
      <c r="CQ177" s="37">
        <f>_xlfn.XLOOKUP(Crops[[#This Row],[Crop]]&amp;Crops[[#This Row],[Product]]&amp;Crops[[#This Row],[Unit]],Products[ID],Products[Marketing (hr)])*Crops[[#This Row],[Direct Revenue Per Bed]]/2000</f>
        <v>1.0666666666666664</v>
      </c>
      <c r="CR177" s="37">
        <f>_xlfn.XLOOKUP(Crops[[#This Row],[Crop]]&amp;Crops[[#This Row],[Product]]&amp;Crops[[#This Row],[Unit]],Products[ID],Products[Harvest (s)])*Crops[[#This Row],[Custom Yield Per Bed]]/3600</f>
        <v>0.74074074074074059</v>
      </c>
      <c r="CS177" s="37">
        <f>_xlfn.XLOOKUP(Crops[[#This Row],[Crop]]&amp;Crops[[#This Row],[Product]]&amp;Crops[[#This Row],[Unit]],Products[ID],Products[Bunch (s)])*Crops[[#This Row],[Custom Yield Per Bed]]/3600</f>
        <v>0</v>
      </c>
      <c r="CT177" s="37">
        <f>_xlfn.XLOOKUP(Crops[[#This Row],[Crop]]&amp;Crops[[#This Row],[Product]]&amp;Crops[[#This Row],[Unit]],Products[ID],Products[Haul (s)])*Crops[[#This Row],[Custom Yield Per Bed]]/3600</f>
        <v>0.27777777777777773</v>
      </c>
      <c r="CU177" s="37">
        <f>_xlfn.XLOOKUP(Crops[[#This Row],[Crop]]&amp;Crops[[#This Row],[Product]]&amp;Crops[[#This Row],[Unit]],Products[ID],Products[Wash (s)])*Crops[[#This Row],[Custom Yield Per Bed]]/3600</f>
        <v>1.4814814814814812</v>
      </c>
      <c r="CV177" s="37">
        <f>_xlfn.XLOOKUP(Crops[[#This Row],[Crop]]&amp;Crops[[#This Row],[Product]]&amp;Crops[[#This Row],[Unit]],Products[ID],Products[Condition (s)])*Crops[[#This Row],[Custom Yield Per Bed]]/3600</f>
        <v>0</v>
      </c>
      <c r="CW177" s="37">
        <f>_xlfn.XLOOKUP(Crops[[#This Row],[Crop]]&amp;Crops[[#This Row],[Product]]&amp;Crops[[#This Row],[Unit]],Products[ID],Products[Trim (s)])*Crops[[#This Row],[Custom Yield Per Bed]]/3600</f>
        <v>0.74074074074074059</v>
      </c>
      <c r="CX177" s="37">
        <f>_xlfn.XLOOKUP(Crops[[#This Row],[Crop]]&amp;Crops[[#This Row],[Product]]&amp;Crops[[#This Row],[Unit]],Products[ID],Products[Pack (s)])*Crops[[#This Row],[Custom Yield Per Bed]]/3600</f>
        <v>0.22222222222222218</v>
      </c>
      <c r="CY177" s="37">
        <f>_xlfn.XLOOKUP(Crops[[#This Row],[Crop]]&amp;Crops[[#This Row],[Product]]&amp;Crops[[#This Row],[Unit]],Products[ID],Products[Clean (s)])*Crops[[#This Row],[Custom Yield Per Bed]]/3600</f>
        <v>0</v>
      </c>
      <c r="CZ177" s="37">
        <f>_xlfn.XLOOKUP(Crops[[#This Row],[Crop]]&amp;Crops[[#This Row],[Product]]&amp;Crops[[#This Row],[Unit]],Products[ID],Products[Rehandle (s)])*Crops[[#This Row],[Custom Yield Per Bed]]/3600</f>
        <v>0</v>
      </c>
      <c r="DA177" s="37">
        <f>_xlfn.XLOOKUP(Crops[[#This Row],[Crop]]&amp;Crops[[#This Row],[Product]]&amp;Crops[[#This Row],[Unit]],Products[ID],Products[Market Transport (s)])*Crops[[#This Row],[Custom Yield Per Bed]]/3600</f>
        <v>0.69444444444444431</v>
      </c>
      <c r="DC177" s="37">
        <f>Crops[[#This Row],[Direct Revenue Per Bed2]]</f>
        <v>1066.6666666666665</v>
      </c>
      <c r="DD177" s="173">
        <f>_xlfn.AGGREGATE(9,6,Crops[[#This Row],[Bed Prep]:[Remove Crop Residue]])</f>
        <v>12.819374173280421</v>
      </c>
      <c r="DE177" s="173">
        <f>_xlfn.AGGREGATE(9,6,Crops[[#This Row],[Bed Prep]:[Remove Crop Residue]])-0.75*Crops[[#This Row],[Market &amp; Sell]]</f>
        <v>12.019374173280422</v>
      </c>
      <c r="DF177" s="36">
        <f>Crops[[#This Row],[Direct Revenue Per Bed2]]/Crops[[#This Row],[Direct Time]]</f>
        <v>83.207390021420309</v>
      </c>
      <c r="DG177" s="36">
        <f>_xlfn.XLOOKUP(Crops[[#This Row],[ProductIndex]],Products[ID],Products[Packaging Cost])*(Crops[[#This Row],[Custom Yield Per Bed]]/_xlfn.XLOOKUP(Crops[[#This Row],[ProductIndex]],Products[ID],Products[Units Per Pack]))</f>
        <v>42.222222222222214</v>
      </c>
      <c r="DH177" s="36"/>
      <c r="DI177" s="36"/>
      <c r="DJ177" s="36"/>
      <c r="DK177" s="36"/>
      <c r="DL177" s="36"/>
      <c r="DM177" s="33">
        <f>IFERROR(Crops[[#This Row],[Custom Yield Per Bed]]*Crops[[#This Row],[Direct Price]],"")</f>
        <v>1066.6666666666665</v>
      </c>
      <c r="DN177" s="36">
        <f>Crops[[#This Row],[Direct Time]]*LaborRate</f>
        <v>320.48435433201053</v>
      </c>
      <c r="DO177" s="36">
        <f>SUM(Crops[[#This Row],[Irrigation Cost]])</f>
        <v>0</v>
      </c>
      <c r="DP177" s="36">
        <f>Crops[[#This Row],[Direct Labor Cost]]+Crops[[#This Row],[Direct Non-Labor Cost]]</f>
        <v>320.48435433201053</v>
      </c>
      <c r="DQ177" s="36">
        <f>Crops[[#This Row],[Direct Revenue Per Bed2]]-Crops[[#This Row],[Direct Total Cost]]</f>
        <v>746.18231233465599</v>
      </c>
      <c r="DR177" s="36">
        <f>Crops[[#This Row],[Direct Profit]]*BedsPerAcre</f>
        <v>119389.16997354495</v>
      </c>
      <c r="DS177" s="36">
        <f>Crops[[#This Row],[Direct Profit]]*BedsPerAcre*GrowingDays/Crops[[#This Row],[Days In Field]]</f>
        <v>397963.89991181646</v>
      </c>
      <c r="DT177" s="36">
        <f>Crops[[#This Row],[Direct Profit]]/MIN(Crops[[#This Row],[Days In Field]],GrowingDays)</f>
        <v>13.818190969160296</v>
      </c>
      <c r="DU177" s="33">
        <f>Crops[[#This Row],[Direct Time]] * BedsPerAcre</f>
        <v>2051.0998677248672</v>
      </c>
      <c r="DV177" s="36">
        <f>(Crops[[#This Row],[Direct Revenue Per Bed2]]-Crops[[#This Row],[Direct Non-Labor Cost]])/Crops[[#This Row],[Direct Time]]</f>
        <v>83.207390021420309</v>
      </c>
      <c r="DW177" s="33">
        <f>IFERROR(Crops[[#This Row],[Custom Yield Per Bed]]*Crops[[#This Row],[Rough Wholesale Price]],"")</f>
        <v>799.99999999999989</v>
      </c>
      <c r="DX177" s="36">
        <f>Crops[[#This Row],[Wholesale Time]]*LaborRate</f>
        <v>300.48435433201053</v>
      </c>
      <c r="DY177" s="36">
        <f>SUM(Crops[[#This Row],[Packaging Costs]:[Irrigation Cost]])</f>
        <v>42.222222222222214</v>
      </c>
      <c r="DZ177" s="36">
        <f>Crops[[#This Row],[Wholesale Labor Cost]]+Crops[[#This Row],[Wholesale Non-Labor Cost]]</f>
        <v>342.70657655423275</v>
      </c>
      <c r="EA177" s="36">
        <f>Crops[[#This Row],[Wholesale Revenue Per Bed]]-Crops[[#This Row],[Wholesale Total Cost]]</f>
        <v>457.29342344576713</v>
      </c>
      <c r="EB177" s="36">
        <f>Crops[[#This Row],[Wholesale Profit]]*BedsPerAcre</f>
        <v>73166.947751322747</v>
      </c>
      <c r="EC177" s="36">
        <f>Crops[[#This Row],[Wholesale Profit]]*BedsPerAcre*GrowingDays/Crops[[#This Row],[Days In Field]]</f>
        <v>243889.82583774251</v>
      </c>
      <c r="ED177" s="33">
        <f>Crops[[#This Row],[Wholesale Time]] * BedsPerAcre</f>
        <v>1923.0998677248676</v>
      </c>
      <c r="EE177" s="221">
        <f>Crops[[#This Row],[Wholesale Profit]]/MIN(Crops[[#This Row],[Days In Field]],GrowingDays)</f>
        <v>8.4683967304771688</v>
      </c>
      <c r="EF177" s="36">
        <f>(Crops[[#This Row],[Wholesale Revenue Per Bed]]-Crops[[#This Row],[Wholesale Non-Labor Cost]])/Crops[[#This Row],[Direct Time]]</f>
        <v>59.111916661050678</v>
      </c>
      <c r="EG177" s="174">
        <f>Crops[[#This Row],[Packaging Costs]]/Crops[[#This Row],[Wholesale Revenue Per Bed]]</f>
        <v>5.2777777777777778E-2</v>
      </c>
      <c r="EH177" s="36" t="str">
        <f>Crops[[#This Row],[Crop]]&amp;Crops[[#This Row],[Product]]&amp;Crops[[#This Row],[Unit]]</f>
        <v>LettuceMature HeadHead</v>
      </c>
      <c r="EI177" s="36" t="b">
        <f>_xlfn.XLOOKUP(Crops[[#This Row],[ProductIndex]],Products[ID],Products[Target])</f>
        <v>1</v>
      </c>
      <c r="EJ177" s="33">
        <f>Crops[[#This Row],[Custom Yield Per Bed]]</f>
        <v>266.66666666666663</v>
      </c>
      <c r="EK177" s="210">
        <f>Crops[[#This Row],[Units Per Harvest]]/Crops[[#This Row],[Days Between Harvest]]*7</f>
        <v>133.33333333333331</v>
      </c>
      <c r="EL177" s="210">
        <f>Crops[[#This Row],[Custom Yield Per Bed]]/_xlfn.XLOOKUP(Crops[[#This Row],[ProductIndex]],Products[ID],Products[CSA Portion])</f>
        <v>266.66666666666663</v>
      </c>
      <c r="EM177" s="210">
        <f>Crops[[#This Row],[Units Per Harvest]]/Crops[[#This Row],[Days Between Harvest]]*7/_xlfn.XLOOKUP(Crops[[#This Row],[ProductIndex]],Products[ID],Products[CSA Portion])</f>
        <v>133.33333333333331</v>
      </c>
      <c r="EN177" s="210">
        <f>Crops[[#This Row],[CSA Portions Per Week]]/CSAMembers</f>
        <v>2.6666666666666661</v>
      </c>
      <c r="EO177" s="216"/>
      <c r="EP177" s="216"/>
      <c r="EQ177" s="210"/>
      <c r="ER177" s="210">
        <f>Crops[[#This Row],[Harvests]]*Crops[[#This Row],[Days Between Harvest]]/7</f>
        <v>2</v>
      </c>
      <c r="ES177" s="217">
        <f>_xlfn.XLOOKUP(Crops[[#This Row],[ProductIndex]],Products[ID],Products[CSA Need])</f>
        <v>2</v>
      </c>
      <c r="ET177" s="217">
        <f>_xlfn.XLOOKUP(Crops[[#This Row],[ProductIndex]],Products[ID],Products[CSA Times])</f>
        <v>2</v>
      </c>
      <c r="EU177" s="208">
        <f>Crops[[#This Row],[Custom Yield Per Bed]]/(Crops[[#This Row],[CSA Need]]*(_xlfn.XLOOKUP(Crops[[#This Row],[ProductIndex]],Products[ID],Products[CSA Portion])*CSAMembers))</f>
        <v>2.6666666666666661</v>
      </c>
      <c r="EV177" s="208">
        <f>_xlfn.XLOOKUP(Crops[[#This Row],[ProductIndex]],Products[ID],Products[CSA Portion])*CSAMembers*Crops[[#This Row],[CSA Need]]/Crops[[#This Row],[Custom Yield Per Bed]]</f>
        <v>0.37500000000000006</v>
      </c>
      <c r="EW177" s="208">
        <f>IFERROR(Crops[[#This Row],[Days In Field]]*Crops[[#This Row],[CSA Beds]],"")</f>
        <v>20.250000000000004</v>
      </c>
      <c r="EX177" s="208" t="e">
        <f>Crops[[#This Row],[CSA Bed Days]]*#REF!</f>
        <v>#REF!</v>
      </c>
      <c r="EY177" t="s">
        <v>421</v>
      </c>
    </row>
    <row r="178" spans="1:155">
      <c r="A17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(4x9) - Mature Head 1X | Tunnel TP Sp</v>
      </c>
      <c r="B178" s="179"/>
      <c r="C178" s="1" t="b">
        <v>1</v>
      </c>
      <c r="D178" s="1" t="s">
        <v>2569</v>
      </c>
      <c r="E178" s="1" t="b">
        <v>0</v>
      </c>
      <c r="F178" s="1" t="b">
        <f>IFERROR(IF(ISNUMBER(MATCH(Crops[[#This Row],[Identifier]],BedPlan[Crop], 0)), TRUE, FALSE), FALSE)</f>
        <v>0</v>
      </c>
      <c r="G178" s="1" t="b">
        <f>IFERROR(IF(ISNUMBER(MATCH(Crops[[#This Row],[Identifier]],BedPlan[Crop], 0)), TRUE, FALSE), FALSE)</f>
        <v>0</v>
      </c>
      <c r="H178" s="1"/>
      <c r="I178" t="s">
        <v>92</v>
      </c>
      <c r="J178" t="s">
        <v>2704</v>
      </c>
      <c r="K178" t="s">
        <v>186</v>
      </c>
      <c r="M178" t="s">
        <v>441</v>
      </c>
      <c r="N178" t="str">
        <f>Crops[[#This Row],[Crop]]</f>
        <v>Lettuce</v>
      </c>
      <c r="O178" t="s">
        <v>1413</v>
      </c>
      <c r="P178" t="str">
        <f>IF(OR(Crops[[#This Row],[Days in Cells]]="",Crops[[#This Row],[Days in Cells]]=0), "DS","TP")</f>
        <v>TP</v>
      </c>
      <c r="Q178" t="b">
        <v>1</v>
      </c>
      <c r="V178" t="str">
        <f xml:space="preserve"> IF(Crops[[#This Row],[Sp]], "Sp", "") &amp; IF(Crops[[#This Row],[Su]], "Su", "") &amp; IF(Crops[[#This Row],[Fa]], "Fa", "") &amp; IF(Crops[[#This Row],[Wi]], "Wi", "") &amp; IF(Crops[[#This Row],[OW]], "Ow","")</f>
        <v>Sp</v>
      </c>
      <c r="W178" t="s">
        <v>144</v>
      </c>
      <c r="X178">
        <v>4</v>
      </c>
      <c r="Y178">
        <v>9</v>
      </c>
      <c r="AA178" t="s">
        <v>474</v>
      </c>
      <c r="AB178" t="b">
        <v>1</v>
      </c>
      <c r="AC178">
        <v>1</v>
      </c>
      <c r="AD178" s="32">
        <f>IFERROR(12/Crops[[#This Row],[Spacing]]*Crops[[#This Row],[Rows]]*BedLength,"")</f>
        <v>266.66666666666663</v>
      </c>
      <c r="AE178">
        <v>1</v>
      </c>
      <c r="AG178">
        <f>IF(Crops[[#This Row],[Custom Safety Factor]]="",PlantingSafetyFactor,Crops[[#This Row],[Custom Safety Factor]])</f>
        <v>1.3</v>
      </c>
      <c r="AH178">
        <v>1.3</v>
      </c>
      <c r="AI178" s="33">
        <f>IFERROR(Crops[[#This Row],[Plantings Per Bed]]*Crops[[#This Row],[Seeds Per Planting]]*Crops[[#This Row],[Safety Factor]]*Crops[[#This Row],[Seeding Factor]],"")</f>
        <v>450.66666666666663</v>
      </c>
      <c r="AL178">
        <f>_xlfn.FLOOR.MATH(IFERROR(AVERAGE(Crops[[#This Row],[DTG Lower]:[DTG Upper]]),0))</f>
        <v>0</v>
      </c>
      <c r="AM178">
        <f>SUM(Crops[[#This Row],[Tray 1 Days]],Crops[[#This Row],[Tray 2 Days]],Crops[[#This Row],[Tray 3 Days]])</f>
        <v>30</v>
      </c>
      <c r="AN178">
        <v>30</v>
      </c>
      <c r="AP178">
        <v>45</v>
      </c>
      <c r="AQ178">
        <f>IFERROR(_xlfn.FLOOR.MATH(AVERAGE(Crops[[#This Row],[DTM Lower]:[DTM Upper]])),"")</f>
        <v>45</v>
      </c>
      <c r="AR178" cm="1">
        <f t="array" ref="AR178">_xlfn.SWITCH(Crops[[#This Row],[Normal Method]],"DS",Crops[[#This Row],[Days to Germination]]+Crops[[#This Row],[DTM]] + IF(Crops[[#This Row],[Days in Cells]]&gt;0,15,0), "TP",Crops[[#This Row],[DTM]]+Crops[[#This Row],[Days in Cells]] + IF(Crops[[#This Row],[Days in Cells]]&lt;=0,20,0), "X", Crops[[#This Row],[DTM]])</f>
        <v>75</v>
      </c>
      <c r="AS178" t="s">
        <v>346</v>
      </c>
      <c r="AT178">
        <f>(Crops[[#This Row],[Harvests]]-1)*Crops[[#This Row],[Days Between Harvest]]+7</f>
        <v>14</v>
      </c>
      <c r="AU178">
        <f>Crops[[#This Row],[STH]]-Crops[[#This Row],[Days in Cells]]+Crops[[#This Row],[Harvest window]]</f>
        <v>59</v>
      </c>
      <c r="AX178">
        <v>128</v>
      </c>
      <c r="AY178">
        <v>30</v>
      </c>
      <c r="AZ178" s="49">
        <f>IFERROR(IF(Crops[[#This Row],[Tray 1 Days]]=0,"",Crops[[#This Row],[Plantings Per Bed]]/Crops[[#This Row],[Tray 1 Size]]*Crops[[#This Row],[Safety Factor]]),"")</f>
        <v>2.708333333333333</v>
      </c>
      <c r="BC178" t="str">
        <f>IFERROR(IF(Crops[[#This Row],[Tray 2 Days]]=0,"",Crops[[#This Row],[Plantings Per Bed]]/Crops[[#This Row],[Tray 2 Size]]*Crops[[#This Row],[Safety Factor]]),"")</f>
        <v/>
      </c>
      <c r="BE178" s="32" t="str">
        <f>IF(NOT(ISBLANK(Crops[[#This Row],[Tray 3 Size]])), Crops[[#This Row],[Days in Cells Old]]-SUM(Crops[[#This Row],[Tray 1 Days]],Crops[[#This Row],[Tray 2 Days]]), "")</f>
        <v/>
      </c>
      <c r="BF178" s="49" t="str">
        <f>IFERROR(IF(Crops[[#This Row],[Tray 3 Days]]=0,"",Crops[[#This Row],[Plantings Per Bed]]/Crops[[#This Row],[Tray 3 Size]]*Crops[[#This Row],[Safety Factor]]),"")</f>
        <v/>
      </c>
      <c r="BG178" s="33">
        <f>Crops[[#This Row],[Plantings Per Bed]]/Crops[[#This Row],[Harvests]]</f>
        <v>133.33333333333331</v>
      </c>
      <c r="BH178" s="33">
        <v>2</v>
      </c>
      <c r="BI178" s="33">
        <v>7</v>
      </c>
      <c r="BJ178" s="33">
        <f>_xlfn.XLOOKUP(Crops[[#This Row],[ProductIndex]],Products[ID],Products[Holding Period])</f>
        <v>10</v>
      </c>
      <c r="BK178" s="33"/>
      <c r="BL178" s="33">
        <f>Crops[[#This Row],[Units Per Harvest]]*Crops[[#This Row],[Harvests]]</f>
        <v>266.66666666666663</v>
      </c>
      <c r="BM178" s="35">
        <v>4</v>
      </c>
      <c r="BN178" s="35">
        <v>3</v>
      </c>
      <c r="BO178" s="35"/>
      <c r="BP178" t="s">
        <v>214</v>
      </c>
      <c r="BQ178">
        <f>Crops[[#This Row],[Custom Yield Per Bed]]*Crops[[#This Row],[Direct Price]]</f>
        <v>1066.6666666666665</v>
      </c>
      <c r="BR178" t="b">
        <v>1</v>
      </c>
      <c r="BS178" t="b">
        <f>Crops[[#This Row],[Harvests]]&gt;1</f>
        <v>1</v>
      </c>
      <c r="BT178" s="36">
        <f>IFERROR(Crops[[#This Row],[Direct Revenue Per Bed]]/Crops[[#This Row],[Days In Field]],-1)</f>
        <v>18.079096045197737</v>
      </c>
      <c r="BU178" s="36">
        <f>IFERROR(Crops[[#This Row],[Direct Revenue Per Bed Day]]*GrowingDays*BedsPerAcre,"")</f>
        <v>520677.96610169485</v>
      </c>
      <c r="BV178" s="38">
        <f>LastFrostDate-5*Crops[[#This Row],[Sewing Rel Last Frost]]</f>
        <v>45713</v>
      </c>
      <c r="BW178" s="38">
        <f>Crops[[#This Row],[Target Sewing Date]]+Crops[[#This Row],[Days in Cells]]</f>
        <v>45743</v>
      </c>
      <c r="BX178" s="38">
        <f>Crops[[#This Row],[Target Sewing Date]]+Crops[[#This Row],[STH]]</f>
        <v>45788</v>
      </c>
      <c r="BY178" s="38">
        <f>Crops[[#This Row],[Target Harvest Data]]+Crops[[#This Row],[Harvest window]]</f>
        <v>45802</v>
      </c>
      <c r="BZ178">
        <v>7</v>
      </c>
      <c r="CB178">
        <f>1</f>
        <v>1</v>
      </c>
      <c r="CC178">
        <f>IF(Crops[[#This Row],[Transplanting]]&gt;0, 2, 3)*BedLength/StandardBedLength</f>
        <v>1</v>
      </c>
      <c r="CD178" s="173">
        <f>IF(Crops[[#This Row],[Days in Cells]]&lt;=0,0,Crops[[#This Row],[Plantings Per Bed]]/StartsPerHourSeeding+Crops[[#This Row],[Tray 1 Count]]*5/60)</f>
        <v>1.2673611111111109</v>
      </c>
      <c r="CE178" s="173">
        <f>IF(ISBLANK(Crops[[#This Row],[Tray 2 Days]]),0,Crops[[#This Row],[Plantings Per Bed]]/UpPottingPerHour)+IF(Crops[[#This Row],[Tray 3 Days]]="",0,Crops[[#This Row],[Plantings Per Bed]]/UpPottingPerHour)</f>
        <v>0</v>
      </c>
      <c r="CF178" s="173">
        <f>IFERROR(Crops[[#This Row],[Tray 1 Count]]/HomeStartFlatIrrigationPerHour,0)*Crops[[#This Row],[Days in Cells]]/DaysBetweenStartIrrigation</f>
        <v>0.33854166666666663</v>
      </c>
      <c r="CG178" s="173">
        <f>0.5/16*MAX(Crops[[#This Row],[Tray 1 Count]],Crops[[#This Row],[Tray 2 Count]],Crops[[#This Row],[Tray 3 Count]])</f>
        <v>8.4635416666666657E-2</v>
      </c>
      <c r="CH178" s="173">
        <f>IF(Crops[[#This Row],[Days in Cells]]&gt;0,IF(IF(Crops[[#This Row],[Tray 3 Size]]&gt;0,Crops[[#This Row],[Tray 3 Size]],IF(Crops[[#This Row],[Tray 2 Size]]&gt;0,Crops[[#This Row],[Tray 2 Size]],Crops[[#This Row],[Tray 1 Size]]))&lt;=18,LargeTransplantTime,SmallTransplantTime)*Crops[[#This Row],[Plantings Per Bed]],0)</f>
        <v>1.3333333333333333</v>
      </c>
      <c r="CI178" s="173"/>
      <c r="CJ178" s="173">
        <f>_xlfn.XLOOKUP(Crops[[#This Row],[Trellis Type]],TrellisMethods[Trellis Type],TrellisMethods[Hours],0,0)</f>
        <v>0</v>
      </c>
      <c r="CK178">
        <f>IF(Crops[[#This Row],[Days in Cells]]&lt;=0,Crops[[#This Row],[Rows]]*1/10,0)*BedLength/50</f>
        <v>0</v>
      </c>
      <c r="CL178" cm="1">
        <f t="array" ref="CL178">_xlfn.SWITCH(Crops[[#This Row],[Irrigation]],"DR", 0.5, "OH", 0.25,0)*BedLength/50</f>
        <v>0</v>
      </c>
      <c r="CM178">
        <f>IF(OR(ISBLANK(Crops[[#This Row],[Row Cover]]),Crops[[#This Row],[Row Cover]]="None"),0,1)*BedLength/50</f>
        <v>0</v>
      </c>
      <c r="CN178" s="173">
        <f>HoursPerWeedingPass*Crops[[#This Row],[Days In Field]]/14*Crops[[#This Row],[Rows]]+1*BedLength/50</f>
        <v>3.8095238095238093</v>
      </c>
      <c r="CO178" s="49"/>
      <c r="CQ178" s="37">
        <f>_xlfn.XLOOKUP(Crops[[#This Row],[Crop]]&amp;Crops[[#This Row],[Product]]&amp;Crops[[#This Row],[Unit]],Products[ID],Products[Marketing (hr)])*Crops[[#This Row],[Direct Revenue Per Bed]]/2000</f>
        <v>1.0666666666666664</v>
      </c>
      <c r="CR178" s="37">
        <f>_xlfn.XLOOKUP(Crops[[#This Row],[Crop]]&amp;Crops[[#This Row],[Product]]&amp;Crops[[#This Row],[Unit]],Products[ID],Products[Harvest (s)])*Crops[[#This Row],[Custom Yield Per Bed]]/3600</f>
        <v>0.74074074074074059</v>
      </c>
      <c r="CS178" s="37">
        <f>_xlfn.XLOOKUP(Crops[[#This Row],[Crop]]&amp;Crops[[#This Row],[Product]]&amp;Crops[[#This Row],[Unit]],Products[ID],Products[Bunch (s)])*Crops[[#This Row],[Custom Yield Per Bed]]/3600</f>
        <v>0</v>
      </c>
      <c r="CT178" s="37">
        <f>_xlfn.XLOOKUP(Crops[[#This Row],[Crop]]&amp;Crops[[#This Row],[Product]]&amp;Crops[[#This Row],[Unit]],Products[ID],Products[Haul (s)])*Crops[[#This Row],[Custom Yield Per Bed]]/3600</f>
        <v>0.27777777777777773</v>
      </c>
      <c r="CU178" s="37">
        <f>_xlfn.XLOOKUP(Crops[[#This Row],[Crop]]&amp;Crops[[#This Row],[Product]]&amp;Crops[[#This Row],[Unit]],Products[ID],Products[Wash (s)])*Crops[[#This Row],[Custom Yield Per Bed]]/3600</f>
        <v>1.4814814814814812</v>
      </c>
      <c r="CV178" s="37">
        <f>_xlfn.XLOOKUP(Crops[[#This Row],[Crop]]&amp;Crops[[#This Row],[Product]]&amp;Crops[[#This Row],[Unit]],Products[ID],Products[Condition (s)])*Crops[[#This Row],[Custom Yield Per Bed]]/3600</f>
        <v>0</v>
      </c>
      <c r="CW178" s="37">
        <f>_xlfn.XLOOKUP(Crops[[#This Row],[Crop]]&amp;Crops[[#This Row],[Product]]&amp;Crops[[#This Row],[Unit]],Products[ID],Products[Trim (s)])*Crops[[#This Row],[Custom Yield Per Bed]]/3600</f>
        <v>0.74074074074074059</v>
      </c>
      <c r="CX178" s="37">
        <f>_xlfn.XLOOKUP(Crops[[#This Row],[Crop]]&amp;Crops[[#This Row],[Product]]&amp;Crops[[#This Row],[Unit]],Products[ID],Products[Pack (s)])*Crops[[#This Row],[Custom Yield Per Bed]]/3600</f>
        <v>0.22222222222222218</v>
      </c>
      <c r="CY178" s="37">
        <f>_xlfn.XLOOKUP(Crops[[#This Row],[Crop]]&amp;Crops[[#This Row],[Product]]&amp;Crops[[#This Row],[Unit]],Products[ID],Products[Clean (s)])*Crops[[#This Row],[Custom Yield Per Bed]]/3600</f>
        <v>0</v>
      </c>
      <c r="CZ178" s="37">
        <f>_xlfn.XLOOKUP(Crops[[#This Row],[Crop]]&amp;Crops[[#This Row],[Product]]&amp;Crops[[#This Row],[Unit]],Products[ID],Products[Rehandle (s)])*Crops[[#This Row],[Custom Yield Per Bed]]/3600</f>
        <v>0</v>
      </c>
      <c r="DA178" s="37">
        <f>_xlfn.XLOOKUP(Crops[[#This Row],[Crop]]&amp;Crops[[#This Row],[Product]]&amp;Crops[[#This Row],[Unit]],Products[ID],Products[Market Transport (s)])*Crops[[#This Row],[Custom Yield Per Bed]]/3600</f>
        <v>0.69444444444444431</v>
      </c>
      <c r="DC178" s="37">
        <f>Crops[[#This Row],[Direct Revenue Per Bed2]]</f>
        <v>1066.6666666666665</v>
      </c>
      <c r="DD178" s="173">
        <f>_xlfn.AGGREGATE(9,6,Crops[[#This Row],[Bed Prep]:[Remove Crop Residue]])</f>
        <v>13.057469411375658</v>
      </c>
      <c r="DE178" s="173">
        <f>_xlfn.AGGREGATE(9,6,Crops[[#This Row],[Bed Prep]:[Remove Crop Residue]])-0.75*Crops[[#This Row],[Market &amp; Sell]]</f>
        <v>12.257469411375659</v>
      </c>
      <c r="DF178" s="36">
        <f>Crops[[#This Row],[Direct Revenue Per Bed2]]/Crops[[#This Row],[Direct Time]]</f>
        <v>81.690152437760048</v>
      </c>
      <c r="DG178" s="36">
        <f>_xlfn.XLOOKUP(Crops[[#This Row],[ProductIndex]],Products[ID],Products[Packaging Cost])*(Crops[[#This Row],[Custom Yield Per Bed]]/_xlfn.XLOOKUP(Crops[[#This Row],[ProductIndex]],Products[ID],Products[Units Per Pack]))</f>
        <v>42.222222222222214</v>
      </c>
      <c r="DH178" s="36"/>
      <c r="DI178" s="36"/>
      <c r="DJ178" s="36"/>
      <c r="DK178" s="36"/>
      <c r="DL178" s="36"/>
      <c r="DM178" s="33">
        <f>IFERROR(Crops[[#This Row],[Custom Yield Per Bed]]*Crops[[#This Row],[Direct Price]],"")</f>
        <v>1066.6666666666665</v>
      </c>
      <c r="DN178" s="36">
        <f>Crops[[#This Row],[Direct Time]]*LaborRate</f>
        <v>326.43673528439143</v>
      </c>
      <c r="DO178" s="36">
        <f>SUM(Crops[[#This Row],[Irrigation Cost]])</f>
        <v>0</v>
      </c>
      <c r="DP178" s="36">
        <f>Crops[[#This Row],[Direct Labor Cost]]+Crops[[#This Row],[Direct Non-Labor Cost]]</f>
        <v>326.43673528439143</v>
      </c>
      <c r="DQ178" s="36">
        <f>Crops[[#This Row],[Direct Revenue Per Bed2]]-Crops[[#This Row],[Direct Total Cost]]</f>
        <v>740.22993138227503</v>
      </c>
      <c r="DR178" s="36">
        <f>Crops[[#This Row],[Direct Profit]]*BedsPerAcre</f>
        <v>118436.789021164</v>
      </c>
      <c r="DS178" s="36">
        <f>Crops[[#This Row],[Direct Profit]]*BedsPerAcre*GrowingDays/Crops[[#This Row],[Days In Field]]</f>
        <v>361332.57667473768</v>
      </c>
      <c r="DT178" s="36">
        <f>Crops[[#This Row],[Direct Profit]]/MIN(Crops[[#This Row],[Days In Field]],GrowingDays)</f>
        <v>12.54627002342839</v>
      </c>
      <c r="DU178" s="33">
        <f>Crops[[#This Row],[Direct Time]] * BedsPerAcre</f>
        <v>2089.1951058201053</v>
      </c>
      <c r="DV178" s="36">
        <f>(Crops[[#This Row],[Direct Revenue Per Bed2]]-Crops[[#This Row],[Direct Non-Labor Cost]])/Crops[[#This Row],[Direct Time]]</f>
        <v>81.690152437760048</v>
      </c>
      <c r="DW178" s="33">
        <f>IFERROR(Crops[[#This Row],[Custom Yield Per Bed]]*Crops[[#This Row],[Rough Wholesale Price]],"")</f>
        <v>799.99999999999989</v>
      </c>
      <c r="DX178" s="36">
        <f>Crops[[#This Row],[Wholesale Time]]*LaborRate</f>
        <v>306.43673528439149</v>
      </c>
      <c r="DY178" s="36">
        <f>SUM(Crops[[#This Row],[Packaging Costs]:[Irrigation Cost]])</f>
        <v>42.222222222222214</v>
      </c>
      <c r="DZ178" s="36">
        <f>Crops[[#This Row],[Wholesale Labor Cost]]+Crops[[#This Row],[Wholesale Non-Labor Cost]]</f>
        <v>348.65895750661372</v>
      </c>
      <c r="EA178" s="36">
        <f>Crops[[#This Row],[Wholesale Revenue Per Bed]]-Crops[[#This Row],[Wholesale Total Cost]]</f>
        <v>451.34104249338617</v>
      </c>
      <c r="EB178" s="36">
        <f>Crops[[#This Row],[Wholesale Profit]]*BedsPerAcre</f>
        <v>72214.566798941785</v>
      </c>
      <c r="EC178" s="36">
        <f>Crops[[#This Row],[Wholesale Profit]]*BedsPerAcre*GrowingDays/Crops[[#This Row],[Days In Field]]</f>
        <v>220315.62752219525</v>
      </c>
      <c r="ED178" s="33">
        <f>Crops[[#This Row],[Wholesale Time]] * BedsPerAcre</f>
        <v>1961.1951058201055</v>
      </c>
      <c r="EE178" s="221">
        <f>Crops[[#This Row],[Wholesale Profit]]/MIN(Crops[[#This Row],[Days In Field]],GrowingDays)</f>
        <v>7.6498481778540031</v>
      </c>
      <c r="EF178" s="36">
        <f>(Crops[[#This Row],[Wholesale Revenue Per Bed]]-Crops[[#This Row],[Wholesale Non-Labor Cost]])/Crops[[#This Row],[Direct Time]]</f>
        <v>58.034045794325372</v>
      </c>
      <c r="EG178" s="174">
        <f>Crops[[#This Row],[Packaging Costs]]/Crops[[#This Row],[Wholesale Revenue Per Bed]]</f>
        <v>5.2777777777777778E-2</v>
      </c>
      <c r="EH178" s="36" t="str">
        <f>Crops[[#This Row],[Crop]]&amp;Crops[[#This Row],[Product]]&amp;Crops[[#This Row],[Unit]]</f>
        <v>LettuceMature HeadHead</v>
      </c>
      <c r="EI178" s="36" t="b">
        <f>_xlfn.XLOOKUP(Crops[[#This Row],[ProductIndex]],Products[ID],Products[Target])</f>
        <v>1</v>
      </c>
      <c r="EJ178" s="33">
        <f>Crops[[#This Row],[Custom Yield Per Bed]]</f>
        <v>266.66666666666663</v>
      </c>
      <c r="EK178" s="210">
        <f>Crops[[#This Row],[Units Per Harvest]]/Crops[[#This Row],[Days Between Harvest]]*7</f>
        <v>133.33333333333331</v>
      </c>
      <c r="EL178" s="210">
        <f>Crops[[#This Row],[Custom Yield Per Bed]]/_xlfn.XLOOKUP(Crops[[#This Row],[ProductIndex]],Products[ID],Products[CSA Portion])</f>
        <v>266.66666666666663</v>
      </c>
      <c r="EM178" s="210">
        <f>Crops[[#This Row],[Units Per Harvest]]/Crops[[#This Row],[Days Between Harvest]]*7/_xlfn.XLOOKUP(Crops[[#This Row],[ProductIndex]],Products[ID],Products[CSA Portion])</f>
        <v>133.33333333333331</v>
      </c>
      <c r="EN178" s="210">
        <f>Crops[[#This Row],[CSA Portions Per Week]]/CSAMembers</f>
        <v>2.6666666666666661</v>
      </c>
      <c r="EO178" s="216"/>
      <c r="EP178" s="216"/>
      <c r="EQ178" s="210"/>
      <c r="ER178" s="210">
        <f>Crops[[#This Row],[Harvests]]*Crops[[#This Row],[Days Between Harvest]]/7</f>
        <v>2</v>
      </c>
      <c r="ES178" s="217">
        <f>_xlfn.XLOOKUP(Crops[[#This Row],[ProductIndex]],Products[ID],Products[CSA Need])</f>
        <v>2</v>
      </c>
      <c r="ET178" s="217">
        <f>_xlfn.XLOOKUP(Crops[[#This Row],[ProductIndex]],Products[ID],Products[CSA Times])</f>
        <v>2</v>
      </c>
      <c r="EU178" s="208">
        <f>Crops[[#This Row],[Custom Yield Per Bed]]/(Crops[[#This Row],[CSA Need]]*(_xlfn.XLOOKUP(Crops[[#This Row],[ProductIndex]],Products[ID],Products[CSA Portion])*CSAMembers))</f>
        <v>2.6666666666666661</v>
      </c>
      <c r="EV178" s="208">
        <f>_xlfn.XLOOKUP(Crops[[#This Row],[ProductIndex]],Products[ID],Products[CSA Portion])*CSAMembers*Crops[[#This Row],[CSA Need]]/Crops[[#This Row],[Custom Yield Per Bed]]</f>
        <v>0.37500000000000006</v>
      </c>
      <c r="EW178" s="208">
        <f>IFERROR(Crops[[#This Row],[Days In Field]]*Crops[[#This Row],[CSA Beds]],"")</f>
        <v>22.125000000000004</v>
      </c>
      <c r="EX178" s="208" t="e">
        <f>Crops[[#This Row],[CSA Bed Days]]*#REF!</f>
        <v>#REF!</v>
      </c>
      <c r="EY178" t="s">
        <v>421</v>
      </c>
    </row>
    <row r="179" spans="1:155">
      <c r="A17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DS Sp</v>
      </c>
      <c r="B179" s="179"/>
      <c r="C179" s="1"/>
      <c r="D179" s="1"/>
      <c r="E179" s="1" t="b">
        <v>0</v>
      </c>
      <c r="F179" s="1" t="b">
        <f>IFERROR(IF(ISNUMBER(MATCH(Crops[[#This Row],[Identifier]],BedPlan[Crop], 0)), TRUE, FALSE), FALSE)</f>
        <v>0</v>
      </c>
      <c r="G179" s="1" t="b">
        <f>IFERROR(IF(ISNUMBER(MATCH(Crops[[#This Row],[Identifier]],BedPlan[Crop], 0)), TRUE, FALSE), FALSE)</f>
        <v>0</v>
      </c>
      <c r="H179" s="1"/>
      <c r="I179" t="s">
        <v>92</v>
      </c>
      <c r="J179" t="s">
        <v>1796</v>
      </c>
      <c r="K179" t="s">
        <v>200</v>
      </c>
      <c r="N179" t="str">
        <f>Crops[[#This Row],[Crop]]</f>
        <v>Lettuce</v>
      </c>
      <c r="O179" t="s">
        <v>210</v>
      </c>
      <c r="P179" t="str">
        <f>IF(OR(Crops[[#This Row],[Days in Cells]]="",Crops[[#This Row],[Days in Cells]]=0), "DS","TP")</f>
        <v>DS</v>
      </c>
      <c r="Q179" t="b">
        <v>1</v>
      </c>
      <c r="V179" t="str">
        <f xml:space="preserve"> IF(Crops[[#This Row],[Sp]], "Sp", "") &amp; IF(Crops[[#This Row],[Su]], "Su", "") &amp; IF(Crops[[#This Row],[Fa]], "Fa", "") &amp; IF(Crops[[#This Row],[Wi]], "Wi", "") &amp; IF(Crops[[#This Row],[OW]], "Ow","")</f>
        <v>Sp</v>
      </c>
      <c r="W179" t="s">
        <v>144</v>
      </c>
      <c r="X179">
        <v>4</v>
      </c>
      <c r="Y179">
        <v>6</v>
      </c>
      <c r="AD179" s="32">
        <f>IFERROR(12/Crops[[#This Row],[Spacing]]*Crops[[#This Row],[Rows]]*BedLength,"")</f>
        <v>400</v>
      </c>
      <c r="AE179">
        <v>1</v>
      </c>
      <c r="AG179">
        <f>IF(Crops[[#This Row],[Custom Safety Factor]]="",PlantingSafetyFactor,Crops[[#This Row],[Custom Safety Factor]])</f>
        <v>1.3</v>
      </c>
      <c r="AH179">
        <v>1.3</v>
      </c>
      <c r="AI179" s="33">
        <f>IFERROR(Crops[[#This Row],[Plantings Per Bed]]*Crops[[#This Row],[Seeds Per Planting]]*Crops[[#This Row],[Safety Factor]]*Crops[[#This Row],[Seeding Factor]],"")</f>
        <v>676</v>
      </c>
      <c r="AL179">
        <f>_xlfn.FLOOR.MATH(IFERROR(AVERAGE(Crops[[#This Row],[DTG Lower]:[DTG Upper]]),0))</f>
        <v>0</v>
      </c>
      <c r="AM179">
        <f>SUM(Crops[[#This Row],[Tray 1 Days]],Crops[[#This Row],[Tray 2 Days]],Crops[[#This Row],[Tray 3 Days]])</f>
        <v>0</v>
      </c>
      <c r="AP179">
        <v>84</v>
      </c>
      <c r="AQ179">
        <f>IFERROR(_xlfn.FLOOR.MATH(AVERAGE(Crops[[#This Row],[DTM Lower]:[DTM Upper]])),"")</f>
        <v>84</v>
      </c>
      <c r="AR179" cm="1">
        <f t="array" ref="AR179">_xlfn.SWITCH(Crops[[#This Row],[Normal Method]],"DS",Crops[[#This Row],[Days to Germination]]+Crops[[#This Row],[DTM]] + IF(Crops[[#This Row],[Days in Cells]]&gt;0,15,0), "TP",Crops[[#This Row],[DTM]]+Crops[[#This Row],[Days in Cells]] + IF(Crops[[#This Row],[Days in Cells]]&lt;=0,20,0), "X", Crops[[#This Row],[DTM]])</f>
        <v>104</v>
      </c>
      <c r="AS179" t="s">
        <v>346</v>
      </c>
      <c r="AT179">
        <f>(Crops[[#This Row],[Harvests]]-1)*Crops[[#This Row],[Days Between Harvest]]+7</f>
        <v>7</v>
      </c>
      <c r="AU179">
        <f>Crops[[#This Row],[STH]]-Crops[[#This Row],[Days in Cells]]+Crops[[#This Row],[Harvest window]]</f>
        <v>111</v>
      </c>
      <c r="AW179">
        <v>128</v>
      </c>
      <c r="AZ179" t="str">
        <f>IFERROR(IF(Crops[[#This Row],[Tray 1 Days]]=0,"",Crops[[#This Row],[Plantings Per Bed]]/Crops[[#This Row],[Tray 1 Size]]*Crops[[#This Row],[Safety Factor]]),"")</f>
        <v/>
      </c>
      <c r="BC179" t="str">
        <f>IFERROR(IF(Crops[[#This Row],[Tray 2 Days]]=0,"",Crops[[#This Row],[Plantings Per Bed]]/Crops[[#This Row],[Tray 2 Size]]*Crops[[#This Row],[Safety Factor]]),"")</f>
        <v/>
      </c>
      <c r="BE179" s="32" t="str">
        <f>IF(NOT(ISBLANK(Crops[[#This Row],[Tray 3 Size]])), Crops[[#This Row],[Days in Cells Old]]-SUM(Crops[[#This Row],[Tray 1 Days]],Crops[[#This Row],[Tray 2 Days]]), "")</f>
        <v/>
      </c>
      <c r="BF179" t="str">
        <f>IFERROR(IF(Crops[[#This Row],[Tray 3 Days]]=0,"",Crops[[#This Row],[Plantings Per Bed]]/Crops[[#This Row],[Tray 3 Size]]*Crops[[#This Row],[Safety Factor]]),"")</f>
        <v/>
      </c>
      <c r="BG179" s="33">
        <f>Crops[[#This Row],[Plantings Per Bed]]</f>
        <v>400</v>
      </c>
      <c r="BH179" s="33">
        <v>1</v>
      </c>
      <c r="BI179" s="33">
        <v>0</v>
      </c>
      <c r="BJ179" s="33">
        <f>_xlfn.XLOOKUP(Crops[[#This Row],[ProductIndex]],Products[ID],Products[Holding Period])</f>
        <v>10</v>
      </c>
      <c r="BK179" s="33"/>
      <c r="BL179" s="33">
        <f>Crops[[#This Row],[Units Per Harvest]]*Crops[[#This Row],[Harvests]]</f>
        <v>400</v>
      </c>
      <c r="BM179" s="35">
        <v>3</v>
      </c>
      <c r="BN179" s="35">
        <f>Crops[[#This Row],[Direct Price]]*0.6</f>
        <v>1.7999999999999998</v>
      </c>
      <c r="BO179" s="35"/>
      <c r="BP179" t="s">
        <v>214</v>
      </c>
      <c r="BQ179">
        <f>Crops[[#This Row],[Custom Yield Per Bed]]*Crops[[#This Row],[Direct Price]]</f>
        <v>1200</v>
      </c>
      <c r="BR179" t="b">
        <v>1</v>
      </c>
      <c r="BS179" t="b">
        <f>Crops[[#This Row],[Harvests]]&gt;1</f>
        <v>0</v>
      </c>
      <c r="BT179" s="36">
        <f>IFERROR(Crops[[#This Row],[Direct Revenue Per Bed]]/Crops[[#This Row],[Days In Field]],-1)</f>
        <v>10.810810810810811</v>
      </c>
      <c r="BU179" s="36">
        <f>IFERROR(Crops[[#This Row],[Direct Revenue Per Bed Day]]*GrowingDays*BedsPerAcre,"")</f>
        <v>311351.35135135136</v>
      </c>
      <c r="BV179" s="38">
        <f>LastFrostDate-5*Crops[[#This Row],[Sewing Rel Last Frost]]</f>
        <v>45738</v>
      </c>
      <c r="BW179" s="38">
        <f>Crops[[#This Row],[Target Sewing Date]]+Crops[[#This Row],[Days in Cells]]</f>
        <v>45738</v>
      </c>
      <c r="BX179" s="38">
        <f>Crops[[#This Row],[Target Sewing Date]]+Crops[[#This Row],[STH]]</f>
        <v>45842</v>
      </c>
      <c r="BY179" s="38">
        <f>Crops[[#This Row],[Target Harvest Data]]+Crops[[#This Row],[Harvest window]]</f>
        <v>45849</v>
      </c>
      <c r="BZ179">
        <v>2</v>
      </c>
      <c r="CB179">
        <f>1</f>
        <v>1</v>
      </c>
      <c r="CC179">
        <f>IF(Crops[[#This Row],[Transplanting]]&gt;0, 2, 3)*BedLength/StandardBedLength</f>
        <v>1.5</v>
      </c>
      <c r="CD179" s="173">
        <f>IF(Crops[[#This Row],[Days in Cells]]&lt;=0,0,Crops[[#This Row],[Plantings Per Bed]]/StartsPerHourSeeding+Crops[[#This Row],[Tray 1 Count]]*5/60)</f>
        <v>0</v>
      </c>
      <c r="CE179" s="173">
        <f>IF(ISBLANK(Crops[[#This Row],[Tray 2 Days]]),0,Crops[[#This Row],[Plantings Per Bed]]/UpPottingPerHour)+IF(Crops[[#This Row],[Tray 3 Days]]="",0,Crops[[#This Row],[Plantings Per Bed]]/UpPottingPerHour)</f>
        <v>0</v>
      </c>
      <c r="CF179" s="173">
        <f>IFERROR(Crops[[#This Row],[Tray 1 Count]]/HomeStartFlatIrrigationPerHour,0)*Crops[[#This Row],[Days in Cells]]/DaysBetweenStartIrrigation</f>
        <v>0</v>
      </c>
      <c r="CG179" s="173">
        <f>0.5/16*MAX(Crops[[#This Row],[Tray 1 Count]],Crops[[#This Row],[Tray 2 Count]],Crops[[#This Row],[Tray 3 Count]])</f>
        <v>0</v>
      </c>
      <c r="CH179" s="173">
        <f>IF(Crops[[#This Row],[Days in Cells]]&gt;0,IF(IF(Crops[[#This Row],[Tray 3 Size]]&gt;0,Crops[[#This Row],[Tray 3 Size]],IF(Crops[[#This Row],[Tray 2 Size]]&gt;0,Crops[[#This Row],[Tray 2 Size]],Crops[[#This Row],[Tray 1 Size]]))&lt;=18,LargeTransplantTime,SmallTransplantTime)*Crops[[#This Row],[Plantings Per Bed]],0)</f>
        <v>0</v>
      </c>
      <c r="CI179" s="173"/>
      <c r="CJ179" s="173">
        <f>_xlfn.XLOOKUP(Crops[[#This Row],[Trellis Type]],TrellisMethods[Trellis Type],TrellisMethods[Hours],0,0)</f>
        <v>0</v>
      </c>
      <c r="CK179">
        <f>IF(Crops[[#This Row],[Days in Cells]]&lt;=0,Crops[[#This Row],[Rows]]*1/10,0)*BedLength/50</f>
        <v>0.4</v>
      </c>
      <c r="CL179" cm="1">
        <f t="array" ref="CL179">_xlfn.SWITCH(Crops[[#This Row],[Irrigation]],"DR", 0.5, "OH", 0.25,0)*BedLength/50</f>
        <v>0</v>
      </c>
      <c r="CM179">
        <f>IF(OR(ISBLANK(Crops[[#This Row],[Row Cover]]),Crops[[#This Row],[Row Cover]]="None"),0,1)*BedLength/50</f>
        <v>0</v>
      </c>
      <c r="CN179" s="173">
        <f>HoursPerWeedingPass*Crops[[#This Row],[Days In Field]]/14*Crops[[#This Row],[Rows]]+1*BedLength/50</f>
        <v>6.2857142857142856</v>
      </c>
      <c r="CO179" s="49"/>
      <c r="CQ179" s="37">
        <f>_xlfn.XLOOKUP(Crops[[#This Row],[Crop]]&amp;Crops[[#This Row],[Product]]&amp;Crops[[#This Row],[Unit]],Products[ID],Products[Marketing (hr)])*Crops[[#This Row],[Direct Revenue Per Bed]]/2000</f>
        <v>1.2</v>
      </c>
      <c r="CR179" s="37">
        <f>_xlfn.XLOOKUP(Crops[[#This Row],[Crop]]&amp;Crops[[#This Row],[Product]]&amp;Crops[[#This Row],[Unit]],Products[ID],Products[Harvest (s)])*Crops[[#This Row],[Custom Yield Per Bed]]/3600</f>
        <v>1.1111111111111112</v>
      </c>
      <c r="CS179" s="37">
        <f>_xlfn.XLOOKUP(Crops[[#This Row],[Crop]]&amp;Crops[[#This Row],[Product]]&amp;Crops[[#This Row],[Unit]],Products[ID],Products[Bunch (s)])*Crops[[#This Row],[Custom Yield Per Bed]]/3600</f>
        <v>0</v>
      </c>
      <c r="CT179" s="37">
        <f>_xlfn.XLOOKUP(Crops[[#This Row],[Crop]]&amp;Crops[[#This Row],[Product]]&amp;Crops[[#This Row],[Unit]],Products[ID],Products[Haul (s)])*Crops[[#This Row],[Custom Yield Per Bed]]/3600</f>
        <v>0.27777777777777779</v>
      </c>
      <c r="CU179" s="37">
        <f>_xlfn.XLOOKUP(Crops[[#This Row],[Crop]]&amp;Crops[[#This Row],[Product]]&amp;Crops[[#This Row],[Unit]],Products[ID],Products[Wash (s)])*Crops[[#This Row],[Custom Yield Per Bed]]/3600</f>
        <v>2.2222222222222223</v>
      </c>
      <c r="CV179" s="37">
        <f>_xlfn.XLOOKUP(Crops[[#This Row],[Crop]]&amp;Crops[[#This Row],[Product]]&amp;Crops[[#This Row],[Unit]],Products[ID],Products[Condition (s)])*Crops[[#This Row],[Custom Yield Per Bed]]/3600</f>
        <v>0</v>
      </c>
      <c r="CW179" s="37">
        <f>_xlfn.XLOOKUP(Crops[[#This Row],[Crop]]&amp;Crops[[#This Row],[Product]]&amp;Crops[[#This Row],[Unit]],Products[ID],Products[Trim (s)])*Crops[[#This Row],[Custom Yield Per Bed]]/3600</f>
        <v>1.1111111111111112</v>
      </c>
      <c r="CX179" s="37">
        <f>_xlfn.XLOOKUP(Crops[[#This Row],[Crop]]&amp;Crops[[#This Row],[Product]]&amp;Crops[[#This Row],[Unit]],Products[ID],Products[Pack (s)])*Crops[[#This Row],[Custom Yield Per Bed]]/3600</f>
        <v>0.33333333333333331</v>
      </c>
      <c r="CY179" s="37">
        <f>_xlfn.XLOOKUP(Crops[[#This Row],[Crop]]&amp;Crops[[#This Row],[Product]]&amp;Crops[[#This Row],[Unit]],Products[ID],Products[Clean (s)])*Crops[[#This Row],[Custom Yield Per Bed]]/3600</f>
        <v>0</v>
      </c>
      <c r="CZ179" s="37">
        <f>_xlfn.XLOOKUP(Crops[[#This Row],[Crop]]&amp;Crops[[#This Row],[Product]]&amp;Crops[[#This Row],[Unit]],Products[ID],Products[Rehandle (s)])*Crops[[#This Row],[Custom Yield Per Bed]]/3600</f>
        <v>0</v>
      </c>
      <c r="DA179" s="37">
        <f>_xlfn.XLOOKUP(Crops[[#This Row],[Crop]]&amp;Crops[[#This Row],[Product]]&amp;Crops[[#This Row],[Unit]],Products[ID],Products[Market Transport (s)])*Crops[[#This Row],[Custom Yield Per Bed]]/3600</f>
        <v>0.69444444444444442</v>
      </c>
      <c r="DC179" s="37">
        <f>Crops[[#This Row],[Direct Revenue Per Bed2]]</f>
        <v>1200</v>
      </c>
      <c r="DD179" s="173">
        <f>_xlfn.AGGREGATE(9,6,Crops[[#This Row],[Bed Prep]:[Remove Crop Residue]])</f>
        <v>15.135714285714286</v>
      </c>
      <c r="DE179" s="173">
        <f>_xlfn.AGGREGATE(9,6,Crops[[#This Row],[Bed Prep]:[Remove Crop Residue]])-0.75*Crops[[#This Row],[Market &amp; Sell]]</f>
        <v>14.235714285714286</v>
      </c>
      <c r="DF179" s="36">
        <f>Crops[[#This Row],[Direct Revenue Per Bed2]]/Crops[[#This Row],[Direct Time]]</f>
        <v>79.282680509674378</v>
      </c>
      <c r="DG179" s="36">
        <f>_xlfn.XLOOKUP(Crops[[#This Row],[ProductIndex]],Products[ID],Products[Packaging Cost])*(Crops[[#This Row],[Custom Yield Per Bed]]/_xlfn.XLOOKUP(Crops[[#This Row],[ProductIndex]],Products[ID],Products[Units Per Pack]))</f>
        <v>42.222222222222221</v>
      </c>
      <c r="DH179" s="36"/>
      <c r="DI179" s="36"/>
      <c r="DJ179" s="36"/>
      <c r="DK179" s="36"/>
      <c r="DL179" s="36"/>
      <c r="DM179" s="33">
        <f>IFERROR(Crops[[#This Row],[Custom Yield Per Bed]]*Crops[[#This Row],[Direct Price]],"")</f>
        <v>1200</v>
      </c>
      <c r="DN179" s="36">
        <f>Crops[[#This Row],[Direct Time]]*LaborRate</f>
        <v>378.39285714285717</v>
      </c>
      <c r="DO179" s="36">
        <f>SUM(Crops[[#This Row],[Irrigation Cost]])</f>
        <v>0</v>
      </c>
      <c r="DP179" s="36">
        <f>Crops[[#This Row],[Direct Labor Cost]]+Crops[[#This Row],[Direct Non-Labor Cost]]</f>
        <v>378.39285714285717</v>
      </c>
      <c r="DQ179" s="36">
        <f>Crops[[#This Row],[Direct Revenue Per Bed2]]-Crops[[#This Row],[Direct Total Cost]]</f>
        <v>821.60714285714289</v>
      </c>
      <c r="DR179" s="36">
        <f>Crops[[#This Row],[Direct Profit]]*BedsPerAcre</f>
        <v>131457.14285714287</v>
      </c>
      <c r="DS179" s="36">
        <f>Crops[[#This Row],[Direct Profit]]*BedsPerAcre*GrowingDays/Crops[[#This Row],[Days In Field]]</f>
        <v>213173.74517374521</v>
      </c>
      <c r="DT179" s="36">
        <f>Crops[[#This Row],[Direct Profit]]/MIN(Crops[[#This Row],[Days In Field]],GrowingDays)</f>
        <v>7.4018661518661526</v>
      </c>
      <c r="DU179" s="33">
        <f>Crops[[#This Row],[Direct Time]] * BedsPerAcre</f>
        <v>2421.7142857142858</v>
      </c>
      <c r="DV179" s="36">
        <f>(Crops[[#This Row],[Direct Revenue Per Bed2]]-Crops[[#This Row],[Direct Non-Labor Cost]])/Crops[[#This Row],[Direct Time]]</f>
        <v>79.282680509674378</v>
      </c>
      <c r="DW179" s="33">
        <f>IFERROR(Crops[[#This Row],[Custom Yield Per Bed]]*Crops[[#This Row],[Rough Wholesale Price]],"")</f>
        <v>719.99999999999989</v>
      </c>
      <c r="DX179" s="36">
        <f>Crops[[#This Row],[Wholesale Time]]*LaborRate</f>
        <v>355.89285714285717</v>
      </c>
      <c r="DY179" s="36">
        <f>SUM(Crops[[#This Row],[Packaging Costs]:[Irrigation Cost]])</f>
        <v>42.222222222222221</v>
      </c>
      <c r="DZ179" s="36">
        <f>Crops[[#This Row],[Wholesale Labor Cost]]+Crops[[#This Row],[Wholesale Non-Labor Cost]]</f>
        <v>398.1150793650794</v>
      </c>
      <c r="EA179" s="36">
        <f>Crops[[#This Row],[Wholesale Revenue Per Bed]]-Crops[[#This Row],[Wholesale Total Cost]]</f>
        <v>321.88492063492049</v>
      </c>
      <c r="EB179" s="36">
        <f>Crops[[#This Row],[Wholesale Profit]]*BedsPerAcre</f>
        <v>51501.587301587278</v>
      </c>
      <c r="EC179" s="36">
        <f>Crops[[#This Row],[Wholesale Profit]]*BedsPerAcre*GrowingDays/Crops[[#This Row],[Days In Field]]</f>
        <v>83516.087516087486</v>
      </c>
      <c r="ED179" s="33">
        <f>Crops[[#This Row],[Wholesale Time]] * BedsPerAcre</f>
        <v>2277.7142857142858</v>
      </c>
      <c r="EE179" s="221">
        <f>Crops[[#This Row],[Wholesale Profit]]/MIN(Crops[[#This Row],[Days In Field]],GrowingDays)</f>
        <v>2.8998641498641486</v>
      </c>
      <c r="EF179" s="36">
        <f>(Crops[[#This Row],[Wholesale Revenue Per Bed]]-Crops[[#This Row],[Wholesale Non-Labor Cost]])/Crops[[#This Row],[Direct Time]]</f>
        <v>44.780032510093854</v>
      </c>
      <c r="EG179" s="174">
        <f>Crops[[#This Row],[Packaging Costs]]/Crops[[#This Row],[Wholesale Revenue Per Bed]]</f>
        <v>5.8641975308641986E-2</v>
      </c>
      <c r="EH179" s="36" t="str">
        <f>Crops[[#This Row],[Crop]]&amp;Crops[[#This Row],[Product]]&amp;Crops[[#This Row],[Unit]]</f>
        <v>LettuceMini HeadHead</v>
      </c>
      <c r="EI179" s="36" t="b">
        <f>_xlfn.XLOOKUP(Crops[[#This Row],[ProductIndex]],Products[ID],Products[Target])</f>
        <v>1</v>
      </c>
      <c r="EJ179" s="36">
        <f>Crops[[#This Row],[Custom Yield Per Bed]]</f>
        <v>400</v>
      </c>
      <c r="EK179" s="210" t="e">
        <f>Crops[[#This Row],[Units Per Harvest]]/Crops[[#This Row],[Days Between Harvest]]*7</f>
        <v>#DIV/0!</v>
      </c>
      <c r="EL179" s="210">
        <f>Crops[[#This Row],[Custom Yield Per Bed]]/_xlfn.XLOOKUP(Crops[[#This Row],[ProductIndex]],Products[ID],Products[CSA Portion])</f>
        <v>400</v>
      </c>
      <c r="EM179" s="210" t="e">
        <f>Crops[[#This Row],[Units Per Harvest]]/Crops[[#This Row],[Days Between Harvest]]*7/_xlfn.XLOOKUP(Crops[[#This Row],[ProductIndex]],Products[ID],Products[CSA Portion])</f>
        <v>#DIV/0!</v>
      </c>
      <c r="EN179" s="210" t="e">
        <f>Crops[[#This Row],[CSA Portions Per Week]]/CSAMembers</f>
        <v>#DIV/0!</v>
      </c>
      <c r="EO179" s="210"/>
      <c r="EP179" s="210"/>
      <c r="EQ179" s="210"/>
      <c r="ER179" s="210">
        <f>Crops[[#This Row],[Harvests]]*Crops[[#This Row],[Days Between Harvest]]/7</f>
        <v>0</v>
      </c>
      <c r="ES179" s="217">
        <f>_xlfn.XLOOKUP(Crops[[#This Row],[ProductIndex]],Products[ID],Products[CSA Need])</f>
        <v>3</v>
      </c>
      <c r="ET179" s="217">
        <f>_xlfn.XLOOKUP(Crops[[#This Row],[ProductIndex]],Products[ID],Products[CSA Times])</f>
        <v>3</v>
      </c>
      <c r="EU179" s="208">
        <f>Crops[[#This Row],[Custom Yield Per Bed]]/(Crops[[#This Row],[CSA Need]]*(_xlfn.XLOOKUP(Crops[[#This Row],[ProductIndex]],Products[ID],Products[CSA Portion])*CSAMembers))</f>
        <v>2.6666666666666665</v>
      </c>
      <c r="EV179" s="208">
        <f>_xlfn.XLOOKUP(Crops[[#This Row],[ProductIndex]],Products[ID],Products[CSA Portion])*CSAMembers*Crops[[#This Row],[CSA Need]]/Crops[[#This Row],[Custom Yield Per Bed]]</f>
        <v>0.375</v>
      </c>
      <c r="EW179" s="208">
        <f>IFERROR(Crops[[#This Row],[Days In Field]]*Crops[[#This Row],[CSA Beds]],"")</f>
        <v>41.625</v>
      </c>
      <c r="EX179" s="208" t="e">
        <f>Crops[[#This Row],[CSA Bed Days]]*#REF!</f>
        <v>#REF!</v>
      </c>
      <c r="EY179" t="s">
        <v>422</v>
      </c>
    </row>
    <row r="180" spans="1:155">
      <c r="A18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DS SuFa</v>
      </c>
      <c r="B180" s="179"/>
      <c r="C180" s="1"/>
      <c r="D180" s="1"/>
      <c r="E180" s="1" t="b">
        <v>0</v>
      </c>
      <c r="F180" s="1" t="b">
        <f>IFERROR(IF(ISNUMBER(MATCH(Crops[[#This Row],[Identifier]],BedPlan[Crop], 0)), TRUE, FALSE), FALSE)</f>
        <v>0</v>
      </c>
      <c r="G180" s="1" t="b">
        <f>IFERROR(IF(ISNUMBER(MATCH(Crops[[#This Row],[Identifier]],BedPlan[Crop], 0)), TRUE, FALSE), FALSE)</f>
        <v>0</v>
      </c>
      <c r="H180" s="1"/>
      <c r="I180" t="s">
        <v>92</v>
      </c>
      <c r="J180" t="s">
        <v>1796</v>
      </c>
      <c r="K180" t="s">
        <v>200</v>
      </c>
      <c r="N180" t="str">
        <f>Crops[[#This Row],[Crop]]</f>
        <v>Lettuce</v>
      </c>
      <c r="O180" t="s">
        <v>210</v>
      </c>
      <c r="P180" t="str">
        <f>IF(OR(Crops[[#This Row],[Days in Cells]]="",Crops[[#This Row],[Days in Cells]]=0), "DS","TP")</f>
        <v>DS</v>
      </c>
      <c r="R180" t="b">
        <v>1</v>
      </c>
      <c r="S180" t="b">
        <v>1</v>
      </c>
      <c r="V180" t="str">
        <f xml:space="preserve"> IF(Crops[[#This Row],[Sp]], "Sp", "") &amp; IF(Crops[[#This Row],[Su]], "Su", "") &amp; IF(Crops[[#This Row],[Fa]], "Fa", "") &amp; IF(Crops[[#This Row],[Wi]], "Wi", "") &amp; IF(Crops[[#This Row],[OW]], "Ow","")</f>
        <v>SuFa</v>
      </c>
      <c r="W180" t="s">
        <v>144</v>
      </c>
      <c r="X180">
        <v>4</v>
      </c>
      <c r="Y180">
        <v>6</v>
      </c>
      <c r="AD180" s="32">
        <f>IFERROR(12/Crops[[#This Row],[Spacing]]*Crops[[#This Row],[Rows]]*BedLength,"")</f>
        <v>400</v>
      </c>
      <c r="AE180">
        <v>1</v>
      </c>
      <c r="AG180">
        <f>IF(Crops[[#This Row],[Custom Safety Factor]]="",PlantingSafetyFactor,Crops[[#This Row],[Custom Safety Factor]])</f>
        <v>1.3</v>
      </c>
      <c r="AH180">
        <v>1.3</v>
      </c>
      <c r="AI180" s="33">
        <f>IFERROR(Crops[[#This Row],[Plantings Per Bed]]*Crops[[#This Row],[Seeds Per Planting]]*Crops[[#This Row],[Safety Factor]]*Crops[[#This Row],[Seeding Factor]],"")</f>
        <v>676</v>
      </c>
      <c r="AL180">
        <f>_xlfn.FLOOR.MATH(IFERROR(AVERAGE(Crops[[#This Row],[DTG Lower]:[DTG Upper]]),0))</f>
        <v>0</v>
      </c>
      <c r="AM180">
        <f>SUM(Crops[[#This Row],[Tray 1 Days]],Crops[[#This Row],[Tray 2 Days]],Crops[[#This Row],[Tray 3 Days]])</f>
        <v>0</v>
      </c>
      <c r="AP180">
        <v>70</v>
      </c>
      <c r="AQ180">
        <f>IFERROR(_xlfn.FLOOR.MATH(AVERAGE(Crops[[#This Row],[DTM Lower]:[DTM Upper]])),"")</f>
        <v>70</v>
      </c>
      <c r="AR180" cm="1">
        <f t="array" ref="AR180">_xlfn.SWITCH(Crops[[#This Row],[Normal Method]],"DS",Crops[[#This Row],[Days to Germination]]+Crops[[#This Row],[DTM]] + IF(Crops[[#This Row],[Days in Cells]]&gt;0,15,0), "TP",Crops[[#This Row],[DTM]]+Crops[[#This Row],[Days in Cells]] + IF(Crops[[#This Row],[Days in Cells]]&lt;=0,20,0), "X", Crops[[#This Row],[DTM]])</f>
        <v>90</v>
      </c>
      <c r="AS180" t="s">
        <v>346</v>
      </c>
      <c r="AT180">
        <f>(Crops[[#This Row],[Harvests]]-1)*Crops[[#This Row],[Days Between Harvest]]+7</f>
        <v>7</v>
      </c>
      <c r="AU180">
        <f>Crops[[#This Row],[STH]]-Crops[[#This Row],[Days in Cells]]+Crops[[#This Row],[Harvest window]]</f>
        <v>97</v>
      </c>
      <c r="AW180">
        <v>128</v>
      </c>
      <c r="AZ180" t="str">
        <f>IFERROR(IF(Crops[[#This Row],[Tray 1 Days]]=0,"",Crops[[#This Row],[Plantings Per Bed]]/Crops[[#This Row],[Tray 1 Size]]*Crops[[#This Row],[Safety Factor]]),"")</f>
        <v/>
      </c>
      <c r="BC180" t="str">
        <f>IFERROR(IF(Crops[[#This Row],[Tray 2 Days]]=0,"",Crops[[#This Row],[Plantings Per Bed]]/Crops[[#This Row],[Tray 2 Size]]*Crops[[#This Row],[Safety Factor]]),"")</f>
        <v/>
      </c>
      <c r="BE180" s="32" t="str">
        <f>IF(NOT(ISBLANK(Crops[[#This Row],[Tray 3 Size]])), Crops[[#This Row],[Days in Cells Old]]-SUM(Crops[[#This Row],[Tray 1 Days]],Crops[[#This Row],[Tray 2 Days]]), "")</f>
        <v/>
      </c>
      <c r="BF180" t="str">
        <f>IFERROR(IF(Crops[[#This Row],[Tray 3 Days]]=0,"",Crops[[#This Row],[Plantings Per Bed]]/Crops[[#This Row],[Tray 3 Size]]*Crops[[#This Row],[Safety Factor]]),"")</f>
        <v/>
      </c>
      <c r="BG180" s="33">
        <f>Crops[[#This Row],[Plantings Per Bed]]</f>
        <v>400</v>
      </c>
      <c r="BH180" s="33">
        <v>1</v>
      </c>
      <c r="BI180" s="33">
        <v>0</v>
      </c>
      <c r="BJ180" s="33">
        <f>_xlfn.XLOOKUP(Crops[[#This Row],[ProductIndex]],Products[ID],Products[Holding Period])</f>
        <v>10</v>
      </c>
      <c r="BK180" s="33"/>
      <c r="BL180" s="33">
        <f>Crops[[#This Row],[Units Per Harvest]]*Crops[[#This Row],[Harvests]]</f>
        <v>400</v>
      </c>
      <c r="BM180" s="35">
        <v>3</v>
      </c>
      <c r="BN180" s="35">
        <f>Crops[[#This Row],[Direct Price]]*0.6</f>
        <v>1.7999999999999998</v>
      </c>
      <c r="BO180" s="35"/>
      <c r="BP180" t="s">
        <v>214</v>
      </c>
      <c r="BQ180">
        <f>Crops[[#This Row],[Custom Yield Per Bed]]*Crops[[#This Row],[Direct Price]]</f>
        <v>1200</v>
      </c>
      <c r="BR180" t="b">
        <v>1</v>
      </c>
      <c r="BS180" t="b">
        <f>Crops[[#This Row],[Harvests]]&gt;1</f>
        <v>0</v>
      </c>
      <c r="BT180" s="36">
        <f>IFERROR(Crops[[#This Row],[Direct Revenue Per Bed]]/Crops[[#This Row],[Days In Field]],-1)</f>
        <v>12.371134020618557</v>
      </c>
      <c r="BU180" s="36">
        <f>IFERROR(Crops[[#This Row],[Direct Revenue Per Bed Day]]*GrowingDays*BedsPerAcre,"")</f>
        <v>356288.65979381441</v>
      </c>
      <c r="BV180" s="38">
        <f>LastFrostDate-5*Crops[[#This Row],[Sewing Rel Last Frost]]</f>
        <v>45763</v>
      </c>
      <c r="BW180" s="38">
        <f>Crops[[#This Row],[Target Sewing Date]]+Crops[[#This Row],[Days in Cells]]</f>
        <v>45763</v>
      </c>
      <c r="BX180" s="38">
        <f>Crops[[#This Row],[Target Sewing Date]]+Crops[[#This Row],[STH]]</f>
        <v>45853</v>
      </c>
      <c r="BY180" s="38">
        <f>Crops[[#This Row],[Target Harvest Data]]+Crops[[#This Row],[Harvest window]]</f>
        <v>45860</v>
      </c>
      <c r="BZ180">
        <v>-3</v>
      </c>
      <c r="CB180">
        <f>1</f>
        <v>1</v>
      </c>
      <c r="CC180">
        <f>IF(Crops[[#This Row],[Transplanting]]&gt;0, 2, 3)*BedLength/StandardBedLength</f>
        <v>1.5</v>
      </c>
      <c r="CD180" s="173">
        <f>IF(Crops[[#This Row],[Days in Cells]]&lt;=0,0,Crops[[#This Row],[Plantings Per Bed]]/StartsPerHourSeeding+Crops[[#This Row],[Tray 1 Count]]*5/60)</f>
        <v>0</v>
      </c>
      <c r="CE180" s="173">
        <f>IF(ISBLANK(Crops[[#This Row],[Tray 2 Days]]),0,Crops[[#This Row],[Plantings Per Bed]]/UpPottingPerHour)+IF(Crops[[#This Row],[Tray 3 Days]]="",0,Crops[[#This Row],[Plantings Per Bed]]/UpPottingPerHour)</f>
        <v>0</v>
      </c>
      <c r="CF180" s="173">
        <f>IFERROR(Crops[[#This Row],[Tray 1 Count]]/HomeStartFlatIrrigationPerHour,0)*Crops[[#This Row],[Days in Cells]]/DaysBetweenStartIrrigation</f>
        <v>0</v>
      </c>
      <c r="CG180" s="173">
        <f>0.5/16*MAX(Crops[[#This Row],[Tray 1 Count]],Crops[[#This Row],[Tray 2 Count]],Crops[[#This Row],[Tray 3 Count]])</f>
        <v>0</v>
      </c>
      <c r="CH180" s="173">
        <f>IF(Crops[[#This Row],[Days in Cells]]&gt;0,IF(IF(Crops[[#This Row],[Tray 3 Size]]&gt;0,Crops[[#This Row],[Tray 3 Size]],IF(Crops[[#This Row],[Tray 2 Size]]&gt;0,Crops[[#This Row],[Tray 2 Size]],Crops[[#This Row],[Tray 1 Size]]))&lt;=18,LargeTransplantTime,SmallTransplantTime)*Crops[[#This Row],[Plantings Per Bed]],0)</f>
        <v>0</v>
      </c>
      <c r="CI180" s="173"/>
      <c r="CJ180" s="173">
        <f>_xlfn.XLOOKUP(Crops[[#This Row],[Trellis Type]],TrellisMethods[Trellis Type],TrellisMethods[Hours],0,0)</f>
        <v>0</v>
      </c>
      <c r="CK180">
        <f>IF(Crops[[#This Row],[Days in Cells]]&lt;=0,Crops[[#This Row],[Rows]]*1/10,0)*BedLength/50</f>
        <v>0.4</v>
      </c>
      <c r="CL180" cm="1">
        <f t="array" ref="CL180">_xlfn.SWITCH(Crops[[#This Row],[Irrigation]],"DR", 0.5, "OH", 0.25,0)*BedLength/50</f>
        <v>0</v>
      </c>
      <c r="CM180">
        <f>IF(OR(ISBLANK(Crops[[#This Row],[Row Cover]]),Crops[[#This Row],[Row Cover]]="None"),0,1)*BedLength/50</f>
        <v>0</v>
      </c>
      <c r="CN180" s="173">
        <f>HoursPerWeedingPass*Crops[[#This Row],[Days In Field]]/14*Crops[[#This Row],[Rows]]+1*BedLength/50</f>
        <v>5.6190476190476186</v>
      </c>
      <c r="CO180" s="49"/>
      <c r="CQ180" s="37">
        <f>_xlfn.XLOOKUP(Crops[[#This Row],[Crop]]&amp;Crops[[#This Row],[Product]]&amp;Crops[[#This Row],[Unit]],Products[ID],Products[Marketing (hr)])*Crops[[#This Row],[Direct Revenue Per Bed]]/2000</f>
        <v>1.2</v>
      </c>
      <c r="CR180" s="37">
        <f>_xlfn.XLOOKUP(Crops[[#This Row],[Crop]]&amp;Crops[[#This Row],[Product]]&amp;Crops[[#This Row],[Unit]],Products[ID],Products[Harvest (s)])*Crops[[#This Row],[Custom Yield Per Bed]]/3600</f>
        <v>1.1111111111111112</v>
      </c>
      <c r="CS180" s="37">
        <f>_xlfn.XLOOKUP(Crops[[#This Row],[Crop]]&amp;Crops[[#This Row],[Product]]&amp;Crops[[#This Row],[Unit]],Products[ID],Products[Bunch (s)])*Crops[[#This Row],[Custom Yield Per Bed]]/3600</f>
        <v>0</v>
      </c>
      <c r="CT180" s="37">
        <f>_xlfn.XLOOKUP(Crops[[#This Row],[Crop]]&amp;Crops[[#This Row],[Product]]&amp;Crops[[#This Row],[Unit]],Products[ID],Products[Haul (s)])*Crops[[#This Row],[Custom Yield Per Bed]]/3600</f>
        <v>0.27777777777777779</v>
      </c>
      <c r="CU180" s="37">
        <f>_xlfn.XLOOKUP(Crops[[#This Row],[Crop]]&amp;Crops[[#This Row],[Product]]&amp;Crops[[#This Row],[Unit]],Products[ID],Products[Wash (s)])*Crops[[#This Row],[Custom Yield Per Bed]]/3600</f>
        <v>2.2222222222222223</v>
      </c>
      <c r="CV180" s="37">
        <f>_xlfn.XLOOKUP(Crops[[#This Row],[Crop]]&amp;Crops[[#This Row],[Product]]&amp;Crops[[#This Row],[Unit]],Products[ID],Products[Condition (s)])*Crops[[#This Row],[Custom Yield Per Bed]]/3600</f>
        <v>0</v>
      </c>
      <c r="CW180" s="37">
        <f>_xlfn.XLOOKUP(Crops[[#This Row],[Crop]]&amp;Crops[[#This Row],[Product]]&amp;Crops[[#This Row],[Unit]],Products[ID],Products[Trim (s)])*Crops[[#This Row],[Custom Yield Per Bed]]/3600</f>
        <v>1.1111111111111112</v>
      </c>
      <c r="CX180" s="37">
        <f>_xlfn.XLOOKUP(Crops[[#This Row],[Crop]]&amp;Crops[[#This Row],[Product]]&amp;Crops[[#This Row],[Unit]],Products[ID],Products[Pack (s)])*Crops[[#This Row],[Custom Yield Per Bed]]/3600</f>
        <v>0.33333333333333331</v>
      </c>
      <c r="CY180" s="37">
        <f>_xlfn.XLOOKUP(Crops[[#This Row],[Crop]]&amp;Crops[[#This Row],[Product]]&amp;Crops[[#This Row],[Unit]],Products[ID],Products[Clean (s)])*Crops[[#This Row],[Custom Yield Per Bed]]/3600</f>
        <v>0</v>
      </c>
      <c r="CZ180" s="37">
        <f>_xlfn.XLOOKUP(Crops[[#This Row],[Crop]]&amp;Crops[[#This Row],[Product]]&amp;Crops[[#This Row],[Unit]],Products[ID],Products[Rehandle (s)])*Crops[[#This Row],[Custom Yield Per Bed]]/3600</f>
        <v>0</v>
      </c>
      <c r="DA180" s="37">
        <f>_xlfn.XLOOKUP(Crops[[#This Row],[Crop]]&amp;Crops[[#This Row],[Product]]&amp;Crops[[#This Row],[Unit]],Products[ID],Products[Market Transport (s)])*Crops[[#This Row],[Custom Yield Per Bed]]/3600</f>
        <v>0.69444444444444442</v>
      </c>
      <c r="DC180" s="37">
        <f>Crops[[#This Row],[Direct Revenue Per Bed2]]</f>
        <v>1200</v>
      </c>
      <c r="DD180" s="173">
        <f>_xlfn.AGGREGATE(9,6,Crops[[#This Row],[Bed Prep]:[Remove Crop Residue]])</f>
        <v>14.469047619047618</v>
      </c>
      <c r="DE180" s="173">
        <f>_xlfn.AGGREGATE(9,6,Crops[[#This Row],[Bed Prep]:[Remove Crop Residue]])-0.75*Crops[[#This Row],[Market &amp; Sell]]</f>
        <v>13.569047619047618</v>
      </c>
      <c r="DF180" s="36">
        <f>Crops[[#This Row],[Direct Revenue Per Bed2]]/Crops[[#This Row],[Direct Time]]</f>
        <v>82.935659042290609</v>
      </c>
      <c r="DG180" s="36">
        <f>_xlfn.XLOOKUP(Crops[[#This Row],[ProductIndex]],Products[ID],Products[Packaging Cost])*(Crops[[#This Row],[Custom Yield Per Bed]]/_xlfn.XLOOKUP(Crops[[#This Row],[ProductIndex]],Products[ID],Products[Units Per Pack]))</f>
        <v>42.222222222222221</v>
      </c>
      <c r="DH180" s="36"/>
      <c r="DI180" s="36"/>
      <c r="DJ180" s="36"/>
      <c r="DK180" s="36"/>
      <c r="DL180" s="36"/>
      <c r="DM180" s="33">
        <f>IFERROR(Crops[[#This Row],[Custom Yield Per Bed]]*Crops[[#This Row],[Direct Price]],"")</f>
        <v>1200</v>
      </c>
      <c r="DN180" s="36">
        <f>Crops[[#This Row],[Direct Time]]*LaborRate</f>
        <v>361.72619047619048</v>
      </c>
      <c r="DO180" s="36">
        <f>SUM(Crops[[#This Row],[Irrigation Cost]])</f>
        <v>0</v>
      </c>
      <c r="DP180" s="36">
        <f>Crops[[#This Row],[Direct Labor Cost]]+Crops[[#This Row],[Direct Non-Labor Cost]]</f>
        <v>361.72619047619048</v>
      </c>
      <c r="DQ180" s="36">
        <f>Crops[[#This Row],[Direct Revenue Per Bed2]]-Crops[[#This Row],[Direct Total Cost]]</f>
        <v>838.27380952380952</v>
      </c>
      <c r="DR180" s="36">
        <f>Crops[[#This Row],[Direct Profit]]*BedsPerAcre</f>
        <v>134123.80952380953</v>
      </c>
      <c r="DS180" s="36">
        <f>Crops[[#This Row],[Direct Profit]]*BedsPerAcre*GrowingDays/Crops[[#This Row],[Days In Field]]</f>
        <v>248889.5434462445</v>
      </c>
      <c r="DT180" s="36">
        <f>Crops[[#This Row],[Direct Profit]]/MIN(Crops[[#This Row],[Days In Field]],GrowingDays)</f>
        <v>8.6419980363279336</v>
      </c>
      <c r="DU180" s="33">
        <f>Crops[[#This Row],[Direct Time]] * BedsPerAcre</f>
        <v>2315.0476190476188</v>
      </c>
      <c r="DV180" s="36">
        <f>(Crops[[#This Row],[Direct Revenue Per Bed2]]-Crops[[#This Row],[Direct Non-Labor Cost]])/Crops[[#This Row],[Direct Time]]</f>
        <v>82.935659042290609</v>
      </c>
      <c r="DW180" s="33">
        <f>IFERROR(Crops[[#This Row],[Custom Yield Per Bed]]*Crops[[#This Row],[Rough Wholesale Price]],"")</f>
        <v>719.99999999999989</v>
      </c>
      <c r="DX180" s="36">
        <f>Crops[[#This Row],[Wholesale Time]]*LaborRate</f>
        <v>339.22619047619042</v>
      </c>
      <c r="DY180" s="36">
        <f>SUM(Crops[[#This Row],[Packaging Costs]:[Irrigation Cost]])</f>
        <v>42.222222222222221</v>
      </c>
      <c r="DZ180" s="36">
        <f>Crops[[#This Row],[Wholesale Labor Cost]]+Crops[[#This Row],[Wholesale Non-Labor Cost]]</f>
        <v>381.44841269841265</v>
      </c>
      <c r="EA180" s="36">
        <f>Crops[[#This Row],[Wholesale Revenue Per Bed]]-Crops[[#This Row],[Wholesale Total Cost]]</f>
        <v>338.55158730158723</v>
      </c>
      <c r="EB180" s="36">
        <f>Crops[[#This Row],[Wholesale Profit]]*BedsPerAcre</f>
        <v>54168.253968253957</v>
      </c>
      <c r="EC180" s="36">
        <f>Crops[[#This Row],[Wholesale Profit]]*BedsPerAcre*GrowingDays/Crops[[#This Row],[Days In Field]]</f>
        <v>100518.4094256259</v>
      </c>
      <c r="ED180" s="33">
        <f>Crops[[#This Row],[Wholesale Time]] * BedsPerAcre</f>
        <v>2171.0476190476188</v>
      </c>
      <c r="EE180" s="221">
        <f>Crops[[#This Row],[Wholesale Profit]]/MIN(Crops[[#This Row],[Days In Field]],GrowingDays)</f>
        <v>3.4902225495008992</v>
      </c>
      <c r="EF180" s="36">
        <f>(Crops[[#This Row],[Wholesale Revenue Per Bed]]-Crops[[#This Row],[Wholesale Non-Labor Cost]])/Crops[[#This Row],[Direct Time]]</f>
        <v>46.84328890351599</v>
      </c>
      <c r="EG180" s="174">
        <f>Crops[[#This Row],[Packaging Costs]]/Crops[[#This Row],[Wholesale Revenue Per Bed]]</f>
        <v>5.8641975308641986E-2</v>
      </c>
      <c r="EH180" s="36" t="str">
        <f>Crops[[#This Row],[Crop]]&amp;Crops[[#This Row],[Product]]&amp;Crops[[#This Row],[Unit]]</f>
        <v>LettuceMini HeadHead</v>
      </c>
      <c r="EI180" s="36" t="b">
        <f>_xlfn.XLOOKUP(Crops[[#This Row],[ProductIndex]],Products[ID],Products[Target])</f>
        <v>1</v>
      </c>
      <c r="EJ180" s="36">
        <f>Crops[[#This Row],[Custom Yield Per Bed]]</f>
        <v>400</v>
      </c>
      <c r="EK180" s="210" t="e">
        <f>Crops[[#This Row],[Units Per Harvest]]/Crops[[#This Row],[Days Between Harvest]]*7</f>
        <v>#DIV/0!</v>
      </c>
      <c r="EL180" s="210">
        <f>Crops[[#This Row],[Custom Yield Per Bed]]/_xlfn.XLOOKUP(Crops[[#This Row],[ProductIndex]],Products[ID],Products[CSA Portion])</f>
        <v>400</v>
      </c>
      <c r="EM180" s="210" t="e">
        <f>Crops[[#This Row],[Units Per Harvest]]/Crops[[#This Row],[Days Between Harvest]]*7/_xlfn.XLOOKUP(Crops[[#This Row],[ProductIndex]],Products[ID],Products[CSA Portion])</f>
        <v>#DIV/0!</v>
      </c>
      <c r="EN180" s="210" t="e">
        <f>Crops[[#This Row],[CSA Portions Per Week]]/CSAMembers</f>
        <v>#DIV/0!</v>
      </c>
      <c r="EO180" s="210"/>
      <c r="EP180" s="210"/>
      <c r="EQ180" s="210"/>
      <c r="ER180" s="210">
        <f>Crops[[#This Row],[Harvests]]*Crops[[#This Row],[Days Between Harvest]]/7</f>
        <v>0</v>
      </c>
      <c r="ES180" s="217">
        <f>_xlfn.XLOOKUP(Crops[[#This Row],[ProductIndex]],Products[ID],Products[CSA Need])</f>
        <v>3</v>
      </c>
      <c r="ET180" s="217">
        <f>_xlfn.XLOOKUP(Crops[[#This Row],[ProductIndex]],Products[ID],Products[CSA Times])</f>
        <v>3</v>
      </c>
      <c r="EU180" s="208">
        <f>Crops[[#This Row],[Custom Yield Per Bed]]/(Crops[[#This Row],[CSA Need]]*(_xlfn.XLOOKUP(Crops[[#This Row],[ProductIndex]],Products[ID],Products[CSA Portion])*CSAMembers))</f>
        <v>2.6666666666666665</v>
      </c>
      <c r="EV180" s="208">
        <f>_xlfn.XLOOKUP(Crops[[#This Row],[ProductIndex]],Products[ID],Products[CSA Portion])*CSAMembers*Crops[[#This Row],[CSA Need]]/Crops[[#This Row],[Custom Yield Per Bed]]</f>
        <v>0.375</v>
      </c>
      <c r="EW180" s="208">
        <f>IFERROR(Crops[[#This Row],[Days In Field]]*Crops[[#This Row],[CSA Beds]],"")</f>
        <v>36.375</v>
      </c>
      <c r="EX180" s="208" t="e">
        <f>Crops[[#This Row],[CSA Bed Days]]*#REF!</f>
        <v>#REF!</v>
      </c>
      <c r="EY180" t="s">
        <v>422</v>
      </c>
    </row>
    <row r="181" spans="1:155">
      <c r="A18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TP Ow</v>
      </c>
      <c r="B181" s="179"/>
      <c r="C181" s="1" t="b">
        <v>1</v>
      </c>
      <c r="D181" s="1"/>
      <c r="E181" s="1" t="b">
        <v>0</v>
      </c>
      <c r="F181" s="1" t="b">
        <f>IFERROR(IF(ISNUMBER(MATCH(Crops[[#This Row],[Identifier]],BedPlan[Crop], 0)), TRUE, FALSE), FALSE)</f>
        <v>0</v>
      </c>
      <c r="G181" s="1" t="b">
        <f>IFERROR(IF(ISNUMBER(MATCH(Crops[[#This Row],[Identifier]],BedPlan[Crop], 0)), TRUE, FALSE), FALSE)</f>
        <v>0</v>
      </c>
      <c r="H181" s="1" t="b">
        <v>1</v>
      </c>
      <c r="I181" t="s">
        <v>92</v>
      </c>
      <c r="J181" t="s">
        <v>1796</v>
      </c>
      <c r="K181" t="s">
        <v>200</v>
      </c>
      <c r="N181" t="str">
        <f>Crops[[#This Row],[Crop]]</f>
        <v>Lettuce</v>
      </c>
      <c r="O181" t="s">
        <v>210</v>
      </c>
      <c r="P181" t="str">
        <f>IF(OR(Crops[[#This Row],[Days in Cells]]="",Crops[[#This Row],[Days in Cells]]=0), "DS","TP")</f>
        <v>TP</v>
      </c>
      <c r="U181" t="s">
        <v>144</v>
      </c>
      <c r="V181" t="str">
        <f xml:space="preserve"> IF(Crops[[#This Row],[Sp]], "Sp", "") &amp; IF(Crops[[#This Row],[Su]], "Su", "") &amp; IF(Crops[[#This Row],[Fa]], "Fa", "") &amp; IF(Crops[[#This Row],[Wi]], "Wi", "") &amp; IF(Crops[[#This Row],[OW]], "Ow","")</f>
        <v>Ow</v>
      </c>
      <c r="X181">
        <v>3</v>
      </c>
      <c r="Y181">
        <v>9</v>
      </c>
      <c r="AA181" t="s">
        <v>474</v>
      </c>
      <c r="AB181" t="b">
        <v>1</v>
      </c>
      <c r="AD181" s="32">
        <f>IFERROR(12/Crops[[#This Row],[Spacing]]*Crops[[#This Row],[Rows]]*BedLength,"")</f>
        <v>200</v>
      </c>
      <c r="AE181">
        <v>1</v>
      </c>
      <c r="AG181">
        <f>IF(Crops[[#This Row],[Custom Safety Factor]]="",PlantingSafetyFactor,Crops[[#This Row],[Custom Safety Factor]])</f>
        <v>1.3</v>
      </c>
      <c r="AH181">
        <v>1.3</v>
      </c>
      <c r="AI181" s="33">
        <f>IFERROR(Crops[[#This Row],[Plantings Per Bed]]*Crops[[#This Row],[Seeds Per Planting]]*Crops[[#This Row],[Safety Factor]]*Crops[[#This Row],[Seeding Factor]],"")</f>
        <v>338</v>
      </c>
      <c r="AL181">
        <f>_xlfn.FLOOR.MATH(IFERROR(AVERAGE(Crops[[#This Row],[DTG Lower]:[DTG Upper]]),0))</f>
        <v>0</v>
      </c>
      <c r="AM181">
        <f>SUM(Crops[[#This Row],[Tray 1 Days]],Crops[[#This Row],[Tray 2 Days]],Crops[[#This Row],[Tray 3 Days]])</f>
        <v>30</v>
      </c>
      <c r="AP181">
        <f>110+150</f>
        <v>260</v>
      </c>
      <c r="AQ181">
        <f>IFERROR(_xlfn.FLOOR.MATH(AVERAGE(Crops[[#This Row],[DTM Lower]:[DTM Upper]])),"")</f>
        <v>260</v>
      </c>
      <c r="AR181" cm="1">
        <f t="array" ref="AR181">_xlfn.SWITCH(Crops[[#This Row],[Normal Method]],"DS",Crops[[#This Row],[Days to Germination]]+Crops[[#This Row],[DTM]] + IF(Crops[[#This Row],[Days in Cells]]&gt;0,15,0), "TP",Crops[[#This Row],[DTM]]+Crops[[#This Row],[Days in Cells]] + IF(Crops[[#This Row],[Days in Cells]]&lt;=0,20,0), "X", Crops[[#This Row],[DTM]])</f>
        <v>260</v>
      </c>
      <c r="AS181" t="s">
        <v>347</v>
      </c>
      <c r="AT181">
        <f>(Crops[[#This Row],[Harvests]]-1)*Crops[[#This Row],[Days Between Harvest]]+7</f>
        <v>14</v>
      </c>
      <c r="AU181">
        <f>Crops[[#This Row],[STH]]-Crops[[#This Row],[Days in Cells]]+Crops[[#This Row],[Harvest window]]</f>
        <v>244</v>
      </c>
      <c r="AX181">
        <v>128</v>
      </c>
      <c r="AY181">
        <v>30</v>
      </c>
      <c r="AZ181">
        <f>IFERROR(IF(Crops[[#This Row],[Tray 1 Days]]=0,"",Crops[[#This Row],[Plantings Per Bed]]/Crops[[#This Row],[Tray 1 Size]]*Crops[[#This Row],[Safety Factor]]),"")</f>
        <v>2.03125</v>
      </c>
      <c r="BC181" t="str">
        <f>IFERROR(IF(Crops[[#This Row],[Tray 2 Days]]=0,"",Crops[[#This Row],[Plantings Per Bed]]/Crops[[#This Row],[Tray 2 Size]]*Crops[[#This Row],[Safety Factor]]),"")</f>
        <v/>
      </c>
      <c r="BE181" s="32" t="str">
        <f>IF(NOT(ISBLANK(Crops[[#This Row],[Tray 3 Size]])), Crops[[#This Row],[Days in Cells Old]]-SUM(Crops[[#This Row],[Tray 1 Days]],Crops[[#This Row],[Tray 2 Days]]), "")</f>
        <v/>
      </c>
      <c r="BF181" t="str">
        <f>IFERROR(IF(Crops[[#This Row],[Tray 3 Days]]=0,"",Crops[[#This Row],[Plantings Per Bed]]/Crops[[#This Row],[Tray 3 Size]]*Crops[[#This Row],[Safety Factor]]),"")</f>
        <v/>
      </c>
      <c r="BG181" s="33">
        <f>Crops[[#This Row],[Plantings Per Bed]]/Crops[[#This Row],[Harvests]]</f>
        <v>100</v>
      </c>
      <c r="BH181" s="33">
        <v>2</v>
      </c>
      <c r="BI181" s="33">
        <v>7</v>
      </c>
      <c r="BJ181" s="33">
        <f>_xlfn.XLOOKUP(Crops[[#This Row],[ProductIndex]],Products[ID],Products[Holding Period])</f>
        <v>10</v>
      </c>
      <c r="BK181" s="33"/>
      <c r="BL181" s="33">
        <f>Crops[[#This Row],[Units Per Harvest]]*Crops[[#This Row],[Harvests]]</f>
        <v>200</v>
      </c>
      <c r="BM181" s="35">
        <v>3</v>
      </c>
      <c r="BN181" s="35">
        <f>Crops[[#This Row],[Direct Price]]*0.6</f>
        <v>1.7999999999999998</v>
      </c>
      <c r="BO181" s="35"/>
      <c r="BP181" t="s">
        <v>214</v>
      </c>
      <c r="BQ181">
        <f>Crops[[#This Row],[Custom Yield Per Bed]]*Crops[[#This Row],[Direct Price]]</f>
        <v>600</v>
      </c>
      <c r="BR181" t="b">
        <v>1</v>
      </c>
      <c r="BS181" t="b">
        <f>Crops[[#This Row],[Harvests]]&gt;1</f>
        <v>1</v>
      </c>
      <c r="BT181" s="36">
        <f>IFERROR(Crops[[#This Row],[Direct Revenue Per Bed]]/Crops[[#This Row],[Days In Field]],-1)</f>
        <v>2.459016393442623</v>
      </c>
      <c r="BU181" s="36">
        <f>IFERROR(Crops[[#This Row],[Direct Revenue Per Bed Day]]*GrowingDays*BedsPerAcre,"")</f>
        <v>70819.672131147541</v>
      </c>
      <c r="BV181" s="38">
        <f>LastFrostDate-5*Crops[[#This Row],[Sewing Rel Last Frost]]</f>
        <v>45838</v>
      </c>
      <c r="BW181" s="38">
        <f>Crops[[#This Row],[Target Sewing Date]]+Crops[[#This Row],[Days in Cells]]</f>
        <v>45868</v>
      </c>
      <c r="BX181" s="38">
        <f>Crops[[#This Row],[Target Sewing Date]]+Crops[[#This Row],[STH]]</f>
        <v>46098</v>
      </c>
      <c r="BY181" s="38">
        <f>Crops[[#This Row],[Target Harvest Data]]+Crops[[#This Row],[Harvest window]]</f>
        <v>46112</v>
      </c>
      <c r="BZ181">
        <v>-18</v>
      </c>
      <c r="CA181" t="s">
        <v>373</v>
      </c>
      <c r="CB181">
        <f>1</f>
        <v>1</v>
      </c>
      <c r="CC181">
        <f>IF(Crops[[#This Row],[Transplanting]]&gt;0, 2, 3)*BedLength/StandardBedLength</f>
        <v>1</v>
      </c>
      <c r="CD181" s="173">
        <f>IF(Crops[[#This Row],[Days in Cells]]&lt;=0,0,Crops[[#This Row],[Plantings Per Bed]]/StartsPerHourSeeding+Crops[[#This Row],[Tray 1 Count]]*5/60)</f>
        <v>0.95052083333333337</v>
      </c>
      <c r="CE181" s="173">
        <f>IF(ISBLANK(Crops[[#This Row],[Tray 2 Days]]),0,Crops[[#This Row],[Plantings Per Bed]]/UpPottingPerHour)+IF(Crops[[#This Row],[Tray 3 Days]]="",0,Crops[[#This Row],[Plantings Per Bed]]/UpPottingPerHour)</f>
        <v>0</v>
      </c>
      <c r="CF181" s="173">
        <f>IFERROR(Crops[[#This Row],[Tray 1 Count]]/HomeStartFlatIrrigationPerHour,0)*Crops[[#This Row],[Days in Cells]]/DaysBetweenStartIrrigation</f>
        <v>0.25390625</v>
      </c>
      <c r="CG181" s="173">
        <f>0.5/16*MAX(Crops[[#This Row],[Tray 1 Count]],Crops[[#This Row],[Tray 2 Count]],Crops[[#This Row],[Tray 3 Count]])</f>
        <v>6.34765625E-2</v>
      </c>
      <c r="CH181" s="173">
        <f>IF(Crops[[#This Row],[Days in Cells]]&gt;0,IF(IF(Crops[[#This Row],[Tray 3 Size]]&gt;0,Crops[[#This Row],[Tray 3 Size]],IF(Crops[[#This Row],[Tray 2 Size]]&gt;0,Crops[[#This Row],[Tray 2 Size]],Crops[[#This Row],[Tray 1 Size]]))&lt;=18,LargeTransplantTime,SmallTransplantTime)*Crops[[#This Row],[Plantings Per Bed]],0)</f>
        <v>1</v>
      </c>
      <c r="CI181" s="173"/>
      <c r="CJ181" s="173">
        <f>_xlfn.XLOOKUP(Crops[[#This Row],[Trellis Type]],TrellisMethods[Trellis Type],TrellisMethods[Hours],0,0)</f>
        <v>0</v>
      </c>
      <c r="CK181">
        <f>IF(Crops[[#This Row],[Days in Cells]]&lt;=0,Crops[[#This Row],[Rows]]*1/10,0)*BedLength/50</f>
        <v>0</v>
      </c>
      <c r="CL181" cm="1">
        <f t="array" ref="CL181">_xlfn.SWITCH(Crops[[#This Row],[Irrigation]],"DR", 0.5, "OH", 0.25,0)*BedLength/50</f>
        <v>0</v>
      </c>
      <c r="CM181">
        <f>IF(OR(ISBLANK(Crops[[#This Row],[Row Cover]]),Crops[[#This Row],[Row Cover]]="None"),0,1)*BedLength/50</f>
        <v>0</v>
      </c>
      <c r="CN181" s="173">
        <f>HoursPerWeedingPass*Crops[[#This Row],[Days In Field]]/14*Crops[[#This Row],[Rows]]+1*BedLength/50</f>
        <v>9.7142857142857135</v>
      </c>
      <c r="CO181" s="49"/>
      <c r="CQ181" s="37">
        <f>_xlfn.XLOOKUP(Crops[[#This Row],[Crop]]&amp;Crops[[#This Row],[Product]]&amp;Crops[[#This Row],[Unit]],Products[ID],Products[Marketing (hr)])*Crops[[#This Row],[Direct Revenue Per Bed]]/2000</f>
        <v>0.6</v>
      </c>
      <c r="CR181" s="37">
        <f>_xlfn.XLOOKUP(Crops[[#This Row],[Crop]]&amp;Crops[[#This Row],[Product]]&amp;Crops[[#This Row],[Unit]],Products[ID],Products[Harvest (s)])*Crops[[#This Row],[Custom Yield Per Bed]]/3600</f>
        <v>0.55555555555555558</v>
      </c>
      <c r="CS181" s="37">
        <f>_xlfn.XLOOKUP(Crops[[#This Row],[Crop]]&amp;Crops[[#This Row],[Product]]&amp;Crops[[#This Row],[Unit]],Products[ID],Products[Bunch (s)])*Crops[[#This Row],[Custom Yield Per Bed]]/3600</f>
        <v>0</v>
      </c>
      <c r="CT181" s="37">
        <f>_xlfn.XLOOKUP(Crops[[#This Row],[Crop]]&amp;Crops[[#This Row],[Product]]&amp;Crops[[#This Row],[Unit]],Products[ID],Products[Haul (s)])*Crops[[#This Row],[Custom Yield Per Bed]]/3600</f>
        <v>0.1388888888888889</v>
      </c>
      <c r="CU181" s="37">
        <f>_xlfn.XLOOKUP(Crops[[#This Row],[Crop]]&amp;Crops[[#This Row],[Product]]&amp;Crops[[#This Row],[Unit]],Products[ID],Products[Wash (s)])*Crops[[#This Row],[Custom Yield Per Bed]]/3600</f>
        <v>1.1111111111111112</v>
      </c>
      <c r="CV181" s="37">
        <f>_xlfn.XLOOKUP(Crops[[#This Row],[Crop]]&amp;Crops[[#This Row],[Product]]&amp;Crops[[#This Row],[Unit]],Products[ID],Products[Condition (s)])*Crops[[#This Row],[Custom Yield Per Bed]]/3600</f>
        <v>0</v>
      </c>
      <c r="CW181" s="37">
        <f>_xlfn.XLOOKUP(Crops[[#This Row],[Crop]]&amp;Crops[[#This Row],[Product]]&amp;Crops[[#This Row],[Unit]],Products[ID],Products[Trim (s)])*Crops[[#This Row],[Custom Yield Per Bed]]/3600</f>
        <v>0.55555555555555558</v>
      </c>
      <c r="CX181" s="37">
        <f>_xlfn.XLOOKUP(Crops[[#This Row],[Crop]]&amp;Crops[[#This Row],[Product]]&amp;Crops[[#This Row],[Unit]],Products[ID],Products[Pack (s)])*Crops[[#This Row],[Custom Yield Per Bed]]/3600</f>
        <v>0.16666666666666666</v>
      </c>
      <c r="CY181" s="37">
        <f>_xlfn.XLOOKUP(Crops[[#This Row],[Crop]]&amp;Crops[[#This Row],[Product]]&amp;Crops[[#This Row],[Unit]],Products[ID],Products[Clean (s)])*Crops[[#This Row],[Custom Yield Per Bed]]/3600</f>
        <v>0</v>
      </c>
      <c r="CZ181" s="37">
        <f>_xlfn.XLOOKUP(Crops[[#This Row],[Crop]]&amp;Crops[[#This Row],[Product]]&amp;Crops[[#This Row],[Unit]],Products[ID],Products[Rehandle (s)])*Crops[[#This Row],[Custom Yield Per Bed]]/3600</f>
        <v>0</v>
      </c>
      <c r="DA181" s="37">
        <f>_xlfn.XLOOKUP(Crops[[#This Row],[Crop]]&amp;Crops[[#This Row],[Product]]&amp;Crops[[#This Row],[Unit]],Products[ID],Products[Market Transport (s)])*Crops[[#This Row],[Custom Yield Per Bed]]/3600</f>
        <v>0.34722222222222221</v>
      </c>
      <c r="DC181" s="37">
        <f>Crops[[#This Row],[Direct Revenue Per Bed2]]</f>
        <v>600</v>
      </c>
      <c r="DD181" s="173">
        <f>_xlfn.AGGREGATE(9,6,Crops[[#This Row],[Bed Prep]:[Remove Crop Residue]])</f>
        <v>16.457189360119045</v>
      </c>
      <c r="DE181" s="173">
        <f>_xlfn.AGGREGATE(9,6,Crops[[#This Row],[Bed Prep]:[Remove Crop Residue]])-0.75*Crops[[#This Row],[Market &amp; Sell]]</f>
        <v>16.007189360119046</v>
      </c>
      <c r="DF181" s="36">
        <f>Crops[[#This Row],[Direct Revenue Per Bed2]]/Crops[[#This Row],[Direct Time]]</f>
        <v>36.458230313250759</v>
      </c>
      <c r="DG181" s="36">
        <f>_xlfn.XLOOKUP(Crops[[#This Row],[ProductIndex]],Products[ID],Products[Packaging Cost])*(Crops[[#This Row],[Custom Yield Per Bed]]/_xlfn.XLOOKUP(Crops[[#This Row],[ProductIndex]],Products[ID],Products[Units Per Pack]))</f>
        <v>21.111111111111111</v>
      </c>
      <c r="DH181" s="36"/>
      <c r="DI181" s="36"/>
      <c r="DJ181" s="36"/>
      <c r="DK181" s="36"/>
      <c r="DL181" s="36"/>
      <c r="DM181" s="33">
        <f>IFERROR(Crops[[#This Row],[Custom Yield Per Bed]]*Crops[[#This Row],[Direct Price]],"")</f>
        <v>600</v>
      </c>
      <c r="DN181" s="36">
        <f>Crops[[#This Row],[Direct Time]]*LaborRate</f>
        <v>411.42973400297615</v>
      </c>
      <c r="DO181" s="36">
        <f>SUM(Crops[[#This Row],[Irrigation Cost]])</f>
        <v>0</v>
      </c>
      <c r="DP181" s="36">
        <f>Crops[[#This Row],[Direct Labor Cost]]+Crops[[#This Row],[Direct Non-Labor Cost]]</f>
        <v>411.42973400297615</v>
      </c>
      <c r="DQ181" s="36">
        <f>Crops[[#This Row],[Direct Revenue Per Bed2]]-Crops[[#This Row],[Direct Total Cost]]</f>
        <v>188.57026599702385</v>
      </c>
      <c r="DR181" s="36">
        <f>Crops[[#This Row],[Direct Profit]]*BedsPerAcre</f>
        <v>30171.242559523816</v>
      </c>
      <c r="DS181" s="36">
        <f>Crops[[#This Row],[Direct Profit]]*BedsPerAcre*GrowingDays/Crops[[#This Row],[Days In Field]]</f>
        <v>22257.474019320849</v>
      </c>
      <c r="DT181" s="36">
        <f>Crops[[#This Row],[Direct Profit]]/MIN(Crops[[#This Row],[Days In Field]],GrowingDays)</f>
        <v>1.0476125888723546</v>
      </c>
      <c r="DU181" s="33">
        <f>Crops[[#This Row],[Direct Time]] * BedsPerAcre</f>
        <v>2633.1502976190473</v>
      </c>
      <c r="DV181" s="36">
        <f>(Crops[[#This Row],[Direct Revenue Per Bed2]]-Crops[[#This Row],[Direct Non-Labor Cost]])/Crops[[#This Row],[Direct Time]]</f>
        <v>36.458230313250759</v>
      </c>
      <c r="DW181" s="33">
        <f>IFERROR(Crops[[#This Row],[Custom Yield Per Bed]]*Crops[[#This Row],[Rough Wholesale Price]],"")</f>
        <v>359.99999999999994</v>
      </c>
      <c r="DX181" s="36">
        <f>Crops[[#This Row],[Wholesale Time]]*LaborRate</f>
        <v>400.17973400297615</v>
      </c>
      <c r="DY181" s="36">
        <f>SUM(Crops[[#This Row],[Packaging Costs]:[Irrigation Cost]])</f>
        <v>21.111111111111111</v>
      </c>
      <c r="DZ181" s="36">
        <f>Crops[[#This Row],[Wholesale Labor Cost]]+Crops[[#This Row],[Wholesale Non-Labor Cost]]</f>
        <v>421.29084511408723</v>
      </c>
      <c r="EA181" s="36">
        <f>Crops[[#This Row],[Wholesale Revenue Per Bed]]-Crops[[#This Row],[Wholesale Total Cost]]</f>
        <v>-61.29084511408729</v>
      </c>
      <c r="EB181" s="36">
        <f>Crops[[#This Row],[Wholesale Profit]]*BedsPerAcre</f>
        <v>-9806.5352182539664</v>
      </c>
      <c r="EC181" s="36">
        <f>Crops[[#This Row],[Wholesale Profit]]*BedsPerAcre*GrowingDays/Crops[[#This Row],[Days In Field]]</f>
        <v>-7234.3292593676797</v>
      </c>
      <c r="ED181" s="33">
        <f>Crops[[#This Row],[Wholesale Time]] * BedsPerAcre</f>
        <v>2561.1502976190473</v>
      </c>
      <c r="EE181" s="221">
        <f>Crops[[#This Row],[Wholesale Profit]]/MIN(Crops[[#This Row],[Days In Field]],GrowingDays)</f>
        <v>-0.3405046950782627</v>
      </c>
      <c r="EF181" s="36">
        <f>(Crops[[#This Row],[Wholesale Revenue Per Bed]]-Crops[[#This Row],[Wholesale Non-Labor Cost]])/Crops[[#This Row],[Direct Time]]</f>
        <v>20.592148602854593</v>
      </c>
      <c r="EG181" s="174">
        <f>Crops[[#This Row],[Packaging Costs]]/Crops[[#This Row],[Wholesale Revenue Per Bed]]</f>
        <v>5.8641975308641986E-2</v>
      </c>
      <c r="EH181" s="36" t="str">
        <f>Crops[[#This Row],[Crop]]&amp;Crops[[#This Row],[Product]]&amp;Crops[[#This Row],[Unit]]</f>
        <v>LettuceMini HeadHead</v>
      </c>
      <c r="EI181" s="36" t="b">
        <f>_xlfn.XLOOKUP(Crops[[#This Row],[ProductIndex]],Products[ID],Products[Target])</f>
        <v>1</v>
      </c>
      <c r="EJ181" s="33">
        <f>Crops[[#This Row],[Custom Yield Per Bed]]</f>
        <v>200</v>
      </c>
      <c r="EK181" s="210">
        <f>Crops[[#This Row],[Units Per Harvest]]/Crops[[#This Row],[Days Between Harvest]]*7</f>
        <v>100</v>
      </c>
      <c r="EL181" s="210">
        <f>Crops[[#This Row],[Custom Yield Per Bed]]/_xlfn.XLOOKUP(Crops[[#This Row],[ProductIndex]],Products[ID],Products[CSA Portion])</f>
        <v>200</v>
      </c>
      <c r="EM181" s="210">
        <f>Crops[[#This Row],[Units Per Harvest]]/Crops[[#This Row],[Days Between Harvest]]*7/_xlfn.XLOOKUP(Crops[[#This Row],[ProductIndex]],Products[ID],Products[CSA Portion])</f>
        <v>100</v>
      </c>
      <c r="EN181" s="210">
        <f>Crops[[#This Row],[CSA Portions Per Week]]/CSAMembers</f>
        <v>2</v>
      </c>
      <c r="EO181" s="216"/>
      <c r="EP181" s="216"/>
      <c r="EQ181" s="210"/>
      <c r="ER181" s="210">
        <f>Crops[[#This Row],[Harvests]]*Crops[[#This Row],[Days Between Harvest]]/7</f>
        <v>2</v>
      </c>
      <c r="ES181" s="217">
        <f>_xlfn.XLOOKUP(Crops[[#This Row],[ProductIndex]],Products[ID],Products[CSA Need])</f>
        <v>3</v>
      </c>
      <c r="ET181" s="217">
        <f>_xlfn.XLOOKUP(Crops[[#This Row],[ProductIndex]],Products[ID],Products[CSA Times])</f>
        <v>3</v>
      </c>
      <c r="EU181" s="208">
        <f>Crops[[#This Row],[Custom Yield Per Bed]]/(Crops[[#This Row],[CSA Need]]*(_xlfn.XLOOKUP(Crops[[#This Row],[ProductIndex]],Products[ID],Products[CSA Portion])*CSAMembers))</f>
        <v>1.3333333333333333</v>
      </c>
      <c r="EV181" s="208">
        <f>_xlfn.XLOOKUP(Crops[[#This Row],[ProductIndex]],Products[ID],Products[CSA Portion])*CSAMembers*Crops[[#This Row],[CSA Need]]/Crops[[#This Row],[Custom Yield Per Bed]]</f>
        <v>0.75</v>
      </c>
      <c r="EW181" s="208">
        <f>IFERROR(Crops[[#This Row],[Days In Field]]*Crops[[#This Row],[CSA Beds]],"")</f>
        <v>183</v>
      </c>
      <c r="EX181" s="208" t="e">
        <f>Crops[[#This Row],[CSA Bed Days]]*#REF!</f>
        <v>#REF!</v>
      </c>
      <c r="EY181">
        <v>0</v>
      </c>
    </row>
    <row r="182" spans="1:155">
      <c r="A18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TP Sp</v>
      </c>
      <c r="B182" s="179"/>
      <c r="C182" s="1" t="b">
        <v>1</v>
      </c>
      <c r="D182" s="1" t="s">
        <v>2575</v>
      </c>
      <c r="E182" s="1" t="b">
        <v>0</v>
      </c>
      <c r="F182" s="1" t="b">
        <f>IFERROR(IF(ISNUMBER(MATCH(Crops[[#This Row],[Identifier]],BedPlan[Crop], 0)), TRUE, FALSE), FALSE)</f>
        <v>0</v>
      </c>
      <c r="G182" s="1" t="b">
        <f>IFERROR(IF(ISNUMBER(MATCH(Crops[[#This Row],[Identifier]],BedPlan[Crop], 0)), TRUE, FALSE), FALSE)</f>
        <v>0</v>
      </c>
      <c r="H182" s="1"/>
      <c r="I182" t="s">
        <v>92</v>
      </c>
      <c r="J182" t="s">
        <v>1796</v>
      </c>
      <c r="K182" t="s">
        <v>200</v>
      </c>
      <c r="M182" t="s">
        <v>441</v>
      </c>
      <c r="N182" t="str">
        <f>Crops[[#This Row],[Crop]]</f>
        <v>Lettuce</v>
      </c>
      <c r="O182" t="s">
        <v>210</v>
      </c>
      <c r="P182" t="str">
        <f>IF(OR(Crops[[#This Row],[Days in Cells]]="",Crops[[#This Row],[Days in Cells]]=0), "DS","TP")</f>
        <v>TP</v>
      </c>
      <c r="Q182" t="b">
        <v>1</v>
      </c>
      <c r="V182" t="str">
        <f xml:space="preserve"> IF(Crops[[#This Row],[Sp]], "Sp", "") &amp; IF(Crops[[#This Row],[Su]], "Su", "") &amp; IF(Crops[[#This Row],[Fa]], "Fa", "") &amp; IF(Crops[[#This Row],[Wi]], "Wi", "") &amp; IF(Crops[[#This Row],[OW]], "Ow","")</f>
        <v>Sp</v>
      </c>
      <c r="W182" t="s">
        <v>144</v>
      </c>
      <c r="X182">
        <v>4</v>
      </c>
      <c r="Y182">
        <v>6</v>
      </c>
      <c r="AA182" t="s">
        <v>474</v>
      </c>
      <c r="AB182" t="b">
        <v>1</v>
      </c>
      <c r="AC182">
        <v>1</v>
      </c>
      <c r="AD182" s="32">
        <f>IFERROR(12/Crops[[#This Row],[Spacing]]*Crops[[#This Row],[Rows]]*BedLength,"")</f>
        <v>400</v>
      </c>
      <c r="AE182">
        <v>1</v>
      </c>
      <c r="AG182">
        <f>IF(Crops[[#This Row],[Custom Safety Factor]]="",PlantingSafetyFactor,Crops[[#This Row],[Custom Safety Factor]])</f>
        <v>1.3</v>
      </c>
      <c r="AH182">
        <v>1.3</v>
      </c>
      <c r="AI182" s="33">
        <f>IFERROR(Crops[[#This Row],[Plantings Per Bed]]*Crops[[#This Row],[Seeds Per Planting]]*Crops[[#This Row],[Safety Factor]]*Crops[[#This Row],[Seeding Factor]],"")</f>
        <v>676</v>
      </c>
      <c r="AL182">
        <f>_xlfn.FLOOR.MATH(IFERROR(AVERAGE(Crops[[#This Row],[DTG Lower]:[DTG Upper]]),0))</f>
        <v>0</v>
      </c>
      <c r="AM182">
        <f>SUM(Crops[[#This Row],[Tray 1 Days]],Crops[[#This Row],[Tray 2 Days]],Crops[[#This Row],[Tray 3 Days]])</f>
        <v>30</v>
      </c>
      <c r="AN182">
        <v>30</v>
      </c>
      <c r="AP182">
        <v>55</v>
      </c>
      <c r="AQ182">
        <f>IFERROR(_xlfn.FLOOR.MATH(AVERAGE(Crops[[#This Row],[DTM Lower]:[DTM Upper]])),"")</f>
        <v>55</v>
      </c>
      <c r="AR182" cm="1">
        <f t="array" ref="AR182">_xlfn.SWITCH(Crops[[#This Row],[Normal Method]],"DS",Crops[[#This Row],[Days to Germination]]+Crops[[#This Row],[DTM]] + IF(Crops[[#This Row],[Days in Cells]]&gt;0,15,0), "TP",Crops[[#This Row],[DTM]]+Crops[[#This Row],[Days in Cells]] + IF(Crops[[#This Row],[Days in Cells]]&lt;=0,20,0), "X", Crops[[#This Row],[DTM]])</f>
        <v>85</v>
      </c>
      <c r="AS182" t="s">
        <v>346</v>
      </c>
      <c r="AT182">
        <f>(Crops[[#This Row],[Harvests]]-1)*Crops[[#This Row],[Days Between Harvest]]+7</f>
        <v>14</v>
      </c>
      <c r="AU182">
        <f>Crops[[#This Row],[STH]]-Crops[[#This Row],[Days in Cells]]+Crops[[#This Row],[Harvest window]]</f>
        <v>69</v>
      </c>
      <c r="AX182">
        <v>128</v>
      </c>
      <c r="AY182">
        <v>30</v>
      </c>
      <c r="AZ182" s="49">
        <f>IFERROR(IF(Crops[[#This Row],[Tray 1 Days]]=0,"",Crops[[#This Row],[Plantings Per Bed]]/Crops[[#This Row],[Tray 1 Size]]*Crops[[#This Row],[Safety Factor]]),"")</f>
        <v>4.0625</v>
      </c>
      <c r="BC182" t="str">
        <f>IFERROR(IF(Crops[[#This Row],[Tray 2 Days]]=0,"",Crops[[#This Row],[Plantings Per Bed]]/Crops[[#This Row],[Tray 2 Size]]*Crops[[#This Row],[Safety Factor]]),"")</f>
        <v/>
      </c>
      <c r="BE182" s="32" t="str">
        <f>IF(NOT(ISBLANK(Crops[[#This Row],[Tray 3 Size]])), Crops[[#This Row],[Days in Cells Old]]-SUM(Crops[[#This Row],[Tray 1 Days]],Crops[[#This Row],[Tray 2 Days]]), "")</f>
        <v/>
      </c>
      <c r="BF182" s="49" t="str">
        <f>IFERROR(IF(Crops[[#This Row],[Tray 3 Days]]=0,"",Crops[[#This Row],[Plantings Per Bed]]/Crops[[#This Row],[Tray 3 Size]]*Crops[[#This Row],[Safety Factor]]),"")</f>
        <v/>
      </c>
      <c r="BG182" s="33">
        <f>Crops[[#This Row],[Plantings Per Bed]]/Crops[[#This Row],[Harvests]]</f>
        <v>200</v>
      </c>
      <c r="BH182" s="33">
        <v>2</v>
      </c>
      <c r="BI182" s="33">
        <v>7</v>
      </c>
      <c r="BJ182" s="33">
        <f>_xlfn.XLOOKUP(Crops[[#This Row],[ProductIndex]],Products[ID],Products[Holding Period])</f>
        <v>10</v>
      </c>
      <c r="BK182" s="33"/>
      <c r="BL182" s="33">
        <f>Crops[[#This Row],[Units Per Harvest]]*Crops[[#This Row],[Harvests]]</f>
        <v>400</v>
      </c>
      <c r="BM182" s="35">
        <v>3</v>
      </c>
      <c r="BN182" s="35">
        <f>Crops[[#This Row],[Direct Price]]*0.6</f>
        <v>1.7999999999999998</v>
      </c>
      <c r="BO182" s="35"/>
      <c r="BP182" t="s">
        <v>214</v>
      </c>
      <c r="BQ182">
        <f>Crops[[#This Row],[Custom Yield Per Bed]]*Crops[[#This Row],[Direct Price]]</f>
        <v>1200</v>
      </c>
      <c r="BR182" t="b">
        <v>1</v>
      </c>
      <c r="BS182" t="b">
        <f>Crops[[#This Row],[Harvests]]&gt;1</f>
        <v>1</v>
      </c>
      <c r="BT182" s="36">
        <f>IFERROR(Crops[[#This Row],[Direct Revenue Per Bed]]/Crops[[#This Row],[Days In Field]],-1)</f>
        <v>17.391304347826086</v>
      </c>
      <c r="BU182" s="36">
        <f>IFERROR(Crops[[#This Row],[Direct Revenue Per Bed Day]]*GrowingDays*BedsPerAcre,"")</f>
        <v>500869.5652173913</v>
      </c>
      <c r="BV182" s="38">
        <f>LastFrostDate-5*Crops[[#This Row],[Sewing Rel Last Frost]]</f>
        <v>45738</v>
      </c>
      <c r="BW182" s="38">
        <f>Crops[[#This Row],[Target Sewing Date]]+Crops[[#This Row],[Days in Cells]]</f>
        <v>45768</v>
      </c>
      <c r="BX182" s="38">
        <f>Crops[[#This Row],[Target Sewing Date]]+Crops[[#This Row],[STH]]</f>
        <v>45823</v>
      </c>
      <c r="BY182" s="38">
        <f>Crops[[#This Row],[Target Harvest Data]]+Crops[[#This Row],[Harvest window]]</f>
        <v>45837</v>
      </c>
      <c r="BZ182">
        <v>2</v>
      </c>
      <c r="CB182">
        <f>1</f>
        <v>1</v>
      </c>
      <c r="CC182">
        <f>IF(Crops[[#This Row],[Transplanting]]&gt;0, 2, 3)*BedLength/StandardBedLength</f>
        <v>1</v>
      </c>
      <c r="CD182" s="173">
        <f>IF(Crops[[#This Row],[Days in Cells]]&lt;=0,0,Crops[[#This Row],[Plantings Per Bed]]/StartsPerHourSeeding+Crops[[#This Row],[Tray 1 Count]]*5/60)</f>
        <v>1.9010416666666667</v>
      </c>
      <c r="CE182" s="173">
        <f>IF(ISBLANK(Crops[[#This Row],[Tray 2 Days]]),0,Crops[[#This Row],[Plantings Per Bed]]/UpPottingPerHour)+IF(Crops[[#This Row],[Tray 3 Days]]="",0,Crops[[#This Row],[Plantings Per Bed]]/UpPottingPerHour)</f>
        <v>0</v>
      </c>
      <c r="CF182" s="173">
        <f>IFERROR(Crops[[#This Row],[Tray 1 Count]]/HomeStartFlatIrrigationPerHour,0)*Crops[[#This Row],[Days in Cells]]/DaysBetweenStartIrrigation</f>
        <v>0.5078125</v>
      </c>
      <c r="CG182" s="173">
        <f>0.5/16*MAX(Crops[[#This Row],[Tray 1 Count]],Crops[[#This Row],[Tray 2 Count]],Crops[[#This Row],[Tray 3 Count]])</f>
        <v>0.126953125</v>
      </c>
      <c r="CH182" s="173">
        <f>IF(Crops[[#This Row],[Days in Cells]]&gt;0,IF(IF(Crops[[#This Row],[Tray 3 Size]]&gt;0,Crops[[#This Row],[Tray 3 Size]],IF(Crops[[#This Row],[Tray 2 Size]]&gt;0,Crops[[#This Row],[Tray 2 Size]],Crops[[#This Row],[Tray 1 Size]]))&lt;=18,LargeTransplantTime,SmallTransplantTime)*Crops[[#This Row],[Plantings Per Bed]],0)</f>
        <v>2</v>
      </c>
      <c r="CI182" s="173"/>
      <c r="CJ182" s="173">
        <f>_xlfn.XLOOKUP(Crops[[#This Row],[Trellis Type]],TrellisMethods[Trellis Type],TrellisMethods[Hours],0,0)</f>
        <v>0</v>
      </c>
      <c r="CK182">
        <f>IF(Crops[[#This Row],[Days in Cells]]&lt;=0,Crops[[#This Row],[Rows]]*1/10,0)*BedLength/50</f>
        <v>0</v>
      </c>
      <c r="CL182" cm="1">
        <f t="array" ref="CL182">_xlfn.SWITCH(Crops[[#This Row],[Irrigation]],"DR", 0.5, "OH", 0.25,0)*BedLength/50</f>
        <v>0</v>
      </c>
      <c r="CM182">
        <f>IF(OR(ISBLANK(Crops[[#This Row],[Row Cover]]),Crops[[#This Row],[Row Cover]]="None"),0,1)*BedLength/50</f>
        <v>0</v>
      </c>
      <c r="CN182" s="173">
        <f>HoursPerWeedingPass*Crops[[#This Row],[Days In Field]]/14*Crops[[#This Row],[Rows]]+1*BedLength/50</f>
        <v>4.2857142857142856</v>
      </c>
      <c r="CO182" s="49"/>
      <c r="CQ182" s="37">
        <f>_xlfn.XLOOKUP(Crops[[#This Row],[Crop]]&amp;Crops[[#This Row],[Product]]&amp;Crops[[#This Row],[Unit]],Products[ID],Products[Marketing (hr)])*Crops[[#This Row],[Direct Revenue Per Bed]]/2000</f>
        <v>1.2</v>
      </c>
      <c r="CR182" s="37">
        <f>_xlfn.XLOOKUP(Crops[[#This Row],[Crop]]&amp;Crops[[#This Row],[Product]]&amp;Crops[[#This Row],[Unit]],Products[ID],Products[Harvest (s)])*Crops[[#This Row],[Custom Yield Per Bed]]/3600</f>
        <v>1.1111111111111112</v>
      </c>
      <c r="CS182" s="37">
        <f>_xlfn.XLOOKUP(Crops[[#This Row],[Crop]]&amp;Crops[[#This Row],[Product]]&amp;Crops[[#This Row],[Unit]],Products[ID],Products[Bunch (s)])*Crops[[#This Row],[Custom Yield Per Bed]]/3600</f>
        <v>0</v>
      </c>
      <c r="CT182" s="37">
        <f>_xlfn.XLOOKUP(Crops[[#This Row],[Crop]]&amp;Crops[[#This Row],[Product]]&amp;Crops[[#This Row],[Unit]],Products[ID],Products[Haul (s)])*Crops[[#This Row],[Custom Yield Per Bed]]/3600</f>
        <v>0.27777777777777779</v>
      </c>
      <c r="CU182" s="37">
        <f>_xlfn.XLOOKUP(Crops[[#This Row],[Crop]]&amp;Crops[[#This Row],[Product]]&amp;Crops[[#This Row],[Unit]],Products[ID],Products[Wash (s)])*Crops[[#This Row],[Custom Yield Per Bed]]/3600</f>
        <v>2.2222222222222223</v>
      </c>
      <c r="CV182" s="37">
        <f>_xlfn.XLOOKUP(Crops[[#This Row],[Crop]]&amp;Crops[[#This Row],[Product]]&amp;Crops[[#This Row],[Unit]],Products[ID],Products[Condition (s)])*Crops[[#This Row],[Custom Yield Per Bed]]/3600</f>
        <v>0</v>
      </c>
      <c r="CW182" s="37">
        <f>_xlfn.XLOOKUP(Crops[[#This Row],[Crop]]&amp;Crops[[#This Row],[Product]]&amp;Crops[[#This Row],[Unit]],Products[ID],Products[Trim (s)])*Crops[[#This Row],[Custom Yield Per Bed]]/3600</f>
        <v>1.1111111111111112</v>
      </c>
      <c r="CX182" s="37">
        <f>_xlfn.XLOOKUP(Crops[[#This Row],[Crop]]&amp;Crops[[#This Row],[Product]]&amp;Crops[[#This Row],[Unit]],Products[ID],Products[Pack (s)])*Crops[[#This Row],[Custom Yield Per Bed]]/3600</f>
        <v>0.33333333333333331</v>
      </c>
      <c r="CY182" s="37">
        <f>_xlfn.XLOOKUP(Crops[[#This Row],[Crop]]&amp;Crops[[#This Row],[Product]]&amp;Crops[[#This Row],[Unit]],Products[ID],Products[Clean (s)])*Crops[[#This Row],[Custom Yield Per Bed]]/3600</f>
        <v>0</v>
      </c>
      <c r="CZ182" s="37">
        <f>_xlfn.XLOOKUP(Crops[[#This Row],[Crop]]&amp;Crops[[#This Row],[Product]]&amp;Crops[[#This Row],[Unit]],Products[ID],Products[Rehandle (s)])*Crops[[#This Row],[Custom Yield Per Bed]]/3600</f>
        <v>0</v>
      </c>
      <c r="DA182" s="37">
        <f>_xlfn.XLOOKUP(Crops[[#This Row],[Crop]]&amp;Crops[[#This Row],[Product]]&amp;Crops[[#This Row],[Unit]],Products[ID],Products[Market Transport (s)])*Crops[[#This Row],[Custom Yield Per Bed]]/3600</f>
        <v>0.69444444444444442</v>
      </c>
      <c r="DC182" s="37">
        <f>Crops[[#This Row],[Direct Revenue Per Bed2]]</f>
        <v>1200</v>
      </c>
      <c r="DD182" s="173">
        <f>_xlfn.AGGREGATE(9,6,Crops[[#This Row],[Bed Prep]:[Remove Crop Residue]])</f>
        <v>16.771521577380948</v>
      </c>
      <c r="DE182" s="173">
        <f>_xlfn.AGGREGATE(9,6,Crops[[#This Row],[Bed Prep]:[Remove Crop Residue]])-0.75*Crops[[#This Row],[Market &amp; Sell]]</f>
        <v>15.871521577380948</v>
      </c>
      <c r="DF182" s="36">
        <f>Crops[[#This Row],[Direct Revenue Per Bed2]]/Crops[[#This Row],[Direct Time]]</f>
        <v>71.549858756905508</v>
      </c>
      <c r="DG182" s="36">
        <f>_xlfn.XLOOKUP(Crops[[#This Row],[ProductIndex]],Products[ID],Products[Packaging Cost])*(Crops[[#This Row],[Custom Yield Per Bed]]/_xlfn.XLOOKUP(Crops[[#This Row],[ProductIndex]],Products[ID],Products[Units Per Pack]))</f>
        <v>42.222222222222221</v>
      </c>
      <c r="DH182" s="36"/>
      <c r="DI182" s="36"/>
      <c r="DJ182" s="36"/>
      <c r="DK182" s="36"/>
      <c r="DL182" s="36"/>
      <c r="DM182" s="33">
        <f>IFERROR(Crops[[#This Row],[Custom Yield Per Bed]]*Crops[[#This Row],[Direct Price]],"")</f>
        <v>1200</v>
      </c>
      <c r="DN182" s="36">
        <f>Crops[[#This Row],[Direct Time]]*LaborRate</f>
        <v>419.28803943452368</v>
      </c>
      <c r="DO182" s="36">
        <f>SUM(Crops[[#This Row],[Irrigation Cost]])</f>
        <v>0</v>
      </c>
      <c r="DP182" s="36">
        <f>Crops[[#This Row],[Direct Labor Cost]]+Crops[[#This Row],[Direct Non-Labor Cost]]</f>
        <v>419.28803943452368</v>
      </c>
      <c r="DQ182" s="36">
        <f>Crops[[#This Row],[Direct Revenue Per Bed2]]-Crops[[#This Row],[Direct Total Cost]]</f>
        <v>780.71196056547637</v>
      </c>
      <c r="DR182" s="36">
        <f>Crops[[#This Row],[Direct Profit]]*BedsPerAcre</f>
        <v>124913.91369047621</v>
      </c>
      <c r="DS182" s="36">
        <f>Crops[[#This Row],[Direct Profit]]*BedsPerAcre*GrowingDays/Crops[[#This Row],[Days In Field]]</f>
        <v>325862.38354037271</v>
      </c>
      <c r="DT182" s="36">
        <f>Crops[[#This Row],[Direct Profit]]/MIN(Crops[[#This Row],[Days In Field]],GrowingDays)</f>
        <v>11.314666095151832</v>
      </c>
      <c r="DU182" s="33">
        <f>Crops[[#This Row],[Direct Time]] * BedsPerAcre</f>
        <v>2683.4434523809518</v>
      </c>
      <c r="DV182" s="36">
        <f>(Crops[[#This Row],[Direct Revenue Per Bed2]]-Crops[[#This Row],[Direct Non-Labor Cost]])/Crops[[#This Row],[Direct Time]]</f>
        <v>71.549858756905508</v>
      </c>
      <c r="DW182" s="33">
        <f>IFERROR(Crops[[#This Row],[Custom Yield Per Bed]]*Crops[[#This Row],[Rough Wholesale Price]],"")</f>
        <v>719.99999999999989</v>
      </c>
      <c r="DX182" s="36">
        <f>Crops[[#This Row],[Wholesale Time]]*LaborRate</f>
        <v>396.78803943452368</v>
      </c>
      <c r="DY182" s="36">
        <f>SUM(Crops[[#This Row],[Packaging Costs]:[Irrigation Cost]])</f>
        <v>42.222222222222221</v>
      </c>
      <c r="DZ182" s="36">
        <f>Crops[[#This Row],[Wholesale Labor Cost]]+Crops[[#This Row],[Wholesale Non-Labor Cost]]</f>
        <v>439.01026165674591</v>
      </c>
      <c r="EA182" s="36">
        <f>Crops[[#This Row],[Wholesale Revenue Per Bed]]-Crops[[#This Row],[Wholesale Total Cost]]</f>
        <v>280.98973834325398</v>
      </c>
      <c r="EB182" s="36">
        <f>Crops[[#This Row],[Wholesale Profit]]*BedsPerAcre</f>
        <v>44958.358134920636</v>
      </c>
      <c r="EC182" s="36">
        <f>Crops[[#This Row],[Wholesale Profit]]*BedsPerAcre*GrowingDays/Crops[[#This Row],[Days In Field]]</f>
        <v>117282.67339544513</v>
      </c>
      <c r="ED182" s="33">
        <f>Crops[[#This Row],[Wholesale Time]] * BedsPerAcre</f>
        <v>2539.4434523809518</v>
      </c>
      <c r="EE182" s="221">
        <f>Crops[[#This Row],[Wholesale Profit]]/MIN(Crops[[#This Row],[Days In Field]],GrowingDays)</f>
        <v>4.072315048452956</v>
      </c>
      <c r="EF182" s="36">
        <f>(Crops[[#This Row],[Wholesale Revenue Per Bed]]-Crops[[#This Row],[Wholesale Non-Labor Cost]])/Crops[[#This Row],[Direct Time]]</f>
        <v>40.412420223807743</v>
      </c>
      <c r="EG182" s="174">
        <f>Crops[[#This Row],[Packaging Costs]]/Crops[[#This Row],[Wholesale Revenue Per Bed]]</f>
        <v>5.8641975308641986E-2</v>
      </c>
      <c r="EH182" s="36" t="str">
        <f>Crops[[#This Row],[Crop]]&amp;Crops[[#This Row],[Product]]&amp;Crops[[#This Row],[Unit]]</f>
        <v>LettuceMini HeadHead</v>
      </c>
      <c r="EI182" s="36" t="b">
        <f>_xlfn.XLOOKUP(Crops[[#This Row],[ProductIndex]],Products[ID],Products[Target])</f>
        <v>1</v>
      </c>
      <c r="EJ182" s="33">
        <f>Crops[[#This Row],[Custom Yield Per Bed]]</f>
        <v>400</v>
      </c>
      <c r="EK182" s="210">
        <f>Crops[[#This Row],[Units Per Harvest]]/Crops[[#This Row],[Days Between Harvest]]*7</f>
        <v>200</v>
      </c>
      <c r="EL182" s="210">
        <f>Crops[[#This Row],[Custom Yield Per Bed]]/_xlfn.XLOOKUP(Crops[[#This Row],[ProductIndex]],Products[ID],Products[CSA Portion])</f>
        <v>400</v>
      </c>
      <c r="EM182" s="210">
        <f>Crops[[#This Row],[Units Per Harvest]]/Crops[[#This Row],[Days Between Harvest]]*7/_xlfn.XLOOKUP(Crops[[#This Row],[ProductIndex]],Products[ID],Products[CSA Portion])</f>
        <v>200</v>
      </c>
      <c r="EN182" s="210">
        <f>Crops[[#This Row],[CSA Portions Per Week]]/CSAMembers</f>
        <v>4</v>
      </c>
      <c r="EO182" s="216">
        <v>0.5</v>
      </c>
      <c r="EP182" s="216">
        <v>1</v>
      </c>
      <c r="EQ182" s="210"/>
      <c r="ER182" s="210">
        <f>Crops[[#This Row],[Harvests]]*Crops[[#This Row],[Days Between Harvest]]/7</f>
        <v>2</v>
      </c>
      <c r="ES182" s="217">
        <f>_xlfn.XLOOKUP(Crops[[#This Row],[ProductIndex]],Products[ID],Products[CSA Need])</f>
        <v>3</v>
      </c>
      <c r="ET182" s="217">
        <f>_xlfn.XLOOKUP(Crops[[#This Row],[ProductIndex]],Products[ID],Products[CSA Times])</f>
        <v>3</v>
      </c>
      <c r="EU182" s="208">
        <f>Crops[[#This Row],[Custom Yield Per Bed]]/(Crops[[#This Row],[CSA Need]]*(_xlfn.XLOOKUP(Crops[[#This Row],[ProductIndex]],Products[ID],Products[CSA Portion])*CSAMembers))</f>
        <v>2.6666666666666665</v>
      </c>
      <c r="EV182" s="208">
        <f>_xlfn.XLOOKUP(Crops[[#This Row],[ProductIndex]],Products[ID],Products[CSA Portion])*CSAMembers*Crops[[#This Row],[CSA Need]]/Crops[[#This Row],[Custom Yield Per Bed]]</f>
        <v>0.375</v>
      </c>
      <c r="EW182" s="208">
        <f>IFERROR(Crops[[#This Row],[Days In Field]]*Crops[[#This Row],[CSA Beds]],"")</f>
        <v>25.875</v>
      </c>
      <c r="EX182" s="208" t="e">
        <f>Crops[[#This Row],[CSA Bed Days]]*#REF!</f>
        <v>#REF!</v>
      </c>
      <c r="EY182" t="s">
        <v>422</v>
      </c>
    </row>
    <row r="183" spans="1:155">
      <c r="A18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TP SuFa</v>
      </c>
      <c r="B183" s="179"/>
      <c r="C183" s="1" t="b">
        <v>1</v>
      </c>
      <c r="D183" s="1" t="s">
        <v>2568</v>
      </c>
      <c r="E183" s="1" t="b">
        <v>0</v>
      </c>
      <c r="F183" s="1" t="b">
        <f>IFERROR(IF(ISNUMBER(MATCH(Crops[[#This Row],[Identifier]],BedPlan[Crop], 0)), TRUE, FALSE), FALSE)</f>
        <v>0</v>
      </c>
      <c r="G183" s="1" t="b">
        <f>IFERROR(IF(ISNUMBER(MATCH(Crops[[#This Row],[Identifier]],BedPlan[Crop], 0)), TRUE, FALSE), FALSE)</f>
        <v>0</v>
      </c>
      <c r="H183" s="1"/>
      <c r="I183" t="s">
        <v>92</v>
      </c>
      <c r="J183" t="s">
        <v>1796</v>
      </c>
      <c r="K183" t="s">
        <v>200</v>
      </c>
      <c r="M183" t="s">
        <v>441</v>
      </c>
      <c r="N183" t="str">
        <f>Crops[[#This Row],[Crop]]</f>
        <v>Lettuce</v>
      </c>
      <c r="O183" t="s">
        <v>210</v>
      </c>
      <c r="P183" t="str">
        <f>IF(OR(Crops[[#This Row],[Days in Cells]]="",Crops[[#This Row],[Days in Cells]]=0), "DS","TP")</f>
        <v>TP</v>
      </c>
      <c r="R183" t="b">
        <v>1</v>
      </c>
      <c r="S183" t="b">
        <v>1</v>
      </c>
      <c r="V183" t="str">
        <f xml:space="preserve"> IF(Crops[[#This Row],[Sp]], "Sp", "") &amp; IF(Crops[[#This Row],[Su]], "Su", "") &amp; IF(Crops[[#This Row],[Fa]], "Fa", "") &amp; IF(Crops[[#This Row],[Wi]], "Wi", "") &amp; IF(Crops[[#This Row],[OW]], "Ow","")</f>
        <v>SuFa</v>
      </c>
      <c r="W183" t="s">
        <v>144</v>
      </c>
      <c r="X183">
        <v>4</v>
      </c>
      <c r="Y183">
        <v>6</v>
      </c>
      <c r="AA183" t="s">
        <v>474</v>
      </c>
      <c r="AB183" t="b">
        <v>1</v>
      </c>
      <c r="AC183">
        <v>1</v>
      </c>
      <c r="AD183" s="32">
        <f>IFERROR(12/Crops[[#This Row],[Spacing]]*Crops[[#This Row],[Rows]]*BedLength,"")</f>
        <v>400</v>
      </c>
      <c r="AE183">
        <v>1</v>
      </c>
      <c r="AG183">
        <f>IF(Crops[[#This Row],[Custom Safety Factor]]="",PlantingSafetyFactor,Crops[[#This Row],[Custom Safety Factor]])</f>
        <v>1.3</v>
      </c>
      <c r="AH183">
        <v>1.3</v>
      </c>
      <c r="AI183" s="33">
        <f>IFERROR(Crops[[#This Row],[Plantings Per Bed]]*Crops[[#This Row],[Seeds Per Planting]]*Crops[[#This Row],[Safety Factor]]*Crops[[#This Row],[Seeding Factor]],"")</f>
        <v>676</v>
      </c>
      <c r="AL183">
        <f>_xlfn.FLOOR.MATH(IFERROR(AVERAGE(Crops[[#This Row],[DTG Lower]:[DTG Upper]]),0))</f>
        <v>0</v>
      </c>
      <c r="AM183">
        <f>SUM(Crops[[#This Row],[Tray 1 Days]],Crops[[#This Row],[Tray 2 Days]],Crops[[#This Row],[Tray 3 Days]])</f>
        <v>30</v>
      </c>
      <c r="AN183">
        <v>30</v>
      </c>
      <c r="AP183">
        <f>55-14</f>
        <v>41</v>
      </c>
      <c r="AQ183">
        <f>IFERROR(_xlfn.FLOOR.MATH(AVERAGE(Crops[[#This Row],[DTM Lower]:[DTM Upper]])),"")</f>
        <v>41</v>
      </c>
      <c r="AR183" cm="1">
        <f t="array" ref="AR183">_xlfn.SWITCH(Crops[[#This Row],[Normal Method]],"DS",Crops[[#This Row],[Days to Germination]]+Crops[[#This Row],[DTM]] + IF(Crops[[#This Row],[Days in Cells]]&gt;0,15,0), "TP",Crops[[#This Row],[DTM]]+Crops[[#This Row],[Days in Cells]] + IF(Crops[[#This Row],[Days in Cells]]&lt;=0,20,0), "X", Crops[[#This Row],[DTM]])</f>
        <v>71</v>
      </c>
      <c r="AS183" t="s">
        <v>346</v>
      </c>
      <c r="AT183">
        <f>(Crops[[#This Row],[Harvests]]-1)*Crops[[#This Row],[Days Between Harvest]]+7</f>
        <v>14</v>
      </c>
      <c r="AU183">
        <f>Crops[[#This Row],[STH]]-Crops[[#This Row],[Days in Cells]]+Crops[[#This Row],[Harvest window]]</f>
        <v>55</v>
      </c>
      <c r="AX183">
        <v>128</v>
      </c>
      <c r="AY183">
        <v>30</v>
      </c>
      <c r="AZ183" s="49">
        <f>IFERROR(IF(Crops[[#This Row],[Tray 1 Days]]=0,"",Crops[[#This Row],[Plantings Per Bed]]/Crops[[#This Row],[Tray 1 Size]]*Crops[[#This Row],[Safety Factor]]),"")</f>
        <v>4.0625</v>
      </c>
      <c r="BC183" t="str">
        <f>IFERROR(IF(Crops[[#This Row],[Tray 2 Days]]=0,"",Crops[[#This Row],[Plantings Per Bed]]/Crops[[#This Row],[Tray 2 Size]]*Crops[[#This Row],[Safety Factor]]),"")</f>
        <v/>
      </c>
      <c r="BE183" s="32" t="str">
        <f>IF(NOT(ISBLANK(Crops[[#This Row],[Tray 3 Size]])), Crops[[#This Row],[Days in Cells Old]]-SUM(Crops[[#This Row],[Tray 1 Days]],Crops[[#This Row],[Tray 2 Days]]), "")</f>
        <v/>
      </c>
      <c r="BF183" s="49" t="str">
        <f>IFERROR(IF(Crops[[#This Row],[Tray 3 Days]]=0,"",Crops[[#This Row],[Plantings Per Bed]]/Crops[[#This Row],[Tray 3 Size]]*Crops[[#This Row],[Safety Factor]]),"")</f>
        <v/>
      </c>
      <c r="BG183" s="33">
        <f>Crops[[#This Row],[Plantings Per Bed]]/Crops[[#This Row],[Harvests]]</f>
        <v>200</v>
      </c>
      <c r="BH183" s="33">
        <v>2</v>
      </c>
      <c r="BI183" s="33">
        <v>7</v>
      </c>
      <c r="BJ183" s="33">
        <f>_xlfn.XLOOKUP(Crops[[#This Row],[ProductIndex]],Products[ID],Products[Holding Period])</f>
        <v>10</v>
      </c>
      <c r="BK183" s="33"/>
      <c r="BL183" s="33">
        <f>Crops[[#This Row],[Units Per Harvest]]*Crops[[#This Row],[Harvests]]</f>
        <v>400</v>
      </c>
      <c r="BM183" s="35">
        <v>3</v>
      </c>
      <c r="BN183" s="35">
        <f>Crops[[#This Row],[Direct Price]]*0.6</f>
        <v>1.7999999999999998</v>
      </c>
      <c r="BO183" s="35"/>
      <c r="BP183" t="s">
        <v>214</v>
      </c>
      <c r="BQ183">
        <f>Crops[[#This Row],[Custom Yield Per Bed]]*Crops[[#This Row],[Direct Price]]</f>
        <v>1200</v>
      </c>
      <c r="BR183" t="b">
        <v>1</v>
      </c>
      <c r="BS183" t="b">
        <f>Crops[[#This Row],[Harvests]]&gt;1</f>
        <v>1</v>
      </c>
      <c r="BT183" s="36">
        <f>IFERROR(Crops[[#This Row],[Direct Revenue Per Bed]]/Crops[[#This Row],[Days In Field]],-1)</f>
        <v>21.818181818181817</v>
      </c>
      <c r="BU183" s="36">
        <f>IFERROR(Crops[[#This Row],[Direct Revenue Per Bed Day]]*GrowingDays*BedsPerAcre,"")</f>
        <v>628363.63636363635</v>
      </c>
      <c r="BV183" s="38">
        <f>LastFrostDate-5*Crops[[#This Row],[Sewing Rel Last Frost]]</f>
        <v>45763</v>
      </c>
      <c r="BW183" s="38">
        <f>Crops[[#This Row],[Target Sewing Date]]+Crops[[#This Row],[Days in Cells]]</f>
        <v>45793</v>
      </c>
      <c r="BX183" s="38">
        <f>Crops[[#This Row],[Target Sewing Date]]+Crops[[#This Row],[STH]]</f>
        <v>45834</v>
      </c>
      <c r="BY183" s="38">
        <f>Crops[[#This Row],[Target Harvest Data]]+Crops[[#This Row],[Harvest window]]</f>
        <v>45848</v>
      </c>
      <c r="BZ183">
        <v>-3</v>
      </c>
      <c r="CB183">
        <f>1</f>
        <v>1</v>
      </c>
      <c r="CC183">
        <f>IF(Crops[[#This Row],[Transplanting]]&gt;0, 2, 3)*BedLength/StandardBedLength</f>
        <v>1</v>
      </c>
      <c r="CD183" s="173">
        <f>IF(Crops[[#This Row],[Days in Cells]]&lt;=0,0,Crops[[#This Row],[Plantings Per Bed]]/StartsPerHourSeeding+Crops[[#This Row],[Tray 1 Count]]*5/60)</f>
        <v>1.9010416666666667</v>
      </c>
      <c r="CE183" s="173">
        <f>IF(ISBLANK(Crops[[#This Row],[Tray 2 Days]]),0,Crops[[#This Row],[Plantings Per Bed]]/UpPottingPerHour)+IF(Crops[[#This Row],[Tray 3 Days]]="",0,Crops[[#This Row],[Plantings Per Bed]]/UpPottingPerHour)</f>
        <v>0</v>
      </c>
      <c r="CF183" s="173">
        <f>IFERROR(Crops[[#This Row],[Tray 1 Count]]/HomeStartFlatIrrigationPerHour,0)*Crops[[#This Row],[Days in Cells]]/DaysBetweenStartIrrigation</f>
        <v>0.5078125</v>
      </c>
      <c r="CG183" s="173">
        <f>0.5/16*MAX(Crops[[#This Row],[Tray 1 Count]],Crops[[#This Row],[Tray 2 Count]],Crops[[#This Row],[Tray 3 Count]])</f>
        <v>0.126953125</v>
      </c>
      <c r="CH183" s="173">
        <f>IF(Crops[[#This Row],[Days in Cells]]&gt;0,IF(IF(Crops[[#This Row],[Tray 3 Size]]&gt;0,Crops[[#This Row],[Tray 3 Size]],IF(Crops[[#This Row],[Tray 2 Size]]&gt;0,Crops[[#This Row],[Tray 2 Size]],Crops[[#This Row],[Tray 1 Size]]))&lt;=18,LargeTransplantTime,SmallTransplantTime)*Crops[[#This Row],[Plantings Per Bed]],0)</f>
        <v>2</v>
      </c>
      <c r="CI183" s="173"/>
      <c r="CJ183" s="173">
        <f>_xlfn.XLOOKUP(Crops[[#This Row],[Trellis Type]],TrellisMethods[Trellis Type],TrellisMethods[Hours],0,0)</f>
        <v>0</v>
      </c>
      <c r="CK183">
        <f>IF(Crops[[#This Row],[Days in Cells]]&lt;=0,Crops[[#This Row],[Rows]]*1/10,0)*BedLength/50</f>
        <v>0</v>
      </c>
      <c r="CL183" cm="1">
        <f t="array" ref="CL183">_xlfn.SWITCH(Crops[[#This Row],[Irrigation]],"DR", 0.5, "OH", 0.25,0)*BedLength/50</f>
        <v>0</v>
      </c>
      <c r="CM183">
        <f>IF(OR(ISBLANK(Crops[[#This Row],[Row Cover]]),Crops[[#This Row],[Row Cover]]="None"),0,1)*BedLength/50</f>
        <v>0</v>
      </c>
      <c r="CN183" s="173">
        <f>HoursPerWeedingPass*Crops[[#This Row],[Days In Field]]/14*Crops[[#This Row],[Rows]]+1*BedLength/50</f>
        <v>3.6190476190476191</v>
      </c>
      <c r="CO183" s="49"/>
      <c r="CQ183" s="37">
        <f>_xlfn.XLOOKUP(Crops[[#This Row],[Crop]]&amp;Crops[[#This Row],[Product]]&amp;Crops[[#This Row],[Unit]],Products[ID],Products[Marketing (hr)])*Crops[[#This Row],[Direct Revenue Per Bed]]/2000</f>
        <v>1.2</v>
      </c>
      <c r="CR183" s="37">
        <f>_xlfn.XLOOKUP(Crops[[#This Row],[Crop]]&amp;Crops[[#This Row],[Product]]&amp;Crops[[#This Row],[Unit]],Products[ID],Products[Harvest (s)])*Crops[[#This Row],[Custom Yield Per Bed]]/3600</f>
        <v>1.1111111111111112</v>
      </c>
      <c r="CS183" s="37">
        <f>_xlfn.XLOOKUP(Crops[[#This Row],[Crop]]&amp;Crops[[#This Row],[Product]]&amp;Crops[[#This Row],[Unit]],Products[ID],Products[Bunch (s)])*Crops[[#This Row],[Custom Yield Per Bed]]/3600</f>
        <v>0</v>
      </c>
      <c r="CT183" s="37">
        <f>_xlfn.XLOOKUP(Crops[[#This Row],[Crop]]&amp;Crops[[#This Row],[Product]]&amp;Crops[[#This Row],[Unit]],Products[ID],Products[Haul (s)])*Crops[[#This Row],[Custom Yield Per Bed]]/3600</f>
        <v>0.27777777777777779</v>
      </c>
      <c r="CU183" s="37">
        <f>_xlfn.XLOOKUP(Crops[[#This Row],[Crop]]&amp;Crops[[#This Row],[Product]]&amp;Crops[[#This Row],[Unit]],Products[ID],Products[Wash (s)])*Crops[[#This Row],[Custom Yield Per Bed]]/3600</f>
        <v>2.2222222222222223</v>
      </c>
      <c r="CV183" s="37">
        <f>_xlfn.XLOOKUP(Crops[[#This Row],[Crop]]&amp;Crops[[#This Row],[Product]]&amp;Crops[[#This Row],[Unit]],Products[ID],Products[Condition (s)])*Crops[[#This Row],[Custom Yield Per Bed]]/3600</f>
        <v>0</v>
      </c>
      <c r="CW183" s="37">
        <f>_xlfn.XLOOKUP(Crops[[#This Row],[Crop]]&amp;Crops[[#This Row],[Product]]&amp;Crops[[#This Row],[Unit]],Products[ID],Products[Trim (s)])*Crops[[#This Row],[Custom Yield Per Bed]]/3600</f>
        <v>1.1111111111111112</v>
      </c>
      <c r="CX183" s="37">
        <f>_xlfn.XLOOKUP(Crops[[#This Row],[Crop]]&amp;Crops[[#This Row],[Product]]&amp;Crops[[#This Row],[Unit]],Products[ID],Products[Pack (s)])*Crops[[#This Row],[Custom Yield Per Bed]]/3600</f>
        <v>0.33333333333333331</v>
      </c>
      <c r="CY183" s="37">
        <f>_xlfn.XLOOKUP(Crops[[#This Row],[Crop]]&amp;Crops[[#This Row],[Product]]&amp;Crops[[#This Row],[Unit]],Products[ID],Products[Clean (s)])*Crops[[#This Row],[Custom Yield Per Bed]]/3600</f>
        <v>0</v>
      </c>
      <c r="CZ183" s="37">
        <f>_xlfn.XLOOKUP(Crops[[#This Row],[Crop]]&amp;Crops[[#This Row],[Product]]&amp;Crops[[#This Row],[Unit]],Products[ID],Products[Rehandle (s)])*Crops[[#This Row],[Custom Yield Per Bed]]/3600</f>
        <v>0</v>
      </c>
      <c r="DA183" s="37">
        <f>_xlfn.XLOOKUP(Crops[[#This Row],[Crop]]&amp;Crops[[#This Row],[Product]]&amp;Crops[[#This Row],[Unit]],Products[ID],Products[Market Transport (s)])*Crops[[#This Row],[Custom Yield Per Bed]]/3600</f>
        <v>0.69444444444444442</v>
      </c>
      <c r="DC183" s="37">
        <f>Crops[[#This Row],[Direct Revenue Per Bed2]]</f>
        <v>1200</v>
      </c>
      <c r="DD183" s="173">
        <f>_xlfn.AGGREGATE(9,6,Crops[[#This Row],[Bed Prep]:[Remove Crop Residue]])</f>
        <v>16.104854910714288</v>
      </c>
      <c r="DE183" s="173">
        <f>_xlfn.AGGREGATE(9,6,Crops[[#This Row],[Bed Prep]:[Remove Crop Residue]])-0.75*Crops[[#This Row],[Market &amp; Sell]]</f>
        <v>15.204854910714287</v>
      </c>
      <c r="DF183" s="36">
        <f>Crops[[#This Row],[Direct Revenue Per Bed2]]/Crops[[#This Row],[Direct Time]]</f>
        <v>74.511692694707875</v>
      </c>
      <c r="DG183" s="36">
        <f>_xlfn.XLOOKUP(Crops[[#This Row],[ProductIndex]],Products[ID],Products[Packaging Cost])*(Crops[[#This Row],[Custom Yield Per Bed]]/_xlfn.XLOOKUP(Crops[[#This Row],[ProductIndex]],Products[ID],Products[Units Per Pack]))</f>
        <v>42.222222222222221</v>
      </c>
      <c r="DH183" s="36"/>
      <c r="DI183" s="36"/>
      <c r="DJ183" s="36"/>
      <c r="DK183" s="36"/>
      <c r="DL183" s="36"/>
      <c r="DM183" s="33">
        <f>IFERROR(Crops[[#This Row],[Custom Yield Per Bed]]*Crops[[#This Row],[Direct Price]],"")</f>
        <v>1200</v>
      </c>
      <c r="DN183" s="36">
        <f>Crops[[#This Row],[Direct Time]]*LaborRate</f>
        <v>402.62137276785717</v>
      </c>
      <c r="DO183" s="36">
        <f>SUM(Crops[[#This Row],[Irrigation Cost]])</f>
        <v>0</v>
      </c>
      <c r="DP183" s="36">
        <f>Crops[[#This Row],[Direct Labor Cost]]+Crops[[#This Row],[Direct Non-Labor Cost]]</f>
        <v>402.62137276785717</v>
      </c>
      <c r="DQ183" s="36">
        <f>Crops[[#This Row],[Direct Revenue Per Bed2]]-Crops[[#This Row],[Direct Total Cost]]</f>
        <v>797.37862723214289</v>
      </c>
      <c r="DR183" s="36">
        <f>Crops[[#This Row],[Direct Profit]]*BedsPerAcre</f>
        <v>127580.58035714287</v>
      </c>
      <c r="DS183" s="36">
        <f>Crops[[#This Row],[Direct Profit]]*BedsPerAcre*GrowingDays/Crops[[#This Row],[Days In Field]]</f>
        <v>417536.44480519486</v>
      </c>
      <c r="DT183" s="36">
        <f>Crops[[#This Row],[Direct Profit]]/MIN(Crops[[#This Row],[Days In Field]],GrowingDays)</f>
        <v>14.497793222402597</v>
      </c>
      <c r="DU183" s="33">
        <f>Crops[[#This Row],[Direct Time]] * BedsPerAcre</f>
        <v>2576.7767857142862</v>
      </c>
      <c r="DV183" s="36">
        <f>(Crops[[#This Row],[Direct Revenue Per Bed2]]-Crops[[#This Row],[Direct Non-Labor Cost]])/Crops[[#This Row],[Direct Time]]</f>
        <v>74.511692694707875</v>
      </c>
      <c r="DW183" s="33">
        <f>IFERROR(Crops[[#This Row],[Custom Yield Per Bed]]*Crops[[#This Row],[Rough Wholesale Price]],"")</f>
        <v>719.99999999999989</v>
      </c>
      <c r="DX183" s="36">
        <f>Crops[[#This Row],[Wholesale Time]]*LaborRate</f>
        <v>380.12137276785717</v>
      </c>
      <c r="DY183" s="36">
        <f>SUM(Crops[[#This Row],[Packaging Costs]:[Irrigation Cost]])</f>
        <v>42.222222222222221</v>
      </c>
      <c r="DZ183" s="36">
        <f>Crops[[#This Row],[Wholesale Labor Cost]]+Crops[[#This Row],[Wholesale Non-Labor Cost]]</f>
        <v>422.3435949900794</v>
      </c>
      <c r="EA183" s="36">
        <f>Crops[[#This Row],[Wholesale Revenue Per Bed]]-Crops[[#This Row],[Wholesale Total Cost]]</f>
        <v>297.65640500992049</v>
      </c>
      <c r="EB183" s="36">
        <f>Crops[[#This Row],[Wholesale Profit]]*BedsPerAcre</f>
        <v>47625.024801587278</v>
      </c>
      <c r="EC183" s="36">
        <f>Crops[[#This Row],[Wholesale Profit]]*BedsPerAcre*GrowingDays/Crops[[#This Row],[Days In Field]]</f>
        <v>155863.71753246748</v>
      </c>
      <c r="ED183" s="33">
        <f>Crops[[#This Row],[Wholesale Time]] * BedsPerAcre</f>
        <v>2432.7767857142858</v>
      </c>
      <c r="EE183" s="221">
        <f>Crops[[#This Row],[Wholesale Profit]]/MIN(Crops[[#This Row],[Days In Field]],GrowingDays)</f>
        <v>5.4119346365440091</v>
      </c>
      <c r="EF183" s="36">
        <f>(Crops[[#This Row],[Wholesale Revenue Per Bed]]-Crops[[#This Row],[Wholesale Non-Labor Cost]])/Crops[[#This Row],[Direct Time]]</f>
        <v>42.085307910899814</v>
      </c>
      <c r="EG183" s="174">
        <f>Crops[[#This Row],[Packaging Costs]]/Crops[[#This Row],[Wholesale Revenue Per Bed]]</f>
        <v>5.8641975308641986E-2</v>
      </c>
      <c r="EH183" s="36" t="str">
        <f>Crops[[#This Row],[Crop]]&amp;Crops[[#This Row],[Product]]&amp;Crops[[#This Row],[Unit]]</f>
        <v>LettuceMini HeadHead</v>
      </c>
      <c r="EI183" s="36" t="b">
        <f>_xlfn.XLOOKUP(Crops[[#This Row],[ProductIndex]],Products[ID],Products[Target])</f>
        <v>1</v>
      </c>
      <c r="EJ183" s="33">
        <f>Crops[[#This Row],[Custom Yield Per Bed]]</f>
        <v>400</v>
      </c>
      <c r="EK183" s="210">
        <f>Crops[[#This Row],[Units Per Harvest]]/Crops[[#This Row],[Days Between Harvest]]*7</f>
        <v>200</v>
      </c>
      <c r="EL183" s="210">
        <f>Crops[[#This Row],[Custom Yield Per Bed]]/_xlfn.XLOOKUP(Crops[[#This Row],[ProductIndex]],Products[ID],Products[CSA Portion])</f>
        <v>400</v>
      </c>
      <c r="EM183" s="210">
        <f>Crops[[#This Row],[Units Per Harvest]]/Crops[[#This Row],[Days Between Harvest]]*7/_xlfn.XLOOKUP(Crops[[#This Row],[ProductIndex]],Products[ID],Products[CSA Portion])</f>
        <v>200</v>
      </c>
      <c r="EN183" s="210">
        <f>Crops[[#This Row],[CSA Portions Per Week]]/CSAMembers</f>
        <v>4</v>
      </c>
      <c r="EO183" s="216"/>
      <c r="EP183" s="216"/>
      <c r="EQ183" s="210"/>
      <c r="ER183" s="210">
        <f>Crops[[#This Row],[Harvests]]*Crops[[#This Row],[Days Between Harvest]]/7</f>
        <v>2</v>
      </c>
      <c r="ES183" s="217">
        <f>_xlfn.XLOOKUP(Crops[[#This Row],[ProductIndex]],Products[ID],Products[CSA Need])</f>
        <v>3</v>
      </c>
      <c r="ET183" s="217">
        <f>_xlfn.XLOOKUP(Crops[[#This Row],[ProductIndex]],Products[ID],Products[CSA Times])</f>
        <v>3</v>
      </c>
      <c r="EU183" s="208">
        <f>Crops[[#This Row],[Custom Yield Per Bed]]/(Crops[[#This Row],[CSA Need]]*(_xlfn.XLOOKUP(Crops[[#This Row],[ProductIndex]],Products[ID],Products[CSA Portion])*CSAMembers))</f>
        <v>2.6666666666666665</v>
      </c>
      <c r="EV183" s="208">
        <f>_xlfn.XLOOKUP(Crops[[#This Row],[ProductIndex]],Products[ID],Products[CSA Portion])*CSAMembers*Crops[[#This Row],[CSA Need]]/Crops[[#This Row],[Custom Yield Per Bed]]</f>
        <v>0.375</v>
      </c>
      <c r="EW183" s="208">
        <f>IFERROR(Crops[[#This Row],[Days In Field]]*Crops[[#This Row],[CSA Beds]],"")</f>
        <v>20.625</v>
      </c>
      <c r="EX183" s="208" t="e">
        <f>Crops[[#This Row],[CSA Bed Days]]*#REF!</f>
        <v>#REF!</v>
      </c>
      <c r="EY183" t="s">
        <v>422</v>
      </c>
    </row>
    <row r="184" spans="1:155">
      <c r="A18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Tunnel TP Sp</v>
      </c>
      <c r="B184" s="179"/>
      <c r="C184" s="1" t="b">
        <v>1</v>
      </c>
      <c r="D184" s="1"/>
      <c r="E184" s="1" t="b">
        <v>0</v>
      </c>
      <c r="F184" s="1" t="b">
        <f>IFERROR(IF(ISNUMBER(MATCH(Crops[[#This Row],[Identifier]],BedPlan[Crop], 0)), TRUE, FALSE), FALSE)</f>
        <v>0</v>
      </c>
      <c r="G184" s="1" t="b">
        <f>IFERROR(IF(ISNUMBER(MATCH(Crops[[#This Row],[Identifier]],BedPlan[Crop], 0)), TRUE, FALSE), FALSE)</f>
        <v>0</v>
      </c>
      <c r="H184" s="1"/>
      <c r="I184" t="s">
        <v>92</v>
      </c>
      <c r="J184" t="s">
        <v>1796</v>
      </c>
      <c r="K184" t="s">
        <v>200</v>
      </c>
      <c r="M184" t="s">
        <v>441</v>
      </c>
      <c r="N184" t="str">
        <f>Crops[[#This Row],[Crop]]</f>
        <v>Lettuce</v>
      </c>
      <c r="O184" t="s">
        <v>1413</v>
      </c>
      <c r="P184" t="str">
        <f>IF(OR(Crops[[#This Row],[Days in Cells]]="",Crops[[#This Row],[Days in Cells]]=0), "DS","TP")</f>
        <v>TP</v>
      </c>
      <c r="Q184" t="b">
        <v>1</v>
      </c>
      <c r="V184" t="str">
        <f xml:space="preserve"> IF(Crops[[#This Row],[Sp]], "Sp", "") &amp; IF(Crops[[#This Row],[Su]], "Su", "") &amp; IF(Crops[[#This Row],[Fa]], "Fa", "") &amp; IF(Crops[[#This Row],[Wi]], "Wi", "") &amp; IF(Crops[[#This Row],[OW]], "Ow","")</f>
        <v>Sp</v>
      </c>
      <c r="W184" t="s">
        <v>144</v>
      </c>
      <c r="X184">
        <v>4</v>
      </c>
      <c r="Y184">
        <v>6</v>
      </c>
      <c r="AA184" t="s">
        <v>474</v>
      </c>
      <c r="AB184" t="b">
        <v>1</v>
      </c>
      <c r="AC184">
        <v>1</v>
      </c>
      <c r="AD184" s="32">
        <f>IFERROR(12/Crops[[#This Row],[Spacing]]*Crops[[#This Row],[Rows]]*BedLength,"")</f>
        <v>400</v>
      </c>
      <c r="AE184">
        <v>1</v>
      </c>
      <c r="AG184">
        <f>IF(Crops[[#This Row],[Custom Safety Factor]]="",PlantingSafetyFactor,Crops[[#This Row],[Custom Safety Factor]])</f>
        <v>1.3</v>
      </c>
      <c r="AH184">
        <v>1.3</v>
      </c>
      <c r="AI184" s="33">
        <f>IFERROR(Crops[[#This Row],[Plantings Per Bed]]*Crops[[#This Row],[Seeds Per Planting]]*Crops[[#This Row],[Safety Factor]]*Crops[[#This Row],[Seeding Factor]],"")</f>
        <v>676</v>
      </c>
      <c r="AL184">
        <f>_xlfn.FLOOR.MATH(IFERROR(AVERAGE(Crops[[#This Row],[DTG Lower]:[DTG Upper]]),0))</f>
        <v>0</v>
      </c>
      <c r="AM184">
        <f>SUM(Crops[[#This Row],[Tray 1 Days]],Crops[[#This Row],[Tray 2 Days]],Crops[[#This Row],[Tray 3 Days]])</f>
        <v>30</v>
      </c>
      <c r="AN184">
        <v>30</v>
      </c>
      <c r="AP184">
        <v>55</v>
      </c>
      <c r="AQ184">
        <f>IFERROR(_xlfn.FLOOR.MATH(AVERAGE(Crops[[#This Row],[DTM Lower]:[DTM Upper]])),"")</f>
        <v>55</v>
      </c>
      <c r="AR184" cm="1">
        <f t="array" ref="AR184">_xlfn.SWITCH(Crops[[#This Row],[Normal Method]],"DS",Crops[[#This Row],[Days to Germination]]+Crops[[#This Row],[DTM]] + IF(Crops[[#This Row],[Days in Cells]]&gt;0,15,0), "TP",Crops[[#This Row],[DTM]]+Crops[[#This Row],[Days in Cells]] + IF(Crops[[#This Row],[Days in Cells]]&lt;=0,20,0), "X", Crops[[#This Row],[DTM]])</f>
        <v>85</v>
      </c>
      <c r="AS184" t="s">
        <v>346</v>
      </c>
      <c r="AT184">
        <f>(Crops[[#This Row],[Harvests]]-1)*Crops[[#This Row],[Days Between Harvest]]+7</f>
        <v>14</v>
      </c>
      <c r="AU184">
        <f>Crops[[#This Row],[STH]]-Crops[[#This Row],[Days in Cells]]+Crops[[#This Row],[Harvest window]]</f>
        <v>69</v>
      </c>
      <c r="AX184">
        <v>128</v>
      </c>
      <c r="AY184">
        <v>30</v>
      </c>
      <c r="AZ184" s="49">
        <f>IFERROR(IF(Crops[[#This Row],[Tray 1 Days]]=0,"",Crops[[#This Row],[Plantings Per Bed]]/Crops[[#This Row],[Tray 1 Size]]*Crops[[#This Row],[Safety Factor]]),"")</f>
        <v>4.0625</v>
      </c>
      <c r="BC184" t="str">
        <f>IFERROR(IF(Crops[[#This Row],[Tray 2 Days]]=0,"",Crops[[#This Row],[Plantings Per Bed]]/Crops[[#This Row],[Tray 2 Size]]*Crops[[#This Row],[Safety Factor]]),"")</f>
        <v/>
      </c>
      <c r="BE184" s="32" t="str">
        <f>IF(NOT(ISBLANK(Crops[[#This Row],[Tray 3 Size]])), Crops[[#This Row],[Days in Cells Old]]-SUM(Crops[[#This Row],[Tray 1 Days]],Crops[[#This Row],[Tray 2 Days]]), "")</f>
        <v/>
      </c>
      <c r="BF184" s="49" t="str">
        <f>IFERROR(IF(Crops[[#This Row],[Tray 3 Days]]=0,"",Crops[[#This Row],[Plantings Per Bed]]/Crops[[#This Row],[Tray 3 Size]]*Crops[[#This Row],[Safety Factor]]),"")</f>
        <v/>
      </c>
      <c r="BG184" s="33">
        <f>Crops[[#This Row],[Plantings Per Bed]]/Crops[[#This Row],[Harvests]]</f>
        <v>200</v>
      </c>
      <c r="BH184" s="33">
        <v>2</v>
      </c>
      <c r="BI184" s="33">
        <v>7</v>
      </c>
      <c r="BJ184" s="33">
        <f>_xlfn.XLOOKUP(Crops[[#This Row],[ProductIndex]],Products[ID],Products[Holding Period])</f>
        <v>10</v>
      </c>
      <c r="BK184" s="33"/>
      <c r="BL184" s="33">
        <f>Crops[[#This Row],[Units Per Harvest]]*Crops[[#This Row],[Harvests]]</f>
        <v>400</v>
      </c>
      <c r="BM184" s="35">
        <v>3</v>
      </c>
      <c r="BN184" s="35">
        <f>Crops[[#This Row],[Direct Price]]*0.6</f>
        <v>1.7999999999999998</v>
      </c>
      <c r="BO184" s="35"/>
      <c r="BP184" t="s">
        <v>214</v>
      </c>
      <c r="BQ184">
        <f>Crops[[#This Row],[Custom Yield Per Bed]]*Crops[[#This Row],[Direct Price]]</f>
        <v>1200</v>
      </c>
      <c r="BR184" t="b">
        <v>1</v>
      </c>
      <c r="BS184" t="b">
        <f>Crops[[#This Row],[Harvests]]&gt;1</f>
        <v>1</v>
      </c>
      <c r="BT184" s="36">
        <f>IFERROR(Crops[[#This Row],[Direct Revenue Per Bed]]/Crops[[#This Row],[Days In Field]],-1)</f>
        <v>17.391304347826086</v>
      </c>
      <c r="BU184" s="36">
        <f>IFERROR(Crops[[#This Row],[Direct Revenue Per Bed Day]]*GrowingDays*BedsPerAcre,"")</f>
        <v>500869.5652173913</v>
      </c>
      <c r="BV184" s="38">
        <f>LastFrostDate-5*Crops[[#This Row],[Sewing Rel Last Frost]]</f>
        <v>45723</v>
      </c>
      <c r="BW184" s="38">
        <f>Crops[[#This Row],[Target Sewing Date]]+Crops[[#This Row],[Days in Cells]]</f>
        <v>45753</v>
      </c>
      <c r="BX184" s="38">
        <f>Crops[[#This Row],[Target Sewing Date]]+Crops[[#This Row],[STH]]</f>
        <v>45808</v>
      </c>
      <c r="BY184" s="38">
        <f>Crops[[#This Row],[Target Harvest Data]]+Crops[[#This Row],[Harvest window]]</f>
        <v>45822</v>
      </c>
      <c r="BZ184">
        <v>5</v>
      </c>
      <c r="CB184">
        <f>1</f>
        <v>1</v>
      </c>
      <c r="CC184">
        <f>IF(Crops[[#This Row],[Transplanting]]&gt;0, 2, 3)*BedLength/StandardBedLength</f>
        <v>1</v>
      </c>
      <c r="CD184" s="173">
        <f>IF(Crops[[#This Row],[Days in Cells]]&lt;=0,0,Crops[[#This Row],[Plantings Per Bed]]/StartsPerHourSeeding+Crops[[#This Row],[Tray 1 Count]]*5/60)</f>
        <v>1.9010416666666667</v>
      </c>
      <c r="CE184" s="173">
        <f>IF(ISBLANK(Crops[[#This Row],[Tray 2 Days]]),0,Crops[[#This Row],[Plantings Per Bed]]/UpPottingPerHour)+IF(Crops[[#This Row],[Tray 3 Days]]="",0,Crops[[#This Row],[Plantings Per Bed]]/UpPottingPerHour)</f>
        <v>0</v>
      </c>
      <c r="CF184" s="173">
        <f>IFERROR(Crops[[#This Row],[Tray 1 Count]]/HomeStartFlatIrrigationPerHour,0)*Crops[[#This Row],[Days in Cells]]/DaysBetweenStartIrrigation</f>
        <v>0.5078125</v>
      </c>
      <c r="CG184" s="173">
        <f>0.5/16*MAX(Crops[[#This Row],[Tray 1 Count]],Crops[[#This Row],[Tray 2 Count]],Crops[[#This Row],[Tray 3 Count]])</f>
        <v>0.126953125</v>
      </c>
      <c r="CH184" s="173">
        <f>IF(Crops[[#This Row],[Days in Cells]]&gt;0,IF(IF(Crops[[#This Row],[Tray 3 Size]]&gt;0,Crops[[#This Row],[Tray 3 Size]],IF(Crops[[#This Row],[Tray 2 Size]]&gt;0,Crops[[#This Row],[Tray 2 Size]],Crops[[#This Row],[Tray 1 Size]]))&lt;=18,LargeTransplantTime,SmallTransplantTime)*Crops[[#This Row],[Plantings Per Bed]],0)</f>
        <v>2</v>
      </c>
      <c r="CI184" s="173"/>
      <c r="CJ184" s="173">
        <f>_xlfn.XLOOKUP(Crops[[#This Row],[Trellis Type]],TrellisMethods[Trellis Type],TrellisMethods[Hours],0,0)</f>
        <v>0</v>
      </c>
      <c r="CK184">
        <f>IF(Crops[[#This Row],[Days in Cells]]&lt;=0,Crops[[#This Row],[Rows]]*1/10,0)*BedLength/50</f>
        <v>0</v>
      </c>
      <c r="CL184" cm="1">
        <f t="array" ref="CL184">_xlfn.SWITCH(Crops[[#This Row],[Irrigation]],"DR", 0.5, "OH", 0.25,0)*BedLength/50</f>
        <v>0</v>
      </c>
      <c r="CM184">
        <f>IF(OR(ISBLANK(Crops[[#This Row],[Row Cover]]),Crops[[#This Row],[Row Cover]]="None"),0,1)*BedLength/50</f>
        <v>0</v>
      </c>
      <c r="CN184" s="173">
        <f>HoursPerWeedingPass*Crops[[#This Row],[Days In Field]]/14*Crops[[#This Row],[Rows]]+1*BedLength/50</f>
        <v>4.2857142857142856</v>
      </c>
      <c r="CO184" s="49"/>
      <c r="CQ184" s="37">
        <f>_xlfn.XLOOKUP(Crops[[#This Row],[Crop]]&amp;Crops[[#This Row],[Product]]&amp;Crops[[#This Row],[Unit]],Products[ID],Products[Marketing (hr)])*Crops[[#This Row],[Direct Revenue Per Bed]]/2000</f>
        <v>1.2</v>
      </c>
      <c r="CR184" s="37">
        <f>_xlfn.XLOOKUP(Crops[[#This Row],[Crop]]&amp;Crops[[#This Row],[Product]]&amp;Crops[[#This Row],[Unit]],Products[ID],Products[Harvest (s)])*Crops[[#This Row],[Custom Yield Per Bed]]/3600</f>
        <v>1.1111111111111112</v>
      </c>
      <c r="CS184" s="37">
        <f>_xlfn.XLOOKUP(Crops[[#This Row],[Crop]]&amp;Crops[[#This Row],[Product]]&amp;Crops[[#This Row],[Unit]],Products[ID],Products[Bunch (s)])*Crops[[#This Row],[Custom Yield Per Bed]]/3600</f>
        <v>0</v>
      </c>
      <c r="CT184" s="37">
        <f>_xlfn.XLOOKUP(Crops[[#This Row],[Crop]]&amp;Crops[[#This Row],[Product]]&amp;Crops[[#This Row],[Unit]],Products[ID],Products[Haul (s)])*Crops[[#This Row],[Custom Yield Per Bed]]/3600</f>
        <v>0.27777777777777779</v>
      </c>
      <c r="CU184" s="37">
        <f>_xlfn.XLOOKUP(Crops[[#This Row],[Crop]]&amp;Crops[[#This Row],[Product]]&amp;Crops[[#This Row],[Unit]],Products[ID],Products[Wash (s)])*Crops[[#This Row],[Custom Yield Per Bed]]/3600</f>
        <v>2.2222222222222223</v>
      </c>
      <c r="CV184" s="37">
        <f>_xlfn.XLOOKUP(Crops[[#This Row],[Crop]]&amp;Crops[[#This Row],[Product]]&amp;Crops[[#This Row],[Unit]],Products[ID],Products[Condition (s)])*Crops[[#This Row],[Custom Yield Per Bed]]/3600</f>
        <v>0</v>
      </c>
      <c r="CW184" s="37">
        <f>_xlfn.XLOOKUP(Crops[[#This Row],[Crop]]&amp;Crops[[#This Row],[Product]]&amp;Crops[[#This Row],[Unit]],Products[ID],Products[Trim (s)])*Crops[[#This Row],[Custom Yield Per Bed]]/3600</f>
        <v>1.1111111111111112</v>
      </c>
      <c r="CX184" s="37">
        <f>_xlfn.XLOOKUP(Crops[[#This Row],[Crop]]&amp;Crops[[#This Row],[Product]]&amp;Crops[[#This Row],[Unit]],Products[ID],Products[Pack (s)])*Crops[[#This Row],[Custom Yield Per Bed]]/3600</f>
        <v>0.33333333333333331</v>
      </c>
      <c r="CY184" s="37">
        <f>_xlfn.XLOOKUP(Crops[[#This Row],[Crop]]&amp;Crops[[#This Row],[Product]]&amp;Crops[[#This Row],[Unit]],Products[ID],Products[Clean (s)])*Crops[[#This Row],[Custom Yield Per Bed]]/3600</f>
        <v>0</v>
      </c>
      <c r="CZ184" s="37">
        <f>_xlfn.XLOOKUP(Crops[[#This Row],[Crop]]&amp;Crops[[#This Row],[Product]]&amp;Crops[[#This Row],[Unit]],Products[ID],Products[Rehandle (s)])*Crops[[#This Row],[Custom Yield Per Bed]]/3600</f>
        <v>0</v>
      </c>
      <c r="DA184" s="37">
        <f>_xlfn.XLOOKUP(Crops[[#This Row],[Crop]]&amp;Crops[[#This Row],[Product]]&amp;Crops[[#This Row],[Unit]],Products[ID],Products[Market Transport (s)])*Crops[[#This Row],[Custom Yield Per Bed]]/3600</f>
        <v>0.69444444444444442</v>
      </c>
      <c r="DC184" s="37">
        <f>Crops[[#This Row],[Direct Revenue Per Bed2]]</f>
        <v>1200</v>
      </c>
      <c r="DD184" s="173">
        <f>_xlfn.AGGREGATE(9,6,Crops[[#This Row],[Bed Prep]:[Remove Crop Residue]])</f>
        <v>16.771521577380948</v>
      </c>
      <c r="DE184" s="173">
        <f>_xlfn.AGGREGATE(9,6,Crops[[#This Row],[Bed Prep]:[Remove Crop Residue]])-0.75*Crops[[#This Row],[Market &amp; Sell]]</f>
        <v>15.871521577380948</v>
      </c>
      <c r="DF184" s="36">
        <f>Crops[[#This Row],[Direct Revenue Per Bed2]]/Crops[[#This Row],[Direct Time]]</f>
        <v>71.549858756905508</v>
      </c>
      <c r="DG184" s="36">
        <f>_xlfn.XLOOKUP(Crops[[#This Row],[ProductIndex]],Products[ID],Products[Packaging Cost])*(Crops[[#This Row],[Custom Yield Per Bed]]/_xlfn.XLOOKUP(Crops[[#This Row],[ProductIndex]],Products[ID],Products[Units Per Pack]))</f>
        <v>42.222222222222221</v>
      </c>
      <c r="DH184" s="36"/>
      <c r="DI184" s="36"/>
      <c r="DJ184" s="36"/>
      <c r="DK184" s="36"/>
      <c r="DL184" s="36"/>
      <c r="DM184" s="33">
        <f>IFERROR(Crops[[#This Row],[Custom Yield Per Bed]]*Crops[[#This Row],[Direct Price]],"")</f>
        <v>1200</v>
      </c>
      <c r="DN184" s="36">
        <f>Crops[[#This Row],[Direct Time]]*LaborRate</f>
        <v>419.28803943452368</v>
      </c>
      <c r="DO184" s="36">
        <f>SUM(Crops[[#This Row],[Irrigation Cost]])</f>
        <v>0</v>
      </c>
      <c r="DP184" s="36">
        <f>Crops[[#This Row],[Direct Labor Cost]]+Crops[[#This Row],[Direct Non-Labor Cost]]</f>
        <v>419.28803943452368</v>
      </c>
      <c r="DQ184" s="36">
        <f>Crops[[#This Row],[Direct Revenue Per Bed2]]-Crops[[#This Row],[Direct Total Cost]]</f>
        <v>780.71196056547637</v>
      </c>
      <c r="DR184" s="36">
        <f>Crops[[#This Row],[Direct Profit]]*BedsPerAcre</f>
        <v>124913.91369047621</v>
      </c>
      <c r="DS184" s="36">
        <f>Crops[[#This Row],[Direct Profit]]*BedsPerAcre*GrowingDays/Crops[[#This Row],[Days In Field]]</f>
        <v>325862.38354037271</v>
      </c>
      <c r="DT184" s="36">
        <f>Crops[[#This Row],[Direct Profit]]/MIN(Crops[[#This Row],[Days In Field]],GrowingDays)</f>
        <v>11.314666095151832</v>
      </c>
      <c r="DU184" s="33">
        <f>Crops[[#This Row],[Direct Time]] * BedsPerAcre</f>
        <v>2683.4434523809518</v>
      </c>
      <c r="DV184" s="36">
        <f>(Crops[[#This Row],[Direct Revenue Per Bed2]]-Crops[[#This Row],[Direct Non-Labor Cost]])/Crops[[#This Row],[Direct Time]]</f>
        <v>71.549858756905508</v>
      </c>
      <c r="DW184" s="33">
        <f>IFERROR(Crops[[#This Row],[Custom Yield Per Bed]]*Crops[[#This Row],[Rough Wholesale Price]],"")</f>
        <v>719.99999999999989</v>
      </c>
      <c r="DX184" s="36">
        <f>Crops[[#This Row],[Wholesale Time]]*LaborRate</f>
        <v>396.78803943452368</v>
      </c>
      <c r="DY184" s="36">
        <f>SUM(Crops[[#This Row],[Packaging Costs]:[Irrigation Cost]])</f>
        <v>42.222222222222221</v>
      </c>
      <c r="DZ184" s="36">
        <f>Crops[[#This Row],[Wholesale Labor Cost]]+Crops[[#This Row],[Wholesale Non-Labor Cost]]</f>
        <v>439.01026165674591</v>
      </c>
      <c r="EA184" s="36">
        <f>Crops[[#This Row],[Wholesale Revenue Per Bed]]-Crops[[#This Row],[Wholesale Total Cost]]</f>
        <v>280.98973834325398</v>
      </c>
      <c r="EB184" s="36">
        <f>Crops[[#This Row],[Wholesale Profit]]*BedsPerAcre</f>
        <v>44958.358134920636</v>
      </c>
      <c r="EC184" s="36">
        <f>Crops[[#This Row],[Wholesale Profit]]*BedsPerAcre*GrowingDays/Crops[[#This Row],[Days In Field]]</f>
        <v>117282.67339544513</v>
      </c>
      <c r="ED184" s="33">
        <f>Crops[[#This Row],[Wholesale Time]] * BedsPerAcre</f>
        <v>2539.4434523809518</v>
      </c>
      <c r="EE184" s="221">
        <f>Crops[[#This Row],[Wholesale Profit]]/MIN(Crops[[#This Row],[Days In Field]],GrowingDays)</f>
        <v>4.072315048452956</v>
      </c>
      <c r="EF184" s="36">
        <f>(Crops[[#This Row],[Wholesale Revenue Per Bed]]-Crops[[#This Row],[Wholesale Non-Labor Cost]])/Crops[[#This Row],[Direct Time]]</f>
        <v>40.412420223807743</v>
      </c>
      <c r="EG184" s="174">
        <f>Crops[[#This Row],[Packaging Costs]]/Crops[[#This Row],[Wholesale Revenue Per Bed]]</f>
        <v>5.8641975308641986E-2</v>
      </c>
      <c r="EH184" s="36" t="str">
        <f>Crops[[#This Row],[Crop]]&amp;Crops[[#This Row],[Product]]&amp;Crops[[#This Row],[Unit]]</f>
        <v>LettuceMini HeadHead</v>
      </c>
      <c r="EI184" s="36" t="b">
        <f>_xlfn.XLOOKUP(Crops[[#This Row],[ProductIndex]],Products[ID],Products[Target])</f>
        <v>1</v>
      </c>
      <c r="EJ184" s="33">
        <f>Crops[[#This Row],[Custom Yield Per Bed]]</f>
        <v>400</v>
      </c>
      <c r="EK184" s="210">
        <f>Crops[[#This Row],[Units Per Harvest]]/Crops[[#This Row],[Days Between Harvest]]*7</f>
        <v>200</v>
      </c>
      <c r="EL184" s="210">
        <f>Crops[[#This Row],[Custom Yield Per Bed]]/_xlfn.XLOOKUP(Crops[[#This Row],[ProductIndex]],Products[ID],Products[CSA Portion])</f>
        <v>400</v>
      </c>
      <c r="EM184" s="210">
        <f>Crops[[#This Row],[Units Per Harvest]]/Crops[[#This Row],[Days Between Harvest]]*7/_xlfn.XLOOKUP(Crops[[#This Row],[ProductIndex]],Products[ID],Products[CSA Portion])</f>
        <v>200</v>
      </c>
      <c r="EN184" s="210">
        <f>Crops[[#This Row],[CSA Portions Per Week]]/CSAMembers</f>
        <v>4</v>
      </c>
      <c r="EO184" s="216">
        <v>0.5</v>
      </c>
      <c r="EP184" s="216">
        <v>1</v>
      </c>
      <c r="EQ184" s="210"/>
      <c r="ER184" s="210">
        <f>Crops[[#This Row],[Harvests]]*Crops[[#This Row],[Days Between Harvest]]/7</f>
        <v>2</v>
      </c>
      <c r="ES184" s="217">
        <f>_xlfn.XLOOKUP(Crops[[#This Row],[ProductIndex]],Products[ID],Products[CSA Need])</f>
        <v>3</v>
      </c>
      <c r="ET184" s="217">
        <f>_xlfn.XLOOKUP(Crops[[#This Row],[ProductIndex]],Products[ID],Products[CSA Times])</f>
        <v>3</v>
      </c>
      <c r="EU184" s="208">
        <f>Crops[[#This Row],[Custom Yield Per Bed]]/(Crops[[#This Row],[CSA Need]]*(_xlfn.XLOOKUP(Crops[[#This Row],[ProductIndex]],Products[ID],Products[CSA Portion])*CSAMembers))</f>
        <v>2.6666666666666665</v>
      </c>
      <c r="EV184" s="208">
        <f>_xlfn.XLOOKUP(Crops[[#This Row],[ProductIndex]],Products[ID],Products[CSA Portion])*CSAMembers*Crops[[#This Row],[CSA Need]]/Crops[[#This Row],[Custom Yield Per Bed]]</f>
        <v>0.375</v>
      </c>
      <c r="EW184" s="208">
        <f>IFERROR(Crops[[#This Row],[Days In Field]]*Crops[[#This Row],[CSA Beds]],"")</f>
        <v>25.875</v>
      </c>
      <c r="EX184" s="208" t="e">
        <f>Crops[[#This Row],[CSA Bed Days]]*#REF!</f>
        <v>#REF!</v>
      </c>
      <c r="EY184" t="s">
        <v>422</v>
      </c>
    </row>
    <row r="185" spans="1:155">
      <c r="A18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Tunnel TP Wi</v>
      </c>
      <c r="B185" s="179"/>
      <c r="C185" s="1" t="b">
        <v>1</v>
      </c>
      <c r="D185" s="1"/>
      <c r="E185" s="1" t="b">
        <v>0</v>
      </c>
      <c r="F185" s="1" t="b">
        <f>IFERROR(IF(ISNUMBER(MATCH(Crops[[#This Row],[Identifier]],BedPlan[Crop], 0)), TRUE, FALSE), FALSE)</f>
        <v>0</v>
      </c>
      <c r="G185" s="1" t="b">
        <f>IFERROR(IF(ISNUMBER(MATCH(Crops[[#This Row],[Identifier]],BedPlan[Crop], 0)), TRUE, FALSE), FALSE)</f>
        <v>0</v>
      </c>
      <c r="H185" s="1"/>
      <c r="I185" t="s">
        <v>92</v>
      </c>
      <c r="J185" t="s">
        <v>1796</v>
      </c>
      <c r="K185" t="s">
        <v>200</v>
      </c>
      <c r="M185" t="s">
        <v>441</v>
      </c>
      <c r="N185" t="str">
        <f>Crops[[#This Row],[Crop]]</f>
        <v>Lettuce</v>
      </c>
      <c r="O185" t="s">
        <v>1413</v>
      </c>
      <c r="P185" t="str">
        <f>IF(OR(Crops[[#This Row],[Days in Cells]]="",Crops[[#This Row],[Days in Cells]]=0), "DS","TP")</f>
        <v>TP</v>
      </c>
      <c r="T185" t="b">
        <v>1</v>
      </c>
      <c r="V185" t="str">
        <f xml:space="preserve"> IF(Crops[[#This Row],[Sp]], "Sp", "") &amp; IF(Crops[[#This Row],[Su]], "Su", "") &amp; IF(Crops[[#This Row],[Fa]], "Fa", "") &amp; IF(Crops[[#This Row],[Wi]], "Wi", "") &amp; IF(Crops[[#This Row],[OW]], "Ow","")</f>
        <v>Wi</v>
      </c>
      <c r="X185">
        <v>4</v>
      </c>
      <c r="Y185">
        <v>6</v>
      </c>
      <c r="AA185" t="s">
        <v>370</v>
      </c>
      <c r="AB185" t="b">
        <v>1</v>
      </c>
      <c r="AC185">
        <v>1</v>
      </c>
      <c r="AD185" s="32">
        <f>IFERROR(12/Crops[[#This Row],[Spacing]]*Crops[[#This Row],[Rows]]*BedLength,"")</f>
        <v>400</v>
      </c>
      <c r="AE185">
        <v>1</v>
      </c>
      <c r="AG185">
        <f>IF(Crops[[#This Row],[Custom Safety Factor]]="",PlantingSafetyFactor,Crops[[#This Row],[Custom Safety Factor]])</f>
        <v>1.3</v>
      </c>
      <c r="AH185">
        <v>1.3</v>
      </c>
      <c r="AI185" s="33">
        <f>IFERROR(Crops[[#This Row],[Plantings Per Bed]]*Crops[[#This Row],[Seeds Per Planting]]*Crops[[#This Row],[Safety Factor]]*Crops[[#This Row],[Seeding Factor]],"")</f>
        <v>676</v>
      </c>
      <c r="AL185">
        <f>_xlfn.FLOOR.MATH(IFERROR(AVERAGE(Crops[[#This Row],[DTG Lower]:[DTG Upper]]),0))</f>
        <v>0</v>
      </c>
      <c r="AM185">
        <f>SUM(Crops[[#This Row],[Tray 1 Days]],Crops[[#This Row],[Tray 2 Days]],Crops[[#This Row],[Tray 3 Days]])</f>
        <v>30</v>
      </c>
      <c r="AP185">
        <v>120</v>
      </c>
      <c r="AQ185">
        <f>IFERROR(_xlfn.FLOOR.MATH(AVERAGE(Crops[[#This Row],[DTM Lower]:[DTM Upper]])),"")</f>
        <v>120</v>
      </c>
      <c r="AR185" cm="1">
        <f t="array" ref="AR185">_xlfn.SWITCH(Crops[[#This Row],[Normal Method]],"DS",Crops[[#This Row],[Days to Germination]]+Crops[[#This Row],[DTM]] + IF(Crops[[#This Row],[Days in Cells]]&gt;0,15,0), "TP",Crops[[#This Row],[DTM]]+Crops[[#This Row],[Days in Cells]] + IF(Crops[[#This Row],[Days in Cells]]&lt;=0,20,0), "X", Crops[[#This Row],[DTM]])</f>
        <v>120</v>
      </c>
      <c r="AS185" t="s">
        <v>347</v>
      </c>
      <c r="AT185">
        <f>(Crops[[#This Row],[Harvests]]-1)*Crops[[#This Row],[Days Between Harvest]]+7</f>
        <v>14</v>
      </c>
      <c r="AU185">
        <f>Crops[[#This Row],[STH]]-Crops[[#This Row],[Days in Cells]]+Crops[[#This Row],[Harvest window]]</f>
        <v>104</v>
      </c>
      <c r="AX185">
        <v>128</v>
      </c>
      <c r="AY185">
        <v>30</v>
      </c>
      <c r="AZ185">
        <f>IFERROR(IF(Crops[[#This Row],[Tray 1 Days]]=0,"",Crops[[#This Row],[Plantings Per Bed]]/Crops[[#This Row],[Tray 1 Size]]*Crops[[#This Row],[Safety Factor]]),"")</f>
        <v>4.0625</v>
      </c>
      <c r="BC185" t="str">
        <f>IFERROR(IF(Crops[[#This Row],[Tray 2 Days]]=0,"",Crops[[#This Row],[Plantings Per Bed]]/Crops[[#This Row],[Tray 2 Size]]*Crops[[#This Row],[Safety Factor]]),"")</f>
        <v/>
      </c>
      <c r="BE185" s="32" t="str">
        <f>IF(NOT(ISBLANK(Crops[[#This Row],[Tray 3 Size]])), Crops[[#This Row],[Days in Cells Old]]-SUM(Crops[[#This Row],[Tray 1 Days]],Crops[[#This Row],[Tray 2 Days]]), "")</f>
        <v/>
      </c>
      <c r="BF185" t="str">
        <f>IFERROR(IF(Crops[[#This Row],[Tray 3 Days]]=0,"",Crops[[#This Row],[Plantings Per Bed]]/Crops[[#This Row],[Tray 3 Size]]*Crops[[#This Row],[Safety Factor]]),"")</f>
        <v/>
      </c>
      <c r="BG185" s="33">
        <f>Crops[[#This Row],[Plantings Per Bed]]/Crops[[#This Row],[Harvests]]</f>
        <v>200</v>
      </c>
      <c r="BH185" s="33">
        <v>2</v>
      </c>
      <c r="BI185" s="33">
        <v>7</v>
      </c>
      <c r="BJ185" s="33">
        <f>_xlfn.XLOOKUP(Crops[[#This Row],[ProductIndex]],Products[ID],Products[Holding Period])</f>
        <v>10</v>
      </c>
      <c r="BK185" s="33"/>
      <c r="BL185" s="33">
        <f>Crops[[#This Row],[Units Per Harvest]]*Crops[[#This Row],[Harvests]]</f>
        <v>400</v>
      </c>
      <c r="BM185" s="35">
        <v>3</v>
      </c>
      <c r="BN185" s="212">
        <f>Crops[[#This Row],[Direct Price]]*0.6</f>
        <v>1.7999999999999998</v>
      </c>
      <c r="BO185" s="212"/>
      <c r="BP185" t="s">
        <v>214</v>
      </c>
      <c r="BQ185">
        <f>Crops[[#This Row],[Custom Yield Per Bed]]*Crops[[#This Row],[Direct Price]]</f>
        <v>1200</v>
      </c>
      <c r="BR185" t="b">
        <v>1</v>
      </c>
      <c r="BS185" t="b">
        <f>Crops[[#This Row],[Harvests]]&gt;1</f>
        <v>1</v>
      </c>
      <c r="BT185" s="36">
        <f>IFERROR(Crops[[#This Row],[Direct Revenue Per Bed]]/Crops[[#This Row],[Days In Field]],-1)</f>
        <v>11.538461538461538</v>
      </c>
      <c r="BU185" s="36">
        <f>IFERROR(Crops[[#This Row],[Direct Revenue Per Bed Day]]*GrowingDays*BedsPerAcre,"")</f>
        <v>332307.69230769225</v>
      </c>
      <c r="BV185" s="38">
        <f>LastFrostDate-5*Crops[[#This Row],[Sewing Rel Last Frost]]</f>
        <v>45863</v>
      </c>
      <c r="BW185" s="38">
        <f>Crops[[#This Row],[Target Sewing Date]]+Crops[[#This Row],[Days in Cells]]</f>
        <v>45893</v>
      </c>
      <c r="BX185" s="38">
        <f>Crops[[#This Row],[Target Sewing Date]]+Crops[[#This Row],[STH]]</f>
        <v>45983</v>
      </c>
      <c r="BY185" s="38">
        <f>Crops[[#This Row],[Target Harvest Data]]+Crops[[#This Row],[Harvest window]]</f>
        <v>45997</v>
      </c>
      <c r="BZ185">
        <v>-23</v>
      </c>
      <c r="CA185" t="s">
        <v>373</v>
      </c>
      <c r="CB185">
        <f>1</f>
        <v>1</v>
      </c>
      <c r="CC185">
        <f>IF(Crops[[#This Row],[Transplanting]]&gt;0, 2, 3)*BedLength/StandardBedLength</f>
        <v>1</v>
      </c>
      <c r="CD185" s="173">
        <f>IF(Crops[[#This Row],[Days in Cells]]&lt;=0,0,Crops[[#This Row],[Plantings Per Bed]]/StartsPerHourSeeding+Crops[[#This Row],[Tray 1 Count]]*5/60)</f>
        <v>1.9010416666666667</v>
      </c>
      <c r="CE185" s="173">
        <f>IF(ISBLANK(Crops[[#This Row],[Tray 2 Days]]),0,Crops[[#This Row],[Plantings Per Bed]]/UpPottingPerHour)+IF(Crops[[#This Row],[Tray 3 Days]]="",0,Crops[[#This Row],[Plantings Per Bed]]/UpPottingPerHour)</f>
        <v>0</v>
      </c>
      <c r="CF185" s="173">
        <f>IFERROR(Crops[[#This Row],[Tray 1 Count]]/HomeStartFlatIrrigationPerHour,0)*Crops[[#This Row],[Days in Cells]]/DaysBetweenStartIrrigation</f>
        <v>0.5078125</v>
      </c>
      <c r="CG185" s="173">
        <f>0.5/16*MAX(Crops[[#This Row],[Tray 1 Count]],Crops[[#This Row],[Tray 2 Count]],Crops[[#This Row],[Tray 3 Count]])</f>
        <v>0.126953125</v>
      </c>
      <c r="CH185" s="173">
        <f>IF(Crops[[#This Row],[Days in Cells]]&gt;0,IF(IF(Crops[[#This Row],[Tray 3 Size]]&gt;0,Crops[[#This Row],[Tray 3 Size]],IF(Crops[[#This Row],[Tray 2 Size]]&gt;0,Crops[[#This Row],[Tray 2 Size]],Crops[[#This Row],[Tray 1 Size]]))&lt;=18,LargeTransplantTime,SmallTransplantTime)*Crops[[#This Row],[Plantings Per Bed]],0)</f>
        <v>2</v>
      </c>
      <c r="CI185" s="173"/>
      <c r="CJ185" s="173">
        <f>_xlfn.XLOOKUP(Crops[[#This Row],[Trellis Type]],TrellisMethods[Trellis Type],TrellisMethods[Hours],0,0)</f>
        <v>0</v>
      </c>
      <c r="CK185">
        <f>IF(Crops[[#This Row],[Days in Cells]]&lt;=0,Crops[[#This Row],[Rows]]*1/10,0)*BedLength/50</f>
        <v>0</v>
      </c>
      <c r="CL185" cm="1">
        <f t="array" ref="CL185">_xlfn.SWITCH(Crops[[#This Row],[Irrigation]],"DR", 0.5, "OH", 0.25,0)*BedLength/50</f>
        <v>0</v>
      </c>
      <c r="CM185">
        <f>IF(OR(ISBLANK(Crops[[#This Row],[Row Cover]]),Crops[[#This Row],[Row Cover]]="None"),0,1)*BedLength/50</f>
        <v>1</v>
      </c>
      <c r="CN185" s="173">
        <f>HoursPerWeedingPass*Crops[[#This Row],[Days In Field]]/14*Crops[[#This Row],[Rows]]+1*BedLength/50</f>
        <v>5.9523809523809517</v>
      </c>
      <c r="CO185" s="49"/>
      <c r="CQ185" s="37">
        <f>_xlfn.XLOOKUP(Crops[[#This Row],[Crop]]&amp;Crops[[#This Row],[Product]]&amp;Crops[[#This Row],[Unit]],Products[ID],Products[Marketing (hr)])*Crops[[#This Row],[Direct Revenue Per Bed]]/2000</f>
        <v>1.2</v>
      </c>
      <c r="CR185" s="37">
        <f>_xlfn.XLOOKUP(Crops[[#This Row],[Crop]]&amp;Crops[[#This Row],[Product]]&amp;Crops[[#This Row],[Unit]],Products[ID],Products[Harvest (s)])*Crops[[#This Row],[Custom Yield Per Bed]]/3600</f>
        <v>1.1111111111111112</v>
      </c>
      <c r="CS185" s="37">
        <f>_xlfn.XLOOKUP(Crops[[#This Row],[Crop]]&amp;Crops[[#This Row],[Product]]&amp;Crops[[#This Row],[Unit]],Products[ID],Products[Bunch (s)])*Crops[[#This Row],[Custom Yield Per Bed]]/3600</f>
        <v>0</v>
      </c>
      <c r="CT185" s="37">
        <f>_xlfn.XLOOKUP(Crops[[#This Row],[Crop]]&amp;Crops[[#This Row],[Product]]&amp;Crops[[#This Row],[Unit]],Products[ID],Products[Haul (s)])*Crops[[#This Row],[Custom Yield Per Bed]]/3600</f>
        <v>0.27777777777777779</v>
      </c>
      <c r="CU185" s="37">
        <f>_xlfn.XLOOKUP(Crops[[#This Row],[Crop]]&amp;Crops[[#This Row],[Product]]&amp;Crops[[#This Row],[Unit]],Products[ID],Products[Wash (s)])*Crops[[#This Row],[Custom Yield Per Bed]]/3600</f>
        <v>2.2222222222222223</v>
      </c>
      <c r="CV185" s="37">
        <f>_xlfn.XLOOKUP(Crops[[#This Row],[Crop]]&amp;Crops[[#This Row],[Product]]&amp;Crops[[#This Row],[Unit]],Products[ID],Products[Condition (s)])*Crops[[#This Row],[Custom Yield Per Bed]]/3600</f>
        <v>0</v>
      </c>
      <c r="CW185" s="37">
        <f>_xlfn.XLOOKUP(Crops[[#This Row],[Crop]]&amp;Crops[[#This Row],[Product]]&amp;Crops[[#This Row],[Unit]],Products[ID],Products[Trim (s)])*Crops[[#This Row],[Custom Yield Per Bed]]/3600</f>
        <v>1.1111111111111112</v>
      </c>
      <c r="CX185" s="37">
        <f>_xlfn.XLOOKUP(Crops[[#This Row],[Crop]]&amp;Crops[[#This Row],[Product]]&amp;Crops[[#This Row],[Unit]],Products[ID],Products[Pack (s)])*Crops[[#This Row],[Custom Yield Per Bed]]/3600</f>
        <v>0.33333333333333331</v>
      </c>
      <c r="CY185" s="37">
        <f>_xlfn.XLOOKUP(Crops[[#This Row],[Crop]]&amp;Crops[[#This Row],[Product]]&amp;Crops[[#This Row],[Unit]],Products[ID],Products[Clean (s)])*Crops[[#This Row],[Custom Yield Per Bed]]/3600</f>
        <v>0</v>
      </c>
      <c r="CZ185" s="37">
        <f>_xlfn.XLOOKUP(Crops[[#This Row],[Crop]]&amp;Crops[[#This Row],[Product]]&amp;Crops[[#This Row],[Unit]],Products[ID],Products[Rehandle (s)])*Crops[[#This Row],[Custom Yield Per Bed]]/3600</f>
        <v>0</v>
      </c>
      <c r="DA185" s="37">
        <f>_xlfn.XLOOKUP(Crops[[#This Row],[Crop]]&amp;Crops[[#This Row],[Product]]&amp;Crops[[#This Row],[Unit]],Products[ID],Products[Market Transport (s)])*Crops[[#This Row],[Custom Yield Per Bed]]/3600</f>
        <v>0.69444444444444442</v>
      </c>
      <c r="DC185" s="37">
        <f>Crops[[#This Row],[Direct Revenue Per Bed2]]</f>
        <v>1200</v>
      </c>
      <c r="DD185" s="173">
        <f>_xlfn.AGGREGATE(9,6,Crops[[#This Row],[Bed Prep]:[Remove Crop Residue]])</f>
        <v>19.438188244047616</v>
      </c>
      <c r="DE185" s="173">
        <f>_xlfn.AGGREGATE(9,6,Crops[[#This Row],[Bed Prep]:[Remove Crop Residue]])-0.75*Crops[[#This Row],[Market &amp; Sell]]</f>
        <v>18.538188244047618</v>
      </c>
      <c r="DF185" s="36">
        <f>Crops[[#This Row],[Direct Revenue Per Bed2]]/Crops[[#This Row],[Direct Time]]</f>
        <v>61.734148519086666</v>
      </c>
      <c r="DG185" s="36">
        <f>_xlfn.XLOOKUP(Crops[[#This Row],[ProductIndex]],Products[ID],Products[Packaging Cost])*(Crops[[#This Row],[Custom Yield Per Bed]]/_xlfn.XLOOKUP(Crops[[#This Row],[ProductIndex]],Products[ID],Products[Units Per Pack]))</f>
        <v>42.222222222222221</v>
      </c>
      <c r="DH185" s="36"/>
      <c r="DI185" s="36"/>
      <c r="DJ185" s="36"/>
      <c r="DK185" s="36"/>
      <c r="DL185" s="36"/>
      <c r="DM185" s="33">
        <f>IFERROR(Crops[[#This Row],[Custom Yield Per Bed]]*Crops[[#This Row],[Direct Price]],"")</f>
        <v>1200</v>
      </c>
      <c r="DN185" s="36">
        <f>Crops[[#This Row],[Direct Time]]*LaborRate</f>
        <v>485.95470610119042</v>
      </c>
      <c r="DO185" s="36">
        <f>SUM(Crops[[#This Row],[Irrigation Cost]])</f>
        <v>0</v>
      </c>
      <c r="DP185" s="36">
        <f>Crops[[#This Row],[Direct Labor Cost]]+Crops[[#This Row],[Direct Non-Labor Cost]]</f>
        <v>485.95470610119042</v>
      </c>
      <c r="DQ185" s="36">
        <f>Crops[[#This Row],[Direct Revenue Per Bed2]]-Crops[[#This Row],[Direct Total Cost]]</f>
        <v>714.04529389880963</v>
      </c>
      <c r="DR185" s="36">
        <f>Crops[[#This Row],[Direct Profit]]*BedsPerAcre</f>
        <v>114247.24702380954</v>
      </c>
      <c r="DS185" s="36">
        <f>Crops[[#This Row],[Direct Profit]]*BedsPerAcre*GrowingDays/Crops[[#This Row],[Days In Field]]</f>
        <v>197735.61984890111</v>
      </c>
      <c r="DT185" s="36">
        <f>Crops[[#This Row],[Direct Profit]]/MIN(Crops[[#This Row],[Days In Field]],GrowingDays)</f>
        <v>6.8658201336424005</v>
      </c>
      <c r="DU185" s="33">
        <f>Crops[[#This Row],[Direct Time]] * BedsPerAcre</f>
        <v>3110.1101190476184</v>
      </c>
      <c r="DV185" s="36">
        <f>(Crops[[#This Row],[Direct Revenue Per Bed2]]-Crops[[#This Row],[Direct Non-Labor Cost]])/Crops[[#This Row],[Direct Time]]</f>
        <v>61.734148519086666</v>
      </c>
      <c r="DW185" s="33">
        <f>IFERROR(Crops[[#This Row],[Custom Yield Per Bed]]*Crops[[#This Row],[Rough Wholesale Price]],"")</f>
        <v>719.99999999999989</v>
      </c>
      <c r="DX185" s="36">
        <f>Crops[[#This Row],[Wholesale Time]]*LaborRate</f>
        <v>463.45470610119042</v>
      </c>
      <c r="DY185" s="36">
        <f>SUM(Crops[[#This Row],[Packaging Costs]:[Irrigation Cost]])</f>
        <v>42.222222222222221</v>
      </c>
      <c r="DZ185" s="36">
        <f>Crops[[#This Row],[Wholesale Labor Cost]]+Crops[[#This Row],[Wholesale Non-Labor Cost]]</f>
        <v>505.67692832341265</v>
      </c>
      <c r="EA185" s="36">
        <f>Crops[[#This Row],[Wholesale Revenue Per Bed]]-Crops[[#This Row],[Wholesale Total Cost]]</f>
        <v>214.32307167658723</v>
      </c>
      <c r="EB185" s="36">
        <f>Crops[[#This Row],[Wholesale Profit]]*BedsPerAcre</f>
        <v>34291.691468253957</v>
      </c>
      <c r="EC185" s="36">
        <f>Crops[[#This Row],[Wholesale Profit]]*BedsPerAcre*GrowingDays/Crops[[#This Row],[Days In Field]]</f>
        <v>59351.004464285696</v>
      </c>
      <c r="ED185" s="33">
        <f>Crops[[#This Row],[Wholesale Time]] * BedsPerAcre</f>
        <v>2966.1101190476188</v>
      </c>
      <c r="EE185" s="221">
        <f>Crops[[#This Row],[Wholesale Profit]]/MIN(Crops[[#This Row],[Days In Field]],GrowingDays)</f>
        <v>2.0607987661210312</v>
      </c>
      <c r="EF185" s="36">
        <f>(Crops[[#This Row],[Wholesale Revenue Per Bed]]-Crops[[#This Row],[Wholesale Non-Labor Cost]])/Crops[[#This Row],[Direct Time]]</f>
        <v>34.868361663558204</v>
      </c>
      <c r="EG185" s="174">
        <f>Crops[[#This Row],[Packaging Costs]]/Crops[[#This Row],[Wholesale Revenue Per Bed]]</f>
        <v>5.8641975308641986E-2</v>
      </c>
      <c r="EH185" s="36" t="str">
        <f>Crops[[#This Row],[Crop]]&amp;Crops[[#This Row],[Product]]&amp;Crops[[#This Row],[Unit]]</f>
        <v>LettuceMini HeadHead</v>
      </c>
      <c r="EI185" s="36" t="b">
        <f>_xlfn.XLOOKUP(Crops[[#This Row],[ProductIndex]],Products[ID],Products[Target])</f>
        <v>1</v>
      </c>
      <c r="EJ185" s="33">
        <f>Crops[[#This Row],[Custom Yield Per Bed]]</f>
        <v>400</v>
      </c>
      <c r="EK185" s="210">
        <f>Crops[[#This Row],[Units Per Harvest]]/Crops[[#This Row],[Days Between Harvest]]*7</f>
        <v>200</v>
      </c>
      <c r="EL185" s="210">
        <f>Crops[[#This Row],[Custom Yield Per Bed]]/_xlfn.XLOOKUP(Crops[[#This Row],[ProductIndex]],Products[ID],Products[CSA Portion])</f>
        <v>400</v>
      </c>
      <c r="EM185" s="210">
        <f>Crops[[#This Row],[Units Per Harvest]]/Crops[[#This Row],[Days Between Harvest]]*7/_xlfn.XLOOKUP(Crops[[#This Row],[ProductIndex]],Products[ID],Products[CSA Portion])</f>
        <v>200</v>
      </c>
      <c r="EN185" s="210">
        <f>Crops[[#This Row],[CSA Portions Per Week]]/CSAMembers</f>
        <v>4</v>
      </c>
      <c r="EO185" s="216">
        <v>0.5</v>
      </c>
      <c r="EP185" s="216">
        <v>1</v>
      </c>
      <c r="EQ185" s="210"/>
      <c r="ER185" s="210">
        <f>Crops[[#This Row],[Harvests]]*Crops[[#This Row],[Days Between Harvest]]/7</f>
        <v>2</v>
      </c>
      <c r="ES185" s="217">
        <f>_xlfn.XLOOKUP(Crops[[#This Row],[ProductIndex]],Products[ID],Products[CSA Need])</f>
        <v>3</v>
      </c>
      <c r="ET185" s="217">
        <f>_xlfn.XLOOKUP(Crops[[#This Row],[ProductIndex]],Products[ID],Products[CSA Times])</f>
        <v>3</v>
      </c>
      <c r="EU185" s="208">
        <f>Crops[[#This Row],[Custom Yield Per Bed]]/(Crops[[#This Row],[CSA Need]]*(_xlfn.XLOOKUP(Crops[[#This Row],[ProductIndex]],Products[ID],Products[CSA Portion])*CSAMembers))</f>
        <v>2.6666666666666665</v>
      </c>
      <c r="EV185" s="208">
        <f>_xlfn.XLOOKUP(Crops[[#This Row],[ProductIndex]],Products[ID],Products[CSA Portion])*CSAMembers*Crops[[#This Row],[CSA Need]]/Crops[[#This Row],[Custom Yield Per Bed]]</f>
        <v>0.375</v>
      </c>
      <c r="EW185" s="208">
        <f>IFERROR(Crops[[#This Row],[Days In Field]]*Crops[[#This Row],[CSA Beds]],"")</f>
        <v>39</v>
      </c>
      <c r="EX185" s="208" t="e">
        <f>Crops[[#This Row],[CSA Bed Days]]*#REF!</f>
        <v>#REF!</v>
      </c>
      <c r="EY185">
        <v>0</v>
      </c>
    </row>
    <row r="186" spans="1:155">
      <c r="A18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DS Sp</v>
      </c>
      <c r="B186" s="179"/>
      <c r="C186" s="1"/>
      <c r="D186" s="1"/>
      <c r="E186" s="1" t="b">
        <v>0</v>
      </c>
      <c r="F186" s="1" t="b">
        <f>IFERROR(IF(ISNUMBER(MATCH(Crops[[#This Row],[Identifier]],BedPlan[Crop], 0)), TRUE, FALSE), FALSE)</f>
        <v>0</v>
      </c>
      <c r="G186" s="1" t="b">
        <f>IFERROR(IF(ISNUMBER(MATCH(Crops[[#This Row],[Identifier]],BedPlan[Crop], 0)), TRUE, FALSE), FALSE)</f>
        <v>0</v>
      </c>
      <c r="H186" s="1"/>
      <c r="I186" t="s">
        <v>92</v>
      </c>
      <c r="J186" t="s">
        <v>1817</v>
      </c>
      <c r="K186" t="s">
        <v>186</v>
      </c>
      <c r="N186" t="str">
        <f>Crops[[#This Row],[Crop]]</f>
        <v>Lettuce</v>
      </c>
      <c r="O186" t="s">
        <v>210</v>
      </c>
      <c r="P186" t="str">
        <f>IF(OR(Crops[[#This Row],[Days in Cells]]="",Crops[[#This Row],[Days in Cells]]=0), "DS","TP")</f>
        <v>DS</v>
      </c>
      <c r="Q186" t="b">
        <v>1</v>
      </c>
      <c r="V186" t="str">
        <f xml:space="preserve"> IF(Crops[[#This Row],[Sp]], "Sp", "") &amp; IF(Crops[[#This Row],[Su]], "Su", "") &amp; IF(Crops[[#This Row],[Fa]], "Fa", "") &amp; IF(Crops[[#This Row],[Wi]], "Wi", "") &amp; IF(Crops[[#This Row],[OW]], "Ow","")</f>
        <v>Sp</v>
      </c>
      <c r="W186" t="s">
        <v>144</v>
      </c>
      <c r="X186">
        <v>3</v>
      </c>
      <c r="Y186">
        <v>9</v>
      </c>
      <c r="AD186" s="32">
        <f>IFERROR(12/Crops[[#This Row],[Spacing]]*Crops[[#This Row],[Rows]]*BedLength,"")</f>
        <v>200</v>
      </c>
      <c r="AE186">
        <v>1</v>
      </c>
      <c r="AG186">
        <f>IF(Crops[[#This Row],[Custom Safety Factor]]="",PlantingSafetyFactor,Crops[[#This Row],[Custom Safety Factor]])</f>
        <v>1.3</v>
      </c>
      <c r="AH186">
        <v>1.3</v>
      </c>
      <c r="AI186" s="33">
        <f>IFERROR(Crops[[#This Row],[Plantings Per Bed]]*Crops[[#This Row],[Seeds Per Planting]]*Crops[[#This Row],[Safety Factor]]*Crops[[#This Row],[Seeding Factor]],"")</f>
        <v>338</v>
      </c>
      <c r="AL186">
        <f>_xlfn.FLOOR.MATH(IFERROR(AVERAGE(Crops[[#This Row],[DTG Lower]:[DTG Upper]]),0))</f>
        <v>0</v>
      </c>
      <c r="AM186">
        <f>SUM(Crops[[#This Row],[Tray 1 Days]],Crops[[#This Row],[Tray 2 Days]],Crops[[#This Row],[Tray 3 Days]])</f>
        <v>0</v>
      </c>
      <c r="AP186">
        <f>12*7</f>
        <v>84</v>
      </c>
      <c r="AQ186">
        <f>IFERROR(_xlfn.FLOOR.MATH(AVERAGE(Crops[[#This Row],[DTM Lower]:[DTM Upper]])),"")</f>
        <v>84</v>
      </c>
      <c r="AR186" cm="1">
        <f t="array" ref="AR186">_xlfn.SWITCH(Crops[[#This Row],[Normal Method]],"DS",Crops[[#This Row],[Days to Germination]]+Crops[[#This Row],[DTM]] + IF(Crops[[#This Row],[Days in Cells]]&gt;0,15,0), "TP",Crops[[#This Row],[DTM]]+Crops[[#This Row],[Days in Cells]] + IF(Crops[[#This Row],[Days in Cells]]&lt;=0,20,0), "X", Crops[[#This Row],[DTM]])</f>
        <v>104</v>
      </c>
      <c r="AS186" t="s">
        <v>346</v>
      </c>
      <c r="AT186">
        <f>(Crops[[#This Row],[Harvests]]-1)*Crops[[#This Row],[Days Between Harvest]]+7</f>
        <v>7</v>
      </c>
      <c r="AU186">
        <f>Crops[[#This Row],[STH]]-Crops[[#This Row],[Days in Cells]]+Crops[[#This Row],[Harvest window]]</f>
        <v>111</v>
      </c>
      <c r="AW186">
        <v>128</v>
      </c>
      <c r="AZ186" t="str">
        <f>IFERROR(IF(Crops[[#This Row],[Tray 1 Days]]=0,"",Crops[[#This Row],[Plantings Per Bed]]/Crops[[#This Row],[Tray 1 Size]]*Crops[[#This Row],[Safety Factor]]),"")</f>
        <v/>
      </c>
      <c r="BC186" t="str">
        <f>IFERROR(IF(Crops[[#This Row],[Tray 2 Days]]=0,"",Crops[[#This Row],[Plantings Per Bed]]/Crops[[#This Row],[Tray 2 Size]]*Crops[[#This Row],[Safety Factor]]),"")</f>
        <v/>
      </c>
      <c r="BE186" s="32" t="str">
        <f>IF(NOT(ISBLANK(Crops[[#This Row],[Tray 3 Size]])), Crops[[#This Row],[Days in Cells Old]]-SUM(Crops[[#This Row],[Tray 1 Days]],Crops[[#This Row],[Tray 2 Days]]), "")</f>
        <v/>
      </c>
      <c r="BF186" t="str">
        <f>IFERROR(IF(Crops[[#This Row],[Tray 3 Days]]=0,"",Crops[[#This Row],[Plantings Per Bed]]/Crops[[#This Row],[Tray 3 Size]]*Crops[[#This Row],[Safety Factor]]),"")</f>
        <v/>
      </c>
      <c r="BG186" s="33">
        <f>Crops[[#This Row],[Plantings Per Bed]]</f>
        <v>200</v>
      </c>
      <c r="BH186" s="33">
        <v>1</v>
      </c>
      <c r="BI186" s="33">
        <v>0</v>
      </c>
      <c r="BJ186" s="33">
        <f>_xlfn.XLOOKUP(Crops[[#This Row],[ProductIndex]],Products[ID],Products[Holding Period])</f>
        <v>10</v>
      </c>
      <c r="BK186" s="33"/>
      <c r="BL186" s="33">
        <f>Crops[[#This Row],[Units Per Harvest]]*Crops[[#This Row],[Harvests]]</f>
        <v>200</v>
      </c>
      <c r="BM186" s="35">
        <v>4</v>
      </c>
      <c r="BN186" s="35">
        <v>1.8</v>
      </c>
      <c r="BO186" s="35"/>
      <c r="BP186" t="s">
        <v>214</v>
      </c>
      <c r="BQ186">
        <f>Crops[[#This Row],[Custom Yield Per Bed]]*Crops[[#This Row],[Direct Price]]</f>
        <v>800</v>
      </c>
      <c r="BR186" t="b">
        <v>1</v>
      </c>
      <c r="BS186" t="b">
        <f>Crops[[#This Row],[Harvests]]&gt;1</f>
        <v>0</v>
      </c>
      <c r="BT186" s="36">
        <f>IFERROR(Crops[[#This Row],[Direct Revenue Per Bed]]/Crops[[#This Row],[Days In Field]],-1)</f>
        <v>7.2072072072072073</v>
      </c>
      <c r="BU186" s="36">
        <f>IFERROR(Crops[[#This Row],[Direct Revenue Per Bed Day]]*GrowingDays*BedsPerAcre,"")</f>
        <v>207567.56756756757</v>
      </c>
      <c r="BV186" s="38">
        <f>LastFrostDate-5*Crops[[#This Row],[Sewing Rel Last Frost]]</f>
        <v>45738</v>
      </c>
      <c r="BW186" s="38">
        <f>Crops[[#This Row],[Target Sewing Date]]+Crops[[#This Row],[Days in Cells]]</f>
        <v>45738</v>
      </c>
      <c r="BX186" s="38">
        <f>Crops[[#This Row],[Target Sewing Date]]+Crops[[#This Row],[STH]]</f>
        <v>45842</v>
      </c>
      <c r="BY186" s="38">
        <f>Crops[[#This Row],[Target Harvest Data]]+Crops[[#This Row],[Harvest window]]</f>
        <v>45849</v>
      </c>
      <c r="BZ186">
        <v>2</v>
      </c>
      <c r="CB186">
        <f>1</f>
        <v>1</v>
      </c>
      <c r="CC186">
        <f>IF(Crops[[#This Row],[Transplanting]]&gt;0, 2, 3)*BedLength/StandardBedLength</f>
        <v>1.5</v>
      </c>
      <c r="CD186" s="173">
        <f>IF(Crops[[#This Row],[Days in Cells]]&lt;=0,0,Crops[[#This Row],[Plantings Per Bed]]/StartsPerHourSeeding+Crops[[#This Row],[Tray 1 Count]]*5/60)</f>
        <v>0</v>
      </c>
      <c r="CE186" s="173">
        <f>IF(ISBLANK(Crops[[#This Row],[Tray 2 Days]]),0,Crops[[#This Row],[Plantings Per Bed]]/UpPottingPerHour)+IF(Crops[[#This Row],[Tray 3 Days]]="",0,Crops[[#This Row],[Plantings Per Bed]]/UpPottingPerHour)</f>
        <v>0</v>
      </c>
      <c r="CF186" s="173">
        <f>IFERROR(Crops[[#This Row],[Tray 1 Count]]/HomeStartFlatIrrigationPerHour,0)*Crops[[#This Row],[Days in Cells]]/DaysBetweenStartIrrigation</f>
        <v>0</v>
      </c>
      <c r="CG186" s="173">
        <f>0.5/16*MAX(Crops[[#This Row],[Tray 1 Count]],Crops[[#This Row],[Tray 2 Count]],Crops[[#This Row],[Tray 3 Count]])</f>
        <v>0</v>
      </c>
      <c r="CH186" s="173">
        <f>IF(Crops[[#This Row],[Days in Cells]]&gt;0,IF(IF(Crops[[#This Row],[Tray 3 Size]]&gt;0,Crops[[#This Row],[Tray 3 Size]],IF(Crops[[#This Row],[Tray 2 Size]]&gt;0,Crops[[#This Row],[Tray 2 Size]],Crops[[#This Row],[Tray 1 Size]]))&lt;=18,LargeTransplantTime,SmallTransplantTime)*Crops[[#This Row],[Plantings Per Bed]],0)</f>
        <v>0</v>
      </c>
      <c r="CI186" s="173"/>
      <c r="CJ186" s="173">
        <f>_xlfn.XLOOKUP(Crops[[#This Row],[Trellis Type]],TrellisMethods[Trellis Type],TrellisMethods[Hours],0,0)</f>
        <v>0</v>
      </c>
      <c r="CK186">
        <f>IF(Crops[[#This Row],[Days in Cells]]&lt;=0,Crops[[#This Row],[Rows]]*1/10,0)*BedLength/50</f>
        <v>0.3</v>
      </c>
      <c r="CL186" cm="1">
        <f t="array" ref="CL186">_xlfn.SWITCH(Crops[[#This Row],[Irrigation]],"DR", 0.5, "OH", 0.25,0)*BedLength/50</f>
        <v>0</v>
      </c>
      <c r="CM186">
        <f>IF(OR(ISBLANK(Crops[[#This Row],[Row Cover]]),Crops[[#This Row],[Row Cover]]="None"),0,1)*BedLength/50</f>
        <v>0</v>
      </c>
      <c r="CN186" s="173">
        <f>HoursPerWeedingPass*Crops[[#This Row],[Days In Field]]/14*Crops[[#This Row],[Rows]]+1*BedLength/50</f>
        <v>4.9642857142857144</v>
      </c>
      <c r="CO186" s="49"/>
      <c r="CQ186" s="37">
        <f>_xlfn.XLOOKUP(Crops[[#This Row],[Crop]]&amp;Crops[[#This Row],[Product]]&amp;Crops[[#This Row],[Unit]],Products[ID],Products[Marketing (hr)])*Crops[[#This Row],[Direct Revenue Per Bed]]/2000</f>
        <v>0.8</v>
      </c>
      <c r="CR186" s="37">
        <f>_xlfn.XLOOKUP(Crops[[#This Row],[Crop]]&amp;Crops[[#This Row],[Product]]&amp;Crops[[#This Row],[Unit]],Products[ID],Products[Harvest (s)])*Crops[[#This Row],[Custom Yield Per Bed]]/3600</f>
        <v>0.55555555555555558</v>
      </c>
      <c r="CS186" s="37">
        <f>_xlfn.XLOOKUP(Crops[[#This Row],[Crop]]&amp;Crops[[#This Row],[Product]]&amp;Crops[[#This Row],[Unit]],Products[ID],Products[Bunch (s)])*Crops[[#This Row],[Custom Yield Per Bed]]/3600</f>
        <v>0</v>
      </c>
      <c r="CT186" s="37">
        <f>_xlfn.XLOOKUP(Crops[[#This Row],[Crop]]&amp;Crops[[#This Row],[Product]]&amp;Crops[[#This Row],[Unit]],Products[ID],Products[Haul (s)])*Crops[[#This Row],[Custom Yield Per Bed]]/3600</f>
        <v>0.20833333333333334</v>
      </c>
      <c r="CU186" s="37">
        <f>_xlfn.XLOOKUP(Crops[[#This Row],[Crop]]&amp;Crops[[#This Row],[Product]]&amp;Crops[[#This Row],[Unit]],Products[ID],Products[Wash (s)])*Crops[[#This Row],[Custom Yield Per Bed]]/3600</f>
        <v>1.1111111111111112</v>
      </c>
      <c r="CV186" s="37">
        <f>_xlfn.XLOOKUP(Crops[[#This Row],[Crop]]&amp;Crops[[#This Row],[Product]]&amp;Crops[[#This Row],[Unit]],Products[ID],Products[Condition (s)])*Crops[[#This Row],[Custom Yield Per Bed]]/3600</f>
        <v>0</v>
      </c>
      <c r="CW186" s="37">
        <f>_xlfn.XLOOKUP(Crops[[#This Row],[Crop]]&amp;Crops[[#This Row],[Product]]&amp;Crops[[#This Row],[Unit]],Products[ID],Products[Trim (s)])*Crops[[#This Row],[Custom Yield Per Bed]]/3600</f>
        <v>0.55555555555555558</v>
      </c>
      <c r="CX186" s="37">
        <f>_xlfn.XLOOKUP(Crops[[#This Row],[Crop]]&amp;Crops[[#This Row],[Product]]&amp;Crops[[#This Row],[Unit]],Products[ID],Products[Pack (s)])*Crops[[#This Row],[Custom Yield Per Bed]]/3600</f>
        <v>0.16666666666666666</v>
      </c>
      <c r="CY186" s="37">
        <f>_xlfn.XLOOKUP(Crops[[#This Row],[Crop]]&amp;Crops[[#This Row],[Product]]&amp;Crops[[#This Row],[Unit]],Products[ID],Products[Clean (s)])*Crops[[#This Row],[Custom Yield Per Bed]]/3600</f>
        <v>0</v>
      </c>
      <c r="CZ186" s="37">
        <f>_xlfn.XLOOKUP(Crops[[#This Row],[Crop]]&amp;Crops[[#This Row],[Product]]&amp;Crops[[#This Row],[Unit]],Products[ID],Products[Rehandle (s)])*Crops[[#This Row],[Custom Yield Per Bed]]/3600</f>
        <v>0</v>
      </c>
      <c r="DA186" s="37">
        <f>_xlfn.XLOOKUP(Crops[[#This Row],[Crop]]&amp;Crops[[#This Row],[Product]]&amp;Crops[[#This Row],[Unit]],Products[ID],Products[Market Transport (s)])*Crops[[#This Row],[Custom Yield Per Bed]]/3600</f>
        <v>0.52083333333333337</v>
      </c>
      <c r="DC186" s="37">
        <f>Crops[[#This Row],[Direct Revenue Per Bed2]]</f>
        <v>800</v>
      </c>
      <c r="DD186" s="173">
        <f>_xlfn.AGGREGATE(9,6,Crops[[#This Row],[Bed Prep]:[Remove Crop Residue]])</f>
        <v>10.68234126984127</v>
      </c>
      <c r="DE186" s="173">
        <f>_xlfn.AGGREGATE(9,6,Crops[[#This Row],[Bed Prep]:[Remove Crop Residue]])-0.75*Crops[[#This Row],[Market &amp; Sell]]</f>
        <v>10.082341269841271</v>
      </c>
      <c r="DF186" s="36">
        <f>Crops[[#This Row],[Direct Revenue Per Bed2]]/Crops[[#This Row],[Direct Time]]</f>
        <v>74.889949664741167</v>
      </c>
      <c r="DG186" s="36">
        <f>_xlfn.XLOOKUP(Crops[[#This Row],[ProductIndex]],Products[ID],Products[Packaging Cost])*(Crops[[#This Row],[Custom Yield Per Bed]]/_xlfn.XLOOKUP(Crops[[#This Row],[ProductIndex]],Products[ID],Products[Units Per Pack]))</f>
        <v>31.666666666666668</v>
      </c>
      <c r="DH186" s="36"/>
      <c r="DI186" s="36"/>
      <c r="DJ186" s="36"/>
      <c r="DK186" s="36"/>
      <c r="DL186" s="36"/>
      <c r="DM186" s="33">
        <f>IFERROR(Crops[[#This Row],[Custom Yield Per Bed]]*Crops[[#This Row],[Direct Price]],"")</f>
        <v>800</v>
      </c>
      <c r="DN186" s="36">
        <f>Crops[[#This Row],[Direct Time]]*LaborRate</f>
        <v>267.05853174603175</v>
      </c>
      <c r="DO186" s="36">
        <f>SUM(Crops[[#This Row],[Irrigation Cost]])</f>
        <v>0</v>
      </c>
      <c r="DP186" s="36">
        <f>Crops[[#This Row],[Direct Labor Cost]]+Crops[[#This Row],[Direct Non-Labor Cost]]</f>
        <v>267.05853174603175</v>
      </c>
      <c r="DQ186" s="36">
        <f>Crops[[#This Row],[Direct Revenue Per Bed2]]-Crops[[#This Row],[Direct Total Cost]]</f>
        <v>532.9414682539682</v>
      </c>
      <c r="DR186" s="36">
        <f>Crops[[#This Row],[Direct Profit]]*BedsPerAcre</f>
        <v>85270.634920634911</v>
      </c>
      <c r="DS186" s="36">
        <f>Crops[[#This Row],[Direct Profit]]*BedsPerAcre*GrowingDays/Crops[[#This Row],[Days In Field]]</f>
        <v>138276.70527670527</v>
      </c>
      <c r="DT186" s="36">
        <f>Crops[[#This Row],[Direct Profit]]/MIN(Crops[[#This Row],[Days In Field]],GrowingDays)</f>
        <v>4.8012744887744878</v>
      </c>
      <c r="DU186" s="33">
        <f>Crops[[#This Row],[Direct Time]] * BedsPerAcre</f>
        <v>1709.1746031746034</v>
      </c>
      <c r="DV186" s="36">
        <f>(Crops[[#This Row],[Direct Revenue Per Bed2]]-Crops[[#This Row],[Direct Non-Labor Cost]])/Crops[[#This Row],[Direct Time]]</f>
        <v>74.889949664741167</v>
      </c>
      <c r="DW186" s="33">
        <f>IFERROR(Crops[[#This Row],[Custom Yield Per Bed]]*Crops[[#This Row],[Rough Wholesale Price]],"")</f>
        <v>360</v>
      </c>
      <c r="DX186" s="36">
        <f>Crops[[#This Row],[Wholesale Time]]*LaborRate</f>
        <v>252.05853174603178</v>
      </c>
      <c r="DY186" s="36">
        <f>SUM(Crops[[#This Row],[Packaging Costs]:[Irrigation Cost]])</f>
        <v>31.666666666666668</v>
      </c>
      <c r="DZ186" s="36">
        <f>Crops[[#This Row],[Wholesale Labor Cost]]+Crops[[#This Row],[Wholesale Non-Labor Cost]]</f>
        <v>283.72519841269843</v>
      </c>
      <c r="EA186" s="36">
        <f>Crops[[#This Row],[Wholesale Revenue Per Bed]]-Crops[[#This Row],[Wholesale Total Cost]]</f>
        <v>76.274801587301567</v>
      </c>
      <c r="EB186" s="36">
        <f>Crops[[#This Row],[Wholesale Profit]]*BedsPerAcre</f>
        <v>12203.968253968251</v>
      </c>
      <c r="EC186" s="36">
        <f>Crops[[#This Row],[Wholesale Profit]]*BedsPerAcre*GrowingDays/Crops[[#This Row],[Days In Field]]</f>
        <v>19790.218790218783</v>
      </c>
      <c r="ED186" s="33">
        <f>Crops[[#This Row],[Wholesale Time]] * BedsPerAcre</f>
        <v>1613.1746031746034</v>
      </c>
      <c r="EE186" s="221">
        <f>Crops[[#This Row],[Wholesale Profit]]/MIN(Crops[[#This Row],[Days In Field]],GrowingDays)</f>
        <v>0.6871603746603745</v>
      </c>
      <c r="EF186" s="36">
        <f>(Crops[[#This Row],[Wholesale Revenue Per Bed]]-Crops[[#This Row],[Wholesale Non-Labor Cost]])/Crops[[#This Row],[Direct Time]]</f>
        <v>30.73608350823752</v>
      </c>
      <c r="EG186" s="174">
        <f>Crops[[#This Row],[Packaging Costs]]/Crops[[#This Row],[Wholesale Revenue Per Bed]]</f>
        <v>8.7962962962962965E-2</v>
      </c>
      <c r="EH186" s="36" t="str">
        <f>Crops[[#This Row],[Crop]]&amp;Crops[[#This Row],[Product]]&amp;Crops[[#This Row],[Unit]]</f>
        <v>LettuceMature HeadHead</v>
      </c>
      <c r="EI186" s="36" t="b">
        <f>_xlfn.XLOOKUP(Crops[[#This Row],[ProductIndex]],Products[ID],Products[Target])</f>
        <v>1</v>
      </c>
      <c r="EJ186" s="36">
        <f>Crops[[#This Row],[Custom Yield Per Bed]]</f>
        <v>200</v>
      </c>
      <c r="EK186" s="210" t="e">
        <f>Crops[[#This Row],[Units Per Harvest]]/Crops[[#This Row],[Days Between Harvest]]*7</f>
        <v>#DIV/0!</v>
      </c>
      <c r="EL186" s="210">
        <f>Crops[[#This Row],[Custom Yield Per Bed]]/_xlfn.XLOOKUP(Crops[[#This Row],[ProductIndex]],Products[ID],Products[CSA Portion])</f>
        <v>200</v>
      </c>
      <c r="EM186" s="210" t="e">
        <f>Crops[[#This Row],[Units Per Harvest]]/Crops[[#This Row],[Days Between Harvest]]*7/_xlfn.XLOOKUP(Crops[[#This Row],[ProductIndex]],Products[ID],Products[CSA Portion])</f>
        <v>#DIV/0!</v>
      </c>
      <c r="EN186" s="210" t="e">
        <f>Crops[[#This Row],[CSA Portions Per Week]]/CSAMembers</f>
        <v>#DIV/0!</v>
      </c>
      <c r="EO186" s="210"/>
      <c r="EP186" s="210"/>
      <c r="EQ186" s="210"/>
      <c r="ER186" s="210">
        <f>Crops[[#This Row],[Harvests]]*Crops[[#This Row],[Days Between Harvest]]/7</f>
        <v>0</v>
      </c>
      <c r="ES186" s="217">
        <f>_xlfn.XLOOKUP(Crops[[#This Row],[ProductIndex]],Products[ID],Products[CSA Need])</f>
        <v>2</v>
      </c>
      <c r="ET186" s="217">
        <f>_xlfn.XLOOKUP(Crops[[#This Row],[ProductIndex]],Products[ID],Products[CSA Times])</f>
        <v>2</v>
      </c>
      <c r="EU186" s="208">
        <f>Crops[[#This Row],[Custom Yield Per Bed]]/(Crops[[#This Row],[CSA Need]]*(_xlfn.XLOOKUP(Crops[[#This Row],[ProductIndex]],Products[ID],Products[CSA Portion])*CSAMembers))</f>
        <v>2</v>
      </c>
      <c r="EV186" s="208">
        <f>_xlfn.XLOOKUP(Crops[[#This Row],[ProductIndex]],Products[ID],Products[CSA Portion])*CSAMembers*Crops[[#This Row],[CSA Need]]/Crops[[#This Row],[Custom Yield Per Bed]]</f>
        <v>0.5</v>
      </c>
      <c r="EW186" s="208">
        <f>IFERROR(Crops[[#This Row],[Days In Field]]*Crops[[#This Row],[CSA Beds]],"")</f>
        <v>55.5</v>
      </c>
      <c r="EX186" s="208" t="e">
        <f>Crops[[#This Row],[CSA Bed Days]]*#REF!</f>
        <v>#REF!</v>
      </c>
      <c r="EY186" t="s">
        <v>421</v>
      </c>
    </row>
    <row r="187" spans="1:155">
      <c r="A18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DS SuFa</v>
      </c>
      <c r="B187" s="179"/>
      <c r="C187" s="1" t="b">
        <v>0</v>
      </c>
      <c r="D187" s="1"/>
      <c r="E187" s="1" t="b">
        <v>0</v>
      </c>
      <c r="F187" s="1" t="b">
        <f>IFERROR(IF(ISNUMBER(MATCH(Crops[[#This Row],[Identifier]],BedPlan[Crop], 0)), TRUE, FALSE), FALSE)</f>
        <v>0</v>
      </c>
      <c r="G187" s="1" t="b">
        <f>IFERROR(IF(ISNUMBER(MATCH(Crops[[#This Row],[Identifier]],BedPlan[Crop], 0)), TRUE, FALSE), FALSE)</f>
        <v>0</v>
      </c>
      <c r="H187" s="1"/>
      <c r="I187" t="s">
        <v>92</v>
      </c>
      <c r="J187" t="s">
        <v>1817</v>
      </c>
      <c r="K187" t="s">
        <v>186</v>
      </c>
      <c r="N187" t="str">
        <f>Crops[[#This Row],[Crop]]</f>
        <v>Lettuce</v>
      </c>
      <c r="O187" t="s">
        <v>210</v>
      </c>
      <c r="P187" t="str">
        <f>IF(OR(Crops[[#This Row],[Days in Cells]]="",Crops[[#This Row],[Days in Cells]]=0), "DS","TP")</f>
        <v>DS</v>
      </c>
      <c r="R187" t="b">
        <v>1</v>
      </c>
      <c r="S187" t="b">
        <v>1</v>
      </c>
      <c r="V187" t="str">
        <f xml:space="preserve"> IF(Crops[[#This Row],[Sp]], "Sp", "") &amp; IF(Crops[[#This Row],[Su]], "Su", "") &amp; IF(Crops[[#This Row],[Fa]], "Fa", "") &amp; IF(Crops[[#This Row],[Wi]], "Wi", "") &amp; IF(Crops[[#This Row],[OW]], "Ow","")</f>
        <v>SuFa</v>
      </c>
      <c r="W187" t="s">
        <v>144</v>
      </c>
      <c r="X187">
        <v>3</v>
      </c>
      <c r="Y187">
        <v>9</v>
      </c>
      <c r="AD187" s="32">
        <f>IFERROR(12/Crops[[#This Row],[Spacing]]*Crops[[#This Row],[Rows]]*BedLength,"")</f>
        <v>200</v>
      </c>
      <c r="AE187">
        <v>1</v>
      </c>
      <c r="AG187">
        <f>IF(Crops[[#This Row],[Custom Safety Factor]]="",PlantingSafetyFactor,Crops[[#This Row],[Custom Safety Factor]])</f>
        <v>1.3</v>
      </c>
      <c r="AH187">
        <v>1.3</v>
      </c>
      <c r="AI187" s="33">
        <f>IFERROR(Crops[[#This Row],[Plantings Per Bed]]*Crops[[#This Row],[Seeds Per Planting]]*Crops[[#This Row],[Safety Factor]]*Crops[[#This Row],[Seeding Factor]],"")</f>
        <v>338</v>
      </c>
      <c r="AL187">
        <f>_xlfn.FLOOR.MATH(IFERROR(AVERAGE(Crops[[#This Row],[DTG Lower]:[DTG Upper]]),0))</f>
        <v>0</v>
      </c>
      <c r="AM187">
        <f>SUM(Crops[[#This Row],[Tray 1 Days]],Crops[[#This Row],[Tray 2 Days]],Crops[[#This Row],[Tray 3 Days]])</f>
        <v>0</v>
      </c>
      <c r="AP187">
        <v>70</v>
      </c>
      <c r="AQ187">
        <f>IFERROR(_xlfn.FLOOR.MATH(AVERAGE(Crops[[#This Row],[DTM Lower]:[DTM Upper]])),"")</f>
        <v>70</v>
      </c>
      <c r="AR187" cm="1">
        <f t="array" ref="AR187">_xlfn.SWITCH(Crops[[#This Row],[Normal Method]],"DS",Crops[[#This Row],[Days to Germination]]+Crops[[#This Row],[DTM]] + IF(Crops[[#This Row],[Days in Cells]]&gt;0,15,0), "TP",Crops[[#This Row],[DTM]]+Crops[[#This Row],[Days in Cells]] + IF(Crops[[#This Row],[Days in Cells]]&lt;=0,20,0), "X", Crops[[#This Row],[DTM]])</f>
        <v>90</v>
      </c>
      <c r="AS187" t="s">
        <v>346</v>
      </c>
      <c r="AT187">
        <f>(Crops[[#This Row],[Harvests]]-1)*Crops[[#This Row],[Days Between Harvest]]+7</f>
        <v>7</v>
      </c>
      <c r="AU187">
        <f>Crops[[#This Row],[STH]]-Crops[[#This Row],[Days in Cells]]+Crops[[#This Row],[Harvest window]]</f>
        <v>97</v>
      </c>
      <c r="AW187">
        <v>128</v>
      </c>
      <c r="AZ187" t="str">
        <f>IFERROR(IF(Crops[[#This Row],[Tray 1 Days]]=0,"",Crops[[#This Row],[Plantings Per Bed]]/Crops[[#This Row],[Tray 1 Size]]*Crops[[#This Row],[Safety Factor]]),"")</f>
        <v/>
      </c>
      <c r="BC187" t="str">
        <f>IFERROR(IF(Crops[[#This Row],[Tray 2 Days]]=0,"",Crops[[#This Row],[Plantings Per Bed]]/Crops[[#This Row],[Tray 2 Size]]*Crops[[#This Row],[Safety Factor]]),"")</f>
        <v/>
      </c>
      <c r="BE187" s="32" t="str">
        <f>IF(NOT(ISBLANK(Crops[[#This Row],[Tray 3 Size]])), Crops[[#This Row],[Days in Cells Old]]-SUM(Crops[[#This Row],[Tray 1 Days]],Crops[[#This Row],[Tray 2 Days]]), "")</f>
        <v/>
      </c>
      <c r="BF187" t="str">
        <f>IFERROR(IF(Crops[[#This Row],[Tray 3 Days]]=0,"",Crops[[#This Row],[Plantings Per Bed]]/Crops[[#This Row],[Tray 3 Size]]*Crops[[#This Row],[Safety Factor]]),"")</f>
        <v/>
      </c>
      <c r="BG187" s="33">
        <f>Crops[[#This Row],[Plantings Per Bed]]</f>
        <v>200</v>
      </c>
      <c r="BH187" s="33">
        <v>1</v>
      </c>
      <c r="BI187" s="33">
        <v>0</v>
      </c>
      <c r="BJ187" s="33">
        <f>_xlfn.XLOOKUP(Crops[[#This Row],[ProductIndex]],Products[ID],Products[Holding Period])</f>
        <v>10</v>
      </c>
      <c r="BK187" s="33"/>
      <c r="BL187" s="33">
        <f>Crops[[#This Row],[Units Per Harvest]]*Crops[[#This Row],[Harvests]]</f>
        <v>200</v>
      </c>
      <c r="BM187" s="35">
        <v>4</v>
      </c>
      <c r="BN187" s="35">
        <v>1.8</v>
      </c>
      <c r="BO187" s="35"/>
      <c r="BP187" t="s">
        <v>214</v>
      </c>
      <c r="BQ187">
        <f>Crops[[#This Row],[Custom Yield Per Bed]]*Crops[[#This Row],[Direct Price]]</f>
        <v>800</v>
      </c>
      <c r="BR187" t="b">
        <v>1</v>
      </c>
      <c r="BS187" t="b">
        <f>Crops[[#This Row],[Harvests]]&gt;1</f>
        <v>0</v>
      </c>
      <c r="BT187" s="36">
        <f>IFERROR(Crops[[#This Row],[Direct Revenue Per Bed]]/Crops[[#This Row],[Days In Field]],-1)</f>
        <v>8.2474226804123703</v>
      </c>
      <c r="BU187" s="36">
        <f>IFERROR(Crops[[#This Row],[Direct Revenue Per Bed Day]]*GrowingDays*BedsPerAcre,"")</f>
        <v>237525.77319587625</v>
      </c>
      <c r="BV187" s="38">
        <f>LastFrostDate-5*Crops[[#This Row],[Sewing Rel Last Frost]]</f>
        <v>45763</v>
      </c>
      <c r="BW187" s="38">
        <f>Crops[[#This Row],[Target Sewing Date]]+Crops[[#This Row],[Days in Cells]]</f>
        <v>45763</v>
      </c>
      <c r="BX187" s="38">
        <f>Crops[[#This Row],[Target Sewing Date]]+Crops[[#This Row],[STH]]</f>
        <v>45853</v>
      </c>
      <c r="BY187" s="38">
        <f>Crops[[#This Row],[Target Harvest Data]]+Crops[[#This Row],[Harvest window]]</f>
        <v>45860</v>
      </c>
      <c r="BZ187">
        <v>-3</v>
      </c>
      <c r="CB187">
        <f>1</f>
        <v>1</v>
      </c>
      <c r="CC187">
        <f>IF(Crops[[#This Row],[Transplanting]]&gt;0, 2, 3)*BedLength/StandardBedLength</f>
        <v>1.5</v>
      </c>
      <c r="CD187" s="173">
        <f>IF(Crops[[#This Row],[Days in Cells]]&lt;=0,0,Crops[[#This Row],[Plantings Per Bed]]/StartsPerHourSeeding+Crops[[#This Row],[Tray 1 Count]]*5/60)</f>
        <v>0</v>
      </c>
      <c r="CE187" s="173">
        <f>IF(ISBLANK(Crops[[#This Row],[Tray 2 Days]]),0,Crops[[#This Row],[Plantings Per Bed]]/UpPottingPerHour)+IF(Crops[[#This Row],[Tray 3 Days]]="",0,Crops[[#This Row],[Plantings Per Bed]]/UpPottingPerHour)</f>
        <v>0</v>
      </c>
      <c r="CF187" s="173">
        <f>IFERROR(Crops[[#This Row],[Tray 1 Count]]/HomeStartFlatIrrigationPerHour,0)*Crops[[#This Row],[Days in Cells]]/DaysBetweenStartIrrigation</f>
        <v>0</v>
      </c>
      <c r="CG187" s="173">
        <f>0.5/16*MAX(Crops[[#This Row],[Tray 1 Count]],Crops[[#This Row],[Tray 2 Count]],Crops[[#This Row],[Tray 3 Count]])</f>
        <v>0</v>
      </c>
      <c r="CH187" s="173">
        <f>IF(Crops[[#This Row],[Days in Cells]]&gt;0,IF(IF(Crops[[#This Row],[Tray 3 Size]]&gt;0,Crops[[#This Row],[Tray 3 Size]],IF(Crops[[#This Row],[Tray 2 Size]]&gt;0,Crops[[#This Row],[Tray 2 Size]],Crops[[#This Row],[Tray 1 Size]]))&lt;=18,LargeTransplantTime,SmallTransplantTime)*Crops[[#This Row],[Plantings Per Bed]],0)</f>
        <v>0</v>
      </c>
      <c r="CI187" s="173"/>
      <c r="CJ187" s="173">
        <f>_xlfn.XLOOKUP(Crops[[#This Row],[Trellis Type]],TrellisMethods[Trellis Type],TrellisMethods[Hours],0,0)</f>
        <v>0</v>
      </c>
      <c r="CK187">
        <f>IF(Crops[[#This Row],[Days in Cells]]&lt;=0,Crops[[#This Row],[Rows]]*1/10,0)*BedLength/50</f>
        <v>0.3</v>
      </c>
      <c r="CL187" cm="1">
        <f t="array" ref="CL187">_xlfn.SWITCH(Crops[[#This Row],[Irrigation]],"DR", 0.5, "OH", 0.25,0)*BedLength/50</f>
        <v>0</v>
      </c>
      <c r="CM187">
        <f>IF(OR(ISBLANK(Crops[[#This Row],[Row Cover]]),Crops[[#This Row],[Row Cover]]="None"),0,1)*BedLength/50</f>
        <v>0</v>
      </c>
      <c r="CN187" s="173">
        <f>HoursPerWeedingPass*Crops[[#This Row],[Days In Field]]/14*Crops[[#This Row],[Rows]]+1*BedLength/50</f>
        <v>4.4642857142857135</v>
      </c>
      <c r="CO187" s="49"/>
      <c r="CQ187" s="37">
        <f>_xlfn.XLOOKUP(Crops[[#This Row],[Crop]]&amp;Crops[[#This Row],[Product]]&amp;Crops[[#This Row],[Unit]],Products[ID],Products[Marketing (hr)])*Crops[[#This Row],[Direct Revenue Per Bed]]/2000</f>
        <v>0.8</v>
      </c>
      <c r="CR187" s="37">
        <f>_xlfn.XLOOKUP(Crops[[#This Row],[Crop]]&amp;Crops[[#This Row],[Product]]&amp;Crops[[#This Row],[Unit]],Products[ID],Products[Harvest (s)])*Crops[[#This Row],[Custom Yield Per Bed]]/3600</f>
        <v>0.55555555555555558</v>
      </c>
      <c r="CS187" s="37">
        <f>_xlfn.XLOOKUP(Crops[[#This Row],[Crop]]&amp;Crops[[#This Row],[Product]]&amp;Crops[[#This Row],[Unit]],Products[ID],Products[Bunch (s)])*Crops[[#This Row],[Custom Yield Per Bed]]/3600</f>
        <v>0</v>
      </c>
      <c r="CT187" s="37">
        <f>_xlfn.XLOOKUP(Crops[[#This Row],[Crop]]&amp;Crops[[#This Row],[Product]]&amp;Crops[[#This Row],[Unit]],Products[ID],Products[Haul (s)])*Crops[[#This Row],[Custom Yield Per Bed]]/3600</f>
        <v>0.20833333333333334</v>
      </c>
      <c r="CU187" s="37">
        <f>_xlfn.XLOOKUP(Crops[[#This Row],[Crop]]&amp;Crops[[#This Row],[Product]]&amp;Crops[[#This Row],[Unit]],Products[ID],Products[Wash (s)])*Crops[[#This Row],[Custom Yield Per Bed]]/3600</f>
        <v>1.1111111111111112</v>
      </c>
      <c r="CV187" s="37">
        <f>_xlfn.XLOOKUP(Crops[[#This Row],[Crop]]&amp;Crops[[#This Row],[Product]]&amp;Crops[[#This Row],[Unit]],Products[ID],Products[Condition (s)])*Crops[[#This Row],[Custom Yield Per Bed]]/3600</f>
        <v>0</v>
      </c>
      <c r="CW187" s="37">
        <f>_xlfn.XLOOKUP(Crops[[#This Row],[Crop]]&amp;Crops[[#This Row],[Product]]&amp;Crops[[#This Row],[Unit]],Products[ID],Products[Trim (s)])*Crops[[#This Row],[Custom Yield Per Bed]]/3600</f>
        <v>0.55555555555555558</v>
      </c>
      <c r="CX187" s="37">
        <f>_xlfn.XLOOKUP(Crops[[#This Row],[Crop]]&amp;Crops[[#This Row],[Product]]&amp;Crops[[#This Row],[Unit]],Products[ID],Products[Pack (s)])*Crops[[#This Row],[Custom Yield Per Bed]]/3600</f>
        <v>0.16666666666666666</v>
      </c>
      <c r="CY187" s="37">
        <f>_xlfn.XLOOKUP(Crops[[#This Row],[Crop]]&amp;Crops[[#This Row],[Product]]&amp;Crops[[#This Row],[Unit]],Products[ID],Products[Clean (s)])*Crops[[#This Row],[Custom Yield Per Bed]]/3600</f>
        <v>0</v>
      </c>
      <c r="CZ187" s="37">
        <f>_xlfn.XLOOKUP(Crops[[#This Row],[Crop]]&amp;Crops[[#This Row],[Product]]&amp;Crops[[#This Row],[Unit]],Products[ID],Products[Rehandle (s)])*Crops[[#This Row],[Custom Yield Per Bed]]/3600</f>
        <v>0</v>
      </c>
      <c r="DA187" s="37">
        <f>_xlfn.XLOOKUP(Crops[[#This Row],[Crop]]&amp;Crops[[#This Row],[Product]]&amp;Crops[[#This Row],[Unit]],Products[ID],Products[Market Transport (s)])*Crops[[#This Row],[Custom Yield Per Bed]]/3600</f>
        <v>0.52083333333333337</v>
      </c>
      <c r="DC187" s="37">
        <f>Crops[[#This Row],[Direct Revenue Per Bed2]]</f>
        <v>800</v>
      </c>
      <c r="DD187" s="173">
        <f>_xlfn.AGGREGATE(9,6,Crops[[#This Row],[Bed Prep]:[Remove Crop Residue]])</f>
        <v>10.182341269841269</v>
      </c>
      <c r="DE187" s="173">
        <f>_xlfn.AGGREGATE(9,6,Crops[[#This Row],[Bed Prep]:[Remove Crop Residue]])-0.75*Crops[[#This Row],[Market &amp; Sell]]</f>
        <v>9.5823412698412689</v>
      </c>
      <c r="DF187" s="36">
        <f>Crops[[#This Row],[Direct Revenue Per Bed2]]/Crops[[#This Row],[Direct Time]]</f>
        <v>78.567392193924292</v>
      </c>
      <c r="DG187" s="36">
        <f>_xlfn.XLOOKUP(Crops[[#This Row],[ProductIndex]],Products[ID],Products[Packaging Cost])*(Crops[[#This Row],[Custom Yield Per Bed]]/_xlfn.XLOOKUP(Crops[[#This Row],[ProductIndex]],Products[ID],Products[Units Per Pack]))</f>
        <v>31.666666666666668</v>
      </c>
      <c r="DH187" s="36"/>
      <c r="DI187" s="36"/>
      <c r="DJ187" s="36"/>
      <c r="DK187" s="36"/>
      <c r="DL187" s="36"/>
      <c r="DM187" s="33">
        <f>IFERROR(Crops[[#This Row],[Custom Yield Per Bed]]*Crops[[#This Row],[Direct Price]],"")</f>
        <v>800</v>
      </c>
      <c r="DN187" s="36">
        <f>Crops[[#This Row],[Direct Time]]*LaborRate</f>
        <v>254.55853174603172</v>
      </c>
      <c r="DO187" s="36">
        <f>SUM(Crops[[#This Row],[Irrigation Cost]])</f>
        <v>0</v>
      </c>
      <c r="DP187" s="36">
        <f>Crops[[#This Row],[Direct Labor Cost]]+Crops[[#This Row],[Direct Non-Labor Cost]]</f>
        <v>254.55853174603172</v>
      </c>
      <c r="DQ187" s="36">
        <f>Crops[[#This Row],[Direct Revenue Per Bed2]]-Crops[[#This Row],[Direct Total Cost]]</f>
        <v>545.44146825396831</v>
      </c>
      <c r="DR187" s="36">
        <f>Crops[[#This Row],[Direct Profit]]*BedsPerAcre</f>
        <v>87270.634920634926</v>
      </c>
      <c r="DS187" s="36">
        <f>Crops[[#This Row],[Direct Profit]]*BedsPerAcre*GrowingDays/Crops[[#This Row],[Days In Field]]</f>
        <v>161945.5081001473</v>
      </c>
      <c r="DT187" s="36">
        <f>Crops[[#This Row],[Direct Profit]]/MIN(Crops[[#This Row],[Days In Field]],GrowingDays)</f>
        <v>5.6231079201440028</v>
      </c>
      <c r="DU187" s="33">
        <f>Crops[[#This Row],[Direct Time]] * BedsPerAcre</f>
        <v>1629.1746031746029</v>
      </c>
      <c r="DV187" s="36">
        <f>(Crops[[#This Row],[Direct Revenue Per Bed2]]-Crops[[#This Row],[Direct Non-Labor Cost]])/Crops[[#This Row],[Direct Time]]</f>
        <v>78.567392193924292</v>
      </c>
      <c r="DW187" s="33">
        <f>IFERROR(Crops[[#This Row],[Custom Yield Per Bed]]*Crops[[#This Row],[Rough Wholesale Price]],"")</f>
        <v>360</v>
      </c>
      <c r="DX187" s="36">
        <f>Crops[[#This Row],[Wholesale Time]]*LaborRate</f>
        <v>239.55853174603172</v>
      </c>
      <c r="DY187" s="36">
        <f>SUM(Crops[[#This Row],[Packaging Costs]:[Irrigation Cost]])</f>
        <v>31.666666666666668</v>
      </c>
      <c r="DZ187" s="36">
        <f>Crops[[#This Row],[Wholesale Labor Cost]]+Crops[[#This Row],[Wholesale Non-Labor Cost]]</f>
        <v>271.22519841269838</v>
      </c>
      <c r="EA187" s="36">
        <f>Crops[[#This Row],[Wholesale Revenue Per Bed]]-Crops[[#This Row],[Wholesale Total Cost]]</f>
        <v>88.774801587301624</v>
      </c>
      <c r="EB187" s="36">
        <f>Crops[[#This Row],[Wholesale Profit]]*BedsPerAcre</f>
        <v>14203.96825396826</v>
      </c>
      <c r="EC187" s="36">
        <f>Crops[[#This Row],[Wholesale Profit]]*BedsPerAcre*GrowingDays/Crops[[#This Row],[Days In Field]]</f>
        <v>26357.879234167907</v>
      </c>
      <c r="ED187" s="33">
        <f>Crops[[#This Row],[Wholesale Time]] * BedsPerAcre</f>
        <v>1533.1746031746029</v>
      </c>
      <c r="EE187" s="221">
        <f>Crops[[#This Row],[Wholesale Profit]]/MIN(Crops[[#This Row],[Days In Field]],GrowingDays)</f>
        <v>0.91520414007527451</v>
      </c>
      <c r="EF187" s="36">
        <f>(Crops[[#This Row],[Wholesale Revenue Per Bed]]-Crops[[#This Row],[Wholesale Non-Labor Cost]])/Crops[[#This Row],[Direct Time]]</f>
        <v>32.245367212923092</v>
      </c>
      <c r="EG187" s="174">
        <f>Crops[[#This Row],[Packaging Costs]]/Crops[[#This Row],[Wholesale Revenue Per Bed]]</f>
        <v>8.7962962962962965E-2</v>
      </c>
      <c r="EH187" s="36" t="str">
        <f>Crops[[#This Row],[Crop]]&amp;Crops[[#This Row],[Product]]&amp;Crops[[#This Row],[Unit]]</f>
        <v>LettuceMature HeadHead</v>
      </c>
      <c r="EI187" s="36" t="b">
        <f>_xlfn.XLOOKUP(Crops[[#This Row],[ProductIndex]],Products[ID],Products[Target])</f>
        <v>1</v>
      </c>
      <c r="EJ187" s="36">
        <f>Crops[[#This Row],[Custom Yield Per Bed]]</f>
        <v>200</v>
      </c>
      <c r="EK187" s="210" t="e">
        <f>Crops[[#This Row],[Units Per Harvest]]/Crops[[#This Row],[Days Between Harvest]]*7</f>
        <v>#DIV/0!</v>
      </c>
      <c r="EL187" s="210">
        <f>Crops[[#This Row],[Custom Yield Per Bed]]/_xlfn.XLOOKUP(Crops[[#This Row],[ProductIndex]],Products[ID],Products[CSA Portion])</f>
        <v>200</v>
      </c>
      <c r="EM187" s="210" t="e">
        <f>Crops[[#This Row],[Units Per Harvest]]/Crops[[#This Row],[Days Between Harvest]]*7/_xlfn.XLOOKUP(Crops[[#This Row],[ProductIndex]],Products[ID],Products[CSA Portion])</f>
        <v>#DIV/0!</v>
      </c>
      <c r="EN187" s="210" t="e">
        <f>Crops[[#This Row],[CSA Portions Per Week]]/CSAMembers</f>
        <v>#DIV/0!</v>
      </c>
      <c r="EO187" s="210"/>
      <c r="EP187" s="210"/>
      <c r="EQ187" s="210"/>
      <c r="ER187" s="210">
        <f>Crops[[#This Row],[Harvests]]*Crops[[#This Row],[Days Between Harvest]]/7</f>
        <v>0</v>
      </c>
      <c r="ES187" s="217">
        <f>_xlfn.XLOOKUP(Crops[[#This Row],[ProductIndex]],Products[ID],Products[CSA Need])</f>
        <v>2</v>
      </c>
      <c r="ET187" s="217">
        <f>_xlfn.XLOOKUP(Crops[[#This Row],[ProductIndex]],Products[ID],Products[CSA Times])</f>
        <v>2</v>
      </c>
      <c r="EU187" s="208">
        <f>Crops[[#This Row],[Custom Yield Per Bed]]/(Crops[[#This Row],[CSA Need]]*(_xlfn.XLOOKUP(Crops[[#This Row],[ProductIndex]],Products[ID],Products[CSA Portion])*CSAMembers))</f>
        <v>2</v>
      </c>
      <c r="EV187" s="208">
        <f>_xlfn.XLOOKUP(Crops[[#This Row],[ProductIndex]],Products[ID],Products[CSA Portion])*CSAMembers*Crops[[#This Row],[CSA Need]]/Crops[[#This Row],[Custom Yield Per Bed]]</f>
        <v>0.5</v>
      </c>
      <c r="EW187" s="208">
        <f>IFERROR(Crops[[#This Row],[Days In Field]]*Crops[[#This Row],[CSA Beds]],"")</f>
        <v>48.5</v>
      </c>
      <c r="EX187" s="208" t="e">
        <f>Crops[[#This Row],[CSA Bed Days]]*#REF!</f>
        <v>#REF!</v>
      </c>
      <c r="EY187" t="s">
        <v>421</v>
      </c>
    </row>
    <row r="188" spans="1:155">
      <c r="A18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TP Ow</v>
      </c>
      <c r="B188" s="179"/>
      <c r="C188" s="1" t="b">
        <v>1</v>
      </c>
      <c r="D188" s="1"/>
      <c r="E188" s="1" t="b">
        <v>0</v>
      </c>
      <c r="F188" s="1" t="b">
        <f>IFERROR(IF(ISNUMBER(MATCH(Crops[[#This Row],[Identifier]],BedPlan[Crop], 0)), TRUE, FALSE), FALSE)</f>
        <v>0</v>
      </c>
      <c r="G188" s="1" t="b">
        <f>IFERROR(IF(ISNUMBER(MATCH(Crops[[#This Row],[Identifier]],BedPlan[Crop], 0)), TRUE, FALSE), FALSE)</f>
        <v>0</v>
      </c>
      <c r="H188" s="1" t="b">
        <v>1</v>
      </c>
      <c r="I188" t="s">
        <v>92</v>
      </c>
      <c r="J188" t="s">
        <v>1817</v>
      </c>
      <c r="K188" t="s">
        <v>186</v>
      </c>
      <c r="N188" t="str">
        <f>Crops[[#This Row],[Crop]]</f>
        <v>Lettuce</v>
      </c>
      <c r="O188" t="s">
        <v>210</v>
      </c>
      <c r="P188" t="str">
        <f>IF(OR(Crops[[#This Row],[Days in Cells]]="",Crops[[#This Row],[Days in Cells]]=0), "DS","TP")</f>
        <v>TP</v>
      </c>
      <c r="U188" t="s">
        <v>144</v>
      </c>
      <c r="V188" t="str">
        <f xml:space="preserve"> IF(Crops[[#This Row],[Sp]], "Sp", "") &amp; IF(Crops[[#This Row],[Su]], "Su", "") &amp; IF(Crops[[#This Row],[Fa]], "Fa", "") &amp; IF(Crops[[#This Row],[Wi]], "Wi", "") &amp; IF(Crops[[#This Row],[OW]], "Ow","")</f>
        <v>Ow</v>
      </c>
      <c r="X188">
        <v>3</v>
      </c>
      <c r="Y188">
        <v>9</v>
      </c>
      <c r="AA188" t="s">
        <v>474</v>
      </c>
      <c r="AB188" t="b">
        <v>1</v>
      </c>
      <c r="AD188" s="32">
        <f>IFERROR(12/Crops[[#This Row],[Spacing]]*Crops[[#This Row],[Rows]]*BedLength,"")</f>
        <v>200</v>
      </c>
      <c r="AE188">
        <v>1</v>
      </c>
      <c r="AG188">
        <f>IF(Crops[[#This Row],[Custom Safety Factor]]="",PlantingSafetyFactor,Crops[[#This Row],[Custom Safety Factor]])</f>
        <v>1.3</v>
      </c>
      <c r="AH188">
        <v>1.3</v>
      </c>
      <c r="AI188" s="33">
        <f>IFERROR(Crops[[#This Row],[Plantings Per Bed]]*Crops[[#This Row],[Seeds Per Planting]]*Crops[[#This Row],[Safety Factor]]*Crops[[#This Row],[Seeding Factor]],"")</f>
        <v>338</v>
      </c>
      <c r="AL188">
        <f>_xlfn.FLOOR.MATH(IFERROR(AVERAGE(Crops[[#This Row],[DTG Lower]:[DTG Upper]]),0))</f>
        <v>0</v>
      </c>
      <c r="AM188">
        <f>SUM(Crops[[#This Row],[Tray 1 Days]],Crops[[#This Row],[Tray 2 Days]],Crops[[#This Row],[Tray 3 Days]])</f>
        <v>30</v>
      </c>
      <c r="AP188">
        <f>110+150</f>
        <v>260</v>
      </c>
      <c r="AQ188">
        <f>IFERROR(_xlfn.FLOOR.MATH(AVERAGE(Crops[[#This Row],[DTM Lower]:[DTM Upper]])),"")</f>
        <v>260</v>
      </c>
      <c r="AR188" cm="1">
        <f t="array" ref="AR188">_xlfn.SWITCH(Crops[[#This Row],[Normal Method]],"DS",Crops[[#This Row],[Days to Germination]]+Crops[[#This Row],[DTM]] + IF(Crops[[#This Row],[Days in Cells]]&gt;0,15,0), "TP",Crops[[#This Row],[DTM]]+Crops[[#This Row],[Days in Cells]] + IF(Crops[[#This Row],[Days in Cells]]&lt;=0,20,0), "X", Crops[[#This Row],[DTM]])</f>
        <v>260</v>
      </c>
      <c r="AS188" t="s">
        <v>347</v>
      </c>
      <c r="AT188">
        <f>(Crops[[#This Row],[Harvests]]-1)*Crops[[#This Row],[Days Between Harvest]]+7</f>
        <v>14</v>
      </c>
      <c r="AU188">
        <f>Crops[[#This Row],[STH]]-Crops[[#This Row],[Days in Cells]]+Crops[[#This Row],[Harvest window]]</f>
        <v>244</v>
      </c>
      <c r="AX188">
        <v>128</v>
      </c>
      <c r="AY188">
        <v>30</v>
      </c>
      <c r="AZ188">
        <f>IFERROR(IF(Crops[[#This Row],[Tray 1 Days]]=0,"",Crops[[#This Row],[Plantings Per Bed]]/Crops[[#This Row],[Tray 1 Size]]*Crops[[#This Row],[Safety Factor]]),"")</f>
        <v>2.03125</v>
      </c>
      <c r="BC188" t="str">
        <f>IFERROR(IF(Crops[[#This Row],[Tray 2 Days]]=0,"",Crops[[#This Row],[Plantings Per Bed]]/Crops[[#This Row],[Tray 2 Size]]*Crops[[#This Row],[Safety Factor]]),"")</f>
        <v/>
      </c>
      <c r="BE188" s="32" t="str">
        <f>IF(NOT(ISBLANK(Crops[[#This Row],[Tray 3 Size]])), Crops[[#This Row],[Days in Cells Old]]-SUM(Crops[[#This Row],[Tray 1 Days]],Crops[[#This Row],[Tray 2 Days]]), "")</f>
        <v/>
      </c>
      <c r="BF188" t="str">
        <f>IFERROR(IF(Crops[[#This Row],[Tray 3 Days]]=0,"",Crops[[#This Row],[Plantings Per Bed]]/Crops[[#This Row],[Tray 3 Size]]*Crops[[#This Row],[Safety Factor]]),"")</f>
        <v/>
      </c>
      <c r="BG188" s="33">
        <f>Crops[[#This Row],[Plantings Per Bed]]/Crops[[#This Row],[Harvests]]</f>
        <v>100</v>
      </c>
      <c r="BH188" s="33">
        <v>2</v>
      </c>
      <c r="BI188" s="33">
        <v>7</v>
      </c>
      <c r="BJ188" s="33">
        <f>_xlfn.XLOOKUP(Crops[[#This Row],[ProductIndex]],Products[ID],Products[Holding Period])</f>
        <v>10</v>
      </c>
      <c r="BK188" s="33"/>
      <c r="BL188" s="33">
        <f>Crops[[#This Row],[Units Per Harvest]]*Crops[[#This Row],[Harvests]]</f>
        <v>200</v>
      </c>
      <c r="BM188" s="35">
        <v>4</v>
      </c>
      <c r="BN188" s="35">
        <v>1.8</v>
      </c>
      <c r="BO188" s="35"/>
      <c r="BP188" t="s">
        <v>214</v>
      </c>
      <c r="BQ188">
        <f>Crops[[#This Row],[Custom Yield Per Bed]]*Crops[[#This Row],[Direct Price]]</f>
        <v>800</v>
      </c>
      <c r="BR188" t="b">
        <v>1</v>
      </c>
      <c r="BS188" t="b">
        <f>Crops[[#This Row],[Harvests]]&gt;1</f>
        <v>1</v>
      </c>
      <c r="BT188" s="36">
        <f>IFERROR(Crops[[#This Row],[Direct Revenue Per Bed]]/Crops[[#This Row],[Days In Field]],-1)</f>
        <v>3.278688524590164</v>
      </c>
      <c r="BU188" s="36">
        <f>IFERROR(Crops[[#This Row],[Direct Revenue Per Bed Day]]*GrowingDays*BedsPerAcre,"")</f>
        <v>94426.229508196717</v>
      </c>
      <c r="BV188" s="38">
        <f>LastFrostDate-5*Crops[[#This Row],[Sewing Rel Last Frost]]</f>
        <v>45838</v>
      </c>
      <c r="BW188" s="38">
        <f>Crops[[#This Row],[Target Sewing Date]]+Crops[[#This Row],[Days in Cells]]</f>
        <v>45868</v>
      </c>
      <c r="BX188" s="38">
        <f>Crops[[#This Row],[Target Sewing Date]]+Crops[[#This Row],[STH]]</f>
        <v>46098</v>
      </c>
      <c r="BY188" s="38">
        <f>Crops[[#This Row],[Target Harvest Data]]+Crops[[#This Row],[Harvest window]]</f>
        <v>46112</v>
      </c>
      <c r="BZ188">
        <v>-18</v>
      </c>
      <c r="CA188" t="s">
        <v>373</v>
      </c>
      <c r="CB188">
        <f>1</f>
        <v>1</v>
      </c>
      <c r="CC188">
        <f>IF(Crops[[#This Row],[Transplanting]]&gt;0, 2, 3)*BedLength/StandardBedLength</f>
        <v>1</v>
      </c>
      <c r="CD188" s="173">
        <f>IF(Crops[[#This Row],[Days in Cells]]&lt;=0,0,Crops[[#This Row],[Plantings Per Bed]]/StartsPerHourSeeding+Crops[[#This Row],[Tray 1 Count]]*5/60)</f>
        <v>0.95052083333333337</v>
      </c>
      <c r="CE188" s="173">
        <f>IF(ISBLANK(Crops[[#This Row],[Tray 2 Days]]),0,Crops[[#This Row],[Plantings Per Bed]]/UpPottingPerHour)+IF(Crops[[#This Row],[Tray 3 Days]]="",0,Crops[[#This Row],[Plantings Per Bed]]/UpPottingPerHour)</f>
        <v>0</v>
      </c>
      <c r="CF188" s="173">
        <f>IFERROR(Crops[[#This Row],[Tray 1 Count]]/HomeStartFlatIrrigationPerHour,0)*Crops[[#This Row],[Days in Cells]]/DaysBetweenStartIrrigation</f>
        <v>0.25390625</v>
      </c>
      <c r="CG188" s="173">
        <f>0.5/16*MAX(Crops[[#This Row],[Tray 1 Count]],Crops[[#This Row],[Tray 2 Count]],Crops[[#This Row],[Tray 3 Count]])</f>
        <v>6.34765625E-2</v>
      </c>
      <c r="CH188" s="173">
        <f>IF(Crops[[#This Row],[Days in Cells]]&gt;0,IF(IF(Crops[[#This Row],[Tray 3 Size]]&gt;0,Crops[[#This Row],[Tray 3 Size]],IF(Crops[[#This Row],[Tray 2 Size]]&gt;0,Crops[[#This Row],[Tray 2 Size]],Crops[[#This Row],[Tray 1 Size]]))&lt;=18,LargeTransplantTime,SmallTransplantTime)*Crops[[#This Row],[Plantings Per Bed]],0)</f>
        <v>1</v>
      </c>
      <c r="CI188" s="173"/>
      <c r="CJ188" s="173">
        <f>_xlfn.XLOOKUP(Crops[[#This Row],[Trellis Type]],TrellisMethods[Trellis Type],TrellisMethods[Hours],0,0)</f>
        <v>0</v>
      </c>
      <c r="CK188">
        <f>IF(Crops[[#This Row],[Days in Cells]]&lt;=0,Crops[[#This Row],[Rows]]*1/10,0)*BedLength/50</f>
        <v>0</v>
      </c>
      <c r="CL188" cm="1">
        <f t="array" ref="CL188">_xlfn.SWITCH(Crops[[#This Row],[Irrigation]],"DR", 0.5, "OH", 0.25,0)*BedLength/50</f>
        <v>0</v>
      </c>
      <c r="CM188">
        <f>IF(OR(ISBLANK(Crops[[#This Row],[Row Cover]]),Crops[[#This Row],[Row Cover]]="None"),0,1)*BedLength/50</f>
        <v>0</v>
      </c>
      <c r="CN188" s="173">
        <f>HoursPerWeedingPass*Crops[[#This Row],[Days In Field]]/14*Crops[[#This Row],[Rows]]+1*BedLength/50</f>
        <v>9.7142857142857135</v>
      </c>
      <c r="CO188" s="49"/>
      <c r="CQ188" s="37">
        <f>_xlfn.XLOOKUP(Crops[[#This Row],[Crop]]&amp;Crops[[#This Row],[Product]]&amp;Crops[[#This Row],[Unit]],Products[ID],Products[Marketing (hr)])*Crops[[#This Row],[Direct Revenue Per Bed]]/2000</f>
        <v>0.8</v>
      </c>
      <c r="CR188" s="37">
        <f>_xlfn.XLOOKUP(Crops[[#This Row],[Crop]]&amp;Crops[[#This Row],[Product]]&amp;Crops[[#This Row],[Unit]],Products[ID],Products[Harvest (s)])*Crops[[#This Row],[Custom Yield Per Bed]]/3600</f>
        <v>0.55555555555555558</v>
      </c>
      <c r="CS188" s="37">
        <f>_xlfn.XLOOKUP(Crops[[#This Row],[Crop]]&amp;Crops[[#This Row],[Product]]&amp;Crops[[#This Row],[Unit]],Products[ID],Products[Bunch (s)])*Crops[[#This Row],[Custom Yield Per Bed]]/3600</f>
        <v>0</v>
      </c>
      <c r="CT188" s="37">
        <f>_xlfn.XLOOKUP(Crops[[#This Row],[Crop]]&amp;Crops[[#This Row],[Product]]&amp;Crops[[#This Row],[Unit]],Products[ID],Products[Haul (s)])*Crops[[#This Row],[Custom Yield Per Bed]]/3600</f>
        <v>0.20833333333333334</v>
      </c>
      <c r="CU188" s="37">
        <f>_xlfn.XLOOKUP(Crops[[#This Row],[Crop]]&amp;Crops[[#This Row],[Product]]&amp;Crops[[#This Row],[Unit]],Products[ID],Products[Wash (s)])*Crops[[#This Row],[Custom Yield Per Bed]]/3600</f>
        <v>1.1111111111111112</v>
      </c>
      <c r="CV188" s="37">
        <f>_xlfn.XLOOKUP(Crops[[#This Row],[Crop]]&amp;Crops[[#This Row],[Product]]&amp;Crops[[#This Row],[Unit]],Products[ID],Products[Condition (s)])*Crops[[#This Row],[Custom Yield Per Bed]]/3600</f>
        <v>0</v>
      </c>
      <c r="CW188" s="37">
        <f>_xlfn.XLOOKUP(Crops[[#This Row],[Crop]]&amp;Crops[[#This Row],[Product]]&amp;Crops[[#This Row],[Unit]],Products[ID],Products[Trim (s)])*Crops[[#This Row],[Custom Yield Per Bed]]/3600</f>
        <v>0.55555555555555558</v>
      </c>
      <c r="CX188" s="37">
        <f>_xlfn.XLOOKUP(Crops[[#This Row],[Crop]]&amp;Crops[[#This Row],[Product]]&amp;Crops[[#This Row],[Unit]],Products[ID],Products[Pack (s)])*Crops[[#This Row],[Custom Yield Per Bed]]/3600</f>
        <v>0.16666666666666666</v>
      </c>
      <c r="CY188" s="37">
        <f>_xlfn.XLOOKUP(Crops[[#This Row],[Crop]]&amp;Crops[[#This Row],[Product]]&amp;Crops[[#This Row],[Unit]],Products[ID],Products[Clean (s)])*Crops[[#This Row],[Custom Yield Per Bed]]/3600</f>
        <v>0</v>
      </c>
      <c r="CZ188" s="37">
        <f>_xlfn.XLOOKUP(Crops[[#This Row],[Crop]]&amp;Crops[[#This Row],[Product]]&amp;Crops[[#This Row],[Unit]],Products[ID],Products[Rehandle (s)])*Crops[[#This Row],[Custom Yield Per Bed]]/3600</f>
        <v>0</v>
      </c>
      <c r="DA188" s="37">
        <f>_xlfn.XLOOKUP(Crops[[#This Row],[Crop]]&amp;Crops[[#This Row],[Product]]&amp;Crops[[#This Row],[Unit]],Products[ID],Products[Market Transport (s)])*Crops[[#This Row],[Custom Yield Per Bed]]/3600</f>
        <v>0.52083333333333337</v>
      </c>
      <c r="DC188" s="37">
        <f>Crops[[#This Row],[Direct Revenue Per Bed2]]</f>
        <v>800</v>
      </c>
      <c r="DD188" s="173">
        <f>_xlfn.AGGREGATE(9,6,Crops[[#This Row],[Bed Prep]:[Remove Crop Residue]])</f>
        <v>16.900244915674605</v>
      </c>
      <c r="DE188" s="173">
        <f>_xlfn.AGGREGATE(9,6,Crops[[#This Row],[Bed Prep]:[Remove Crop Residue]])-0.75*Crops[[#This Row],[Market &amp; Sell]]</f>
        <v>16.300244915674604</v>
      </c>
      <c r="DF188" s="36">
        <f>Crops[[#This Row],[Direct Revenue Per Bed2]]/Crops[[#This Row],[Direct Time]]</f>
        <v>47.336592102166378</v>
      </c>
      <c r="DG188" s="36">
        <f>_xlfn.XLOOKUP(Crops[[#This Row],[ProductIndex]],Products[ID],Products[Packaging Cost])*(Crops[[#This Row],[Custom Yield Per Bed]]/_xlfn.XLOOKUP(Crops[[#This Row],[ProductIndex]],Products[ID],Products[Units Per Pack]))</f>
        <v>31.666666666666668</v>
      </c>
      <c r="DH188" s="36"/>
      <c r="DI188" s="36"/>
      <c r="DJ188" s="36"/>
      <c r="DK188" s="36"/>
      <c r="DL188" s="36"/>
      <c r="DM188" s="33">
        <f>IFERROR(Crops[[#This Row],[Custom Yield Per Bed]]*Crops[[#This Row],[Direct Price]],"")</f>
        <v>800</v>
      </c>
      <c r="DN188" s="36">
        <f>Crops[[#This Row],[Direct Time]]*LaborRate</f>
        <v>422.50612289186512</v>
      </c>
      <c r="DO188" s="36">
        <f>SUM(Crops[[#This Row],[Irrigation Cost]])</f>
        <v>0</v>
      </c>
      <c r="DP188" s="36">
        <f>Crops[[#This Row],[Direct Labor Cost]]+Crops[[#This Row],[Direct Non-Labor Cost]]</f>
        <v>422.50612289186512</v>
      </c>
      <c r="DQ188" s="36">
        <f>Crops[[#This Row],[Direct Revenue Per Bed2]]-Crops[[#This Row],[Direct Total Cost]]</f>
        <v>377.49387710813488</v>
      </c>
      <c r="DR188" s="36">
        <f>Crops[[#This Row],[Direct Profit]]*BedsPerAcre</f>
        <v>60399.020337301583</v>
      </c>
      <c r="DS188" s="36">
        <f>Crops[[#This Row],[Direct Profit]]*BedsPerAcre*GrowingDays/Crops[[#This Row],[Days In Field]]</f>
        <v>44556.654347189695</v>
      </c>
      <c r="DT188" s="36">
        <f>Crops[[#This Row],[Direct Profit]]/MIN(Crops[[#This Row],[Days In Field]],GrowingDays)</f>
        <v>2.097188206156305</v>
      </c>
      <c r="DU188" s="33">
        <f>Crops[[#This Row],[Direct Time]] * BedsPerAcre</f>
        <v>2704.0391865079368</v>
      </c>
      <c r="DV188" s="36">
        <f>(Crops[[#This Row],[Direct Revenue Per Bed2]]-Crops[[#This Row],[Direct Non-Labor Cost]])/Crops[[#This Row],[Direct Time]]</f>
        <v>47.336592102166378</v>
      </c>
      <c r="DW188" s="33">
        <f>IFERROR(Crops[[#This Row],[Custom Yield Per Bed]]*Crops[[#This Row],[Rough Wholesale Price]],"")</f>
        <v>360</v>
      </c>
      <c r="DX188" s="36">
        <f>Crops[[#This Row],[Wholesale Time]]*LaborRate</f>
        <v>407.50612289186512</v>
      </c>
      <c r="DY188" s="36">
        <f>SUM(Crops[[#This Row],[Packaging Costs]:[Irrigation Cost]])</f>
        <v>31.666666666666668</v>
      </c>
      <c r="DZ188" s="36">
        <f>Crops[[#This Row],[Wholesale Labor Cost]]+Crops[[#This Row],[Wholesale Non-Labor Cost]]</f>
        <v>439.1727895585318</v>
      </c>
      <c r="EA188" s="36">
        <f>Crops[[#This Row],[Wholesale Revenue Per Bed]]-Crops[[#This Row],[Wholesale Total Cost]]</f>
        <v>-79.172789558531804</v>
      </c>
      <c r="EB188" s="36">
        <f>Crops[[#This Row],[Wholesale Profit]]*BedsPerAcre</f>
        <v>-12667.646329365089</v>
      </c>
      <c r="EC188" s="36">
        <f>Crops[[#This Row],[Wholesale Profit]]*BedsPerAcre*GrowingDays/Crops[[#This Row],[Days In Field]]</f>
        <v>-9344.9849970726063</v>
      </c>
      <c r="ED188" s="33">
        <f>Crops[[#This Row],[Wholesale Time]] * BedsPerAcre</f>
        <v>2608.0391865079364</v>
      </c>
      <c r="EE188" s="221">
        <f>Crops[[#This Row],[Wholesale Profit]]/MIN(Crops[[#This Row],[Days In Field]],GrowingDays)</f>
        <v>-0.43984883088073223</v>
      </c>
      <c r="EF188" s="36">
        <f>(Crops[[#This Row],[Wholesale Revenue Per Bed]]-Crops[[#This Row],[Wholesale Non-Labor Cost]])/Crops[[#This Row],[Direct Time]]</f>
        <v>19.427726341930782</v>
      </c>
      <c r="EG188" s="174">
        <f>Crops[[#This Row],[Packaging Costs]]/Crops[[#This Row],[Wholesale Revenue Per Bed]]</f>
        <v>8.7962962962962965E-2</v>
      </c>
      <c r="EH188" s="36" t="str">
        <f>Crops[[#This Row],[Crop]]&amp;Crops[[#This Row],[Product]]&amp;Crops[[#This Row],[Unit]]</f>
        <v>LettuceMature HeadHead</v>
      </c>
      <c r="EI188" s="36" t="b">
        <f>_xlfn.XLOOKUP(Crops[[#This Row],[ProductIndex]],Products[ID],Products[Target])</f>
        <v>1</v>
      </c>
      <c r="EJ188" s="33">
        <f>Crops[[#This Row],[Custom Yield Per Bed]]</f>
        <v>200</v>
      </c>
      <c r="EK188" s="210">
        <f>Crops[[#This Row],[Units Per Harvest]]/Crops[[#This Row],[Days Between Harvest]]*7</f>
        <v>100</v>
      </c>
      <c r="EL188" s="210">
        <f>Crops[[#This Row],[Custom Yield Per Bed]]/_xlfn.XLOOKUP(Crops[[#This Row],[ProductIndex]],Products[ID],Products[CSA Portion])</f>
        <v>200</v>
      </c>
      <c r="EM188" s="210">
        <f>Crops[[#This Row],[Units Per Harvest]]/Crops[[#This Row],[Days Between Harvest]]*7/_xlfn.XLOOKUP(Crops[[#This Row],[ProductIndex]],Products[ID],Products[CSA Portion])</f>
        <v>100</v>
      </c>
      <c r="EN188" s="210">
        <f>Crops[[#This Row],[CSA Portions Per Week]]/CSAMembers</f>
        <v>2</v>
      </c>
      <c r="EO188" s="216"/>
      <c r="EP188" s="216"/>
      <c r="EQ188" s="210"/>
      <c r="ER188" s="210">
        <f>Crops[[#This Row],[Harvests]]*Crops[[#This Row],[Days Between Harvest]]/7</f>
        <v>2</v>
      </c>
      <c r="ES188" s="217">
        <f>_xlfn.XLOOKUP(Crops[[#This Row],[ProductIndex]],Products[ID],Products[CSA Need])</f>
        <v>2</v>
      </c>
      <c r="ET188" s="217">
        <f>_xlfn.XLOOKUP(Crops[[#This Row],[ProductIndex]],Products[ID],Products[CSA Times])</f>
        <v>2</v>
      </c>
      <c r="EU188" s="208">
        <f>Crops[[#This Row],[Custom Yield Per Bed]]/(Crops[[#This Row],[CSA Need]]*(_xlfn.XLOOKUP(Crops[[#This Row],[ProductIndex]],Products[ID],Products[CSA Portion])*CSAMembers))</f>
        <v>2</v>
      </c>
      <c r="EV188" s="208">
        <f>_xlfn.XLOOKUP(Crops[[#This Row],[ProductIndex]],Products[ID],Products[CSA Portion])*CSAMembers*Crops[[#This Row],[CSA Need]]/Crops[[#This Row],[Custom Yield Per Bed]]</f>
        <v>0.5</v>
      </c>
      <c r="EW188" s="208">
        <f>IFERROR(Crops[[#This Row],[Days In Field]]*Crops[[#This Row],[CSA Beds]],"")</f>
        <v>122</v>
      </c>
      <c r="EX188" s="208" t="e">
        <f>Crops[[#This Row],[CSA Bed Days]]*#REF!</f>
        <v>#REF!</v>
      </c>
      <c r="EY188">
        <v>0</v>
      </c>
    </row>
    <row r="189" spans="1:155">
      <c r="A18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TP Sp</v>
      </c>
      <c r="B189" s="179"/>
      <c r="C189" s="1" t="b">
        <v>1</v>
      </c>
      <c r="D189" s="1"/>
      <c r="E189" s="1" t="b">
        <v>0</v>
      </c>
      <c r="F189" s="1" t="b">
        <f>IFERROR(IF(ISNUMBER(MATCH(Crops[[#This Row],[Identifier]],BedPlan[Crop], 0)), TRUE, FALSE), FALSE)</f>
        <v>0</v>
      </c>
      <c r="G189" s="1" t="b">
        <f>IFERROR(IF(ISNUMBER(MATCH(Crops[[#This Row],[Identifier]],BedPlan[Crop], 0)), TRUE, FALSE), FALSE)</f>
        <v>0</v>
      </c>
      <c r="H189" s="1"/>
      <c r="I189" t="s">
        <v>92</v>
      </c>
      <c r="J189" t="s">
        <v>1817</v>
      </c>
      <c r="K189" t="s">
        <v>186</v>
      </c>
      <c r="M189" t="s">
        <v>441</v>
      </c>
      <c r="N189" t="str">
        <f>Crops[[#This Row],[Crop]]</f>
        <v>Lettuce</v>
      </c>
      <c r="O189" t="s">
        <v>210</v>
      </c>
      <c r="P189" t="str">
        <f>IF(OR(Crops[[#This Row],[Days in Cells]]="",Crops[[#This Row],[Days in Cells]]=0), "DS","TP")</f>
        <v>TP</v>
      </c>
      <c r="Q189" t="b">
        <v>1</v>
      </c>
      <c r="V189" t="str">
        <f xml:space="preserve"> IF(Crops[[#This Row],[Sp]], "Sp", "") &amp; IF(Crops[[#This Row],[Su]], "Su", "") &amp; IF(Crops[[#This Row],[Fa]], "Fa", "") &amp; IF(Crops[[#This Row],[Wi]], "Wi", "") &amp; IF(Crops[[#This Row],[OW]], "Ow","")</f>
        <v>Sp</v>
      </c>
      <c r="W189" t="s">
        <v>144</v>
      </c>
      <c r="X189">
        <v>3</v>
      </c>
      <c r="Y189">
        <v>9</v>
      </c>
      <c r="AA189" t="s">
        <v>474</v>
      </c>
      <c r="AB189" t="b">
        <v>1</v>
      </c>
      <c r="AC189">
        <v>1</v>
      </c>
      <c r="AD189" s="32">
        <f>IFERROR(12/Crops[[#This Row],[Spacing]]*Crops[[#This Row],[Rows]]*BedLength,"")</f>
        <v>200</v>
      </c>
      <c r="AE189">
        <v>1</v>
      </c>
      <c r="AG189">
        <f>IF(Crops[[#This Row],[Custom Safety Factor]]="",PlantingSafetyFactor,Crops[[#This Row],[Custom Safety Factor]])</f>
        <v>1.3</v>
      </c>
      <c r="AH189">
        <v>1.3</v>
      </c>
      <c r="AI189" s="33">
        <f>IFERROR(Crops[[#This Row],[Plantings Per Bed]]*Crops[[#This Row],[Seeds Per Planting]]*Crops[[#This Row],[Safety Factor]]*Crops[[#This Row],[Seeding Factor]],"")</f>
        <v>338</v>
      </c>
      <c r="AL189">
        <f>_xlfn.FLOOR.MATH(IFERROR(AVERAGE(Crops[[#This Row],[DTG Lower]:[DTG Upper]]),0))</f>
        <v>0</v>
      </c>
      <c r="AM189">
        <f>SUM(Crops[[#This Row],[Tray 1 Days]],Crops[[#This Row],[Tray 2 Days]],Crops[[#This Row],[Tray 3 Days]])</f>
        <v>30</v>
      </c>
      <c r="AN189">
        <v>30</v>
      </c>
      <c r="AP189">
        <v>52</v>
      </c>
      <c r="AQ189">
        <f>IFERROR(_xlfn.FLOOR.MATH(AVERAGE(Crops[[#This Row],[DTM Lower]:[DTM Upper]])),"")</f>
        <v>52</v>
      </c>
      <c r="AR189" cm="1">
        <f t="array" ref="AR189">_xlfn.SWITCH(Crops[[#This Row],[Normal Method]],"DS",Crops[[#This Row],[Days to Germination]]+Crops[[#This Row],[DTM]] + IF(Crops[[#This Row],[Days in Cells]]&gt;0,15,0), "TP",Crops[[#This Row],[DTM]]+Crops[[#This Row],[Days in Cells]] + IF(Crops[[#This Row],[Days in Cells]]&lt;=0,20,0), "X", Crops[[#This Row],[DTM]])</f>
        <v>82</v>
      </c>
      <c r="AS189" t="s">
        <v>346</v>
      </c>
      <c r="AT189">
        <f>(Crops[[#This Row],[Harvests]]-1)*Crops[[#This Row],[Days Between Harvest]]+7</f>
        <v>14</v>
      </c>
      <c r="AU189">
        <f>Crops[[#This Row],[STH]]-Crops[[#This Row],[Days in Cells]]+Crops[[#This Row],[Harvest window]]</f>
        <v>66</v>
      </c>
      <c r="AX189">
        <v>128</v>
      </c>
      <c r="AY189">
        <v>30</v>
      </c>
      <c r="AZ189" s="49">
        <f>IFERROR(IF(Crops[[#This Row],[Tray 1 Days]]=0,"",Crops[[#This Row],[Plantings Per Bed]]/Crops[[#This Row],[Tray 1 Size]]*Crops[[#This Row],[Safety Factor]]),"")</f>
        <v>2.03125</v>
      </c>
      <c r="BC189" t="str">
        <f>IFERROR(IF(Crops[[#This Row],[Tray 2 Days]]=0,"",Crops[[#This Row],[Plantings Per Bed]]/Crops[[#This Row],[Tray 2 Size]]*Crops[[#This Row],[Safety Factor]]),"")</f>
        <v/>
      </c>
      <c r="BE189" s="32" t="str">
        <f>IF(NOT(ISBLANK(Crops[[#This Row],[Tray 3 Size]])), Crops[[#This Row],[Days in Cells Old]]-SUM(Crops[[#This Row],[Tray 1 Days]],Crops[[#This Row],[Tray 2 Days]]), "")</f>
        <v/>
      </c>
      <c r="BF189" s="49" t="str">
        <f>IFERROR(IF(Crops[[#This Row],[Tray 3 Days]]=0,"",Crops[[#This Row],[Plantings Per Bed]]/Crops[[#This Row],[Tray 3 Size]]*Crops[[#This Row],[Safety Factor]]),"")</f>
        <v/>
      </c>
      <c r="BG189" s="33">
        <f>Crops[[#This Row],[Plantings Per Bed]]/Crops[[#This Row],[Harvests]]</f>
        <v>100</v>
      </c>
      <c r="BH189" s="33">
        <v>2</v>
      </c>
      <c r="BI189" s="33">
        <v>7</v>
      </c>
      <c r="BJ189" s="33">
        <f>_xlfn.XLOOKUP(Crops[[#This Row],[ProductIndex]],Products[ID],Products[Holding Period])</f>
        <v>10</v>
      </c>
      <c r="BK189" s="33"/>
      <c r="BL189" s="33">
        <f>Crops[[#This Row],[Units Per Harvest]]*Crops[[#This Row],[Harvests]]</f>
        <v>200</v>
      </c>
      <c r="BM189" s="35">
        <v>4</v>
      </c>
      <c r="BN189" s="35">
        <v>1.8</v>
      </c>
      <c r="BO189" s="35"/>
      <c r="BP189" t="s">
        <v>214</v>
      </c>
      <c r="BQ189">
        <f>Crops[[#This Row],[Custom Yield Per Bed]]*Crops[[#This Row],[Direct Price]]</f>
        <v>800</v>
      </c>
      <c r="BR189" t="b">
        <v>1</v>
      </c>
      <c r="BS189" t="b">
        <f>Crops[[#This Row],[Harvests]]&gt;1</f>
        <v>1</v>
      </c>
      <c r="BT189" s="36">
        <f>IFERROR(Crops[[#This Row],[Direct Revenue Per Bed]]/Crops[[#This Row],[Days In Field]],-1)</f>
        <v>12.121212121212121</v>
      </c>
      <c r="BU189" s="36">
        <f>IFERROR(Crops[[#This Row],[Direct Revenue Per Bed Day]]*GrowingDays*BedsPerAcre,"")</f>
        <v>349090.90909090912</v>
      </c>
      <c r="BV189" s="38">
        <f>LastFrostDate-5*Crops[[#This Row],[Sewing Rel Last Frost]]</f>
        <v>45738</v>
      </c>
      <c r="BW189" s="38">
        <f>Crops[[#This Row],[Target Sewing Date]]+Crops[[#This Row],[Days in Cells]]</f>
        <v>45768</v>
      </c>
      <c r="BX189" s="38">
        <f>Crops[[#This Row],[Target Sewing Date]]+Crops[[#This Row],[STH]]</f>
        <v>45820</v>
      </c>
      <c r="BY189" s="38">
        <f>Crops[[#This Row],[Target Harvest Data]]+Crops[[#This Row],[Harvest window]]</f>
        <v>45834</v>
      </c>
      <c r="BZ189">
        <v>2</v>
      </c>
      <c r="CB189">
        <f>1</f>
        <v>1</v>
      </c>
      <c r="CC189">
        <f>IF(Crops[[#This Row],[Transplanting]]&gt;0, 2, 3)*BedLength/StandardBedLength</f>
        <v>1</v>
      </c>
      <c r="CD189" s="173">
        <f>IF(Crops[[#This Row],[Days in Cells]]&lt;=0,0,Crops[[#This Row],[Plantings Per Bed]]/StartsPerHourSeeding+Crops[[#This Row],[Tray 1 Count]]*5/60)</f>
        <v>0.95052083333333337</v>
      </c>
      <c r="CE189" s="173">
        <f>IF(ISBLANK(Crops[[#This Row],[Tray 2 Days]]),0,Crops[[#This Row],[Plantings Per Bed]]/UpPottingPerHour)+IF(Crops[[#This Row],[Tray 3 Days]]="",0,Crops[[#This Row],[Plantings Per Bed]]/UpPottingPerHour)</f>
        <v>0</v>
      </c>
      <c r="CF189" s="173">
        <f>IFERROR(Crops[[#This Row],[Tray 1 Count]]/HomeStartFlatIrrigationPerHour,0)*Crops[[#This Row],[Days in Cells]]/DaysBetweenStartIrrigation</f>
        <v>0.25390625</v>
      </c>
      <c r="CG189" s="173">
        <f>0.5/16*MAX(Crops[[#This Row],[Tray 1 Count]],Crops[[#This Row],[Tray 2 Count]],Crops[[#This Row],[Tray 3 Count]])</f>
        <v>6.34765625E-2</v>
      </c>
      <c r="CH189" s="173">
        <f>IF(Crops[[#This Row],[Days in Cells]]&gt;0,IF(IF(Crops[[#This Row],[Tray 3 Size]]&gt;0,Crops[[#This Row],[Tray 3 Size]],IF(Crops[[#This Row],[Tray 2 Size]]&gt;0,Crops[[#This Row],[Tray 2 Size]],Crops[[#This Row],[Tray 1 Size]]))&lt;=18,LargeTransplantTime,SmallTransplantTime)*Crops[[#This Row],[Plantings Per Bed]],0)</f>
        <v>1</v>
      </c>
      <c r="CI189" s="173"/>
      <c r="CJ189" s="173">
        <f>_xlfn.XLOOKUP(Crops[[#This Row],[Trellis Type]],TrellisMethods[Trellis Type],TrellisMethods[Hours],0,0)</f>
        <v>0</v>
      </c>
      <c r="CK189">
        <f>IF(Crops[[#This Row],[Days in Cells]]&lt;=0,Crops[[#This Row],[Rows]]*1/10,0)*BedLength/50</f>
        <v>0</v>
      </c>
      <c r="CL189" cm="1">
        <f t="array" ref="CL189">_xlfn.SWITCH(Crops[[#This Row],[Irrigation]],"DR", 0.5, "OH", 0.25,0)*BedLength/50</f>
        <v>0</v>
      </c>
      <c r="CM189">
        <f>IF(OR(ISBLANK(Crops[[#This Row],[Row Cover]]),Crops[[#This Row],[Row Cover]]="None"),0,1)*BedLength/50</f>
        <v>0</v>
      </c>
      <c r="CN189" s="173">
        <f>HoursPerWeedingPass*Crops[[#This Row],[Days In Field]]/14*Crops[[#This Row],[Rows]]+1*BedLength/50</f>
        <v>3.3571428571428572</v>
      </c>
      <c r="CO189" s="49"/>
      <c r="CQ189" s="37">
        <f>_xlfn.XLOOKUP(Crops[[#This Row],[Crop]]&amp;Crops[[#This Row],[Product]]&amp;Crops[[#This Row],[Unit]],Products[ID],Products[Marketing (hr)])*Crops[[#This Row],[Direct Revenue Per Bed]]/2000</f>
        <v>0.8</v>
      </c>
      <c r="CR189" s="37">
        <f>_xlfn.XLOOKUP(Crops[[#This Row],[Crop]]&amp;Crops[[#This Row],[Product]]&amp;Crops[[#This Row],[Unit]],Products[ID],Products[Harvest (s)])*Crops[[#This Row],[Custom Yield Per Bed]]/3600</f>
        <v>0.55555555555555558</v>
      </c>
      <c r="CS189" s="37">
        <f>_xlfn.XLOOKUP(Crops[[#This Row],[Crop]]&amp;Crops[[#This Row],[Product]]&amp;Crops[[#This Row],[Unit]],Products[ID],Products[Bunch (s)])*Crops[[#This Row],[Custom Yield Per Bed]]/3600</f>
        <v>0</v>
      </c>
      <c r="CT189" s="37">
        <f>_xlfn.XLOOKUP(Crops[[#This Row],[Crop]]&amp;Crops[[#This Row],[Product]]&amp;Crops[[#This Row],[Unit]],Products[ID],Products[Haul (s)])*Crops[[#This Row],[Custom Yield Per Bed]]/3600</f>
        <v>0.20833333333333334</v>
      </c>
      <c r="CU189" s="37">
        <f>_xlfn.XLOOKUP(Crops[[#This Row],[Crop]]&amp;Crops[[#This Row],[Product]]&amp;Crops[[#This Row],[Unit]],Products[ID],Products[Wash (s)])*Crops[[#This Row],[Custom Yield Per Bed]]/3600</f>
        <v>1.1111111111111112</v>
      </c>
      <c r="CV189" s="37">
        <f>_xlfn.XLOOKUP(Crops[[#This Row],[Crop]]&amp;Crops[[#This Row],[Product]]&amp;Crops[[#This Row],[Unit]],Products[ID],Products[Condition (s)])*Crops[[#This Row],[Custom Yield Per Bed]]/3600</f>
        <v>0</v>
      </c>
      <c r="CW189" s="37">
        <f>_xlfn.XLOOKUP(Crops[[#This Row],[Crop]]&amp;Crops[[#This Row],[Product]]&amp;Crops[[#This Row],[Unit]],Products[ID],Products[Trim (s)])*Crops[[#This Row],[Custom Yield Per Bed]]/3600</f>
        <v>0.55555555555555558</v>
      </c>
      <c r="CX189" s="37">
        <f>_xlfn.XLOOKUP(Crops[[#This Row],[Crop]]&amp;Crops[[#This Row],[Product]]&amp;Crops[[#This Row],[Unit]],Products[ID],Products[Pack (s)])*Crops[[#This Row],[Custom Yield Per Bed]]/3600</f>
        <v>0.16666666666666666</v>
      </c>
      <c r="CY189" s="37">
        <f>_xlfn.XLOOKUP(Crops[[#This Row],[Crop]]&amp;Crops[[#This Row],[Product]]&amp;Crops[[#This Row],[Unit]],Products[ID],Products[Clean (s)])*Crops[[#This Row],[Custom Yield Per Bed]]/3600</f>
        <v>0</v>
      </c>
      <c r="CZ189" s="37">
        <f>_xlfn.XLOOKUP(Crops[[#This Row],[Crop]]&amp;Crops[[#This Row],[Product]]&amp;Crops[[#This Row],[Unit]],Products[ID],Products[Rehandle (s)])*Crops[[#This Row],[Custom Yield Per Bed]]/3600</f>
        <v>0</v>
      </c>
      <c r="DA189" s="37">
        <f>_xlfn.XLOOKUP(Crops[[#This Row],[Crop]]&amp;Crops[[#This Row],[Product]]&amp;Crops[[#This Row],[Unit]],Products[ID],Products[Market Transport (s)])*Crops[[#This Row],[Custom Yield Per Bed]]/3600</f>
        <v>0.52083333333333337</v>
      </c>
      <c r="DC189" s="37">
        <f>Crops[[#This Row],[Direct Revenue Per Bed2]]</f>
        <v>800</v>
      </c>
      <c r="DD189" s="173">
        <f>_xlfn.AGGREGATE(9,6,Crops[[#This Row],[Bed Prep]:[Remove Crop Residue]])</f>
        <v>10.543102058531746</v>
      </c>
      <c r="DE189" s="173">
        <f>_xlfn.AGGREGATE(9,6,Crops[[#This Row],[Bed Prep]:[Remove Crop Residue]])-0.75*Crops[[#This Row],[Market &amp; Sell]]</f>
        <v>9.9431020585317462</v>
      </c>
      <c r="DF189" s="36">
        <f>Crops[[#This Row],[Direct Revenue Per Bed2]]/Crops[[#This Row],[Direct Time]]</f>
        <v>75.878996101780089</v>
      </c>
      <c r="DG189" s="36">
        <f>_xlfn.XLOOKUP(Crops[[#This Row],[ProductIndex]],Products[ID],Products[Packaging Cost])*(Crops[[#This Row],[Custom Yield Per Bed]]/_xlfn.XLOOKUP(Crops[[#This Row],[ProductIndex]],Products[ID],Products[Units Per Pack]))</f>
        <v>31.666666666666668</v>
      </c>
      <c r="DH189" s="36"/>
      <c r="DI189" s="36"/>
      <c r="DJ189" s="36"/>
      <c r="DK189" s="36"/>
      <c r="DL189" s="36"/>
      <c r="DM189" s="33">
        <f>IFERROR(Crops[[#This Row],[Custom Yield Per Bed]]*Crops[[#This Row],[Direct Price]],"")</f>
        <v>800</v>
      </c>
      <c r="DN189" s="36">
        <f>Crops[[#This Row],[Direct Time]]*LaborRate</f>
        <v>263.57755146329367</v>
      </c>
      <c r="DO189" s="36">
        <f>SUM(Crops[[#This Row],[Irrigation Cost]])</f>
        <v>0</v>
      </c>
      <c r="DP189" s="36">
        <f>Crops[[#This Row],[Direct Labor Cost]]+Crops[[#This Row],[Direct Non-Labor Cost]]</f>
        <v>263.57755146329367</v>
      </c>
      <c r="DQ189" s="36">
        <f>Crops[[#This Row],[Direct Revenue Per Bed2]]-Crops[[#This Row],[Direct Total Cost]]</f>
        <v>536.42244853670627</v>
      </c>
      <c r="DR189" s="36">
        <f>Crops[[#This Row],[Direct Profit]]*BedsPerAcre</f>
        <v>85827.591765873003</v>
      </c>
      <c r="DS189" s="36">
        <f>Crops[[#This Row],[Direct Profit]]*BedsPerAcre*GrowingDays/Crops[[#This Row],[Days In Field]]</f>
        <v>234075.25027056271</v>
      </c>
      <c r="DT189" s="36">
        <f>Crops[[#This Row],[Direct Profit]]/MIN(Crops[[#This Row],[Days In Field]],GrowingDays)</f>
        <v>8.1276128566167625</v>
      </c>
      <c r="DU189" s="33">
        <f>Crops[[#This Row],[Direct Time]] * BedsPerAcre</f>
        <v>1686.8963293650793</v>
      </c>
      <c r="DV189" s="36">
        <f>(Crops[[#This Row],[Direct Revenue Per Bed2]]-Crops[[#This Row],[Direct Non-Labor Cost]])/Crops[[#This Row],[Direct Time]]</f>
        <v>75.878996101780089</v>
      </c>
      <c r="DW189" s="33">
        <f>IFERROR(Crops[[#This Row],[Custom Yield Per Bed]]*Crops[[#This Row],[Rough Wholesale Price]],"")</f>
        <v>360</v>
      </c>
      <c r="DX189" s="36">
        <f>Crops[[#This Row],[Wholesale Time]]*LaborRate</f>
        <v>248.57755146329364</v>
      </c>
      <c r="DY189" s="36">
        <f>SUM(Crops[[#This Row],[Packaging Costs]:[Irrigation Cost]])</f>
        <v>31.666666666666668</v>
      </c>
      <c r="DZ189" s="36">
        <f>Crops[[#This Row],[Wholesale Labor Cost]]+Crops[[#This Row],[Wholesale Non-Labor Cost]]</f>
        <v>280.2442181299603</v>
      </c>
      <c r="EA189" s="36">
        <f>Crops[[#This Row],[Wholesale Revenue Per Bed]]-Crops[[#This Row],[Wholesale Total Cost]]</f>
        <v>79.755781870039698</v>
      </c>
      <c r="EB189" s="36">
        <f>Crops[[#This Row],[Wholesale Profit]]*BedsPerAcre</f>
        <v>12760.925099206352</v>
      </c>
      <c r="EC189" s="36">
        <f>Crops[[#This Row],[Wholesale Profit]]*BedsPerAcre*GrowingDays/Crops[[#This Row],[Days In Field]]</f>
        <v>34802.522997835506</v>
      </c>
      <c r="ED189" s="33">
        <f>Crops[[#This Row],[Wholesale Time]] * BedsPerAcre</f>
        <v>1590.8963293650795</v>
      </c>
      <c r="EE189" s="221">
        <f>Crops[[#This Row],[Wholesale Profit]]/MIN(Crops[[#This Row],[Days In Field]],GrowingDays)</f>
        <v>1.2084209374248438</v>
      </c>
      <c r="EF189" s="36">
        <f>(Crops[[#This Row],[Wholesale Revenue Per Bed]]-Crops[[#This Row],[Wholesale Non-Labor Cost]])/Crops[[#This Row],[Direct Time]]</f>
        <v>31.142004650105577</v>
      </c>
      <c r="EG189" s="174">
        <f>Crops[[#This Row],[Packaging Costs]]/Crops[[#This Row],[Wholesale Revenue Per Bed]]</f>
        <v>8.7962962962962965E-2</v>
      </c>
      <c r="EH189" s="36" t="str">
        <f>Crops[[#This Row],[Crop]]&amp;Crops[[#This Row],[Product]]&amp;Crops[[#This Row],[Unit]]</f>
        <v>LettuceMature HeadHead</v>
      </c>
      <c r="EI189" s="36" t="b">
        <f>_xlfn.XLOOKUP(Crops[[#This Row],[ProductIndex]],Products[ID],Products[Target])</f>
        <v>1</v>
      </c>
      <c r="EJ189" s="33">
        <f>Crops[[#This Row],[Custom Yield Per Bed]]</f>
        <v>200</v>
      </c>
      <c r="EK189" s="210">
        <f>Crops[[#This Row],[Units Per Harvest]]/Crops[[#This Row],[Days Between Harvest]]*7</f>
        <v>100</v>
      </c>
      <c r="EL189" s="210">
        <f>Crops[[#This Row],[Custom Yield Per Bed]]/_xlfn.XLOOKUP(Crops[[#This Row],[ProductIndex]],Products[ID],Products[CSA Portion])</f>
        <v>200</v>
      </c>
      <c r="EM189" s="210">
        <f>Crops[[#This Row],[Units Per Harvest]]/Crops[[#This Row],[Days Between Harvest]]*7/_xlfn.XLOOKUP(Crops[[#This Row],[ProductIndex]],Products[ID],Products[CSA Portion])</f>
        <v>100</v>
      </c>
      <c r="EN189" s="210">
        <f>Crops[[#This Row],[CSA Portions Per Week]]/CSAMembers</f>
        <v>2</v>
      </c>
      <c r="EO189" s="216"/>
      <c r="EP189" s="216"/>
      <c r="EQ189" s="210"/>
      <c r="ER189" s="210">
        <f>Crops[[#This Row],[Harvests]]*Crops[[#This Row],[Days Between Harvest]]/7</f>
        <v>2</v>
      </c>
      <c r="ES189" s="217">
        <f>_xlfn.XLOOKUP(Crops[[#This Row],[ProductIndex]],Products[ID],Products[CSA Need])</f>
        <v>2</v>
      </c>
      <c r="ET189" s="217">
        <f>_xlfn.XLOOKUP(Crops[[#This Row],[ProductIndex]],Products[ID],Products[CSA Times])</f>
        <v>2</v>
      </c>
      <c r="EU189" s="208">
        <f>Crops[[#This Row],[Custom Yield Per Bed]]/(Crops[[#This Row],[CSA Need]]*(_xlfn.XLOOKUP(Crops[[#This Row],[ProductIndex]],Products[ID],Products[CSA Portion])*CSAMembers))</f>
        <v>2</v>
      </c>
      <c r="EV189" s="208">
        <f>_xlfn.XLOOKUP(Crops[[#This Row],[ProductIndex]],Products[ID],Products[CSA Portion])*CSAMembers*Crops[[#This Row],[CSA Need]]/Crops[[#This Row],[Custom Yield Per Bed]]</f>
        <v>0.5</v>
      </c>
      <c r="EW189" s="208">
        <f>IFERROR(Crops[[#This Row],[Days In Field]]*Crops[[#This Row],[CSA Beds]],"")</f>
        <v>33</v>
      </c>
      <c r="EX189" s="208" t="e">
        <f>Crops[[#This Row],[CSA Bed Days]]*#REF!</f>
        <v>#REF!</v>
      </c>
      <c r="EY189" t="s">
        <v>421</v>
      </c>
    </row>
    <row r="190" spans="1:155">
      <c r="A19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TP SuFa</v>
      </c>
      <c r="B190" s="179"/>
      <c r="C190" s="1" t="b">
        <v>1</v>
      </c>
      <c r="D190" s="1"/>
      <c r="E190" s="1" t="b">
        <v>0</v>
      </c>
      <c r="F190" s="1" t="b">
        <f>IFERROR(IF(ISNUMBER(MATCH(Crops[[#This Row],[Identifier]],BedPlan[Crop], 0)), TRUE, FALSE), FALSE)</f>
        <v>0</v>
      </c>
      <c r="G190" s="1" t="b">
        <f>IFERROR(IF(ISNUMBER(MATCH(Crops[[#This Row],[Identifier]],BedPlan[Crop], 0)), TRUE, FALSE), FALSE)</f>
        <v>0</v>
      </c>
      <c r="H190" s="1"/>
      <c r="I190" t="s">
        <v>92</v>
      </c>
      <c r="J190" t="s">
        <v>1817</v>
      </c>
      <c r="K190" t="s">
        <v>186</v>
      </c>
      <c r="M190" t="s">
        <v>441</v>
      </c>
      <c r="N190" t="str">
        <f>Crops[[#This Row],[Crop]]</f>
        <v>Lettuce</v>
      </c>
      <c r="O190" t="s">
        <v>210</v>
      </c>
      <c r="P190" t="str">
        <f>IF(OR(Crops[[#This Row],[Days in Cells]]="",Crops[[#This Row],[Days in Cells]]=0), "DS","TP")</f>
        <v>TP</v>
      </c>
      <c r="R190" t="b">
        <v>1</v>
      </c>
      <c r="S190" t="b">
        <v>1</v>
      </c>
      <c r="V190" t="str">
        <f xml:space="preserve"> IF(Crops[[#This Row],[Sp]], "Sp", "") &amp; IF(Crops[[#This Row],[Su]], "Su", "") &amp; IF(Crops[[#This Row],[Fa]], "Fa", "") &amp; IF(Crops[[#This Row],[Wi]], "Wi", "") &amp; IF(Crops[[#This Row],[OW]], "Ow","")</f>
        <v>SuFa</v>
      </c>
      <c r="W190" t="s">
        <v>144</v>
      </c>
      <c r="X190">
        <v>3</v>
      </c>
      <c r="Y190">
        <v>9</v>
      </c>
      <c r="AA190" t="s">
        <v>474</v>
      </c>
      <c r="AB190" t="b">
        <v>1</v>
      </c>
      <c r="AC190">
        <v>1</v>
      </c>
      <c r="AD190" s="32">
        <f>IFERROR(12/Crops[[#This Row],[Spacing]]*Crops[[#This Row],[Rows]]*BedLength,"")</f>
        <v>200</v>
      </c>
      <c r="AE190">
        <v>1</v>
      </c>
      <c r="AG190">
        <f>IF(Crops[[#This Row],[Custom Safety Factor]]="",PlantingSafetyFactor,Crops[[#This Row],[Custom Safety Factor]])</f>
        <v>1.3</v>
      </c>
      <c r="AH190">
        <v>1.3</v>
      </c>
      <c r="AI190" s="33">
        <f>IFERROR(Crops[[#This Row],[Plantings Per Bed]]*Crops[[#This Row],[Seeds Per Planting]]*Crops[[#This Row],[Safety Factor]]*Crops[[#This Row],[Seeding Factor]],"")</f>
        <v>338</v>
      </c>
      <c r="AL190">
        <f>_xlfn.FLOOR.MATH(IFERROR(AVERAGE(Crops[[#This Row],[DTG Lower]:[DTG Upper]]),0))</f>
        <v>0</v>
      </c>
      <c r="AM190">
        <f>SUM(Crops[[#This Row],[Tray 1 Days]],Crops[[#This Row],[Tray 2 Days]],Crops[[#This Row],[Tray 3 Days]])</f>
        <v>30</v>
      </c>
      <c r="AN190">
        <v>30</v>
      </c>
      <c r="AP190">
        <v>40</v>
      </c>
      <c r="AQ190">
        <f>IFERROR(_xlfn.FLOOR.MATH(AVERAGE(Crops[[#This Row],[DTM Lower]:[DTM Upper]])),"")</f>
        <v>40</v>
      </c>
      <c r="AR190" cm="1">
        <f t="array" ref="AR190">_xlfn.SWITCH(Crops[[#This Row],[Normal Method]],"DS",Crops[[#This Row],[Days to Germination]]+Crops[[#This Row],[DTM]] + IF(Crops[[#This Row],[Days in Cells]]&gt;0,15,0), "TP",Crops[[#This Row],[DTM]]+Crops[[#This Row],[Days in Cells]] + IF(Crops[[#This Row],[Days in Cells]]&lt;=0,20,0), "X", Crops[[#This Row],[DTM]])</f>
        <v>70</v>
      </c>
      <c r="AS190" t="s">
        <v>346</v>
      </c>
      <c r="AT190">
        <f>(Crops[[#This Row],[Harvests]]-1)*Crops[[#This Row],[Days Between Harvest]]+7</f>
        <v>14</v>
      </c>
      <c r="AU190">
        <f>Crops[[#This Row],[STH]]-Crops[[#This Row],[Days in Cells]]+Crops[[#This Row],[Harvest window]]</f>
        <v>54</v>
      </c>
      <c r="AX190">
        <v>128</v>
      </c>
      <c r="AY190">
        <v>30</v>
      </c>
      <c r="AZ190" s="49">
        <f>IFERROR(IF(Crops[[#This Row],[Tray 1 Days]]=0,"",Crops[[#This Row],[Plantings Per Bed]]/Crops[[#This Row],[Tray 1 Size]]*Crops[[#This Row],[Safety Factor]]),"")</f>
        <v>2.03125</v>
      </c>
      <c r="BC190" t="str">
        <f>IFERROR(IF(Crops[[#This Row],[Tray 2 Days]]=0,"",Crops[[#This Row],[Plantings Per Bed]]/Crops[[#This Row],[Tray 2 Size]]*Crops[[#This Row],[Safety Factor]]),"")</f>
        <v/>
      </c>
      <c r="BE190" s="32" t="str">
        <f>IF(NOT(ISBLANK(Crops[[#This Row],[Tray 3 Size]])), Crops[[#This Row],[Days in Cells Old]]-SUM(Crops[[#This Row],[Tray 1 Days]],Crops[[#This Row],[Tray 2 Days]]), "")</f>
        <v/>
      </c>
      <c r="BF190" s="49" t="str">
        <f>IFERROR(IF(Crops[[#This Row],[Tray 3 Days]]=0,"",Crops[[#This Row],[Plantings Per Bed]]/Crops[[#This Row],[Tray 3 Size]]*Crops[[#This Row],[Safety Factor]]),"")</f>
        <v/>
      </c>
      <c r="BG190" s="33">
        <f>Crops[[#This Row],[Plantings Per Bed]]/Crops[[#This Row],[Harvests]]</f>
        <v>100</v>
      </c>
      <c r="BH190" s="33">
        <v>2</v>
      </c>
      <c r="BI190" s="33">
        <v>7</v>
      </c>
      <c r="BJ190" s="33">
        <f>_xlfn.XLOOKUP(Crops[[#This Row],[ProductIndex]],Products[ID],Products[Holding Period])</f>
        <v>10</v>
      </c>
      <c r="BK190" s="33"/>
      <c r="BL190" s="33">
        <f>Crops[[#This Row],[Units Per Harvest]]*Crops[[#This Row],[Harvests]]</f>
        <v>200</v>
      </c>
      <c r="BM190" s="35">
        <v>4</v>
      </c>
      <c r="BN190" s="35">
        <v>1.8</v>
      </c>
      <c r="BO190" s="35"/>
      <c r="BP190" t="s">
        <v>214</v>
      </c>
      <c r="BQ190">
        <f>Crops[[#This Row],[Custom Yield Per Bed]]*Crops[[#This Row],[Direct Price]]</f>
        <v>800</v>
      </c>
      <c r="BR190" t="b">
        <v>1</v>
      </c>
      <c r="BS190" t="b">
        <f>Crops[[#This Row],[Harvests]]&gt;1</f>
        <v>1</v>
      </c>
      <c r="BT190" s="36">
        <f>IFERROR(Crops[[#This Row],[Direct Revenue Per Bed]]/Crops[[#This Row],[Days In Field]],-1)</f>
        <v>14.814814814814815</v>
      </c>
      <c r="BU190" s="36">
        <f>IFERROR(Crops[[#This Row],[Direct Revenue Per Bed Day]]*GrowingDays*BedsPerAcre,"")</f>
        <v>426666.66666666663</v>
      </c>
      <c r="BV190" s="38">
        <f>LastFrostDate-5*Crops[[#This Row],[Sewing Rel Last Frost]]</f>
        <v>45763</v>
      </c>
      <c r="BW190" s="38">
        <f>Crops[[#This Row],[Target Sewing Date]]+Crops[[#This Row],[Days in Cells]]</f>
        <v>45793</v>
      </c>
      <c r="BX190" s="38">
        <f>Crops[[#This Row],[Target Sewing Date]]+Crops[[#This Row],[STH]]</f>
        <v>45833</v>
      </c>
      <c r="BY190" s="38">
        <f>Crops[[#This Row],[Target Harvest Data]]+Crops[[#This Row],[Harvest window]]</f>
        <v>45847</v>
      </c>
      <c r="BZ190">
        <v>-3</v>
      </c>
      <c r="CB190">
        <f>1</f>
        <v>1</v>
      </c>
      <c r="CC190">
        <f>IF(Crops[[#This Row],[Transplanting]]&gt;0, 2, 3)*BedLength/StandardBedLength</f>
        <v>1</v>
      </c>
      <c r="CD190" s="173">
        <f>IF(Crops[[#This Row],[Days in Cells]]&lt;=0,0,Crops[[#This Row],[Plantings Per Bed]]/StartsPerHourSeeding+Crops[[#This Row],[Tray 1 Count]]*5/60)</f>
        <v>0.95052083333333337</v>
      </c>
      <c r="CE190" s="173">
        <f>IF(ISBLANK(Crops[[#This Row],[Tray 2 Days]]),0,Crops[[#This Row],[Plantings Per Bed]]/UpPottingPerHour)+IF(Crops[[#This Row],[Tray 3 Days]]="",0,Crops[[#This Row],[Plantings Per Bed]]/UpPottingPerHour)</f>
        <v>0</v>
      </c>
      <c r="CF190" s="173">
        <f>IFERROR(Crops[[#This Row],[Tray 1 Count]]/HomeStartFlatIrrigationPerHour,0)*Crops[[#This Row],[Days in Cells]]/DaysBetweenStartIrrigation</f>
        <v>0.25390625</v>
      </c>
      <c r="CG190" s="173">
        <f>0.5/16*MAX(Crops[[#This Row],[Tray 1 Count]],Crops[[#This Row],[Tray 2 Count]],Crops[[#This Row],[Tray 3 Count]])</f>
        <v>6.34765625E-2</v>
      </c>
      <c r="CH190" s="173">
        <f>IF(Crops[[#This Row],[Days in Cells]]&gt;0,IF(IF(Crops[[#This Row],[Tray 3 Size]]&gt;0,Crops[[#This Row],[Tray 3 Size]],IF(Crops[[#This Row],[Tray 2 Size]]&gt;0,Crops[[#This Row],[Tray 2 Size]],Crops[[#This Row],[Tray 1 Size]]))&lt;=18,LargeTransplantTime,SmallTransplantTime)*Crops[[#This Row],[Plantings Per Bed]],0)</f>
        <v>1</v>
      </c>
      <c r="CI190" s="173"/>
      <c r="CJ190" s="173">
        <f>_xlfn.XLOOKUP(Crops[[#This Row],[Trellis Type]],TrellisMethods[Trellis Type],TrellisMethods[Hours],0,0)</f>
        <v>0</v>
      </c>
      <c r="CK190">
        <f>IF(Crops[[#This Row],[Days in Cells]]&lt;=0,Crops[[#This Row],[Rows]]*1/10,0)*BedLength/50</f>
        <v>0</v>
      </c>
      <c r="CL190" cm="1">
        <f t="array" ref="CL190">_xlfn.SWITCH(Crops[[#This Row],[Irrigation]],"DR", 0.5, "OH", 0.25,0)*BedLength/50</f>
        <v>0</v>
      </c>
      <c r="CM190">
        <f>IF(OR(ISBLANK(Crops[[#This Row],[Row Cover]]),Crops[[#This Row],[Row Cover]]="None"),0,1)*BedLength/50</f>
        <v>0</v>
      </c>
      <c r="CN190" s="173">
        <f>HoursPerWeedingPass*Crops[[#This Row],[Days In Field]]/14*Crops[[#This Row],[Rows]]+1*BedLength/50</f>
        <v>2.9285714285714288</v>
      </c>
      <c r="CO190" s="49"/>
      <c r="CQ190" s="37">
        <f>_xlfn.XLOOKUP(Crops[[#This Row],[Crop]]&amp;Crops[[#This Row],[Product]]&amp;Crops[[#This Row],[Unit]],Products[ID],Products[Marketing (hr)])*Crops[[#This Row],[Direct Revenue Per Bed]]/2000</f>
        <v>0.8</v>
      </c>
      <c r="CR190" s="37">
        <f>_xlfn.XLOOKUP(Crops[[#This Row],[Crop]]&amp;Crops[[#This Row],[Product]]&amp;Crops[[#This Row],[Unit]],Products[ID],Products[Harvest (s)])*Crops[[#This Row],[Custom Yield Per Bed]]/3600</f>
        <v>0.55555555555555558</v>
      </c>
      <c r="CS190" s="37">
        <f>_xlfn.XLOOKUP(Crops[[#This Row],[Crop]]&amp;Crops[[#This Row],[Product]]&amp;Crops[[#This Row],[Unit]],Products[ID],Products[Bunch (s)])*Crops[[#This Row],[Custom Yield Per Bed]]/3600</f>
        <v>0</v>
      </c>
      <c r="CT190" s="37">
        <f>_xlfn.XLOOKUP(Crops[[#This Row],[Crop]]&amp;Crops[[#This Row],[Product]]&amp;Crops[[#This Row],[Unit]],Products[ID],Products[Haul (s)])*Crops[[#This Row],[Custom Yield Per Bed]]/3600</f>
        <v>0.20833333333333334</v>
      </c>
      <c r="CU190" s="37">
        <f>_xlfn.XLOOKUP(Crops[[#This Row],[Crop]]&amp;Crops[[#This Row],[Product]]&amp;Crops[[#This Row],[Unit]],Products[ID],Products[Wash (s)])*Crops[[#This Row],[Custom Yield Per Bed]]/3600</f>
        <v>1.1111111111111112</v>
      </c>
      <c r="CV190" s="37">
        <f>_xlfn.XLOOKUP(Crops[[#This Row],[Crop]]&amp;Crops[[#This Row],[Product]]&amp;Crops[[#This Row],[Unit]],Products[ID],Products[Condition (s)])*Crops[[#This Row],[Custom Yield Per Bed]]/3600</f>
        <v>0</v>
      </c>
      <c r="CW190" s="37">
        <f>_xlfn.XLOOKUP(Crops[[#This Row],[Crop]]&amp;Crops[[#This Row],[Product]]&amp;Crops[[#This Row],[Unit]],Products[ID],Products[Trim (s)])*Crops[[#This Row],[Custom Yield Per Bed]]/3600</f>
        <v>0.55555555555555558</v>
      </c>
      <c r="CX190" s="37">
        <f>_xlfn.XLOOKUP(Crops[[#This Row],[Crop]]&amp;Crops[[#This Row],[Product]]&amp;Crops[[#This Row],[Unit]],Products[ID],Products[Pack (s)])*Crops[[#This Row],[Custom Yield Per Bed]]/3600</f>
        <v>0.16666666666666666</v>
      </c>
      <c r="CY190" s="37">
        <f>_xlfn.XLOOKUP(Crops[[#This Row],[Crop]]&amp;Crops[[#This Row],[Product]]&amp;Crops[[#This Row],[Unit]],Products[ID],Products[Clean (s)])*Crops[[#This Row],[Custom Yield Per Bed]]/3600</f>
        <v>0</v>
      </c>
      <c r="CZ190" s="37">
        <f>_xlfn.XLOOKUP(Crops[[#This Row],[Crop]]&amp;Crops[[#This Row],[Product]]&amp;Crops[[#This Row],[Unit]],Products[ID],Products[Rehandle (s)])*Crops[[#This Row],[Custom Yield Per Bed]]/3600</f>
        <v>0</v>
      </c>
      <c r="DA190" s="37">
        <f>_xlfn.XLOOKUP(Crops[[#This Row],[Crop]]&amp;Crops[[#This Row],[Product]]&amp;Crops[[#This Row],[Unit]],Products[ID],Products[Market Transport (s)])*Crops[[#This Row],[Custom Yield Per Bed]]/3600</f>
        <v>0.52083333333333337</v>
      </c>
      <c r="DC190" s="37">
        <f>Crops[[#This Row],[Direct Revenue Per Bed2]]</f>
        <v>800</v>
      </c>
      <c r="DD190" s="173">
        <f>_xlfn.AGGREGATE(9,6,Crops[[#This Row],[Bed Prep]:[Remove Crop Residue]])</f>
        <v>10.114530629960317</v>
      </c>
      <c r="DE190" s="173">
        <f>_xlfn.AGGREGATE(9,6,Crops[[#This Row],[Bed Prep]:[Remove Crop Residue]])-0.75*Crops[[#This Row],[Market &amp; Sell]]</f>
        <v>9.5145306299603174</v>
      </c>
      <c r="DF190" s="36">
        <f>Crops[[#This Row],[Direct Revenue Per Bed2]]/Crops[[#This Row],[Direct Time]]</f>
        <v>79.094129947099546</v>
      </c>
      <c r="DG190" s="36">
        <f>_xlfn.XLOOKUP(Crops[[#This Row],[ProductIndex]],Products[ID],Products[Packaging Cost])*(Crops[[#This Row],[Custom Yield Per Bed]]/_xlfn.XLOOKUP(Crops[[#This Row],[ProductIndex]],Products[ID],Products[Units Per Pack]))</f>
        <v>31.666666666666668</v>
      </c>
      <c r="DH190" s="36"/>
      <c r="DI190" s="36"/>
      <c r="DJ190" s="36"/>
      <c r="DK190" s="36"/>
      <c r="DL190" s="36"/>
      <c r="DM190" s="33">
        <f>IFERROR(Crops[[#This Row],[Custom Yield Per Bed]]*Crops[[#This Row],[Direct Price]],"")</f>
        <v>800</v>
      </c>
      <c r="DN190" s="36">
        <f>Crops[[#This Row],[Direct Time]]*LaborRate</f>
        <v>252.86326574900792</v>
      </c>
      <c r="DO190" s="36">
        <f>SUM(Crops[[#This Row],[Irrigation Cost]])</f>
        <v>0</v>
      </c>
      <c r="DP190" s="36">
        <f>Crops[[#This Row],[Direct Labor Cost]]+Crops[[#This Row],[Direct Non-Labor Cost]]</f>
        <v>252.86326574900792</v>
      </c>
      <c r="DQ190" s="36">
        <f>Crops[[#This Row],[Direct Revenue Per Bed2]]-Crops[[#This Row],[Direct Total Cost]]</f>
        <v>547.13673425099205</v>
      </c>
      <c r="DR190" s="36">
        <f>Crops[[#This Row],[Direct Profit]]*BedsPerAcre</f>
        <v>87541.877480158728</v>
      </c>
      <c r="DS190" s="36">
        <f>Crops[[#This Row],[Direct Profit]]*BedsPerAcre*GrowingDays/Crops[[#This Row],[Days In Field]]</f>
        <v>291806.25826719578</v>
      </c>
      <c r="DT190" s="36">
        <f>Crops[[#This Row],[Direct Profit]]/MIN(Crops[[#This Row],[Days In Field]],GrowingDays)</f>
        <v>10.132161745388741</v>
      </c>
      <c r="DU190" s="33">
        <f>Crops[[#This Row],[Direct Time]] * BedsPerAcre</f>
        <v>1618.3249007936506</v>
      </c>
      <c r="DV190" s="36">
        <f>(Crops[[#This Row],[Direct Revenue Per Bed2]]-Crops[[#This Row],[Direct Non-Labor Cost]])/Crops[[#This Row],[Direct Time]]</f>
        <v>79.094129947099546</v>
      </c>
      <c r="DW190" s="33">
        <f>IFERROR(Crops[[#This Row],[Custom Yield Per Bed]]*Crops[[#This Row],[Rough Wholesale Price]],"")</f>
        <v>360</v>
      </c>
      <c r="DX190" s="36">
        <f>Crops[[#This Row],[Wholesale Time]]*LaborRate</f>
        <v>237.86326574900792</v>
      </c>
      <c r="DY190" s="36">
        <f>SUM(Crops[[#This Row],[Packaging Costs]:[Irrigation Cost]])</f>
        <v>31.666666666666668</v>
      </c>
      <c r="DZ190" s="36">
        <f>Crops[[#This Row],[Wholesale Labor Cost]]+Crops[[#This Row],[Wholesale Non-Labor Cost]]</f>
        <v>269.52993241567458</v>
      </c>
      <c r="EA190" s="36">
        <f>Crops[[#This Row],[Wholesale Revenue Per Bed]]-Crops[[#This Row],[Wholesale Total Cost]]</f>
        <v>90.47006758432542</v>
      </c>
      <c r="EB190" s="36">
        <f>Crops[[#This Row],[Wholesale Profit]]*BedsPerAcre</f>
        <v>14475.210813492067</v>
      </c>
      <c r="EC190" s="36">
        <f>Crops[[#This Row],[Wholesale Profit]]*BedsPerAcre*GrowingDays/Crops[[#This Row],[Days In Field]]</f>
        <v>48250.702711640224</v>
      </c>
      <c r="ED190" s="33">
        <f>Crops[[#This Row],[Wholesale Time]] * BedsPerAcre</f>
        <v>1522.3249007936508</v>
      </c>
      <c r="EE190" s="221">
        <f>Crops[[#This Row],[Wholesale Profit]]/MIN(Crops[[#This Row],[Days In Field]],GrowingDays)</f>
        <v>1.6753716219319523</v>
      </c>
      <c r="EF190" s="36">
        <f>(Crops[[#This Row],[Wholesale Revenue Per Bed]]-Crops[[#This Row],[Wholesale Non-Labor Cost]])/Crops[[#This Row],[Direct Time]]</f>
        <v>32.461549165788774</v>
      </c>
      <c r="EG190" s="174">
        <f>Crops[[#This Row],[Packaging Costs]]/Crops[[#This Row],[Wholesale Revenue Per Bed]]</f>
        <v>8.7962962962962965E-2</v>
      </c>
      <c r="EH190" s="36" t="str">
        <f>Crops[[#This Row],[Crop]]&amp;Crops[[#This Row],[Product]]&amp;Crops[[#This Row],[Unit]]</f>
        <v>LettuceMature HeadHead</v>
      </c>
      <c r="EI190" s="36" t="b">
        <f>_xlfn.XLOOKUP(Crops[[#This Row],[ProductIndex]],Products[ID],Products[Target])</f>
        <v>1</v>
      </c>
      <c r="EJ190" s="33">
        <f>Crops[[#This Row],[Custom Yield Per Bed]]</f>
        <v>200</v>
      </c>
      <c r="EK190" s="210">
        <f>Crops[[#This Row],[Units Per Harvest]]/Crops[[#This Row],[Days Between Harvest]]*7</f>
        <v>100</v>
      </c>
      <c r="EL190" s="210">
        <f>Crops[[#This Row],[Custom Yield Per Bed]]/_xlfn.XLOOKUP(Crops[[#This Row],[ProductIndex]],Products[ID],Products[CSA Portion])</f>
        <v>200</v>
      </c>
      <c r="EM190" s="210">
        <f>Crops[[#This Row],[Units Per Harvest]]/Crops[[#This Row],[Days Between Harvest]]*7/_xlfn.XLOOKUP(Crops[[#This Row],[ProductIndex]],Products[ID],Products[CSA Portion])</f>
        <v>100</v>
      </c>
      <c r="EN190" s="210">
        <f>Crops[[#This Row],[CSA Portions Per Week]]/CSAMembers</f>
        <v>2</v>
      </c>
      <c r="EO190" s="216">
        <v>0.5</v>
      </c>
      <c r="EP190" s="216">
        <v>1</v>
      </c>
      <c r="EQ190" s="210"/>
      <c r="ER190" s="210">
        <f>Crops[[#This Row],[Harvests]]*Crops[[#This Row],[Days Between Harvest]]/7</f>
        <v>2</v>
      </c>
      <c r="ES190" s="217">
        <f>_xlfn.XLOOKUP(Crops[[#This Row],[ProductIndex]],Products[ID],Products[CSA Need])</f>
        <v>2</v>
      </c>
      <c r="ET190" s="217">
        <f>_xlfn.XLOOKUP(Crops[[#This Row],[ProductIndex]],Products[ID],Products[CSA Times])</f>
        <v>2</v>
      </c>
      <c r="EU190" s="208">
        <f>Crops[[#This Row],[Custom Yield Per Bed]]/(Crops[[#This Row],[CSA Need]]*(_xlfn.XLOOKUP(Crops[[#This Row],[ProductIndex]],Products[ID],Products[CSA Portion])*CSAMembers))</f>
        <v>2</v>
      </c>
      <c r="EV190" s="208">
        <f>_xlfn.XLOOKUP(Crops[[#This Row],[ProductIndex]],Products[ID],Products[CSA Portion])*CSAMembers*Crops[[#This Row],[CSA Need]]/Crops[[#This Row],[Custom Yield Per Bed]]</f>
        <v>0.5</v>
      </c>
      <c r="EW190" s="208">
        <f>IFERROR(Crops[[#This Row],[Days In Field]]*Crops[[#This Row],[CSA Beds]],"")</f>
        <v>27</v>
      </c>
      <c r="EX190" s="208" t="e">
        <f>Crops[[#This Row],[CSA Bed Days]]*#REF!</f>
        <v>#REF!</v>
      </c>
      <c r="EY190" t="s">
        <v>421</v>
      </c>
    </row>
    <row r="191" spans="1:155">
      <c r="A19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Tunnel TP Sp</v>
      </c>
      <c r="B191" s="179"/>
      <c r="C191" s="1" t="b">
        <v>1</v>
      </c>
      <c r="D191" s="1" t="s">
        <v>2584</v>
      </c>
      <c r="E191" s="1" t="b">
        <v>0</v>
      </c>
      <c r="F191" s="1" t="b">
        <f>IFERROR(IF(ISNUMBER(MATCH(Crops[[#This Row],[Identifier]],BedPlan[Crop], 0)), TRUE, FALSE), FALSE)</f>
        <v>0</v>
      </c>
      <c r="G191" s="1" t="b">
        <f>IFERROR(IF(ISNUMBER(MATCH(Crops[[#This Row],[Identifier]],BedPlan[Crop], 0)), TRUE, FALSE), FALSE)</f>
        <v>0</v>
      </c>
      <c r="H191" s="1"/>
      <c r="I191" t="s">
        <v>92</v>
      </c>
      <c r="J191" t="s">
        <v>1817</v>
      </c>
      <c r="K191" t="s">
        <v>186</v>
      </c>
      <c r="M191" t="s">
        <v>441</v>
      </c>
      <c r="N191" t="str">
        <f>Crops[[#This Row],[Crop]]</f>
        <v>Lettuce</v>
      </c>
      <c r="O191" t="s">
        <v>1413</v>
      </c>
      <c r="P191" t="str">
        <f>IF(OR(Crops[[#This Row],[Days in Cells]]="",Crops[[#This Row],[Days in Cells]]=0), "DS","TP")</f>
        <v>TP</v>
      </c>
      <c r="Q191" t="b">
        <v>1</v>
      </c>
      <c r="V191" t="str">
        <f xml:space="preserve"> IF(Crops[[#This Row],[Sp]], "Sp", "") &amp; IF(Crops[[#This Row],[Su]], "Su", "") &amp; IF(Crops[[#This Row],[Fa]], "Fa", "") &amp; IF(Crops[[#This Row],[Wi]], "Wi", "") &amp; IF(Crops[[#This Row],[OW]], "Ow","")</f>
        <v>Sp</v>
      </c>
      <c r="W191" t="s">
        <v>144</v>
      </c>
      <c r="X191">
        <v>3</v>
      </c>
      <c r="Y191">
        <v>9</v>
      </c>
      <c r="AB191" t="b">
        <v>1</v>
      </c>
      <c r="AD191" s="32">
        <f>IFERROR(12/Crops[[#This Row],[Spacing]]*Crops[[#This Row],[Rows]]*BedLength,"")</f>
        <v>200</v>
      </c>
      <c r="AE191">
        <v>1</v>
      </c>
      <c r="AG191">
        <f>IF(Crops[[#This Row],[Custom Safety Factor]]="",PlantingSafetyFactor,Crops[[#This Row],[Custom Safety Factor]])</f>
        <v>1.3</v>
      </c>
      <c r="AH191">
        <v>1.3</v>
      </c>
      <c r="AI191" s="33">
        <f>IFERROR(Crops[[#This Row],[Plantings Per Bed]]*Crops[[#This Row],[Seeds Per Planting]]*Crops[[#This Row],[Safety Factor]]*Crops[[#This Row],[Seeding Factor]],"")</f>
        <v>338</v>
      </c>
      <c r="AL191">
        <f>_xlfn.FLOOR.MATH(IFERROR(AVERAGE(Crops[[#This Row],[DTG Lower]:[DTG Upper]]),0))</f>
        <v>0</v>
      </c>
      <c r="AM191">
        <f>SUM(Crops[[#This Row],[Tray 1 Days]],Crops[[#This Row],[Tray 2 Days]],Crops[[#This Row],[Tray 3 Days]])</f>
        <v>30</v>
      </c>
      <c r="AP191">
        <f>12*7</f>
        <v>84</v>
      </c>
      <c r="AQ191">
        <f>IFERROR(_xlfn.FLOOR.MATH(AVERAGE(Crops[[#This Row],[DTM Lower]:[DTM Upper]])),"")</f>
        <v>84</v>
      </c>
      <c r="AR191" cm="1">
        <f t="array" ref="AR191">_xlfn.SWITCH(Crops[[#This Row],[Normal Method]],"DS",Crops[[#This Row],[Days to Germination]]+Crops[[#This Row],[DTM]] + IF(Crops[[#This Row],[Days in Cells]]&gt;0,15,0), "TP",Crops[[#This Row],[DTM]]+Crops[[#This Row],[Days in Cells]] + IF(Crops[[#This Row],[Days in Cells]]&lt;=0,20,0), "X", Crops[[#This Row],[DTM]])</f>
        <v>84</v>
      </c>
      <c r="AS191" t="s">
        <v>347</v>
      </c>
      <c r="AT191">
        <f>(Crops[[#This Row],[Harvests]]-1)*Crops[[#This Row],[Days Between Harvest]]+7</f>
        <v>7</v>
      </c>
      <c r="AU191">
        <f>Crops[[#This Row],[STH]]-Crops[[#This Row],[Days in Cells]]+Crops[[#This Row],[Harvest window]]</f>
        <v>61</v>
      </c>
      <c r="AW191">
        <v>128</v>
      </c>
      <c r="AX191">
        <v>128</v>
      </c>
      <c r="AY191">
        <v>30</v>
      </c>
      <c r="AZ191">
        <f>IFERROR(IF(Crops[[#This Row],[Tray 1 Days]]=0,"",Crops[[#This Row],[Plantings Per Bed]]/Crops[[#This Row],[Tray 1 Size]]*Crops[[#This Row],[Safety Factor]]),"")</f>
        <v>2.03125</v>
      </c>
      <c r="BC191" t="str">
        <f>IFERROR(IF(Crops[[#This Row],[Tray 2 Days]]=0,"",Crops[[#This Row],[Plantings Per Bed]]/Crops[[#This Row],[Tray 2 Size]]*Crops[[#This Row],[Safety Factor]]),"")</f>
        <v/>
      </c>
      <c r="BE191" s="32" t="str">
        <f>IF(NOT(ISBLANK(Crops[[#This Row],[Tray 3 Size]])), Crops[[#This Row],[Days in Cells Old]]-SUM(Crops[[#This Row],[Tray 1 Days]],Crops[[#This Row],[Tray 2 Days]]), "")</f>
        <v/>
      </c>
      <c r="BF191" t="str">
        <f>IFERROR(IF(Crops[[#This Row],[Tray 3 Days]]=0,"",Crops[[#This Row],[Plantings Per Bed]]/Crops[[#This Row],[Tray 3 Size]]*Crops[[#This Row],[Safety Factor]]),"")</f>
        <v/>
      </c>
      <c r="BG191" s="33">
        <f>Crops[[#This Row],[Plantings Per Bed]]</f>
        <v>200</v>
      </c>
      <c r="BH191" s="33">
        <v>1</v>
      </c>
      <c r="BI191" s="33">
        <v>7</v>
      </c>
      <c r="BJ191" s="33">
        <f>_xlfn.XLOOKUP(Crops[[#This Row],[ProductIndex]],Products[ID],Products[Holding Period])</f>
        <v>10</v>
      </c>
      <c r="BK191" s="33"/>
      <c r="BL191" s="33">
        <f>Crops[[#This Row],[Units Per Harvest]]*Crops[[#This Row],[Harvests]]</f>
        <v>200</v>
      </c>
      <c r="BM191" s="35">
        <v>4</v>
      </c>
      <c r="BN191" s="35">
        <v>1.8</v>
      </c>
      <c r="BO191" s="35"/>
      <c r="BP191" t="s">
        <v>214</v>
      </c>
      <c r="BQ191">
        <f>Crops[[#This Row],[Custom Yield Per Bed]]*Crops[[#This Row],[Direct Price]]</f>
        <v>800</v>
      </c>
      <c r="BR191" t="b">
        <v>1</v>
      </c>
      <c r="BS191" t="b">
        <f>Crops[[#This Row],[Harvests]]&gt;1</f>
        <v>0</v>
      </c>
      <c r="BT191" s="36">
        <f>IFERROR(Crops[[#This Row],[Direct Revenue Per Bed]]/Crops[[#This Row],[Days In Field]],-1)</f>
        <v>13.114754098360656</v>
      </c>
      <c r="BU191" s="36">
        <f>IFERROR(Crops[[#This Row],[Direct Revenue Per Bed Day]]*GrowingDays*BedsPerAcre,"")</f>
        <v>377704.91803278687</v>
      </c>
      <c r="BV191" s="38">
        <f>LastFrostDate-5*Crops[[#This Row],[Sewing Rel Last Frost]]</f>
        <v>45723</v>
      </c>
      <c r="BW191" s="38">
        <f>Crops[[#This Row],[Target Sewing Date]]+Crops[[#This Row],[Days in Cells]]</f>
        <v>45753</v>
      </c>
      <c r="BX191" s="38">
        <f>Crops[[#This Row],[Target Sewing Date]]+Crops[[#This Row],[STH]]</f>
        <v>45807</v>
      </c>
      <c r="BY191" s="38">
        <f>Crops[[#This Row],[Target Harvest Data]]+Crops[[#This Row],[Harvest window]]</f>
        <v>45814</v>
      </c>
      <c r="BZ191">
        <v>5</v>
      </c>
      <c r="CB191">
        <f>1</f>
        <v>1</v>
      </c>
      <c r="CC191">
        <f>IF(Crops[[#This Row],[Transplanting]]&gt;0, 2, 3)*BedLength/StandardBedLength</f>
        <v>1</v>
      </c>
      <c r="CD191" s="173">
        <f>IF(Crops[[#This Row],[Days in Cells]]&lt;=0,0,Crops[[#This Row],[Plantings Per Bed]]/StartsPerHourSeeding+Crops[[#This Row],[Tray 1 Count]]*5/60)</f>
        <v>0.95052083333333337</v>
      </c>
      <c r="CE191" s="173">
        <f>IF(ISBLANK(Crops[[#This Row],[Tray 2 Days]]),0,Crops[[#This Row],[Plantings Per Bed]]/UpPottingPerHour)+IF(Crops[[#This Row],[Tray 3 Days]]="",0,Crops[[#This Row],[Plantings Per Bed]]/UpPottingPerHour)</f>
        <v>0</v>
      </c>
      <c r="CF191" s="173">
        <f>IFERROR(Crops[[#This Row],[Tray 1 Count]]/HomeStartFlatIrrigationPerHour,0)*Crops[[#This Row],[Days in Cells]]/DaysBetweenStartIrrigation</f>
        <v>0.25390625</v>
      </c>
      <c r="CG191" s="173">
        <f>0.5/16*MAX(Crops[[#This Row],[Tray 1 Count]],Crops[[#This Row],[Tray 2 Count]],Crops[[#This Row],[Tray 3 Count]])</f>
        <v>6.34765625E-2</v>
      </c>
      <c r="CH191" s="173">
        <f>IF(Crops[[#This Row],[Days in Cells]]&gt;0,IF(IF(Crops[[#This Row],[Tray 3 Size]]&gt;0,Crops[[#This Row],[Tray 3 Size]],IF(Crops[[#This Row],[Tray 2 Size]]&gt;0,Crops[[#This Row],[Tray 2 Size]],Crops[[#This Row],[Tray 1 Size]]))&lt;=18,LargeTransplantTime,SmallTransplantTime)*Crops[[#This Row],[Plantings Per Bed]],0)</f>
        <v>1</v>
      </c>
      <c r="CI191" s="173"/>
      <c r="CJ191" s="173">
        <f>_xlfn.XLOOKUP(Crops[[#This Row],[Trellis Type]],TrellisMethods[Trellis Type],TrellisMethods[Hours],0,0)</f>
        <v>0</v>
      </c>
      <c r="CK191">
        <f>IF(Crops[[#This Row],[Days in Cells]]&lt;=0,Crops[[#This Row],[Rows]]*1/10,0)*BedLength/50</f>
        <v>0</v>
      </c>
      <c r="CL191" cm="1">
        <f t="array" ref="CL191">_xlfn.SWITCH(Crops[[#This Row],[Irrigation]],"DR", 0.5, "OH", 0.25,0)*BedLength/50</f>
        <v>0</v>
      </c>
      <c r="CM191">
        <f>IF(OR(ISBLANK(Crops[[#This Row],[Row Cover]]),Crops[[#This Row],[Row Cover]]="None"),0,1)*BedLength/50</f>
        <v>0</v>
      </c>
      <c r="CN191" s="173">
        <f>HoursPerWeedingPass*Crops[[#This Row],[Days In Field]]/14*Crops[[#This Row],[Rows]]+1*BedLength/50</f>
        <v>3.1785714285714284</v>
      </c>
      <c r="CO191" s="49"/>
      <c r="CQ191" s="37">
        <f>_xlfn.XLOOKUP(Crops[[#This Row],[Crop]]&amp;Crops[[#This Row],[Product]]&amp;Crops[[#This Row],[Unit]],Products[ID],Products[Marketing (hr)])*Crops[[#This Row],[Direct Revenue Per Bed]]/2000</f>
        <v>0.8</v>
      </c>
      <c r="CR191" s="37">
        <f>_xlfn.XLOOKUP(Crops[[#This Row],[Crop]]&amp;Crops[[#This Row],[Product]]&amp;Crops[[#This Row],[Unit]],Products[ID],Products[Harvest (s)])*Crops[[#This Row],[Custom Yield Per Bed]]/3600</f>
        <v>0.55555555555555558</v>
      </c>
      <c r="CS191" s="37">
        <f>_xlfn.XLOOKUP(Crops[[#This Row],[Crop]]&amp;Crops[[#This Row],[Product]]&amp;Crops[[#This Row],[Unit]],Products[ID],Products[Bunch (s)])*Crops[[#This Row],[Custom Yield Per Bed]]/3600</f>
        <v>0</v>
      </c>
      <c r="CT191" s="37">
        <f>_xlfn.XLOOKUP(Crops[[#This Row],[Crop]]&amp;Crops[[#This Row],[Product]]&amp;Crops[[#This Row],[Unit]],Products[ID],Products[Haul (s)])*Crops[[#This Row],[Custom Yield Per Bed]]/3600</f>
        <v>0.20833333333333334</v>
      </c>
      <c r="CU191" s="37">
        <f>_xlfn.XLOOKUP(Crops[[#This Row],[Crop]]&amp;Crops[[#This Row],[Product]]&amp;Crops[[#This Row],[Unit]],Products[ID],Products[Wash (s)])*Crops[[#This Row],[Custom Yield Per Bed]]/3600</f>
        <v>1.1111111111111112</v>
      </c>
      <c r="CV191" s="37">
        <f>_xlfn.XLOOKUP(Crops[[#This Row],[Crop]]&amp;Crops[[#This Row],[Product]]&amp;Crops[[#This Row],[Unit]],Products[ID],Products[Condition (s)])*Crops[[#This Row],[Custom Yield Per Bed]]/3600</f>
        <v>0</v>
      </c>
      <c r="CW191" s="37">
        <f>_xlfn.XLOOKUP(Crops[[#This Row],[Crop]]&amp;Crops[[#This Row],[Product]]&amp;Crops[[#This Row],[Unit]],Products[ID],Products[Trim (s)])*Crops[[#This Row],[Custom Yield Per Bed]]/3600</f>
        <v>0.55555555555555558</v>
      </c>
      <c r="CX191" s="37">
        <f>_xlfn.XLOOKUP(Crops[[#This Row],[Crop]]&amp;Crops[[#This Row],[Product]]&amp;Crops[[#This Row],[Unit]],Products[ID],Products[Pack (s)])*Crops[[#This Row],[Custom Yield Per Bed]]/3600</f>
        <v>0.16666666666666666</v>
      </c>
      <c r="CY191" s="37">
        <f>_xlfn.XLOOKUP(Crops[[#This Row],[Crop]]&amp;Crops[[#This Row],[Product]]&amp;Crops[[#This Row],[Unit]],Products[ID],Products[Clean (s)])*Crops[[#This Row],[Custom Yield Per Bed]]/3600</f>
        <v>0</v>
      </c>
      <c r="CZ191" s="37">
        <f>_xlfn.XLOOKUP(Crops[[#This Row],[Crop]]&amp;Crops[[#This Row],[Product]]&amp;Crops[[#This Row],[Unit]],Products[ID],Products[Rehandle (s)])*Crops[[#This Row],[Custom Yield Per Bed]]/3600</f>
        <v>0</v>
      </c>
      <c r="DA191" s="37">
        <f>_xlfn.XLOOKUP(Crops[[#This Row],[Crop]]&amp;Crops[[#This Row],[Product]]&amp;Crops[[#This Row],[Unit]],Products[ID],Products[Market Transport (s)])*Crops[[#This Row],[Custom Yield Per Bed]]/3600</f>
        <v>0.52083333333333337</v>
      </c>
      <c r="DC191" s="37">
        <f>Crops[[#This Row],[Direct Revenue Per Bed2]]</f>
        <v>800</v>
      </c>
      <c r="DD191" s="173">
        <f>_xlfn.AGGREGATE(9,6,Crops[[#This Row],[Bed Prep]:[Remove Crop Residue]])</f>
        <v>10.364530629960317</v>
      </c>
      <c r="DE191" s="173">
        <f>_xlfn.AGGREGATE(9,6,Crops[[#This Row],[Bed Prep]:[Remove Crop Residue]])-0.75*Crops[[#This Row],[Market &amp; Sell]]</f>
        <v>9.7645306299603174</v>
      </c>
      <c r="DF191" s="36">
        <f>Crops[[#This Row],[Direct Revenue Per Bed2]]/Crops[[#This Row],[Direct Time]]</f>
        <v>77.186322136718218</v>
      </c>
      <c r="DG191" s="36">
        <f>_xlfn.XLOOKUP(Crops[[#This Row],[ProductIndex]],Products[ID],Products[Packaging Cost])*(Crops[[#This Row],[Custom Yield Per Bed]]/_xlfn.XLOOKUP(Crops[[#This Row],[ProductIndex]],Products[ID],Products[Units Per Pack]))</f>
        <v>31.666666666666668</v>
      </c>
      <c r="DH191" s="36"/>
      <c r="DI191" s="36"/>
      <c r="DJ191" s="36"/>
      <c r="DK191" s="36"/>
      <c r="DL191" s="36"/>
      <c r="DM191" s="33">
        <f>IFERROR(Crops[[#This Row],[Custom Yield Per Bed]]*Crops[[#This Row],[Direct Price]],"")</f>
        <v>800</v>
      </c>
      <c r="DN191" s="36">
        <f>Crops[[#This Row],[Direct Time]]*LaborRate</f>
        <v>259.11326574900795</v>
      </c>
      <c r="DO191" s="36">
        <f>SUM(Crops[[#This Row],[Irrigation Cost]])</f>
        <v>0</v>
      </c>
      <c r="DP191" s="36">
        <f>Crops[[#This Row],[Direct Labor Cost]]+Crops[[#This Row],[Direct Non-Labor Cost]]</f>
        <v>259.11326574900795</v>
      </c>
      <c r="DQ191" s="36">
        <f>Crops[[#This Row],[Direct Revenue Per Bed2]]-Crops[[#This Row],[Direct Total Cost]]</f>
        <v>540.88673425099205</v>
      </c>
      <c r="DR191" s="36">
        <f>Crops[[#This Row],[Direct Profit]]*BedsPerAcre</f>
        <v>86541.877480158728</v>
      </c>
      <c r="DS191" s="36">
        <f>Crops[[#This Row],[Direct Profit]]*BedsPerAcre*GrowingDays/Crops[[#This Row],[Days In Field]]</f>
        <v>255369.47453161591</v>
      </c>
      <c r="DT191" s="36">
        <f>Crops[[#This Row],[Direct Profit]]/MIN(Crops[[#This Row],[Days In Field]],GrowingDays)</f>
        <v>8.8669956434588855</v>
      </c>
      <c r="DU191" s="33">
        <f>Crops[[#This Row],[Direct Time]] * BedsPerAcre</f>
        <v>1658.3249007936506</v>
      </c>
      <c r="DV191" s="36">
        <f>(Crops[[#This Row],[Direct Revenue Per Bed2]]-Crops[[#This Row],[Direct Non-Labor Cost]])/Crops[[#This Row],[Direct Time]]</f>
        <v>77.186322136718218</v>
      </c>
      <c r="DW191" s="33">
        <f>IFERROR(Crops[[#This Row],[Custom Yield Per Bed]]*Crops[[#This Row],[Rough Wholesale Price]],"")</f>
        <v>360</v>
      </c>
      <c r="DX191" s="36">
        <f>Crops[[#This Row],[Wholesale Time]]*LaborRate</f>
        <v>244.11326574900792</v>
      </c>
      <c r="DY191" s="36">
        <f>SUM(Crops[[#This Row],[Packaging Costs]:[Irrigation Cost]])</f>
        <v>31.666666666666668</v>
      </c>
      <c r="DZ191" s="36">
        <f>Crops[[#This Row],[Wholesale Labor Cost]]+Crops[[#This Row],[Wholesale Non-Labor Cost]]</f>
        <v>275.77993241567458</v>
      </c>
      <c r="EA191" s="36">
        <f>Crops[[#This Row],[Wholesale Revenue Per Bed]]-Crops[[#This Row],[Wholesale Total Cost]]</f>
        <v>84.22006758432542</v>
      </c>
      <c r="EB191" s="36">
        <f>Crops[[#This Row],[Wholesale Profit]]*BedsPerAcre</f>
        <v>13475.210813492067</v>
      </c>
      <c r="EC191" s="36">
        <f>Crops[[#This Row],[Wholesale Profit]]*BedsPerAcre*GrowingDays/Crops[[#This Row],[Days In Field]]</f>
        <v>39762.917154566756</v>
      </c>
      <c r="ED191" s="33">
        <f>Crops[[#This Row],[Wholesale Time]] * BedsPerAcre</f>
        <v>1562.3249007936508</v>
      </c>
      <c r="EE191" s="221">
        <f>Crops[[#This Row],[Wholesale Profit]]/MIN(Crops[[#This Row],[Days In Field]],GrowingDays)</f>
        <v>1.3806568456446791</v>
      </c>
      <c r="EF191" s="36">
        <f>(Crops[[#This Row],[Wholesale Revenue Per Bed]]-Crops[[#This Row],[Wholesale Non-Labor Cost]])/Crops[[#This Row],[Direct Time]]</f>
        <v>31.678553043611434</v>
      </c>
      <c r="EG191" s="174">
        <f>Crops[[#This Row],[Packaging Costs]]/Crops[[#This Row],[Wholesale Revenue Per Bed]]</f>
        <v>8.7962962962962965E-2</v>
      </c>
      <c r="EH191" s="36" t="str">
        <f>Crops[[#This Row],[Crop]]&amp;Crops[[#This Row],[Product]]&amp;Crops[[#This Row],[Unit]]</f>
        <v>LettuceMature HeadHead</v>
      </c>
      <c r="EI191" s="36" t="b">
        <f>_xlfn.XLOOKUP(Crops[[#This Row],[ProductIndex]],Products[ID],Products[Target])</f>
        <v>1</v>
      </c>
      <c r="EJ191" s="33">
        <f>Crops[[#This Row],[Custom Yield Per Bed]]</f>
        <v>200</v>
      </c>
      <c r="EK191" s="210">
        <f>Crops[[#This Row],[Units Per Harvest]]/Crops[[#This Row],[Days Between Harvest]]*7</f>
        <v>200</v>
      </c>
      <c r="EL191" s="210">
        <f>Crops[[#This Row],[Custom Yield Per Bed]]/_xlfn.XLOOKUP(Crops[[#This Row],[ProductIndex]],Products[ID],Products[CSA Portion])</f>
        <v>200</v>
      </c>
      <c r="EM191" s="210">
        <f>Crops[[#This Row],[Units Per Harvest]]/Crops[[#This Row],[Days Between Harvest]]*7/_xlfn.XLOOKUP(Crops[[#This Row],[ProductIndex]],Products[ID],Products[CSA Portion])</f>
        <v>200</v>
      </c>
      <c r="EN191" s="210">
        <f>Crops[[#This Row],[CSA Portions Per Week]]/CSAMembers</f>
        <v>4</v>
      </c>
      <c r="EO191" s="216"/>
      <c r="EP191" s="216"/>
      <c r="EQ191" s="210"/>
      <c r="ER191" s="210">
        <f>Crops[[#This Row],[Harvests]]*Crops[[#This Row],[Days Between Harvest]]/7</f>
        <v>1</v>
      </c>
      <c r="ES191" s="217">
        <f>_xlfn.XLOOKUP(Crops[[#This Row],[ProductIndex]],Products[ID],Products[CSA Need])</f>
        <v>2</v>
      </c>
      <c r="ET191" s="217">
        <f>_xlfn.XLOOKUP(Crops[[#This Row],[ProductIndex]],Products[ID],Products[CSA Times])</f>
        <v>2</v>
      </c>
      <c r="EU191" s="208">
        <f>Crops[[#This Row],[Custom Yield Per Bed]]/(Crops[[#This Row],[CSA Need]]*(_xlfn.XLOOKUP(Crops[[#This Row],[ProductIndex]],Products[ID],Products[CSA Portion])*CSAMembers))</f>
        <v>2</v>
      </c>
      <c r="EV191" s="208">
        <f>_xlfn.XLOOKUP(Crops[[#This Row],[ProductIndex]],Products[ID],Products[CSA Portion])*CSAMembers*Crops[[#This Row],[CSA Need]]/Crops[[#This Row],[Custom Yield Per Bed]]</f>
        <v>0.5</v>
      </c>
      <c r="EW191" s="208">
        <f>IFERROR(Crops[[#This Row],[Days In Field]]*Crops[[#This Row],[CSA Beds]],"")</f>
        <v>30.5</v>
      </c>
      <c r="EX191" s="208" t="e">
        <f>Crops[[#This Row],[CSA Bed Days]]*#REF!</f>
        <v>#REF!</v>
      </c>
      <c r="EY191" t="s">
        <v>421</v>
      </c>
    </row>
    <row r="192" spans="1:155">
      <c r="A19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Tunnel TP Wi</v>
      </c>
      <c r="B192" s="179"/>
      <c r="C192" s="1" t="b">
        <v>1</v>
      </c>
      <c r="D192" s="1"/>
      <c r="E192" s="1" t="b">
        <v>0</v>
      </c>
      <c r="F192" s="1" t="b">
        <f>IFERROR(IF(ISNUMBER(MATCH(Crops[[#This Row],[Identifier]],BedPlan[Crop], 0)), TRUE, FALSE), FALSE)</f>
        <v>0</v>
      </c>
      <c r="G192" s="1" t="b">
        <f>IFERROR(IF(ISNUMBER(MATCH(Crops[[#This Row],[Identifier]],BedPlan[Crop], 0)), TRUE, FALSE), FALSE)</f>
        <v>0</v>
      </c>
      <c r="H192" s="1"/>
      <c r="I192" t="s">
        <v>92</v>
      </c>
      <c r="J192" t="s">
        <v>1817</v>
      </c>
      <c r="K192" t="s">
        <v>186</v>
      </c>
      <c r="M192" t="s">
        <v>441</v>
      </c>
      <c r="N192" t="str">
        <f>Crops[[#This Row],[Crop]]</f>
        <v>Lettuce</v>
      </c>
      <c r="O192" t="s">
        <v>1413</v>
      </c>
      <c r="P192" t="str">
        <f>IF(OR(Crops[[#This Row],[Days in Cells]]="",Crops[[#This Row],[Days in Cells]]=0), "DS","TP")</f>
        <v>TP</v>
      </c>
      <c r="T192" t="b">
        <v>1</v>
      </c>
      <c r="V192" t="str">
        <f xml:space="preserve"> IF(Crops[[#This Row],[Sp]], "Sp", "") &amp; IF(Crops[[#This Row],[Su]], "Su", "") &amp; IF(Crops[[#This Row],[Fa]], "Fa", "") &amp; IF(Crops[[#This Row],[Wi]], "Wi", "") &amp; IF(Crops[[#This Row],[OW]], "Ow","")</f>
        <v>Wi</v>
      </c>
      <c r="X192">
        <v>3</v>
      </c>
      <c r="Y192">
        <v>9</v>
      </c>
      <c r="AA192" t="s">
        <v>370</v>
      </c>
      <c r="AB192" t="b">
        <v>1</v>
      </c>
      <c r="AC192">
        <v>1</v>
      </c>
      <c r="AD192" s="32">
        <f>IFERROR(12/Crops[[#This Row],[Spacing]]*Crops[[#This Row],[Rows]]*BedLength,"")</f>
        <v>200</v>
      </c>
      <c r="AE192">
        <v>1</v>
      </c>
      <c r="AG192">
        <f>IF(Crops[[#This Row],[Custom Safety Factor]]="",PlantingSafetyFactor,Crops[[#This Row],[Custom Safety Factor]])</f>
        <v>1.3</v>
      </c>
      <c r="AH192">
        <v>1.3</v>
      </c>
      <c r="AI192" s="33">
        <f>IFERROR(Crops[[#This Row],[Plantings Per Bed]]*Crops[[#This Row],[Seeds Per Planting]]*Crops[[#This Row],[Safety Factor]]*Crops[[#This Row],[Seeding Factor]],"")</f>
        <v>338</v>
      </c>
      <c r="AL192">
        <f>_xlfn.FLOOR.MATH(IFERROR(AVERAGE(Crops[[#This Row],[DTG Lower]:[DTG Upper]]),0))</f>
        <v>0</v>
      </c>
      <c r="AM192">
        <f>SUM(Crops[[#This Row],[Tray 1 Days]],Crops[[#This Row],[Tray 2 Days]],Crops[[#This Row],[Tray 3 Days]])</f>
        <v>30</v>
      </c>
      <c r="AP192">
        <v>120</v>
      </c>
      <c r="AQ192">
        <f>IFERROR(_xlfn.FLOOR.MATH(AVERAGE(Crops[[#This Row],[DTM Lower]:[DTM Upper]])),"")</f>
        <v>120</v>
      </c>
      <c r="AR192" cm="1">
        <f t="array" ref="AR192">_xlfn.SWITCH(Crops[[#This Row],[Normal Method]],"DS",Crops[[#This Row],[Days to Germination]]+Crops[[#This Row],[DTM]] + IF(Crops[[#This Row],[Days in Cells]]&gt;0,15,0), "TP",Crops[[#This Row],[DTM]]+Crops[[#This Row],[Days in Cells]] + IF(Crops[[#This Row],[Days in Cells]]&lt;=0,20,0), "X", Crops[[#This Row],[DTM]])</f>
        <v>120</v>
      </c>
      <c r="AS192" t="s">
        <v>347</v>
      </c>
      <c r="AT192">
        <f>(Crops[[#This Row],[Harvests]]-1)*Crops[[#This Row],[Days Between Harvest]]+7</f>
        <v>14</v>
      </c>
      <c r="AU192">
        <f>Crops[[#This Row],[STH]]-Crops[[#This Row],[Days in Cells]]+Crops[[#This Row],[Harvest window]]</f>
        <v>104</v>
      </c>
      <c r="AX192">
        <v>128</v>
      </c>
      <c r="AY192">
        <v>30</v>
      </c>
      <c r="AZ192">
        <f>IFERROR(IF(Crops[[#This Row],[Tray 1 Days]]=0,"",Crops[[#This Row],[Plantings Per Bed]]/Crops[[#This Row],[Tray 1 Size]]*Crops[[#This Row],[Safety Factor]]),"")</f>
        <v>2.03125</v>
      </c>
      <c r="BC192" t="str">
        <f>IFERROR(IF(Crops[[#This Row],[Tray 2 Days]]=0,"",Crops[[#This Row],[Plantings Per Bed]]/Crops[[#This Row],[Tray 2 Size]]*Crops[[#This Row],[Safety Factor]]),"")</f>
        <v/>
      </c>
      <c r="BE192" s="32" t="str">
        <f>IF(NOT(ISBLANK(Crops[[#This Row],[Tray 3 Size]])), Crops[[#This Row],[Days in Cells Old]]-SUM(Crops[[#This Row],[Tray 1 Days]],Crops[[#This Row],[Tray 2 Days]]), "")</f>
        <v/>
      </c>
      <c r="BF192" t="str">
        <f>IFERROR(IF(Crops[[#This Row],[Tray 3 Days]]=0,"",Crops[[#This Row],[Plantings Per Bed]]/Crops[[#This Row],[Tray 3 Size]]*Crops[[#This Row],[Safety Factor]]),"")</f>
        <v/>
      </c>
      <c r="BG192" s="33">
        <f>Crops[[#This Row],[Plantings Per Bed]]/Crops[[#This Row],[Harvests]]</f>
        <v>100</v>
      </c>
      <c r="BH192" s="33">
        <v>2</v>
      </c>
      <c r="BI192" s="33">
        <v>7</v>
      </c>
      <c r="BJ192" s="33">
        <f>_xlfn.XLOOKUP(Crops[[#This Row],[ProductIndex]],Products[ID],Products[Holding Period])</f>
        <v>10</v>
      </c>
      <c r="BK192" s="33"/>
      <c r="BL192" s="33">
        <f>Crops[[#This Row],[Units Per Harvest]]*Crops[[#This Row],[Harvests]]</f>
        <v>200</v>
      </c>
      <c r="BM192" s="35">
        <v>4</v>
      </c>
      <c r="BN192" s="35">
        <v>1.8</v>
      </c>
      <c r="BO192" s="35"/>
      <c r="BP192" t="s">
        <v>214</v>
      </c>
      <c r="BQ192">
        <f>Crops[[#This Row],[Custom Yield Per Bed]]*Crops[[#This Row],[Direct Price]]</f>
        <v>800</v>
      </c>
      <c r="BR192" t="b">
        <v>1</v>
      </c>
      <c r="BS192" t="b">
        <f>Crops[[#This Row],[Harvests]]&gt;1</f>
        <v>1</v>
      </c>
      <c r="BT192" s="36">
        <f>IFERROR(Crops[[#This Row],[Direct Revenue Per Bed]]/Crops[[#This Row],[Days In Field]],-1)</f>
        <v>7.6923076923076925</v>
      </c>
      <c r="BU192" s="36">
        <f>IFERROR(Crops[[#This Row],[Direct Revenue Per Bed Day]]*GrowingDays*BedsPerAcre,"")</f>
        <v>221538.46153846156</v>
      </c>
      <c r="BV192" s="38">
        <f>LastFrostDate-5*Crops[[#This Row],[Sewing Rel Last Frost]]</f>
        <v>45863</v>
      </c>
      <c r="BW192" s="38">
        <f>Crops[[#This Row],[Target Sewing Date]]+Crops[[#This Row],[Days in Cells]]</f>
        <v>45893</v>
      </c>
      <c r="BX192" s="38">
        <f>Crops[[#This Row],[Target Sewing Date]]+Crops[[#This Row],[STH]]</f>
        <v>45983</v>
      </c>
      <c r="BY192" s="38">
        <f>Crops[[#This Row],[Target Harvest Data]]+Crops[[#This Row],[Harvest window]]</f>
        <v>45997</v>
      </c>
      <c r="BZ192">
        <v>-23</v>
      </c>
      <c r="CA192" t="s">
        <v>373</v>
      </c>
      <c r="CB192">
        <f>1</f>
        <v>1</v>
      </c>
      <c r="CC192">
        <f>IF(Crops[[#This Row],[Transplanting]]&gt;0, 2, 3)*BedLength/StandardBedLength</f>
        <v>1</v>
      </c>
      <c r="CD192" s="173">
        <f>IF(Crops[[#This Row],[Days in Cells]]&lt;=0,0,Crops[[#This Row],[Plantings Per Bed]]/StartsPerHourSeeding+Crops[[#This Row],[Tray 1 Count]]*5/60)</f>
        <v>0.95052083333333337</v>
      </c>
      <c r="CE192" s="173">
        <f>IF(ISBLANK(Crops[[#This Row],[Tray 2 Days]]),0,Crops[[#This Row],[Plantings Per Bed]]/UpPottingPerHour)+IF(Crops[[#This Row],[Tray 3 Days]]="",0,Crops[[#This Row],[Plantings Per Bed]]/UpPottingPerHour)</f>
        <v>0</v>
      </c>
      <c r="CF192" s="173">
        <f>IFERROR(Crops[[#This Row],[Tray 1 Count]]/HomeStartFlatIrrigationPerHour,0)*Crops[[#This Row],[Days in Cells]]/DaysBetweenStartIrrigation</f>
        <v>0.25390625</v>
      </c>
      <c r="CG192" s="173">
        <f>0.5/16*MAX(Crops[[#This Row],[Tray 1 Count]],Crops[[#This Row],[Tray 2 Count]],Crops[[#This Row],[Tray 3 Count]])</f>
        <v>6.34765625E-2</v>
      </c>
      <c r="CH192" s="173">
        <f>IF(Crops[[#This Row],[Days in Cells]]&gt;0,IF(IF(Crops[[#This Row],[Tray 3 Size]]&gt;0,Crops[[#This Row],[Tray 3 Size]],IF(Crops[[#This Row],[Tray 2 Size]]&gt;0,Crops[[#This Row],[Tray 2 Size]],Crops[[#This Row],[Tray 1 Size]]))&lt;=18,LargeTransplantTime,SmallTransplantTime)*Crops[[#This Row],[Plantings Per Bed]],0)</f>
        <v>1</v>
      </c>
      <c r="CI192" s="173"/>
      <c r="CJ192" s="173">
        <f>_xlfn.XLOOKUP(Crops[[#This Row],[Trellis Type]],TrellisMethods[Trellis Type],TrellisMethods[Hours],0,0)</f>
        <v>0</v>
      </c>
      <c r="CK192">
        <f>IF(Crops[[#This Row],[Days in Cells]]&lt;=0,Crops[[#This Row],[Rows]]*1/10,0)*BedLength/50</f>
        <v>0</v>
      </c>
      <c r="CL192" cm="1">
        <f t="array" ref="CL192">_xlfn.SWITCH(Crops[[#This Row],[Irrigation]],"DR", 0.5, "OH", 0.25,0)*BedLength/50</f>
        <v>0</v>
      </c>
      <c r="CM192">
        <f>IF(OR(ISBLANK(Crops[[#This Row],[Row Cover]]),Crops[[#This Row],[Row Cover]]="None"),0,1)*BedLength/50</f>
        <v>1</v>
      </c>
      <c r="CN192" s="173">
        <f>HoursPerWeedingPass*Crops[[#This Row],[Days In Field]]/14*Crops[[#This Row],[Rows]]+1*BedLength/50</f>
        <v>4.7142857142857135</v>
      </c>
      <c r="CO192" s="49"/>
      <c r="CQ192" s="37">
        <f>_xlfn.XLOOKUP(Crops[[#This Row],[Crop]]&amp;Crops[[#This Row],[Product]]&amp;Crops[[#This Row],[Unit]],Products[ID],Products[Marketing (hr)])*Crops[[#This Row],[Direct Revenue Per Bed]]/2000</f>
        <v>0.8</v>
      </c>
      <c r="CR192" s="37">
        <f>_xlfn.XLOOKUP(Crops[[#This Row],[Crop]]&amp;Crops[[#This Row],[Product]]&amp;Crops[[#This Row],[Unit]],Products[ID],Products[Harvest (s)])*Crops[[#This Row],[Custom Yield Per Bed]]/3600</f>
        <v>0.55555555555555558</v>
      </c>
      <c r="CS192" s="37">
        <f>_xlfn.XLOOKUP(Crops[[#This Row],[Crop]]&amp;Crops[[#This Row],[Product]]&amp;Crops[[#This Row],[Unit]],Products[ID],Products[Bunch (s)])*Crops[[#This Row],[Custom Yield Per Bed]]/3600</f>
        <v>0</v>
      </c>
      <c r="CT192" s="37">
        <f>_xlfn.XLOOKUP(Crops[[#This Row],[Crop]]&amp;Crops[[#This Row],[Product]]&amp;Crops[[#This Row],[Unit]],Products[ID],Products[Haul (s)])*Crops[[#This Row],[Custom Yield Per Bed]]/3600</f>
        <v>0.20833333333333334</v>
      </c>
      <c r="CU192" s="37">
        <f>_xlfn.XLOOKUP(Crops[[#This Row],[Crop]]&amp;Crops[[#This Row],[Product]]&amp;Crops[[#This Row],[Unit]],Products[ID],Products[Wash (s)])*Crops[[#This Row],[Custom Yield Per Bed]]/3600</f>
        <v>1.1111111111111112</v>
      </c>
      <c r="CV192" s="37">
        <f>_xlfn.XLOOKUP(Crops[[#This Row],[Crop]]&amp;Crops[[#This Row],[Product]]&amp;Crops[[#This Row],[Unit]],Products[ID],Products[Condition (s)])*Crops[[#This Row],[Custom Yield Per Bed]]/3600</f>
        <v>0</v>
      </c>
      <c r="CW192" s="37">
        <f>_xlfn.XLOOKUP(Crops[[#This Row],[Crop]]&amp;Crops[[#This Row],[Product]]&amp;Crops[[#This Row],[Unit]],Products[ID],Products[Trim (s)])*Crops[[#This Row],[Custom Yield Per Bed]]/3600</f>
        <v>0.55555555555555558</v>
      </c>
      <c r="CX192" s="37">
        <f>_xlfn.XLOOKUP(Crops[[#This Row],[Crop]]&amp;Crops[[#This Row],[Product]]&amp;Crops[[#This Row],[Unit]],Products[ID],Products[Pack (s)])*Crops[[#This Row],[Custom Yield Per Bed]]/3600</f>
        <v>0.16666666666666666</v>
      </c>
      <c r="CY192" s="37">
        <f>_xlfn.XLOOKUP(Crops[[#This Row],[Crop]]&amp;Crops[[#This Row],[Product]]&amp;Crops[[#This Row],[Unit]],Products[ID],Products[Clean (s)])*Crops[[#This Row],[Custom Yield Per Bed]]/3600</f>
        <v>0</v>
      </c>
      <c r="CZ192" s="37">
        <f>_xlfn.XLOOKUP(Crops[[#This Row],[Crop]]&amp;Crops[[#This Row],[Product]]&amp;Crops[[#This Row],[Unit]],Products[ID],Products[Rehandle (s)])*Crops[[#This Row],[Custom Yield Per Bed]]/3600</f>
        <v>0</v>
      </c>
      <c r="DA192" s="37">
        <f>_xlfn.XLOOKUP(Crops[[#This Row],[Crop]]&amp;Crops[[#This Row],[Product]]&amp;Crops[[#This Row],[Unit]],Products[ID],Products[Market Transport (s)])*Crops[[#This Row],[Custom Yield Per Bed]]/3600</f>
        <v>0.52083333333333337</v>
      </c>
      <c r="DC192" s="37">
        <f>Crops[[#This Row],[Direct Revenue Per Bed2]]</f>
        <v>800</v>
      </c>
      <c r="DD192" s="173">
        <f>_xlfn.AGGREGATE(9,6,Crops[[#This Row],[Bed Prep]:[Remove Crop Residue]])</f>
        <v>12.900244915674604</v>
      </c>
      <c r="DE192" s="173">
        <f>_xlfn.AGGREGATE(9,6,Crops[[#This Row],[Bed Prep]:[Remove Crop Residue]])-0.75*Crops[[#This Row],[Market &amp; Sell]]</f>
        <v>12.300244915674604</v>
      </c>
      <c r="DF192" s="36">
        <f>Crops[[#This Row],[Direct Revenue Per Bed2]]/Crops[[#This Row],[Direct Time]]</f>
        <v>62.014326489875401</v>
      </c>
      <c r="DG192" s="36">
        <f>_xlfn.XLOOKUP(Crops[[#This Row],[ProductIndex]],Products[ID],Products[Packaging Cost])*(Crops[[#This Row],[Custom Yield Per Bed]]/_xlfn.XLOOKUP(Crops[[#This Row],[ProductIndex]],Products[ID],Products[Units Per Pack]))</f>
        <v>31.666666666666668</v>
      </c>
      <c r="DH192" s="36"/>
      <c r="DI192" s="36"/>
      <c r="DJ192" s="36"/>
      <c r="DK192" s="36"/>
      <c r="DL192" s="36"/>
      <c r="DM192" s="33">
        <f>IFERROR(Crops[[#This Row],[Custom Yield Per Bed]]*Crops[[#This Row],[Direct Price]],"")</f>
        <v>800</v>
      </c>
      <c r="DN192" s="36">
        <f>Crops[[#This Row],[Direct Time]]*LaborRate</f>
        <v>322.50612289186506</v>
      </c>
      <c r="DO192" s="36">
        <f>SUM(Crops[[#This Row],[Irrigation Cost]])</f>
        <v>0</v>
      </c>
      <c r="DP192" s="36">
        <f>Crops[[#This Row],[Direct Labor Cost]]+Crops[[#This Row],[Direct Non-Labor Cost]]</f>
        <v>322.50612289186506</v>
      </c>
      <c r="DQ192" s="36">
        <f>Crops[[#This Row],[Direct Revenue Per Bed2]]-Crops[[#This Row],[Direct Total Cost]]</f>
        <v>477.49387710813494</v>
      </c>
      <c r="DR192" s="36">
        <f>Crops[[#This Row],[Direct Profit]]*BedsPerAcre</f>
        <v>76399.020337301597</v>
      </c>
      <c r="DS192" s="36">
        <f>Crops[[#This Row],[Direct Profit]]*BedsPerAcre*GrowingDays/Crops[[#This Row],[Days In Field]]</f>
        <v>132229.07366071429</v>
      </c>
      <c r="DT192" s="36">
        <f>Crops[[#This Row],[Direct Profit]]/MIN(Crops[[#This Row],[Days In Field]],GrowingDays)</f>
        <v>4.591287279885913</v>
      </c>
      <c r="DU192" s="33">
        <f>Crops[[#This Row],[Direct Time]] * BedsPerAcre</f>
        <v>2064.0391865079364</v>
      </c>
      <c r="DV192" s="36">
        <f>(Crops[[#This Row],[Direct Revenue Per Bed2]]-Crops[[#This Row],[Direct Non-Labor Cost]])/Crops[[#This Row],[Direct Time]]</f>
        <v>62.014326489875401</v>
      </c>
      <c r="DW192" s="33">
        <f>IFERROR(Crops[[#This Row],[Custom Yield Per Bed]]*Crops[[#This Row],[Rough Wholesale Price]],"")</f>
        <v>360</v>
      </c>
      <c r="DX192" s="36">
        <f>Crops[[#This Row],[Wholesale Time]]*LaborRate</f>
        <v>307.50612289186512</v>
      </c>
      <c r="DY192" s="36">
        <f>SUM(Crops[[#This Row],[Packaging Costs]:[Irrigation Cost]])</f>
        <v>31.666666666666668</v>
      </c>
      <c r="DZ192" s="36">
        <f>Crops[[#This Row],[Wholesale Labor Cost]]+Crops[[#This Row],[Wholesale Non-Labor Cost]]</f>
        <v>339.1727895585318</v>
      </c>
      <c r="EA192" s="36">
        <f>Crops[[#This Row],[Wholesale Revenue Per Bed]]-Crops[[#This Row],[Wholesale Total Cost]]</f>
        <v>20.827210441468196</v>
      </c>
      <c r="EB192" s="36">
        <f>Crops[[#This Row],[Wholesale Profit]]*BedsPerAcre</f>
        <v>3332.3536706349114</v>
      </c>
      <c r="EC192" s="36">
        <f>Crops[[#This Row],[Wholesale Profit]]*BedsPerAcre*GrowingDays/Crops[[#This Row],[Days In Field]]</f>
        <v>5767.535199175808</v>
      </c>
      <c r="ED192" s="33">
        <f>Crops[[#This Row],[Wholesale Time]] * BedsPerAcre</f>
        <v>1968.0391865079366</v>
      </c>
      <c r="EE192" s="221">
        <f>Crops[[#This Row],[Wholesale Profit]]/MIN(Crops[[#This Row],[Days In Field]],GrowingDays)</f>
        <v>0.20026163886027112</v>
      </c>
      <c r="EF192" s="36">
        <f>(Crops[[#This Row],[Wholesale Revenue Per Bed]]-Crops[[#This Row],[Wholesale Non-Labor Cost]])/Crops[[#This Row],[Direct Time]]</f>
        <v>25.451713163553027</v>
      </c>
      <c r="EG192" s="174">
        <f>Crops[[#This Row],[Packaging Costs]]/Crops[[#This Row],[Wholesale Revenue Per Bed]]</f>
        <v>8.7962962962962965E-2</v>
      </c>
      <c r="EH192" s="36" t="str">
        <f>Crops[[#This Row],[Crop]]&amp;Crops[[#This Row],[Product]]&amp;Crops[[#This Row],[Unit]]</f>
        <v>LettuceMature HeadHead</v>
      </c>
      <c r="EI192" s="36" t="b">
        <f>_xlfn.XLOOKUP(Crops[[#This Row],[ProductIndex]],Products[ID],Products[Target])</f>
        <v>1</v>
      </c>
      <c r="EJ192" s="33">
        <f>Crops[[#This Row],[Custom Yield Per Bed]]</f>
        <v>200</v>
      </c>
      <c r="EK192" s="210">
        <f>Crops[[#This Row],[Units Per Harvest]]/Crops[[#This Row],[Days Between Harvest]]*7</f>
        <v>100</v>
      </c>
      <c r="EL192" s="210">
        <f>Crops[[#This Row],[Custom Yield Per Bed]]/_xlfn.XLOOKUP(Crops[[#This Row],[ProductIndex]],Products[ID],Products[CSA Portion])</f>
        <v>200</v>
      </c>
      <c r="EM192" s="210">
        <f>Crops[[#This Row],[Units Per Harvest]]/Crops[[#This Row],[Days Between Harvest]]*7/_xlfn.XLOOKUP(Crops[[#This Row],[ProductIndex]],Products[ID],Products[CSA Portion])</f>
        <v>100</v>
      </c>
      <c r="EN192" s="210">
        <f>Crops[[#This Row],[CSA Portions Per Week]]/CSAMembers</f>
        <v>2</v>
      </c>
      <c r="EO192" s="216">
        <v>0.5</v>
      </c>
      <c r="EP192" s="216">
        <v>1</v>
      </c>
      <c r="EQ192" s="210"/>
      <c r="ER192" s="210">
        <f>Crops[[#This Row],[Harvests]]*Crops[[#This Row],[Days Between Harvest]]/7</f>
        <v>2</v>
      </c>
      <c r="ES192" s="217">
        <f>_xlfn.XLOOKUP(Crops[[#This Row],[ProductIndex]],Products[ID],Products[CSA Need])</f>
        <v>2</v>
      </c>
      <c r="ET192" s="217">
        <f>_xlfn.XLOOKUP(Crops[[#This Row],[ProductIndex]],Products[ID],Products[CSA Times])</f>
        <v>2</v>
      </c>
      <c r="EU192" s="208">
        <f>Crops[[#This Row],[Custom Yield Per Bed]]/(Crops[[#This Row],[CSA Need]]*(_xlfn.XLOOKUP(Crops[[#This Row],[ProductIndex]],Products[ID],Products[CSA Portion])*CSAMembers))</f>
        <v>2</v>
      </c>
      <c r="EV192" s="208">
        <f>_xlfn.XLOOKUP(Crops[[#This Row],[ProductIndex]],Products[ID],Products[CSA Portion])*CSAMembers*Crops[[#This Row],[CSA Need]]/Crops[[#This Row],[Custom Yield Per Bed]]</f>
        <v>0.5</v>
      </c>
      <c r="EW192" s="208">
        <f>IFERROR(Crops[[#This Row],[Days In Field]]*Crops[[#This Row],[CSA Beds]],"")</f>
        <v>52</v>
      </c>
      <c r="EX192" s="208" t="e">
        <f>Crops[[#This Row],[CSA Bed Days]]*#REF!</f>
        <v>#REF!</v>
      </c>
      <c r="EY192">
        <v>0</v>
      </c>
    </row>
    <row r="193" spans="1:155">
      <c r="A19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(Salanova) - Loose Leaf 1X | Field TP Sp</v>
      </c>
      <c r="B193" s="179"/>
      <c r="C193" s="1" t="b">
        <v>1</v>
      </c>
      <c r="D193" s="1"/>
      <c r="E193" s="1" t="b">
        <v>0</v>
      </c>
      <c r="F193" s="1" t="b">
        <f>IFERROR(IF(ISNUMBER(MATCH(Crops[[#This Row],[Identifier]],BedPlan[Crop], 0)), TRUE, FALSE), FALSE)</f>
        <v>1</v>
      </c>
      <c r="G193" s="1" t="b">
        <f>IFERROR(IF(ISNUMBER(MATCH(Crops[[#This Row],[Identifier]],BedPlan[Crop], 0)), TRUE, FALSE), FALSE)</f>
        <v>1</v>
      </c>
      <c r="H193" s="1" t="b">
        <v>1</v>
      </c>
      <c r="I193" t="s">
        <v>92</v>
      </c>
      <c r="J193" t="s">
        <v>166</v>
      </c>
      <c r="K193" t="s">
        <v>190</v>
      </c>
      <c r="N193" t="str">
        <f>Crops[[#This Row],[Crop]]</f>
        <v>Lettuce</v>
      </c>
      <c r="O193" t="s">
        <v>210</v>
      </c>
      <c r="P193" t="str">
        <f>IF(OR(Crops[[#This Row],[Days in Cells]]="",Crops[[#This Row],[Days in Cells]]=0), "DS","TP")</f>
        <v>TP</v>
      </c>
      <c r="Q193" t="b">
        <v>1</v>
      </c>
      <c r="V193" t="str">
        <f xml:space="preserve"> IF(Crops[[#This Row],[Sp]], "Sp", "") &amp; IF(Crops[[#This Row],[Su]], "Su", "") &amp; IF(Crops[[#This Row],[Fa]], "Fa", "") &amp; IF(Crops[[#This Row],[Wi]], "Wi", "") &amp; IF(Crops[[#This Row],[OW]], "Ow","")</f>
        <v>Sp</v>
      </c>
      <c r="W193" t="s">
        <v>144</v>
      </c>
      <c r="X193">
        <v>4</v>
      </c>
      <c r="Y193">
        <v>9</v>
      </c>
      <c r="AD193" s="32">
        <f>IFERROR(12/Crops[[#This Row],[Spacing]]*Crops[[#This Row],[Rows]]*BedLength,"")</f>
        <v>266.66666666666663</v>
      </c>
      <c r="AE193">
        <v>1</v>
      </c>
      <c r="AG193">
        <f>IF(Crops[[#This Row],[Custom Safety Factor]]="",PlantingSafetyFactor,Crops[[#This Row],[Custom Safety Factor]])</f>
        <v>1.3</v>
      </c>
      <c r="AH193">
        <v>1.3</v>
      </c>
      <c r="AI193" s="33">
        <f>IFERROR(Crops[[#This Row],[Plantings Per Bed]]*Crops[[#This Row],[Seeds Per Planting]]*Crops[[#This Row],[Safety Factor]]*Crops[[#This Row],[Seeding Factor]],"")</f>
        <v>450.66666666666663</v>
      </c>
      <c r="AL193">
        <f>_xlfn.FLOOR.MATH(IFERROR(AVERAGE(Crops[[#This Row],[DTG Lower]:[DTG Upper]]),0))</f>
        <v>0</v>
      </c>
      <c r="AM193">
        <f>SUM(Crops[[#This Row],[Tray 1 Days]],Crops[[#This Row],[Tray 2 Days]],Crops[[#This Row],[Tray 3 Days]])</f>
        <v>30</v>
      </c>
      <c r="AN193">
        <v>30</v>
      </c>
      <c r="AP193">
        <v>55</v>
      </c>
      <c r="AQ193">
        <f>IFERROR(_xlfn.FLOOR.MATH(AVERAGE(Crops[[#This Row],[DTM Lower]:[DTM Upper]])),"")</f>
        <v>55</v>
      </c>
      <c r="AR193" cm="1">
        <f t="array" ref="AR193">_xlfn.SWITCH(Crops[[#This Row],[Normal Method]],"DS",Crops[[#This Row],[Days to Germination]]+Crops[[#This Row],[DTM]] + IF(Crops[[#This Row],[Days in Cells]]&gt;0,15,0), "TP",Crops[[#This Row],[DTM]]+Crops[[#This Row],[Days in Cells]] + IF(Crops[[#This Row],[Days in Cells]]&lt;=0,20,0), "X", Crops[[#This Row],[DTM]])</f>
        <v>85</v>
      </c>
      <c r="AS193" t="s">
        <v>346</v>
      </c>
      <c r="AT193">
        <f>(Crops[[#This Row],[Harvests]]-1)*Crops[[#This Row],[Days Between Harvest]]+7</f>
        <v>27</v>
      </c>
      <c r="AU193">
        <f>Crops[[#This Row],[STH]]-Crops[[#This Row],[Days in Cells]]+Crops[[#This Row],[Harvest window]]</f>
        <v>82</v>
      </c>
      <c r="AX193">
        <v>128</v>
      </c>
      <c r="AY193">
        <v>30</v>
      </c>
      <c r="AZ193">
        <f>IFERROR(IF(Crops[[#This Row],[Tray 1 Days]]=0,"",Crops[[#This Row],[Plantings Per Bed]]/Crops[[#This Row],[Tray 1 Size]]*Crops[[#This Row],[Safety Factor]]),"")</f>
        <v>2.708333333333333</v>
      </c>
      <c r="BC193" t="str">
        <f>IFERROR(IF(Crops[[#This Row],[Tray 2 Days]]=0,"",Crops[[#This Row],[Plantings Per Bed]]/Crops[[#This Row],[Tray 2 Size]]*Crops[[#This Row],[Safety Factor]]),"")</f>
        <v/>
      </c>
      <c r="BE193" s="32" t="str">
        <f>IF(NOT(ISBLANK(Crops[[#This Row],[Tray 3 Size]])), Crops[[#This Row],[Days in Cells Old]]-SUM(Crops[[#This Row],[Tray 1 Days]],Crops[[#This Row],[Tray 2 Days]]), "")</f>
        <v/>
      </c>
      <c r="BF193" t="str">
        <f>IFERROR(IF(Crops[[#This Row],[Tray 3 Days]]=0,"",Crops[[#This Row],[Plantings Per Bed]]/Crops[[#This Row],[Tray 3 Size]]*Crops[[#This Row],[Safety Factor]]),"")</f>
        <v/>
      </c>
      <c r="BG193" s="33">
        <f>(0.5+(Crops[[#This Row],[Harvests]]-1)*0.25*Crops[[#This Row],[Plantings Per Bed]])/Crops[[#This Row],[Harvests]]</f>
        <v>44.611111111111107</v>
      </c>
      <c r="BH193" s="33">
        <v>3</v>
      </c>
      <c r="BI193" s="33">
        <v>10</v>
      </c>
      <c r="BJ193" s="33">
        <f>_xlfn.XLOOKUP(Crops[[#This Row],[ProductIndex]],Products[ID],Products[Holding Period])</f>
        <v>0</v>
      </c>
      <c r="BK193" s="33"/>
      <c r="BL193" s="33">
        <f>Crops[[#This Row],[Units Per Harvest]]*Crops[[#This Row],[Harvests]]</f>
        <v>133.83333333333331</v>
      </c>
      <c r="BM193" s="35">
        <v>10</v>
      </c>
      <c r="BN193" s="35">
        <v>6.49</v>
      </c>
      <c r="BO193" s="35"/>
      <c r="BP193" t="s">
        <v>383</v>
      </c>
      <c r="BQ193">
        <f>Crops[[#This Row],[Custom Yield Per Bed]]*Crops[[#This Row],[Direct Price]]</f>
        <v>1338.333333333333</v>
      </c>
      <c r="BR193" t="b">
        <v>1</v>
      </c>
      <c r="BS193" t="b">
        <f>Crops[[#This Row],[Harvests]]&gt;1</f>
        <v>1</v>
      </c>
      <c r="BT193" s="36">
        <f>IFERROR(Crops[[#This Row],[Direct Revenue Per Bed]]/Crops[[#This Row],[Days In Field]],-1)</f>
        <v>16.32113821138211</v>
      </c>
      <c r="BU193" s="36">
        <f>IFERROR(Crops[[#This Row],[Direct Revenue Per Bed Day]]*GrowingDays*BedsPerAcre,"")</f>
        <v>470048.78048780479</v>
      </c>
      <c r="BV193" s="38">
        <f>LastFrostDate-5*Crops[[#This Row],[Sewing Rel Last Frost]]</f>
        <v>45728</v>
      </c>
      <c r="BW193" s="38">
        <f>Crops[[#This Row],[Target Sewing Date]]+Crops[[#This Row],[Days in Cells]]</f>
        <v>45758</v>
      </c>
      <c r="BX193" s="38">
        <f>Crops[[#This Row],[Target Sewing Date]]+Crops[[#This Row],[STH]]</f>
        <v>45813</v>
      </c>
      <c r="BY193" s="38">
        <f>Crops[[#This Row],[Target Harvest Data]]+Crops[[#This Row],[Harvest window]]</f>
        <v>45840</v>
      </c>
      <c r="BZ193">
        <v>4</v>
      </c>
      <c r="CB193">
        <f>1</f>
        <v>1</v>
      </c>
      <c r="CC193">
        <f>IF(Crops[[#This Row],[Transplanting]]&gt;0, 2, 3)*BedLength/StandardBedLength</f>
        <v>1</v>
      </c>
      <c r="CD193" s="173">
        <f>IF(Crops[[#This Row],[Days in Cells]]&lt;=0,0,Crops[[#This Row],[Plantings Per Bed]]/StartsPerHourSeeding+Crops[[#This Row],[Tray 1 Count]]*5/60)</f>
        <v>1.2673611111111109</v>
      </c>
      <c r="CE193" s="173">
        <f>IF(ISBLANK(Crops[[#This Row],[Tray 2 Days]]),0,Crops[[#This Row],[Plantings Per Bed]]/UpPottingPerHour)+IF(Crops[[#This Row],[Tray 3 Days]]="",0,Crops[[#This Row],[Plantings Per Bed]]/UpPottingPerHour)</f>
        <v>0</v>
      </c>
      <c r="CF193" s="173">
        <f>IFERROR(Crops[[#This Row],[Tray 1 Count]]/HomeStartFlatIrrigationPerHour,0)*Crops[[#This Row],[Days in Cells]]/DaysBetweenStartIrrigation</f>
        <v>0.33854166666666663</v>
      </c>
      <c r="CG193" s="173">
        <f>0.5/16*MAX(Crops[[#This Row],[Tray 1 Count]],Crops[[#This Row],[Tray 2 Count]],Crops[[#This Row],[Tray 3 Count]])</f>
        <v>8.4635416666666657E-2</v>
      </c>
      <c r="CH193" s="173">
        <f>IF(Crops[[#This Row],[Days in Cells]]&gt;0,IF(IF(Crops[[#This Row],[Tray 3 Size]]&gt;0,Crops[[#This Row],[Tray 3 Size]],IF(Crops[[#This Row],[Tray 2 Size]]&gt;0,Crops[[#This Row],[Tray 2 Size]],Crops[[#This Row],[Tray 1 Size]]))&lt;=18,LargeTransplantTime,SmallTransplantTime)*Crops[[#This Row],[Plantings Per Bed]],0)</f>
        <v>1.3333333333333333</v>
      </c>
      <c r="CI193" s="173"/>
      <c r="CJ193" s="173">
        <f>_xlfn.XLOOKUP(Crops[[#This Row],[Trellis Type]],TrellisMethods[Trellis Type],TrellisMethods[Hours],0,0)</f>
        <v>0</v>
      </c>
      <c r="CK193">
        <f>IF(Crops[[#This Row],[Days in Cells]]&lt;=0,Crops[[#This Row],[Rows]]*1/10,0)*BedLength/50</f>
        <v>0</v>
      </c>
      <c r="CL193" cm="1">
        <f t="array" ref="CL193">_xlfn.SWITCH(Crops[[#This Row],[Irrigation]],"DR", 0.5, "OH", 0.25,0)*BedLength/50</f>
        <v>0</v>
      </c>
      <c r="CM193">
        <f>IF(OR(ISBLANK(Crops[[#This Row],[Row Cover]]),Crops[[#This Row],[Row Cover]]="None"),0,1)*BedLength/50</f>
        <v>0</v>
      </c>
      <c r="CN193" s="173">
        <f>HoursPerWeedingPass*Crops[[#This Row],[Days In Field]]/14*Crops[[#This Row],[Rows]]+1*BedLength/50</f>
        <v>4.9047619047619051</v>
      </c>
      <c r="CO193" s="49"/>
      <c r="CQ193" s="37">
        <f>_xlfn.XLOOKUP(Crops[[#This Row],[Crop]]&amp;Crops[[#This Row],[Product]]&amp;Crops[[#This Row],[Unit]],Products[ID],Products[Marketing (hr)])*Crops[[#This Row],[Direct Revenue Per Bed]]/2000</f>
        <v>1.3383333333333329</v>
      </c>
      <c r="CR193" s="37">
        <f>_xlfn.XLOOKUP(Crops[[#This Row],[Crop]]&amp;Crops[[#This Row],[Product]]&amp;Crops[[#This Row],[Unit]],Products[ID],Products[Harvest (s)])*Crops[[#This Row],[Custom Yield Per Bed]]/3600</f>
        <v>4.4611111111111104</v>
      </c>
      <c r="CS193" s="37">
        <f>_xlfn.XLOOKUP(Crops[[#This Row],[Crop]]&amp;Crops[[#This Row],[Product]]&amp;Crops[[#This Row],[Unit]],Products[ID],Products[Bunch (s)])*Crops[[#This Row],[Custom Yield Per Bed]]/3600</f>
        <v>0</v>
      </c>
      <c r="CT193" s="37">
        <f>_xlfn.XLOOKUP(Crops[[#This Row],[Crop]]&amp;Crops[[#This Row],[Product]]&amp;Crops[[#This Row],[Unit]],Products[ID],Products[Haul (s)])*Crops[[#This Row],[Custom Yield Per Bed]]/3600</f>
        <v>0.33458333333333329</v>
      </c>
      <c r="CU193" s="37">
        <f>_xlfn.XLOOKUP(Crops[[#This Row],[Crop]]&amp;Crops[[#This Row],[Product]]&amp;Crops[[#This Row],[Unit]],Products[ID],Products[Wash (s)])*Crops[[#This Row],[Custom Yield Per Bed]]/3600</f>
        <v>2.2305555555555552</v>
      </c>
      <c r="CV193" s="37">
        <f>_xlfn.XLOOKUP(Crops[[#This Row],[Crop]]&amp;Crops[[#This Row],[Product]]&amp;Crops[[#This Row],[Unit]],Products[ID],Products[Condition (s)])*Crops[[#This Row],[Custom Yield Per Bed]]/3600</f>
        <v>0</v>
      </c>
      <c r="CW193" s="37">
        <f>_xlfn.XLOOKUP(Crops[[#This Row],[Crop]]&amp;Crops[[#This Row],[Product]]&amp;Crops[[#This Row],[Unit]],Products[ID],Products[Trim (s)])*Crops[[#This Row],[Custom Yield Per Bed]]/3600</f>
        <v>1.1152777777777776</v>
      </c>
      <c r="CX193" s="37">
        <f>_xlfn.XLOOKUP(Crops[[#This Row],[Crop]]&amp;Crops[[#This Row],[Product]]&amp;Crops[[#This Row],[Unit]],Products[ID],Products[Pack (s)])*Crops[[#This Row],[Custom Yield Per Bed]]/3600</f>
        <v>0.11152777777777777</v>
      </c>
      <c r="CY193" s="37">
        <f>_xlfn.XLOOKUP(Crops[[#This Row],[Crop]]&amp;Crops[[#This Row],[Product]]&amp;Crops[[#This Row],[Unit]],Products[ID],Products[Clean (s)])*Crops[[#This Row],[Custom Yield Per Bed]]/3600</f>
        <v>0</v>
      </c>
      <c r="CZ193" s="37">
        <f>_xlfn.XLOOKUP(Crops[[#This Row],[Crop]]&amp;Crops[[#This Row],[Product]]&amp;Crops[[#This Row],[Unit]],Products[ID],Products[Rehandle (s)])*Crops[[#This Row],[Custom Yield Per Bed]]/3600</f>
        <v>0</v>
      </c>
      <c r="DA193" s="37">
        <f>_xlfn.XLOOKUP(Crops[[#This Row],[Crop]]&amp;Crops[[#This Row],[Product]]&amp;Crops[[#This Row],[Unit]],Products[ID],Products[Market Transport (s)])*Crops[[#This Row],[Custom Yield Per Bed]]/3600</f>
        <v>0.83645833333333319</v>
      </c>
      <c r="DC193" s="37">
        <f>Crops[[#This Row],[Direct Revenue Per Bed2]]</f>
        <v>1338.333333333333</v>
      </c>
      <c r="DD193" s="173">
        <f>_xlfn.AGGREGATE(9,6,Crops[[#This Row],[Bed Prep]:[Remove Crop Residue]])</f>
        <v>19.356480654761899</v>
      </c>
      <c r="DE193" s="173">
        <f>_xlfn.AGGREGATE(9,6,Crops[[#This Row],[Bed Prep]:[Remove Crop Residue]])-0.75*Crops[[#This Row],[Market &amp; Sell]]</f>
        <v>18.352730654761899</v>
      </c>
      <c r="DF193" s="36">
        <f>Crops[[#This Row],[Direct Revenue Per Bed2]]/Crops[[#This Row],[Direct Time]]</f>
        <v>69.141356696166199</v>
      </c>
      <c r="DG193" s="36">
        <f>_xlfn.XLOOKUP(Crops[[#This Row],[ProductIndex]],Products[ID],Products[Packaging Cost])*(Crops[[#This Row],[Custom Yield Per Bed]]/_xlfn.XLOOKUP(Crops[[#This Row],[ProductIndex]],Products[ID],Products[Units Per Pack]))</f>
        <v>50.856666666666655</v>
      </c>
      <c r="DH193" s="36"/>
      <c r="DI193" s="36"/>
      <c r="DJ193" s="36"/>
      <c r="DK193" s="36"/>
      <c r="DL193" s="36"/>
      <c r="DM193" s="33">
        <f>IFERROR(Crops[[#This Row],[Custom Yield Per Bed]]*Crops[[#This Row],[Direct Price]],"")</f>
        <v>1338.333333333333</v>
      </c>
      <c r="DN193" s="36">
        <f>Crops[[#This Row],[Direct Time]]*LaborRate</f>
        <v>483.91201636904748</v>
      </c>
      <c r="DO193" s="36">
        <f>SUM(Crops[[#This Row],[Irrigation Cost]])</f>
        <v>0</v>
      </c>
      <c r="DP193" s="36">
        <f>Crops[[#This Row],[Direct Labor Cost]]+Crops[[#This Row],[Direct Non-Labor Cost]]</f>
        <v>483.91201636904748</v>
      </c>
      <c r="DQ193" s="36">
        <f>Crops[[#This Row],[Direct Revenue Per Bed2]]-Crops[[#This Row],[Direct Total Cost]]</f>
        <v>854.42131696428555</v>
      </c>
      <c r="DR193" s="36">
        <f>Crops[[#This Row],[Direct Profit]]*BedsPerAcre</f>
        <v>136707.41071428568</v>
      </c>
      <c r="DS193" s="36">
        <f>Crops[[#This Row],[Direct Profit]]*BedsPerAcre*GrowingDays/Crops[[#This Row],[Days In Field]]</f>
        <v>300089.43815331004</v>
      </c>
      <c r="DT193" s="36">
        <f>Crops[[#This Row],[Direct Profit]]/MIN(Crops[[#This Row],[Days In Field]],GrowingDays)</f>
        <v>10.419772158101043</v>
      </c>
      <c r="DU193" s="33">
        <f>Crops[[#This Row],[Direct Time]] * BedsPerAcre</f>
        <v>3097.0369047619038</v>
      </c>
      <c r="DV193" s="36">
        <f>(Crops[[#This Row],[Direct Revenue Per Bed2]]-Crops[[#This Row],[Direct Non-Labor Cost]])/Crops[[#This Row],[Direct Time]]</f>
        <v>69.141356696166199</v>
      </c>
      <c r="DW193" s="33">
        <f>IFERROR(Crops[[#This Row],[Custom Yield Per Bed]]*Crops[[#This Row],[Rough Wholesale Price]],"")</f>
        <v>868.57833333333326</v>
      </c>
      <c r="DX193" s="36">
        <f>Crops[[#This Row],[Wholesale Time]]*LaborRate</f>
        <v>458.81826636904748</v>
      </c>
      <c r="DY193" s="36">
        <f>SUM(Crops[[#This Row],[Packaging Costs]:[Irrigation Cost]])</f>
        <v>50.856666666666655</v>
      </c>
      <c r="DZ193" s="36">
        <f>Crops[[#This Row],[Wholesale Labor Cost]]+Crops[[#This Row],[Wholesale Non-Labor Cost]]</f>
        <v>509.67493303571416</v>
      </c>
      <c r="EA193" s="36">
        <f>Crops[[#This Row],[Wholesale Revenue Per Bed]]-Crops[[#This Row],[Wholesale Total Cost]]</f>
        <v>358.9034002976191</v>
      </c>
      <c r="EB193" s="36">
        <f>Crops[[#This Row],[Wholesale Profit]]*BedsPerAcre</f>
        <v>57424.544047619056</v>
      </c>
      <c r="EC193" s="36">
        <f>Crops[[#This Row],[Wholesale Profit]]*BedsPerAcre*GrowingDays/Crops[[#This Row],[Days In Field]]</f>
        <v>126053.87717770037</v>
      </c>
      <c r="ED193" s="33">
        <f>Crops[[#This Row],[Wholesale Time]] * BedsPerAcre</f>
        <v>2936.4369047619039</v>
      </c>
      <c r="EE193" s="221">
        <f>Crops[[#This Row],[Wholesale Profit]]/MIN(Crops[[#This Row],[Days In Field]],GrowingDays)</f>
        <v>4.3768707353368184</v>
      </c>
      <c r="EF193" s="36">
        <f>(Crops[[#This Row],[Wholesale Revenue Per Bed]]-Crops[[#This Row],[Wholesale Non-Labor Cost]])/Crops[[#This Row],[Direct Time]]</f>
        <v>42.245368941357547</v>
      </c>
      <c r="EG193" s="174">
        <f>Crops[[#This Row],[Packaging Costs]]/Crops[[#This Row],[Wholesale Revenue Per Bed]]</f>
        <v>5.8551617873651762E-2</v>
      </c>
      <c r="EH193" s="36" t="str">
        <f>Crops[[#This Row],[Crop]]&amp;Crops[[#This Row],[Product]]&amp;Crops[[#This Row],[Unit]]</f>
        <v>LettuceLoose LeafLb</v>
      </c>
      <c r="EI193" s="36" t="b">
        <f>_xlfn.XLOOKUP(Crops[[#This Row],[ProductIndex]],Products[ID],Products[Target])</f>
        <v>1</v>
      </c>
      <c r="EJ193" s="33">
        <f>Crops[[#This Row],[Custom Yield Per Bed]]</f>
        <v>133.83333333333331</v>
      </c>
      <c r="EK193" s="210">
        <f>Crops[[#This Row],[Units Per Harvest]]/Crops[[#This Row],[Days Between Harvest]]*7</f>
        <v>31.227777777777774</v>
      </c>
      <c r="EL193" s="210">
        <f>Crops[[#This Row],[Custom Yield Per Bed]]/_xlfn.XLOOKUP(Crops[[#This Row],[ProductIndex]],Products[ID],Products[CSA Portion])</f>
        <v>178.44444444444443</v>
      </c>
      <c r="EM193" s="210">
        <f>Crops[[#This Row],[Units Per Harvest]]/Crops[[#This Row],[Days Between Harvest]]*7/_xlfn.XLOOKUP(Crops[[#This Row],[ProductIndex]],Products[ID],Products[CSA Portion])</f>
        <v>41.637037037037032</v>
      </c>
      <c r="EN193" s="210">
        <f>Crops[[#This Row],[CSA Portions Per Week]]/CSAMembers</f>
        <v>0.83274074074074067</v>
      </c>
      <c r="EO193" s="216">
        <v>1</v>
      </c>
      <c r="EP193" s="216">
        <v>4</v>
      </c>
      <c r="EQ193" s="210" t="s">
        <v>2688</v>
      </c>
      <c r="ER193" s="210">
        <f>Crops[[#This Row],[Harvests]]*Crops[[#This Row],[Days Between Harvest]]/7</f>
        <v>4.2857142857142856</v>
      </c>
      <c r="ES193" s="217">
        <f>_xlfn.XLOOKUP(Crops[[#This Row],[ProductIndex]],Products[ID],Products[CSA Need])</f>
        <v>7.5</v>
      </c>
      <c r="ET193" s="217">
        <f>_xlfn.XLOOKUP(Crops[[#This Row],[ProductIndex]],Products[ID],Products[CSA Times])</f>
        <v>10</v>
      </c>
      <c r="EU193" s="208">
        <f>Crops[[#This Row],[Custom Yield Per Bed]]/(Crops[[#This Row],[CSA Need]]*(_xlfn.XLOOKUP(Crops[[#This Row],[ProductIndex]],Products[ID],Products[CSA Portion])*CSAMembers))</f>
        <v>0.4758518518518518</v>
      </c>
      <c r="EV193" s="208">
        <f>_xlfn.XLOOKUP(Crops[[#This Row],[ProductIndex]],Products[ID],Products[CSA Portion])*CSAMembers*Crops[[#This Row],[CSA Need]]/Crops[[#This Row],[Custom Yield Per Bed]]</f>
        <v>2.1014943960149441</v>
      </c>
      <c r="EW193" s="208">
        <f>IFERROR(Crops[[#This Row],[Days In Field]]*Crops[[#This Row],[CSA Beds]],"")</f>
        <v>172.32254047322542</v>
      </c>
      <c r="EX193" s="208" t="e">
        <f>Crops[[#This Row],[CSA Bed Days]]*#REF!</f>
        <v>#REF!</v>
      </c>
      <c r="EY193" t="s">
        <v>212</v>
      </c>
    </row>
    <row r="194" spans="1:155">
      <c r="A19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(Salanova) - Loose Leaf 1X | Field TP SuFa</v>
      </c>
      <c r="B194" s="179"/>
      <c r="C194" s="1" t="b">
        <v>1</v>
      </c>
      <c r="D194" s="1" t="s">
        <v>2567</v>
      </c>
      <c r="E194" s="1" t="b">
        <v>0</v>
      </c>
      <c r="F194" s="1" t="b">
        <f>IFERROR(IF(ISNUMBER(MATCH(Crops[[#This Row],[Identifier]],BedPlan[Crop], 0)), TRUE, FALSE), FALSE)</f>
        <v>1</v>
      </c>
      <c r="G194" s="1" t="b">
        <f>IFERROR(IF(ISNUMBER(MATCH(Crops[[#This Row],[Identifier]],BedPlan[Crop], 0)), TRUE, FALSE), FALSE)</f>
        <v>1</v>
      </c>
      <c r="H194" s="1" t="b">
        <v>1</v>
      </c>
      <c r="I194" t="s">
        <v>92</v>
      </c>
      <c r="J194" t="s">
        <v>166</v>
      </c>
      <c r="K194" t="s">
        <v>190</v>
      </c>
      <c r="N194" t="str">
        <f>Crops[[#This Row],[Crop]]</f>
        <v>Lettuce</v>
      </c>
      <c r="O194" t="s">
        <v>210</v>
      </c>
      <c r="P194" t="str">
        <f>IF(OR(Crops[[#This Row],[Days in Cells]]="",Crops[[#This Row],[Days in Cells]]=0), "DS","TP")</f>
        <v>TP</v>
      </c>
      <c r="R194" t="b">
        <v>1</v>
      </c>
      <c r="S194" t="b">
        <v>1</v>
      </c>
      <c r="V194" t="str">
        <f xml:space="preserve"> IF(Crops[[#This Row],[Sp]], "Sp", "") &amp; IF(Crops[[#This Row],[Su]], "Su", "") &amp; IF(Crops[[#This Row],[Fa]], "Fa", "") &amp; IF(Crops[[#This Row],[Wi]], "Wi", "") &amp; IF(Crops[[#This Row],[OW]], "Ow","")</f>
        <v>SuFa</v>
      </c>
      <c r="W194" t="s">
        <v>144</v>
      </c>
      <c r="X194">
        <v>4</v>
      </c>
      <c r="Y194">
        <v>9</v>
      </c>
      <c r="AD194" s="32">
        <f>IFERROR(12/Crops[[#This Row],[Spacing]]*Crops[[#This Row],[Rows]]*BedLength,"")</f>
        <v>266.66666666666663</v>
      </c>
      <c r="AE194">
        <v>1</v>
      </c>
      <c r="AG194">
        <f>IF(Crops[[#This Row],[Custom Safety Factor]]="",PlantingSafetyFactor,Crops[[#This Row],[Custom Safety Factor]])</f>
        <v>1.3</v>
      </c>
      <c r="AH194">
        <v>1.3</v>
      </c>
      <c r="AI194" s="33">
        <f>IFERROR(Crops[[#This Row],[Plantings Per Bed]]*Crops[[#This Row],[Seeds Per Planting]]*Crops[[#This Row],[Safety Factor]]*Crops[[#This Row],[Seeding Factor]],"")</f>
        <v>450.66666666666663</v>
      </c>
      <c r="AL194">
        <f>_xlfn.FLOOR.MATH(IFERROR(AVERAGE(Crops[[#This Row],[DTG Lower]:[DTG Upper]]),0))</f>
        <v>0</v>
      </c>
      <c r="AM194">
        <f>SUM(Crops[[#This Row],[Tray 1 Days]],Crops[[#This Row],[Tray 2 Days]],Crops[[#This Row],[Tray 3 Days]])</f>
        <v>30</v>
      </c>
      <c r="AN194">
        <v>30</v>
      </c>
      <c r="AP194">
        <v>40</v>
      </c>
      <c r="AQ194">
        <f>IFERROR(_xlfn.FLOOR.MATH(AVERAGE(Crops[[#This Row],[DTM Lower]:[DTM Upper]])),"")</f>
        <v>40</v>
      </c>
      <c r="AR194" cm="1">
        <f t="array" ref="AR194">_xlfn.SWITCH(Crops[[#This Row],[Normal Method]],"DS",Crops[[#This Row],[Days to Germination]]+Crops[[#This Row],[DTM]] + IF(Crops[[#This Row],[Days in Cells]]&gt;0,15,0), "TP",Crops[[#This Row],[DTM]]+Crops[[#This Row],[Days in Cells]] + IF(Crops[[#This Row],[Days in Cells]]&lt;=0,20,0), "X", Crops[[#This Row],[DTM]])</f>
        <v>70</v>
      </c>
      <c r="AS194" t="s">
        <v>346</v>
      </c>
      <c r="AT194">
        <f>(Crops[[#This Row],[Harvests]]-1)*Crops[[#This Row],[Days Between Harvest]]+7</f>
        <v>27</v>
      </c>
      <c r="AU194">
        <f>Crops[[#This Row],[STH]]-Crops[[#This Row],[Days in Cells]]+Crops[[#This Row],[Harvest window]]</f>
        <v>67</v>
      </c>
      <c r="AX194">
        <v>128</v>
      </c>
      <c r="AY194">
        <v>30</v>
      </c>
      <c r="AZ194">
        <f>IFERROR(IF(Crops[[#This Row],[Tray 1 Days]]=0,"",Crops[[#This Row],[Plantings Per Bed]]/Crops[[#This Row],[Tray 1 Size]]*Crops[[#This Row],[Safety Factor]]),"")</f>
        <v>2.708333333333333</v>
      </c>
      <c r="BC194" t="str">
        <f>IFERROR(IF(Crops[[#This Row],[Tray 2 Days]]=0,"",Crops[[#This Row],[Plantings Per Bed]]/Crops[[#This Row],[Tray 2 Size]]*Crops[[#This Row],[Safety Factor]]),"")</f>
        <v/>
      </c>
      <c r="BE194" s="32" t="str">
        <f>IF(NOT(ISBLANK(Crops[[#This Row],[Tray 3 Size]])), Crops[[#This Row],[Days in Cells Old]]-SUM(Crops[[#This Row],[Tray 1 Days]],Crops[[#This Row],[Tray 2 Days]]), "")</f>
        <v/>
      </c>
      <c r="BF194" t="str">
        <f>IFERROR(IF(Crops[[#This Row],[Tray 3 Days]]=0,"",Crops[[#This Row],[Plantings Per Bed]]/Crops[[#This Row],[Tray 3 Size]]*Crops[[#This Row],[Safety Factor]]),"")</f>
        <v/>
      </c>
      <c r="BG194" s="33">
        <f>(0.75+(Crops[[#This Row],[Harvests]]-1)*0.25*Crops[[#This Row],[Plantings Per Bed]])/Crops[[#This Row],[Harvests]]</f>
        <v>44.694444444444436</v>
      </c>
      <c r="BH194" s="33">
        <v>3</v>
      </c>
      <c r="BI194" s="33">
        <v>10</v>
      </c>
      <c r="BJ194" s="33">
        <f>_xlfn.XLOOKUP(Crops[[#This Row],[ProductIndex]],Products[ID],Products[Holding Period])</f>
        <v>0</v>
      </c>
      <c r="BK194" s="33"/>
      <c r="BL194" s="33">
        <f>Crops[[#This Row],[Units Per Harvest]]*Crops[[#This Row],[Harvests]]</f>
        <v>134.08333333333331</v>
      </c>
      <c r="BM194" s="35">
        <v>10</v>
      </c>
      <c r="BN194" s="35">
        <v>6.49</v>
      </c>
      <c r="BO194" s="35"/>
      <c r="BP194" t="s">
        <v>383</v>
      </c>
      <c r="BQ194">
        <f>Crops[[#This Row],[Custom Yield Per Bed]]*Crops[[#This Row],[Direct Price]]</f>
        <v>1340.833333333333</v>
      </c>
      <c r="BR194" t="b">
        <v>1</v>
      </c>
      <c r="BS194" t="b">
        <f>Crops[[#This Row],[Harvests]]&gt;1</f>
        <v>1</v>
      </c>
      <c r="BT194" s="36">
        <f>IFERROR(Crops[[#This Row],[Direct Revenue Per Bed]]/Crops[[#This Row],[Days In Field]],-1)</f>
        <v>20.012437810945269</v>
      </c>
      <c r="BU194" s="36">
        <f>IFERROR(Crops[[#This Row],[Direct Revenue Per Bed Day]]*GrowingDays*BedsPerAcre,"")</f>
        <v>576358.20895522379</v>
      </c>
      <c r="BV194" s="38">
        <f>LastFrostDate-5*Crops[[#This Row],[Sewing Rel Last Frost]]</f>
        <v>45748</v>
      </c>
      <c r="BW194" s="38">
        <f>Crops[[#This Row],[Target Sewing Date]]+Crops[[#This Row],[Days in Cells]]</f>
        <v>45778</v>
      </c>
      <c r="BX194" s="38">
        <f>Crops[[#This Row],[Target Sewing Date]]+Crops[[#This Row],[STH]]</f>
        <v>45818</v>
      </c>
      <c r="BY194" s="38">
        <f>Crops[[#This Row],[Target Harvest Data]]+Crops[[#This Row],[Harvest window]]</f>
        <v>45845</v>
      </c>
      <c r="CB194">
        <f>1</f>
        <v>1</v>
      </c>
      <c r="CC194">
        <f>IF(Crops[[#This Row],[Transplanting]]&gt;0, 2, 3)*BedLength/StandardBedLength</f>
        <v>1</v>
      </c>
      <c r="CD194" s="173">
        <f>IF(Crops[[#This Row],[Days in Cells]]&lt;=0,0,Crops[[#This Row],[Plantings Per Bed]]/StartsPerHourSeeding+Crops[[#This Row],[Tray 1 Count]]*5/60)</f>
        <v>1.2673611111111109</v>
      </c>
      <c r="CE194" s="173">
        <f>IF(ISBLANK(Crops[[#This Row],[Tray 2 Days]]),0,Crops[[#This Row],[Plantings Per Bed]]/UpPottingPerHour)+IF(Crops[[#This Row],[Tray 3 Days]]="",0,Crops[[#This Row],[Plantings Per Bed]]/UpPottingPerHour)</f>
        <v>0</v>
      </c>
      <c r="CF194" s="173">
        <f>IFERROR(Crops[[#This Row],[Tray 1 Count]]/HomeStartFlatIrrigationPerHour,0)*Crops[[#This Row],[Days in Cells]]/DaysBetweenStartIrrigation</f>
        <v>0.33854166666666663</v>
      </c>
      <c r="CG194" s="173">
        <f>0.5/16*MAX(Crops[[#This Row],[Tray 1 Count]],Crops[[#This Row],[Tray 2 Count]],Crops[[#This Row],[Tray 3 Count]])</f>
        <v>8.4635416666666657E-2</v>
      </c>
      <c r="CH194" s="173">
        <f>IF(Crops[[#This Row],[Days in Cells]]&gt;0,IF(IF(Crops[[#This Row],[Tray 3 Size]]&gt;0,Crops[[#This Row],[Tray 3 Size]],IF(Crops[[#This Row],[Tray 2 Size]]&gt;0,Crops[[#This Row],[Tray 2 Size]],Crops[[#This Row],[Tray 1 Size]]))&lt;=18,LargeTransplantTime,SmallTransplantTime)*Crops[[#This Row],[Plantings Per Bed]],0)</f>
        <v>1.3333333333333333</v>
      </c>
      <c r="CI194" s="173"/>
      <c r="CJ194" s="173">
        <f>_xlfn.XLOOKUP(Crops[[#This Row],[Trellis Type]],TrellisMethods[Trellis Type],TrellisMethods[Hours],0,0)</f>
        <v>0</v>
      </c>
      <c r="CK194">
        <f>IF(Crops[[#This Row],[Days in Cells]]&lt;=0,Crops[[#This Row],[Rows]]*1/10,0)*BedLength/50</f>
        <v>0</v>
      </c>
      <c r="CL194" cm="1">
        <f t="array" ref="CL194">_xlfn.SWITCH(Crops[[#This Row],[Irrigation]],"DR", 0.5, "OH", 0.25,0)*BedLength/50</f>
        <v>0</v>
      </c>
      <c r="CM194">
        <f>IF(OR(ISBLANK(Crops[[#This Row],[Row Cover]]),Crops[[#This Row],[Row Cover]]="None"),0,1)*BedLength/50</f>
        <v>0</v>
      </c>
      <c r="CN194" s="173">
        <f>HoursPerWeedingPass*Crops[[#This Row],[Days In Field]]/14*Crops[[#This Row],[Rows]]+1*BedLength/50</f>
        <v>4.1904761904761898</v>
      </c>
      <c r="CO194" s="49"/>
      <c r="CQ194" s="37">
        <f>_xlfn.XLOOKUP(Crops[[#This Row],[Crop]]&amp;Crops[[#This Row],[Product]]&amp;Crops[[#This Row],[Unit]],Products[ID],Products[Marketing (hr)])*Crops[[#This Row],[Direct Revenue Per Bed]]/2000</f>
        <v>1.3408333333333331</v>
      </c>
      <c r="CR194" s="37">
        <f>_xlfn.XLOOKUP(Crops[[#This Row],[Crop]]&amp;Crops[[#This Row],[Product]]&amp;Crops[[#This Row],[Unit]],Products[ID],Products[Harvest (s)])*Crops[[#This Row],[Custom Yield Per Bed]]/3600</f>
        <v>4.4694444444444441</v>
      </c>
      <c r="CS194" s="37">
        <f>_xlfn.XLOOKUP(Crops[[#This Row],[Crop]]&amp;Crops[[#This Row],[Product]]&amp;Crops[[#This Row],[Unit]],Products[ID],Products[Bunch (s)])*Crops[[#This Row],[Custom Yield Per Bed]]/3600</f>
        <v>0</v>
      </c>
      <c r="CT194" s="37">
        <f>_xlfn.XLOOKUP(Crops[[#This Row],[Crop]]&amp;Crops[[#This Row],[Product]]&amp;Crops[[#This Row],[Unit]],Products[ID],Products[Haul (s)])*Crops[[#This Row],[Custom Yield Per Bed]]/3600</f>
        <v>0.33520833333333327</v>
      </c>
      <c r="CU194" s="37">
        <f>_xlfn.XLOOKUP(Crops[[#This Row],[Crop]]&amp;Crops[[#This Row],[Product]]&amp;Crops[[#This Row],[Unit]],Products[ID],Products[Wash (s)])*Crops[[#This Row],[Custom Yield Per Bed]]/3600</f>
        <v>2.2347222222222221</v>
      </c>
      <c r="CV194" s="37">
        <f>_xlfn.XLOOKUP(Crops[[#This Row],[Crop]]&amp;Crops[[#This Row],[Product]]&amp;Crops[[#This Row],[Unit]],Products[ID],Products[Condition (s)])*Crops[[#This Row],[Custom Yield Per Bed]]/3600</f>
        <v>0</v>
      </c>
      <c r="CW194" s="37">
        <f>_xlfn.XLOOKUP(Crops[[#This Row],[Crop]]&amp;Crops[[#This Row],[Product]]&amp;Crops[[#This Row],[Unit]],Products[ID],Products[Trim (s)])*Crops[[#This Row],[Custom Yield Per Bed]]/3600</f>
        <v>1.117361111111111</v>
      </c>
      <c r="CX194" s="37">
        <f>_xlfn.XLOOKUP(Crops[[#This Row],[Crop]]&amp;Crops[[#This Row],[Product]]&amp;Crops[[#This Row],[Unit]],Products[ID],Products[Pack (s)])*Crops[[#This Row],[Custom Yield Per Bed]]/3600</f>
        <v>0.11173611111111109</v>
      </c>
      <c r="CY194" s="37">
        <f>_xlfn.XLOOKUP(Crops[[#This Row],[Crop]]&amp;Crops[[#This Row],[Product]]&amp;Crops[[#This Row],[Unit]],Products[ID],Products[Clean (s)])*Crops[[#This Row],[Custom Yield Per Bed]]/3600</f>
        <v>0</v>
      </c>
      <c r="CZ194" s="37">
        <f>_xlfn.XLOOKUP(Crops[[#This Row],[Crop]]&amp;Crops[[#This Row],[Product]]&amp;Crops[[#This Row],[Unit]],Products[ID],Products[Rehandle (s)])*Crops[[#This Row],[Custom Yield Per Bed]]/3600</f>
        <v>0</v>
      </c>
      <c r="DA194" s="37">
        <f>_xlfn.XLOOKUP(Crops[[#This Row],[Crop]]&amp;Crops[[#This Row],[Product]]&amp;Crops[[#This Row],[Unit]],Products[ID],Products[Market Transport (s)])*Crops[[#This Row],[Custom Yield Per Bed]]/3600</f>
        <v>0.83802083333333321</v>
      </c>
      <c r="DC194" s="37">
        <f>Crops[[#This Row],[Direct Revenue Per Bed2]]</f>
        <v>1340.833333333333</v>
      </c>
      <c r="DD194" s="173">
        <f>_xlfn.AGGREGATE(9,6,Crops[[#This Row],[Bed Prep]:[Remove Crop Residue]])</f>
        <v>18.661674107142851</v>
      </c>
      <c r="DE194" s="173">
        <f>_xlfn.AGGREGATE(9,6,Crops[[#This Row],[Bed Prep]:[Remove Crop Residue]])-0.75*Crops[[#This Row],[Market &amp; Sell]]</f>
        <v>17.656049107142852</v>
      </c>
      <c r="DF194" s="36">
        <f>Crops[[#This Row],[Direct Revenue Per Bed2]]/Crops[[#This Row],[Direct Time]]</f>
        <v>71.849573925424096</v>
      </c>
      <c r="DG194" s="36">
        <f>_xlfn.XLOOKUP(Crops[[#This Row],[ProductIndex]],Products[ID],Products[Packaging Cost])*(Crops[[#This Row],[Custom Yield Per Bed]]/_xlfn.XLOOKUP(Crops[[#This Row],[ProductIndex]],Products[ID],Products[Units Per Pack]))</f>
        <v>50.951666666666654</v>
      </c>
      <c r="DH194" s="36"/>
      <c r="DI194" s="36"/>
      <c r="DJ194" s="36"/>
      <c r="DK194" s="36"/>
      <c r="DL194" s="36"/>
      <c r="DM194" s="33">
        <f>IFERROR(Crops[[#This Row],[Custom Yield Per Bed]]*Crops[[#This Row],[Direct Price]],"")</f>
        <v>1340.833333333333</v>
      </c>
      <c r="DN194" s="36">
        <f>Crops[[#This Row],[Direct Time]]*LaborRate</f>
        <v>466.54185267857127</v>
      </c>
      <c r="DO194" s="36">
        <f>SUM(Crops[[#This Row],[Irrigation Cost]])</f>
        <v>0</v>
      </c>
      <c r="DP194" s="36">
        <f>Crops[[#This Row],[Direct Labor Cost]]+Crops[[#This Row],[Direct Non-Labor Cost]]</f>
        <v>466.54185267857127</v>
      </c>
      <c r="DQ194" s="36">
        <f>Crops[[#This Row],[Direct Revenue Per Bed2]]-Crops[[#This Row],[Direct Total Cost]]</f>
        <v>874.2914806547617</v>
      </c>
      <c r="DR194" s="36">
        <f>Crops[[#This Row],[Direct Profit]]*BedsPerAcre</f>
        <v>139886.63690476186</v>
      </c>
      <c r="DS194" s="36">
        <f>Crops[[#This Row],[Direct Profit]]*BedsPerAcre*GrowingDays/Crops[[#This Row],[Days In Field]]</f>
        <v>375814.84541577811</v>
      </c>
      <c r="DT194" s="36">
        <f>Crops[[#This Row],[Direct Profit]]/MIN(Crops[[#This Row],[Days In Field]],GrowingDays)</f>
        <v>13.049126576936741</v>
      </c>
      <c r="DU194" s="33">
        <f>Crops[[#This Row],[Direct Time]] * BedsPerAcre</f>
        <v>2985.8678571428563</v>
      </c>
      <c r="DV194" s="36">
        <f>(Crops[[#This Row],[Direct Revenue Per Bed2]]-Crops[[#This Row],[Direct Non-Labor Cost]])/Crops[[#This Row],[Direct Time]]</f>
        <v>71.849573925424096</v>
      </c>
      <c r="DW194" s="33">
        <f>IFERROR(Crops[[#This Row],[Custom Yield Per Bed]]*Crops[[#This Row],[Rough Wholesale Price]],"")</f>
        <v>870.20083333333321</v>
      </c>
      <c r="DX194" s="36">
        <f>Crops[[#This Row],[Wholesale Time]]*LaborRate</f>
        <v>441.40122767857133</v>
      </c>
      <c r="DY194" s="36">
        <f>SUM(Crops[[#This Row],[Packaging Costs]:[Irrigation Cost]])</f>
        <v>50.951666666666654</v>
      </c>
      <c r="DZ194" s="36">
        <f>Crops[[#This Row],[Wholesale Labor Cost]]+Crops[[#This Row],[Wholesale Non-Labor Cost]]</f>
        <v>492.35289434523798</v>
      </c>
      <c r="EA194" s="36">
        <f>Crops[[#This Row],[Wholesale Revenue Per Bed]]-Crops[[#This Row],[Wholesale Total Cost]]</f>
        <v>377.84793898809522</v>
      </c>
      <c r="EB194" s="36">
        <f>Crops[[#This Row],[Wholesale Profit]]*BedsPerAcre</f>
        <v>60455.670238095234</v>
      </c>
      <c r="EC194" s="36">
        <f>Crops[[#This Row],[Wholesale Profit]]*BedsPerAcre*GrowingDays/Crops[[#This Row],[Days In Field]]</f>
        <v>162418.2185501066</v>
      </c>
      <c r="ED194" s="33">
        <f>Crops[[#This Row],[Wholesale Time]] * BedsPerAcre</f>
        <v>2824.9678571428562</v>
      </c>
      <c r="EE194" s="221">
        <f>Crops[[#This Row],[Wholesale Profit]]/MIN(Crops[[#This Row],[Days In Field]],GrowingDays)</f>
        <v>5.6395214774342568</v>
      </c>
      <c r="EF194" s="36">
        <f>(Crops[[#This Row],[Wholesale Revenue Per Bed]]-Crops[[#This Row],[Wholesale Non-Labor Cost]])/Crops[[#This Row],[Direct Time]]</f>
        <v>43.900089668434127</v>
      </c>
      <c r="EG194" s="174">
        <f>Crops[[#This Row],[Packaging Costs]]/Crops[[#This Row],[Wholesale Revenue Per Bed]]</f>
        <v>5.8551617873651762E-2</v>
      </c>
      <c r="EH194" s="36" t="str">
        <f>Crops[[#This Row],[Crop]]&amp;Crops[[#This Row],[Product]]&amp;Crops[[#This Row],[Unit]]</f>
        <v>LettuceLoose LeafLb</v>
      </c>
      <c r="EI194" s="36" t="b">
        <f>_xlfn.XLOOKUP(Crops[[#This Row],[ProductIndex]],Products[ID],Products[Target])</f>
        <v>1</v>
      </c>
      <c r="EJ194" s="33">
        <f>Crops[[#This Row],[Custom Yield Per Bed]]</f>
        <v>134.08333333333331</v>
      </c>
      <c r="EK194" s="210">
        <f>Crops[[#This Row],[Units Per Harvest]]/Crops[[#This Row],[Days Between Harvest]]*7</f>
        <v>31.286111111111104</v>
      </c>
      <c r="EL194" s="210">
        <f>Crops[[#This Row],[Custom Yield Per Bed]]/_xlfn.XLOOKUP(Crops[[#This Row],[ProductIndex]],Products[ID],Products[CSA Portion])</f>
        <v>178.77777777777774</v>
      </c>
      <c r="EM194" s="210">
        <f>Crops[[#This Row],[Units Per Harvest]]/Crops[[#This Row],[Days Between Harvest]]*7/_xlfn.XLOOKUP(Crops[[#This Row],[ProductIndex]],Products[ID],Products[CSA Portion])</f>
        <v>41.714814814814808</v>
      </c>
      <c r="EN194" s="210">
        <f>Crops[[#This Row],[CSA Portions Per Week]]/CSAMembers</f>
        <v>0.8342962962962962</v>
      </c>
      <c r="EO194" s="216"/>
      <c r="EP194" s="216"/>
      <c r="EQ194" s="210"/>
      <c r="ER194" s="210">
        <f>Crops[[#This Row],[Harvests]]*Crops[[#This Row],[Days Between Harvest]]/7</f>
        <v>4.2857142857142856</v>
      </c>
      <c r="ES194" s="217">
        <f>_xlfn.XLOOKUP(Crops[[#This Row],[ProductIndex]],Products[ID],Products[CSA Need])</f>
        <v>7.5</v>
      </c>
      <c r="ET194" s="217">
        <f>_xlfn.XLOOKUP(Crops[[#This Row],[ProductIndex]],Products[ID],Products[CSA Times])</f>
        <v>10</v>
      </c>
      <c r="EU194" s="208">
        <f>Crops[[#This Row],[Custom Yield Per Bed]]/(Crops[[#This Row],[CSA Need]]*(_xlfn.XLOOKUP(Crops[[#This Row],[ProductIndex]],Products[ID],Products[CSA Portion])*CSAMembers))</f>
        <v>0.47674074074074069</v>
      </c>
      <c r="EV194" s="208">
        <f>_xlfn.XLOOKUP(Crops[[#This Row],[ProductIndex]],Products[ID],Products[CSA Portion])*CSAMembers*Crops[[#This Row],[CSA Need]]/Crops[[#This Row],[Custom Yield Per Bed]]</f>
        <v>2.0975761342448731</v>
      </c>
      <c r="EW194" s="208">
        <f>IFERROR(Crops[[#This Row],[Days In Field]]*Crops[[#This Row],[CSA Beds]],"")</f>
        <v>140.53760099440649</v>
      </c>
      <c r="EX194" s="208" t="e">
        <f>Crops[[#This Row],[CSA Bed Days]]*#REF!</f>
        <v>#REF!</v>
      </c>
      <c r="EY194" t="s">
        <v>212</v>
      </c>
    </row>
    <row r="195" spans="1:155">
      <c r="A19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(Salanova) - Loose Leaf 1X | Tunnel TP Sp</v>
      </c>
      <c r="B195" s="179"/>
      <c r="C195" s="1" t="b">
        <v>1</v>
      </c>
      <c r="D195" s="1"/>
      <c r="E195" s="1" t="b">
        <v>0</v>
      </c>
      <c r="F195" s="1" t="b">
        <f>IFERROR(IF(ISNUMBER(MATCH(Crops[[#This Row],[Identifier]],BedPlan[Crop], 0)), TRUE, FALSE), FALSE)</f>
        <v>1</v>
      </c>
      <c r="G195" s="1" t="b">
        <f>IFERROR(IF(ISNUMBER(MATCH(Crops[[#This Row],[Identifier]],BedPlan[Crop], 0)), TRUE, FALSE), FALSE)</f>
        <v>1</v>
      </c>
      <c r="H195" s="1" t="b">
        <v>1</v>
      </c>
      <c r="I195" t="s">
        <v>92</v>
      </c>
      <c r="J195" t="s">
        <v>166</v>
      </c>
      <c r="K195" t="s">
        <v>190</v>
      </c>
      <c r="N195" t="str">
        <f>Crops[[#This Row],[Crop]]</f>
        <v>Lettuce</v>
      </c>
      <c r="O195" t="s">
        <v>1413</v>
      </c>
      <c r="P195" t="str">
        <f>IF(OR(Crops[[#This Row],[Days in Cells]]="",Crops[[#This Row],[Days in Cells]]=0), "DS","TP")</f>
        <v>TP</v>
      </c>
      <c r="Q195" t="b">
        <v>1</v>
      </c>
      <c r="V195" t="str">
        <f xml:space="preserve"> IF(Crops[[#This Row],[Sp]], "Sp", "") &amp; IF(Crops[[#This Row],[Su]], "Su", "") &amp; IF(Crops[[#This Row],[Fa]], "Fa", "") &amp; IF(Crops[[#This Row],[Wi]], "Wi", "") &amp; IF(Crops[[#This Row],[OW]], "Ow","")</f>
        <v>Sp</v>
      </c>
      <c r="W195" t="s">
        <v>144</v>
      </c>
      <c r="X195">
        <v>4</v>
      </c>
      <c r="Y195">
        <v>9</v>
      </c>
      <c r="AD195" s="32">
        <f>IFERROR(12/Crops[[#This Row],[Spacing]]*Crops[[#This Row],[Rows]]*BedLength,"")</f>
        <v>266.66666666666663</v>
      </c>
      <c r="AE195">
        <v>1</v>
      </c>
      <c r="AG195">
        <f>IF(Crops[[#This Row],[Custom Safety Factor]]="",PlantingSafetyFactor,Crops[[#This Row],[Custom Safety Factor]])</f>
        <v>1.3</v>
      </c>
      <c r="AH195">
        <v>1.3</v>
      </c>
      <c r="AI195" s="33">
        <f>IFERROR(Crops[[#This Row],[Plantings Per Bed]]*Crops[[#This Row],[Seeds Per Planting]]*Crops[[#This Row],[Safety Factor]]*Crops[[#This Row],[Seeding Factor]],"")</f>
        <v>450.66666666666663</v>
      </c>
      <c r="AL195">
        <f>_xlfn.FLOOR.MATH(IFERROR(AVERAGE(Crops[[#This Row],[DTG Lower]:[DTG Upper]]),0))</f>
        <v>0</v>
      </c>
      <c r="AM195">
        <f>SUM(Crops[[#This Row],[Tray 1 Days]],Crops[[#This Row],[Tray 2 Days]],Crops[[#This Row],[Tray 3 Days]])</f>
        <v>30</v>
      </c>
      <c r="AN195">
        <v>30</v>
      </c>
      <c r="AP195">
        <v>55</v>
      </c>
      <c r="AQ195">
        <f>IFERROR(_xlfn.FLOOR.MATH(AVERAGE(Crops[[#This Row],[DTM Lower]:[DTM Upper]])),"")</f>
        <v>55</v>
      </c>
      <c r="AR195" cm="1">
        <f t="array" ref="AR195">_xlfn.SWITCH(Crops[[#This Row],[Normal Method]],"DS",Crops[[#This Row],[Days to Germination]]+Crops[[#This Row],[DTM]] + IF(Crops[[#This Row],[Days in Cells]]&gt;0,15,0), "TP",Crops[[#This Row],[DTM]]+Crops[[#This Row],[Days in Cells]] + IF(Crops[[#This Row],[Days in Cells]]&lt;=0,20,0), "X", Crops[[#This Row],[DTM]])</f>
        <v>85</v>
      </c>
      <c r="AS195" t="s">
        <v>346</v>
      </c>
      <c r="AT195">
        <f>(Crops[[#This Row],[Harvests]]-1)*Crops[[#This Row],[Days Between Harvest]]+7</f>
        <v>47</v>
      </c>
      <c r="AU195">
        <f>Crops[[#This Row],[STH]]-Crops[[#This Row],[Days in Cells]]+Crops[[#This Row],[Harvest window]]</f>
        <v>102</v>
      </c>
      <c r="AX195">
        <v>128</v>
      </c>
      <c r="AY195">
        <v>30</v>
      </c>
      <c r="AZ195">
        <f>IFERROR(IF(Crops[[#This Row],[Tray 1 Days]]=0,"",Crops[[#This Row],[Plantings Per Bed]]/Crops[[#This Row],[Tray 1 Size]]*Crops[[#This Row],[Safety Factor]]),"")</f>
        <v>2.708333333333333</v>
      </c>
      <c r="BC195" t="str">
        <f>IFERROR(IF(Crops[[#This Row],[Tray 2 Days]]=0,"",Crops[[#This Row],[Plantings Per Bed]]/Crops[[#This Row],[Tray 2 Size]]*Crops[[#This Row],[Safety Factor]]),"")</f>
        <v/>
      </c>
      <c r="BE195" s="32" t="str">
        <f>IF(NOT(ISBLANK(Crops[[#This Row],[Tray 3 Size]])), Crops[[#This Row],[Days in Cells Old]]-SUM(Crops[[#This Row],[Tray 1 Days]],Crops[[#This Row],[Tray 2 Days]]), "")</f>
        <v/>
      </c>
      <c r="BF195" t="str">
        <f>IFERROR(IF(Crops[[#This Row],[Tray 3 Days]]=0,"",Crops[[#This Row],[Plantings Per Bed]]/Crops[[#This Row],[Tray 3 Size]]*Crops[[#This Row],[Safety Factor]]),"")</f>
        <v/>
      </c>
      <c r="BG195" s="33">
        <f>(0.5+(Crops[[#This Row],[Harvests]]-1)*0.25*Crops[[#This Row],[Plantings Per Bed]])/Crops[[#This Row],[Harvests]]</f>
        <v>53.433333333333323</v>
      </c>
      <c r="BH195" s="33">
        <v>5</v>
      </c>
      <c r="BI195" s="33">
        <v>10</v>
      </c>
      <c r="BJ195" s="33">
        <f>_xlfn.XLOOKUP(Crops[[#This Row],[ProductIndex]],Products[ID],Products[Holding Period])</f>
        <v>0</v>
      </c>
      <c r="BK195" s="33"/>
      <c r="BL195" s="33">
        <f>Crops[[#This Row],[Units Per Harvest]]*Crops[[#This Row],[Harvests]]</f>
        <v>267.16666666666663</v>
      </c>
      <c r="BM195" s="35">
        <v>10</v>
      </c>
      <c r="BN195" s="35">
        <v>6.49</v>
      </c>
      <c r="BO195" s="35"/>
      <c r="BP195" t="s">
        <v>383</v>
      </c>
      <c r="BQ195">
        <f>Crops[[#This Row],[Custom Yield Per Bed]]*Crops[[#This Row],[Direct Price]]</f>
        <v>2671.6666666666661</v>
      </c>
      <c r="BR195" t="b">
        <v>1</v>
      </c>
      <c r="BS195" t="b">
        <f>Crops[[#This Row],[Harvests]]&gt;1</f>
        <v>1</v>
      </c>
      <c r="BT195" s="36">
        <f>IFERROR(Crops[[#This Row],[Direct Revenue Per Bed]]/Crops[[#This Row],[Days In Field]],-1)</f>
        <v>26.192810457516334</v>
      </c>
      <c r="BU195" s="36">
        <f>IFERROR(Crops[[#This Row],[Direct Revenue Per Bed Day]]*GrowingDays*BedsPerAcre,"")</f>
        <v>754352.94117647049</v>
      </c>
      <c r="BV195" s="38">
        <f>LastFrostDate-5*Crops[[#This Row],[Sewing Rel Last Frost]]</f>
        <v>45713</v>
      </c>
      <c r="BW195" s="38">
        <f>Crops[[#This Row],[Target Sewing Date]]+Crops[[#This Row],[Days in Cells]]</f>
        <v>45743</v>
      </c>
      <c r="BX195" s="38">
        <f>Crops[[#This Row],[Target Sewing Date]]+Crops[[#This Row],[STH]]</f>
        <v>45798</v>
      </c>
      <c r="BY195" s="38">
        <f>Crops[[#This Row],[Target Harvest Data]]+Crops[[#This Row],[Harvest window]]</f>
        <v>45845</v>
      </c>
      <c r="BZ195">
        <v>7</v>
      </c>
      <c r="CB195">
        <f>1</f>
        <v>1</v>
      </c>
      <c r="CC195">
        <f>IF(Crops[[#This Row],[Transplanting]]&gt;0, 2, 3)*BedLength/StandardBedLength</f>
        <v>1</v>
      </c>
      <c r="CD195" s="173">
        <f>IF(Crops[[#This Row],[Days in Cells]]&lt;=0,0,Crops[[#This Row],[Plantings Per Bed]]/StartsPerHourSeeding+Crops[[#This Row],[Tray 1 Count]]*5/60)</f>
        <v>1.2673611111111109</v>
      </c>
      <c r="CE195" s="173">
        <f>IF(ISBLANK(Crops[[#This Row],[Tray 2 Days]]),0,Crops[[#This Row],[Plantings Per Bed]]/UpPottingPerHour)+IF(Crops[[#This Row],[Tray 3 Days]]="",0,Crops[[#This Row],[Plantings Per Bed]]/UpPottingPerHour)</f>
        <v>0</v>
      </c>
      <c r="CF195" s="173">
        <f>IFERROR(Crops[[#This Row],[Tray 1 Count]]/HomeStartFlatIrrigationPerHour,0)*Crops[[#This Row],[Days in Cells]]/DaysBetweenStartIrrigation</f>
        <v>0.33854166666666663</v>
      </c>
      <c r="CG195" s="173">
        <f>0.5/16*MAX(Crops[[#This Row],[Tray 1 Count]],Crops[[#This Row],[Tray 2 Count]],Crops[[#This Row],[Tray 3 Count]])</f>
        <v>8.4635416666666657E-2</v>
      </c>
      <c r="CH195" s="173">
        <f>IF(Crops[[#This Row],[Days in Cells]]&gt;0,IF(IF(Crops[[#This Row],[Tray 3 Size]]&gt;0,Crops[[#This Row],[Tray 3 Size]],IF(Crops[[#This Row],[Tray 2 Size]]&gt;0,Crops[[#This Row],[Tray 2 Size]],Crops[[#This Row],[Tray 1 Size]]))&lt;=18,LargeTransplantTime,SmallTransplantTime)*Crops[[#This Row],[Plantings Per Bed]],0)</f>
        <v>1.3333333333333333</v>
      </c>
      <c r="CI195" s="173"/>
      <c r="CJ195" s="173">
        <f>_xlfn.XLOOKUP(Crops[[#This Row],[Trellis Type]],TrellisMethods[Trellis Type],TrellisMethods[Hours],0,0)</f>
        <v>0</v>
      </c>
      <c r="CK195">
        <f>IF(Crops[[#This Row],[Days in Cells]]&lt;=0,Crops[[#This Row],[Rows]]*1/10,0)*BedLength/50</f>
        <v>0</v>
      </c>
      <c r="CL195" cm="1">
        <f t="array" ref="CL195">_xlfn.SWITCH(Crops[[#This Row],[Irrigation]],"DR", 0.5, "OH", 0.25,0)*BedLength/50</f>
        <v>0</v>
      </c>
      <c r="CM195">
        <f>IF(OR(ISBLANK(Crops[[#This Row],[Row Cover]]),Crops[[#This Row],[Row Cover]]="None"),0,1)*BedLength/50</f>
        <v>0</v>
      </c>
      <c r="CN195" s="173">
        <f>HoursPerWeedingPass*Crops[[#This Row],[Days In Field]]/14*Crops[[#This Row],[Rows]]+1*BedLength/50</f>
        <v>5.8571428571428568</v>
      </c>
      <c r="CO195" s="49"/>
      <c r="CQ195" s="37">
        <f>_xlfn.XLOOKUP(Crops[[#This Row],[Crop]]&amp;Crops[[#This Row],[Product]]&amp;Crops[[#This Row],[Unit]],Products[ID],Products[Marketing (hr)])*Crops[[#This Row],[Direct Revenue Per Bed]]/2000</f>
        <v>2.671666666666666</v>
      </c>
      <c r="CR195" s="37">
        <f>_xlfn.XLOOKUP(Crops[[#This Row],[Crop]]&amp;Crops[[#This Row],[Product]]&amp;Crops[[#This Row],[Unit]],Products[ID],Products[Harvest (s)])*Crops[[#This Row],[Custom Yield Per Bed]]/3600</f>
        <v>8.905555555555555</v>
      </c>
      <c r="CS195" s="37">
        <f>_xlfn.XLOOKUP(Crops[[#This Row],[Crop]]&amp;Crops[[#This Row],[Product]]&amp;Crops[[#This Row],[Unit]],Products[ID],Products[Bunch (s)])*Crops[[#This Row],[Custom Yield Per Bed]]/3600</f>
        <v>0</v>
      </c>
      <c r="CT195" s="37">
        <f>_xlfn.XLOOKUP(Crops[[#This Row],[Crop]]&amp;Crops[[#This Row],[Product]]&amp;Crops[[#This Row],[Unit]],Products[ID],Products[Haul (s)])*Crops[[#This Row],[Custom Yield Per Bed]]/3600</f>
        <v>0.66791666666666649</v>
      </c>
      <c r="CU195" s="37">
        <f>_xlfn.XLOOKUP(Crops[[#This Row],[Crop]]&amp;Crops[[#This Row],[Product]]&amp;Crops[[#This Row],[Unit]],Products[ID],Products[Wash (s)])*Crops[[#This Row],[Custom Yield Per Bed]]/3600</f>
        <v>4.4527777777777775</v>
      </c>
      <c r="CV195" s="37">
        <f>_xlfn.XLOOKUP(Crops[[#This Row],[Crop]]&amp;Crops[[#This Row],[Product]]&amp;Crops[[#This Row],[Unit]],Products[ID],Products[Condition (s)])*Crops[[#This Row],[Custom Yield Per Bed]]/3600</f>
        <v>0</v>
      </c>
      <c r="CW195" s="37">
        <f>_xlfn.XLOOKUP(Crops[[#This Row],[Crop]]&amp;Crops[[#This Row],[Product]]&amp;Crops[[#This Row],[Unit]],Products[ID],Products[Trim (s)])*Crops[[#This Row],[Custom Yield Per Bed]]/3600</f>
        <v>2.2263888888888888</v>
      </c>
      <c r="CX195" s="37">
        <f>_xlfn.XLOOKUP(Crops[[#This Row],[Crop]]&amp;Crops[[#This Row],[Product]]&amp;Crops[[#This Row],[Unit]],Products[ID],Products[Pack (s)])*Crops[[#This Row],[Custom Yield Per Bed]]/3600</f>
        <v>0.22263888888888886</v>
      </c>
      <c r="CY195" s="37">
        <f>_xlfn.XLOOKUP(Crops[[#This Row],[Crop]]&amp;Crops[[#This Row],[Product]]&amp;Crops[[#This Row],[Unit]],Products[ID],Products[Clean (s)])*Crops[[#This Row],[Custom Yield Per Bed]]/3600</f>
        <v>0</v>
      </c>
      <c r="CZ195" s="37">
        <f>_xlfn.XLOOKUP(Crops[[#This Row],[Crop]]&amp;Crops[[#This Row],[Product]]&amp;Crops[[#This Row],[Unit]],Products[ID],Products[Rehandle (s)])*Crops[[#This Row],[Custom Yield Per Bed]]/3600</f>
        <v>0</v>
      </c>
      <c r="DA195" s="37">
        <f>_xlfn.XLOOKUP(Crops[[#This Row],[Crop]]&amp;Crops[[#This Row],[Product]]&amp;Crops[[#This Row],[Unit]],Products[ID],Products[Market Transport (s)])*Crops[[#This Row],[Custom Yield Per Bed]]/3600</f>
        <v>1.6697916666666663</v>
      </c>
      <c r="DC195" s="37">
        <f>Crops[[#This Row],[Direct Revenue Per Bed2]]</f>
        <v>2671.6666666666661</v>
      </c>
      <c r="DD195" s="173">
        <f>_xlfn.AGGREGATE(9,6,Crops[[#This Row],[Bed Prep]:[Remove Crop Residue]])</f>
        <v>30.697750496031738</v>
      </c>
      <c r="DE195" s="173">
        <f>_xlfn.AGGREGATE(9,6,Crops[[#This Row],[Bed Prep]:[Remove Crop Residue]])-0.75*Crops[[#This Row],[Market &amp; Sell]]</f>
        <v>28.694000496031737</v>
      </c>
      <c r="DF195" s="36">
        <f>Crops[[#This Row],[Direct Revenue Per Bed2]]/Crops[[#This Row],[Direct Time]]</f>
        <v>87.031349968527152</v>
      </c>
      <c r="DG195" s="36">
        <f>_xlfn.XLOOKUP(Crops[[#This Row],[ProductIndex]],Products[ID],Products[Packaging Cost])*(Crops[[#This Row],[Custom Yield Per Bed]]/_xlfn.XLOOKUP(Crops[[#This Row],[ProductIndex]],Products[ID],Products[Units Per Pack]))</f>
        <v>101.52333333333331</v>
      </c>
      <c r="DH195" s="36"/>
      <c r="DI195" s="36"/>
      <c r="DJ195" s="36"/>
      <c r="DK195" s="36"/>
      <c r="DL195" s="36"/>
      <c r="DM195" s="33">
        <f>IFERROR(Crops[[#This Row],[Custom Yield Per Bed]]*Crops[[#This Row],[Direct Price]],"")</f>
        <v>2671.6666666666661</v>
      </c>
      <c r="DN195" s="36">
        <f>Crops[[#This Row],[Direct Time]]*LaborRate</f>
        <v>767.44376240079339</v>
      </c>
      <c r="DO195" s="36">
        <f>SUM(Crops[[#This Row],[Irrigation Cost]])</f>
        <v>0</v>
      </c>
      <c r="DP195" s="36">
        <f>Crops[[#This Row],[Direct Labor Cost]]+Crops[[#This Row],[Direct Non-Labor Cost]]</f>
        <v>767.44376240079339</v>
      </c>
      <c r="DQ195" s="36">
        <f>Crops[[#This Row],[Direct Revenue Per Bed2]]-Crops[[#This Row],[Direct Total Cost]]</f>
        <v>1904.2229042658728</v>
      </c>
      <c r="DR195" s="36">
        <f>Crops[[#This Row],[Direct Profit]]*BedsPerAcre</f>
        <v>304675.66468253965</v>
      </c>
      <c r="DS195" s="36">
        <f>Crops[[#This Row],[Direct Profit]]*BedsPerAcre*GrowingDays/Crops[[#This Row],[Days In Field]]</f>
        <v>537662.9376750699</v>
      </c>
      <c r="DT195" s="36">
        <f>Crops[[#This Row],[Direct Profit]]/MIN(Crops[[#This Row],[Days In Field]],GrowingDays)</f>
        <v>18.668852002606595</v>
      </c>
      <c r="DU195" s="33">
        <f>Crops[[#This Row],[Direct Time]] * BedsPerAcre</f>
        <v>4911.6400793650782</v>
      </c>
      <c r="DV195" s="36">
        <f>(Crops[[#This Row],[Direct Revenue Per Bed2]]-Crops[[#This Row],[Direct Non-Labor Cost]])/Crops[[#This Row],[Direct Time]]</f>
        <v>87.031349968527152</v>
      </c>
      <c r="DW195" s="33">
        <f>IFERROR(Crops[[#This Row],[Custom Yield Per Bed]]*Crops[[#This Row],[Rough Wholesale Price]],"")</f>
        <v>1733.9116666666664</v>
      </c>
      <c r="DX195" s="36">
        <f>Crops[[#This Row],[Wholesale Time]]*LaborRate</f>
        <v>717.35001240079339</v>
      </c>
      <c r="DY195" s="36">
        <f>SUM(Crops[[#This Row],[Packaging Costs]:[Irrigation Cost]])</f>
        <v>101.52333333333331</v>
      </c>
      <c r="DZ195" s="36">
        <f>Crops[[#This Row],[Wholesale Labor Cost]]+Crops[[#This Row],[Wholesale Non-Labor Cost]]</f>
        <v>818.8733457341267</v>
      </c>
      <c r="EA195" s="36">
        <f>Crops[[#This Row],[Wholesale Revenue Per Bed]]-Crops[[#This Row],[Wholesale Total Cost]]</f>
        <v>915.0383209325397</v>
      </c>
      <c r="EB195" s="36">
        <f>Crops[[#This Row],[Wholesale Profit]]*BedsPerAcre</f>
        <v>146406.13134920635</v>
      </c>
      <c r="EC195" s="36">
        <f>Crops[[#This Row],[Wholesale Profit]]*BedsPerAcre*GrowingDays/Crops[[#This Row],[Days In Field]]</f>
        <v>258363.76120448179</v>
      </c>
      <c r="ED195" s="33">
        <f>Crops[[#This Row],[Wholesale Time]] * BedsPerAcre</f>
        <v>4591.0400793650779</v>
      </c>
      <c r="EE195" s="221">
        <f>Crops[[#This Row],[Wholesale Profit]]/MIN(Crops[[#This Row],[Days In Field]],GrowingDays)</f>
        <v>8.9709639307111733</v>
      </c>
      <c r="EF195" s="36">
        <f>(Crops[[#This Row],[Wholesale Revenue Per Bed]]-Crops[[#This Row],[Wholesale Non-Labor Cost]])/Crops[[#This Row],[Direct Time]]</f>
        <v>53.176154830770095</v>
      </c>
      <c r="EG195" s="174">
        <f>Crops[[#This Row],[Packaging Costs]]/Crops[[#This Row],[Wholesale Revenue Per Bed]]</f>
        <v>5.8551617873651769E-2</v>
      </c>
      <c r="EH195" s="36" t="str">
        <f>Crops[[#This Row],[Crop]]&amp;Crops[[#This Row],[Product]]&amp;Crops[[#This Row],[Unit]]</f>
        <v>LettuceLoose LeafLb</v>
      </c>
      <c r="EI195" s="36" t="b">
        <f>_xlfn.XLOOKUP(Crops[[#This Row],[ProductIndex]],Products[ID],Products[Target])</f>
        <v>1</v>
      </c>
      <c r="EJ195" s="33">
        <f>Crops[[#This Row],[Custom Yield Per Bed]]</f>
        <v>267.16666666666663</v>
      </c>
      <c r="EK195" s="210">
        <f>Crops[[#This Row],[Units Per Harvest]]/Crops[[#This Row],[Days Between Harvest]]*7</f>
        <v>37.403333333333322</v>
      </c>
      <c r="EL195" s="210">
        <f>Crops[[#This Row],[Custom Yield Per Bed]]/_xlfn.XLOOKUP(Crops[[#This Row],[ProductIndex]],Products[ID],Products[CSA Portion])</f>
        <v>356.22222222222217</v>
      </c>
      <c r="EM195" s="210">
        <f>Crops[[#This Row],[Units Per Harvest]]/Crops[[#This Row],[Days Between Harvest]]*7/_xlfn.XLOOKUP(Crops[[#This Row],[ProductIndex]],Products[ID],Products[CSA Portion])</f>
        <v>49.871111111111098</v>
      </c>
      <c r="EN195" s="210">
        <f>Crops[[#This Row],[CSA Portions Per Week]]/CSAMembers</f>
        <v>0.99742222222222199</v>
      </c>
      <c r="EO195" s="216">
        <v>1</v>
      </c>
      <c r="EP195" s="216">
        <v>4</v>
      </c>
      <c r="EQ195" s="210" t="s">
        <v>2688</v>
      </c>
      <c r="ER195" s="210">
        <f>Crops[[#This Row],[Harvests]]*Crops[[#This Row],[Days Between Harvest]]/7</f>
        <v>7.1428571428571432</v>
      </c>
      <c r="ES195" s="217">
        <f>_xlfn.XLOOKUP(Crops[[#This Row],[ProductIndex]],Products[ID],Products[CSA Need])</f>
        <v>7.5</v>
      </c>
      <c r="ET195" s="217">
        <f>_xlfn.XLOOKUP(Crops[[#This Row],[ProductIndex]],Products[ID],Products[CSA Times])</f>
        <v>10</v>
      </c>
      <c r="EU195" s="208">
        <f>Crops[[#This Row],[Custom Yield Per Bed]]/(Crops[[#This Row],[CSA Need]]*(_xlfn.XLOOKUP(Crops[[#This Row],[ProductIndex]],Products[ID],Products[CSA Portion])*CSAMembers))</f>
        <v>0.94992592592592584</v>
      </c>
      <c r="EV195" s="208">
        <f>_xlfn.XLOOKUP(Crops[[#This Row],[ProductIndex]],Products[ID],Products[CSA Portion])*CSAMembers*Crops[[#This Row],[CSA Need]]/Crops[[#This Row],[Custom Yield Per Bed]]</f>
        <v>1.0527136618839676</v>
      </c>
      <c r="EW195" s="208">
        <f>IFERROR(Crops[[#This Row],[Days In Field]]*Crops[[#This Row],[CSA Beds]],"")</f>
        <v>107.3767935121647</v>
      </c>
      <c r="EX195" s="208" t="e">
        <f>Crops[[#This Row],[CSA Bed Days]]*#REF!</f>
        <v>#REF!</v>
      </c>
      <c r="EY195" t="s">
        <v>212</v>
      </c>
    </row>
    <row r="196" spans="1:155">
      <c r="A19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Lilies (Double Pollen Free) - Mature Stalk 1X | Field DS </v>
      </c>
      <c r="B196" s="189"/>
      <c r="C196" s="1"/>
      <c r="D196" s="1"/>
      <c r="E196" s="1" t="b">
        <v>1</v>
      </c>
      <c r="F196" s="1" t="b">
        <f>IFERROR(IF(ISNUMBER(MATCH(Crops[[#This Row],[Identifier]],BedPlan[Crop], 0)), TRUE, FALSE), FALSE)</f>
        <v>0</v>
      </c>
      <c r="G196" s="1" t="b">
        <f>IFERROR(IF(ISNUMBER(MATCH(Crops[[#This Row],[Identifier]],BedPlan[Crop], 0)), TRUE, FALSE), FALSE)</f>
        <v>0</v>
      </c>
      <c r="H196" s="1" t="b">
        <v>1</v>
      </c>
      <c r="I196" t="s">
        <v>93</v>
      </c>
      <c r="J196" t="s">
        <v>167</v>
      </c>
      <c r="K196" t="s">
        <v>199</v>
      </c>
      <c r="N196" t="str">
        <f>Crops[[#This Row],[Crop]]</f>
        <v>Lilies</v>
      </c>
      <c r="O196" t="s">
        <v>210</v>
      </c>
      <c r="P196" t="str">
        <f>IF(OR(Crops[[#This Row],[Days in Cells]]="",Crops[[#This Row],[Days in Cells]]=0), "DS","TP")</f>
        <v>DS</v>
      </c>
      <c r="V196" t="str">
        <f xml:space="preserve"> IF(Crops[[#This Row],[Sp]], "Sp", "") &amp; IF(Crops[[#This Row],[Su]], "Su", "") &amp; IF(Crops[[#This Row],[Fa]], "Fa", "") &amp; IF(Crops[[#This Row],[Wi]], "Wi", "") &amp; IF(Crops[[#This Row],[OW]], "Ow","")</f>
        <v/>
      </c>
      <c r="X196">
        <v>3</v>
      </c>
      <c r="Y196">
        <v>9</v>
      </c>
      <c r="AD196" s="32">
        <f>IFERROR(12/Crops[[#This Row],[Spacing]]*Crops[[#This Row],[Rows]]*BedLength,"")</f>
        <v>200</v>
      </c>
      <c r="AE196">
        <v>1</v>
      </c>
      <c r="AG196">
        <f>IF(Crops[[#This Row],[Custom Safety Factor]]="",PlantingSafetyFactor,Crops[[#This Row],[Custom Safety Factor]])</f>
        <v>1.3</v>
      </c>
      <c r="AH196">
        <f>1</f>
        <v>1</v>
      </c>
      <c r="AI196" s="33">
        <f>IFERROR(Crops[[#This Row],[Plantings Per Bed]]*Crops[[#This Row],[Seeds Per Planting]]*Crops[[#This Row],[Safety Factor]]*Crops[[#This Row],[Seeding Factor]],"")</f>
        <v>260</v>
      </c>
      <c r="AL196">
        <f>_xlfn.FLOOR.MATH(IFERROR(AVERAGE(Crops[[#This Row],[DTG Lower]:[DTG Upper]]),0))</f>
        <v>0</v>
      </c>
      <c r="AM196">
        <f>SUM(Crops[[#This Row],[Tray 1 Days]],Crops[[#This Row],[Tray 2 Days]],Crops[[#This Row],[Tray 3 Days]])</f>
        <v>0</v>
      </c>
      <c r="AP196">
        <v>90</v>
      </c>
      <c r="AQ196">
        <f>IFERROR(_xlfn.FLOOR.MATH(AVERAGE(Crops[[#This Row],[DTM Lower]:[DTM Upper]])),"")</f>
        <v>90</v>
      </c>
      <c r="AR196" cm="1">
        <f t="array" ref="AR196">_xlfn.SWITCH(Crops[[#This Row],[Normal Method]],"DS",Crops[[#This Row],[Days to Germination]]+Crops[[#This Row],[DTM]] + IF(Crops[[#This Row],[Days in Cells]]&gt;0,15,0), "TP",Crops[[#This Row],[DTM]]+Crops[[#This Row],[Days in Cells]] + IF(Crops[[#This Row],[Days in Cells]]&lt;=0,20,0), "X", Crops[[#This Row],[DTM]])</f>
        <v>110</v>
      </c>
      <c r="AS196" t="s">
        <v>346</v>
      </c>
      <c r="AT196">
        <f>(Crops[[#This Row],[Harvests]]-1)*Crops[[#This Row],[Days Between Harvest]]+7</f>
        <v>7</v>
      </c>
      <c r="AU196">
        <f>Crops[[#This Row],[STH]]-Crops[[#This Row],[Days in Cells]]+Crops[[#This Row],[Harvest window]]</f>
        <v>117</v>
      </c>
      <c r="AW196" t="s">
        <v>212</v>
      </c>
      <c r="AZ196" t="str">
        <f>IFERROR(IF(Crops[[#This Row],[Tray 1 Days]]=0,"",Crops[[#This Row],[Plantings Per Bed]]/Crops[[#This Row],[Tray 1 Size]]*Crops[[#This Row],[Safety Factor]]),"")</f>
        <v/>
      </c>
      <c r="BC196" t="str">
        <f>IFERROR(IF(Crops[[#This Row],[Tray 2 Days]]=0,"",Crops[[#This Row],[Plantings Per Bed]]/Crops[[#This Row],[Tray 2 Size]]*Crops[[#This Row],[Safety Factor]]),"")</f>
        <v/>
      </c>
      <c r="BE196" s="32" t="str">
        <f>IF(NOT(ISBLANK(Crops[[#This Row],[Tray 3 Size]])), Crops[[#This Row],[Days in Cells Old]]-SUM(Crops[[#This Row],[Tray 1 Days]],Crops[[#This Row],[Tray 2 Days]]), "")</f>
        <v/>
      </c>
      <c r="BF196" t="str">
        <f>IFERROR(IF(Crops[[#This Row],[Tray 3 Days]]=0,"",Crops[[#This Row],[Plantings Per Bed]]/Crops[[#This Row],[Tray 3 Size]]*Crops[[#This Row],[Safety Factor]]),"")</f>
        <v/>
      </c>
      <c r="BG196" s="33"/>
      <c r="BH196" s="33"/>
      <c r="BI196" s="33"/>
      <c r="BJ196" s="33">
        <f>_xlfn.XLOOKUP(Crops[[#This Row],[ProductIndex]],Products[ID],Products[Holding Period])</f>
        <v>0</v>
      </c>
      <c r="BK196" s="33"/>
      <c r="BL196" s="33">
        <f>Crops[[#This Row],[Units Per Harvest]]*Crops[[#This Row],[Harvests]]</f>
        <v>0</v>
      </c>
      <c r="BM196" s="35">
        <v>2</v>
      </c>
      <c r="BN196" s="35">
        <f>Crops[[#This Row],[Direct Price]]*0.6</f>
        <v>1.2</v>
      </c>
      <c r="BO196" s="35"/>
      <c r="BP196" t="s">
        <v>213</v>
      </c>
      <c r="BQ196">
        <f>Crops[[#This Row],[Custom Yield Per Bed]]*Crops[[#This Row],[Direct Price]]</f>
        <v>0</v>
      </c>
      <c r="BR196" t="b">
        <v>0</v>
      </c>
      <c r="BS196" t="b">
        <f>Crops[[#This Row],[Harvests]]&gt;1</f>
        <v>0</v>
      </c>
      <c r="BT196" s="36">
        <f>IFERROR(Crops[[#This Row],[Direct Revenue Per Bed]]/Crops[[#This Row],[Days In Field]],-1)</f>
        <v>0</v>
      </c>
      <c r="BU196" s="36">
        <f>IFERROR(Crops[[#This Row],[Direct Revenue Per Bed Day]]*GrowingDays*BedsPerAcre,"")</f>
        <v>0</v>
      </c>
      <c r="BV196" s="38">
        <f>LastFrostDate-5*Crops[[#This Row],[Sewing Rel Last Frost]]</f>
        <v>45748</v>
      </c>
      <c r="BW196" s="38">
        <f>Crops[[#This Row],[Target Sewing Date]]+Crops[[#This Row],[Days in Cells]]</f>
        <v>45748</v>
      </c>
      <c r="BX196" s="38">
        <f>Crops[[#This Row],[Target Sewing Date]]+Crops[[#This Row],[STH]]</f>
        <v>45858</v>
      </c>
      <c r="BY196" s="38">
        <f>Crops[[#This Row],[Target Harvest Data]]+Crops[[#This Row],[Harvest window]]</f>
        <v>45865</v>
      </c>
      <c r="CB196">
        <f>1</f>
        <v>1</v>
      </c>
      <c r="CC196">
        <f>IF(Crops[[#This Row],[Transplanting]]&gt;0, 2, 3)*BedLength/StandardBedLength</f>
        <v>1.5</v>
      </c>
      <c r="CD196" s="173">
        <f>IF(Crops[[#This Row],[Days in Cells]]&lt;=0,0,Crops[[#This Row],[Plantings Per Bed]]/StartsPerHourSeeding+Crops[[#This Row],[Tray 1 Count]]*5/60)</f>
        <v>0</v>
      </c>
      <c r="CE196" s="173">
        <f>IF(ISBLANK(Crops[[#This Row],[Tray 2 Days]]),0,Crops[[#This Row],[Plantings Per Bed]]/UpPottingPerHour)+IF(Crops[[#This Row],[Tray 3 Days]]="",0,Crops[[#This Row],[Plantings Per Bed]]/UpPottingPerHour)</f>
        <v>0</v>
      </c>
      <c r="CF196" s="173">
        <f>IFERROR(Crops[[#This Row],[Tray 1 Count]]/HomeStartFlatIrrigationPerHour,0)*Crops[[#This Row],[Days in Cells]]/DaysBetweenStartIrrigation</f>
        <v>0</v>
      </c>
      <c r="CG196">
        <f>0.5/16*MAX(Crops[[#This Row],[Tray 1 Count]],Crops[[#This Row],[Tray 2 Count]],Crops[[#This Row],[Tray 3 Count]])</f>
        <v>0</v>
      </c>
      <c r="CH196">
        <f>IF(Crops[[#This Row],[Days in Cells]]&gt;0,IF(IF(Crops[[#This Row],[Tray 3 Size]]&gt;0,Crops[[#This Row],[Tray 3 Size]],IF(Crops[[#This Row],[Tray 2 Size]]&gt;0,Crops[[#This Row],[Tray 2 Size]],Crops[[#This Row],[Tray 1 Size]]))&lt;=18,LargeTransplantTime,SmallTransplantTime)*Crops[[#This Row],[Plantings Per Bed]],0)</f>
        <v>0</v>
      </c>
      <c r="CJ196" s="173">
        <f>_xlfn.XLOOKUP(Crops[[#This Row],[Trellis Type]],TrellisMethods[Trellis Type],TrellisMethods[Hours],0,0)</f>
        <v>0</v>
      </c>
      <c r="CK196">
        <f>IF(Crops[[#This Row],[Days in Cells]]&lt;=0,Crops[[#This Row],[Rows]]*1/10,0)*BedLength/50</f>
        <v>0.3</v>
      </c>
      <c r="CL196" cm="1">
        <f t="array" ref="CL196">_xlfn.SWITCH(Crops[[#This Row],[Irrigation]],"DR", 0.5, "OH", 0.25,0)*BedLength/50</f>
        <v>0</v>
      </c>
      <c r="CM196">
        <f>IF(OR(ISBLANK(Crops[[#This Row],[Row Cover]]),Crops[[#This Row],[Row Cover]]="None"),0,1)*BedLength/50</f>
        <v>0</v>
      </c>
      <c r="CN196" s="173">
        <f>HoursPerWeedingPass*Crops[[#This Row],[Days In Field]]/14*Crops[[#This Row],[Rows]]+1*BedLength/50</f>
        <v>5.1785714285714288</v>
      </c>
      <c r="CQ196" s="37">
        <f>_xlfn.XLOOKUP(Crops[[#This Row],[Crop]]&amp;Crops[[#This Row],[Product]]&amp;Crops[[#This Row],[Unit]],Products[ID],Products[Marketing (hr)])*Crops[[#This Row],[Direct Revenue Per Bed]]/2000</f>
        <v>0</v>
      </c>
      <c r="CR196" s="37">
        <f>_xlfn.XLOOKUP(Crops[[#This Row],[Crop]]&amp;Crops[[#This Row],[Product]]&amp;Crops[[#This Row],[Unit]],Products[ID],Products[Harvest (s)])*Crops[[#This Row],[Custom Yield Per Bed]]/3600</f>
        <v>0</v>
      </c>
      <c r="CS196" s="37">
        <f>_xlfn.XLOOKUP(Crops[[#This Row],[Crop]]&amp;Crops[[#This Row],[Product]]&amp;Crops[[#This Row],[Unit]],Products[ID],Products[Bunch (s)])*Crops[[#This Row],[Custom Yield Per Bed]]/3600</f>
        <v>0</v>
      </c>
      <c r="CT196" s="37">
        <f>_xlfn.XLOOKUP(Crops[[#This Row],[Crop]]&amp;Crops[[#This Row],[Product]]&amp;Crops[[#This Row],[Unit]],Products[ID],Products[Haul (s)])*Crops[[#This Row],[Custom Yield Per Bed]]/3600</f>
        <v>0</v>
      </c>
      <c r="CU196" s="37">
        <f>_xlfn.XLOOKUP(Crops[[#This Row],[Crop]]&amp;Crops[[#This Row],[Product]]&amp;Crops[[#This Row],[Unit]],Products[ID],Products[Wash (s)])*Crops[[#This Row],[Custom Yield Per Bed]]/3600</f>
        <v>0</v>
      </c>
      <c r="CV196" s="37">
        <f>_xlfn.XLOOKUP(Crops[[#This Row],[Crop]]&amp;Crops[[#This Row],[Product]]&amp;Crops[[#This Row],[Unit]],Products[ID],Products[Condition (s)])*Crops[[#This Row],[Custom Yield Per Bed]]/3600</f>
        <v>0</v>
      </c>
      <c r="CW196" s="37">
        <f>_xlfn.XLOOKUP(Crops[[#This Row],[Crop]]&amp;Crops[[#This Row],[Product]]&amp;Crops[[#This Row],[Unit]],Products[ID],Products[Trim (s)])*Crops[[#This Row],[Custom Yield Per Bed]]/3600</f>
        <v>0</v>
      </c>
      <c r="CX196" s="37">
        <f>_xlfn.XLOOKUP(Crops[[#This Row],[Crop]]&amp;Crops[[#This Row],[Product]]&amp;Crops[[#This Row],[Unit]],Products[ID],Products[Pack (s)])*Crops[[#This Row],[Custom Yield Per Bed]]/3600</f>
        <v>0</v>
      </c>
      <c r="CY196" s="37">
        <f>_xlfn.XLOOKUP(Crops[[#This Row],[Crop]]&amp;Crops[[#This Row],[Product]]&amp;Crops[[#This Row],[Unit]],Products[ID],Products[Clean (s)])*Crops[[#This Row],[Custom Yield Per Bed]]/3600</f>
        <v>0</v>
      </c>
      <c r="CZ196" s="37">
        <f>_xlfn.XLOOKUP(Crops[[#This Row],[Crop]]&amp;Crops[[#This Row],[Product]]&amp;Crops[[#This Row],[Unit]],Products[ID],Products[Rehandle (s)])*Crops[[#This Row],[Custom Yield Per Bed]]/3600</f>
        <v>0</v>
      </c>
      <c r="DA196" s="37">
        <f>_xlfn.XLOOKUP(Crops[[#This Row],[Crop]]&amp;Crops[[#This Row],[Product]]&amp;Crops[[#This Row],[Unit]],Products[ID],Products[Market Transport (s)])*Crops[[#This Row],[Custom Yield Per Bed]]/3600</f>
        <v>0</v>
      </c>
      <c r="DC196" s="37">
        <f>Crops[[#This Row],[Direct Revenue Per Bed2]]</f>
        <v>0</v>
      </c>
      <c r="DD196" s="173">
        <f>_xlfn.AGGREGATE(9,6,Crops[[#This Row],[Bed Prep]:[Remove Crop Residue]])</f>
        <v>6.9785714285714286</v>
      </c>
      <c r="DE196" s="173">
        <f>_xlfn.AGGREGATE(9,6,Crops[[#This Row],[Bed Prep]:[Remove Crop Residue]])-0.75*Crops[[#This Row],[Market &amp; Sell]]</f>
        <v>6.9785714285714286</v>
      </c>
      <c r="DF196" s="36">
        <f>Crops[[#This Row],[Direct Revenue Per Bed2]]/Crops[[#This Row],[Direct Time]]</f>
        <v>0</v>
      </c>
      <c r="DG196" s="36">
        <f>_xlfn.XLOOKUP(Crops[[#This Row],[ProductIndex]],Products[ID],Products[Packaging Cost])*(Crops[[#This Row],[Custom Yield Per Bed]]/_xlfn.XLOOKUP(Crops[[#This Row],[ProductIndex]],Products[ID],Products[Units Per Pack]))</f>
        <v>0</v>
      </c>
      <c r="DH196" s="36"/>
      <c r="DI196" s="36"/>
      <c r="DJ196" s="36"/>
      <c r="DK196" s="36"/>
      <c r="DL196" s="36"/>
      <c r="DM196" s="33">
        <f>IFERROR(Crops[[#This Row],[Custom Yield Per Bed]]*Crops[[#This Row],[Direct Price]],"")</f>
        <v>0</v>
      </c>
      <c r="DN196" s="36">
        <f>Crops[[#This Row],[Direct Time]]*LaborRate</f>
        <v>174.46428571428572</v>
      </c>
      <c r="DO196" s="36">
        <f>SUM(Crops[[#This Row],[Irrigation Cost]])</f>
        <v>0</v>
      </c>
      <c r="DP196" s="36">
        <f>Crops[[#This Row],[Direct Labor Cost]]+Crops[[#This Row],[Direct Non-Labor Cost]]</f>
        <v>174.46428571428572</v>
      </c>
      <c r="DQ196" s="36">
        <f>Crops[[#This Row],[Direct Revenue Per Bed2]]-Crops[[#This Row],[Direct Total Cost]]</f>
        <v>-174.46428571428572</v>
      </c>
      <c r="DR196" s="36">
        <f>Crops[[#This Row],[Direct Profit]]*BedsPerAcre</f>
        <v>-27914.285714285717</v>
      </c>
      <c r="DS196" s="36">
        <f>Crops[[#This Row],[Direct Profit]]*BedsPerAcre*GrowingDays/Crops[[#This Row],[Days In Field]]</f>
        <v>-42945.054945054952</v>
      </c>
      <c r="DT196" s="36">
        <f>Crops[[#This Row],[Direct Profit]]/MIN(Crops[[#This Row],[Days In Field]],GrowingDays)</f>
        <v>-1.4911477411477412</v>
      </c>
      <c r="DU196" s="36">
        <f>Crops[[#This Row],[Direct Time]] * BedsPerAcre</f>
        <v>1116.5714285714287</v>
      </c>
      <c r="DV196" s="36">
        <f>(Crops[[#This Row],[Direct Revenue Per Bed2]]-Crops[[#This Row],[Direct Non-Labor Cost]])/Crops[[#This Row],[Direct Time]]</f>
        <v>0</v>
      </c>
      <c r="DW196" s="33">
        <f>IFERROR(Crops[[#This Row],[Custom Yield Per Bed]]*Crops[[#This Row],[Rough Wholesale Price]],"")</f>
        <v>0</v>
      </c>
      <c r="DX196" s="36">
        <f>Crops[[#This Row],[Wholesale Time]]*LaborRate</f>
        <v>174.46428571428572</v>
      </c>
      <c r="DY196" s="36">
        <f>SUM(Crops[[#This Row],[Packaging Costs]:[Irrigation Cost]])</f>
        <v>0</v>
      </c>
      <c r="DZ196" s="36">
        <f>Crops[[#This Row],[Wholesale Labor Cost]]+Crops[[#This Row],[Wholesale Non-Labor Cost]]</f>
        <v>174.46428571428572</v>
      </c>
      <c r="EA196" s="36">
        <f>Crops[[#This Row],[Wholesale Revenue Per Bed]]-Crops[[#This Row],[Wholesale Total Cost]]</f>
        <v>-174.46428571428572</v>
      </c>
      <c r="EB196" s="36">
        <f>Crops[[#This Row],[Wholesale Profit]]*BedsPerAcre</f>
        <v>-27914.285714285717</v>
      </c>
      <c r="EC196" s="36">
        <f>Crops[[#This Row],[Wholesale Profit]]*BedsPerAcre*GrowingDays/Crops[[#This Row],[Days In Field]]</f>
        <v>-42945.054945054952</v>
      </c>
      <c r="ED196" s="36">
        <f>Crops[[#This Row],[Wholesale Time]] * BedsPerAcre</f>
        <v>1116.5714285714287</v>
      </c>
      <c r="EE196" s="36">
        <f>Crops[[#This Row],[Wholesale Profit]]/MIN(Crops[[#This Row],[Days In Field]],GrowingDays)</f>
        <v>-1.4911477411477412</v>
      </c>
      <c r="EF196" s="36">
        <f>(Crops[[#This Row],[Wholesale Revenue Per Bed]]-Crops[[#This Row],[Wholesale Non-Labor Cost]])/Crops[[#This Row],[Direct Time]]</f>
        <v>0</v>
      </c>
      <c r="EG196" s="174" t="e">
        <f>Crops[[#This Row],[Packaging Costs]]/Crops[[#This Row],[Wholesale Revenue Per Bed]]</f>
        <v>#DIV/0!</v>
      </c>
      <c r="EH196" s="173" t="str">
        <f>Crops[[#This Row],[Crop]]&amp;Crops[[#This Row],[Product]]&amp;Crops[[#This Row],[Unit]]</f>
        <v>LiliesMature StalkStem</v>
      </c>
      <c r="EI196" s="173" t="b">
        <f>_xlfn.XLOOKUP(Crops[[#This Row],[ProductIndex]],Products[ID],Products[Target])</f>
        <v>0</v>
      </c>
      <c r="EJ196" s="173">
        <f>Crops[[#This Row],[Custom Yield Per Bed]]</f>
        <v>0</v>
      </c>
      <c r="EK196" s="210" t="e">
        <f>Crops[[#This Row],[Units Per Harvest]]/Crops[[#This Row],[Days Between Harvest]]*7</f>
        <v>#DIV/0!</v>
      </c>
      <c r="EL196" s="210" t="e">
        <f>Crops[[#This Row],[Custom Yield Per Bed]]/_xlfn.XLOOKUP(Crops[[#This Row],[ProductIndex]],Products[ID],Products[CSA Portion])</f>
        <v>#DIV/0!</v>
      </c>
      <c r="EM196" s="210" t="e">
        <f>Crops[[#This Row],[Units Per Harvest]]/Crops[[#This Row],[Days Between Harvest]]*7/_xlfn.XLOOKUP(Crops[[#This Row],[ProductIndex]],Products[ID],Products[CSA Portion])</f>
        <v>#DIV/0!</v>
      </c>
      <c r="EN196" s="210" t="e">
        <f>Crops[[#This Row],[CSA Portions Per Week]]/CSAMembers</f>
        <v>#DIV/0!</v>
      </c>
      <c r="EO196" s="210"/>
      <c r="EP196" s="210"/>
      <c r="EQ196" s="173"/>
      <c r="ER196" s="173">
        <f>Crops[[#This Row],[Harvests]]*Crops[[#This Row],[Days Between Harvest]]/7</f>
        <v>0</v>
      </c>
      <c r="ES196" s="49">
        <f>_xlfn.XLOOKUP(Crops[[#This Row],[ProductIndex]],Products[ID],Products[CSA Need])</f>
        <v>0</v>
      </c>
      <c r="ET196" s="49">
        <f>_xlfn.XLOOKUP(Crops[[#This Row],[ProductIndex]],Products[ID],Products[CSA Times])</f>
        <v>0</v>
      </c>
      <c r="EU196" s="49" t="e">
        <f>Crops[[#This Row],[Custom Yield Per Bed]]/(Crops[[#This Row],[CSA Need]]*(_xlfn.XLOOKUP(Crops[[#This Row],[ProductIndex]],Products[ID],Products[CSA Portion])*CSAMembers))</f>
        <v>#DIV/0!</v>
      </c>
      <c r="EV196" s="49" t="e">
        <f>_xlfn.XLOOKUP(Crops[[#This Row],[ProductIndex]],Products[ID],Products[CSA Portion])*CSAMembers*Crops[[#This Row],[CSA Need]]/Crops[[#This Row],[Custom Yield Per Bed]]</f>
        <v>#DIV/0!</v>
      </c>
      <c r="EW196" s="49" t="str">
        <f>IFERROR(Crops[[#This Row],[Days In Field]]*Crops[[#This Row],[CSA Beds]],"")</f>
        <v/>
      </c>
      <c r="EX196" s="49" t="e">
        <f>Crops[[#This Row],[CSA Bed Days]]*#REF!</f>
        <v>#VALUE!</v>
      </c>
      <c r="EY196">
        <v>0</v>
      </c>
    </row>
    <row r="197" spans="1:155">
      <c r="A197"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Lovage - Mature Leaf 1X | Field TP SpFa</v>
      </c>
      <c r="B197" s="192"/>
      <c r="C197" s="1"/>
      <c r="D197" s="1"/>
      <c r="E197" s="1" t="b">
        <v>0</v>
      </c>
      <c r="F197" s="1" t="b">
        <f>IFERROR(IF(ISNUMBER(MATCH(Crops[[#This Row],[Identifier]],BedPlan[Crop], 0)), TRUE, FALSE), FALSE)</f>
        <v>0</v>
      </c>
      <c r="G197" s="1" t="b">
        <f>IFERROR(IF(ISNUMBER(MATCH(Crops[[#This Row],[Identifier]],BedPlan[Crop], 0)), TRUE, FALSE), FALSE)</f>
        <v>0</v>
      </c>
      <c r="H197" s="1"/>
      <c r="I197" t="s">
        <v>95</v>
      </c>
      <c r="J197" t="s">
        <v>145</v>
      </c>
      <c r="K197" t="s">
        <v>179</v>
      </c>
      <c r="M197" t="s">
        <v>442</v>
      </c>
      <c r="N197" t="str">
        <f>Crops[[#This Row],[Crop]]</f>
        <v>Lovage</v>
      </c>
      <c r="O197" t="s">
        <v>210</v>
      </c>
      <c r="P197" t="str">
        <f>IF(OR(Crops[[#This Row],[Days in Cells]]="",Crops[[#This Row],[Days in Cells]]=0), "DS","TP")</f>
        <v>TP</v>
      </c>
      <c r="Q197" t="s">
        <v>144</v>
      </c>
      <c r="S197" t="s">
        <v>144</v>
      </c>
      <c r="V197" t="str">
        <f xml:space="preserve"> IF(Crops[[#This Row],[Sp]], "Sp", "") &amp; IF(Crops[[#This Row],[Su]], "Su", "") &amp; IF(Crops[[#This Row],[Fa]], "Fa", "") &amp; IF(Crops[[#This Row],[Wi]], "Wi", "") &amp; IF(Crops[[#This Row],[OW]], "Ow","")</f>
        <v>SpFa</v>
      </c>
      <c r="X197">
        <v>1</v>
      </c>
      <c r="Y197">
        <v>18</v>
      </c>
      <c r="AA197" t="s">
        <v>474</v>
      </c>
      <c r="AB197" t="b">
        <v>1</v>
      </c>
      <c r="AC197">
        <v>6</v>
      </c>
      <c r="AD197" s="32">
        <f>IFERROR(12/Crops[[#This Row],[Spacing]]*Crops[[#This Row],[Rows]]*BedLength,"")</f>
        <v>33.333333333333329</v>
      </c>
      <c r="AE197">
        <v>1</v>
      </c>
      <c r="AG197">
        <f>IF(Crops[[#This Row],[Custom Safety Factor]]="",PlantingSafetyFactor,Crops[[#This Row],[Custom Safety Factor]])</f>
        <v>1.3</v>
      </c>
      <c r="AH197">
        <f>1</f>
        <v>1</v>
      </c>
      <c r="AI197" s="33">
        <f>IFERROR(Crops[[#This Row],[Plantings Per Bed]]*Crops[[#This Row],[Seeds Per Planting]]*Crops[[#This Row],[Safety Factor]]*Crops[[#This Row],[Seeding Factor]],"")</f>
        <v>43.333333333333329</v>
      </c>
      <c r="AJ197">
        <v>10</v>
      </c>
      <c r="AK197">
        <v>14</v>
      </c>
      <c r="AL197">
        <f>_xlfn.FLOOR.MATH(IFERROR(AVERAGE(Crops[[#This Row],[DTG Lower]:[DTG Upper]]),0))</f>
        <v>12</v>
      </c>
      <c r="AM197">
        <f>SUM(Crops[[#This Row],[Tray 1 Days]],Crops[[#This Row],[Tray 2 Days]],Crops[[#This Row],[Tray 3 Days]])</f>
        <v>60</v>
      </c>
      <c r="AN197">
        <v>60</v>
      </c>
      <c r="AP197">
        <v>90</v>
      </c>
      <c r="AQ197">
        <f>IFERROR(_xlfn.FLOOR.MATH(AVERAGE(Crops[[#This Row],[DTM Lower]:[DTM Upper]])),"")</f>
        <v>90</v>
      </c>
      <c r="AR197" cm="1">
        <f t="array" ref="AR197">_xlfn.SWITCH(Crops[[#This Row],[Normal Method]],"DS",Crops[[#This Row],[Days to Germination]]+Crops[[#This Row],[DTM]] + IF(Crops[[#This Row],[Days in Cells]]&gt;0,15,0), "TP",Crops[[#This Row],[DTM]]+Crops[[#This Row],[Days in Cells]] + IF(Crops[[#This Row],[Days in Cells]]&lt;=0,20,0), "X", Crops[[#This Row],[DTM]])</f>
        <v>150</v>
      </c>
      <c r="AS197" t="s">
        <v>346</v>
      </c>
      <c r="AT197">
        <f>(Crops[[#This Row],[Harvests]]-1)*Crops[[#This Row],[Days Between Harvest]]+7</f>
        <v>161</v>
      </c>
      <c r="AU197">
        <f>Crops[[#This Row],[STH]]-Crops[[#This Row],[Days in Cells]]+Crops[[#This Row],[Harvest window]]</f>
        <v>251</v>
      </c>
      <c r="AW197">
        <v>72</v>
      </c>
      <c r="AX197">
        <v>72</v>
      </c>
      <c r="AY197">
        <v>30</v>
      </c>
      <c r="AZ197" s="49">
        <f>IFERROR(IF(Crops[[#This Row],[Tray 1 Days]]=0,"",Crops[[#This Row],[Plantings Per Bed]]/Crops[[#This Row],[Tray 1 Size]]*Crops[[#This Row],[Safety Factor]]),"")</f>
        <v>0.60185185185185175</v>
      </c>
      <c r="BA197">
        <v>18</v>
      </c>
      <c r="BB197">
        <v>30</v>
      </c>
      <c r="BC197">
        <f>IFERROR(IF(Crops[[#This Row],[Tray 2 Days]]=0,"",Crops[[#This Row],[Plantings Per Bed]]/Crops[[#This Row],[Tray 2 Size]]*Crops[[#This Row],[Safety Factor]]),"")</f>
        <v>2.407407407407407</v>
      </c>
      <c r="BE197" s="32" t="str">
        <f>IF(NOT(ISBLANK(Crops[[#This Row],[Tray 3 Size]])), Crops[[#This Row],[Days in Cells Old]]-SUM(Crops[[#This Row],[Tray 1 Days]],Crops[[#This Row],[Tray 2 Days]]), "")</f>
        <v/>
      </c>
      <c r="BF197" s="49" t="str">
        <f>IFERROR(IF(Crops[[#This Row],[Tray 3 Days]]=0,"",Crops[[#This Row],[Plantings Per Bed]]/Crops[[#This Row],[Tray 3 Size]]*Crops[[#This Row],[Safety Factor]]),"")</f>
        <v/>
      </c>
      <c r="BG197" s="33">
        <f>Crops[[#This Row],[Plantings Per Bed]]</f>
        <v>33.333333333333329</v>
      </c>
      <c r="BH197" s="33">
        <v>12</v>
      </c>
      <c r="BI197" s="33">
        <v>14</v>
      </c>
      <c r="BJ197" s="33">
        <f>_xlfn.XLOOKUP(Crops[[#This Row],[ProductIndex]],Products[ID],Products[Holding Period])</f>
        <v>0</v>
      </c>
      <c r="BK197" s="33"/>
      <c r="BL197" s="33">
        <f>Crops[[#This Row],[Units Per Harvest]]*Crops[[#This Row],[Harvests]]</f>
        <v>399.99999999999994</v>
      </c>
      <c r="BM197" s="35">
        <v>3</v>
      </c>
      <c r="BN197" s="35">
        <f>Crops[[#This Row],[Direct Price]]*0.6</f>
        <v>1.7999999999999998</v>
      </c>
      <c r="BO197" s="35"/>
      <c r="BP197" t="s">
        <v>215</v>
      </c>
      <c r="BQ197">
        <f>Crops[[#This Row],[Custom Yield Per Bed]]*Crops[[#This Row],[Direct Price]]</f>
        <v>1199.9999999999998</v>
      </c>
      <c r="BR197" t="b">
        <v>1</v>
      </c>
      <c r="BS197" t="b">
        <f>Crops[[#This Row],[Harvests]]&gt;1</f>
        <v>1</v>
      </c>
      <c r="BT197" s="36">
        <f>IFERROR(Crops[[#This Row],[Direct Revenue Per Bed]]/Crops[[#This Row],[Days In Field]],-1)</f>
        <v>4.7808764940239037</v>
      </c>
      <c r="BU197" s="36">
        <f>IFERROR(Crops[[#This Row],[Direct Revenue Per Bed Day]]*GrowingDays*BedsPerAcre,"")</f>
        <v>137689.24302788841</v>
      </c>
      <c r="BV197" s="38">
        <f>LastFrostDate-5*Crops[[#This Row],[Sewing Rel Last Frost]]</f>
        <v>45718</v>
      </c>
      <c r="BW197" s="38">
        <f>Crops[[#This Row],[Target Sewing Date]]+Crops[[#This Row],[Days in Cells]]</f>
        <v>45778</v>
      </c>
      <c r="BX197" s="38">
        <f>Crops[[#This Row],[Target Sewing Date]]+Crops[[#This Row],[STH]]</f>
        <v>45868</v>
      </c>
      <c r="BY197" s="38">
        <f>Crops[[#This Row],[Target Harvest Data]]+Crops[[#This Row],[Harvest window]]</f>
        <v>46029</v>
      </c>
      <c r="BZ197">
        <v>6</v>
      </c>
      <c r="CB197">
        <f>1</f>
        <v>1</v>
      </c>
      <c r="CC197">
        <f>IF(Crops[[#This Row],[Transplanting]]&gt;0, 2, 3)*BedLength/StandardBedLength</f>
        <v>1</v>
      </c>
      <c r="CD197" s="173">
        <f>IF(Crops[[#This Row],[Days in Cells]]&lt;=0,0,Crops[[#This Row],[Plantings Per Bed]]/StartsPerHourSeeding+Crops[[#This Row],[Tray 1 Count]]*5/60)</f>
        <v>0.18036265432098764</v>
      </c>
      <c r="CE197" s="173">
        <f>IF(ISBLANK(Crops[[#This Row],[Tray 2 Days]]),0,Crops[[#This Row],[Plantings Per Bed]]/UpPottingPerHour)+IF(Crops[[#This Row],[Tray 3 Days]]="",0,Crops[[#This Row],[Plantings Per Bed]]/UpPottingPerHour)</f>
        <v>0.27777777777777773</v>
      </c>
      <c r="CF197" s="173">
        <f>IFERROR(Crops[[#This Row],[Tray 1 Count]]/HomeStartFlatIrrigationPerHour,0)*Crops[[#This Row],[Days in Cells]]/DaysBetweenStartIrrigation</f>
        <v>0.15046296296296294</v>
      </c>
      <c r="CG197" s="173">
        <f>0.5/16*MAX(Crops[[#This Row],[Tray 1 Count]],Crops[[#This Row],[Tray 2 Count]],Crops[[#This Row],[Tray 3 Count]])</f>
        <v>7.5231481481481469E-2</v>
      </c>
      <c r="CH197" s="173">
        <f>IF(Crops[[#This Row],[Days in Cells]]&gt;0,IF(IF(Crops[[#This Row],[Tray 3 Size]]&gt;0,Crops[[#This Row],[Tray 3 Size]],IF(Crops[[#This Row],[Tray 2 Size]]&gt;0,Crops[[#This Row],[Tray 2 Size]],Crops[[#This Row],[Tray 1 Size]]))&lt;=18,LargeTransplantTime,SmallTransplantTime)*Crops[[#This Row],[Plantings Per Bed]],0)</f>
        <v>1.3888888888888886</v>
      </c>
      <c r="CI197" s="173"/>
      <c r="CJ197" s="173">
        <f>_xlfn.XLOOKUP(Crops[[#This Row],[Trellis Type]],TrellisMethods[Trellis Type],TrellisMethods[Hours],0,0)</f>
        <v>0</v>
      </c>
      <c r="CK197">
        <f>IF(Crops[[#This Row],[Days in Cells]]&lt;=0,Crops[[#This Row],[Rows]]*1/10,0)*BedLength/50</f>
        <v>0</v>
      </c>
      <c r="CL197" cm="1">
        <f t="array" ref="CL197">_xlfn.SWITCH(Crops[[#This Row],[Irrigation]],"DR", 0.5, "OH", 0.25,0)*BedLength/50</f>
        <v>0</v>
      </c>
      <c r="CM197">
        <f>IF(OR(ISBLANK(Crops[[#This Row],[Row Cover]]),Crops[[#This Row],[Row Cover]]="None"),0,1)*BedLength/50</f>
        <v>0</v>
      </c>
      <c r="CN197" s="173">
        <f>HoursPerWeedingPass*Crops[[#This Row],[Days In Field]]/14*Crops[[#This Row],[Rows]]+1*BedLength/50</f>
        <v>3.9880952380952377</v>
      </c>
      <c r="CQ197" s="37">
        <f>_xlfn.XLOOKUP(Crops[[#This Row],[Crop]]&amp;Crops[[#This Row],[Product]]&amp;Crops[[#This Row],[Unit]],Products[ID],Products[Marketing (hr)])*Crops[[#This Row],[Direct Revenue Per Bed]]/2000</f>
        <v>2.3999999999999995</v>
      </c>
      <c r="CR197" s="37">
        <f>_xlfn.XLOOKUP(Crops[[#This Row],[Crop]]&amp;Crops[[#This Row],[Product]]&amp;Crops[[#This Row],[Unit]],Products[ID],Products[Harvest (s)])*Crops[[#This Row],[Custom Yield Per Bed]]/3600</f>
        <v>2.2222222222222219</v>
      </c>
      <c r="CS197" s="37">
        <f>_xlfn.XLOOKUP(Crops[[#This Row],[Crop]]&amp;Crops[[#This Row],[Product]]&amp;Crops[[#This Row],[Unit]],Products[ID],Products[Bunch (s)])*Crops[[#This Row],[Custom Yield Per Bed]]/3600</f>
        <v>1.1111111111111109</v>
      </c>
      <c r="CT197" s="37">
        <f>_xlfn.XLOOKUP(Crops[[#This Row],[Crop]]&amp;Crops[[#This Row],[Product]]&amp;Crops[[#This Row],[Unit]],Products[ID],Products[Haul (s)])*Crops[[#This Row],[Custom Yield Per Bed]]/3600</f>
        <v>0.41666666666666663</v>
      </c>
      <c r="CU197" s="37">
        <f>_xlfn.XLOOKUP(Crops[[#This Row],[Crop]]&amp;Crops[[#This Row],[Product]]&amp;Crops[[#This Row],[Unit]],Products[ID],Products[Wash (s)])*Crops[[#This Row],[Custom Yield Per Bed]]/3600</f>
        <v>0</v>
      </c>
      <c r="CV197" s="37">
        <f>_xlfn.XLOOKUP(Crops[[#This Row],[Crop]]&amp;Crops[[#This Row],[Product]]&amp;Crops[[#This Row],[Unit]],Products[ID],Products[Condition (s)])*Crops[[#This Row],[Custom Yield Per Bed]]/3600</f>
        <v>0</v>
      </c>
      <c r="CW197" s="37">
        <f>_xlfn.XLOOKUP(Crops[[#This Row],[Crop]]&amp;Crops[[#This Row],[Product]]&amp;Crops[[#This Row],[Unit]],Products[ID],Products[Trim (s)])*Crops[[#This Row],[Custom Yield Per Bed]]/3600</f>
        <v>0</v>
      </c>
      <c r="CX197" s="37">
        <f>_xlfn.XLOOKUP(Crops[[#This Row],[Crop]]&amp;Crops[[#This Row],[Product]]&amp;Crops[[#This Row],[Unit]],Products[ID],Products[Pack (s)])*Crops[[#This Row],[Custom Yield Per Bed]]/3600</f>
        <v>0.33333333333333326</v>
      </c>
      <c r="CY197" s="37">
        <f>_xlfn.XLOOKUP(Crops[[#This Row],[Crop]]&amp;Crops[[#This Row],[Product]]&amp;Crops[[#This Row],[Unit]],Products[ID],Products[Clean (s)])*Crops[[#This Row],[Custom Yield Per Bed]]/3600</f>
        <v>0</v>
      </c>
      <c r="CZ197" s="37">
        <f>_xlfn.XLOOKUP(Crops[[#This Row],[Crop]]&amp;Crops[[#This Row],[Product]]&amp;Crops[[#This Row],[Unit]],Products[ID],Products[Rehandle (s)])*Crops[[#This Row],[Custom Yield Per Bed]]/3600</f>
        <v>0</v>
      </c>
      <c r="DA197" s="37">
        <f>_xlfn.XLOOKUP(Crops[[#This Row],[Crop]]&amp;Crops[[#This Row],[Product]]&amp;Crops[[#This Row],[Unit]],Products[ID],Products[Market Transport (s)])*Crops[[#This Row],[Custom Yield Per Bed]]/3600</f>
        <v>1.0416666666666665</v>
      </c>
      <c r="DC197" s="37">
        <f>Crops[[#This Row],[Direct Revenue Per Bed2]]</f>
        <v>1199.9999999999998</v>
      </c>
      <c r="DD197" s="173">
        <f>_xlfn.AGGREGATE(9,6,Crops[[#This Row],[Bed Prep]:[Remove Crop Residue]])</f>
        <v>14.585819003527334</v>
      </c>
      <c r="DE197" s="173">
        <f>_xlfn.AGGREGATE(9,6,Crops[[#This Row],[Bed Prep]:[Remove Crop Residue]])-0.75*Crops[[#This Row],[Market &amp; Sell]]</f>
        <v>12.785819003527335</v>
      </c>
      <c r="DF197" s="36">
        <f>Crops[[#This Row],[Direct Revenue Per Bed2]]/Crops[[#This Row],[Direct Time]]</f>
        <v>82.271691408607225</v>
      </c>
      <c r="DG197" s="36">
        <f>_xlfn.XLOOKUP(Crops[[#This Row],[ProductIndex]],Products[ID],Products[Packaging Cost])*(Crops[[#This Row],[Custom Yield Per Bed]]/_xlfn.XLOOKUP(Crops[[#This Row],[ProductIndex]],Products[ID],Products[Units Per Pack]))</f>
        <v>63.333333333333321</v>
      </c>
      <c r="DH197" s="36"/>
      <c r="DI197" s="36"/>
      <c r="DJ197" s="36"/>
      <c r="DK197" s="36"/>
      <c r="DL197" s="36"/>
      <c r="DM197" s="33">
        <f>IFERROR(Crops[[#This Row],[Custom Yield Per Bed]]*Crops[[#This Row],[Direct Price]],"")</f>
        <v>1199.9999999999998</v>
      </c>
      <c r="DN197" s="36">
        <f>Crops[[#This Row],[Direct Time]]*LaborRate</f>
        <v>364.64547508818333</v>
      </c>
      <c r="DO197" s="36">
        <f>SUM(Crops[[#This Row],[Irrigation Cost]])</f>
        <v>0</v>
      </c>
      <c r="DP197" s="36">
        <f>Crops[[#This Row],[Direct Labor Cost]]+Crops[[#This Row],[Direct Non-Labor Cost]]</f>
        <v>364.64547508818333</v>
      </c>
      <c r="DQ197" s="36">
        <f>Crops[[#This Row],[Direct Revenue Per Bed2]]-Crops[[#This Row],[Direct Total Cost]]</f>
        <v>835.3545249118165</v>
      </c>
      <c r="DR197" s="36">
        <f>Crops[[#This Row],[Direct Profit]]*BedsPerAcre</f>
        <v>133656.72398589063</v>
      </c>
      <c r="DS197" s="36">
        <f>Crops[[#This Row],[Direct Profit]]*BedsPerAcre*GrowingDays/Crops[[#This Row],[Days In Field]]</f>
        <v>95849.44349585782</v>
      </c>
      <c r="DT197" s="36">
        <f>Crops[[#This Row],[Direct Profit]]/MIN(Crops[[#This Row],[Days In Field]],GrowingDays)</f>
        <v>4.6408584717323142</v>
      </c>
      <c r="DU197" s="36">
        <f>Crops[[#This Row],[Direct Time]] * BedsPerAcre</f>
        <v>2333.7310405643734</v>
      </c>
      <c r="DV197" s="36">
        <f>(Crops[[#This Row],[Direct Revenue Per Bed2]]-Crops[[#This Row],[Direct Non-Labor Cost]])/Crops[[#This Row],[Direct Time]]</f>
        <v>82.271691408607225</v>
      </c>
      <c r="DW197" s="33">
        <f>IFERROR(Crops[[#This Row],[Custom Yield Per Bed]]*Crops[[#This Row],[Rough Wholesale Price]],"")</f>
        <v>719.99999999999977</v>
      </c>
      <c r="DX197" s="36">
        <f>Crops[[#This Row],[Wholesale Time]]*LaborRate</f>
        <v>319.64547508818339</v>
      </c>
      <c r="DY197" s="36">
        <f>SUM(Crops[[#This Row],[Packaging Costs]:[Irrigation Cost]])</f>
        <v>63.333333333333321</v>
      </c>
      <c r="DZ197" s="36">
        <f>Crops[[#This Row],[Wholesale Labor Cost]]+Crops[[#This Row],[Wholesale Non-Labor Cost]]</f>
        <v>382.9788084215167</v>
      </c>
      <c r="EA197" s="36">
        <f>Crops[[#This Row],[Wholesale Revenue Per Bed]]-Crops[[#This Row],[Wholesale Total Cost]]</f>
        <v>337.02119157848307</v>
      </c>
      <c r="EB197" s="36">
        <f>Crops[[#This Row],[Wholesale Profit]]*BedsPerAcre</f>
        <v>53923.390652557289</v>
      </c>
      <c r="EC197" s="36">
        <f>Crops[[#This Row],[Wholesale Profit]]*BedsPerAcre*GrowingDays/Crops[[#This Row],[Days In Field]]</f>
        <v>38670.160627331919</v>
      </c>
      <c r="ED197" s="36">
        <f>Crops[[#This Row],[Wholesale Time]] * BedsPerAcre</f>
        <v>2045.7310405643736</v>
      </c>
      <c r="EE197" s="36">
        <f>Crops[[#This Row],[Wholesale Profit]]/MIN(Crops[[#This Row],[Days In Field]],GrowingDays)</f>
        <v>1.8723399532137948</v>
      </c>
      <c r="EF197" s="36">
        <f>(Crops[[#This Row],[Wholesale Revenue Per Bed]]-Crops[[#This Row],[Wholesale Non-Labor Cost]])/Crops[[#This Row],[Direct Time]]</f>
        <v>45.020897798598945</v>
      </c>
      <c r="EG197" s="174">
        <f>Crops[[#This Row],[Packaging Costs]]/Crops[[#This Row],[Wholesale Revenue Per Bed]]</f>
        <v>8.7962962962962979E-2</v>
      </c>
      <c r="EH197" s="36" t="str">
        <f>Crops[[#This Row],[Crop]]&amp;Crops[[#This Row],[Product]]&amp;Crops[[#This Row],[Unit]]</f>
        <v>LovageMature LeafBunch</v>
      </c>
      <c r="EI197" s="36" t="b">
        <f>_xlfn.XLOOKUP(Crops[[#This Row],[ProductIndex]],Products[ID],Products[Target])</f>
        <v>1</v>
      </c>
      <c r="EJ197" s="36">
        <f>Crops[[#This Row],[Custom Yield Per Bed]]</f>
        <v>399.99999999999994</v>
      </c>
      <c r="EK197" s="210">
        <f>Crops[[#This Row],[Units Per Harvest]]/Crops[[#This Row],[Days Between Harvest]]*7</f>
        <v>16.666666666666664</v>
      </c>
      <c r="EL197" s="210" t="e">
        <f>Crops[[#This Row],[Custom Yield Per Bed]]/_xlfn.XLOOKUP(Crops[[#This Row],[ProductIndex]],Products[ID],Products[CSA Portion])</f>
        <v>#DIV/0!</v>
      </c>
      <c r="EM197" s="210" t="e">
        <f>Crops[[#This Row],[Units Per Harvest]]/Crops[[#This Row],[Days Between Harvest]]*7/_xlfn.XLOOKUP(Crops[[#This Row],[ProductIndex]],Products[ID],Products[CSA Portion])</f>
        <v>#DIV/0!</v>
      </c>
      <c r="EN197" s="210" t="e">
        <f>Crops[[#This Row],[CSA Portions Per Week]]/CSAMembers</f>
        <v>#DIV/0!</v>
      </c>
      <c r="EO197" s="210"/>
      <c r="EP197" s="210"/>
      <c r="EQ197" s="36"/>
      <c r="ER197" s="36">
        <f>Crops[[#This Row],[Harvests]]*Crops[[#This Row],[Days Between Harvest]]/7</f>
        <v>24</v>
      </c>
      <c r="ES197" s="208">
        <f>_xlfn.XLOOKUP(Crops[[#This Row],[ProductIndex]],Products[ID],Products[CSA Need])</f>
        <v>0</v>
      </c>
      <c r="ET197" s="208">
        <f>_xlfn.XLOOKUP(Crops[[#This Row],[ProductIndex]],Products[ID],Products[CSA Times])</f>
        <v>0</v>
      </c>
      <c r="EU197" s="208" t="e">
        <f>Crops[[#This Row],[Custom Yield Per Bed]]/(Crops[[#This Row],[CSA Need]]*(_xlfn.XLOOKUP(Crops[[#This Row],[ProductIndex]],Products[ID],Products[CSA Portion])*CSAMembers))</f>
        <v>#DIV/0!</v>
      </c>
      <c r="EV197" s="208">
        <f>_xlfn.XLOOKUP(Crops[[#This Row],[ProductIndex]],Products[ID],Products[CSA Portion])*CSAMembers*Crops[[#This Row],[CSA Need]]/Crops[[#This Row],[Custom Yield Per Bed]]</f>
        <v>0</v>
      </c>
      <c r="EW197" s="208">
        <f>IFERROR(Crops[[#This Row],[Days In Field]]*Crops[[#This Row],[CSA Beds]],"")</f>
        <v>0</v>
      </c>
      <c r="EX197" s="208" t="e">
        <f>Crops[[#This Row],[CSA Bed Days]]*#REF!</f>
        <v>#REF!</v>
      </c>
      <c r="EY197" t="s">
        <v>324</v>
      </c>
    </row>
    <row r="198" spans="1:155">
      <c r="A198"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Lovage (Perennial) - Mature Leaf 1X | Field DS </v>
      </c>
      <c r="B198" s="192"/>
      <c r="C198" s="1" t="b">
        <v>1</v>
      </c>
      <c r="D198" s="1"/>
      <c r="E198" s="1" t="b">
        <v>0</v>
      </c>
      <c r="F198" s="1" t="b">
        <f>IFERROR(IF(ISNUMBER(MATCH(Crops[[#This Row],[Identifier]],BedPlan[Crop], 0)), TRUE, FALSE), FALSE)</f>
        <v>1</v>
      </c>
      <c r="G198" s="1" t="b">
        <f>IFERROR(IF(ISNUMBER(MATCH(Crops[[#This Row],[Identifier]],BedPlan[Crop], 0)), TRUE, FALSE), FALSE)</f>
        <v>1</v>
      </c>
      <c r="H198" s="1"/>
      <c r="I198" t="s">
        <v>95</v>
      </c>
      <c r="J198" t="s">
        <v>1521</v>
      </c>
      <c r="K198" t="s">
        <v>179</v>
      </c>
      <c r="M198" t="s">
        <v>442</v>
      </c>
      <c r="N198" t="str">
        <f>Crops[[#This Row],[Crop]]</f>
        <v>Lovage</v>
      </c>
      <c r="O198" t="s">
        <v>210</v>
      </c>
      <c r="P198" t="str">
        <f>IF(OR(Crops[[#This Row],[Days in Cells]]="",Crops[[#This Row],[Days in Cells]]=0), "DS","TP")</f>
        <v>DS</v>
      </c>
      <c r="Q198" t="s">
        <v>144</v>
      </c>
      <c r="S198" t="s">
        <v>144</v>
      </c>
      <c r="X198">
        <v>1</v>
      </c>
      <c r="Y198">
        <v>18</v>
      </c>
      <c r="AA198" t="s">
        <v>474</v>
      </c>
      <c r="AB198" t="b">
        <v>1</v>
      </c>
      <c r="AC198">
        <v>6</v>
      </c>
      <c r="AD198" s="32">
        <f>IFERROR(12/Crops[[#This Row],[Spacing]]*Crops[[#This Row],[Rows]]*BedLength,"")</f>
        <v>33.333333333333329</v>
      </c>
      <c r="AE198">
        <v>1</v>
      </c>
      <c r="AI198" s="33">
        <f>IFERROR(Crops[[#This Row],[Plantings Per Bed]]*Crops[[#This Row],[Seeds Per Planting]]*Crops[[#This Row],[Safety Factor]]*Crops[[#This Row],[Seeding Factor]],"")</f>
        <v>0</v>
      </c>
      <c r="AL198">
        <f>_xlfn.FLOOR.MATH(IFERROR(AVERAGE(Crops[[#This Row],[DTG Lower]:[DTG Upper]]),0))</f>
        <v>0</v>
      </c>
      <c r="AM198">
        <f>SUM(Crops[[#This Row],[Tray 1 Days]],Crops[[#This Row],[Tray 2 Days]],Crops[[#This Row],[Tray 3 Days]])</f>
        <v>0</v>
      </c>
      <c r="AN198">
        <v>60</v>
      </c>
      <c r="AO198">
        <v>90</v>
      </c>
      <c r="AP198">
        <v>120</v>
      </c>
      <c r="AQ198">
        <f>IFERROR(_xlfn.FLOOR.MATH(AVERAGE(Crops[[#This Row],[DTM Lower]:[DTM Upper]])),"")</f>
        <v>105</v>
      </c>
      <c r="AR198" cm="1">
        <f t="array" ref="AR198">_xlfn.SWITCH(Crops[[#This Row],[Normal Method]],"DS",Crops[[#This Row],[Days to Germination]]+Crops[[#This Row],[DTM]] + IF(Crops[[#This Row],[Days in Cells]]&gt;0,15,0), "TP",Crops[[#This Row],[DTM]]+Crops[[#This Row],[Days in Cells]] + IF(Crops[[#This Row],[Days in Cells]]&lt;=0,20,0), "X", Crops[[#This Row],[DTM]])</f>
        <v>125</v>
      </c>
      <c r="AS198" t="s">
        <v>346</v>
      </c>
      <c r="AT198">
        <f>(Crops[[#This Row],[Harvests]]-1)*Crops[[#This Row],[Days Between Harvest]]+7</f>
        <v>161</v>
      </c>
      <c r="AU198">
        <f>Crops[[#This Row],[STH]]-Crops[[#This Row],[Days in Cells]]+Crops[[#This Row],[Harvest window]]</f>
        <v>286</v>
      </c>
      <c r="AZ198" s="49" t="str">
        <f>IFERROR(IF(Crops[[#This Row],[Tray 1 Days]]=0,"",Crops[[#This Row],[Plantings Per Bed]]/Crops[[#This Row],[Tray 1 Size]]*Crops[[#This Row],[Safety Factor]]),"")</f>
        <v/>
      </c>
      <c r="BC198" t="str">
        <f>IFERROR(IF(Crops[[#This Row],[Tray 2 Days]]=0,"",Crops[[#This Row],[Plantings Per Bed]]/Crops[[#This Row],[Tray 2 Size]]*Crops[[#This Row],[Safety Factor]]),"")</f>
        <v/>
      </c>
      <c r="BE198" s="32" t="str">
        <f>IF(NOT(ISBLANK(Crops[[#This Row],[Tray 3 Size]])), Crops[[#This Row],[Days in Cells Old]]-SUM(Crops[[#This Row],[Tray 1 Days]],Crops[[#This Row],[Tray 2 Days]]), "")</f>
        <v/>
      </c>
      <c r="BF198" s="49" t="str">
        <f>IFERROR(IF(Crops[[#This Row],[Tray 3 Days]]=0,"",Crops[[#This Row],[Plantings Per Bed]]/Crops[[#This Row],[Tray 3 Size]]*Crops[[#This Row],[Safety Factor]]),"")</f>
        <v/>
      </c>
      <c r="BG198" s="33">
        <f>Crops[[#This Row],[Plantings Per Bed]]</f>
        <v>33.333333333333329</v>
      </c>
      <c r="BH198" s="33">
        <v>12</v>
      </c>
      <c r="BI198" s="33">
        <v>14</v>
      </c>
      <c r="BJ198" s="33">
        <f>_xlfn.XLOOKUP(Crops[[#This Row],[ProductIndex]],Products[ID],Products[Holding Period])</f>
        <v>0</v>
      </c>
      <c r="BK198" s="33"/>
      <c r="BL198" s="33">
        <f>Crops[[#This Row],[Units Per Harvest]]*Crops[[#This Row],[Harvests]]</f>
        <v>399.99999999999994</v>
      </c>
      <c r="BM198" s="35">
        <v>3</v>
      </c>
      <c r="BN198" s="35">
        <f>Crops[[#This Row],[Direct Price]]*0.6</f>
        <v>1.7999999999999998</v>
      </c>
      <c r="BO198" s="35"/>
      <c r="BP198" t="s">
        <v>215</v>
      </c>
      <c r="BQ198">
        <f>Crops[[#This Row],[Custom Yield Per Bed]]*Crops[[#This Row],[Direct Price]]</f>
        <v>1199.9999999999998</v>
      </c>
      <c r="BR198" t="b">
        <v>1</v>
      </c>
      <c r="BS198" t="b">
        <f>Crops[[#This Row],[Harvests]]&gt;1</f>
        <v>1</v>
      </c>
      <c r="BT198" s="36">
        <f>IFERROR(Crops[[#This Row],[Direct Revenue Per Bed]]/Crops[[#This Row],[Days In Field]],-1)</f>
        <v>4.1958041958041949</v>
      </c>
      <c r="BU198" s="36">
        <f>IFERROR(Crops[[#This Row],[Direct Revenue Per Bed Day]]*GrowingDays*BedsPerAcre,"")</f>
        <v>120839.16083916082</v>
      </c>
      <c r="BV198" s="38">
        <f>LastFrostDate-5*Crops[[#This Row],[Sewing Rel Last Frost]]</f>
        <v>45683</v>
      </c>
      <c r="BW198" s="38">
        <f>Crops[[#This Row],[Target Sewing Date]]+Crops[[#This Row],[Days in Cells]]</f>
        <v>45683</v>
      </c>
      <c r="BX198" s="38">
        <f>Crops[[#This Row],[Target Sewing Date]]+Crops[[#This Row],[STH]]</f>
        <v>45808</v>
      </c>
      <c r="BY198" s="38">
        <f>Crops[[#This Row],[Target Harvest Data]]+Crops[[#This Row],[Harvest window]]</f>
        <v>45969</v>
      </c>
      <c r="BZ198">
        <v>13</v>
      </c>
      <c r="CB198">
        <f>1</f>
        <v>1</v>
      </c>
      <c r="CC198">
        <f>IF(Crops[[#This Row],[Transplanting]]&gt;0, 2, 3)*BedLength/StandardBedLength</f>
        <v>1.5</v>
      </c>
      <c r="CD198" s="173">
        <f>IF(Crops[[#This Row],[Days in Cells]]&lt;=0,0,Crops[[#This Row],[Plantings Per Bed]]/StartsPerHourSeeding+Crops[[#This Row],[Tray 1 Count]]*5/60)</f>
        <v>0</v>
      </c>
      <c r="CE198" s="173">
        <f>IF(ISBLANK(Crops[[#This Row],[Tray 2 Days]]),0,Crops[[#This Row],[Plantings Per Bed]]/UpPottingPerHour)+IF(Crops[[#This Row],[Tray 3 Days]]="",0,Crops[[#This Row],[Plantings Per Bed]]/UpPottingPerHour)</f>
        <v>0</v>
      </c>
      <c r="CF198" s="173">
        <f>IFERROR(Crops[[#This Row],[Tray 1 Count]]/HomeStartFlatIrrigationPerHour,0)*Crops[[#This Row],[Days in Cells]]/DaysBetweenStartIrrigation</f>
        <v>0</v>
      </c>
      <c r="CG198" s="173">
        <f>0.5/16*MAX(Crops[[#This Row],[Tray 1 Count]],Crops[[#This Row],[Tray 2 Count]],Crops[[#This Row],[Tray 3 Count]])</f>
        <v>0</v>
      </c>
      <c r="CH198" s="173">
        <f>IF(Crops[[#This Row],[Days in Cells]]&gt;0,IF(IF(Crops[[#This Row],[Tray 3 Size]]&gt;0,Crops[[#This Row],[Tray 3 Size]],IF(Crops[[#This Row],[Tray 2 Size]]&gt;0,Crops[[#This Row],[Tray 2 Size]],Crops[[#This Row],[Tray 1 Size]]))&lt;=18,LargeTransplantTime,SmallTransplantTime)*Crops[[#This Row],[Plantings Per Bed]],0)</f>
        <v>0</v>
      </c>
      <c r="CI198" s="173"/>
      <c r="CJ198" s="173">
        <f>_xlfn.XLOOKUP(Crops[[#This Row],[Trellis Type]],TrellisMethods[Trellis Type],TrellisMethods[Hours],0,0)</f>
        <v>0</v>
      </c>
      <c r="CK198">
        <f>IF(Crops[[#This Row],[Days in Cells]]&lt;=0,Crops[[#This Row],[Rows]]*1/10,0)*BedLength/50</f>
        <v>0.1</v>
      </c>
      <c r="CL198" cm="1">
        <f t="array" ref="CL198">_xlfn.SWITCH(Crops[[#This Row],[Irrigation]],"DR", 0.5, "OH", 0.25,0)*BedLength/50</f>
        <v>0</v>
      </c>
      <c r="CM198">
        <f>IF(OR(ISBLANK(Crops[[#This Row],[Row Cover]]),Crops[[#This Row],[Row Cover]]="None"),0,1)*BedLength/50</f>
        <v>0</v>
      </c>
      <c r="CN198" s="173">
        <f>HoursPerWeedingPass*Crops[[#This Row],[Days In Field]]/14*Crops[[#This Row],[Rows]]+1*BedLength/50</f>
        <v>4.4047619047619051</v>
      </c>
      <c r="CQ198" s="37">
        <f>_xlfn.XLOOKUP(Crops[[#This Row],[Crop]]&amp;Crops[[#This Row],[Product]]&amp;Crops[[#This Row],[Unit]],Products[ID],Products[Marketing (hr)])*Crops[[#This Row],[Direct Revenue Per Bed]]/2000</f>
        <v>2.3999999999999995</v>
      </c>
      <c r="CR198" s="37">
        <f>_xlfn.XLOOKUP(Crops[[#This Row],[Crop]]&amp;Crops[[#This Row],[Product]]&amp;Crops[[#This Row],[Unit]],Products[ID],Products[Harvest (s)])*Crops[[#This Row],[Custom Yield Per Bed]]/3600</f>
        <v>2.2222222222222219</v>
      </c>
      <c r="CS198" s="37">
        <f>_xlfn.XLOOKUP(Crops[[#This Row],[Crop]]&amp;Crops[[#This Row],[Product]]&amp;Crops[[#This Row],[Unit]],Products[ID],Products[Bunch (s)])*Crops[[#This Row],[Custom Yield Per Bed]]/3600</f>
        <v>1.1111111111111109</v>
      </c>
      <c r="CT198" s="37">
        <f>_xlfn.XLOOKUP(Crops[[#This Row],[Crop]]&amp;Crops[[#This Row],[Product]]&amp;Crops[[#This Row],[Unit]],Products[ID],Products[Haul (s)])*Crops[[#This Row],[Custom Yield Per Bed]]/3600</f>
        <v>0.41666666666666663</v>
      </c>
      <c r="CU198" s="37">
        <f>_xlfn.XLOOKUP(Crops[[#This Row],[Crop]]&amp;Crops[[#This Row],[Product]]&amp;Crops[[#This Row],[Unit]],Products[ID],Products[Wash (s)])*Crops[[#This Row],[Custom Yield Per Bed]]/3600</f>
        <v>0</v>
      </c>
      <c r="CV198" s="37">
        <f>_xlfn.XLOOKUP(Crops[[#This Row],[Crop]]&amp;Crops[[#This Row],[Product]]&amp;Crops[[#This Row],[Unit]],Products[ID],Products[Condition (s)])*Crops[[#This Row],[Custom Yield Per Bed]]/3600</f>
        <v>0</v>
      </c>
      <c r="CW198" s="37">
        <f>_xlfn.XLOOKUP(Crops[[#This Row],[Crop]]&amp;Crops[[#This Row],[Product]]&amp;Crops[[#This Row],[Unit]],Products[ID],Products[Trim (s)])*Crops[[#This Row],[Custom Yield Per Bed]]/3600</f>
        <v>0</v>
      </c>
      <c r="CX198" s="37">
        <f>_xlfn.XLOOKUP(Crops[[#This Row],[Crop]]&amp;Crops[[#This Row],[Product]]&amp;Crops[[#This Row],[Unit]],Products[ID],Products[Pack (s)])*Crops[[#This Row],[Custom Yield Per Bed]]/3600</f>
        <v>0.33333333333333326</v>
      </c>
      <c r="CY198" s="37">
        <f>_xlfn.XLOOKUP(Crops[[#This Row],[Crop]]&amp;Crops[[#This Row],[Product]]&amp;Crops[[#This Row],[Unit]],Products[ID],Products[Clean (s)])*Crops[[#This Row],[Custom Yield Per Bed]]/3600</f>
        <v>0</v>
      </c>
      <c r="CZ198" s="37">
        <f>_xlfn.XLOOKUP(Crops[[#This Row],[Crop]]&amp;Crops[[#This Row],[Product]]&amp;Crops[[#This Row],[Unit]],Products[ID],Products[Rehandle (s)])*Crops[[#This Row],[Custom Yield Per Bed]]/3600</f>
        <v>0</v>
      </c>
      <c r="DA198" s="37">
        <f>_xlfn.XLOOKUP(Crops[[#This Row],[Crop]]&amp;Crops[[#This Row],[Product]]&amp;Crops[[#This Row],[Unit]],Products[ID],Products[Market Transport (s)])*Crops[[#This Row],[Custom Yield Per Bed]]/3600</f>
        <v>1.0416666666666665</v>
      </c>
      <c r="DC198" s="37">
        <f>Crops[[#This Row],[Direct Revenue Per Bed2]]</f>
        <v>1199.9999999999998</v>
      </c>
      <c r="DD198" s="173">
        <f>_xlfn.AGGREGATE(9,6,Crops[[#This Row],[Bed Prep]:[Remove Crop Residue]])</f>
        <v>13.529761904761903</v>
      </c>
      <c r="DE198" s="173">
        <f>_xlfn.AGGREGATE(9,6,Crops[[#This Row],[Bed Prep]:[Remove Crop Residue]])-0.75*Crops[[#This Row],[Market &amp; Sell]]</f>
        <v>11.729761904761904</v>
      </c>
      <c r="DF198" s="36">
        <f>Crops[[#This Row],[Direct Revenue Per Bed2]]/Crops[[#This Row],[Direct Time]]</f>
        <v>88.693356797184336</v>
      </c>
      <c r="DG198" s="36">
        <f>_xlfn.XLOOKUP(Crops[[#This Row],[ProductIndex]],Products[ID],Products[Packaging Cost])*(Crops[[#This Row],[Custom Yield Per Bed]]/_xlfn.XLOOKUP(Crops[[#This Row],[ProductIndex]],Products[ID],Products[Units Per Pack]))</f>
        <v>63.333333333333321</v>
      </c>
      <c r="DH198" s="36"/>
      <c r="DI198" s="36"/>
      <c r="DJ198" s="36"/>
      <c r="DK198" s="36"/>
      <c r="DL198" s="36"/>
      <c r="DM198" s="33">
        <f>IFERROR(Crops[[#This Row],[Custom Yield Per Bed]]*Crops[[#This Row],[Direct Price]],"")</f>
        <v>1199.9999999999998</v>
      </c>
      <c r="DN198" s="36">
        <f>Crops[[#This Row],[Direct Time]]*LaborRate</f>
        <v>338.24404761904759</v>
      </c>
      <c r="DO198" s="36">
        <f>SUM(Crops[[#This Row],[Irrigation Cost]])</f>
        <v>0</v>
      </c>
      <c r="DP198" s="36">
        <f>Crops[[#This Row],[Direct Labor Cost]]+Crops[[#This Row],[Direct Non-Labor Cost]]</f>
        <v>338.24404761904759</v>
      </c>
      <c r="DQ198" s="36">
        <f>Crops[[#This Row],[Direct Revenue Per Bed2]]-Crops[[#This Row],[Direct Total Cost]]</f>
        <v>861.75595238095218</v>
      </c>
      <c r="DR198" s="36">
        <f>Crops[[#This Row],[Direct Profit]]*BedsPerAcre</f>
        <v>137880.95238095234</v>
      </c>
      <c r="DS198" s="36">
        <f>Crops[[#This Row],[Direct Profit]]*BedsPerAcre*GrowingDays/Crops[[#This Row],[Days In Field]]</f>
        <v>86778.221778221749</v>
      </c>
      <c r="DT198" s="36">
        <f>Crops[[#This Row],[Direct Profit]]/MIN(Crops[[#This Row],[Days In Field]],GrowingDays)</f>
        <v>4.7875330687830679</v>
      </c>
      <c r="DU198" s="36">
        <f>Crops[[#This Row],[Direct Time]] * BedsPerAcre</f>
        <v>2164.7619047619046</v>
      </c>
      <c r="DV198" s="36">
        <f>(Crops[[#This Row],[Direct Revenue Per Bed2]]-Crops[[#This Row],[Direct Non-Labor Cost]])/Crops[[#This Row],[Direct Time]]</f>
        <v>88.693356797184336</v>
      </c>
      <c r="DW198" s="33">
        <f>IFERROR(Crops[[#This Row],[Custom Yield Per Bed]]*Crops[[#This Row],[Rough Wholesale Price]],"")</f>
        <v>719.99999999999977</v>
      </c>
      <c r="DX198" s="36">
        <f>Crops[[#This Row],[Wholesale Time]]*LaborRate</f>
        <v>293.24404761904759</v>
      </c>
      <c r="DY198" s="36">
        <f>SUM(Crops[[#This Row],[Packaging Costs]:[Irrigation Cost]])</f>
        <v>63.333333333333321</v>
      </c>
      <c r="DZ198" s="36">
        <f>Crops[[#This Row],[Wholesale Labor Cost]]+Crops[[#This Row],[Wholesale Non-Labor Cost]]</f>
        <v>356.57738095238091</v>
      </c>
      <c r="EA198" s="36">
        <f>Crops[[#This Row],[Wholesale Revenue Per Bed]]-Crops[[#This Row],[Wholesale Total Cost]]</f>
        <v>363.42261904761887</v>
      </c>
      <c r="EB198" s="36">
        <f>Crops[[#This Row],[Wholesale Profit]]*BedsPerAcre</f>
        <v>58147.619047619017</v>
      </c>
      <c r="EC198" s="36">
        <f>Crops[[#This Row],[Wholesale Profit]]*BedsPerAcre*GrowingDays/Crops[[#This Row],[Days In Field]]</f>
        <v>36596.403596403579</v>
      </c>
      <c r="ED198" s="36">
        <f>Crops[[#This Row],[Wholesale Time]] * BedsPerAcre</f>
        <v>1876.7619047619046</v>
      </c>
      <c r="EE198" s="36">
        <f>Crops[[#This Row],[Wholesale Profit]]/MIN(Crops[[#This Row],[Days In Field]],GrowingDays)</f>
        <v>2.0190145502645493</v>
      </c>
      <c r="EF198" s="36">
        <f>(Crops[[#This Row],[Wholesale Revenue Per Bed]]-Crops[[#This Row],[Wholesale Non-Labor Cost]])/Crops[[#This Row],[Direct Time]]</f>
        <v>48.534975802903638</v>
      </c>
      <c r="EG198" s="174">
        <f>Crops[[#This Row],[Packaging Costs]]/Crops[[#This Row],[Wholesale Revenue Per Bed]]</f>
        <v>8.7962962962962979E-2</v>
      </c>
      <c r="EH198" s="36" t="str">
        <f>Crops[[#This Row],[Crop]]&amp;Crops[[#This Row],[Product]]&amp;Crops[[#This Row],[Unit]]</f>
        <v>LovageMature LeafBunch</v>
      </c>
      <c r="EI198" s="36" t="b">
        <f>_xlfn.XLOOKUP(Crops[[#This Row],[ProductIndex]],Products[ID],Products[Target])</f>
        <v>1</v>
      </c>
      <c r="EJ198" s="36">
        <f>Crops[[#This Row],[Custom Yield Per Bed]]</f>
        <v>399.99999999999994</v>
      </c>
      <c r="EK198" s="210">
        <f>Crops[[#This Row],[Units Per Harvest]]/Crops[[#This Row],[Days Between Harvest]]*7</f>
        <v>16.666666666666664</v>
      </c>
      <c r="EL198" s="210" t="e">
        <f>Crops[[#This Row],[Custom Yield Per Bed]]/_xlfn.XLOOKUP(Crops[[#This Row],[ProductIndex]],Products[ID],Products[CSA Portion])</f>
        <v>#DIV/0!</v>
      </c>
      <c r="EM198" s="210" t="e">
        <f>Crops[[#This Row],[Units Per Harvest]]/Crops[[#This Row],[Days Between Harvest]]*7/_xlfn.XLOOKUP(Crops[[#This Row],[ProductIndex]],Products[ID],Products[CSA Portion])</f>
        <v>#DIV/0!</v>
      </c>
      <c r="EN198" s="210" t="e">
        <f>Crops[[#This Row],[CSA Portions Per Week]]/CSAMembers</f>
        <v>#DIV/0!</v>
      </c>
      <c r="EO198" s="210"/>
      <c r="EP198" s="210"/>
      <c r="EQ198" s="36"/>
      <c r="ER198" s="36">
        <f>Crops[[#This Row],[Harvests]]*Crops[[#This Row],[Days Between Harvest]]/7</f>
        <v>24</v>
      </c>
      <c r="ES198" s="208">
        <f>_xlfn.XLOOKUP(Crops[[#This Row],[ProductIndex]],Products[ID],Products[CSA Need])</f>
        <v>0</v>
      </c>
      <c r="ET198" s="208">
        <f>_xlfn.XLOOKUP(Crops[[#This Row],[ProductIndex]],Products[ID],Products[CSA Times])</f>
        <v>0</v>
      </c>
      <c r="EU198" s="208" t="e">
        <f>Crops[[#This Row],[Custom Yield Per Bed]]/(Crops[[#This Row],[CSA Need]]*(_xlfn.XLOOKUP(Crops[[#This Row],[ProductIndex]],Products[ID],Products[CSA Portion])*CSAMembers))</f>
        <v>#DIV/0!</v>
      </c>
      <c r="EV198" s="208">
        <f>_xlfn.XLOOKUP(Crops[[#This Row],[ProductIndex]],Products[ID],Products[CSA Portion])*CSAMembers*Crops[[#This Row],[CSA Need]]/Crops[[#This Row],[Custom Yield Per Bed]]</f>
        <v>0</v>
      </c>
      <c r="EW198" s="208">
        <f>IFERROR(Crops[[#This Row],[Days In Field]]*Crops[[#This Row],[CSA Beds]],"")</f>
        <v>0</v>
      </c>
      <c r="EX198" s="208" t="e">
        <f>Crops[[#This Row],[CSA Bed Days]]*#REF!</f>
        <v>#REF!</v>
      </c>
      <c r="EY198" t="s">
        <v>324</v>
      </c>
    </row>
    <row r="199" spans="1:155">
      <c r="A19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Magenta Spreen - Flowering Stalks 1X |  DS Sp</v>
      </c>
      <c r="B199" s="189"/>
      <c r="C199" s="1" t="b">
        <v>1</v>
      </c>
      <c r="D199" s="1"/>
      <c r="E199" s="1" t="b">
        <v>0</v>
      </c>
      <c r="F199" s="1" t="b">
        <f>IFERROR(IF(ISNUMBER(MATCH(Crops[[#This Row],[Identifier]],BedPlan[Crop], 0)), TRUE, FALSE), FALSE)</f>
        <v>0</v>
      </c>
      <c r="G199" s="1" t="b">
        <f>IFERROR(IF(ISNUMBER(MATCH(Crops[[#This Row],[Identifier]],BedPlan[Crop], 0)), TRUE, FALSE), FALSE)</f>
        <v>0</v>
      </c>
      <c r="H199" s="1"/>
      <c r="I199" t="s">
        <v>1793</v>
      </c>
      <c r="J199" t="s">
        <v>145</v>
      </c>
      <c r="K199" t="s">
        <v>368</v>
      </c>
      <c r="N199" t="str">
        <f>Crops[[#This Row],[Crop]]</f>
        <v>Magenta Spreen</v>
      </c>
      <c r="P199" t="str">
        <f>IF(OR(Crops[[#This Row],[Days in Cells]]="",Crops[[#This Row],[Days in Cells]]=0), "DS","TP")</f>
        <v>DS</v>
      </c>
      <c r="Q199" t="b">
        <v>1</v>
      </c>
      <c r="V199" t="str">
        <f xml:space="preserve"> IF(Crops[[#This Row],[Sp]], "Sp", "") &amp; IF(Crops[[#This Row],[Su]], "Su", "") &amp; IF(Crops[[#This Row],[Fa]], "Fa", "") &amp; IF(Crops[[#This Row],[Wi]], "Wi", "") &amp; IF(Crops[[#This Row],[OW]], "Ow","")</f>
        <v>Sp</v>
      </c>
      <c r="X199">
        <v>2</v>
      </c>
      <c r="Y199">
        <v>2</v>
      </c>
      <c r="AC199">
        <v>7</v>
      </c>
      <c r="AD199" s="32">
        <f>IFERROR(12/Crops[[#This Row],[Spacing]]*Crops[[#This Row],[Rows]]*BedLength,"")</f>
        <v>600</v>
      </c>
      <c r="AE199">
        <v>1</v>
      </c>
      <c r="AG199">
        <f>IF(Crops[[#This Row],[Custom Safety Factor]]="",PlantingSafetyFactor,Crops[[#This Row],[Custom Safety Factor]])</f>
        <v>1.3</v>
      </c>
      <c r="AH199">
        <f>1</f>
        <v>1</v>
      </c>
      <c r="AI199" s="33">
        <f>IFERROR(Crops[[#This Row],[Plantings Per Bed]]*Crops[[#This Row],[Seeds Per Planting]]*Crops[[#This Row],[Safety Factor]]*Crops[[#This Row],[Seeding Factor]],"")</f>
        <v>780</v>
      </c>
      <c r="AL199">
        <f>_xlfn.FLOOR.MATH(IFERROR(AVERAGE(Crops[[#This Row],[DTG Lower]:[DTG Upper]]),0))</f>
        <v>0</v>
      </c>
      <c r="AM199">
        <f>SUM(Crops[[#This Row],[Tray 1 Days]],Crops[[#This Row],[Tray 2 Days]],Crops[[#This Row],[Tray 3 Days]])</f>
        <v>0</v>
      </c>
      <c r="AO199">
        <v>75</v>
      </c>
      <c r="AP199">
        <v>90</v>
      </c>
      <c r="AQ199">
        <f>IFERROR(_xlfn.FLOOR.MATH(AVERAGE(Crops[[#This Row],[DTM Lower]:[DTM Upper]])),"")</f>
        <v>82</v>
      </c>
      <c r="AR199" cm="1">
        <f t="array" ref="AR199">_xlfn.SWITCH(Crops[[#This Row],[Normal Method]],"DS",Crops[[#This Row],[Days to Germination]]+Crops[[#This Row],[DTM]] + IF(Crops[[#This Row],[Days in Cells]]&gt;0,15,0), "TP",Crops[[#This Row],[DTM]]+Crops[[#This Row],[Days in Cells]] + IF(Crops[[#This Row],[Days in Cells]]&lt;=0,20,0), "X", Crops[[#This Row],[DTM]])</f>
        <v>82</v>
      </c>
      <c r="AS199" t="s">
        <v>338</v>
      </c>
      <c r="AT199">
        <f>(Crops[[#This Row],[Harvests]]-1)*Crops[[#This Row],[Days Between Harvest]]+7</f>
        <v>49</v>
      </c>
      <c r="AU199">
        <f>Crops[[#This Row],[STH]]-Crops[[#This Row],[Days in Cells]]+Crops[[#This Row],[Harvest window]]</f>
        <v>131</v>
      </c>
      <c r="AZ199" t="str">
        <f>IFERROR(IF(Crops[[#This Row],[Tray 1 Days]]=0,"",Crops[[#This Row],[Plantings Per Bed]]/Crops[[#This Row],[Tray 1 Size]]*Crops[[#This Row],[Safety Factor]]),"")</f>
        <v/>
      </c>
      <c r="BC199" t="str">
        <f>IFERROR(IF(Crops[[#This Row],[Tray 2 Days]]=0,"",Crops[[#This Row],[Plantings Per Bed]]/Crops[[#This Row],[Tray 2 Size]]*Crops[[#This Row],[Safety Factor]]),"")</f>
        <v/>
      </c>
      <c r="BE199" s="32" t="str">
        <f>IF(NOT(ISBLANK(Crops[[#This Row],[Tray 3 Size]])), Crops[[#This Row],[Days in Cells Old]]-SUM(Crops[[#This Row],[Tray 1 Days]],Crops[[#This Row],[Tray 2 Days]]), "")</f>
        <v/>
      </c>
      <c r="BF199" t="str">
        <f>IFERROR(IF(Crops[[#This Row],[Tray 3 Days]]=0,"",Crops[[#This Row],[Plantings Per Bed]]/Crops[[#This Row],[Tray 3 Size]]*Crops[[#This Row],[Safety Factor]]),"")</f>
        <v/>
      </c>
      <c r="BG199" s="33">
        <f>Crops[[#This Row],[Plantings Per Bed]]/3*6/Crops[[#This Row],[Harvests]]</f>
        <v>300</v>
      </c>
      <c r="BH199" s="33">
        <v>4</v>
      </c>
      <c r="BI199" s="33">
        <v>14</v>
      </c>
      <c r="BJ199" s="33">
        <f>_xlfn.XLOOKUP(Crops[[#This Row],[ProductIndex]],Products[ID],Products[Holding Period])</f>
        <v>0</v>
      </c>
      <c r="BK199" s="33"/>
      <c r="BL199" s="33">
        <f>Crops[[#This Row],[Units Per Harvest]]*Crops[[#This Row],[Harvests]]</f>
        <v>1200</v>
      </c>
      <c r="BM199" s="35">
        <v>0.5</v>
      </c>
      <c r="BN199" s="212">
        <f>Crops[[#This Row],[Direct Price]]*0.6</f>
        <v>0.3</v>
      </c>
      <c r="BO199" s="212"/>
      <c r="BP199" t="s">
        <v>213</v>
      </c>
      <c r="BQ199">
        <f>Crops[[#This Row],[Custom Yield Per Bed]]*Crops[[#This Row],[Direct Price]]</f>
        <v>600</v>
      </c>
      <c r="BR199" t="b">
        <v>0</v>
      </c>
      <c r="BS199" t="b">
        <f>Crops[[#This Row],[Harvests]]&gt;1</f>
        <v>1</v>
      </c>
      <c r="BT199" s="36">
        <f>IFERROR(Crops[[#This Row],[Direct Revenue Per Bed]]/Crops[[#This Row],[Days In Field]],-1)</f>
        <v>4.5801526717557248</v>
      </c>
      <c r="BU199" s="33">
        <f>IFERROR(Crops[[#This Row],[Direct Revenue Per Bed Day]]*GrowingDays*BedsPerAcre,"")</f>
        <v>131908.39694656487</v>
      </c>
      <c r="BV199" s="38">
        <f>LastFrostDate-5*Crops[[#This Row],[Sewing Rel Last Frost]]</f>
        <v>45743</v>
      </c>
      <c r="BW199" s="38">
        <f>Crops[[#This Row],[Target Sewing Date]]+Crops[[#This Row],[Days in Cells]]</f>
        <v>45743</v>
      </c>
      <c r="BX199" s="38">
        <f>Crops[[#This Row],[Target Sewing Date]]+Crops[[#This Row],[STH]]</f>
        <v>45825</v>
      </c>
      <c r="BY199" s="38">
        <f>Crops[[#This Row],[Target Harvest Data]]+Crops[[#This Row],[Harvest window]]</f>
        <v>45874</v>
      </c>
      <c r="BZ199">
        <v>1</v>
      </c>
      <c r="CB199">
        <f>1</f>
        <v>1</v>
      </c>
      <c r="CC199">
        <f>IF(Crops[[#This Row],[Transplanting]]&gt;0, 2, 3)*BedLength/StandardBedLength</f>
        <v>1.5</v>
      </c>
      <c r="CD199" s="173">
        <f>IF(Crops[[#This Row],[Days in Cells]]&lt;=0,0,Crops[[#This Row],[Plantings Per Bed]]/StartsPerHourSeeding+Crops[[#This Row],[Tray 1 Count]]*5/60)</f>
        <v>0</v>
      </c>
      <c r="CE199" s="173">
        <f>IF(ISBLANK(Crops[[#This Row],[Tray 2 Days]]),0,Crops[[#This Row],[Plantings Per Bed]]/UpPottingPerHour)+IF(Crops[[#This Row],[Tray 3 Days]]="",0,Crops[[#This Row],[Plantings Per Bed]]/UpPottingPerHour)</f>
        <v>0</v>
      </c>
      <c r="CF199" s="173">
        <f>IFERROR(Crops[[#This Row],[Tray 1 Count]]/HomeStartFlatIrrigationPerHour,0)*Crops[[#This Row],[Days in Cells]]/DaysBetweenStartIrrigation</f>
        <v>0</v>
      </c>
      <c r="CG199" s="173">
        <f>0.5/16*MAX(Crops[[#This Row],[Tray 1 Count]],Crops[[#This Row],[Tray 2 Count]],Crops[[#This Row],[Tray 3 Count]])</f>
        <v>0</v>
      </c>
      <c r="CH199" s="173">
        <f>IF(Crops[[#This Row],[Days in Cells]]&gt;0,IF(IF(Crops[[#This Row],[Tray 3 Size]]&gt;0,Crops[[#This Row],[Tray 3 Size]],IF(Crops[[#This Row],[Tray 2 Size]]&gt;0,Crops[[#This Row],[Tray 2 Size]],Crops[[#This Row],[Tray 1 Size]]))&lt;=18,LargeTransplantTime,SmallTransplantTime)*Crops[[#This Row],[Plantings Per Bed]],0)</f>
        <v>0</v>
      </c>
      <c r="CI199" s="173"/>
      <c r="CJ199" s="173">
        <f>_xlfn.XLOOKUP(Crops[[#This Row],[Trellis Type]],TrellisMethods[Trellis Type],TrellisMethods[Hours],0,0)</f>
        <v>0</v>
      </c>
      <c r="CK199">
        <f>IF(Crops[[#This Row],[Days in Cells]]&lt;=0,Crops[[#This Row],[Rows]]*1/10,0)*BedLength/50</f>
        <v>0.2</v>
      </c>
      <c r="CL199" cm="1">
        <f t="array" ref="CL199">_xlfn.SWITCH(Crops[[#This Row],[Irrigation]],"DR", 0.5, "OH", 0.25,0)*BedLength/50</f>
        <v>0</v>
      </c>
      <c r="CM199">
        <f>IF(OR(ISBLANK(Crops[[#This Row],[Row Cover]]),Crops[[#This Row],[Row Cover]]="None"),0,1)*BedLength/50</f>
        <v>0</v>
      </c>
      <c r="CN199" s="173">
        <f>HoursPerWeedingPass*Crops[[#This Row],[Days In Field]]/14*Crops[[#This Row],[Rows]]+1*BedLength/50</f>
        <v>4.1190476190476186</v>
      </c>
      <c r="CO199" s="218"/>
      <c r="CQ199" s="37">
        <f>_xlfn.XLOOKUP(Crops[[#This Row],[Crop]]&amp;Crops[[#This Row],[Product]]&amp;Crops[[#This Row],[Unit]],Products[ID],Products[Marketing (hr)])*Crops[[#This Row],[Direct Revenue Per Bed]]/2000</f>
        <v>1.8</v>
      </c>
      <c r="CR199" s="37">
        <f>_xlfn.XLOOKUP(Crops[[#This Row],[Crop]]&amp;Crops[[#This Row],[Product]]&amp;Crops[[#This Row],[Unit]],Products[ID],Products[Harvest (s)])*Crops[[#This Row],[Custom Yield Per Bed]]/3600</f>
        <v>1.6666666666666667</v>
      </c>
      <c r="CS199" s="37">
        <f>_xlfn.XLOOKUP(Crops[[#This Row],[Crop]]&amp;Crops[[#This Row],[Product]]&amp;Crops[[#This Row],[Unit]],Products[ID],Products[Bunch (s)])*Crops[[#This Row],[Custom Yield Per Bed]]/3600</f>
        <v>0</v>
      </c>
      <c r="CT199" s="37">
        <f>_xlfn.XLOOKUP(Crops[[#This Row],[Crop]]&amp;Crops[[#This Row],[Product]]&amp;Crops[[#This Row],[Unit]],Products[ID],Products[Haul (s)])*Crops[[#This Row],[Custom Yield Per Bed]]/3600</f>
        <v>0.6</v>
      </c>
      <c r="CU199" s="37">
        <f>_xlfn.XLOOKUP(Crops[[#This Row],[Crop]]&amp;Crops[[#This Row],[Product]]&amp;Crops[[#This Row],[Unit]],Products[ID],Products[Wash (s)])*Crops[[#This Row],[Custom Yield Per Bed]]/3600</f>
        <v>0</v>
      </c>
      <c r="CV199" s="37">
        <f>_xlfn.XLOOKUP(Crops[[#This Row],[Crop]]&amp;Crops[[#This Row],[Product]]&amp;Crops[[#This Row],[Unit]],Products[ID],Products[Condition (s)])*Crops[[#This Row],[Custom Yield Per Bed]]/3600</f>
        <v>0</v>
      </c>
      <c r="CW199" s="37">
        <f>_xlfn.XLOOKUP(Crops[[#This Row],[Crop]]&amp;Crops[[#This Row],[Product]]&amp;Crops[[#This Row],[Unit]],Products[ID],Products[Trim (s)])*Crops[[#This Row],[Custom Yield Per Bed]]/3600</f>
        <v>1</v>
      </c>
      <c r="CX199" s="37">
        <f>_xlfn.XLOOKUP(Crops[[#This Row],[Crop]]&amp;Crops[[#This Row],[Product]]&amp;Crops[[#This Row],[Unit]],Products[ID],Products[Pack (s)])*Crops[[#This Row],[Custom Yield Per Bed]]/3600</f>
        <v>1</v>
      </c>
      <c r="CY199" s="37">
        <f>_xlfn.XLOOKUP(Crops[[#This Row],[Crop]]&amp;Crops[[#This Row],[Product]]&amp;Crops[[#This Row],[Unit]],Products[ID],Products[Clean (s)])*Crops[[#This Row],[Custom Yield Per Bed]]/3600</f>
        <v>0</v>
      </c>
      <c r="CZ199" s="37">
        <f>_xlfn.XLOOKUP(Crops[[#This Row],[Crop]]&amp;Crops[[#This Row],[Product]]&amp;Crops[[#This Row],[Unit]],Products[ID],Products[Rehandle (s)])*Crops[[#This Row],[Custom Yield Per Bed]]/3600</f>
        <v>0</v>
      </c>
      <c r="DA199" s="37">
        <f>_xlfn.XLOOKUP(Crops[[#This Row],[Crop]]&amp;Crops[[#This Row],[Product]]&amp;Crops[[#This Row],[Unit]],Products[ID],Products[Market Transport (s)])*Crops[[#This Row],[Custom Yield Per Bed]]/3600</f>
        <v>1.5</v>
      </c>
      <c r="DC199" s="37">
        <f>Crops[[#This Row],[Direct Revenue Per Bed2]]</f>
        <v>600</v>
      </c>
      <c r="DD199" s="173">
        <f>_xlfn.AGGREGATE(9,6,Crops[[#This Row],[Bed Prep]:[Remove Crop Residue]])</f>
        <v>13.385714285714284</v>
      </c>
      <c r="DE199" s="173">
        <f>_xlfn.AGGREGATE(9,6,Crops[[#This Row],[Bed Prep]:[Remove Crop Residue]])-0.75*Crops[[#This Row],[Market &amp; Sell]]</f>
        <v>12.035714285714285</v>
      </c>
      <c r="DF199" s="36">
        <f>Crops[[#This Row],[Direct Revenue Per Bed2]]/Crops[[#This Row],[Direct Time]]</f>
        <v>44.823906083244403</v>
      </c>
      <c r="DG199" s="36">
        <f>_xlfn.XLOOKUP(Crops[[#This Row],[ProductIndex]],Products[ID],Products[Packaging Cost])*(Crops[[#This Row],[Custom Yield Per Bed]]/_xlfn.XLOOKUP(Crops[[#This Row],[ProductIndex]],Products[ID],Products[Units Per Pack]))</f>
        <v>96</v>
      </c>
      <c r="DH199" s="36"/>
      <c r="DI199" s="36"/>
      <c r="DJ199" s="36"/>
      <c r="DK199" s="36"/>
      <c r="DL199" s="36"/>
      <c r="DM199" s="33">
        <f>IFERROR(Crops[[#This Row],[Custom Yield Per Bed]]*Crops[[#This Row],[Direct Price]],"")</f>
        <v>600</v>
      </c>
      <c r="DN199" s="36">
        <f>Crops[[#This Row],[Direct Time]]*LaborRate</f>
        <v>334.64285714285711</v>
      </c>
      <c r="DO199" s="36">
        <f>SUM(Crops[[#This Row],[Irrigation Cost]])</f>
        <v>0</v>
      </c>
      <c r="DP199" s="36">
        <f>Crops[[#This Row],[Direct Labor Cost]]+Crops[[#This Row],[Direct Non-Labor Cost]]</f>
        <v>334.64285714285711</v>
      </c>
      <c r="DQ199" s="36">
        <f>Crops[[#This Row],[Direct Revenue Per Bed2]]-Crops[[#This Row],[Direct Total Cost]]</f>
        <v>265.35714285714289</v>
      </c>
      <c r="DR199" s="36">
        <f>Crops[[#This Row],[Direct Profit]]*BedsPerAcre</f>
        <v>42457.142857142862</v>
      </c>
      <c r="DS199" s="36">
        <f>Crops[[#This Row],[Direct Profit]]*BedsPerAcre*GrowingDays/Crops[[#This Row],[Days In Field]]</f>
        <v>58338.058887677216</v>
      </c>
      <c r="DT199" s="36">
        <f>Crops[[#This Row],[Direct Profit]]/MIN(Crops[[#This Row],[Days In Field]],GrowingDays)</f>
        <v>2.0256270447110145</v>
      </c>
      <c r="DU199" s="36">
        <f>Crops[[#This Row],[Direct Time]] * BedsPerAcre</f>
        <v>2141.7142857142853</v>
      </c>
      <c r="DV199" s="36">
        <f>(Crops[[#This Row],[Direct Revenue Per Bed2]]-Crops[[#This Row],[Direct Non-Labor Cost]])/Crops[[#This Row],[Direct Time]]</f>
        <v>44.823906083244403</v>
      </c>
      <c r="DW199" s="33">
        <f>IFERROR(Crops[[#This Row],[Custom Yield Per Bed]]*Crops[[#This Row],[Rough Wholesale Price]],"")</f>
        <v>360</v>
      </c>
      <c r="DX199" s="36">
        <f>Crops[[#This Row],[Wholesale Time]]*LaborRate</f>
        <v>300.89285714285711</v>
      </c>
      <c r="DY199" s="36">
        <f>SUM(Crops[[#This Row],[Packaging Costs]:[Irrigation Cost]])</f>
        <v>96</v>
      </c>
      <c r="DZ199" s="36">
        <f>Crops[[#This Row],[Wholesale Labor Cost]]+Crops[[#This Row],[Wholesale Non-Labor Cost]]</f>
        <v>396.89285714285711</v>
      </c>
      <c r="EA199" s="36">
        <f>Crops[[#This Row],[Wholesale Revenue Per Bed]]-Crops[[#This Row],[Wholesale Total Cost]]</f>
        <v>-36.89285714285711</v>
      </c>
      <c r="EB199" s="36">
        <f>Crops[[#This Row],[Wholesale Profit]]*BedsPerAcre</f>
        <v>-5902.8571428571377</v>
      </c>
      <c r="EC199" s="36">
        <f>Crops[[#This Row],[Wholesale Profit]]*BedsPerAcre*GrowingDays/Crops[[#This Row],[Days In Field]]</f>
        <v>-8110.796074154845</v>
      </c>
      <c r="ED199" s="36">
        <f>Crops[[#This Row],[Wholesale Time]] * BedsPerAcre</f>
        <v>1925.7142857142856</v>
      </c>
      <c r="EE199" s="36">
        <f>Crops[[#This Row],[Wholesale Profit]]/MIN(Crops[[#This Row],[Days In Field]],GrowingDays)</f>
        <v>-0.28162486368593215</v>
      </c>
      <c r="EF199" s="36">
        <f>(Crops[[#This Row],[Wholesale Revenue Per Bed]]-Crops[[#This Row],[Wholesale Non-Labor Cost]])/Crops[[#This Row],[Direct Time]]</f>
        <v>19.722518676627537</v>
      </c>
      <c r="EG199" s="174">
        <f>Crops[[#This Row],[Packaging Costs]]/Crops[[#This Row],[Wholesale Revenue Per Bed]]</f>
        <v>0.26666666666666666</v>
      </c>
      <c r="EH199" s="36" t="str">
        <f>Crops[[#This Row],[Crop]]&amp;Crops[[#This Row],[Product]]&amp;Crops[[#This Row],[Unit]]</f>
        <v>Magenta SpreenFlowering StalksStem</v>
      </c>
      <c r="EI199" s="36" t="b">
        <f>_xlfn.XLOOKUP(Crops[[#This Row],[ProductIndex]],Products[ID],Products[Target])</f>
        <v>1</v>
      </c>
      <c r="EJ199" s="36">
        <f>Crops[[#This Row],[Custom Yield Per Bed]]</f>
        <v>1200</v>
      </c>
      <c r="EK199" s="210">
        <f>Crops[[#This Row],[Units Per Harvest]]/Crops[[#This Row],[Days Between Harvest]]*7</f>
        <v>150</v>
      </c>
      <c r="EL199" s="210" t="e">
        <f>Crops[[#This Row],[Custom Yield Per Bed]]/_xlfn.XLOOKUP(Crops[[#This Row],[ProductIndex]],Products[ID],Products[CSA Portion])</f>
        <v>#DIV/0!</v>
      </c>
      <c r="EM199" s="210" t="e">
        <f>Crops[[#This Row],[Units Per Harvest]]/Crops[[#This Row],[Days Between Harvest]]*7/_xlfn.XLOOKUP(Crops[[#This Row],[ProductIndex]],Products[ID],Products[CSA Portion])</f>
        <v>#DIV/0!</v>
      </c>
      <c r="EN199" s="210" t="e">
        <f>Crops[[#This Row],[CSA Portions Per Week]]/CSAMembers</f>
        <v>#DIV/0!</v>
      </c>
      <c r="EO199" s="210"/>
      <c r="EP199" s="210"/>
      <c r="EQ199" s="36"/>
      <c r="ER199" s="36">
        <f>Crops[[#This Row],[Harvests]]*Crops[[#This Row],[Days Between Harvest]]/7</f>
        <v>8</v>
      </c>
      <c r="ES199" s="208">
        <f>_xlfn.XLOOKUP(Crops[[#This Row],[ProductIndex]],Products[ID],Products[CSA Need])</f>
        <v>0</v>
      </c>
      <c r="ET199" s="208">
        <f>_xlfn.XLOOKUP(Crops[[#This Row],[ProductIndex]],Products[ID],Products[CSA Times])</f>
        <v>0</v>
      </c>
      <c r="EU199" s="208" t="e">
        <f>Crops[[#This Row],[Custom Yield Per Bed]]/(Crops[[#This Row],[CSA Need]]*(_xlfn.XLOOKUP(Crops[[#This Row],[ProductIndex]],Products[ID],Products[CSA Portion])*CSAMembers))</f>
        <v>#DIV/0!</v>
      </c>
      <c r="EV199" s="208">
        <f>_xlfn.XLOOKUP(Crops[[#This Row],[ProductIndex]],Products[ID],Products[CSA Portion])*CSAMembers*Crops[[#This Row],[CSA Need]]/Crops[[#This Row],[Custom Yield Per Bed]]</f>
        <v>0</v>
      </c>
      <c r="EW199" s="208">
        <f>IFERROR(Crops[[#This Row],[Days In Field]]*Crops[[#This Row],[CSA Beds]],"")</f>
        <v>0</v>
      </c>
      <c r="EX199" s="208" t="e">
        <f>Crops[[#This Row],[CSA Bed Days]]*#REF!</f>
        <v>#REF!</v>
      </c>
      <c r="EY199" t="s">
        <v>1794</v>
      </c>
    </row>
    <row r="200" spans="1:155">
      <c r="A20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Magenta Spreen - Flowering Stalks 1X |  TP Sp</v>
      </c>
      <c r="B200" s="189"/>
      <c r="C200" s="1" t="b">
        <v>1</v>
      </c>
      <c r="D200" s="1"/>
      <c r="E200" s="1" t="b">
        <v>0</v>
      </c>
      <c r="F200" s="1" t="b">
        <f>IFERROR(IF(ISNUMBER(MATCH(Crops[[#This Row],[Identifier]],BedPlan[Crop], 0)), TRUE, FALSE), FALSE)</f>
        <v>0</v>
      </c>
      <c r="G200" s="1" t="b">
        <f>IFERROR(IF(ISNUMBER(MATCH(Crops[[#This Row],[Identifier]],BedPlan[Crop], 0)), TRUE, FALSE), FALSE)</f>
        <v>0</v>
      </c>
      <c r="H200" s="1"/>
      <c r="I200" t="s">
        <v>1793</v>
      </c>
      <c r="J200" t="s">
        <v>145</v>
      </c>
      <c r="K200" t="s">
        <v>368</v>
      </c>
      <c r="M200" t="s">
        <v>406</v>
      </c>
      <c r="N200" t="str">
        <f>Crops[[#This Row],[Crop]]</f>
        <v>Magenta Spreen</v>
      </c>
      <c r="P200" t="str">
        <f>IF(OR(Crops[[#This Row],[Days in Cells]]="",Crops[[#This Row],[Days in Cells]]=0), "DS","TP")</f>
        <v>TP</v>
      </c>
      <c r="Q200" t="b">
        <v>1</v>
      </c>
      <c r="V200" t="str">
        <f xml:space="preserve"> IF(Crops[[#This Row],[Sp]], "Sp", "") &amp; IF(Crops[[#This Row],[Su]], "Su", "") &amp; IF(Crops[[#This Row],[Fa]], "Fa", "") &amp; IF(Crops[[#This Row],[Wi]], "Wi", "") &amp; IF(Crops[[#This Row],[OW]], "Ow","")</f>
        <v>Sp</v>
      </c>
      <c r="X200">
        <v>2</v>
      </c>
      <c r="Y200">
        <v>2</v>
      </c>
      <c r="AB200" t="b">
        <v>1</v>
      </c>
      <c r="AC200">
        <v>7</v>
      </c>
      <c r="AD200" s="32">
        <f>IFERROR(12/Crops[[#This Row],[Spacing]]*Crops[[#This Row],[Rows]]*BedLength,"")</f>
        <v>600</v>
      </c>
      <c r="AE200">
        <v>1</v>
      </c>
      <c r="AG200">
        <f>IF(Crops[[#This Row],[Custom Safety Factor]]="",PlantingSafetyFactor,Crops[[#This Row],[Custom Safety Factor]])</f>
        <v>1.3</v>
      </c>
      <c r="AH200">
        <f>1</f>
        <v>1</v>
      </c>
      <c r="AI200" s="33">
        <f>IFERROR(Crops[[#This Row],[Plantings Per Bed]]*Crops[[#This Row],[Seeds Per Planting]]*Crops[[#This Row],[Safety Factor]]*Crops[[#This Row],[Seeding Factor]],"")</f>
        <v>780</v>
      </c>
      <c r="AL200">
        <f>_xlfn.FLOOR.MATH(IFERROR(AVERAGE(Crops[[#This Row],[DTG Lower]:[DTG Upper]]),0))</f>
        <v>0</v>
      </c>
      <c r="AM200">
        <f>SUM(Crops[[#This Row],[Tray 1 Days]],Crops[[#This Row],[Tray 2 Days]],Crops[[#This Row],[Tray 3 Days]])</f>
        <v>28</v>
      </c>
      <c r="AO200">
        <v>75</v>
      </c>
      <c r="AP200">
        <v>90</v>
      </c>
      <c r="AQ200">
        <f>IFERROR(_xlfn.FLOOR.MATH(AVERAGE(Crops[[#This Row],[DTM Lower]:[DTM Upper]])),"")</f>
        <v>82</v>
      </c>
      <c r="AR200" cm="1">
        <f t="array" ref="AR200">_xlfn.SWITCH(Crops[[#This Row],[Normal Method]],"DS",Crops[[#This Row],[Days to Germination]]+Crops[[#This Row],[DTM]] + IF(Crops[[#This Row],[Days in Cells]]&gt;0,15,0), "TP",Crops[[#This Row],[DTM]]+Crops[[#This Row],[Days in Cells]] + IF(Crops[[#This Row],[Days in Cells]]&lt;=0,20,0), "X", Crops[[#This Row],[DTM]])</f>
        <v>97</v>
      </c>
      <c r="AS200" t="s">
        <v>338</v>
      </c>
      <c r="AT200">
        <f>(Crops[[#This Row],[Harvests]]-1)*Crops[[#This Row],[Days Between Harvest]]+7</f>
        <v>49</v>
      </c>
      <c r="AU200">
        <f>Crops[[#This Row],[STH]]-Crops[[#This Row],[Days in Cells]]+Crops[[#This Row],[Harvest window]]</f>
        <v>118</v>
      </c>
      <c r="AX200">
        <v>128</v>
      </c>
      <c r="AY200">
        <v>28</v>
      </c>
      <c r="AZ200">
        <f>IFERROR(IF(Crops[[#This Row],[Tray 1 Days]]=0,"",Crops[[#This Row],[Plantings Per Bed]]/Crops[[#This Row],[Tray 1 Size]]*Crops[[#This Row],[Safety Factor]]),"")</f>
        <v>6.09375</v>
      </c>
      <c r="BC200" t="str">
        <f>IFERROR(IF(Crops[[#This Row],[Tray 2 Days]]=0,"",Crops[[#This Row],[Plantings Per Bed]]/Crops[[#This Row],[Tray 2 Size]]*Crops[[#This Row],[Safety Factor]]),"")</f>
        <v/>
      </c>
      <c r="BE200" s="32" t="str">
        <f>IF(NOT(ISBLANK(Crops[[#This Row],[Tray 3 Size]])), Crops[[#This Row],[Days in Cells Old]]-SUM(Crops[[#This Row],[Tray 1 Days]],Crops[[#This Row],[Tray 2 Days]]), "")</f>
        <v/>
      </c>
      <c r="BF200" t="str">
        <f>IFERROR(IF(Crops[[#This Row],[Tray 3 Days]]=0,"",Crops[[#This Row],[Plantings Per Bed]]/Crops[[#This Row],[Tray 3 Size]]*Crops[[#This Row],[Safety Factor]]),"")</f>
        <v/>
      </c>
      <c r="BG200" s="33">
        <f>Crops[[#This Row],[Plantings Per Bed]]/3*6/Crops[[#This Row],[Harvests]]</f>
        <v>300</v>
      </c>
      <c r="BH200" s="33">
        <v>4</v>
      </c>
      <c r="BI200" s="33">
        <v>14</v>
      </c>
      <c r="BJ200" s="33">
        <f>_xlfn.XLOOKUP(Crops[[#This Row],[ProductIndex]],Products[ID],Products[Holding Period])</f>
        <v>0</v>
      </c>
      <c r="BK200" s="33"/>
      <c r="BL200" s="33">
        <f>Crops[[#This Row],[Units Per Harvest]]*Crops[[#This Row],[Harvests]]</f>
        <v>1200</v>
      </c>
      <c r="BM200" s="35">
        <v>0.5</v>
      </c>
      <c r="BN200" s="35">
        <f>Crops[[#This Row],[Direct Price]]*0.6</f>
        <v>0.3</v>
      </c>
      <c r="BO200" s="35"/>
      <c r="BP200" t="s">
        <v>213</v>
      </c>
      <c r="BQ200">
        <f>Crops[[#This Row],[Custom Yield Per Bed]]*Crops[[#This Row],[Direct Price]]</f>
        <v>600</v>
      </c>
      <c r="BR200" t="b">
        <v>0</v>
      </c>
      <c r="BS200" t="b">
        <f>Crops[[#This Row],[Harvests]]&gt;1</f>
        <v>1</v>
      </c>
      <c r="BT200" s="36">
        <f>IFERROR(Crops[[#This Row],[Direct Revenue Per Bed]]/Crops[[#This Row],[Days In Field]],-1)</f>
        <v>5.0847457627118642</v>
      </c>
      <c r="BU200" s="33">
        <f>IFERROR(Crops[[#This Row],[Direct Revenue Per Bed Day]]*GrowingDays*BedsPerAcre,"")</f>
        <v>146440.67796610168</v>
      </c>
      <c r="BV200" s="38">
        <f>LastFrostDate-5*Crops[[#This Row],[Sewing Rel Last Frost]]</f>
        <v>45733</v>
      </c>
      <c r="BW200" s="38">
        <f>Crops[[#This Row],[Target Sewing Date]]+Crops[[#This Row],[Days in Cells]]</f>
        <v>45761</v>
      </c>
      <c r="BX200" s="38">
        <f>Crops[[#This Row],[Target Sewing Date]]+Crops[[#This Row],[STH]]</f>
        <v>45830</v>
      </c>
      <c r="BY200" s="38">
        <f>Crops[[#This Row],[Target Harvest Data]]+Crops[[#This Row],[Harvest window]]</f>
        <v>45879</v>
      </c>
      <c r="BZ200">
        <v>3</v>
      </c>
      <c r="CB200">
        <f>1</f>
        <v>1</v>
      </c>
      <c r="CC200">
        <f>IF(Crops[[#This Row],[Transplanting]]&gt;0, 2, 3)*BedLength/StandardBedLength</f>
        <v>1</v>
      </c>
      <c r="CD200" s="173">
        <f>IF(Crops[[#This Row],[Days in Cells]]&lt;=0,0,Crops[[#This Row],[Plantings Per Bed]]/StartsPerHourSeeding+Crops[[#This Row],[Tray 1 Count]]*5/60)</f>
        <v>2.8515625</v>
      </c>
      <c r="CE200" s="173">
        <f>IF(ISBLANK(Crops[[#This Row],[Tray 2 Days]]),0,Crops[[#This Row],[Plantings Per Bed]]/UpPottingPerHour)+IF(Crops[[#This Row],[Tray 3 Days]]="",0,Crops[[#This Row],[Plantings Per Bed]]/UpPottingPerHour)</f>
        <v>0</v>
      </c>
      <c r="CF200" s="173">
        <f>IFERROR(Crops[[#This Row],[Tray 1 Count]]/HomeStartFlatIrrigationPerHour,0)*Crops[[#This Row],[Days in Cells]]/DaysBetweenStartIrrigation</f>
        <v>0.7109375</v>
      </c>
      <c r="CG200" s="173">
        <f>0.5/16*MAX(Crops[[#This Row],[Tray 1 Count]],Crops[[#This Row],[Tray 2 Count]],Crops[[#This Row],[Tray 3 Count]])</f>
        <v>0.1904296875</v>
      </c>
      <c r="CH200" s="173">
        <f>IF(Crops[[#This Row],[Days in Cells]]&gt;0,IF(IF(Crops[[#This Row],[Tray 3 Size]]&gt;0,Crops[[#This Row],[Tray 3 Size]],IF(Crops[[#This Row],[Tray 2 Size]]&gt;0,Crops[[#This Row],[Tray 2 Size]],Crops[[#This Row],[Tray 1 Size]]))&lt;=18,LargeTransplantTime,SmallTransplantTime)*Crops[[#This Row],[Plantings Per Bed]],0)</f>
        <v>3</v>
      </c>
      <c r="CI200" s="173"/>
      <c r="CJ200" s="173">
        <f>_xlfn.XLOOKUP(Crops[[#This Row],[Trellis Type]],TrellisMethods[Trellis Type],TrellisMethods[Hours],0,0)</f>
        <v>0</v>
      </c>
      <c r="CK200">
        <f>IF(Crops[[#This Row],[Days in Cells]]&lt;=0,Crops[[#This Row],[Rows]]*1/10,0)*BedLength/50</f>
        <v>0</v>
      </c>
      <c r="CL200" cm="1">
        <f t="array" ref="CL200">_xlfn.SWITCH(Crops[[#This Row],[Irrigation]],"DR", 0.5, "OH", 0.25,0)*BedLength/50</f>
        <v>0</v>
      </c>
      <c r="CM200">
        <f>IF(OR(ISBLANK(Crops[[#This Row],[Row Cover]]),Crops[[#This Row],[Row Cover]]="None"),0,1)*BedLength/50</f>
        <v>0</v>
      </c>
      <c r="CN200" s="173">
        <f>HoursPerWeedingPass*Crops[[#This Row],[Days In Field]]/14*Crops[[#This Row],[Rows]]+1*BedLength/50</f>
        <v>3.8095238095238093</v>
      </c>
      <c r="CQ200" s="37">
        <f>_xlfn.XLOOKUP(Crops[[#This Row],[Crop]]&amp;Crops[[#This Row],[Product]]&amp;Crops[[#This Row],[Unit]],Products[ID],Products[Marketing (hr)])*Crops[[#This Row],[Direct Revenue Per Bed]]/2000</f>
        <v>1.8</v>
      </c>
      <c r="CR200" s="37">
        <f>_xlfn.XLOOKUP(Crops[[#This Row],[Crop]]&amp;Crops[[#This Row],[Product]]&amp;Crops[[#This Row],[Unit]],Products[ID],Products[Harvest (s)])*Crops[[#This Row],[Custom Yield Per Bed]]/3600</f>
        <v>1.6666666666666667</v>
      </c>
      <c r="CS200" s="37">
        <f>_xlfn.XLOOKUP(Crops[[#This Row],[Crop]]&amp;Crops[[#This Row],[Product]]&amp;Crops[[#This Row],[Unit]],Products[ID],Products[Bunch (s)])*Crops[[#This Row],[Custom Yield Per Bed]]/3600</f>
        <v>0</v>
      </c>
      <c r="CT200" s="37">
        <f>_xlfn.XLOOKUP(Crops[[#This Row],[Crop]]&amp;Crops[[#This Row],[Product]]&amp;Crops[[#This Row],[Unit]],Products[ID],Products[Haul (s)])*Crops[[#This Row],[Custom Yield Per Bed]]/3600</f>
        <v>0.6</v>
      </c>
      <c r="CU200" s="37">
        <f>_xlfn.XLOOKUP(Crops[[#This Row],[Crop]]&amp;Crops[[#This Row],[Product]]&amp;Crops[[#This Row],[Unit]],Products[ID],Products[Wash (s)])*Crops[[#This Row],[Custom Yield Per Bed]]/3600</f>
        <v>0</v>
      </c>
      <c r="CV200" s="37">
        <f>_xlfn.XLOOKUP(Crops[[#This Row],[Crop]]&amp;Crops[[#This Row],[Product]]&amp;Crops[[#This Row],[Unit]],Products[ID],Products[Condition (s)])*Crops[[#This Row],[Custom Yield Per Bed]]/3600</f>
        <v>0</v>
      </c>
      <c r="CW200" s="37">
        <f>_xlfn.XLOOKUP(Crops[[#This Row],[Crop]]&amp;Crops[[#This Row],[Product]]&amp;Crops[[#This Row],[Unit]],Products[ID],Products[Trim (s)])*Crops[[#This Row],[Custom Yield Per Bed]]/3600</f>
        <v>1</v>
      </c>
      <c r="CX200" s="37">
        <f>_xlfn.XLOOKUP(Crops[[#This Row],[Crop]]&amp;Crops[[#This Row],[Product]]&amp;Crops[[#This Row],[Unit]],Products[ID],Products[Pack (s)])*Crops[[#This Row],[Custom Yield Per Bed]]/3600</f>
        <v>1</v>
      </c>
      <c r="CY200" s="37">
        <f>_xlfn.XLOOKUP(Crops[[#This Row],[Crop]]&amp;Crops[[#This Row],[Product]]&amp;Crops[[#This Row],[Unit]],Products[ID],Products[Clean (s)])*Crops[[#This Row],[Custom Yield Per Bed]]/3600</f>
        <v>0</v>
      </c>
      <c r="CZ200" s="37">
        <f>_xlfn.XLOOKUP(Crops[[#This Row],[Crop]]&amp;Crops[[#This Row],[Product]]&amp;Crops[[#This Row],[Unit]],Products[ID],Products[Rehandle (s)])*Crops[[#This Row],[Custom Yield Per Bed]]/3600</f>
        <v>0</v>
      </c>
      <c r="DA200" s="37">
        <f>_xlfn.XLOOKUP(Crops[[#This Row],[Crop]]&amp;Crops[[#This Row],[Product]]&amp;Crops[[#This Row],[Unit]],Products[ID],Products[Market Transport (s)])*Crops[[#This Row],[Custom Yield Per Bed]]/3600</f>
        <v>1.5</v>
      </c>
      <c r="DC200" s="37">
        <f>Crops[[#This Row],[Direct Revenue Per Bed2]]</f>
        <v>600</v>
      </c>
      <c r="DD200" s="173">
        <f>_xlfn.AGGREGATE(9,6,Crops[[#This Row],[Bed Prep]:[Remove Crop Residue]])</f>
        <v>19.129120163690477</v>
      </c>
      <c r="DE200" s="173">
        <f>_xlfn.AGGREGATE(9,6,Crops[[#This Row],[Bed Prep]:[Remove Crop Residue]])-0.75*Crops[[#This Row],[Market &amp; Sell]]</f>
        <v>17.779120163690475</v>
      </c>
      <c r="DF200" s="36">
        <f>Crops[[#This Row],[Direct Revenue Per Bed2]]/Crops[[#This Row],[Direct Time]]</f>
        <v>31.365791780579482</v>
      </c>
      <c r="DG200" s="36">
        <f>_xlfn.XLOOKUP(Crops[[#This Row],[ProductIndex]],Products[ID],Products[Packaging Cost])*(Crops[[#This Row],[Custom Yield Per Bed]]/_xlfn.XLOOKUP(Crops[[#This Row],[ProductIndex]],Products[ID],Products[Units Per Pack]))</f>
        <v>96</v>
      </c>
      <c r="DH200" s="36"/>
      <c r="DI200" s="36"/>
      <c r="DJ200" s="36"/>
      <c r="DK200" s="36"/>
      <c r="DL200" s="36"/>
      <c r="DM200" s="33">
        <f>IFERROR(Crops[[#This Row],[Custom Yield Per Bed]]*Crops[[#This Row],[Direct Price]],"")</f>
        <v>600</v>
      </c>
      <c r="DN200" s="36">
        <f>Crops[[#This Row],[Direct Time]]*LaborRate</f>
        <v>478.22800409226193</v>
      </c>
      <c r="DO200" s="36">
        <f>SUM(Crops[[#This Row],[Irrigation Cost]])</f>
        <v>0</v>
      </c>
      <c r="DP200" s="36">
        <f>Crops[[#This Row],[Direct Labor Cost]]+Crops[[#This Row],[Direct Non-Labor Cost]]</f>
        <v>478.22800409226193</v>
      </c>
      <c r="DQ200" s="36">
        <f>Crops[[#This Row],[Direct Revenue Per Bed2]]-Crops[[#This Row],[Direct Total Cost]]</f>
        <v>121.77199590773807</v>
      </c>
      <c r="DR200" s="36">
        <f>Crops[[#This Row],[Direct Profit]]*BedsPerAcre</f>
        <v>19483.519345238092</v>
      </c>
      <c r="DS200" s="36">
        <f>Crops[[#This Row],[Direct Profit]]*BedsPerAcre*GrowingDays/Crops[[#This Row],[Days In Field]]</f>
        <v>29720.622730024206</v>
      </c>
      <c r="DT200" s="36">
        <f>Crops[[#This Row],[Direct Profit]]/MIN(Crops[[#This Row],[Days In Field]],GrowingDays)</f>
        <v>1.0319660670147295</v>
      </c>
      <c r="DU200" s="36">
        <f>Crops[[#This Row],[Direct Time]] * BedsPerAcre</f>
        <v>3060.6592261904761</v>
      </c>
      <c r="DV200" s="36">
        <f>(Crops[[#This Row],[Direct Revenue Per Bed2]]-Crops[[#This Row],[Direct Non-Labor Cost]])/Crops[[#This Row],[Direct Time]]</f>
        <v>31.365791780579482</v>
      </c>
      <c r="DW200" s="33">
        <f>IFERROR(Crops[[#This Row],[Custom Yield Per Bed]]*Crops[[#This Row],[Rough Wholesale Price]],"")</f>
        <v>360</v>
      </c>
      <c r="DX200" s="36">
        <f>Crops[[#This Row],[Wholesale Time]]*LaborRate</f>
        <v>444.47800409226187</v>
      </c>
      <c r="DY200" s="36">
        <f>SUM(Crops[[#This Row],[Packaging Costs]:[Irrigation Cost]])</f>
        <v>96</v>
      </c>
      <c r="DZ200" s="36">
        <f>Crops[[#This Row],[Wholesale Labor Cost]]+Crops[[#This Row],[Wholesale Non-Labor Cost]]</f>
        <v>540.47800409226193</v>
      </c>
      <c r="EA200" s="36">
        <f>Crops[[#This Row],[Wholesale Revenue Per Bed]]-Crops[[#This Row],[Wholesale Total Cost]]</f>
        <v>-180.47800409226193</v>
      </c>
      <c r="EB200" s="36">
        <f>Crops[[#This Row],[Wholesale Profit]]*BedsPerAcre</f>
        <v>-28876.480654761908</v>
      </c>
      <c r="EC200" s="36">
        <f>Crops[[#This Row],[Wholesale Profit]]*BedsPerAcre*GrowingDays/Crops[[#This Row],[Days In Field]]</f>
        <v>-44048.868795399525</v>
      </c>
      <c r="ED200" s="36">
        <f>Crops[[#This Row],[Wholesale Time]] * BedsPerAcre</f>
        <v>2844.6592261904761</v>
      </c>
      <c r="EE200" s="36">
        <f>Crops[[#This Row],[Wholesale Profit]]/MIN(Crops[[#This Row],[Days In Field]],GrowingDays)</f>
        <v>-1.5294746109513722</v>
      </c>
      <c r="EF200" s="36">
        <f>(Crops[[#This Row],[Wholesale Revenue Per Bed]]-Crops[[#This Row],[Wholesale Non-Labor Cost]])/Crops[[#This Row],[Direct Time]]</f>
        <v>13.800948383454973</v>
      </c>
      <c r="EG200" s="174">
        <f>Crops[[#This Row],[Packaging Costs]]/Crops[[#This Row],[Wholesale Revenue Per Bed]]</f>
        <v>0.26666666666666666</v>
      </c>
      <c r="EH200" s="36" t="str">
        <f>Crops[[#This Row],[Crop]]&amp;Crops[[#This Row],[Product]]&amp;Crops[[#This Row],[Unit]]</f>
        <v>Magenta SpreenFlowering StalksStem</v>
      </c>
      <c r="EI200" s="36" t="b">
        <f>_xlfn.XLOOKUP(Crops[[#This Row],[ProductIndex]],Products[ID],Products[Target])</f>
        <v>1</v>
      </c>
      <c r="EJ200" s="36">
        <f>Crops[[#This Row],[Custom Yield Per Bed]]</f>
        <v>1200</v>
      </c>
      <c r="EK200" s="210">
        <f>Crops[[#This Row],[Units Per Harvest]]/Crops[[#This Row],[Days Between Harvest]]*7</f>
        <v>150</v>
      </c>
      <c r="EL200" s="210" t="e">
        <f>Crops[[#This Row],[Custom Yield Per Bed]]/_xlfn.XLOOKUP(Crops[[#This Row],[ProductIndex]],Products[ID],Products[CSA Portion])</f>
        <v>#DIV/0!</v>
      </c>
      <c r="EM200" s="210" t="e">
        <f>Crops[[#This Row],[Units Per Harvest]]/Crops[[#This Row],[Days Between Harvest]]*7/_xlfn.XLOOKUP(Crops[[#This Row],[ProductIndex]],Products[ID],Products[CSA Portion])</f>
        <v>#DIV/0!</v>
      </c>
      <c r="EN200" s="210" t="e">
        <f>Crops[[#This Row],[CSA Portions Per Week]]/CSAMembers</f>
        <v>#DIV/0!</v>
      </c>
      <c r="EO200" s="210"/>
      <c r="EP200" s="210"/>
      <c r="EQ200" s="36"/>
      <c r="ER200" s="36">
        <f>Crops[[#This Row],[Harvests]]*Crops[[#This Row],[Days Between Harvest]]/7</f>
        <v>8</v>
      </c>
      <c r="ES200" s="208">
        <f>_xlfn.XLOOKUP(Crops[[#This Row],[ProductIndex]],Products[ID],Products[CSA Need])</f>
        <v>0</v>
      </c>
      <c r="ET200" s="208">
        <f>_xlfn.XLOOKUP(Crops[[#This Row],[ProductIndex]],Products[ID],Products[CSA Times])</f>
        <v>0</v>
      </c>
      <c r="EU200" s="208" t="e">
        <f>Crops[[#This Row],[Custom Yield Per Bed]]/(Crops[[#This Row],[CSA Need]]*(_xlfn.XLOOKUP(Crops[[#This Row],[ProductIndex]],Products[ID],Products[CSA Portion])*CSAMembers))</f>
        <v>#DIV/0!</v>
      </c>
      <c r="EV200" s="208">
        <f>_xlfn.XLOOKUP(Crops[[#This Row],[ProductIndex]],Products[ID],Products[CSA Portion])*CSAMembers*Crops[[#This Row],[CSA Need]]/Crops[[#This Row],[Custom Yield Per Bed]]</f>
        <v>0</v>
      </c>
      <c r="EW200" s="208">
        <f>IFERROR(Crops[[#This Row],[Days In Field]]*Crops[[#This Row],[CSA Beds]],"")</f>
        <v>0</v>
      </c>
      <c r="EX200" s="208" t="e">
        <f>Crops[[#This Row],[CSA Bed Days]]*#REF!</f>
        <v>#REF!</v>
      </c>
      <c r="EY200" t="s">
        <v>1794</v>
      </c>
    </row>
    <row r="201" spans="1:155">
      <c r="A20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Magenta Spreen - Young Stem 1X |  DS Sp</v>
      </c>
      <c r="B201" s="189"/>
      <c r="C201" s="1"/>
      <c r="D201" s="1"/>
      <c r="E201" s="1" t="b">
        <v>0</v>
      </c>
      <c r="F201" s="1" t="b">
        <f>IFERROR(IF(ISNUMBER(MATCH(Crops[[#This Row],[Identifier]],BedPlan[Crop], 0)), TRUE, FALSE), FALSE)</f>
        <v>1</v>
      </c>
      <c r="G201" s="1" t="b">
        <f>IFERROR(IF(ISNUMBER(MATCH(Crops[[#This Row],[Identifier]],BedPlan[Crop], 0)), TRUE, FALSE), FALSE)</f>
        <v>1</v>
      </c>
      <c r="H201" s="1"/>
      <c r="I201" t="s">
        <v>1793</v>
      </c>
      <c r="J201" t="s">
        <v>145</v>
      </c>
      <c r="K201" t="s">
        <v>2449</v>
      </c>
      <c r="M201" t="s">
        <v>406</v>
      </c>
      <c r="N201" t="str">
        <f>Crops[[#This Row],[Crop]]</f>
        <v>Magenta Spreen</v>
      </c>
      <c r="P201" t="str">
        <f>IF(OR(Crops[[#This Row],[Days in Cells]]="",Crops[[#This Row],[Days in Cells]]=0), "DS","TP")</f>
        <v>DS</v>
      </c>
      <c r="Q201" t="b">
        <v>1</v>
      </c>
      <c r="V201" t="str">
        <f xml:space="preserve"> IF(Crops[[#This Row],[Sp]], "Sp", "") &amp; IF(Crops[[#This Row],[Su]], "Su", "") &amp; IF(Crops[[#This Row],[Fa]], "Fa", "") &amp; IF(Crops[[#This Row],[Wi]], "Wi", "") &amp; IF(Crops[[#This Row],[OW]], "Ow","")</f>
        <v>Sp</v>
      </c>
      <c r="X201">
        <v>4</v>
      </c>
      <c r="Y201">
        <v>2</v>
      </c>
      <c r="AB201" t="b">
        <v>1</v>
      </c>
      <c r="AC201">
        <v>7</v>
      </c>
      <c r="AD201" s="32">
        <f>IFERROR(12/Crops[[#This Row],[Spacing]]*Crops[[#This Row],[Rows]]*BedLength,"")</f>
        <v>1200</v>
      </c>
      <c r="AE201">
        <v>1</v>
      </c>
      <c r="AG201">
        <f>IF(Crops[[#This Row],[Custom Safety Factor]]="",PlantingSafetyFactor,Crops[[#This Row],[Custom Safety Factor]])</f>
        <v>1.3</v>
      </c>
      <c r="AH201">
        <f>1</f>
        <v>1</v>
      </c>
      <c r="AI201" s="33">
        <f>IFERROR(Crops[[#This Row],[Plantings Per Bed]]*Crops[[#This Row],[Seeds Per Planting]]*Crops[[#This Row],[Safety Factor]]*Crops[[#This Row],[Seeding Factor]],"")</f>
        <v>1560</v>
      </c>
      <c r="AL201">
        <f>_xlfn.FLOOR.MATH(IFERROR(AVERAGE(Crops[[#This Row],[DTG Lower]:[DTG Upper]]),0))</f>
        <v>0</v>
      </c>
      <c r="AM201">
        <f>SUM(Crops[[#This Row],[Tray 1 Days]],Crops[[#This Row],[Tray 2 Days]],Crops[[#This Row],[Tray 3 Days]])</f>
        <v>0</v>
      </c>
      <c r="AP201">
        <v>60</v>
      </c>
      <c r="AQ201">
        <f>IFERROR(_xlfn.FLOOR.MATH(AVERAGE(Crops[[#This Row],[DTM Lower]:[DTM Upper]])),"")</f>
        <v>60</v>
      </c>
      <c r="AR201" cm="1">
        <f t="array" ref="AR201">_xlfn.SWITCH(Crops[[#This Row],[Normal Method]],"DS",Crops[[#This Row],[Days to Germination]]+Crops[[#This Row],[DTM]] + IF(Crops[[#This Row],[Days in Cells]]&gt;0,15,0), "TP",Crops[[#This Row],[DTM]]+Crops[[#This Row],[Days in Cells]] + IF(Crops[[#This Row],[Days in Cells]]&lt;=0,20,0), "X", Crops[[#This Row],[DTM]])</f>
        <v>60</v>
      </c>
      <c r="AS201" t="s">
        <v>338</v>
      </c>
      <c r="AT201">
        <f>(Crops[[#This Row],[Harvests]]-1)*Crops[[#This Row],[Days Between Harvest]]+7</f>
        <v>35</v>
      </c>
      <c r="AU201">
        <f>Crops[[#This Row],[STH]]-Crops[[#This Row],[Days in Cells]]+Crops[[#This Row],[Harvest window]]</f>
        <v>95</v>
      </c>
      <c r="BC201" t="str">
        <f>IFERROR(IF(Crops[[#This Row],[Tray 2 Days]]=0,"",Crops[[#This Row],[Plantings Per Bed]]/Crops[[#This Row],[Tray 2 Size]]*Crops[[#This Row],[Safety Factor]]),"")</f>
        <v/>
      </c>
      <c r="BE201" s="32" t="str">
        <f>IF(NOT(ISBLANK(Crops[[#This Row],[Tray 3 Size]])), Crops[[#This Row],[Days in Cells Old]]-SUM(Crops[[#This Row],[Tray 1 Days]],Crops[[#This Row],[Tray 2 Days]]), "")</f>
        <v/>
      </c>
      <c r="BF201" t="str">
        <f>IFERROR(IF(Crops[[#This Row],[Tray 3 Days]]=0,"",Crops[[#This Row],[Plantings Per Bed]]/Crops[[#This Row],[Tray 3 Size]]*Crops[[#This Row],[Safety Factor]]),"")</f>
        <v/>
      </c>
      <c r="BG201" s="33">
        <f>Crops[[#This Row],[Plantings Per Bed]]/8</f>
        <v>150</v>
      </c>
      <c r="BH201" s="33">
        <v>3</v>
      </c>
      <c r="BI201" s="33">
        <v>14</v>
      </c>
      <c r="BJ201" s="33">
        <f>_xlfn.XLOOKUP(Crops[[#This Row],[ProductIndex]],Products[ID],Products[Holding Period])</f>
        <v>0</v>
      </c>
      <c r="BK201" s="33"/>
      <c r="BL201" s="33">
        <f>Crops[[#This Row],[Units Per Harvest]]*Crops[[#This Row],[Harvests]]</f>
        <v>450</v>
      </c>
      <c r="BM201" s="35">
        <v>3</v>
      </c>
      <c r="BN201" s="35">
        <f>Crops[[#This Row],[Direct Price]]*0.6</f>
        <v>1.7999999999999998</v>
      </c>
      <c r="BO201" s="35"/>
      <c r="BP201" t="s">
        <v>215</v>
      </c>
      <c r="BQ201">
        <f>Crops[[#This Row],[Custom Yield Per Bed]]*Crops[[#This Row],[Direct Price]]</f>
        <v>1350</v>
      </c>
      <c r="BR201" t="b">
        <v>1</v>
      </c>
      <c r="BS201" t="b">
        <f>Crops[[#This Row],[Harvests]]&gt;1</f>
        <v>1</v>
      </c>
      <c r="BT201" s="36">
        <f>IFERROR(Crops[[#This Row],[Direct Revenue Per Bed]]/Crops[[#This Row],[Days In Field]],-1)</f>
        <v>14.210526315789474</v>
      </c>
      <c r="BU201" s="33">
        <f>IFERROR(Crops[[#This Row],[Direct Revenue Per Bed Day]]*GrowingDays*BedsPerAcre,"")</f>
        <v>409263.15789473685</v>
      </c>
      <c r="BV201" s="38">
        <f>LastFrostDate-5*Crops[[#This Row],[Sewing Rel Last Frost]]</f>
        <v>45733</v>
      </c>
      <c r="BW201" s="38">
        <f>Crops[[#This Row],[Target Sewing Date]]+Crops[[#This Row],[Days in Cells]]</f>
        <v>45733</v>
      </c>
      <c r="BX201" s="38">
        <f>Crops[[#This Row],[Target Sewing Date]]+Crops[[#This Row],[STH]]</f>
        <v>45793</v>
      </c>
      <c r="BY201" s="38">
        <f>Crops[[#This Row],[Target Harvest Data]]+Crops[[#This Row],[Harvest window]]</f>
        <v>45828</v>
      </c>
      <c r="BZ201">
        <v>3</v>
      </c>
      <c r="CB201">
        <f>1</f>
        <v>1</v>
      </c>
      <c r="CC201">
        <f>IF(Crops[[#This Row],[Transplanting]]&gt;0, 2, 3)*BedLength/StandardBedLength</f>
        <v>1.5</v>
      </c>
      <c r="CD201" s="173">
        <f>IF(Crops[[#This Row],[Days in Cells]]&lt;=0,0,Crops[[#This Row],[Plantings Per Bed]]/StartsPerHourSeeding+Crops[[#This Row],[Tray 1 Count]]*5/60)</f>
        <v>0</v>
      </c>
      <c r="CE201" s="173">
        <f>IF(ISBLANK(Crops[[#This Row],[Tray 2 Days]]),0,Crops[[#This Row],[Plantings Per Bed]]/UpPottingPerHour)+IF(Crops[[#This Row],[Tray 3 Days]]="",0,Crops[[#This Row],[Plantings Per Bed]]/UpPottingPerHour)</f>
        <v>0</v>
      </c>
      <c r="CF201" s="173">
        <f>IFERROR(Crops[[#This Row],[Tray 1 Count]]/HomeStartFlatIrrigationPerHour,0)*Crops[[#This Row],[Days in Cells]]/DaysBetweenStartIrrigation</f>
        <v>0</v>
      </c>
      <c r="CG201" s="173">
        <f>0.5/16*MAX(Crops[[#This Row],[Tray 1 Count]],Crops[[#This Row],[Tray 2 Count]],Crops[[#This Row],[Tray 3 Count]])</f>
        <v>0</v>
      </c>
      <c r="CH201" s="173">
        <f>IF(Crops[[#This Row],[Days in Cells]]&gt;0,IF(IF(Crops[[#This Row],[Tray 3 Size]]&gt;0,Crops[[#This Row],[Tray 3 Size]],IF(Crops[[#This Row],[Tray 2 Size]]&gt;0,Crops[[#This Row],[Tray 2 Size]],Crops[[#This Row],[Tray 1 Size]]))&lt;=18,LargeTransplantTime,SmallTransplantTime)*Crops[[#This Row],[Plantings Per Bed]],0)</f>
        <v>0</v>
      </c>
      <c r="CI201" s="173"/>
      <c r="CJ201" s="173">
        <f>_xlfn.XLOOKUP(Crops[[#This Row],[Trellis Type]],TrellisMethods[Trellis Type],TrellisMethods[Hours],0,0)</f>
        <v>0</v>
      </c>
      <c r="CK201">
        <f>IF(Crops[[#This Row],[Days in Cells]]&lt;=0,Crops[[#This Row],[Rows]]*1/10,0)*BedLength/50</f>
        <v>0.4</v>
      </c>
      <c r="CL201" cm="1">
        <f t="array" ref="CL201">_xlfn.SWITCH(Crops[[#This Row],[Irrigation]],"DR", 0.5, "OH", 0.25,0)*BedLength/50</f>
        <v>0</v>
      </c>
      <c r="CM201">
        <f>IF(OR(ISBLANK(Crops[[#This Row],[Row Cover]]),Crops[[#This Row],[Row Cover]]="None"),0,1)*BedLength/50</f>
        <v>0</v>
      </c>
      <c r="CN201" s="173">
        <f>HoursPerWeedingPass*Crops[[#This Row],[Days In Field]]/14*Crops[[#This Row],[Rows]]+1*BedLength/50</f>
        <v>5.5238095238095237</v>
      </c>
      <c r="CO201" s="49"/>
      <c r="CQ201" s="37">
        <f>_xlfn.XLOOKUP(Crops[[#This Row],[Crop]]&amp;Crops[[#This Row],[Product]]&amp;Crops[[#This Row],[Unit]],Products[ID],Products[Marketing (hr)])*Crops[[#This Row],[Direct Revenue Per Bed]]/2000</f>
        <v>2.7</v>
      </c>
      <c r="CR201" s="37">
        <f>_xlfn.XLOOKUP(Crops[[#This Row],[Crop]]&amp;Crops[[#This Row],[Product]]&amp;Crops[[#This Row],[Unit]],Products[ID],Products[Harvest (s)])*Crops[[#This Row],[Custom Yield Per Bed]]/3600</f>
        <v>2.5</v>
      </c>
      <c r="CS201" s="37">
        <f>_xlfn.XLOOKUP(Crops[[#This Row],[Crop]]&amp;Crops[[#This Row],[Product]]&amp;Crops[[#This Row],[Unit]],Products[ID],Products[Bunch (s)])*Crops[[#This Row],[Custom Yield Per Bed]]/3600</f>
        <v>1.25</v>
      </c>
      <c r="CT201" s="37">
        <f>_xlfn.XLOOKUP(Crops[[#This Row],[Crop]]&amp;Crops[[#This Row],[Product]]&amp;Crops[[#This Row],[Unit]],Products[ID],Products[Haul (s)])*Crops[[#This Row],[Custom Yield Per Bed]]/3600</f>
        <v>0.28125</v>
      </c>
      <c r="CU201" s="37">
        <f>_xlfn.XLOOKUP(Crops[[#This Row],[Crop]]&amp;Crops[[#This Row],[Product]]&amp;Crops[[#This Row],[Unit]],Products[ID],Products[Wash (s)])*Crops[[#This Row],[Custom Yield Per Bed]]/3600</f>
        <v>0</v>
      </c>
      <c r="CV201" s="37">
        <f>_xlfn.XLOOKUP(Crops[[#This Row],[Crop]]&amp;Crops[[#This Row],[Product]]&amp;Crops[[#This Row],[Unit]],Products[ID],Products[Condition (s)])*Crops[[#This Row],[Custom Yield Per Bed]]/3600</f>
        <v>0</v>
      </c>
      <c r="CW201" s="37">
        <f>_xlfn.XLOOKUP(Crops[[#This Row],[Crop]]&amp;Crops[[#This Row],[Product]]&amp;Crops[[#This Row],[Unit]],Products[ID],Products[Trim (s)])*Crops[[#This Row],[Custom Yield Per Bed]]/3600</f>
        <v>0.375</v>
      </c>
      <c r="CX201" s="37">
        <f>_xlfn.XLOOKUP(Crops[[#This Row],[Crop]]&amp;Crops[[#This Row],[Product]]&amp;Crops[[#This Row],[Unit]],Products[ID],Products[Pack (s)])*Crops[[#This Row],[Custom Yield Per Bed]]/3600</f>
        <v>0.375</v>
      </c>
      <c r="CY201" s="37">
        <f>_xlfn.XLOOKUP(Crops[[#This Row],[Crop]]&amp;Crops[[#This Row],[Product]]&amp;Crops[[#This Row],[Unit]],Products[ID],Products[Clean (s)])*Crops[[#This Row],[Custom Yield Per Bed]]/3600</f>
        <v>0</v>
      </c>
      <c r="CZ201" s="37">
        <f>_xlfn.XLOOKUP(Crops[[#This Row],[Crop]]&amp;Crops[[#This Row],[Product]]&amp;Crops[[#This Row],[Unit]],Products[ID],Products[Rehandle (s)])*Crops[[#This Row],[Custom Yield Per Bed]]/3600</f>
        <v>0</v>
      </c>
      <c r="DA201" s="37">
        <f>_xlfn.XLOOKUP(Crops[[#This Row],[Crop]]&amp;Crops[[#This Row],[Product]]&amp;Crops[[#This Row],[Unit]],Products[ID],Products[Market Transport (s)])*Crops[[#This Row],[Custom Yield Per Bed]]/3600</f>
        <v>0.703125</v>
      </c>
      <c r="DC201" s="37">
        <f>Crops[[#This Row],[Direct Revenue Per Bed2]]</f>
        <v>1350</v>
      </c>
      <c r="DD201" s="173">
        <f>_xlfn.AGGREGATE(9,6,Crops[[#This Row],[Bed Prep]:[Remove Crop Residue]])</f>
        <v>15.608184523809523</v>
      </c>
      <c r="DE201" s="173">
        <f>_xlfn.AGGREGATE(9,6,Crops[[#This Row],[Bed Prep]:[Remove Crop Residue]])-0.75*Crops[[#This Row],[Market &amp; Sell]]</f>
        <v>13.583184523809523</v>
      </c>
      <c r="DF201" s="36">
        <f>Crops[[#This Row],[Direct Revenue Per Bed2]]/Crops[[#This Row],[Direct Time]]</f>
        <v>86.493083032215623</v>
      </c>
      <c r="DG201" s="36">
        <f>_xlfn.XLOOKUP(Crops[[#This Row],[ProductIndex]],Products[ID],Products[Packaging Cost])*(Crops[[#This Row],[Custom Yield Per Bed]]/_xlfn.XLOOKUP(Crops[[#This Row],[ProductIndex]],Products[ID],Products[Units Per Pack]))</f>
        <v>42.75</v>
      </c>
      <c r="DH201" s="36"/>
      <c r="DI201" s="36"/>
      <c r="DJ201" s="36"/>
      <c r="DK201" s="36"/>
      <c r="DL201" s="36"/>
      <c r="DM201" s="33">
        <f>IFERROR(Crops[[#This Row],[Custom Yield Per Bed]]*Crops[[#This Row],[Direct Price]],"")</f>
        <v>1350</v>
      </c>
      <c r="DN201" s="36">
        <f>Crops[[#This Row],[Direct Time]]*LaborRate</f>
        <v>390.20461309523807</v>
      </c>
      <c r="DO201" s="36">
        <f>SUM(Crops[[#This Row],[Irrigation Cost]])</f>
        <v>0</v>
      </c>
      <c r="DP201" s="36">
        <f>Crops[[#This Row],[Direct Labor Cost]]+Crops[[#This Row],[Direct Non-Labor Cost]]</f>
        <v>390.20461309523807</v>
      </c>
      <c r="DQ201" s="36">
        <f>Crops[[#This Row],[Direct Revenue Per Bed2]]-Crops[[#This Row],[Direct Total Cost]]</f>
        <v>959.79538690476193</v>
      </c>
      <c r="DR201" s="36">
        <f>Crops[[#This Row],[Direct Profit]]*BedsPerAcre</f>
        <v>153567.26190476189</v>
      </c>
      <c r="DS201" s="36">
        <f>Crops[[#This Row],[Direct Profit]]*BedsPerAcre*GrowingDays/Crops[[#This Row],[Days In Field]]</f>
        <v>290969.54887218046</v>
      </c>
      <c r="DT201" s="36">
        <f>Crops[[#This Row],[Direct Profit]]/MIN(Crops[[#This Row],[Days In Field]],GrowingDays)</f>
        <v>10.1031093358396</v>
      </c>
      <c r="DU201" s="36">
        <f>Crops[[#This Row],[Direct Time]] * BedsPerAcre</f>
        <v>2497.3095238095239</v>
      </c>
      <c r="DV201" s="36">
        <f>(Crops[[#This Row],[Direct Revenue Per Bed2]]-Crops[[#This Row],[Direct Non-Labor Cost]])/Crops[[#This Row],[Direct Time]]</f>
        <v>86.493083032215623</v>
      </c>
      <c r="DW201" s="33">
        <f>IFERROR(Crops[[#This Row],[Custom Yield Per Bed]]*Crops[[#This Row],[Rough Wholesale Price]],"")</f>
        <v>809.99999999999989</v>
      </c>
      <c r="DX201" s="36">
        <f>Crops[[#This Row],[Wholesale Time]]*LaborRate</f>
        <v>339.57961309523807</v>
      </c>
      <c r="DY201" s="36">
        <f>SUM(Crops[[#This Row],[Packaging Costs]:[Irrigation Cost]])</f>
        <v>42.75</v>
      </c>
      <c r="DZ201" s="36">
        <f>Crops[[#This Row],[Wholesale Labor Cost]]+Crops[[#This Row],[Wholesale Non-Labor Cost]]</f>
        <v>382.32961309523807</v>
      </c>
      <c r="EA201" s="36">
        <f>Crops[[#This Row],[Wholesale Revenue Per Bed]]-Crops[[#This Row],[Wholesale Total Cost]]</f>
        <v>427.67038690476181</v>
      </c>
      <c r="EB201" s="36">
        <f>Crops[[#This Row],[Wholesale Profit]]*BedsPerAcre</f>
        <v>68427.261904761894</v>
      </c>
      <c r="EC201" s="36">
        <f>Crops[[#This Row],[Wholesale Profit]]*BedsPerAcre*GrowingDays/Crops[[#This Row],[Days In Field]]</f>
        <v>129651.65413533834</v>
      </c>
      <c r="ED201" s="36">
        <f>Crops[[#This Row],[Wholesale Time]] * BedsPerAcre</f>
        <v>2173.3095238095239</v>
      </c>
      <c r="EE201" s="221">
        <f>Crops[[#This Row],[Wholesale Profit]]/MIN(Crops[[#This Row],[Days In Field]],GrowingDays)</f>
        <v>4.5017935463659136</v>
      </c>
      <c r="EF201" s="36">
        <f>(Crops[[#This Row],[Wholesale Revenue Per Bed]]-Crops[[#This Row],[Wholesale Non-Labor Cost]])/Crops[[#This Row],[Direct Time]]</f>
        <v>49.156902189975874</v>
      </c>
      <c r="EG201" s="174">
        <f>Crops[[#This Row],[Packaging Costs]]/Crops[[#This Row],[Wholesale Revenue Per Bed]]</f>
        <v>5.2777777777777785E-2</v>
      </c>
      <c r="EH201" s="36" t="str">
        <f>Crops[[#This Row],[Crop]]&amp;Crops[[#This Row],[Product]]&amp;Crops[[#This Row],[Unit]]</f>
        <v>Magenta SpreenYoung StemBunch</v>
      </c>
      <c r="EI201" s="36" t="b">
        <f>_xlfn.XLOOKUP(Crops[[#This Row],[ProductIndex]],Products[ID],Products[Target])</f>
        <v>1</v>
      </c>
      <c r="EJ201" s="36">
        <f>Crops[[#This Row],[Custom Yield Per Bed]]</f>
        <v>450</v>
      </c>
      <c r="EK201" s="210">
        <f>Crops[[#This Row],[Units Per Harvest]]/Crops[[#This Row],[Days Between Harvest]]*7</f>
        <v>75</v>
      </c>
      <c r="EL201" s="210">
        <f>Crops[[#This Row],[Custom Yield Per Bed]]/_xlfn.XLOOKUP(Crops[[#This Row],[ProductIndex]],Products[ID],Products[CSA Portion])</f>
        <v>450</v>
      </c>
      <c r="EM201" s="210">
        <f>Crops[[#This Row],[Units Per Harvest]]/Crops[[#This Row],[Days Between Harvest]]*7/_xlfn.XLOOKUP(Crops[[#This Row],[ProductIndex]],Products[ID],Products[CSA Portion])</f>
        <v>75</v>
      </c>
      <c r="EN201" s="210">
        <f>Crops[[#This Row],[CSA Portions Per Week]]/CSAMembers</f>
        <v>1.5</v>
      </c>
      <c r="EO201" s="210"/>
      <c r="EP201" s="210"/>
      <c r="EQ201" s="36"/>
      <c r="ER201" s="36">
        <f>Crops[[#This Row],[Harvests]]*Crops[[#This Row],[Days Between Harvest]]/7</f>
        <v>6</v>
      </c>
      <c r="ES201" s="208">
        <f>_xlfn.XLOOKUP(Crops[[#This Row],[ProductIndex]],Products[ID],Products[CSA Need])</f>
        <v>2</v>
      </c>
      <c r="ET201" s="208">
        <f>_xlfn.XLOOKUP(Crops[[#This Row],[ProductIndex]],Products[ID],Products[CSA Times])</f>
        <v>2</v>
      </c>
      <c r="EU201" s="208">
        <f>Crops[[#This Row],[Custom Yield Per Bed]]/(Crops[[#This Row],[CSA Need]]*(_xlfn.XLOOKUP(Crops[[#This Row],[ProductIndex]],Products[ID],Products[CSA Portion])*CSAMembers))</f>
        <v>4.5</v>
      </c>
      <c r="EV201" s="208">
        <f>_xlfn.XLOOKUP(Crops[[#This Row],[ProductIndex]],Products[ID],Products[CSA Portion])*CSAMembers*Crops[[#This Row],[CSA Need]]/Crops[[#This Row],[Custom Yield Per Bed]]</f>
        <v>0.22222222222222221</v>
      </c>
      <c r="EW201" s="208">
        <f>IFERROR(Crops[[#This Row],[Days In Field]]*Crops[[#This Row],[CSA Beds]],"")</f>
        <v>21.111111111111111</v>
      </c>
      <c r="EX201" s="208" t="e">
        <f>Crops[[#This Row],[CSA Bed Days]]*#REF!</f>
        <v>#REF!</v>
      </c>
      <c r="EY201" t="s">
        <v>1794</v>
      </c>
    </row>
    <row r="202" spans="1:155">
      <c r="A202"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Malabar Spinach - Mature Leaf 1X | Field DS </v>
      </c>
      <c r="B202" s="29"/>
      <c r="C202" s="1"/>
      <c r="D202" s="1"/>
      <c r="E202" s="1" t="b">
        <v>0</v>
      </c>
      <c r="F202" s="1" t="b">
        <f>IFERROR(IF(ISNUMBER(MATCH(Crops[[#This Row],[Identifier]],BedPlan[Crop], 0)), TRUE, FALSE), FALSE)</f>
        <v>0</v>
      </c>
      <c r="G202" s="1" t="b">
        <f>IFERROR(IF(ISNUMBER(MATCH(Crops[[#This Row],[Identifier]],BedPlan[Crop], 0)), TRUE, FALSE), FALSE)</f>
        <v>0</v>
      </c>
      <c r="H202" s="1" t="b">
        <v>1</v>
      </c>
      <c r="I202" t="s">
        <v>96</v>
      </c>
      <c r="J202" t="s">
        <v>145</v>
      </c>
      <c r="K202" t="s">
        <v>179</v>
      </c>
      <c r="N202" t="str">
        <f>Crops[[#This Row],[Crop]]</f>
        <v>Malabar Spinach</v>
      </c>
      <c r="O202" t="s">
        <v>210</v>
      </c>
      <c r="P202" t="str">
        <f>IF(OR(Crops[[#This Row],[Days in Cells]]="",Crops[[#This Row],[Days in Cells]]=0), "DS","TP")</f>
        <v>DS</v>
      </c>
      <c r="V202" t="str">
        <f xml:space="preserve"> IF(Crops[[#This Row],[Sp]], "Sp", "") &amp; IF(Crops[[#This Row],[Su]], "Su", "") &amp; IF(Crops[[#This Row],[Fa]], "Fa", "") &amp; IF(Crops[[#This Row],[Wi]], "Wi", "") &amp; IF(Crops[[#This Row],[OW]], "Ow","")</f>
        <v/>
      </c>
      <c r="W202" t="b">
        <v>1</v>
      </c>
      <c r="X202">
        <v>1</v>
      </c>
      <c r="Y202">
        <v>6</v>
      </c>
      <c r="AD202" s="32">
        <f>IFERROR(12/Crops[[#This Row],[Spacing]]*Crops[[#This Row],[Rows]]*BedLength,"")</f>
        <v>100</v>
      </c>
      <c r="AE202">
        <v>1</v>
      </c>
      <c r="AG202">
        <f>IF(Crops[[#This Row],[Custom Safety Factor]]="",PlantingSafetyFactor,Crops[[#This Row],[Custom Safety Factor]])</f>
        <v>1.3</v>
      </c>
      <c r="AH202">
        <f>1</f>
        <v>1</v>
      </c>
      <c r="AI202" s="33">
        <f>IFERROR(Crops[[#This Row],[Plantings Per Bed]]*Crops[[#This Row],[Seeds Per Planting]]*Crops[[#This Row],[Safety Factor]]*Crops[[#This Row],[Seeding Factor]],"")</f>
        <v>130</v>
      </c>
      <c r="AL202">
        <f>_xlfn.FLOOR.MATH(IFERROR(AVERAGE(Crops[[#This Row],[DTG Lower]:[DTG Upper]]),0))</f>
        <v>0</v>
      </c>
      <c r="AM202">
        <f>SUM(Crops[[#This Row],[Tray 1 Days]],Crops[[#This Row],[Tray 2 Days]],Crops[[#This Row],[Tray 3 Days]])</f>
        <v>0</v>
      </c>
      <c r="AN202">
        <v>35</v>
      </c>
      <c r="AO202">
        <v>95</v>
      </c>
      <c r="AP202">
        <v>105</v>
      </c>
      <c r="AQ202">
        <f>IFERROR(_xlfn.FLOOR.MATH(AVERAGE(Crops[[#This Row],[DTM Lower]:[DTM Upper]])),"")</f>
        <v>100</v>
      </c>
      <c r="AR202" cm="1">
        <f t="array" ref="AR202">_xlfn.SWITCH(Crops[[#This Row],[Normal Method]],"DS",Crops[[#This Row],[Days to Germination]]+Crops[[#This Row],[DTM]] + IF(Crops[[#This Row],[Days in Cells]]&gt;0,15,0), "TP",Crops[[#This Row],[DTM]]+Crops[[#This Row],[Days in Cells]] + IF(Crops[[#This Row],[Days in Cells]]&lt;=0,20,0), "X", Crops[[#This Row],[DTM]])</f>
        <v>100</v>
      </c>
      <c r="AS202" t="s">
        <v>347</v>
      </c>
      <c r="AT202">
        <f>(Crops[[#This Row],[Harvests]]-1)*Crops[[#This Row],[Days Between Harvest]]+7</f>
        <v>56</v>
      </c>
      <c r="AU202">
        <f>Crops[[#This Row],[STH]]-Crops[[#This Row],[Days in Cells]]+Crops[[#This Row],[Harvest window]]</f>
        <v>156</v>
      </c>
      <c r="AZ202" t="str">
        <f>IFERROR(IF(Crops[[#This Row],[Tray 1 Days]]=0,"",Crops[[#This Row],[Plantings Per Bed]]/Crops[[#This Row],[Tray 1 Size]]*Crops[[#This Row],[Safety Factor]]),"")</f>
        <v/>
      </c>
      <c r="BC202" t="str">
        <f>IFERROR(IF(Crops[[#This Row],[Tray 2 Days]]=0,"",Crops[[#This Row],[Plantings Per Bed]]/Crops[[#This Row],[Tray 2 Size]]*Crops[[#This Row],[Safety Factor]]),"")</f>
        <v/>
      </c>
      <c r="BE202" s="32" t="str">
        <f>IF(NOT(ISBLANK(Crops[[#This Row],[Tray 3 Size]])), Crops[[#This Row],[Days in Cells Old]]-SUM(Crops[[#This Row],[Tray 1 Days]],Crops[[#This Row],[Tray 2 Days]]), "")</f>
        <v/>
      </c>
      <c r="BF202" t="str">
        <f>IFERROR(IF(Crops[[#This Row],[Tray 3 Days]]=0,"",Crops[[#This Row],[Plantings Per Bed]]/Crops[[#This Row],[Tray 3 Size]]*Crops[[#This Row],[Safety Factor]]),"")</f>
        <v/>
      </c>
      <c r="BG202" s="33">
        <f>Crops[[#This Row],[Plantings Per Bed]]*0.125</f>
        <v>12.5</v>
      </c>
      <c r="BH202" s="33">
        <v>8</v>
      </c>
      <c r="BI202" s="33">
        <v>7</v>
      </c>
      <c r="BJ202" s="33">
        <f>_xlfn.XLOOKUP(Crops[[#This Row],[ProductIndex]],Products[ID],Products[Holding Period])</f>
        <v>0</v>
      </c>
      <c r="BK202" s="33"/>
      <c r="BL202" s="33">
        <f>Crops[[#This Row],[Units Per Harvest]]*Crops[[#This Row],[Harvests]]</f>
        <v>100</v>
      </c>
      <c r="BM202" s="35">
        <v>9</v>
      </c>
      <c r="BN202" s="35">
        <f>Crops[[#This Row],[Direct Price]]*0.6</f>
        <v>5.3999999999999995</v>
      </c>
      <c r="BO202" s="35"/>
      <c r="BP202" t="s">
        <v>383</v>
      </c>
      <c r="BQ202">
        <f>Crops[[#This Row],[Custom Yield Per Bed]]*Crops[[#This Row],[Direct Price]]</f>
        <v>900</v>
      </c>
      <c r="BR202" t="b">
        <v>1</v>
      </c>
      <c r="BS202" t="b">
        <f>Crops[[#This Row],[Harvests]]&gt;1</f>
        <v>1</v>
      </c>
      <c r="BT202" s="36">
        <f>IFERROR(Crops[[#This Row],[Direct Revenue Per Bed]]/Crops[[#This Row],[Days In Field]],-1)</f>
        <v>5.7692307692307692</v>
      </c>
      <c r="BU202" s="36">
        <f>IFERROR(Crops[[#This Row],[Direct Revenue Per Bed Day]]*GrowingDays*BedsPerAcre,"")</f>
        <v>166153.84615384613</v>
      </c>
      <c r="BV202" s="38">
        <f>LastFrostDate-5*Crops[[#This Row],[Sewing Rel Last Frost]]</f>
        <v>45738</v>
      </c>
      <c r="BW202" s="38">
        <f>Crops[[#This Row],[Target Sewing Date]]+Crops[[#This Row],[Days in Cells]]</f>
        <v>45738</v>
      </c>
      <c r="BX202" s="38">
        <f>Crops[[#This Row],[Target Sewing Date]]+Crops[[#This Row],[STH]]</f>
        <v>45838</v>
      </c>
      <c r="BY202" s="38">
        <f>Crops[[#This Row],[Target Harvest Data]]+Crops[[#This Row],[Harvest window]]</f>
        <v>45894</v>
      </c>
      <c r="BZ202">
        <v>2</v>
      </c>
      <c r="CB202">
        <f>1</f>
        <v>1</v>
      </c>
      <c r="CC202">
        <f>IF(Crops[[#This Row],[Transplanting]]&gt;0, 2, 3)*BedLength/StandardBedLength</f>
        <v>1.5</v>
      </c>
      <c r="CD202" s="173">
        <f>IF(Crops[[#This Row],[Days in Cells]]&lt;=0,0,Crops[[#This Row],[Plantings Per Bed]]/StartsPerHourSeeding+Crops[[#This Row],[Tray 1 Count]]*5/60)</f>
        <v>0</v>
      </c>
      <c r="CE202" s="173">
        <f>IF(ISBLANK(Crops[[#This Row],[Tray 2 Days]]),0,Crops[[#This Row],[Plantings Per Bed]]/UpPottingPerHour)+IF(Crops[[#This Row],[Tray 3 Days]]="",0,Crops[[#This Row],[Plantings Per Bed]]/UpPottingPerHour)</f>
        <v>0</v>
      </c>
      <c r="CF202" s="173">
        <f>IFERROR(Crops[[#This Row],[Tray 1 Count]]/HomeStartFlatIrrigationPerHour,0)*Crops[[#This Row],[Days in Cells]]/DaysBetweenStartIrrigation</f>
        <v>0</v>
      </c>
      <c r="CG202" s="173">
        <f>0.5/16*MAX(Crops[[#This Row],[Tray 1 Count]],Crops[[#This Row],[Tray 2 Count]],Crops[[#This Row],[Tray 3 Count]])</f>
        <v>0</v>
      </c>
      <c r="CH202" s="173">
        <f>IF(Crops[[#This Row],[Days in Cells]]&gt;0,IF(IF(Crops[[#This Row],[Tray 3 Size]]&gt;0,Crops[[#This Row],[Tray 3 Size]],IF(Crops[[#This Row],[Tray 2 Size]]&gt;0,Crops[[#This Row],[Tray 2 Size]],Crops[[#This Row],[Tray 1 Size]]))&lt;=18,LargeTransplantTime,SmallTransplantTime)*Crops[[#This Row],[Plantings Per Bed]],0)</f>
        <v>0</v>
      </c>
      <c r="CI202" s="173"/>
      <c r="CJ202" s="173">
        <f>_xlfn.XLOOKUP(Crops[[#This Row],[Trellis Type]],TrellisMethods[Trellis Type],TrellisMethods[Hours],0,0)</f>
        <v>0</v>
      </c>
      <c r="CK202">
        <f>IF(Crops[[#This Row],[Days in Cells]]&lt;=0,Crops[[#This Row],[Rows]]*1/10,0)*BedLength/50</f>
        <v>0.1</v>
      </c>
      <c r="CL202" cm="1">
        <f t="array" ref="CL202">_xlfn.SWITCH(Crops[[#This Row],[Irrigation]],"DR", 0.5, "OH", 0.25,0)*BedLength/50</f>
        <v>0</v>
      </c>
      <c r="CM202">
        <f>IF(OR(ISBLANK(Crops[[#This Row],[Row Cover]]),Crops[[#This Row],[Row Cover]]="None"),0,1)*BedLength/50</f>
        <v>0</v>
      </c>
      <c r="CN202" s="173">
        <f>HoursPerWeedingPass*Crops[[#This Row],[Days In Field]]/14*Crops[[#This Row],[Rows]]+1*BedLength/50</f>
        <v>2.8571428571428572</v>
      </c>
      <c r="CO202" s="219">
        <f>BedLength/50</f>
        <v>1</v>
      </c>
      <c r="CQ202" s="37">
        <f>_xlfn.XLOOKUP(Crops[[#This Row],[Crop]]&amp;Crops[[#This Row],[Product]]&amp;Crops[[#This Row],[Unit]],Products[ID],Products[Marketing (hr)])*Crops[[#This Row],[Direct Revenue Per Bed]]/2000</f>
        <v>2.25</v>
      </c>
      <c r="CR202" s="37">
        <f>_xlfn.XLOOKUP(Crops[[#This Row],[Crop]]&amp;Crops[[#This Row],[Product]]&amp;Crops[[#This Row],[Unit]],Products[ID],Products[Harvest (s)])*Crops[[#This Row],[Custom Yield Per Bed]]/3600</f>
        <v>5</v>
      </c>
      <c r="CS202" s="37">
        <f>_xlfn.XLOOKUP(Crops[[#This Row],[Crop]]&amp;Crops[[#This Row],[Product]]&amp;Crops[[#This Row],[Unit]],Products[ID],Products[Bunch (s)])*Crops[[#This Row],[Custom Yield Per Bed]]/3600</f>
        <v>0</v>
      </c>
      <c r="CT202" s="37">
        <f>_xlfn.XLOOKUP(Crops[[#This Row],[Crop]]&amp;Crops[[#This Row],[Product]]&amp;Crops[[#This Row],[Unit]],Products[ID],Products[Haul (s)])*Crops[[#This Row],[Custom Yield Per Bed]]/3600</f>
        <v>0.25</v>
      </c>
      <c r="CU202" s="37">
        <f>_xlfn.XLOOKUP(Crops[[#This Row],[Crop]]&amp;Crops[[#This Row],[Product]]&amp;Crops[[#This Row],[Unit]],Products[ID],Products[Wash (s)])*Crops[[#This Row],[Custom Yield Per Bed]]/3600</f>
        <v>0</v>
      </c>
      <c r="CV202" s="37">
        <f>_xlfn.XLOOKUP(Crops[[#This Row],[Crop]]&amp;Crops[[#This Row],[Product]]&amp;Crops[[#This Row],[Unit]],Products[ID],Products[Condition (s)])*Crops[[#This Row],[Custom Yield Per Bed]]/3600</f>
        <v>0</v>
      </c>
      <c r="CW202" s="37">
        <f>_xlfn.XLOOKUP(Crops[[#This Row],[Crop]]&amp;Crops[[#This Row],[Product]]&amp;Crops[[#This Row],[Unit]],Products[ID],Products[Trim (s)])*Crops[[#This Row],[Custom Yield Per Bed]]/3600</f>
        <v>0</v>
      </c>
      <c r="CX202" s="37">
        <f>_xlfn.XLOOKUP(Crops[[#This Row],[Crop]]&amp;Crops[[#This Row],[Product]]&amp;Crops[[#This Row],[Unit]],Products[ID],Products[Pack (s)])*Crops[[#This Row],[Custom Yield Per Bed]]/3600</f>
        <v>8.3333333333333329E-2</v>
      </c>
      <c r="CY202" s="37">
        <f>_xlfn.XLOOKUP(Crops[[#This Row],[Crop]]&amp;Crops[[#This Row],[Product]]&amp;Crops[[#This Row],[Unit]],Products[ID],Products[Clean (s)])*Crops[[#This Row],[Custom Yield Per Bed]]/3600</f>
        <v>0</v>
      </c>
      <c r="CZ202" s="37">
        <f>_xlfn.XLOOKUP(Crops[[#This Row],[Crop]]&amp;Crops[[#This Row],[Product]]&amp;Crops[[#This Row],[Unit]],Products[ID],Products[Rehandle (s)])*Crops[[#This Row],[Custom Yield Per Bed]]/3600</f>
        <v>0</v>
      </c>
      <c r="DA202" s="37">
        <f>_xlfn.XLOOKUP(Crops[[#This Row],[Crop]]&amp;Crops[[#This Row],[Product]]&amp;Crops[[#This Row],[Unit]],Products[ID],Products[Market Transport (s)])*Crops[[#This Row],[Custom Yield Per Bed]]/3600</f>
        <v>0.625</v>
      </c>
      <c r="DC202" s="37">
        <f>Crops[[#This Row],[Direct Revenue Per Bed2]]</f>
        <v>900</v>
      </c>
      <c r="DD202" s="173">
        <f>_xlfn.AGGREGATE(9,6,Crops[[#This Row],[Bed Prep]:[Remove Crop Residue]])</f>
        <v>13.665476190476191</v>
      </c>
      <c r="DE202" s="173">
        <f>_xlfn.AGGREGATE(9,6,Crops[[#This Row],[Bed Prep]:[Remove Crop Residue]])-0.75*Crops[[#This Row],[Market &amp; Sell]]</f>
        <v>11.977976190476191</v>
      </c>
      <c r="DF202" s="36">
        <f>Crops[[#This Row],[Direct Revenue Per Bed2]]/Crops[[#This Row],[Direct Time]]</f>
        <v>65.859395417719313</v>
      </c>
      <c r="DG202" s="36">
        <f>_xlfn.XLOOKUP(Crops[[#This Row],[ProductIndex]],Products[ID],Products[Packaging Cost])*(Crops[[#This Row],[Custom Yield Per Bed]]/_xlfn.XLOOKUP(Crops[[#This Row],[ProductIndex]],Products[ID],Products[Units Per Pack]))</f>
        <v>38</v>
      </c>
      <c r="DH202" s="36"/>
      <c r="DI202" s="36"/>
      <c r="DJ202" s="36"/>
      <c r="DK202" s="36"/>
      <c r="DL202" s="36"/>
      <c r="DM202" s="33">
        <f>IFERROR(Crops[[#This Row],[Custom Yield Per Bed]]*Crops[[#This Row],[Direct Price]],"")</f>
        <v>900</v>
      </c>
      <c r="DN202" s="36">
        <f>Crops[[#This Row],[Direct Time]]*LaborRate</f>
        <v>341.63690476190476</v>
      </c>
      <c r="DO202" s="36">
        <f>SUM(Crops[[#This Row],[Irrigation Cost]])</f>
        <v>0</v>
      </c>
      <c r="DP202" s="36">
        <f>Crops[[#This Row],[Direct Labor Cost]]+Crops[[#This Row],[Direct Non-Labor Cost]]</f>
        <v>341.63690476190476</v>
      </c>
      <c r="DQ202" s="36">
        <f>Crops[[#This Row],[Direct Revenue Per Bed2]]-Crops[[#This Row],[Direct Total Cost]]</f>
        <v>558.36309523809518</v>
      </c>
      <c r="DR202" s="36">
        <f>Crops[[#This Row],[Direct Profit]]*BedsPerAcre</f>
        <v>89338.095238095237</v>
      </c>
      <c r="DS202" s="36">
        <f>Crops[[#This Row],[Direct Profit]]*BedsPerAcre*GrowingDays/Crops[[#This Row],[Days In Field]]</f>
        <v>103082.41758241758</v>
      </c>
      <c r="DT202" s="36">
        <f>Crops[[#This Row],[Direct Profit]]/MIN(Crops[[#This Row],[Days In Field]],GrowingDays)</f>
        <v>3.5792506105006101</v>
      </c>
      <c r="DU202" s="36">
        <f>Crops[[#This Row],[Direct Time]] * BedsPerAcre</f>
        <v>2186.4761904761908</v>
      </c>
      <c r="DV202" s="36">
        <f>(Crops[[#This Row],[Direct Revenue Per Bed2]]-Crops[[#This Row],[Direct Non-Labor Cost]])/Crops[[#This Row],[Direct Time]]</f>
        <v>65.859395417719313</v>
      </c>
      <c r="DW202" s="33">
        <f>IFERROR(Crops[[#This Row],[Custom Yield Per Bed]]*Crops[[#This Row],[Rough Wholesale Price]],"")</f>
        <v>540</v>
      </c>
      <c r="DX202" s="36">
        <f>Crops[[#This Row],[Wholesale Time]]*LaborRate</f>
        <v>299.44940476190476</v>
      </c>
      <c r="DY202" s="36">
        <f>SUM(Crops[[#This Row],[Packaging Costs]:[Irrigation Cost]])</f>
        <v>38</v>
      </c>
      <c r="DZ202" s="36">
        <f>Crops[[#This Row],[Wholesale Labor Cost]]+Crops[[#This Row],[Wholesale Non-Labor Cost]]</f>
        <v>337.44940476190476</v>
      </c>
      <c r="EA202" s="36">
        <f>Crops[[#This Row],[Wholesale Revenue Per Bed]]-Crops[[#This Row],[Wholesale Total Cost]]</f>
        <v>202.55059523809524</v>
      </c>
      <c r="EB202" s="36">
        <f>Crops[[#This Row],[Wholesale Profit]]*BedsPerAcre</f>
        <v>32408.095238095237</v>
      </c>
      <c r="EC202" s="36">
        <f>Crops[[#This Row],[Wholesale Profit]]*BedsPerAcre*GrowingDays/Crops[[#This Row],[Days In Field]]</f>
        <v>37393.956043956045</v>
      </c>
      <c r="ED202" s="36">
        <f>Crops[[#This Row],[Wholesale Time]] * BedsPerAcre</f>
        <v>1916.4761904761906</v>
      </c>
      <c r="EE202" s="36">
        <f>Crops[[#This Row],[Wholesale Profit]]/MIN(Crops[[#This Row],[Days In Field]],GrowingDays)</f>
        <v>1.2984012515262515</v>
      </c>
      <c r="EF202" s="36">
        <f>(Crops[[#This Row],[Wholesale Revenue Per Bed]]-Crops[[#This Row],[Wholesale Non-Labor Cost]])/Crops[[#This Row],[Direct Time]]</f>
        <v>36.734907221883439</v>
      </c>
      <c r="EG202" s="174">
        <f>Crops[[#This Row],[Packaging Costs]]/Crops[[#This Row],[Wholesale Revenue Per Bed]]</f>
        <v>7.0370370370370375E-2</v>
      </c>
      <c r="EH202" s="36" t="str">
        <f>Crops[[#This Row],[Crop]]&amp;Crops[[#This Row],[Product]]&amp;Crops[[#This Row],[Unit]]</f>
        <v>Malabar SpinachMature LeafLb</v>
      </c>
      <c r="EI202" s="36" t="b">
        <f>_xlfn.XLOOKUP(Crops[[#This Row],[ProductIndex]],Products[ID],Products[Target])</f>
        <v>1</v>
      </c>
      <c r="EJ202" s="36">
        <f>Crops[[#This Row],[Custom Yield Per Bed]]</f>
        <v>100</v>
      </c>
      <c r="EK202" s="210">
        <f>Crops[[#This Row],[Units Per Harvest]]/Crops[[#This Row],[Days Between Harvest]]*7</f>
        <v>12.5</v>
      </c>
      <c r="EL202" s="210" t="e">
        <f>Crops[[#This Row],[Custom Yield Per Bed]]/_xlfn.XLOOKUP(Crops[[#This Row],[ProductIndex]],Products[ID],Products[CSA Portion])</f>
        <v>#DIV/0!</v>
      </c>
      <c r="EM202" s="210" t="e">
        <f>Crops[[#This Row],[Units Per Harvest]]/Crops[[#This Row],[Days Between Harvest]]*7/_xlfn.XLOOKUP(Crops[[#This Row],[ProductIndex]],Products[ID],Products[CSA Portion])</f>
        <v>#DIV/0!</v>
      </c>
      <c r="EN202" s="210" t="e">
        <f>Crops[[#This Row],[CSA Portions Per Week]]/CSAMembers</f>
        <v>#DIV/0!</v>
      </c>
      <c r="EO202" s="210"/>
      <c r="EP202" s="210"/>
      <c r="EQ202" s="36"/>
      <c r="ER202" s="36">
        <f>Crops[[#This Row],[Harvests]]*Crops[[#This Row],[Days Between Harvest]]/7</f>
        <v>8</v>
      </c>
      <c r="ES202" s="208">
        <f>_xlfn.XLOOKUP(Crops[[#This Row],[ProductIndex]],Products[ID],Products[CSA Need])</f>
        <v>0</v>
      </c>
      <c r="ET202" s="208">
        <f>_xlfn.XLOOKUP(Crops[[#This Row],[ProductIndex]],Products[ID],Products[CSA Times])</f>
        <v>0</v>
      </c>
      <c r="EU202" s="208" t="e">
        <f>Crops[[#This Row],[Custom Yield Per Bed]]/(Crops[[#This Row],[CSA Need]]*(_xlfn.XLOOKUP(Crops[[#This Row],[ProductIndex]],Products[ID],Products[CSA Portion])*CSAMembers))</f>
        <v>#DIV/0!</v>
      </c>
      <c r="EV202" s="208">
        <f>_xlfn.XLOOKUP(Crops[[#This Row],[ProductIndex]],Products[ID],Products[CSA Portion])*CSAMembers*Crops[[#This Row],[CSA Need]]/Crops[[#This Row],[Custom Yield Per Bed]]</f>
        <v>0</v>
      </c>
      <c r="EW202" s="208">
        <f>IFERROR(Crops[[#This Row],[Days In Field]]*Crops[[#This Row],[CSA Beds]],"")</f>
        <v>0</v>
      </c>
      <c r="EX202" s="208" t="e">
        <f>Crops[[#This Row],[CSA Bed Days]]*#REF!</f>
        <v>#REF!</v>
      </c>
      <c r="EY202" t="s">
        <v>294</v>
      </c>
    </row>
    <row r="203" spans="1:155">
      <c r="A203"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Malabar Spinach - Mature Leaf 1X | Tunnel TP </v>
      </c>
      <c r="B203" s="29"/>
      <c r="C203" s="1" t="b">
        <v>0</v>
      </c>
      <c r="D203" s="1"/>
      <c r="E203" s="1" t="b">
        <v>0</v>
      </c>
      <c r="F203" s="1" t="b">
        <f>IFERROR(IF(ISNUMBER(MATCH(Crops[[#This Row],[Identifier]],BedPlan[Crop], 0)), TRUE, FALSE), FALSE)</f>
        <v>0</v>
      </c>
      <c r="G203" s="1" t="b">
        <f>IFERROR(IF(ISNUMBER(MATCH(Crops[[#This Row],[Identifier]],BedPlan[Crop], 0)), TRUE, FALSE), FALSE)</f>
        <v>0</v>
      </c>
      <c r="H203" s="1" t="b">
        <v>1</v>
      </c>
      <c r="I203" t="s">
        <v>96</v>
      </c>
      <c r="J203" t="s">
        <v>145</v>
      </c>
      <c r="K203" t="s">
        <v>179</v>
      </c>
      <c r="M203" t="s">
        <v>441</v>
      </c>
      <c r="N203" t="str">
        <f>Crops[[#This Row],[Crop]]</f>
        <v>Malabar Spinach</v>
      </c>
      <c r="O203" t="s">
        <v>1413</v>
      </c>
      <c r="P203" t="str">
        <f>IF(OR(Crops[[#This Row],[Days in Cells]]="",Crops[[#This Row],[Days in Cells]]=0), "DS","TP")</f>
        <v>TP</v>
      </c>
      <c r="V203" t="str">
        <f xml:space="preserve"> IF(Crops[[#This Row],[Sp]], "Sp", "") &amp; IF(Crops[[#This Row],[Su]], "Su", "") &amp; IF(Crops[[#This Row],[Fa]], "Fa", "") &amp; IF(Crops[[#This Row],[Wi]], "Wi", "") &amp; IF(Crops[[#This Row],[OW]], "Ow","")</f>
        <v/>
      </c>
      <c r="W203" t="b">
        <v>1</v>
      </c>
      <c r="X203">
        <v>1</v>
      </c>
      <c r="Y203">
        <v>6</v>
      </c>
      <c r="AB203" t="b">
        <v>0</v>
      </c>
      <c r="AC203">
        <v>6</v>
      </c>
      <c r="AD203" s="32">
        <f>IFERROR(12/Crops[[#This Row],[Spacing]]*Crops[[#This Row],[Rows]]*BedLength,"")</f>
        <v>100</v>
      </c>
      <c r="AE203">
        <v>1</v>
      </c>
      <c r="AG203">
        <f>IF(Crops[[#This Row],[Custom Safety Factor]]="",PlantingSafetyFactor,Crops[[#This Row],[Custom Safety Factor]])</f>
        <v>1.3</v>
      </c>
      <c r="AH203">
        <f>1</f>
        <v>1</v>
      </c>
      <c r="AI203" s="33">
        <f>IFERROR(Crops[[#This Row],[Plantings Per Bed]]*Crops[[#This Row],[Seeds Per Planting]]*Crops[[#This Row],[Safety Factor]]*Crops[[#This Row],[Seeding Factor]],"")</f>
        <v>130</v>
      </c>
      <c r="AL203">
        <f>_xlfn.FLOOR.MATH(IFERROR(AVERAGE(Crops[[#This Row],[DTG Lower]:[DTG Upper]]),0))</f>
        <v>0</v>
      </c>
      <c r="AM203">
        <f>SUM(Crops[[#This Row],[Tray 1 Days]],Crops[[#This Row],[Tray 2 Days]],Crops[[#This Row],[Tray 3 Days]])</f>
        <v>40</v>
      </c>
      <c r="AN203">
        <v>35</v>
      </c>
      <c r="AO203">
        <v>90</v>
      </c>
      <c r="AP203">
        <v>100</v>
      </c>
      <c r="AQ203">
        <f>IFERROR(_xlfn.FLOOR.MATH(AVERAGE(Crops[[#This Row],[DTM Lower]:[DTM Upper]])),"")</f>
        <v>95</v>
      </c>
      <c r="AR203" cm="1">
        <f t="array" ref="AR203">_xlfn.SWITCH(Crops[[#This Row],[Normal Method]],"DS",Crops[[#This Row],[Days to Germination]]+Crops[[#This Row],[DTM]] + IF(Crops[[#This Row],[Days in Cells]]&gt;0,15,0), "TP",Crops[[#This Row],[DTM]]+Crops[[#This Row],[Days in Cells]] + IF(Crops[[#This Row],[Days in Cells]]&lt;=0,20,0), "X", Crops[[#This Row],[DTM]])</f>
        <v>95</v>
      </c>
      <c r="AS203" t="s">
        <v>347</v>
      </c>
      <c r="AT203">
        <f>(Crops[[#This Row],[Harvests]]-1)*Crops[[#This Row],[Days Between Harvest]]+7</f>
        <v>56</v>
      </c>
      <c r="AU203">
        <f>Crops[[#This Row],[STH]]-Crops[[#This Row],[Days in Cells]]+Crops[[#This Row],[Harvest window]]</f>
        <v>111</v>
      </c>
      <c r="AX203">
        <v>50</v>
      </c>
      <c r="AY203">
        <v>40</v>
      </c>
      <c r="AZ203">
        <f>IFERROR(IF(Crops[[#This Row],[Tray 1 Days]]=0,"",Crops[[#This Row],[Plantings Per Bed]]/Crops[[#This Row],[Tray 1 Size]]*Crops[[#This Row],[Safety Factor]]),"")</f>
        <v>2.6</v>
      </c>
      <c r="BC203" t="str">
        <f>IFERROR(IF(Crops[[#This Row],[Tray 2 Days]]=0,"",Crops[[#This Row],[Plantings Per Bed]]/Crops[[#This Row],[Tray 2 Size]]*Crops[[#This Row],[Safety Factor]]),"")</f>
        <v/>
      </c>
      <c r="BE203" s="32" t="str">
        <f>IF(NOT(ISBLANK(Crops[[#This Row],[Tray 3 Size]])), Crops[[#This Row],[Days in Cells Old]]-SUM(Crops[[#This Row],[Tray 1 Days]],Crops[[#This Row],[Tray 2 Days]]), "")</f>
        <v/>
      </c>
      <c r="BF203" t="str">
        <f>IFERROR(IF(Crops[[#This Row],[Tray 3 Days]]=0,"",Crops[[#This Row],[Plantings Per Bed]]/Crops[[#This Row],[Tray 3 Size]]*Crops[[#This Row],[Safety Factor]]),"")</f>
        <v/>
      </c>
      <c r="BG203" s="33">
        <f>Crops[[#This Row],[Plantings Per Bed]]*0.125</f>
        <v>12.5</v>
      </c>
      <c r="BH203" s="33">
        <v>8</v>
      </c>
      <c r="BI203" s="33">
        <v>7</v>
      </c>
      <c r="BJ203" s="33">
        <f>_xlfn.XLOOKUP(Crops[[#This Row],[ProductIndex]],Products[ID],Products[Holding Period])</f>
        <v>0</v>
      </c>
      <c r="BK203" s="33"/>
      <c r="BL203" s="33">
        <f>Crops[[#This Row],[Units Per Harvest]]*Crops[[#This Row],[Harvests]]</f>
        <v>100</v>
      </c>
      <c r="BM203" s="35">
        <v>9</v>
      </c>
      <c r="BN203" s="35">
        <f>Crops[[#This Row],[Direct Price]]*0.6</f>
        <v>5.3999999999999995</v>
      </c>
      <c r="BO203" s="35"/>
      <c r="BP203" t="s">
        <v>383</v>
      </c>
      <c r="BQ203">
        <f>Crops[[#This Row],[Custom Yield Per Bed]]*Crops[[#This Row],[Direct Price]]</f>
        <v>900</v>
      </c>
      <c r="BR203" t="b">
        <v>1</v>
      </c>
      <c r="BS203" t="b">
        <f>Crops[[#This Row],[Harvests]]&gt;1</f>
        <v>1</v>
      </c>
      <c r="BT203" s="36">
        <f>IFERROR(Crops[[#This Row],[Direct Revenue Per Bed]]/Crops[[#This Row],[Days In Field]],-1)</f>
        <v>8.1081081081081088</v>
      </c>
      <c r="BU203" s="36">
        <f>IFERROR(Crops[[#This Row],[Direct Revenue Per Bed Day]]*GrowingDays*BedsPerAcre,"")</f>
        <v>233513.51351351355</v>
      </c>
      <c r="BV203" s="38">
        <f>LastFrostDate-5*Crops[[#This Row],[Sewing Rel Last Frost]]</f>
        <v>45738</v>
      </c>
      <c r="BW203" s="38">
        <f>Crops[[#This Row],[Target Sewing Date]]+Crops[[#This Row],[Days in Cells]]</f>
        <v>45778</v>
      </c>
      <c r="BX203" s="38">
        <f>Crops[[#This Row],[Target Sewing Date]]+Crops[[#This Row],[STH]]</f>
        <v>45833</v>
      </c>
      <c r="BY203" s="38">
        <f>Crops[[#This Row],[Target Harvest Data]]+Crops[[#This Row],[Harvest window]]</f>
        <v>45889</v>
      </c>
      <c r="BZ203">
        <v>2</v>
      </c>
      <c r="CB203">
        <f>1</f>
        <v>1</v>
      </c>
      <c r="CC203">
        <f>IF(Crops[[#This Row],[Transplanting]]&gt;0, 2, 3)*BedLength/StandardBedLength</f>
        <v>1</v>
      </c>
      <c r="CD203" s="173">
        <f>IF(Crops[[#This Row],[Days in Cells]]&lt;=0,0,Crops[[#This Row],[Plantings Per Bed]]/StartsPerHourSeeding+Crops[[#This Row],[Tray 1 Count]]*5/60)</f>
        <v>0.60729166666666667</v>
      </c>
      <c r="CE203" s="173">
        <f>IF(ISBLANK(Crops[[#This Row],[Tray 2 Days]]),0,Crops[[#This Row],[Plantings Per Bed]]/UpPottingPerHour)+IF(Crops[[#This Row],[Tray 3 Days]]="",0,Crops[[#This Row],[Plantings Per Bed]]/UpPottingPerHour)</f>
        <v>0</v>
      </c>
      <c r="CF203" s="173">
        <f>IFERROR(Crops[[#This Row],[Tray 1 Count]]/HomeStartFlatIrrigationPerHour,0)*Crops[[#This Row],[Days in Cells]]/DaysBetweenStartIrrigation</f>
        <v>0.43333333333333335</v>
      </c>
      <c r="CG203" s="173">
        <f>0.5/16*MAX(Crops[[#This Row],[Tray 1 Count]],Crops[[#This Row],[Tray 2 Count]],Crops[[#This Row],[Tray 3 Count]])</f>
        <v>8.1250000000000003E-2</v>
      </c>
      <c r="CH203" s="173">
        <f>IF(Crops[[#This Row],[Days in Cells]]&gt;0,IF(IF(Crops[[#This Row],[Tray 3 Size]]&gt;0,Crops[[#This Row],[Tray 3 Size]],IF(Crops[[#This Row],[Tray 2 Size]]&gt;0,Crops[[#This Row],[Tray 2 Size]],Crops[[#This Row],[Tray 1 Size]]))&lt;=18,LargeTransplantTime,SmallTransplantTime)*Crops[[#This Row],[Plantings Per Bed]],0)</f>
        <v>0.5</v>
      </c>
      <c r="CI203" s="173"/>
      <c r="CJ203" s="173">
        <f>_xlfn.XLOOKUP(Crops[[#This Row],[Trellis Type]],TrellisMethods[Trellis Type],TrellisMethods[Hours],0,0)</f>
        <v>0</v>
      </c>
      <c r="CK203">
        <f>IF(Crops[[#This Row],[Days in Cells]]&lt;=0,Crops[[#This Row],[Rows]]*1/10,0)*BedLength/50</f>
        <v>0</v>
      </c>
      <c r="CL203" cm="1">
        <f t="array" ref="CL203">_xlfn.SWITCH(Crops[[#This Row],[Irrigation]],"DR", 0.5, "OH", 0.25,0)*BedLength/50</f>
        <v>0</v>
      </c>
      <c r="CM203">
        <f>IF(OR(ISBLANK(Crops[[#This Row],[Row Cover]]),Crops[[#This Row],[Row Cover]]="None"),0,1)*BedLength/50</f>
        <v>0</v>
      </c>
      <c r="CN203" s="173">
        <f>HoursPerWeedingPass*Crops[[#This Row],[Days In Field]]/14*Crops[[#This Row],[Rows]]+1*BedLength/50</f>
        <v>2.3214285714285712</v>
      </c>
      <c r="CO203" s="219">
        <f>BedLength/50</f>
        <v>1</v>
      </c>
      <c r="CQ203" s="37">
        <f>_xlfn.XLOOKUP(Crops[[#This Row],[Crop]]&amp;Crops[[#This Row],[Product]]&amp;Crops[[#This Row],[Unit]],Products[ID],Products[Marketing (hr)])*Crops[[#This Row],[Direct Revenue Per Bed]]/2000</f>
        <v>2.25</v>
      </c>
      <c r="CR203" s="37">
        <f>_xlfn.XLOOKUP(Crops[[#This Row],[Crop]]&amp;Crops[[#This Row],[Product]]&amp;Crops[[#This Row],[Unit]],Products[ID],Products[Harvest (s)])*Crops[[#This Row],[Custom Yield Per Bed]]/3600</f>
        <v>5</v>
      </c>
      <c r="CS203" s="37">
        <f>_xlfn.XLOOKUP(Crops[[#This Row],[Crop]]&amp;Crops[[#This Row],[Product]]&amp;Crops[[#This Row],[Unit]],Products[ID],Products[Bunch (s)])*Crops[[#This Row],[Custom Yield Per Bed]]/3600</f>
        <v>0</v>
      </c>
      <c r="CT203" s="37">
        <f>_xlfn.XLOOKUP(Crops[[#This Row],[Crop]]&amp;Crops[[#This Row],[Product]]&amp;Crops[[#This Row],[Unit]],Products[ID],Products[Haul (s)])*Crops[[#This Row],[Custom Yield Per Bed]]/3600</f>
        <v>0.25</v>
      </c>
      <c r="CU203" s="37">
        <f>_xlfn.XLOOKUP(Crops[[#This Row],[Crop]]&amp;Crops[[#This Row],[Product]]&amp;Crops[[#This Row],[Unit]],Products[ID],Products[Wash (s)])*Crops[[#This Row],[Custom Yield Per Bed]]/3600</f>
        <v>0</v>
      </c>
      <c r="CV203" s="37">
        <f>_xlfn.XLOOKUP(Crops[[#This Row],[Crop]]&amp;Crops[[#This Row],[Product]]&amp;Crops[[#This Row],[Unit]],Products[ID],Products[Condition (s)])*Crops[[#This Row],[Custom Yield Per Bed]]/3600</f>
        <v>0</v>
      </c>
      <c r="CW203" s="37">
        <f>_xlfn.XLOOKUP(Crops[[#This Row],[Crop]]&amp;Crops[[#This Row],[Product]]&amp;Crops[[#This Row],[Unit]],Products[ID],Products[Trim (s)])*Crops[[#This Row],[Custom Yield Per Bed]]/3600</f>
        <v>0</v>
      </c>
      <c r="CX203" s="37">
        <f>_xlfn.XLOOKUP(Crops[[#This Row],[Crop]]&amp;Crops[[#This Row],[Product]]&amp;Crops[[#This Row],[Unit]],Products[ID],Products[Pack (s)])*Crops[[#This Row],[Custom Yield Per Bed]]/3600</f>
        <v>8.3333333333333329E-2</v>
      </c>
      <c r="CY203" s="37">
        <f>_xlfn.XLOOKUP(Crops[[#This Row],[Crop]]&amp;Crops[[#This Row],[Product]]&amp;Crops[[#This Row],[Unit]],Products[ID],Products[Clean (s)])*Crops[[#This Row],[Custom Yield Per Bed]]/3600</f>
        <v>0</v>
      </c>
      <c r="CZ203" s="37">
        <f>_xlfn.XLOOKUP(Crops[[#This Row],[Crop]]&amp;Crops[[#This Row],[Product]]&amp;Crops[[#This Row],[Unit]],Products[ID],Products[Rehandle (s)])*Crops[[#This Row],[Custom Yield Per Bed]]/3600</f>
        <v>0</v>
      </c>
      <c r="DA203" s="37">
        <f>_xlfn.XLOOKUP(Crops[[#This Row],[Crop]]&amp;Crops[[#This Row],[Product]]&amp;Crops[[#This Row],[Unit]],Products[ID],Products[Market Transport (s)])*Crops[[#This Row],[Custom Yield Per Bed]]/3600</f>
        <v>0.625</v>
      </c>
      <c r="DC203" s="37">
        <f>Crops[[#This Row],[Direct Revenue Per Bed2]]</f>
        <v>900</v>
      </c>
      <c r="DD203" s="173">
        <f>_xlfn.AGGREGATE(9,6,Crops[[#This Row],[Bed Prep]:[Remove Crop Residue]])</f>
        <v>14.151636904761906</v>
      </c>
      <c r="DE203" s="173">
        <f>_xlfn.AGGREGATE(9,6,Crops[[#This Row],[Bed Prep]:[Remove Crop Residue]])-0.75*Crops[[#This Row],[Market &amp; Sell]]</f>
        <v>12.464136904761906</v>
      </c>
      <c r="DF203" s="36">
        <f>Crops[[#This Row],[Direct Revenue Per Bed2]]/Crops[[#This Row],[Direct Time]]</f>
        <v>63.596883247983676</v>
      </c>
      <c r="DG203" s="36">
        <f>_xlfn.XLOOKUP(Crops[[#This Row],[ProductIndex]],Products[ID],Products[Packaging Cost])*(Crops[[#This Row],[Custom Yield Per Bed]]/_xlfn.XLOOKUP(Crops[[#This Row],[ProductIndex]],Products[ID],Products[Units Per Pack]))</f>
        <v>38</v>
      </c>
      <c r="DH203" s="36"/>
      <c r="DI203" s="36"/>
      <c r="DJ203" s="36"/>
      <c r="DK203" s="36"/>
      <c r="DL203" s="36"/>
      <c r="DM203" s="33">
        <f>IFERROR(Crops[[#This Row],[Custom Yield Per Bed]]*Crops[[#This Row],[Direct Price]],"")</f>
        <v>900</v>
      </c>
      <c r="DN203" s="36">
        <f>Crops[[#This Row],[Direct Time]]*LaborRate</f>
        <v>353.79092261904765</v>
      </c>
      <c r="DO203" s="36">
        <f>SUM(Crops[[#This Row],[Irrigation Cost]])</f>
        <v>0</v>
      </c>
      <c r="DP203" s="36">
        <f>Crops[[#This Row],[Direct Labor Cost]]+Crops[[#This Row],[Direct Non-Labor Cost]]</f>
        <v>353.79092261904765</v>
      </c>
      <c r="DQ203" s="36">
        <f>Crops[[#This Row],[Direct Revenue Per Bed2]]-Crops[[#This Row],[Direct Total Cost]]</f>
        <v>546.20907738095229</v>
      </c>
      <c r="DR203" s="36">
        <f>Crops[[#This Row],[Direct Profit]]*BedsPerAcre</f>
        <v>87393.452380952367</v>
      </c>
      <c r="DS203" s="36">
        <f>Crops[[#This Row],[Direct Profit]]*BedsPerAcre*GrowingDays/Crops[[#This Row],[Days In Field]]</f>
        <v>141719.11196911195</v>
      </c>
      <c r="DT203" s="36">
        <f>Crops[[#This Row],[Direct Profit]]/MIN(Crops[[#This Row],[Days In Field]],GrowingDays)</f>
        <v>4.9208024989274985</v>
      </c>
      <c r="DU203" s="36">
        <f>Crops[[#This Row],[Direct Time]] * BedsPerAcre</f>
        <v>2264.261904761905</v>
      </c>
      <c r="DV203" s="36">
        <f>(Crops[[#This Row],[Direct Revenue Per Bed2]]-Crops[[#This Row],[Direct Non-Labor Cost]])/Crops[[#This Row],[Direct Time]]</f>
        <v>63.596883247983676</v>
      </c>
      <c r="DW203" s="33">
        <f>IFERROR(Crops[[#This Row],[Custom Yield Per Bed]]*Crops[[#This Row],[Rough Wholesale Price]],"")</f>
        <v>540</v>
      </c>
      <c r="DX203" s="36">
        <f>Crops[[#This Row],[Wholesale Time]]*LaborRate</f>
        <v>311.60342261904765</v>
      </c>
      <c r="DY203" s="36">
        <f>SUM(Crops[[#This Row],[Packaging Costs]:[Irrigation Cost]])</f>
        <v>38</v>
      </c>
      <c r="DZ203" s="36">
        <f>Crops[[#This Row],[Wholesale Labor Cost]]+Crops[[#This Row],[Wholesale Non-Labor Cost]]</f>
        <v>349.60342261904765</v>
      </c>
      <c r="EA203" s="36">
        <f>Crops[[#This Row],[Wholesale Revenue Per Bed]]-Crops[[#This Row],[Wholesale Total Cost]]</f>
        <v>190.39657738095235</v>
      </c>
      <c r="EB203" s="36">
        <f>Crops[[#This Row],[Wholesale Profit]]*BedsPerAcre</f>
        <v>30463.452380952374</v>
      </c>
      <c r="EC203" s="36">
        <f>Crops[[#This Row],[Wholesale Profit]]*BedsPerAcre*GrowingDays/Crops[[#This Row],[Days In Field]]</f>
        <v>49400.19305019304</v>
      </c>
      <c r="ED203" s="36">
        <f>Crops[[#This Row],[Wholesale Time]] * BedsPerAcre</f>
        <v>1994.261904761905</v>
      </c>
      <c r="EE203" s="36">
        <f>Crops[[#This Row],[Wholesale Profit]]/MIN(Crops[[#This Row],[Days In Field]],GrowingDays)</f>
        <v>1.7152844809094807</v>
      </c>
      <c r="EF203" s="36">
        <f>(Crops[[#This Row],[Wholesale Revenue Per Bed]]-Crops[[#This Row],[Wholesale Non-Labor Cost]])/Crops[[#This Row],[Direct Time]]</f>
        <v>35.472928211653112</v>
      </c>
      <c r="EG203" s="174">
        <f>Crops[[#This Row],[Packaging Costs]]/Crops[[#This Row],[Wholesale Revenue Per Bed]]</f>
        <v>7.0370370370370375E-2</v>
      </c>
      <c r="EH203" s="36" t="str">
        <f>Crops[[#This Row],[Crop]]&amp;Crops[[#This Row],[Product]]&amp;Crops[[#This Row],[Unit]]</f>
        <v>Malabar SpinachMature LeafLb</v>
      </c>
      <c r="EI203" s="36" t="b">
        <f>_xlfn.XLOOKUP(Crops[[#This Row],[ProductIndex]],Products[ID],Products[Target])</f>
        <v>1</v>
      </c>
      <c r="EJ203" s="36">
        <f>Crops[[#This Row],[Custom Yield Per Bed]]</f>
        <v>100</v>
      </c>
      <c r="EK203" s="210">
        <f>Crops[[#This Row],[Units Per Harvest]]/Crops[[#This Row],[Days Between Harvest]]*7</f>
        <v>12.5</v>
      </c>
      <c r="EL203" s="210" t="e">
        <f>Crops[[#This Row],[Custom Yield Per Bed]]/_xlfn.XLOOKUP(Crops[[#This Row],[ProductIndex]],Products[ID],Products[CSA Portion])</f>
        <v>#DIV/0!</v>
      </c>
      <c r="EM203" s="210" t="e">
        <f>Crops[[#This Row],[Units Per Harvest]]/Crops[[#This Row],[Days Between Harvest]]*7/_xlfn.XLOOKUP(Crops[[#This Row],[ProductIndex]],Products[ID],Products[CSA Portion])</f>
        <v>#DIV/0!</v>
      </c>
      <c r="EN203" s="210" t="e">
        <f>Crops[[#This Row],[CSA Portions Per Week]]/CSAMembers</f>
        <v>#DIV/0!</v>
      </c>
      <c r="EO203" s="210"/>
      <c r="EP203" s="210"/>
      <c r="EQ203" s="36"/>
      <c r="ER203" s="36">
        <f>Crops[[#This Row],[Harvests]]*Crops[[#This Row],[Days Between Harvest]]/7</f>
        <v>8</v>
      </c>
      <c r="ES203" s="208">
        <f>_xlfn.XLOOKUP(Crops[[#This Row],[ProductIndex]],Products[ID],Products[CSA Need])</f>
        <v>0</v>
      </c>
      <c r="ET203" s="208">
        <f>_xlfn.XLOOKUP(Crops[[#This Row],[ProductIndex]],Products[ID],Products[CSA Times])</f>
        <v>0</v>
      </c>
      <c r="EU203" s="208" t="e">
        <f>Crops[[#This Row],[Custom Yield Per Bed]]/(Crops[[#This Row],[CSA Need]]*(_xlfn.XLOOKUP(Crops[[#This Row],[ProductIndex]],Products[ID],Products[CSA Portion])*CSAMembers))</f>
        <v>#DIV/0!</v>
      </c>
      <c r="EV203" s="208">
        <f>_xlfn.XLOOKUP(Crops[[#This Row],[ProductIndex]],Products[ID],Products[CSA Portion])*CSAMembers*Crops[[#This Row],[CSA Need]]/Crops[[#This Row],[Custom Yield Per Bed]]</f>
        <v>0</v>
      </c>
      <c r="EW203" s="208">
        <f>IFERROR(Crops[[#This Row],[Days In Field]]*Crops[[#This Row],[CSA Beds]],"")</f>
        <v>0</v>
      </c>
      <c r="EX203" s="208" t="e">
        <f>Crops[[#This Row],[CSA Bed Days]]*#REF!</f>
        <v>#REF!</v>
      </c>
      <c r="EY203" t="s">
        <v>294</v>
      </c>
    </row>
    <row r="204" spans="1:155">
      <c r="A204"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Malabar Spinach - Young Buds 1X | Field TP </v>
      </c>
      <c r="B204" s="29"/>
      <c r="C204" s="1" t="s">
        <v>2588</v>
      </c>
      <c r="D204" s="1"/>
      <c r="E204" s="1" t="b">
        <v>0</v>
      </c>
      <c r="F204" s="1" t="b">
        <f>IFERROR(IF(ISNUMBER(MATCH(Crops[[#This Row],[Identifier]],BedPlan[Crop], 0)), TRUE, FALSE), FALSE)</f>
        <v>0</v>
      </c>
      <c r="G204" s="1" t="b">
        <f>IFERROR(IF(ISNUMBER(MATCH(Crops[[#This Row],[Identifier]],BedPlan[Crop], 0)), TRUE, FALSE), FALSE)</f>
        <v>0</v>
      </c>
      <c r="H204" s="1"/>
      <c r="I204" t="s">
        <v>96</v>
      </c>
      <c r="J204" t="s">
        <v>145</v>
      </c>
      <c r="K204" t="s">
        <v>202</v>
      </c>
      <c r="M204" t="s">
        <v>441</v>
      </c>
      <c r="N204" t="s">
        <v>96</v>
      </c>
      <c r="O204" t="s">
        <v>210</v>
      </c>
      <c r="P204" t="str">
        <f>IF(OR(Crops[[#This Row],[Days in Cells]]="",Crops[[#This Row],[Days in Cells]]=0), "DS","TP")</f>
        <v>TP</v>
      </c>
      <c r="V204" t="str">
        <f xml:space="preserve"> IF(Crops[[#This Row],[Sp]], "Sp", "") &amp; IF(Crops[[#This Row],[Su]], "Su", "") &amp; IF(Crops[[#This Row],[Fa]], "Fa", "") &amp; IF(Crops[[#This Row],[Wi]], "Wi", "") &amp; IF(Crops[[#This Row],[OW]], "Ow","")</f>
        <v/>
      </c>
      <c r="W204" t="s">
        <v>144</v>
      </c>
      <c r="X204">
        <v>1</v>
      </c>
      <c r="Y204">
        <v>6</v>
      </c>
      <c r="Z204" t="s">
        <v>432</v>
      </c>
      <c r="AA204" t="s">
        <v>476</v>
      </c>
      <c r="AB204" t="b">
        <v>0</v>
      </c>
      <c r="AC204">
        <v>6</v>
      </c>
      <c r="AD204" s="32">
        <f>IFERROR(12/Crops[[#This Row],[Spacing]]*Crops[[#This Row],[Rows]]*BedLength,"")</f>
        <v>100</v>
      </c>
      <c r="AE204">
        <v>1</v>
      </c>
      <c r="AF204">
        <v>1.1000000000000001</v>
      </c>
      <c r="AG204">
        <f>IF(Crops[[#This Row],[Custom Safety Factor]]="",PlantingSafetyFactor,Crops[[#This Row],[Custom Safety Factor]])</f>
        <v>1.1000000000000001</v>
      </c>
      <c r="AH204">
        <f>1</f>
        <v>1</v>
      </c>
      <c r="AI204" s="33">
        <f>IFERROR(Crops[[#This Row],[Plantings Per Bed]]*Crops[[#This Row],[Seeds Per Planting]]*Crops[[#This Row],[Safety Factor]]*Crops[[#This Row],[Seeding Factor]],"")</f>
        <v>110.00000000000001</v>
      </c>
      <c r="AJ204">
        <v>10</v>
      </c>
      <c r="AK204">
        <v>21</v>
      </c>
      <c r="AL204">
        <f>_xlfn.FLOOR.MATH(IFERROR(AVERAGE(Crops[[#This Row],[DTG Lower]:[DTG Upper]]),0))</f>
        <v>15</v>
      </c>
      <c r="AM204">
        <f>SUM(Crops[[#This Row],[Tray 1 Days]],Crops[[#This Row],[Tray 2 Days]],Crops[[#This Row],[Tray 3 Days]])</f>
        <v>40</v>
      </c>
      <c r="AN204">
        <v>40</v>
      </c>
      <c r="AO204">
        <v>95</v>
      </c>
      <c r="AP204">
        <v>105</v>
      </c>
      <c r="AQ204">
        <f>IFERROR(_xlfn.FLOOR.MATH(AVERAGE(Crops[[#This Row],[DTM Lower]:[DTM Upper]])),"")</f>
        <v>100</v>
      </c>
      <c r="AR204" cm="1">
        <f t="array" ref="AR204">_xlfn.SWITCH(Crops[[#This Row],[Normal Method]],"DS",Crops[[#This Row],[Days to Germination]]+Crops[[#This Row],[DTM]] + IF(Crops[[#This Row],[Days in Cells]]&gt;0,15,0), "TP",Crops[[#This Row],[DTM]]+Crops[[#This Row],[Days in Cells]] + IF(Crops[[#This Row],[Days in Cells]]&lt;=0,20,0), "X", Crops[[#This Row],[DTM]])</f>
        <v>100</v>
      </c>
      <c r="AS204" t="s">
        <v>347</v>
      </c>
      <c r="AT204">
        <f>(Crops[[#This Row],[Harvests]]-1)*Crops[[#This Row],[Days Between Harvest]]+7</f>
        <v>70</v>
      </c>
      <c r="AU204">
        <f>Crops[[#This Row],[STH]]-Crops[[#This Row],[Days in Cells]]+Crops[[#This Row],[Harvest window]]</f>
        <v>130</v>
      </c>
      <c r="AX204">
        <v>50</v>
      </c>
      <c r="AY204">
        <v>40</v>
      </c>
      <c r="AZ204" s="49">
        <f>IFERROR(IF(Crops[[#This Row],[Tray 1 Days]]=0,"",Crops[[#This Row],[Plantings Per Bed]]/Crops[[#This Row],[Tray 1 Size]]*Crops[[#This Row],[Safety Factor]]),"")</f>
        <v>2.2000000000000002</v>
      </c>
      <c r="BC204" t="str">
        <f>IFERROR(IF(Crops[[#This Row],[Tray 2 Days]]=0,"",Crops[[#This Row],[Plantings Per Bed]]/Crops[[#This Row],[Tray 2 Size]]*Crops[[#This Row],[Safety Factor]]),"")</f>
        <v/>
      </c>
      <c r="BE204" s="32" t="str">
        <f>IF(NOT(ISBLANK(Crops[[#This Row],[Tray 3 Size]])), Crops[[#This Row],[Days in Cells Old]]-SUM(Crops[[#This Row],[Tray 1 Days]],Crops[[#This Row],[Tray 2 Days]]), "")</f>
        <v/>
      </c>
      <c r="BF204" s="49" t="str">
        <f>IFERROR(IF(Crops[[#This Row],[Tray 3 Days]]=0,"",Crops[[#This Row],[Plantings Per Bed]]/Crops[[#This Row],[Tray 3 Size]]*Crops[[#This Row],[Safety Factor]]),"")</f>
        <v/>
      </c>
      <c r="BG204" s="33">
        <f>Crops[[#This Row],[Plantings Per Bed]]*4</f>
        <v>400</v>
      </c>
      <c r="BH204" s="33">
        <v>10</v>
      </c>
      <c r="BI204" s="33">
        <v>7</v>
      </c>
      <c r="BJ204" s="33">
        <f>_xlfn.XLOOKUP(Crops[[#This Row],[ProductIndex]],Products[ID],Products[Holding Period])</f>
        <v>0</v>
      </c>
      <c r="BK204" s="33"/>
      <c r="BL204" s="33">
        <f>Crops[[#This Row],[Units Per Harvest]]*Crops[[#This Row],[Harvests]]</f>
        <v>4000</v>
      </c>
      <c r="BM204" s="35">
        <v>0.2</v>
      </c>
      <c r="BN204" s="35">
        <f>Crops[[#This Row],[Direct Price]]*0.6</f>
        <v>0.12</v>
      </c>
      <c r="BO204" s="35"/>
      <c r="BP204" t="s">
        <v>213</v>
      </c>
      <c r="BQ204" s="193">
        <f>Crops[[#This Row],[Custom Yield Per Bed]]*Crops[[#This Row],[Direct Price]]</f>
        <v>800</v>
      </c>
      <c r="BR204" s="193" t="b">
        <v>0</v>
      </c>
      <c r="BS204" t="b">
        <f>Crops[[#This Row],[Harvests]]&gt;1</f>
        <v>1</v>
      </c>
      <c r="BT204" s="36">
        <f>IFERROR(Crops[[#This Row],[Direct Revenue Per Bed]]/Crops[[#This Row],[Days In Field]],-1)</f>
        <v>6.1538461538461542</v>
      </c>
      <c r="BU204" s="36">
        <f>IFERROR(Crops[[#This Row],[Direct Revenue Per Bed Day]]*GrowingDays*BedsPerAcre,"")</f>
        <v>177230.76923076925</v>
      </c>
      <c r="BV204" s="38">
        <f>LastFrostDate-5*Crops[[#This Row],[Sewing Rel Last Frost]]</f>
        <v>45748</v>
      </c>
      <c r="BW204" s="38">
        <f>Crops[[#This Row],[Target Sewing Date]]+Crops[[#This Row],[Days in Cells]]</f>
        <v>45788</v>
      </c>
      <c r="BX204" s="38">
        <f>Crops[[#This Row],[Target Sewing Date]]+Crops[[#This Row],[STH]]</f>
        <v>45848</v>
      </c>
      <c r="BY204" s="38">
        <f>Crops[[#This Row],[Target Harvest Data]]+Crops[[#This Row],[Harvest window]]</f>
        <v>45918</v>
      </c>
      <c r="BZ204">
        <v>0</v>
      </c>
      <c r="CB204">
        <f>1</f>
        <v>1</v>
      </c>
      <c r="CC204">
        <f>IF(Crops[[#This Row],[Transplanting]]&gt;0, 2, 3)*BedLength/StandardBedLength</f>
        <v>1</v>
      </c>
      <c r="CD204" s="173">
        <f>IF(Crops[[#This Row],[Days in Cells]]&lt;=0,0,Crops[[#This Row],[Plantings Per Bed]]/StartsPerHourSeeding+Crops[[#This Row],[Tray 1 Count]]*5/60)</f>
        <v>0.57395833333333335</v>
      </c>
      <c r="CE204" s="173">
        <f>IF(ISBLANK(Crops[[#This Row],[Tray 2 Days]]),0,Crops[[#This Row],[Plantings Per Bed]]/UpPottingPerHour)+IF(Crops[[#This Row],[Tray 3 Days]]="",0,Crops[[#This Row],[Plantings Per Bed]]/UpPottingPerHour)</f>
        <v>0</v>
      </c>
      <c r="CF204" s="173">
        <f>IFERROR(Crops[[#This Row],[Tray 1 Count]]/HomeStartFlatIrrigationPerHour,0)*Crops[[#This Row],[Days in Cells]]/DaysBetweenStartIrrigation</f>
        <v>0.3666666666666667</v>
      </c>
      <c r="CG204" s="173">
        <f>0.5/16*MAX(Crops[[#This Row],[Tray 1 Count]],Crops[[#This Row],[Tray 2 Count]],Crops[[#This Row],[Tray 3 Count]])</f>
        <v>6.8750000000000006E-2</v>
      </c>
      <c r="CH204" s="173">
        <f>IF(Crops[[#This Row],[Days in Cells]]&gt;0,IF(IF(Crops[[#This Row],[Tray 3 Size]]&gt;0,Crops[[#This Row],[Tray 3 Size]],IF(Crops[[#This Row],[Tray 2 Size]]&gt;0,Crops[[#This Row],[Tray 2 Size]],Crops[[#This Row],[Tray 1 Size]]))&lt;=18,LargeTransplantTime,SmallTransplantTime)*Crops[[#This Row],[Plantings Per Bed]],0)</f>
        <v>0.5</v>
      </c>
      <c r="CI204" s="173"/>
      <c r="CJ204" s="173">
        <f>_xlfn.XLOOKUP(Crops[[#This Row],[Trellis Type]],TrellisMethods[Trellis Type],TrellisMethods[Hours],0,0)</f>
        <v>0</v>
      </c>
      <c r="CK204">
        <f>IF(Crops[[#This Row],[Days in Cells]]&lt;=0,Crops[[#This Row],[Rows]]*1/10,0)*BedLength/50</f>
        <v>0</v>
      </c>
      <c r="CL204" cm="1">
        <f t="array" ref="CL204">_xlfn.SWITCH(Crops[[#This Row],[Irrigation]],"DR", 0.5, "OH", 0.25,0)*BedLength/50</f>
        <v>0.5</v>
      </c>
      <c r="CM204">
        <f>IF(OR(ISBLANK(Crops[[#This Row],[Row Cover]]),Crops[[#This Row],[Row Cover]]="None"),0,1)*BedLength/50</f>
        <v>1</v>
      </c>
      <c r="CN204" s="173">
        <f>HoursPerWeedingPass*Crops[[#This Row],[Days In Field]]/14*Crops[[#This Row],[Rows]]+1*BedLength/50</f>
        <v>2.5476190476190474</v>
      </c>
      <c r="CO204" s="220">
        <f>BedLength/50</f>
        <v>1</v>
      </c>
      <c r="CQ204" s="37">
        <f>_xlfn.XLOOKUP(Crops[[#This Row],[Crop]]&amp;Crops[[#This Row],[Product]]&amp;Crops[[#This Row],[Unit]],Products[ID],Products[Marketing (hr)])*Crops[[#This Row],[Direct Revenue Per Bed]]/2000</f>
        <v>2</v>
      </c>
      <c r="CR204" s="37">
        <f>_xlfn.XLOOKUP(Crops[[#This Row],[Crop]]&amp;Crops[[#This Row],[Product]]&amp;Crops[[#This Row],[Unit]],Products[ID],Products[Harvest (s)])*Crops[[#This Row],[Custom Yield Per Bed]]/3600</f>
        <v>3.3333333333333335</v>
      </c>
      <c r="CS204" s="37">
        <f>_xlfn.XLOOKUP(Crops[[#This Row],[Crop]]&amp;Crops[[#This Row],[Product]]&amp;Crops[[#This Row],[Unit]],Products[ID],Products[Bunch (s)])*Crops[[#This Row],[Custom Yield Per Bed]]/3600</f>
        <v>0</v>
      </c>
      <c r="CT204" s="37">
        <f>_xlfn.XLOOKUP(Crops[[#This Row],[Crop]]&amp;Crops[[#This Row],[Product]]&amp;Crops[[#This Row],[Unit]],Products[ID],Products[Haul (s)])*Crops[[#This Row],[Custom Yield Per Bed]]/3600</f>
        <v>3.3333333333333333E-2</v>
      </c>
      <c r="CU204" s="37">
        <f>_xlfn.XLOOKUP(Crops[[#This Row],[Crop]]&amp;Crops[[#This Row],[Product]]&amp;Crops[[#This Row],[Unit]],Products[ID],Products[Wash (s)])*Crops[[#This Row],[Custom Yield Per Bed]]/3600</f>
        <v>0</v>
      </c>
      <c r="CV204" s="37">
        <f>_xlfn.XLOOKUP(Crops[[#This Row],[Crop]]&amp;Crops[[#This Row],[Product]]&amp;Crops[[#This Row],[Unit]],Products[ID],Products[Condition (s)])*Crops[[#This Row],[Custom Yield Per Bed]]/3600</f>
        <v>0</v>
      </c>
      <c r="CW204" s="37">
        <f>_xlfn.XLOOKUP(Crops[[#This Row],[Crop]]&amp;Crops[[#This Row],[Product]]&amp;Crops[[#This Row],[Unit]],Products[ID],Products[Trim (s)])*Crops[[#This Row],[Custom Yield Per Bed]]/3600</f>
        <v>0</v>
      </c>
      <c r="CX204" s="37">
        <f>_xlfn.XLOOKUP(Crops[[#This Row],[Crop]]&amp;Crops[[#This Row],[Product]]&amp;Crops[[#This Row],[Unit]],Products[ID],Products[Pack (s)])*Crops[[#This Row],[Custom Yield Per Bed]]/3600</f>
        <v>3.3333333333333335</v>
      </c>
      <c r="CY204" s="37">
        <f>_xlfn.XLOOKUP(Crops[[#This Row],[Crop]]&amp;Crops[[#This Row],[Product]]&amp;Crops[[#This Row],[Unit]],Products[ID],Products[Clean (s)])*Crops[[#This Row],[Custom Yield Per Bed]]/3600</f>
        <v>0</v>
      </c>
      <c r="CZ204" s="37">
        <f>_xlfn.XLOOKUP(Crops[[#This Row],[Crop]]&amp;Crops[[#This Row],[Product]]&amp;Crops[[#This Row],[Unit]],Products[ID],Products[Rehandle (s)])*Crops[[#This Row],[Custom Yield Per Bed]]/3600</f>
        <v>0</v>
      </c>
      <c r="DA204" s="37">
        <f>_xlfn.XLOOKUP(Crops[[#This Row],[Crop]]&amp;Crops[[#This Row],[Product]]&amp;Crops[[#This Row],[Unit]],Products[ID],Products[Market Transport (s)])*Crops[[#This Row],[Custom Yield Per Bed]]/3600</f>
        <v>8.3333333333333329E-2</v>
      </c>
      <c r="DC204" s="37">
        <f>Crops[[#This Row],[Direct Revenue Per Bed2]]</f>
        <v>800</v>
      </c>
      <c r="DD204" s="173">
        <f>_xlfn.AGGREGATE(9,6,Crops[[#This Row],[Bed Prep]:[Remove Crop Residue]])</f>
        <v>16.340327380952381</v>
      </c>
      <c r="DE204" s="173">
        <f>_xlfn.AGGREGATE(9,6,Crops[[#This Row],[Bed Prep]:[Remove Crop Residue]])-0.75*Crops[[#This Row],[Market &amp; Sell]]</f>
        <v>14.840327380952381</v>
      </c>
      <c r="DF204" s="36">
        <f>Crops[[#This Row],[Direct Revenue Per Bed2]]/Crops[[#This Row],[Direct Time]]</f>
        <v>48.958627409910115</v>
      </c>
      <c r="DG204" s="36">
        <f>_xlfn.XLOOKUP(Crops[[#This Row],[ProductIndex]],Products[ID],Products[Packaging Cost])*(Crops[[#This Row],[Custom Yield Per Bed]]/_xlfn.XLOOKUP(Crops[[#This Row],[ProductIndex]],Products[ID],Products[Units Per Pack]))</f>
        <v>26</v>
      </c>
      <c r="DH204" s="36"/>
      <c r="DI204" s="36"/>
      <c r="DJ204" s="36"/>
      <c r="DK204" s="36"/>
      <c r="DL204" s="36"/>
      <c r="DM204" s="33">
        <f>IFERROR(Crops[[#This Row],[Custom Yield Per Bed]]*Crops[[#This Row],[Direct Price]],"")</f>
        <v>800</v>
      </c>
      <c r="DN204" s="36">
        <f>Crops[[#This Row],[Direct Time]]*LaborRate</f>
        <v>408.50818452380952</v>
      </c>
      <c r="DO204" s="36">
        <f>SUM(Crops[[#This Row],[Irrigation Cost]])</f>
        <v>0</v>
      </c>
      <c r="DP204" s="36">
        <f>Crops[[#This Row],[Direct Labor Cost]]+Crops[[#This Row],[Direct Non-Labor Cost]]</f>
        <v>408.50818452380952</v>
      </c>
      <c r="DQ204" s="36">
        <f>Crops[[#This Row],[Direct Revenue Per Bed2]]-Crops[[#This Row],[Direct Total Cost]]</f>
        <v>391.49181547619048</v>
      </c>
      <c r="DR204" s="36">
        <f>Crops[[#This Row],[Direct Profit]]*BedsPerAcre</f>
        <v>62638.690476190473</v>
      </c>
      <c r="DS204" s="36">
        <f>Crops[[#This Row],[Direct Profit]]*BedsPerAcre*GrowingDays/Crops[[#This Row],[Days In Field]]</f>
        <v>86730.494505494498</v>
      </c>
      <c r="DT204" s="36">
        <f>Crops[[#This Row],[Direct Profit]]/MIN(Crops[[#This Row],[Days In Field]],GrowingDays)</f>
        <v>3.0114755036630036</v>
      </c>
      <c r="DU204" s="36">
        <f>Crops[[#This Row],[Direct Time]] * BedsPerAcre</f>
        <v>2614.4523809523807</v>
      </c>
      <c r="DV204" s="36">
        <f>(Crops[[#This Row],[Direct Revenue Per Bed2]]-Crops[[#This Row],[Direct Non-Labor Cost]])/Crops[[#This Row],[Direct Time]]</f>
        <v>48.958627409910115</v>
      </c>
      <c r="DW204" s="33">
        <f>IFERROR(Crops[[#This Row],[Custom Yield Per Bed]]*Crops[[#This Row],[Rough Wholesale Price]],"")</f>
        <v>480</v>
      </c>
      <c r="DX204" s="36">
        <f>Crops[[#This Row],[Wholesale Time]]*LaborRate</f>
        <v>371.00818452380952</v>
      </c>
      <c r="DY204" s="36">
        <f>SUM(Crops[[#This Row],[Packaging Costs]:[Irrigation Cost]])</f>
        <v>26</v>
      </c>
      <c r="DZ204" s="36">
        <f>Crops[[#This Row],[Wholesale Labor Cost]]+Crops[[#This Row],[Wholesale Non-Labor Cost]]</f>
        <v>397.00818452380952</v>
      </c>
      <c r="EA204" s="36">
        <f>Crops[[#This Row],[Wholesale Revenue Per Bed]]-Crops[[#This Row],[Wholesale Total Cost]]</f>
        <v>82.991815476190482</v>
      </c>
      <c r="EB204" s="36">
        <f>Crops[[#This Row],[Wholesale Profit]]*BedsPerAcre</f>
        <v>13278.690476190477</v>
      </c>
      <c r="EC204" s="36">
        <f>Crops[[#This Row],[Wholesale Profit]]*BedsPerAcre*GrowingDays/Crops[[#This Row],[Days In Field]]</f>
        <v>18385.879120879123</v>
      </c>
      <c r="ED204" s="36">
        <f>Crops[[#This Row],[Wholesale Time]] * BedsPerAcre</f>
        <v>2374.4523809523807</v>
      </c>
      <c r="EE204" s="36">
        <f>Crops[[#This Row],[Wholesale Profit]]/MIN(Crops[[#This Row],[Days In Field]],GrowingDays)</f>
        <v>0.63839858058608068</v>
      </c>
      <c r="EF204" s="36">
        <f>(Crops[[#This Row],[Wholesale Revenue Per Bed]]-Crops[[#This Row],[Wholesale Non-Labor Cost]])/Crops[[#This Row],[Direct Time]]</f>
        <v>27.78402105512399</v>
      </c>
      <c r="EG204" s="174">
        <f>Crops[[#This Row],[Packaging Costs]]/Crops[[#This Row],[Wholesale Revenue Per Bed]]</f>
        <v>5.4166666666666669E-2</v>
      </c>
      <c r="EH204" s="36" t="str">
        <f>Crops[[#This Row],[Crop]]&amp;Crops[[#This Row],[Product]]&amp;Crops[[#This Row],[Unit]]</f>
        <v>Malabar SpinachYoung BudsStem</v>
      </c>
      <c r="EI204" s="36" t="b">
        <f>_xlfn.XLOOKUP(Crops[[#This Row],[ProductIndex]],Products[ID],Products[Target])</f>
        <v>1</v>
      </c>
      <c r="EJ204" s="36">
        <f>Crops[[#This Row],[Custom Yield Per Bed]]</f>
        <v>4000</v>
      </c>
      <c r="EK204" s="210">
        <f>Crops[[#This Row],[Units Per Harvest]]/Crops[[#This Row],[Days Between Harvest]]*7</f>
        <v>400</v>
      </c>
      <c r="EL204" s="210" t="e">
        <f>Crops[[#This Row],[Custom Yield Per Bed]]/_xlfn.XLOOKUP(Crops[[#This Row],[ProductIndex]],Products[ID],Products[CSA Portion])</f>
        <v>#DIV/0!</v>
      </c>
      <c r="EM204" s="210" t="e">
        <f>Crops[[#This Row],[Units Per Harvest]]/Crops[[#This Row],[Days Between Harvest]]*7/_xlfn.XLOOKUP(Crops[[#This Row],[ProductIndex]],Products[ID],Products[CSA Portion])</f>
        <v>#DIV/0!</v>
      </c>
      <c r="EN204" s="210" t="e">
        <f>Crops[[#This Row],[CSA Portions Per Week]]/CSAMembers</f>
        <v>#DIV/0!</v>
      </c>
      <c r="EO204" s="210"/>
      <c r="EP204" s="210"/>
      <c r="EQ204" s="36"/>
      <c r="ER204" s="36">
        <f>Crops[[#This Row],[Harvests]]*Crops[[#This Row],[Days Between Harvest]]/7</f>
        <v>10</v>
      </c>
      <c r="ES204" s="208">
        <f>_xlfn.XLOOKUP(Crops[[#This Row],[ProductIndex]],Products[ID],Products[CSA Need])</f>
        <v>0</v>
      </c>
      <c r="ET204" s="208">
        <f>_xlfn.XLOOKUP(Crops[[#This Row],[ProductIndex]],Products[ID],Products[CSA Times])</f>
        <v>0</v>
      </c>
      <c r="EU204" s="208" t="e">
        <f>Crops[[#This Row],[Custom Yield Per Bed]]/(Crops[[#This Row],[CSA Need]]*(_xlfn.XLOOKUP(Crops[[#This Row],[ProductIndex]],Products[ID],Products[CSA Portion])*CSAMembers))</f>
        <v>#DIV/0!</v>
      </c>
      <c r="EV204" s="208">
        <f>_xlfn.XLOOKUP(Crops[[#This Row],[ProductIndex]],Products[ID],Products[CSA Portion])*CSAMembers*Crops[[#This Row],[CSA Need]]/Crops[[#This Row],[Custom Yield Per Bed]]</f>
        <v>0</v>
      </c>
      <c r="EW204" s="208">
        <f>IFERROR(Crops[[#This Row],[Days In Field]]*Crops[[#This Row],[CSA Beds]],"")</f>
        <v>0</v>
      </c>
      <c r="EX204" s="208" t="e">
        <f>Crops[[#This Row],[CSA Bed Days]]*#REF!</f>
        <v>#REF!</v>
      </c>
      <c r="EY204" t="s">
        <v>416</v>
      </c>
    </row>
    <row r="205" spans="1:155">
      <c r="A20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(African) - Mature Stem 1X | Field DS </v>
      </c>
      <c r="B205" s="189"/>
      <c r="C205" s="1"/>
      <c r="D205" s="1"/>
      <c r="E205" s="1" t="b">
        <v>0</v>
      </c>
      <c r="F205" s="1" t="b">
        <f>IFERROR(IF(ISNUMBER(MATCH(Crops[[#This Row],[Identifier]],BedPlan[Crop], 0)), TRUE, FALSE), FALSE)</f>
        <v>0</v>
      </c>
      <c r="G205" s="1" t="b">
        <f>IFERROR(IF(ISNUMBER(MATCH(Crops[[#This Row],[Identifier]],BedPlan[Crop], 0)), TRUE, FALSE), FALSE)</f>
        <v>0</v>
      </c>
      <c r="H205" s="1"/>
      <c r="I205" t="s">
        <v>97</v>
      </c>
      <c r="J205" t="s">
        <v>1737</v>
      </c>
      <c r="K205" t="s">
        <v>181</v>
      </c>
      <c r="M205" t="s">
        <v>406</v>
      </c>
      <c r="N205" t="str">
        <f>Crops[[#This Row],[Crop]]</f>
        <v>Marigolds</v>
      </c>
      <c r="O205" t="s">
        <v>210</v>
      </c>
      <c r="P205" t="str">
        <f>IF(OR(Crops[[#This Row],[Days in Cells]]="",Crops[[#This Row],[Days in Cells]]=0), "DS","TP")</f>
        <v>DS</v>
      </c>
      <c r="V205" t="str">
        <f xml:space="preserve"> IF(Crops[[#This Row],[Sp]], "Sp", "") &amp; IF(Crops[[#This Row],[Su]], "Su", "") &amp; IF(Crops[[#This Row],[Fa]], "Fa", "") &amp; IF(Crops[[#This Row],[Wi]], "Wi", "") &amp; IF(Crops[[#This Row],[OW]], "Ow","")</f>
        <v/>
      </c>
      <c r="W205" t="s">
        <v>144</v>
      </c>
      <c r="X205">
        <v>2</v>
      </c>
      <c r="Y205">
        <v>18</v>
      </c>
      <c r="AA205" t="s">
        <v>474</v>
      </c>
      <c r="AB205" t="b">
        <v>0</v>
      </c>
      <c r="AC205">
        <v>2.5</v>
      </c>
      <c r="AD205" s="32">
        <f>IFERROR(12/Crops[[#This Row],[Spacing]]*Crops[[#This Row],[Rows]]*BedLength,"")</f>
        <v>66.666666666666657</v>
      </c>
      <c r="AE205">
        <v>1</v>
      </c>
      <c r="AG205">
        <f>IF(Crops[[#This Row],[Custom Safety Factor]]="",PlantingSafetyFactor,Crops[[#This Row],[Custom Safety Factor]])</f>
        <v>1.3</v>
      </c>
      <c r="AH205">
        <f>1</f>
        <v>1</v>
      </c>
      <c r="AI205" s="33">
        <f>IFERROR(Crops[[#This Row],[Plantings Per Bed]]*Crops[[#This Row],[Seeds Per Planting]]*Crops[[#This Row],[Safety Factor]]*Crops[[#This Row],[Seeding Factor]],"")</f>
        <v>86.666666666666657</v>
      </c>
      <c r="AJ205">
        <v>4</v>
      </c>
      <c r="AK205">
        <v>7</v>
      </c>
      <c r="AL205">
        <f>_xlfn.FLOOR.MATH(IFERROR(AVERAGE(Crops[[#This Row],[DTG Lower]:[DTG Upper]]),0))</f>
        <v>5</v>
      </c>
      <c r="AM205">
        <f>SUM(Crops[[#This Row],[Tray 1 Days]],Crops[[#This Row],[Tray 2 Days]],Crops[[#This Row],[Tray 3 Days]])</f>
        <v>0</v>
      </c>
      <c r="AN205" s="32">
        <v>35</v>
      </c>
      <c r="AO205">
        <v>105</v>
      </c>
      <c r="AP205">
        <v>125</v>
      </c>
      <c r="AQ205">
        <f>IFERROR(_xlfn.FLOOR.MATH(AVERAGE(Crops[[#This Row],[DTM Lower]:[DTM Upper]])),"")</f>
        <v>115</v>
      </c>
      <c r="AR205" cm="1">
        <f t="array" ref="AR205">_xlfn.SWITCH(Crops[[#This Row],[Normal Method]],"DS",Crops[[#This Row],[Days to Germination]]+Crops[[#This Row],[DTM]] + IF(Crops[[#This Row],[Days in Cells]]&gt;0,15,0), "TP",Crops[[#This Row],[DTM]]+Crops[[#This Row],[Days in Cells]] + IF(Crops[[#This Row],[Days in Cells]]&lt;=0,20,0), "X", Crops[[#This Row],[DTM]])</f>
        <v>115</v>
      </c>
      <c r="AS205" t="s">
        <v>347</v>
      </c>
      <c r="AT205">
        <f>(Crops[[#This Row],[Harvests]]-1)*Crops[[#This Row],[Days Between Harvest]]+7</f>
        <v>35</v>
      </c>
      <c r="AU205">
        <f>Crops[[#This Row],[STH]]-Crops[[#This Row],[Days in Cells]]+Crops[[#This Row],[Harvest window]]</f>
        <v>150</v>
      </c>
      <c r="AZ205" s="49" t="str">
        <f>IFERROR(IF(Crops[[#This Row],[Tray 1 Days]]=0,"",Crops[[#This Row],[Plantings Per Bed]]/Crops[[#This Row],[Tray 1 Size]]*Crops[[#This Row],[Safety Factor]]),"")</f>
        <v/>
      </c>
      <c r="BC205" t="str">
        <f>IFERROR(IF(Crops[[#This Row],[Tray 2 Days]]=0,"",Crops[[#This Row],[Plantings Per Bed]]/Crops[[#This Row],[Tray 2 Size]]*Crops[[#This Row],[Safety Factor]]),"")</f>
        <v/>
      </c>
      <c r="BE205" s="32" t="str">
        <f>IF(NOT(ISBLANK(Crops[[#This Row],[Tray 3 Size]])), Crops[[#This Row],[Days in Cells Old]]-SUM(Crops[[#This Row],[Tray 1 Days]],Crops[[#This Row],[Tray 2 Days]]), "")</f>
        <v/>
      </c>
      <c r="BF205" s="49" t="str">
        <f>IFERROR(IF(Crops[[#This Row],[Tray 3 Days]]=0,"",Crops[[#This Row],[Plantings Per Bed]]/Crops[[#This Row],[Tray 3 Size]]*Crops[[#This Row],[Safety Factor]]),"")</f>
        <v/>
      </c>
      <c r="BG205" s="33">
        <f>Crops[[#This Row],[Plantings Per Bed]]*2</f>
        <v>133.33333333333331</v>
      </c>
      <c r="BH205" s="33">
        <v>5</v>
      </c>
      <c r="BI205" s="33">
        <v>7</v>
      </c>
      <c r="BJ205" s="33" t="e">
        <f>_xlfn.XLOOKUP(Crops[[#This Row],[ProductIndex]],Products[ID],Products[Holding Period])</f>
        <v>#N/A</v>
      </c>
      <c r="BK205" s="33"/>
      <c r="BL205" s="33">
        <f>Crops[[#This Row],[Units Per Harvest]]*Crops[[#This Row],[Harvests]]</f>
        <v>666.66666666666652</v>
      </c>
      <c r="BM205" s="35">
        <v>1</v>
      </c>
      <c r="BN205" s="35">
        <f>Crops[[#This Row],[Direct Price]]*0.6</f>
        <v>0.6</v>
      </c>
      <c r="BO205" s="35"/>
      <c r="BP205" t="s">
        <v>213</v>
      </c>
      <c r="BQ205">
        <f>Crops[[#This Row],[Custom Yield Per Bed]]*Crops[[#This Row],[Direct Price]]</f>
        <v>666.66666666666652</v>
      </c>
      <c r="BR205" t="b">
        <v>0</v>
      </c>
      <c r="BS205" t="b">
        <f>Crops[[#This Row],[Harvests]]&gt;1</f>
        <v>1</v>
      </c>
      <c r="BT205" s="36">
        <f>IFERROR(Crops[[#This Row],[Direct Revenue Per Bed]]/Crops[[#This Row],[Days In Field]],-1)</f>
        <v>4.4444444444444438</v>
      </c>
      <c r="BU205" s="36">
        <f>IFERROR(Crops[[#This Row],[Direct Revenue Per Bed Day]]*GrowingDays*BedsPerAcre,"")</f>
        <v>127999.99999999999</v>
      </c>
      <c r="BV205" s="38">
        <f>LastFrostDate-5*Crops[[#This Row],[Sewing Rel Last Frost]]</f>
        <v>45768</v>
      </c>
      <c r="BW205" s="38">
        <f>Crops[[#This Row],[Target Sewing Date]]+Crops[[#This Row],[Days in Cells]]</f>
        <v>45768</v>
      </c>
      <c r="BX205" s="38">
        <f>Crops[[#This Row],[Target Sewing Date]]+Crops[[#This Row],[STH]]</f>
        <v>45883</v>
      </c>
      <c r="BY205" s="38">
        <f>Crops[[#This Row],[Target Harvest Data]]+Crops[[#This Row],[Harvest window]]</f>
        <v>45918</v>
      </c>
      <c r="BZ205">
        <v>-4</v>
      </c>
      <c r="CB205">
        <f>1</f>
        <v>1</v>
      </c>
      <c r="CC205">
        <f>IF(Crops[[#This Row],[Transplanting]]&gt;0, 2, 3)*BedLength/StandardBedLength</f>
        <v>1.5</v>
      </c>
      <c r="CD205" s="173">
        <f>IF(Crops[[#This Row],[Days in Cells]]&lt;=0,0,Crops[[#This Row],[Plantings Per Bed]]/StartsPerHourSeeding+Crops[[#This Row],[Tray 1 Count]]*5/60)</f>
        <v>0</v>
      </c>
      <c r="CE205" s="173">
        <f>IF(ISBLANK(Crops[[#This Row],[Tray 2 Days]]),0,Crops[[#This Row],[Plantings Per Bed]]/UpPottingPerHour)+IF(Crops[[#This Row],[Tray 3 Days]]="",0,Crops[[#This Row],[Plantings Per Bed]]/UpPottingPerHour)</f>
        <v>0</v>
      </c>
      <c r="CF205" s="173">
        <f>IFERROR(Crops[[#This Row],[Tray 1 Count]]/HomeStartFlatIrrigationPerHour,0)*Crops[[#This Row],[Days in Cells]]/DaysBetweenStartIrrigation</f>
        <v>0</v>
      </c>
      <c r="CG205" s="173">
        <f>0.5/16*MAX(Crops[[#This Row],[Tray 1 Count]],Crops[[#This Row],[Tray 2 Count]],Crops[[#This Row],[Tray 3 Count]])</f>
        <v>0</v>
      </c>
      <c r="CH205" s="173">
        <f>IF(Crops[[#This Row],[Days in Cells]]&gt;0,IF(IF(Crops[[#This Row],[Tray 3 Size]]&gt;0,Crops[[#This Row],[Tray 3 Size]],IF(Crops[[#This Row],[Tray 2 Size]]&gt;0,Crops[[#This Row],[Tray 2 Size]],Crops[[#This Row],[Tray 1 Size]]))&lt;=18,LargeTransplantTime,SmallTransplantTime)*Crops[[#This Row],[Plantings Per Bed]],0)</f>
        <v>0</v>
      </c>
      <c r="CI205" s="173"/>
      <c r="CJ205" s="173">
        <f>_xlfn.XLOOKUP(Crops[[#This Row],[Trellis Type]],TrellisMethods[Trellis Type],TrellisMethods[Hours],0,0)</f>
        <v>0</v>
      </c>
      <c r="CK205">
        <f>IF(Crops[[#This Row],[Days in Cells]]&lt;=0,Crops[[#This Row],[Rows]]*1/10,0)*BedLength/50</f>
        <v>0.2</v>
      </c>
      <c r="CL205" cm="1">
        <f t="array" ref="CL205">_xlfn.SWITCH(Crops[[#This Row],[Irrigation]],"DR", 0.5, "OH", 0.25,0)*BedLength/50</f>
        <v>0</v>
      </c>
      <c r="CM205">
        <f>IF(OR(ISBLANK(Crops[[#This Row],[Row Cover]]),Crops[[#This Row],[Row Cover]]="None"),0,1)*BedLength/50</f>
        <v>0</v>
      </c>
      <c r="CN205" s="173">
        <f>HoursPerWeedingPass*Crops[[#This Row],[Days In Field]]/14*Crops[[#This Row],[Rows]]+1*BedLength/50</f>
        <v>4.5714285714285712</v>
      </c>
      <c r="CQ205" s="37" t="e">
        <f>_xlfn.XLOOKUP(Crops[[#This Row],[Crop]]&amp;Crops[[#This Row],[Product]]&amp;Crops[[#This Row],[Unit]],Products[ID],Products[Marketing (hr)])*Crops[[#This Row],[Direct Revenue Per Bed]]/2000</f>
        <v>#N/A</v>
      </c>
      <c r="CR205" s="37" t="e">
        <f>_xlfn.XLOOKUP(Crops[[#This Row],[Crop]]&amp;Crops[[#This Row],[Product]]&amp;Crops[[#This Row],[Unit]],Products[ID],Products[Harvest (s)])*Crops[[#This Row],[Custom Yield Per Bed]]/3600</f>
        <v>#N/A</v>
      </c>
      <c r="CS205" s="37" t="e">
        <f>_xlfn.XLOOKUP(Crops[[#This Row],[Crop]]&amp;Crops[[#This Row],[Product]]&amp;Crops[[#This Row],[Unit]],Products[ID],Products[Bunch (s)])*Crops[[#This Row],[Custom Yield Per Bed]]/3600</f>
        <v>#N/A</v>
      </c>
      <c r="CT205" s="37" t="e">
        <f>_xlfn.XLOOKUP(Crops[[#This Row],[Crop]]&amp;Crops[[#This Row],[Product]]&amp;Crops[[#This Row],[Unit]],Products[ID],Products[Haul (s)])*Crops[[#This Row],[Custom Yield Per Bed]]/3600</f>
        <v>#N/A</v>
      </c>
      <c r="CU205" s="37" t="e">
        <f>_xlfn.XLOOKUP(Crops[[#This Row],[Crop]]&amp;Crops[[#This Row],[Product]]&amp;Crops[[#This Row],[Unit]],Products[ID],Products[Wash (s)])*Crops[[#This Row],[Custom Yield Per Bed]]/3600</f>
        <v>#N/A</v>
      </c>
      <c r="CV205" s="37" t="e">
        <f>_xlfn.XLOOKUP(Crops[[#This Row],[Crop]]&amp;Crops[[#This Row],[Product]]&amp;Crops[[#This Row],[Unit]],Products[ID],Products[Condition (s)])*Crops[[#This Row],[Custom Yield Per Bed]]/3600</f>
        <v>#N/A</v>
      </c>
      <c r="CW205" s="37" t="e">
        <f>_xlfn.XLOOKUP(Crops[[#This Row],[Crop]]&amp;Crops[[#This Row],[Product]]&amp;Crops[[#This Row],[Unit]],Products[ID],Products[Trim (s)])*Crops[[#This Row],[Custom Yield Per Bed]]/3600</f>
        <v>#N/A</v>
      </c>
      <c r="CX205" s="37" t="e">
        <f>_xlfn.XLOOKUP(Crops[[#This Row],[Crop]]&amp;Crops[[#This Row],[Product]]&amp;Crops[[#This Row],[Unit]],Products[ID],Products[Pack (s)])*Crops[[#This Row],[Custom Yield Per Bed]]/3600</f>
        <v>#N/A</v>
      </c>
      <c r="CY205" s="37" t="e">
        <f>_xlfn.XLOOKUP(Crops[[#This Row],[Crop]]&amp;Crops[[#This Row],[Product]]&amp;Crops[[#This Row],[Unit]],Products[ID],Products[Clean (s)])*Crops[[#This Row],[Custom Yield Per Bed]]/3600</f>
        <v>#N/A</v>
      </c>
      <c r="CZ205" s="37" t="e">
        <f>_xlfn.XLOOKUP(Crops[[#This Row],[Crop]]&amp;Crops[[#This Row],[Product]]&amp;Crops[[#This Row],[Unit]],Products[ID],Products[Rehandle (s)])*Crops[[#This Row],[Custom Yield Per Bed]]/3600</f>
        <v>#N/A</v>
      </c>
      <c r="DA205" s="37" t="e">
        <f>_xlfn.XLOOKUP(Crops[[#This Row],[Crop]]&amp;Crops[[#This Row],[Product]]&amp;Crops[[#This Row],[Unit]],Products[ID],Products[Market Transport (s)])*Crops[[#This Row],[Custom Yield Per Bed]]/3600</f>
        <v>#N/A</v>
      </c>
      <c r="DC205" s="37">
        <f>Crops[[#This Row],[Direct Revenue Per Bed2]]</f>
        <v>666.66666666666652</v>
      </c>
      <c r="DD205" s="173">
        <f>_xlfn.AGGREGATE(9,6,Crops[[#This Row],[Bed Prep]:[Remove Crop Residue]])</f>
        <v>6.2714285714285714</v>
      </c>
      <c r="DE205" s="173" t="e">
        <f>_xlfn.AGGREGATE(9,6,Crops[[#This Row],[Bed Prep]:[Remove Crop Residue]])-0.75*Crops[[#This Row],[Market &amp; Sell]]</f>
        <v>#N/A</v>
      </c>
      <c r="DF205" s="36">
        <f>Crops[[#This Row],[Direct Revenue Per Bed2]]/Crops[[#This Row],[Direct Time]]</f>
        <v>106.30220197418373</v>
      </c>
      <c r="DG205" s="36" t="e">
        <f>_xlfn.XLOOKUP(Crops[[#This Row],[ProductIndex]],Products[ID],Products[Packaging Cost])*(Crops[[#This Row],[Custom Yield Per Bed]]/_xlfn.XLOOKUP(Crops[[#This Row],[ProductIndex]],Products[ID],Products[Units Per Pack]))</f>
        <v>#N/A</v>
      </c>
      <c r="DH205" s="36"/>
      <c r="DI205" s="36"/>
      <c r="DJ205" s="36"/>
      <c r="DK205" s="36"/>
      <c r="DL205" s="36"/>
      <c r="DM205" s="33">
        <f>IFERROR(Crops[[#This Row],[Custom Yield Per Bed]]*Crops[[#This Row],[Direct Price]],"")</f>
        <v>666.66666666666652</v>
      </c>
      <c r="DN205" s="36">
        <f>Crops[[#This Row],[Direct Time]]*LaborRate</f>
        <v>156.78571428571428</v>
      </c>
      <c r="DO205" s="36">
        <f>SUM(Crops[[#This Row],[Irrigation Cost]])</f>
        <v>0</v>
      </c>
      <c r="DP205" s="36">
        <f>Crops[[#This Row],[Direct Labor Cost]]+Crops[[#This Row],[Direct Non-Labor Cost]]</f>
        <v>156.78571428571428</v>
      </c>
      <c r="DQ205" s="36">
        <f>Crops[[#This Row],[Direct Revenue Per Bed2]]-Crops[[#This Row],[Direct Total Cost]]</f>
        <v>509.88095238095224</v>
      </c>
      <c r="DR205" s="36">
        <f>Crops[[#This Row],[Direct Profit]]*BedsPerAcre</f>
        <v>81580.952380952353</v>
      </c>
      <c r="DS205" s="36">
        <f>Crops[[#This Row],[Direct Profit]]*BedsPerAcre*GrowingDays/Crops[[#This Row],[Days In Field]]</f>
        <v>97897.142857142826</v>
      </c>
      <c r="DT205" s="36">
        <f>Crops[[#This Row],[Direct Profit]]/MIN(Crops[[#This Row],[Days In Field]],GrowingDays)</f>
        <v>3.3992063492063482</v>
      </c>
      <c r="DU205" s="36">
        <f>Crops[[#This Row],[Direct Time]] * BedsPerAcre</f>
        <v>1003.4285714285714</v>
      </c>
      <c r="DV205" s="36">
        <f>(Crops[[#This Row],[Direct Revenue Per Bed2]]-Crops[[#This Row],[Direct Non-Labor Cost]])/Crops[[#This Row],[Direct Time]]</f>
        <v>106.30220197418373</v>
      </c>
      <c r="DW205" s="33">
        <f>IFERROR(Crops[[#This Row],[Custom Yield Per Bed]]*Crops[[#This Row],[Rough Wholesale Price]],"")</f>
        <v>399.99999999999989</v>
      </c>
      <c r="DX205" s="36" t="e">
        <f>Crops[[#This Row],[Wholesale Time]]*LaborRate</f>
        <v>#N/A</v>
      </c>
      <c r="DY205" s="36" t="e">
        <f>SUM(Crops[[#This Row],[Packaging Costs]:[Irrigation Cost]])</f>
        <v>#N/A</v>
      </c>
      <c r="DZ205" s="36" t="e">
        <f>Crops[[#This Row],[Wholesale Labor Cost]]+Crops[[#This Row],[Wholesale Non-Labor Cost]]</f>
        <v>#N/A</v>
      </c>
      <c r="EA205" s="36" t="e">
        <f>Crops[[#This Row],[Wholesale Revenue Per Bed]]-Crops[[#This Row],[Wholesale Total Cost]]</f>
        <v>#N/A</v>
      </c>
      <c r="EB205" s="36" t="e">
        <f>Crops[[#This Row],[Wholesale Profit]]*BedsPerAcre</f>
        <v>#N/A</v>
      </c>
      <c r="EC205" s="36" t="e">
        <f>Crops[[#This Row],[Wholesale Profit]]*BedsPerAcre*GrowingDays/Crops[[#This Row],[Days In Field]]</f>
        <v>#N/A</v>
      </c>
      <c r="ED205" s="36" t="e">
        <f>Crops[[#This Row],[Wholesale Time]] * BedsPerAcre</f>
        <v>#N/A</v>
      </c>
      <c r="EE205" s="36" t="e">
        <f>Crops[[#This Row],[Wholesale Profit]]/MIN(Crops[[#This Row],[Days In Field]],GrowingDays)</f>
        <v>#N/A</v>
      </c>
      <c r="EF205" s="36" t="e">
        <f>(Crops[[#This Row],[Wholesale Revenue Per Bed]]-Crops[[#This Row],[Wholesale Non-Labor Cost]])/Crops[[#This Row],[Direct Time]]</f>
        <v>#N/A</v>
      </c>
      <c r="EG205" s="174" t="e">
        <f>Crops[[#This Row],[Packaging Costs]]/Crops[[#This Row],[Wholesale Revenue Per Bed]]</f>
        <v>#N/A</v>
      </c>
      <c r="EH205" s="36" t="str">
        <f>Crops[[#This Row],[Crop]]&amp;Crops[[#This Row],[Product]]&amp;Crops[[#This Row],[Unit]]</f>
        <v>MarigoldsMature StemStem</v>
      </c>
      <c r="EI205" s="36" t="e">
        <f>_xlfn.XLOOKUP(Crops[[#This Row],[ProductIndex]],Products[ID],Products[Target])</f>
        <v>#N/A</v>
      </c>
      <c r="EJ205" s="36">
        <f>Crops[[#This Row],[Custom Yield Per Bed]]</f>
        <v>666.66666666666652</v>
      </c>
      <c r="EK205" s="210">
        <f>Crops[[#This Row],[Units Per Harvest]]/Crops[[#This Row],[Days Between Harvest]]*7</f>
        <v>133.33333333333331</v>
      </c>
      <c r="EL205" s="210" t="e">
        <f>Crops[[#This Row],[Custom Yield Per Bed]]/_xlfn.XLOOKUP(Crops[[#This Row],[ProductIndex]],Products[ID],Products[CSA Portion])</f>
        <v>#N/A</v>
      </c>
      <c r="EM205" s="210" t="e">
        <f>Crops[[#This Row],[Units Per Harvest]]/Crops[[#This Row],[Days Between Harvest]]*7/_xlfn.XLOOKUP(Crops[[#This Row],[ProductIndex]],Products[ID],Products[CSA Portion])</f>
        <v>#N/A</v>
      </c>
      <c r="EN205" s="210" t="e">
        <f>Crops[[#This Row],[CSA Portions Per Week]]/CSAMembers</f>
        <v>#N/A</v>
      </c>
      <c r="EO205" s="210"/>
      <c r="EP205" s="210"/>
      <c r="EQ205" s="36"/>
      <c r="ER205" s="36">
        <f>Crops[[#This Row],[Harvests]]*Crops[[#This Row],[Days Between Harvest]]/7</f>
        <v>5</v>
      </c>
      <c r="ES205" s="208" t="e">
        <f>_xlfn.XLOOKUP(Crops[[#This Row],[ProductIndex]],Products[ID],Products[CSA Need])</f>
        <v>#N/A</v>
      </c>
      <c r="ET205" s="208" t="e">
        <f>_xlfn.XLOOKUP(Crops[[#This Row],[ProductIndex]],Products[ID],Products[CSA Times])</f>
        <v>#N/A</v>
      </c>
      <c r="EU205" s="208" t="e">
        <f>Crops[[#This Row],[Custom Yield Per Bed]]/(Crops[[#This Row],[CSA Need]]*(_xlfn.XLOOKUP(Crops[[#This Row],[ProductIndex]],Products[ID],Products[CSA Portion])*CSAMembers))</f>
        <v>#N/A</v>
      </c>
      <c r="EV205" s="208" t="e">
        <f>_xlfn.XLOOKUP(Crops[[#This Row],[ProductIndex]],Products[ID],Products[CSA Portion])*CSAMembers*Crops[[#This Row],[CSA Need]]/Crops[[#This Row],[Custom Yield Per Bed]]</f>
        <v>#N/A</v>
      </c>
      <c r="EW205" s="208" t="str">
        <f>IFERROR(Crops[[#This Row],[Days In Field]]*Crops[[#This Row],[CSA Beds]],"")</f>
        <v/>
      </c>
      <c r="EX205" s="208" t="e">
        <f>Crops[[#This Row],[CSA Bed Days]]*#REF!</f>
        <v>#VALUE!</v>
      </c>
      <c r="EY205" t="s">
        <v>1734</v>
      </c>
    </row>
    <row r="206" spans="1:155">
      <c r="A20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(African) - Mature Stem 1X | Field TP </v>
      </c>
      <c r="B206" s="189"/>
      <c r="C206" s="1" t="b">
        <v>1</v>
      </c>
      <c r="D206" s="1"/>
      <c r="E206" s="1" t="b">
        <v>0</v>
      </c>
      <c r="F206" s="1" t="b">
        <f>IFERROR(IF(ISNUMBER(MATCH(Crops[[#This Row],[Identifier]],BedPlan[Crop], 0)), TRUE, FALSE), FALSE)</f>
        <v>0</v>
      </c>
      <c r="G206" s="1" t="b">
        <f>IFERROR(IF(ISNUMBER(MATCH(Crops[[#This Row],[Identifier]],BedPlan[Crop], 0)), TRUE, FALSE), FALSE)</f>
        <v>0</v>
      </c>
      <c r="H206" s="1"/>
      <c r="I206" t="s">
        <v>97</v>
      </c>
      <c r="J206" t="s">
        <v>1737</v>
      </c>
      <c r="K206" t="s">
        <v>181</v>
      </c>
      <c r="M206" t="s">
        <v>406</v>
      </c>
      <c r="N206" t="str">
        <f>Crops[[#This Row],[Crop]]</f>
        <v>Marigolds</v>
      </c>
      <c r="O206" t="s">
        <v>210</v>
      </c>
      <c r="P206" t="str">
        <f>IF(OR(Crops[[#This Row],[Days in Cells]]="",Crops[[#This Row],[Days in Cells]]=0), "DS","TP")</f>
        <v>TP</v>
      </c>
      <c r="V206" t="str">
        <f xml:space="preserve"> IF(Crops[[#This Row],[Sp]], "Sp", "") &amp; IF(Crops[[#This Row],[Su]], "Su", "") &amp; IF(Crops[[#This Row],[Fa]], "Fa", "") &amp; IF(Crops[[#This Row],[Wi]], "Wi", "") &amp; IF(Crops[[#This Row],[OW]], "Ow","")</f>
        <v/>
      </c>
      <c r="W206" t="s">
        <v>144</v>
      </c>
      <c r="X206">
        <v>2</v>
      </c>
      <c r="Y206">
        <v>18</v>
      </c>
      <c r="AA206" t="s">
        <v>474</v>
      </c>
      <c r="AB206" t="b">
        <v>0</v>
      </c>
      <c r="AC206">
        <v>2.5</v>
      </c>
      <c r="AD206" s="32">
        <f>IFERROR(12/Crops[[#This Row],[Spacing]]*Crops[[#This Row],[Rows]]*BedLength,"")</f>
        <v>66.666666666666657</v>
      </c>
      <c r="AE206">
        <v>1</v>
      </c>
      <c r="AG206">
        <f>IF(Crops[[#This Row],[Custom Safety Factor]]="",PlantingSafetyFactor,Crops[[#This Row],[Custom Safety Factor]])</f>
        <v>1.3</v>
      </c>
      <c r="AH206">
        <f>1</f>
        <v>1</v>
      </c>
      <c r="AI206" s="33">
        <f>IFERROR(Crops[[#This Row],[Plantings Per Bed]]*Crops[[#This Row],[Seeds Per Planting]]*Crops[[#This Row],[Safety Factor]]*Crops[[#This Row],[Seeding Factor]],"")</f>
        <v>86.666666666666657</v>
      </c>
      <c r="AJ206">
        <v>4</v>
      </c>
      <c r="AK206">
        <v>7</v>
      </c>
      <c r="AL206">
        <f>_xlfn.FLOOR.MATH(IFERROR(AVERAGE(Crops[[#This Row],[DTG Lower]:[DTG Upper]]),0))</f>
        <v>5</v>
      </c>
      <c r="AM206">
        <f>SUM(Crops[[#This Row],[Tray 1 Days]],Crops[[#This Row],[Tray 2 Days]],Crops[[#This Row],[Tray 3 Days]])</f>
        <v>28</v>
      </c>
      <c r="AN206" s="32">
        <v>35</v>
      </c>
      <c r="AO206">
        <v>70</v>
      </c>
      <c r="AP206">
        <v>90</v>
      </c>
      <c r="AQ206">
        <f>IFERROR(_xlfn.FLOOR.MATH(AVERAGE(Crops[[#This Row],[DTM Lower]:[DTM Upper]])),"")</f>
        <v>80</v>
      </c>
      <c r="AR206" cm="1">
        <f t="array" ref="AR206">_xlfn.SWITCH(Crops[[#This Row],[Normal Method]],"DS",Crops[[#This Row],[Days to Germination]]+Crops[[#This Row],[DTM]] + IF(Crops[[#This Row],[Days in Cells]]&gt;0,15,0), "TP",Crops[[#This Row],[DTM]]+Crops[[#This Row],[Days in Cells]] + IF(Crops[[#This Row],[Days in Cells]]&lt;=0,20,0), "X", Crops[[#This Row],[DTM]])</f>
        <v>108</v>
      </c>
      <c r="AS206" t="s">
        <v>346</v>
      </c>
      <c r="AT206">
        <f>(Crops[[#This Row],[Harvests]]-1)*Crops[[#This Row],[Days Between Harvest]]+7</f>
        <v>70</v>
      </c>
      <c r="AU206">
        <f>Crops[[#This Row],[STH]]-Crops[[#This Row],[Days in Cells]]+Crops[[#This Row],[Harvest window]]</f>
        <v>150</v>
      </c>
      <c r="AX206">
        <v>128</v>
      </c>
      <c r="AY206">
        <v>28</v>
      </c>
      <c r="AZ206" s="49">
        <f>IFERROR(IF(Crops[[#This Row],[Tray 1 Days]]=0,"",Crops[[#This Row],[Plantings Per Bed]]/Crops[[#This Row],[Tray 1 Size]]*Crops[[#This Row],[Safety Factor]]),"")</f>
        <v>0.67708333333333326</v>
      </c>
      <c r="BC206" t="str">
        <f>IFERROR(IF(Crops[[#This Row],[Tray 2 Days]]=0,"",Crops[[#This Row],[Plantings Per Bed]]/Crops[[#This Row],[Tray 2 Size]]*Crops[[#This Row],[Safety Factor]]),"")</f>
        <v/>
      </c>
      <c r="BE206" s="32" t="str">
        <f>IF(NOT(ISBLANK(Crops[[#This Row],[Tray 3 Size]])), Crops[[#This Row],[Days in Cells Old]]-SUM(Crops[[#This Row],[Tray 1 Days]],Crops[[#This Row],[Tray 2 Days]]), "")</f>
        <v/>
      </c>
      <c r="BF206" s="49" t="str">
        <f>IFERROR(IF(Crops[[#This Row],[Tray 3 Days]]=0,"",Crops[[#This Row],[Plantings Per Bed]]/Crops[[#This Row],[Tray 3 Size]]*Crops[[#This Row],[Safety Factor]]),"")</f>
        <v/>
      </c>
      <c r="BG206" s="33">
        <f>Crops[[#This Row],[Plantings Per Bed]]*2</f>
        <v>133.33333333333331</v>
      </c>
      <c r="BH206" s="33">
        <v>10</v>
      </c>
      <c r="BI206" s="33">
        <v>7</v>
      </c>
      <c r="BJ206" s="33" t="e">
        <f>_xlfn.XLOOKUP(Crops[[#This Row],[ProductIndex]],Products[ID],Products[Holding Period])</f>
        <v>#N/A</v>
      </c>
      <c r="BK206" s="33"/>
      <c r="BL206" s="33">
        <f>Crops[[#This Row],[Units Per Harvest]]*Crops[[#This Row],[Harvests]]</f>
        <v>1333.333333333333</v>
      </c>
      <c r="BM206" s="35">
        <v>1</v>
      </c>
      <c r="BN206" s="35">
        <f>Crops[[#This Row],[Direct Price]]*0.6</f>
        <v>0.6</v>
      </c>
      <c r="BO206" s="35"/>
      <c r="BP206" t="s">
        <v>213</v>
      </c>
      <c r="BQ206">
        <f>Crops[[#This Row],[Custom Yield Per Bed]]*Crops[[#This Row],[Direct Price]]</f>
        <v>1333.333333333333</v>
      </c>
      <c r="BR206" t="b">
        <v>0</v>
      </c>
      <c r="BS206" t="b">
        <f>Crops[[#This Row],[Harvests]]&gt;1</f>
        <v>1</v>
      </c>
      <c r="BT206" s="36">
        <f>IFERROR(Crops[[#This Row],[Direct Revenue Per Bed]]/Crops[[#This Row],[Days In Field]],-1)</f>
        <v>8.8888888888888875</v>
      </c>
      <c r="BU206" s="36">
        <f>IFERROR(Crops[[#This Row],[Direct Revenue Per Bed Day]]*GrowingDays*BedsPerAcre,"")</f>
        <v>255999.99999999997</v>
      </c>
      <c r="BV206" s="38">
        <f>LastFrostDate-5*Crops[[#This Row],[Sewing Rel Last Frost]]</f>
        <v>45753</v>
      </c>
      <c r="BW206" s="38">
        <f>Crops[[#This Row],[Target Sewing Date]]+Crops[[#This Row],[Days in Cells]]</f>
        <v>45781</v>
      </c>
      <c r="BX206" s="38">
        <f>Crops[[#This Row],[Target Sewing Date]]+Crops[[#This Row],[STH]]</f>
        <v>45861</v>
      </c>
      <c r="BY206" s="38">
        <f>Crops[[#This Row],[Target Harvest Data]]+Crops[[#This Row],[Harvest window]]</f>
        <v>45931</v>
      </c>
      <c r="BZ206">
        <v>-1</v>
      </c>
      <c r="CB206">
        <f>1</f>
        <v>1</v>
      </c>
      <c r="CC206">
        <f>IF(Crops[[#This Row],[Transplanting]]&gt;0, 2, 3)*BedLength/StandardBedLength</f>
        <v>1</v>
      </c>
      <c r="CD206" s="173">
        <f>IF(Crops[[#This Row],[Days in Cells]]&lt;=0,0,Crops[[#This Row],[Plantings Per Bed]]/StartsPerHourSeeding+Crops[[#This Row],[Tray 1 Count]]*5/60)</f>
        <v>0.31684027777777773</v>
      </c>
      <c r="CE206" s="173">
        <f>IF(ISBLANK(Crops[[#This Row],[Tray 2 Days]]),0,Crops[[#This Row],[Plantings Per Bed]]/UpPottingPerHour)+IF(Crops[[#This Row],[Tray 3 Days]]="",0,Crops[[#This Row],[Plantings Per Bed]]/UpPottingPerHour)</f>
        <v>0</v>
      </c>
      <c r="CF206" s="173">
        <f>IFERROR(Crops[[#This Row],[Tray 1 Count]]/HomeStartFlatIrrigationPerHour,0)*Crops[[#This Row],[Days in Cells]]/DaysBetweenStartIrrigation</f>
        <v>7.8993055555555539E-2</v>
      </c>
      <c r="CG206" s="173">
        <f>0.5/16*MAX(Crops[[#This Row],[Tray 1 Count]],Crops[[#This Row],[Tray 2 Count]],Crops[[#This Row],[Tray 3 Count]])</f>
        <v>2.1158854166666664E-2</v>
      </c>
      <c r="CH206" s="173">
        <f>IF(Crops[[#This Row],[Days in Cells]]&gt;0,IF(IF(Crops[[#This Row],[Tray 3 Size]]&gt;0,Crops[[#This Row],[Tray 3 Size]],IF(Crops[[#This Row],[Tray 2 Size]]&gt;0,Crops[[#This Row],[Tray 2 Size]],Crops[[#This Row],[Tray 1 Size]]))&lt;=18,LargeTransplantTime,SmallTransplantTime)*Crops[[#This Row],[Plantings Per Bed]],0)</f>
        <v>0.33333333333333331</v>
      </c>
      <c r="CI206" s="173"/>
      <c r="CJ206" s="173">
        <f>_xlfn.XLOOKUP(Crops[[#This Row],[Trellis Type]],TrellisMethods[Trellis Type],TrellisMethods[Hours],0,0)</f>
        <v>0</v>
      </c>
      <c r="CK206">
        <f>IF(Crops[[#This Row],[Days in Cells]]&lt;=0,Crops[[#This Row],[Rows]]*1/10,0)*BedLength/50</f>
        <v>0</v>
      </c>
      <c r="CL206" cm="1">
        <f t="array" ref="CL206">_xlfn.SWITCH(Crops[[#This Row],[Irrigation]],"DR", 0.5, "OH", 0.25,0)*BedLength/50</f>
        <v>0</v>
      </c>
      <c r="CM206">
        <f>IF(OR(ISBLANK(Crops[[#This Row],[Row Cover]]),Crops[[#This Row],[Row Cover]]="None"),0,1)*BedLength/50</f>
        <v>0</v>
      </c>
      <c r="CN206" s="173">
        <f>HoursPerWeedingPass*Crops[[#This Row],[Days In Field]]/14*Crops[[#This Row],[Rows]]+1*BedLength/50</f>
        <v>4.5714285714285712</v>
      </c>
      <c r="CQ206" s="37" t="e">
        <f>_xlfn.XLOOKUP(Crops[[#This Row],[Crop]]&amp;Crops[[#This Row],[Product]]&amp;Crops[[#This Row],[Unit]],Products[ID],Products[Marketing (hr)])*Crops[[#This Row],[Direct Revenue Per Bed]]/2000</f>
        <v>#N/A</v>
      </c>
      <c r="CR206" s="37" t="e">
        <f>_xlfn.XLOOKUP(Crops[[#This Row],[Crop]]&amp;Crops[[#This Row],[Product]]&amp;Crops[[#This Row],[Unit]],Products[ID],Products[Harvest (s)])*Crops[[#This Row],[Custom Yield Per Bed]]/3600</f>
        <v>#N/A</v>
      </c>
      <c r="CS206" s="37" t="e">
        <f>_xlfn.XLOOKUP(Crops[[#This Row],[Crop]]&amp;Crops[[#This Row],[Product]]&amp;Crops[[#This Row],[Unit]],Products[ID],Products[Bunch (s)])*Crops[[#This Row],[Custom Yield Per Bed]]/3600</f>
        <v>#N/A</v>
      </c>
      <c r="CT206" s="37" t="e">
        <f>_xlfn.XLOOKUP(Crops[[#This Row],[Crop]]&amp;Crops[[#This Row],[Product]]&amp;Crops[[#This Row],[Unit]],Products[ID],Products[Haul (s)])*Crops[[#This Row],[Custom Yield Per Bed]]/3600</f>
        <v>#N/A</v>
      </c>
      <c r="CU206" s="37" t="e">
        <f>_xlfn.XLOOKUP(Crops[[#This Row],[Crop]]&amp;Crops[[#This Row],[Product]]&amp;Crops[[#This Row],[Unit]],Products[ID],Products[Wash (s)])*Crops[[#This Row],[Custom Yield Per Bed]]/3600</f>
        <v>#N/A</v>
      </c>
      <c r="CV206" s="37" t="e">
        <f>_xlfn.XLOOKUP(Crops[[#This Row],[Crop]]&amp;Crops[[#This Row],[Product]]&amp;Crops[[#This Row],[Unit]],Products[ID],Products[Condition (s)])*Crops[[#This Row],[Custom Yield Per Bed]]/3600</f>
        <v>#N/A</v>
      </c>
      <c r="CW206" s="37" t="e">
        <f>_xlfn.XLOOKUP(Crops[[#This Row],[Crop]]&amp;Crops[[#This Row],[Product]]&amp;Crops[[#This Row],[Unit]],Products[ID],Products[Trim (s)])*Crops[[#This Row],[Custom Yield Per Bed]]/3600</f>
        <v>#N/A</v>
      </c>
      <c r="CX206" s="37" t="e">
        <f>_xlfn.XLOOKUP(Crops[[#This Row],[Crop]]&amp;Crops[[#This Row],[Product]]&amp;Crops[[#This Row],[Unit]],Products[ID],Products[Pack (s)])*Crops[[#This Row],[Custom Yield Per Bed]]/3600</f>
        <v>#N/A</v>
      </c>
      <c r="CY206" s="37" t="e">
        <f>_xlfn.XLOOKUP(Crops[[#This Row],[Crop]]&amp;Crops[[#This Row],[Product]]&amp;Crops[[#This Row],[Unit]],Products[ID],Products[Clean (s)])*Crops[[#This Row],[Custom Yield Per Bed]]/3600</f>
        <v>#N/A</v>
      </c>
      <c r="CZ206" s="37" t="e">
        <f>_xlfn.XLOOKUP(Crops[[#This Row],[Crop]]&amp;Crops[[#This Row],[Product]]&amp;Crops[[#This Row],[Unit]],Products[ID],Products[Rehandle (s)])*Crops[[#This Row],[Custom Yield Per Bed]]/3600</f>
        <v>#N/A</v>
      </c>
      <c r="DA206" s="37" t="e">
        <f>_xlfn.XLOOKUP(Crops[[#This Row],[Crop]]&amp;Crops[[#This Row],[Product]]&amp;Crops[[#This Row],[Unit]],Products[ID],Products[Market Transport (s)])*Crops[[#This Row],[Custom Yield Per Bed]]/3600</f>
        <v>#N/A</v>
      </c>
      <c r="DC206" s="37">
        <f>Crops[[#This Row],[Direct Revenue Per Bed2]]</f>
        <v>1333.333333333333</v>
      </c>
      <c r="DD206" s="173">
        <f>_xlfn.AGGREGATE(9,6,Crops[[#This Row],[Bed Prep]:[Remove Crop Residue]])</f>
        <v>6.3217540922619042</v>
      </c>
      <c r="DE206" s="173" t="e">
        <f>_xlfn.AGGREGATE(9,6,Crops[[#This Row],[Bed Prep]:[Remove Crop Residue]])-0.75*Crops[[#This Row],[Market &amp; Sell]]</f>
        <v>#N/A</v>
      </c>
      <c r="DF206" s="36">
        <f>Crops[[#This Row],[Direct Revenue Per Bed2]]/Crops[[#This Row],[Direct Time]]</f>
        <v>210.91192632206142</v>
      </c>
      <c r="DG206" s="36" t="e">
        <f>_xlfn.XLOOKUP(Crops[[#This Row],[ProductIndex]],Products[ID],Products[Packaging Cost])*(Crops[[#This Row],[Custom Yield Per Bed]]/_xlfn.XLOOKUP(Crops[[#This Row],[ProductIndex]],Products[ID],Products[Units Per Pack]))</f>
        <v>#N/A</v>
      </c>
      <c r="DH206" s="36"/>
      <c r="DI206" s="36"/>
      <c r="DJ206" s="36"/>
      <c r="DK206" s="36"/>
      <c r="DL206" s="36"/>
      <c r="DM206" s="33">
        <f>IFERROR(Crops[[#This Row],[Custom Yield Per Bed]]*Crops[[#This Row],[Direct Price]],"")</f>
        <v>1333.333333333333</v>
      </c>
      <c r="DN206" s="36">
        <f>Crops[[#This Row],[Direct Time]]*LaborRate</f>
        <v>158.04385230654759</v>
      </c>
      <c r="DO206" s="36">
        <f>SUM(Crops[[#This Row],[Irrigation Cost]])</f>
        <v>0</v>
      </c>
      <c r="DP206" s="36">
        <f>Crops[[#This Row],[Direct Labor Cost]]+Crops[[#This Row],[Direct Non-Labor Cost]]</f>
        <v>158.04385230654759</v>
      </c>
      <c r="DQ206" s="36">
        <f>Crops[[#This Row],[Direct Revenue Per Bed2]]-Crops[[#This Row],[Direct Total Cost]]</f>
        <v>1175.2894810267853</v>
      </c>
      <c r="DR206" s="36">
        <f>Crops[[#This Row],[Direct Profit]]*BedsPerAcre</f>
        <v>188046.31696428565</v>
      </c>
      <c r="DS206" s="36">
        <f>Crops[[#This Row],[Direct Profit]]*BedsPerAcre*GrowingDays/Crops[[#This Row],[Days In Field]]</f>
        <v>225655.58035714278</v>
      </c>
      <c r="DT206" s="36">
        <f>Crops[[#This Row],[Direct Profit]]/MIN(Crops[[#This Row],[Days In Field]],GrowingDays)</f>
        <v>7.8352632068452355</v>
      </c>
      <c r="DU206" s="36">
        <f>Crops[[#This Row],[Direct Time]] * BedsPerAcre</f>
        <v>1011.4806547619047</v>
      </c>
      <c r="DV206" s="36">
        <f>(Crops[[#This Row],[Direct Revenue Per Bed2]]-Crops[[#This Row],[Direct Non-Labor Cost]])/Crops[[#This Row],[Direct Time]]</f>
        <v>210.91192632206142</v>
      </c>
      <c r="DW206" s="33">
        <f>IFERROR(Crops[[#This Row],[Custom Yield Per Bed]]*Crops[[#This Row],[Rough Wholesale Price]],"")</f>
        <v>799.99999999999977</v>
      </c>
      <c r="DX206" s="36" t="e">
        <f>Crops[[#This Row],[Wholesale Time]]*LaborRate</f>
        <v>#N/A</v>
      </c>
      <c r="DY206" s="36" t="e">
        <f>SUM(Crops[[#This Row],[Packaging Costs]:[Irrigation Cost]])</f>
        <v>#N/A</v>
      </c>
      <c r="DZ206" s="36" t="e">
        <f>Crops[[#This Row],[Wholesale Labor Cost]]+Crops[[#This Row],[Wholesale Non-Labor Cost]]</f>
        <v>#N/A</v>
      </c>
      <c r="EA206" s="36" t="e">
        <f>Crops[[#This Row],[Wholesale Revenue Per Bed]]-Crops[[#This Row],[Wholesale Total Cost]]</f>
        <v>#N/A</v>
      </c>
      <c r="EB206" s="36" t="e">
        <f>Crops[[#This Row],[Wholesale Profit]]*BedsPerAcre</f>
        <v>#N/A</v>
      </c>
      <c r="EC206" s="36" t="e">
        <f>Crops[[#This Row],[Wholesale Profit]]*BedsPerAcre*GrowingDays/Crops[[#This Row],[Days In Field]]</f>
        <v>#N/A</v>
      </c>
      <c r="ED206" s="36" t="e">
        <f>Crops[[#This Row],[Wholesale Time]] * BedsPerAcre</f>
        <v>#N/A</v>
      </c>
      <c r="EE206" s="36" t="e">
        <f>Crops[[#This Row],[Wholesale Profit]]/MIN(Crops[[#This Row],[Days In Field]],GrowingDays)</f>
        <v>#N/A</v>
      </c>
      <c r="EF206" s="36" t="e">
        <f>(Crops[[#This Row],[Wholesale Revenue Per Bed]]-Crops[[#This Row],[Wholesale Non-Labor Cost]])/Crops[[#This Row],[Direct Time]]</f>
        <v>#N/A</v>
      </c>
      <c r="EG206" s="174" t="e">
        <f>Crops[[#This Row],[Packaging Costs]]/Crops[[#This Row],[Wholesale Revenue Per Bed]]</f>
        <v>#N/A</v>
      </c>
      <c r="EH206" s="36" t="str">
        <f>Crops[[#This Row],[Crop]]&amp;Crops[[#This Row],[Product]]&amp;Crops[[#This Row],[Unit]]</f>
        <v>MarigoldsMature StemStem</v>
      </c>
      <c r="EI206" s="36" t="e">
        <f>_xlfn.XLOOKUP(Crops[[#This Row],[ProductIndex]],Products[ID],Products[Target])</f>
        <v>#N/A</v>
      </c>
      <c r="EJ206" s="36">
        <f>Crops[[#This Row],[Custom Yield Per Bed]]</f>
        <v>1333.333333333333</v>
      </c>
      <c r="EK206" s="210">
        <f>Crops[[#This Row],[Units Per Harvest]]/Crops[[#This Row],[Days Between Harvest]]*7</f>
        <v>133.33333333333331</v>
      </c>
      <c r="EL206" s="210" t="e">
        <f>Crops[[#This Row],[Custom Yield Per Bed]]/_xlfn.XLOOKUP(Crops[[#This Row],[ProductIndex]],Products[ID],Products[CSA Portion])</f>
        <v>#N/A</v>
      </c>
      <c r="EM206" s="210" t="e">
        <f>Crops[[#This Row],[Units Per Harvest]]/Crops[[#This Row],[Days Between Harvest]]*7/_xlfn.XLOOKUP(Crops[[#This Row],[ProductIndex]],Products[ID],Products[CSA Portion])</f>
        <v>#N/A</v>
      </c>
      <c r="EN206" s="210" t="e">
        <f>Crops[[#This Row],[CSA Portions Per Week]]/CSAMembers</f>
        <v>#N/A</v>
      </c>
      <c r="EO206" s="210"/>
      <c r="EP206" s="210"/>
      <c r="EQ206" s="36"/>
      <c r="ER206" s="36">
        <f>Crops[[#This Row],[Harvests]]*Crops[[#This Row],[Days Between Harvest]]/7</f>
        <v>10</v>
      </c>
      <c r="ES206" s="208" t="e">
        <f>_xlfn.XLOOKUP(Crops[[#This Row],[ProductIndex]],Products[ID],Products[CSA Need])</f>
        <v>#N/A</v>
      </c>
      <c r="ET206" s="208" t="e">
        <f>_xlfn.XLOOKUP(Crops[[#This Row],[ProductIndex]],Products[ID],Products[CSA Times])</f>
        <v>#N/A</v>
      </c>
      <c r="EU206" s="208" t="e">
        <f>Crops[[#This Row],[Custom Yield Per Bed]]/(Crops[[#This Row],[CSA Need]]*(_xlfn.XLOOKUP(Crops[[#This Row],[ProductIndex]],Products[ID],Products[CSA Portion])*CSAMembers))</f>
        <v>#N/A</v>
      </c>
      <c r="EV206" s="208" t="e">
        <f>_xlfn.XLOOKUP(Crops[[#This Row],[ProductIndex]],Products[ID],Products[CSA Portion])*CSAMembers*Crops[[#This Row],[CSA Need]]/Crops[[#This Row],[Custom Yield Per Bed]]</f>
        <v>#N/A</v>
      </c>
      <c r="EW206" s="208" t="str">
        <f>IFERROR(Crops[[#This Row],[Days In Field]]*Crops[[#This Row],[CSA Beds]],"")</f>
        <v/>
      </c>
      <c r="EX206" s="208" t="e">
        <f>Crops[[#This Row],[CSA Bed Days]]*#REF!</f>
        <v>#VALUE!</v>
      </c>
      <c r="EY206" t="s">
        <v>1734</v>
      </c>
    </row>
    <row r="207" spans="1:155">
      <c r="A20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(French) - Mature Stem 1X | Field DS </v>
      </c>
      <c r="B207" s="189"/>
      <c r="C207" s="1"/>
      <c r="D207" s="1"/>
      <c r="E207" s="1" t="b">
        <v>0</v>
      </c>
      <c r="F207" s="1" t="b">
        <f>IFERROR(IF(ISNUMBER(MATCH(Crops[[#This Row],[Identifier]],BedPlan[Crop], 0)), TRUE, FALSE), FALSE)</f>
        <v>0</v>
      </c>
      <c r="G207" s="1" t="b">
        <f>IFERROR(IF(ISNUMBER(MATCH(Crops[[#This Row],[Identifier]],BedPlan[Crop], 0)), TRUE, FALSE), FALSE)</f>
        <v>0</v>
      </c>
      <c r="H207" s="1"/>
      <c r="I207" t="s">
        <v>97</v>
      </c>
      <c r="J207" t="s">
        <v>1735</v>
      </c>
      <c r="K207" t="s">
        <v>181</v>
      </c>
      <c r="M207" t="s">
        <v>406</v>
      </c>
      <c r="N207" t="str">
        <f>Crops[[#This Row],[Crop]]</f>
        <v>Marigolds</v>
      </c>
      <c r="O207" t="s">
        <v>210</v>
      </c>
      <c r="P207" t="str">
        <f>IF(OR(Crops[[#This Row],[Days in Cells]]="",Crops[[#This Row],[Days in Cells]]=0), "DS","TP")</f>
        <v>DS</v>
      </c>
      <c r="V207" t="str">
        <f xml:space="preserve"> IF(Crops[[#This Row],[Sp]], "Sp", "") &amp; IF(Crops[[#This Row],[Su]], "Su", "") &amp; IF(Crops[[#This Row],[Fa]], "Fa", "") &amp; IF(Crops[[#This Row],[Wi]], "Wi", "") &amp; IF(Crops[[#This Row],[OW]], "Ow","")</f>
        <v/>
      </c>
      <c r="W207" t="s">
        <v>144</v>
      </c>
      <c r="X207">
        <v>3</v>
      </c>
      <c r="Y207">
        <v>9</v>
      </c>
      <c r="AA207" t="s">
        <v>474</v>
      </c>
      <c r="AB207" t="b">
        <v>0</v>
      </c>
      <c r="AC207">
        <v>2.5</v>
      </c>
      <c r="AD207" s="32">
        <f>IFERROR(12/Crops[[#This Row],[Spacing]]*Crops[[#This Row],[Rows]]*BedLength,"")</f>
        <v>200</v>
      </c>
      <c r="AE207">
        <v>1</v>
      </c>
      <c r="AG207">
        <f>IF(Crops[[#This Row],[Custom Safety Factor]]="",PlantingSafetyFactor,Crops[[#This Row],[Custom Safety Factor]])</f>
        <v>1.3</v>
      </c>
      <c r="AH207">
        <f>1</f>
        <v>1</v>
      </c>
      <c r="AI207" s="33">
        <f>IFERROR(Crops[[#This Row],[Plantings Per Bed]]*Crops[[#This Row],[Seeds Per Planting]]*Crops[[#This Row],[Safety Factor]]*Crops[[#This Row],[Seeding Factor]],"")</f>
        <v>260</v>
      </c>
      <c r="AJ207">
        <v>4</v>
      </c>
      <c r="AK207">
        <v>7</v>
      </c>
      <c r="AL207">
        <f>_xlfn.FLOOR.MATH(IFERROR(AVERAGE(Crops[[#This Row],[DTG Lower]:[DTG Upper]]),0))</f>
        <v>5</v>
      </c>
      <c r="AM207">
        <f>SUM(Crops[[#This Row],[Tray 1 Days]],Crops[[#This Row],[Tray 2 Days]],Crops[[#This Row],[Tray 3 Days]])</f>
        <v>0</v>
      </c>
      <c r="AN207" s="32">
        <v>35</v>
      </c>
      <c r="AP207">
        <v>95</v>
      </c>
      <c r="AQ207">
        <f>IFERROR(_xlfn.FLOOR.MATH(AVERAGE(Crops[[#This Row],[DTM Lower]:[DTM Upper]])),"")</f>
        <v>95</v>
      </c>
      <c r="AR207" cm="1">
        <f t="array" ref="AR207">_xlfn.SWITCH(Crops[[#This Row],[Normal Method]],"DS",Crops[[#This Row],[Days to Germination]]+Crops[[#This Row],[DTM]] + IF(Crops[[#This Row],[Days in Cells]]&gt;0,15,0), "TP",Crops[[#This Row],[DTM]]+Crops[[#This Row],[Days in Cells]] + IF(Crops[[#This Row],[Days in Cells]]&lt;=0,20,0), "X", Crops[[#This Row],[DTM]])</f>
        <v>95</v>
      </c>
      <c r="AS207" t="s">
        <v>347</v>
      </c>
      <c r="AT207">
        <f>(Crops[[#This Row],[Harvests]]-1)*Crops[[#This Row],[Days Between Harvest]]+7</f>
        <v>56</v>
      </c>
      <c r="AU207">
        <f>Crops[[#This Row],[STH]]-Crops[[#This Row],[Days in Cells]]+Crops[[#This Row],[Harvest window]]</f>
        <v>151</v>
      </c>
      <c r="AZ207" s="49" t="str">
        <f>IFERROR(IF(Crops[[#This Row],[Tray 1 Days]]=0,"",Crops[[#This Row],[Plantings Per Bed]]/Crops[[#This Row],[Tray 1 Size]]*Crops[[#This Row],[Safety Factor]]),"")</f>
        <v/>
      </c>
      <c r="BC207" t="str">
        <f>IFERROR(IF(Crops[[#This Row],[Tray 2 Days]]=0,"",Crops[[#This Row],[Plantings Per Bed]]/Crops[[#This Row],[Tray 2 Size]]*Crops[[#This Row],[Safety Factor]]),"")</f>
        <v/>
      </c>
      <c r="BE207" s="32" t="str">
        <f>IF(NOT(ISBLANK(Crops[[#This Row],[Tray 3 Size]])), Crops[[#This Row],[Days in Cells Old]]-SUM(Crops[[#This Row],[Tray 1 Days]],Crops[[#This Row],[Tray 2 Days]]), "")</f>
        <v/>
      </c>
      <c r="BF207" s="49" t="str">
        <f>IFERROR(IF(Crops[[#This Row],[Tray 3 Days]]=0,"",Crops[[#This Row],[Plantings Per Bed]]/Crops[[#This Row],[Tray 3 Size]]*Crops[[#This Row],[Safety Factor]]),"")</f>
        <v/>
      </c>
      <c r="BG207" s="33">
        <f>Crops[[#This Row],[Plantings Per Bed]]*2</f>
        <v>400</v>
      </c>
      <c r="BH207" s="33">
        <v>8</v>
      </c>
      <c r="BI207" s="33">
        <v>7</v>
      </c>
      <c r="BJ207" s="33" t="e">
        <f>_xlfn.XLOOKUP(Crops[[#This Row],[ProductIndex]],Products[ID],Products[Holding Period])</f>
        <v>#N/A</v>
      </c>
      <c r="BK207" s="33"/>
      <c r="BL207" s="33">
        <f>Crops[[#This Row],[Units Per Harvest]]*Crops[[#This Row],[Harvests]]</f>
        <v>3200</v>
      </c>
      <c r="BM207" s="35">
        <v>1</v>
      </c>
      <c r="BN207" s="35">
        <f>Crops[[#This Row],[Direct Price]]*0.6</f>
        <v>0.6</v>
      </c>
      <c r="BO207" s="35"/>
      <c r="BP207" t="s">
        <v>213</v>
      </c>
      <c r="BQ207">
        <f>Crops[[#This Row],[Custom Yield Per Bed]]*Crops[[#This Row],[Direct Price]]</f>
        <v>3200</v>
      </c>
      <c r="BR207" t="b">
        <v>0</v>
      </c>
      <c r="BS207" t="b">
        <f>Crops[[#This Row],[Harvests]]&gt;1</f>
        <v>1</v>
      </c>
      <c r="BT207" s="36">
        <f>IFERROR(Crops[[#This Row],[Direct Revenue Per Bed]]/Crops[[#This Row],[Days In Field]],-1)</f>
        <v>21.192052980132452</v>
      </c>
      <c r="BU207" s="36">
        <f>IFERROR(Crops[[#This Row],[Direct Revenue Per Bed Day]]*GrowingDays*BedsPerAcre,"")</f>
        <v>610331.12582781457</v>
      </c>
      <c r="BV207" s="38">
        <f>LastFrostDate-5*Crops[[#This Row],[Sewing Rel Last Frost]]</f>
        <v>45768</v>
      </c>
      <c r="BW207" s="38">
        <f>Crops[[#This Row],[Target Sewing Date]]+Crops[[#This Row],[Days in Cells]]</f>
        <v>45768</v>
      </c>
      <c r="BX207" s="38">
        <f>Crops[[#This Row],[Target Sewing Date]]+Crops[[#This Row],[STH]]</f>
        <v>45863</v>
      </c>
      <c r="BY207" s="38">
        <f>Crops[[#This Row],[Target Harvest Data]]+Crops[[#This Row],[Harvest window]]</f>
        <v>45919</v>
      </c>
      <c r="BZ207">
        <v>-4</v>
      </c>
      <c r="CB207">
        <f>1</f>
        <v>1</v>
      </c>
      <c r="CC207">
        <f>IF(Crops[[#This Row],[Transplanting]]&gt;0, 2, 3)*BedLength/StandardBedLength</f>
        <v>1.5</v>
      </c>
      <c r="CD207" s="173">
        <f>IF(Crops[[#This Row],[Days in Cells]]&lt;=0,0,Crops[[#This Row],[Plantings Per Bed]]/StartsPerHourSeeding+Crops[[#This Row],[Tray 1 Count]]*5/60)</f>
        <v>0</v>
      </c>
      <c r="CE207" s="173">
        <f>IF(ISBLANK(Crops[[#This Row],[Tray 2 Days]]),0,Crops[[#This Row],[Plantings Per Bed]]/UpPottingPerHour)+IF(Crops[[#This Row],[Tray 3 Days]]="",0,Crops[[#This Row],[Plantings Per Bed]]/UpPottingPerHour)</f>
        <v>0</v>
      </c>
      <c r="CF207" s="173">
        <f>IFERROR(Crops[[#This Row],[Tray 1 Count]]/HomeStartFlatIrrigationPerHour,0)*Crops[[#This Row],[Days in Cells]]/DaysBetweenStartIrrigation</f>
        <v>0</v>
      </c>
      <c r="CG207" s="173">
        <f>0.5/16*MAX(Crops[[#This Row],[Tray 1 Count]],Crops[[#This Row],[Tray 2 Count]],Crops[[#This Row],[Tray 3 Count]])</f>
        <v>0</v>
      </c>
      <c r="CH207" s="173">
        <f>IF(Crops[[#This Row],[Days in Cells]]&gt;0,IF(IF(Crops[[#This Row],[Tray 3 Size]]&gt;0,Crops[[#This Row],[Tray 3 Size]],IF(Crops[[#This Row],[Tray 2 Size]]&gt;0,Crops[[#This Row],[Tray 2 Size]],Crops[[#This Row],[Tray 1 Size]]))&lt;=18,LargeTransplantTime,SmallTransplantTime)*Crops[[#This Row],[Plantings Per Bed]],0)</f>
        <v>0</v>
      </c>
      <c r="CI207" s="173"/>
      <c r="CJ207" s="173">
        <f>_xlfn.XLOOKUP(Crops[[#This Row],[Trellis Type]],TrellisMethods[Trellis Type],TrellisMethods[Hours],0,0)</f>
        <v>0</v>
      </c>
      <c r="CK207">
        <f>IF(Crops[[#This Row],[Days in Cells]]&lt;=0,Crops[[#This Row],[Rows]]*1/10,0)*BedLength/50</f>
        <v>0.3</v>
      </c>
      <c r="CL207" cm="1">
        <f t="array" ref="CL207">_xlfn.SWITCH(Crops[[#This Row],[Irrigation]],"DR", 0.5, "OH", 0.25,0)*BedLength/50</f>
        <v>0</v>
      </c>
      <c r="CM207">
        <f>IF(OR(ISBLANK(Crops[[#This Row],[Row Cover]]),Crops[[#This Row],[Row Cover]]="None"),0,1)*BedLength/50</f>
        <v>0</v>
      </c>
      <c r="CN207" s="173">
        <f>HoursPerWeedingPass*Crops[[#This Row],[Days In Field]]/14*Crops[[#This Row],[Rows]]+1*BedLength/50</f>
        <v>6.3928571428571423</v>
      </c>
      <c r="CQ207" s="37" t="e">
        <f>_xlfn.XLOOKUP(Crops[[#This Row],[Crop]]&amp;Crops[[#This Row],[Product]]&amp;Crops[[#This Row],[Unit]],Products[ID],Products[Marketing (hr)])*Crops[[#This Row],[Direct Revenue Per Bed]]/2000</f>
        <v>#N/A</v>
      </c>
      <c r="CR207" s="37" t="e">
        <f>_xlfn.XLOOKUP(Crops[[#This Row],[Crop]]&amp;Crops[[#This Row],[Product]]&amp;Crops[[#This Row],[Unit]],Products[ID],Products[Harvest (s)])*Crops[[#This Row],[Custom Yield Per Bed]]/3600</f>
        <v>#N/A</v>
      </c>
      <c r="CS207" s="37" t="e">
        <f>_xlfn.XLOOKUP(Crops[[#This Row],[Crop]]&amp;Crops[[#This Row],[Product]]&amp;Crops[[#This Row],[Unit]],Products[ID],Products[Bunch (s)])*Crops[[#This Row],[Custom Yield Per Bed]]/3600</f>
        <v>#N/A</v>
      </c>
      <c r="CT207" s="37" t="e">
        <f>_xlfn.XLOOKUP(Crops[[#This Row],[Crop]]&amp;Crops[[#This Row],[Product]]&amp;Crops[[#This Row],[Unit]],Products[ID],Products[Haul (s)])*Crops[[#This Row],[Custom Yield Per Bed]]/3600</f>
        <v>#N/A</v>
      </c>
      <c r="CU207" s="37" t="e">
        <f>_xlfn.XLOOKUP(Crops[[#This Row],[Crop]]&amp;Crops[[#This Row],[Product]]&amp;Crops[[#This Row],[Unit]],Products[ID],Products[Wash (s)])*Crops[[#This Row],[Custom Yield Per Bed]]/3600</f>
        <v>#N/A</v>
      </c>
      <c r="CV207" s="37" t="e">
        <f>_xlfn.XLOOKUP(Crops[[#This Row],[Crop]]&amp;Crops[[#This Row],[Product]]&amp;Crops[[#This Row],[Unit]],Products[ID],Products[Condition (s)])*Crops[[#This Row],[Custom Yield Per Bed]]/3600</f>
        <v>#N/A</v>
      </c>
      <c r="CW207" s="37" t="e">
        <f>_xlfn.XLOOKUP(Crops[[#This Row],[Crop]]&amp;Crops[[#This Row],[Product]]&amp;Crops[[#This Row],[Unit]],Products[ID],Products[Trim (s)])*Crops[[#This Row],[Custom Yield Per Bed]]/3600</f>
        <v>#N/A</v>
      </c>
      <c r="CX207" s="37" t="e">
        <f>_xlfn.XLOOKUP(Crops[[#This Row],[Crop]]&amp;Crops[[#This Row],[Product]]&amp;Crops[[#This Row],[Unit]],Products[ID],Products[Pack (s)])*Crops[[#This Row],[Custom Yield Per Bed]]/3600</f>
        <v>#N/A</v>
      </c>
      <c r="CY207" s="37" t="e">
        <f>_xlfn.XLOOKUP(Crops[[#This Row],[Crop]]&amp;Crops[[#This Row],[Product]]&amp;Crops[[#This Row],[Unit]],Products[ID],Products[Clean (s)])*Crops[[#This Row],[Custom Yield Per Bed]]/3600</f>
        <v>#N/A</v>
      </c>
      <c r="CZ207" s="37" t="e">
        <f>_xlfn.XLOOKUP(Crops[[#This Row],[Crop]]&amp;Crops[[#This Row],[Product]]&amp;Crops[[#This Row],[Unit]],Products[ID],Products[Rehandle (s)])*Crops[[#This Row],[Custom Yield Per Bed]]/3600</f>
        <v>#N/A</v>
      </c>
      <c r="DA207" s="37" t="e">
        <f>_xlfn.XLOOKUP(Crops[[#This Row],[Crop]]&amp;Crops[[#This Row],[Product]]&amp;Crops[[#This Row],[Unit]],Products[ID],Products[Market Transport (s)])*Crops[[#This Row],[Custom Yield Per Bed]]/3600</f>
        <v>#N/A</v>
      </c>
      <c r="DC207" s="37">
        <f>Crops[[#This Row],[Direct Revenue Per Bed2]]</f>
        <v>3200</v>
      </c>
      <c r="DD207" s="173">
        <f>_xlfn.AGGREGATE(9,6,Crops[[#This Row],[Bed Prep]:[Remove Crop Residue]])</f>
        <v>8.1928571428571431</v>
      </c>
      <c r="DE207" s="173" t="e">
        <f>_xlfn.AGGREGATE(9,6,Crops[[#This Row],[Bed Prep]:[Remove Crop Residue]])-0.75*Crops[[#This Row],[Market &amp; Sell]]</f>
        <v>#N/A</v>
      </c>
      <c r="DF207" s="36">
        <f>Crops[[#This Row],[Direct Revenue Per Bed2]]/Crops[[#This Row],[Direct Time]]</f>
        <v>390.58413251961639</v>
      </c>
      <c r="DG207" s="36" t="e">
        <f>_xlfn.XLOOKUP(Crops[[#This Row],[ProductIndex]],Products[ID],Products[Packaging Cost])*(Crops[[#This Row],[Custom Yield Per Bed]]/_xlfn.XLOOKUP(Crops[[#This Row],[ProductIndex]],Products[ID],Products[Units Per Pack]))</f>
        <v>#N/A</v>
      </c>
      <c r="DH207" s="36"/>
      <c r="DI207" s="36"/>
      <c r="DJ207" s="36"/>
      <c r="DK207" s="36"/>
      <c r="DL207" s="36"/>
      <c r="DM207" s="33">
        <f>IFERROR(Crops[[#This Row],[Custom Yield Per Bed]]*Crops[[#This Row],[Direct Price]],"")</f>
        <v>3200</v>
      </c>
      <c r="DN207" s="36">
        <f>Crops[[#This Row],[Direct Time]]*LaborRate</f>
        <v>204.82142857142858</v>
      </c>
      <c r="DO207" s="36">
        <f>SUM(Crops[[#This Row],[Irrigation Cost]])</f>
        <v>0</v>
      </c>
      <c r="DP207" s="36">
        <f>Crops[[#This Row],[Direct Labor Cost]]+Crops[[#This Row],[Direct Non-Labor Cost]]</f>
        <v>204.82142857142858</v>
      </c>
      <c r="DQ207" s="36">
        <f>Crops[[#This Row],[Direct Revenue Per Bed2]]-Crops[[#This Row],[Direct Total Cost]]</f>
        <v>2995.1785714285716</v>
      </c>
      <c r="DR207" s="36">
        <f>Crops[[#This Row],[Direct Profit]]*BedsPerAcre</f>
        <v>479228.57142857148</v>
      </c>
      <c r="DS207" s="36">
        <f>Crops[[#This Row],[Direct Profit]]*BedsPerAcre*GrowingDays/Crops[[#This Row],[Days In Field]]</f>
        <v>571265.84673604544</v>
      </c>
      <c r="DT207" s="36">
        <f>Crops[[#This Row],[Direct Profit]]/MIN(Crops[[#This Row],[Days In Field]],GrowingDays)</f>
        <v>19.835619678334911</v>
      </c>
      <c r="DU207" s="36">
        <f>Crops[[#This Row],[Direct Time]] * BedsPerAcre</f>
        <v>1310.8571428571429</v>
      </c>
      <c r="DV207" s="36">
        <f>(Crops[[#This Row],[Direct Revenue Per Bed2]]-Crops[[#This Row],[Direct Non-Labor Cost]])/Crops[[#This Row],[Direct Time]]</f>
        <v>390.58413251961639</v>
      </c>
      <c r="DW207" s="33">
        <f>IFERROR(Crops[[#This Row],[Custom Yield Per Bed]]*Crops[[#This Row],[Rough Wholesale Price]],"")</f>
        <v>1920</v>
      </c>
      <c r="DX207" s="36" t="e">
        <f>Crops[[#This Row],[Wholesale Time]]*LaborRate</f>
        <v>#N/A</v>
      </c>
      <c r="DY207" s="36" t="e">
        <f>SUM(Crops[[#This Row],[Packaging Costs]:[Irrigation Cost]])</f>
        <v>#N/A</v>
      </c>
      <c r="DZ207" s="36" t="e">
        <f>Crops[[#This Row],[Wholesale Labor Cost]]+Crops[[#This Row],[Wholesale Non-Labor Cost]]</f>
        <v>#N/A</v>
      </c>
      <c r="EA207" s="36" t="e">
        <f>Crops[[#This Row],[Wholesale Revenue Per Bed]]-Crops[[#This Row],[Wholesale Total Cost]]</f>
        <v>#N/A</v>
      </c>
      <c r="EB207" s="36" t="e">
        <f>Crops[[#This Row],[Wholesale Profit]]*BedsPerAcre</f>
        <v>#N/A</v>
      </c>
      <c r="EC207" s="36" t="e">
        <f>Crops[[#This Row],[Wholesale Profit]]*BedsPerAcre*GrowingDays/Crops[[#This Row],[Days In Field]]</f>
        <v>#N/A</v>
      </c>
      <c r="ED207" s="36" t="e">
        <f>Crops[[#This Row],[Wholesale Time]] * BedsPerAcre</f>
        <v>#N/A</v>
      </c>
      <c r="EE207" s="36" t="e">
        <f>Crops[[#This Row],[Wholesale Profit]]/MIN(Crops[[#This Row],[Days In Field]],GrowingDays)</f>
        <v>#N/A</v>
      </c>
      <c r="EF207" s="36" t="e">
        <f>(Crops[[#This Row],[Wholesale Revenue Per Bed]]-Crops[[#This Row],[Wholesale Non-Labor Cost]])/Crops[[#This Row],[Direct Time]]</f>
        <v>#N/A</v>
      </c>
      <c r="EG207" s="174" t="e">
        <f>Crops[[#This Row],[Packaging Costs]]/Crops[[#This Row],[Wholesale Revenue Per Bed]]</f>
        <v>#N/A</v>
      </c>
      <c r="EH207" s="36" t="str">
        <f>Crops[[#This Row],[Crop]]&amp;Crops[[#This Row],[Product]]&amp;Crops[[#This Row],[Unit]]</f>
        <v>MarigoldsMature StemStem</v>
      </c>
      <c r="EI207" s="36" t="e">
        <f>_xlfn.XLOOKUP(Crops[[#This Row],[ProductIndex]],Products[ID],Products[Target])</f>
        <v>#N/A</v>
      </c>
      <c r="EJ207" s="36">
        <f>Crops[[#This Row],[Custom Yield Per Bed]]</f>
        <v>3200</v>
      </c>
      <c r="EK207" s="210">
        <f>Crops[[#This Row],[Units Per Harvest]]/Crops[[#This Row],[Days Between Harvest]]*7</f>
        <v>400</v>
      </c>
      <c r="EL207" s="210" t="e">
        <f>Crops[[#This Row],[Custom Yield Per Bed]]/_xlfn.XLOOKUP(Crops[[#This Row],[ProductIndex]],Products[ID],Products[CSA Portion])</f>
        <v>#N/A</v>
      </c>
      <c r="EM207" s="210" t="e">
        <f>Crops[[#This Row],[Units Per Harvest]]/Crops[[#This Row],[Days Between Harvest]]*7/_xlfn.XLOOKUP(Crops[[#This Row],[ProductIndex]],Products[ID],Products[CSA Portion])</f>
        <v>#N/A</v>
      </c>
      <c r="EN207" s="210" t="e">
        <f>Crops[[#This Row],[CSA Portions Per Week]]/CSAMembers</f>
        <v>#N/A</v>
      </c>
      <c r="EO207" s="210"/>
      <c r="EP207" s="210"/>
      <c r="EQ207" s="36"/>
      <c r="ER207" s="36">
        <f>Crops[[#This Row],[Harvests]]*Crops[[#This Row],[Days Between Harvest]]/7</f>
        <v>8</v>
      </c>
      <c r="ES207" s="208" t="e">
        <f>_xlfn.XLOOKUP(Crops[[#This Row],[ProductIndex]],Products[ID],Products[CSA Need])</f>
        <v>#N/A</v>
      </c>
      <c r="ET207" s="208" t="e">
        <f>_xlfn.XLOOKUP(Crops[[#This Row],[ProductIndex]],Products[ID],Products[CSA Times])</f>
        <v>#N/A</v>
      </c>
      <c r="EU207" s="208" t="e">
        <f>Crops[[#This Row],[Custom Yield Per Bed]]/(Crops[[#This Row],[CSA Need]]*(_xlfn.XLOOKUP(Crops[[#This Row],[ProductIndex]],Products[ID],Products[CSA Portion])*CSAMembers))</f>
        <v>#N/A</v>
      </c>
      <c r="EV207" s="208" t="e">
        <f>_xlfn.XLOOKUP(Crops[[#This Row],[ProductIndex]],Products[ID],Products[CSA Portion])*CSAMembers*Crops[[#This Row],[CSA Need]]/Crops[[#This Row],[Custom Yield Per Bed]]</f>
        <v>#N/A</v>
      </c>
      <c r="EW207" s="208" t="str">
        <f>IFERROR(Crops[[#This Row],[Days In Field]]*Crops[[#This Row],[CSA Beds]],"")</f>
        <v/>
      </c>
      <c r="EX207" s="208" t="e">
        <f>Crops[[#This Row],[CSA Bed Days]]*#REF!</f>
        <v>#VALUE!</v>
      </c>
      <c r="EY207" t="s">
        <v>1734</v>
      </c>
    </row>
    <row r="208" spans="1:155">
      <c r="A20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(French) - Mature Stem 1X | Field TP </v>
      </c>
      <c r="B208" s="189"/>
      <c r="C208" s="1"/>
      <c r="D208" s="1"/>
      <c r="E208" s="1" t="b">
        <v>0</v>
      </c>
      <c r="F208" s="1" t="b">
        <f>IFERROR(IF(ISNUMBER(MATCH(Crops[[#This Row],[Identifier]],BedPlan[Crop], 0)), TRUE, FALSE), FALSE)</f>
        <v>0</v>
      </c>
      <c r="G208" s="1" t="b">
        <f>IFERROR(IF(ISNUMBER(MATCH(Crops[[#This Row],[Identifier]],BedPlan[Crop], 0)), TRUE, FALSE), FALSE)</f>
        <v>0</v>
      </c>
      <c r="H208" s="1"/>
      <c r="I208" t="s">
        <v>97</v>
      </c>
      <c r="J208" t="s">
        <v>1735</v>
      </c>
      <c r="K208" t="s">
        <v>181</v>
      </c>
      <c r="M208" t="s">
        <v>406</v>
      </c>
      <c r="N208" t="str">
        <f>Crops[[#This Row],[Crop]]</f>
        <v>Marigolds</v>
      </c>
      <c r="O208" t="s">
        <v>210</v>
      </c>
      <c r="P208" t="str">
        <f>IF(OR(Crops[[#This Row],[Days in Cells]]="",Crops[[#This Row],[Days in Cells]]=0), "DS","TP")</f>
        <v>TP</v>
      </c>
      <c r="V208" t="str">
        <f xml:space="preserve"> IF(Crops[[#This Row],[Sp]], "Sp", "") &amp; IF(Crops[[#This Row],[Su]], "Su", "") &amp; IF(Crops[[#This Row],[Fa]], "Fa", "") &amp; IF(Crops[[#This Row],[Wi]], "Wi", "") &amp; IF(Crops[[#This Row],[OW]], "Ow","")</f>
        <v/>
      </c>
      <c r="W208" t="s">
        <v>144</v>
      </c>
      <c r="X208">
        <v>3</v>
      </c>
      <c r="Y208">
        <v>9</v>
      </c>
      <c r="AA208" t="s">
        <v>474</v>
      </c>
      <c r="AB208" t="b">
        <v>0</v>
      </c>
      <c r="AC208">
        <v>2.5</v>
      </c>
      <c r="AD208" s="32">
        <f>IFERROR(12/Crops[[#This Row],[Spacing]]*Crops[[#This Row],[Rows]]*BedLength,"")</f>
        <v>200</v>
      </c>
      <c r="AE208">
        <v>1</v>
      </c>
      <c r="AG208">
        <f>IF(Crops[[#This Row],[Custom Safety Factor]]="",PlantingSafetyFactor,Crops[[#This Row],[Custom Safety Factor]])</f>
        <v>1.3</v>
      </c>
      <c r="AH208">
        <f>1</f>
        <v>1</v>
      </c>
      <c r="AI208" s="33">
        <f>IFERROR(Crops[[#This Row],[Plantings Per Bed]]*Crops[[#This Row],[Seeds Per Planting]]*Crops[[#This Row],[Safety Factor]]*Crops[[#This Row],[Seeding Factor]],"")</f>
        <v>260</v>
      </c>
      <c r="AJ208">
        <v>4</v>
      </c>
      <c r="AK208">
        <v>7</v>
      </c>
      <c r="AL208">
        <f>_xlfn.FLOOR.MATH(IFERROR(AVERAGE(Crops[[#This Row],[DTG Lower]:[DTG Upper]]),0))</f>
        <v>5</v>
      </c>
      <c r="AM208">
        <f>SUM(Crops[[#This Row],[Tray 1 Days]],Crops[[#This Row],[Tray 2 Days]],Crops[[#This Row],[Tray 3 Days]])</f>
        <v>28</v>
      </c>
      <c r="AN208" s="32">
        <v>35</v>
      </c>
      <c r="AP208">
        <v>60</v>
      </c>
      <c r="AQ208">
        <f>IFERROR(_xlfn.FLOOR.MATH(AVERAGE(Crops[[#This Row],[DTM Lower]:[DTM Upper]])),"")</f>
        <v>60</v>
      </c>
      <c r="AR208" cm="1">
        <f t="array" ref="AR208">_xlfn.SWITCH(Crops[[#This Row],[Normal Method]],"DS",Crops[[#This Row],[Days to Germination]]+Crops[[#This Row],[DTM]] + IF(Crops[[#This Row],[Days in Cells]]&gt;0,15,0), "TP",Crops[[#This Row],[DTM]]+Crops[[#This Row],[Days in Cells]] + IF(Crops[[#This Row],[Days in Cells]]&lt;=0,20,0), "X", Crops[[#This Row],[DTM]])</f>
        <v>88</v>
      </c>
      <c r="AS208" t="s">
        <v>346</v>
      </c>
      <c r="AT208">
        <f>(Crops[[#This Row],[Harvests]]-1)*Crops[[#This Row],[Days Between Harvest]]+7</f>
        <v>91</v>
      </c>
      <c r="AU208">
        <f>Crops[[#This Row],[STH]]-Crops[[#This Row],[Days in Cells]]+Crops[[#This Row],[Harvest window]]</f>
        <v>151</v>
      </c>
      <c r="AX208">
        <v>128</v>
      </c>
      <c r="AY208">
        <v>28</v>
      </c>
      <c r="AZ208" s="49">
        <f>IFERROR(IF(Crops[[#This Row],[Tray 1 Days]]=0,"",Crops[[#This Row],[Plantings Per Bed]]/Crops[[#This Row],[Tray 1 Size]]*Crops[[#This Row],[Safety Factor]]),"")</f>
        <v>2.03125</v>
      </c>
      <c r="BC208" t="str">
        <f>IFERROR(IF(Crops[[#This Row],[Tray 2 Days]]=0,"",Crops[[#This Row],[Plantings Per Bed]]/Crops[[#This Row],[Tray 2 Size]]*Crops[[#This Row],[Safety Factor]]),"")</f>
        <v/>
      </c>
      <c r="BE208" s="32" t="str">
        <f>IF(NOT(ISBLANK(Crops[[#This Row],[Tray 3 Size]])), Crops[[#This Row],[Days in Cells Old]]-SUM(Crops[[#This Row],[Tray 1 Days]],Crops[[#This Row],[Tray 2 Days]]), "")</f>
        <v/>
      </c>
      <c r="BF208" s="49" t="str">
        <f>IFERROR(IF(Crops[[#This Row],[Tray 3 Days]]=0,"",Crops[[#This Row],[Plantings Per Bed]]/Crops[[#This Row],[Tray 3 Size]]*Crops[[#This Row],[Safety Factor]]),"")</f>
        <v/>
      </c>
      <c r="BG208" s="33">
        <f>Crops[[#This Row],[Plantings Per Bed]]*2</f>
        <v>400</v>
      </c>
      <c r="BH208" s="33">
        <v>13</v>
      </c>
      <c r="BI208" s="33">
        <v>7</v>
      </c>
      <c r="BJ208" s="33" t="e">
        <f>_xlfn.XLOOKUP(Crops[[#This Row],[ProductIndex]],Products[ID],Products[Holding Period])</f>
        <v>#N/A</v>
      </c>
      <c r="BK208" s="33"/>
      <c r="BL208" s="33">
        <f>Crops[[#This Row],[Units Per Harvest]]*Crops[[#This Row],[Harvests]]</f>
        <v>5200</v>
      </c>
      <c r="BM208" s="35">
        <v>1</v>
      </c>
      <c r="BN208" s="35">
        <f>Crops[[#This Row],[Direct Price]]*0.6</f>
        <v>0.6</v>
      </c>
      <c r="BO208" s="35"/>
      <c r="BP208" t="s">
        <v>213</v>
      </c>
      <c r="BQ208">
        <f>Crops[[#This Row],[Custom Yield Per Bed]]*Crops[[#This Row],[Direct Price]]</f>
        <v>5200</v>
      </c>
      <c r="BR208" t="b">
        <v>0</v>
      </c>
      <c r="BS208" t="b">
        <f>Crops[[#This Row],[Harvests]]&gt;1</f>
        <v>1</v>
      </c>
      <c r="BT208" s="36">
        <f>IFERROR(Crops[[#This Row],[Direct Revenue Per Bed]]/Crops[[#This Row],[Days In Field]],-1)</f>
        <v>34.437086092715234</v>
      </c>
      <c r="BU208" s="36">
        <f>IFERROR(Crops[[#This Row],[Direct Revenue Per Bed Day]]*GrowingDays*BedsPerAcre,"")</f>
        <v>991788.07947019872</v>
      </c>
      <c r="BV208" s="38">
        <f>LastFrostDate-5*Crops[[#This Row],[Sewing Rel Last Frost]]</f>
        <v>45753</v>
      </c>
      <c r="BW208" s="38">
        <f>Crops[[#This Row],[Target Sewing Date]]+Crops[[#This Row],[Days in Cells]]</f>
        <v>45781</v>
      </c>
      <c r="BX208" s="38">
        <f>Crops[[#This Row],[Target Sewing Date]]+Crops[[#This Row],[STH]]</f>
        <v>45841</v>
      </c>
      <c r="BY208" s="38">
        <f>Crops[[#This Row],[Target Harvest Data]]+Crops[[#This Row],[Harvest window]]</f>
        <v>45932</v>
      </c>
      <c r="BZ208">
        <v>-1</v>
      </c>
      <c r="CB208">
        <f>1</f>
        <v>1</v>
      </c>
      <c r="CC208">
        <f>IF(Crops[[#This Row],[Transplanting]]&gt;0, 2, 3)*BedLength/StandardBedLength</f>
        <v>1</v>
      </c>
      <c r="CD208" s="173">
        <f>IF(Crops[[#This Row],[Days in Cells]]&lt;=0,0,Crops[[#This Row],[Plantings Per Bed]]/StartsPerHourSeeding+Crops[[#This Row],[Tray 1 Count]]*5/60)</f>
        <v>0.95052083333333337</v>
      </c>
      <c r="CE208" s="173">
        <f>IF(ISBLANK(Crops[[#This Row],[Tray 2 Days]]),0,Crops[[#This Row],[Plantings Per Bed]]/UpPottingPerHour)+IF(Crops[[#This Row],[Tray 3 Days]]="",0,Crops[[#This Row],[Plantings Per Bed]]/UpPottingPerHour)</f>
        <v>0</v>
      </c>
      <c r="CF208" s="173">
        <f>IFERROR(Crops[[#This Row],[Tray 1 Count]]/HomeStartFlatIrrigationPerHour,0)*Crops[[#This Row],[Days in Cells]]/DaysBetweenStartIrrigation</f>
        <v>0.23697916666666666</v>
      </c>
      <c r="CG208" s="173">
        <f>0.5/16*MAX(Crops[[#This Row],[Tray 1 Count]],Crops[[#This Row],[Tray 2 Count]],Crops[[#This Row],[Tray 3 Count]])</f>
        <v>6.34765625E-2</v>
      </c>
      <c r="CH208" s="173">
        <f>IF(Crops[[#This Row],[Days in Cells]]&gt;0,IF(IF(Crops[[#This Row],[Tray 3 Size]]&gt;0,Crops[[#This Row],[Tray 3 Size]],IF(Crops[[#This Row],[Tray 2 Size]]&gt;0,Crops[[#This Row],[Tray 2 Size]],Crops[[#This Row],[Tray 1 Size]]))&lt;=18,LargeTransplantTime,SmallTransplantTime)*Crops[[#This Row],[Plantings Per Bed]],0)</f>
        <v>1</v>
      </c>
      <c r="CI208" s="173"/>
      <c r="CJ208" s="173">
        <f>_xlfn.XLOOKUP(Crops[[#This Row],[Trellis Type]],TrellisMethods[Trellis Type],TrellisMethods[Hours],0,0)</f>
        <v>0</v>
      </c>
      <c r="CK208">
        <f>IF(Crops[[#This Row],[Days in Cells]]&lt;=0,Crops[[#This Row],[Rows]]*1/10,0)*BedLength/50</f>
        <v>0</v>
      </c>
      <c r="CL208" cm="1">
        <f t="array" ref="CL208">_xlfn.SWITCH(Crops[[#This Row],[Irrigation]],"DR", 0.5, "OH", 0.25,0)*BedLength/50</f>
        <v>0</v>
      </c>
      <c r="CM208">
        <f>IF(OR(ISBLANK(Crops[[#This Row],[Row Cover]]),Crops[[#This Row],[Row Cover]]="None"),0,1)*BedLength/50</f>
        <v>0</v>
      </c>
      <c r="CN208" s="173">
        <f>HoursPerWeedingPass*Crops[[#This Row],[Days In Field]]/14*Crops[[#This Row],[Rows]]+1*BedLength/50</f>
        <v>6.3928571428571423</v>
      </c>
      <c r="CQ208" s="37" t="e">
        <f>_xlfn.XLOOKUP(Crops[[#This Row],[Crop]]&amp;Crops[[#This Row],[Product]]&amp;Crops[[#This Row],[Unit]],Products[ID],Products[Marketing (hr)])*Crops[[#This Row],[Direct Revenue Per Bed]]/2000</f>
        <v>#N/A</v>
      </c>
      <c r="CR208" s="37" t="e">
        <f>_xlfn.XLOOKUP(Crops[[#This Row],[Crop]]&amp;Crops[[#This Row],[Product]]&amp;Crops[[#This Row],[Unit]],Products[ID],Products[Harvest (s)])*Crops[[#This Row],[Custom Yield Per Bed]]/3600</f>
        <v>#N/A</v>
      </c>
      <c r="CS208" s="37" t="e">
        <f>_xlfn.XLOOKUP(Crops[[#This Row],[Crop]]&amp;Crops[[#This Row],[Product]]&amp;Crops[[#This Row],[Unit]],Products[ID],Products[Bunch (s)])*Crops[[#This Row],[Custom Yield Per Bed]]/3600</f>
        <v>#N/A</v>
      </c>
      <c r="CT208" s="37" t="e">
        <f>_xlfn.XLOOKUP(Crops[[#This Row],[Crop]]&amp;Crops[[#This Row],[Product]]&amp;Crops[[#This Row],[Unit]],Products[ID],Products[Haul (s)])*Crops[[#This Row],[Custom Yield Per Bed]]/3600</f>
        <v>#N/A</v>
      </c>
      <c r="CU208" s="37" t="e">
        <f>_xlfn.XLOOKUP(Crops[[#This Row],[Crop]]&amp;Crops[[#This Row],[Product]]&amp;Crops[[#This Row],[Unit]],Products[ID],Products[Wash (s)])*Crops[[#This Row],[Custom Yield Per Bed]]/3600</f>
        <v>#N/A</v>
      </c>
      <c r="CV208" s="37" t="e">
        <f>_xlfn.XLOOKUP(Crops[[#This Row],[Crop]]&amp;Crops[[#This Row],[Product]]&amp;Crops[[#This Row],[Unit]],Products[ID],Products[Condition (s)])*Crops[[#This Row],[Custom Yield Per Bed]]/3600</f>
        <v>#N/A</v>
      </c>
      <c r="CW208" s="37" t="e">
        <f>_xlfn.XLOOKUP(Crops[[#This Row],[Crop]]&amp;Crops[[#This Row],[Product]]&amp;Crops[[#This Row],[Unit]],Products[ID],Products[Trim (s)])*Crops[[#This Row],[Custom Yield Per Bed]]/3600</f>
        <v>#N/A</v>
      </c>
      <c r="CX208" s="37" t="e">
        <f>_xlfn.XLOOKUP(Crops[[#This Row],[Crop]]&amp;Crops[[#This Row],[Product]]&amp;Crops[[#This Row],[Unit]],Products[ID],Products[Pack (s)])*Crops[[#This Row],[Custom Yield Per Bed]]/3600</f>
        <v>#N/A</v>
      </c>
      <c r="CY208" s="37" t="e">
        <f>_xlfn.XLOOKUP(Crops[[#This Row],[Crop]]&amp;Crops[[#This Row],[Product]]&amp;Crops[[#This Row],[Unit]],Products[ID],Products[Clean (s)])*Crops[[#This Row],[Custom Yield Per Bed]]/3600</f>
        <v>#N/A</v>
      </c>
      <c r="CZ208" s="37" t="e">
        <f>_xlfn.XLOOKUP(Crops[[#This Row],[Crop]]&amp;Crops[[#This Row],[Product]]&amp;Crops[[#This Row],[Unit]],Products[ID],Products[Rehandle (s)])*Crops[[#This Row],[Custom Yield Per Bed]]/3600</f>
        <v>#N/A</v>
      </c>
      <c r="DA208" s="37" t="e">
        <f>_xlfn.XLOOKUP(Crops[[#This Row],[Crop]]&amp;Crops[[#This Row],[Product]]&amp;Crops[[#This Row],[Unit]],Products[ID],Products[Market Transport (s)])*Crops[[#This Row],[Custom Yield Per Bed]]/3600</f>
        <v>#N/A</v>
      </c>
      <c r="DC208" s="37">
        <f>Crops[[#This Row],[Direct Revenue Per Bed2]]</f>
        <v>5200</v>
      </c>
      <c r="DD208" s="173">
        <f>_xlfn.AGGREGATE(9,6,Crops[[#This Row],[Bed Prep]:[Remove Crop Residue]])</f>
        <v>9.6438337053571423</v>
      </c>
      <c r="DE208" s="173" t="e">
        <f>_xlfn.AGGREGATE(9,6,Crops[[#This Row],[Bed Prep]:[Remove Crop Residue]])-0.75*Crops[[#This Row],[Market &amp; Sell]]</f>
        <v>#N/A</v>
      </c>
      <c r="DF208" s="36">
        <f>Crops[[#This Row],[Direct Revenue Per Bed2]]/Crops[[#This Row],[Direct Time]]</f>
        <v>539.2046523066241</v>
      </c>
      <c r="DG208" s="36" t="e">
        <f>_xlfn.XLOOKUP(Crops[[#This Row],[ProductIndex]],Products[ID],Products[Packaging Cost])*(Crops[[#This Row],[Custom Yield Per Bed]]/_xlfn.XLOOKUP(Crops[[#This Row],[ProductIndex]],Products[ID],Products[Units Per Pack]))</f>
        <v>#N/A</v>
      </c>
      <c r="DH208" s="36"/>
      <c r="DI208" s="36"/>
      <c r="DJ208" s="36"/>
      <c r="DK208" s="36"/>
      <c r="DL208" s="36"/>
      <c r="DM208" s="33">
        <f>IFERROR(Crops[[#This Row],[Custom Yield Per Bed]]*Crops[[#This Row],[Direct Price]],"")</f>
        <v>5200</v>
      </c>
      <c r="DN208" s="36">
        <f>Crops[[#This Row],[Direct Time]]*LaborRate</f>
        <v>241.09584263392856</v>
      </c>
      <c r="DO208" s="36">
        <f>SUM(Crops[[#This Row],[Irrigation Cost]])</f>
        <v>0</v>
      </c>
      <c r="DP208" s="36">
        <f>Crops[[#This Row],[Direct Labor Cost]]+Crops[[#This Row],[Direct Non-Labor Cost]]</f>
        <v>241.09584263392856</v>
      </c>
      <c r="DQ208" s="36">
        <f>Crops[[#This Row],[Direct Revenue Per Bed2]]-Crops[[#This Row],[Direct Total Cost]]</f>
        <v>4958.9041573660716</v>
      </c>
      <c r="DR208" s="36">
        <f>Crops[[#This Row],[Direct Profit]]*BedsPerAcre</f>
        <v>793424.66517857148</v>
      </c>
      <c r="DS208" s="36">
        <f>Crops[[#This Row],[Direct Profit]]*BedsPerAcre*GrowingDays/Crops[[#This Row],[Days In Field]]</f>
        <v>945804.23663670768</v>
      </c>
      <c r="DT208" s="36">
        <f>Crops[[#This Row],[Direct Profit]]/MIN(Crops[[#This Row],[Days In Field]],GrowingDays)</f>
        <v>32.840424883219015</v>
      </c>
      <c r="DU208" s="36">
        <f>Crops[[#This Row],[Direct Time]] * BedsPerAcre</f>
        <v>1543.0133928571427</v>
      </c>
      <c r="DV208" s="36">
        <f>(Crops[[#This Row],[Direct Revenue Per Bed2]]-Crops[[#This Row],[Direct Non-Labor Cost]])/Crops[[#This Row],[Direct Time]]</f>
        <v>539.2046523066241</v>
      </c>
      <c r="DW208" s="33">
        <f>IFERROR(Crops[[#This Row],[Custom Yield Per Bed]]*Crops[[#This Row],[Rough Wholesale Price]],"")</f>
        <v>3120</v>
      </c>
      <c r="DX208" s="36" t="e">
        <f>Crops[[#This Row],[Wholesale Time]]*LaborRate</f>
        <v>#N/A</v>
      </c>
      <c r="DY208" s="36" t="e">
        <f>SUM(Crops[[#This Row],[Packaging Costs]:[Irrigation Cost]])</f>
        <v>#N/A</v>
      </c>
      <c r="DZ208" s="36" t="e">
        <f>Crops[[#This Row],[Wholesale Labor Cost]]+Crops[[#This Row],[Wholesale Non-Labor Cost]]</f>
        <v>#N/A</v>
      </c>
      <c r="EA208" s="36" t="e">
        <f>Crops[[#This Row],[Wholesale Revenue Per Bed]]-Crops[[#This Row],[Wholesale Total Cost]]</f>
        <v>#N/A</v>
      </c>
      <c r="EB208" s="36" t="e">
        <f>Crops[[#This Row],[Wholesale Profit]]*BedsPerAcre</f>
        <v>#N/A</v>
      </c>
      <c r="EC208" s="36" t="e">
        <f>Crops[[#This Row],[Wholesale Profit]]*BedsPerAcre*GrowingDays/Crops[[#This Row],[Days In Field]]</f>
        <v>#N/A</v>
      </c>
      <c r="ED208" s="36" t="e">
        <f>Crops[[#This Row],[Wholesale Time]] * BedsPerAcre</f>
        <v>#N/A</v>
      </c>
      <c r="EE208" s="36" t="e">
        <f>Crops[[#This Row],[Wholesale Profit]]/MIN(Crops[[#This Row],[Days In Field]],GrowingDays)</f>
        <v>#N/A</v>
      </c>
      <c r="EF208" s="36" t="e">
        <f>(Crops[[#This Row],[Wholesale Revenue Per Bed]]-Crops[[#This Row],[Wholesale Non-Labor Cost]])/Crops[[#This Row],[Direct Time]]</f>
        <v>#N/A</v>
      </c>
      <c r="EG208" s="174" t="e">
        <f>Crops[[#This Row],[Packaging Costs]]/Crops[[#This Row],[Wholesale Revenue Per Bed]]</f>
        <v>#N/A</v>
      </c>
      <c r="EH208" s="36" t="str">
        <f>Crops[[#This Row],[Crop]]&amp;Crops[[#This Row],[Product]]&amp;Crops[[#This Row],[Unit]]</f>
        <v>MarigoldsMature StemStem</v>
      </c>
      <c r="EI208" s="36" t="e">
        <f>_xlfn.XLOOKUP(Crops[[#This Row],[ProductIndex]],Products[ID],Products[Target])</f>
        <v>#N/A</v>
      </c>
      <c r="EJ208" s="36">
        <f>Crops[[#This Row],[Custom Yield Per Bed]]</f>
        <v>5200</v>
      </c>
      <c r="EK208" s="210">
        <f>Crops[[#This Row],[Units Per Harvest]]/Crops[[#This Row],[Days Between Harvest]]*7</f>
        <v>400</v>
      </c>
      <c r="EL208" s="210" t="e">
        <f>Crops[[#This Row],[Custom Yield Per Bed]]/_xlfn.XLOOKUP(Crops[[#This Row],[ProductIndex]],Products[ID],Products[CSA Portion])</f>
        <v>#N/A</v>
      </c>
      <c r="EM208" s="210" t="e">
        <f>Crops[[#This Row],[Units Per Harvest]]/Crops[[#This Row],[Days Between Harvest]]*7/_xlfn.XLOOKUP(Crops[[#This Row],[ProductIndex]],Products[ID],Products[CSA Portion])</f>
        <v>#N/A</v>
      </c>
      <c r="EN208" s="210" t="e">
        <f>Crops[[#This Row],[CSA Portions Per Week]]/CSAMembers</f>
        <v>#N/A</v>
      </c>
      <c r="EO208" s="210"/>
      <c r="EP208" s="210"/>
      <c r="EQ208" s="36"/>
      <c r="ER208" s="36">
        <f>Crops[[#This Row],[Harvests]]*Crops[[#This Row],[Days Between Harvest]]/7</f>
        <v>13</v>
      </c>
      <c r="ES208" s="208" t="e">
        <f>_xlfn.XLOOKUP(Crops[[#This Row],[ProductIndex]],Products[ID],Products[CSA Need])</f>
        <v>#N/A</v>
      </c>
      <c r="ET208" s="208" t="e">
        <f>_xlfn.XLOOKUP(Crops[[#This Row],[ProductIndex]],Products[ID],Products[CSA Times])</f>
        <v>#N/A</v>
      </c>
      <c r="EU208" s="208" t="e">
        <f>Crops[[#This Row],[Custom Yield Per Bed]]/(Crops[[#This Row],[CSA Need]]*(_xlfn.XLOOKUP(Crops[[#This Row],[ProductIndex]],Products[ID],Products[CSA Portion])*CSAMembers))</f>
        <v>#N/A</v>
      </c>
      <c r="EV208" s="208" t="e">
        <f>_xlfn.XLOOKUP(Crops[[#This Row],[ProductIndex]],Products[ID],Products[CSA Portion])*CSAMembers*Crops[[#This Row],[CSA Need]]/Crops[[#This Row],[Custom Yield Per Bed]]</f>
        <v>#N/A</v>
      </c>
      <c r="EW208" s="208" t="str">
        <f>IFERROR(Crops[[#This Row],[Days In Field]]*Crops[[#This Row],[CSA Beds]],"")</f>
        <v/>
      </c>
      <c r="EX208" s="208" t="e">
        <f>Crops[[#This Row],[CSA Bed Days]]*#REF!</f>
        <v>#VALUE!</v>
      </c>
      <c r="EY208" t="s">
        <v>1734</v>
      </c>
    </row>
    <row r="209" spans="1:155">
      <c r="A20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(Gem) - Mature Stem 1X | Field DS </v>
      </c>
      <c r="B209" s="189"/>
      <c r="C209" s="1"/>
      <c r="D209" s="1"/>
      <c r="E209" s="1" t="b">
        <v>0</v>
      </c>
      <c r="F209" s="1" t="b">
        <f>IFERROR(IF(ISNUMBER(MATCH(Crops[[#This Row],[Identifier]],BedPlan[Crop], 0)), TRUE, FALSE), FALSE)</f>
        <v>0</v>
      </c>
      <c r="G209" s="1" t="b">
        <f>IFERROR(IF(ISNUMBER(MATCH(Crops[[#This Row],[Identifier]],BedPlan[Crop], 0)), TRUE, FALSE), FALSE)</f>
        <v>0</v>
      </c>
      <c r="H209" s="1"/>
      <c r="I209" t="s">
        <v>97</v>
      </c>
      <c r="J209" t="s">
        <v>1736</v>
      </c>
      <c r="K209" t="s">
        <v>181</v>
      </c>
      <c r="M209" t="s">
        <v>406</v>
      </c>
      <c r="N209" t="str">
        <f>Crops[[#This Row],[Crop]]</f>
        <v>Marigolds</v>
      </c>
      <c r="O209" t="s">
        <v>210</v>
      </c>
      <c r="P209" t="str">
        <f>IF(OR(Crops[[#This Row],[Days in Cells]]="",Crops[[#This Row],[Days in Cells]]=0), "DS","TP")</f>
        <v>DS</v>
      </c>
      <c r="V209" t="str">
        <f xml:space="preserve"> IF(Crops[[#This Row],[Sp]], "Sp", "") &amp; IF(Crops[[#This Row],[Su]], "Su", "") &amp; IF(Crops[[#This Row],[Fa]], "Fa", "") &amp; IF(Crops[[#This Row],[Wi]], "Wi", "") &amp; IF(Crops[[#This Row],[OW]], "Ow","")</f>
        <v/>
      </c>
      <c r="W209" t="s">
        <v>144</v>
      </c>
      <c r="X209">
        <v>3</v>
      </c>
      <c r="Y209">
        <v>12</v>
      </c>
      <c r="AA209" t="s">
        <v>474</v>
      </c>
      <c r="AB209" t="b">
        <v>0</v>
      </c>
      <c r="AC209">
        <v>2.5</v>
      </c>
      <c r="AD209" s="32">
        <f>IFERROR(12/Crops[[#This Row],[Spacing]]*Crops[[#This Row],[Rows]]*BedLength,"")</f>
        <v>150</v>
      </c>
      <c r="AE209">
        <v>1</v>
      </c>
      <c r="AG209">
        <f>IF(Crops[[#This Row],[Custom Safety Factor]]="",PlantingSafetyFactor,Crops[[#This Row],[Custom Safety Factor]])</f>
        <v>1.3</v>
      </c>
      <c r="AH209">
        <f>1</f>
        <v>1</v>
      </c>
      <c r="AI209" s="33">
        <f>IFERROR(Crops[[#This Row],[Plantings Per Bed]]*Crops[[#This Row],[Seeds Per Planting]]*Crops[[#This Row],[Safety Factor]]*Crops[[#This Row],[Seeding Factor]],"")</f>
        <v>195</v>
      </c>
      <c r="AJ209">
        <v>4</v>
      </c>
      <c r="AK209">
        <v>7</v>
      </c>
      <c r="AL209">
        <f>_xlfn.FLOOR.MATH(IFERROR(AVERAGE(Crops[[#This Row],[DTG Lower]:[DTG Upper]]),0))</f>
        <v>5</v>
      </c>
      <c r="AM209">
        <f>SUM(Crops[[#This Row],[Tray 1 Days]],Crops[[#This Row],[Tray 2 Days]],Crops[[#This Row],[Tray 3 Days]])</f>
        <v>0</v>
      </c>
      <c r="AN209" s="32">
        <v>35</v>
      </c>
      <c r="AP209">
        <v>95</v>
      </c>
      <c r="AQ209">
        <f>IFERROR(_xlfn.FLOOR.MATH(AVERAGE(Crops[[#This Row],[DTM Lower]:[DTM Upper]])),"")</f>
        <v>95</v>
      </c>
      <c r="AR209" cm="1">
        <f t="array" ref="AR209">_xlfn.SWITCH(Crops[[#This Row],[Normal Method]],"DS",Crops[[#This Row],[Days to Germination]]+Crops[[#This Row],[DTM]] + IF(Crops[[#This Row],[Days in Cells]]&gt;0,15,0), "TP",Crops[[#This Row],[DTM]]+Crops[[#This Row],[Days in Cells]] + IF(Crops[[#This Row],[Days in Cells]]&lt;=0,20,0), "X", Crops[[#This Row],[DTM]])</f>
        <v>95</v>
      </c>
      <c r="AS209" t="s">
        <v>347</v>
      </c>
      <c r="AT209">
        <f>(Crops[[#This Row],[Harvests]]-1)*Crops[[#This Row],[Days Between Harvest]]+7</f>
        <v>56</v>
      </c>
      <c r="AU209">
        <f>Crops[[#This Row],[STH]]-Crops[[#This Row],[Days in Cells]]+Crops[[#This Row],[Harvest window]]</f>
        <v>151</v>
      </c>
      <c r="AZ209" s="49" t="str">
        <f>IFERROR(IF(Crops[[#This Row],[Tray 1 Days]]=0,"",Crops[[#This Row],[Plantings Per Bed]]/Crops[[#This Row],[Tray 1 Size]]*Crops[[#This Row],[Safety Factor]]),"")</f>
        <v/>
      </c>
      <c r="BC209" t="str">
        <f>IFERROR(IF(Crops[[#This Row],[Tray 2 Days]]=0,"",Crops[[#This Row],[Plantings Per Bed]]/Crops[[#This Row],[Tray 2 Size]]*Crops[[#This Row],[Safety Factor]]),"")</f>
        <v/>
      </c>
      <c r="BE209" s="32" t="str">
        <f>IF(NOT(ISBLANK(Crops[[#This Row],[Tray 3 Size]])), Crops[[#This Row],[Days in Cells Old]]-SUM(Crops[[#This Row],[Tray 1 Days]],Crops[[#This Row],[Tray 2 Days]]), "")</f>
        <v/>
      </c>
      <c r="BF209" s="49" t="str">
        <f>IFERROR(IF(Crops[[#This Row],[Tray 3 Days]]=0,"",Crops[[#This Row],[Plantings Per Bed]]/Crops[[#This Row],[Tray 3 Size]]*Crops[[#This Row],[Safety Factor]]),"")</f>
        <v/>
      </c>
      <c r="BG209" s="33">
        <f>Crops[[#This Row],[Plantings Per Bed]]*2</f>
        <v>300</v>
      </c>
      <c r="BH209" s="33">
        <v>8</v>
      </c>
      <c r="BI209" s="33">
        <v>7</v>
      </c>
      <c r="BJ209" s="33" t="e">
        <f>_xlfn.XLOOKUP(Crops[[#This Row],[ProductIndex]],Products[ID],Products[Holding Period])</f>
        <v>#N/A</v>
      </c>
      <c r="BK209" s="33"/>
      <c r="BL209" s="33">
        <f>Crops[[#This Row],[Units Per Harvest]]*Crops[[#This Row],[Harvests]]</f>
        <v>2400</v>
      </c>
      <c r="BM209" s="35">
        <v>1</v>
      </c>
      <c r="BN209" s="35">
        <f>Crops[[#This Row],[Direct Price]]*0.6</f>
        <v>0.6</v>
      </c>
      <c r="BO209" s="35"/>
      <c r="BP209" t="s">
        <v>213</v>
      </c>
      <c r="BQ209">
        <f>Crops[[#This Row],[Custom Yield Per Bed]]*Crops[[#This Row],[Direct Price]]</f>
        <v>2400</v>
      </c>
      <c r="BR209" t="b">
        <v>0</v>
      </c>
      <c r="BS209" t="b">
        <f>Crops[[#This Row],[Harvests]]&gt;1</f>
        <v>1</v>
      </c>
      <c r="BT209" s="36">
        <f>IFERROR(Crops[[#This Row],[Direct Revenue Per Bed]]/Crops[[#This Row],[Days In Field]],-1)</f>
        <v>15.894039735099337</v>
      </c>
      <c r="BU209" s="36">
        <f>IFERROR(Crops[[#This Row],[Direct Revenue Per Bed Day]]*GrowingDays*BedsPerAcre,"")</f>
        <v>457748.34437086096</v>
      </c>
      <c r="BV209" s="38">
        <f>LastFrostDate-5*Crops[[#This Row],[Sewing Rel Last Frost]]</f>
        <v>45768</v>
      </c>
      <c r="BW209" s="38">
        <f>Crops[[#This Row],[Target Sewing Date]]+Crops[[#This Row],[Days in Cells]]</f>
        <v>45768</v>
      </c>
      <c r="BX209" s="38">
        <f>Crops[[#This Row],[Target Sewing Date]]+Crops[[#This Row],[STH]]</f>
        <v>45863</v>
      </c>
      <c r="BY209" s="38">
        <f>Crops[[#This Row],[Target Harvest Data]]+Crops[[#This Row],[Harvest window]]</f>
        <v>45919</v>
      </c>
      <c r="BZ209">
        <v>-4</v>
      </c>
      <c r="CB209">
        <f>1</f>
        <v>1</v>
      </c>
      <c r="CC209">
        <f>IF(Crops[[#This Row],[Transplanting]]&gt;0, 2, 3)*BedLength/StandardBedLength</f>
        <v>1.5</v>
      </c>
      <c r="CD209" s="173">
        <f>IF(Crops[[#This Row],[Days in Cells]]&lt;=0,0,Crops[[#This Row],[Plantings Per Bed]]/StartsPerHourSeeding+Crops[[#This Row],[Tray 1 Count]]*5/60)</f>
        <v>0</v>
      </c>
      <c r="CE209" s="173">
        <f>IF(ISBLANK(Crops[[#This Row],[Tray 2 Days]]),0,Crops[[#This Row],[Plantings Per Bed]]/UpPottingPerHour)+IF(Crops[[#This Row],[Tray 3 Days]]="",0,Crops[[#This Row],[Plantings Per Bed]]/UpPottingPerHour)</f>
        <v>0</v>
      </c>
      <c r="CF209" s="173">
        <f>IFERROR(Crops[[#This Row],[Tray 1 Count]]/HomeStartFlatIrrigationPerHour,0)*Crops[[#This Row],[Days in Cells]]/DaysBetweenStartIrrigation</f>
        <v>0</v>
      </c>
      <c r="CG209" s="173">
        <f>0.5/16*MAX(Crops[[#This Row],[Tray 1 Count]],Crops[[#This Row],[Tray 2 Count]],Crops[[#This Row],[Tray 3 Count]])</f>
        <v>0</v>
      </c>
      <c r="CH209" s="173">
        <f>IF(Crops[[#This Row],[Days in Cells]]&gt;0,IF(IF(Crops[[#This Row],[Tray 3 Size]]&gt;0,Crops[[#This Row],[Tray 3 Size]],IF(Crops[[#This Row],[Tray 2 Size]]&gt;0,Crops[[#This Row],[Tray 2 Size]],Crops[[#This Row],[Tray 1 Size]]))&lt;=18,LargeTransplantTime,SmallTransplantTime)*Crops[[#This Row],[Plantings Per Bed]],0)</f>
        <v>0</v>
      </c>
      <c r="CI209" s="173"/>
      <c r="CJ209" s="173">
        <f>_xlfn.XLOOKUP(Crops[[#This Row],[Trellis Type]],TrellisMethods[Trellis Type],TrellisMethods[Hours],0,0)</f>
        <v>0</v>
      </c>
      <c r="CK209">
        <f>IF(Crops[[#This Row],[Days in Cells]]&lt;=0,Crops[[#This Row],[Rows]]*1/10,0)*BedLength/50</f>
        <v>0.3</v>
      </c>
      <c r="CL209" cm="1">
        <f t="array" ref="CL209">_xlfn.SWITCH(Crops[[#This Row],[Irrigation]],"DR", 0.5, "OH", 0.25,0)*BedLength/50</f>
        <v>0</v>
      </c>
      <c r="CM209">
        <f>IF(OR(ISBLANK(Crops[[#This Row],[Row Cover]]),Crops[[#This Row],[Row Cover]]="None"),0,1)*BedLength/50</f>
        <v>0</v>
      </c>
      <c r="CN209" s="173">
        <f>HoursPerWeedingPass*Crops[[#This Row],[Days In Field]]/14*Crops[[#This Row],[Rows]]+1*BedLength/50</f>
        <v>6.3928571428571423</v>
      </c>
      <c r="CQ209" s="37" t="e">
        <f>_xlfn.XLOOKUP(Crops[[#This Row],[Crop]]&amp;Crops[[#This Row],[Product]]&amp;Crops[[#This Row],[Unit]],Products[ID],Products[Marketing (hr)])*Crops[[#This Row],[Direct Revenue Per Bed]]/2000</f>
        <v>#N/A</v>
      </c>
      <c r="CR209" s="37" t="e">
        <f>_xlfn.XLOOKUP(Crops[[#This Row],[Crop]]&amp;Crops[[#This Row],[Product]]&amp;Crops[[#This Row],[Unit]],Products[ID],Products[Harvest (s)])*Crops[[#This Row],[Custom Yield Per Bed]]/3600</f>
        <v>#N/A</v>
      </c>
      <c r="CS209" s="37" t="e">
        <f>_xlfn.XLOOKUP(Crops[[#This Row],[Crop]]&amp;Crops[[#This Row],[Product]]&amp;Crops[[#This Row],[Unit]],Products[ID],Products[Bunch (s)])*Crops[[#This Row],[Custom Yield Per Bed]]/3600</f>
        <v>#N/A</v>
      </c>
      <c r="CT209" s="37" t="e">
        <f>_xlfn.XLOOKUP(Crops[[#This Row],[Crop]]&amp;Crops[[#This Row],[Product]]&amp;Crops[[#This Row],[Unit]],Products[ID],Products[Haul (s)])*Crops[[#This Row],[Custom Yield Per Bed]]/3600</f>
        <v>#N/A</v>
      </c>
      <c r="CU209" s="37" t="e">
        <f>_xlfn.XLOOKUP(Crops[[#This Row],[Crop]]&amp;Crops[[#This Row],[Product]]&amp;Crops[[#This Row],[Unit]],Products[ID],Products[Wash (s)])*Crops[[#This Row],[Custom Yield Per Bed]]/3600</f>
        <v>#N/A</v>
      </c>
      <c r="CV209" s="37" t="e">
        <f>_xlfn.XLOOKUP(Crops[[#This Row],[Crop]]&amp;Crops[[#This Row],[Product]]&amp;Crops[[#This Row],[Unit]],Products[ID],Products[Condition (s)])*Crops[[#This Row],[Custom Yield Per Bed]]/3600</f>
        <v>#N/A</v>
      </c>
      <c r="CW209" s="37" t="e">
        <f>_xlfn.XLOOKUP(Crops[[#This Row],[Crop]]&amp;Crops[[#This Row],[Product]]&amp;Crops[[#This Row],[Unit]],Products[ID],Products[Trim (s)])*Crops[[#This Row],[Custom Yield Per Bed]]/3600</f>
        <v>#N/A</v>
      </c>
      <c r="CX209" s="37" t="e">
        <f>_xlfn.XLOOKUP(Crops[[#This Row],[Crop]]&amp;Crops[[#This Row],[Product]]&amp;Crops[[#This Row],[Unit]],Products[ID],Products[Pack (s)])*Crops[[#This Row],[Custom Yield Per Bed]]/3600</f>
        <v>#N/A</v>
      </c>
      <c r="CY209" s="37" t="e">
        <f>_xlfn.XLOOKUP(Crops[[#This Row],[Crop]]&amp;Crops[[#This Row],[Product]]&amp;Crops[[#This Row],[Unit]],Products[ID],Products[Clean (s)])*Crops[[#This Row],[Custom Yield Per Bed]]/3600</f>
        <v>#N/A</v>
      </c>
      <c r="CZ209" s="37" t="e">
        <f>_xlfn.XLOOKUP(Crops[[#This Row],[Crop]]&amp;Crops[[#This Row],[Product]]&amp;Crops[[#This Row],[Unit]],Products[ID],Products[Rehandle (s)])*Crops[[#This Row],[Custom Yield Per Bed]]/3600</f>
        <v>#N/A</v>
      </c>
      <c r="DA209" s="37" t="e">
        <f>_xlfn.XLOOKUP(Crops[[#This Row],[Crop]]&amp;Crops[[#This Row],[Product]]&amp;Crops[[#This Row],[Unit]],Products[ID],Products[Market Transport (s)])*Crops[[#This Row],[Custom Yield Per Bed]]/3600</f>
        <v>#N/A</v>
      </c>
      <c r="DC209" s="37">
        <f>Crops[[#This Row],[Direct Revenue Per Bed2]]</f>
        <v>2400</v>
      </c>
      <c r="DD209" s="173">
        <f>_xlfn.AGGREGATE(9,6,Crops[[#This Row],[Bed Prep]:[Remove Crop Residue]])</f>
        <v>8.1928571428571431</v>
      </c>
      <c r="DE209" s="173" t="e">
        <f>_xlfn.AGGREGATE(9,6,Crops[[#This Row],[Bed Prep]:[Remove Crop Residue]])-0.75*Crops[[#This Row],[Market &amp; Sell]]</f>
        <v>#N/A</v>
      </c>
      <c r="DF209" s="36">
        <f>Crops[[#This Row],[Direct Revenue Per Bed2]]/Crops[[#This Row],[Direct Time]]</f>
        <v>292.93809938971231</v>
      </c>
      <c r="DG209" s="36" t="e">
        <f>_xlfn.XLOOKUP(Crops[[#This Row],[ProductIndex]],Products[ID],Products[Packaging Cost])*(Crops[[#This Row],[Custom Yield Per Bed]]/_xlfn.XLOOKUP(Crops[[#This Row],[ProductIndex]],Products[ID],Products[Units Per Pack]))</f>
        <v>#N/A</v>
      </c>
      <c r="DH209" s="36"/>
      <c r="DI209" s="36"/>
      <c r="DJ209" s="36"/>
      <c r="DK209" s="36"/>
      <c r="DL209" s="36"/>
      <c r="DM209" s="33">
        <f>IFERROR(Crops[[#This Row],[Custom Yield Per Bed]]*Crops[[#This Row],[Direct Price]],"")</f>
        <v>2400</v>
      </c>
      <c r="DN209" s="36">
        <f>Crops[[#This Row],[Direct Time]]*LaborRate</f>
        <v>204.82142857142858</v>
      </c>
      <c r="DO209" s="36">
        <f>SUM(Crops[[#This Row],[Irrigation Cost]])</f>
        <v>0</v>
      </c>
      <c r="DP209" s="36">
        <f>Crops[[#This Row],[Direct Labor Cost]]+Crops[[#This Row],[Direct Non-Labor Cost]]</f>
        <v>204.82142857142858</v>
      </c>
      <c r="DQ209" s="36">
        <f>Crops[[#This Row],[Direct Revenue Per Bed2]]-Crops[[#This Row],[Direct Total Cost]]</f>
        <v>2195.1785714285716</v>
      </c>
      <c r="DR209" s="36">
        <f>Crops[[#This Row],[Direct Profit]]*BedsPerAcre</f>
        <v>351228.57142857148</v>
      </c>
      <c r="DS209" s="36">
        <f>Crops[[#This Row],[Direct Profit]]*BedsPerAcre*GrowingDays/Crops[[#This Row],[Days In Field]]</f>
        <v>418683.06527909182</v>
      </c>
      <c r="DT209" s="36">
        <f>Crops[[#This Row],[Direct Profit]]/MIN(Crops[[#This Row],[Days In Field]],GrowingDays)</f>
        <v>14.537606433301798</v>
      </c>
      <c r="DU209" s="36">
        <f>Crops[[#This Row],[Direct Time]] * BedsPerAcre</f>
        <v>1310.8571428571429</v>
      </c>
      <c r="DV209" s="36">
        <f>(Crops[[#This Row],[Direct Revenue Per Bed2]]-Crops[[#This Row],[Direct Non-Labor Cost]])/Crops[[#This Row],[Direct Time]]</f>
        <v>292.93809938971231</v>
      </c>
      <c r="DW209" s="33">
        <f>IFERROR(Crops[[#This Row],[Custom Yield Per Bed]]*Crops[[#This Row],[Rough Wholesale Price]],"")</f>
        <v>1440</v>
      </c>
      <c r="DX209" s="36" t="e">
        <f>Crops[[#This Row],[Wholesale Time]]*LaborRate</f>
        <v>#N/A</v>
      </c>
      <c r="DY209" s="36" t="e">
        <f>SUM(Crops[[#This Row],[Packaging Costs]:[Irrigation Cost]])</f>
        <v>#N/A</v>
      </c>
      <c r="DZ209" s="36" t="e">
        <f>Crops[[#This Row],[Wholesale Labor Cost]]+Crops[[#This Row],[Wholesale Non-Labor Cost]]</f>
        <v>#N/A</v>
      </c>
      <c r="EA209" s="36" t="e">
        <f>Crops[[#This Row],[Wholesale Revenue Per Bed]]-Crops[[#This Row],[Wholesale Total Cost]]</f>
        <v>#N/A</v>
      </c>
      <c r="EB209" s="36" t="e">
        <f>Crops[[#This Row],[Wholesale Profit]]*BedsPerAcre</f>
        <v>#N/A</v>
      </c>
      <c r="EC209" s="36" t="e">
        <f>Crops[[#This Row],[Wholesale Profit]]*BedsPerAcre*GrowingDays/Crops[[#This Row],[Days In Field]]</f>
        <v>#N/A</v>
      </c>
      <c r="ED209" s="36" t="e">
        <f>Crops[[#This Row],[Wholesale Time]] * BedsPerAcre</f>
        <v>#N/A</v>
      </c>
      <c r="EE209" s="36" t="e">
        <f>Crops[[#This Row],[Wholesale Profit]]/MIN(Crops[[#This Row],[Days In Field]],GrowingDays)</f>
        <v>#N/A</v>
      </c>
      <c r="EF209" s="36" t="e">
        <f>(Crops[[#This Row],[Wholesale Revenue Per Bed]]-Crops[[#This Row],[Wholesale Non-Labor Cost]])/Crops[[#This Row],[Direct Time]]</f>
        <v>#N/A</v>
      </c>
      <c r="EG209" s="174" t="e">
        <f>Crops[[#This Row],[Packaging Costs]]/Crops[[#This Row],[Wholesale Revenue Per Bed]]</f>
        <v>#N/A</v>
      </c>
      <c r="EH209" s="36" t="str">
        <f>Crops[[#This Row],[Crop]]&amp;Crops[[#This Row],[Product]]&amp;Crops[[#This Row],[Unit]]</f>
        <v>MarigoldsMature StemStem</v>
      </c>
      <c r="EI209" s="36" t="e">
        <f>_xlfn.XLOOKUP(Crops[[#This Row],[ProductIndex]],Products[ID],Products[Target])</f>
        <v>#N/A</v>
      </c>
      <c r="EJ209" s="36">
        <f>Crops[[#This Row],[Custom Yield Per Bed]]</f>
        <v>2400</v>
      </c>
      <c r="EK209" s="210">
        <f>Crops[[#This Row],[Units Per Harvest]]/Crops[[#This Row],[Days Between Harvest]]*7</f>
        <v>300</v>
      </c>
      <c r="EL209" s="210" t="e">
        <f>Crops[[#This Row],[Custom Yield Per Bed]]/_xlfn.XLOOKUP(Crops[[#This Row],[ProductIndex]],Products[ID],Products[CSA Portion])</f>
        <v>#N/A</v>
      </c>
      <c r="EM209" s="210" t="e">
        <f>Crops[[#This Row],[Units Per Harvest]]/Crops[[#This Row],[Days Between Harvest]]*7/_xlfn.XLOOKUP(Crops[[#This Row],[ProductIndex]],Products[ID],Products[CSA Portion])</f>
        <v>#N/A</v>
      </c>
      <c r="EN209" s="210" t="e">
        <f>Crops[[#This Row],[CSA Portions Per Week]]/CSAMembers</f>
        <v>#N/A</v>
      </c>
      <c r="EO209" s="210"/>
      <c r="EP209" s="210"/>
      <c r="EQ209" s="36"/>
      <c r="ER209" s="36">
        <f>Crops[[#This Row],[Harvests]]*Crops[[#This Row],[Days Between Harvest]]/7</f>
        <v>8</v>
      </c>
      <c r="ES209" s="208" t="e">
        <f>_xlfn.XLOOKUP(Crops[[#This Row],[ProductIndex]],Products[ID],Products[CSA Need])</f>
        <v>#N/A</v>
      </c>
      <c r="ET209" s="208" t="e">
        <f>_xlfn.XLOOKUP(Crops[[#This Row],[ProductIndex]],Products[ID],Products[CSA Times])</f>
        <v>#N/A</v>
      </c>
      <c r="EU209" s="208" t="e">
        <f>Crops[[#This Row],[Custom Yield Per Bed]]/(Crops[[#This Row],[CSA Need]]*(_xlfn.XLOOKUP(Crops[[#This Row],[ProductIndex]],Products[ID],Products[CSA Portion])*CSAMembers))</f>
        <v>#N/A</v>
      </c>
      <c r="EV209" s="208" t="e">
        <f>_xlfn.XLOOKUP(Crops[[#This Row],[ProductIndex]],Products[ID],Products[CSA Portion])*CSAMembers*Crops[[#This Row],[CSA Need]]/Crops[[#This Row],[Custom Yield Per Bed]]</f>
        <v>#N/A</v>
      </c>
      <c r="EW209" s="208" t="str">
        <f>IFERROR(Crops[[#This Row],[Days In Field]]*Crops[[#This Row],[CSA Beds]],"")</f>
        <v/>
      </c>
      <c r="EX209" s="208" t="e">
        <f>Crops[[#This Row],[CSA Bed Days]]*#REF!</f>
        <v>#VALUE!</v>
      </c>
      <c r="EY209" t="s">
        <v>1734</v>
      </c>
    </row>
    <row r="210" spans="1:155">
      <c r="A21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(Gem) - Mature Stem 1X | Field TP </v>
      </c>
      <c r="B210" s="189"/>
      <c r="C210" s="1" t="b">
        <v>1</v>
      </c>
      <c r="D210" s="1"/>
      <c r="E210" s="1" t="b">
        <v>0</v>
      </c>
      <c r="F210" s="1" t="b">
        <f>IFERROR(IF(ISNUMBER(MATCH(Crops[[#This Row],[Identifier]],BedPlan[Crop], 0)), TRUE, FALSE), FALSE)</f>
        <v>0</v>
      </c>
      <c r="G210" s="1" t="b">
        <f>IFERROR(IF(ISNUMBER(MATCH(Crops[[#This Row],[Identifier]],BedPlan[Crop], 0)), TRUE, FALSE), FALSE)</f>
        <v>0</v>
      </c>
      <c r="H210" s="1"/>
      <c r="I210" t="s">
        <v>97</v>
      </c>
      <c r="J210" t="s">
        <v>1736</v>
      </c>
      <c r="K210" t="s">
        <v>181</v>
      </c>
      <c r="M210" t="s">
        <v>406</v>
      </c>
      <c r="N210" t="str">
        <f>Crops[[#This Row],[Crop]]</f>
        <v>Marigolds</v>
      </c>
      <c r="O210" t="s">
        <v>210</v>
      </c>
      <c r="P210" t="str">
        <f>IF(OR(Crops[[#This Row],[Days in Cells]]="",Crops[[#This Row],[Days in Cells]]=0), "DS","TP")</f>
        <v>TP</v>
      </c>
      <c r="V210" t="str">
        <f xml:space="preserve"> IF(Crops[[#This Row],[Sp]], "Sp", "") &amp; IF(Crops[[#This Row],[Su]], "Su", "") &amp; IF(Crops[[#This Row],[Fa]], "Fa", "") &amp; IF(Crops[[#This Row],[Wi]], "Wi", "") &amp; IF(Crops[[#This Row],[OW]], "Ow","")</f>
        <v/>
      </c>
      <c r="W210" t="s">
        <v>144</v>
      </c>
      <c r="X210">
        <v>3</v>
      </c>
      <c r="Y210">
        <v>12</v>
      </c>
      <c r="AA210" t="s">
        <v>474</v>
      </c>
      <c r="AB210" t="b">
        <v>0</v>
      </c>
      <c r="AC210">
        <v>2.5</v>
      </c>
      <c r="AD210" s="32">
        <f>IFERROR(12/Crops[[#This Row],[Spacing]]*Crops[[#This Row],[Rows]]*BedLength,"")</f>
        <v>150</v>
      </c>
      <c r="AE210">
        <v>1</v>
      </c>
      <c r="AG210">
        <f>IF(Crops[[#This Row],[Custom Safety Factor]]="",PlantingSafetyFactor,Crops[[#This Row],[Custom Safety Factor]])</f>
        <v>1.3</v>
      </c>
      <c r="AH210">
        <f>1</f>
        <v>1</v>
      </c>
      <c r="AI210" s="33">
        <f>IFERROR(Crops[[#This Row],[Plantings Per Bed]]*Crops[[#This Row],[Seeds Per Planting]]*Crops[[#This Row],[Safety Factor]]*Crops[[#This Row],[Seeding Factor]],"")</f>
        <v>195</v>
      </c>
      <c r="AJ210">
        <v>4</v>
      </c>
      <c r="AK210">
        <v>7</v>
      </c>
      <c r="AL210">
        <f>_xlfn.FLOOR.MATH(IFERROR(AVERAGE(Crops[[#This Row],[DTG Lower]:[DTG Upper]]),0))</f>
        <v>5</v>
      </c>
      <c r="AM210">
        <f>SUM(Crops[[#This Row],[Tray 1 Days]],Crops[[#This Row],[Tray 2 Days]],Crops[[#This Row],[Tray 3 Days]])</f>
        <v>28</v>
      </c>
      <c r="AN210" s="32">
        <v>35</v>
      </c>
      <c r="AP210">
        <v>60</v>
      </c>
      <c r="AQ210">
        <f>IFERROR(_xlfn.FLOOR.MATH(AVERAGE(Crops[[#This Row],[DTM Lower]:[DTM Upper]])),"")</f>
        <v>60</v>
      </c>
      <c r="AR210" cm="1">
        <f t="array" ref="AR210">_xlfn.SWITCH(Crops[[#This Row],[Normal Method]],"DS",Crops[[#This Row],[Days to Germination]]+Crops[[#This Row],[DTM]] + IF(Crops[[#This Row],[Days in Cells]]&gt;0,15,0), "TP",Crops[[#This Row],[DTM]]+Crops[[#This Row],[Days in Cells]] + IF(Crops[[#This Row],[Days in Cells]]&lt;=0,20,0), "X", Crops[[#This Row],[DTM]])</f>
        <v>88</v>
      </c>
      <c r="AS210" t="s">
        <v>346</v>
      </c>
      <c r="AT210">
        <f>(Crops[[#This Row],[Harvests]]-1)*Crops[[#This Row],[Days Between Harvest]]+7</f>
        <v>91</v>
      </c>
      <c r="AU210">
        <f>Crops[[#This Row],[STH]]-Crops[[#This Row],[Days in Cells]]+Crops[[#This Row],[Harvest window]]</f>
        <v>151</v>
      </c>
      <c r="AX210">
        <v>128</v>
      </c>
      <c r="AY210">
        <v>28</v>
      </c>
      <c r="AZ210" s="49">
        <f>IFERROR(IF(Crops[[#This Row],[Tray 1 Days]]=0,"",Crops[[#This Row],[Plantings Per Bed]]/Crops[[#This Row],[Tray 1 Size]]*Crops[[#This Row],[Safety Factor]]),"")</f>
        <v>1.5234375</v>
      </c>
      <c r="BC210" t="str">
        <f>IFERROR(IF(Crops[[#This Row],[Tray 2 Days]]=0,"",Crops[[#This Row],[Plantings Per Bed]]/Crops[[#This Row],[Tray 2 Size]]*Crops[[#This Row],[Safety Factor]]),"")</f>
        <v/>
      </c>
      <c r="BE210" s="32" t="str">
        <f>IF(NOT(ISBLANK(Crops[[#This Row],[Tray 3 Size]])), Crops[[#This Row],[Days in Cells Old]]-SUM(Crops[[#This Row],[Tray 1 Days]],Crops[[#This Row],[Tray 2 Days]]), "")</f>
        <v/>
      </c>
      <c r="BF210" s="49" t="str">
        <f>IFERROR(IF(Crops[[#This Row],[Tray 3 Days]]=0,"",Crops[[#This Row],[Plantings Per Bed]]/Crops[[#This Row],[Tray 3 Size]]*Crops[[#This Row],[Safety Factor]]),"")</f>
        <v/>
      </c>
      <c r="BG210" s="33">
        <f>Crops[[#This Row],[Plantings Per Bed]]*2</f>
        <v>300</v>
      </c>
      <c r="BH210" s="33">
        <v>13</v>
      </c>
      <c r="BI210" s="33">
        <v>7</v>
      </c>
      <c r="BJ210" s="33" t="e">
        <f>_xlfn.XLOOKUP(Crops[[#This Row],[ProductIndex]],Products[ID],Products[Holding Period])</f>
        <v>#N/A</v>
      </c>
      <c r="BK210" s="33"/>
      <c r="BL210" s="33">
        <f>Crops[[#This Row],[Units Per Harvest]]*Crops[[#This Row],[Harvests]]</f>
        <v>3900</v>
      </c>
      <c r="BM210" s="35">
        <v>1</v>
      </c>
      <c r="BN210" s="35">
        <f>Crops[[#This Row],[Direct Price]]*0.6</f>
        <v>0.6</v>
      </c>
      <c r="BO210" s="35"/>
      <c r="BP210" t="s">
        <v>213</v>
      </c>
      <c r="BQ210">
        <f>Crops[[#This Row],[Custom Yield Per Bed]]*Crops[[#This Row],[Direct Price]]</f>
        <v>3900</v>
      </c>
      <c r="BR210" t="b">
        <v>0</v>
      </c>
      <c r="BS210" t="b">
        <f>Crops[[#This Row],[Harvests]]&gt;1</f>
        <v>1</v>
      </c>
      <c r="BT210" s="36">
        <f>IFERROR(Crops[[#This Row],[Direct Revenue Per Bed]]/Crops[[#This Row],[Days In Field]],-1)</f>
        <v>25.827814569536425</v>
      </c>
      <c r="BU210" s="36">
        <f>IFERROR(Crops[[#This Row],[Direct Revenue Per Bed Day]]*GrowingDays*BedsPerAcre,"")</f>
        <v>743841.05960264907</v>
      </c>
      <c r="BV210" s="38">
        <f>LastFrostDate-5*Crops[[#This Row],[Sewing Rel Last Frost]]</f>
        <v>45753</v>
      </c>
      <c r="BW210" s="38">
        <f>Crops[[#This Row],[Target Sewing Date]]+Crops[[#This Row],[Days in Cells]]</f>
        <v>45781</v>
      </c>
      <c r="BX210" s="38">
        <f>Crops[[#This Row],[Target Sewing Date]]+Crops[[#This Row],[STH]]</f>
        <v>45841</v>
      </c>
      <c r="BY210" s="38">
        <f>Crops[[#This Row],[Target Harvest Data]]+Crops[[#This Row],[Harvest window]]</f>
        <v>45932</v>
      </c>
      <c r="BZ210">
        <v>-1</v>
      </c>
      <c r="CB210">
        <f>1</f>
        <v>1</v>
      </c>
      <c r="CC210">
        <f>IF(Crops[[#This Row],[Transplanting]]&gt;0, 2, 3)*BedLength/StandardBedLength</f>
        <v>1</v>
      </c>
      <c r="CD210" s="173">
        <f>IF(Crops[[#This Row],[Days in Cells]]&lt;=0,0,Crops[[#This Row],[Plantings Per Bed]]/StartsPerHourSeeding+Crops[[#This Row],[Tray 1 Count]]*5/60)</f>
        <v>0.712890625</v>
      </c>
      <c r="CE210" s="173">
        <f>IF(ISBLANK(Crops[[#This Row],[Tray 2 Days]]),0,Crops[[#This Row],[Plantings Per Bed]]/UpPottingPerHour)+IF(Crops[[#This Row],[Tray 3 Days]]="",0,Crops[[#This Row],[Plantings Per Bed]]/UpPottingPerHour)</f>
        <v>0</v>
      </c>
      <c r="CF210" s="173">
        <f>IFERROR(Crops[[#This Row],[Tray 1 Count]]/HomeStartFlatIrrigationPerHour,0)*Crops[[#This Row],[Days in Cells]]/DaysBetweenStartIrrigation</f>
        <v>0.177734375</v>
      </c>
      <c r="CG210" s="173">
        <f>0.5/16*MAX(Crops[[#This Row],[Tray 1 Count]],Crops[[#This Row],[Tray 2 Count]],Crops[[#This Row],[Tray 3 Count]])</f>
        <v>4.7607421875E-2</v>
      </c>
      <c r="CH210" s="173">
        <f>IF(Crops[[#This Row],[Days in Cells]]&gt;0,IF(IF(Crops[[#This Row],[Tray 3 Size]]&gt;0,Crops[[#This Row],[Tray 3 Size]],IF(Crops[[#This Row],[Tray 2 Size]]&gt;0,Crops[[#This Row],[Tray 2 Size]],Crops[[#This Row],[Tray 1 Size]]))&lt;=18,LargeTransplantTime,SmallTransplantTime)*Crops[[#This Row],[Plantings Per Bed]],0)</f>
        <v>0.75</v>
      </c>
      <c r="CI210" s="173"/>
      <c r="CJ210" s="173">
        <f>_xlfn.XLOOKUP(Crops[[#This Row],[Trellis Type]],TrellisMethods[Trellis Type],TrellisMethods[Hours],0,0)</f>
        <v>0</v>
      </c>
      <c r="CK210">
        <f>IF(Crops[[#This Row],[Days in Cells]]&lt;=0,Crops[[#This Row],[Rows]]*1/10,0)*BedLength/50</f>
        <v>0</v>
      </c>
      <c r="CL210" cm="1">
        <f t="array" ref="CL210">_xlfn.SWITCH(Crops[[#This Row],[Irrigation]],"DR", 0.5, "OH", 0.25,0)*BedLength/50</f>
        <v>0</v>
      </c>
      <c r="CM210">
        <f>IF(OR(ISBLANK(Crops[[#This Row],[Row Cover]]),Crops[[#This Row],[Row Cover]]="None"),0,1)*BedLength/50</f>
        <v>0</v>
      </c>
      <c r="CN210" s="173">
        <f>HoursPerWeedingPass*Crops[[#This Row],[Days In Field]]/14*Crops[[#This Row],[Rows]]+1*BedLength/50</f>
        <v>6.3928571428571423</v>
      </c>
      <c r="CQ210" s="37" t="e">
        <f>_xlfn.XLOOKUP(Crops[[#This Row],[Crop]]&amp;Crops[[#This Row],[Product]]&amp;Crops[[#This Row],[Unit]],Products[ID],Products[Marketing (hr)])*Crops[[#This Row],[Direct Revenue Per Bed]]/2000</f>
        <v>#N/A</v>
      </c>
      <c r="CR210" s="37" t="e">
        <f>_xlfn.XLOOKUP(Crops[[#This Row],[Crop]]&amp;Crops[[#This Row],[Product]]&amp;Crops[[#This Row],[Unit]],Products[ID],Products[Harvest (s)])*Crops[[#This Row],[Custom Yield Per Bed]]/3600</f>
        <v>#N/A</v>
      </c>
      <c r="CS210" s="37" t="e">
        <f>_xlfn.XLOOKUP(Crops[[#This Row],[Crop]]&amp;Crops[[#This Row],[Product]]&amp;Crops[[#This Row],[Unit]],Products[ID],Products[Bunch (s)])*Crops[[#This Row],[Custom Yield Per Bed]]/3600</f>
        <v>#N/A</v>
      </c>
      <c r="CT210" s="37" t="e">
        <f>_xlfn.XLOOKUP(Crops[[#This Row],[Crop]]&amp;Crops[[#This Row],[Product]]&amp;Crops[[#This Row],[Unit]],Products[ID],Products[Haul (s)])*Crops[[#This Row],[Custom Yield Per Bed]]/3600</f>
        <v>#N/A</v>
      </c>
      <c r="CU210" s="37" t="e">
        <f>_xlfn.XLOOKUP(Crops[[#This Row],[Crop]]&amp;Crops[[#This Row],[Product]]&amp;Crops[[#This Row],[Unit]],Products[ID],Products[Wash (s)])*Crops[[#This Row],[Custom Yield Per Bed]]/3600</f>
        <v>#N/A</v>
      </c>
      <c r="CV210" s="37" t="e">
        <f>_xlfn.XLOOKUP(Crops[[#This Row],[Crop]]&amp;Crops[[#This Row],[Product]]&amp;Crops[[#This Row],[Unit]],Products[ID],Products[Condition (s)])*Crops[[#This Row],[Custom Yield Per Bed]]/3600</f>
        <v>#N/A</v>
      </c>
      <c r="CW210" s="37" t="e">
        <f>_xlfn.XLOOKUP(Crops[[#This Row],[Crop]]&amp;Crops[[#This Row],[Product]]&amp;Crops[[#This Row],[Unit]],Products[ID],Products[Trim (s)])*Crops[[#This Row],[Custom Yield Per Bed]]/3600</f>
        <v>#N/A</v>
      </c>
      <c r="CX210" s="37" t="e">
        <f>_xlfn.XLOOKUP(Crops[[#This Row],[Crop]]&amp;Crops[[#This Row],[Product]]&amp;Crops[[#This Row],[Unit]],Products[ID],Products[Pack (s)])*Crops[[#This Row],[Custom Yield Per Bed]]/3600</f>
        <v>#N/A</v>
      </c>
      <c r="CY210" s="37" t="e">
        <f>_xlfn.XLOOKUP(Crops[[#This Row],[Crop]]&amp;Crops[[#This Row],[Product]]&amp;Crops[[#This Row],[Unit]],Products[ID],Products[Clean (s)])*Crops[[#This Row],[Custom Yield Per Bed]]/3600</f>
        <v>#N/A</v>
      </c>
      <c r="CZ210" s="37" t="e">
        <f>_xlfn.XLOOKUP(Crops[[#This Row],[Crop]]&amp;Crops[[#This Row],[Product]]&amp;Crops[[#This Row],[Unit]],Products[ID],Products[Rehandle (s)])*Crops[[#This Row],[Custom Yield Per Bed]]/3600</f>
        <v>#N/A</v>
      </c>
      <c r="DA210" s="37" t="e">
        <f>_xlfn.XLOOKUP(Crops[[#This Row],[Crop]]&amp;Crops[[#This Row],[Product]]&amp;Crops[[#This Row],[Unit]],Products[ID],Products[Market Transport (s)])*Crops[[#This Row],[Custom Yield Per Bed]]/3600</f>
        <v>#N/A</v>
      </c>
      <c r="DC210" s="37">
        <f>Crops[[#This Row],[Direct Revenue Per Bed2]]</f>
        <v>3900</v>
      </c>
      <c r="DD210" s="173">
        <f>_xlfn.AGGREGATE(9,6,Crops[[#This Row],[Bed Prep]:[Remove Crop Residue]])</f>
        <v>9.0810895647321423</v>
      </c>
      <c r="DE210" s="173" t="e">
        <f>_xlfn.AGGREGATE(9,6,Crops[[#This Row],[Bed Prep]:[Remove Crop Residue]])-0.75*Crops[[#This Row],[Market &amp; Sell]]</f>
        <v>#N/A</v>
      </c>
      <c r="DF210" s="36">
        <f>Crops[[#This Row],[Direct Revenue Per Bed2]]/Crops[[#This Row],[Direct Time]]</f>
        <v>429.46388450415367</v>
      </c>
      <c r="DG210" s="36" t="e">
        <f>_xlfn.XLOOKUP(Crops[[#This Row],[ProductIndex]],Products[ID],Products[Packaging Cost])*(Crops[[#This Row],[Custom Yield Per Bed]]/_xlfn.XLOOKUP(Crops[[#This Row],[ProductIndex]],Products[ID],Products[Units Per Pack]))</f>
        <v>#N/A</v>
      </c>
      <c r="DH210" s="36"/>
      <c r="DI210" s="36"/>
      <c r="DJ210" s="36"/>
      <c r="DK210" s="36"/>
      <c r="DL210" s="36"/>
      <c r="DM210" s="33">
        <f>IFERROR(Crops[[#This Row],[Custom Yield Per Bed]]*Crops[[#This Row],[Direct Price]],"")</f>
        <v>3900</v>
      </c>
      <c r="DN210" s="36">
        <f>Crops[[#This Row],[Direct Time]]*LaborRate</f>
        <v>227.02723911830356</v>
      </c>
      <c r="DO210" s="36">
        <f>SUM(Crops[[#This Row],[Irrigation Cost]])</f>
        <v>0</v>
      </c>
      <c r="DP210" s="36">
        <f>Crops[[#This Row],[Direct Labor Cost]]+Crops[[#This Row],[Direct Non-Labor Cost]]</f>
        <v>227.02723911830356</v>
      </c>
      <c r="DQ210" s="36">
        <f>Crops[[#This Row],[Direct Revenue Per Bed2]]-Crops[[#This Row],[Direct Total Cost]]</f>
        <v>3672.9727608816966</v>
      </c>
      <c r="DR210" s="36">
        <f>Crops[[#This Row],[Direct Profit]]*BedsPerAcre</f>
        <v>587675.64174107148</v>
      </c>
      <c r="DS210" s="36">
        <f>Crops[[#This Row],[Direct Profit]]*BedsPerAcre*GrowingDays/Crops[[#This Row],[Days In Field]]</f>
        <v>700540.50008869451</v>
      </c>
      <c r="DT210" s="36">
        <f>Crops[[#This Row],[Direct Profit]]/MIN(Crops[[#This Row],[Days In Field]],GrowingDays)</f>
        <v>24.324322919746336</v>
      </c>
      <c r="DU210" s="36">
        <f>Crops[[#This Row],[Direct Time]] * BedsPerAcre</f>
        <v>1452.9743303571427</v>
      </c>
      <c r="DV210" s="36">
        <f>(Crops[[#This Row],[Direct Revenue Per Bed2]]-Crops[[#This Row],[Direct Non-Labor Cost]])/Crops[[#This Row],[Direct Time]]</f>
        <v>429.46388450415367</v>
      </c>
      <c r="DW210" s="33">
        <f>IFERROR(Crops[[#This Row],[Custom Yield Per Bed]]*Crops[[#This Row],[Rough Wholesale Price]],"")</f>
        <v>2340</v>
      </c>
      <c r="DX210" s="36" t="e">
        <f>Crops[[#This Row],[Wholesale Time]]*LaborRate</f>
        <v>#N/A</v>
      </c>
      <c r="DY210" s="36" t="e">
        <f>SUM(Crops[[#This Row],[Packaging Costs]:[Irrigation Cost]])</f>
        <v>#N/A</v>
      </c>
      <c r="DZ210" s="36" t="e">
        <f>Crops[[#This Row],[Wholesale Labor Cost]]+Crops[[#This Row],[Wholesale Non-Labor Cost]]</f>
        <v>#N/A</v>
      </c>
      <c r="EA210" s="36" t="e">
        <f>Crops[[#This Row],[Wholesale Revenue Per Bed]]-Crops[[#This Row],[Wholesale Total Cost]]</f>
        <v>#N/A</v>
      </c>
      <c r="EB210" s="36" t="e">
        <f>Crops[[#This Row],[Wholesale Profit]]*BedsPerAcre</f>
        <v>#N/A</v>
      </c>
      <c r="EC210" s="36" t="e">
        <f>Crops[[#This Row],[Wholesale Profit]]*BedsPerAcre*GrowingDays/Crops[[#This Row],[Days In Field]]</f>
        <v>#N/A</v>
      </c>
      <c r="ED210" s="36" t="e">
        <f>Crops[[#This Row],[Wholesale Time]] * BedsPerAcre</f>
        <v>#N/A</v>
      </c>
      <c r="EE210" s="36" t="e">
        <f>Crops[[#This Row],[Wholesale Profit]]/MIN(Crops[[#This Row],[Days In Field]],GrowingDays)</f>
        <v>#N/A</v>
      </c>
      <c r="EF210" s="36" t="e">
        <f>(Crops[[#This Row],[Wholesale Revenue Per Bed]]-Crops[[#This Row],[Wholesale Non-Labor Cost]])/Crops[[#This Row],[Direct Time]]</f>
        <v>#N/A</v>
      </c>
      <c r="EG210" s="174" t="e">
        <f>Crops[[#This Row],[Packaging Costs]]/Crops[[#This Row],[Wholesale Revenue Per Bed]]</f>
        <v>#N/A</v>
      </c>
      <c r="EH210" s="36" t="str">
        <f>Crops[[#This Row],[Crop]]&amp;Crops[[#This Row],[Product]]&amp;Crops[[#This Row],[Unit]]</f>
        <v>MarigoldsMature StemStem</v>
      </c>
      <c r="EI210" s="36" t="e">
        <f>_xlfn.XLOOKUP(Crops[[#This Row],[ProductIndex]],Products[ID],Products[Target])</f>
        <v>#N/A</v>
      </c>
      <c r="EJ210" s="36">
        <f>Crops[[#This Row],[Custom Yield Per Bed]]</f>
        <v>3900</v>
      </c>
      <c r="EK210" s="210">
        <f>Crops[[#This Row],[Units Per Harvest]]/Crops[[#This Row],[Days Between Harvest]]*7</f>
        <v>300</v>
      </c>
      <c r="EL210" s="210" t="e">
        <f>Crops[[#This Row],[Custom Yield Per Bed]]/_xlfn.XLOOKUP(Crops[[#This Row],[ProductIndex]],Products[ID],Products[CSA Portion])</f>
        <v>#N/A</v>
      </c>
      <c r="EM210" s="210" t="e">
        <f>Crops[[#This Row],[Units Per Harvest]]/Crops[[#This Row],[Days Between Harvest]]*7/_xlfn.XLOOKUP(Crops[[#This Row],[ProductIndex]],Products[ID],Products[CSA Portion])</f>
        <v>#N/A</v>
      </c>
      <c r="EN210" s="210" t="e">
        <f>Crops[[#This Row],[CSA Portions Per Week]]/CSAMembers</f>
        <v>#N/A</v>
      </c>
      <c r="EO210" s="210"/>
      <c r="EP210" s="210"/>
      <c r="EQ210" s="36"/>
      <c r="ER210" s="36">
        <f>Crops[[#This Row],[Harvests]]*Crops[[#This Row],[Days Between Harvest]]/7</f>
        <v>13</v>
      </c>
      <c r="ES210" s="208" t="e">
        <f>_xlfn.XLOOKUP(Crops[[#This Row],[ProductIndex]],Products[ID],Products[CSA Need])</f>
        <v>#N/A</v>
      </c>
      <c r="ET210" s="208" t="e">
        <f>_xlfn.XLOOKUP(Crops[[#This Row],[ProductIndex]],Products[ID],Products[CSA Times])</f>
        <v>#N/A</v>
      </c>
      <c r="EU210" s="208" t="e">
        <f>Crops[[#This Row],[Custom Yield Per Bed]]/(Crops[[#This Row],[CSA Need]]*(_xlfn.XLOOKUP(Crops[[#This Row],[ProductIndex]],Products[ID],Products[CSA Portion])*CSAMembers))</f>
        <v>#N/A</v>
      </c>
      <c r="EV210" s="208" t="e">
        <f>_xlfn.XLOOKUP(Crops[[#This Row],[ProductIndex]],Products[ID],Products[CSA Portion])*CSAMembers*Crops[[#This Row],[CSA Need]]/Crops[[#This Row],[Custom Yield Per Bed]]</f>
        <v>#N/A</v>
      </c>
      <c r="EW210" s="208" t="str">
        <f>IFERROR(Crops[[#This Row],[Days In Field]]*Crops[[#This Row],[CSA Beds]],"")</f>
        <v/>
      </c>
      <c r="EX210" s="208" t="e">
        <f>Crops[[#This Row],[CSA Bed Days]]*#REF!</f>
        <v>#VALUE!</v>
      </c>
      <c r="EY210" t="s">
        <v>1734</v>
      </c>
    </row>
    <row r="211" spans="1:155">
      <c r="A21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Marjoram - Mature Stem 2X | Field TP Su</v>
      </c>
      <c r="C211" s="1" t="b">
        <v>1</v>
      </c>
      <c r="D211" s="1"/>
      <c r="E211" s="1" t="b">
        <v>0</v>
      </c>
      <c r="F211" s="1" t="b">
        <f>IFERROR(IF(ISNUMBER(MATCH(Crops[[#This Row],[Identifier]],BedPlan[Crop], 0)), TRUE, FALSE), FALSE)</f>
        <v>0</v>
      </c>
      <c r="G211" s="1" t="b">
        <f>IFERROR(IF(ISNUMBER(MATCH(Crops[[#This Row],[Identifier]],BedPlan[Crop], 0)), TRUE, FALSE), FALSE)</f>
        <v>0</v>
      </c>
      <c r="H211" s="1"/>
      <c r="I211" t="s">
        <v>2296</v>
      </c>
      <c r="J211" t="s">
        <v>145</v>
      </c>
      <c r="K211" t="s">
        <v>181</v>
      </c>
      <c r="M211" t="s">
        <v>442</v>
      </c>
      <c r="N211" t="str">
        <f>Crops[[#This Row],[Crop]]</f>
        <v>Marjoram</v>
      </c>
      <c r="O211" t="s">
        <v>210</v>
      </c>
      <c r="P211" t="str">
        <f>IF(OR(Crops[[#This Row],[Days in Cells]]="",Crops[[#This Row],[Days in Cells]]=0), "DS","TP")</f>
        <v>TP</v>
      </c>
      <c r="R211" t="b">
        <v>1</v>
      </c>
      <c r="V211" t="str">
        <f xml:space="preserve"> IF(Crops[[#This Row],[Sp]], "Sp", "") &amp; IF(Crops[[#This Row],[Su]], "Su", "") &amp; IF(Crops[[#This Row],[Fa]], "Fa", "") &amp; IF(Crops[[#This Row],[Wi]], "Wi", "") &amp; IF(Crops[[#This Row],[OW]], "Ow","")</f>
        <v>Su</v>
      </c>
      <c r="X211">
        <v>2</v>
      </c>
      <c r="Y211">
        <v>6</v>
      </c>
      <c r="AC211">
        <v>2</v>
      </c>
      <c r="AD211" s="32">
        <f>IFERROR(12/Crops[[#This Row],[Spacing]]*Crops[[#This Row],[Rows]]*BedLength,"")</f>
        <v>200</v>
      </c>
      <c r="AE211">
        <v>2</v>
      </c>
      <c r="AG211">
        <f>IF(Crops[[#This Row],[Custom Safety Factor]]="",PlantingSafetyFactor,Crops[[#This Row],[Custom Safety Factor]])</f>
        <v>1.3</v>
      </c>
      <c r="AH211">
        <f>1</f>
        <v>1</v>
      </c>
      <c r="AI211" s="37">
        <f>IFERROR(Crops[[#This Row],[Plantings Per Bed]]*Crops[[#This Row],[Seeds Per Planting]]*Crops[[#This Row],[Safety Factor]]*Crops[[#This Row],[Seeding Factor]],"")</f>
        <v>520</v>
      </c>
      <c r="AJ211">
        <v>7</v>
      </c>
      <c r="AK211">
        <v>14</v>
      </c>
      <c r="AL211">
        <f>_xlfn.FLOOR.MATH(IFERROR(AVERAGE(Crops[[#This Row],[DTG Lower]:[DTG Upper]]),0))</f>
        <v>10</v>
      </c>
      <c r="AM211">
        <f>SUM(Crops[[#This Row],[Tray 1 Days]],Crops[[#This Row],[Tray 2 Days]],Crops[[#This Row],[Tray 3 Days]])</f>
        <v>63</v>
      </c>
      <c r="AO211">
        <v>80</v>
      </c>
      <c r="AP211">
        <v>95</v>
      </c>
      <c r="AQ211">
        <f>IFERROR(_xlfn.FLOOR.MATH(AVERAGE(Crops[[#This Row],[DTM Lower]:[DTM Upper]])),"")</f>
        <v>87</v>
      </c>
      <c r="AR211" cm="1">
        <f t="array" ref="AR211">_xlfn.SWITCH(Crops[[#This Row],[Normal Method]],"DS",Crops[[#This Row],[Days to Germination]]+Crops[[#This Row],[DTM]] + IF(Crops[[#This Row],[Days in Cells]]&gt;0,15,0), "TP",Crops[[#This Row],[DTM]]+Crops[[#This Row],[Days in Cells]] + IF(Crops[[#This Row],[Days in Cells]]&lt;=0,20,0), "X", Crops[[#This Row],[DTM]])</f>
        <v>150</v>
      </c>
      <c r="AS211" t="s">
        <v>346</v>
      </c>
      <c r="AT211">
        <f>(Crops[[#This Row],[Harvests]]-1)*Crops[[#This Row],[Days Between Harvest]]+7</f>
        <v>91</v>
      </c>
      <c r="AU211">
        <f>Crops[[#This Row],[STH]]-Crops[[#This Row],[Days in Cells]]+Crops[[#This Row],[Harvest window]]</f>
        <v>178</v>
      </c>
      <c r="AX211">
        <v>72</v>
      </c>
      <c r="AY211">
        <v>63</v>
      </c>
      <c r="AZ211">
        <f>IFERROR(IF(Crops[[#This Row],[Tray 1 Days]]=0,"",Crops[[#This Row],[Plantings Per Bed]]/Crops[[#This Row],[Tray 1 Size]]*Crops[[#This Row],[Safety Factor]]),"")</f>
        <v>3.6111111111111112</v>
      </c>
      <c r="BC211" t="str">
        <f>IFERROR(IF(Crops[[#This Row],[Tray 2 Days]]=0,"",Crops[[#This Row],[Plantings Per Bed]]/Crops[[#This Row],[Tray 2 Size]]*Crops[[#This Row],[Safety Factor]]),"")</f>
        <v/>
      </c>
      <c r="BE211" s="32" t="str">
        <f>IF(NOT(ISBLANK(Crops[[#This Row],[Tray 3 Size]])), Crops[[#This Row],[Days in Cells Old]]-SUM(Crops[[#This Row],[Tray 1 Days]],Crops[[#This Row],[Tray 2 Days]]), "")</f>
        <v/>
      </c>
      <c r="BF211" t="str">
        <f>IFERROR(IF(Crops[[#This Row],[Tray 3 Days]]=0,"",Crops[[#This Row],[Plantings Per Bed]]/Crops[[#This Row],[Tray 3 Size]]*Crops[[#This Row],[Safety Factor]]),"")</f>
        <v/>
      </c>
      <c r="BG211" s="33">
        <f>Crops[[#This Row],[Plantings Per Bed]]</f>
        <v>200</v>
      </c>
      <c r="BH211">
        <v>7</v>
      </c>
      <c r="BI211">
        <v>14</v>
      </c>
      <c r="BJ211" s="37">
        <f>_xlfn.XLOOKUP(Crops[[#This Row],[ProductIndex]],Products[ID],Products[Holding Period])</f>
        <v>0</v>
      </c>
      <c r="BK211" s="33"/>
      <c r="BL211" s="32">
        <f>Crops[[#This Row],[Units Per Harvest]]*Crops[[#This Row],[Harvests]]</f>
        <v>1400</v>
      </c>
      <c r="BM211" s="35">
        <v>3</v>
      </c>
      <c r="BN211" s="35">
        <f>Crops[[#This Row],[Direct Price]]*0.6</f>
        <v>1.7999999999999998</v>
      </c>
      <c r="BO211" s="35"/>
      <c r="BP211" t="s">
        <v>215</v>
      </c>
      <c r="BQ211">
        <f>Crops[[#This Row],[Custom Yield Per Bed]]*Crops[[#This Row],[Direct Price]]</f>
        <v>4200</v>
      </c>
      <c r="BR211" t="b">
        <v>1</v>
      </c>
      <c r="BS211" t="b">
        <f>Crops[[#This Row],[Harvests]]&gt;1</f>
        <v>1</v>
      </c>
      <c r="BT211" s="36">
        <f>IFERROR(Crops[[#This Row],[Direct Revenue Per Bed]]/Crops[[#This Row],[Days In Field]],-1)</f>
        <v>23.59550561797753</v>
      </c>
      <c r="BU211" s="33">
        <f>IFERROR(Crops[[#This Row],[Direct Revenue Per Bed Day]]*GrowingDays*BedsPerAcre,"")</f>
        <v>679550.56179775286</v>
      </c>
      <c r="BV211" s="38">
        <f>LastFrostDate-5*Crops[[#This Row],[Sewing Rel Last Frost]]</f>
        <v>45723</v>
      </c>
      <c r="BW211" s="38">
        <f>Crops[[#This Row],[Target Sewing Date]]+Crops[[#This Row],[Days in Cells]]</f>
        <v>45786</v>
      </c>
      <c r="BX211" s="38">
        <f>Crops[[#This Row],[Target Sewing Date]]+Crops[[#This Row],[STH]]</f>
        <v>45873</v>
      </c>
      <c r="BY211" s="38">
        <f>Crops[[#This Row],[Target Harvest Data]]+Crops[[#This Row],[Harvest window]]</f>
        <v>45964</v>
      </c>
      <c r="BZ211">
        <v>5</v>
      </c>
      <c r="CB211">
        <f>1</f>
        <v>1</v>
      </c>
      <c r="CC211">
        <f>IF(Crops[[#This Row],[Transplanting]]&gt;0, 2, 3)*BedLength/StandardBedLength</f>
        <v>1</v>
      </c>
      <c r="CD211" s="173">
        <f>IF(Crops[[#This Row],[Days in Cells]]&lt;=0,0,Crops[[#This Row],[Plantings Per Bed]]/StartsPerHourSeeding+Crops[[#This Row],[Tray 1 Count]]*5/60)</f>
        <v>1.082175925925926</v>
      </c>
      <c r="CE211" s="173">
        <f>IF(ISBLANK(Crops[[#This Row],[Tray 2 Days]]),0,Crops[[#This Row],[Plantings Per Bed]]/UpPottingPerHour)+IF(Crops[[#This Row],[Tray 3 Days]]="",0,Crops[[#This Row],[Plantings Per Bed]]/UpPottingPerHour)</f>
        <v>0</v>
      </c>
      <c r="CF211" s="173">
        <f>IFERROR(Crops[[#This Row],[Tray 1 Count]]/HomeStartFlatIrrigationPerHour,0)*Crops[[#This Row],[Days in Cells]]/DaysBetweenStartIrrigation</f>
        <v>0.94791666666666674</v>
      </c>
      <c r="CG211" s="173">
        <f>0.5/16*MAX(Crops[[#This Row],[Tray 1 Count]],Crops[[#This Row],[Tray 2 Count]],Crops[[#This Row],[Tray 3 Count]])</f>
        <v>0.11284722222222222</v>
      </c>
      <c r="CH211" s="173">
        <f>IF(Crops[[#This Row],[Days in Cells]]&gt;0,IF(IF(Crops[[#This Row],[Tray 3 Size]]&gt;0,Crops[[#This Row],[Tray 3 Size]],IF(Crops[[#This Row],[Tray 2 Size]]&gt;0,Crops[[#This Row],[Tray 2 Size]],Crops[[#This Row],[Tray 1 Size]]))&lt;=18,LargeTransplantTime,SmallTransplantTime)*Crops[[#This Row],[Plantings Per Bed]],0)</f>
        <v>1</v>
      </c>
      <c r="CI211" s="173"/>
      <c r="CJ211" s="173">
        <f>_xlfn.XLOOKUP(Crops[[#This Row],[Trellis Type]],TrellisMethods[Trellis Type],TrellisMethods[Hours],0,0)</f>
        <v>0</v>
      </c>
      <c r="CK211">
        <f>IF(Crops[[#This Row],[Days in Cells]]&lt;=0,Crops[[#This Row],[Rows]]*1/10,0)*BedLength/50</f>
        <v>0</v>
      </c>
      <c r="CL211" cm="1">
        <f t="array" ref="CL211">_xlfn.SWITCH(Crops[[#This Row],[Irrigation]],"DR", 0.5, "OH", 0.25,0)*BedLength/50</f>
        <v>0</v>
      </c>
      <c r="CM211">
        <f>IF(OR(ISBLANK(Crops[[#This Row],[Row Cover]]),Crops[[#This Row],[Row Cover]]="None"),0,1)*BedLength/50</f>
        <v>0</v>
      </c>
      <c r="CN211" s="173">
        <f>HoursPerWeedingPass*Crops[[#This Row],[Days In Field]]/14*Crops[[#This Row],[Rows]]+1*BedLength/50</f>
        <v>5.2380952380952381</v>
      </c>
      <c r="CQ211" s="37">
        <f>_xlfn.XLOOKUP(Crops[[#This Row],[Crop]]&amp;Crops[[#This Row],[Product]]&amp;Crops[[#This Row],[Unit]],Products[ID],Products[Marketing (hr)])*Crops[[#This Row],[Direct Revenue Per Bed]]/2000</f>
        <v>12.6</v>
      </c>
      <c r="CR211" s="37">
        <f>_xlfn.XLOOKUP(Crops[[#This Row],[Crop]]&amp;Crops[[#This Row],[Product]]&amp;Crops[[#This Row],[Unit]],Products[ID],Products[Harvest (s)])*Crops[[#This Row],[Custom Yield Per Bed]]/3600</f>
        <v>7.7777777777777777</v>
      </c>
      <c r="CS211" s="37">
        <f>_xlfn.XLOOKUP(Crops[[#This Row],[Crop]]&amp;Crops[[#This Row],[Product]]&amp;Crops[[#This Row],[Unit]],Products[ID],Products[Bunch (s)])*Crops[[#This Row],[Custom Yield Per Bed]]/3600</f>
        <v>3.8888888888888888</v>
      </c>
      <c r="CT211" s="37">
        <f>_xlfn.XLOOKUP(Crops[[#This Row],[Crop]]&amp;Crops[[#This Row],[Product]]&amp;Crops[[#This Row],[Unit]],Products[ID],Products[Haul (s)])*Crops[[#This Row],[Custom Yield Per Bed]]/3600</f>
        <v>0.875</v>
      </c>
      <c r="CU211" s="37">
        <f>_xlfn.XLOOKUP(Crops[[#This Row],[Crop]]&amp;Crops[[#This Row],[Product]]&amp;Crops[[#This Row],[Unit]],Products[ID],Products[Wash (s)])*Crops[[#This Row],[Custom Yield Per Bed]]/3600</f>
        <v>0</v>
      </c>
      <c r="CV211" s="37">
        <f>_xlfn.XLOOKUP(Crops[[#This Row],[Crop]]&amp;Crops[[#This Row],[Product]]&amp;Crops[[#This Row],[Unit]],Products[ID],Products[Condition (s)])*Crops[[#This Row],[Custom Yield Per Bed]]/3600</f>
        <v>0</v>
      </c>
      <c r="CW211" s="37">
        <f>_xlfn.XLOOKUP(Crops[[#This Row],[Crop]]&amp;Crops[[#This Row],[Product]]&amp;Crops[[#This Row],[Unit]],Products[ID],Products[Trim (s)])*Crops[[#This Row],[Custom Yield Per Bed]]/3600</f>
        <v>3.8888888888888888</v>
      </c>
      <c r="CX211" s="37">
        <f>_xlfn.XLOOKUP(Crops[[#This Row],[Crop]]&amp;Crops[[#This Row],[Product]]&amp;Crops[[#This Row],[Unit]],Products[ID],Products[Pack (s)])*Crops[[#This Row],[Custom Yield Per Bed]]/3600</f>
        <v>1.1666666666666667</v>
      </c>
      <c r="CY211" s="37">
        <f>_xlfn.XLOOKUP(Crops[[#This Row],[Crop]]&amp;Crops[[#This Row],[Product]]&amp;Crops[[#This Row],[Unit]],Products[ID],Products[Clean (s)])*Crops[[#This Row],[Custom Yield Per Bed]]/3600</f>
        <v>0</v>
      </c>
      <c r="CZ211" s="37">
        <f>_xlfn.XLOOKUP(Crops[[#This Row],[Crop]]&amp;Crops[[#This Row],[Product]]&amp;Crops[[#This Row],[Unit]],Products[ID],Products[Rehandle (s)])*Crops[[#This Row],[Custom Yield Per Bed]]/3600</f>
        <v>0</v>
      </c>
      <c r="DA211" s="37">
        <f>_xlfn.XLOOKUP(Crops[[#This Row],[Crop]]&amp;Crops[[#This Row],[Product]]&amp;Crops[[#This Row],[Unit]],Products[ID],Products[Market Transport (s)])*Crops[[#This Row],[Custom Yield Per Bed]]/3600</f>
        <v>2.1875</v>
      </c>
      <c r="DC211" s="37">
        <f>Crops[[#This Row],[Direct Revenue Per Bed2]]</f>
        <v>4200</v>
      </c>
      <c r="DD211" s="173">
        <f>_xlfn.AGGREGATE(9,6,Crops[[#This Row],[Bed Prep]:[Remove Crop Residue]])</f>
        <v>41.765757275132266</v>
      </c>
      <c r="DE211" s="173">
        <f>_xlfn.AGGREGATE(9,6,Crops[[#This Row],[Bed Prep]:[Remove Crop Residue]])-0.75*Crops[[#This Row],[Market &amp; Sell]]</f>
        <v>32.31575727513227</v>
      </c>
      <c r="DF211" s="36">
        <f>Crops[[#This Row],[Direct Revenue Per Bed2]]/Crops[[#This Row],[Direct Time]]</f>
        <v>100.56084874344468</v>
      </c>
      <c r="DG211" s="36">
        <f>_xlfn.XLOOKUP(Crops[[#This Row],[ProductIndex]],Products[ID],Products[Packaging Cost])*(Crops[[#This Row],[Custom Yield Per Bed]]/_xlfn.XLOOKUP(Crops[[#This Row],[ProductIndex]],Products[ID],Products[Units Per Pack]))</f>
        <v>133</v>
      </c>
      <c r="DH211" s="36"/>
      <c r="DI211" s="36"/>
      <c r="DJ211" s="36"/>
      <c r="DK211" s="36"/>
      <c r="DL211" s="36"/>
      <c r="DM211" s="37">
        <f>IFERROR(Crops[[#This Row],[Custom Yield Per Bed]]*Crops[[#This Row],[Direct Price]],"")</f>
        <v>4200</v>
      </c>
      <c r="DN211" s="36">
        <f>Crops[[#This Row],[Direct Time]]*LaborRate</f>
        <v>1044.1439318783066</v>
      </c>
      <c r="DO211" s="36">
        <f>SUM(Crops[[#This Row],[Irrigation Cost]])</f>
        <v>0</v>
      </c>
      <c r="DP211" s="36">
        <f>Crops[[#This Row],[Direct Labor Cost]]+Crops[[#This Row],[Direct Non-Labor Cost]]</f>
        <v>1044.1439318783066</v>
      </c>
      <c r="DQ211" s="36">
        <f>Crops[[#This Row],[Direct Revenue Per Bed2]]-Crops[[#This Row],[Direct Total Cost]]</f>
        <v>3155.8560681216932</v>
      </c>
      <c r="DR211" s="36">
        <f>Crops[[#This Row],[Direct Profit]]*BedsPerAcre</f>
        <v>504936.97089947091</v>
      </c>
      <c r="DS211" s="36">
        <f>Crops[[#This Row],[Direct Profit]]*BedsPerAcre*GrowingDays/Crops[[#This Row],[Days In Field]]</f>
        <v>510610.42001070088</v>
      </c>
      <c r="DT211" s="36">
        <f>Crops[[#This Row],[Direct Profit]]/MIN(Crops[[#This Row],[Days In Field]],GrowingDays)</f>
        <v>17.729528472593781</v>
      </c>
      <c r="DU211" s="36">
        <f>Crops[[#This Row],[Direct Time]] * BedsPerAcre</f>
        <v>6682.5211640211628</v>
      </c>
      <c r="DV211" s="36">
        <f>(Crops[[#This Row],[Direct Revenue Per Bed2]]-Crops[[#This Row],[Direct Non-Labor Cost]])/Crops[[#This Row],[Direct Time]]</f>
        <v>100.56084874344468</v>
      </c>
      <c r="DW211" s="37">
        <f>IFERROR(Crops[[#This Row],[Custom Yield Per Bed]]*Crops[[#This Row],[Rough Wholesale Price]],"")</f>
        <v>2519.9999999999995</v>
      </c>
      <c r="DX211" s="36">
        <f>Crops[[#This Row],[Wholesale Time]]*LaborRate</f>
        <v>807.89393187830672</v>
      </c>
      <c r="DY211" s="36">
        <f>SUM(Crops[[#This Row],[Packaging Costs]:[Irrigation Cost]])</f>
        <v>133</v>
      </c>
      <c r="DZ211" s="36">
        <f>Crops[[#This Row],[Wholesale Labor Cost]]+Crops[[#This Row],[Wholesale Non-Labor Cost]]</f>
        <v>940.89393187830672</v>
      </c>
      <c r="EA211" s="36">
        <f>Crops[[#This Row],[Wholesale Revenue Per Bed]]-Crops[[#This Row],[Wholesale Total Cost]]</f>
        <v>1579.1060681216927</v>
      </c>
      <c r="EB211" s="36">
        <f>Crops[[#This Row],[Wholesale Profit]]*BedsPerAcre</f>
        <v>252656.97089947085</v>
      </c>
      <c r="EC211" s="36">
        <f>Crops[[#This Row],[Wholesale Profit]]*BedsPerAcre*GrowingDays/Crops[[#This Row],[Days In Field]]</f>
        <v>255495.81326912783</v>
      </c>
      <c r="ED211" s="36">
        <f>Crops[[#This Row],[Wholesale Time]] * BedsPerAcre</f>
        <v>5170.5211640211637</v>
      </c>
      <c r="EE211" s="36">
        <f>Crops[[#This Row],[Wholesale Profit]]/MIN(Crops[[#This Row],[Days In Field]],GrowingDays)</f>
        <v>8.8713824051780481</v>
      </c>
      <c r="EF211" s="36">
        <f>(Crops[[#This Row],[Wholesale Revenue Per Bed]]-Crops[[#This Row],[Wholesale Non-Labor Cost]])/Crops[[#This Row],[Direct Time]]</f>
        <v>57.152082369191049</v>
      </c>
      <c r="EG211" s="174">
        <f>Crops[[#This Row],[Packaging Costs]]/Crops[[#This Row],[Wholesale Revenue Per Bed]]</f>
        <v>5.2777777777777785E-2</v>
      </c>
      <c r="EH211" s="36" t="str">
        <f>Crops[[#This Row],[Crop]]&amp;Crops[[#This Row],[Product]]&amp;Crops[[#This Row],[Unit]]</f>
        <v>MarjoramMature StemBunch</v>
      </c>
      <c r="EI211" s="36" t="b">
        <f>_xlfn.XLOOKUP(Crops[[#This Row],[ProductIndex]],Products[ID],Products[Target])</f>
        <v>0</v>
      </c>
      <c r="EJ211" s="36">
        <f>Crops[[#This Row],[Custom Yield Per Bed]]</f>
        <v>1400</v>
      </c>
      <c r="EK211" s="210">
        <f>Crops[[#This Row],[Units Per Harvest]]/Crops[[#This Row],[Days Between Harvest]]*7</f>
        <v>100</v>
      </c>
      <c r="EL211" s="210" t="e">
        <f>Crops[[#This Row],[Custom Yield Per Bed]]/_xlfn.XLOOKUP(Crops[[#This Row],[ProductIndex]],Products[ID],Products[CSA Portion])</f>
        <v>#DIV/0!</v>
      </c>
      <c r="EM211" s="210" t="e">
        <f>Crops[[#This Row],[Units Per Harvest]]/Crops[[#This Row],[Days Between Harvest]]*7/_xlfn.XLOOKUP(Crops[[#This Row],[ProductIndex]],Products[ID],Products[CSA Portion])</f>
        <v>#DIV/0!</v>
      </c>
      <c r="EN211" s="210" t="e">
        <f>Crops[[#This Row],[CSA Portions Per Week]]/CSAMembers</f>
        <v>#DIV/0!</v>
      </c>
      <c r="EO211" s="210"/>
      <c r="EP211" s="210"/>
      <c r="EQ211" s="36"/>
      <c r="ER211" s="36">
        <f>Crops[[#This Row],[Harvests]]*Crops[[#This Row],[Days Between Harvest]]/7</f>
        <v>14</v>
      </c>
      <c r="ES211" s="208">
        <f>_xlfn.XLOOKUP(Crops[[#This Row],[ProductIndex]],Products[ID],Products[CSA Need])</f>
        <v>0</v>
      </c>
      <c r="ET211" s="208">
        <f>_xlfn.XLOOKUP(Crops[[#This Row],[ProductIndex]],Products[ID],Products[CSA Times])</f>
        <v>0</v>
      </c>
      <c r="EU211" s="208" t="e">
        <f>Crops[[#This Row],[Custom Yield Per Bed]]/(Crops[[#This Row],[CSA Need]]*(_xlfn.XLOOKUP(Crops[[#This Row],[ProductIndex]],Products[ID],Products[CSA Portion])*CSAMembers))</f>
        <v>#DIV/0!</v>
      </c>
      <c r="EV211" s="208">
        <f>_xlfn.XLOOKUP(Crops[[#This Row],[ProductIndex]],Products[ID],Products[CSA Portion])*CSAMembers*Crops[[#This Row],[CSA Need]]/Crops[[#This Row],[Custom Yield Per Bed]]</f>
        <v>0</v>
      </c>
      <c r="EW211" s="208">
        <f>IFERROR(Crops[[#This Row],[Days In Field]]*Crops[[#This Row],[CSA Beds]],"")</f>
        <v>0</v>
      </c>
      <c r="EX211" s="208" t="e">
        <f>Crops[[#This Row],[CSA Bed Days]]*#REF!</f>
        <v>#REF!</v>
      </c>
    </row>
    <row r="212" spans="1:155">
      <c r="A212"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Melon - Ripe Fruit 1X | Field TP </v>
      </c>
      <c r="B212" s="182"/>
      <c r="C212" s="1" t="b">
        <v>1</v>
      </c>
      <c r="D212" s="1"/>
      <c r="E212" s="1" t="b">
        <v>0</v>
      </c>
      <c r="F212" s="1" t="b">
        <f>IFERROR(IF(ISNUMBER(MATCH(Crops[[#This Row],[Identifier]],BedPlan[Crop], 0)), TRUE, FALSE), FALSE)</f>
        <v>1</v>
      </c>
      <c r="G212" s="1" t="b">
        <f>IFERROR(IF(ISNUMBER(MATCH(Crops[[#This Row],[Identifier]],BedPlan[Crop], 0)), TRUE, FALSE), FALSE)</f>
        <v>1</v>
      </c>
      <c r="H212" s="1"/>
      <c r="I212" t="s">
        <v>98</v>
      </c>
      <c r="J212" t="s">
        <v>145</v>
      </c>
      <c r="K212" t="s">
        <v>191</v>
      </c>
      <c r="M212" t="s">
        <v>98</v>
      </c>
      <c r="N212" t="str">
        <f>Crops[[#This Row],[Crop]]</f>
        <v>Melon</v>
      </c>
      <c r="O212" t="s">
        <v>210</v>
      </c>
      <c r="P212" t="str">
        <f>IF(OR(Crops[[#This Row],[Days in Cells]]="",Crops[[#This Row],[Days in Cells]]=0), "DS","TP")</f>
        <v>TP</v>
      </c>
      <c r="V212" t="str">
        <f xml:space="preserve"> IF(Crops[[#This Row],[Sp]], "Sp", "") &amp; IF(Crops[[#This Row],[Su]], "Su", "") &amp; IF(Crops[[#This Row],[Fa]], "Fa", "") &amp; IF(Crops[[#This Row],[Wi]], "Wi", "") &amp; IF(Crops[[#This Row],[OW]], "Ow","")</f>
        <v/>
      </c>
      <c r="W212" t="s">
        <v>144</v>
      </c>
      <c r="X212">
        <v>1</v>
      </c>
      <c r="Y212">
        <v>24</v>
      </c>
      <c r="Z212" t="s">
        <v>432</v>
      </c>
      <c r="AA212" t="s">
        <v>474</v>
      </c>
      <c r="AB212" t="b">
        <v>0</v>
      </c>
      <c r="AC212">
        <v>2</v>
      </c>
      <c r="AD212" s="32">
        <f>IFERROR(12/Crops[[#This Row],[Spacing]]*Crops[[#This Row],[Rows]]*BedLength,"")</f>
        <v>25</v>
      </c>
      <c r="AE212">
        <v>1</v>
      </c>
      <c r="AG212">
        <f>IF(Crops[[#This Row],[Custom Safety Factor]]="",PlantingSafetyFactor,Crops[[#This Row],[Custom Safety Factor]])</f>
        <v>1.3</v>
      </c>
      <c r="AH212">
        <f>1</f>
        <v>1</v>
      </c>
      <c r="AI212" s="33">
        <f>IFERROR(Crops[[#This Row],[Plantings Per Bed]]*Crops[[#This Row],[Seeds Per Planting]]*Crops[[#This Row],[Safety Factor]]*Crops[[#This Row],[Seeding Factor]],"")</f>
        <v>32.5</v>
      </c>
      <c r="AJ212">
        <v>5</v>
      </c>
      <c r="AK212">
        <v>10</v>
      </c>
      <c r="AL212">
        <f>_xlfn.FLOOR.MATH(IFERROR(AVERAGE(Crops[[#This Row],[DTG Lower]:[DTG Upper]]),0))</f>
        <v>7</v>
      </c>
      <c r="AM212">
        <f>SUM(Crops[[#This Row],[Tray 1 Days]],Crops[[#This Row],[Tray 2 Days]],Crops[[#This Row],[Tray 3 Days]])</f>
        <v>21</v>
      </c>
      <c r="AN212" s="32">
        <v>21</v>
      </c>
      <c r="AP212">
        <v>90</v>
      </c>
      <c r="AQ212">
        <f>IFERROR(_xlfn.FLOOR.MATH(AVERAGE(Crops[[#This Row],[DTM Lower]:[DTM Upper]])),"")</f>
        <v>90</v>
      </c>
      <c r="AR212" cm="1">
        <f t="array" ref="AR212">_xlfn.SWITCH(Crops[[#This Row],[Normal Method]],"DS",Crops[[#This Row],[Days to Germination]]+Crops[[#This Row],[DTM]] + IF(Crops[[#This Row],[Days in Cells]]&gt;0,15,0), "TP",Crops[[#This Row],[DTM]]+Crops[[#This Row],[Days in Cells]] + IF(Crops[[#This Row],[Days in Cells]]&lt;=0,20,0), "X", Crops[[#This Row],[DTM]])</f>
        <v>111</v>
      </c>
      <c r="AS212" t="s">
        <v>346</v>
      </c>
      <c r="AT212">
        <f>(Crops[[#This Row],[Harvests]]-1)*Crops[[#This Row],[Days Between Harvest]]+7</f>
        <v>21</v>
      </c>
      <c r="AU212">
        <f>Crops[[#This Row],[STH]]-Crops[[#This Row],[Days in Cells]]+Crops[[#This Row],[Harvest window]]</f>
        <v>111</v>
      </c>
      <c r="AX212">
        <v>50</v>
      </c>
      <c r="AY212">
        <v>21</v>
      </c>
      <c r="AZ212" s="49">
        <f>IFERROR(IF(Crops[[#This Row],[Tray 1 Days]]=0,"",Crops[[#This Row],[Plantings Per Bed]]/Crops[[#This Row],[Tray 1 Size]]*Crops[[#This Row],[Safety Factor]]),"")</f>
        <v>0.65</v>
      </c>
      <c r="BC212" t="str">
        <f>IFERROR(IF(Crops[[#This Row],[Tray 2 Days]]=0,"",Crops[[#This Row],[Plantings Per Bed]]/Crops[[#This Row],[Tray 2 Size]]*Crops[[#This Row],[Safety Factor]]),"")</f>
        <v/>
      </c>
      <c r="BE212" s="32" t="str">
        <f>IF(NOT(ISBLANK(Crops[[#This Row],[Tray 3 Size]])), Crops[[#This Row],[Days in Cells Old]]-SUM(Crops[[#This Row],[Tray 1 Days]],Crops[[#This Row],[Tray 2 Days]]), "")</f>
        <v/>
      </c>
      <c r="BF212" s="49" t="str">
        <f>IFERROR(IF(Crops[[#This Row],[Tray 3 Days]]=0,"",Crops[[#This Row],[Plantings Per Bed]]/Crops[[#This Row],[Tray 3 Size]]*Crops[[#This Row],[Safety Factor]]),"")</f>
        <v/>
      </c>
      <c r="BG212" s="33">
        <f>Crops[[#This Row],[Plantings Per Bed]]*4*3/Crops[[#This Row],[Harvests]]</f>
        <v>100</v>
      </c>
      <c r="BH212" s="33">
        <v>3</v>
      </c>
      <c r="BI212" s="33">
        <v>7</v>
      </c>
      <c r="BJ212" s="33">
        <f>_xlfn.XLOOKUP(Crops[[#This Row],[ProductIndex]],Products[ID],Products[Holding Period])</f>
        <v>5</v>
      </c>
      <c r="BK212" s="33"/>
      <c r="BL212" s="33">
        <f>Crops[[#This Row],[Units Per Harvest]]*Crops[[#This Row],[Harvests]]</f>
        <v>300</v>
      </c>
      <c r="BM212" s="35">
        <v>1.5</v>
      </c>
      <c r="BN212" s="35">
        <f>Crops[[#This Row],[Direct Price]]*0.6</f>
        <v>0.89999999999999991</v>
      </c>
      <c r="BO212" s="35"/>
      <c r="BP212" t="s">
        <v>383</v>
      </c>
      <c r="BQ212">
        <f>Crops[[#This Row],[Custom Yield Per Bed]]*Crops[[#This Row],[Direct Price]]</f>
        <v>450</v>
      </c>
      <c r="BR212" t="b">
        <v>1</v>
      </c>
      <c r="BS212" t="b">
        <f>Crops[[#This Row],[Harvests]]&gt;1</f>
        <v>1</v>
      </c>
      <c r="BT212" s="36">
        <f>IFERROR(Crops[[#This Row],[Direct Revenue Per Bed]]/Crops[[#This Row],[Days In Field]],-1)</f>
        <v>4.0540540540540544</v>
      </c>
      <c r="BU212" s="36">
        <f>IFERROR(Crops[[#This Row],[Direct Revenue Per Bed Day]]*GrowingDays*BedsPerAcre,"")</f>
        <v>116756.75675675677</v>
      </c>
      <c r="BV212" s="38">
        <f>LastFrostDate-5*Crops[[#This Row],[Sewing Rel Last Frost]]</f>
        <v>45763</v>
      </c>
      <c r="BW212" s="38">
        <f>Crops[[#This Row],[Target Sewing Date]]+Crops[[#This Row],[Days in Cells]]</f>
        <v>45784</v>
      </c>
      <c r="BX212" s="38">
        <f>Crops[[#This Row],[Target Sewing Date]]+Crops[[#This Row],[STH]]</f>
        <v>45874</v>
      </c>
      <c r="BY212" s="38">
        <f>Crops[[#This Row],[Target Harvest Data]]+Crops[[#This Row],[Harvest window]]</f>
        <v>45895</v>
      </c>
      <c r="BZ212">
        <v>-3</v>
      </c>
      <c r="CA212" t="s">
        <v>373</v>
      </c>
      <c r="CB212">
        <f>1</f>
        <v>1</v>
      </c>
      <c r="CC212">
        <f>IF(Crops[[#This Row],[Transplanting]]&gt;0, 2, 3)*BedLength/StandardBedLength</f>
        <v>1</v>
      </c>
      <c r="CD212" s="173">
        <f>IF(Crops[[#This Row],[Days in Cells]]&lt;=0,0,Crops[[#This Row],[Plantings Per Bed]]/StartsPerHourSeeding+Crops[[#This Row],[Tray 1 Count]]*5/60)</f>
        <v>0.15182291666666667</v>
      </c>
      <c r="CE212" s="173">
        <f>IF(ISBLANK(Crops[[#This Row],[Tray 2 Days]]),0,Crops[[#This Row],[Plantings Per Bed]]/UpPottingPerHour)+IF(Crops[[#This Row],[Tray 3 Days]]="",0,Crops[[#This Row],[Plantings Per Bed]]/UpPottingPerHour)</f>
        <v>0</v>
      </c>
      <c r="CF212" s="173">
        <f>IFERROR(Crops[[#This Row],[Tray 1 Count]]/HomeStartFlatIrrigationPerHour,0)*Crops[[#This Row],[Days in Cells]]/DaysBetweenStartIrrigation</f>
        <v>5.6875000000000002E-2</v>
      </c>
      <c r="CG212" s="173">
        <f>0.5/16*MAX(Crops[[#This Row],[Tray 1 Count]],Crops[[#This Row],[Tray 2 Count]],Crops[[#This Row],[Tray 3 Count]])</f>
        <v>2.0312500000000001E-2</v>
      </c>
      <c r="CH212" s="173">
        <f>IF(Crops[[#This Row],[Days in Cells]]&gt;0,IF(IF(Crops[[#This Row],[Tray 3 Size]]&gt;0,Crops[[#This Row],[Tray 3 Size]],IF(Crops[[#This Row],[Tray 2 Size]]&gt;0,Crops[[#This Row],[Tray 2 Size]],Crops[[#This Row],[Tray 1 Size]]))&lt;=18,LargeTransplantTime,SmallTransplantTime)*Crops[[#This Row],[Plantings Per Bed]],0)</f>
        <v>0.125</v>
      </c>
      <c r="CI212" s="173"/>
      <c r="CJ212" s="173">
        <f>_xlfn.XLOOKUP(Crops[[#This Row],[Trellis Type]],TrellisMethods[Trellis Type],TrellisMethods[Hours],0,0)</f>
        <v>0</v>
      </c>
      <c r="CK212">
        <f>IF(Crops[[#This Row],[Days in Cells]]&lt;=0,Crops[[#This Row],[Rows]]*1/10,0)*BedLength/50</f>
        <v>0</v>
      </c>
      <c r="CL212" cm="1">
        <f t="array" ref="CL212">_xlfn.SWITCH(Crops[[#This Row],[Irrigation]],"DR", 0.5, "OH", 0.25,0)*BedLength/50</f>
        <v>0.5</v>
      </c>
      <c r="CM212">
        <f>IF(OR(ISBLANK(Crops[[#This Row],[Row Cover]]),Crops[[#This Row],[Row Cover]]="None"),0,1)*BedLength/50</f>
        <v>0</v>
      </c>
      <c r="CN212" s="173">
        <f>HoursPerWeedingPass*Crops[[#This Row],[Days In Field]]/14*Crops[[#This Row],[Rows]]+1*BedLength/50</f>
        <v>2.3214285714285712</v>
      </c>
      <c r="CO212" s="49"/>
      <c r="CQ212" s="37">
        <f>_xlfn.XLOOKUP(Crops[[#This Row],[Crop]]&amp;Crops[[#This Row],[Product]]&amp;Crops[[#This Row],[Unit]],Products[ID],Products[Marketing (hr)])*Crops[[#This Row],[Direct Revenue Per Bed]]/2000</f>
        <v>0.45</v>
      </c>
      <c r="CR212" s="37">
        <f>_xlfn.XLOOKUP(Crops[[#This Row],[Crop]]&amp;Crops[[#This Row],[Product]]&amp;Crops[[#This Row],[Unit]],Products[ID],Products[Harvest (s)])*Crops[[#This Row],[Custom Yield Per Bed]]/3600</f>
        <v>0.83333333333333337</v>
      </c>
      <c r="CS212" s="37">
        <f>_xlfn.XLOOKUP(Crops[[#This Row],[Crop]]&amp;Crops[[#This Row],[Product]]&amp;Crops[[#This Row],[Unit]],Products[ID],Products[Bunch (s)])*Crops[[#This Row],[Custom Yield Per Bed]]/3600</f>
        <v>0</v>
      </c>
      <c r="CT212" s="37">
        <f>_xlfn.XLOOKUP(Crops[[#This Row],[Crop]]&amp;Crops[[#This Row],[Product]]&amp;Crops[[#This Row],[Unit]],Products[ID],Products[Haul (s)])*Crops[[#This Row],[Custom Yield Per Bed]]/3600</f>
        <v>0.3</v>
      </c>
      <c r="CU212" s="37">
        <f>_xlfn.XLOOKUP(Crops[[#This Row],[Crop]]&amp;Crops[[#This Row],[Product]]&amp;Crops[[#This Row],[Unit]],Products[ID],Products[Wash (s)])*Crops[[#This Row],[Custom Yield Per Bed]]/3600</f>
        <v>0</v>
      </c>
      <c r="CV212" s="37">
        <f>_xlfn.XLOOKUP(Crops[[#This Row],[Crop]]&amp;Crops[[#This Row],[Product]]&amp;Crops[[#This Row],[Unit]],Products[ID],Products[Condition (s)])*Crops[[#This Row],[Custom Yield Per Bed]]/3600</f>
        <v>0</v>
      </c>
      <c r="CW212" s="37">
        <f>_xlfn.XLOOKUP(Crops[[#This Row],[Crop]]&amp;Crops[[#This Row],[Product]]&amp;Crops[[#This Row],[Unit]],Products[ID],Products[Trim (s)])*Crops[[#This Row],[Custom Yield Per Bed]]/3600</f>
        <v>0</v>
      </c>
      <c r="CX212" s="37">
        <f>_xlfn.XLOOKUP(Crops[[#This Row],[Crop]]&amp;Crops[[#This Row],[Product]]&amp;Crops[[#This Row],[Unit]],Products[ID],Products[Pack (s)])*Crops[[#This Row],[Custom Yield Per Bed]]/3600</f>
        <v>0.25</v>
      </c>
      <c r="CY212" s="37">
        <f>_xlfn.XLOOKUP(Crops[[#This Row],[Crop]]&amp;Crops[[#This Row],[Product]]&amp;Crops[[#This Row],[Unit]],Products[ID],Products[Clean (s)])*Crops[[#This Row],[Custom Yield Per Bed]]/3600</f>
        <v>0</v>
      </c>
      <c r="CZ212" s="37">
        <f>_xlfn.XLOOKUP(Crops[[#This Row],[Crop]]&amp;Crops[[#This Row],[Product]]&amp;Crops[[#This Row],[Unit]],Products[ID],Products[Rehandle (s)])*Crops[[#This Row],[Custom Yield Per Bed]]/3600</f>
        <v>0</v>
      </c>
      <c r="DA212" s="37">
        <f>_xlfn.XLOOKUP(Crops[[#This Row],[Crop]]&amp;Crops[[#This Row],[Product]]&amp;Crops[[#This Row],[Unit]],Products[ID],Products[Market Transport (s)])*Crops[[#This Row],[Custom Yield Per Bed]]/3600</f>
        <v>0.75</v>
      </c>
      <c r="DC212" s="37">
        <f>Crops[[#This Row],[Direct Revenue Per Bed2]]</f>
        <v>450</v>
      </c>
      <c r="DD212" s="173">
        <f>_xlfn.AGGREGATE(9,6,Crops[[#This Row],[Bed Prep]:[Remove Crop Residue]])</f>
        <v>6.7587723214285704</v>
      </c>
      <c r="DE212" s="173">
        <f>_xlfn.AGGREGATE(9,6,Crops[[#This Row],[Bed Prep]:[Remove Crop Residue]])-0.75*Crops[[#This Row],[Market &amp; Sell]]</f>
        <v>6.4212723214285701</v>
      </c>
      <c r="DF212" s="36">
        <f>Crops[[#This Row],[Direct Revenue Per Bed2]]/Crops[[#This Row],[Direct Time]]</f>
        <v>66.580138906777904</v>
      </c>
      <c r="DG212" s="36">
        <f>_xlfn.XLOOKUP(Crops[[#This Row],[ProductIndex]],Products[ID],Products[Packaging Cost])*(Crops[[#This Row],[Custom Yield Per Bed]]/_xlfn.XLOOKUP(Crops[[#This Row],[ProductIndex]],Products[ID],Products[Units Per Pack]))</f>
        <v>45.599999999999994</v>
      </c>
      <c r="DH212" s="36"/>
      <c r="DI212" s="36"/>
      <c r="DJ212" s="36"/>
      <c r="DK212" s="36"/>
      <c r="DL212" s="36"/>
      <c r="DM212" s="33">
        <f>IFERROR(Crops[[#This Row],[Custom Yield Per Bed]]*Crops[[#This Row],[Direct Price]],"")</f>
        <v>450</v>
      </c>
      <c r="DN212" s="36">
        <f>Crops[[#This Row],[Direct Time]]*LaborRate</f>
        <v>168.96930803571425</v>
      </c>
      <c r="DO212" s="36">
        <f>SUM(Crops[[#This Row],[Irrigation Cost]])</f>
        <v>0</v>
      </c>
      <c r="DP212" s="36">
        <f>Crops[[#This Row],[Direct Labor Cost]]+Crops[[#This Row],[Direct Non-Labor Cost]]</f>
        <v>168.96930803571425</v>
      </c>
      <c r="DQ212" s="36">
        <f>Crops[[#This Row],[Direct Revenue Per Bed2]]-Crops[[#This Row],[Direct Total Cost]]</f>
        <v>281.03069196428578</v>
      </c>
      <c r="DR212" s="36">
        <f>Crops[[#This Row],[Direct Profit]]*BedsPerAcre</f>
        <v>44964.910714285725</v>
      </c>
      <c r="DS212" s="36">
        <f>Crops[[#This Row],[Direct Profit]]*BedsPerAcre*GrowingDays/Crops[[#This Row],[Days In Field]]</f>
        <v>72916.071428571435</v>
      </c>
      <c r="DT212" s="36">
        <f>Crops[[#This Row],[Direct Profit]]/MIN(Crops[[#This Row],[Days In Field]],GrowingDays)</f>
        <v>2.5318080357142865</v>
      </c>
      <c r="DU212" s="33">
        <f>Crops[[#This Row],[Direct Time]] * BedsPerAcre</f>
        <v>1081.4035714285712</v>
      </c>
      <c r="DV212" s="36">
        <f>(Crops[[#This Row],[Direct Revenue Per Bed2]]-Crops[[#This Row],[Direct Non-Labor Cost]])/Crops[[#This Row],[Direct Time]]</f>
        <v>66.580138906777904</v>
      </c>
      <c r="DW212" s="33">
        <f>IFERROR(Crops[[#This Row],[Custom Yield Per Bed]]*Crops[[#This Row],[Rough Wholesale Price]],"")</f>
        <v>270</v>
      </c>
      <c r="DX212" s="36">
        <f>Crops[[#This Row],[Wholesale Time]]*LaborRate</f>
        <v>160.53180803571425</v>
      </c>
      <c r="DY212" s="36">
        <f>SUM(Crops[[#This Row],[Packaging Costs]:[Irrigation Cost]])</f>
        <v>45.599999999999994</v>
      </c>
      <c r="DZ212" s="36">
        <f>Crops[[#This Row],[Wholesale Labor Cost]]+Crops[[#This Row],[Wholesale Non-Labor Cost]]</f>
        <v>206.13180803571424</v>
      </c>
      <c r="EA212" s="36">
        <f>Crops[[#This Row],[Wholesale Revenue Per Bed]]-Crops[[#This Row],[Wholesale Total Cost]]</f>
        <v>63.868191964285757</v>
      </c>
      <c r="EB212" s="36">
        <f>Crops[[#This Row],[Wholesale Profit]]*BedsPerAcre</f>
        <v>10218.910714285721</v>
      </c>
      <c r="EC212" s="36">
        <f>Crops[[#This Row],[Wholesale Profit]]*BedsPerAcre*GrowingDays/Crops[[#This Row],[Days In Field]]</f>
        <v>16571.206563706575</v>
      </c>
      <c r="ED212" s="33">
        <f>Crops[[#This Row],[Wholesale Time]] * BedsPerAcre</f>
        <v>1027.4035714285712</v>
      </c>
      <c r="EE212" s="221">
        <f>Crops[[#This Row],[Wholesale Profit]]/MIN(Crops[[#This Row],[Days In Field]],GrowingDays)</f>
        <v>0.57538911679536719</v>
      </c>
      <c r="EF212" s="36">
        <f>(Crops[[#This Row],[Wholesale Revenue Per Bed]]-Crops[[#This Row],[Wholesale Non-Labor Cost]])/Crops[[#This Row],[Direct Time]]</f>
        <v>33.201295934846584</v>
      </c>
      <c r="EG212" s="174">
        <f>Crops[[#This Row],[Packaging Costs]]/Crops[[#This Row],[Wholesale Revenue Per Bed]]</f>
        <v>0.16888888888888887</v>
      </c>
      <c r="EH212" s="36" t="str">
        <f>Crops[[#This Row],[Crop]]&amp;Crops[[#This Row],[Product]]&amp;Crops[[#This Row],[Unit]]</f>
        <v>MelonRipe FruitLb</v>
      </c>
      <c r="EI212" s="36" t="b">
        <f>_xlfn.XLOOKUP(Crops[[#This Row],[ProductIndex]],Products[ID],Products[Target])</f>
        <v>1</v>
      </c>
      <c r="EJ212" s="33">
        <f>Crops[[#This Row],[Custom Yield Per Bed]]</f>
        <v>300</v>
      </c>
      <c r="EK212" s="210">
        <f>Crops[[#This Row],[Units Per Harvest]]/Crops[[#This Row],[Days Between Harvest]]*7</f>
        <v>100</v>
      </c>
      <c r="EL212" s="210">
        <f>Crops[[#This Row],[Custom Yield Per Bed]]/_xlfn.XLOOKUP(Crops[[#This Row],[ProductIndex]],Products[ID],Products[CSA Portion])</f>
        <v>100</v>
      </c>
      <c r="EM212" s="210">
        <f>Crops[[#This Row],[Units Per Harvest]]/Crops[[#This Row],[Days Between Harvest]]*7/_xlfn.XLOOKUP(Crops[[#This Row],[ProductIndex]],Products[ID],Products[CSA Portion])</f>
        <v>33.333333333333336</v>
      </c>
      <c r="EN212" s="210">
        <f>Crops[[#This Row],[CSA Portions Per Week]]/CSAMembers</f>
        <v>0.66666666666666674</v>
      </c>
      <c r="EO212" s="216">
        <v>2</v>
      </c>
      <c r="EP212" s="216">
        <v>1</v>
      </c>
      <c r="EQ212" s="210"/>
      <c r="ER212" s="210">
        <f>Crops[[#This Row],[Harvests]]*Crops[[#This Row],[Days Between Harvest]]/7</f>
        <v>3</v>
      </c>
      <c r="ES212" s="217">
        <f>_xlfn.XLOOKUP(Crops[[#This Row],[ProductIndex]],Products[ID],Products[CSA Need])</f>
        <v>3</v>
      </c>
      <c r="ET212" s="217">
        <f>_xlfn.XLOOKUP(Crops[[#This Row],[ProductIndex]],Products[ID],Products[CSA Times])</f>
        <v>1</v>
      </c>
      <c r="EU212" s="208">
        <f>Crops[[#This Row],[Custom Yield Per Bed]]/(Crops[[#This Row],[CSA Need]]*(_xlfn.XLOOKUP(Crops[[#This Row],[ProductIndex]],Products[ID],Products[CSA Portion])*CSAMembers))</f>
        <v>0.66666666666666663</v>
      </c>
      <c r="EV212" s="208">
        <f>_xlfn.XLOOKUP(Crops[[#This Row],[ProductIndex]],Products[ID],Products[CSA Portion])*CSAMembers*Crops[[#This Row],[CSA Need]]/Crops[[#This Row],[Custom Yield Per Bed]]</f>
        <v>1.5</v>
      </c>
      <c r="EW212" s="208">
        <f>IFERROR(Crops[[#This Row],[Days In Field]]*Crops[[#This Row],[CSA Beds]],"")</f>
        <v>166.5</v>
      </c>
      <c r="EX212" s="208" t="e">
        <f>Crops[[#This Row],[CSA Bed Days]]*#REF!</f>
        <v>#REF!</v>
      </c>
      <c r="EY212" t="s">
        <v>418</v>
      </c>
    </row>
    <row r="213" spans="1:155">
      <c r="A213"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Melon (Watermelon Small) - Ripe Fruit 1X | Field TP </v>
      </c>
      <c r="B213" s="182"/>
      <c r="C213" s="1"/>
      <c r="D213" s="1"/>
      <c r="E213" s="1" t="b">
        <v>0</v>
      </c>
      <c r="F213" s="1" t="b">
        <f>IFERROR(IF(ISNUMBER(MATCH(Crops[[#This Row],[Identifier]],BedPlan[Crop], 0)), TRUE, FALSE), FALSE)</f>
        <v>0</v>
      </c>
      <c r="G213" s="1" t="b">
        <f>IFERROR(IF(ISNUMBER(MATCH(Crops[[#This Row],[Identifier]],BedPlan[Crop], 0)), TRUE, FALSE), FALSE)</f>
        <v>0</v>
      </c>
      <c r="H213" s="1" t="b">
        <v>1</v>
      </c>
      <c r="I213" t="s">
        <v>98</v>
      </c>
      <c r="J213" t="s">
        <v>3059</v>
      </c>
      <c r="K213" t="s">
        <v>191</v>
      </c>
      <c r="N213" t="str">
        <f>Crops[[#This Row],[Crop]]</f>
        <v>Melon</v>
      </c>
      <c r="O213" t="s">
        <v>210</v>
      </c>
      <c r="P213" t="str">
        <f>IF(OR(Crops[[#This Row],[Days in Cells]]="",Crops[[#This Row],[Days in Cells]]=0), "DS","TP")</f>
        <v>TP</v>
      </c>
      <c r="V213" t="str">
        <f xml:space="preserve"> IF(Crops[[#This Row],[Sp]], "Sp", "") &amp; IF(Crops[[#This Row],[Su]], "Su", "") &amp; IF(Crops[[#This Row],[Fa]], "Fa", "") &amp; IF(Crops[[#This Row],[Wi]], "Wi", "") &amp; IF(Crops[[#This Row],[OW]], "Ow","")</f>
        <v/>
      </c>
      <c r="W213" t="s">
        <v>144</v>
      </c>
      <c r="X213">
        <v>1</v>
      </c>
      <c r="Y213">
        <v>30</v>
      </c>
      <c r="AB213" t="b">
        <v>0</v>
      </c>
      <c r="AD213" s="32">
        <f>IFERROR(12/Crops[[#This Row],[Spacing]]*Crops[[#This Row],[Rows]]*BedLength,"")</f>
        <v>20</v>
      </c>
      <c r="AE213">
        <v>1</v>
      </c>
      <c r="AG213">
        <f>IF(Crops[[#This Row],[Custom Safety Factor]]="",PlantingSafetyFactor,Crops[[#This Row],[Custom Safety Factor]])</f>
        <v>1.3</v>
      </c>
      <c r="AH213">
        <f>1</f>
        <v>1</v>
      </c>
      <c r="AI213" s="33">
        <f>IFERROR(Crops[[#This Row],[Plantings Per Bed]]*Crops[[#This Row],[Seeds Per Planting]]*Crops[[#This Row],[Safety Factor]]*Crops[[#This Row],[Seeding Factor]],"")</f>
        <v>26</v>
      </c>
      <c r="AL213">
        <f>_xlfn.FLOOR.MATH(IFERROR(AVERAGE(Crops[[#This Row],[DTG Lower]:[DTG Upper]]),0))</f>
        <v>0</v>
      </c>
      <c r="AM213">
        <f>SUM(Crops[[#This Row],[Tray 1 Days]],Crops[[#This Row],[Tray 2 Days]],Crops[[#This Row],[Tray 3 Days]])</f>
        <v>21</v>
      </c>
      <c r="AN213">
        <v>15</v>
      </c>
      <c r="AP213">
        <v>75</v>
      </c>
      <c r="AQ213">
        <f>IFERROR(_xlfn.FLOOR.MATH(AVERAGE(Crops[[#This Row],[DTM Lower]:[DTM Upper]])),"")</f>
        <v>75</v>
      </c>
      <c r="AR213" cm="1">
        <f t="array" ref="AR213">_xlfn.SWITCH(Crops[[#This Row],[Normal Method]],"DS",Crops[[#This Row],[Days to Germination]]+Crops[[#This Row],[DTM]] + IF(Crops[[#This Row],[Days in Cells]]&gt;0,15,0), "TP",Crops[[#This Row],[DTM]]+Crops[[#This Row],[Days in Cells]] + IF(Crops[[#This Row],[Days in Cells]]&lt;=0,20,0), "X", Crops[[#This Row],[DTM]])</f>
        <v>96</v>
      </c>
      <c r="AS213" t="s">
        <v>346</v>
      </c>
      <c r="AT213">
        <f>(Crops[[#This Row],[Harvests]]-1)*Crops[[#This Row],[Days Between Harvest]]+7</f>
        <v>21</v>
      </c>
      <c r="AU213">
        <f>Crops[[#This Row],[STH]]-Crops[[#This Row],[Days in Cells]]+Crops[[#This Row],[Harvest window]]</f>
        <v>96</v>
      </c>
      <c r="AX213">
        <v>50</v>
      </c>
      <c r="AY213">
        <v>21</v>
      </c>
      <c r="AZ213">
        <f>IFERROR(IF(Crops[[#This Row],[Tray 1 Days]]=0,"",Crops[[#This Row],[Plantings Per Bed]]/Crops[[#This Row],[Tray 1 Size]]*Crops[[#This Row],[Safety Factor]]),"")</f>
        <v>0.52</v>
      </c>
      <c r="BC213" t="str">
        <f>IFERROR(IF(Crops[[#This Row],[Tray 2 Days]]=0,"",Crops[[#This Row],[Plantings Per Bed]]/Crops[[#This Row],[Tray 2 Size]]*Crops[[#This Row],[Safety Factor]]),"")</f>
        <v/>
      </c>
      <c r="BE213" s="32" t="str">
        <f>IF(NOT(ISBLANK(Crops[[#This Row],[Tray 3 Size]])), Crops[[#This Row],[Days in Cells Old]]-SUM(Crops[[#This Row],[Tray 1 Days]],Crops[[#This Row],[Tray 2 Days]]), "")</f>
        <v/>
      </c>
      <c r="BF213" t="str">
        <f>IFERROR(IF(Crops[[#This Row],[Tray 3 Days]]=0,"",Crops[[#This Row],[Plantings Per Bed]]/Crops[[#This Row],[Tray 3 Size]]*Crops[[#This Row],[Safety Factor]]),"")</f>
        <v/>
      </c>
      <c r="BG213" s="33">
        <f>Crops[[#This Row],[Plantings Per Bed]]*2*4/Crops[[#This Row],[Harvests]]</f>
        <v>53.333333333333336</v>
      </c>
      <c r="BH213" s="33">
        <v>3</v>
      </c>
      <c r="BI213" s="33">
        <v>7</v>
      </c>
      <c r="BJ213" s="33">
        <f>_xlfn.XLOOKUP(Crops[[#This Row],[ProductIndex]],Products[ID],Products[Holding Period])</f>
        <v>5</v>
      </c>
      <c r="BK213" s="33"/>
      <c r="BL213" s="33">
        <f>Crops[[#This Row],[Units Per Harvest]]*Crops[[#This Row],[Harvests]]</f>
        <v>160</v>
      </c>
      <c r="BM213" s="35">
        <v>1.5</v>
      </c>
      <c r="BN213" s="35">
        <f>Crops[[#This Row],[Direct Price]]*0.6</f>
        <v>0.89999999999999991</v>
      </c>
      <c r="BO213" s="35"/>
      <c r="BP213" t="s">
        <v>383</v>
      </c>
      <c r="BQ213">
        <f>Crops[[#This Row],[Custom Yield Per Bed]]*Crops[[#This Row],[Direct Price]]</f>
        <v>240</v>
      </c>
      <c r="BR213" t="b">
        <v>1</v>
      </c>
      <c r="BS213" t="b">
        <f>Crops[[#This Row],[Harvests]]&gt;1</f>
        <v>1</v>
      </c>
      <c r="BT213" s="36">
        <f>IFERROR(Crops[[#This Row],[Direct Revenue Per Bed]]/Crops[[#This Row],[Days In Field]],-1)</f>
        <v>2.5</v>
      </c>
      <c r="BU213" s="36">
        <f>IFERROR(Crops[[#This Row],[Direct Revenue Per Bed Day]]*GrowingDays*BedsPerAcre,"")</f>
        <v>72000</v>
      </c>
      <c r="BV213" s="38">
        <f>LastFrostDate-5*Crops[[#This Row],[Sewing Rel Last Frost]]</f>
        <v>45773</v>
      </c>
      <c r="BW213" s="38">
        <f>Crops[[#This Row],[Target Sewing Date]]+Crops[[#This Row],[Days in Cells]]</f>
        <v>45794</v>
      </c>
      <c r="BX213" s="38">
        <f>Crops[[#This Row],[Target Sewing Date]]+Crops[[#This Row],[STH]]</f>
        <v>45869</v>
      </c>
      <c r="BY213" s="38">
        <f>Crops[[#This Row],[Target Harvest Data]]+Crops[[#This Row],[Harvest window]]</f>
        <v>45890</v>
      </c>
      <c r="BZ213">
        <v>-5</v>
      </c>
      <c r="CB213">
        <f>1</f>
        <v>1</v>
      </c>
      <c r="CC213">
        <f>IF(Crops[[#This Row],[Transplanting]]&gt;0, 2, 3)*BedLength/StandardBedLength</f>
        <v>1</v>
      </c>
      <c r="CD213" s="173">
        <f>IF(Crops[[#This Row],[Days in Cells]]&lt;=0,0,Crops[[#This Row],[Plantings Per Bed]]/StartsPerHourSeeding+Crops[[#This Row],[Tray 1 Count]]*5/60)</f>
        <v>0.12145833333333333</v>
      </c>
      <c r="CE213" s="173">
        <f>IF(ISBLANK(Crops[[#This Row],[Tray 2 Days]]),0,Crops[[#This Row],[Plantings Per Bed]]/UpPottingPerHour)+IF(Crops[[#This Row],[Tray 3 Days]]="",0,Crops[[#This Row],[Plantings Per Bed]]/UpPottingPerHour)</f>
        <v>0</v>
      </c>
      <c r="CF213" s="173">
        <f>IFERROR(Crops[[#This Row],[Tray 1 Count]]/HomeStartFlatIrrigationPerHour,0)*Crops[[#This Row],[Days in Cells]]/DaysBetweenStartIrrigation</f>
        <v>4.5499999999999999E-2</v>
      </c>
      <c r="CG213" s="173">
        <f>0.5/16*MAX(Crops[[#This Row],[Tray 1 Count]],Crops[[#This Row],[Tray 2 Count]],Crops[[#This Row],[Tray 3 Count]])</f>
        <v>1.6250000000000001E-2</v>
      </c>
      <c r="CH213" s="173">
        <f>IF(Crops[[#This Row],[Days in Cells]]&gt;0,IF(IF(Crops[[#This Row],[Tray 3 Size]]&gt;0,Crops[[#This Row],[Tray 3 Size]],IF(Crops[[#This Row],[Tray 2 Size]]&gt;0,Crops[[#This Row],[Tray 2 Size]],Crops[[#This Row],[Tray 1 Size]]))&lt;=18,LargeTransplantTime,SmallTransplantTime)*Crops[[#This Row],[Plantings Per Bed]],0)</f>
        <v>0.1</v>
      </c>
      <c r="CI213" s="173"/>
      <c r="CJ213" s="173">
        <f>_xlfn.XLOOKUP(Crops[[#This Row],[Trellis Type]],TrellisMethods[Trellis Type],TrellisMethods[Hours],0,0)</f>
        <v>0</v>
      </c>
      <c r="CK213">
        <f>IF(Crops[[#This Row],[Days in Cells]]&lt;=0,Crops[[#This Row],[Rows]]*1/10,0)*BedLength/50</f>
        <v>0</v>
      </c>
      <c r="CL213" cm="1">
        <f t="array" ref="CL213">_xlfn.SWITCH(Crops[[#This Row],[Irrigation]],"DR", 0.5, "OH", 0.25,0)*BedLength/50</f>
        <v>0</v>
      </c>
      <c r="CM213">
        <f>IF(OR(ISBLANK(Crops[[#This Row],[Row Cover]]),Crops[[#This Row],[Row Cover]]="None"),0,1)*BedLength/50</f>
        <v>0</v>
      </c>
      <c r="CN213" s="173">
        <f>HoursPerWeedingPass*Crops[[#This Row],[Days In Field]]/14*Crops[[#This Row],[Rows]]+1*BedLength/50</f>
        <v>2.1428571428571428</v>
      </c>
      <c r="CO213" s="49"/>
      <c r="CQ213" s="37">
        <f>_xlfn.XLOOKUP(Crops[[#This Row],[Crop]]&amp;Crops[[#This Row],[Product]]&amp;Crops[[#This Row],[Unit]],Products[ID],Products[Marketing (hr)])*Crops[[#This Row],[Direct Revenue Per Bed]]/2000</f>
        <v>0.24</v>
      </c>
      <c r="CR213" s="37">
        <f>_xlfn.XLOOKUP(Crops[[#This Row],[Crop]]&amp;Crops[[#This Row],[Product]]&amp;Crops[[#This Row],[Unit]],Products[ID],Products[Harvest (s)])*Crops[[#This Row],[Custom Yield Per Bed]]/3600</f>
        <v>0.44444444444444442</v>
      </c>
      <c r="CS213" s="37">
        <f>_xlfn.XLOOKUP(Crops[[#This Row],[Crop]]&amp;Crops[[#This Row],[Product]]&amp;Crops[[#This Row],[Unit]],Products[ID],Products[Bunch (s)])*Crops[[#This Row],[Custom Yield Per Bed]]/3600</f>
        <v>0</v>
      </c>
      <c r="CT213" s="37">
        <f>_xlfn.XLOOKUP(Crops[[#This Row],[Crop]]&amp;Crops[[#This Row],[Product]]&amp;Crops[[#This Row],[Unit]],Products[ID],Products[Haul (s)])*Crops[[#This Row],[Custom Yield Per Bed]]/3600</f>
        <v>0.16</v>
      </c>
      <c r="CU213" s="37">
        <f>_xlfn.XLOOKUP(Crops[[#This Row],[Crop]]&amp;Crops[[#This Row],[Product]]&amp;Crops[[#This Row],[Unit]],Products[ID],Products[Wash (s)])*Crops[[#This Row],[Custom Yield Per Bed]]/3600</f>
        <v>0</v>
      </c>
      <c r="CV213" s="37">
        <f>_xlfn.XLOOKUP(Crops[[#This Row],[Crop]]&amp;Crops[[#This Row],[Product]]&amp;Crops[[#This Row],[Unit]],Products[ID],Products[Condition (s)])*Crops[[#This Row],[Custom Yield Per Bed]]/3600</f>
        <v>0</v>
      </c>
      <c r="CW213" s="37">
        <f>_xlfn.XLOOKUP(Crops[[#This Row],[Crop]]&amp;Crops[[#This Row],[Product]]&amp;Crops[[#This Row],[Unit]],Products[ID],Products[Trim (s)])*Crops[[#This Row],[Custom Yield Per Bed]]/3600</f>
        <v>0</v>
      </c>
      <c r="CX213" s="37">
        <f>_xlfn.XLOOKUP(Crops[[#This Row],[Crop]]&amp;Crops[[#This Row],[Product]]&amp;Crops[[#This Row],[Unit]],Products[ID],Products[Pack (s)])*Crops[[#This Row],[Custom Yield Per Bed]]/3600</f>
        <v>0.13333333333333333</v>
      </c>
      <c r="CY213" s="37">
        <f>_xlfn.XLOOKUP(Crops[[#This Row],[Crop]]&amp;Crops[[#This Row],[Product]]&amp;Crops[[#This Row],[Unit]],Products[ID],Products[Clean (s)])*Crops[[#This Row],[Custom Yield Per Bed]]/3600</f>
        <v>0</v>
      </c>
      <c r="CZ213" s="37">
        <f>_xlfn.XLOOKUP(Crops[[#This Row],[Crop]]&amp;Crops[[#This Row],[Product]]&amp;Crops[[#This Row],[Unit]],Products[ID],Products[Rehandle (s)])*Crops[[#This Row],[Custom Yield Per Bed]]/3600</f>
        <v>0</v>
      </c>
      <c r="DA213" s="37">
        <f>_xlfn.XLOOKUP(Crops[[#This Row],[Crop]]&amp;Crops[[#This Row],[Product]]&amp;Crops[[#This Row],[Unit]],Products[ID],Products[Market Transport (s)])*Crops[[#This Row],[Custom Yield Per Bed]]/3600</f>
        <v>0.4</v>
      </c>
      <c r="DC213" s="37">
        <f>Crops[[#This Row],[Direct Revenue Per Bed2]]</f>
        <v>240</v>
      </c>
      <c r="DD213" s="173">
        <f>_xlfn.AGGREGATE(9,6,Crops[[#This Row],[Bed Prep]:[Remove Crop Residue]])</f>
        <v>4.8038432539682558</v>
      </c>
      <c r="DE213" s="173">
        <f>_xlfn.AGGREGATE(9,6,Crops[[#This Row],[Bed Prep]:[Remove Crop Residue]])-0.75*Crops[[#This Row],[Market &amp; Sell]]</f>
        <v>4.6238432539682561</v>
      </c>
      <c r="DF213" s="36">
        <f>Crops[[#This Row],[Direct Revenue Per Bed2]]/Crops[[#This Row],[Direct Time]]</f>
        <v>49.959998133108513</v>
      </c>
      <c r="DG213" s="36">
        <f>_xlfn.XLOOKUP(Crops[[#This Row],[ProductIndex]],Products[ID],Products[Packaging Cost])*(Crops[[#This Row],[Custom Yield Per Bed]]/_xlfn.XLOOKUP(Crops[[#This Row],[ProductIndex]],Products[ID],Products[Units Per Pack]))</f>
        <v>24.32</v>
      </c>
      <c r="DH213" s="36"/>
      <c r="DI213" s="36"/>
      <c r="DJ213" s="36"/>
      <c r="DK213" s="36"/>
      <c r="DL213" s="36"/>
      <c r="DM213" s="33">
        <f>IFERROR(Crops[[#This Row],[Custom Yield Per Bed]]*Crops[[#This Row],[Direct Price]],"")</f>
        <v>240</v>
      </c>
      <c r="DN213" s="36">
        <f>Crops[[#This Row],[Direct Time]]*LaborRate</f>
        <v>120.0960813492064</v>
      </c>
      <c r="DO213" s="36">
        <f>SUM(Crops[[#This Row],[Irrigation Cost]])</f>
        <v>0</v>
      </c>
      <c r="DP213" s="36">
        <f>Crops[[#This Row],[Direct Labor Cost]]+Crops[[#This Row],[Direct Non-Labor Cost]]</f>
        <v>120.0960813492064</v>
      </c>
      <c r="DQ213" s="36">
        <f>Crops[[#This Row],[Direct Revenue Per Bed2]]-Crops[[#This Row],[Direct Total Cost]]</f>
        <v>119.9039186507936</v>
      </c>
      <c r="DR213" s="36">
        <f>Crops[[#This Row],[Direct Profit]]*BedsPerAcre</f>
        <v>19184.626984126975</v>
      </c>
      <c r="DS213" s="36">
        <f>Crops[[#This Row],[Direct Profit]]*BedsPerAcre*GrowingDays/Crops[[#This Row],[Days In Field]]</f>
        <v>35971.175595238077</v>
      </c>
      <c r="DT213" s="36">
        <f>Crops[[#This Row],[Direct Profit]]/MIN(Crops[[#This Row],[Days In Field]],GrowingDays)</f>
        <v>1.2489991526124333</v>
      </c>
      <c r="DU213" s="33">
        <f>Crops[[#This Row],[Direct Time]] * BedsPerAcre</f>
        <v>768.61492063492096</v>
      </c>
      <c r="DV213" s="36">
        <f>(Crops[[#This Row],[Direct Revenue Per Bed2]]-Crops[[#This Row],[Direct Non-Labor Cost]])/Crops[[#This Row],[Direct Time]]</f>
        <v>49.959998133108513</v>
      </c>
      <c r="DW213" s="33">
        <f>IFERROR(Crops[[#This Row],[Custom Yield Per Bed]]*Crops[[#This Row],[Rough Wholesale Price]],"")</f>
        <v>144</v>
      </c>
      <c r="DX213" s="36">
        <f>Crops[[#This Row],[Wholesale Time]]*LaborRate</f>
        <v>115.5960813492064</v>
      </c>
      <c r="DY213" s="36">
        <f>SUM(Crops[[#This Row],[Packaging Costs]:[Irrigation Cost]])</f>
        <v>24.32</v>
      </c>
      <c r="DZ213" s="36">
        <f>Crops[[#This Row],[Wholesale Labor Cost]]+Crops[[#This Row],[Wholesale Non-Labor Cost]]</f>
        <v>139.91608134920639</v>
      </c>
      <c r="EA213" s="36">
        <f>Crops[[#This Row],[Wholesale Revenue Per Bed]]-Crops[[#This Row],[Wholesale Total Cost]]</f>
        <v>4.0839186507936063</v>
      </c>
      <c r="EB213" s="36">
        <f>Crops[[#This Row],[Wholesale Profit]]*BedsPerAcre</f>
        <v>653.426984126977</v>
      </c>
      <c r="EC213" s="36">
        <f>Crops[[#This Row],[Wholesale Profit]]*BedsPerAcre*GrowingDays/Crops[[#This Row],[Days In Field]]</f>
        <v>1225.175595238082</v>
      </c>
      <c r="ED213" s="33">
        <f>Crops[[#This Row],[Wholesale Time]] * BedsPerAcre</f>
        <v>739.81492063492101</v>
      </c>
      <c r="EE213" s="221">
        <f>Crops[[#This Row],[Wholesale Profit]]/MIN(Crops[[#This Row],[Days In Field]],GrowingDays)</f>
        <v>4.2540819279100063E-2</v>
      </c>
      <c r="EF213" s="36">
        <f>(Crops[[#This Row],[Wholesale Revenue Per Bed]]-Crops[[#This Row],[Wholesale Non-Labor Cost]])/Crops[[#This Row],[Direct Time]]</f>
        <v>24.913385735710115</v>
      </c>
      <c r="EG213" s="174">
        <f>Crops[[#This Row],[Packaging Costs]]/Crops[[#This Row],[Wholesale Revenue Per Bed]]</f>
        <v>0.16888888888888889</v>
      </c>
      <c r="EH213" s="36" t="str">
        <f>Crops[[#This Row],[Crop]]&amp;Crops[[#This Row],[Product]]&amp;Crops[[#This Row],[Unit]]</f>
        <v>MelonRipe FruitLb</v>
      </c>
      <c r="EI213" s="36" t="b">
        <f>_xlfn.XLOOKUP(Crops[[#This Row],[ProductIndex]],Products[ID],Products[Target])</f>
        <v>1</v>
      </c>
      <c r="EJ213" s="36">
        <f>Crops[[#This Row],[Custom Yield Per Bed]]</f>
        <v>160</v>
      </c>
      <c r="EK213" s="210">
        <f>Crops[[#This Row],[Units Per Harvest]]/Crops[[#This Row],[Days Between Harvest]]*7</f>
        <v>53.333333333333336</v>
      </c>
      <c r="EL213" s="210">
        <f>Crops[[#This Row],[Custom Yield Per Bed]]/_xlfn.XLOOKUP(Crops[[#This Row],[ProductIndex]],Products[ID],Products[CSA Portion])</f>
        <v>53.333333333333336</v>
      </c>
      <c r="EM213" s="210">
        <f>Crops[[#This Row],[Units Per Harvest]]/Crops[[#This Row],[Days Between Harvest]]*7/_xlfn.XLOOKUP(Crops[[#This Row],[ProductIndex]],Products[ID],Products[CSA Portion])</f>
        <v>17.777777777777779</v>
      </c>
      <c r="EN213" s="210">
        <f>Crops[[#This Row],[CSA Portions Per Week]]/CSAMembers</f>
        <v>0.35555555555555557</v>
      </c>
      <c r="EO213" s="210"/>
      <c r="EP213" s="210"/>
      <c r="EQ213" s="210"/>
      <c r="ER213" s="210">
        <f>Crops[[#This Row],[Harvests]]*Crops[[#This Row],[Days Between Harvest]]/7</f>
        <v>3</v>
      </c>
      <c r="ES213" s="217">
        <f>_xlfn.XLOOKUP(Crops[[#This Row],[ProductIndex]],Products[ID],Products[CSA Need])</f>
        <v>3</v>
      </c>
      <c r="ET213" s="217">
        <f>_xlfn.XLOOKUP(Crops[[#This Row],[ProductIndex]],Products[ID],Products[CSA Times])</f>
        <v>1</v>
      </c>
      <c r="EU213" s="208">
        <f>Crops[[#This Row],[Custom Yield Per Bed]]/(Crops[[#This Row],[CSA Need]]*(_xlfn.XLOOKUP(Crops[[#This Row],[ProductIndex]],Products[ID],Products[CSA Portion])*CSAMembers))</f>
        <v>0.35555555555555557</v>
      </c>
      <c r="EV213" s="208">
        <f>_xlfn.XLOOKUP(Crops[[#This Row],[ProductIndex]],Products[ID],Products[CSA Portion])*CSAMembers*Crops[[#This Row],[CSA Need]]/Crops[[#This Row],[Custom Yield Per Bed]]</f>
        <v>2.8125</v>
      </c>
      <c r="EW213" s="208">
        <f>IFERROR(Crops[[#This Row],[Days In Field]]*Crops[[#This Row],[CSA Beds]],"")</f>
        <v>270</v>
      </c>
      <c r="EX213" s="208" t="e">
        <f>Crops[[#This Row],[CSA Bed Days]]*#REF!</f>
        <v>#REF!</v>
      </c>
      <c r="EY213" t="s">
        <v>295</v>
      </c>
    </row>
    <row r="214" spans="1:155">
      <c r="A21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Microgreens - Micro Leaf X | Field DS </v>
      </c>
      <c r="B214" s="179"/>
      <c r="C214" s="1"/>
      <c r="D214" s="1"/>
      <c r="E214" s="1" t="b">
        <v>0</v>
      </c>
      <c r="F214" s="1" t="b">
        <f>IFERROR(IF(ISNUMBER(MATCH(Crops[[#This Row],[Identifier]],BedPlan[Crop], 0)), TRUE, FALSE), FALSE)</f>
        <v>0</v>
      </c>
      <c r="G214" s="1" t="b">
        <f>IFERROR(IF(ISNUMBER(MATCH(Crops[[#This Row],[Identifier]],BedPlan[Crop], 0)), TRUE, FALSE), FALSE)</f>
        <v>0</v>
      </c>
      <c r="H214" s="1" t="b">
        <v>1</v>
      </c>
      <c r="I214" t="s">
        <v>99</v>
      </c>
      <c r="J214" t="s">
        <v>145</v>
      </c>
      <c r="K214" t="s">
        <v>203</v>
      </c>
      <c r="N214" t="str">
        <f>Crops[[#This Row],[Crop]]</f>
        <v>Microgreens</v>
      </c>
      <c r="O214" t="s">
        <v>210</v>
      </c>
      <c r="P214" t="str">
        <f>IF(OR(Crops[[#This Row],[Days in Cells]]="",Crops[[#This Row],[Days in Cells]]=0), "DS","TP")</f>
        <v>DS</v>
      </c>
      <c r="V214" t="str">
        <f xml:space="preserve"> IF(Crops[[#This Row],[Sp]], "Sp", "") &amp; IF(Crops[[#This Row],[Su]], "Su", "") &amp; IF(Crops[[#This Row],[Fa]], "Fa", "") &amp; IF(Crops[[#This Row],[Wi]], "Wi", "") &amp; IF(Crops[[#This Row],[OW]], "Ow","")</f>
        <v/>
      </c>
      <c r="W214" t="s">
        <v>144</v>
      </c>
      <c r="AD214" s="32" t="str">
        <f>IFERROR(12/Crops[[#This Row],[Spacing]]*Crops[[#This Row],[Rows]]*BedLength,"")</f>
        <v/>
      </c>
      <c r="AG214">
        <f>IF(Crops[[#This Row],[Custom Safety Factor]]="",PlantingSafetyFactor,Crops[[#This Row],[Custom Safety Factor]])</f>
        <v>1.3</v>
      </c>
      <c r="AH214">
        <f>1</f>
        <v>1</v>
      </c>
      <c r="AI214" s="33" t="str">
        <f>IFERROR(Crops[[#This Row],[Plantings Per Bed]]*Crops[[#This Row],[Seeds Per Planting]]*Crops[[#This Row],[Safety Factor]]*Crops[[#This Row],[Seeding Factor]],"")</f>
        <v/>
      </c>
      <c r="AL214">
        <f>_xlfn.FLOOR.MATH(IFERROR(AVERAGE(Crops[[#This Row],[DTG Lower]:[DTG Upper]]),0))</f>
        <v>0</v>
      </c>
      <c r="AM214">
        <f>SUM(Crops[[#This Row],[Tray 1 Days]],Crops[[#This Row],[Tray 2 Days]],Crops[[#This Row],[Tray 3 Days]])</f>
        <v>0</v>
      </c>
      <c r="AO214">
        <v>14</v>
      </c>
      <c r="AP214">
        <v>21</v>
      </c>
      <c r="AQ214">
        <f>IFERROR(_xlfn.FLOOR.MATH(AVERAGE(Crops[[#This Row],[DTM Lower]:[DTM Upper]])),"")</f>
        <v>17</v>
      </c>
      <c r="AR214" cm="1">
        <f t="array" ref="AR214">_xlfn.SWITCH(Crops[[#This Row],[Normal Method]],"DS",Crops[[#This Row],[Days to Germination]]+Crops[[#This Row],[DTM]] + IF(Crops[[#This Row],[Days in Cells]]&gt;0,15,0), "TP",Crops[[#This Row],[DTM]]+Crops[[#This Row],[Days in Cells]] + IF(Crops[[#This Row],[Days in Cells]]&lt;=0,20,0), "X", Crops[[#This Row],[DTM]])</f>
        <v>17</v>
      </c>
      <c r="AS214" t="s">
        <v>338</v>
      </c>
      <c r="AT214">
        <f>(Crops[[#This Row],[Harvests]]-1)*Crops[[#This Row],[Days Between Harvest]]+7</f>
        <v>7</v>
      </c>
      <c r="AU214">
        <f>Crops[[#This Row],[STH]]-Crops[[#This Row],[Days in Cells]]+Crops[[#This Row],[Harvest window]]</f>
        <v>24</v>
      </c>
      <c r="AW214" t="s">
        <v>212</v>
      </c>
      <c r="AZ214" t="str">
        <f>IFERROR(IF(Crops[[#This Row],[Tray 1 Days]]=0,"",Crops[[#This Row],[Plantings Per Bed]]/Crops[[#This Row],[Tray 1 Size]]*Crops[[#This Row],[Safety Factor]]),"")</f>
        <v/>
      </c>
      <c r="BC214" t="str">
        <f>IFERROR(IF(Crops[[#This Row],[Tray 2 Days]]=0,"",Crops[[#This Row],[Plantings Per Bed]]/Crops[[#This Row],[Tray 2 Size]]*Crops[[#This Row],[Safety Factor]]),"")</f>
        <v/>
      </c>
      <c r="BE214" s="32" t="str">
        <f>IF(NOT(ISBLANK(Crops[[#This Row],[Tray 3 Size]])), Crops[[#This Row],[Days in Cells Old]]-SUM(Crops[[#This Row],[Tray 1 Days]],Crops[[#This Row],[Tray 2 Days]]), "")</f>
        <v/>
      </c>
      <c r="BF214" t="str">
        <f>IFERROR(IF(Crops[[#This Row],[Tray 3 Days]]=0,"",Crops[[#This Row],[Plantings Per Bed]]/Crops[[#This Row],[Tray 3 Size]]*Crops[[#This Row],[Safety Factor]]),"")</f>
        <v/>
      </c>
      <c r="BG214" s="33"/>
      <c r="BH214" s="33"/>
      <c r="BI214" s="33"/>
      <c r="BJ214" s="33">
        <f>_xlfn.XLOOKUP(Crops[[#This Row],[ProductIndex]],Products[ID],Products[Holding Period])</f>
        <v>0</v>
      </c>
      <c r="BK214" s="33"/>
      <c r="BL214" s="33">
        <f>Crops[[#This Row],[Units Per Harvest]]*Crops[[#This Row],[Harvests]]</f>
        <v>0</v>
      </c>
      <c r="BM214" s="35"/>
      <c r="BN214" s="35">
        <f>Crops[[#This Row],[Direct Price]]*0.6</f>
        <v>0</v>
      </c>
      <c r="BO214" s="35"/>
      <c r="BP214" t="s">
        <v>216</v>
      </c>
      <c r="BQ214" s="193">
        <f>Crops[[#This Row],[Custom Yield Per Bed]]*Crops[[#This Row],[Direct Price]]</f>
        <v>0</v>
      </c>
      <c r="BR214" s="193" t="b">
        <v>0</v>
      </c>
      <c r="BS214" t="b">
        <f>Crops[[#This Row],[Harvests]]&gt;1</f>
        <v>0</v>
      </c>
      <c r="BT214" s="36">
        <f>IFERROR(Crops[[#This Row],[Direct Revenue Per Bed]]/Crops[[#This Row],[Days In Field]],-1)</f>
        <v>0</v>
      </c>
      <c r="BU214" s="36">
        <f>IFERROR(Crops[[#This Row],[Direct Revenue Per Bed Day]]*GrowingDays*BedsPerAcre,"")</f>
        <v>0</v>
      </c>
      <c r="BV214" s="38">
        <f>LastFrostDate-5*Crops[[#This Row],[Sewing Rel Last Frost]]</f>
        <v>45748</v>
      </c>
      <c r="BW214" s="38">
        <f>Crops[[#This Row],[Target Sewing Date]]+Crops[[#This Row],[Days in Cells]]</f>
        <v>45748</v>
      </c>
      <c r="BX214" s="38">
        <f>Crops[[#This Row],[Target Sewing Date]]+Crops[[#This Row],[STH]]</f>
        <v>45765</v>
      </c>
      <c r="BY214" s="38">
        <f>Crops[[#This Row],[Target Harvest Data]]+Crops[[#This Row],[Harvest window]]</f>
        <v>45772</v>
      </c>
      <c r="CB214">
        <f>1</f>
        <v>1</v>
      </c>
      <c r="CC214">
        <f>IF(Crops[[#This Row],[Transplanting]]&gt;0, 2, 3)*BedLength/StandardBedLength</f>
        <v>1.5</v>
      </c>
      <c r="CD214" s="173">
        <f>IF(Crops[[#This Row],[Days in Cells]]&lt;=0,0,Crops[[#This Row],[Plantings Per Bed]]/StartsPerHourSeeding+Crops[[#This Row],[Tray 1 Count]]*5/60)</f>
        <v>0</v>
      </c>
      <c r="CE214" s="173">
        <f>IF(ISBLANK(Crops[[#This Row],[Tray 2 Days]]),0,Crops[[#This Row],[Plantings Per Bed]]/UpPottingPerHour)+IF(Crops[[#This Row],[Tray 3 Days]]="",0,Crops[[#This Row],[Plantings Per Bed]]/UpPottingPerHour)</f>
        <v>0</v>
      </c>
      <c r="CF214" s="173">
        <f>IFERROR(Crops[[#This Row],[Tray 1 Count]]/HomeStartFlatIrrigationPerHour,0)*Crops[[#This Row],[Days in Cells]]/DaysBetweenStartIrrigation</f>
        <v>0</v>
      </c>
      <c r="CG214" s="173">
        <f>0.5/16*MAX(Crops[[#This Row],[Tray 1 Count]],Crops[[#This Row],[Tray 2 Count]],Crops[[#This Row],[Tray 3 Count]])</f>
        <v>0</v>
      </c>
      <c r="CH214" s="173">
        <f>IF(Crops[[#This Row],[Days in Cells]]&gt;0,IF(IF(Crops[[#This Row],[Tray 3 Size]]&gt;0,Crops[[#This Row],[Tray 3 Size]],IF(Crops[[#This Row],[Tray 2 Size]]&gt;0,Crops[[#This Row],[Tray 2 Size]],Crops[[#This Row],[Tray 1 Size]]))&lt;=18,LargeTransplantTime,SmallTransplantTime)*Crops[[#This Row],[Plantings Per Bed]],0)</f>
        <v>0</v>
      </c>
      <c r="CI214" s="173"/>
      <c r="CJ214" s="173">
        <f>_xlfn.XLOOKUP(Crops[[#This Row],[Trellis Type]],TrellisMethods[Trellis Type],TrellisMethods[Hours],0,0)</f>
        <v>0</v>
      </c>
      <c r="CK214">
        <f>IF(Crops[[#This Row],[Days in Cells]]&lt;=0,Crops[[#This Row],[Rows]]*1/10,0)*BedLength/50</f>
        <v>0</v>
      </c>
      <c r="CL214" cm="1">
        <f t="array" ref="CL214">_xlfn.SWITCH(Crops[[#This Row],[Irrigation]],"DR", 0.5, "OH", 0.25,0)*BedLength/50</f>
        <v>0</v>
      </c>
      <c r="CM214">
        <f>IF(OR(ISBLANK(Crops[[#This Row],[Row Cover]]),Crops[[#This Row],[Row Cover]]="None"),0,1)*BedLength/50</f>
        <v>0</v>
      </c>
      <c r="CN214" s="173">
        <f>HoursPerWeedingPass*Crops[[#This Row],[Days In Field]]/14*Crops[[#This Row],[Rows]]+1*BedLength/50</f>
        <v>1</v>
      </c>
      <c r="CQ214" s="37">
        <f>_xlfn.XLOOKUP(Crops[[#This Row],[Crop]]&amp;Crops[[#This Row],[Product]]&amp;Crops[[#This Row],[Unit]],Products[ID],Products[Marketing (hr)])*Crops[[#This Row],[Direct Revenue Per Bed]]/2000</f>
        <v>0</v>
      </c>
      <c r="CR214" s="37">
        <f>_xlfn.XLOOKUP(Crops[[#This Row],[Crop]]&amp;Crops[[#This Row],[Product]]&amp;Crops[[#This Row],[Unit]],Products[ID],Products[Harvest (s)])*Crops[[#This Row],[Custom Yield Per Bed]]/3600</f>
        <v>0</v>
      </c>
      <c r="CS214" s="37">
        <f>_xlfn.XLOOKUP(Crops[[#This Row],[Crop]]&amp;Crops[[#This Row],[Product]]&amp;Crops[[#This Row],[Unit]],Products[ID],Products[Bunch (s)])*Crops[[#This Row],[Custom Yield Per Bed]]/3600</f>
        <v>0</v>
      </c>
      <c r="CT214" s="37">
        <f>_xlfn.XLOOKUP(Crops[[#This Row],[Crop]]&amp;Crops[[#This Row],[Product]]&amp;Crops[[#This Row],[Unit]],Products[ID],Products[Haul (s)])*Crops[[#This Row],[Custom Yield Per Bed]]/3600</f>
        <v>0</v>
      </c>
      <c r="CU214" s="37">
        <f>_xlfn.XLOOKUP(Crops[[#This Row],[Crop]]&amp;Crops[[#This Row],[Product]]&amp;Crops[[#This Row],[Unit]],Products[ID],Products[Wash (s)])*Crops[[#This Row],[Custom Yield Per Bed]]/3600</f>
        <v>0</v>
      </c>
      <c r="CV214" s="37">
        <f>_xlfn.XLOOKUP(Crops[[#This Row],[Crop]]&amp;Crops[[#This Row],[Product]]&amp;Crops[[#This Row],[Unit]],Products[ID],Products[Condition (s)])*Crops[[#This Row],[Custom Yield Per Bed]]/3600</f>
        <v>0</v>
      </c>
      <c r="CW214" s="37">
        <f>_xlfn.XLOOKUP(Crops[[#This Row],[Crop]]&amp;Crops[[#This Row],[Product]]&amp;Crops[[#This Row],[Unit]],Products[ID],Products[Trim (s)])*Crops[[#This Row],[Custom Yield Per Bed]]/3600</f>
        <v>0</v>
      </c>
      <c r="CX214" s="37">
        <f>_xlfn.XLOOKUP(Crops[[#This Row],[Crop]]&amp;Crops[[#This Row],[Product]]&amp;Crops[[#This Row],[Unit]],Products[ID],Products[Pack (s)])*Crops[[#This Row],[Custom Yield Per Bed]]/3600</f>
        <v>0</v>
      </c>
      <c r="CY214" s="37">
        <f>_xlfn.XLOOKUP(Crops[[#This Row],[Crop]]&amp;Crops[[#This Row],[Product]]&amp;Crops[[#This Row],[Unit]],Products[ID],Products[Clean (s)])*Crops[[#This Row],[Custom Yield Per Bed]]/3600</f>
        <v>0</v>
      </c>
      <c r="CZ214" s="37">
        <f>_xlfn.XLOOKUP(Crops[[#This Row],[Crop]]&amp;Crops[[#This Row],[Product]]&amp;Crops[[#This Row],[Unit]],Products[ID],Products[Rehandle (s)])*Crops[[#This Row],[Custom Yield Per Bed]]/3600</f>
        <v>0</v>
      </c>
      <c r="DA214" s="37">
        <f>_xlfn.XLOOKUP(Crops[[#This Row],[Crop]]&amp;Crops[[#This Row],[Product]]&amp;Crops[[#This Row],[Unit]],Products[ID],Products[Market Transport (s)])*Crops[[#This Row],[Custom Yield Per Bed]]/3600</f>
        <v>0</v>
      </c>
      <c r="DC214" s="37">
        <f>Crops[[#This Row],[Direct Revenue Per Bed2]]</f>
        <v>0</v>
      </c>
      <c r="DD214" s="173">
        <f>_xlfn.AGGREGATE(9,6,Crops[[#This Row],[Bed Prep]:[Remove Crop Residue]])</f>
        <v>2.5</v>
      </c>
      <c r="DE214" s="173">
        <f>_xlfn.AGGREGATE(9,6,Crops[[#This Row],[Bed Prep]:[Remove Crop Residue]])-0.75*Crops[[#This Row],[Market &amp; Sell]]</f>
        <v>2.5</v>
      </c>
      <c r="DF214" s="36">
        <f>Crops[[#This Row],[Direct Revenue Per Bed2]]/Crops[[#This Row],[Direct Time]]</f>
        <v>0</v>
      </c>
      <c r="DG214" s="36">
        <f>_xlfn.XLOOKUP(Crops[[#This Row],[ProductIndex]],Products[ID],Products[Packaging Cost])*(Crops[[#This Row],[Custom Yield Per Bed]]/_xlfn.XLOOKUP(Crops[[#This Row],[ProductIndex]],Products[ID],Products[Units Per Pack]))</f>
        <v>0</v>
      </c>
      <c r="DH214" s="36"/>
      <c r="DI214" s="36"/>
      <c r="DJ214" s="36"/>
      <c r="DK214" s="36"/>
      <c r="DL214" s="36"/>
      <c r="DM214" s="33">
        <f>IFERROR(Crops[[#This Row],[Custom Yield Per Bed]]*Crops[[#This Row],[Direct Price]],"")</f>
        <v>0</v>
      </c>
      <c r="DN214" s="36">
        <f>Crops[[#This Row],[Direct Time]]*LaborRate</f>
        <v>62.5</v>
      </c>
      <c r="DO214" s="36">
        <f>SUM(Crops[[#This Row],[Irrigation Cost]])</f>
        <v>0</v>
      </c>
      <c r="DP214" s="36">
        <f>Crops[[#This Row],[Direct Labor Cost]]+Crops[[#This Row],[Direct Non-Labor Cost]]</f>
        <v>62.5</v>
      </c>
      <c r="DQ214" s="36">
        <f>Crops[[#This Row],[Direct Revenue Per Bed2]]-Crops[[#This Row],[Direct Total Cost]]</f>
        <v>-62.5</v>
      </c>
      <c r="DR214" s="36">
        <f>Crops[[#This Row],[Direct Profit]]*BedsPerAcre</f>
        <v>-10000</v>
      </c>
      <c r="DS214" s="36">
        <f>Crops[[#This Row],[Direct Profit]]*BedsPerAcre*GrowingDays/Crops[[#This Row],[Days In Field]]</f>
        <v>-75000</v>
      </c>
      <c r="DT214" s="36">
        <f>Crops[[#This Row],[Direct Profit]]/MIN(Crops[[#This Row],[Days In Field]],GrowingDays)</f>
        <v>-2.6041666666666665</v>
      </c>
      <c r="DU214" s="36">
        <f>Crops[[#This Row],[Direct Time]] * BedsPerAcre</f>
        <v>400</v>
      </c>
      <c r="DV214" s="36">
        <f>(Crops[[#This Row],[Direct Revenue Per Bed2]]-Crops[[#This Row],[Direct Non-Labor Cost]])/Crops[[#This Row],[Direct Time]]</f>
        <v>0</v>
      </c>
      <c r="DW214" s="33">
        <f>IFERROR(Crops[[#This Row],[Custom Yield Per Bed]]*Crops[[#This Row],[Rough Wholesale Price]],"")</f>
        <v>0</v>
      </c>
      <c r="DX214" s="36">
        <f>Crops[[#This Row],[Wholesale Time]]*LaborRate</f>
        <v>62.5</v>
      </c>
      <c r="DY214" s="36">
        <f>SUM(Crops[[#This Row],[Packaging Costs]:[Irrigation Cost]])</f>
        <v>0</v>
      </c>
      <c r="DZ214" s="36">
        <f>Crops[[#This Row],[Wholesale Labor Cost]]+Crops[[#This Row],[Wholesale Non-Labor Cost]]</f>
        <v>62.5</v>
      </c>
      <c r="EA214" s="36">
        <f>Crops[[#This Row],[Wholesale Revenue Per Bed]]-Crops[[#This Row],[Wholesale Total Cost]]</f>
        <v>-62.5</v>
      </c>
      <c r="EB214" s="36">
        <f>Crops[[#This Row],[Wholesale Profit]]*BedsPerAcre</f>
        <v>-10000</v>
      </c>
      <c r="EC214" s="36">
        <f>Crops[[#This Row],[Wholesale Profit]]*BedsPerAcre*GrowingDays/Crops[[#This Row],[Days In Field]]</f>
        <v>-75000</v>
      </c>
      <c r="ED214" s="36">
        <f>Crops[[#This Row],[Wholesale Time]] * BedsPerAcre</f>
        <v>400</v>
      </c>
      <c r="EE214" s="36">
        <f>Crops[[#This Row],[Wholesale Profit]]/MIN(Crops[[#This Row],[Days In Field]],GrowingDays)</f>
        <v>-2.6041666666666665</v>
      </c>
      <c r="EF214" s="36">
        <f>(Crops[[#This Row],[Wholesale Revenue Per Bed]]-Crops[[#This Row],[Wholesale Non-Labor Cost]])/Crops[[#This Row],[Direct Time]]</f>
        <v>0</v>
      </c>
      <c r="EG214" s="174" t="e">
        <f>Crops[[#This Row],[Packaging Costs]]/Crops[[#This Row],[Wholesale Revenue Per Bed]]</f>
        <v>#DIV/0!</v>
      </c>
      <c r="EH214" s="36" t="str">
        <f>Crops[[#This Row],[Crop]]&amp;Crops[[#This Row],[Product]]&amp;Crops[[#This Row],[Unit]]</f>
        <v>MicrogreensMicro LeafOunce</v>
      </c>
      <c r="EI214" s="36" t="b">
        <f>_xlfn.XLOOKUP(Crops[[#This Row],[ProductIndex]],Products[ID],Products[Target])</f>
        <v>1</v>
      </c>
      <c r="EJ214" s="36">
        <f>Crops[[#This Row],[Custom Yield Per Bed]]</f>
        <v>0</v>
      </c>
      <c r="EK214" s="210" t="e">
        <f>Crops[[#This Row],[Units Per Harvest]]/Crops[[#This Row],[Days Between Harvest]]*7</f>
        <v>#DIV/0!</v>
      </c>
      <c r="EL214" s="210" t="e">
        <f>Crops[[#This Row],[Custom Yield Per Bed]]/_xlfn.XLOOKUP(Crops[[#This Row],[ProductIndex]],Products[ID],Products[CSA Portion])</f>
        <v>#DIV/0!</v>
      </c>
      <c r="EM214" s="210" t="e">
        <f>Crops[[#This Row],[Units Per Harvest]]/Crops[[#This Row],[Days Between Harvest]]*7/_xlfn.XLOOKUP(Crops[[#This Row],[ProductIndex]],Products[ID],Products[CSA Portion])</f>
        <v>#DIV/0!</v>
      </c>
      <c r="EN214" s="210" t="e">
        <f>Crops[[#This Row],[CSA Portions Per Week]]/CSAMembers</f>
        <v>#DIV/0!</v>
      </c>
      <c r="EO214" s="210"/>
      <c r="EP214" s="210"/>
      <c r="EQ214" s="36"/>
      <c r="ER214" s="36">
        <f>Crops[[#This Row],[Harvests]]*Crops[[#This Row],[Days Between Harvest]]/7</f>
        <v>0</v>
      </c>
      <c r="ES214" s="208">
        <f>_xlfn.XLOOKUP(Crops[[#This Row],[ProductIndex]],Products[ID],Products[CSA Need])</f>
        <v>0</v>
      </c>
      <c r="ET214" s="208">
        <f>_xlfn.XLOOKUP(Crops[[#This Row],[ProductIndex]],Products[ID],Products[CSA Times])</f>
        <v>0</v>
      </c>
      <c r="EU214" s="208" t="e">
        <f>Crops[[#This Row],[Custom Yield Per Bed]]/(Crops[[#This Row],[CSA Need]]*(_xlfn.XLOOKUP(Crops[[#This Row],[ProductIndex]],Products[ID],Products[CSA Portion])*CSAMembers))</f>
        <v>#DIV/0!</v>
      </c>
      <c r="EV214" s="208" t="e">
        <f>_xlfn.XLOOKUP(Crops[[#This Row],[ProductIndex]],Products[ID],Products[CSA Portion])*CSAMembers*Crops[[#This Row],[CSA Need]]/Crops[[#This Row],[Custom Yield Per Bed]]</f>
        <v>#DIV/0!</v>
      </c>
      <c r="EW214" s="208" t="str">
        <f>IFERROR(Crops[[#This Row],[Days In Field]]*Crops[[#This Row],[CSA Beds]],"")</f>
        <v/>
      </c>
      <c r="EX214" s="208" t="e">
        <f>Crops[[#This Row],[CSA Bed Days]]*#REF!</f>
        <v>#VALUE!</v>
      </c>
      <c r="EY214">
        <v>0</v>
      </c>
    </row>
    <row r="215" spans="1:155">
      <c r="A2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Milkweed - Mature Stem 1X | Field TP Sp</v>
      </c>
      <c r="B215" s="189"/>
      <c r="C215" s="1" t="b">
        <v>0</v>
      </c>
      <c r="D215" s="1"/>
      <c r="E215" s="1" t="b">
        <v>0</v>
      </c>
      <c r="F215" s="1" t="b">
        <f>IFERROR(IF(ISNUMBER(MATCH(Crops[[#This Row],[Identifier]],BedPlan[Crop], 0)), TRUE, FALSE), FALSE)</f>
        <v>0</v>
      </c>
      <c r="G215" s="1" t="b">
        <f>IFERROR(IF(ISNUMBER(MATCH(Crops[[#This Row],[Identifier]],BedPlan[Crop], 0)), TRUE, FALSE), FALSE)</f>
        <v>0</v>
      </c>
      <c r="H215" s="1"/>
      <c r="I215" t="s">
        <v>1766</v>
      </c>
      <c r="J215" t="s">
        <v>145</v>
      </c>
      <c r="K215" t="s">
        <v>181</v>
      </c>
      <c r="M215" t="s">
        <v>406</v>
      </c>
      <c r="N215" t="str">
        <f>Crops[[#This Row],[Crop]]</f>
        <v>Milkweed</v>
      </c>
      <c r="O215" t="s">
        <v>210</v>
      </c>
      <c r="P215" t="str">
        <f>IF(OR(Crops[[#This Row],[Days in Cells]]="",Crops[[#This Row],[Days in Cells]]=0), "DS","TP")</f>
        <v>TP</v>
      </c>
      <c r="Q215" t="b">
        <v>1</v>
      </c>
      <c r="V215" t="str">
        <f xml:space="preserve"> IF(Crops[[#This Row],[Sp]], "Sp", "") &amp; IF(Crops[[#This Row],[Su]], "Su", "") &amp; IF(Crops[[#This Row],[Fa]], "Fa", "") &amp; IF(Crops[[#This Row],[Wi]], "Wi", "") &amp; IF(Crops[[#This Row],[OW]], "Ow","")</f>
        <v>Sp</v>
      </c>
      <c r="X215">
        <v>1</v>
      </c>
      <c r="Y215">
        <v>18</v>
      </c>
      <c r="AB215" t="b">
        <v>0</v>
      </c>
      <c r="AC215">
        <v>3</v>
      </c>
      <c r="AD215" s="32">
        <f>IFERROR(12/Crops[[#This Row],[Spacing]]*Crops[[#This Row],[Rows]]*BedLength,"")</f>
        <v>33.333333333333329</v>
      </c>
      <c r="AE215">
        <v>1</v>
      </c>
      <c r="AG215">
        <f>IF(Crops[[#This Row],[Custom Safety Factor]]="",PlantingSafetyFactor,Crops[[#This Row],[Custom Safety Factor]])</f>
        <v>1.3</v>
      </c>
      <c r="AH215">
        <f>1</f>
        <v>1</v>
      </c>
      <c r="AI215" s="33">
        <f>IFERROR(Crops[[#This Row],[Plantings Per Bed]]*Crops[[#This Row],[Seeds Per Planting]]*Crops[[#This Row],[Safety Factor]]*Crops[[#This Row],[Seeding Factor]],"")</f>
        <v>43.333333333333329</v>
      </c>
      <c r="AJ215">
        <v>14</v>
      </c>
      <c r="AK215">
        <v>21</v>
      </c>
      <c r="AL215">
        <f>_xlfn.FLOOR.MATH(IFERROR(AVERAGE(Crops[[#This Row],[DTG Lower]:[DTG Upper]]),0))</f>
        <v>17</v>
      </c>
      <c r="AM215">
        <f>SUM(Crops[[#This Row],[Tray 1 Days]],Crops[[#This Row],[Tray 2 Days]],Crops[[#This Row],[Tray 3 Days]])</f>
        <v>56</v>
      </c>
      <c r="AO215">
        <v>120</v>
      </c>
      <c r="AP215">
        <v>130</v>
      </c>
      <c r="AQ215">
        <f>IFERROR(_xlfn.FLOOR.MATH(AVERAGE(Crops[[#This Row],[DTM Lower]:[DTM Upper]])),"")</f>
        <v>125</v>
      </c>
      <c r="AR215" cm="1">
        <f t="array" ref="AR215">_xlfn.SWITCH(Crops[[#This Row],[Normal Method]],"DS",Crops[[#This Row],[Days to Germination]]+Crops[[#This Row],[DTM]] + IF(Crops[[#This Row],[Days in Cells]]&gt;0,15,0), "TP",Crops[[#This Row],[DTM]]+Crops[[#This Row],[Days in Cells]] + IF(Crops[[#This Row],[Days in Cells]]&lt;=0,20,0), "X", Crops[[#This Row],[DTM]])</f>
        <v>157</v>
      </c>
      <c r="AS215" t="s">
        <v>338</v>
      </c>
      <c r="AT215">
        <f>(Crops[[#This Row],[Harvests]]-1)*Crops[[#This Row],[Days Between Harvest]]+7</f>
        <v>56</v>
      </c>
      <c r="AU215">
        <f>Crops[[#This Row],[STH]]-Crops[[#This Row],[Days in Cells]]+Crops[[#This Row],[Harvest window]]</f>
        <v>157</v>
      </c>
      <c r="AX215">
        <v>128</v>
      </c>
      <c r="AY215">
        <v>28</v>
      </c>
      <c r="AZ215">
        <f>IFERROR(IF(Crops[[#This Row],[Tray 1 Days]]=0,"",Crops[[#This Row],[Plantings Per Bed]]/Crops[[#This Row],[Tray 1 Size]]*Crops[[#This Row],[Safety Factor]]),"")</f>
        <v>0.33854166666666663</v>
      </c>
      <c r="BA215">
        <v>18</v>
      </c>
      <c r="BB215">
        <v>28</v>
      </c>
      <c r="BC215">
        <f>IFERROR(IF(Crops[[#This Row],[Tray 2 Days]]=0,"",Crops[[#This Row],[Plantings Per Bed]]/Crops[[#This Row],[Tray 2 Size]]*Crops[[#This Row],[Safety Factor]]),"")</f>
        <v>2.407407407407407</v>
      </c>
      <c r="BE215" s="32" t="str">
        <f>IF(NOT(ISBLANK(Crops[[#This Row],[Tray 3 Size]])), Crops[[#This Row],[Days in Cells Old]]-SUM(Crops[[#This Row],[Tray 1 Days]],Crops[[#This Row],[Tray 2 Days]]), "")</f>
        <v/>
      </c>
      <c r="BF215" t="str">
        <f>IFERROR(IF(Crops[[#This Row],[Tray 3 Days]]=0,"",Crops[[#This Row],[Plantings Per Bed]]/Crops[[#This Row],[Tray 3 Size]]*Crops[[#This Row],[Safety Factor]]),"")</f>
        <v/>
      </c>
      <c r="BG215" s="33">
        <f>Crops[[#This Row],[Plantings Per Bed]]*2</f>
        <v>66.666666666666657</v>
      </c>
      <c r="BH215" s="33">
        <v>8</v>
      </c>
      <c r="BI215" s="33">
        <v>7</v>
      </c>
      <c r="BJ215" s="33">
        <f>_xlfn.XLOOKUP(Crops[[#This Row],[ProductIndex]],Products[ID],Products[Holding Period])</f>
        <v>0</v>
      </c>
      <c r="BK215" s="33"/>
      <c r="BL215" s="33">
        <f>Crops[[#This Row],[Units Per Harvest]]*Crops[[#This Row],[Harvests]]</f>
        <v>533.33333333333326</v>
      </c>
      <c r="BM215" s="35">
        <v>1.1000000000000001</v>
      </c>
      <c r="BN215" s="35">
        <f>Crops[[#This Row],[Direct Price]]*0.6</f>
        <v>0.66</v>
      </c>
      <c r="BO215" s="35"/>
      <c r="BP215" t="s">
        <v>213</v>
      </c>
      <c r="BQ215">
        <f>Crops[[#This Row],[Custom Yield Per Bed]]*Crops[[#This Row],[Direct Price]]</f>
        <v>586.66666666666663</v>
      </c>
      <c r="BR215" t="b">
        <v>0</v>
      </c>
      <c r="BS215" t="b">
        <f>Crops[[#This Row],[Harvests]]&gt;1</f>
        <v>1</v>
      </c>
      <c r="BT215" s="36">
        <f>IFERROR(Crops[[#This Row],[Direct Revenue Per Bed]]/Crops[[#This Row],[Days In Field]],-1)</f>
        <v>3.7367303609341822</v>
      </c>
      <c r="BU215" s="33">
        <f>IFERROR(Crops[[#This Row],[Direct Revenue Per Bed Day]]*GrowingDays*BedsPerAcre,"")</f>
        <v>107617.83439490444</v>
      </c>
      <c r="BV215" s="38">
        <f>LastFrostDate-5*Crops[[#This Row],[Sewing Rel Last Frost]]</f>
        <v>45718</v>
      </c>
      <c r="BW215" s="38">
        <f>Crops[[#This Row],[Target Sewing Date]]+Crops[[#This Row],[Days in Cells]]</f>
        <v>45774</v>
      </c>
      <c r="BX215" s="38">
        <f>Crops[[#This Row],[Target Sewing Date]]+Crops[[#This Row],[STH]]</f>
        <v>45875</v>
      </c>
      <c r="BY215" s="38">
        <f>Crops[[#This Row],[Target Harvest Data]]+Crops[[#This Row],[Harvest window]]</f>
        <v>45931</v>
      </c>
      <c r="BZ215">
        <v>6</v>
      </c>
      <c r="CB215">
        <f>1</f>
        <v>1</v>
      </c>
      <c r="CC215">
        <f>IF(Crops[[#This Row],[Transplanting]]&gt;0, 2, 3)*BedLength/StandardBedLength</f>
        <v>1</v>
      </c>
      <c r="CD215" s="173">
        <f>IF(Crops[[#This Row],[Days in Cells]]&lt;=0,0,Crops[[#This Row],[Plantings Per Bed]]/StartsPerHourSeeding+Crops[[#This Row],[Tray 1 Count]]*5/60)</f>
        <v>0.15842013888888887</v>
      </c>
      <c r="CE215" s="173">
        <f>IF(ISBLANK(Crops[[#This Row],[Tray 2 Days]]),0,Crops[[#This Row],[Plantings Per Bed]]/UpPottingPerHour)+IF(Crops[[#This Row],[Tray 3 Days]]="",0,Crops[[#This Row],[Plantings Per Bed]]/UpPottingPerHour)</f>
        <v>0.27777777777777773</v>
      </c>
      <c r="CF215" s="173">
        <f>IFERROR(Crops[[#This Row],[Tray 1 Count]]/HomeStartFlatIrrigationPerHour,0)*Crops[[#This Row],[Days in Cells]]/DaysBetweenStartIrrigation</f>
        <v>7.8993055555555539E-2</v>
      </c>
      <c r="CG215" s="173">
        <f>0.5/16*MAX(Crops[[#This Row],[Tray 1 Count]],Crops[[#This Row],[Tray 2 Count]],Crops[[#This Row],[Tray 3 Count]])</f>
        <v>7.5231481481481469E-2</v>
      </c>
      <c r="CH215" s="173">
        <f>IF(Crops[[#This Row],[Days in Cells]]&gt;0,IF(IF(Crops[[#This Row],[Tray 3 Size]]&gt;0,Crops[[#This Row],[Tray 3 Size]],IF(Crops[[#This Row],[Tray 2 Size]]&gt;0,Crops[[#This Row],[Tray 2 Size]],Crops[[#This Row],[Tray 1 Size]]))&lt;=18,LargeTransplantTime,SmallTransplantTime)*Crops[[#This Row],[Plantings Per Bed]],0)</f>
        <v>1.3888888888888886</v>
      </c>
      <c r="CI215" s="173"/>
      <c r="CJ215" s="173">
        <f>_xlfn.XLOOKUP(Crops[[#This Row],[Trellis Type]],TrellisMethods[Trellis Type],TrellisMethods[Hours],0,0)</f>
        <v>0</v>
      </c>
      <c r="CK215">
        <f>IF(Crops[[#This Row],[Days in Cells]]&lt;=0,Crops[[#This Row],[Rows]]*1/10,0)*BedLength/50</f>
        <v>0</v>
      </c>
      <c r="CL215" cm="1">
        <f t="array" ref="CL215">_xlfn.SWITCH(Crops[[#This Row],[Irrigation]],"DR", 0.5, "OH", 0.25,0)*BedLength/50</f>
        <v>0</v>
      </c>
      <c r="CM215">
        <f>IF(OR(ISBLANK(Crops[[#This Row],[Row Cover]]),Crops[[#This Row],[Row Cover]]="None"),0,1)*BedLength/50</f>
        <v>0</v>
      </c>
      <c r="CN215" s="173">
        <f>HoursPerWeedingPass*Crops[[#This Row],[Days In Field]]/14*Crops[[#This Row],[Rows]]+1*BedLength/50</f>
        <v>2.8690476190476186</v>
      </c>
      <c r="CQ215" s="37">
        <f>_xlfn.XLOOKUP(Crops[[#This Row],[Crop]]&amp;Crops[[#This Row],[Product]]&amp;Crops[[#This Row],[Unit]],Products[ID],Products[Marketing (hr)])*Crops[[#This Row],[Direct Revenue Per Bed]]/2000</f>
        <v>1.76</v>
      </c>
      <c r="CR215" s="37">
        <f>_xlfn.XLOOKUP(Crops[[#This Row],[Crop]]&amp;Crops[[#This Row],[Product]]&amp;Crops[[#This Row],[Unit]],Products[ID],Products[Harvest (s)])*Crops[[#This Row],[Custom Yield Per Bed]]/3600</f>
        <v>0.74074074074074059</v>
      </c>
      <c r="CS215" s="37">
        <f>_xlfn.XLOOKUP(Crops[[#This Row],[Crop]]&amp;Crops[[#This Row],[Product]]&amp;Crops[[#This Row],[Unit]],Products[ID],Products[Bunch (s)])*Crops[[#This Row],[Custom Yield Per Bed]]/3600</f>
        <v>0</v>
      </c>
      <c r="CT215" s="37">
        <f>_xlfn.XLOOKUP(Crops[[#This Row],[Crop]]&amp;Crops[[#This Row],[Product]]&amp;Crops[[#This Row],[Unit]],Products[ID],Products[Haul (s)])*Crops[[#This Row],[Custom Yield Per Bed]]/3600</f>
        <v>0.26666666666666661</v>
      </c>
      <c r="CU215" s="37">
        <f>_xlfn.XLOOKUP(Crops[[#This Row],[Crop]]&amp;Crops[[#This Row],[Product]]&amp;Crops[[#This Row],[Unit]],Products[ID],Products[Wash (s)])*Crops[[#This Row],[Custom Yield Per Bed]]/3600</f>
        <v>0</v>
      </c>
      <c r="CV215" s="37">
        <f>_xlfn.XLOOKUP(Crops[[#This Row],[Crop]]&amp;Crops[[#This Row],[Product]]&amp;Crops[[#This Row],[Unit]],Products[ID],Products[Condition (s)])*Crops[[#This Row],[Custom Yield Per Bed]]/3600</f>
        <v>0</v>
      </c>
      <c r="CW215" s="37">
        <f>_xlfn.XLOOKUP(Crops[[#This Row],[Crop]]&amp;Crops[[#This Row],[Product]]&amp;Crops[[#This Row],[Unit]],Products[ID],Products[Trim (s)])*Crops[[#This Row],[Custom Yield Per Bed]]/3600</f>
        <v>0.44444444444444436</v>
      </c>
      <c r="CX215" s="37">
        <f>_xlfn.XLOOKUP(Crops[[#This Row],[Crop]]&amp;Crops[[#This Row],[Product]]&amp;Crops[[#This Row],[Unit]],Products[ID],Products[Pack (s)])*Crops[[#This Row],[Custom Yield Per Bed]]/3600</f>
        <v>0.44444444444444436</v>
      </c>
      <c r="CY215" s="37">
        <f>_xlfn.XLOOKUP(Crops[[#This Row],[Crop]]&amp;Crops[[#This Row],[Product]]&amp;Crops[[#This Row],[Unit]],Products[ID],Products[Clean (s)])*Crops[[#This Row],[Custom Yield Per Bed]]/3600</f>
        <v>0</v>
      </c>
      <c r="CZ215" s="37">
        <f>_xlfn.XLOOKUP(Crops[[#This Row],[Crop]]&amp;Crops[[#This Row],[Product]]&amp;Crops[[#This Row],[Unit]],Products[ID],Products[Rehandle (s)])*Crops[[#This Row],[Custom Yield Per Bed]]/3600</f>
        <v>0</v>
      </c>
      <c r="DA215" s="37">
        <f>_xlfn.XLOOKUP(Crops[[#This Row],[Crop]]&amp;Crops[[#This Row],[Product]]&amp;Crops[[#This Row],[Unit]],Products[ID],Products[Market Transport (s)])*Crops[[#This Row],[Custom Yield Per Bed]]/3600</f>
        <v>0.66666666666666652</v>
      </c>
      <c r="DC215" s="37">
        <f>Crops[[#This Row],[Direct Revenue Per Bed2]]</f>
        <v>586.66666666666663</v>
      </c>
      <c r="DD215" s="173">
        <f>_xlfn.AGGREGATE(9,6,Crops[[#This Row],[Bed Prep]:[Remove Crop Residue]])</f>
        <v>10.171321924603172</v>
      </c>
      <c r="DE215" s="173">
        <f>_xlfn.AGGREGATE(9,6,Crops[[#This Row],[Bed Prep]:[Remove Crop Residue]])-0.75*Crops[[#This Row],[Market &amp; Sell]]</f>
        <v>8.8513219246031714</v>
      </c>
      <c r="DF215" s="36">
        <f>Crops[[#This Row],[Direct Revenue Per Bed2]]/Crops[[#This Row],[Direct Time]]</f>
        <v>57.678507377452327</v>
      </c>
      <c r="DG215" s="36">
        <f>_xlfn.XLOOKUP(Crops[[#This Row],[ProductIndex]],Products[ID],Products[Packaging Cost])*(Crops[[#This Row],[Custom Yield Per Bed]]/_xlfn.XLOOKUP(Crops[[#This Row],[ProductIndex]],Products[ID],Products[Units Per Pack]))</f>
        <v>42.666666666666657</v>
      </c>
      <c r="DH215" s="36"/>
      <c r="DI215" s="36"/>
      <c r="DJ215" s="36"/>
      <c r="DK215" s="36"/>
      <c r="DL215" s="36"/>
      <c r="DM215" s="33">
        <f>IFERROR(Crops[[#This Row],[Custom Yield Per Bed]]*Crops[[#This Row],[Direct Price]],"")</f>
        <v>586.66666666666663</v>
      </c>
      <c r="DN215" s="36">
        <f>Crops[[#This Row],[Direct Time]]*LaborRate</f>
        <v>254.28304811507928</v>
      </c>
      <c r="DO215" s="36">
        <f>SUM(Crops[[#This Row],[Irrigation Cost]])</f>
        <v>0</v>
      </c>
      <c r="DP215" s="36">
        <f>Crops[[#This Row],[Direct Labor Cost]]+Crops[[#This Row],[Direct Non-Labor Cost]]</f>
        <v>254.28304811507928</v>
      </c>
      <c r="DQ215" s="36">
        <f>Crops[[#This Row],[Direct Revenue Per Bed2]]-Crops[[#This Row],[Direct Total Cost]]</f>
        <v>332.38361855158735</v>
      </c>
      <c r="DR215" s="36">
        <f>Crops[[#This Row],[Direct Profit]]*BedsPerAcre</f>
        <v>53181.378968253979</v>
      </c>
      <c r="DS215" s="36">
        <f>Crops[[#This Row],[Direct Profit]]*BedsPerAcre*GrowingDays/Crops[[#This Row],[Days In Field]]</f>
        <v>60972.281619654248</v>
      </c>
      <c r="DT215" s="36">
        <f>Crops[[#This Row],[Direct Profit]]/MIN(Crops[[#This Row],[Days In Field]],GrowingDays)</f>
        <v>2.1170931117935501</v>
      </c>
      <c r="DU215" s="36">
        <f>Crops[[#This Row],[Direct Time]] * BedsPerAcre</f>
        <v>1627.4115079365074</v>
      </c>
      <c r="DV215" s="36">
        <f>(Crops[[#This Row],[Direct Revenue Per Bed2]]-Crops[[#This Row],[Direct Non-Labor Cost]])/Crops[[#This Row],[Direct Time]]</f>
        <v>57.678507377452327</v>
      </c>
      <c r="DW215" s="33">
        <f>IFERROR(Crops[[#This Row],[Custom Yield Per Bed]]*Crops[[#This Row],[Rough Wholesale Price]],"")</f>
        <v>351.99999999999994</v>
      </c>
      <c r="DX215" s="36">
        <f>Crops[[#This Row],[Wholesale Time]]*LaborRate</f>
        <v>221.28304811507928</v>
      </c>
      <c r="DY215" s="36">
        <f>SUM(Crops[[#This Row],[Packaging Costs]:[Irrigation Cost]])</f>
        <v>42.666666666666657</v>
      </c>
      <c r="DZ215" s="36">
        <f>Crops[[#This Row],[Wholesale Labor Cost]]+Crops[[#This Row],[Wholesale Non-Labor Cost]]</f>
        <v>263.94971478174591</v>
      </c>
      <c r="EA215" s="36">
        <f>Crops[[#This Row],[Wholesale Revenue Per Bed]]-Crops[[#This Row],[Wholesale Total Cost]]</f>
        <v>88.050285218254032</v>
      </c>
      <c r="EB215" s="36">
        <f>Crops[[#This Row],[Wholesale Profit]]*BedsPerAcre</f>
        <v>14088.045634920645</v>
      </c>
      <c r="EC215" s="36">
        <f>Crops[[#This Row],[Wholesale Profit]]*BedsPerAcre*GrowingDays/Crops[[#This Row],[Days In Field]]</f>
        <v>16151.899454049146</v>
      </c>
      <c r="ED215" s="36">
        <f>Crops[[#This Row],[Wholesale Time]] * BedsPerAcre</f>
        <v>1416.2115079365074</v>
      </c>
      <c r="EE215" s="36">
        <f>Crops[[#This Row],[Wholesale Profit]]/MIN(Crops[[#This Row],[Days In Field]],GrowingDays)</f>
        <v>0.56082984215448428</v>
      </c>
      <c r="EF215" s="36">
        <f>(Crops[[#This Row],[Wholesale Revenue Per Bed]]-Crops[[#This Row],[Wholesale Non-Labor Cost]])/Crops[[#This Row],[Direct Time]]</f>
        <v>30.412303889929404</v>
      </c>
      <c r="EG215" s="174">
        <f>Crops[[#This Row],[Packaging Costs]]/Crops[[#This Row],[Wholesale Revenue Per Bed]]</f>
        <v>0.1212121212121212</v>
      </c>
      <c r="EH215" s="36" t="str">
        <f>Crops[[#This Row],[Crop]]&amp;Crops[[#This Row],[Product]]&amp;Crops[[#This Row],[Unit]]</f>
        <v>MilkweedMature StemStem</v>
      </c>
      <c r="EI215" s="36" t="b">
        <f>_xlfn.XLOOKUP(Crops[[#This Row],[ProductIndex]],Products[ID],Products[Target])</f>
        <v>0</v>
      </c>
      <c r="EJ215" s="36">
        <f>Crops[[#This Row],[Custom Yield Per Bed]]</f>
        <v>533.33333333333326</v>
      </c>
      <c r="EK215" s="210">
        <f>Crops[[#This Row],[Units Per Harvest]]/Crops[[#This Row],[Days Between Harvest]]*7</f>
        <v>66.666666666666657</v>
      </c>
      <c r="EL215" s="210" t="e">
        <f>Crops[[#This Row],[Custom Yield Per Bed]]/_xlfn.XLOOKUP(Crops[[#This Row],[ProductIndex]],Products[ID],Products[CSA Portion])</f>
        <v>#DIV/0!</v>
      </c>
      <c r="EM215" s="210" t="e">
        <f>Crops[[#This Row],[Units Per Harvest]]/Crops[[#This Row],[Days Between Harvest]]*7/_xlfn.XLOOKUP(Crops[[#This Row],[ProductIndex]],Products[ID],Products[CSA Portion])</f>
        <v>#DIV/0!</v>
      </c>
      <c r="EN215" s="210" t="e">
        <f>Crops[[#This Row],[CSA Portions Per Week]]/CSAMembers</f>
        <v>#DIV/0!</v>
      </c>
      <c r="EO215" s="210"/>
      <c r="EP215" s="210"/>
      <c r="EQ215" s="36"/>
      <c r="ER215" s="36">
        <f>Crops[[#This Row],[Harvests]]*Crops[[#This Row],[Days Between Harvest]]/7</f>
        <v>8</v>
      </c>
      <c r="ES215" s="208">
        <f>_xlfn.XLOOKUP(Crops[[#This Row],[ProductIndex]],Products[ID],Products[CSA Need])</f>
        <v>0</v>
      </c>
      <c r="ET215" s="208">
        <f>_xlfn.XLOOKUP(Crops[[#This Row],[ProductIndex]],Products[ID],Products[CSA Times])</f>
        <v>0</v>
      </c>
      <c r="EU215" s="208" t="e">
        <f>Crops[[#This Row],[Custom Yield Per Bed]]/(Crops[[#This Row],[CSA Need]]*(_xlfn.XLOOKUP(Crops[[#This Row],[ProductIndex]],Products[ID],Products[CSA Portion])*CSAMembers))</f>
        <v>#DIV/0!</v>
      </c>
      <c r="EV215" s="208">
        <f>_xlfn.XLOOKUP(Crops[[#This Row],[ProductIndex]],Products[ID],Products[CSA Portion])*CSAMembers*Crops[[#This Row],[CSA Need]]/Crops[[#This Row],[Custom Yield Per Bed]]</f>
        <v>0</v>
      </c>
      <c r="EW215" s="208">
        <f>IFERROR(Crops[[#This Row],[Days In Field]]*Crops[[#This Row],[CSA Beds]],"")</f>
        <v>0</v>
      </c>
      <c r="EX215" s="208" t="e">
        <f>Crops[[#This Row],[CSA Bed Days]]*#REF!</f>
        <v>#REF!</v>
      </c>
      <c r="EY215" t="s">
        <v>1776</v>
      </c>
    </row>
    <row r="216" spans="1:155">
      <c r="A216"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Mint - Mature Sprigs 4X | Pot TP </v>
      </c>
      <c r="B216" s="29"/>
      <c r="C216" s="1" t="b">
        <v>1</v>
      </c>
      <c r="D216" s="1"/>
      <c r="E216" s="1" t="b">
        <v>0</v>
      </c>
      <c r="F216" s="1" t="b">
        <f>IFERROR(IF(ISNUMBER(MATCH(Crops[[#This Row],[Identifier]],BedPlan[Crop], 0)), TRUE, FALSE), FALSE)</f>
        <v>0</v>
      </c>
      <c r="G216" s="1" t="b">
        <f>IFERROR(IF(ISNUMBER(MATCH(Crops[[#This Row],[Identifier]],BedPlan[Crop], 0)), TRUE, FALSE), FALSE)</f>
        <v>0</v>
      </c>
      <c r="H216" s="1"/>
      <c r="I216" t="s">
        <v>1702</v>
      </c>
      <c r="J216" t="s">
        <v>145</v>
      </c>
      <c r="K216" t="s">
        <v>1700</v>
      </c>
      <c r="M216" t="s">
        <v>442</v>
      </c>
      <c r="N216" t="str">
        <f>Crops[[#This Row],[Crop]]</f>
        <v>Mint</v>
      </c>
      <c r="O216" t="s">
        <v>1701</v>
      </c>
      <c r="P216" t="str">
        <f>IF(OR(Crops[[#This Row],[Days in Cells]]="",Crops[[#This Row],[Days in Cells]]=0), "DS","TP")</f>
        <v>TP</v>
      </c>
      <c r="V216" t="str">
        <f xml:space="preserve"> IF(Crops[[#This Row],[Sp]], "Sp", "") &amp; IF(Crops[[#This Row],[Su]], "Su", "") &amp; IF(Crops[[#This Row],[Fa]], "Fa", "") &amp; IF(Crops[[#This Row],[Wi]], "Wi", "") &amp; IF(Crops[[#This Row],[OW]], "Ow","")</f>
        <v/>
      </c>
      <c r="X216">
        <v>1</v>
      </c>
      <c r="Y216">
        <v>18</v>
      </c>
      <c r="AB216" t="b">
        <v>1</v>
      </c>
      <c r="AD216" s="32">
        <f>IFERROR(12/Crops[[#This Row],[Spacing]]*Crops[[#This Row],[Rows]]*BedLength,"")</f>
        <v>33.333333333333329</v>
      </c>
      <c r="AE216">
        <v>4</v>
      </c>
      <c r="AG216">
        <f>IF(Crops[[#This Row],[Custom Safety Factor]]="",PlantingSafetyFactor,Crops[[#This Row],[Custom Safety Factor]])</f>
        <v>1.3</v>
      </c>
      <c r="AH216">
        <f>1</f>
        <v>1</v>
      </c>
      <c r="AI216" s="37">
        <f>IFERROR(Crops[[#This Row],[Plantings Per Bed]]*Crops[[#This Row],[Seeds Per Planting]]*Crops[[#This Row],[Safety Factor]]*Crops[[#This Row],[Seeding Factor]],"")</f>
        <v>173.33333333333331</v>
      </c>
      <c r="AJ216">
        <v>10</v>
      </c>
      <c r="AK216">
        <v>14</v>
      </c>
      <c r="AL216">
        <f>_xlfn.FLOOR.MATH(IFERROR(AVERAGE(Crops[[#This Row],[DTG Lower]:[DTG Upper]]),0))</f>
        <v>12</v>
      </c>
      <c r="AM216">
        <f>SUM(Crops[[#This Row],[Tray 1 Days]],Crops[[#This Row],[Tray 2 Days]],Crops[[#This Row],[Tray 3 Days]])</f>
        <v>56</v>
      </c>
      <c r="AO216">
        <v>70</v>
      </c>
      <c r="AP216">
        <v>90</v>
      </c>
      <c r="AQ216">
        <f>IFERROR(_xlfn.FLOOR.MATH(AVERAGE(Crops[[#This Row],[DTM Lower]:[DTM Upper]])),"")</f>
        <v>80</v>
      </c>
      <c r="AR216" cm="1">
        <f t="array" ref="AR216">_xlfn.SWITCH(Crops[[#This Row],[Normal Method]],"DS",Crops[[#This Row],[Days to Germination]]+Crops[[#This Row],[DTM]] + IF(Crops[[#This Row],[Days in Cells]]&gt;0,15,0), "TP",Crops[[#This Row],[DTM]]+Crops[[#This Row],[Days in Cells]] + IF(Crops[[#This Row],[Days in Cells]]&lt;=0,20,0), "X", Crops[[#This Row],[DTM]])</f>
        <v>136</v>
      </c>
      <c r="AS216" t="s">
        <v>346</v>
      </c>
      <c r="AT216">
        <f>(Crops[[#This Row],[Harvests]]-1)*Crops[[#This Row],[Days Between Harvest]]+7</f>
        <v>7</v>
      </c>
      <c r="AU216">
        <f>Crops[[#This Row],[STH]]-Crops[[#This Row],[Days in Cells]]+Crops[[#This Row],[Harvest window]]</f>
        <v>87</v>
      </c>
      <c r="AW216">
        <v>50</v>
      </c>
      <c r="AX216">
        <v>18</v>
      </c>
      <c r="AY216">
        <v>56</v>
      </c>
      <c r="AZ216">
        <f>IFERROR(IF(Crops[[#This Row],[Tray 1 Days]]=0,"",Crops[[#This Row],[Plantings Per Bed]]/Crops[[#This Row],[Tray 1 Size]]*Crops[[#This Row],[Safety Factor]]),"")</f>
        <v>2.407407407407407</v>
      </c>
      <c r="BC216" t="str">
        <f>IFERROR(IF(Crops[[#This Row],[Tray 2 Days]]=0,"",Crops[[#This Row],[Plantings Per Bed]]/Crops[[#This Row],[Tray 2 Size]]*Crops[[#This Row],[Safety Factor]]),"")</f>
        <v/>
      </c>
      <c r="BE216" s="32" t="str">
        <f>IF(NOT(ISBLANK(Crops[[#This Row],[Tray 3 Size]])), Crops[[#This Row],[Days in Cells Old]]-SUM(Crops[[#This Row],[Tray 1 Days]],Crops[[#This Row],[Tray 2 Days]]), "")</f>
        <v/>
      </c>
      <c r="BF216" t="str">
        <f>IFERROR(IF(Crops[[#This Row],[Tray 3 Days]]=0,"",Crops[[#This Row],[Plantings Per Bed]]/Crops[[#This Row],[Tray 3 Size]]*Crops[[#This Row],[Safety Factor]]),"")</f>
        <v/>
      </c>
      <c r="BJ216" s="37" t="e">
        <f>_xlfn.XLOOKUP(Crops[[#This Row],[ProductIndex]],Products[ID],Products[Holding Period])</f>
        <v>#N/A</v>
      </c>
      <c r="BK216" s="33"/>
      <c r="BL216" s="37">
        <f>Crops[[#This Row],[Units Per Harvest]]*Crops[[#This Row],[Harvests]]</f>
        <v>0</v>
      </c>
      <c r="BM216">
        <v>3</v>
      </c>
      <c r="BN216" s="211">
        <f>Crops[[#This Row],[Direct Price]]*0.6</f>
        <v>1.7999999999999998</v>
      </c>
      <c r="BO216" s="211"/>
      <c r="BP216" t="s">
        <v>215</v>
      </c>
      <c r="BQ216">
        <f>Crops[[#This Row],[Custom Yield Per Bed]]*Crops[[#This Row],[Direct Price]]</f>
        <v>0</v>
      </c>
      <c r="BR216" t="b">
        <v>1</v>
      </c>
      <c r="BS216" t="b">
        <f>Crops[[#This Row],[Harvests]]&gt;1</f>
        <v>0</v>
      </c>
      <c r="BT216" s="36">
        <f>IFERROR(Crops[[#This Row],[Direct Revenue Per Bed]]/Crops[[#This Row],[Days In Field]],-1)</f>
        <v>0</v>
      </c>
      <c r="BU216" s="33">
        <f>IFERROR(Crops[[#This Row],[Direct Revenue Per Bed Day]]*GrowingDays*BedsPerAcre,"")</f>
        <v>0</v>
      </c>
      <c r="BV216" s="38">
        <f>LastFrostDate-5*Crops[[#This Row],[Sewing Rel Last Frost]]</f>
        <v>45718</v>
      </c>
      <c r="BW216" s="38">
        <f>Crops[[#This Row],[Target Sewing Date]]+Crops[[#This Row],[Days in Cells]]</f>
        <v>45774</v>
      </c>
      <c r="BX216" s="38">
        <f>Crops[[#This Row],[Target Sewing Date]]+Crops[[#This Row],[STH]]</f>
        <v>45854</v>
      </c>
      <c r="BY216" s="38">
        <f>Crops[[#This Row],[Target Harvest Data]]+Crops[[#This Row],[Harvest window]]</f>
        <v>45861</v>
      </c>
      <c r="BZ216">
        <v>6</v>
      </c>
      <c r="CB216">
        <f>1</f>
        <v>1</v>
      </c>
      <c r="CC216">
        <f>IF(Crops[[#This Row],[Transplanting]]&gt;0, 2, 3)*BedLength/StandardBedLength</f>
        <v>1</v>
      </c>
      <c r="CD216" s="173">
        <f>IF(Crops[[#This Row],[Days in Cells]]&lt;=0,0,Crops[[#This Row],[Plantings Per Bed]]/StartsPerHourSeeding+Crops[[#This Row],[Tray 1 Count]]*5/60)</f>
        <v>0.33082561728395055</v>
      </c>
      <c r="CE216" s="173">
        <f>IF(ISBLANK(Crops[[#This Row],[Tray 2 Days]]),0,Crops[[#This Row],[Plantings Per Bed]]/UpPottingPerHour)+IF(Crops[[#This Row],[Tray 3 Days]]="",0,Crops[[#This Row],[Plantings Per Bed]]/UpPottingPerHour)</f>
        <v>0</v>
      </c>
      <c r="CF216" s="173">
        <f>IFERROR(Crops[[#This Row],[Tray 1 Count]]/HomeStartFlatIrrigationPerHour,0)*Crops[[#This Row],[Days in Cells]]/DaysBetweenStartIrrigation</f>
        <v>0.56172839506172823</v>
      </c>
      <c r="CG216" s="173">
        <f>0.5/16*MAX(Crops[[#This Row],[Tray 1 Count]],Crops[[#This Row],[Tray 2 Count]],Crops[[#This Row],[Tray 3 Count]])</f>
        <v>7.5231481481481469E-2</v>
      </c>
      <c r="CH216" s="173">
        <f>IF(Crops[[#This Row],[Days in Cells]]&gt;0,IF(IF(Crops[[#This Row],[Tray 3 Size]]&gt;0,Crops[[#This Row],[Tray 3 Size]],IF(Crops[[#This Row],[Tray 2 Size]]&gt;0,Crops[[#This Row],[Tray 2 Size]],Crops[[#This Row],[Tray 1 Size]]))&lt;=18,LargeTransplantTime,SmallTransplantTime)*Crops[[#This Row],[Plantings Per Bed]],0)</f>
        <v>1.3888888888888886</v>
      </c>
      <c r="CI216" s="173"/>
      <c r="CJ216" s="173">
        <f>_xlfn.XLOOKUP(Crops[[#This Row],[Trellis Type]],TrellisMethods[Trellis Type],TrellisMethods[Hours],0,0)</f>
        <v>0</v>
      </c>
      <c r="CK216">
        <f>IF(Crops[[#This Row],[Days in Cells]]&lt;=0,Crops[[#This Row],[Rows]]*1/10,0)*BedLength/50</f>
        <v>0</v>
      </c>
      <c r="CL216" cm="1">
        <f t="array" ref="CL216">_xlfn.SWITCH(Crops[[#This Row],[Irrigation]],"DR", 0.5, "OH", 0.25,0)*BedLength/50</f>
        <v>0</v>
      </c>
      <c r="CM216">
        <f>IF(OR(ISBLANK(Crops[[#This Row],[Row Cover]]),Crops[[#This Row],[Row Cover]]="None"),0,1)*BedLength/50</f>
        <v>0</v>
      </c>
      <c r="CN216" s="173">
        <f>HoursPerWeedingPass*Crops[[#This Row],[Days In Field]]/14*Crops[[#This Row],[Rows]]+1*BedLength/50</f>
        <v>2.0357142857142856</v>
      </c>
      <c r="CQ216" s="37" t="e">
        <f>_xlfn.XLOOKUP(Crops[[#This Row],[Crop]]&amp;Crops[[#This Row],[Product]]&amp;Crops[[#This Row],[Unit]],Products[ID],Products[Marketing (hr)])*Crops[[#This Row],[Direct Revenue Per Bed]]/2000</f>
        <v>#N/A</v>
      </c>
      <c r="CR216" s="37" t="e">
        <f>_xlfn.XLOOKUP(Crops[[#This Row],[Crop]]&amp;Crops[[#This Row],[Product]]&amp;Crops[[#This Row],[Unit]],Products[ID],Products[Harvest (s)])*Crops[[#This Row],[Custom Yield Per Bed]]/3600</f>
        <v>#N/A</v>
      </c>
      <c r="CS216" s="37" t="e">
        <f>_xlfn.XLOOKUP(Crops[[#This Row],[Crop]]&amp;Crops[[#This Row],[Product]]&amp;Crops[[#This Row],[Unit]],Products[ID],Products[Bunch (s)])*Crops[[#This Row],[Custom Yield Per Bed]]/3600</f>
        <v>#N/A</v>
      </c>
      <c r="CT216" s="37" t="e">
        <f>_xlfn.XLOOKUP(Crops[[#This Row],[Crop]]&amp;Crops[[#This Row],[Product]]&amp;Crops[[#This Row],[Unit]],Products[ID],Products[Haul (s)])*Crops[[#This Row],[Custom Yield Per Bed]]/3600</f>
        <v>#N/A</v>
      </c>
      <c r="CU216" s="37" t="e">
        <f>_xlfn.XLOOKUP(Crops[[#This Row],[Crop]]&amp;Crops[[#This Row],[Product]]&amp;Crops[[#This Row],[Unit]],Products[ID],Products[Wash (s)])*Crops[[#This Row],[Custom Yield Per Bed]]/3600</f>
        <v>#N/A</v>
      </c>
      <c r="CV216" s="37" t="e">
        <f>_xlfn.XLOOKUP(Crops[[#This Row],[Crop]]&amp;Crops[[#This Row],[Product]]&amp;Crops[[#This Row],[Unit]],Products[ID],Products[Condition (s)])*Crops[[#This Row],[Custom Yield Per Bed]]/3600</f>
        <v>#N/A</v>
      </c>
      <c r="CW216" s="37" t="e">
        <f>_xlfn.XLOOKUP(Crops[[#This Row],[Crop]]&amp;Crops[[#This Row],[Product]]&amp;Crops[[#This Row],[Unit]],Products[ID],Products[Trim (s)])*Crops[[#This Row],[Custom Yield Per Bed]]/3600</f>
        <v>#N/A</v>
      </c>
      <c r="CX216" s="37" t="e">
        <f>_xlfn.XLOOKUP(Crops[[#This Row],[Crop]]&amp;Crops[[#This Row],[Product]]&amp;Crops[[#This Row],[Unit]],Products[ID],Products[Pack (s)])*Crops[[#This Row],[Custom Yield Per Bed]]/3600</f>
        <v>#N/A</v>
      </c>
      <c r="CY216" s="37" t="e">
        <f>_xlfn.XLOOKUP(Crops[[#This Row],[Crop]]&amp;Crops[[#This Row],[Product]]&amp;Crops[[#This Row],[Unit]],Products[ID],Products[Clean (s)])*Crops[[#This Row],[Custom Yield Per Bed]]/3600</f>
        <v>#N/A</v>
      </c>
      <c r="CZ216" s="37" t="e">
        <f>_xlfn.XLOOKUP(Crops[[#This Row],[Crop]]&amp;Crops[[#This Row],[Product]]&amp;Crops[[#This Row],[Unit]],Products[ID],Products[Rehandle (s)])*Crops[[#This Row],[Custom Yield Per Bed]]/3600</f>
        <v>#N/A</v>
      </c>
      <c r="DA216" s="37" t="e">
        <f>_xlfn.XLOOKUP(Crops[[#This Row],[Crop]]&amp;Crops[[#This Row],[Product]]&amp;Crops[[#This Row],[Unit]],Products[ID],Products[Market Transport (s)])*Crops[[#This Row],[Custom Yield Per Bed]]/3600</f>
        <v>#N/A</v>
      </c>
      <c r="DC216" s="37">
        <f>Crops[[#This Row],[Direct Revenue Per Bed2]]</f>
        <v>0</v>
      </c>
      <c r="DD216" s="173">
        <f>_xlfn.AGGREGATE(9,6,Crops[[#This Row],[Bed Prep]:[Remove Crop Residue]])</f>
        <v>5.3923886684303346</v>
      </c>
      <c r="DE216" s="173" t="e">
        <f>_xlfn.AGGREGATE(9,6,Crops[[#This Row],[Bed Prep]:[Remove Crop Residue]])-0.75*Crops[[#This Row],[Market &amp; Sell]]</f>
        <v>#N/A</v>
      </c>
      <c r="DF216" s="36">
        <f>Crops[[#This Row],[Direct Revenue Per Bed2]]/Crops[[#This Row],[Direct Time]]</f>
        <v>0</v>
      </c>
      <c r="DG216" s="36" t="e">
        <f>_xlfn.XLOOKUP(Crops[[#This Row],[ProductIndex]],Products[ID],Products[Packaging Cost])*(Crops[[#This Row],[Custom Yield Per Bed]]/_xlfn.XLOOKUP(Crops[[#This Row],[ProductIndex]],Products[ID],Products[Units Per Pack]))</f>
        <v>#N/A</v>
      </c>
      <c r="DH216" s="36"/>
      <c r="DI216" s="36"/>
      <c r="DJ216" s="36"/>
      <c r="DK216" s="36"/>
      <c r="DL216" s="36"/>
      <c r="DM216" s="37">
        <f>IFERROR(Crops[[#This Row],[Custom Yield Per Bed]]*Crops[[#This Row],[Direct Price]],"")</f>
        <v>0</v>
      </c>
      <c r="DN216" s="36">
        <f>Crops[[#This Row],[Direct Time]]*LaborRate</f>
        <v>134.80971671075835</v>
      </c>
      <c r="DO216" s="36">
        <f>SUM(Crops[[#This Row],[Irrigation Cost]])</f>
        <v>0</v>
      </c>
      <c r="DP216" s="36">
        <f>Crops[[#This Row],[Direct Labor Cost]]+Crops[[#This Row],[Direct Non-Labor Cost]]</f>
        <v>134.80971671075835</v>
      </c>
      <c r="DQ216" s="36">
        <f>Crops[[#This Row],[Direct Revenue Per Bed2]]-Crops[[#This Row],[Direct Total Cost]]</f>
        <v>-134.80971671075835</v>
      </c>
      <c r="DR216" s="36">
        <f>Crops[[#This Row],[Direct Profit]]*BedsPerAcre</f>
        <v>-21569.554673721337</v>
      </c>
      <c r="DS216" s="36">
        <f>Crops[[#This Row],[Direct Profit]]*BedsPerAcre*GrowingDays/Crops[[#This Row],[Days In Field]]</f>
        <v>-44626.664842182072</v>
      </c>
      <c r="DT216" s="36">
        <f>Crops[[#This Row],[Direct Profit]]/MIN(Crops[[#This Row],[Days In Field]],GrowingDays)</f>
        <v>-1.5495369736868776</v>
      </c>
      <c r="DU216" s="36">
        <f>Crops[[#This Row],[Direct Time]] * BedsPerAcre</f>
        <v>862.78218694885356</v>
      </c>
      <c r="DV216" s="36">
        <f>(Crops[[#This Row],[Direct Revenue Per Bed2]]-Crops[[#This Row],[Direct Non-Labor Cost]])/Crops[[#This Row],[Direct Time]]</f>
        <v>0</v>
      </c>
      <c r="DW216" s="37">
        <f>IFERROR(Crops[[#This Row],[Custom Yield Per Bed]]*Crops[[#This Row],[Rough Wholesale Price]],"")</f>
        <v>0</v>
      </c>
      <c r="DX216" s="36" t="e">
        <f>Crops[[#This Row],[Wholesale Time]]*LaborRate</f>
        <v>#N/A</v>
      </c>
      <c r="DY216" s="36" t="e">
        <f>SUM(Crops[[#This Row],[Packaging Costs]:[Irrigation Cost]])</f>
        <v>#N/A</v>
      </c>
      <c r="DZ216" s="36" t="e">
        <f>Crops[[#This Row],[Wholesale Labor Cost]]+Crops[[#This Row],[Wholesale Non-Labor Cost]]</f>
        <v>#N/A</v>
      </c>
      <c r="EA216" s="36" t="e">
        <f>Crops[[#This Row],[Wholesale Revenue Per Bed]]-Crops[[#This Row],[Wholesale Total Cost]]</f>
        <v>#N/A</v>
      </c>
      <c r="EB216" s="36" t="e">
        <f>Crops[[#This Row],[Wholesale Profit]]*BedsPerAcre</f>
        <v>#N/A</v>
      </c>
      <c r="EC216" s="36" t="e">
        <f>Crops[[#This Row],[Wholesale Profit]]*BedsPerAcre*GrowingDays/Crops[[#This Row],[Days In Field]]</f>
        <v>#N/A</v>
      </c>
      <c r="ED216" s="36" t="e">
        <f>Crops[[#This Row],[Wholesale Time]] * BedsPerAcre</f>
        <v>#N/A</v>
      </c>
      <c r="EE216" s="36" t="e">
        <f>Crops[[#This Row],[Wholesale Profit]]/MIN(Crops[[#This Row],[Days In Field]],GrowingDays)</f>
        <v>#N/A</v>
      </c>
      <c r="EF216" s="36" t="e">
        <f>(Crops[[#This Row],[Wholesale Revenue Per Bed]]-Crops[[#This Row],[Wholesale Non-Labor Cost]])/Crops[[#This Row],[Direct Time]]</f>
        <v>#N/A</v>
      </c>
      <c r="EG216" s="174" t="e">
        <f>Crops[[#This Row],[Packaging Costs]]/Crops[[#This Row],[Wholesale Revenue Per Bed]]</f>
        <v>#N/A</v>
      </c>
      <c r="EH216" s="36" t="str">
        <f>Crops[[#This Row],[Crop]]&amp;Crops[[#This Row],[Product]]&amp;Crops[[#This Row],[Unit]]</f>
        <v>MintMature SprigsBunch</v>
      </c>
      <c r="EI216" s="36" t="e">
        <f>_xlfn.XLOOKUP(Crops[[#This Row],[ProductIndex]],Products[ID],Products[Target])</f>
        <v>#N/A</v>
      </c>
      <c r="EJ216" s="36">
        <f>Crops[[#This Row],[Custom Yield Per Bed]]</f>
        <v>0</v>
      </c>
      <c r="EK216" s="210" t="e">
        <f>Crops[[#This Row],[Units Per Harvest]]/Crops[[#This Row],[Days Between Harvest]]*7</f>
        <v>#DIV/0!</v>
      </c>
      <c r="EL216" s="210" t="e">
        <f>Crops[[#This Row],[Custom Yield Per Bed]]/_xlfn.XLOOKUP(Crops[[#This Row],[ProductIndex]],Products[ID],Products[CSA Portion])</f>
        <v>#N/A</v>
      </c>
      <c r="EM216" s="210" t="e">
        <f>Crops[[#This Row],[Units Per Harvest]]/Crops[[#This Row],[Days Between Harvest]]*7/_xlfn.XLOOKUP(Crops[[#This Row],[ProductIndex]],Products[ID],Products[CSA Portion])</f>
        <v>#DIV/0!</v>
      </c>
      <c r="EN216" s="210" t="e">
        <f>Crops[[#This Row],[CSA Portions Per Week]]/CSAMembers</f>
        <v>#DIV/0!</v>
      </c>
      <c r="EO216" s="210"/>
      <c r="EP216" s="210"/>
      <c r="EQ216" s="36"/>
      <c r="ER216" s="36">
        <f>Crops[[#This Row],[Harvests]]*Crops[[#This Row],[Days Between Harvest]]/7</f>
        <v>0</v>
      </c>
      <c r="ES216" s="208" t="e">
        <f>_xlfn.XLOOKUP(Crops[[#This Row],[ProductIndex]],Products[ID],Products[CSA Need])</f>
        <v>#N/A</v>
      </c>
      <c r="ET216" s="208" t="e">
        <f>_xlfn.XLOOKUP(Crops[[#This Row],[ProductIndex]],Products[ID],Products[CSA Times])</f>
        <v>#N/A</v>
      </c>
      <c r="EU216" s="208" t="e">
        <f>Crops[[#This Row],[Custom Yield Per Bed]]/(Crops[[#This Row],[CSA Need]]*(_xlfn.XLOOKUP(Crops[[#This Row],[ProductIndex]],Products[ID],Products[CSA Portion])*CSAMembers))</f>
        <v>#N/A</v>
      </c>
      <c r="EV216" s="208" t="e">
        <f>_xlfn.XLOOKUP(Crops[[#This Row],[ProductIndex]],Products[ID],Products[CSA Portion])*CSAMembers*Crops[[#This Row],[CSA Need]]/Crops[[#This Row],[Custom Yield Per Bed]]</f>
        <v>#N/A</v>
      </c>
      <c r="EW216" s="208" t="str">
        <f>IFERROR(Crops[[#This Row],[Days In Field]]*Crops[[#This Row],[CSA Beds]],"")</f>
        <v/>
      </c>
      <c r="EX216" s="208" t="e">
        <f>Crops[[#This Row],[CSA Bed Days]]*#REF!</f>
        <v>#VALUE!</v>
      </c>
    </row>
    <row r="217" spans="1:155">
      <c r="A21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Mock Orange - Mature Branch 1X | Field DS </v>
      </c>
      <c r="C217" s="1"/>
      <c r="D217" s="1"/>
      <c r="E217" s="1" t="b">
        <v>0</v>
      </c>
      <c r="F217" s="1" t="b">
        <f>IFERROR(IF(ISNUMBER(MATCH(Crops[[#This Row],[Identifier]],BedPlan[Crop], 0)), TRUE, FALSE), FALSE)</f>
        <v>0</v>
      </c>
      <c r="G217" s="1" t="b">
        <f>IFERROR(IF(ISNUMBER(MATCH(Crops[[#This Row],[Identifier]],BedPlan[Crop], 0)), TRUE, FALSE), FALSE)</f>
        <v>0</v>
      </c>
      <c r="H217" s="1" t="b">
        <v>1</v>
      </c>
      <c r="I217" t="s">
        <v>100</v>
      </c>
      <c r="J217" t="s">
        <v>145</v>
      </c>
      <c r="K217" t="s">
        <v>204</v>
      </c>
      <c r="N217" t="str">
        <f>Crops[[#This Row],[Crop]]</f>
        <v>Mock Orange</v>
      </c>
      <c r="O217" t="s">
        <v>210</v>
      </c>
      <c r="P217" t="str">
        <f>IF(OR(Crops[[#This Row],[Days in Cells]]="",Crops[[#This Row],[Days in Cells]]=0), "DS","TP")</f>
        <v>DS</v>
      </c>
      <c r="V217" t="str">
        <f xml:space="preserve"> IF(Crops[[#This Row],[Sp]], "Sp", "") &amp; IF(Crops[[#This Row],[Su]], "Su", "") &amp; IF(Crops[[#This Row],[Fa]], "Fa", "") &amp; IF(Crops[[#This Row],[Wi]], "Wi", "") &amp; IF(Crops[[#This Row],[OW]], "Ow","")</f>
        <v/>
      </c>
      <c r="X217">
        <v>1</v>
      </c>
      <c r="Y217">
        <v>60</v>
      </c>
      <c r="AD217" s="32">
        <f>IFERROR(12/Crops[[#This Row],[Spacing]]*Crops[[#This Row],[Rows]]*BedLength,"")</f>
        <v>10</v>
      </c>
      <c r="AE217">
        <v>1</v>
      </c>
      <c r="AG217">
        <f>IF(Crops[[#This Row],[Custom Safety Factor]]="",PlantingSafetyFactor,Crops[[#This Row],[Custom Safety Factor]])</f>
        <v>1.3</v>
      </c>
      <c r="AH217">
        <f>1</f>
        <v>1</v>
      </c>
      <c r="AI217" s="33">
        <f>IFERROR(Crops[[#This Row],[Plantings Per Bed]]*Crops[[#This Row],[Seeds Per Planting]]*Crops[[#This Row],[Safety Factor]]*Crops[[#This Row],[Seeding Factor]],"")</f>
        <v>13</v>
      </c>
      <c r="AL217">
        <f>_xlfn.FLOOR.MATH(IFERROR(AVERAGE(Crops[[#This Row],[DTG Lower]:[DTG Upper]]),0))</f>
        <v>0</v>
      </c>
      <c r="AM217">
        <f>SUM(Crops[[#This Row],[Tray 1 Days]],Crops[[#This Row],[Tray 2 Days]],Crops[[#This Row],[Tray 3 Days]])</f>
        <v>0</v>
      </c>
      <c r="AP217">
        <v>365</v>
      </c>
      <c r="AQ217">
        <f>IFERROR(_xlfn.FLOOR.MATH(AVERAGE(Crops[[#This Row],[DTM Lower]:[DTM Upper]])),"")</f>
        <v>365</v>
      </c>
      <c r="AR217" cm="1">
        <f t="array" ref="AR217">_xlfn.SWITCH(Crops[[#This Row],[Normal Method]],"DS",Crops[[#This Row],[Days to Germination]]+Crops[[#This Row],[DTM]] + IF(Crops[[#This Row],[Days in Cells]]&gt;0,15,0), "TP",Crops[[#This Row],[DTM]]+Crops[[#This Row],[Days in Cells]] + IF(Crops[[#This Row],[Days in Cells]]&lt;=0,20,0), "X", Crops[[#This Row],[DTM]])</f>
        <v>365</v>
      </c>
      <c r="AS217" t="s">
        <v>347</v>
      </c>
      <c r="AT217">
        <f>(Crops[[#This Row],[Harvests]]-1)*Crops[[#This Row],[Days Between Harvest]]+7</f>
        <v>7</v>
      </c>
      <c r="AU217">
        <f>Crops[[#This Row],[STH]]-Crops[[#This Row],[Days in Cells]]+Crops[[#This Row],[Harvest window]]</f>
        <v>372</v>
      </c>
      <c r="AW217" t="s">
        <v>212</v>
      </c>
      <c r="AZ217" t="str">
        <f>IFERROR(IF(Crops[[#This Row],[Tray 1 Days]]=0,"",Crops[[#This Row],[Plantings Per Bed]]/Crops[[#This Row],[Tray 1 Size]]*Crops[[#This Row],[Safety Factor]]),"")</f>
        <v/>
      </c>
      <c r="BC217" t="str">
        <f>IFERROR(IF(Crops[[#This Row],[Tray 2 Days]]=0,"",Crops[[#This Row],[Plantings Per Bed]]/Crops[[#This Row],[Tray 2 Size]]*Crops[[#This Row],[Safety Factor]]),"")</f>
        <v/>
      </c>
      <c r="BE217" s="32" t="str">
        <f>IF(NOT(ISBLANK(Crops[[#This Row],[Tray 3 Size]])), Crops[[#This Row],[Days in Cells Old]]-SUM(Crops[[#This Row],[Tray 1 Days]],Crops[[#This Row],[Tray 2 Days]]), "")</f>
        <v/>
      </c>
      <c r="BF217" t="str">
        <f>IFERROR(IF(Crops[[#This Row],[Tray 3 Days]]=0,"",Crops[[#This Row],[Plantings Per Bed]]/Crops[[#This Row],[Tray 3 Size]]*Crops[[#This Row],[Safety Factor]]),"")</f>
        <v/>
      </c>
      <c r="BG217" s="33"/>
      <c r="BH217" s="33"/>
      <c r="BI217" s="33"/>
      <c r="BJ217" s="33">
        <f>_xlfn.XLOOKUP(Crops[[#This Row],[ProductIndex]],Products[ID],Products[Holding Period])</f>
        <v>0</v>
      </c>
      <c r="BK217" s="33"/>
      <c r="BL217" s="33">
        <f>Crops[[#This Row],[Units Per Harvest]]*Crops[[#This Row],[Harvests]]</f>
        <v>0</v>
      </c>
      <c r="BM217" s="35">
        <v>4</v>
      </c>
      <c r="BN217" s="35">
        <f>Crops[[#This Row],[Direct Price]]*0.6</f>
        <v>2.4</v>
      </c>
      <c r="BO217" s="35"/>
      <c r="BP217" t="s">
        <v>213</v>
      </c>
      <c r="BQ217" s="193">
        <f>Crops[[#This Row],[Custom Yield Per Bed]]*Crops[[#This Row],[Direct Price]]</f>
        <v>0</v>
      </c>
      <c r="BR217" s="193" t="b">
        <v>0</v>
      </c>
      <c r="BS217" t="b">
        <f>Crops[[#This Row],[Harvests]]&gt;1</f>
        <v>0</v>
      </c>
      <c r="BT217" s="36">
        <f>IFERROR(Crops[[#This Row],[Direct Revenue Per Bed]]/Crops[[#This Row],[Days In Field]],-1)</f>
        <v>0</v>
      </c>
      <c r="BU217" s="36">
        <f>IFERROR(Crops[[#This Row],[Direct Revenue Per Bed Day]]*GrowingDays*BedsPerAcre,"")</f>
        <v>0</v>
      </c>
      <c r="BV217" s="38">
        <f>LastFrostDate-5*Crops[[#This Row],[Sewing Rel Last Frost]]</f>
        <v>45748</v>
      </c>
      <c r="BW217" s="38">
        <f>Crops[[#This Row],[Target Sewing Date]]+Crops[[#This Row],[Days in Cells]]</f>
        <v>45748</v>
      </c>
      <c r="BX217" s="38">
        <f>Crops[[#This Row],[Target Sewing Date]]+Crops[[#This Row],[STH]]</f>
        <v>46113</v>
      </c>
      <c r="BY217" s="38">
        <f>Crops[[#This Row],[Target Harvest Data]]+Crops[[#This Row],[Harvest window]]</f>
        <v>46120</v>
      </c>
      <c r="CB217">
        <f>1</f>
        <v>1</v>
      </c>
      <c r="CC217">
        <f>IF(Crops[[#This Row],[Transplanting]]&gt;0, 2, 3)*BedLength/StandardBedLength</f>
        <v>1.5</v>
      </c>
      <c r="CD217" s="173">
        <f>IF(Crops[[#This Row],[Days in Cells]]&lt;=0,0,Crops[[#This Row],[Plantings Per Bed]]/StartsPerHourSeeding+Crops[[#This Row],[Tray 1 Count]]*5/60)</f>
        <v>0</v>
      </c>
      <c r="CE217" s="173">
        <f>IF(ISBLANK(Crops[[#This Row],[Tray 2 Days]]),0,Crops[[#This Row],[Plantings Per Bed]]/UpPottingPerHour)+IF(Crops[[#This Row],[Tray 3 Days]]="",0,Crops[[#This Row],[Plantings Per Bed]]/UpPottingPerHour)</f>
        <v>0</v>
      </c>
      <c r="CF217" s="173">
        <f>IFERROR(Crops[[#This Row],[Tray 1 Count]]/HomeStartFlatIrrigationPerHour,0)*Crops[[#This Row],[Days in Cells]]/DaysBetweenStartIrrigation</f>
        <v>0</v>
      </c>
      <c r="CG217" s="173">
        <f>0.5/16*MAX(Crops[[#This Row],[Tray 1 Count]],Crops[[#This Row],[Tray 2 Count]],Crops[[#This Row],[Tray 3 Count]])</f>
        <v>0</v>
      </c>
      <c r="CH217" s="173">
        <f>IF(Crops[[#This Row],[Days in Cells]]&gt;0,IF(IF(Crops[[#This Row],[Tray 3 Size]]&gt;0,Crops[[#This Row],[Tray 3 Size]],IF(Crops[[#This Row],[Tray 2 Size]]&gt;0,Crops[[#This Row],[Tray 2 Size]],Crops[[#This Row],[Tray 1 Size]]))&lt;=18,LargeTransplantTime,SmallTransplantTime)*Crops[[#This Row],[Plantings Per Bed]],0)</f>
        <v>0</v>
      </c>
      <c r="CI217" s="173"/>
      <c r="CJ217" s="173">
        <f>_xlfn.XLOOKUP(Crops[[#This Row],[Trellis Type]],TrellisMethods[Trellis Type],TrellisMethods[Hours],0,0)</f>
        <v>0</v>
      </c>
      <c r="CK217">
        <f>IF(Crops[[#This Row],[Days in Cells]]&lt;=0,Crops[[#This Row],[Rows]]*1/10,0)*BedLength/50</f>
        <v>0.1</v>
      </c>
      <c r="CL217" cm="1">
        <f t="array" ref="CL217">_xlfn.SWITCH(Crops[[#This Row],[Irrigation]],"DR", 0.5, "OH", 0.25,0)*BedLength/50</f>
        <v>0</v>
      </c>
      <c r="CM217">
        <f>IF(OR(ISBLANK(Crops[[#This Row],[Row Cover]]),Crops[[#This Row],[Row Cover]]="None"),0,1)*BedLength/50</f>
        <v>0</v>
      </c>
      <c r="CN217" s="173">
        <f>HoursPerWeedingPass*Crops[[#This Row],[Days In Field]]/14*Crops[[#This Row],[Rows]]+1*BedLength/50</f>
        <v>5.4285714285714288</v>
      </c>
      <c r="CQ217" s="37">
        <f>_xlfn.XLOOKUP(Crops[[#This Row],[Crop]]&amp;Crops[[#This Row],[Product]]&amp;Crops[[#This Row],[Unit]],Products[ID],Products[Marketing (hr)])*Crops[[#This Row],[Direct Revenue Per Bed]]/2000</f>
        <v>0</v>
      </c>
      <c r="CR217" s="37">
        <f>_xlfn.XLOOKUP(Crops[[#This Row],[Crop]]&amp;Crops[[#This Row],[Product]]&amp;Crops[[#This Row],[Unit]],Products[ID],Products[Harvest (s)])*Crops[[#This Row],[Custom Yield Per Bed]]/3600</f>
        <v>0</v>
      </c>
      <c r="CS217" s="37">
        <f>_xlfn.XLOOKUP(Crops[[#This Row],[Crop]]&amp;Crops[[#This Row],[Product]]&amp;Crops[[#This Row],[Unit]],Products[ID],Products[Bunch (s)])*Crops[[#This Row],[Custom Yield Per Bed]]/3600</f>
        <v>0</v>
      </c>
      <c r="CT217" s="37">
        <f>_xlfn.XLOOKUP(Crops[[#This Row],[Crop]]&amp;Crops[[#This Row],[Product]]&amp;Crops[[#This Row],[Unit]],Products[ID],Products[Haul (s)])*Crops[[#This Row],[Custom Yield Per Bed]]/3600</f>
        <v>0</v>
      </c>
      <c r="CU217" s="37">
        <f>_xlfn.XLOOKUP(Crops[[#This Row],[Crop]]&amp;Crops[[#This Row],[Product]]&amp;Crops[[#This Row],[Unit]],Products[ID],Products[Wash (s)])*Crops[[#This Row],[Custom Yield Per Bed]]/3600</f>
        <v>0</v>
      </c>
      <c r="CV217" s="37">
        <f>_xlfn.XLOOKUP(Crops[[#This Row],[Crop]]&amp;Crops[[#This Row],[Product]]&amp;Crops[[#This Row],[Unit]],Products[ID],Products[Condition (s)])*Crops[[#This Row],[Custom Yield Per Bed]]/3600</f>
        <v>0</v>
      </c>
      <c r="CW217" s="37">
        <f>_xlfn.XLOOKUP(Crops[[#This Row],[Crop]]&amp;Crops[[#This Row],[Product]]&amp;Crops[[#This Row],[Unit]],Products[ID],Products[Trim (s)])*Crops[[#This Row],[Custom Yield Per Bed]]/3600</f>
        <v>0</v>
      </c>
      <c r="CX217" s="37">
        <f>_xlfn.XLOOKUP(Crops[[#This Row],[Crop]]&amp;Crops[[#This Row],[Product]]&amp;Crops[[#This Row],[Unit]],Products[ID],Products[Pack (s)])*Crops[[#This Row],[Custom Yield Per Bed]]/3600</f>
        <v>0</v>
      </c>
      <c r="CY217" s="37">
        <f>_xlfn.XLOOKUP(Crops[[#This Row],[Crop]]&amp;Crops[[#This Row],[Product]]&amp;Crops[[#This Row],[Unit]],Products[ID],Products[Clean (s)])*Crops[[#This Row],[Custom Yield Per Bed]]/3600</f>
        <v>0</v>
      </c>
      <c r="CZ217" s="37">
        <f>_xlfn.XLOOKUP(Crops[[#This Row],[Crop]]&amp;Crops[[#This Row],[Product]]&amp;Crops[[#This Row],[Unit]],Products[ID],Products[Rehandle (s)])*Crops[[#This Row],[Custom Yield Per Bed]]/3600</f>
        <v>0</v>
      </c>
      <c r="DA217" s="37">
        <f>_xlfn.XLOOKUP(Crops[[#This Row],[Crop]]&amp;Crops[[#This Row],[Product]]&amp;Crops[[#This Row],[Unit]],Products[ID],Products[Market Transport (s)])*Crops[[#This Row],[Custom Yield Per Bed]]/3600</f>
        <v>0</v>
      </c>
      <c r="DC217" s="37">
        <f>Crops[[#This Row],[Direct Revenue Per Bed2]]</f>
        <v>0</v>
      </c>
      <c r="DD217" s="173">
        <f>_xlfn.AGGREGATE(9,6,Crops[[#This Row],[Bed Prep]:[Remove Crop Residue]])</f>
        <v>7.0285714285714285</v>
      </c>
      <c r="DE217" s="173">
        <f>_xlfn.AGGREGATE(9,6,Crops[[#This Row],[Bed Prep]:[Remove Crop Residue]])-0.75*Crops[[#This Row],[Market &amp; Sell]]</f>
        <v>7.0285714285714285</v>
      </c>
      <c r="DF217" s="36">
        <f>Crops[[#This Row],[Direct Revenue Per Bed2]]/Crops[[#This Row],[Direct Time]]</f>
        <v>0</v>
      </c>
      <c r="DG217" s="36">
        <f>_xlfn.XLOOKUP(Crops[[#This Row],[ProductIndex]],Products[ID],Products[Packaging Cost])*(Crops[[#This Row],[Custom Yield Per Bed]]/_xlfn.XLOOKUP(Crops[[#This Row],[ProductIndex]],Products[ID],Products[Units Per Pack]))</f>
        <v>0</v>
      </c>
      <c r="DH217" s="36"/>
      <c r="DI217" s="36"/>
      <c r="DJ217" s="36"/>
      <c r="DK217" s="36"/>
      <c r="DL217" s="36"/>
      <c r="DM217" s="33">
        <f>IFERROR(Crops[[#This Row],[Custom Yield Per Bed]]*Crops[[#This Row],[Direct Price]],"")</f>
        <v>0</v>
      </c>
      <c r="DN217" s="36">
        <f>Crops[[#This Row],[Direct Time]]*LaborRate</f>
        <v>175.71428571428572</v>
      </c>
      <c r="DO217" s="36">
        <f>SUM(Crops[[#This Row],[Irrigation Cost]])</f>
        <v>0</v>
      </c>
      <c r="DP217" s="36">
        <f>Crops[[#This Row],[Direct Labor Cost]]+Crops[[#This Row],[Direct Non-Labor Cost]]</f>
        <v>175.71428571428572</v>
      </c>
      <c r="DQ217" s="36">
        <f>Crops[[#This Row],[Direct Revenue Per Bed2]]-Crops[[#This Row],[Direct Total Cost]]</f>
        <v>-175.71428571428572</v>
      </c>
      <c r="DR217" s="36">
        <f>Crops[[#This Row],[Direct Profit]]*BedsPerAcre</f>
        <v>-28114.285714285717</v>
      </c>
      <c r="DS217" s="36">
        <f>Crops[[#This Row],[Direct Profit]]*BedsPerAcre*GrowingDays/Crops[[#This Row],[Days In Field]]</f>
        <v>-13603.686635944701</v>
      </c>
      <c r="DT217" s="36">
        <f>Crops[[#This Row],[Direct Profit]]/MIN(Crops[[#This Row],[Days In Field]],GrowingDays)</f>
        <v>-0.97619047619047628</v>
      </c>
      <c r="DU217" s="36">
        <f>Crops[[#This Row],[Direct Time]] * BedsPerAcre</f>
        <v>1124.5714285714284</v>
      </c>
      <c r="DV217" s="36">
        <f>(Crops[[#This Row],[Direct Revenue Per Bed2]]-Crops[[#This Row],[Direct Non-Labor Cost]])/Crops[[#This Row],[Direct Time]]</f>
        <v>0</v>
      </c>
      <c r="DW217" s="33">
        <f>IFERROR(Crops[[#This Row],[Custom Yield Per Bed]]*Crops[[#This Row],[Rough Wholesale Price]],"")</f>
        <v>0</v>
      </c>
      <c r="DX217" s="36">
        <f>Crops[[#This Row],[Wholesale Time]]*LaborRate</f>
        <v>175.71428571428572</v>
      </c>
      <c r="DY217" s="36">
        <f>SUM(Crops[[#This Row],[Packaging Costs]:[Irrigation Cost]])</f>
        <v>0</v>
      </c>
      <c r="DZ217" s="36">
        <f>Crops[[#This Row],[Wholesale Labor Cost]]+Crops[[#This Row],[Wholesale Non-Labor Cost]]</f>
        <v>175.71428571428572</v>
      </c>
      <c r="EA217" s="36">
        <f>Crops[[#This Row],[Wholesale Revenue Per Bed]]-Crops[[#This Row],[Wholesale Total Cost]]</f>
        <v>-175.71428571428572</v>
      </c>
      <c r="EB217" s="36">
        <f>Crops[[#This Row],[Wholesale Profit]]*BedsPerAcre</f>
        <v>-28114.285714285717</v>
      </c>
      <c r="EC217" s="36">
        <f>Crops[[#This Row],[Wholesale Profit]]*BedsPerAcre*GrowingDays/Crops[[#This Row],[Days In Field]]</f>
        <v>-13603.686635944701</v>
      </c>
      <c r="ED217" s="36">
        <f>Crops[[#This Row],[Wholesale Time]] * BedsPerAcre</f>
        <v>1124.5714285714284</v>
      </c>
      <c r="EE217" s="36">
        <f>Crops[[#This Row],[Wholesale Profit]]/MIN(Crops[[#This Row],[Days In Field]],GrowingDays)</f>
        <v>-0.97619047619047628</v>
      </c>
      <c r="EF217" s="36">
        <f>(Crops[[#This Row],[Wholesale Revenue Per Bed]]-Crops[[#This Row],[Wholesale Non-Labor Cost]])/Crops[[#This Row],[Direct Time]]</f>
        <v>0</v>
      </c>
      <c r="EG217" s="174" t="e">
        <f>Crops[[#This Row],[Packaging Costs]]/Crops[[#This Row],[Wholesale Revenue Per Bed]]</f>
        <v>#DIV/0!</v>
      </c>
      <c r="EH217" s="36" t="str">
        <f>Crops[[#This Row],[Crop]]&amp;Crops[[#This Row],[Product]]&amp;Crops[[#This Row],[Unit]]</f>
        <v>Mock OrangeMature BranchStem</v>
      </c>
      <c r="EI217" s="36" t="b">
        <f>_xlfn.XLOOKUP(Crops[[#This Row],[ProductIndex]],Products[ID],Products[Target])</f>
        <v>0</v>
      </c>
      <c r="EJ217" s="36">
        <f>Crops[[#This Row],[Custom Yield Per Bed]]</f>
        <v>0</v>
      </c>
      <c r="EK217" s="210" t="e">
        <f>Crops[[#This Row],[Units Per Harvest]]/Crops[[#This Row],[Days Between Harvest]]*7</f>
        <v>#DIV/0!</v>
      </c>
      <c r="EL217" s="210" t="e">
        <f>Crops[[#This Row],[Custom Yield Per Bed]]/_xlfn.XLOOKUP(Crops[[#This Row],[ProductIndex]],Products[ID],Products[CSA Portion])</f>
        <v>#DIV/0!</v>
      </c>
      <c r="EM217" s="210" t="e">
        <f>Crops[[#This Row],[Units Per Harvest]]/Crops[[#This Row],[Days Between Harvest]]*7/_xlfn.XLOOKUP(Crops[[#This Row],[ProductIndex]],Products[ID],Products[CSA Portion])</f>
        <v>#DIV/0!</v>
      </c>
      <c r="EN217" s="210" t="e">
        <f>Crops[[#This Row],[CSA Portions Per Week]]/CSAMembers</f>
        <v>#DIV/0!</v>
      </c>
      <c r="EO217" s="210"/>
      <c r="EP217" s="210"/>
      <c r="EQ217" s="36"/>
      <c r="ER217" s="36">
        <f>Crops[[#This Row],[Harvests]]*Crops[[#This Row],[Days Between Harvest]]/7</f>
        <v>0</v>
      </c>
      <c r="ES217" s="208">
        <f>_xlfn.XLOOKUP(Crops[[#This Row],[ProductIndex]],Products[ID],Products[CSA Need])</f>
        <v>0</v>
      </c>
      <c r="ET217" s="208">
        <f>_xlfn.XLOOKUP(Crops[[#This Row],[ProductIndex]],Products[ID],Products[CSA Times])</f>
        <v>0</v>
      </c>
      <c r="EU217" s="208" t="e">
        <f>Crops[[#This Row],[Custom Yield Per Bed]]/(Crops[[#This Row],[CSA Need]]*(_xlfn.XLOOKUP(Crops[[#This Row],[ProductIndex]],Products[ID],Products[CSA Portion])*CSAMembers))</f>
        <v>#DIV/0!</v>
      </c>
      <c r="EV217" s="208" t="e">
        <f>_xlfn.XLOOKUP(Crops[[#This Row],[ProductIndex]],Products[ID],Products[CSA Portion])*CSAMembers*Crops[[#This Row],[CSA Need]]/Crops[[#This Row],[Custom Yield Per Bed]]</f>
        <v>#DIV/0!</v>
      </c>
      <c r="EW217" s="208" t="str">
        <f>IFERROR(Crops[[#This Row],[Days In Field]]*Crops[[#This Row],[CSA Beds]],"")</f>
        <v/>
      </c>
      <c r="EX217" s="208" t="e">
        <f>Crops[[#This Row],[CSA Bed Days]]*#REF!</f>
        <v>#VALUE!</v>
      </c>
      <c r="EY217">
        <v>0</v>
      </c>
    </row>
    <row r="218" spans="1:155">
      <c r="A21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Mustard Greens - Baby Leaf 1X | Field DS Su</v>
      </c>
      <c r="B218" s="191"/>
      <c r="C218" s="1"/>
      <c r="D218" s="1"/>
      <c r="E218" s="1" t="b">
        <v>0</v>
      </c>
      <c r="F218" s="1" t="b">
        <f>IFERROR(IF(ISNUMBER(MATCH(Crops[[#This Row],[Identifier]],BedPlan[Crop], 0)), TRUE, FALSE), FALSE)</f>
        <v>0</v>
      </c>
      <c r="G218" s="1" t="b">
        <f>IFERROR(IF(ISNUMBER(MATCH(Crops[[#This Row],[Identifier]],BedPlan[Crop], 0)), TRUE, FALSE), FALSE)</f>
        <v>0</v>
      </c>
      <c r="H218" s="1" t="b">
        <v>1</v>
      </c>
      <c r="I218" t="s">
        <v>101</v>
      </c>
      <c r="J218" t="s">
        <v>145</v>
      </c>
      <c r="K218" t="s">
        <v>182</v>
      </c>
      <c r="N218" t="str">
        <f>Crops[[#This Row],[Crop]]</f>
        <v>Mustard Greens</v>
      </c>
      <c r="O218" t="s">
        <v>210</v>
      </c>
      <c r="P218" t="str">
        <f>IF(OR(Crops[[#This Row],[Days in Cells]]="",Crops[[#This Row],[Days in Cells]]=0), "DS","TP")</f>
        <v>DS</v>
      </c>
      <c r="R218" t="s">
        <v>144</v>
      </c>
      <c r="V218" t="str">
        <f xml:space="preserve"> IF(Crops[[#This Row],[Sp]], "Sp", "") &amp; IF(Crops[[#This Row],[Su]], "Su", "") &amp; IF(Crops[[#This Row],[Fa]], "Fa", "") &amp; IF(Crops[[#This Row],[Wi]], "Wi", "") &amp; IF(Crops[[#This Row],[OW]], "Ow","")</f>
        <v>Su</v>
      </c>
      <c r="W218" t="s">
        <v>144</v>
      </c>
      <c r="X218">
        <v>10</v>
      </c>
      <c r="Y218">
        <v>1.5</v>
      </c>
      <c r="AD218" s="32">
        <f>IFERROR(12/Crops[[#This Row],[Spacing]]*Crops[[#This Row],[Rows]]*BedLength,"")</f>
        <v>4000</v>
      </c>
      <c r="AE218">
        <v>1</v>
      </c>
      <c r="AG218">
        <f>IF(Crops[[#This Row],[Custom Safety Factor]]="",PlantingSafetyFactor,Crops[[#This Row],[Custom Safety Factor]])</f>
        <v>1.3</v>
      </c>
      <c r="AH218">
        <f>1</f>
        <v>1</v>
      </c>
      <c r="AI218" s="33">
        <f>IFERROR(Crops[[#This Row],[Plantings Per Bed]]*Crops[[#This Row],[Seeds Per Planting]]*Crops[[#This Row],[Safety Factor]]*Crops[[#This Row],[Seeding Factor]],"")</f>
        <v>5200</v>
      </c>
      <c r="AL218">
        <f>_xlfn.FLOOR.MATH(IFERROR(AVERAGE(Crops[[#This Row],[DTG Lower]:[DTG Upper]]),0))</f>
        <v>0</v>
      </c>
      <c r="AM218">
        <f>SUM(Crops[[#This Row],[Tray 1 Days]],Crops[[#This Row],[Tray 2 Days]],Crops[[#This Row],[Tray 3 Days]])</f>
        <v>0</v>
      </c>
      <c r="AP218">
        <v>28</v>
      </c>
      <c r="AQ218">
        <f>IFERROR(_xlfn.FLOOR.MATH(AVERAGE(Crops[[#This Row],[DTM Lower]:[DTM Upper]])),"")</f>
        <v>28</v>
      </c>
      <c r="AR218" cm="1">
        <f t="array" ref="AR218">_xlfn.SWITCH(Crops[[#This Row],[Normal Method]],"DS",Crops[[#This Row],[Days to Germination]]+Crops[[#This Row],[DTM]] + IF(Crops[[#This Row],[Days in Cells]]&gt;0,15,0), "TP",Crops[[#This Row],[DTM]]+Crops[[#This Row],[Days in Cells]] + IF(Crops[[#This Row],[Days in Cells]]&lt;=0,20,0), "X", Crops[[#This Row],[DTM]])</f>
        <v>28</v>
      </c>
      <c r="AS218" t="s">
        <v>338</v>
      </c>
      <c r="AT218">
        <f>(Crops[[#This Row],[Harvests]]-1)*Crops[[#This Row],[Days Between Harvest]]+7</f>
        <v>7</v>
      </c>
      <c r="AU218">
        <f>Crops[[#This Row],[STH]]-Crops[[#This Row],[Days in Cells]]+Crops[[#This Row],[Harvest window]]</f>
        <v>35</v>
      </c>
      <c r="AW218" t="s">
        <v>212</v>
      </c>
      <c r="AZ218" t="str">
        <f>IFERROR(IF(Crops[[#This Row],[Tray 1 Days]]=0,"",Crops[[#This Row],[Plantings Per Bed]]/Crops[[#This Row],[Tray 1 Size]]*Crops[[#This Row],[Safety Factor]]),"")</f>
        <v/>
      </c>
      <c r="BC218" t="str">
        <f>IFERROR(IF(Crops[[#This Row],[Tray 2 Days]]=0,"",Crops[[#This Row],[Plantings Per Bed]]/Crops[[#This Row],[Tray 2 Size]]*Crops[[#This Row],[Safety Factor]]),"")</f>
        <v/>
      </c>
      <c r="BE218" s="32" t="str">
        <f>IF(NOT(ISBLANK(Crops[[#This Row],[Tray 3 Size]])), Crops[[#This Row],[Days in Cells Old]]-SUM(Crops[[#This Row],[Tray 1 Days]],Crops[[#This Row],[Tray 2 Days]]), "")</f>
        <v/>
      </c>
      <c r="BF218" t="str">
        <f>IFERROR(IF(Crops[[#This Row],[Tray 3 Days]]=0,"",Crops[[#This Row],[Plantings Per Bed]]/Crops[[#This Row],[Tray 3 Size]]*Crops[[#This Row],[Safety Factor]]),"")</f>
        <v/>
      </c>
      <c r="BG218" s="33"/>
      <c r="BH218" s="33"/>
      <c r="BI218" s="33"/>
      <c r="BJ218" s="33">
        <f>_xlfn.XLOOKUP(Crops[[#This Row],[ProductIndex]],Products[ID],Products[Holding Period])</f>
        <v>0</v>
      </c>
      <c r="BK218" s="33"/>
      <c r="BL218" s="33">
        <f>Crops[[#This Row],[Units Per Harvest]]*Crops[[#This Row],[Harvests]]</f>
        <v>0</v>
      </c>
      <c r="BM218" s="35">
        <v>10</v>
      </c>
      <c r="BN218" s="35">
        <f>Crops[[#This Row],[Direct Price]]*0.6</f>
        <v>6</v>
      </c>
      <c r="BO218" s="35"/>
      <c r="BP218" t="s">
        <v>383</v>
      </c>
      <c r="BQ218">
        <f>Crops[[#This Row],[Custom Yield Per Bed]]*Crops[[#This Row],[Direct Price]]</f>
        <v>0</v>
      </c>
      <c r="BR218" t="b">
        <v>1</v>
      </c>
      <c r="BS218" t="b">
        <f>Crops[[#This Row],[Harvests]]&gt;1</f>
        <v>0</v>
      </c>
      <c r="BT218" s="36">
        <f>IFERROR(Crops[[#This Row],[Direct Revenue Per Bed]]/Crops[[#This Row],[Days In Field]],-1)</f>
        <v>0</v>
      </c>
      <c r="BU218" s="36">
        <f>IFERROR(Crops[[#This Row],[Direct Revenue Per Bed Day]]*GrowingDays*BedsPerAcre,"")</f>
        <v>0</v>
      </c>
      <c r="BV218" s="38">
        <f>LastFrostDate-5*Crops[[#This Row],[Sewing Rel Last Frost]]</f>
        <v>45748</v>
      </c>
      <c r="BW218" s="38">
        <f>Crops[[#This Row],[Target Sewing Date]]+Crops[[#This Row],[Days in Cells]]</f>
        <v>45748</v>
      </c>
      <c r="BX218" s="38">
        <f>Crops[[#This Row],[Target Sewing Date]]+Crops[[#This Row],[STH]]</f>
        <v>45776</v>
      </c>
      <c r="BY218" s="38">
        <f>Crops[[#This Row],[Target Harvest Data]]+Crops[[#This Row],[Harvest window]]</f>
        <v>45783</v>
      </c>
      <c r="CB218">
        <f>1</f>
        <v>1</v>
      </c>
      <c r="CC218">
        <f>IF(Crops[[#This Row],[Transplanting]]&gt;0, 2, 3)*BedLength/StandardBedLength</f>
        <v>1.5</v>
      </c>
      <c r="CD218" s="173">
        <f>IF(Crops[[#This Row],[Days in Cells]]&lt;=0,0,Crops[[#This Row],[Plantings Per Bed]]/StartsPerHourSeeding+Crops[[#This Row],[Tray 1 Count]]*5/60)</f>
        <v>0</v>
      </c>
      <c r="CE218" s="173">
        <f>IF(ISBLANK(Crops[[#This Row],[Tray 2 Days]]),0,Crops[[#This Row],[Plantings Per Bed]]/UpPottingPerHour)+IF(Crops[[#This Row],[Tray 3 Days]]="",0,Crops[[#This Row],[Plantings Per Bed]]/UpPottingPerHour)</f>
        <v>0</v>
      </c>
      <c r="CF218" s="173">
        <f>IFERROR(Crops[[#This Row],[Tray 1 Count]]/HomeStartFlatIrrigationPerHour,0)*Crops[[#This Row],[Days in Cells]]/DaysBetweenStartIrrigation</f>
        <v>0</v>
      </c>
      <c r="CG218" s="173">
        <f>0.5/16*MAX(Crops[[#This Row],[Tray 1 Count]],Crops[[#This Row],[Tray 2 Count]],Crops[[#This Row],[Tray 3 Count]])</f>
        <v>0</v>
      </c>
      <c r="CH218" s="173">
        <f>IF(Crops[[#This Row],[Days in Cells]]&gt;0,IF(IF(Crops[[#This Row],[Tray 3 Size]]&gt;0,Crops[[#This Row],[Tray 3 Size]],IF(Crops[[#This Row],[Tray 2 Size]]&gt;0,Crops[[#This Row],[Tray 2 Size]],Crops[[#This Row],[Tray 1 Size]]))&lt;=18,LargeTransplantTime,SmallTransplantTime)*Crops[[#This Row],[Plantings Per Bed]],0)</f>
        <v>0</v>
      </c>
      <c r="CI218" s="173"/>
      <c r="CJ218" s="173">
        <f>_xlfn.XLOOKUP(Crops[[#This Row],[Trellis Type]],TrellisMethods[Trellis Type],TrellisMethods[Hours],0,0)</f>
        <v>0</v>
      </c>
      <c r="CK218">
        <f>IF(Crops[[#This Row],[Days in Cells]]&lt;=0,Crops[[#This Row],[Rows]]*1/10,0)*BedLength/50</f>
        <v>1</v>
      </c>
      <c r="CL218" cm="1">
        <f t="array" ref="CL218">_xlfn.SWITCH(Crops[[#This Row],[Irrigation]],"DR", 0.5, "OH", 0.25,0)*BedLength/50</f>
        <v>0</v>
      </c>
      <c r="CM218">
        <f>IF(OR(ISBLANK(Crops[[#This Row],[Row Cover]]),Crops[[#This Row],[Row Cover]]="None"),0,1)*BedLength/50</f>
        <v>0</v>
      </c>
      <c r="CN218" s="173">
        <f>HoursPerWeedingPass*Crops[[#This Row],[Days In Field]]/14*Crops[[#This Row],[Rows]]+1*BedLength/50</f>
        <v>5.1666666666666661</v>
      </c>
      <c r="CQ218" s="37">
        <f>_xlfn.XLOOKUP(Crops[[#This Row],[Crop]]&amp;Crops[[#This Row],[Product]]&amp;Crops[[#This Row],[Unit]],Products[ID],Products[Marketing (hr)])*Crops[[#This Row],[Direct Revenue Per Bed]]/2000</f>
        <v>0</v>
      </c>
      <c r="CR218" s="37">
        <f>_xlfn.XLOOKUP(Crops[[#This Row],[Crop]]&amp;Crops[[#This Row],[Product]]&amp;Crops[[#This Row],[Unit]],Products[ID],Products[Harvest (s)])*Crops[[#This Row],[Custom Yield Per Bed]]/3600</f>
        <v>0</v>
      </c>
      <c r="CS218" s="37">
        <f>_xlfn.XLOOKUP(Crops[[#This Row],[Crop]]&amp;Crops[[#This Row],[Product]]&amp;Crops[[#This Row],[Unit]],Products[ID],Products[Bunch (s)])*Crops[[#This Row],[Custom Yield Per Bed]]/3600</f>
        <v>0</v>
      </c>
      <c r="CT218" s="37">
        <f>_xlfn.XLOOKUP(Crops[[#This Row],[Crop]]&amp;Crops[[#This Row],[Product]]&amp;Crops[[#This Row],[Unit]],Products[ID],Products[Haul (s)])*Crops[[#This Row],[Custom Yield Per Bed]]/3600</f>
        <v>0</v>
      </c>
      <c r="CU218" s="37">
        <f>_xlfn.XLOOKUP(Crops[[#This Row],[Crop]]&amp;Crops[[#This Row],[Product]]&amp;Crops[[#This Row],[Unit]],Products[ID],Products[Wash (s)])*Crops[[#This Row],[Custom Yield Per Bed]]/3600</f>
        <v>0</v>
      </c>
      <c r="CV218" s="37">
        <f>_xlfn.XLOOKUP(Crops[[#This Row],[Crop]]&amp;Crops[[#This Row],[Product]]&amp;Crops[[#This Row],[Unit]],Products[ID],Products[Condition (s)])*Crops[[#This Row],[Custom Yield Per Bed]]/3600</f>
        <v>0</v>
      </c>
      <c r="CW218" s="37">
        <f>_xlfn.XLOOKUP(Crops[[#This Row],[Crop]]&amp;Crops[[#This Row],[Product]]&amp;Crops[[#This Row],[Unit]],Products[ID],Products[Trim (s)])*Crops[[#This Row],[Custom Yield Per Bed]]/3600</f>
        <v>0</v>
      </c>
      <c r="CX218" s="37">
        <f>_xlfn.XLOOKUP(Crops[[#This Row],[Crop]]&amp;Crops[[#This Row],[Product]]&amp;Crops[[#This Row],[Unit]],Products[ID],Products[Pack (s)])*Crops[[#This Row],[Custom Yield Per Bed]]/3600</f>
        <v>0</v>
      </c>
      <c r="CY218" s="37">
        <f>_xlfn.XLOOKUP(Crops[[#This Row],[Crop]]&amp;Crops[[#This Row],[Product]]&amp;Crops[[#This Row],[Unit]],Products[ID],Products[Clean (s)])*Crops[[#This Row],[Custom Yield Per Bed]]/3600</f>
        <v>0</v>
      </c>
      <c r="CZ218" s="37">
        <f>_xlfn.XLOOKUP(Crops[[#This Row],[Crop]]&amp;Crops[[#This Row],[Product]]&amp;Crops[[#This Row],[Unit]],Products[ID],Products[Rehandle (s)])*Crops[[#This Row],[Custom Yield Per Bed]]/3600</f>
        <v>0</v>
      </c>
      <c r="DA218" s="37">
        <f>_xlfn.XLOOKUP(Crops[[#This Row],[Crop]]&amp;Crops[[#This Row],[Product]]&amp;Crops[[#This Row],[Unit]],Products[ID],Products[Market Transport (s)])*Crops[[#This Row],[Custom Yield Per Bed]]/3600</f>
        <v>0</v>
      </c>
      <c r="DC218" s="37">
        <f>Crops[[#This Row],[Direct Revenue Per Bed2]]</f>
        <v>0</v>
      </c>
      <c r="DD218" s="173">
        <f>_xlfn.AGGREGATE(9,6,Crops[[#This Row],[Bed Prep]:[Remove Crop Residue]])</f>
        <v>7.6666666666666661</v>
      </c>
      <c r="DE218" s="173">
        <f>_xlfn.AGGREGATE(9,6,Crops[[#This Row],[Bed Prep]:[Remove Crop Residue]])-0.75*Crops[[#This Row],[Market &amp; Sell]]</f>
        <v>7.6666666666666661</v>
      </c>
      <c r="DF218" s="36">
        <f>Crops[[#This Row],[Direct Revenue Per Bed2]]/Crops[[#This Row],[Direct Time]]</f>
        <v>0</v>
      </c>
      <c r="DG218" s="36">
        <f>_xlfn.XLOOKUP(Crops[[#This Row],[ProductIndex]],Products[ID],Products[Packaging Cost])*(Crops[[#This Row],[Custom Yield Per Bed]]/_xlfn.XLOOKUP(Crops[[#This Row],[ProductIndex]],Products[ID],Products[Units Per Pack]))</f>
        <v>0</v>
      </c>
      <c r="DH218" s="36"/>
      <c r="DI218" s="36"/>
      <c r="DJ218" s="36"/>
      <c r="DK218" s="36"/>
      <c r="DL218" s="36"/>
      <c r="DM218" s="33">
        <f>IFERROR(Crops[[#This Row],[Custom Yield Per Bed]]*Crops[[#This Row],[Direct Price]],"")</f>
        <v>0</v>
      </c>
      <c r="DN218" s="36">
        <f>Crops[[#This Row],[Direct Time]]*LaborRate</f>
        <v>191.66666666666666</v>
      </c>
      <c r="DO218" s="36">
        <f>SUM(Crops[[#This Row],[Irrigation Cost]])</f>
        <v>0</v>
      </c>
      <c r="DP218" s="36">
        <f>Crops[[#This Row],[Direct Labor Cost]]+Crops[[#This Row],[Direct Non-Labor Cost]]</f>
        <v>191.66666666666666</v>
      </c>
      <c r="DQ218" s="36">
        <f>Crops[[#This Row],[Direct Revenue Per Bed2]]-Crops[[#This Row],[Direct Total Cost]]</f>
        <v>-191.66666666666666</v>
      </c>
      <c r="DR218" s="36">
        <f>Crops[[#This Row],[Direct Profit]]*BedsPerAcre</f>
        <v>-30666.666666666664</v>
      </c>
      <c r="DS218" s="36">
        <f>Crops[[#This Row],[Direct Profit]]*BedsPerAcre*GrowingDays/Crops[[#This Row],[Days In Field]]</f>
        <v>-157714.28571428571</v>
      </c>
      <c r="DT218" s="36">
        <f>Crops[[#This Row],[Direct Profit]]/MIN(Crops[[#This Row],[Days In Field]],GrowingDays)</f>
        <v>-5.4761904761904763</v>
      </c>
      <c r="DU218" s="36">
        <f>Crops[[#This Row],[Direct Time]] * BedsPerAcre</f>
        <v>1226.6666666666665</v>
      </c>
      <c r="DV218" s="36">
        <f>(Crops[[#This Row],[Direct Revenue Per Bed2]]-Crops[[#This Row],[Direct Non-Labor Cost]])/Crops[[#This Row],[Direct Time]]</f>
        <v>0</v>
      </c>
      <c r="DW218" s="33">
        <f>IFERROR(Crops[[#This Row],[Custom Yield Per Bed]]*Crops[[#This Row],[Rough Wholesale Price]],"")</f>
        <v>0</v>
      </c>
      <c r="DX218" s="36">
        <f>Crops[[#This Row],[Wholesale Time]]*LaborRate</f>
        <v>191.66666666666666</v>
      </c>
      <c r="DY218" s="36">
        <f>SUM(Crops[[#This Row],[Packaging Costs]:[Irrigation Cost]])</f>
        <v>0</v>
      </c>
      <c r="DZ218" s="36">
        <f>Crops[[#This Row],[Wholesale Labor Cost]]+Crops[[#This Row],[Wholesale Non-Labor Cost]]</f>
        <v>191.66666666666666</v>
      </c>
      <c r="EA218" s="36">
        <f>Crops[[#This Row],[Wholesale Revenue Per Bed]]-Crops[[#This Row],[Wholesale Total Cost]]</f>
        <v>-191.66666666666666</v>
      </c>
      <c r="EB218" s="36">
        <f>Crops[[#This Row],[Wholesale Profit]]*BedsPerAcre</f>
        <v>-30666.666666666664</v>
      </c>
      <c r="EC218" s="36">
        <f>Crops[[#This Row],[Wholesale Profit]]*BedsPerAcre*GrowingDays/Crops[[#This Row],[Days In Field]]</f>
        <v>-157714.28571428571</v>
      </c>
      <c r="ED218" s="36">
        <f>Crops[[#This Row],[Wholesale Time]] * BedsPerAcre</f>
        <v>1226.6666666666665</v>
      </c>
      <c r="EE218" s="36">
        <f>Crops[[#This Row],[Wholesale Profit]]/MIN(Crops[[#This Row],[Days In Field]],GrowingDays)</f>
        <v>-5.4761904761904763</v>
      </c>
      <c r="EF218" s="36">
        <f>(Crops[[#This Row],[Wholesale Revenue Per Bed]]-Crops[[#This Row],[Wholesale Non-Labor Cost]])/Crops[[#This Row],[Direct Time]]</f>
        <v>0</v>
      </c>
      <c r="EG218" s="174" t="e">
        <f>Crops[[#This Row],[Packaging Costs]]/Crops[[#This Row],[Wholesale Revenue Per Bed]]</f>
        <v>#DIV/0!</v>
      </c>
      <c r="EH218" s="36" t="str">
        <f>Crops[[#This Row],[Crop]]&amp;Crops[[#This Row],[Product]]&amp;Crops[[#This Row],[Unit]]</f>
        <v>Mustard GreensBaby LeafLb</v>
      </c>
      <c r="EI218" s="36" t="b">
        <f>_xlfn.XLOOKUP(Crops[[#This Row],[ProductIndex]],Products[ID],Products[Target])</f>
        <v>1</v>
      </c>
      <c r="EJ218" s="36">
        <f>Crops[[#This Row],[Custom Yield Per Bed]]</f>
        <v>0</v>
      </c>
      <c r="EK218" s="210" t="e">
        <f>Crops[[#This Row],[Units Per Harvest]]/Crops[[#This Row],[Days Between Harvest]]*7</f>
        <v>#DIV/0!</v>
      </c>
      <c r="EL218" s="210">
        <f>Crops[[#This Row],[Custom Yield Per Bed]]/_xlfn.XLOOKUP(Crops[[#This Row],[ProductIndex]],Products[ID],Products[CSA Portion])</f>
        <v>0</v>
      </c>
      <c r="EM218" s="210" t="e">
        <f>Crops[[#This Row],[Units Per Harvest]]/Crops[[#This Row],[Days Between Harvest]]*7/_xlfn.XLOOKUP(Crops[[#This Row],[ProductIndex]],Products[ID],Products[CSA Portion])</f>
        <v>#DIV/0!</v>
      </c>
      <c r="EN218" s="210" t="e">
        <f>Crops[[#This Row],[CSA Portions Per Week]]/CSAMembers</f>
        <v>#DIV/0!</v>
      </c>
      <c r="EO218" s="210"/>
      <c r="EP218" s="210"/>
      <c r="EQ218" s="36"/>
      <c r="ER218" s="36">
        <f>Crops[[#This Row],[Harvests]]*Crops[[#This Row],[Days Between Harvest]]/7</f>
        <v>0</v>
      </c>
      <c r="ES218" s="208">
        <f>_xlfn.XLOOKUP(Crops[[#This Row],[ProductIndex]],Products[ID],Products[CSA Need])</f>
        <v>0</v>
      </c>
      <c r="ET218" s="208">
        <f>_xlfn.XLOOKUP(Crops[[#This Row],[ProductIndex]],Products[ID],Products[CSA Times])</f>
        <v>0</v>
      </c>
      <c r="EU218" s="208" t="e">
        <f>Crops[[#This Row],[Custom Yield Per Bed]]/(Crops[[#This Row],[CSA Need]]*(_xlfn.XLOOKUP(Crops[[#This Row],[ProductIndex]],Products[ID],Products[CSA Portion])*CSAMembers))</f>
        <v>#DIV/0!</v>
      </c>
      <c r="EV218" s="208" t="e">
        <f>_xlfn.XLOOKUP(Crops[[#This Row],[ProductIndex]],Products[ID],Products[CSA Portion])*CSAMembers*Crops[[#This Row],[CSA Need]]/Crops[[#This Row],[Custom Yield Per Bed]]</f>
        <v>#DIV/0!</v>
      </c>
      <c r="EW218" s="208" t="str">
        <f>IFERROR(Crops[[#This Row],[Days In Field]]*Crops[[#This Row],[CSA Beds]],"")</f>
        <v/>
      </c>
      <c r="EX218" s="208" t="e">
        <f>Crops[[#This Row],[CSA Bed Days]]*#REF!</f>
        <v>#VALUE!</v>
      </c>
      <c r="EY218" t="s">
        <v>292</v>
      </c>
    </row>
    <row r="219" spans="1:155">
      <c r="A21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Nausturtium - Mature Stem 2X | Field TP </v>
      </c>
      <c r="B219" s="189"/>
      <c r="C219" s="1"/>
      <c r="D219" s="1"/>
      <c r="E219" s="1" t="b">
        <v>0</v>
      </c>
      <c r="F219" s="1" t="b">
        <f>IFERROR(IF(ISNUMBER(MATCH(Crops[[#This Row],[Identifier]],BedPlan[Crop], 0)), TRUE, FALSE), FALSE)</f>
        <v>0</v>
      </c>
      <c r="G219" s="1" t="b">
        <f>IFERROR(IF(ISNUMBER(MATCH(Crops[[#This Row],[Identifier]],BedPlan[Crop], 0)), TRUE, FALSE), FALSE)</f>
        <v>0</v>
      </c>
      <c r="H219" s="1"/>
      <c r="I219" t="s">
        <v>102</v>
      </c>
      <c r="J219" t="s">
        <v>145</v>
      </c>
      <c r="K219" t="s">
        <v>181</v>
      </c>
      <c r="M219" t="s">
        <v>406</v>
      </c>
      <c r="N219" t="str">
        <f>Crops[[#This Row],[Crop]]</f>
        <v>Nausturtium</v>
      </c>
      <c r="O219" t="s">
        <v>210</v>
      </c>
      <c r="P219" t="str">
        <f>IF(OR(Crops[[#This Row],[Days in Cells]]="",Crops[[#This Row],[Days in Cells]]=0), "DS","TP")</f>
        <v>TP</v>
      </c>
      <c r="V219" t="str">
        <f xml:space="preserve"> IF(Crops[[#This Row],[Sp]], "Sp", "") &amp; IF(Crops[[#This Row],[Su]], "Su", "") &amp; IF(Crops[[#This Row],[Fa]], "Fa", "") &amp; IF(Crops[[#This Row],[Wi]], "Wi", "") &amp; IF(Crops[[#This Row],[OW]], "Ow","")</f>
        <v/>
      </c>
      <c r="W219" t="s">
        <v>144</v>
      </c>
      <c r="X219">
        <v>3</v>
      </c>
      <c r="Y219">
        <v>12</v>
      </c>
      <c r="AA219" t="s">
        <v>474</v>
      </c>
      <c r="AB219" t="b">
        <v>1</v>
      </c>
      <c r="AC219">
        <v>24</v>
      </c>
      <c r="AD219" s="32">
        <f>IFERROR(12/Crops[[#This Row],[Spacing]]*Crops[[#This Row],[Rows]]*BedLength,"")</f>
        <v>150</v>
      </c>
      <c r="AE219">
        <v>2</v>
      </c>
      <c r="AG219">
        <f>IF(Crops[[#This Row],[Custom Safety Factor]]="",PlantingSafetyFactor,Crops[[#This Row],[Custom Safety Factor]])</f>
        <v>1.3</v>
      </c>
      <c r="AH219">
        <f>1</f>
        <v>1</v>
      </c>
      <c r="AI219" s="33">
        <f>IFERROR(Crops[[#This Row],[Plantings Per Bed]]*Crops[[#This Row],[Seeds Per Planting]]*Crops[[#This Row],[Safety Factor]]*Crops[[#This Row],[Seeding Factor]],"")</f>
        <v>390</v>
      </c>
      <c r="AJ219">
        <v>7</v>
      </c>
      <c r="AK219">
        <v>14</v>
      </c>
      <c r="AL219">
        <f>_xlfn.FLOOR.MATH(IFERROR(AVERAGE(Crops[[#This Row],[DTG Lower]:[DTG Upper]]),0))</f>
        <v>10</v>
      </c>
      <c r="AM219">
        <f>SUM(Crops[[#This Row],[Tray 1 Days]],Crops[[#This Row],[Tray 2 Days]],Crops[[#This Row],[Tray 3 Days]])</f>
        <v>40</v>
      </c>
      <c r="AN219" s="32">
        <v>40</v>
      </c>
      <c r="AO219">
        <v>55</v>
      </c>
      <c r="AP219">
        <v>65</v>
      </c>
      <c r="AQ219">
        <f>IFERROR(_xlfn.FLOOR.MATH(AVERAGE(Crops[[#This Row],[DTM Lower]:[DTM Upper]])),"")</f>
        <v>60</v>
      </c>
      <c r="AR219" cm="1">
        <f t="array" ref="AR219">_xlfn.SWITCH(Crops[[#This Row],[Normal Method]],"DS",Crops[[#This Row],[Days to Germination]]+Crops[[#This Row],[DTM]] + IF(Crops[[#This Row],[Days in Cells]]&gt;0,15,0), "TP",Crops[[#This Row],[DTM]]+Crops[[#This Row],[Days in Cells]] + IF(Crops[[#This Row],[Days in Cells]]&lt;=0,20,0), "X", Crops[[#This Row],[DTM]])</f>
        <v>85</v>
      </c>
      <c r="AS219" t="s">
        <v>338</v>
      </c>
      <c r="AT219">
        <f>(Crops[[#This Row],[Harvests]]-1)*Crops[[#This Row],[Days Between Harvest]]+7</f>
        <v>56</v>
      </c>
      <c r="AU219">
        <f>Crops[[#This Row],[STH]]-Crops[[#This Row],[Days in Cells]]+Crops[[#This Row],[Harvest window]]</f>
        <v>101</v>
      </c>
      <c r="AW219">
        <v>128</v>
      </c>
      <c r="AX219">
        <v>128</v>
      </c>
      <c r="AY219">
        <v>40</v>
      </c>
      <c r="AZ219" s="49">
        <f>IFERROR(IF(Crops[[#This Row],[Tray 1 Days]]=0,"",Crops[[#This Row],[Plantings Per Bed]]/Crops[[#This Row],[Tray 1 Size]]*Crops[[#This Row],[Safety Factor]]),"")</f>
        <v>1.5234375</v>
      </c>
      <c r="BC219" t="str">
        <f>IFERROR(IF(Crops[[#This Row],[Tray 2 Days]]=0,"",Crops[[#This Row],[Plantings Per Bed]]/Crops[[#This Row],[Tray 2 Size]]*Crops[[#This Row],[Safety Factor]]),"")</f>
        <v/>
      </c>
      <c r="BE219" s="32" t="str">
        <f>IF(NOT(ISBLANK(Crops[[#This Row],[Tray 3 Size]])), Crops[[#This Row],[Days in Cells Old]]-SUM(Crops[[#This Row],[Tray 1 Days]],Crops[[#This Row],[Tray 2 Days]]), "")</f>
        <v/>
      </c>
      <c r="BF219" s="49" t="str">
        <f>IFERROR(IF(Crops[[#This Row],[Tray 3 Days]]=0,"",Crops[[#This Row],[Plantings Per Bed]]/Crops[[#This Row],[Tray 3 Size]]*Crops[[#This Row],[Safety Factor]]),"")</f>
        <v/>
      </c>
      <c r="BG219" s="33">
        <f>Crops[[#This Row],[Plantings Per Bed]]*2</f>
        <v>300</v>
      </c>
      <c r="BH219" s="33">
        <v>8</v>
      </c>
      <c r="BI219" s="33">
        <v>7</v>
      </c>
      <c r="BJ219" s="33" t="e">
        <f>_xlfn.XLOOKUP(Crops[[#This Row],[ProductIndex]],Products[ID],Products[Holding Period])</f>
        <v>#N/A</v>
      </c>
      <c r="BK219" s="33"/>
      <c r="BL219" s="33">
        <f>Crops[[#This Row],[Units Per Harvest]]*Crops[[#This Row],[Harvests]]</f>
        <v>2400</v>
      </c>
      <c r="BM219" s="35">
        <v>0.1</v>
      </c>
      <c r="BN219" s="35">
        <f>Crops[[#This Row],[Direct Price]]*0.6</f>
        <v>0.06</v>
      </c>
      <c r="BO219" s="35"/>
      <c r="BP219" t="s">
        <v>2357</v>
      </c>
      <c r="BQ219">
        <f>Crops[[#This Row],[Custom Yield Per Bed]]*Crops[[#This Row],[Direct Price]]</f>
        <v>240</v>
      </c>
      <c r="BR219" t="b">
        <v>0</v>
      </c>
      <c r="BS219" t="b">
        <f>Crops[[#This Row],[Harvests]]&gt;1</f>
        <v>1</v>
      </c>
      <c r="BT219" s="36">
        <f>IFERROR(Crops[[#This Row],[Direct Revenue Per Bed]]/Crops[[#This Row],[Days In Field]],-1)</f>
        <v>2.3762376237623761</v>
      </c>
      <c r="BU219" s="36">
        <f>IFERROR(Crops[[#This Row],[Direct Revenue Per Bed Day]]*GrowingDays*BedsPerAcre,"")</f>
        <v>68435.643564356433</v>
      </c>
      <c r="BV219" s="38">
        <f>LastFrostDate-5*Crops[[#This Row],[Sewing Rel Last Frost]]</f>
        <v>45728</v>
      </c>
      <c r="BW219" s="38">
        <f>Crops[[#This Row],[Target Sewing Date]]+Crops[[#This Row],[Days in Cells]]</f>
        <v>45768</v>
      </c>
      <c r="BX219" s="38">
        <f>Crops[[#This Row],[Target Sewing Date]]+Crops[[#This Row],[STH]]</f>
        <v>45813</v>
      </c>
      <c r="BY219" s="38">
        <f>Crops[[#This Row],[Target Harvest Data]]+Crops[[#This Row],[Harvest window]]</f>
        <v>45869</v>
      </c>
      <c r="BZ219">
        <v>4</v>
      </c>
      <c r="CB219">
        <f>1</f>
        <v>1</v>
      </c>
      <c r="CC219">
        <f>IF(Crops[[#This Row],[Transplanting]]&gt;0, 2, 3)*BedLength/StandardBedLength</f>
        <v>1</v>
      </c>
      <c r="CD219" s="173">
        <f>IF(Crops[[#This Row],[Days in Cells]]&lt;=0,0,Crops[[#This Row],[Plantings Per Bed]]/StartsPerHourSeeding+Crops[[#This Row],[Tray 1 Count]]*5/60)</f>
        <v>0.712890625</v>
      </c>
      <c r="CE219" s="173">
        <f>IF(ISBLANK(Crops[[#This Row],[Tray 2 Days]]),0,Crops[[#This Row],[Plantings Per Bed]]/UpPottingPerHour)+IF(Crops[[#This Row],[Tray 3 Days]]="",0,Crops[[#This Row],[Plantings Per Bed]]/UpPottingPerHour)</f>
        <v>0</v>
      </c>
      <c r="CF219" s="173">
        <f>IFERROR(Crops[[#This Row],[Tray 1 Count]]/HomeStartFlatIrrigationPerHour,0)*Crops[[#This Row],[Days in Cells]]/DaysBetweenStartIrrigation</f>
        <v>0.25390625</v>
      </c>
      <c r="CG219" s="173">
        <f>0.5/16*MAX(Crops[[#This Row],[Tray 1 Count]],Crops[[#This Row],[Tray 2 Count]],Crops[[#This Row],[Tray 3 Count]])</f>
        <v>4.7607421875E-2</v>
      </c>
      <c r="CH219" s="173">
        <f>IF(Crops[[#This Row],[Days in Cells]]&gt;0,IF(IF(Crops[[#This Row],[Tray 3 Size]]&gt;0,Crops[[#This Row],[Tray 3 Size]],IF(Crops[[#This Row],[Tray 2 Size]]&gt;0,Crops[[#This Row],[Tray 2 Size]],Crops[[#This Row],[Tray 1 Size]]))&lt;=18,LargeTransplantTime,SmallTransplantTime)*Crops[[#This Row],[Plantings Per Bed]],0)</f>
        <v>0.75</v>
      </c>
      <c r="CI219" s="173"/>
      <c r="CJ219" s="173">
        <f>_xlfn.XLOOKUP(Crops[[#This Row],[Trellis Type]],TrellisMethods[Trellis Type],TrellisMethods[Hours],0,0)</f>
        <v>0</v>
      </c>
      <c r="CK219">
        <f>IF(Crops[[#This Row],[Days in Cells]]&lt;=0,Crops[[#This Row],[Rows]]*1/10,0)*BedLength/50</f>
        <v>0</v>
      </c>
      <c r="CL219" cm="1">
        <f t="array" ref="CL219">_xlfn.SWITCH(Crops[[#This Row],[Irrigation]],"DR", 0.5, "OH", 0.25,0)*BedLength/50</f>
        <v>0</v>
      </c>
      <c r="CM219">
        <f>IF(OR(ISBLANK(Crops[[#This Row],[Row Cover]]),Crops[[#This Row],[Row Cover]]="None"),0,1)*BedLength/50</f>
        <v>0</v>
      </c>
      <c r="CN219" s="173">
        <f>HoursPerWeedingPass*Crops[[#This Row],[Days In Field]]/14*Crops[[#This Row],[Rows]]+1*BedLength/50</f>
        <v>4.6071428571428568</v>
      </c>
      <c r="CQ219" s="37" t="e">
        <f>_xlfn.XLOOKUP(Crops[[#This Row],[Crop]]&amp;Crops[[#This Row],[Product]]&amp;Crops[[#This Row],[Unit]],Products[ID],Products[Marketing (hr)])*Crops[[#This Row],[Direct Revenue Per Bed]]/2000</f>
        <v>#N/A</v>
      </c>
      <c r="CR219" s="37" t="e">
        <f>_xlfn.XLOOKUP(Crops[[#This Row],[Crop]]&amp;Crops[[#This Row],[Product]]&amp;Crops[[#This Row],[Unit]],Products[ID],Products[Harvest (s)])*Crops[[#This Row],[Custom Yield Per Bed]]/3600</f>
        <v>#N/A</v>
      </c>
      <c r="CS219" s="37" t="e">
        <f>_xlfn.XLOOKUP(Crops[[#This Row],[Crop]]&amp;Crops[[#This Row],[Product]]&amp;Crops[[#This Row],[Unit]],Products[ID],Products[Bunch (s)])*Crops[[#This Row],[Custom Yield Per Bed]]/3600</f>
        <v>#N/A</v>
      </c>
      <c r="CT219" s="37" t="e">
        <f>_xlfn.XLOOKUP(Crops[[#This Row],[Crop]]&amp;Crops[[#This Row],[Product]]&amp;Crops[[#This Row],[Unit]],Products[ID],Products[Haul (s)])*Crops[[#This Row],[Custom Yield Per Bed]]/3600</f>
        <v>#N/A</v>
      </c>
      <c r="CU219" s="37" t="e">
        <f>_xlfn.XLOOKUP(Crops[[#This Row],[Crop]]&amp;Crops[[#This Row],[Product]]&amp;Crops[[#This Row],[Unit]],Products[ID],Products[Wash (s)])*Crops[[#This Row],[Custom Yield Per Bed]]/3600</f>
        <v>#N/A</v>
      </c>
      <c r="CV219" s="37" t="e">
        <f>_xlfn.XLOOKUP(Crops[[#This Row],[Crop]]&amp;Crops[[#This Row],[Product]]&amp;Crops[[#This Row],[Unit]],Products[ID],Products[Condition (s)])*Crops[[#This Row],[Custom Yield Per Bed]]/3600</f>
        <v>#N/A</v>
      </c>
      <c r="CW219" s="37" t="e">
        <f>_xlfn.XLOOKUP(Crops[[#This Row],[Crop]]&amp;Crops[[#This Row],[Product]]&amp;Crops[[#This Row],[Unit]],Products[ID],Products[Trim (s)])*Crops[[#This Row],[Custom Yield Per Bed]]/3600</f>
        <v>#N/A</v>
      </c>
      <c r="CX219" s="37" t="e">
        <f>_xlfn.XLOOKUP(Crops[[#This Row],[Crop]]&amp;Crops[[#This Row],[Product]]&amp;Crops[[#This Row],[Unit]],Products[ID],Products[Pack (s)])*Crops[[#This Row],[Custom Yield Per Bed]]/3600</f>
        <v>#N/A</v>
      </c>
      <c r="CY219" s="37" t="e">
        <f>_xlfn.XLOOKUP(Crops[[#This Row],[Crop]]&amp;Crops[[#This Row],[Product]]&amp;Crops[[#This Row],[Unit]],Products[ID],Products[Clean (s)])*Crops[[#This Row],[Custom Yield Per Bed]]/3600</f>
        <v>#N/A</v>
      </c>
      <c r="CZ219" s="37" t="e">
        <f>_xlfn.XLOOKUP(Crops[[#This Row],[Crop]]&amp;Crops[[#This Row],[Product]]&amp;Crops[[#This Row],[Unit]],Products[ID],Products[Rehandle (s)])*Crops[[#This Row],[Custom Yield Per Bed]]/3600</f>
        <v>#N/A</v>
      </c>
      <c r="DA219" s="37" t="e">
        <f>_xlfn.XLOOKUP(Crops[[#This Row],[Crop]]&amp;Crops[[#This Row],[Product]]&amp;Crops[[#This Row],[Unit]],Products[ID],Products[Market Transport (s)])*Crops[[#This Row],[Custom Yield Per Bed]]/3600</f>
        <v>#N/A</v>
      </c>
      <c r="DC219" s="37">
        <f>Crops[[#This Row],[Direct Revenue Per Bed2]]</f>
        <v>240</v>
      </c>
      <c r="DD219" s="173">
        <f>_xlfn.AGGREGATE(9,6,Crops[[#This Row],[Bed Prep]:[Remove Crop Residue]])</f>
        <v>7.3715471540178568</v>
      </c>
      <c r="DE219" s="173" t="e">
        <f>_xlfn.AGGREGATE(9,6,Crops[[#This Row],[Bed Prep]:[Remove Crop Residue]])-0.75*Crops[[#This Row],[Market &amp; Sell]]</f>
        <v>#N/A</v>
      </c>
      <c r="DF219" s="36">
        <f>Crops[[#This Row],[Direct Revenue Per Bed2]]/Crops[[#This Row],[Direct Time]]</f>
        <v>32.55761578750645</v>
      </c>
      <c r="DG219" s="36" t="e">
        <f>_xlfn.XLOOKUP(Crops[[#This Row],[ProductIndex]],Products[ID],Products[Packaging Cost])*(Crops[[#This Row],[Custom Yield Per Bed]]/_xlfn.XLOOKUP(Crops[[#This Row],[ProductIndex]],Products[ID],Products[Units Per Pack]))</f>
        <v>#N/A</v>
      </c>
      <c r="DH219" s="36"/>
      <c r="DI219" s="36"/>
      <c r="DJ219" s="36"/>
      <c r="DK219" s="36"/>
      <c r="DL219" s="36"/>
      <c r="DM219" s="33">
        <f>IFERROR(Crops[[#This Row],[Custom Yield Per Bed]]*Crops[[#This Row],[Direct Price]],"")</f>
        <v>240</v>
      </c>
      <c r="DN219" s="36">
        <f>Crops[[#This Row],[Direct Time]]*LaborRate</f>
        <v>184.28867885044642</v>
      </c>
      <c r="DO219" s="36">
        <f>SUM(Crops[[#This Row],[Irrigation Cost]])</f>
        <v>0</v>
      </c>
      <c r="DP219" s="36">
        <f>Crops[[#This Row],[Direct Labor Cost]]+Crops[[#This Row],[Direct Non-Labor Cost]]</f>
        <v>184.28867885044642</v>
      </c>
      <c r="DQ219" s="36">
        <f>Crops[[#This Row],[Direct Revenue Per Bed2]]-Crops[[#This Row],[Direct Total Cost]]</f>
        <v>55.711321149553584</v>
      </c>
      <c r="DR219" s="36">
        <f>Crops[[#This Row],[Direct Profit]]*BedsPerAcre</f>
        <v>8913.8113839285725</v>
      </c>
      <c r="DS219" s="36">
        <f>Crops[[#This Row],[Direct Profit]]*BedsPerAcre*GrowingDays/Crops[[#This Row],[Days In Field]]</f>
        <v>15886.000486209336</v>
      </c>
      <c r="DT219" s="36">
        <f>Crops[[#This Row],[Direct Profit]]/MIN(Crops[[#This Row],[Days In Field]],GrowingDays)</f>
        <v>0.55159723910449088</v>
      </c>
      <c r="DU219" s="36">
        <f>Crops[[#This Row],[Direct Time]] * BedsPerAcre</f>
        <v>1179.4475446428571</v>
      </c>
      <c r="DV219" s="36">
        <f>(Crops[[#This Row],[Direct Revenue Per Bed2]]-Crops[[#This Row],[Direct Non-Labor Cost]])/Crops[[#This Row],[Direct Time]]</f>
        <v>32.55761578750645</v>
      </c>
      <c r="DW219" s="33">
        <f>IFERROR(Crops[[#This Row],[Custom Yield Per Bed]]*Crops[[#This Row],[Rough Wholesale Price]],"")</f>
        <v>144</v>
      </c>
      <c r="DX219" s="36" t="e">
        <f>Crops[[#This Row],[Wholesale Time]]*LaborRate</f>
        <v>#N/A</v>
      </c>
      <c r="DY219" s="36" t="e">
        <f>SUM(Crops[[#This Row],[Packaging Costs]:[Irrigation Cost]])</f>
        <v>#N/A</v>
      </c>
      <c r="DZ219" s="36" t="e">
        <f>Crops[[#This Row],[Wholesale Labor Cost]]+Crops[[#This Row],[Wholesale Non-Labor Cost]]</f>
        <v>#N/A</v>
      </c>
      <c r="EA219" s="36" t="e">
        <f>Crops[[#This Row],[Wholesale Revenue Per Bed]]-Crops[[#This Row],[Wholesale Total Cost]]</f>
        <v>#N/A</v>
      </c>
      <c r="EB219" s="36" t="e">
        <f>Crops[[#This Row],[Wholesale Profit]]*BedsPerAcre</f>
        <v>#N/A</v>
      </c>
      <c r="EC219" s="36" t="e">
        <f>Crops[[#This Row],[Wholesale Profit]]*BedsPerAcre*GrowingDays/Crops[[#This Row],[Days In Field]]</f>
        <v>#N/A</v>
      </c>
      <c r="ED219" s="36" t="e">
        <f>Crops[[#This Row],[Wholesale Time]] * BedsPerAcre</f>
        <v>#N/A</v>
      </c>
      <c r="EE219" s="36" t="e">
        <f>Crops[[#This Row],[Wholesale Profit]]/MIN(Crops[[#This Row],[Days In Field]],GrowingDays)</f>
        <v>#N/A</v>
      </c>
      <c r="EF219" s="36" t="e">
        <f>(Crops[[#This Row],[Wholesale Revenue Per Bed]]-Crops[[#This Row],[Wholesale Non-Labor Cost]])/Crops[[#This Row],[Direct Time]]</f>
        <v>#N/A</v>
      </c>
      <c r="EG219" s="174" t="e">
        <f>Crops[[#This Row],[Packaging Costs]]/Crops[[#This Row],[Wholesale Revenue Per Bed]]</f>
        <v>#N/A</v>
      </c>
      <c r="EH219" s="36" t="str">
        <f>Crops[[#This Row],[Crop]]&amp;Crops[[#This Row],[Product]]&amp;Crops[[#This Row],[Unit]]</f>
        <v>NausturtiumMature StemBloom</v>
      </c>
      <c r="EI219" s="36" t="e">
        <f>_xlfn.XLOOKUP(Crops[[#This Row],[ProductIndex]],Products[ID],Products[Target])</f>
        <v>#N/A</v>
      </c>
      <c r="EJ219" s="36">
        <f>Crops[[#This Row],[Custom Yield Per Bed]]</f>
        <v>2400</v>
      </c>
      <c r="EK219" s="210">
        <f>Crops[[#This Row],[Units Per Harvest]]/Crops[[#This Row],[Days Between Harvest]]*7</f>
        <v>300</v>
      </c>
      <c r="EL219" s="210" t="e">
        <f>Crops[[#This Row],[Custom Yield Per Bed]]/_xlfn.XLOOKUP(Crops[[#This Row],[ProductIndex]],Products[ID],Products[CSA Portion])</f>
        <v>#N/A</v>
      </c>
      <c r="EM219" s="210" t="e">
        <f>Crops[[#This Row],[Units Per Harvest]]/Crops[[#This Row],[Days Between Harvest]]*7/_xlfn.XLOOKUP(Crops[[#This Row],[ProductIndex]],Products[ID],Products[CSA Portion])</f>
        <v>#N/A</v>
      </c>
      <c r="EN219" s="210" t="e">
        <f>Crops[[#This Row],[CSA Portions Per Week]]/CSAMembers</f>
        <v>#N/A</v>
      </c>
      <c r="EO219" s="210"/>
      <c r="EP219" s="210"/>
      <c r="EQ219" s="36"/>
      <c r="ER219" s="36">
        <f>Crops[[#This Row],[Harvests]]*Crops[[#This Row],[Days Between Harvest]]/7</f>
        <v>8</v>
      </c>
      <c r="ES219" s="208" t="e">
        <f>_xlfn.XLOOKUP(Crops[[#This Row],[ProductIndex]],Products[ID],Products[CSA Need])</f>
        <v>#N/A</v>
      </c>
      <c r="ET219" s="208" t="e">
        <f>_xlfn.XLOOKUP(Crops[[#This Row],[ProductIndex]],Products[ID],Products[CSA Times])</f>
        <v>#N/A</v>
      </c>
      <c r="EU219" s="208" t="e">
        <f>Crops[[#This Row],[Custom Yield Per Bed]]/(Crops[[#This Row],[CSA Need]]*(_xlfn.XLOOKUP(Crops[[#This Row],[ProductIndex]],Products[ID],Products[CSA Portion])*CSAMembers))</f>
        <v>#N/A</v>
      </c>
      <c r="EV219" s="208" t="e">
        <f>_xlfn.XLOOKUP(Crops[[#This Row],[ProductIndex]],Products[ID],Products[CSA Portion])*CSAMembers*Crops[[#This Row],[CSA Need]]/Crops[[#This Row],[Custom Yield Per Bed]]</f>
        <v>#N/A</v>
      </c>
      <c r="EW219" s="208" t="str">
        <f>IFERROR(Crops[[#This Row],[Days In Field]]*Crops[[#This Row],[CSA Beds]],"")</f>
        <v/>
      </c>
      <c r="EX219" s="208" t="e">
        <f>Crops[[#This Row],[CSA Bed Days]]*#REF!</f>
        <v>#VALUE!</v>
      </c>
      <c r="EY219" t="s">
        <v>296</v>
      </c>
    </row>
    <row r="220" spans="1:155">
      <c r="A22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Nigella - Mature Stalk X | Field DS Sp</v>
      </c>
      <c r="B220" s="189"/>
      <c r="C220" s="1"/>
      <c r="D220" s="1"/>
      <c r="E220" s="1" t="b">
        <v>0</v>
      </c>
      <c r="F220" s="1" t="b">
        <f>IFERROR(IF(ISNUMBER(MATCH(Crops[[#This Row],[Identifier]],BedPlan[Crop], 0)), TRUE, FALSE), FALSE)</f>
        <v>0</v>
      </c>
      <c r="G220" s="1" t="b">
        <f>IFERROR(IF(ISNUMBER(MATCH(Crops[[#This Row],[Identifier]],BedPlan[Crop], 0)), TRUE, FALSE), FALSE)</f>
        <v>0</v>
      </c>
      <c r="H220" s="1"/>
      <c r="I220" t="s">
        <v>104</v>
      </c>
      <c r="J220" t="s">
        <v>145</v>
      </c>
      <c r="K220" t="s">
        <v>199</v>
      </c>
      <c r="N220" t="str">
        <f>Crops[[#This Row],[Crop]]</f>
        <v>Nigella</v>
      </c>
      <c r="O220" t="s">
        <v>210</v>
      </c>
      <c r="P220" t="str">
        <f>IF(OR(Crops[[#This Row],[Days in Cells]]="",Crops[[#This Row],[Days in Cells]]=0), "DS","TP")</f>
        <v>DS</v>
      </c>
      <c r="Q220" t="b">
        <v>1</v>
      </c>
      <c r="V220" t="str">
        <f xml:space="preserve"> IF(Crops[[#This Row],[Sp]], "Sp", "") &amp; IF(Crops[[#This Row],[Su]], "Su", "") &amp; IF(Crops[[#This Row],[Fa]], "Fa", "") &amp; IF(Crops[[#This Row],[Wi]], "Wi", "") &amp; IF(Crops[[#This Row],[OW]], "Ow","")</f>
        <v>Sp</v>
      </c>
      <c r="X220">
        <v>4</v>
      </c>
      <c r="Y220">
        <v>6</v>
      </c>
      <c r="AD220" s="32">
        <f>IFERROR(12/Crops[[#This Row],[Spacing]]*Crops[[#This Row],[Rows]]*BedLength,"")</f>
        <v>400</v>
      </c>
      <c r="AG220">
        <f>IF(Crops[[#This Row],[Custom Safety Factor]]="",PlantingSafetyFactor,Crops[[#This Row],[Custom Safety Factor]])</f>
        <v>1.3</v>
      </c>
      <c r="AH220">
        <f>1</f>
        <v>1</v>
      </c>
      <c r="AI220" s="33">
        <f>IFERROR(Crops[[#This Row],[Plantings Per Bed]]*Crops[[#This Row],[Seeds Per Planting]]*Crops[[#This Row],[Safety Factor]]*Crops[[#This Row],[Seeding Factor]],"")</f>
        <v>0</v>
      </c>
      <c r="AL220">
        <f>_xlfn.FLOOR.MATH(IFERROR(AVERAGE(Crops[[#This Row],[DTG Lower]:[DTG Upper]]),0))</f>
        <v>0</v>
      </c>
      <c r="AM220">
        <f>SUM(Crops[[#This Row],[Tray 1 Days]],Crops[[#This Row],[Tray 2 Days]],Crops[[#This Row],[Tray 3 Days]])</f>
        <v>0</v>
      </c>
      <c r="AN220">
        <v>30</v>
      </c>
      <c r="AP220">
        <v>85</v>
      </c>
      <c r="AQ220">
        <f>IFERROR(_xlfn.FLOOR.MATH(AVERAGE(Crops[[#This Row],[DTM Lower]:[DTM Upper]])),"")</f>
        <v>85</v>
      </c>
      <c r="AR220" cm="1">
        <f t="array" ref="AR220">_xlfn.SWITCH(Crops[[#This Row],[Normal Method]],"DS",Crops[[#This Row],[Days to Germination]]+Crops[[#This Row],[DTM]] + IF(Crops[[#This Row],[Days in Cells]]&gt;0,15,0), "TP",Crops[[#This Row],[DTM]]+Crops[[#This Row],[Days in Cells]] + IF(Crops[[#This Row],[Days in Cells]]&lt;=0,20,0), "X", Crops[[#This Row],[DTM]])</f>
        <v>85</v>
      </c>
      <c r="AS220" t="s">
        <v>338</v>
      </c>
      <c r="AT220">
        <f>(Crops[[#This Row],[Harvests]]-1)*Crops[[#This Row],[Days Between Harvest]]+7</f>
        <v>7</v>
      </c>
      <c r="AU220">
        <f>Crops[[#This Row],[STH]]-Crops[[#This Row],[Days in Cells]]+Crops[[#This Row],[Harvest window]]</f>
        <v>92</v>
      </c>
      <c r="AW220">
        <v>128</v>
      </c>
      <c r="AZ220" t="str">
        <f>IFERROR(IF(Crops[[#This Row],[Tray 1 Days]]=0,"",Crops[[#This Row],[Plantings Per Bed]]/Crops[[#This Row],[Tray 1 Size]]*Crops[[#This Row],[Safety Factor]]),"")</f>
        <v/>
      </c>
      <c r="BC220" t="str">
        <f>IFERROR(IF(Crops[[#This Row],[Tray 2 Days]]=0,"",Crops[[#This Row],[Plantings Per Bed]]/Crops[[#This Row],[Tray 2 Size]]*Crops[[#This Row],[Safety Factor]]),"")</f>
        <v/>
      </c>
      <c r="BE220" s="32" t="str">
        <f>IF(NOT(ISBLANK(Crops[[#This Row],[Tray 3 Size]])), Crops[[#This Row],[Days in Cells Old]]-SUM(Crops[[#This Row],[Tray 1 Days]],Crops[[#This Row],[Tray 2 Days]]), "")</f>
        <v/>
      </c>
      <c r="BF220" t="str">
        <f>IFERROR(IF(Crops[[#This Row],[Tray 3 Days]]=0,"",Crops[[#This Row],[Plantings Per Bed]]/Crops[[#This Row],[Tray 3 Size]]*Crops[[#This Row],[Safety Factor]]),"")</f>
        <v/>
      </c>
      <c r="BG220" s="33"/>
      <c r="BH220" s="33"/>
      <c r="BI220" s="33"/>
      <c r="BJ220" s="33" t="e">
        <f>_xlfn.XLOOKUP(Crops[[#This Row],[ProductIndex]],Products[ID],Products[Holding Period])</f>
        <v>#N/A</v>
      </c>
      <c r="BK220" s="33"/>
      <c r="BL220" s="33">
        <f>Crops[[#This Row],[Units Per Harvest]]*Crops[[#This Row],[Harvests]]</f>
        <v>0</v>
      </c>
      <c r="BM220" s="35"/>
      <c r="BN220" s="35">
        <f>Crops[[#This Row],[Direct Price]]*0.6</f>
        <v>0</v>
      </c>
      <c r="BO220" s="35"/>
      <c r="BP220" t="s">
        <v>213</v>
      </c>
      <c r="BQ220">
        <f>Crops[[#This Row],[Custom Yield Per Bed]]*Crops[[#This Row],[Direct Price]]</f>
        <v>0</v>
      </c>
      <c r="BR220" t="b">
        <v>0</v>
      </c>
      <c r="BS220" t="b">
        <f>Crops[[#This Row],[Harvests]]&gt;1</f>
        <v>0</v>
      </c>
      <c r="BT220" s="36">
        <f>IFERROR(Crops[[#This Row],[Direct Revenue Per Bed]]/Crops[[#This Row],[Days In Field]],-1)</f>
        <v>0</v>
      </c>
      <c r="BU220" s="36">
        <f>IFERROR(Crops[[#This Row],[Direct Revenue Per Bed Day]]*GrowingDays*BedsPerAcre,"")</f>
        <v>0</v>
      </c>
      <c r="BV220" s="38">
        <f>LastFrostDate-5*Crops[[#This Row],[Sewing Rel Last Frost]]</f>
        <v>45748</v>
      </c>
      <c r="BW220" s="38">
        <f>Crops[[#This Row],[Target Sewing Date]]+Crops[[#This Row],[Days in Cells]]</f>
        <v>45748</v>
      </c>
      <c r="BX220" s="38">
        <f>Crops[[#This Row],[Target Sewing Date]]+Crops[[#This Row],[STH]]</f>
        <v>45833</v>
      </c>
      <c r="BY220" s="38">
        <f>Crops[[#This Row],[Target Harvest Data]]+Crops[[#This Row],[Harvest window]]</f>
        <v>45840</v>
      </c>
      <c r="BZ220">
        <v>0</v>
      </c>
      <c r="CB220">
        <f>1</f>
        <v>1</v>
      </c>
      <c r="CC220">
        <f>IF(Crops[[#This Row],[Transplanting]]&gt;0, 2, 3)*BedLength/StandardBedLength</f>
        <v>1.5</v>
      </c>
      <c r="CD220" s="173">
        <f>IF(Crops[[#This Row],[Days in Cells]]&lt;=0,0,Crops[[#This Row],[Plantings Per Bed]]/StartsPerHourSeeding+Crops[[#This Row],[Tray 1 Count]]*5/60)</f>
        <v>0</v>
      </c>
      <c r="CE220" s="173">
        <f>IF(ISBLANK(Crops[[#This Row],[Tray 2 Days]]),0,Crops[[#This Row],[Plantings Per Bed]]/UpPottingPerHour)+IF(Crops[[#This Row],[Tray 3 Days]]="",0,Crops[[#This Row],[Plantings Per Bed]]/UpPottingPerHour)</f>
        <v>0</v>
      </c>
      <c r="CF220" s="173">
        <f>IFERROR(Crops[[#This Row],[Tray 1 Count]]/HomeStartFlatIrrigationPerHour,0)*Crops[[#This Row],[Days in Cells]]/DaysBetweenStartIrrigation</f>
        <v>0</v>
      </c>
      <c r="CG220" s="173">
        <f>0.5/16*MAX(Crops[[#This Row],[Tray 1 Count]],Crops[[#This Row],[Tray 2 Count]],Crops[[#This Row],[Tray 3 Count]])</f>
        <v>0</v>
      </c>
      <c r="CH220" s="173">
        <f>IF(Crops[[#This Row],[Days in Cells]]&gt;0,IF(IF(Crops[[#This Row],[Tray 3 Size]]&gt;0,Crops[[#This Row],[Tray 3 Size]],IF(Crops[[#This Row],[Tray 2 Size]]&gt;0,Crops[[#This Row],[Tray 2 Size]],Crops[[#This Row],[Tray 1 Size]]))&lt;=18,LargeTransplantTime,SmallTransplantTime)*Crops[[#This Row],[Plantings Per Bed]],0)</f>
        <v>0</v>
      </c>
      <c r="CI220" s="173"/>
      <c r="CJ220" s="173">
        <f>_xlfn.XLOOKUP(Crops[[#This Row],[Trellis Type]],TrellisMethods[Trellis Type],TrellisMethods[Hours],0,0)</f>
        <v>0</v>
      </c>
      <c r="CK220">
        <f>IF(Crops[[#This Row],[Days in Cells]]&lt;=0,Crops[[#This Row],[Rows]]*1/10,0)*BedLength/50</f>
        <v>0.4</v>
      </c>
      <c r="CL220" cm="1">
        <f t="array" ref="CL220">_xlfn.SWITCH(Crops[[#This Row],[Irrigation]],"DR", 0.5, "OH", 0.25,0)*BedLength/50</f>
        <v>0</v>
      </c>
      <c r="CM220">
        <f>IF(OR(ISBLANK(Crops[[#This Row],[Row Cover]]),Crops[[#This Row],[Row Cover]]="None"),0,1)*BedLength/50</f>
        <v>0</v>
      </c>
      <c r="CN220" s="173">
        <f>HoursPerWeedingPass*Crops[[#This Row],[Days In Field]]/14*Crops[[#This Row],[Rows]]+1*BedLength/50</f>
        <v>5.3809523809523805</v>
      </c>
      <c r="CQ220" s="37" t="e">
        <f>_xlfn.XLOOKUP(Crops[[#This Row],[Crop]]&amp;Crops[[#This Row],[Product]]&amp;Crops[[#This Row],[Unit]],Products[ID],Products[Marketing (hr)])*Crops[[#This Row],[Direct Revenue Per Bed]]/2000</f>
        <v>#N/A</v>
      </c>
      <c r="CR220" s="37" t="e">
        <f>_xlfn.XLOOKUP(Crops[[#This Row],[Crop]]&amp;Crops[[#This Row],[Product]]&amp;Crops[[#This Row],[Unit]],Products[ID],Products[Harvest (s)])*Crops[[#This Row],[Custom Yield Per Bed]]/3600</f>
        <v>#N/A</v>
      </c>
      <c r="CS220" s="37" t="e">
        <f>_xlfn.XLOOKUP(Crops[[#This Row],[Crop]]&amp;Crops[[#This Row],[Product]]&amp;Crops[[#This Row],[Unit]],Products[ID],Products[Bunch (s)])*Crops[[#This Row],[Custom Yield Per Bed]]/3600</f>
        <v>#N/A</v>
      </c>
      <c r="CT220" s="37" t="e">
        <f>_xlfn.XLOOKUP(Crops[[#This Row],[Crop]]&amp;Crops[[#This Row],[Product]]&amp;Crops[[#This Row],[Unit]],Products[ID],Products[Haul (s)])*Crops[[#This Row],[Custom Yield Per Bed]]/3600</f>
        <v>#N/A</v>
      </c>
      <c r="CU220" s="37" t="e">
        <f>_xlfn.XLOOKUP(Crops[[#This Row],[Crop]]&amp;Crops[[#This Row],[Product]]&amp;Crops[[#This Row],[Unit]],Products[ID],Products[Wash (s)])*Crops[[#This Row],[Custom Yield Per Bed]]/3600</f>
        <v>#N/A</v>
      </c>
      <c r="CV220" s="37" t="e">
        <f>_xlfn.XLOOKUP(Crops[[#This Row],[Crop]]&amp;Crops[[#This Row],[Product]]&amp;Crops[[#This Row],[Unit]],Products[ID],Products[Condition (s)])*Crops[[#This Row],[Custom Yield Per Bed]]/3600</f>
        <v>#N/A</v>
      </c>
      <c r="CW220" s="37" t="e">
        <f>_xlfn.XLOOKUP(Crops[[#This Row],[Crop]]&amp;Crops[[#This Row],[Product]]&amp;Crops[[#This Row],[Unit]],Products[ID],Products[Trim (s)])*Crops[[#This Row],[Custom Yield Per Bed]]/3600</f>
        <v>#N/A</v>
      </c>
      <c r="CX220" s="37" t="e">
        <f>_xlfn.XLOOKUP(Crops[[#This Row],[Crop]]&amp;Crops[[#This Row],[Product]]&amp;Crops[[#This Row],[Unit]],Products[ID],Products[Pack (s)])*Crops[[#This Row],[Custom Yield Per Bed]]/3600</f>
        <v>#N/A</v>
      </c>
      <c r="CY220" s="37" t="e">
        <f>_xlfn.XLOOKUP(Crops[[#This Row],[Crop]]&amp;Crops[[#This Row],[Product]]&amp;Crops[[#This Row],[Unit]],Products[ID],Products[Clean (s)])*Crops[[#This Row],[Custom Yield Per Bed]]/3600</f>
        <v>#N/A</v>
      </c>
      <c r="CZ220" s="37" t="e">
        <f>_xlfn.XLOOKUP(Crops[[#This Row],[Crop]]&amp;Crops[[#This Row],[Product]]&amp;Crops[[#This Row],[Unit]],Products[ID],Products[Rehandle (s)])*Crops[[#This Row],[Custom Yield Per Bed]]/3600</f>
        <v>#N/A</v>
      </c>
      <c r="DA220" s="37" t="e">
        <f>_xlfn.XLOOKUP(Crops[[#This Row],[Crop]]&amp;Crops[[#This Row],[Product]]&amp;Crops[[#This Row],[Unit]],Products[ID],Products[Market Transport (s)])*Crops[[#This Row],[Custom Yield Per Bed]]/3600</f>
        <v>#N/A</v>
      </c>
      <c r="DC220" s="37">
        <f>Crops[[#This Row],[Direct Revenue Per Bed2]]</f>
        <v>0</v>
      </c>
      <c r="DD220" s="173">
        <f>_xlfn.AGGREGATE(9,6,Crops[[#This Row],[Bed Prep]:[Remove Crop Residue]])</f>
        <v>7.28095238095238</v>
      </c>
      <c r="DE220" s="173" t="e">
        <f>_xlfn.AGGREGATE(9,6,Crops[[#This Row],[Bed Prep]:[Remove Crop Residue]])-0.75*Crops[[#This Row],[Market &amp; Sell]]</f>
        <v>#N/A</v>
      </c>
      <c r="DF220" s="36">
        <f>Crops[[#This Row],[Direct Revenue Per Bed2]]/Crops[[#This Row],[Direct Time]]</f>
        <v>0</v>
      </c>
      <c r="DG220" s="36" t="e">
        <f>_xlfn.XLOOKUP(Crops[[#This Row],[ProductIndex]],Products[ID],Products[Packaging Cost])*(Crops[[#This Row],[Custom Yield Per Bed]]/_xlfn.XLOOKUP(Crops[[#This Row],[ProductIndex]],Products[ID],Products[Units Per Pack]))</f>
        <v>#N/A</v>
      </c>
      <c r="DH220" s="36"/>
      <c r="DI220" s="36"/>
      <c r="DJ220" s="36"/>
      <c r="DK220" s="36"/>
      <c r="DL220" s="36"/>
      <c r="DM220" s="33">
        <f>IFERROR(Crops[[#This Row],[Custom Yield Per Bed]]*Crops[[#This Row],[Direct Price]],"")</f>
        <v>0</v>
      </c>
      <c r="DN220" s="36">
        <f>Crops[[#This Row],[Direct Time]]*LaborRate</f>
        <v>182.02380952380949</v>
      </c>
      <c r="DO220" s="36">
        <f>SUM(Crops[[#This Row],[Irrigation Cost]])</f>
        <v>0</v>
      </c>
      <c r="DP220" s="36">
        <f>Crops[[#This Row],[Direct Labor Cost]]+Crops[[#This Row],[Direct Non-Labor Cost]]</f>
        <v>182.02380952380949</v>
      </c>
      <c r="DQ220" s="36">
        <f>Crops[[#This Row],[Direct Revenue Per Bed2]]-Crops[[#This Row],[Direct Total Cost]]</f>
        <v>-182.02380952380949</v>
      </c>
      <c r="DR220" s="36">
        <f>Crops[[#This Row],[Direct Profit]]*BedsPerAcre</f>
        <v>-29123.809523809519</v>
      </c>
      <c r="DS220" s="36">
        <f>Crops[[#This Row],[Direct Profit]]*BedsPerAcre*GrowingDays/Crops[[#This Row],[Days In Field]]</f>
        <v>-56981.366459627323</v>
      </c>
      <c r="DT220" s="36">
        <f>Crops[[#This Row],[Direct Profit]]/MIN(Crops[[#This Row],[Days In Field]],GrowingDays)</f>
        <v>-1.9785196687370596</v>
      </c>
      <c r="DU220" s="36">
        <f>Crops[[#This Row],[Direct Time]] * BedsPerAcre</f>
        <v>1164.9523809523807</v>
      </c>
      <c r="DV220" s="36">
        <f>(Crops[[#This Row],[Direct Revenue Per Bed2]]-Crops[[#This Row],[Direct Non-Labor Cost]])/Crops[[#This Row],[Direct Time]]</f>
        <v>0</v>
      </c>
      <c r="DW220" s="33">
        <f>IFERROR(Crops[[#This Row],[Custom Yield Per Bed]]*Crops[[#This Row],[Rough Wholesale Price]],"")</f>
        <v>0</v>
      </c>
      <c r="DX220" s="36" t="e">
        <f>Crops[[#This Row],[Wholesale Time]]*LaborRate</f>
        <v>#N/A</v>
      </c>
      <c r="DY220" s="36" t="e">
        <f>SUM(Crops[[#This Row],[Packaging Costs]:[Irrigation Cost]])</f>
        <v>#N/A</v>
      </c>
      <c r="DZ220" s="36" t="e">
        <f>Crops[[#This Row],[Wholesale Labor Cost]]+Crops[[#This Row],[Wholesale Non-Labor Cost]]</f>
        <v>#N/A</v>
      </c>
      <c r="EA220" s="36" t="e">
        <f>Crops[[#This Row],[Wholesale Revenue Per Bed]]-Crops[[#This Row],[Wholesale Total Cost]]</f>
        <v>#N/A</v>
      </c>
      <c r="EB220" s="36" t="e">
        <f>Crops[[#This Row],[Wholesale Profit]]*BedsPerAcre</f>
        <v>#N/A</v>
      </c>
      <c r="EC220" s="36" t="e">
        <f>Crops[[#This Row],[Wholesale Profit]]*BedsPerAcre*GrowingDays/Crops[[#This Row],[Days In Field]]</f>
        <v>#N/A</v>
      </c>
      <c r="ED220" s="36" t="e">
        <f>Crops[[#This Row],[Wholesale Time]] * BedsPerAcre</f>
        <v>#N/A</v>
      </c>
      <c r="EE220" s="36" t="e">
        <f>Crops[[#This Row],[Wholesale Profit]]/MIN(Crops[[#This Row],[Days In Field]],GrowingDays)</f>
        <v>#N/A</v>
      </c>
      <c r="EF220" s="36" t="e">
        <f>(Crops[[#This Row],[Wholesale Revenue Per Bed]]-Crops[[#This Row],[Wholesale Non-Labor Cost]])/Crops[[#This Row],[Direct Time]]</f>
        <v>#N/A</v>
      </c>
      <c r="EG220" s="174" t="e">
        <f>Crops[[#This Row],[Packaging Costs]]/Crops[[#This Row],[Wholesale Revenue Per Bed]]</f>
        <v>#N/A</v>
      </c>
      <c r="EH220" s="36" t="str">
        <f>Crops[[#This Row],[Crop]]&amp;Crops[[#This Row],[Product]]&amp;Crops[[#This Row],[Unit]]</f>
        <v>NigellaMature StalkStem</v>
      </c>
      <c r="EI220" s="36" t="e">
        <f>_xlfn.XLOOKUP(Crops[[#This Row],[ProductIndex]],Products[ID],Products[Target])</f>
        <v>#N/A</v>
      </c>
      <c r="EJ220" s="36">
        <f>Crops[[#This Row],[Custom Yield Per Bed]]</f>
        <v>0</v>
      </c>
      <c r="EK220" s="210" t="e">
        <f>Crops[[#This Row],[Units Per Harvest]]/Crops[[#This Row],[Days Between Harvest]]*7</f>
        <v>#DIV/0!</v>
      </c>
      <c r="EL220" s="210" t="e">
        <f>Crops[[#This Row],[Custom Yield Per Bed]]/_xlfn.XLOOKUP(Crops[[#This Row],[ProductIndex]],Products[ID],Products[CSA Portion])</f>
        <v>#N/A</v>
      </c>
      <c r="EM220" s="210" t="e">
        <f>Crops[[#This Row],[Units Per Harvest]]/Crops[[#This Row],[Days Between Harvest]]*7/_xlfn.XLOOKUP(Crops[[#This Row],[ProductIndex]],Products[ID],Products[CSA Portion])</f>
        <v>#DIV/0!</v>
      </c>
      <c r="EN220" s="210" t="e">
        <f>Crops[[#This Row],[CSA Portions Per Week]]/CSAMembers</f>
        <v>#DIV/0!</v>
      </c>
      <c r="EO220" s="210"/>
      <c r="EP220" s="210"/>
      <c r="EQ220" s="36"/>
      <c r="ER220" s="36">
        <f>Crops[[#This Row],[Harvests]]*Crops[[#This Row],[Days Between Harvest]]/7</f>
        <v>0</v>
      </c>
      <c r="ES220" s="208" t="e">
        <f>_xlfn.XLOOKUP(Crops[[#This Row],[ProductIndex]],Products[ID],Products[CSA Need])</f>
        <v>#N/A</v>
      </c>
      <c r="ET220" s="208" t="e">
        <f>_xlfn.XLOOKUP(Crops[[#This Row],[ProductIndex]],Products[ID],Products[CSA Times])</f>
        <v>#N/A</v>
      </c>
      <c r="EU220" s="208" t="e">
        <f>Crops[[#This Row],[Custom Yield Per Bed]]/(Crops[[#This Row],[CSA Need]]*(_xlfn.XLOOKUP(Crops[[#This Row],[ProductIndex]],Products[ID],Products[CSA Portion])*CSAMembers))</f>
        <v>#N/A</v>
      </c>
      <c r="EV220" s="208" t="e">
        <f>_xlfn.XLOOKUP(Crops[[#This Row],[ProductIndex]],Products[ID],Products[CSA Portion])*CSAMembers*Crops[[#This Row],[CSA Need]]/Crops[[#This Row],[Custom Yield Per Bed]]</f>
        <v>#N/A</v>
      </c>
      <c r="EW220" s="208" t="str">
        <f>IFERROR(Crops[[#This Row],[Days In Field]]*Crops[[#This Row],[CSA Beds]],"")</f>
        <v/>
      </c>
      <c r="EX220" s="208" t="e">
        <f>Crops[[#This Row],[CSA Bed Days]]*#REF!</f>
        <v>#VALUE!</v>
      </c>
      <c r="EY220" t="s">
        <v>298</v>
      </c>
    </row>
    <row r="221" spans="1:155">
      <c r="A22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Nigella - Mature Stem 1X | Field DS Sp</v>
      </c>
      <c r="B221" s="189"/>
      <c r="C221" s="1"/>
      <c r="D221" s="1"/>
      <c r="E221" s="1" t="b">
        <v>0</v>
      </c>
      <c r="F221" s="1" t="b">
        <f>IFERROR(IF(ISNUMBER(MATCH(Crops[[#This Row],[Identifier]],BedPlan[Crop], 0)), TRUE, FALSE), FALSE)</f>
        <v>0</v>
      </c>
      <c r="G221" s="1" t="b">
        <f>IFERROR(IF(ISNUMBER(MATCH(Crops[[#This Row],[Identifier]],BedPlan[Crop], 0)), TRUE, FALSE), FALSE)</f>
        <v>0</v>
      </c>
      <c r="H221" s="1"/>
      <c r="I221" t="s">
        <v>104</v>
      </c>
      <c r="J221" t="s">
        <v>145</v>
      </c>
      <c r="K221" t="s">
        <v>181</v>
      </c>
      <c r="M221" t="s">
        <v>406</v>
      </c>
      <c r="N221" t="str">
        <f>Crops[[#This Row],[Crop]]</f>
        <v>Nigella</v>
      </c>
      <c r="O221" t="s">
        <v>210</v>
      </c>
      <c r="P221" t="str">
        <f>IF(OR(Crops[[#This Row],[Days in Cells]]="",Crops[[#This Row],[Days in Cells]]=0), "DS","TP")</f>
        <v>DS</v>
      </c>
      <c r="Q221" t="b">
        <v>1</v>
      </c>
      <c r="V221" t="str">
        <f xml:space="preserve"> IF(Crops[[#This Row],[Sp]], "Sp", "") &amp; IF(Crops[[#This Row],[Su]], "Su", "") &amp; IF(Crops[[#This Row],[Fa]], "Fa", "") &amp; IF(Crops[[#This Row],[Wi]], "Wi", "") &amp; IF(Crops[[#This Row],[OW]], "Ow","")</f>
        <v>Sp</v>
      </c>
      <c r="W221" t="s">
        <v>144</v>
      </c>
      <c r="X221">
        <v>4</v>
      </c>
      <c r="Y221">
        <v>6</v>
      </c>
      <c r="AA221" t="s">
        <v>474</v>
      </c>
      <c r="AB221" t="b">
        <v>1</v>
      </c>
      <c r="AC221">
        <v>4</v>
      </c>
      <c r="AD221" s="32">
        <f>IFERROR(12/Crops[[#This Row],[Spacing]]*Crops[[#This Row],[Rows]]*BedLength,"")</f>
        <v>400</v>
      </c>
      <c r="AE221">
        <v>1</v>
      </c>
      <c r="AG221">
        <f>IF(Crops[[#This Row],[Custom Safety Factor]]="",PlantingSafetyFactor,Crops[[#This Row],[Custom Safety Factor]])</f>
        <v>1.3</v>
      </c>
      <c r="AH221">
        <f>1</f>
        <v>1</v>
      </c>
      <c r="AI221" s="33">
        <f>IFERROR(Crops[[#This Row],[Plantings Per Bed]]*Crops[[#This Row],[Seeds Per Planting]]*Crops[[#This Row],[Safety Factor]]*Crops[[#This Row],[Seeding Factor]],"")</f>
        <v>520</v>
      </c>
      <c r="AJ221">
        <v>10</v>
      </c>
      <c r="AK221">
        <v>14</v>
      </c>
      <c r="AL221">
        <f>_xlfn.FLOOR.MATH(IFERROR(AVERAGE(Crops[[#This Row],[DTG Lower]:[DTG Upper]]),0))</f>
        <v>12</v>
      </c>
      <c r="AM221">
        <f>SUM(Crops[[#This Row],[Tray 1 Days]],Crops[[#This Row],[Tray 2 Days]],Crops[[#This Row],[Tray 3 Days]])</f>
        <v>0</v>
      </c>
      <c r="AN221" s="32"/>
      <c r="AO221">
        <v>65</v>
      </c>
      <c r="AP221">
        <v>75</v>
      </c>
      <c r="AQ221">
        <f>IFERROR(_xlfn.FLOOR.MATH(AVERAGE(Crops[[#This Row],[DTM Lower]:[DTM Upper]])),"")</f>
        <v>70</v>
      </c>
      <c r="AR221" cm="1">
        <f t="array" ref="AR221">_xlfn.SWITCH(Crops[[#This Row],[Normal Method]],"DS",Crops[[#This Row],[Days to Germination]]+Crops[[#This Row],[DTM]] + IF(Crops[[#This Row],[Days in Cells]]&gt;0,15,0), "TP",Crops[[#This Row],[DTM]]+Crops[[#This Row],[Days in Cells]] + IF(Crops[[#This Row],[Days in Cells]]&lt;=0,20,0), "X", Crops[[#This Row],[DTM]])</f>
        <v>82</v>
      </c>
      <c r="AS221" t="s">
        <v>338</v>
      </c>
      <c r="AT221">
        <f>(Crops[[#This Row],[Harvests]]-1)*Crops[[#This Row],[Days Between Harvest]]+7</f>
        <v>35</v>
      </c>
      <c r="AU221">
        <f>Crops[[#This Row],[STH]]-Crops[[#This Row],[Days in Cells]]+Crops[[#This Row],[Harvest window]]</f>
        <v>117</v>
      </c>
      <c r="AW221">
        <v>128</v>
      </c>
      <c r="AZ221" t="str">
        <f>IFERROR(IF(Crops[[#This Row],[Tray 1 Days]]=0,"",Crops[[#This Row],[Plantings Per Bed]]/Crops[[#This Row],[Tray 1 Size]]*Crops[[#This Row],[Safety Factor]]),"")</f>
        <v/>
      </c>
      <c r="BC221" t="str">
        <f>IFERROR(IF(Crops[[#This Row],[Tray 2 Days]]=0,"",Crops[[#This Row],[Plantings Per Bed]]/Crops[[#This Row],[Tray 2 Size]]*Crops[[#This Row],[Safety Factor]]),"")</f>
        <v/>
      </c>
      <c r="BE221" s="32" t="str">
        <f>IF(NOT(ISBLANK(Crops[[#This Row],[Tray 3 Size]])), Crops[[#This Row],[Days in Cells Old]]-SUM(Crops[[#This Row],[Tray 1 Days]],Crops[[#This Row],[Tray 2 Days]]), "")</f>
        <v/>
      </c>
      <c r="BF221" t="str">
        <f>IFERROR(IF(Crops[[#This Row],[Tray 3 Days]]=0,"",Crops[[#This Row],[Plantings Per Bed]]/Crops[[#This Row],[Tray 3 Size]]*Crops[[#This Row],[Safety Factor]]),"")</f>
        <v/>
      </c>
      <c r="BG221" s="33">
        <f>Crops[[#This Row],[Plantings Per Bed]]</f>
        <v>400</v>
      </c>
      <c r="BH221" s="33">
        <v>5</v>
      </c>
      <c r="BI221" s="33">
        <v>7</v>
      </c>
      <c r="BJ221" s="33">
        <f>_xlfn.XLOOKUP(Crops[[#This Row],[ProductIndex]],Products[ID],Products[Holding Period])</f>
        <v>0</v>
      </c>
      <c r="BK221" s="33"/>
      <c r="BL221" s="33">
        <f>Crops[[#This Row],[Units Per Harvest]]*Crops[[#This Row],[Harvests]]</f>
        <v>2000</v>
      </c>
      <c r="BM221" s="35">
        <v>1</v>
      </c>
      <c r="BN221" s="35">
        <f>Crops[[#This Row],[Direct Price]]*0.6</f>
        <v>0.6</v>
      </c>
      <c r="BO221" s="35"/>
      <c r="BP221" t="s">
        <v>213</v>
      </c>
      <c r="BQ221">
        <f>Crops[[#This Row],[Custom Yield Per Bed]]*Crops[[#This Row],[Direct Price]]</f>
        <v>2000</v>
      </c>
      <c r="BR221" t="b">
        <v>0</v>
      </c>
      <c r="BS221" t="b">
        <f>Crops[[#This Row],[Harvests]]&gt;1</f>
        <v>1</v>
      </c>
      <c r="BT221" s="36">
        <f>IFERROR(Crops[[#This Row],[Direct Revenue Per Bed]]/Crops[[#This Row],[Days In Field]],-1)</f>
        <v>17.094017094017094</v>
      </c>
      <c r="BU221" s="36">
        <f>IFERROR(Crops[[#This Row],[Direct Revenue Per Bed Day]]*GrowingDays*BedsPerAcre,"")</f>
        <v>492307.69230769225</v>
      </c>
      <c r="BV221" s="38">
        <f>LastFrostDate-5*Crops[[#This Row],[Sewing Rel Last Frost]]</f>
        <v>45748</v>
      </c>
      <c r="BW221" s="38">
        <f>Crops[[#This Row],[Target Sewing Date]]+Crops[[#This Row],[Days in Cells]]</f>
        <v>45748</v>
      </c>
      <c r="BX221" s="38">
        <f>Crops[[#This Row],[Target Sewing Date]]+Crops[[#This Row],[STH]]</f>
        <v>45830</v>
      </c>
      <c r="BY221" s="38">
        <f>Crops[[#This Row],[Target Harvest Data]]+Crops[[#This Row],[Harvest window]]</f>
        <v>45865</v>
      </c>
      <c r="BZ221">
        <v>0</v>
      </c>
      <c r="CB221">
        <f>1</f>
        <v>1</v>
      </c>
      <c r="CC221">
        <f>IF(Crops[[#This Row],[Transplanting]]&gt;0, 2, 3)*BedLength/StandardBedLength</f>
        <v>1.5</v>
      </c>
      <c r="CD221" s="173">
        <f>IF(Crops[[#This Row],[Days in Cells]]&lt;=0,0,Crops[[#This Row],[Plantings Per Bed]]/StartsPerHourSeeding+Crops[[#This Row],[Tray 1 Count]]*5/60)</f>
        <v>0</v>
      </c>
      <c r="CE221" s="173">
        <f>IF(ISBLANK(Crops[[#This Row],[Tray 2 Days]]),0,Crops[[#This Row],[Plantings Per Bed]]/UpPottingPerHour)+IF(Crops[[#This Row],[Tray 3 Days]]="",0,Crops[[#This Row],[Plantings Per Bed]]/UpPottingPerHour)</f>
        <v>0</v>
      </c>
      <c r="CF221" s="173">
        <f>IFERROR(Crops[[#This Row],[Tray 1 Count]]/HomeStartFlatIrrigationPerHour,0)*Crops[[#This Row],[Days in Cells]]/DaysBetweenStartIrrigation</f>
        <v>0</v>
      </c>
      <c r="CG221" s="173">
        <f>0.5/16*MAX(Crops[[#This Row],[Tray 1 Count]],Crops[[#This Row],[Tray 2 Count]],Crops[[#This Row],[Tray 3 Count]])</f>
        <v>0</v>
      </c>
      <c r="CH221" s="173">
        <f>IF(Crops[[#This Row],[Days in Cells]]&gt;0,IF(IF(Crops[[#This Row],[Tray 3 Size]]&gt;0,Crops[[#This Row],[Tray 3 Size]],IF(Crops[[#This Row],[Tray 2 Size]]&gt;0,Crops[[#This Row],[Tray 2 Size]],Crops[[#This Row],[Tray 1 Size]]))&lt;=18,LargeTransplantTime,SmallTransplantTime)*Crops[[#This Row],[Plantings Per Bed]],0)</f>
        <v>0</v>
      </c>
      <c r="CI221" s="173"/>
      <c r="CJ221" s="173">
        <f>_xlfn.XLOOKUP(Crops[[#This Row],[Trellis Type]],TrellisMethods[Trellis Type],TrellisMethods[Hours],0,0)</f>
        <v>0</v>
      </c>
      <c r="CK221">
        <f>IF(Crops[[#This Row],[Days in Cells]]&lt;=0,Crops[[#This Row],[Rows]]*1/10,0)*BedLength/50</f>
        <v>0.4</v>
      </c>
      <c r="CL221" cm="1">
        <f t="array" ref="CL221">_xlfn.SWITCH(Crops[[#This Row],[Irrigation]],"DR", 0.5, "OH", 0.25,0)*BedLength/50</f>
        <v>0</v>
      </c>
      <c r="CM221">
        <f>IF(OR(ISBLANK(Crops[[#This Row],[Row Cover]]),Crops[[#This Row],[Row Cover]]="None"),0,1)*BedLength/50</f>
        <v>0</v>
      </c>
      <c r="CN221" s="173">
        <f>HoursPerWeedingPass*Crops[[#This Row],[Days In Field]]/14*Crops[[#This Row],[Rows]]+1*BedLength/50</f>
        <v>6.5714285714285712</v>
      </c>
      <c r="CQ221" s="37">
        <f>_xlfn.XLOOKUP(Crops[[#This Row],[Crop]]&amp;Crops[[#This Row],[Product]]&amp;Crops[[#This Row],[Unit]],Products[ID],Products[Marketing (hr)])*Crops[[#This Row],[Direct Revenue Per Bed]]/2000</f>
        <v>6</v>
      </c>
      <c r="CR221" s="37">
        <f>_xlfn.XLOOKUP(Crops[[#This Row],[Crop]]&amp;Crops[[#This Row],[Product]]&amp;Crops[[#This Row],[Unit]],Products[ID],Products[Harvest (s)])*Crops[[#This Row],[Custom Yield Per Bed]]/3600</f>
        <v>2.7777777777777777</v>
      </c>
      <c r="CS221" s="37">
        <f>_xlfn.XLOOKUP(Crops[[#This Row],[Crop]]&amp;Crops[[#This Row],[Product]]&amp;Crops[[#This Row],[Unit]],Products[ID],Products[Bunch (s)])*Crops[[#This Row],[Custom Yield Per Bed]]/3600</f>
        <v>0</v>
      </c>
      <c r="CT221" s="37">
        <f>_xlfn.XLOOKUP(Crops[[#This Row],[Crop]]&amp;Crops[[#This Row],[Product]]&amp;Crops[[#This Row],[Unit]],Products[ID],Products[Haul (s)])*Crops[[#This Row],[Custom Yield Per Bed]]/3600</f>
        <v>0.625</v>
      </c>
      <c r="CU221" s="37">
        <f>_xlfn.XLOOKUP(Crops[[#This Row],[Crop]]&amp;Crops[[#This Row],[Product]]&amp;Crops[[#This Row],[Unit]],Products[ID],Products[Wash (s)])*Crops[[#This Row],[Custom Yield Per Bed]]/3600</f>
        <v>0</v>
      </c>
      <c r="CV221" s="37">
        <f>_xlfn.XLOOKUP(Crops[[#This Row],[Crop]]&amp;Crops[[#This Row],[Product]]&amp;Crops[[#This Row],[Unit]],Products[ID],Products[Condition (s)])*Crops[[#This Row],[Custom Yield Per Bed]]/3600</f>
        <v>0</v>
      </c>
      <c r="CW221" s="37">
        <f>_xlfn.XLOOKUP(Crops[[#This Row],[Crop]]&amp;Crops[[#This Row],[Product]]&amp;Crops[[#This Row],[Unit]],Products[ID],Products[Trim (s)])*Crops[[#This Row],[Custom Yield Per Bed]]/3600</f>
        <v>1.6666666666666667</v>
      </c>
      <c r="CX221" s="37">
        <f>_xlfn.XLOOKUP(Crops[[#This Row],[Crop]]&amp;Crops[[#This Row],[Product]]&amp;Crops[[#This Row],[Unit]],Products[ID],Products[Pack (s)])*Crops[[#This Row],[Custom Yield Per Bed]]/3600</f>
        <v>1.6666666666666667</v>
      </c>
      <c r="CY221" s="37">
        <f>_xlfn.XLOOKUP(Crops[[#This Row],[Crop]]&amp;Crops[[#This Row],[Product]]&amp;Crops[[#This Row],[Unit]],Products[ID],Products[Clean (s)])*Crops[[#This Row],[Custom Yield Per Bed]]/3600</f>
        <v>0</v>
      </c>
      <c r="CZ221" s="37">
        <f>_xlfn.XLOOKUP(Crops[[#This Row],[Crop]]&amp;Crops[[#This Row],[Product]]&amp;Crops[[#This Row],[Unit]],Products[ID],Products[Rehandle (s)])*Crops[[#This Row],[Custom Yield Per Bed]]/3600</f>
        <v>0</v>
      </c>
      <c r="DA221" s="37">
        <f>_xlfn.XLOOKUP(Crops[[#This Row],[Crop]]&amp;Crops[[#This Row],[Product]]&amp;Crops[[#This Row],[Unit]],Products[ID],Products[Market Transport (s)])*Crops[[#This Row],[Custom Yield Per Bed]]/3600</f>
        <v>1.5625</v>
      </c>
      <c r="DC221" s="37">
        <f>Crops[[#This Row],[Direct Revenue Per Bed2]]</f>
        <v>2000</v>
      </c>
      <c r="DD221" s="173">
        <f>_xlfn.AGGREGATE(9,6,Crops[[#This Row],[Bed Prep]:[Remove Crop Residue]])</f>
        <v>22.770039682539686</v>
      </c>
      <c r="DE221" s="173">
        <f>_xlfn.AGGREGATE(9,6,Crops[[#This Row],[Bed Prep]:[Remove Crop Residue]])-0.75*Crops[[#This Row],[Market &amp; Sell]]</f>
        <v>18.270039682539686</v>
      </c>
      <c r="DF221" s="36">
        <f>Crops[[#This Row],[Direct Revenue Per Bed2]]/Crops[[#This Row],[Direct Time]]</f>
        <v>87.834717369141075</v>
      </c>
      <c r="DG221" s="36">
        <f>_xlfn.XLOOKUP(Crops[[#This Row],[ProductIndex]],Products[ID],Products[Packaging Cost])*(Crops[[#This Row],[Custom Yield Per Bed]]/_xlfn.XLOOKUP(Crops[[#This Row],[ProductIndex]],Products[ID],Products[Units Per Pack]))</f>
        <v>100</v>
      </c>
      <c r="DH221" s="36"/>
      <c r="DI221" s="36"/>
      <c r="DJ221" s="36"/>
      <c r="DK221" s="36"/>
      <c r="DL221" s="36"/>
      <c r="DM221" s="33">
        <f>IFERROR(Crops[[#This Row],[Custom Yield Per Bed]]*Crops[[#This Row],[Direct Price]],"")</f>
        <v>2000</v>
      </c>
      <c r="DN221" s="36">
        <f>Crops[[#This Row],[Direct Time]]*LaborRate</f>
        <v>569.25099206349216</v>
      </c>
      <c r="DO221" s="36">
        <f>SUM(Crops[[#This Row],[Irrigation Cost]])</f>
        <v>0</v>
      </c>
      <c r="DP221" s="36">
        <f>Crops[[#This Row],[Direct Labor Cost]]+Crops[[#This Row],[Direct Non-Labor Cost]]</f>
        <v>569.25099206349216</v>
      </c>
      <c r="DQ221" s="36">
        <f>Crops[[#This Row],[Direct Revenue Per Bed2]]-Crops[[#This Row],[Direct Total Cost]]</f>
        <v>1430.749007936508</v>
      </c>
      <c r="DR221" s="36">
        <f>Crops[[#This Row],[Direct Profit]]*BedsPerAcre</f>
        <v>228919.84126984127</v>
      </c>
      <c r="DS221" s="36">
        <f>Crops[[#This Row],[Direct Profit]]*BedsPerAcre*GrowingDays/Crops[[#This Row],[Days In Field]]</f>
        <v>352184.37118437118</v>
      </c>
      <c r="DT221" s="36">
        <f>Crops[[#This Row],[Direct Profit]]/MIN(Crops[[#This Row],[Days In Field]],GrowingDays)</f>
        <v>12.228623999457334</v>
      </c>
      <c r="DU221" s="36">
        <f>Crops[[#This Row],[Direct Time]] * BedsPerAcre</f>
        <v>3643.2063492063498</v>
      </c>
      <c r="DV221" s="36">
        <f>(Crops[[#This Row],[Direct Revenue Per Bed2]]-Crops[[#This Row],[Direct Non-Labor Cost]])/Crops[[#This Row],[Direct Time]]</f>
        <v>87.834717369141075</v>
      </c>
      <c r="DW221" s="33">
        <f>IFERROR(Crops[[#This Row],[Custom Yield Per Bed]]*Crops[[#This Row],[Rough Wholesale Price]],"")</f>
        <v>1200</v>
      </c>
      <c r="DX221" s="36">
        <f>Crops[[#This Row],[Wholesale Time]]*LaborRate</f>
        <v>456.75099206349216</v>
      </c>
      <c r="DY221" s="36">
        <f>SUM(Crops[[#This Row],[Packaging Costs]:[Irrigation Cost]])</f>
        <v>100</v>
      </c>
      <c r="DZ221" s="36">
        <f>Crops[[#This Row],[Wholesale Labor Cost]]+Crops[[#This Row],[Wholesale Non-Labor Cost]]</f>
        <v>556.75099206349216</v>
      </c>
      <c r="EA221" s="36">
        <f>Crops[[#This Row],[Wholesale Revenue Per Bed]]-Crops[[#This Row],[Wholesale Total Cost]]</f>
        <v>643.24900793650784</v>
      </c>
      <c r="EB221" s="36">
        <f>Crops[[#This Row],[Wholesale Profit]]*BedsPerAcre</f>
        <v>102919.84126984126</v>
      </c>
      <c r="EC221" s="36">
        <f>Crops[[#This Row],[Wholesale Profit]]*BedsPerAcre*GrowingDays/Crops[[#This Row],[Days In Field]]</f>
        <v>158338.21733821731</v>
      </c>
      <c r="ED221" s="36">
        <f>Crops[[#This Row],[Wholesale Time]] * BedsPerAcre</f>
        <v>2923.2063492063498</v>
      </c>
      <c r="EE221" s="36">
        <f>Crops[[#This Row],[Wholesale Profit]]/MIN(Crops[[#This Row],[Days In Field]],GrowingDays)</f>
        <v>5.497854768688101</v>
      </c>
      <c r="EF221" s="36">
        <f>(Crops[[#This Row],[Wholesale Revenue Per Bed]]-Crops[[#This Row],[Wholesale Non-Labor Cost]])/Crops[[#This Row],[Direct Time]]</f>
        <v>48.309094553027592</v>
      </c>
      <c r="EG221" s="174">
        <f>Crops[[#This Row],[Packaging Costs]]/Crops[[#This Row],[Wholesale Revenue Per Bed]]</f>
        <v>8.3333333333333329E-2</v>
      </c>
      <c r="EH221" s="36" t="str">
        <f>Crops[[#This Row],[Crop]]&amp;Crops[[#This Row],[Product]]&amp;Crops[[#This Row],[Unit]]</f>
        <v>NigellaMature StemStem</v>
      </c>
      <c r="EI221" s="36" t="b">
        <f>_xlfn.XLOOKUP(Crops[[#This Row],[ProductIndex]],Products[ID],Products[Target])</f>
        <v>1</v>
      </c>
      <c r="EJ221" s="36">
        <f>Crops[[#This Row],[Custom Yield Per Bed]]</f>
        <v>2000</v>
      </c>
      <c r="EK221" s="210">
        <f>Crops[[#This Row],[Units Per Harvest]]/Crops[[#This Row],[Days Between Harvest]]*7</f>
        <v>400</v>
      </c>
      <c r="EL221" s="210" t="e">
        <f>Crops[[#This Row],[Custom Yield Per Bed]]/_xlfn.XLOOKUP(Crops[[#This Row],[ProductIndex]],Products[ID],Products[CSA Portion])</f>
        <v>#DIV/0!</v>
      </c>
      <c r="EM221" s="210" t="e">
        <f>Crops[[#This Row],[Units Per Harvest]]/Crops[[#This Row],[Days Between Harvest]]*7/_xlfn.XLOOKUP(Crops[[#This Row],[ProductIndex]],Products[ID],Products[CSA Portion])</f>
        <v>#DIV/0!</v>
      </c>
      <c r="EN221" s="210" t="e">
        <f>Crops[[#This Row],[CSA Portions Per Week]]/CSAMembers</f>
        <v>#DIV/0!</v>
      </c>
      <c r="EO221" s="210"/>
      <c r="EP221" s="210"/>
      <c r="EQ221" s="36"/>
      <c r="ER221" s="36">
        <f>Crops[[#This Row],[Harvests]]*Crops[[#This Row],[Days Between Harvest]]/7</f>
        <v>5</v>
      </c>
      <c r="ES221" s="208">
        <f>_xlfn.XLOOKUP(Crops[[#This Row],[ProductIndex]],Products[ID],Products[CSA Need])</f>
        <v>0</v>
      </c>
      <c r="ET221" s="208">
        <f>_xlfn.XLOOKUP(Crops[[#This Row],[ProductIndex]],Products[ID],Products[CSA Times])</f>
        <v>0</v>
      </c>
      <c r="EU221" s="208" t="e">
        <f>Crops[[#This Row],[Custom Yield Per Bed]]/(Crops[[#This Row],[CSA Need]]*(_xlfn.XLOOKUP(Crops[[#This Row],[ProductIndex]],Products[ID],Products[CSA Portion])*CSAMembers))</f>
        <v>#DIV/0!</v>
      </c>
      <c r="EV221" s="208">
        <f>_xlfn.XLOOKUP(Crops[[#This Row],[ProductIndex]],Products[ID],Products[CSA Portion])*CSAMembers*Crops[[#This Row],[CSA Need]]/Crops[[#This Row],[Custom Yield Per Bed]]</f>
        <v>0</v>
      </c>
      <c r="EW221" s="208">
        <f>IFERROR(Crops[[#This Row],[Days In Field]]*Crops[[#This Row],[CSA Beds]],"")</f>
        <v>0</v>
      </c>
      <c r="EX221" s="208" t="e">
        <f>Crops[[#This Row],[CSA Bed Days]]*#REF!</f>
        <v>#REF!</v>
      </c>
      <c r="EY221" t="s">
        <v>297</v>
      </c>
    </row>
    <row r="222" spans="1:155">
      <c r="A222"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Nigella - Mature Stem 1X | Tunnel TP Ow</v>
      </c>
      <c r="B222" s="189"/>
      <c r="C222" s="1"/>
      <c r="D222" s="1"/>
      <c r="E222" s="1" t="b">
        <v>0</v>
      </c>
      <c r="F222" s="1" t="b">
        <f>IFERROR(IF(ISNUMBER(MATCH(Crops[[#This Row],[Identifier]],BedPlan[Crop], 0)), TRUE, FALSE), FALSE)</f>
        <v>0</v>
      </c>
      <c r="G222" s="1" t="b">
        <f>IFERROR(IF(ISNUMBER(MATCH(Crops[[#This Row],[Identifier]],BedPlan[Crop], 0)), TRUE, FALSE), FALSE)</f>
        <v>0</v>
      </c>
      <c r="H222" s="1"/>
      <c r="I222" t="s">
        <v>104</v>
      </c>
      <c r="J222" t="s">
        <v>145</v>
      </c>
      <c r="K222" t="s">
        <v>181</v>
      </c>
      <c r="M222" t="s">
        <v>406</v>
      </c>
      <c r="N222" t="str">
        <f>Crops[[#This Row],[Crop]]</f>
        <v>Nigella</v>
      </c>
      <c r="O222" t="s">
        <v>1413</v>
      </c>
      <c r="P222" t="str">
        <f>IF(OR(Crops[[#This Row],[Days in Cells]]="",Crops[[#This Row],[Days in Cells]]=0), "DS","TP")</f>
        <v>TP</v>
      </c>
      <c r="U222" t="b">
        <v>1</v>
      </c>
      <c r="V222" t="str">
        <f xml:space="preserve"> IF(Crops[[#This Row],[Sp]], "Sp", "") &amp; IF(Crops[[#This Row],[Su]], "Su", "") &amp; IF(Crops[[#This Row],[Fa]], "Fa", "") &amp; IF(Crops[[#This Row],[Wi]], "Wi", "") &amp; IF(Crops[[#This Row],[OW]], "Ow","")</f>
        <v>Ow</v>
      </c>
      <c r="W222" t="s">
        <v>144</v>
      </c>
      <c r="X222">
        <v>3</v>
      </c>
      <c r="Y222">
        <v>6</v>
      </c>
      <c r="AA222" t="s">
        <v>474</v>
      </c>
      <c r="AB222" t="b">
        <v>1</v>
      </c>
      <c r="AC222">
        <v>4</v>
      </c>
      <c r="AD222" s="32">
        <f>IFERROR(12/Crops[[#This Row],[Spacing]]*Crops[[#This Row],[Rows]]*BedLength,"")</f>
        <v>300</v>
      </c>
      <c r="AE222">
        <v>1</v>
      </c>
      <c r="AG222">
        <f>IF(Crops[[#This Row],[Custom Safety Factor]]="",PlantingSafetyFactor,Crops[[#This Row],[Custom Safety Factor]])</f>
        <v>1.3</v>
      </c>
      <c r="AH222">
        <f>1</f>
        <v>1</v>
      </c>
      <c r="AI222" s="33">
        <f>IFERROR(Crops[[#This Row],[Plantings Per Bed]]*Crops[[#This Row],[Seeds Per Planting]]*Crops[[#This Row],[Safety Factor]]*Crops[[#This Row],[Seeding Factor]],"")</f>
        <v>390</v>
      </c>
      <c r="AJ222">
        <v>10</v>
      </c>
      <c r="AK222">
        <v>14</v>
      </c>
      <c r="AL222">
        <f>_xlfn.FLOOR.MATH(IFERROR(AVERAGE(Crops[[#This Row],[DTG Lower]:[DTG Upper]]),0))</f>
        <v>12</v>
      </c>
      <c r="AM222">
        <f>SUM(Crops[[#This Row],[Tray 1 Days]],Crops[[#This Row],[Tray 2 Days]],Crops[[#This Row],[Tray 3 Days]])</f>
        <v>42</v>
      </c>
      <c r="AN222" s="32"/>
      <c r="AP222">
        <v>230</v>
      </c>
      <c r="AQ222">
        <f>IFERROR(_xlfn.FLOOR.MATH(AVERAGE(Crops[[#This Row],[DTM Lower]:[DTM Upper]])),"")</f>
        <v>230</v>
      </c>
      <c r="AR222" cm="1">
        <f t="array" ref="AR222">_xlfn.SWITCH(Crops[[#This Row],[Normal Method]],"DS",Crops[[#This Row],[Days to Germination]]+Crops[[#This Row],[DTM]] + IF(Crops[[#This Row],[Days in Cells]]&gt;0,15,0), "TP",Crops[[#This Row],[DTM]]+Crops[[#This Row],[Days in Cells]] + IF(Crops[[#This Row],[Days in Cells]]&lt;=0,20,0), "X", Crops[[#This Row],[DTM]])</f>
        <v>272</v>
      </c>
      <c r="AS222" t="s">
        <v>346</v>
      </c>
      <c r="AT222">
        <f>(Crops[[#This Row],[Harvests]]-1)*Crops[[#This Row],[Days Between Harvest]]+7</f>
        <v>21</v>
      </c>
      <c r="AU222">
        <f>Crops[[#This Row],[STH]]-Crops[[#This Row],[Days in Cells]]+Crops[[#This Row],[Harvest window]]</f>
        <v>251</v>
      </c>
      <c r="AW222">
        <v>128</v>
      </c>
      <c r="AX222">
        <v>72</v>
      </c>
      <c r="AY222">
        <f>7*6</f>
        <v>42</v>
      </c>
      <c r="AZ222">
        <f>IFERROR(IF(Crops[[#This Row],[Tray 1 Days]]=0,"",Crops[[#This Row],[Plantings Per Bed]]/Crops[[#This Row],[Tray 1 Size]]*Crops[[#This Row],[Safety Factor]]),"")</f>
        <v>5.416666666666667</v>
      </c>
      <c r="BC222" t="str">
        <f>IFERROR(IF(Crops[[#This Row],[Tray 2 Days]]=0,"",Crops[[#This Row],[Plantings Per Bed]]/Crops[[#This Row],[Tray 2 Size]]*Crops[[#This Row],[Safety Factor]]),"")</f>
        <v/>
      </c>
      <c r="BE222" s="32" t="str">
        <f>IF(NOT(ISBLANK(Crops[[#This Row],[Tray 3 Size]])), Crops[[#This Row],[Days in Cells Old]]-SUM(Crops[[#This Row],[Tray 1 Days]],Crops[[#This Row],[Tray 2 Days]]), "")</f>
        <v/>
      </c>
      <c r="BF222" t="str">
        <f>IFERROR(IF(Crops[[#This Row],[Tray 3 Days]]=0,"",Crops[[#This Row],[Plantings Per Bed]]/Crops[[#This Row],[Tray 3 Size]]*Crops[[#This Row],[Safety Factor]]),"")</f>
        <v/>
      </c>
      <c r="BG222" s="33">
        <f>Crops[[#This Row],[Plantings Per Bed]]*5/Crops[[#This Row],[Harvests]]</f>
        <v>500</v>
      </c>
      <c r="BH222" s="33">
        <v>3</v>
      </c>
      <c r="BI222" s="33">
        <v>7</v>
      </c>
      <c r="BJ222" s="33">
        <f>_xlfn.XLOOKUP(Crops[[#This Row],[ProductIndex]],Products[ID],Products[Holding Period])</f>
        <v>0</v>
      </c>
      <c r="BK222" s="33"/>
      <c r="BL222" s="33">
        <f>Crops[[#This Row],[Units Per Harvest]]*Crops[[#This Row],[Harvests]]</f>
        <v>1500</v>
      </c>
      <c r="BM222" s="35">
        <v>1</v>
      </c>
      <c r="BN222" s="35">
        <f>Crops[[#This Row],[Direct Price]]*0.6</f>
        <v>0.6</v>
      </c>
      <c r="BO222" s="35"/>
      <c r="BP222" t="s">
        <v>213</v>
      </c>
      <c r="BQ222">
        <f>Crops[[#This Row],[Custom Yield Per Bed]]*Crops[[#This Row],[Direct Price]]</f>
        <v>1500</v>
      </c>
      <c r="BR222" t="b">
        <v>0</v>
      </c>
      <c r="BS222" t="b">
        <f>Crops[[#This Row],[Harvests]]&gt;1</f>
        <v>1</v>
      </c>
      <c r="BT222" s="36">
        <f>IFERROR(Crops[[#This Row],[Direct Revenue Per Bed]]/Crops[[#This Row],[Days In Field]],-1)</f>
        <v>5.9760956175298805</v>
      </c>
      <c r="BU222" s="36">
        <f>IFERROR(Crops[[#This Row],[Direct Revenue Per Bed Day]]*GrowingDays*BedsPerAcre,"")</f>
        <v>172111.55378486056</v>
      </c>
      <c r="BV222" s="38">
        <f>LastFrostDate-5*Crops[[#This Row],[Sewing Rel Last Frost]]</f>
        <v>45858</v>
      </c>
      <c r="BW222" s="38">
        <f>Crops[[#This Row],[Target Sewing Date]]+Crops[[#This Row],[Days in Cells]]</f>
        <v>45900</v>
      </c>
      <c r="BX222" s="38">
        <f>Crops[[#This Row],[Target Sewing Date]]+Crops[[#This Row],[STH]]</f>
        <v>46130</v>
      </c>
      <c r="BY222" s="38">
        <f>Crops[[#This Row],[Target Harvest Data]]+Crops[[#This Row],[Harvest window]]</f>
        <v>46151</v>
      </c>
      <c r="BZ222">
        <v>-22</v>
      </c>
      <c r="CA222" t="s">
        <v>490</v>
      </c>
      <c r="CB222">
        <f>1</f>
        <v>1</v>
      </c>
      <c r="CC222">
        <f>IF(Crops[[#This Row],[Transplanting]]&gt;0, 2, 3)*BedLength/StandardBedLength</f>
        <v>1</v>
      </c>
      <c r="CD222" s="173">
        <f>IF(Crops[[#This Row],[Days in Cells]]&lt;=0,0,Crops[[#This Row],[Plantings Per Bed]]/StartsPerHourSeeding+Crops[[#This Row],[Tray 1 Count]]*5/60)</f>
        <v>1.6232638888888888</v>
      </c>
      <c r="CE222" s="173">
        <f>IF(ISBLANK(Crops[[#This Row],[Tray 2 Days]]),0,Crops[[#This Row],[Plantings Per Bed]]/UpPottingPerHour)+IF(Crops[[#This Row],[Tray 3 Days]]="",0,Crops[[#This Row],[Plantings Per Bed]]/UpPottingPerHour)</f>
        <v>0</v>
      </c>
      <c r="CF222" s="173">
        <f>IFERROR(Crops[[#This Row],[Tray 1 Count]]/HomeStartFlatIrrigationPerHour,0)*Crops[[#This Row],[Days in Cells]]/DaysBetweenStartIrrigation</f>
        <v>0.94791666666666663</v>
      </c>
      <c r="CG222" s="173">
        <f>0.5/16*MAX(Crops[[#This Row],[Tray 1 Count]],Crops[[#This Row],[Tray 2 Count]],Crops[[#This Row],[Tray 3 Count]])</f>
        <v>0.16927083333333334</v>
      </c>
      <c r="CH222" s="173">
        <f>IF(Crops[[#This Row],[Days in Cells]]&gt;0,IF(IF(Crops[[#This Row],[Tray 3 Size]]&gt;0,Crops[[#This Row],[Tray 3 Size]],IF(Crops[[#This Row],[Tray 2 Size]]&gt;0,Crops[[#This Row],[Tray 2 Size]],Crops[[#This Row],[Tray 1 Size]]))&lt;=18,LargeTransplantTime,SmallTransplantTime)*Crops[[#This Row],[Plantings Per Bed]],0)</f>
        <v>1.5</v>
      </c>
      <c r="CI222" s="173"/>
      <c r="CJ222" s="173">
        <f>_xlfn.XLOOKUP(Crops[[#This Row],[Trellis Type]],TrellisMethods[Trellis Type],TrellisMethods[Hours],0,0)</f>
        <v>0</v>
      </c>
      <c r="CK222">
        <f>IF(Crops[[#This Row],[Days in Cells]]&lt;=0,Crops[[#This Row],[Rows]]*1/10,0)*BedLength/50</f>
        <v>0</v>
      </c>
      <c r="CL222" cm="1">
        <f t="array" ref="CL222">_xlfn.SWITCH(Crops[[#This Row],[Irrigation]],"DR", 0.5, "OH", 0.25,0)*BedLength/50</f>
        <v>0</v>
      </c>
      <c r="CM222">
        <f>IF(OR(ISBLANK(Crops[[#This Row],[Row Cover]]),Crops[[#This Row],[Row Cover]]="None"),0,1)*BedLength/50</f>
        <v>0</v>
      </c>
      <c r="CN222" s="173">
        <f>HoursPerWeedingPass*Crops[[#This Row],[Days In Field]]/14*Crops[[#This Row],[Rows]]+1*BedLength/50</f>
        <v>9.9642857142857135</v>
      </c>
      <c r="CQ222" s="37">
        <f>_xlfn.XLOOKUP(Crops[[#This Row],[Crop]]&amp;Crops[[#This Row],[Product]]&amp;Crops[[#This Row],[Unit]],Products[ID],Products[Marketing (hr)])*Crops[[#This Row],[Direct Revenue Per Bed]]/2000</f>
        <v>4.5</v>
      </c>
      <c r="CR222" s="37">
        <f>_xlfn.XLOOKUP(Crops[[#This Row],[Crop]]&amp;Crops[[#This Row],[Product]]&amp;Crops[[#This Row],[Unit]],Products[ID],Products[Harvest (s)])*Crops[[#This Row],[Custom Yield Per Bed]]/3600</f>
        <v>2.0833333333333335</v>
      </c>
      <c r="CS222" s="37">
        <f>_xlfn.XLOOKUP(Crops[[#This Row],[Crop]]&amp;Crops[[#This Row],[Product]]&amp;Crops[[#This Row],[Unit]],Products[ID],Products[Bunch (s)])*Crops[[#This Row],[Custom Yield Per Bed]]/3600</f>
        <v>0</v>
      </c>
      <c r="CT222" s="37">
        <f>_xlfn.XLOOKUP(Crops[[#This Row],[Crop]]&amp;Crops[[#This Row],[Product]]&amp;Crops[[#This Row],[Unit]],Products[ID],Products[Haul (s)])*Crops[[#This Row],[Custom Yield Per Bed]]/3600</f>
        <v>0.46875</v>
      </c>
      <c r="CU222" s="37">
        <f>_xlfn.XLOOKUP(Crops[[#This Row],[Crop]]&amp;Crops[[#This Row],[Product]]&amp;Crops[[#This Row],[Unit]],Products[ID],Products[Wash (s)])*Crops[[#This Row],[Custom Yield Per Bed]]/3600</f>
        <v>0</v>
      </c>
      <c r="CV222" s="37">
        <f>_xlfn.XLOOKUP(Crops[[#This Row],[Crop]]&amp;Crops[[#This Row],[Product]]&amp;Crops[[#This Row],[Unit]],Products[ID],Products[Condition (s)])*Crops[[#This Row],[Custom Yield Per Bed]]/3600</f>
        <v>0</v>
      </c>
      <c r="CW222" s="37">
        <f>_xlfn.XLOOKUP(Crops[[#This Row],[Crop]]&amp;Crops[[#This Row],[Product]]&amp;Crops[[#This Row],[Unit]],Products[ID],Products[Trim (s)])*Crops[[#This Row],[Custom Yield Per Bed]]/3600</f>
        <v>1.25</v>
      </c>
      <c r="CX222" s="37">
        <f>_xlfn.XLOOKUP(Crops[[#This Row],[Crop]]&amp;Crops[[#This Row],[Product]]&amp;Crops[[#This Row],[Unit]],Products[ID],Products[Pack (s)])*Crops[[#This Row],[Custom Yield Per Bed]]/3600</f>
        <v>1.25</v>
      </c>
      <c r="CY222" s="37">
        <f>_xlfn.XLOOKUP(Crops[[#This Row],[Crop]]&amp;Crops[[#This Row],[Product]]&amp;Crops[[#This Row],[Unit]],Products[ID],Products[Clean (s)])*Crops[[#This Row],[Custom Yield Per Bed]]/3600</f>
        <v>0</v>
      </c>
      <c r="CZ222" s="37">
        <f>_xlfn.XLOOKUP(Crops[[#This Row],[Crop]]&amp;Crops[[#This Row],[Product]]&amp;Crops[[#This Row],[Unit]],Products[ID],Products[Rehandle (s)])*Crops[[#This Row],[Custom Yield Per Bed]]/3600</f>
        <v>0</v>
      </c>
      <c r="DA222" s="37">
        <f>_xlfn.XLOOKUP(Crops[[#This Row],[Crop]]&amp;Crops[[#This Row],[Product]]&amp;Crops[[#This Row],[Unit]],Products[ID],Products[Market Transport (s)])*Crops[[#This Row],[Custom Yield Per Bed]]/3600</f>
        <v>1.171875</v>
      </c>
      <c r="DC222" s="37">
        <f>Crops[[#This Row],[Direct Revenue Per Bed2]]</f>
        <v>1500</v>
      </c>
      <c r="DD222" s="173">
        <f>_xlfn.AGGREGATE(9,6,Crops[[#This Row],[Bed Prep]:[Remove Crop Residue]])</f>
        <v>25.928695436507933</v>
      </c>
      <c r="DE222" s="173">
        <f>_xlfn.AGGREGATE(9,6,Crops[[#This Row],[Bed Prep]:[Remove Crop Residue]])-0.75*Crops[[#This Row],[Market &amp; Sell]]</f>
        <v>22.553695436507933</v>
      </c>
      <c r="DF222" s="36">
        <f>Crops[[#This Row],[Direct Revenue Per Bed2]]/Crops[[#This Row],[Direct Time]]</f>
        <v>57.850962987053364</v>
      </c>
      <c r="DG222" s="36">
        <f>_xlfn.XLOOKUP(Crops[[#This Row],[ProductIndex]],Products[ID],Products[Packaging Cost])*(Crops[[#This Row],[Custom Yield Per Bed]]/_xlfn.XLOOKUP(Crops[[#This Row],[ProductIndex]],Products[ID],Products[Units Per Pack]))</f>
        <v>75</v>
      </c>
      <c r="DH222" s="36"/>
      <c r="DI222" s="36"/>
      <c r="DJ222" s="36"/>
      <c r="DK222" s="36"/>
      <c r="DL222" s="36"/>
      <c r="DM222" s="33">
        <f>IFERROR(Crops[[#This Row],[Custom Yield Per Bed]]*Crops[[#This Row],[Direct Price]],"")</f>
        <v>1500</v>
      </c>
      <c r="DN222" s="36">
        <f>Crops[[#This Row],[Direct Time]]*LaborRate</f>
        <v>648.21738591269832</v>
      </c>
      <c r="DO222" s="36">
        <f>SUM(Crops[[#This Row],[Irrigation Cost]])</f>
        <v>0</v>
      </c>
      <c r="DP222" s="36">
        <f>Crops[[#This Row],[Direct Labor Cost]]+Crops[[#This Row],[Direct Non-Labor Cost]]</f>
        <v>648.21738591269832</v>
      </c>
      <c r="DQ222" s="36">
        <f>Crops[[#This Row],[Direct Revenue Per Bed2]]-Crops[[#This Row],[Direct Total Cost]]</f>
        <v>851.78261408730168</v>
      </c>
      <c r="DR222" s="36">
        <f>Crops[[#This Row],[Direct Profit]]*BedsPerAcre</f>
        <v>136285.21825396828</v>
      </c>
      <c r="DS222" s="36">
        <f>Crops[[#This Row],[Direct Profit]]*BedsPerAcre*GrowingDays/Crops[[#This Row],[Days In Field]]</f>
        <v>97734.419464997176</v>
      </c>
      <c r="DT222" s="36">
        <f>Crops[[#This Row],[Direct Profit]]/MIN(Crops[[#This Row],[Days In Field]],GrowingDays)</f>
        <v>4.7321256338183426</v>
      </c>
      <c r="DU222" s="36">
        <f>Crops[[#This Row],[Direct Time]] * BedsPerAcre</f>
        <v>4148.5912698412694</v>
      </c>
      <c r="DV222" s="36">
        <f>(Crops[[#This Row],[Direct Revenue Per Bed2]]-Crops[[#This Row],[Direct Non-Labor Cost]])/Crops[[#This Row],[Direct Time]]</f>
        <v>57.850962987053364</v>
      </c>
      <c r="DW222" s="33">
        <f>IFERROR(Crops[[#This Row],[Custom Yield Per Bed]]*Crops[[#This Row],[Rough Wholesale Price]],"")</f>
        <v>900</v>
      </c>
      <c r="DX222" s="36">
        <f>Crops[[#This Row],[Wholesale Time]]*LaborRate</f>
        <v>563.84238591269832</v>
      </c>
      <c r="DY222" s="36">
        <f>SUM(Crops[[#This Row],[Packaging Costs]:[Irrigation Cost]])</f>
        <v>75</v>
      </c>
      <c r="DZ222" s="36">
        <f>Crops[[#This Row],[Wholesale Labor Cost]]+Crops[[#This Row],[Wholesale Non-Labor Cost]]</f>
        <v>638.84238591269832</v>
      </c>
      <c r="EA222" s="36">
        <f>Crops[[#This Row],[Wholesale Revenue Per Bed]]-Crops[[#This Row],[Wholesale Total Cost]]</f>
        <v>261.15761408730168</v>
      </c>
      <c r="EB222" s="36">
        <f>Crops[[#This Row],[Wholesale Profit]]*BedsPerAcre</f>
        <v>41785.218253968269</v>
      </c>
      <c r="EC222" s="36">
        <f>Crops[[#This Row],[Wholesale Profit]]*BedsPerAcre*GrowingDays/Crops[[#This Row],[Days In Field]]</f>
        <v>29965.495162208321</v>
      </c>
      <c r="ED222" s="36">
        <f>Crops[[#This Row],[Wholesale Time]] * BedsPerAcre</f>
        <v>3608.5912698412694</v>
      </c>
      <c r="EE222" s="36">
        <f>Crops[[#This Row],[Wholesale Profit]]/MIN(Crops[[#This Row],[Days In Field]],GrowingDays)</f>
        <v>1.4508756338183426</v>
      </c>
      <c r="EF222" s="36">
        <f>(Crops[[#This Row],[Wholesale Revenue Per Bed]]-Crops[[#This Row],[Wholesale Non-Labor Cost]])/Crops[[#This Row],[Direct Time]]</f>
        <v>31.818029642879353</v>
      </c>
      <c r="EG222" s="174">
        <f>Crops[[#This Row],[Packaging Costs]]/Crops[[#This Row],[Wholesale Revenue Per Bed]]</f>
        <v>8.3333333333333329E-2</v>
      </c>
      <c r="EH222" s="36" t="str">
        <f>Crops[[#This Row],[Crop]]&amp;Crops[[#This Row],[Product]]&amp;Crops[[#This Row],[Unit]]</f>
        <v>NigellaMature StemStem</v>
      </c>
      <c r="EI222" s="36" t="b">
        <f>_xlfn.XLOOKUP(Crops[[#This Row],[ProductIndex]],Products[ID],Products[Target])</f>
        <v>1</v>
      </c>
      <c r="EJ222" s="36">
        <f>Crops[[#This Row],[Custom Yield Per Bed]]</f>
        <v>1500</v>
      </c>
      <c r="EK222" s="210">
        <f>Crops[[#This Row],[Units Per Harvest]]/Crops[[#This Row],[Days Between Harvest]]*7</f>
        <v>500</v>
      </c>
      <c r="EL222" s="210" t="e">
        <f>Crops[[#This Row],[Custom Yield Per Bed]]/_xlfn.XLOOKUP(Crops[[#This Row],[ProductIndex]],Products[ID],Products[CSA Portion])</f>
        <v>#DIV/0!</v>
      </c>
      <c r="EM222" s="210" t="e">
        <f>Crops[[#This Row],[Units Per Harvest]]/Crops[[#This Row],[Days Between Harvest]]*7/_xlfn.XLOOKUP(Crops[[#This Row],[ProductIndex]],Products[ID],Products[CSA Portion])</f>
        <v>#DIV/0!</v>
      </c>
      <c r="EN222" s="210" t="e">
        <f>Crops[[#This Row],[CSA Portions Per Week]]/CSAMembers</f>
        <v>#DIV/0!</v>
      </c>
      <c r="EO222" s="210"/>
      <c r="EP222" s="210"/>
      <c r="EQ222" s="36"/>
      <c r="ER222" s="36">
        <f>Crops[[#This Row],[Harvests]]*Crops[[#This Row],[Days Between Harvest]]/7</f>
        <v>3</v>
      </c>
      <c r="ES222" s="208">
        <f>_xlfn.XLOOKUP(Crops[[#This Row],[ProductIndex]],Products[ID],Products[CSA Need])</f>
        <v>0</v>
      </c>
      <c r="ET222" s="208">
        <f>_xlfn.XLOOKUP(Crops[[#This Row],[ProductIndex]],Products[ID],Products[CSA Times])</f>
        <v>0</v>
      </c>
      <c r="EU222" s="208" t="e">
        <f>Crops[[#This Row],[Custom Yield Per Bed]]/(Crops[[#This Row],[CSA Need]]*(_xlfn.XLOOKUP(Crops[[#This Row],[ProductIndex]],Products[ID],Products[CSA Portion])*CSAMembers))</f>
        <v>#DIV/0!</v>
      </c>
      <c r="EV222" s="208">
        <f>_xlfn.XLOOKUP(Crops[[#This Row],[ProductIndex]],Products[ID],Products[CSA Portion])*CSAMembers*Crops[[#This Row],[CSA Need]]/Crops[[#This Row],[Custom Yield Per Bed]]</f>
        <v>0</v>
      </c>
      <c r="EW222" s="208">
        <f>IFERROR(Crops[[#This Row],[Days In Field]]*Crops[[#This Row],[CSA Beds]],"")</f>
        <v>0</v>
      </c>
      <c r="EX222" s="208" t="e">
        <f>Crops[[#This Row],[CSA Bed Days]]*#REF!</f>
        <v>#REF!</v>
      </c>
      <c r="EY222" t="s">
        <v>1423</v>
      </c>
    </row>
    <row r="223" spans="1:155">
      <c r="A223"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 Mature Bulb 6X | Field DS Ow</v>
      </c>
      <c r="B223" s="185"/>
      <c r="C223" s="1" t="b">
        <v>1</v>
      </c>
      <c r="D223" s="1"/>
      <c r="E223" s="1" t="b">
        <v>0</v>
      </c>
      <c r="F223" s="1" t="b">
        <f>IFERROR(IF(ISNUMBER(MATCH(Crops[[#This Row],[Identifier]],BedPlan[Crop], 0)), TRUE, FALSE), FALSE)</f>
        <v>0</v>
      </c>
      <c r="G223" s="1" t="b">
        <f>IFERROR(IF(ISNUMBER(MATCH(Crops[[#This Row],[Identifier]],BedPlan[Crop], 0)), TRUE, FALSE), FALSE)</f>
        <v>0</v>
      </c>
      <c r="H223" s="1"/>
      <c r="I223" t="s">
        <v>105</v>
      </c>
      <c r="J223" t="s">
        <v>145</v>
      </c>
      <c r="K223" t="s">
        <v>198</v>
      </c>
      <c r="M223" t="s">
        <v>105</v>
      </c>
      <c r="N223" t="str">
        <f>Crops[[#This Row],[Crop]]</f>
        <v>Onion</v>
      </c>
      <c r="O223" t="s">
        <v>210</v>
      </c>
      <c r="P223" t="str">
        <f>IF(OR(Crops[[#This Row],[Days in Cells]]="",Crops[[#This Row],[Days in Cells]]=0), "DS","TP")</f>
        <v>DS</v>
      </c>
      <c r="U223" t="b">
        <v>1</v>
      </c>
      <c r="V223" t="str">
        <f xml:space="preserve"> IF(Crops[[#This Row],[Sp]], "Sp", "") &amp; IF(Crops[[#This Row],[Su]], "Su", "") &amp; IF(Crops[[#This Row],[Fa]], "Fa", "") &amp; IF(Crops[[#This Row],[Wi]], "Wi", "") &amp; IF(Crops[[#This Row],[OW]], "Ow","")</f>
        <v>Ow</v>
      </c>
      <c r="W223" t="s">
        <v>144</v>
      </c>
      <c r="X223">
        <v>3</v>
      </c>
      <c r="Y223">
        <v>12</v>
      </c>
      <c r="AA223" t="s">
        <v>474</v>
      </c>
      <c r="AC223">
        <v>2</v>
      </c>
      <c r="AD223" s="32">
        <f>IFERROR(12/Crops[[#This Row],[Spacing]]*Crops[[#This Row],[Rows]]*BedLength,"")</f>
        <v>150</v>
      </c>
      <c r="AE223">
        <v>6</v>
      </c>
      <c r="AG223">
        <v>1.1000000000000001</v>
      </c>
      <c r="AH223">
        <f>1</f>
        <v>1</v>
      </c>
      <c r="AI223" s="33">
        <f>IFERROR(Crops[[#This Row],[Plantings Per Bed]]*Crops[[#This Row],[Seeds Per Planting]]*Crops[[#This Row],[Safety Factor]]*Crops[[#This Row],[Seeding Factor]],"")</f>
        <v>990.00000000000011</v>
      </c>
      <c r="AL223">
        <f>_xlfn.FLOOR.MATH(IFERROR(AVERAGE(Crops[[#This Row],[DTG Lower]:[DTG Upper]]),0))</f>
        <v>0</v>
      </c>
      <c r="AM223">
        <f>SUM(Crops[[#This Row],[Tray 1 Days]],Crops[[#This Row],[Tray 2 Days]],Crops[[#This Row],[Tray 3 Days]])</f>
        <v>0</v>
      </c>
      <c r="AN223" s="32">
        <f>6*7</f>
        <v>42</v>
      </c>
      <c r="AP223">
        <v>265</v>
      </c>
      <c r="AQ223">
        <f>IFERROR(_xlfn.FLOOR.MATH(AVERAGE(Crops[[#This Row],[DTM Lower]:[DTM Upper]])),"")</f>
        <v>265</v>
      </c>
      <c r="AR223" cm="1">
        <f t="array" ref="AR223">_xlfn.SWITCH(Crops[[#This Row],[Normal Method]],"DS",Crops[[#This Row],[Days to Germination]]+Crops[[#This Row],[DTM]] + IF(Crops[[#This Row],[Days in Cells]]&gt;0,15,0), "TP",Crops[[#This Row],[DTM]]+Crops[[#This Row],[Days in Cells]] + IF(Crops[[#This Row],[Days in Cells]]&lt;=0,20,0), "X", Crops[[#This Row],[DTM]])</f>
        <v>285</v>
      </c>
      <c r="AS223" t="s">
        <v>346</v>
      </c>
      <c r="AT223">
        <f>(Crops[[#This Row],[Harvests]]-1)*Crops[[#This Row],[Days Between Harvest]]+7</f>
        <v>14</v>
      </c>
      <c r="AU223">
        <f>Crops[[#This Row],[STH]]-Crops[[#This Row],[Days in Cells]]+Crops[[#This Row],[Harvest window]]</f>
        <v>299</v>
      </c>
      <c r="AW223">
        <v>128</v>
      </c>
      <c r="AZ223" t="str">
        <f>IFERROR(IF(Crops[[#This Row],[Tray 1 Days]]=0,"",Crops[[#This Row],[Plantings Per Bed]]/Crops[[#This Row],[Tray 1 Size]]*Crops[[#This Row],[Safety Factor]]),"")</f>
        <v/>
      </c>
      <c r="BC223" t="str">
        <f>IFERROR(IF(Crops[[#This Row],[Tray 2 Days]]=0,"",Crops[[#This Row],[Plantings Per Bed]]/Crops[[#This Row],[Tray 2 Size]]*Crops[[#This Row],[Safety Factor]]),"")</f>
        <v/>
      </c>
      <c r="BE223" s="32" t="str">
        <f>IF(NOT(ISBLANK(Crops[[#This Row],[Tray 3 Size]])), Crops[[#This Row],[Days in Cells Old]]-SUM(Crops[[#This Row],[Tray 1 Days]],Crops[[#This Row],[Tray 2 Days]]), "")</f>
        <v/>
      </c>
      <c r="BF223" t="str">
        <f>IFERROR(IF(Crops[[#This Row],[Tray 3 Days]]=0,"",Crops[[#This Row],[Plantings Per Bed]]/Crops[[#This Row],[Tray 3 Size]]*Crops[[#This Row],[Safety Factor]]),"")</f>
        <v/>
      </c>
      <c r="BG223" s="33">
        <f>Crops[[#This Row],[Plantings Per Bed]]*4*5.5/16/Crops[[#This Row],[Harvests]]</f>
        <v>103.125</v>
      </c>
      <c r="BH223" s="33">
        <v>2</v>
      </c>
      <c r="BI223" s="33">
        <v>7</v>
      </c>
      <c r="BJ223" s="33">
        <f>_xlfn.XLOOKUP(Crops[[#This Row],[ProductIndex]],Products[ID],Products[Holding Period])</f>
        <v>120</v>
      </c>
      <c r="BK223" s="33"/>
      <c r="BL223" s="33">
        <f>Crops[[#This Row],[Units Per Harvest]]*Crops[[#This Row],[Harvests]]</f>
        <v>206.25</v>
      </c>
      <c r="BM223" s="35">
        <v>3</v>
      </c>
      <c r="BN223" s="35">
        <v>1.29</v>
      </c>
      <c r="BO223" s="35"/>
      <c r="BP223" t="s">
        <v>383</v>
      </c>
      <c r="BQ223">
        <f>Crops[[#This Row],[Custom Yield Per Bed]]*Crops[[#This Row],[Direct Price]]</f>
        <v>618.75</v>
      </c>
      <c r="BR223" t="b">
        <v>1</v>
      </c>
      <c r="BS223" t="b">
        <f>Crops[[#This Row],[Harvests]]&gt;1</f>
        <v>1</v>
      </c>
      <c r="BT223" s="36">
        <f>IFERROR(Crops[[#This Row],[Direct Revenue Per Bed]]/Crops[[#This Row],[Days In Field]],-1)</f>
        <v>2.0693979933110369</v>
      </c>
      <c r="BU223" s="36">
        <f>IFERROR(Crops[[#This Row],[Direct Revenue Per Bed Day]]*GrowingDays*BedsPerAcre,"")</f>
        <v>59598.662207357862</v>
      </c>
      <c r="BV223" s="38">
        <f>LastFrostDate-5*Crops[[#This Row],[Sewing Rel Last Frost]]</f>
        <v>45853</v>
      </c>
      <c r="BW223" s="38">
        <f>Crops[[#This Row],[Target Sewing Date]]+Crops[[#This Row],[Days in Cells]]</f>
        <v>45853</v>
      </c>
      <c r="BX223" s="38">
        <f>Crops[[#This Row],[Target Sewing Date]]+Crops[[#This Row],[STH]]</f>
        <v>46138</v>
      </c>
      <c r="BY223" s="38">
        <f>Crops[[#This Row],[Target Harvest Data]]+Crops[[#This Row],[Harvest window]]</f>
        <v>46152</v>
      </c>
      <c r="BZ223">
        <v>-21</v>
      </c>
      <c r="CA223" t="s">
        <v>373</v>
      </c>
      <c r="CB223">
        <f>1</f>
        <v>1</v>
      </c>
      <c r="CC223">
        <f>IF(Crops[[#This Row],[Transplanting]]&gt;0, 2, 3)*BedLength/StandardBedLength</f>
        <v>1.5</v>
      </c>
      <c r="CD223" s="173">
        <f>IF(Crops[[#This Row],[Days in Cells]]&lt;=0,0,Crops[[#This Row],[Plantings Per Bed]]/StartsPerHourSeeding+Crops[[#This Row],[Tray 1 Count]]*5/60)</f>
        <v>0</v>
      </c>
      <c r="CE223" s="173">
        <f>IF(ISBLANK(Crops[[#This Row],[Tray 2 Days]]),0,Crops[[#This Row],[Plantings Per Bed]]/UpPottingPerHour)+IF(Crops[[#This Row],[Tray 3 Days]]="",0,Crops[[#This Row],[Plantings Per Bed]]/UpPottingPerHour)</f>
        <v>0</v>
      </c>
      <c r="CF223" s="173">
        <f>IFERROR(Crops[[#This Row],[Tray 1 Count]]/HomeStartFlatIrrigationPerHour,0)*Crops[[#This Row],[Days in Cells]]/DaysBetweenStartIrrigation</f>
        <v>0</v>
      </c>
      <c r="CG223" s="173">
        <f>0.5/16*MAX(Crops[[#This Row],[Tray 1 Count]],Crops[[#This Row],[Tray 2 Count]],Crops[[#This Row],[Tray 3 Count]])</f>
        <v>0</v>
      </c>
      <c r="CH223" s="173">
        <f>IF(Crops[[#This Row],[Days in Cells]]&gt;0,IF(IF(Crops[[#This Row],[Tray 3 Size]]&gt;0,Crops[[#This Row],[Tray 3 Size]],IF(Crops[[#This Row],[Tray 2 Size]]&gt;0,Crops[[#This Row],[Tray 2 Size]],Crops[[#This Row],[Tray 1 Size]]))&lt;=18,LargeTransplantTime,SmallTransplantTime)*Crops[[#This Row],[Plantings Per Bed]],0)</f>
        <v>0</v>
      </c>
      <c r="CI223" s="173"/>
      <c r="CJ223" s="173">
        <f>_xlfn.XLOOKUP(Crops[[#This Row],[Trellis Type]],TrellisMethods[Trellis Type],TrellisMethods[Hours],0,0)</f>
        <v>0</v>
      </c>
      <c r="CK223">
        <f>IF(Crops[[#This Row],[Days in Cells]]&lt;=0,Crops[[#This Row],[Rows]]*1/10,0)*BedLength/50</f>
        <v>0.3</v>
      </c>
      <c r="CL223" cm="1">
        <f t="array" ref="CL223">_xlfn.SWITCH(Crops[[#This Row],[Irrigation]],"DR", 0.5, "OH", 0.25,0)*BedLength/50</f>
        <v>0</v>
      </c>
      <c r="CM223">
        <f>IF(OR(ISBLANK(Crops[[#This Row],[Row Cover]]),Crops[[#This Row],[Row Cover]]="None"),0,1)*BedLength/50</f>
        <v>0</v>
      </c>
      <c r="CN223" s="173">
        <f>HoursPerWeedingPass*Crops[[#This Row],[Days In Field]]/14*Crops[[#This Row],[Rows]]+1*BedLength/50</f>
        <v>11.678571428571427</v>
      </c>
      <c r="CO223" s="49"/>
      <c r="CQ223" s="37">
        <f>_xlfn.XLOOKUP(Crops[[#This Row],[Crop]]&amp;Crops[[#This Row],[Product]]&amp;Crops[[#This Row],[Unit]],Products[ID],Products[Marketing (hr)])*Crops[[#This Row],[Direct Revenue Per Bed]]/2000</f>
        <v>0.30937500000000001</v>
      </c>
      <c r="CR223" s="37">
        <f>_xlfn.XLOOKUP(Crops[[#This Row],[Crop]]&amp;Crops[[#This Row],[Product]]&amp;Crops[[#This Row],[Unit]],Products[ID],Products[Harvest (s)])*Crops[[#This Row],[Custom Yield Per Bed]]/3600</f>
        <v>1.71875</v>
      </c>
      <c r="CS223" s="37">
        <f>_xlfn.XLOOKUP(Crops[[#This Row],[Crop]]&amp;Crops[[#This Row],[Product]]&amp;Crops[[#This Row],[Unit]],Products[ID],Products[Bunch (s)])*Crops[[#This Row],[Custom Yield Per Bed]]/3600</f>
        <v>0</v>
      </c>
      <c r="CT223" s="37">
        <f>_xlfn.XLOOKUP(Crops[[#This Row],[Crop]]&amp;Crops[[#This Row],[Product]]&amp;Crops[[#This Row],[Unit]],Products[ID],Products[Haul (s)])*Crops[[#This Row],[Custom Yield Per Bed]]/3600</f>
        <v>0.12890625</v>
      </c>
      <c r="CU223" s="37">
        <f>_xlfn.XLOOKUP(Crops[[#This Row],[Crop]]&amp;Crops[[#This Row],[Product]]&amp;Crops[[#This Row],[Unit]],Products[ID],Products[Wash (s)])*Crops[[#This Row],[Custom Yield Per Bed]]/3600</f>
        <v>0</v>
      </c>
      <c r="CV223" s="37">
        <f>_xlfn.XLOOKUP(Crops[[#This Row],[Crop]]&amp;Crops[[#This Row],[Product]]&amp;Crops[[#This Row],[Unit]],Products[ID],Products[Condition (s)])*Crops[[#This Row],[Custom Yield Per Bed]]/3600</f>
        <v>0</v>
      </c>
      <c r="CW223" s="37">
        <f>_xlfn.XLOOKUP(Crops[[#This Row],[Crop]]&amp;Crops[[#This Row],[Product]]&amp;Crops[[#This Row],[Unit]],Products[ID],Products[Trim (s)])*Crops[[#This Row],[Custom Yield Per Bed]]/3600</f>
        <v>0.859375</v>
      </c>
      <c r="CX223" s="37">
        <f>_xlfn.XLOOKUP(Crops[[#This Row],[Crop]]&amp;Crops[[#This Row],[Product]]&amp;Crops[[#This Row],[Unit]],Products[ID],Products[Pack (s)])*Crops[[#This Row],[Custom Yield Per Bed]]/3600</f>
        <v>0.171875</v>
      </c>
      <c r="CY223" s="37">
        <f>_xlfn.XLOOKUP(Crops[[#This Row],[Crop]]&amp;Crops[[#This Row],[Product]]&amp;Crops[[#This Row],[Unit]],Products[ID],Products[Clean (s)])*Crops[[#This Row],[Custom Yield Per Bed]]/3600</f>
        <v>0</v>
      </c>
      <c r="CZ223" s="37">
        <f>_xlfn.XLOOKUP(Crops[[#This Row],[Crop]]&amp;Crops[[#This Row],[Product]]&amp;Crops[[#This Row],[Unit]],Products[ID],Products[Rehandle (s)])*Crops[[#This Row],[Custom Yield Per Bed]]/3600</f>
        <v>0</v>
      </c>
      <c r="DA223" s="37">
        <f>_xlfn.XLOOKUP(Crops[[#This Row],[Crop]]&amp;Crops[[#This Row],[Product]]&amp;Crops[[#This Row],[Unit]],Products[ID],Products[Market Transport (s)])*Crops[[#This Row],[Custom Yield Per Bed]]/3600</f>
        <v>0.322265625</v>
      </c>
      <c r="DC223" s="37">
        <f>Crops[[#This Row],[Direct Revenue Per Bed2]]</f>
        <v>618.75</v>
      </c>
      <c r="DD223" s="173">
        <f>_xlfn.AGGREGATE(9,6,Crops[[#This Row],[Bed Prep]:[Remove Crop Residue]])</f>
        <v>16.989118303571427</v>
      </c>
      <c r="DE223" s="173">
        <f>_xlfn.AGGREGATE(9,6,Crops[[#This Row],[Bed Prep]:[Remove Crop Residue]])-0.75*Crops[[#This Row],[Market &amp; Sell]]</f>
        <v>16.757087053571428</v>
      </c>
      <c r="DF223" s="36">
        <f>Crops[[#This Row],[Direct Revenue Per Bed2]]/Crops[[#This Row],[Direct Time]]</f>
        <v>36.420371495672455</v>
      </c>
      <c r="DG223" s="36">
        <f>_xlfn.XLOOKUP(Crops[[#This Row],[ProductIndex]],Products[ID],Products[Packaging Cost])*(Crops[[#This Row],[Custom Yield Per Bed]]/_xlfn.XLOOKUP(Crops[[#This Row],[ProductIndex]],Products[ID],Products[Units Per Pack]))</f>
        <v>31.349999999999998</v>
      </c>
      <c r="DH223" s="36"/>
      <c r="DI223" s="36"/>
      <c r="DJ223" s="36"/>
      <c r="DK223" s="36"/>
      <c r="DL223" s="36"/>
      <c r="DM223" s="33">
        <f>IFERROR(Crops[[#This Row],[Custom Yield Per Bed]]*Crops[[#This Row],[Direct Price]],"")</f>
        <v>618.75</v>
      </c>
      <c r="DN223" s="36">
        <f>Crops[[#This Row],[Direct Time]]*LaborRate</f>
        <v>424.72795758928567</v>
      </c>
      <c r="DO223" s="36">
        <f>SUM(Crops[[#This Row],[Irrigation Cost]])</f>
        <v>0</v>
      </c>
      <c r="DP223" s="36">
        <f>Crops[[#This Row],[Direct Labor Cost]]+Crops[[#This Row],[Direct Non-Labor Cost]]</f>
        <v>424.72795758928567</v>
      </c>
      <c r="DQ223" s="36">
        <f>Crops[[#This Row],[Direct Revenue Per Bed2]]-Crops[[#This Row],[Direct Total Cost]]</f>
        <v>194.02204241071433</v>
      </c>
      <c r="DR223" s="36">
        <f>Crops[[#This Row],[Direct Profit]]*BedsPerAcre</f>
        <v>31043.526785714294</v>
      </c>
      <c r="DS223" s="36">
        <f>Crops[[#This Row],[Direct Profit]]*BedsPerAcre*GrowingDays/Crops[[#This Row],[Days In Field]]</f>
        <v>18688.410774008604</v>
      </c>
      <c r="DT223" s="36">
        <f>Crops[[#This Row],[Direct Profit]]/MIN(Crops[[#This Row],[Days In Field]],GrowingDays)</f>
        <v>1.0779002356150795</v>
      </c>
      <c r="DU223" s="33">
        <f>Crops[[#This Row],[Direct Time]] * BedsPerAcre</f>
        <v>2718.2589285714284</v>
      </c>
      <c r="DV223" s="36">
        <f>(Crops[[#This Row],[Direct Revenue Per Bed2]]-Crops[[#This Row],[Direct Non-Labor Cost]])/Crops[[#This Row],[Direct Time]]</f>
        <v>36.420371495672455</v>
      </c>
      <c r="DW223" s="33">
        <f>IFERROR(Crops[[#This Row],[Custom Yield Per Bed]]*Crops[[#This Row],[Rough Wholesale Price]],"")</f>
        <v>266.0625</v>
      </c>
      <c r="DX223" s="36">
        <f>Crops[[#This Row],[Wholesale Time]]*LaborRate</f>
        <v>418.92717633928572</v>
      </c>
      <c r="DY223" s="36">
        <f>SUM(Crops[[#This Row],[Packaging Costs]:[Irrigation Cost]])</f>
        <v>31.349999999999998</v>
      </c>
      <c r="DZ223" s="36">
        <f>Crops[[#This Row],[Wholesale Labor Cost]]+Crops[[#This Row],[Wholesale Non-Labor Cost]]</f>
        <v>450.27717633928575</v>
      </c>
      <c r="EA223" s="36">
        <f>Crops[[#This Row],[Wholesale Revenue Per Bed]]-Crops[[#This Row],[Wholesale Total Cost]]</f>
        <v>-184.21467633928575</v>
      </c>
      <c r="EB223" s="36">
        <f>Crops[[#This Row],[Wholesale Profit]]*BedsPerAcre</f>
        <v>-29474.348214285717</v>
      </c>
      <c r="EC223" s="36">
        <f>Crops[[#This Row],[Wholesale Profit]]*BedsPerAcre*GrowingDays/Crops[[#This Row],[Days In Field]]</f>
        <v>-17743.754777830865</v>
      </c>
      <c r="ED223" s="33">
        <f>Crops[[#This Row],[Wholesale Time]] * BedsPerAcre</f>
        <v>2681.1339285714284</v>
      </c>
      <c r="EE223" s="221">
        <f>Crops[[#This Row],[Wholesale Profit]]/MIN(Crops[[#This Row],[Days In Field]],GrowingDays)</f>
        <v>-1.0234148685515874</v>
      </c>
      <c r="EF223" s="36">
        <f>(Crops[[#This Row],[Wholesale Revenue Per Bed]]-Crops[[#This Row],[Wholesale Non-Labor Cost]])/Crops[[#This Row],[Direct Time]]</f>
        <v>13.815460920691752</v>
      </c>
      <c r="EG223" s="174">
        <f>Crops[[#This Row],[Packaging Costs]]/Crops[[#This Row],[Wholesale Revenue Per Bed]]</f>
        <v>0.11782945736434108</v>
      </c>
      <c r="EH223" s="36" t="str">
        <f>Crops[[#This Row],[Crop]]&amp;Crops[[#This Row],[Product]]&amp;Crops[[#This Row],[Unit]]</f>
        <v>OnionMature BulbLb</v>
      </c>
      <c r="EI223" s="36" t="b">
        <f>_xlfn.XLOOKUP(Crops[[#This Row],[ProductIndex]],Products[ID],Products[Target])</f>
        <v>1</v>
      </c>
      <c r="EJ223" s="33">
        <f>Crops[[#This Row],[Custom Yield Per Bed]]</f>
        <v>206.25</v>
      </c>
      <c r="EK223" s="210">
        <f>Crops[[#This Row],[Units Per Harvest]]/Crops[[#This Row],[Days Between Harvest]]*7</f>
        <v>103.125</v>
      </c>
      <c r="EL223" s="210">
        <f>Crops[[#This Row],[Custom Yield Per Bed]]/_xlfn.XLOOKUP(Crops[[#This Row],[ProductIndex]],Products[ID],Products[CSA Portion])</f>
        <v>206.25</v>
      </c>
      <c r="EM223" s="210">
        <f>Crops[[#This Row],[Units Per Harvest]]/Crops[[#This Row],[Days Between Harvest]]*7/_xlfn.XLOOKUP(Crops[[#This Row],[ProductIndex]],Products[ID],Products[CSA Portion])</f>
        <v>103.125</v>
      </c>
      <c r="EN223" s="210">
        <f>Crops[[#This Row],[CSA Portions Per Week]]/CSAMembers</f>
        <v>2.0625</v>
      </c>
      <c r="EO223" s="216"/>
      <c r="EP223" s="216"/>
      <c r="EQ223" s="210"/>
      <c r="ER223" s="210">
        <f>Crops[[#This Row],[Harvests]]*Crops[[#This Row],[Days Between Harvest]]/7</f>
        <v>2</v>
      </c>
      <c r="ES223" s="217">
        <f>_xlfn.XLOOKUP(Crops[[#This Row],[ProductIndex]],Products[ID],Products[CSA Need])</f>
        <v>5</v>
      </c>
      <c r="ET223" s="217">
        <f>_xlfn.XLOOKUP(Crops[[#This Row],[ProductIndex]],Products[ID],Products[CSA Times])</f>
        <v>5</v>
      </c>
      <c r="EU223" s="208">
        <f>Crops[[#This Row],[Custom Yield Per Bed]]/(Crops[[#This Row],[CSA Need]]*(_xlfn.XLOOKUP(Crops[[#This Row],[ProductIndex]],Products[ID],Products[CSA Portion])*CSAMembers))</f>
        <v>0.82499999999999996</v>
      </c>
      <c r="EV223" s="208">
        <f>_xlfn.XLOOKUP(Crops[[#This Row],[ProductIndex]],Products[ID],Products[CSA Portion])*CSAMembers*Crops[[#This Row],[CSA Need]]/Crops[[#This Row],[Custom Yield Per Bed]]</f>
        <v>1.2121212121212122</v>
      </c>
      <c r="EW223" s="208">
        <f>IFERROR(Crops[[#This Row],[Days In Field]]*Crops[[#This Row],[CSA Beds]],"")</f>
        <v>362.42424242424244</v>
      </c>
      <c r="EX223" s="208" t="e">
        <f>Crops[[#This Row],[CSA Bed Days]]*#REF!</f>
        <v>#REF!</v>
      </c>
      <c r="EY223" t="s">
        <v>359</v>
      </c>
    </row>
    <row r="224" spans="1:155">
      <c r="A224"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 Mature Bulb 6X | Field TP Ow</v>
      </c>
      <c r="B224" s="185"/>
      <c r="C224" s="1" t="b">
        <v>1</v>
      </c>
      <c r="D224" s="1"/>
      <c r="E224" s="1" t="b">
        <v>0</v>
      </c>
      <c r="F224" s="1" t="b">
        <f>IFERROR(IF(ISNUMBER(MATCH(Crops[[#This Row],[Identifier]],BedPlan[Crop], 0)), TRUE, FALSE), FALSE)</f>
        <v>0</v>
      </c>
      <c r="G224" s="1" t="b">
        <f>IFERROR(IF(ISNUMBER(MATCH(Crops[[#This Row],[Identifier]],BedPlan[Crop], 0)), TRUE, FALSE), FALSE)</f>
        <v>0</v>
      </c>
      <c r="H224" s="1"/>
      <c r="I224" t="s">
        <v>105</v>
      </c>
      <c r="J224" t="s">
        <v>145</v>
      </c>
      <c r="K224" t="s">
        <v>198</v>
      </c>
      <c r="M224" t="s">
        <v>105</v>
      </c>
      <c r="N224" t="str">
        <f>Crops[[#This Row],[Crop]]</f>
        <v>Onion</v>
      </c>
      <c r="O224" t="s">
        <v>210</v>
      </c>
      <c r="P224" t="str">
        <f>IF(OR(Crops[[#This Row],[Days in Cells]]="",Crops[[#This Row],[Days in Cells]]=0), "DS","TP")</f>
        <v>TP</v>
      </c>
      <c r="U224" t="b">
        <v>1</v>
      </c>
      <c r="V224" t="str">
        <f xml:space="preserve"> IF(Crops[[#This Row],[Sp]], "Sp", "") &amp; IF(Crops[[#This Row],[Su]], "Su", "") &amp; IF(Crops[[#This Row],[Fa]], "Fa", "") &amp; IF(Crops[[#This Row],[Wi]], "Wi", "") &amp; IF(Crops[[#This Row],[OW]], "Ow","")</f>
        <v>Ow</v>
      </c>
      <c r="W224" t="s">
        <v>144</v>
      </c>
      <c r="X224">
        <v>3</v>
      </c>
      <c r="Y224">
        <v>12</v>
      </c>
      <c r="AA224" t="s">
        <v>474</v>
      </c>
      <c r="AB224" t="b">
        <v>1</v>
      </c>
      <c r="AC224">
        <v>2</v>
      </c>
      <c r="AD224" s="32">
        <f>IFERROR(12/Crops[[#This Row],[Spacing]]*Crops[[#This Row],[Rows]]*BedLength,"")</f>
        <v>150</v>
      </c>
      <c r="AE224">
        <v>6</v>
      </c>
      <c r="AG224">
        <v>1.1000000000000001</v>
      </c>
      <c r="AH224">
        <f>1</f>
        <v>1</v>
      </c>
      <c r="AI224" s="33">
        <f>IFERROR(Crops[[#This Row],[Plantings Per Bed]]*Crops[[#This Row],[Seeds Per Planting]]*Crops[[#This Row],[Safety Factor]]*Crops[[#This Row],[Seeding Factor]],"")</f>
        <v>990.00000000000011</v>
      </c>
      <c r="AL224">
        <f>_xlfn.FLOOR.MATH(IFERROR(AVERAGE(Crops[[#This Row],[DTG Lower]:[DTG Upper]]),0))</f>
        <v>0</v>
      </c>
      <c r="AM224">
        <f>SUM(Crops[[#This Row],[Tray 1 Days]],Crops[[#This Row],[Tray 2 Days]],Crops[[#This Row],[Tray 3 Days]])</f>
        <v>28</v>
      </c>
      <c r="AN224" s="32">
        <f>6*7</f>
        <v>42</v>
      </c>
      <c r="AP224">
        <v>265</v>
      </c>
      <c r="AQ224">
        <f>IFERROR(_xlfn.FLOOR.MATH(AVERAGE(Crops[[#This Row],[DTM Lower]:[DTM Upper]])),"")</f>
        <v>265</v>
      </c>
      <c r="AR224" cm="1">
        <f t="array" ref="AR224">_xlfn.SWITCH(Crops[[#This Row],[Normal Method]],"DS",Crops[[#This Row],[Days to Germination]]+Crops[[#This Row],[DTM]] + IF(Crops[[#This Row],[Days in Cells]]&gt;0,15,0), "TP",Crops[[#This Row],[DTM]]+Crops[[#This Row],[Days in Cells]] + IF(Crops[[#This Row],[Days in Cells]]&lt;=0,20,0), "X", Crops[[#This Row],[DTM]])</f>
        <v>293</v>
      </c>
      <c r="AS224" t="s">
        <v>346</v>
      </c>
      <c r="AT224">
        <f>(Crops[[#This Row],[Harvests]]-1)*Crops[[#This Row],[Days Between Harvest]]+7</f>
        <v>14</v>
      </c>
      <c r="AU224">
        <f>Crops[[#This Row],[STH]]-Crops[[#This Row],[Days in Cells]]+Crops[[#This Row],[Harvest window]]</f>
        <v>279</v>
      </c>
      <c r="AW224">
        <v>128</v>
      </c>
      <c r="AX224">
        <v>128</v>
      </c>
      <c r="AY224">
        <v>28</v>
      </c>
      <c r="AZ224">
        <f>IFERROR(IF(Crops[[#This Row],[Tray 1 Days]]=0,"",Crops[[#This Row],[Plantings Per Bed]]/Crops[[#This Row],[Tray 1 Size]]*Crops[[#This Row],[Safety Factor]]),"")</f>
        <v>1.2890625</v>
      </c>
      <c r="BC224" t="str">
        <f>IFERROR(IF(Crops[[#This Row],[Tray 2 Days]]=0,"",Crops[[#This Row],[Plantings Per Bed]]/Crops[[#This Row],[Tray 2 Size]]*Crops[[#This Row],[Safety Factor]]),"")</f>
        <v/>
      </c>
      <c r="BE224" s="32" t="str">
        <f>IF(NOT(ISBLANK(Crops[[#This Row],[Tray 3 Size]])), Crops[[#This Row],[Days in Cells Old]]-SUM(Crops[[#This Row],[Tray 1 Days]],Crops[[#This Row],[Tray 2 Days]]), "")</f>
        <v/>
      </c>
      <c r="BF224" t="str">
        <f>IFERROR(IF(Crops[[#This Row],[Tray 3 Days]]=0,"",Crops[[#This Row],[Plantings Per Bed]]/Crops[[#This Row],[Tray 3 Size]]*Crops[[#This Row],[Safety Factor]]),"")</f>
        <v/>
      </c>
      <c r="BG224" s="33">
        <f>Crops[[#This Row],[Plantings Per Bed]]*4*5.5/16/Crops[[#This Row],[Harvests]]</f>
        <v>103.125</v>
      </c>
      <c r="BH224" s="33">
        <v>2</v>
      </c>
      <c r="BI224" s="33">
        <v>7</v>
      </c>
      <c r="BJ224" s="33">
        <f>_xlfn.XLOOKUP(Crops[[#This Row],[ProductIndex]],Products[ID],Products[Holding Period])</f>
        <v>120</v>
      </c>
      <c r="BK224" s="33"/>
      <c r="BL224" s="33">
        <f>Crops[[#This Row],[Units Per Harvest]]*Crops[[#This Row],[Harvests]]</f>
        <v>206.25</v>
      </c>
      <c r="BM224" s="35">
        <v>3</v>
      </c>
      <c r="BN224" s="35">
        <v>1.29</v>
      </c>
      <c r="BO224" s="35"/>
      <c r="BP224" t="s">
        <v>383</v>
      </c>
      <c r="BQ224">
        <f>Crops[[#This Row],[Custom Yield Per Bed]]*Crops[[#This Row],[Direct Price]]</f>
        <v>618.75</v>
      </c>
      <c r="BR224" t="b">
        <v>1</v>
      </c>
      <c r="BS224" t="b">
        <f>Crops[[#This Row],[Harvests]]&gt;1</f>
        <v>1</v>
      </c>
      <c r="BT224" s="36">
        <f>IFERROR(Crops[[#This Row],[Direct Revenue Per Bed]]/Crops[[#This Row],[Days In Field]],-1)</f>
        <v>2.217741935483871</v>
      </c>
      <c r="BU224" s="36">
        <f>IFERROR(Crops[[#This Row],[Direct Revenue Per Bed Day]]*GrowingDays*BedsPerAcre,"")</f>
        <v>63870.967741935485</v>
      </c>
      <c r="BV224" s="38">
        <f>LastFrostDate-5*Crops[[#This Row],[Sewing Rel Last Frost]]</f>
        <v>45853</v>
      </c>
      <c r="BW224" s="38">
        <f>Crops[[#This Row],[Target Sewing Date]]+Crops[[#This Row],[Days in Cells]]</f>
        <v>45881</v>
      </c>
      <c r="BX224" s="38">
        <f>Crops[[#This Row],[Target Sewing Date]]+Crops[[#This Row],[STH]]</f>
        <v>46146</v>
      </c>
      <c r="BY224" s="38">
        <f>Crops[[#This Row],[Target Harvest Data]]+Crops[[#This Row],[Harvest window]]</f>
        <v>46160</v>
      </c>
      <c r="BZ224">
        <v>-21</v>
      </c>
      <c r="CA224" t="s">
        <v>373</v>
      </c>
      <c r="CB224">
        <f>1</f>
        <v>1</v>
      </c>
      <c r="CC224">
        <f>IF(Crops[[#This Row],[Transplanting]]&gt;0, 2, 3)*BedLength/StandardBedLength</f>
        <v>1</v>
      </c>
      <c r="CD224" s="173">
        <f>IF(Crops[[#This Row],[Days in Cells]]&lt;=0,0,Crops[[#This Row],[Plantings Per Bed]]/StartsPerHourSeeding+Crops[[#This Row],[Tray 1 Count]]*5/60)</f>
        <v>0.693359375</v>
      </c>
      <c r="CE224" s="173">
        <f>IF(ISBLANK(Crops[[#This Row],[Tray 2 Days]]),0,Crops[[#This Row],[Plantings Per Bed]]/UpPottingPerHour)+IF(Crops[[#This Row],[Tray 3 Days]]="",0,Crops[[#This Row],[Plantings Per Bed]]/UpPottingPerHour)</f>
        <v>0</v>
      </c>
      <c r="CF224" s="173">
        <f>IFERROR(Crops[[#This Row],[Tray 1 Count]]/HomeStartFlatIrrigationPerHour,0)*Crops[[#This Row],[Days in Cells]]/DaysBetweenStartIrrigation</f>
        <v>0.150390625</v>
      </c>
      <c r="CG224" s="173">
        <f>0.5/16*MAX(Crops[[#This Row],[Tray 1 Count]],Crops[[#This Row],[Tray 2 Count]],Crops[[#This Row],[Tray 3 Count]])</f>
        <v>4.0283203125E-2</v>
      </c>
      <c r="CH224" s="173">
        <f>IF(Crops[[#This Row],[Days in Cells]]&gt;0,IF(IF(Crops[[#This Row],[Tray 3 Size]]&gt;0,Crops[[#This Row],[Tray 3 Size]],IF(Crops[[#This Row],[Tray 2 Size]]&gt;0,Crops[[#This Row],[Tray 2 Size]],Crops[[#This Row],[Tray 1 Size]]))&lt;=18,LargeTransplantTime,SmallTransplantTime)*Crops[[#This Row],[Plantings Per Bed]],0)</f>
        <v>0.75</v>
      </c>
      <c r="CI224" s="173"/>
      <c r="CJ224" s="173">
        <f>_xlfn.XLOOKUP(Crops[[#This Row],[Trellis Type]],TrellisMethods[Trellis Type],TrellisMethods[Hours],0,0)</f>
        <v>0</v>
      </c>
      <c r="CK224">
        <f>IF(Crops[[#This Row],[Days in Cells]]&lt;=0,Crops[[#This Row],[Rows]]*1/10,0)*BedLength/50</f>
        <v>0</v>
      </c>
      <c r="CL224" cm="1">
        <f t="array" ref="CL224">_xlfn.SWITCH(Crops[[#This Row],[Irrigation]],"DR", 0.5, "OH", 0.25,0)*BedLength/50</f>
        <v>0</v>
      </c>
      <c r="CM224">
        <f>IF(OR(ISBLANK(Crops[[#This Row],[Row Cover]]),Crops[[#This Row],[Row Cover]]="None"),0,1)*BedLength/50</f>
        <v>0</v>
      </c>
      <c r="CN224" s="173">
        <f>HoursPerWeedingPass*Crops[[#This Row],[Days In Field]]/14*Crops[[#This Row],[Rows]]+1*BedLength/50</f>
        <v>10.964285714285715</v>
      </c>
      <c r="CO224" s="49"/>
      <c r="CQ224" s="37">
        <f>_xlfn.XLOOKUP(Crops[[#This Row],[Crop]]&amp;Crops[[#This Row],[Product]]&amp;Crops[[#This Row],[Unit]],Products[ID],Products[Marketing (hr)])*Crops[[#This Row],[Direct Revenue Per Bed]]/2000</f>
        <v>0.30937500000000001</v>
      </c>
      <c r="CR224" s="37">
        <f>_xlfn.XLOOKUP(Crops[[#This Row],[Crop]]&amp;Crops[[#This Row],[Product]]&amp;Crops[[#This Row],[Unit]],Products[ID],Products[Harvest (s)])*Crops[[#This Row],[Custom Yield Per Bed]]/3600</f>
        <v>1.71875</v>
      </c>
      <c r="CS224" s="37">
        <f>_xlfn.XLOOKUP(Crops[[#This Row],[Crop]]&amp;Crops[[#This Row],[Product]]&amp;Crops[[#This Row],[Unit]],Products[ID],Products[Bunch (s)])*Crops[[#This Row],[Custom Yield Per Bed]]/3600</f>
        <v>0</v>
      </c>
      <c r="CT224" s="37">
        <f>_xlfn.XLOOKUP(Crops[[#This Row],[Crop]]&amp;Crops[[#This Row],[Product]]&amp;Crops[[#This Row],[Unit]],Products[ID],Products[Haul (s)])*Crops[[#This Row],[Custom Yield Per Bed]]/3600</f>
        <v>0.12890625</v>
      </c>
      <c r="CU224" s="37">
        <f>_xlfn.XLOOKUP(Crops[[#This Row],[Crop]]&amp;Crops[[#This Row],[Product]]&amp;Crops[[#This Row],[Unit]],Products[ID],Products[Wash (s)])*Crops[[#This Row],[Custom Yield Per Bed]]/3600</f>
        <v>0</v>
      </c>
      <c r="CV224" s="37">
        <f>_xlfn.XLOOKUP(Crops[[#This Row],[Crop]]&amp;Crops[[#This Row],[Product]]&amp;Crops[[#This Row],[Unit]],Products[ID],Products[Condition (s)])*Crops[[#This Row],[Custom Yield Per Bed]]/3600</f>
        <v>0</v>
      </c>
      <c r="CW224" s="37">
        <f>_xlfn.XLOOKUP(Crops[[#This Row],[Crop]]&amp;Crops[[#This Row],[Product]]&amp;Crops[[#This Row],[Unit]],Products[ID],Products[Trim (s)])*Crops[[#This Row],[Custom Yield Per Bed]]/3600</f>
        <v>0.859375</v>
      </c>
      <c r="CX224" s="37">
        <f>_xlfn.XLOOKUP(Crops[[#This Row],[Crop]]&amp;Crops[[#This Row],[Product]]&amp;Crops[[#This Row],[Unit]],Products[ID],Products[Pack (s)])*Crops[[#This Row],[Custom Yield Per Bed]]/3600</f>
        <v>0.171875</v>
      </c>
      <c r="CY224" s="37">
        <f>_xlfn.XLOOKUP(Crops[[#This Row],[Crop]]&amp;Crops[[#This Row],[Product]]&amp;Crops[[#This Row],[Unit]],Products[ID],Products[Clean (s)])*Crops[[#This Row],[Custom Yield Per Bed]]/3600</f>
        <v>0</v>
      </c>
      <c r="CZ224" s="37">
        <f>_xlfn.XLOOKUP(Crops[[#This Row],[Crop]]&amp;Crops[[#This Row],[Product]]&amp;Crops[[#This Row],[Unit]],Products[ID],Products[Rehandle (s)])*Crops[[#This Row],[Custom Yield Per Bed]]/3600</f>
        <v>0</v>
      </c>
      <c r="DA224" s="37">
        <f>_xlfn.XLOOKUP(Crops[[#This Row],[Crop]]&amp;Crops[[#This Row],[Product]]&amp;Crops[[#This Row],[Unit]],Products[ID],Products[Market Transport (s)])*Crops[[#This Row],[Custom Yield Per Bed]]/3600</f>
        <v>0.322265625</v>
      </c>
      <c r="DC224" s="37">
        <f>Crops[[#This Row],[Direct Revenue Per Bed2]]</f>
        <v>618.75</v>
      </c>
      <c r="DD224" s="173">
        <f>_xlfn.AGGREGATE(9,6,Crops[[#This Row],[Bed Prep]:[Remove Crop Residue]])</f>
        <v>17.108865792410715</v>
      </c>
      <c r="DE224" s="173">
        <f>_xlfn.AGGREGATE(9,6,Crops[[#This Row],[Bed Prep]:[Remove Crop Residue]])-0.75*Crops[[#This Row],[Market &amp; Sell]]</f>
        <v>16.876834542410716</v>
      </c>
      <c r="DF224" s="36">
        <f>Crops[[#This Row],[Direct Revenue Per Bed2]]/Crops[[#This Row],[Direct Time]]</f>
        <v>36.165459914617486</v>
      </c>
      <c r="DG224" s="36">
        <f>_xlfn.XLOOKUP(Crops[[#This Row],[ProductIndex]],Products[ID],Products[Packaging Cost])*(Crops[[#This Row],[Custom Yield Per Bed]]/_xlfn.XLOOKUP(Crops[[#This Row],[ProductIndex]],Products[ID],Products[Units Per Pack]))</f>
        <v>31.349999999999998</v>
      </c>
      <c r="DH224" s="36"/>
      <c r="DI224" s="36"/>
      <c r="DJ224" s="36"/>
      <c r="DK224" s="36"/>
      <c r="DL224" s="36"/>
      <c r="DM224" s="33">
        <f>IFERROR(Crops[[#This Row],[Custom Yield Per Bed]]*Crops[[#This Row],[Direct Price]],"")</f>
        <v>618.75</v>
      </c>
      <c r="DN224" s="36">
        <f>Crops[[#This Row],[Direct Time]]*LaborRate</f>
        <v>427.72164481026789</v>
      </c>
      <c r="DO224" s="36">
        <f>SUM(Crops[[#This Row],[Irrigation Cost]])</f>
        <v>0</v>
      </c>
      <c r="DP224" s="36">
        <f>Crops[[#This Row],[Direct Labor Cost]]+Crops[[#This Row],[Direct Non-Labor Cost]]</f>
        <v>427.72164481026789</v>
      </c>
      <c r="DQ224" s="36">
        <f>Crops[[#This Row],[Direct Revenue Per Bed2]]-Crops[[#This Row],[Direct Total Cost]]</f>
        <v>191.02835518973211</v>
      </c>
      <c r="DR224" s="36">
        <f>Crops[[#This Row],[Direct Profit]]*BedsPerAcre</f>
        <v>30564.536830357138</v>
      </c>
      <c r="DS224" s="36">
        <f>Crops[[#This Row],[Direct Profit]]*BedsPerAcre*GrowingDays/Crops[[#This Row],[Days In Field]]</f>
        <v>19719.056019585249</v>
      </c>
      <c r="DT224" s="36">
        <f>Crops[[#This Row],[Direct Profit]]/MIN(Crops[[#This Row],[Days In Field]],GrowingDays)</f>
        <v>1.0612686399429561</v>
      </c>
      <c r="DU224" s="33">
        <f>Crops[[#This Row],[Direct Time]] * BedsPerAcre</f>
        <v>2737.4185267857142</v>
      </c>
      <c r="DV224" s="36">
        <f>(Crops[[#This Row],[Direct Revenue Per Bed2]]-Crops[[#This Row],[Direct Non-Labor Cost]])/Crops[[#This Row],[Direct Time]]</f>
        <v>36.165459914617486</v>
      </c>
      <c r="DW224" s="33">
        <f>IFERROR(Crops[[#This Row],[Custom Yield Per Bed]]*Crops[[#This Row],[Rough Wholesale Price]],"")</f>
        <v>266.0625</v>
      </c>
      <c r="DX224" s="36">
        <f>Crops[[#This Row],[Wholesale Time]]*LaborRate</f>
        <v>421.92086356026789</v>
      </c>
      <c r="DY224" s="36">
        <f>SUM(Crops[[#This Row],[Packaging Costs]:[Irrigation Cost]])</f>
        <v>31.349999999999998</v>
      </c>
      <c r="DZ224" s="36">
        <f>Crops[[#This Row],[Wholesale Labor Cost]]+Crops[[#This Row],[Wholesale Non-Labor Cost]]</f>
        <v>453.27086356026791</v>
      </c>
      <c r="EA224" s="36">
        <f>Crops[[#This Row],[Wholesale Revenue Per Bed]]-Crops[[#This Row],[Wholesale Total Cost]]</f>
        <v>-187.20836356026791</v>
      </c>
      <c r="EB224" s="36">
        <f>Crops[[#This Row],[Wholesale Profit]]*BedsPerAcre</f>
        <v>-29953.338169642866</v>
      </c>
      <c r="EC224" s="36">
        <f>Crops[[#This Row],[Wholesale Profit]]*BedsPerAcre*GrowingDays/Crops[[#This Row],[Days In Field]]</f>
        <v>-19324.734302995395</v>
      </c>
      <c r="ED224" s="33">
        <f>Crops[[#This Row],[Wholesale Time]] * BedsPerAcre</f>
        <v>2700.2935267857147</v>
      </c>
      <c r="EE224" s="221">
        <f>Crops[[#This Row],[Wholesale Profit]]/MIN(Crops[[#This Row],[Days In Field]],GrowingDays)</f>
        <v>-1.0400464642237106</v>
      </c>
      <c r="EF224" s="36">
        <f>(Crops[[#This Row],[Wholesale Revenue Per Bed]]-Crops[[#This Row],[Wholesale Non-Labor Cost]])/Crops[[#This Row],[Direct Time]]</f>
        <v>13.7187644609449</v>
      </c>
      <c r="EG224" s="174">
        <f>Crops[[#This Row],[Packaging Costs]]/Crops[[#This Row],[Wholesale Revenue Per Bed]]</f>
        <v>0.11782945736434108</v>
      </c>
      <c r="EH224" s="36" t="str">
        <f>Crops[[#This Row],[Crop]]&amp;Crops[[#This Row],[Product]]&amp;Crops[[#This Row],[Unit]]</f>
        <v>OnionMature BulbLb</v>
      </c>
      <c r="EI224" s="36" t="b">
        <f>_xlfn.XLOOKUP(Crops[[#This Row],[ProductIndex]],Products[ID],Products[Target])</f>
        <v>1</v>
      </c>
      <c r="EJ224" s="33">
        <f>Crops[[#This Row],[Custom Yield Per Bed]]</f>
        <v>206.25</v>
      </c>
      <c r="EK224" s="210">
        <f>Crops[[#This Row],[Units Per Harvest]]/Crops[[#This Row],[Days Between Harvest]]*7</f>
        <v>103.125</v>
      </c>
      <c r="EL224" s="210">
        <f>Crops[[#This Row],[Custom Yield Per Bed]]/_xlfn.XLOOKUP(Crops[[#This Row],[ProductIndex]],Products[ID],Products[CSA Portion])</f>
        <v>206.25</v>
      </c>
      <c r="EM224" s="210">
        <f>Crops[[#This Row],[Units Per Harvest]]/Crops[[#This Row],[Days Between Harvest]]*7/_xlfn.XLOOKUP(Crops[[#This Row],[ProductIndex]],Products[ID],Products[CSA Portion])</f>
        <v>103.125</v>
      </c>
      <c r="EN224" s="210">
        <f>Crops[[#This Row],[CSA Portions Per Week]]/CSAMembers</f>
        <v>2.0625</v>
      </c>
      <c r="EO224" s="216"/>
      <c r="EP224" s="216"/>
      <c r="EQ224" s="210"/>
      <c r="ER224" s="210">
        <f>Crops[[#This Row],[Harvests]]*Crops[[#This Row],[Days Between Harvest]]/7</f>
        <v>2</v>
      </c>
      <c r="ES224" s="217">
        <f>_xlfn.XLOOKUP(Crops[[#This Row],[ProductIndex]],Products[ID],Products[CSA Need])</f>
        <v>5</v>
      </c>
      <c r="ET224" s="217">
        <f>_xlfn.XLOOKUP(Crops[[#This Row],[ProductIndex]],Products[ID],Products[CSA Times])</f>
        <v>5</v>
      </c>
      <c r="EU224" s="208">
        <f>Crops[[#This Row],[Custom Yield Per Bed]]/(Crops[[#This Row],[CSA Need]]*(_xlfn.XLOOKUP(Crops[[#This Row],[ProductIndex]],Products[ID],Products[CSA Portion])*CSAMembers))</f>
        <v>0.82499999999999996</v>
      </c>
      <c r="EV224" s="208">
        <f>_xlfn.XLOOKUP(Crops[[#This Row],[ProductIndex]],Products[ID],Products[CSA Portion])*CSAMembers*Crops[[#This Row],[CSA Need]]/Crops[[#This Row],[Custom Yield Per Bed]]</f>
        <v>1.2121212121212122</v>
      </c>
      <c r="EW224" s="208">
        <f>IFERROR(Crops[[#This Row],[Days In Field]]*Crops[[#This Row],[CSA Beds]],"")</f>
        <v>338.18181818181819</v>
      </c>
      <c r="EX224" s="208" t="e">
        <f>Crops[[#This Row],[CSA Bed Days]]*#REF!</f>
        <v>#REF!</v>
      </c>
      <c r="EY224" t="s">
        <v>1847</v>
      </c>
    </row>
    <row r="225" spans="1:155">
      <c r="A225"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 Mature Bulb 6X | Field TP SpSu</v>
      </c>
      <c r="B225" s="185"/>
      <c r="C225" s="1" t="b">
        <v>1</v>
      </c>
      <c r="D225" s="1" t="s">
        <v>2582</v>
      </c>
      <c r="E225" s="1" t="b">
        <v>0</v>
      </c>
      <c r="F225" s="1" t="b">
        <f>IFERROR(IF(ISNUMBER(MATCH(Crops[[#This Row],[Identifier]],BedPlan[Crop], 0)), TRUE, FALSE), FALSE)</f>
        <v>1</v>
      </c>
      <c r="G225" s="1" t="b">
        <f>IFERROR(IF(ISNUMBER(MATCH(Crops[[#This Row],[Identifier]],BedPlan[Crop], 0)), TRUE, FALSE), FALSE)</f>
        <v>1</v>
      </c>
      <c r="H225" s="1"/>
      <c r="I225" t="s">
        <v>105</v>
      </c>
      <c r="J225" t="s">
        <v>145</v>
      </c>
      <c r="K225" t="s">
        <v>198</v>
      </c>
      <c r="M225" t="s">
        <v>105</v>
      </c>
      <c r="N225" t="str">
        <f>Crops[[#This Row],[Crop]]</f>
        <v>Onion</v>
      </c>
      <c r="O225" t="s">
        <v>210</v>
      </c>
      <c r="P225" t="str">
        <f>IF(OR(Crops[[#This Row],[Days in Cells]]="",Crops[[#This Row],[Days in Cells]]=0), "DS","TP")</f>
        <v>TP</v>
      </c>
      <c r="Q225" t="s">
        <v>144</v>
      </c>
      <c r="R225" t="b">
        <v>1</v>
      </c>
      <c r="V225" t="str">
        <f xml:space="preserve"> IF(Crops[[#This Row],[Sp]], "Sp", "") &amp; IF(Crops[[#This Row],[Su]], "Su", "") &amp; IF(Crops[[#This Row],[Fa]], "Fa", "") &amp; IF(Crops[[#This Row],[Wi]], "Wi", "") &amp; IF(Crops[[#This Row],[OW]], "Ow","")</f>
        <v>SpSu</v>
      </c>
      <c r="W225" t="b">
        <v>1</v>
      </c>
      <c r="X225">
        <v>3</v>
      </c>
      <c r="Y225">
        <v>12</v>
      </c>
      <c r="AB225" t="b">
        <v>1</v>
      </c>
      <c r="AD225" s="32">
        <f>IFERROR(12/Crops[[#This Row],[Spacing]]*Crops[[#This Row],[Rows]]*BedLength,"")</f>
        <v>150</v>
      </c>
      <c r="AE225">
        <v>6</v>
      </c>
      <c r="AG225">
        <v>1.1000000000000001</v>
      </c>
      <c r="AH225">
        <f>1</f>
        <v>1</v>
      </c>
      <c r="AI225" s="33">
        <f>IFERROR(Crops[[#This Row],[Plantings Per Bed]]*Crops[[#This Row],[Seeds Per Planting]]*Crops[[#This Row],[Safety Factor]]*Crops[[#This Row],[Seeding Factor]],"")</f>
        <v>990.00000000000011</v>
      </c>
      <c r="AL225">
        <f>_xlfn.FLOOR.MATH(IFERROR(AVERAGE(Crops[[#This Row],[DTG Lower]:[DTG Upper]]),0))</f>
        <v>0</v>
      </c>
      <c r="AM225">
        <f>SUM(Crops[[#This Row],[Tray 1 Days]],Crops[[#This Row],[Tray 2 Days]],Crops[[#This Row],[Tray 3 Days]])</f>
        <v>42</v>
      </c>
      <c r="AN225" s="32">
        <f>6*7</f>
        <v>42</v>
      </c>
      <c r="AP225">
        <f>4.5*30</f>
        <v>135</v>
      </c>
      <c r="AQ225">
        <f>IFERROR(_xlfn.FLOOR.MATH(AVERAGE(Crops[[#This Row],[DTM Lower]:[DTM Upper]])),"")</f>
        <v>135</v>
      </c>
      <c r="AR225" cm="1">
        <f t="array" ref="AR225">_xlfn.SWITCH(Crops[[#This Row],[Normal Method]],"DS",Crops[[#This Row],[Days to Germination]]+Crops[[#This Row],[DTM]] + IF(Crops[[#This Row],[Days in Cells]]&gt;0,15,0), "TP",Crops[[#This Row],[DTM]]+Crops[[#This Row],[Days in Cells]] + IF(Crops[[#This Row],[Days in Cells]]&lt;=0,20,0), "X", Crops[[#This Row],[DTM]])</f>
        <v>135</v>
      </c>
      <c r="AS225" t="s">
        <v>347</v>
      </c>
      <c r="AT225">
        <f>(Crops[[#This Row],[Harvests]]-1)*Crops[[#This Row],[Days Between Harvest]]+7</f>
        <v>14</v>
      </c>
      <c r="AU225">
        <f>Crops[[#This Row],[STH]]-Crops[[#This Row],[Days in Cells]]+Crops[[#This Row],[Harvest window]]</f>
        <v>107</v>
      </c>
      <c r="AX225">
        <v>128</v>
      </c>
      <c r="AY225">
        <v>42</v>
      </c>
      <c r="AZ225" s="49">
        <f>IFERROR(IF(Crops[[#This Row],[Tray 1 Days]]=0,"",Crops[[#This Row],[Plantings Per Bed]]/Crops[[#This Row],[Tray 1 Size]]*Crops[[#This Row],[Safety Factor]]),"")</f>
        <v>1.2890625</v>
      </c>
      <c r="BC225" t="str">
        <f>IFERROR(IF(Crops[[#This Row],[Tray 2 Days]]=0,"",Crops[[#This Row],[Plantings Per Bed]]/Crops[[#This Row],[Tray 2 Size]]*Crops[[#This Row],[Safety Factor]]),"")</f>
        <v/>
      </c>
      <c r="BE225" s="32" t="str">
        <f>IF(NOT(ISBLANK(Crops[[#This Row],[Tray 3 Size]])), Crops[[#This Row],[Days in Cells Old]]-SUM(Crops[[#This Row],[Tray 1 Days]],Crops[[#This Row],[Tray 2 Days]]), "")</f>
        <v/>
      </c>
      <c r="BF225" s="49" t="str">
        <f>IFERROR(IF(Crops[[#This Row],[Tray 3 Days]]=0,"",Crops[[#This Row],[Plantings Per Bed]]/Crops[[#This Row],[Tray 3 Size]]*Crops[[#This Row],[Safety Factor]]),"")</f>
        <v/>
      </c>
      <c r="BG225" s="33">
        <f>Crops[[#This Row],[Plantings Per Bed]]*4*5.5/16/Crops[[#This Row],[Harvests]]</f>
        <v>103.125</v>
      </c>
      <c r="BH225" s="33">
        <v>2</v>
      </c>
      <c r="BI225" s="33">
        <v>7</v>
      </c>
      <c r="BJ225" s="33">
        <f>_xlfn.XLOOKUP(Crops[[#This Row],[ProductIndex]],Products[ID],Products[Holding Period])</f>
        <v>120</v>
      </c>
      <c r="BK225" s="33"/>
      <c r="BL225" s="33">
        <f>Crops[[#This Row],[Units Per Harvest]]*Crops[[#This Row],[Harvests]]</f>
        <v>206.25</v>
      </c>
      <c r="BM225" s="35">
        <v>3</v>
      </c>
      <c r="BN225" s="35">
        <v>1.29</v>
      </c>
      <c r="BO225" s="35"/>
      <c r="BP225" t="s">
        <v>383</v>
      </c>
      <c r="BQ225">
        <f>Crops[[#This Row],[Custom Yield Per Bed]]*Crops[[#This Row],[Direct Price]]</f>
        <v>618.75</v>
      </c>
      <c r="BR225" t="b">
        <v>1</v>
      </c>
      <c r="BS225" t="b">
        <f>Crops[[#This Row],[Harvests]]&gt;1</f>
        <v>1</v>
      </c>
      <c r="BT225" s="36">
        <f>IFERROR(Crops[[#This Row],[Direct Revenue Per Bed]]/Crops[[#This Row],[Days In Field]],-1)</f>
        <v>5.7827102803738315</v>
      </c>
      <c r="BU225" s="36">
        <f>IFERROR(Crops[[#This Row],[Direct Revenue Per Bed Day]]*GrowingDays*BedsPerAcre,"")</f>
        <v>166542.05607476633</v>
      </c>
      <c r="BV225" s="38">
        <f>LastFrostDate-5*Crops[[#This Row],[Sewing Rel Last Frost]]</f>
        <v>45718</v>
      </c>
      <c r="BW225" s="38">
        <f>Crops[[#This Row],[Target Sewing Date]]+Crops[[#This Row],[Days in Cells]]</f>
        <v>45760</v>
      </c>
      <c r="BX225" s="38">
        <f>Crops[[#This Row],[Target Sewing Date]]+Crops[[#This Row],[STH]]</f>
        <v>45853</v>
      </c>
      <c r="BY225" s="38">
        <f>Crops[[#This Row],[Target Harvest Data]]+Crops[[#This Row],[Harvest window]]</f>
        <v>45867</v>
      </c>
      <c r="BZ225">
        <v>6</v>
      </c>
      <c r="CA225" t="s">
        <v>373</v>
      </c>
      <c r="CB225">
        <f>1</f>
        <v>1</v>
      </c>
      <c r="CC225">
        <f>IF(Crops[[#This Row],[Transplanting]]&gt;0, 2, 3)*BedLength/StandardBedLength</f>
        <v>1</v>
      </c>
      <c r="CD225" s="173">
        <f>IF(Crops[[#This Row],[Days in Cells]]&lt;=0,0,Crops[[#This Row],[Plantings Per Bed]]/StartsPerHourSeeding+Crops[[#This Row],[Tray 1 Count]]*5/60)</f>
        <v>0.693359375</v>
      </c>
      <c r="CE225" s="173">
        <f>IF(ISBLANK(Crops[[#This Row],[Tray 2 Days]]),0,Crops[[#This Row],[Plantings Per Bed]]/UpPottingPerHour)+IF(Crops[[#This Row],[Tray 3 Days]]="",0,Crops[[#This Row],[Plantings Per Bed]]/UpPottingPerHour)</f>
        <v>0</v>
      </c>
      <c r="CF225" s="173">
        <f>IFERROR(Crops[[#This Row],[Tray 1 Count]]/HomeStartFlatIrrigationPerHour,0)*Crops[[#This Row],[Days in Cells]]/DaysBetweenStartIrrigation</f>
        <v>0.2255859375</v>
      </c>
      <c r="CG225" s="173">
        <f>0.5/16*MAX(Crops[[#This Row],[Tray 1 Count]],Crops[[#This Row],[Tray 2 Count]],Crops[[#This Row],[Tray 3 Count]])</f>
        <v>4.0283203125E-2</v>
      </c>
      <c r="CH225" s="173">
        <f>IF(Crops[[#This Row],[Days in Cells]]&gt;0,IF(IF(Crops[[#This Row],[Tray 3 Size]]&gt;0,Crops[[#This Row],[Tray 3 Size]],IF(Crops[[#This Row],[Tray 2 Size]]&gt;0,Crops[[#This Row],[Tray 2 Size]],Crops[[#This Row],[Tray 1 Size]]))&lt;=18,LargeTransplantTime,SmallTransplantTime)*Crops[[#This Row],[Plantings Per Bed]],0)</f>
        <v>0.75</v>
      </c>
      <c r="CI225" s="173"/>
      <c r="CJ225" s="173">
        <f>_xlfn.XLOOKUP(Crops[[#This Row],[Trellis Type]],TrellisMethods[Trellis Type],TrellisMethods[Hours],0,0)</f>
        <v>0</v>
      </c>
      <c r="CK225">
        <f>IF(Crops[[#This Row],[Days in Cells]]&lt;=0,Crops[[#This Row],[Rows]]*1/10,0)*BedLength/50</f>
        <v>0</v>
      </c>
      <c r="CL225" cm="1">
        <f t="array" ref="CL225">_xlfn.SWITCH(Crops[[#This Row],[Irrigation]],"DR", 0.5, "OH", 0.25,0)*BedLength/50</f>
        <v>0</v>
      </c>
      <c r="CM225">
        <f>IF(OR(ISBLANK(Crops[[#This Row],[Row Cover]]),Crops[[#This Row],[Row Cover]]="None"),0,1)*BedLength/50</f>
        <v>0</v>
      </c>
      <c r="CN225" s="173">
        <f>HoursPerWeedingPass*Crops[[#This Row],[Days In Field]]/14*Crops[[#This Row],[Rows]]+1*BedLength/50</f>
        <v>4.8214285714285712</v>
      </c>
      <c r="CO225" s="49"/>
      <c r="CQ225" s="37">
        <f>_xlfn.XLOOKUP(Crops[[#This Row],[Crop]]&amp;Crops[[#This Row],[Product]]&amp;Crops[[#This Row],[Unit]],Products[ID],Products[Marketing (hr)])*Crops[[#This Row],[Direct Revenue Per Bed]]/2000</f>
        <v>0.30937500000000001</v>
      </c>
      <c r="CR225" s="37">
        <f>_xlfn.XLOOKUP(Crops[[#This Row],[Crop]]&amp;Crops[[#This Row],[Product]]&amp;Crops[[#This Row],[Unit]],Products[ID],Products[Harvest (s)])*Crops[[#This Row],[Custom Yield Per Bed]]/3600</f>
        <v>1.71875</v>
      </c>
      <c r="CS225" s="37">
        <f>_xlfn.XLOOKUP(Crops[[#This Row],[Crop]]&amp;Crops[[#This Row],[Product]]&amp;Crops[[#This Row],[Unit]],Products[ID],Products[Bunch (s)])*Crops[[#This Row],[Custom Yield Per Bed]]/3600</f>
        <v>0</v>
      </c>
      <c r="CT225" s="37">
        <f>_xlfn.XLOOKUP(Crops[[#This Row],[Crop]]&amp;Crops[[#This Row],[Product]]&amp;Crops[[#This Row],[Unit]],Products[ID],Products[Haul (s)])*Crops[[#This Row],[Custom Yield Per Bed]]/3600</f>
        <v>0.12890625</v>
      </c>
      <c r="CU225" s="37">
        <f>_xlfn.XLOOKUP(Crops[[#This Row],[Crop]]&amp;Crops[[#This Row],[Product]]&amp;Crops[[#This Row],[Unit]],Products[ID],Products[Wash (s)])*Crops[[#This Row],[Custom Yield Per Bed]]/3600</f>
        <v>0</v>
      </c>
      <c r="CV225" s="37">
        <f>_xlfn.XLOOKUP(Crops[[#This Row],[Crop]]&amp;Crops[[#This Row],[Product]]&amp;Crops[[#This Row],[Unit]],Products[ID],Products[Condition (s)])*Crops[[#This Row],[Custom Yield Per Bed]]/3600</f>
        <v>0</v>
      </c>
      <c r="CW225" s="37">
        <f>_xlfn.XLOOKUP(Crops[[#This Row],[Crop]]&amp;Crops[[#This Row],[Product]]&amp;Crops[[#This Row],[Unit]],Products[ID],Products[Trim (s)])*Crops[[#This Row],[Custom Yield Per Bed]]/3600</f>
        <v>0.859375</v>
      </c>
      <c r="CX225" s="37">
        <f>_xlfn.XLOOKUP(Crops[[#This Row],[Crop]]&amp;Crops[[#This Row],[Product]]&amp;Crops[[#This Row],[Unit]],Products[ID],Products[Pack (s)])*Crops[[#This Row],[Custom Yield Per Bed]]/3600</f>
        <v>0.171875</v>
      </c>
      <c r="CY225" s="37">
        <f>_xlfn.XLOOKUP(Crops[[#This Row],[Crop]]&amp;Crops[[#This Row],[Product]]&amp;Crops[[#This Row],[Unit]],Products[ID],Products[Clean (s)])*Crops[[#This Row],[Custom Yield Per Bed]]/3600</f>
        <v>0</v>
      </c>
      <c r="CZ225" s="37">
        <f>_xlfn.XLOOKUP(Crops[[#This Row],[Crop]]&amp;Crops[[#This Row],[Product]]&amp;Crops[[#This Row],[Unit]],Products[ID],Products[Rehandle (s)])*Crops[[#This Row],[Custom Yield Per Bed]]/3600</f>
        <v>0</v>
      </c>
      <c r="DA225" s="37">
        <f>_xlfn.XLOOKUP(Crops[[#This Row],[Crop]]&amp;Crops[[#This Row],[Product]]&amp;Crops[[#This Row],[Unit]],Products[ID],Products[Market Transport (s)])*Crops[[#This Row],[Custom Yield Per Bed]]/3600</f>
        <v>0.322265625</v>
      </c>
      <c r="DC225" s="37">
        <f>Crops[[#This Row],[Direct Revenue Per Bed2]]</f>
        <v>618.75</v>
      </c>
      <c r="DD225" s="173">
        <f>_xlfn.AGGREGATE(9,6,Crops[[#This Row],[Bed Prep]:[Remove Crop Residue]])</f>
        <v>11.041203962053572</v>
      </c>
      <c r="DE225" s="173">
        <f>_xlfn.AGGREGATE(9,6,Crops[[#This Row],[Bed Prep]:[Remove Crop Residue]])-0.75*Crops[[#This Row],[Market &amp; Sell]]</f>
        <v>10.809172712053572</v>
      </c>
      <c r="DF225" s="36">
        <f>Crops[[#This Row],[Direct Revenue Per Bed2]]/Crops[[#This Row],[Direct Time]]</f>
        <v>56.040084226912299</v>
      </c>
      <c r="DG225" s="36">
        <f>_xlfn.XLOOKUP(Crops[[#This Row],[ProductIndex]],Products[ID],Products[Packaging Cost])*(Crops[[#This Row],[Custom Yield Per Bed]]/_xlfn.XLOOKUP(Crops[[#This Row],[ProductIndex]],Products[ID],Products[Units Per Pack]))</f>
        <v>31.349999999999998</v>
      </c>
      <c r="DH225" s="36"/>
      <c r="DI225" s="36"/>
      <c r="DJ225" s="36"/>
      <c r="DK225" s="36"/>
      <c r="DL225" s="36"/>
      <c r="DM225" s="33">
        <f>IFERROR(Crops[[#This Row],[Custom Yield Per Bed]]*Crops[[#This Row],[Direct Price]],"")</f>
        <v>618.75</v>
      </c>
      <c r="DN225" s="36">
        <f>Crops[[#This Row],[Direct Time]]*LaborRate</f>
        <v>276.03009905133933</v>
      </c>
      <c r="DO225" s="36">
        <f>SUM(Crops[[#This Row],[Irrigation Cost]])</f>
        <v>0</v>
      </c>
      <c r="DP225" s="36">
        <f>Crops[[#This Row],[Direct Labor Cost]]+Crops[[#This Row],[Direct Non-Labor Cost]]</f>
        <v>276.03009905133933</v>
      </c>
      <c r="DQ225" s="36">
        <f>Crops[[#This Row],[Direct Revenue Per Bed2]]-Crops[[#This Row],[Direct Total Cost]]</f>
        <v>342.71990094866067</v>
      </c>
      <c r="DR225" s="36">
        <f>Crops[[#This Row],[Direct Profit]]*BedsPerAcre</f>
        <v>54835.18415178571</v>
      </c>
      <c r="DS225" s="36">
        <f>Crops[[#This Row],[Direct Profit]]*BedsPerAcre*GrowingDays/Crops[[#This Row],[Days In Field]]</f>
        <v>92246.104180574082</v>
      </c>
      <c r="DT225" s="36">
        <f>Crops[[#This Row],[Direct Profit]]/MIN(Crops[[#This Row],[Days In Field]],GrowingDays)</f>
        <v>3.2029897284921556</v>
      </c>
      <c r="DU225" s="33">
        <f>Crops[[#This Row],[Direct Time]] * BedsPerAcre</f>
        <v>1766.5926339285716</v>
      </c>
      <c r="DV225" s="36">
        <f>(Crops[[#This Row],[Direct Revenue Per Bed2]]-Crops[[#This Row],[Direct Non-Labor Cost]])/Crops[[#This Row],[Direct Time]]</f>
        <v>56.040084226912299</v>
      </c>
      <c r="DW225" s="33">
        <f>IFERROR(Crops[[#This Row],[Custom Yield Per Bed]]*Crops[[#This Row],[Rough Wholesale Price]],"")</f>
        <v>266.0625</v>
      </c>
      <c r="DX225" s="36">
        <f>Crops[[#This Row],[Wholesale Time]]*LaborRate</f>
        <v>270.22931780133928</v>
      </c>
      <c r="DY225" s="36">
        <f>SUM(Crops[[#This Row],[Packaging Costs]:[Irrigation Cost]])</f>
        <v>31.349999999999998</v>
      </c>
      <c r="DZ225" s="36">
        <f>Crops[[#This Row],[Wholesale Labor Cost]]+Crops[[#This Row],[Wholesale Non-Labor Cost]]</f>
        <v>301.5793178013393</v>
      </c>
      <c r="EA225" s="36">
        <f>Crops[[#This Row],[Wholesale Revenue Per Bed]]-Crops[[#This Row],[Wholesale Total Cost]]</f>
        <v>-35.5168178013393</v>
      </c>
      <c r="EB225" s="36">
        <f>Crops[[#This Row],[Wholesale Profit]]*BedsPerAcre</f>
        <v>-5682.6908482142881</v>
      </c>
      <c r="EC225" s="36">
        <f>Crops[[#This Row],[Wholesale Profit]]*BedsPerAcre*GrowingDays/Crops[[#This Row],[Days In Field]]</f>
        <v>-9559.6668474632879</v>
      </c>
      <c r="ED225" s="33">
        <f>Crops[[#This Row],[Wholesale Time]] * BedsPerAcre</f>
        <v>1729.4676339285716</v>
      </c>
      <c r="EE225" s="221">
        <f>Crops[[#This Row],[Wholesale Profit]]/MIN(Crops[[#This Row],[Days In Field]],GrowingDays)</f>
        <v>-0.33193287664803084</v>
      </c>
      <c r="EF225" s="36">
        <f>(Crops[[#This Row],[Wholesale Revenue Per Bed]]-Crops[[#This Row],[Wholesale Non-Labor Cost]])/Crops[[#This Row],[Direct Time]]</f>
        <v>21.257871950075401</v>
      </c>
      <c r="EG225" s="174">
        <f>Crops[[#This Row],[Packaging Costs]]/Crops[[#This Row],[Wholesale Revenue Per Bed]]</f>
        <v>0.11782945736434108</v>
      </c>
      <c r="EH225" s="36" t="str">
        <f>Crops[[#This Row],[Crop]]&amp;Crops[[#This Row],[Product]]&amp;Crops[[#This Row],[Unit]]</f>
        <v>OnionMature BulbLb</v>
      </c>
      <c r="EI225" s="36" t="b">
        <f>_xlfn.XLOOKUP(Crops[[#This Row],[ProductIndex]],Products[ID],Products[Target])</f>
        <v>1</v>
      </c>
      <c r="EJ225" s="33">
        <f>Crops[[#This Row],[Custom Yield Per Bed]]</f>
        <v>206.25</v>
      </c>
      <c r="EK225" s="210">
        <f>Crops[[#This Row],[Units Per Harvest]]/Crops[[#This Row],[Days Between Harvest]]*7</f>
        <v>103.125</v>
      </c>
      <c r="EL225" s="210">
        <f>Crops[[#This Row],[Custom Yield Per Bed]]/_xlfn.XLOOKUP(Crops[[#This Row],[ProductIndex]],Products[ID],Products[CSA Portion])</f>
        <v>206.25</v>
      </c>
      <c r="EM225" s="210">
        <f>Crops[[#This Row],[Units Per Harvest]]/Crops[[#This Row],[Days Between Harvest]]*7/_xlfn.XLOOKUP(Crops[[#This Row],[ProductIndex]],Products[ID],Products[CSA Portion])</f>
        <v>103.125</v>
      </c>
      <c r="EN225" s="210">
        <f>Crops[[#This Row],[CSA Portions Per Week]]/CSAMembers</f>
        <v>2.0625</v>
      </c>
      <c r="EO225" s="216">
        <v>1.5</v>
      </c>
      <c r="EP225" s="216">
        <v>1</v>
      </c>
      <c r="EQ225" s="210"/>
      <c r="ER225" s="210">
        <f>Crops[[#This Row],[Harvests]]*Crops[[#This Row],[Days Between Harvest]]/7</f>
        <v>2</v>
      </c>
      <c r="ES225" s="217">
        <f>_xlfn.XLOOKUP(Crops[[#This Row],[ProductIndex]],Products[ID],Products[CSA Need])</f>
        <v>5</v>
      </c>
      <c r="ET225" s="217">
        <f>_xlfn.XLOOKUP(Crops[[#This Row],[ProductIndex]],Products[ID],Products[CSA Times])</f>
        <v>5</v>
      </c>
      <c r="EU225" s="208">
        <f>Crops[[#This Row],[Custom Yield Per Bed]]/(Crops[[#This Row],[CSA Need]]*(_xlfn.XLOOKUP(Crops[[#This Row],[ProductIndex]],Products[ID],Products[CSA Portion])*CSAMembers))</f>
        <v>0.82499999999999996</v>
      </c>
      <c r="EV225" s="208">
        <f>_xlfn.XLOOKUP(Crops[[#This Row],[ProductIndex]],Products[ID],Products[CSA Portion])*CSAMembers*Crops[[#This Row],[CSA Need]]/Crops[[#This Row],[Custom Yield Per Bed]]</f>
        <v>1.2121212121212122</v>
      </c>
      <c r="EW225" s="208">
        <f>IFERROR(Crops[[#This Row],[Days In Field]]*Crops[[#This Row],[CSA Beds]],"")</f>
        <v>129.69696969696969</v>
      </c>
      <c r="EX225" s="208" t="e">
        <f>Crops[[#This Row],[CSA Bed Days]]*#REF!</f>
        <v>#REF!</v>
      </c>
      <c r="EY225" t="s">
        <v>360</v>
      </c>
    </row>
    <row r="226" spans="1:155">
      <c r="A226"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(Salad Early) - Young Bulb 10X | Field TP Sp</v>
      </c>
      <c r="B226" s="185"/>
      <c r="C226" s="1" t="b">
        <v>1</v>
      </c>
      <c r="D226" s="1"/>
      <c r="E226" s="1" t="b">
        <v>0</v>
      </c>
      <c r="F226" s="1" t="b">
        <f>IFERROR(IF(ISNUMBER(MATCH(Crops[[#This Row],[Identifier]],BedPlan[Crop], 0)), TRUE, FALSE), FALSE)</f>
        <v>1</v>
      </c>
      <c r="G226" s="1" t="b">
        <f>IFERROR(IF(ISNUMBER(MATCH(Crops[[#This Row],[Identifier]],BedPlan[Crop], 0)), TRUE, FALSE), FALSE)</f>
        <v>1</v>
      </c>
      <c r="H226" s="1"/>
      <c r="I226" t="s">
        <v>105</v>
      </c>
      <c r="J226" t="s">
        <v>1693</v>
      </c>
      <c r="K226" t="s">
        <v>358</v>
      </c>
      <c r="M226" t="s">
        <v>105</v>
      </c>
      <c r="N226" t="str">
        <f>Crops[[#This Row],[Crop]]</f>
        <v>Onion</v>
      </c>
      <c r="O226" t="s">
        <v>210</v>
      </c>
      <c r="P226" t="str">
        <f>IF(OR(Crops[[#This Row],[Days in Cells]]="",Crops[[#This Row],[Days in Cells]]=0), "DS","TP")</f>
        <v>TP</v>
      </c>
      <c r="Q226" t="s">
        <v>144</v>
      </c>
      <c r="V226" t="str">
        <f xml:space="preserve"> IF(Crops[[#This Row],[Sp]], "Sp", "") &amp; IF(Crops[[#This Row],[Su]], "Su", "") &amp; IF(Crops[[#This Row],[Fa]], "Fa", "") &amp; IF(Crops[[#This Row],[Wi]], "Wi", "") &amp; IF(Crops[[#This Row],[OW]], "Ow","")</f>
        <v>Sp</v>
      </c>
      <c r="W226" t="s">
        <v>144</v>
      </c>
      <c r="X226">
        <v>3</v>
      </c>
      <c r="Y226">
        <v>12</v>
      </c>
      <c r="AA226" t="s">
        <v>474</v>
      </c>
      <c r="AC226">
        <v>2</v>
      </c>
      <c r="AD226" s="32">
        <f>IFERROR(12/Crops[[#This Row],[Spacing]]*Crops[[#This Row],[Rows]]*BedLength,"")</f>
        <v>150</v>
      </c>
      <c r="AE226">
        <v>10</v>
      </c>
      <c r="AG226">
        <v>1.1000000000000001</v>
      </c>
      <c r="AH226">
        <f>1</f>
        <v>1</v>
      </c>
      <c r="AI226" s="33">
        <f>IFERROR(Crops[[#This Row],[Plantings Per Bed]]*Crops[[#This Row],[Seeds Per Planting]]*Crops[[#This Row],[Safety Factor]]*Crops[[#This Row],[Seeding Factor]],"")</f>
        <v>1650.0000000000002</v>
      </c>
      <c r="AL226">
        <f>_xlfn.FLOOR.MATH(IFERROR(AVERAGE(Crops[[#This Row],[DTG Lower]:[DTG Upper]]),0))</f>
        <v>0</v>
      </c>
      <c r="AM226">
        <f>SUM(Crops[[#This Row],[Tray 1 Days]],Crops[[#This Row],[Tray 2 Days]],Crops[[#This Row],[Tray 3 Days]])</f>
        <v>28</v>
      </c>
      <c r="AN226" s="32">
        <v>42</v>
      </c>
      <c r="AO226">
        <v>90</v>
      </c>
      <c r="AP226">
        <v>90</v>
      </c>
      <c r="AQ226">
        <f>IFERROR(_xlfn.FLOOR.MATH(AVERAGE(Crops[[#This Row],[DTM Lower]:[DTM Upper]])),"")</f>
        <v>90</v>
      </c>
      <c r="AR226" cm="1">
        <f t="array" ref="AR226">_xlfn.SWITCH(Crops[[#This Row],[Normal Method]],"DS",Crops[[#This Row],[Days to Germination]]+Crops[[#This Row],[DTM]] + IF(Crops[[#This Row],[Days in Cells]]&gt;0,15,0), "TP",Crops[[#This Row],[DTM]]+Crops[[#This Row],[Days in Cells]] + IF(Crops[[#This Row],[Days in Cells]]&lt;=0,20,0), "X", Crops[[#This Row],[DTM]])</f>
        <v>90</v>
      </c>
      <c r="AS226" t="s">
        <v>347</v>
      </c>
      <c r="AT226">
        <f>(Crops[[#This Row],[Harvests]]-1)*Crops[[#This Row],[Days Between Harvest]]+7</f>
        <v>56</v>
      </c>
      <c r="AU226">
        <f>Crops[[#This Row],[STH]]-Crops[[#This Row],[Days in Cells]]+Crops[[#This Row],[Harvest window]]</f>
        <v>118</v>
      </c>
      <c r="AX226">
        <v>128</v>
      </c>
      <c r="AY226">
        <v>28</v>
      </c>
      <c r="AZ226">
        <f>IFERROR(IF(Crops[[#This Row],[Tray 1 Days]]=0,"",Crops[[#This Row],[Plantings Per Bed]]/Crops[[#This Row],[Tray 1 Size]]*Crops[[#This Row],[Safety Factor]]),"")</f>
        <v>1.2890625</v>
      </c>
      <c r="BC226" t="str">
        <f>IFERROR(IF(Crops[[#This Row],[Tray 2 Days]]=0,"",Crops[[#This Row],[Plantings Per Bed]]/Crops[[#This Row],[Tray 2 Size]]*Crops[[#This Row],[Safety Factor]]),"")</f>
        <v/>
      </c>
      <c r="BE226" s="32" t="str">
        <f>IF(NOT(ISBLANK(Crops[[#This Row],[Tray 3 Size]])), Crops[[#This Row],[Days in Cells Old]]-SUM(Crops[[#This Row],[Tray 1 Days]],Crops[[#This Row],[Tray 2 Days]]), "")</f>
        <v/>
      </c>
      <c r="BF226" t="str">
        <f>IFERROR(IF(Crops[[#This Row],[Tray 3 Days]]=0,"",Crops[[#This Row],[Plantings Per Bed]]/Crops[[#This Row],[Tray 3 Size]]*Crops[[#This Row],[Safety Factor]]),"")</f>
        <v/>
      </c>
      <c r="BG226" s="33">
        <f>Crops[[#This Row],[Plantings Per Bed]]/Crops[[#This Row],[Harvests]]</f>
        <v>18.75</v>
      </c>
      <c r="BH226" s="33">
        <v>8</v>
      </c>
      <c r="BI226" s="33">
        <v>7</v>
      </c>
      <c r="BJ226" s="33">
        <f>_xlfn.XLOOKUP(Crops[[#This Row],[ProductIndex]],Products[ID],Products[Holding Period])</f>
        <v>14</v>
      </c>
      <c r="BK226" s="33"/>
      <c r="BL226" s="33">
        <f>Crops[[#This Row],[Units Per Harvest]]*Crops[[#This Row],[Harvests]]</f>
        <v>150</v>
      </c>
      <c r="BM226" s="35">
        <v>4</v>
      </c>
      <c r="BN226" s="35">
        <v>2.69</v>
      </c>
      <c r="BO226" s="35"/>
      <c r="BP226" t="s">
        <v>215</v>
      </c>
      <c r="BQ226">
        <f>Crops[[#This Row],[Custom Yield Per Bed]]*Crops[[#This Row],[Direct Price]]</f>
        <v>600</v>
      </c>
      <c r="BR226" t="b">
        <v>1</v>
      </c>
      <c r="BS226" t="b">
        <f>Crops[[#This Row],[Harvests]]&gt;1</f>
        <v>1</v>
      </c>
      <c r="BT226" s="36">
        <f>IFERROR(Crops[[#This Row],[Direct Revenue Per Bed]]/Crops[[#This Row],[Days In Field]],-1)</f>
        <v>5.0847457627118642</v>
      </c>
      <c r="BU226" s="36">
        <f>IFERROR(Crops[[#This Row],[Direct Revenue Per Bed Day]]*GrowingDays*BedsPerAcre,"")</f>
        <v>146440.67796610168</v>
      </c>
      <c r="BV226" s="38">
        <f>LastFrostDate-5*Crops[[#This Row],[Sewing Rel Last Frost]]</f>
        <v>45713</v>
      </c>
      <c r="BW226" s="38">
        <f>Crops[[#This Row],[Target Sewing Date]]+Crops[[#This Row],[Days in Cells]]</f>
        <v>45741</v>
      </c>
      <c r="BX226" s="38">
        <f>Crops[[#This Row],[Target Sewing Date]]+Crops[[#This Row],[STH]]</f>
        <v>45803</v>
      </c>
      <c r="BY226" s="38">
        <f>Crops[[#This Row],[Target Harvest Data]]+Crops[[#This Row],[Harvest window]]</f>
        <v>45859</v>
      </c>
      <c r="BZ226">
        <v>7</v>
      </c>
      <c r="CA226" t="s">
        <v>373</v>
      </c>
      <c r="CB226">
        <f>1</f>
        <v>1</v>
      </c>
      <c r="CC226">
        <f>IF(Crops[[#This Row],[Transplanting]]&gt;0, 2, 3)*BedLength/StandardBedLength</f>
        <v>1</v>
      </c>
      <c r="CD226" s="173">
        <f>IF(Crops[[#This Row],[Days in Cells]]&lt;=0,0,Crops[[#This Row],[Plantings Per Bed]]/StartsPerHourSeeding+Crops[[#This Row],[Tray 1 Count]]*5/60)</f>
        <v>0.693359375</v>
      </c>
      <c r="CE226" s="173">
        <f>IF(ISBLANK(Crops[[#This Row],[Tray 2 Days]]),0,Crops[[#This Row],[Plantings Per Bed]]/UpPottingPerHour)+IF(Crops[[#This Row],[Tray 3 Days]]="",0,Crops[[#This Row],[Plantings Per Bed]]/UpPottingPerHour)</f>
        <v>0</v>
      </c>
      <c r="CF226" s="173">
        <f>IFERROR(Crops[[#This Row],[Tray 1 Count]]/HomeStartFlatIrrigationPerHour,0)*Crops[[#This Row],[Days in Cells]]/DaysBetweenStartIrrigation</f>
        <v>0.150390625</v>
      </c>
      <c r="CG226" s="173">
        <f>0.5/16*MAX(Crops[[#This Row],[Tray 1 Count]],Crops[[#This Row],[Tray 2 Count]],Crops[[#This Row],[Tray 3 Count]])</f>
        <v>4.0283203125E-2</v>
      </c>
      <c r="CH226" s="173">
        <f>IF(Crops[[#This Row],[Days in Cells]]&gt;0,IF(IF(Crops[[#This Row],[Tray 3 Size]]&gt;0,Crops[[#This Row],[Tray 3 Size]],IF(Crops[[#This Row],[Tray 2 Size]]&gt;0,Crops[[#This Row],[Tray 2 Size]],Crops[[#This Row],[Tray 1 Size]]))&lt;=18,LargeTransplantTime,SmallTransplantTime)*Crops[[#This Row],[Plantings Per Bed]],0)</f>
        <v>0.75</v>
      </c>
      <c r="CI226" s="173"/>
      <c r="CJ226" s="173">
        <f>_xlfn.XLOOKUP(Crops[[#This Row],[Trellis Type]],TrellisMethods[Trellis Type],TrellisMethods[Hours],0,0)</f>
        <v>0</v>
      </c>
      <c r="CK226">
        <f>IF(Crops[[#This Row],[Days in Cells]]&lt;=0,Crops[[#This Row],[Rows]]*1/10,0)*BedLength/50</f>
        <v>0</v>
      </c>
      <c r="CL226" cm="1">
        <f t="array" ref="CL226">_xlfn.SWITCH(Crops[[#This Row],[Irrigation]],"DR", 0.5, "OH", 0.25,0)*BedLength/50</f>
        <v>0</v>
      </c>
      <c r="CM226">
        <f>IF(OR(ISBLANK(Crops[[#This Row],[Row Cover]]),Crops[[#This Row],[Row Cover]]="None"),0,1)*BedLength/50</f>
        <v>0</v>
      </c>
      <c r="CN226" s="173">
        <f>HoursPerWeedingPass*Crops[[#This Row],[Days In Field]]/14*Crops[[#This Row],[Rows]]+1*BedLength/50</f>
        <v>5.2142857142857135</v>
      </c>
      <c r="CO226" s="49"/>
      <c r="CQ226" s="37">
        <f>_xlfn.XLOOKUP(Crops[[#This Row],[Crop]]&amp;Crops[[#This Row],[Product]]&amp;Crops[[#This Row],[Unit]],Products[ID],Products[Marketing (hr)])*Crops[[#This Row],[Direct Revenue Per Bed]]/2000</f>
        <v>0.3</v>
      </c>
      <c r="CR226" s="37">
        <f>_xlfn.XLOOKUP(Crops[[#This Row],[Crop]]&amp;Crops[[#This Row],[Product]]&amp;Crops[[#This Row],[Unit]],Products[ID],Products[Harvest (s)])*Crops[[#This Row],[Custom Yield Per Bed]]/3600</f>
        <v>2.0833333333333335</v>
      </c>
      <c r="CS226" s="37">
        <f>_xlfn.XLOOKUP(Crops[[#This Row],[Crop]]&amp;Crops[[#This Row],[Product]]&amp;Crops[[#This Row],[Unit]],Products[ID],Products[Bunch (s)])*Crops[[#This Row],[Custom Yield Per Bed]]/3600</f>
        <v>0.41666666666666669</v>
      </c>
      <c r="CT226" s="37">
        <f>_xlfn.XLOOKUP(Crops[[#This Row],[Crop]]&amp;Crops[[#This Row],[Product]]&amp;Crops[[#This Row],[Unit]],Products[ID],Products[Haul (s)])*Crops[[#This Row],[Custom Yield Per Bed]]/3600</f>
        <v>0.15625</v>
      </c>
      <c r="CU226" s="37">
        <f>_xlfn.XLOOKUP(Crops[[#This Row],[Crop]]&amp;Crops[[#This Row],[Product]]&amp;Crops[[#This Row],[Unit]],Products[ID],Products[Wash (s)])*Crops[[#This Row],[Custom Yield Per Bed]]/3600</f>
        <v>1.0416666666666667</v>
      </c>
      <c r="CV226" s="37">
        <f>_xlfn.XLOOKUP(Crops[[#This Row],[Crop]]&amp;Crops[[#This Row],[Product]]&amp;Crops[[#This Row],[Unit]],Products[ID],Products[Condition (s)])*Crops[[#This Row],[Custom Yield Per Bed]]/3600</f>
        <v>0</v>
      </c>
      <c r="CW226" s="37">
        <f>_xlfn.XLOOKUP(Crops[[#This Row],[Crop]]&amp;Crops[[#This Row],[Product]]&amp;Crops[[#This Row],[Unit]],Products[ID],Products[Trim (s)])*Crops[[#This Row],[Custom Yield Per Bed]]/3600</f>
        <v>2.5</v>
      </c>
      <c r="CX226" s="37">
        <f>_xlfn.XLOOKUP(Crops[[#This Row],[Crop]]&amp;Crops[[#This Row],[Product]]&amp;Crops[[#This Row],[Unit]],Products[ID],Products[Pack (s)])*Crops[[#This Row],[Custom Yield Per Bed]]/3600</f>
        <v>0.125</v>
      </c>
      <c r="CY226" s="37">
        <f>_xlfn.XLOOKUP(Crops[[#This Row],[Crop]]&amp;Crops[[#This Row],[Product]]&amp;Crops[[#This Row],[Unit]],Products[ID],Products[Clean (s)])*Crops[[#This Row],[Custom Yield Per Bed]]/3600</f>
        <v>0</v>
      </c>
      <c r="CZ226" s="37">
        <f>_xlfn.XLOOKUP(Crops[[#This Row],[Crop]]&amp;Crops[[#This Row],[Product]]&amp;Crops[[#This Row],[Unit]],Products[ID],Products[Rehandle (s)])*Crops[[#This Row],[Custom Yield Per Bed]]/3600</f>
        <v>0</v>
      </c>
      <c r="DA226" s="37">
        <f>_xlfn.XLOOKUP(Crops[[#This Row],[Crop]]&amp;Crops[[#This Row],[Product]]&amp;Crops[[#This Row],[Unit]],Products[ID],Products[Market Transport (s)])*Crops[[#This Row],[Custom Yield Per Bed]]/3600</f>
        <v>0.390625</v>
      </c>
      <c r="DC226" s="37">
        <f>Crops[[#This Row],[Direct Revenue Per Bed2]]</f>
        <v>600</v>
      </c>
      <c r="DD226" s="173">
        <f>_xlfn.AGGREGATE(9,6,Crops[[#This Row],[Bed Prep]:[Remove Crop Residue]])</f>
        <v>14.86186058407738</v>
      </c>
      <c r="DE226" s="173">
        <f>_xlfn.AGGREGATE(9,6,Crops[[#This Row],[Bed Prep]:[Remove Crop Residue]])-0.75*Crops[[#This Row],[Market &amp; Sell]]</f>
        <v>14.636860584077381</v>
      </c>
      <c r="DF226" s="36">
        <f>Crops[[#This Row],[Direct Revenue Per Bed2]]/Crops[[#This Row],[Direct Time]]</f>
        <v>40.371795752331629</v>
      </c>
      <c r="DG226" s="36">
        <f>_xlfn.XLOOKUP(Crops[[#This Row],[ProductIndex]],Products[ID],Products[Packaging Cost])*(Crops[[#This Row],[Custom Yield Per Bed]]/_xlfn.XLOOKUP(Crops[[#This Row],[ProductIndex]],Products[ID],Products[Units Per Pack]))</f>
        <v>23.75</v>
      </c>
      <c r="DH226" s="36"/>
      <c r="DI226" s="36"/>
      <c r="DJ226" s="36"/>
      <c r="DK226" s="36"/>
      <c r="DL226" s="36"/>
      <c r="DM226" s="33">
        <f>IFERROR(Crops[[#This Row],[Custom Yield Per Bed]]*Crops[[#This Row],[Direct Price]],"")</f>
        <v>600</v>
      </c>
      <c r="DN226" s="36">
        <f>Crops[[#This Row],[Direct Time]]*LaborRate</f>
        <v>371.54651460193452</v>
      </c>
      <c r="DO226" s="36">
        <f>SUM(Crops[[#This Row],[Irrigation Cost]])</f>
        <v>0</v>
      </c>
      <c r="DP226" s="36">
        <f>Crops[[#This Row],[Direct Labor Cost]]+Crops[[#This Row],[Direct Non-Labor Cost]]</f>
        <v>371.54651460193452</v>
      </c>
      <c r="DQ226" s="36">
        <f>Crops[[#This Row],[Direct Revenue Per Bed2]]-Crops[[#This Row],[Direct Total Cost]]</f>
        <v>228.45348539806548</v>
      </c>
      <c r="DR226" s="36">
        <f>Crops[[#This Row],[Direct Profit]]*BedsPerAcre</f>
        <v>36552.557663690473</v>
      </c>
      <c r="DS226" s="36">
        <f>Crops[[#This Row],[Direct Profit]]*BedsPerAcre*GrowingDays/Crops[[#This Row],[Days In Field]]</f>
        <v>55758.138809019365</v>
      </c>
      <c r="DT226" s="36">
        <f>Crops[[#This Row],[Direct Profit]]/MIN(Crops[[#This Row],[Days In Field]],GrowingDays)</f>
        <v>1.9360464864242837</v>
      </c>
      <c r="DU226" s="33">
        <f>Crops[[#This Row],[Direct Time]] * BedsPerAcre</f>
        <v>2377.8976934523807</v>
      </c>
      <c r="DV226" s="36">
        <f>(Crops[[#This Row],[Direct Revenue Per Bed2]]-Crops[[#This Row],[Direct Non-Labor Cost]])/Crops[[#This Row],[Direct Time]]</f>
        <v>40.371795752331629</v>
      </c>
      <c r="DW226" s="33">
        <f>IFERROR(Crops[[#This Row],[Custom Yield Per Bed]]*Crops[[#This Row],[Rough Wholesale Price]],"")</f>
        <v>403.5</v>
      </c>
      <c r="DX226" s="36">
        <f>Crops[[#This Row],[Wholesale Time]]*LaborRate</f>
        <v>365.92151460193452</v>
      </c>
      <c r="DY226" s="36">
        <f>SUM(Crops[[#This Row],[Packaging Costs]:[Irrigation Cost]])</f>
        <v>23.75</v>
      </c>
      <c r="DZ226" s="36">
        <f>Crops[[#This Row],[Wholesale Labor Cost]]+Crops[[#This Row],[Wholesale Non-Labor Cost]]</f>
        <v>389.67151460193452</v>
      </c>
      <c r="EA226" s="36">
        <f>Crops[[#This Row],[Wholesale Revenue Per Bed]]-Crops[[#This Row],[Wholesale Total Cost]]</f>
        <v>13.828485398065482</v>
      </c>
      <c r="EB226" s="36">
        <f>Crops[[#This Row],[Wholesale Profit]]*BedsPerAcre</f>
        <v>2212.5576636904771</v>
      </c>
      <c r="EC226" s="36">
        <f>Crops[[#This Row],[Wholesale Profit]]*BedsPerAcre*GrowingDays/Crops[[#This Row],[Days In Field]]</f>
        <v>3375.0879615617446</v>
      </c>
      <c r="ED226" s="33">
        <f>Crops[[#This Row],[Wholesale Time]] * BedsPerAcre</f>
        <v>2341.8976934523807</v>
      </c>
      <c r="EE226" s="221">
        <f>Crops[[#This Row],[Wholesale Profit]]/MIN(Crops[[#This Row],[Days In Field]],GrowingDays)</f>
        <v>0.11719055422089392</v>
      </c>
      <c r="EF226" s="36">
        <f>(Crops[[#This Row],[Wholesale Revenue Per Bed]]-Crops[[#This Row],[Wholesale Non-Labor Cost]])/Crops[[#This Row],[Direct Time]]</f>
        <v>25.551982394913225</v>
      </c>
      <c r="EG226" s="174">
        <f>Crops[[#This Row],[Packaging Costs]]/Crops[[#This Row],[Wholesale Revenue Per Bed]]</f>
        <v>5.8859975216852538E-2</v>
      </c>
      <c r="EH226" s="36" t="str">
        <f>Crops[[#This Row],[Crop]]&amp;Crops[[#This Row],[Product]]&amp;Crops[[#This Row],[Unit]]</f>
        <v>OnionYoung BulbBunch</v>
      </c>
      <c r="EI226" s="36" t="b">
        <f>_xlfn.XLOOKUP(Crops[[#This Row],[ProductIndex]],Products[ID],Products[Target])</f>
        <v>1</v>
      </c>
      <c r="EJ226" s="33">
        <f>Crops[[#This Row],[Custom Yield Per Bed]]</f>
        <v>150</v>
      </c>
      <c r="EK226" s="210">
        <f>Crops[[#This Row],[Units Per Harvest]]/Crops[[#This Row],[Days Between Harvest]]*7</f>
        <v>18.75</v>
      </c>
      <c r="EL226" s="210">
        <f>Crops[[#This Row],[Custom Yield Per Bed]]/_xlfn.XLOOKUP(Crops[[#This Row],[ProductIndex]],Products[ID],Products[CSA Portion])</f>
        <v>150</v>
      </c>
      <c r="EM226" s="210">
        <f>Crops[[#This Row],[Units Per Harvest]]/Crops[[#This Row],[Days Between Harvest]]*7/_xlfn.XLOOKUP(Crops[[#This Row],[ProductIndex]],Products[ID],Products[CSA Portion])</f>
        <v>18.75</v>
      </c>
      <c r="EN226" s="210">
        <f>Crops[[#This Row],[CSA Portions Per Week]]/CSAMembers</f>
        <v>0.375</v>
      </c>
      <c r="EO226" s="216"/>
      <c r="EP226" s="216"/>
      <c r="EQ226" s="210"/>
      <c r="ER226" s="210">
        <f>Crops[[#This Row],[Harvests]]*Crops[[#This Row],[Days Between Harvest]]/7</f>
        <v>8</v>
      </c>
      <c r="ES226" s="217">
        <f>_xlfn.XLOOKUP(Crops[[#This Row],[ProductIndex]],Products[ID],Products[CSA Need])</f>
        <v>5</v>
      </c>
      <c r="ET226" s="217">
        <f>_xlfn.XLOOKUP(Crops[[#This Row],[ProductIndex]],Products[ID],Products[CSA Times])</f>
        <v>5</v>
      </c>
      <c r="EU226" s="208">
        <f>Crops[[#This Row],[Custom Yield Per Bed]]/(Crops[[#This Row],[CSA Need]]*(_xlfn.XLOOKUP(Crops[[#This Row],[ProductIndex]],Products[ID],Products[CSA Portion])*CSAMembers))</f>
        <v>0.6</v>
      </c>
      <c r="EV226" s="208">
        <f>_xlfn.XLOOKUP(Crops[[#This Row],[ProductIndex]],Products[ID],Products[CSA Portion])*CSAMembers*Crops[[#This Row],[CSA Need]]/Crops[[#This Row],[Custom Yield Per Bed]]</f>
        <v>1.6666666666666667</v>
      </c>
      <c r="EW226" s="208">
        <f>IFERROR(Crops[[#This Row],[Days In Field]]*Crops[[#This Row],[CSA Beds]],"")</f>
        <v>196.66666666666669</v>
      </c>
      <c r="EX226" s="208" t="e">
        <f>Crops[[#This Row],[CSA Bed Days]]*#REF!</f>
        <v>#REF!</v>
      </c>
      <c r="EY226" t="s">
        <v>359</v>
      </c>
    </row>
    <row r="227" spans="1:155">
      <c r="A22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(Salad Late) - Young Bulb 10X | Field TP Sp</v>
      </c>
      <c r="B227" s="185"/>
      <c r="C227" s="1" t="b">
        <v>1</v>
      </c>
      <c r="D227" s="1" t="s">
        <v>2583</v>
      </c>
      <c r="E227" s="1" t="b">
        <v>0</v>
      </c>
      <c r="F227" s="1" t="b">
        <f>IFERROR(IF(ISNUMBER(MATCH(Crops[[#This Row],[Identifier]],BedPlan[Crop], 0)), TRUE, FALSE), FALSE)</f>
        <v>1</v>
      </c>
      <c r="G227" s="1" t="b">
        <f>IFERROR(IF(ISNUMBER(MATCH(Crops[[#This Row],[Identifier]],BedPlan[Crop], 0)), TRUE, FALSE), FALSE)</f>
        <v>1</v>
      </c>
      <c r="H227" s="1"/>
      <c r="I227" t="s">
        <v>105</v>
      </c>
      <c r="J227" t="s">
        <v>1694</v>
      </c>
      <c r="K227" t="s">
        <v>358</v>
      </c>
      <c r="M227" t="s">
        <v>105</v>
      </c>
      <c r="N227" t="str">
        <f>Crops[[#This Row],[Crop]]</f>
        <v>Onion</v>
      </c>
      <c r="O227" t="s">
        <v>210</v>
      </c>
      <c r="P227" t="str">
        <f>IF(OR(Crops[[#This Row],[Days in Cells]]="",Crops[[#This Row],[Days in Cells]]=0), "DS","TP")</f>
        <v>TP</v>
      </c>
      <c r="Q227" t="s">
        <v>144</v>
      </c>
      <c r="V227" t="str">
        <f xml:space="preserve"> IF(Crops[[#This Row],[Sp]], "Sp", "") &amp; IF(Crops[[#This Row],[Su]], "Su", "") &amp; IF(Crops[[#This Row],[Fa]], "Fa", "") &amp; IF(Crops[[#This Row],[Wi]], "Wi", "") &amp; IF(Crops[[#This Row],[OW]], "Ow","")</f>
        <v>Sp</v>
      </c>
      <c r="W227" t="s">
        <v>144</v>
      </c>
      <c r="X227">
        <v>3</v>
      </c>
      <c r="Y227">
        <v>12</v>
      </c>
      <c r="AA227" t="s">
        <v>474</v>
      </c>
      <c r="AB227" t="b">
        <v>1</v>
      </c>
      <c r="AC227">
        <v>2</v>
      </c>
      <c r="AD227" s="32">
        <f>IFERROR(12/Crops[[#This Row],[Spacing]]*Crops[[#This Row],[Rows]]*BedLength,"")</f>
        <v>150</v>
      </c>
      <c r="AE227">
        <v>10</v>
      </c>
      <c r="AG227">
        <v>1.1000000000000001</v>
      </c>
      <c r="AH227">
        <f>1</f>
        <v>1</v>
      </c>
      <c r="AI227" s="33">
        <f>IFERROR(Crops[[#This Row],[Plantings Per Bed]]*Crops[[#This Row],[Seeds Per Planting]]*Crops[[#This Row],[Safety Factor]]*Crops[[#This Row],[Seeding Factor]],"")</f>
        <v>1650.0000000000002</v>
      </c>
      <c r="AL227">
        <f>_xlfn.FLOOR.MATH(IFERROR(AVERAGE(Crops[[#This Row],[DTG Lower]:[DTG Upper]]),0))</f>
        <v>0</v>
      </c>
      <c r="AM227">
        <f>SUM(Crops[[#This Row],[Tray 1 Days]],Crops[[#This Row],[Tray 2 Days]],Crops[[#This Row],[Tray 3 Days]])</f>
        <v>28</v>
      </c>
      <c r="AN227" s="32">
        <v>42</v>
      </c>
      <c r="AO227">
        <v>90</v>
      </c>
      <c r="AP227">
        <v>90</v>
      </c>
      <c r="AQ227">
        <f>IFERROR(_xlfn.FLOOR.MATH(AVERAGE(Crops[[#This Row],[DTM Lower]:[DTM Upper]])),"")</f>
        <v>90</v>
      </c>
      <c r="AR227" cm="1">
        <f t="array" ref="AR227">_xlfn.SWITCH(Crops[[#This Row],[Normal Method]],"DS",Crops[[#This Row],[Days to Germination]]+Crops[[#This Row],[DTM]] + IF(Crops[[#This Row],[Days in Cells]]&gt;0,15,0), "TP",Crops[[#This Row],[DTM]]+Crops[[#This Row],[Days in Cells]] + IF(Crops[[#This Row],[Days in Cells]]&lt;=0,20,0), "X", Crops[[#This Row],[DTM]])</f>
        <v>90</v>
      </c>
      <c r="AS227" t="s">
        <v>347</v>
      </c>
      <c r="AT227">
        <f>(Crops[[#This Row],[Harvests]]-1)*Crops[[#This Row],[Days Between Harvest]]+7</f>
        <v>56</v>
      </c>
      <c r="AU227">
        <f>Crops[[#This Row],[STH]]-Crops[[#This Row],[Days in Cells]]+Crops[[#This Row],[Harvest window]]</f>
        <v>118</v>
      </c>
      <c r="AX227">
        <v>128</v>
      </c>
      <c r="AY227">
        <v>28</v>
      </c>
      <c r="AZ227">
        <f>IFERROR(IF(Crops[[#This Row],[Tray 1 Days]]=0,"",Crops[[#This Row],[Plantings Per Bed]]/Crops[[#This Row],[Tray 1 Size]]*Crops[[#This Row],[Safety Factor]]),"")</f>
        <v>1.2890625</v>
      </c>
      <c r="BC227" t="str">
        <f>IFERROR(IF(Crops[[#This Row],[Tray 2 Days]]=0,"",Crops[[#This Row],[Plantings Per Bed]]/Crops[[#This Row],[Tray 2 Size]]*Crops[[#This Row],[Safety Factor]]),"")</f>
        <v/>
      </c>
      <c r="BE227" s="32" t="str">
        <f>IF(NOT(ISBLANK(Crops[[#This Row],[Tray 3 Size]])), Crops[[#This Row],[Days in Cells Old]]-SUM(Crops[[#This Row],[Tray 1 Days]],Crops[[#This Row],[Tray 2 Days]]), "")</f>
        <v/>
      </c>
      <c r="BF227" t="str">
        <f>IFERROR(IF(Crops[[#This Row],[Tray 3 Days]]=0,"",Crops[[#This Row],[Plantings Per Bed]]/Crops[[#This Row],[Tray 3 Size]]*Crops[[#This Row],[Safety Factor]]),"")</f>
        <v/>
      </c>
      <c r="BG227" s="33">
        <f>Crops[[#This Row],[Plantings Per Bed]]/Crops[[#This Row],[Harvests]]</f>
        <v>18.75</v>
      </c>
      <c r="BH227" s="33">
        <v>8</v>
      </c>
      <c r="BI227" s="33">
        <v>7</v>
      </c>
      <c r="BJ227" s="33">
        <f>_xlfn.XLOOKUP(Crops[[#This Row],[ProductIndex]],Products[ID],Products[Holding Period])</f>
        <v>14</v>
      </c>
      <c r="BK227" s="33"/>
      <c r="BL227" s="33">
        <f>Crops[[#This Row],[Units Per Harvest]]*Crops[[#This Row],[Harvests]]</f>
        <v>150</v>
      </c>
      <c r="BM227" s="35">
        <v>4</v>
      </c>
      <c r="BN227" s="35">
        <v>2.69</v>
      </c>
      <c r="BO227" s="35"/>
      <c r="BP227" t="s">
        <v>215</v>
      </c>
      <c r="BQ227">
        <f>Crops[[#This Row],[Custom Yield Per Bed]]*Crops[[#This Row],[Direct Price]]</f>
        <v>600</v>
      </c>
      <c r="BS227" t="b">
        <f>Crops[[#This Row],[Harvests]]&gt;1</f>
        <v>1</v>
      </c>
      <c r="BT227" s="36">
        <f>IFERROR(Crops[[#This Row],[Direct Revenue Per Bed]]/Crops[[#This Row],[Days In Field]],-1)</f>
        <v>5.0847457627118642</v>
      </c>
      <c r="BU227" s="36">
        <f>IFERROR(Crops[[#This Row],[Direct Revenue Per Bed Day]]*GrowingDays*BedsPerAcre,"")</f>
        <v>146440.67796610168</v>
      </c>
      <c r="BV227" s="38">
        <f>LastFrostDate-5*Crops[[#This Row],[Sewing Rel Last Frost]]</f>
        <v>45738</v>
      </c>
      <c r="BW227" s="38">
        <f>Crops[[#This Row],[Target Sewing Date]]+Crops[[#This Row],[Days in Cells]]</f>
        <v>45766</v>
      </c>
      <c r="BX227" s="38">
        <f>Crops[[#This Row],[Target Sewing Date]]+Crops[[#This Row],[STH]]</f>
        <v>45828</v>
      </c>
      <c r="BY227" s="38">
        <f>Crops[[#This Row],[Target Harvest Data]]+Crops[[#This Row],[Harvest window]]</f>
        <v>45884</v>
      </c>
      <c r="BZ227">
        <v>2</v>
      </c>
      <c r="CA227" t="s">
        <v>373</v>
      </c>
      <c r="CB227">
        <f>1</f>
        <v>1</v>
      </c>
      <c r="CC227">
        <f>IF(Crops[[#This Row],[Transplanting]]&gt;0, 2, 3)*BedLength/StandardBedLength</f>
        <v>1</v>
      </c>
      <c r="CD227" s="173">
        <f>IF(Crops[[#This Row],[Days in Cells]]&lt;=0,0,Crops[[#This Row],[Plantings Per Bed]]/StartsPerHourSeeding+Crops[[#This Row],[Tray 1 Count]]*5/60)</f>
        <v>0.693359375</v>
      </c>
      <c r="CE227" s="173">
        <f>IF(ISBLANK(Crops[[#This Row],[Tray 2 Days]]),0,Crops[[#This Row],[Plantings Per Bed]]/UpPottingPerHour)+IF(Crops[[#This Row],[Tray 3 Days]]="",0,Crops[[#This Row],[Plantings Per Bed]]/UpPottingPerHour)</f>
        <v>0</v>
      </c>
      <c r="CF227" s="173">
        <f>IFERROR(Crops[[#This Row],[Tray 1 Count]]/HomeStartFlatIrrigationPerHour,0)*Crops[[#This Row],[Days in Cells]]/DaysBetweenStartIrrigation</f>
        <v>0.150390625</v>
      </c>
      <c r="CG227" s="173">
        <f>0.5/16*MAX(Crops[[#This Row],[Tray 1 Count]],Crops[[#This Row],[Tray 2 Count]],Crops[[#This Row],[Tray 3 Count]])</f>
        <v>4.0283203125E-2</v>
      </c>
      <c r="CH227" s="173">
        <f>IF(Crops[[#This Row],[Days in Cells]]&gt;0,IF(IF(Crops[[#This Row],[Tray 3 Size]]&gt;0,Crops[[#This Row],[Tray 3 Size]],IF(Crops[[#This Row],[Tray 2 Size]]&gt;0,Crops[[#This Row],[Tray 2 Size]],Crops[[#This Row],[Tray 1 Size]]))&lt;=18,LargeTransplantTime,SmallTransplantTime)*Crops[[#This Row],[Plantings Per Bed]],0)</f>
        <v>0.75</v>
      </c>
      <c r="CI227" s="173"/>
      <c r="CJ227" s="173">
        <f>_xlfn.XLOOKUP(Crops[[#This Row],[Trellis Type]],TrellisMethods[Trellis Type],TrellisMethods[Hours],0,0)</f>
        <v>0</v>
      </c>
      <c r="CK227">
        <f>IF(Crops[[#This Row],[Days in Cells]]&lt;=0,Crops[[#This Row],[Rows]]*1/10,0)*BedLength/50</f>
        <v>0</v>
      </c>
      <c r="CL227" cm="1">
        <f t="array" ref="CL227">_xlfn.SWITCH(Crops[[#This Row],[Irrigation]],"DR", 0.5, "OH", 0.25,0)*BedLength/50</f>
        <v>0</v>
      </c>
      <c r="CM227">
        <f>IF(OR(ISBLANK(Crops[[#This Row],[Row Cover]]),Crops[[#This Row],[Row Cover]]="None"),0,1)*BedLength/50</f>
        <v>0</v>
      </c>
      <c r="CN227" s="173">
        <f>HoursPerWeedingPass*Crops[[#This Row],[Days In Field]]/14*Crops[[#This Row],[Rows]]+1*BedLength/50</f>
        <v>5.2142857142857135</v>
      </c>
      <c r="CO227" s="49"/>
      <c r="CQ227" s="37">
        <f>_xlfn.XLOOKUP(Crops[[#This Row],[Crop]]&amp;Crops[[#This Row],[Product]]&amp;Crops[[#This Row],[Unit]],Products[ID],Products[Marketing (hr)])*Crops[[#This Row],[Direct Revenue Per Bed]]/2000</f>
        <v>0.3</v>
      </c>
      <c r="CR227" s="37">
        <f>_xlfn.XLOOKUP(Crops[[#This Row],[Crop]]&amp;Crops[[#This Row],[Product]]&amp;Crops[[#This Row],[Unit]],Products[ID],Products[Harvest (s)])*Crops[[#This Row],[Custom Yield Per Bed]]/3600</f>
        <v>2.0833333333333335</v>
      </c>
      <c r="CS227" s="37">
        <f>_xlfn.XLOOKUP(Crops[[#This Row],[Crop]]&amp;Crops[[#This Row],[Product]]&amp;Crops[[#This Row],[Unit]],Products[ID],Products[Bunch (s)])*Crops[[#This Row],[Custom Yield Per Bed]]/3600</f>
        <v>0.41666666666666669</v>
      </c>
      <c r="CT227" s="37">
        <f>_xlfn.XLOOKUP(Crops[[#This Row],[Crop]]&amp;Crops[[#This Row],[Product]]&amp;Crops[[#This Row],[Unit]],Products[ID],Products[Haul (s)])*Crops[[#This Row],[Custom Yield Per Bed]]/3600</f>
        <v>0.15625</v>
      </c>
      <c r="CU227" s="37">
        <f>_xlfn.XLOOKUP(Crops[[#This Row],[Crop]]&amp;Crops[[#This Row],[Product]]&amp;Crops[[#This Row],[Unit]],Products[ID],Products[Wash (s)])*Crops[[#This Row],[Custom Yield Per Bed]]/3600</f>
        <v>1.0416666666666667</v>
      </c>
      <c r="CV227" s="37">
        <f>_xlfn.XLOOKUP(Crops[[#This Row],[Crop]]&amp;Crops[[#This Row],[Product]]&amp;Crops[[#This Row],[Unit]],Products[ID],Products[Condition (s)])*Crops[[#This Row],[Custom Yield Per Bed]]/3600</f>
        <v>0</v>
      </c>
      <c r="CW227" s="37">
        <f>_xlfn.XLOOKUP(Crops[[#This Row],[Crop]]&amp;Crops[[#This Row],[Product]]&amp;Crops[[#This Row],[Unit]],Products[ID],Products[Trim (s)])*Crops[[#This Row],[Custom Yield Per Bed]]/3600</f>
        <v>2.5</v>
      </c>
      <c r="CX227" s="37">
        <f>_xlfn.XLOOKUP(Crops[[#This Row],[Crop]]&amp;Crops[[#This Row],[Product]]&amp;Crops[[#This Row],[Unit]],Products[ID],Products[Pack (s)])*Crops[[#This Row],[Custom Yield Per Bed]]/3600</f>
        <v>0.125</v>
      </c>
      <c r="CY227" s="37">
        <f>_xlfn.XLOOKUP(Crops[[#This Row],[Crop]]&amp;Crops[[#This Row],[Product]]&amp;Crops[[#This Row],[Unit]],Products[ID],Products[Clean (s)])*Crops[[#This Row],[Custom Yield Per Bed]]/3600</f>
        <v>0</v>
      </c>
      <c r="CZ227" s="37">
        <f>_xlfn.XLOOKUP(Crops[[#This Row],[Crop]]&amp;Crops[[#This Row],[Product]]&amp;Crops[[#This Row],[Unit]],Products[ID],Products[Rehandle (s)])*Crops[[#This Row],[Custom Yield Per Bed]]/3600</f>
        <v>0</v>
      </c>
      <c r="DA227" s="37">
        <f>_xlfn.XLOOKUP(Crops[[#This Row],[Crop]]&amp;Crops[[#This Row],[Product]]&amp;Crops[[#This Row],[Unit]],Products[ID],Products[Market Transport (s)])*Crops[[#This Row],[Custom Yield Per Bed]]/3600</f>
        <v>0.390625</v>
      </c>
      <c r="DC227" s="37">
        <f>Crops[[#This Row],[Direct Revenue Per Bed2]]</f>
        <v>600</v>
      </c>
      <c r="DD227" s="173">
        <f>_xlfn.AGGREGATE(9,6,Crops[[#This Row],[Bed Prep]:[Remove Crop Residue]])</f>
        <v>14.86186058407738</v>
      </c>
      <c r="DE227" s="173">
        <f>_xlfn.AGGREGATE(9,6,Crops[[#This Row],[Bed Prep]:[Remove Crop Residue]])-0.75*Crops[[#This Row],[Market &amp; Sell]]</f>
        <v>14.636860584077381</v>
      </c>
      <c r="DF227" s="36">
        <f>Crops[[#This Row],[Direct Revenue Per Bed2]]/Crops[[#This Row],[Direct Time]]</f>
        <v>40.371795752331629</v>
      </c>
      <c r="DG227" s="36">
        <f>_xlfn.XLOOKUP(Crops[[#This Row],[ProductIndex]],Products[ID],Products[Packaging Cost])*(Crops[[#This Row],[Custom Yield Per Bed]]/_xlfn.XLOOKUP(Crops[[#This Row],[ProductIndex]],Products[ID],Products[Units Per Pack]))</f>
        <v>23.75</v>
      </c>
      <c r="DH227" s="36"/>
      <c r="DI227" s="36"/>
      <c r="DJ227" s="36"/>
      <c r="DK227" s="36"/>
      <c r="DL227" s="36"/>
      <c r="DM227" s="33">
        <f>IFERROR(Crops[[#This Row],[Custom Yield Per Bed]]*Crops[[#This Row],[Direct Price]],"")</f>
        <v>600</v>
      </c>
      <c r="DN227" s="36">
        <f>Crops[[#This Row],[Direct Time]]*LaborRate</f>
        <v>371.54651460193452</v>
      </c>
      <c r="DO227" s="36">
        <f>SUM(Crops[[#This Row],[Irrigation Cost]])</f>
        <v>0</v>
      </c>
      <c r="DP227" s="36">
        <f>Crops[[#This Row],[Direct Labor Cost]]+Crops[[#This Row],[Direct Non-Labor Cost]]</f>
        <v>371.54651460193452</v>
      </c>
      <c r="DQ227" s="36">
        <f>Crops[[#This Row],[Direct Revenue Per Bed2]]-Crops[[#This Row],[Direct Total Cost]]</f>
        <v>228.45348539806548</v>
      </c>
      <c r="DR227" s="36">
        <f>Crops[[#This Row],[Direct Profit]]*BedsPerAcre</f>
        <v>36552.557663690473</v>
      </c>
      <c r="DS227" s="36">
        <f>Crops[[#This Row],[Direct Profit]]*BedsPerAcre*GrowingDays/Crops[[#This Row],[Days In Field]]</f>
        <v>55758.138809019365</v>
      </c>
      <c r="DT227" s="36">
        <f>Crops[[#This Row],[Direct Profit]]/MIN(Crops[[#This Row],[Days In Field]],GrowingDays)</f>
        <v>1.9360464864242837</v>
      </c>
      <c r="DU227" s="33">
        <f>Crops[[#This Row],[Direct Time]] * BedsPerAcre</f>
        <v>2377.8976934523807</v>
      </c>
      <c r="DV227" s="36">
        <f>(Crops[[#This Row],[Direct Revenue Per Bed2]]-Crops[[#This Row],[Direct Non-Labor Cost]])/Crops[[#This Row],[Direct Time]]</f>
        <v>40.371795752331629</v>
      </c>
      <c r="DW227" s="33">
        <f>IFERROR(Crops[[#This Row],[Custom Yield Per Bed]]*Crops[[#This Row],[Rough Wholesale Price]],"")</f>
        <v>403.5</v>
      </c>
      <c r="DX227" s="36">
        <f>Crops[[#This Row],[Wholesale Time]]*LaborRate</f>
        <v>365.92151460193452</v>
      </c>
      <c r="DY227" s="36">
        <f>SUM(Crops[[#This Row],[Packaging Costs]:[Irrigation Cost]])</f>
        <v>23.75</v>
      </c>
      <c r="DZ227" s="36">
        <f>Crops[[#This Row],[Wholesale Labor Cost]]+Crops[[#This Row],[Wholesale Non-Labor Cost]]</f>
        <v>389.67151460193452</v>
      </c>
      <c r="EA227" s="36">
        <f>Crops[[#This Row],[Wholesale Revenue Per Bed]]-Crops[[#This Row],[Wholesale Total Cost]]</f>
        <v>13.828485398065482</v>
      </c>
      <c r="EB227" s="36">
        <f>Crops[[#This Row],[Wholesale Profit]]*BedsPerAcre</f>
        <v>2212.5576636904771</v>
      </c>
      <c r="EC227" s="36">
        <f>Crops[[#This Row],[Wholesale Profit]]*BedsPerAcre*GrowingDays/Crops[[#This Row],[Days In Field]]</f>
        <v>3375.0879615617446</v>
      </c>
      <c r="ED227" s="33">
        <f>Crops[[#This Row],[Wholesale Time]] * BedsPerAcre</f>
        <v>2341.8976934523807</v>
      </c>
      <c r="EE227" s="221">
        <f>Crops[[#This Row],[Wholesale Profit]]/MIN(Crops[[#This Row],[Days In Field]],GrowingDays)</f>
        <v>0.11719055422089392</v>
      </c>
      <c r="EF227" s="36">
        <f>(Crops[[#This Row],[Wholesale Revenue Per Bed]]-Crops[[#This Row],[Wholesale Non-Labor Cost]])/Crops[[#This Row],[Direct Time]]</f>
        <v>25.551982394913225</v>
      </c>
      <c r="EG227" s="174">
        <f>Crops[[#This Row],[Packaging Costs]]/Crops[[#This Row],[Wholesale Revenue Per Bed]]</f>
        <v>5.8859975216852538E-2</v>
      </c>
      <c r="EH227" s="36" t="str">
        <f>Crops[[#This Row],[Crop]]&amp;Crops[[#This Row],[Product]]&amp;Crops[[#This Row],[Unit]]</f>
        <v>OnionYoung BulbBunch</v>
      </c>
      <c r="EI227" s="36" t="b">
        <f>_xlfn.XLOOKUP(Crops[[#This Row],[ProductIndex]],Products[ID],Products[Target])</f>
        <v>1</v>
      </c>
      <c r="EJ227" s="33">
        <f>Crops[[#This Row],[Custom Yield Per Bed]]</f>
        <v>150</v>
      </c>
      <c r="EK227" s="210">
        <f>Crops[[#This Row],[Units Per Harvest]]/Crops[[#This Row],[Days Between Harvest]]*7</f>
        <v>18.75</v>
      </c>
      <c r="EL227" s="210">
        <f>Crops[[#This Row],[Custom Yield Per Bed]]/_xlfn.XLOOKUP(Crops[[#This Row],[ProductIndex]],Products[ID],Products[CSA Portion])</f>
        <v>150</v>
      </c>
      <c r="EM227" s="210">
        <f>Crops[[#This Row],[Units Per Harvest]]/Crops[[#This Row],[Days Between Harvest]]*7/_xlfn.XLOOKUP(Crops[[#This Row],[ProductIndex]],Products[ID],Products[CSA Portion])</f>
        <v>18.75</v>
      </c>
      <c r="EN227" s="210">
        <f>Crops[[#This Row],[CSA Portions Per Week]]/CSAMembers</f>
        <v>0.375</v>
      </c>
      <c r="EO227" s="216">
        <v>1.5</v>
      </c>
      <c r="EP227" s="216">
        <v>1</v>
      </c>
      <c r="EQ227" s="210"/>
      <c r="ER227" s="210">
        <f>Crops[[#This Row],[Harvests]]*Crops[[#This Row],[Days Between Harvest]]/7</f>
        <v>8</v>
      </c>
      <c r="ES227" s="217">
        <f>_xlfn.XLOOKUP(Crops[[#This Row],[ProductIndex]],Products[ID],Products[CSA Need])</f>
        <v>5</v>
      </c>
      <c r="ET227" s="217">
        <f>_xlfn.XLOOKUP(Crops[[#This Row],[ProductIndex]],Products[ID],Products[CSA Times])</f>
        <v>5</v>
      </c>
      <c r="EU227" s="208">
        <f>Crops[[#This Row],[Custom Yield Per Bed]]/(Crops[[#This Row],[CSA Need]]*(_xlfn.XLOOKUP(Crops[[#This Row],[ProductIndex]],Products[ID],Products[CSA Portion])*CSAMembers))</f>
        <v>0.6</v>
      </c>
      <c r="EV227" s="208">
        <f>_xlfn.XLOOKUP(Crops[[#This Row],[ProductIndex]],Products[ID],Products[CSA Portion])*CSAMembers*Crops[[#This Row],[CSA Need]]/Crops[[#This Row],[Custom Yield Per Bed]]</f>
        <v>1.6666666666666667</v>
      </c>
      <c r="EW227" s="208">
        <f>IFERROR(Crops[[#This Row],[Days In Field]]*Crops[[#This Row],[CSA Beds]],"")</f>
        <v>196.66666666666669</v>
      </c>
      <c r="EX227" s="208" t="e">
        <f>Crops[[#This Row],[CSA Bed Days]]*#REF!</f>
        <v>#REF!</v>
      </c>
      <c r="EY227" t="s">
        <v>359</v>
      </c>
    </row>
    <row r="228" spans="1:155">
      <c r="A2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Oregano - Mature Stem 2X | Field TP Su</v>
      </c>
      <c r="C228" s="1" t="b">
        <v>1</v>
      </c>
      <c r="D228" s="1"/>
      <c r="E228" s="1" t="b">
        <v>0</v>
      </c>
      <c r="F228" s="1" t="b">
        <f>IFERROR(IF(ISNUMBER(MATCH(Crops[[#This Row],[Identifier]],BedPlan[Crop], 0)), TRUE, FALSE), FALSE)</f>
        <v>0</v>
      </c>
      <c r="G228" s="1" t="b">
        <f>IFERROR(IF(ISNUMBER(MATCH(Crops[[#This Row],[Identifier]],BedPlan[Crop], 0)), TRUE, FALSE), FALSE)</f>
        <v>0</v>
      </c>
      <c r="H228" s="1"/>
      <c r="I228" t="s">
        <v>2293</v>
      </c>
      <c r="J228" t="s">
        <v>145</v>
      </c>
      <c r="K228" t="s">
        <v>181</v>
      </c>
      <c r="M228" t="s">
        <v>442</v>
      </c>
      <c r="N228" t="str">
        <f>Crops[[#This Row],[Crop]]</f>
        <v>Oregano</v>
      </c>
      <c r="O228" t="s">
        <v>210</v>
      </c>
      <c r="P228" t="str">
        <f>IF(OR(Crops[[#This Row],[Days in Cells]]="",Crops[[#This Row],[Days in Cells]]=0), "DS","TP")</f>
        <v>TP</v>
      </c>
      <c r="R228" t="b">
        <v>1</v>
      </c>
      <c r="V228" t="str">
        <f xml:space="preserve"> IF(Crops[[#This Row],[Sp]], "Sp", "") &amp; IF(Crops[[#This Row],[Su]], "Su", "") &amp; IF(Crops[[#This Row],[Fa]], "Fa", "") &amp; IF(Crops[[#This Row],[Wi]], "Wi", "") &amp; IF(Crops[[#This Row],[OW]], "Ow","")</f>
        <v>Su</v>
      </c>
      <c r="X228">
        <v>2</v>
      </c>
      <c r="Y228">
        <v>12</v>
      </c>
      <c r="AC228">
        <v>1</v>
      </c>
      <c r="AD228" s="32">
        <f>IFERROR(12/Crops[[#This Row],[Spacing]]*Crops[[#This Row],[Rows]]*BedLength,"")</f>
        <v>100</v>
      </c>
      <c r="AE228">
        <v>2</v>
      </c>
      <c r="AG228">
        <f>IF(Crops[[#This Row],[Custom Safety Factor]]="",PlantingSafetyFactor,Crops[[#This Row],[Custom Safety Factor]])</f>
        <v>1.3</v>
      </c>
      <c r="AH228">
        <f>1</f>
        <v>1</v>
      </c>
      <c r="AI228" s="37">
        <f>IFERROR(Crops[[#This Row],[Plantings Per Bed]]*Crops[[#This Row],[Seeds Per Planting]]*Crops[[#This Row],[Safety Factor]]*Crops[[#This Row],[Seeding Factor]],"")</f>
        <v>260</v>
      </c>
      <c r="AJ228">
        <v>10</v>
      </c>
      <c r="AK228">
        <v>21</v>
      </c>
      <c r="AL228">
        <f>_xlfn.FLOOR.MATH(IFERROR(AVERAGE(Crops[[#This Row],[DTG Lower]:[DTG Upper]]),0))</f>
        <v>15</v>
      </c>
      <c r="AM228">
        <f>SUM(Crops[[#This Row],[Tray 1 Days]],Crops[[#This Row],[Tray 2 Days]],Crops[[#This Row],[Tray 3 Days]])</f>
        <v>63</v>
      </c>
      <c r="AO228">
        <v>80</v>
      </c>
      <c r="AP228">
        <v>90</v>
      </c>
      <c r="AQ228">
        <f>IFERROR(_xlfn.FLOOR.MATH(AVERAGE(Crops[[#This Row],[DTM Lower]:[DTM Upper]])),"")</f>
        <v>85</v>
      </c>
      <c r="AR228" cm="1">
        <f t="array" ref="AR228">_xlfn.SWITCH(Crops[[#This Row],[Normal Method]],"DS",Crops[[#This Row],[Days to Germination]]+Crops[[#This Row],[DTM]] + IF(Crops[[#This Row],[Days in Cells]]&gt;0,15,0), "TP",Crops[[#This Row],[DTM]]+Crops[[#This Row],[Days in Cells]] + IF(Crops[[#This Row],[Days in Cells]]&lt;=0,20,0), "X", Crops[[#This Row],[DTM]])</f>
        <v>148</v>
      </c>
      <c r="AS228" t="s">
        <v>346</v>
      </c>
      <c r="AT228">
        <f>(Crops[[#This Row],[Harvests]]-1)*Crops[[#This Row],[Days Between Harvest]]+7</f>
        <v>91</v>
      </c>
      <c r="AU228">
        <f>Crops[[#This Row],[STH]]-Crops[[#This Row],[Days in Cells]]+Crops[[#This Row],[Harvest window]]</f>
        <v>176</v>
      </c>
      <c r="AX228">
        <v>72</v>
      </c>
      <c r="AY228">
        <f>9*7</f>
        <v>63</v>
      </c>
      <c r="AZ228">
        <f>IFERROR(IF(Crops[[#This Row],[Tray 1 Days]]=0,"",Crops[[#This Row],[Plantings Per Bed]]/Crops[[#This Row],[Tray 1 Size]]*Crops[[#This Row],[Safety Factor]]),"")</f>
        <v>1.8055555555555556</v>
      </c>
      <c r="BC228" t="str">
        <f>IFERROR(IF(Crops[[#This Row],[Tray 2 Days]]=0,"",Crops[[#This Row],[Plantings Per Bed]]/Crops[[#This Row],[Tray 2 Size]]*Crops[[#This Row],[Safety Factor]]),"")</f>
        <v/>
      </c>
      <c r="BE228" s="32" t="str">
        <f>IF(NOT(ISBLANK(Crops[[#This Row],[Tray 3 Size]])), Crops[[#This Row],[Days in Cells Old]]-SUM(Crops[[#This Row],[Tray 1 Days]],Crops[[#This Row],[Tray 2 Days]]), "")</f>
        <v/>
      </c>
      <c r="BF228" t="str">
        <f>IFERROR(IF(Crops[[#This Row],[Tray 3 Days]]=0,"",Crops[[#This Row],[Plantings Per Bed]]/Crops[[#This Row],[Tray 3 Size]]*Crops[[#This Row],[Safety Factor]]),"")</f>
        <v/>
      </c>
      <c r="BG228" s="33">
        <f>Crops[[#This Row],[Plantings Per Bed]]</f>
        <v>100</v>
      </c>
      <c r="BH228">
        <v>7</v>
      </c>
      <c r="BI228">
        <v>14</v>
      </c>
      <c r="BJ228" s="37" t="e">
        <f>_xlfn.XLOOKUP(Crops[[#This Row],[ProductIndex]],Products[ID],Products[Holding Period])</f>
        <v>#N/A</v>
      </c>
      <c r="BK228" s="33"/>
      <c r="BL228" s="32">
        <f>Crops[[#This Row],[Units Per Harvest]]*Crops[[#This Row],[Harvests]]</f>
        <v>700</v>
      </c>
      <c r="BM228" s="35">
        <v>3</v>
      </c>
      <c r="BN228" s="35">
        <f>Crops[[#This Row],[Direct Price]]*0.6</f>
        <v>1.7999999999999998</v>
      </c>
      <c r="BO228" s="35"/>
      <c r="BP228" t="s">
        <v>215</v>
      </c>
      <c r="BQ228">
        <f>Crops[[#This Row],[Custom Yield Per Bed]]*Crops[[#This Row],[Direct Price]]</f>
        <v>2100</v>
      </c>
      <c r="BS228" t="b">
        <f>Crops[[#This Row],[Harvests]]&gt;1</f>
        <v>1</v>
      </c>
      <c r="BT228" s="36">
        <f>IFERROR(Crops[[#This Row],[Direct Revenue Per Bed]]/Crops[[#This Row],[Days In Field]],-1)</f>
        <v>11.931818181818182</v>
      </c>
      <c r="BU228" s="36">
        <f>IFERROR(Crops[[#This Row],[Direct Revenue Per Bed Day]]*GrowingDays*BedsPerAcre,"")</f>
        <v>343636.36363636359</v>
      </c>
      <c r="BV228" s="38">
        <f>LastFrostDate-5*Crops[[#This Row],[Sewing Rel Last Frost]]</f>
        <v>45723</v>
      </c>
      <c r="BW228" s="38">
        <f>Crops[[#This Row],[Target Sewing Date]]+Crops[[#This Row],[Days in Cells]]</f>
        <v>45786</v>
      </c>
      <c r="BX228" s="38">
        <f>Crops[[#This Row],[Target Sewing Date]]+Crops[[#This Row],[STH]]</f>
        <v>45871</v>
      </c>
      <c r="BY228" s="38">
        <f>Crops[[#This Row],[Target Harvest Data]]+Crops[[#This Row],[Harvest window]]</f>
        <v>45962</v>
      </c>
      <c r="BZ228">
        <v>5</v>
      </c>
      <c r="CB228">
        <f>1</f>
        <v>1</v>
      </c>
      <c r="CC228">
        <f>IF(Crops[[#This Row],[Transplanting]]&gt;0, 2, 3)*BedLength/StandardBedLength</f>
        <v>1</v>
      </c>
      <c r="CD228" s="173">
        <f>IF(Crops[[#This Row],[Days in Cells]]&lt;=0,0,Crops[[#This Row],[Plantings Per Bed]]/StartsPerHourSeeding+Crops[[#This Row],[Tray 1 Count]]*5/60)</f>
        <v>0.54108796296296302</v>
      </c>
      <c r="CE228" s="173">
        <f>IF(ISBLANK(Crops[[#This Row],[Tray 2 Days]]),0,Crops[[#This Row],[Plantings Per Bed]]/UpPottingPerHour)+IF(Crops[[#This Row],[Tray 3 Days]]="",0,Crops[[#This Row],[Plantings Per Bed]]/UpPottingPerHour)</f>
        <v>0</v>
      </c>
      <c r="CF228" s="173">
        <f>IFERROR(Crops[[#This Row],[Tray 1 Count]]/HomeStartFlatIrrigationPerHour,0)*Crops[[#This Row],[Days in Cells]]/DaysBetweenStartIrrigation</f>
        <v>0.47395833333333337</v>
      </c>
      <c r="CG228" s="173">
        <f>0.5/16*MAX(Crops[[#This Row],[Tray 1 Count]],Crops[[#This Row],[Tray 2 Count]],Crops[[#This Row],[Tray 3 Count]])</f>
        <v>5.6423611111111112E-2</v>
      </c>
      <c r="CH228" s="173">
        <f>IF(Crops[[#This Row],[Days in Cells]]&gt;0,IF(IF(Crops[[#This Row],[Tray 3 Size]]&gt;0,Crops[[#This Row],[Tray 3 Size]],IF(Crops[[#This Row],[Tray 2 Size]]&gt;0,Crops[[#This Row],[Tray 2 Size]],Crops[[#This Row],[Tray 1 Size]]))&lt;=18,LargeTransplantTime,SmallTransplantTime)*Crops[[#This Row],[Plantings Per Bed]],0)</f>
        <v>0.5</v>
      </c>
      <c r="CI228" s="173"/>
      <c r="CJ228" s="173">
        <f>_xlfn.XLOOKUP(Crops[[#This Row],[Trellis Type]],TrellisMethods[Trellis Type],TrellisMethods[Hours],0,0)</f>
        <v>0</v>
      </c>
      <c r="CK228">
        <f>IF(Crops[[#This Row],[Days in Cells]]&lt;=0,Crops[[#This Row],[Rows]]*1/10,0)*BedLength/50</f>
        <v>0</v>
      </c>
      <c r="CL228" cm="1">
        <f t="array" ref="CL228">_xlfn.SWITCH(Crops[[#This Row],[Irrigation]],"DR", 0.5, "OH", 0.25,0)*BedLength/50</f>
        <v>0</v>
      </c>
      <c r="CM228">
        <f>IF(OR(ISBLANK(Crops[[#This Row],[Row Cover]]),Crops[[#This Row],[Row Cover]]="None"),0,1)*BedLength/50</f>
        <v>0</v>
      </c>
      <c r="CN228" s="173">
        <f>HoursPerWeedingPass*Crops[[#This Row],[Days In Field]]/14*Crops[[#This Row],[Rows]]+1*BedLength/50</f>
        <v>5.1904761904761907</v>
      </c>
      <c r="CQ228" s="37" t="e">
        <f>_xlfn.XLOOKUP(Crops[[#This Row],[Crop]]&amp;Crops[[#This Row],[Product]]&amp;Crops[[#This Row],[Unit]],Products[ID],Products[Marketing (hr)])*Crops[[#This Row],[Direct Revenue Per Bed]]/2000</f>
        <v>#N/A</v>
      </c>
      <c r="CR228" s="37" t="e">
        <f>_xlfn.XLOOKUP(Crops[[#This Row],[Crop]]&amp;Crops[[#This Row],[Product]]&amp;Crops[[#This Row],[Unit]],Products[ID],Products[Harvest (s)])*Crops[[#This Row],[Custom Yield Per Bed]]/3600</f>
        <v>#N/A</v>
      </c>
      <c r="CS228" s="37" t="e">
        <f>_xlfn.XLOOKUP(Crops[[#This Row],[Crop]]&amp;Crops[[#This Row],[Product]]&amp;Crops[[#This Row],[Unit]],Products[ID],Products[Bunch (s)])*Crops[[#This Row],[Custom Yield Per Bed]]/3600</f>
        <v>#N/A</v>
      </c>
      <c r="CT228" s="37" t="e">
        <f>_xlfn.XLOOKUP(Crops[[#This Row],[Crop]]&amp;Crops[[#This Row],[Product]]&amp;Crops[[#This Row],[Unit]],Products[ID],Products[Haul (s)])*Crops[[#This Row],[Custom Yield Per Bed]]/3600</f>
        <v>#N/A</v>
      </c>
      <c r="CU228" s="37" t="e">
        <f>_xlfn.XLOOKUP(Crops[[#This Row],[Crop]]&amp;Crops[[#This Row],[Product]]&amp;Crops[[#This Row],[Unit]],Products[ID],Products[Wash (s)])*Crops[[#This Row],[Custom Yield Per Bed]]/3600</f>
        <v>#N/A</v>
      </c>
      <c r="CV228" s="37" t="e">
        <f>_xlfn.XLOOKUP(Crops[[#This Row],[Crop]]&amp;Crops[[#This Row],[Product]]&amp;Crops[[#This Row],[Unit]],Products[ID],Products[Condition (s)])*Crops[[#This Row],[Custom Yield Per Bed]]/3600</f>
        <v>#N/A</v>
      </c>
      <c r="CW228" s="37" t="e">
        <f>_xlfn.XLOOKUP(Crops[[#This Row],[Crop]]&amp;Crops[[#This Row],[Product]]&amp;Crops[[#This Row],[Unit]],Products[ID],Products[Trim (s)])*Crops[[#This Row],[Custom Yield Per Bed]]/3600</f>
        <v>#N/A</v>
      </c>
      <c r="CX228" s="37" t="e">
        <f>_xlfn.XLOOKUP(Crops[[#This Row],[Crop]]&amp;Crops[[#This Row],[Product]]&amp;Crops[[#This Row],[Unit]],Products[ID],Products[Pack (s)])*Crops[[#This Row],[Custom Yield Per Bed]]/3600</f>
        <v>#N/A</v>
      </c>
      <c r="CY228" s="37" t="e">
        <f>_xlfn.XLOOKUP(Crops[[#This Row],[Crop]]&amp;Crops[[#This Row],[Product]]&amp;Crops[[#This Row],[Unit]],Products[ID],Products[Clean (s)])*Crops[[#This Row],[Custom Yield Per Bed]]/3600</f>
        <v>#N/A</v>
      </c>
      <c r="CZ228" s="37" t="e">
        <f>_xlfn.XLOOKUP(Crops[[#This Row],[Crop]]&amp;Crops[[#This Row],[Product]]&amp;Crops[[#This Row],[Unit]],Products[ID],Products[Rehandle (s)])*Crops[[#This Row],[Custom Yield Per Bed]]/3600</f>
        <v>#N/A</v>
      </c>
      <c r="DA228" s="37" t="e">
        <f>_xlfn.XLOOKUP(Crops[[#This Row],[Crop]]&amp;Crops[[#This Row],[Product]]&amp;Crops[[#This Row],[Unit]],Products[ID],Products[Market Transport (s)])*Crops[[#This Row],[Custom Yield Per Bed]]/3600</f>
        <v>#N/A</v>
      </c>
      <c r="DC228" s="37">
        <f>Crops[[#This Row],[Direct Revenue Per Bed2]]</f>
        <v>2100</v>
      </c>
      <c r="DD228" s="173">
        <f>_xlfn.AGGREGATE(9,6,Crops[[#This Row],[Bed Prep]:[Remove Crop Residue]])</f>
        <v>7.7619460978835981</v>
      </c>
      <c r="DE228" s="173" t="e">
        <f>_xlfn.AGGREGATE(9,6,Crops[[#This Row],[Bed Prep]:[Remove Crop Residue]])-0.75*Crops[[#This Row],[Market &amp; Sell]]</f>
        <v>#N/A</v>
      </c>
      <c r="DF228" s="36">
        <f>Crops[[#This Row],[Direct Revenue Per Bed2]]/Crops[[#This Row],[Direct Time]]</f>
        <v>270.55070642304435</v>
      </c>
      <c r="DG228" s="36" t="e">
        <f>_xlfn.XLOOKUP(Crops[[#This Row],[ProductIndex]],Products[ID],Products[Packaging Cost])*(Crops[[#This Row],[Custom Yield Per Bed]]/_xlfn.XLOOKUP(Crops[[#This Row],[ProductIndex]],Products[ID],Products[Units Per Pack]))</f>
        <v>#N/A</v>
      </c>
      <c r="DH228" s="36"/>
      <c r="DI228" s="36"/>
      <c r="DJ228" s="36"/>
      <c r="DK228" s="36"/>
      <c r="DL228" s="36"/>
      <c r="DM228" s="37">
        <f>IFERROR(Crops[[#This Row],[Custom Yield Per Bed]]*Crops[[#This Row],[Direct Price]],"")</f>
        <v>2100</v>
      </c>
      <c r="DN228" s="36">
        <f>Crops[[#This Row],[Direct Time]]*LaborRate</f>
        <v>194.04865244708995</v>
      </c>
      <c r="DO228" s="36">
        <f>SUM(Crops[[#This Row],[Irrigation Cost]])</f>
        <v>0</v>
      </c>
      <c r="DP228" s="36">
        <f>Crops[[#This Row],[Direct Labor Cost]]+Crops[[#This Row],[Direct Non-Labor Cost]]</f>
        <v>194.04865244708995</v>
      </c>
      <c r="DQ228" s="36">
        <f>Crops[[#This Row],[Direct Revenue Per Bed2]]-Crops[[#This Row],[Direct Total Cost]]</f>
        <v>1905.95134755291</v>
      </c>
      <c r="DR228" s="36">
        <f>Crops[[#This Row],[Direct Profit]]*BedsPerAcre</f>
        <v>304952.2156084656</v>
      </c>
      <c r="DS228" s="36">
        <f>Crops[[#This Row],[Direct Profit]]*BedsPerAcre*GrowingDays/Crops[[#This Row],[Days In Field]]</f>
        <v>311882.94778138527</v>
      </c>
      <c r="DT228" s="36">
        <f>Crops[[#This Row],[Direct Profit]]/MIN(Crops[[#This Row],[Days In Field]],GrowingDays)</f>
        <v>10.829269020186988</v>
      </c>
      <c r="DU228" s="36">
        <f>Crops[[#This Row],[Direct Time]] * BedsPerAcre</f>
        <v>1241.9113756613756</v>
      </c>
      <c r="DV228" s="36">
        <f>(Crops[[#This Row],[Direct Revenue Per Bed2]]-Crops[[#This Row],[Direct Non-Labor Cost]])/Crops[[#This Row],[Direct Time]]</f>
        <v>270.55070642304435</v>
      </c>
      <c r="DW228" s="37">
        <f>IFERROR(Crops[[#This Row],[Custom Yield Per Bed]]*Crops[[#This Row],[Rough Wholesale Price]],"")</f>
        <v>1259.9999999999998</v>
      </c>
      <c r="DX228" s="36" t="e">
        <f>Crops[[#This Row],[Wholesale Time]]*LaborRate</f>
        <v>#N/A</v>
      </c>
      <c r="DY228" s="36" t="e">
        <f>SUM(Crops[[#This Row],[Packaging Costs]:[Irrigation Cost]])</f>
        <v>#N/A</v>
      </c>
      <c r="DZ228" s="36" t="e">
        <f>Crops[[#This Row],[Wholesale Labor Cost]]+Crops[[#This Row],[Wholesale Non-Labor Cost]]</f>
        <v>#N/A</v>
      </c>
      <c r="EA228" s="36" t="e">
        <f>Crops[[#This Row],[Wholesale Revenue Per Bed]]-Crops[[#This Row],[Wholesale Total Cost]]</f>
        <v>#N/A</v>
      </c>
      <c r="EB228" s="36" t="e">
        <f>Crops[[#This Row],[Wholesale Profit]]*BedsPerAcre</f>
        <v>#N/A</v>
      </c>
      <c r="EC228" s="36" t="e">
        <f>Crops[[#This Row],[Wholesale Profit]]*BedsPerAcre*GrowingDays/Crops[[#This Row],[Days In Field]]</f>
        <v>#N/A</v>
      </c>
      <c r="ED228" s="36" t="e">
        <f>Crops[[#This Row],[Wholesale Time]] * BedsPerAcre</f>
        <v>#N/A</v>
      </c>
      <c r="EE228" s="36" t="e">
        <f>Crops[[#This Row],[Wholesale Profit]]/MIN(Crops[[#This Row],[Days In Field]],GrowingDays)</f>
        <v>#N/A</v>
      </c>
      <c r="EF228" s="36" t="e">
        <f>(Crops[[#This Row],[Wholesale Revenue Per Bed]]-Crops[[#This Row],[Wholesale Non-Labor Cost]])/Crops[[#This Row],[Direct Time]]</f>
        <v>#N/A</v>
      </c>
      <c r="EG228" s="174" t="e">
        <f>Crops[[#This Row],[Packaging Costs]]/Crops[[#This Row],[Wholesale Revenue Per Bed]]</f>
        <v>#N/A</v>
      </c>
      <c r="EH228" s="36" t="str">
        <f>Crops[[#This Row],[Crop]]&amp;Crops[[#This Row],[Product]]&amp;Crops[[#This Row],[Unit]]</f>
        <v>OreganoMature StemBunch</v>
      </c>
      <c r="EI228" s="36" t="e">
        <f>_xlfn.XLOOKUP(Crops[[#This Row],[ProductIndex]],Products[ID],Products[Target])</f>
        <v>#N/A</v>
      </c>
      <c r="EJ228" s="36">
        <f>Crops[[#This Row],[Custom Yield Per Bed]]</f>
        <v>700</v>
      </c>
      <c r="EK228" s="210">
        <f>Crops[[#This Row],[Units Per Harvest]]/Crops[[#This Row],[Days Between Harvest]]*7</f>
        <v>50</v>
      </c>
      <c r="EL228" s="210" t="e">
        <f>Crops[[#This Row],[Custom Yield Per Bed]]/_xlfn.XLOOKUP(Crops[[#This Row],[ProductIndex]],Products[ID],Products[CSA Portion])</f>
        <v>#N/A</v>
      </c>
      <c r="EM228" s="210" t="e">
        <f>Crops[[#This Row],[Units Per Harvest]]/Crops[[#This Row],[Days Between Harvest]]*7/_xlfn.XLOOKUP(Crops[[#This Row],[ProductIndex]],Products[ID],Products[CSA Portion])</f>
        <v>#N/A</v>
      </c>
      <c r="EN228" s="210" t="e">
        <f>Crops[[#This Row],[CSA Portions Per Week]]/CSAMembers</f>
        <v>#N/A</v>
      </c>
      <c r="EO228" s="210"/>
      <c r="EP228" s="210"/>
      <c r="EQ228" s="36"/>
      <c r="ER228" s="36">
        <f>Crops[[#This Row],[Harvests]]*Crops[[#This Row],[Days Between Harvest]]/7</f>
        <v>14</v>
      </c>
      <c r="ES228" s="208" t="e">
        <f>_xlfn.XLOOKUP(Crops[[#This Row],[ProductIndex]],Products[ID],Products[CSA Need])</f>
        <v>#N/A</v>
      </c>
      <c r="ET228" s="208" t="e">
        <f>_xlfn.XLOOKUP(Crops[[#This Row],[ProductIndex]],Products[ID],Products[CSA Times])</f>
        <v>#N/A</v>
      </c>
      <c r="EU228" s="208" t="e">
        <f>Crops[[#This Row],[Custom Yield Per Bed]]/(Crops[[#This Row],[CSA Need]]*(_xlfn.XLOOKUP(Crops[[#This Row],[ProductIndex]],Products[ID],Products[CSA Portion])*CSAMembers))</f>
        <v>#N/A</v>
      </c>
      <c r="EV228" s="208" t="e">
        <f>_xlfn.XLOOKUP(Crops[[#This Row],[ProductIndex]],Products[ID],Products[CSA Portion])*CSAMembers*Crops[[#This Row],[CSA Need]]/Crops[[#This Row],[Custom Yield Per Bed]]</f>
        <v>#N/A</v>
      </c>
      <c r="EW228" s="208" t="str">
        <f>IFERROR(Crops[[#This Row],[Days In Field]]*Crops[[#This Row],[CSA Beds]],"")</f>
        <v/>
      </c>
      <c r="EX228" s="208" t="e">
        <f>Crops[[#This Row],[CSA Bed Days]]*#REF!</f>
        <v>#VALUE!</v>
      </c>
    </row>
    <row r="229" spans="1:155">
      <c r="A22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Pansy and Violas - Mature Stem 1X | Field TP Sp</v>
      </c>
      <c r="B229" s="189"/>
      <c r="C229" s="1" t="b">
        <v>1</v>
      </c>
      <c r="D229" s="1"/>
      <c r="E229" s="1" t="b">
        <v>0</v>
      </c>
      <c r="F229" s="1" t="b">
        <f>IFERROR(IF(ISNUMBER(MATCH(Crops[[#This Row],[Identifier]],BedPlan[Crop], 0)), TRUE, FALSE), FALSE)</f>
        <v>0</v>
      </c>
      <c r="G229" s="1" t="b">
        <f>IFERROR(IF(ISNUMBER(MATCH(Crops[[#This Row],[Identifier]],BedPlan[Crop], 0)), TRUE, FALSE), FALSE)</f>
        <v>0</v>
      </c>
      <c r="H229" s="1"/>
      <c r="I229" t="s">
        <v>107</v>
      </c>
      <c r="J229" t="s">
        <v>145</v>
      </c>
      <c r="K229" t="s">
        <v>181</v>
      </c>
      <c r="M229" t="s">
        <v>406</v>
      </c>
      <c r="N229" t="str">
        <f>Crops[[#This Row],[Crop]]</f>
        <v>Pansy and Violas</v>
      </c>
      <c r="O229" t="s">
        <v>210</v>
      </c>
      <c r="P229" t="str">
        <f>IF(OR(Crops[[#This Row],[Days in Cells]]="",Crops[[#This Row],[Days in Cells]]=0), "DS","TP")</f>
        <v>TP</v>
      </c>
      <c r="Q229" t="b">
        <v>1</v>
      </c>
      <c r="V229" t="str">
        <f xml:space="preserve"> IF(Crops[[#This Row],[Sp]], "Sp", "") &amp; IF(Crops[[#This Row],[Su]], "Su", "") &amp; IF(Crops[[#This Row],[Fa]], "Fa", "") &amp; IF(Crops[[#This Row],[Wi]], "Wi", "") &amp; IF(Crops[[#This Row],[OW]], "Ow","")</f>
        <v>Sp</v>
      </c>
      <c r="W229" t="s">
        <v>144</v>
      </c>
      <c r="X229">
        <v>3</v>
      </c>
      <c r="Y229">
        <v>6</v>
      </c>
      <c r="AA229" t="s">
        <v>474</v>
      </c>
      <c r="AB229" t="b">
        <v>1</v>
      </c>
      <c r="AC229">
        <v>12</v>
      </c>
      <c r="AD229" s="32">
        <f>IFERROR(12/Crops[[#This Row],[Spacing]]*Crops[[#This Row],[Rows]]*BedLength,"")</f>
        <v>300</v>
      </c>
      <c r="AE229">
        <v>1</v>
      </c>
      <c r="AG229">
        <f>IF(Crops[[#This Row],[Custom Safety Factor]]="",PlantingSafetyFactor,Crops[[#This Row],[Custom Safety Factor]])</f>
        <v>1.3</v>
      </c>
      <c r="AH229">
        <f>1</f>
        <v>1</v>
      </c>
      <c r="AI229" s="33">
        <f>IFERROR(Crops[[#This Row],[Plantings Per Bed]]*Crops[[#This Row],[Seeds Per Planting]]*Crops[[#This Row],[Safety Factor]]*Crops[[#This Row],[Seeding Factor]],"")</f>
        <v>390</v>
      </c>
      <c r="AJ229">
        <v>4</v>
      </c>
      <c r="AK229">
        <v>7</v>
      </c>
      <c r="AL229">
        <f>_xlfn.FLOOR.MATH(IFERROR(AVERAGE(Crops[[#This Row],[DTG Lower]:[DTG Upper]]),0))</f>
        <v>5</v>
      </c>
      <c r="AM229">
        <f>SUM(Crops[[#This Row],[Tray 1 Days]],Crops[[#This Row],[Tray 2 Days]],Crops[[#This Row],[Tray 3 Days]])</f>
        <v>40</v>
      </c>
      <c r="AN229" s="32">
        <v>40</v>
      </c>
      <c r="AO229">
        <v>60</v>
      </c>
      <c r="AP229">
        <v>70</v>
      </c>
      <c r="AQ229">
        <f>IFERROR(_xlfn.FLOOR.MATH(AVERAGE(Crops[[#This Row],[DTM Lower]:[DTM Upper]])),"")</f>
        <v>65</v>
      </c>
      <c r="AR229" cm="1">
        <f t="array" ref="AR229">_xlfn.SWITCH(Crops[[#This Row],[Normal Method]],"DS",Crops[[#This Row],[Days to Germination]]+Crops[[#This Row],[DTM]] + IF(Crops[[#This Row],[Days in Cells]]&gt;0,15,0), "TP",Crops[[#This Row],[DTM]]+Crops[[#This Row],[Days in Cells]] + IF(Crops[[#This Row],[Days in Cells]]&lt;=0,20,0), "X", Crops[[#This Row],[DTM]])</f>
        <v>105</v>
      </c>
      <c r="AS229" t="s">
        <v>346</v>
      </c>
      <c r="AT229">
        <f>(Crops[[#This Row],[Harvests]]-1)*Crops[[#This Row],[Days Between Harvest]]+7</f>
        <v>140</v>
      </c>
      <c r="AU229">
        <f>Crops[[#This Row],[STH]]-Crops[[#This Row],[Days in Cells]]+Crops[[#This Row],[Harvest window]]</f>
        <v>205</v>
      </c>
      <c r="AW229">
        <v>128</v>
      </c>
      <c r="AX229">
        <v>128</v>
      </c>
      <c r="AY229">
        <v>40</v>
      </c>
      <c r="AZ229" s="49">
        <f>IFERROR(IF(Crops[[#This Row],[Tray 1 Days]]=0,"",Crops[[#This Row],[Plantings Per Bed]]/Crops[[#This Row],[Tray 1 Size]]*Crops[[#This Row],[Safety Factor]]),"")</f>
        <v>3.046875</v>
      </c>
      <c r="BC229" t="str">
        <f>IFERROR(IF(Crops[[#This Row],[Tray 2 Days]]=0,"",Crops[[#This Row],[Plantings Per Bed]]/Crops[[#This Row],[Tray 2 Size]]*Crops[[#This Row],[Safety Factor]]),"")</f>
        <v/>
      </c>
      <c r="BE229" s="32" t="str">
        <f>IF(NOT(ISBLANK(Crops[[#This Row],[Tray 3 Size]])), Crops[[#This Row],[Days in Cells Old]]-SUM(Crops[[#This Row],[Tray 1 Days]],Crops[[#This Row],[Tray 2 Days]]), "")</f>
        <v/>
      </c>
      <c r="BF229" s="49" t="str">
        <f>IFERROR(IF(Crops[[#This Row],[Tray 3 Days]]=0,"",Crops[[#This Row],[Plantings Per Bed]]/Crops[[#This Row],[Tray 3 Size]]*Crops[[#This Row],[Safety Factor]]),"")</f>
        <v/>
      </c>
      <c r="BG229" s="33">
        <f>Crops[[#This Row],[Plantings Per Bed]]*2</f>
        <v>600</v>
      </c>
      <c r="BH229" s="33">
        <v>20</v>
      </c>
      <c r="BI229" s="33">
        <v>7</v>
      </c>
      <c r="BJ229" s="33">
        <f>_xlfn.XLOOKUP(Crops[[#This Row],[ProductIndex]],Products[ID],Products[Holding Period])</f>
        <v>0</v>
      </c>
      <c r="BK229" s="33"/>
      <c r="BL229" s="33">
        <f>Crops[[#This Row],[Units Per Harvest]]*Crops[[#This Row],[Harvests]]</f>
        <v>12000</v>
      </c>
      <c r="BM229" s="35">
        <v>0.1</v>
      </c>
      <c r="BN229" s="35">
        <f>Crops[[#This Row],[Direct Price]]*0.6</f>
        <v>0.06</v>
      </c>
      <c r="BO229" s="35"/>
      <c r="BP229" t="s">
        <v>213</v>
      </c>
      <c r="BQ229">
        <f>Crops[[#This Row],[Custom Yield Per Bed]]*Crops[[#This Row],[Direct Price]]</f>
        <v>1200</v>
      </c>
      <c r="BR229" t="b">
        <v>0</v>
      </c>
      <c r="BS229" t="b">
        <f>Crops[[#This Row],[Harvests]]&gt;1</f>
        <v>1</v>
      </c>
      <c r="BT229" s="36">
        <f>IFERROR(Crops[[#This Row],[Direct Revenue Per Bed]]/Crops[[#This Row],[Days In Field]],-1)</f>
        <v>5.8536585365853657</v>
      </c>
      <c r="BU229" s="36">
        <f>IFERROR(Crops[[#This Row],[Direct Revenue Per Bed Day]]*GrowingDays*BedsPerAcre,"")</f>
        <v>168585.36585365856</v>
      </c>
      <c r="BV229" s="38">
        <f>LastFrostDate-5*Crops[[#This Row],[Sewing Rel Last Frost]]</f>
        <v>45708</v>
      </c>
      <c r="BW229" s="38">
        <f>Crops[[#This Row],[Target Sewing Date]]+Crops[[#This Row],[Days in Cells]]</f>
        <v>45748</v>
      </c>
      <c r="BX229" s="38">
        <f>Crops[[#This Row],[Target Sewing Date]]+Crops[[#This Row],[STH]]</f>
        <v>45813</v>
      </c>
      <c r="BY229" s="38">
        <f>Crops[[#This Row],[Target Harvest Data]]+Crops[[#This Row],[Harvest window]]</f>
        <v>45953</v>
      </c>
      <c r="BZ229">
        <v>8</v>
      </c>
      <c r="CB229">
        <f>1</f>
        <v>1</v>
      </c>
      <c r="CC229">
        <f>IF(Crops[[#This Row],[Transplanting]]&gt;0, 2, 3)*BedLength/StandardBedLength</f>
        <v>1</v>
      </c>
      <c r="CD229" s="173">
        <f>IF(Crops[[#This Row],[Days in Cells]]&lt;=0,0,Crops[[#This Row],[Plantings Per Bed]]/StartsPerHourSeeding+Crops[[#This Row],[Tray 1 Count]]*5/60)</f>
        <v>1.42578125</v>
      </c>
      <c r="CE229" s="173">
        <f>IF(ISBLANK(Crops[[#This Row],[Tray 2 Days]]),0,Crops[[#This Row],[Plantings Per Bed]]/UpPottingPerHour)+IF(Crops[[#This Row],[Tray 3 Days]]="",0,Crops[[#This Row],[Plantings Per Bed]]/UpPottingPerHour)</f>
        <v>0</v>
      </c>
      <c r="CF229" s="173">
        <f>IFERROR(Crops[[#This Row],[Tray 1 Count]]/HomeStartFlatIrrigationPerHour,0)*Crops[[#This Row],[Days in Cells]]/DaysBetweenStartIrrigation</f>
        <v>0.5078125</v>
      </c>
      <c r="CG229" s="173">
        <f>0.5/16*MAX(Crops[[#This Row],[Tray 1 Count]],Crops[[#This Row],[Tray 2 Count]],Crops[[#This Row],[Tray 3 Count]])</f>
        <v>9.521484375E-2</v>
      </c>
      <c r="CH229" s="173">
        <f>IF(Crops[[#This Row],[Days in Cells]]&gt;0,IF(IF(Crops[[#This Row],[Tray 3 Size]]&gt;0,Crops[[#This Row],[Tray 3 Size]],IF(Crops[[#This Row],[Tray 2 Size]]&gt;0,Crops[[#This Row],[Tray 2 Size]],Crops[[#This Row],[Tray 1 Size]]))&lt;=18,LargeTransplantTime,SmallTransplantTime)*Crops[[#This Row],[Plantings Per Bed]],0)</f>
        <v>1.5</v>
      </c>
      <c r="CI229" s="173"/>
      <c r="CJ229" s="173">
        <f>_xlfn.XLOOKUP(Crops[[#This Row],[Trellis Type]],TrellisMethods[Trellis Type],TrellisMethods[Hours],0,0)</f>
        <v>0</v>
      </c>
      <c r="CK229">
        <f>IF(Crops[[#This Row],[Days in Cells]]&lt;=0,Crops[[#This Row],[Rows]]*1/10,0)*BedLength/50</f>
        <v>0</v>
      </c>
      <c r="CL229" cm="1">
        <f t="array" ref="CL229">_xlfn.SWITCH(Crops[[#This Row],[Irrigation]],"DR", 0.5, "OH", 0.25,0)*BedLength/50</f>
        <v>0</v>
      </c>
      <c r="CM229">
        <f>IF(OR(ISBLANK(Crops[[#This Row],[Row Cover]]),Crops[[#This Row],[Row Cover]]="None"),0,1)*BedLength/50</f>
        <v>0</v>
      </c>
      <c r="CN229" s="173">
        <f>HoursPerWeedingPass*Crops[[#This Row],[Days In Field]]/14*Crops[[#This Row],[Rows]]+1*BedLength/50</f>
        <v>8.3214285714285712</v>
      </c>
      <c r="CQ229" s="37">
        <f>_xlfn.XLOOKUP(Crops[[#This Row],[Crop]]&amp;Crops[[#This Row],[Product]]&amp;Crops[[#This Row],[Unit]],Products[ID],Products[Marketing (hr)])*Crops[[#This Row],[Direct Revenue Per Bed]]/2000</f>
        <v>1.8</v>
      </c>
      <c r="CR229" s="37">
        <f>_xlfn.XLOOKUP(Crops[[#This Row],[Crop]]&amp;Crops[[#This Row],[Product]]&amp;Crops[[#This Row],[Unit]],Products[ID],Products[Harvest (s)])*Crops[[#This Row],[Custom Yield Per Bed]]/3600</f>
        <v>10</v>
      </c>
      <c r="CS229" s="37">
        <f>_xlfn.XLOOKUP(Crops[[#This Row],[Crop]]&amp;Crops[[#This Row],[Product]]&amp;Crops[[#This Row],[Unit]],Products[ID],Products[Bunch (s)])*Crops[[#This Row],[Custom Yield Per Bed]]/3600</f>
        <v>0</v>
      </c>
      <c r="CT229" s="37">
        <f>_xlfn.XLOOKUP(Crops[[#This Row],[Crop]]&amp;Crops[[#This Row],[Product]]&amp;Crops[[#This Row],[Unit]],Products[ID],Products[Haul (s)])*Crops[[#This Row],[Custom Yield Per Bed]]/3600</f>
        <v>0.1</v>
      </c>
      <c r="CU229" s="37">
        <f>_xlfn.XLOOKUP(Crops[[#This Row],[Crop]]&amp;Crops[[#This Row],[Product]]&amp;Crops[[#This Row],[Unit]],Products[ID],Products[Wash (s)])*Crops[[#This Row],[Custom Yield Per Bed]]/3600</f>
        <v>0</v>
      </c>
      <c r="CV229" s="37">
        <f>_xlfn.XLOOKUP(Crops[[#This Row],[Crop]]&amp;Crops[[#This Row],[Product]]&amp;Crops[[#This Row],[Unit]],Products[ID],Products[Condition (s)])*Crops[[#This Row],[Custom Yield Per Bed]]/3600</f>
        <v>0</v>
      </c>
      <c r="CW229" s="37">
        <f>_xlfn.XLOOKUP(Crops[[#This Row],[Crop]]&amp;Crops[[#This Row],[Product]]&amp;Crops[[#This Row],[Unit]],Products[ID],Products[Trim (s)])*Crops[[#This Row],[Custom Yield Per Bed]]/3600</f>
        <v>0</v>
      </c>
      <c r="CX229" s="37">
        <f>_xlfn.XLOOKUP(Crops[[#This Row],[Crop]]&amp;Crops[[#This Row],[Product]]&amp;Crops[[#This Row],[Unit]],Products[ID],Products[Pack (s)])*Crops[[#This Row],[Custom Yield Per Bed]]/3600</f>
        <v>10</v>
      </c>
      <c r="CY229" s="37">
        <f>_xlfn.XLOOKUP(Crops[[#This Row],[Crop]]&amp;Crops[[#This Row],[Product]]&amp;Crops[[#This Row],[Unit]],Products[ID],Products[Clean (s)])*Crops[[#This Row],[Custom Yield Per Bed]]/3600</f>
        <v>0</v>
      </c>
      <c r="CZ229" s="37">
        <f>_xlfn.XLOOKUP(Crops[[#This Row],[Crop]]&amp;Crops[[#This Row],[Product]]&amp;Crops[[#This Row],[Unit]],Products[ID],Products[Rehandle (s)])*Crops[[#This Row],[Custom Yield Per Bed]]/3600</f>
        <v>0</v>
      </c>
      <c r="DA229" s="37">
        <f>_xlfn.XLOOKUP(Crops[[#This Row],[Crop]]&amp;Crops[[#This Row],[Product]]&amp;Crops[[#This Row],[Unit]],Products[ID],Products[Market Transport (s)])*Crops[[#This Row],[Custom Yield Per Bed]]/3600</f>
        <v>0.25</v>
      </c>
      <c r="DC229" s="37">
        <f>Crops[[#This Row],[Direct Revenue Per Bed2]]</f>
        <v>1200</v>
      </c>
      <c r="DD229" s="173">
        <f>_xlfn.AGGREGATE(9,6,Crops[[#This Row],[Bed Prep]:[Remove Crop Residue]])</f>
        <v>35.000237165178575</v>
      </c>
      <c r="DE229" s="173">
        <f>_xlfn.AGGREGATE(9,6,Crops[[#This Row],[Bed Prep]:[Remove Crop Residue]])-0.75*Crops[[#This Row],[Market &amp; Sell]]</f>
        <v>33.650237165178574</v>
      </c>
      <c r="DF229" s="36">
        <f>Crops[[#This Row],[Direct Revenue Per Bed2]]/Crops[[#This Row],[Direct Time]]</f>
        <v>34.285481962215655</v>
      </c>
      <c r="DG229" s="36">
        <f>_xlfn.XLOOKUP(Crops[[#This Row],[ProductIndex]],Products[ID],Products[Packaging Cost])*(Crops[[#This Row],[Custom Yield Per Bed]]/_xlfn.XLOOKUP(Crops[[#This Row],[ProductIndex]],Products[ID],Products[Units Per Pack]))</f>
        <v>78</v>
      </c>
      <c r="DH229" s="36"/>
      <c r="DI229" s="36"/>
      <c r="DJ229" s="36"/>
      <c r="DK229" s="36"/>
      <c r="DL229" s="36"/>
      <c r="DM229" s="33">
        <f>IFERROR(Crops[[#This Row],[Custom Yield Per Bed]]*Crops[[#This Row],[Direct Price]],"")</f>
        <v>1200</v>
      </c>
      <c r="DN229" s="36">
        <f>Crops[[#This Row],[Direct Time]]*LaborRate</f>
        <v>875.00592912946433</v>
      </c>
      <c r="DO229" s="36">
        <f>SUM(Crops[[#This Row],[Irrigation Cost]])</f>
        <v>0</v>
      </c>
      <c r="DP229" s="36">
        <f>Crops[[#This Row],[Direct Labor Cost]]+Crops[[#This Row],[Direct Non-Labor Cost]]</f>
        <v>875.00592912946433</v>
      </c>
      <c r="DQ229" s="36">
        <f>Crops[[#This Row],[Direct Revenue Per Bed2]]-Crops[[#This Row],[Direct Total Cost]]</f>
        <v>324.99407087053567</v>
      </c>
      <c r="DR229" s="36">
        <f>Crops[[#This Row],[Direct Profit]]*BedsPerAcre</f>
        <v>51999.05133928571</v>
      </c>
      <c r="DS229" s="36">
        <f>Crops[[#This Row],[Direct Profit]]*BedsPerAcre*GrowingDays/Crops[[#This Row],[Days In Field]]</f>
        <v>45657.703614982573</v>
      </c>
      <c r="DT229" s="36">
        <f>Crops[[#This Row],[Direct Profit]]/MIN(Crops[[#This Row],[Days In Field]],GrowingDays)</f>
        <v>1.8055226159474205</v>
      </c>
      <c r="DU229" s="36">
        <f>Crops[[#This Row],[Direct Time]] * BedsPerAcre</f>
        <v>5600.0379464285725</v>
      </c>
      <c r="DV229" s="36">
        <f>(Crops[[#This Row],[Direct Revenue Per Bed2]]-Crops[[#This Row],[Direct Non-Labor Cost]])/Crops[[#This Row],[Direct Time]]</f>
        <v>34.285481962215655</v>
      </c>
      <c r="DW229" s="33">
        <f>IFERROR(Crops[[#This Row],[Custom Yield Per Bed]]*Crops[[#This Row],[Rough Wholesale Price]],"")</f>
        <v>720</v>
      </c>
      <c r="DX229" s="36">
        <f>Crops[[#This Row],[Wholesale Time]]*LaborRate</f>
        <v>841.25592912946433</v>
      </c>
      <c r="DY229" s="36">
        <f>SUM(Crops[[#This Row],[Packaging Costs]:[Irrigation Cost]])</f>
        <v>78</v>
      </c>
      <c r="DZ229" s="36">
        <f>Crops[[#This Row],[Wholesale Labor Cost]]+Crops[[#This Row],[Wholesale Non-Labor Cost]]</f>
        <v>919.25592912946433</v>
      </c>
      <c r="EA229" s="36">
        <f>Crops[[#This Row],[Wholesale Revenue Per Bed]]-Crops[[#This Row],[Wholesale Total Cost]]</f>
        <v>-199.25592912946433</v>
      </c>
      <c r="EB229" s="36">
        <f>Crops[[#This Row],[Wholesale Profit]]*BedsPerAcre</f>
        <v>-31880.948660714294</v>
      </c>
      <c r="EC229" s="36">
        <f>Crops[[#This Row],[Wholesale Profit]]*BedsPerAcre*GrowingDays/Crops[[#This Row],[Days In Field]]</f>
        <v>-27993.028092334502</v>
      </c>
      <c r="ED229" s="36">
        <f>Crops[[#This Row],[Wholesale Time]] * BedsPerAcre</f>
        <v>5384.0379464285716</v>
      </c>
      <c r="EE229" s="36">
        <f>Crops[[#This Row],[Wholesale Profit]]/MIN(Crops[[#This Row],[Days In Field]],GrowingDays)</f>
        <v>-1.1069773840525796</v>
      </c>
      <c r="EF229" s="36">
        <f>(Crops[[#This Row],[Wholesale Revenue Per Bed]]-Crops[[#This Row],[Wholesale Non-Labor Cost]])/Crops[[#This Row],[Direct Time]]</f>
        <v>18.342732849785374</v>
      </c>
      <c r="EG229" s="174">
        <f>Crops[[#This Row],[Packaging Costs]]/Crops[[#This Row],[Wholesale Revenue Per Bed]]</f>
        <v>0.10833333333333334</v>
      </c>
      <c r="EH229" s="36" t="str">
        <f>Crops[[#This Row],[Crop]]&amp;Crops[[#This Row],[Product]]&amp;Crops[[#This Row],[Unit]]</f>
        <v>Pansy and ViolasMature StemStem</v>
      </c>
      <c r="EI229" s="36" t="b">
        <f>_xlfn.XLOOKUP(Crops[[#This Row],[ProductIndex]],Products[ID],Products[Target])</f>
        <v>1</v>
      </c>
      <c r="EJ229" s="36">
        <f>Crops[[#This Row],[Custom Yield Per Bed]]</f>
        <v>12000</v>
      </c>
      <c r="EK229" s="210">
        <f>Crops[[#This Row],[Units Per Harvest]]/Crops[[#This Row],[Days Between Harvest]]*7</f>
        <v>600</v>
      </c>
      <c r="EL229" s="210" t="e">
        <f>Crops[[#This Row],[Custom Yield Per Bed]]/_xlfn.XLOOKUP(Crops[[#This Row],[ProductIndex]],Products[ID],Products[CSA Portion])</f>
        <v>#DIV/0!</v>
      </c>
      <c r="EM229" s="210" t="e">
        <f>Crops[[#This Row],[Units Per Harvest]]/Crops[[#This Row],[Days Between Harvest]]*7/_xlfn.XLOOKUP(Crops[[#This Row],[ProductIndex]],Products[ID],Products[CSA Portion])</f>
        <v>#DIV/0!</v>
      </c>
      <c r="EN229" s="210" t="e">
        <f>Crops[[#This Row],[CSA Portions Per Week]]/CSAMembers</f>
        <v>#DIV/0!</v>
      </c>
      <c r="EO229" s="210"/>
      <c r="EP229" s="210"/>
      <c r="EQ229" s="36"/>
      <c r="ER229" s="36">
        <f>Crops[[#This Row],[Harvests]]*Crops[[#This Row],[Days Between Harvest]]/7</f>
        <v>20</v>
      </c>
      <c r="ES229" s="208">
        <f>_xlfn.XLOOKUP(Crops[[#This Row],[ProductIndex]],Products[ID],Products[CSA Need])</f>
        <v>0</v>
      </c>
      <c r="ET229" s="208">
        <f>_xlfn.XLOOKUP(Crops[[#This Row],[ProductIndex]],Products[ID],Products[CSA Times])</f>
        <v>0</v>
      </c>
      <c r="EU229" s="208" t="e">
        <f>Crops[[#This Row],[Custom Yield Per Bed]]/(Crops[[#This Row],[CSA Need]]*(_xlfn.XLOOKUP(Crops[[#This Row],[ProductIndex]],Products[ID],Products[CSA Portion])*CSAMembers))</f>
        <v>#DIV/0!</v>
      </c>
      <c r="EV229" s="208">
        <f>_xlfn.XLOOKUP(Crops[[#This Row],[ProductIndex]],Products[ID],Products[CSA Portion])*CSAMembers*Crops[[#This Row],[CSA Need]]/Crops[[#This Row],[Custom Yield Per Bed]]</f>
        <v>0</v>
      </c>
      <c r="EW229" s="208">
        <f>IFERROR(Crops[[#This Row],[Days In Field]]*Crops[[#This Row],[CSA Beds]],"")</f>
        <v>0</v>
      </c>
      <c r="EX229" s="208" t="e">
        <f>Crops[[#This Row],[CSA Bed Days]]*#REF!</f>
        <v>#REF!</v>
      </c>
      <c r="EY229" t="s">
        <v>299</v>
      </c>
    </row>
    <row r="230" spans="1:155">
      <c r="A23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Pansy and Violas - Mature Stem 1X | Tunnel TP Ow</v>
      </c>
      <c r="B230" s="189"/>
      <c r="C230" s="1" t="b">
        <v>1</v>
      </c>
      <c r="D230" s="1"/>
      <c r="E230" s="1" t="b">
        <v>0</v>
      </c>
      <c r="F230" s="1" t="b">
        <f>IFERROR(IF(ISNUMBER(MATCH(Crops[[#This Row],[Identifier]],BedPlan[Crop], 0)), TRUE, FALSE), FALSE)</f>
        <v>0</v>
      </c>
      <c r="G230" s="1" t="b">
        <f>IFERROR(IF(ISNUMBER(MATCH(Crops[[#This Row],[Identifier]],BedPlan[Crop], 0)), TRUE, FALSE), FALSE)</f>
        <v>0</v>
      </c>
      <c r="H230" s="1"/>
      <c r="I230" t="s">
        <v>107</v>
      </c>
      <c r="J230" t="s">
        <v>145</v>
      </c>
      <c r="K230" t="s">
        <v>181</v>
      </c>
      <c r="M230" t="s">
        <v>406</v>
      </c>
      <c r="N230" t="str">
        <f>Crops[[#This Row],[Crop]]</f>
        <v>Pansy and Violas</v>
      </c>
      <c r="O230" t="s">
        <v>1413</v>
      </c>
      <c r="P230" t="str">
        <f>IF(OR(Crops[[#This Row],[Days in Cells]]="",Crops[[#This Row],[Days in Cells]]=0), "DS","TP")</f>
        <v>TP</v>
      </c>
      <c r="U230" t="b">
        <v>1</v>
      </c>
      <c r="V230" t="str">
        <f xml:space="preserve"> IF(Crops[[#This Row],[Sp]], "Sp", "") &amp; IF(Crops[[#This Row],[Su]], "Su", "") &amp; IF(Crops[[#This Row],[Fa]], "Fa", "") &amp; IF(Crops[[#This Row],[Wi]], "Wi", "") &amp; IF(Crops[[#This Row],[OW]], "Ow","")</f>
        <v>Ow</v>
      </c>
      <c r="W230" t="s">
        <v>144</v>
      </c>
      <c r="X230">
        <v>3</v>
      </c>
      <c r="Y230">
        <v>6</v>
      </c>
      <c r="AA230" t="s">
        <v>474</v>
      </c>
      <c r="AB230" t="b">
        <v>1</v>
      </c>
      <c r="AC230">
        <v>12</v>
      </c>
      <c r="AD230" s="32">
        <f>IFERROR(12/Crops[[#This Row],[Spacing]]*Crops[[#This Row],[Rows]]*BedLength,"")</f>
        <v>300</v>
      </c>
      <c r="AE230">
        <v>1</v>
      </c>
      <c r="AG230">
        <f>IF(Crops[[#This Row],[Custom Safety Factor]]="",PlantingSafetyFactor,Crops[[#This Row],[Custom Safety Factor]])</f>
        <v>1.3</v>
      </c>
      <c r="AH230">
        <f>1</f>
        <v>1</v>
      </c>
      <c r="AI230" s="33">
        <f>IFERROR(Crops[[#This Row],[Plantings Per Bed]]*Crops[[#This Row],[Seeds Per Planting]]*Crops[[#This Row],[Safety Factor]]*Crops[[#This Row],[Seeding Factor]],"")</f>
        <v>390</v>
      </c>
      <c r="AJ230">
        <v>4</v>
      </c>
      <c r="AK230">
        <v>7</v>
      </c>
      <c r="AL230">
        <f>_xlfn.FLOOR.MATH(IFERROR(AVERAGE(Crops[[#This Row],[DTG Lower]:[DTG Upper]]),0))</f>
        <v>5</v>
      </c>
      <c r="AM230">
        <f>SUM(Crops[[#This Row],[Tray 1 Days]],Crops[[#This Row],[Tray 2 Days]],Crops[[#This Row],[Tray 3 Days]])</f>
        <v>40</v>
      </c>
      <c r="AN230" s="32">
        <v>40</v>
      </c>
      <c r="AP230">
        <v>92</v>
      </c>
      <c r="AQ230">
        <f>IFERROR(_xlfn.FLOOR.MATH(AVERAGE(Crops[[#This Row],[DTM Lower]:[DTM Upper]])),"")</f>
        <v>92</v>
      </c>
      <c r="AR230" cm="1">
        <f t="array" ref="AR230">_xlfn.SWITCH(Crops[[#This Row],[Normal Method]],"DS",Crops[[#This Row],[Days to Germination]]+Crops[[#This Row],[DTM]] + IF(Crops[[#This Row],[Days in Cells]]&gt;0,15,0), "TP",Crops[[#This Row],[DTM]]+Crops[[#This Row],[Days in Cells]] + IF(Crops[[#This Row],[Days in Cells]]&lt;=0,20,0), "X", Crops[[#This Row],[DTM]])</f>
        <v>132</v>
      </c>
      <c r="AS230" t="s">
        <v>346</v>
      </c>
      <c r="AT230">
        <f>(Crops[[#This Row],[Harvests]]-1)*Crops[[#This Row],[Days Between Harvest]]+7</f>
        <v>140</v>
      </c>
      <c r="AU230">
        <f>Crops[[#This Row],[STH]]-Crops[[#This Row],[Days in Cells]]+Crops[[#This Row],[Harvest window]]</f>
        <v>232</v>
      </c>
      <c r="AW230">
        <v>128</v>
      </c>
      <c r="AX230">
        <v>128</v>
      </c>
      <c r="AY230">
        <v>40</v>
      </c>
      <c r="AZ230" s="49">
        <f>IFERROR(IF(Crops[[#This Row],[Tray 1 Days]]=0,"",Crops[[#This Row],[Plantings Per Bed]]/Crops[[#This Row],[Tray 1 Size]]*Crops[[#This Row],[Safety Factor]]),"")</f>
        <v>3.046875</v>
      </c>
      <c r="BC230" t="str">
        <f>IFERROR(IF(Crops[[#This Row],[Tray 2 Days]]=0,"",Crops[[#This Row],[Plantings Per Bed]]/Crops[[#This Row],[Tray 2 Size]]*Crops[[#This Row],[Safety Factor]]),"")</f>
        <v/>
      </c>
      <c r="BE230" s="32" t="str">
        <f>IF(NOT(ISBLANK(Crops[[#This Row],[Tray 3 Size]])), Crops[[#This Row],[Days in Cells Old]]-SUM(Crops[[#This Row],[Tray 1 Days]],Crops[[#This Row],[Tray 2 Days]]), "")</f>
        <v/>
      </c>
      <c r="BF230" s="49" t="str">
        <f>IFERROR(IF(Crops[[#This Row],[Tray 3 Days]]=0,"",Crops[[#This Row],[Plantings Per Bed]]/Crops[[#This Row],[Tray 3 Size]]*Crops[[#This Row],[Safety Factor]]),"")</f>
        <v/>
      </c>
      <c r="BG230" s="33">
        <f>Crops[[#This Row],[Plantings Per Bed]]*28/Crops[[#This Row],[Harvests]]</f>
        <v>420</v>
      </c>
      <c r="BH230" s="33">
        <f>4*5</f>
        <v>20</v>
      </c>
      <c r="BI230" s="33">
        <v>7</v>
      </c>
      <c r="BJ230" s="33">
        <f>_xlfn.XLOOKUP(Crops[[#This Row],[ProductIndex]],Products[ID],Products[Holding Period])</f>
        <v>0</v>
      </c>
      <c r="BK230" s="33"/>
      <c r="BL230" s="33">
        <f>Crops[[#This Row],[Units Per Harvest]]*Crops[[#This Row],[Harvests]]</f>
        <v>8400</v>
      </c>
      <c r="BM230" s="35">
        <v>0.1</v>
      </c>
      <c r="BN230" s="212">
        <f>Crops[[#This Row],[Direct Price]]*0.6</f>
        <v>0.06</v>
      </c>
      <c r="BO230" s="212"/>
      <c r="BP230" t="s">
        <v>213</v>
      </c>
      <c r="BQ230">
        <f>Crops[[#This Row],[Custom Yield Per Bed]]*Crops[[#This Row],[Direct Price]]</f>
        <v>840</v>
      </c>
      <c r="BR230" t="b">
        <v>0</v>
      </c>
      <c r="BS230" t="b">
        <f>Crops[[#This Row],[Harvests]]&gt;1</f>
        <v>1</v>
      </c>
      <c r="BT230" s="36">
        <f>IFERROR(Crops[[#This Row],[Direct Revenue Per Bed]]/Crops[[#This Row],[Days In Field]],-1)</f>
        <v>3.6206896551724137</v>
      </c>
      <c r="BU230" s="36">
        <f>IFERROR(Crops[[#This Row],[Direct Revenue Per Bed Day]]*GrowingDays*BedsPerAcre,"")</f>
        <v>104275.86206896551</v>
      </c>
      <c r="BV230" s="38">
        <f>LastFrostDate-5*Crops[[#This Row],[Sewing Rel Last Frost]]</f>
        <v>45853</v>
      </c>
      <c r="BW230" s="38">
        <f>Crops[[#This Row],[Target Sewing Date]]+Crops[[#This Row],[Days in Cells]]</f>
        <v>45893</v>
      </c>
      <c r="BX230" s="38">
        <f>Crops[[#This Row],[Target Sewing Date]]+Crops[[#This Row],[STH]]</f>
        <v>45985</v>
      </c>
      <c r="BY230" s="38">
        <f>Crops[[#This Row],[Target Harvest Data]]+Crops[[#This Row],[Harvest window]]</f>
        <v>46125</v>
      </c>
      <c r="BZ230">
        <v>-21</v>
      </c>
      <c r="CA230" t="s">
        <v>490</v>
      </c>
      <c r="CB230">
        <f>1</f>
        <v>1</v>
      </c>
      <c r="CC230">
        <f>IF(Crops[[#This Row],[Transplanting]]&gt;0, 2, 3)*BedLength/StandardBedLength</f>
        <v>1</v>
      </c>
      <c r="CD230" s="173">
        <f>IF(Crops[[#This Row],[Days in Cells]]&lt;=0,0,Crops[[#This Row],[Plantings Per Bed]]/StartsPerHourSeeding+Crops[[#This Row],[Tray 1 Count]]*5/60)</f>
        <v>1.42578125</v>
      </c>
      <c r="CE230" s="173">
        <f>IF(ISBLANK(Crops[[#This Row],[Tray 2 Days]]),0,Crops[[#This Row],[Plantings Per Bed]]/UpPottingPerHour)+IF(Crops[[#This Row],[Tray 3 Days]]="",0,Crops[[#This Row],[Plantings Per Bed]]/UpPottingPerHour)</f>
        <v>0</v>
      </c>
      <c r="CF230" s="173">
        <f>IFERROR(Crops[[#This Row],[Tray 1 Count]]/HomeStartFlatIrrigationPerHour,0)*Crops[[#This Row],[Days in Cells]]/DaysBetweenStartIrrigation</f>
        <v>0.5078125</v>
      </c>
      <c r="CG230" s="173">
        <f>0.5/16*MAX(Crops[[#This Row],[Tray 1 Count]],Crops[[#This Row],[Tray 2 Count]],Crops[[#This Row],[Tray 3 Count]])</f>
        <v>9.521484375E-2</v>
      </c>
      <c r="CH230" s="173">
        <f>IF(Crops[[#This Row],[Days in Cells]]&gt;0,IF(IF(Crops[[#This Row],[Tray 3 Size]]&gt;0,Crops[[#This Row],[Tray 3 Size]],IF(Crops[[#This Row],[Tray 2 Size]]&gt;0,Crops[[#This Row],[Tray 2 Size]],Crops[[#This Row],[Tray 1 Size]]))&lt;=18,LargeTransplantTime,SmallTransplantTime)*Crops[[#This Row],[Plantings Per Bed]],0)</f>
        <v>1.5</v>
      </c>
      <c r="CI230" s="173"/>
      <c r="CJ230" s="173">
        <f>_xlfn.XLOOKUP(Crops[[#This Row],[Trellis Type]],TrellisMethods[Trellis Type],TrellisMethods[Hours],0,0)</f>
        <v>0</v>
      </c>
      <c r="CK230">
        <f>IF(Crops[[#This Row],[Days in Cells]]&lt;=0,Crops[[#This Row],[Rows]]*1/10,0)*BedLength/50</f>
        <v>0</v>
      </c>
      <c r="CL230" cm="1">
        <f t="array" ref="CL230">_xlfn.SWITCH(Crops[[#This Row],[Irrigation]],"DR", 0.5, "OH", 0.25,0)*BedLength/50</f>
        <v>0</v>
      </c>
      <c r="CM230">
        <f>IF(OR(ISBLANK(Crops[[#This Row],[Row Cover]]),Crops[[#This Row],[Row Cover]]="None"),0,1)*BedLength/50</f>
        <v>0</v>
      </c>
      <c r="CN230" s="173">
        <f>HoursPerWeedingPass*Crops[[#This Row],[Days In Field]]/14*Crops[[#This Row],[Rows]]+1*BedLength/50</f>
        <v>9.2857142857142847</v>
      </c>
      <c r="CQ230" s="37">
        <f>_xlfn.XLOOKUP(Crops[[#This Row],[Crop]]&amp;Crops[[#This Row],[Product]]&amp;Crops[[#This Row],[Unit]],Products[ID],Products[Marketing (hr)])*Crops[[#This Row],[Direct Revenue Per Bed]]/2000</f>
        <v>1.26</v>
      </c>
      <c r="CR230" s="37">
        <f>_xlfn.XLOOKUP(Crops[[#This Row],[Crop]]&amp;Crops[[#This Row],[Product]]&amp;Crops[[#This Row],[Unit]],Products[ID],Products[Harvest (s)])*Crops[[#This Row],[Custom Yield Per Bed]]/3600</f>
        <v>7</v>
      </c>
      <c r="CS230" s="37">
        <f>_xlfn.XLOOKUP(Crops[[#This Row],[Crop]]&amp;Crops[[#This Row],[Product]]&amp;Crops[[#This Row],[Unit]],Products[ID],Products[Bunch (s)])*Crops[[#This Row],[Custom Yield Per Bed]]/3600</f>
        <v>0</v>
      </c>
      <c r="CT230" s="37">
        <f>_xlfn.XLOOKUP(Crops[[#This Row],[Crop]]&amp;Crops[[#This Row],[Product]]&amp;Crops[[#This Row],[Unit]],Products[ID],Products[Haul (s)])*Crops[[#This Row],[Custom Yield Per Bed]]/3600</f>
        <v>7.0000000000000007E-2</v>
      </c>
      <c r="CU230" s="37">
        <f>_xlfn.XLOOKUP(Crops[[#This Row],[Crop]]&amp;Crops[[#This Row],[Product]]&amp;Crops[[#This Row],[Unit]],Products[ID],Products[Wash (s)])*Crops[[#This Row],[Custom Yield Per Bed]]/3600</f>
        <v>0</v>
      </c>
      <c r="CV230" s="37">
        <f>_xlfn.XLOOKUP(Crops[[#This Row],[Crop]]&amp;Crops[[#This Row],[Product]]&amp;Crops[[#This Row],[Unit]],Products[ID],Products[Condition (s)])*Crops[[#This Row],[Custom Yield Per Bed]]/3600</f>
        <v>0</v>
      </c>
      <c r="CW230" s="37">
        <f>_xlfn.XLOOKUP(Crops[[#This Row],[Crop]]&amp;Crops[[#This Row],[Product]]&amp;Crops[[#This Row],[Unit]],Products[ID],Products[Trim (s)])*Crops[[#This Row],[Custom Yield Per Bed]]/3600</f>
        <v>0</v>
      </c>
      <c r="CX230" s="37">
        <f>_xlfn.XLOOKUP(Crops[[#This Row],[Crop]]&amp;Crops[[#This Row],[Product]]&amp;Crops[[#This Row],[Unit]],Products[ID],Products[Pack (s)])*Crops[[#This Row],[Custom Yield Per Bed]]/3600</f>
        <v>7</v>
      </c>
      <c r="CY230" s="37">
        <f>_xlfn.XLOOKUP(Crops[[#This Row],[Crop]]&amp;Crops[[#This Row],[Product]]&amp;Crops[[#This Row],[Unit]],Products[ID],Products[Clean (s)])*Crops[[#This Row],[Custom Yield Per Bed]]/3600</f>
        <v>0</v>
      </c>
      <c r="CZ230" s="37">
        <f>_xlfn.XLOOKUP(Crops[[#This Row],[Crop]]&amp;Crops[[#This Row],[Product]]&amp;Crops[[#This Row],[Unit]],Products[ID],Products[Rehandle (s)])*Crops[[#This Row],[Custom Yield Per Bed]]/3600</f>
        <v>0</v>
      </c>
      <c r="DA230" s="37">
        <f>_xlfn.XLOOKUP(Crops[[#This Row],[Crop]]&amp;Crops[[#This Row],[Product]]&amp;Crops[[#This Row],[Unit]],Products[ID],Products[Market Transport (s)])*Crops[[#This Row],[Custom Yield Per Bed]]/3600</f>
        <v>0.17499999999999999</v>
      </c>
      <c r="DC230" s="37">
        <f>Crops[[#This Row],[Direct Revenue Per Bed2]]</f>
        <v>840</v>
      </c>
      <c r="DD230" s="173">
        <f>_xlfn.AGGREGATE(9,6,Crops[[#This Row],[Bed Prep]:[Remove Crop Residue]])</f>
        <v>29.319522879464284</v>
      </c>
      <c r="DE230" s="173">
        <f>_xlfn.AGGREGATE(9,6,Crops[[#This Row],[Bed Prep]:[Remove Crop Residue]])-0.75*Crops[[#This Row],[Market &amp; Sell]]</f>
        <v>28.374522879464283</v>
      </c>
      <c r="DF230" s="36">
        <f>Crops[[#This Row],[Direct Revenue Per Bed2]]/Crops[[#This Row],[Direct Time]]</f>
        <v>28.649852299893503</v>
      </c>
      <c r="DG230" s="36">
        <f>_xlfn.XLOOKUP(Crops[[#This Row],[ProductIndex]],Products[ID],Products[Packaging Cost])*(Crops[[#This Row],[Custom Yield Per Bed]]/_xlfn.XLOOKUP(Crops[[#This Row],[ProductIndex]],Products[ID],Products[Units Per Pack]))</f>
        <v>54.6</v>
      </c>
      <c r="DH230" s="36"/>
      <c r="DI230" s="36"/>
      <c r="DJ230" s="36"/>
      <c r="DK230" s="36"/>
      <c r="DL230" s="36"/>
      <c r="DM230" s="33">
        <f>IFERROR(Crops[[#This Row],[Custom Yield Per Bed]]*Crops[[#This Row],[Direct Price]],"")</f>
        <v>840</v>
      </c>
      <c r="DN230" s="36">
        <f>Crops[[#This Row],[Direct Time]]*LaborRate</f>
        <v>732.98807198660711</v>
      </c>
      <c r="DO230" s="36">
        <f>SUM(Crops[[#This Row],[Irrigation Cost]])</f>
        <v>0</v>
      </c>
      <c r="DP230" s="36">
        <f>Crops[[#This Row],[Direct Labor Cost]]+Crops[[#This Row],[Direct Non-Labor Cost]]</f>
        <v>732.98807198660711</v>
      </c>
      <c r="DQ230" s="36">
        <f>Crops[[#This Row],[Direct Revenue Per Bed2]]-Crops[[#This Row],[Direct Total Cost]]</f>
        <v>107.01192801339289</v>
      </c>
      <c r="DR230" s="36">
        <f>Crops[[#This Row],[Direct Profit]]*BedsPerAcre</f>
        <v>17121.908482142862</v>
      </c>
      <c r="DS230" s="36">
        <f>Crops[[#This Row],[Direct Profit]]*BedsPerAcre*GrowingDays/Crops[[#This Row],[Days In Field]]</f>
        <v>13284.2393395936</v>
      </c>
      <c r="DT230" s="36">
        <f>Crops[[#This Row],[Direct Profit]]/MIN(Crops[[#This Row],[Days In Field]],GrowingDays)</f>
        <v>0.59451071118551602</v>
      </c>
      <c r="DU230" s="36">
        <f>Crops[[#This Row],[Direct Time]] * BedsPerAcre</f>
        <v>4691.1236607142855</v>
      </c>
      <c r="DV230" s="36">
        <f>(Crops[[#This Row],[Direct Revenue Per Bed2]]-Crops[[#This Row],[Direct Non-Labor Cost]])/Crops[[#This Row],[Direct Time]]</f>
        <v>28.649852299893503</v>
      </c>
      <c r="DW230" s="33">
        <f>IFERROR(Crops[[#This Row],[Custom Yield Per Bed]]*Crops[[#This Row],[Rough Wholesale Price]],"")</f>
        <v>504</v>
      </c>
      <c r="DX230" s="36">
        <f>Crops[[#This Row],[Wholesale Time]]*LaborRate</f>
        <v>709.36307198660711</v>
      </c>
      <c r="DY230" s="36">
        <f>SUM(Crops[[#This Row],[Packaging Costs]:[Irrigation Cost]])</f>
        <v>54.6</v>
      </c>
      <c r="DZ230" s="36">
        <f>Crops[[#This Row],[Wholesale Labor Cost]]+Crops[[#This Row],[Wholesale Non-Labor Cost]]</f>
        <v>763.96307198660713</v>
      </c>
      <c r="EA230" s="36">
        <f>Crops[[#This Row],[Wholesale Revenue Per Bed]]-Crops[[#This Row],[Wholesale Total Cost]]</f>
        <v>-259.96307198660713</v>
      </c>
      <c r="EB230" s="36">
        <f>Crops[[#This Row],[Wholesale Profit]]*BedsPerAcre</f>
        <v>-41594.091517857145</v>
      </c>
      <c r="EC230" s="36">
        <f>Crops[[#This Row],[Wholesale Profit]]*BedsPerAcre*GrowingDays/Crops[[#This Row],[Days In Field]]</f>
        <v>-32271.277901785717</v>
      </c>
      <c r="ED230" s="36">
        <f>Crops[[#This Row],[Wholesale Time]] * BedsPerAcre</f>
        <v>4539.9236607142857</v>
      </c>
      <c r="EE230" s="36">
        <f>Crops[[#This Row],[Wholesale Profit]]/MIN(Crops[[#This Row],[Days In Field]],GrowingDays)</f>
        <v>-1.4442392888144842</v>
      </c>
      <c r="EF230" s="36">
        <f>(Crops[[#This Row],[Wholesale Revenue Per Bed]]-Crops[[#This Row],[Wholesale Non-Labor Cost]])/Crops[[#This Row],[Direct Time]]</f>
        <v>15.327670980443024</v>
      </c>
      <c r="EG230" s="174">
        <f>Crops[[#This Row],[Packaging Costs]]/Crops[[#This Row],[Wholesale Revenue Per Bed]]</f>
        <v>0.10833333333333334</v>
      </c>
      <c r="EH230" s="36" t="str">
        <f>Crops[[#This Row],[Crop]]&amp;Crops[[#This Row],[Product]]&amp;Crops[[#This Row],[Unit]]</f>
        <v>Pansy and ViolasMature StemStem</v>
      </c>
      <c r="EI230" s="36" t="b">
        <f>_xlfn.XLOOKUP(Crops[[#This Row],[ProductIndex]],Products[ID],Products[Target])</f>
        <v>1</v>
      </c>
      <c r="EJ230" s="36">
        <f>Crops[[#This Row],[Custom Yield Per Bed]]</f>
        <v>8400</v>
      </c>
      <c r="EK230" s="210">
        <f>Crops[[#This Row],[Units Per Harvest]]/Crops[[#This Row],[Days Between Harvest]]*7</f>
        <v>420</v>
      </c>
      <c r="EL230" s="210" t="e">
        <f>Crops[[#This Row],[Custom Yield Per Bed]]/_xlfn.XLOOKUP(Crops[[#This Row],[ProductIndex]],Products[ID],Products[CSA Portion])</f>
        <v>#DIV/0!</v>
      </c>
      <c r="EM230" s="210" t="e">
        <f>Crops[[#This Row],[Units Per Harvest]]/Crops[[#This Row],[Days Between Harvest]]*7/_xlfn.XLOOKUP(Crops[[#This Row],[ProductIndex]],Products[ID],Products[CSA Portion])</f>
        <v>#DIV/0!</v>
      </c>
      <c r="EN230" s="210" t="e">
        <f>Crops[[#This Row],[CSA Portions Per Week]]/CSAMembers</f>
        <v>#DIV/0!</v>
      </c>
      <c r="EO230" s="210"/>
      <c r="EP230" s="210"/>
      <c r="EQ230" s="36"/>
      <c r="ER230" s="36">
        <f>Crops[[#This Row],[Harvests]]*Crops[[#This Row],[Days Between Harvest]]/7</f>
        <v>20</v>
      </c>
      <c r="ES230" s="208">
        <f>_xlfn.XLOOKUP(Crops[[#This Row],[ProductIndex]],Products[ID],Products[CSA Need])</f>
        <v>0</v>
      </c>
      <c r="ET230" s="208">
        <f>_xlfn.XLOOKUP(Crops[[#This Row],[ProductIndex]],Products[ID],Products[CSA Times])</f>
        <v>0</v>
      </c>
      <c r="EU230" s="208" t="e">
        <f>Crops[[#This Row],[Custom Yield Per Bed]]/(Crops[[#This Row],[CSA Need]]*(_xlfn.XLOOKUP(Crops[[#This Row],[ProductIndex]],Products[ID],Products[CSA Portion])*CSAMembers))</f>
        <v>#DIV/0!</v>
      </c>
      <c r="EV230" s="208">
        <f>_xlfn.XLOOKUP(Crops[[#This Row],[ProductIndex]],Products[ID],Products[CSA Portion])*CSAMembers*Crops[[#This Row],[CSA Need]]/Crops[[#This Row],[Custom Yield Per Bed]]</f>
        <v>0</v>
      </c>
      <c r="EW230" s="208">
        <f>IFERROR(Crops[[#This Row],[Days In Field]]*Crops[[#This Row],[CSA Beds]],"")</f>
        <v>0</v>
      </c>
      <c r="EX230" s="208" t="e">
        <f>Crops[[#This Row],[CSA Bed Days]]*#REF!</f>
        <v>#REF!</v>
      </c>
      <c r="EY230" t="s">
        <v>1421</v>
      </c>
    </row>
    <row r="231" spans="1:155">
      <c r="A23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Pansy and Violas (Reseed) - Mature Stem 1X | Field DS Sp</v>
      </c>
      <c r="B231" s="189"/>
      <c r="C231" s="1" t="b">
        <v>0</v>
      </c>
      <c r="D231" s="1"/>
      <c r="E231" s="1" t="b">
        <v>0</v>
      </c>
      <c r="F231" s="1" t="b">
        <f>IFERROR(IF(ISNUMBER(MATCH(Crops[[#This Row],[Identifier]],BedPlan[Crop], 0)), TRUE, FALSE), FALSE)</f>
        <v>0</v>
      </c>
      <c r="G231" s="1" t="b">
        <f>IFERROR(IF(ISNUMBER(MATCH(Crops[[#This Row],[Identifier]],BedPlan[Crop], 0)), TRUE, FALSE), FALSE)</f>
        <v>0</v>
      </c>
      <c r="H231" s="1"/>
      <c r="I231" t="s">
        <v>107</v>
      </c>
      <c r="J231" t="s">
        <v>1525</v>
      </c>
      <c r="K231" t="s">
        <v>181</v>
      </c>
      <c r="M231" t="s">
        <v>406</v>
      </c>
      <c r="N231" t="str">
        <f>Crops[[#This Row],[Crop]]</f>
        <v>Pansy and Violas</v>
      </c>
      <c r="O231" t="s">
        <v>210</v>
      </c>
      <c r="P231" t="str">
        <f>IF(OR(Crops[[#This Row],[Days in Cells]]="",Crops[[#This Row],[Days in Cells]]=0), "DS","TP")</f>
        <v>DS</v>
      </c>
      <c r="Q231" t="b">
        <v>1</v>
      </c>
      <c r="V231" t="str">
        <f xml:space="preserve"> IF(Crops[[#This Row],[Sp]], "Sp", "") &amp; IF(Crops[[#This Row],[Su]], "Su", "") &amp; IF(Crops[[#This Row],[Fa]], "Fa", "") &amp; IF(Crops[[#This Row],[Wi]], "Wi", "") &amp; IF(Crops[[#This Row],[OW]], "Ow","")</f>
        <v>Sp</v>
      </c>
      <c r="W231" t="s">
        <v>144</v>
      </c>
      <c r="X231">
        <v>5</v>
      </c>
      <c r="Y231">
        <v>6</v>
      </c>
      <c r="AA231" t="s">
        <v>474</v>
      </c>
      <c r="AB231" t="b">
        <v>1</v>
      </c>
      <c r="AC231">
        <v>12</v>
      </c>
      <c r="AD231" s="32">
        <f>IFERROR(12/Crops[[#This Row],[Spacing]]*Crops[[#This Row],[Rows]]*BedLength,"")</f>
        <v>500</v>
      </c>
      <c r="AE231">
        <v>1</v>
      </c>
      <c r="AI231" s="33">
        <f>IFERROR(Crops[[#This Row],[Plantings Per Bed]]*Crops[[#This Row],[Seeds Per Planting]]*Crops[[#This Row],[Safety Factor]]*Crops[[#This Row],[Seeding Factor]],"")</f>
        <v>0</v>
      </c>
      <c r="AL231">
        <f>_xlfn.FLOOR.MATH(IFERROR(AVERAGE(Crops[[#This Row],[DTG Lower]:[DTG Upper]]),0))</f>
        <v>0</v>
      </c>
      <c r="AM231">
        <f>SUM(Crops[[#This Row],[Tray 1 Days]],Crops[[#This Row],[Tray 2 Days]],Crops[[#This Row],[Tray 3 Days]])</f>
        <v>0</v>
      </c>
      <c r="AN231" s="32">
        <v>40</v>
      </c>
      <c r="AO231">
        <v>125</v>
      </c>
      <c r="AP231">
        <v>145</v>
      </c>
      <c r="AQ231">
        <f>IFERROR(_xlfn.FLOOR.MATH(AVERAGE(Crops[[#This Row],[DTM Lower]:[DTM Upper]])),"")</f>
        <v>135</v>
      </c>
      <c r="AR231" cm="1">
        <f t="array" ref="AR231">_xlfn.SWITCH(Crops[[#This Row],[Normal Method]],"DS",Crops[[#This Row],[Days to Germination]]+Crops[[#This Row],[DTM]] + IF(Crops[[#This Row],[Days in Cells]]&gt;0,15,0), "TP",Crops[[#This Row],[DTM]]+Crops[[#This Row],[Days in Cells]] + IF(Crops[[#This Row],[Days in Cells]]&lt;=0,20,0), "X", Crops[[#This Row],[DTM]])</f>
        <v>155</v>
      </c>
      <c r="AS231" t="s">
        <v>346</v>
      </c>
      <c r="AT231">
        <f>(Crops[[#This Row],[Harvests]]-1)*Crops[[#This Row],[Days Between Harvest]]+7</f>
        <v>147</v>
      </c>
      <c r="AU231">
        <f>Crops[[#This Row],[STH]]-Crops[[#This Row],[Days in Cells]]+Crops[[#This Row],[Harvest window]]</f>
        <v>302</v>
      </c>
      <c r="AZ231" s="49" t="str">
        <f>IFERROR(IF(Crops[[#This Row],[Tray 1 Days]]=0,"",Crops[[#This Row],[Plantings Per Bed]]/Crops[[#This Row],[Tray 1 Size]]*Crops[[#This Row],[Safety Factor]]),"")</f>
        <v/>
      </c>
      <c r="BC231" t="str">
        <f>IFERROR(IF(Crops[[#This Row],[Tray 2 Days]]=0,"",Crops[[#This Row],[Plantings Per Bed]]/Crops[[#This Row],[Tray 2 Size]]*Crops[[#This Row],[Safety Factor]]),"")</f>
        <v/>
      </c>
      <c r="BE231" s="32" t="str">
        <f>IF(NOT(ISBLANK(Crops[[#This Row],[Tray 3 Size]])), Crops[[#This Row],[Days in Cells Old]]-SUM(Crops[[#This Row],[Tray 1 Days]],Crops[[#This Row],[Tray 2 Days]]), "")</f>
        <v/>
      </c>
      <c r="BF231" s="49" t="str">
        <f>IFERROR(IF(Crops[[#This Row],[Tray 3 Days]]=0,"",Crops[[#This Row],[Plantings Per Bed]]/Crops[[#This Row],[Tray 3 Size]]*Crops[[#This Row],[Safety Factor]]),"")</f>
        <v/>
      </c>
      <c r="BG231" s="33">
        <f>Crops[[#This Row],[Plantings Per Bed]]*2</f>
        <v>1000</v>
      </c>
      <c r="BH231" s="33">
        <v>21</v>
      </c>
      <c r="BI231" s="33">
        <v>7</v>
      </c>
      <c r="BJ231" s="33">
        <f>_xlfn.XLOOKUP(Crops[[#This Row],[ProductIndex]],Products[ID],Products[Holding Period])</f>
        <v>0</v>
      </c>
      <c r="BK231" s="33"/>
      <c r="BL231" s="33">
        <f>Crops[[#This Row],[Units Per Harvest]]*Crops[[#This Row],[Harvests]]</f>
        <v>21000</v>
      </c>
      <c r="BM231" s="35">
        <v>0.1</v>
      </c>
      <c r="BN231" s="35">
        <f>Crops[[#This Row],[Direct Price]]*0.6</f>
        <v>0.06</v>
      </c>
      <c r="BO231" s="35"/>
      <c r="BP231" t="s">
        <v>213</v>
      </c>
      <c r="BQ231">
        <f>Crops[[#This Row],[Custom Yield Per Bed]]*Crops[[#This Row],[Direct Price]]</f>
        <v>2100</v>
      </c>
      <c r="BR231" t="b">
        <v>0</v>
      </c>
      <c r="BS231" t="b">
        <f>Crops[[#This Row],[Harvests]]&gt;1</f>
        <v>1</v>
      </c>
      <c r="BT231" s="36">
        <f>IFERROR(Crops[[#This Row],[Direct Revenue Per Bed]]/Crops[[#This Row],[Days In Field]],-1)</f>
        <v>6.9536423841059607</v>
      </c>
      <c r="BU231" s="36">
        <f>IFERROR(Crops[[#This Row],[Direct Revenue Per Bed Day]]*GrowingDays*BedsPerAcre,"")</f>
        <v>200264.90066225169</v>
      </c>
      <c r="BV231" s="38">
        <f>LastFrostDate-5*Crops[[#This Row],[Sewing Rel Last Frost]]</f>
        <v>45683</v>
      </c>
      <c r="BW231" s="38">
        <f>Crops[[#This Row],[Target Sewing Date]]+Crops[[#This Row],[Days in Cells]]</f>
        <v>45683</v>
      </c>
      <c r="BX231" s="38">
        <f>Crops[[#This Row],[Target Sewing Date]]+Crops[[#This Row],[STH]]</f>
        <v>45838</v>
      </c>
      <c r="BY231" s="38">
        <f>Crops[[#This Row],[Target Harvest Data]]+Crops[[#This Row],[Harvest window]]</f>
        <v>45985</v>
      </c>
      <c r="BZ231">
        <v>13</v>
      </c>
      <c r="CB231">
        <f>1</f>
        <v>1</v>
      </c>
      <c r="CC231">
        <f>IF(Crops[[#This Row],[Transplanting]]&gt;0, 2, 3)*BedLength/StandardBedLength</f>
        <v>1.5</v>
      </c>
      <c r="CD231" s="173">
        <f>IF(Crops[[#This Row],[Days in Cells]]&lt;=0,0,Crops[[#This Row],[Plantings Per Bed]]/StartsPerHourSeeding+Crops[[#This Row],[Tray 1 Count]]*5/60)</f>
        <v>0</v>
      </c>
      <c r="CE231" s="173">
        <f>IF(ISBLANK(Crops[[#This Row],[Tray 2 Days]]),0,Crops[[#This Row],[Plantings Per Bed]]/UpPottingPerHour)+IF(Crops[[#This Row],[Tray 3 Days]]="",0,Crops[[#This Row],[Plantings Per Bed]]/UpPottingPerHour)</f>
        <v>0</v>
      </c>
      <c r="CF231" s="173">
        <f>IFERROR(Crops[[#This Row],[Tray 1 Count]]/HomeStartFlatIrrigationPerHour,0)*Crops[[#This Row],[Days in Cells]]/DaysBetweenStartIrrigation</f>
        <v>0</v>
      </c>
      <c r="CG231" s="173">
        <f>0.5/16*MAX(Crops[[#This Row],[Tray 1 Count]],Crops[[#This Row],[Tray 2 Count]],Crops[[#This Row],[Tray 3 Count]])</f>
        <v>0</v>
      </c>
      <c r="CH231" s="173">
        <f>IF(Crops[[#This Row],[Days in Cells]]&gt;0,IF(IF(Crops[[#This Row],[Tray 3 Size]]&gt;0,Crops[[#This Row],[Tray 3 Size]],IF(Crops[[#This Row],[Tray 2 Size]]&gt;0,Crops[[#This Row],[Tray 2 Size]],Crops[[#This Row],[Tray 1 Size]]))&lt;=18,LargeTransplantTime,SmallTransplantTime)*Crops[[#This Row],[Plantings Per Bed]],0)</f>
        <v>0</v>
      </c>
      <c r="CI231" s="173"/>
      <c r="CJ231" s="173">
        <f>_xlfn.XLOOKUP(Crops[[#This Row],[Trellis Type]],TrellisMethods[Trellis Type],TrellisMethods[Hours],0,0)</f>
        <v>0</v>
      </c>
      <c r="CK231">
        <f>IF(Crops[[#This Row],[Days in Cells]]&lt;=0,Crops[[#This Row],[Rows]]*1/10,0)*BedLength/50</f>
        <v>0.5</v>
      </c>
      <c r="CL231" cm="1">
        <f t="array" ref="CL231">_xlfn.SWITCH(Crops[[#This Row],[Irrigation]],"DR", 0.5, "OH", 0.25,0)*BedLength/50</f>
        <v>0</v>
      </c>
      <c r="CM231">
        <f>IF(OR(ISBLANK(Crops[[#This Row],[Row Cover]]),Crops[[#This Row],[Row Cover]]="None"),0,1)*BedLength/50</f>
        <v>0</v>
      </c>
      <c r="CN231" s="173">
        <f>HoursPerWeedingPass*Crops[[#This Row],[Days In Field]]/14*Crops[[#This Row],[Rows]]+1*BedLength/50</f>
        <v>18.976190476190474</v>
      </c>
      <c r="CQ231" s="37">
        <f>_xlfn.XLOOKUP(Crops[[#This Row],[Crop]]&amp;Crops[[#This Row],[Product]]&amp;Crops[[#This Row],[Unit]],Products[ID],Products[Marketing (hr)])*Crops[[#This Row],[Direct Revenue Per Bed]]/2000</f>
        <v>3.15</v>
      </c>
      <c r="CR231" s="37">
        <f>_xlfn.XLOOKUP(Crops[[#This Row],[Crop]]&amp;Crops[[#This Row],[Product]]&amp;Crops[[#This Row],[Unit]],Products[ID],Products[Harvest (s)])*Crops[[#This Row],[Custom Yield Per Bed]]/3600</f>
        <v>17.5</v>
      </c>
      <c r="CS231" s="37">
        <f>_xlfn.XLOOKUP(Crops[[#This Row],[Crop]]&amp;Crops[[#This Row],[Product]]&amp;Crops[[#This Row],[Unit]],Products[ID],Products[Bunch (s)])*Crops[[#This Row],[Custom Yield Per Bed]]/3600</f>
        <v>0</v>
      </c>
      <c r="CT231" s="37">
        <f>_xlfn.XLOOKUP(Crops[[#This Row],[Crop]]&amp;Crops[[#This Row],[Product]]&amp;Crops[[#This Row],[Unit]],Products[ID],Products[Haul (s)])*Crops[[#This Row],[Custom Yield Per Bed]]/3600</f>
        <v>0.17499999999999999</v>
      </c>
      <c r="CU231" s="37">
        <f>_xlfn.XLOOKUP(Crops[[#This Row],[Crop]]&amp;Crops[[#This Row],[Product]]&amp;Crops[[#This Row],[Unit]],Products[ID],Products[Wash (s)])*Crops[[#This Row],[Custom Yield Per Bed]]/3600</f>
        <v>0</v>
      </c>
      <c r="CV231" s="37">
        <f>_xlfn.XLOOKUP(Crops[[#This Row],[Crop]]&amp;Crops[[#This Row],[Product]]&amp;Crops[[#This Row],[Unit]],Products[ID],Products[Condition (s)])*Crops[[#This Row],[Custom Yield Per Bed]]/3600</f>
        <v>0</v>
      </c>
      <c r="CW231" s="37">
        <f>_xlfn.XLOOKUP(Crops[[#This Row],[Crop]]&amp;Crops[[#This Row],[Product]]&amp;Crops[[#This Row],[Unit]],Products[ID],Products[Trim (s)])*Crops[[#This Row],[Custom Yield Per Bed]]/3600</f>
        <v>0</v>
      </c>
      <c r="CX231" s="37">
        <f>_xlfn.XLOOKUP(Crops[[#This Row],[Crop]]&amp;Crops[[#This Row],[Product]]&amp;Crops[[#This Row],[Unit]],Products[ID],Products[Pack (s)])*Crops[[#This Row],[Custom Yield Per Bed]]/3600</f>
        <v>17.5</v>
      </c>
      <c r="CY231" s="37">
        <f>_xlfn.XLOOKUP(Crops[[#This Row],[Crop]]&amp;Crops[[#This Row],[Product]]&amp;Crops[[#This Row],[Unit]],Products[ID],Products[Clean (s)])*Crops[[#This Row],[Custom Yield Per Bed]]/3600</f>
        <v>0</v>
      </c>
      <c r="CZ231" s="37">
        <f>_xlfn.XLOOKUP(Crops[[#This Row],[Crop]]&amp;Crops[[#This Row],[Product]]&amp;Crops[[#This Row],[Unit]],Products[ID],Products[Rehandle (s)])*Crops[[#This Row],[Custom Yield Per Bed]]/3600</f>
        <v>0</v>
      </c>
      <c r="DA231" s="37">
        <f>_xlfn.XLOOKUP(Crops[[#This Row],[Crop]]&amp;Crops[[#This Row],[Product]]&amp;Crops[[#This Row],[Unit]],Products[ID],Products[Market Transport (s)])*Crops[[#This Row],[Custom Yield Per Bed]]/3600</f>
        <v>0.4375</v>
      </c>
      <c r="DC231" s="37">
        <f>Crops[[#This Row],[Direct Revenue Per Bed2]]</f>
        <v>2100</v>
      </c>
      <c r="DD231" s="173">
        <f>_xlfn.AGGREGATE(9,6,Crops[[#This Row],[Bed Prep]:[Remove Crop Residue]])</f>
        <v>59.73869047619047</v>
      </c>
      <c r="DE231" s="173">
        <f>_xlfn.AGGREGATE(9,6,Crops[[#This Row],[Bed Prep]:[Remove Crop Residue]])-0.75*Crops[[#This Row],[Market &amp; Sell]]</f>
        <v>57.376190476190473</v>
      </c>
      <c r="DF231" s="36">
        <f>Crops[[#This Row],[Direct Revenue Per Bed2]]/Crops[[#This Row],[Direct Time]]</f>
        <v>35.153097318679571</v>
      </c>
      <c r="DG231" s="36">
        <f>_xlfn.XLOOKUP(Crops[[#This Row],[ProductIndex]],Products[ID],Products[Packaging Cost])*(Crops[[#This Row],[Custom Yield Per Bed]]/_xlfn.XLOOKUP(Crops[[#This Row],[ProductIndex]],Products[ID],Products[Units Per Pack]))</f>
        <v>136.5</v>
      </c>
      <c r="DH231" s="36"/>
      <c r="DI231" s="36"/>
      <c r="DJ231" s="36"/>
      <c r="DK231" s="36"/>
      <c r="DL231" s="36"/>
      <c r="DM231" s="33">
        <f>IFERROR(Crops[[#This Row],[Custom Yield Per Bed]]*Crops[[#This Row],[Direct Price]],"")</f>
        <v>2100</v>
      </c>
      <c r="DN231" s="36">
        <f>Crops[[#This Row],[Direct Time]]*LaborRate</f>
        <v>1493.4672619047617</v>
      </c>
      <c r="DO231" s="36">
        <f>SUM(Crops[[#This Row],[Irrigation Cost]])</f>
        <v>0</v>
      </c>
      <c r="DP231" s="36">
        <f>Crops[[#This Row],[Direct Labor Cost]]+Crops[[#This Row],[Direct Non-Labor Cost]]</f>
        <v>1493.4672619047617</v>
      </c>
      <c r="DQ231" s="36">
        <f>Crops[[#This Row],[Direct Revenue Per Bed2]]-Crops[[#This Row],[Direct Total Cost]]</f>
        <v>606.5327380952383</v>
      </c>
      <c r="DR231" s="36">
        <f>Crops[[#This Row],[Direct Profit]]*BedsPerAcre</f>
        <v>97045.238095238135</v>
      </c>
      <c r="DS231" s="36">
        <f>Crops[[#This Row],[Direct Profit]]*BedsPerAcre*GrowingDays/Crops[[#This Row],[Days In Field]]</f>
        <v>57841.532639545912</v>
      </c>
      <c r="DT231" s="36">
        <f>Crops[[#This Row],[Direct Profit]]/MIN(Crops[[#This Row],[Days In Field]],GrowingDays)</f>
        <v>3.3696263227513237</v>
      </c>
      <c r="DU231" s="36">
        <f>Crops[[#This Row],[Direct Time]] * BedsPerAcre</f>
        <v>9558.1904761904752</v>
      </c>
      <c r="DV231" s="36">
        <f>(Crops[[#This Row],[Direct Revenue Per Bed2]]-Crops[[#This Row],[Direct Non-Labor Cost]])/Crops[[#This Row],[Direct Time]]</f>
        <v>35.153097318679571</v>
      </c>
      <c r="DW231" s="33">
        <f>IFERROR(Crops[[#This Row],[Custom Yield Per Bed]]*Crops[[#This Row],[Rough Wholesale Price]],"")</f>
        <v>1260</v>
      </c>
      <c r="DX231" s="36">
        <f>Crops[[#This Row],[Wholesale Time]]*LaborRate</f>
        <v>1434.4047619047619</v>
      </c>
      <c r="DY231" s="36">
        <f>SUM(Crops[[#This Row],[Packaging Costs]:[Irrigation Cost]])</f>
        <v>136.5</v>
      </c>
      <c r="DZ231" s="36">
        <f>Crops[[#This Row],[Wholesale Labor Cost]]+Crops[[#This Row],[Wholesale Non-Labor Cost]]</f>
        <v>1570.9047619047619</v>
      </c>
      <c r="EA231" s="36">
        <f>Crops[[#This Row],[Wholesale Revenue Per Bed]]-Crops[[#This Row],[Wholesale Total Cost]]</f>
        <v>-310.90476190476193</v>
      </c>
      <c r="EB231" s="36">
        <f>Crops[[#This Row],[Wholesale Profit]]*BedsPerAcre</f>
        <v>-49744.761904761908</v>
      </c>
      <c r="EC231" s="36">
        <f>Crops[[#This Row],[Wholesale Profit]]*BedsPerAcre*GrowingDays/Crops[[#This Row],[Days In Field]]</f>
        <v>-29649.195837275311</v>
      </c>
      <c r="ED231" s="36">
        <f>Crops[[#This Row],[Wholesale Time]] * BedsPerAcre</f>
        <v>9180.1904761904752</v>
      </c>
      <c r="EE231" s="36">
        <f>Crops[[#This Row],[Wholesale Profit]]/MIN(Crops[[#This Row],[Days In Field]],GrowingDays)</f>
        <v>-1.7272486772486775</v>
      </c>
      <c r="EF231" s="36">
        <f>(Crops[[#This Row],[Wholesale Revenue Per Bed]]-Crops[[#This Row],[Wholesale Non-Labor Cost]])/Crops[[#This Row],[Direct Time]]</f>
        <v>18.806907065493569</v>
      </c>
      <c r="EG231" s="174">
        <f>Crops[[#This Row],[Packaging Costs]]/Crops[[#This Row],[Wholesale Revenue Per Bed]]</f>
        <v>0.10833333333333334</v>
      </c>
      <c r="EH231" s="36" t="str">
        <f>Crops[[#This Row],[Crop]]&amp;Crops[[#This Row],[Product]]&amp;Crops[[#This Row],[Unit]]</f>
        <v>Pansy and ViolasMature StemStem</v>
      </c>
      <c r="EI231" s="36" t="b">
        <f>_xlfn.XLOOKUP(Crops[[#This Row],[ProductIndex]],Products[ID],Products[Target])</f>
        <v>1</v>
      </c>
      <c r="EJ231" s="36">
        <f>Crops[[#This Row],[Custom Yield Per Bed]]</f>
        <v>21000</v>
      </c>
      <c r="EK231" s="210">
        <f>Crops[[#This Row],[Units Per Harvest]]/Crops[[#This Row],[Days Between Harvest]]*7</f>
        <v>1000</v>
      </c>
      <c r="EL231" s="210" t="e">
        <f>Crops[[#This Row],[Custom Yield Per Bed]]/_xlfn.XLOOKUP(Crops[[#This Row],[ProductIndex]],Products[ID],Products[CSA Portion])</f>
        <v>#DIV/0!</v>
      </c>
      <c r="EM231" s="210" t="e">
        <f>Crops[[#This Row],[Units Per Harvest]]/Crops[[#This Row],[Days Between Harvest]]*7/_xlfn.XLOOKUP(Crops[[#This Row],[ProductIndex]],Products[ID],Products[CSA Portion])</f>
        <v>#DIV/0!</v>
      </c>
      <c r="EN231" s="210" t="e">
        <f>Crops[[#This Row],[CSA Portions Per Week]]/CSAMembers</f>
        <v>#DIV/0!</v>
      </c>
      <c r="EO231" s="210"/>
      <c r="EP231" s="210"/>
      <c r="EQ231" s="36"/>
      <c r="ER231" s="36">
        <f>Crops[[#This Row],[Harvests]]*Crops[[#This Row],[Days Between Harvest]]/7</f>
        <v>21</v>
      </c>
      <c r="ES231" s="208">
        <f>_xlfn.XLOOKUP(Crops[[#This Row],[ProductIndex]],Products[ID],Products[CSA Need])</f>
        <v>0</v>
      </c>
      <c r="ET231" s="208">
        <f>_xlfn.XLOOKUP(Crops[[#This Row],[ProductIndex]],Products[ID],Products[CSA Times])</f>
        <v>0</v>
      </c>
      <c r="EU231" s="208" t="e">
        <f>Crops[[#This Row],[Custom Yield Per Bed]]/(Crops[[#This Row],[CSA Need]]*(_xlfn.XLOOKUP(Crops[[#This Row],[ProductIndex]],Products[ID],Products[CSA Portion])*CSAMembers))</f>
        <v>#DIV/0!</v>
      </c>
      <c r="EV231" s="208">
        <f>_xlfn.XLOOKUP(Crops[[#This Row],[ProductIndex]],Products[ID],Products[CSA Portion])*CSAMembers*Crops[[#This Row],[CSA Need]]/Crops[[#This Row],[Custom Yield Per Bed]]</f>
        <v>0</v>
      </c>
      <c r="EW231" s="208">
        <f>IFERROR(Crops[[#This Row],[Days In Field]]*Crops[[#This Row],[CSA Beds]],"")</f>
        <v>0</v>
      </c>
      <c r="EX231" s="208" t="e">
        <f>Crops[[#This Row],[CSA Bed Days]]*#REF!</f>
        <v>#REF!</v>
      </c>
      <c r="EY231" t="s">
        <v>299</v>
      </c>
    </row>
    <row r="232" spans="1:155">
      <c r="A232"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Parsley - Mature Leaf 3X | Field TP Sp</v>
      </c>
      <c r="B232" s="192"/>
      <c r="C232" s="1" t="b">
        <v>1</v>
      </c>
      <c r="D232" s="223" t="s">
        <v>2579</v>
      </c>
      <c r="E232" s="1" t="b">
        <v>0</v>
      </c>
      <c r="F232" s="1" t="b">
        <f>IFERROR(IF(ISNUMBER(MATCH(Crops[[#This Row],[Identifier]],BedPlan[Crop], 0)), TRUE, FALSE), FALSE)</f>
        <v>1</v>
      </c>
      <c r="G232" s="1" t="b">
        <f>IFERROR(IF(ISNUMBER(MATCH(Crops[[#This Row],[Identifier]],BedPlan[Crop], 0)), TRUE, FALSE), FALSE)</f>
        <v>1</v>
      </c>
      <c r="H232" s="1"/>
      <c r="I232" t="s">
        <v>108</v>
      </c>
      <c r="J232" t="s">
        <v>145</v>
      </c>
      <c r="K232" t="s">
        <v>179</v>
      </c>
      <c r="M232" t="s">
        <v>442</v>
      </c>
      <c r="N232" t="str">
        <f>Crops[[#This Row],[Crop]]</f>
        <v>Parsley</v>
      </c>
      <c r="O232" t="s">
        <v>210</v>
      </c>
      <c r="P232" t="str">
        <f>IF(OR(Crops[[#This Row],[Days in Cells]]="",Crops[[#This Row],[Days in Cells]]=0), "DS","TP")</f>
        <v>TP</v>
      </c>
      <c r="Q232" t="b">
        <v>1</v>
      </c>
      <c r="V232" t="str">
        <f xml:space="preserve"> IF(Crops[[#This Row],[Sp]], "Sp", "") &amp; IF(Crops[[#This Row],[Su]], "Su", "") &amp; IF(Crops[[#This Row],[Fa]], "Fa", "") &amp; IF(Crops[[#This Row],[Wi]], "Wi", "") &amp; IF(Crops[[#This Row],[OW]], "Ow","")</f>
        <v>Sp</v>
      </c>
      <c r="W232" t="s">
        <v>144</v>
      </c>
      <c r="X232">
        <v>3</v>
      </c>
      <c r="Y232">
        <v>9</v>
      </c>
      <c r="AA232" t="s">
        <v>474</v>
      </c>
      <c r="AB232" t="b">
        <v>1</v>
      </c>
      <c r="AC232">
        <v>24</v>
      </c>
      <c r="AD232" s="32">
        <f>IFERROR(12/Crops[[#This Row],[Spacing]]*Crops[[#This Row],[Rows]]*BedLength,"")</f>
        <v>200</v>
      </c>
      <c r="AE232">
        <v>3</v>
      </c>
      <c r="AG232">
        <f>IF(Crops[[#This Row],[Custom Safety Factor]]="",PlantingSafetyFactor,Crops[[#This Row],[Custom Safety Factor]])</f>
        <v>1.3</v>
      </c>
      <c r="AH232">
        <f>1</f>
        <v>1</v>
      </c>
      <c r="AI232" s="33">
        <f>IFERROR(Crops[[#This Row],[Plantings Per Bed]]*Crops[[#This Row],[Seeds Per Planting]]*Crops[[#This Row],[Safety Factor]]*Crops[[#This Row],[Seeding Factor]],"")</f>
        <v>780</v>
      </c>
      <c r="AJ232">
        <v>21</v>
      </c>
      <c r="AK232">
        <v>28</v>
      </c>
      <c r="AL232">
        <f>_xlfn.FLOOR.MATH(IFERROR(AVERAGE(Crops[[#This Row],[DTG Lower]:[DTG Upper]]),0))</f>
        <v>24</v>
      </c>
      <c r="AM232">
        <f>SUM(Crops[[#This Row],[Tray 1 Days]],Crops[[#This Row],[Tray 2 Days]],Crops[[#This Row],[Tray 3 Days]])</f>
        <v>35</v>
      </c>
      <c r="AN232">
        <v>42</v>
      </c>
      <c r="AP232">
        <v>75</v>
      </c>
      <c r="AQ232">
        <f>IFERROR(_xlfn.FLOOR.MATH(AVERAGE(Crops[[#This Row],[DTM Lower]:[DTM Upper]])),"")</f>
        <v>75</v>
      </c>
      <c r="AR232" cm="1">
        <f t="array" ref="AR232">_xlfn.SWITCH(Crops[[#This Row],[Normal Method]],"DS",Crops[[#This Row],[Days to Germination]]+Crops[[#This Row],[DTM]] + IF(Crops[[#This Row],[Days in Cells]]&gt;0,15,0), "TP",Crops[[#This Row],[DTM]]+Crops[[#This Row],[Days in Cells]] + IF(Crops[[#This Row],[Days in Cells]]&lt;=0,20,0), "X", Crops[[#This Row],[DTM]])</f>
        <v>75</v>
      </c>
      <c r="AS232" t="s">
        <v>347</v>
      </c>
      <c r="AT232">
        <f>(Crops[[#This Row],[Harvests]]-1)*Crops[[#This Row],[Days Between Harvest]]+7</f>
        <v>119</v>
      </c>
      <c r="AU232">
        <f>Crops[[#This Row],[STH]]-Crops[[#This Row],[Days in Cells]]+Crops[[#This Row],[Harvest window]]</f>
        <v>159</v>
      </c>
      <c r="AX232">
        <v>128</v>
      </c>
      <c r="AY232">
        <v>35</v>
      </c>
      <c r="AZ232" s="49">
        <f>IFERROR(IF(Crops[[#This Row],[Tray 1 Days]]=0,"",Crops[[#This Row],[Plantings Per Bed]]/Crops[[#This Row],[Tray 1 Size]]*Crops[[#This Row],[Safety Factor]]),"")</f>
        <v>2.03125</v>
      </c>
      <c r="BE232" s="32" t="str">
        <f>IF(NOT(ISBLANK(Crops[[#This Row],[Tray 3 Size]])), Crops[[#This Row],[Days in Cells Old]]-SUM(Crops[[#This Row],[Tray 1 Days]],Crops[[#This Row],[Tray 2 Days]]), "")</f>
        <v/>
      </c>
      <c r="BF232" s="49" t="str">
        <f>IFERROR(IF(Crops[[#This Row],[Tray 3 Days]]=0,"",Crops[[#This Row],[Plantings Per Bed]]/Crops[[#This Row],[Tray 3 Size]]*Crops[[#This Row],[Safety Factor]]),"")</f>
        <v/>
      </c>
      <c r="BG232" s="33">
        <f>Crops[[#This Row],[Plantings Per Bed]]/2</f>
        <v>100</v>
      </c>
      <c r="BH232" s="33">
        <v>9</v>
      </c>
      <c r="BI232" s="33">
        <v>14</v>
      </c>
      <c r="BJ232" s="33">
        <f>_xlfn.XLOOKUP(Crops[[#This Row],[ProductIndex]],Products[ID],Products[Holding Period])</f>
        <v>4</v>
      </c>
      <c r="BK232" s="33"/>
      <c r="BL232" s="33">
        <f>Crops[[#This Row],[Units Per Harvest]]*Crops[[#This Row],[Harvests]]</f>
        <v>900</v>
      </c>
      <c r="BM232" s="35">
        <v>2.5</v>
      </c>
      <c r="BN232" s="35">
        <v>1.1200000000000001</v>
      </c>
      <c r="BO232" s="35"/>
      <c r="BP232" t="s">
        <v>215</v>
      </c>
      <c r="BQ232">
        <f>Crops[[#This Row],[Custom Yield Per Bed]]*Crops[[#This Row],[Direct Price]]</f>
        <v>2250</v>
      </c>
      <c r="BS232" t="b">
        <f>Crops[[#This Row],[Harvests]]&gt;1</f>
        <v>1</v>
      </c>
      <c r="BT232" s="36">
        <f>IFERROR(Crops[[#This Row],[Direct Revenue Per Bed]]/Crops[[#This Row],[Days In Field]],-1)</f>
        <v>14.150943396226415</v>
      </c>
      <c r="BU232" s="36">
        <f>IFERROR(Crops[[#This Row],[Direct Revenue Per Bed Day]]*GrowingDays*BedsPerAcre,"")</f>
        <v>407547.16981132078</v>
      </c>
      <c r="BV232" s="38">
        <f>LastFrostDate-5*Crops[[#This Row],[Sewing Rel Last Frost]]</f>
        <v>45738</v>
      </c>
      <c r="BW232" s="38">
        <f>Crops[[#This Row],[Target Sewing Date]]+Crops[[#This Row],[Days in Cells]]</f>
        <v>45773</v>
      </c>
      <c r="BX232" s="38">
        <f>Crops[[#This Row],[Target Sewing Date]]+Crops[[#This Row],[STH]]</f>
        <v>45813</v>
      </c>
      <c r="BY232" s="38">
        <f>Crops[[#This Row],[Target Harvest Data]]+Crops[[#This Row],[Harvest window]]</f>
        <v>45932</v>
      </c>
      <c r="BZ232">
        <v>2</v>
      </c>
      <c r="CA232" t="s">
        <v>373</v>
      </c>
      <c r="CB232">
        <f>1</f>
        <v>1</v>
      </c>
      <c r="CC232">
        <f>IF(Crops[[#This Row],[Transplanting]]&gt;0, 2, 3)*BedLength/StandardBedLength</f>
        <v>1</v>
      </c>
      <c r="CD232" s="173">
        <f>IF(Crops[[#This Row],[Days in Cells]]&lt;=0,0,Crops[[#This Row],[Plantings Per Bed]]/StartsPerHourSeeding+Crops[[#This Row],[Tray 1 Count]]*5/60)</f>
        <v>0.95052083333333337</v>
      </c>
      <c r="CE232" s="173">
        <f>IF(ISBLANK(Crops[[#This Row],[Tray 2 Days]]),0,Crops[[#This Row],[Plantings Per Bed]]/UpPottingPerHour)+IF(Crops[[#This Row],[Tray 3 Days]]="",0,Crops[[#This Row],[Plantings Per Bed]]/UpPottingPerHour)</f>
        <v>0</v>
      </c>
      <c r="CF232" s="173">
        <f>IFERROR(Crops[[#This Row],[Tray 1 Count]]/HomeStartFlatIrrigationPerHour,0)*Crops[[#This Row],[Days in Cells]]/DaysBetweenStartIrrigation</f>
        <v>0.29622395833333331</v>
      </c>
      <c r="CG232" s="173">
        <f>0.5/16*MAX(Crops[[#This Row],[Tray 1 Count]],Crops[[#This Row],[Tray 2 Count]],Crops[[#This Row],[Tray 3 Count]])</f>
        <v>6.34765625E-2</v>
      </c>
      <c r="CH232" s="173">
        <f>IF(Crops[[#This Row],[Days in Cells]]&gt;0,IF(IF(Crops[[#This Row],[Tray 3 Size]]&gt;0,Crops[[#This Row],[Tray 3 Size]],IF(Crops[[#This Row],[Tray 2 Size]]&gt;0,Crops[[#This Row],[Tray 2 Size]],Crops[[#This Row],[Tray 1 Size]]))&lt;=18,LargeTransplantTime,SmallTransplantTime)*Crops[[#This Row],[Plantings Per Bed]],0)</f>
        <v>1</v>
      </c>
      <c r="CI232" s="173"/>
      <c r="CJ232" s="173">
        <f>_xlfn.XLOOKUP(Crops[[#This Row],[Trellis Type]],TrellisMethods[Trellis Type],TrellisMethods[Hours],0,0)</f>
        <v>0</v>
      </c>
      <c r="CK232">
        <f>IF(Crops[[#This Row],[Days in Cells]]&lt;=0,Crops[[#This Row],[Rows]]*1/10,0)*BedLength/50</f>
        <v>0</v>
      </c>
      <c r="CL232" cm="1">
        <f t="array" ref="CL232">_xlfn.SWITCH(Crops[[#This Row],[Irrigation]],"DR", 0.5, "OH", 0.25,0)*BedLength/50</f>
        <v>0</v>
      </c>
      <c r="CM232">
        <f>IF(OR(ISBLANK(Crops[[#This Row],[Row Cover]]),Crops[[#This Row],[Row Cover]]="None"),0,1)*BedLength/50</f>
        <v>0</v>
      </c>
      <c r="CN232" s="173">
        <f>HoursPerWeedingPass*Crops[[#This Row],[Days In Field]]/14*Crops[[#This Row],[Rows]]+1*BedLength/50</f>
        <v>6.6785714285714288</v>
      </c>
      <c r="CO232" s="49"/>
      <c r="CQ232" s="37">
        <f>_xlfn.XLOOKUP(Crops[[#This Row],[Crop]]&amp;Crops[[#This Row],[Product]]&amp;Crops[[#This Row],[Unit]],Products[ID],Products[Marketing (hr)])*Crops[[#This Row],[Direct Revenue Per Bed]]/2000</f>
        <v>2.25</v>
      </c>
      <c r="CR232" s="37">
        <f>_xlfn.XLOOKUP(Crops[[#This Row],[Crop]]&amp;Crops[[#This Row],[Product]]&amp;Crops[[#This Row],[Unit]],Products[ID],Products[Harvest (s)])*Crops[[#This Row],[Custom Yield Per Bed]]/3600</f>
        <v>3.75</v>
      </c>
      <c r="CS232" s="37">
        <f>_xlfn.XLOOKUP(Crops[[#This Row],[Crop]]&amp;Crops[[#This Row],[Product]]&amp;Crops[[#This Row],[Unit]],Products[ID],Products[Bunch (s)])*Crops[[#This Row],[Custom Yield Per Bed]]/3600</f>
        <v>2.5</v>
      </c>
      <c r="CT232" s="37">
        <f>_xlfn.XLOOKUP(Crops[[#This Row],[Crop]]&amp;Crops[[#This Row],[Product]]&amp;Crops[[#This Row],[Unit]],Products[ID],Products[Haul (s)])*Crops[[#This Row],[Custom Yield Per Bed]]/3600</f>
        <v>0.625</v>
      </c>
      <c r="CU232" s="37">
        <f>_xlfn.XLOOKUP(Crops[[#This Row],[Crop]]&amp;Crops[[#This Row],[Product]]&amp;Crops[[#This Row],[Unit]],Products[ID],Products[Wash (s)])*Crops[[#This Row],[Custom Yield Per Bed]]/3600</f>
        <v>0</v>
      </c>
      <c r="CV232" s="37">
        <f>_xlfn.XLOOKUP(Crops[[#This Row],[Crop]]&amp;Crops[[#This Row],[Product]]&amp;Crops[[#This Row],[Unit]],Products[ID],Products[Condition (s)])*Crops[[#This Row],[Custom Yield Per Bed]]/3600</f>
        <v>0</v>
      </c>
      <c r="CW232" s="37">
        <f>_xlfn.XLOOKUP(Crops[[#This Row],[Crop]]&amp;Crops[[#This Row],[Product]]&amp;Crops[[#This Row],[Unit]],Products[ID],Products[Trim (s)])*Crops[[#This Row],[Custom Yield Per Bed]]/3600</f>
        <v>5</v>
      </c>
      <c r="CX232" s="37">
        <f>_xlfn.XLOOKUP(Crops[[#This Row],[Crop]]&amp;Crops[[#This Row],[Product]]&amp;Crops[[#This Row],[Unit]],Products[ID],Products[Pack (s)])*Crops[[#This Row],[Custom Yield Per Bed]]/3600</f>
        <v>0.75</v>
      </c>
      <c r="CY232" s="37">
        <f>_xlfn.XLOOKUP(Crops[[#This Row],[Crop]]&amp;Crops[[#This Row],[Product]]&amp;Crops[[#This Row],[Unit]],Products[ID],Products[Clean (s)])*Crops[[#This Row],[Custom Yield Per Bed]]/3600</f>
        <v>0</v>
      </c>
      <c r="CZ232" s="37">
        <f>_xlfn.XLOOKUP(Crops[[#This Row],[Crop]]&amp;Crops[[#This Row],[Product]]&amp;Crops[[#This Row],[Unit]],Products[ID],Products[Rehandle (s)])*Crops[[#This Row],[Custom Yield Per Bed]]/3600</f>
        <v>0</v>
      </c>
      <c r="DA232" s="37">
        <f>_xlfn.XLOOKUP(Crops[[#This Row],[Crop]]&amp;Crops[[#This Row],[Product]]&amp;Crops[[#This Row],[Unit]],Products[ID],Products[Market Transport (s)])*Crops[[#This Row],[Custom Yield Per Bed]]/3600</f>
        <v>1.5625</v>
      </c>
      <c r="DC232" s="37">
        <f>Crops[[#This Row],[Direct Revenue Per Bed2]]</f>
        <v>2250</v>
      </c>
      <c r="DD232" s="173">
        <f>_xlfn.AGGREGATE(9,6,Crops[[#This Row],[Bed Prep]:[Remove Crop Residue]])</f>
        <v>26.426292782738095</v>
      </c>
      <c r="DE232" s="173">
        <f>_xlfn.AGGREGATE(9,6,Crops[[#This Row],[Bed Prep]:[Remove Crop Residue]])-0.75*Crops[[#This Row],[Market &amp; Sell]]</f>
        <v>24.738792782738095</v>
      </c>
      <c r="DF232" s="36">
        <f>Crops[[#This Row],[Direct Revenue Per Bed2]]/Crops[[#This Row],[Direct Time]]</f>
        <v>85.142476036961241</v>
      </c>
      <c r="DG232" s="36">
        <f>_xlfn.XLOOKUP(Crops[[#This Row],[ProductIndex]],Products[ID],Products[Packaging Cost])*(Crops[[#This Row],[Custom Yield Per Bed]]/_xlfn.XLOOKUP(Crops[[#This Row],[ProductIndex]],Products[ID],Products[Units Per Pack]))</f>
        <v>95</v>
      </c>
      <c r="DH232" s="36"/>
      <c r="DI232" s="36"/>
      <c r="DJ232" s="36"/>
      <c r="DK232" s="36"/>
      <c r="DL232" s="36"/>
      <c r="DM232" s="33">
        <f>IFERROR(Crops[[#This Row],[Custom Yield Per Bed]]*Crops[[#This Row],[Direct Price]],"")</f>
        <v>2250</v>
      </c>
      <c r="DN232" s="36">
        <f>Crops[[#This Row],[Direct Time]]*LaborRate</f>
        <v>660.65731956845241</v>
      </c>
      <c r="DO232" s="36">
        <f>SUM(Crops[[#This Row],[Irrigation Cost]])</f>
        <v>0</v>
      </c>
      <c r="DP232" s="36">
        <f>Crops[[#This Row],[Direct Labor Cost]]+Crops[[#This Row],[Direct Non-Labor Cost]]</f>
        <v>660.65731956845241</v>
      </c>
      <c r="DQ232" s="36">
        <f>Crops[[#This Row],[Direct Revenue Per Bed2]]-Crops[[#This Row],[Direct Total Cost]]</f>
        <v>1589.3426804315477</v>
      </c>
      <c r="DR232" s="36">
        <f>Crops[[#This Row],[Direct Profit]]*BedsPerAcre</f>
        <v>254294.82886904763</v>
      </c>
      <c r="DS232" s="36">
        <f>Crops[[#This Row],[Direct Profit]]*BedsPerAcre*GrowingDays/Crops[[#This Row],[Days In Field]]</f>
        <v>287880.93834231806</v>
      </c>
      <c r="DT232" s="36">
        <f>Crops[[#This Row],[Direct Profit]]/MIN(Crops[[#This Row],[Days In Field]],GrowingDays)</f>
        <v>9.9958659146638222</v>
      </c>
      <c r="DU232" s="33">
        <f>Crops[[#This Row],[Direct Time]] * BedsPerAcre</f>
        <v>4228.2068452380954</v>
      </c>
      <c r="DV232" s="36">
        <f>(Crops[[#This Row],[Direct Revenue Per Bed2]]-Crops[[#This Row],[Direct Non-Labor Cost]])/Crops[[#This Row],[Direct Time]]</f>
        <v>85.142476036961241</v>
      </c>
      <c r="DW232" s="33">
        <f>IFERROR(Crops[[#This Row],[Custom Yield Per Bed]]*Crops[[#This Row],[Rough Wholesale Price]],"")</f>
        <v>1008.0000000000001</v>
      </c>
      <c r="DX232" s="36">
        <f>Crops[[#This Row],[Wholesale Time]]*LaborRate</f>
        <v>618.46981956845241</v>
      </c>
      <c r="DY232" s="36">
        <f>SUM(Crops[[#This Row],[Packaging Costs]:[Irrigation Cost]])</f>
        <v>95</v>
      </c>
      <c r="DZ232" s="36">
        <f>Crops[[#This Row],[Wholesale Labor Cost]]+Crops[[#This Row],[Wholesale Non-Labor Cost]]</f>
        <v>713.46981956845241</v>
      </c>
      <c r="EA232" s="36">
        <f>Crops[[#This Row],[Wholesale Revenue Per Bed]]-Crops[[#This Row],[Wholesale Total Cost]]</f>
        <v>294.53018043154771</v>
      </c>
      <c r="EB232" s="36">
        <f>Crops[[#This Row],[Wholesale Profit]]*BedsPerAcre</f>
        <v>47124.828869047633</v>
      </c>
      <c r="EC232" s="36">
        <f>Crops[[#This Row],[Wholesale Profit]]*BedsPerAcre*GrowingDays/Crops[[#This Row],[Days In Field]]</f>
        <v>53348.862870619967</v>
      </c>
      <c r="ED232" s="33">
        <f>Crops[[#This Row],[Wholesale Time]] * BedsPerAcre</f>
        <v>3958.2068452380954</v>
      </c>
      <c r="EE232" s="221">
        <f>Crops[[#This Row],[Wholesale Profit]]/MIN(Crops[[#This Row],[Days In Field]],GrowingDays)</f>
        <v>1.8523910718965264</v>
      </c>
      <c r="EF232" s="36">
        <f>(Crops[[#This Row],[Wholesale Revenue Per Bed]]-Crops[[#This Row],[Wholesale Non-Labor Cost]])/Crops[[#This Row],[Direct Time]]</f>
        <v>34.54892472077583</v>
      </c>
      <c r="EG232" s="174">
        <f>Crops[[#This Row],[Packaging Costs]]/Crops[[#This Row],[Wholesale Revenue Per Bed]]</f>
        <v>9.424603174603173E-2</v>
      </c>
      <c r="EH232" s="36" t="str">
        <f>Crops[[#This Row],[Crop]]&amp;Crops[[#This Row],[Product]]&amp;Crops[[#This Row],[Unit]]</f>
        <v>ParsleyMature LeafBunch</v>
      </c>
      <c r="EI232" s="36" t="b">
        <f>_xlfn.XLOOKUP(Crops[[#This Row],[ProductIndex]],Products[ID],Products[Target])</f>
        <v>1</v>
      </c>
      <c r="EJ232" s="33">
        <f>Crops[[#This Row],[Custom Yield Per Bed]]</f>
        <v>900</v>
      </c>
      <c r="EK232" s="210">
        <f>Crops[[#This Row],[Units Per Harvest]]/Crops[[#This Row],[Days Between Harvest]]*7</f>
        <v>50</v>
      </c>
      <c r="EL232" s="210">
        <f>Crops[[#This Row],[Custom Yield Per Bed]]/_xlfn.XLOOKUP(Crops[[#This Row],[ProductIndex]],Products[ID],Products[CSA Portion])</f>
        <v>900</v>
      </c>
      <c r="EM232" s="210">
        <f>Crops[[#This Row],[Units Per Harvest]]/Crops[[#This Row],[Days Between Harvest]]*7/_xlfn.XLOOKUP(Crops[[#This Row],[ProductIndex]],Products[ID],Products[CSA Portion])</f>
        <v>50</v>
      </c>
      <c r="EN232" s="210">
        <f>Crops[[#This Row],[CSA Portions Per Week]]/CSAMembers</f>
        <v>1</v>
      </c>
      <c r="EO232" s="216">
        <v>1</v>
      </c>
      <c r="EP232" s="216">
        <v>1</v>
      </c>
      <c r="EQ232" s="210"/>
      <c r="ER232" s="210">
        <f>Crops[[#This Row],[Harvests]]*Crops[[#This Row],[Days Between Harvest]]/7</f>
        <v>18</v>
      </c>
      <c r="ES232" s="217">
        <f>_xlfn.XLOOKUP(Crops[[#This Row],[ProductIndex]],Products[ID],Products[CSA Need])</f>
        <v>5</v>
      </c>
      <c r="ET232" s="217">
        <f>_xlfn.XLOOKUP(Crops[[#This Row],[ProductIndex]],Products[ID],Products[CSA Times])</f>
        <v>5</v>
      </c>
      <c r="EU232" s="208">
        <f>Crops[[#This Row],[Custom Yield Per Bed]]/(Crops[[#This Row],[CSA Need]]*(_xlfn.XLOOKUP(Crops[[#This Row],[ProductIndex]],Products[ID],Products[CSA Portion])*CSAMembers))</f>
        <v>3.6</v>
      </c>
      <c r="EV232" s="208">
        <f>_xlfn.XLOOKUP(Crops[[#This Row],[ProductIndex]],Products[ID],Products[CSA Portion])*CSAMembers*Crops[[#This Row],[CSA Need]]/Crops[[#This Row],[Custom Yield Per Bed]]</f>
        <v>0.27777777777777779</v>
      </c>
      <c r="EW232" s="208">
        <f>IFERROR(Crops[[#This Row],[Days In Field]]*Crops[[#This Row],[CSA Beds]],"")</f>
        <v>44.166666666666671</v>
      </c>
      <c r="EX232" s="208" t="e">
        <f>Crops[[#This Row],[CSA Bed Days]]*#REF!</f>
        <v>#REF!</v>
      </c>
      <c r="EY232" t="s">
        <v>1356</v>
      </c>
    </row>
    <row r="233" spans="1:155">
      <c r="A233"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Parsley - Mature Leaf 3X | Field TP Su</v>
      </c>
      <c r="B233" s="192"/>
      <c r="C233" s="1" t="b">
        <v>1</v>
      </c>
      <c r="D233" s="223" t="s">
        <v>2579</v>
      </c>
      <c r="E233" s="1" t="b">
        <v>0</v>
      </c>
      <c r="F233" s="1" t="b">
        <f>IFERROR(IF(ISNUMBER(MATCH(Crops[[#This Row],[Identifier]],BedPlan[Crop], 0)), TRUE, FALSE), FALSE)</f>
        <v>0</v>
      </c>
      <c r="G233" s="1" t="b">
        <f>IFERROR(IF(ISNUMBER(MATCH(Crops[[#This Row],[Identifier]],BedPlan[Crop], 0)), TRUE, FALSE), FALSE)</f>
        <v>0</v>
      </c>
      <c r="H233" s="1" t="b">
        <v>1</v>
      </c>
      <c r="I233" t="s">
        <v>108</v>
      </c>
      <c r="J233" t="s">
        <v>145</v>
      </c>
      <c r="K233" t="s">
        <v>179</v>
      </c>
      <c r="M233" t="s">
        <v>442</v>
      </c>
      <c r="N233" t="str">
        <f>Crops[[#This Row],[Crop]]</f>
        <v>Parsley</v>
      </c>
      <c r="O233" t="s">
        <v>210</v>
      </c>
      <c r="P233" t="str">
        <f>IF(OR(Crops[[#This Row],[Days in Cells]]="",Crops[[#This Row],[Days in Cells]]=0), "DS","TP")</f>
        <v>TP</v>
      </c>
      <c r="R233" t="b">
        <v>1</v>
      </c>
      <c r="V233" t="str">
        <f xml:space="preserve"> IF(Crops[[#This Row],[Sp]], "Sp", "") &amp; IF(Crops[[#This Row],[Su]], "Su", "") &amp; IF(Crops[[#This Row],[Fa]], "Fa", "") &amp; IF(Crops[[#This Row],[Wi]], "Wi", "") &amp; IF(Crops[[#This Row],[OW]], "Ow","")</f>
        <v>Su</v>
      </c>
      <c r="W233" t="s">
        <v>144</v>
      </c>
      <c r="X233">
        <v>3</v>
      </c>
      <c r="Y233">
        <v>9</v>
      </c>
      <c r="AA233" t="s">
        <v>474</v>
      </c>
      <c r="AB233" t="b">
        <v>1</v>
      </c>
      <c r="AC233">
        <v>24</v>
      </c>
      <c r="AD233" s="32">
        <f>IFERROR(12/Crops[[#This Row],[Spacing]]*Crops[[#This Row],[Rows]]*BedLength,"")</f>
        <v>200</v>
      </c>
      <c r="AE233">
        <v>3</v>
      </c>
      <c r="AG233">
        <f>IF(Crops[[#This Row],[Custom Safety Factor]]="",PlantingSafetyFactor,Crops[[#This Row],[Custom Safety Factor]])</f>
        <v>1.3</v>
      </c>
      <c r="AH233">
        <f>1</f>
        <v>1</v>
      </c>
      <c r="AI233" s="33">
        <f>IFERROR(Crops[[#This Row],[Plantings Per Bed]]*Crops[[#This Row],[Seeds Per Planting]]*Crops[[#This Row],[Safety Factor]]*Crops[[#This Row],[Seeding Factor]],"")</f>
        <v>780</v>
      </c>
      <c r="AJ233">
        <v>21</v>
      </c>
      <c r="AK233">
        <v>28</v>
      </c>
      <c r="AL233">
        <f>_xlfn.FLOOR.MATH(IFERROR(AVERAGE(Crops[[#This Row],[DTG Lower]:[DTG Upper]]),0))</f>
        <v>24</v>
      </c>
      <c r="AM233">
        <f>SUM(Crops[[#This Row],[Tray 1 Days]],Crops[[#This Row],[Tray 2 Days]],Crops[[#This Row],[Tray 3 Days]])</f>
        <v>35</v>
      </c>
      <c r="AP233">
        <f>8*7</f>
        <v>56</v>
      </c>
      <c r="AQ233">
        <f>IFERROR(_xlfn.FLOOR.MATH(AVERAGE(Crops[[#This Row],[DTM Lower]:[DTM Upper]])),"")</f>
        <v>56</v>
      </c>
      <c r="AR233" cm="1">
        <f t="array" ref="AR233">_xlfn.SWITCH(Crops[[#This Row],[Normal Method]],"DS",Crops[[#This Row],[Days to Germination]]+Crops[[#This Row],[DTM]] + IF(Crops[[#This Row],[Days in Cells]]&gt;0,15,0), "TP",Crops[[#This Row],[DTM]]+Crops[[#This Row],[Days in Cells]] + IF(Crops[[#This Row],[Days in Cells]]&lt;=0,20,0), "X", Crops[[#This Row],[DTM]])</f>
        <v>56</v>
      </c>
      <c r="AS233" t="s">
        <v>347</v>
      </c>
      <c r="AT233">
        <f>(Crops[[#This Row],[Harvests]]-1)*Crops[[#This Row],[Days Between Harvest]]+7</f>
        <v>203</v>
      </c>
      <c r="AU233">
        <f>Crops[[#This Row],[STH]]-Crops[[#This Row],[Days in Cells]]+Crops[[#This Row],[Harvest window]]</f>
        <v>224</v>
      </c>
      <c r="AX233">
        <v>128</v>
      </c>
      <c r="AY233">
        <v>35</v>
      </c>
      <c r="AZ233" s="49">
        <f>IFERROR(IF(Crops[[#This Row],[Tray 1 Days]]=0,"",Crops[[#This Row],[Plantings Per Bed]]/Crops[[#This Row],[Tray 1 Size]]*Crops[[#This Row],[Safety Factor]]),"")</f>
        <v>2.03125</v>
      </c>
      <c r="BE233" s="32" t="str">
        <f>IF(NOT(ISBLANK(Crops[[#This Row],[Tray 3 Size]])), Crops[[#This Row],[Days in Cells Old]]-SUM(Crops[[#This Row],[Tray 1 Days]],Crops[[#This Row],[Tray 2 Days]]), "")</f>
        <v/>
      </c>
      <c r="BF233" t="str">
        <f>IFERROR(IF(Crops[[#This Row],[Tray 3 Days]]=0,"",Crops[[#This Row],[Plantings Per Bed]]/Crops[[#This Row],[Tray 3 Size]]*Crops[[#This Row],[Safety Factor]]),"")</f>
        <v/>
      </c>
      <c r="BG233" s="33">
        <f>Crops[[#This Row],[Plantings Per Bed]]/2</f>
        <v>100</v>
      </c>
      <c r="BH233" s="33">
        <v>15</v>
      </c>
      <c r="BI233" s="33">
        <v>14</v>
      </c>
      <c r="BJ233" s="33">
        <f>_xlfn.XLOOKUP(Crops[[#This Row],[ProductIndex]],Products[ID],Products[Holding Period])</f>
        <v>4</v>
      </c>
      <c r="BK233" s="33"/>
      <c r="BL233" s="33">
        <f>Crops[[#This Row],[Units Per Harvest]]*Crops[[#This Row],[Harvests]]</f>
        <v>1500</v>
      </c>
      <c r="BM233" s="35">
        <v>2.5</v>
      </c>
      <c r="BN233" s="224">
        <f>1.12</f>
        <v>1.1200000000000001</v>
      </c>
      <c r="BO233" s="258"/>
      <c r="BP233" t="s">
        <v>215</v>
      </c>
      <c r="BQ233">
        <f>Crops[[#This Row],[Custom Yield Per Bed]]*Crops[[#This Row],[Direct Price]]</f>
        <v>3750</v>
      </c>
      <c r="BS233" t="b">
        <f>Crops[[#This Row],[Harvests]]&gt;1</f>
        <v>1</v>
      </c>
      <c r="BT233" s="36">
        <f>IFERROR(Crops[[#This Row],[Direct Revenue Per Bed]]/Crops[[#This Row],[Days In Field]],-1)</f>
        <v>16.741071428571427</v>
      </c>
      <c r="BU233" s="36">
        <f>IFERROR(Crops[[#This Row],[Direct Revenue Per Bed Day]]*GrowingDays*BedsPerAcre,"")</f>
        <v>482142.8571428571</v>
      </c>
      <c r="BV233" s="38">
        <f>LastFrostDate-5*Crops[[#This Row],[Sewing Rel Last Frost]]</f>
        <v>45798</v>
      </c>
      <c r="BW233" s="38">
        <f>Crops[[#This Row],[Target Sewing Date]]+Crops[[#This Row],[Days in Cells]]</f>
        <v>45833</v>
      </c>
      <c r="BX233" s="38">
        <f>Crops[[#This Row],[Target Sewing Date]]+Crops[[#This Row],[STH]]</f>
        <v>45854</v>
      </c>
      <c r="BY233" s="38">
        <f>Crops[[#This Row],[Target Harvest Data]]+Crops[[#This Row],[Harvest window]]</f>
        <v>46057</v>
      </c>
      <c r="BZ233">
        <v>-10</v>
      </c>
      <c r="CA233" t="s">
        <v>373</v>
      </c>
      <c r="CB233">
        <f>1</f>
        <v>1</v>
      </c>
      <c r="CC233">
        <f>IF(Crops[[#This Row],[Transplanting]]&gt;0, 2, 3)*BedLength/StandardBedLength</f>
        <v>1</v>
      </c>
      <c r="CD233" s="173">
        <f>IF(Crops[[#This Row],[Days in Cells]]&lt;=0,0,Crops[[#This Row],[Plantings Per Bed]]/StartsPerHourSeeding+Crops[[#This Row],[Tray 1 Count]]*5/60)</f>
        <v>0.95052083333333337</v>
      </c>
      <c r="CE233" s="173">
        <f>IF(ISBLANK(Crops[[#This Row],[Tray 2 Days]]),0,Crops[[#This Row],[Plantings Per Bed]]/UpPottingPerHour)+IF(Crops[[#This Row],[Tray 3 Days]]="",0,Crops[[#This Row],[Plantings Per Bed]]/UpPottingPerHour)</f>
        <v>0</v>
      </c>
      <c r="CF233" s="173">
        <f>IFERROR(Crops[[#This Row],[Tray 1 Count]]/HomeStartFlatIrrigationPerHour,0)*Crops[[#This Row],[Days in Cells]]/DaysBetweenStartIrrigation</f>
        <v>0.29622395833333331</v>
      </c>
      <c r="CG233" s="173">
        <f>0.5/16*MAX(Crops[[#This Row],[Tray 1 Count]],Crops[[#This Row],[Tray 2 Count]],Crops[[#This Row],[Tray 3 Count]])</f>
        <v>6.34765625E-2</v>
      </c>
      <c r="CH233" s="173">
        <f>IF(Crops[[#This Row],[Days in Cells]]&gt;0,IF(IF(Crops[[#This Row],[Tray 3 Size]]&gt;0,Crops[[#This Row],[Tray 3 Size]],IF(Crops[[#This Row],[Tray 2 Size]]&gt;0,Crops[[#This Row],[Tray 2 Size]],Crops[[#This Row],[Tray 1 Size]]))&lt;=18,LargeTransplantTime,SmallTransplantTime)*Crops[[#This Row],[Plantings Per Bed]],0)</f>
        <v>1</v>
      </c>
      <c r="CI233" s="173"/>
      <c r="CJ233" s="173">
        <f>_xlfn.XLOOKUP(Crops[[#This Row],[Trellis Type]],TrellisMethods[Trellis Type],TrellisMethods[Hours],0,0)</f>
        <v>0</v>
      </c>
      <c r="CK233">
        <f>IF(Crops[[#This Row],[Days in Cells]]&lt;=0,Crops[[#This Row],[Rows]]*1/10,0)*BedLength/50</f>
        <v>0</v>
      </c>
      <c r="CL233" cm="1">
        <f t="array" ref="CL233">_xlfn.SWITCH(Crops[[#This Row],[Irrigation]],"DR", 0.5, "OH", 0.25,0)*BedLength/50</f>
        <v>0</v>
      </c>
      <c r="CM233">
        <f>IF(OR(ISBLANK(Crops[[#This Row],[Row Cover]]),Crops[[#This Row],[Row Cover]]="None"),0,1)*BedLength/50</f>
        <v>0</v>
      </c>
      <c r="CN233" s="173">
        <f>HoursPerWeedingPass*Crops[[#This Row],[Days In Field]]/14*Crops[[#This Row],[Rows]]+1*BedLength/50</f>
        <v>9</v>
      </c>
      <c r="CO233" s="49"/>
      <c r="CQ233" s="37">
        <f>_xlfn.XLOOKUP(Crops[[#This Row],[Crop]]&amp;Crops[[#This Row],[Product]]&amp;Crops[[#This Row],[Unit]],Products[ID],Products[Marketing (hr)])*Crops[[#This Row],[Direct Revenue Per Bed]]/2000</f>
        <v>3.75</v>
      </c>
      <c r="CR233" s="37">
        <f>_xlfn.XLOOKUP(Crops[[#This Row],[Crop]]&amp;Crops[[#This Row],[Product]]&amp;Crops[[#This Row],[Unit]],Products[ID],Products[Harvest (s)])*Crops[[#This Row],[Custom Yield Per Bed]]/3600</f>
        <v>6.25</v>
      </c>
      <c r="CS233" s="37">
        <f>_xlfn.XLOOKUP(Crops[[#This Row],[Crop]]&amp;Crops[[#This Row],[Product]]&amp;Crops[[#This Row],[Unit]],Products[ID],Products[Bunch (s)])*Crops[[#This Row],[Custom Yield Per Bed]]/3600</f>
        <v>4.166666666666667</v>
      </c>
      <c r="CT233" s="37">
        <f>_xlfn.XLOOKUP(Crops[[#This Row],[Crop]]&amp;Crops[[#This Row],[Product]]&amp;Crops[[#This Row],[Unit]],Products[ID],Products[Haul (s)])*Crops[[#This Row],[Custom Yield Per Bed]]/3600</f>
        <v>1.0416666666666667</v>
      </c>
      <c r="CU233" s="37">
        <f>_xlfn.XLOOKUP(Crops[[#This Row],[Crop]]&amp;Crops[[#This Row],[Product]]&amp;Crops[[#This Row],[Unit]],Products[ID],Products[Wash (s)])*Crops[[#This Row],[Custom Yield Per Bed]]/3600</f>
        <v>0</v>
      </c>
      <c r="CV233" s="37">
        <f>_xlfn.XLOOKUP(Crops[[#This Row],[Crop]]&amp;Crops[[#This Row],[Product]]&amp;Crops[[#This Row],[Unit]],Products[ID],Products[Condition (s)])*Crops[[#This Row],[Custom Yield Per Bed]]/3600</f>
        <v>0</v>
      </c>
      <c r="CW233" s="37">
        <f>_xlfn.XLOOKUP(Crops[[#This Row],[Crop]]&amp;Crops[[#This Row],[Product]]&amp;Crops[[#This Row],[Unit]],Products[ID],Products[Trim (s)])*Crops[[#This Row],[Custom Yield Per Bed]]/3600</f>
        <v>8.3333333333333339</v>
      </c>
      <c r="CX233" s="37">
        <f>_xlfn.XLOOKUP(Crops[[#This Row],[Crop]]&amp;Crops[[#This Row],[Product]]&amp;Crops[[#This Row],[Unit]],Products[ID],Products[Pack (s)])*Crops[[#This Row],[Custom Yield Per Bed]]/3600</f>
        <v>1.25</v>
      </c>
      <c r="CY233" s="37">
        <f>_xlfn.XLOOKUP(Crops[[#This Row],[Crop]]&amp;Crops[[#This Row],[Product]]&amp;Crops[[#This Row],[Unit]],Products[ID],Products[Clean (s)])*Crops[[#This Row],[Custom Yield Per Bed]]/3600</f>
        <v>0</v>
      </c>
      <c r="CZ233" s="37">
        <f>_xlfn.XLOOKUP(Crops[[#This Row],[Crop]]&amp;Crops[[#This Row],[Product]]&amp;Crops[[#This Row],[Unit]],Products[ID],Products[Rehandle (s)])*Crops[[#This Row],[Custom Yield Per Bed]]/3600</f>
        <v>0</v>
      </c>
      <c r="DA233" s="37">
        <f>_xlfn.XLOOKUP(Crops[[#This Row],[Crop]]&amp;Crops[[#This Row],[Product]]&amp;Crops[[#This Row],[Unit]],Products[ID],Products[Market Transport (s)])*Crops[[#This Row],[Custom Yield Per Bed]]/3600</f>
        <v>2.6041666666666665</v>
      </c>
      <c r="DC233" s="37">
        <f>Crops[[#This Row],[Direct Revenue Per Bed2]]</f>
        <v>3750</v>
      </c>
      <c r="DD233" s="173">
        <f>_xlfn.AGGREGATE(9,6,Crops[[#This Row],[Bed Prep]:[Remove Crop Residue]])</f>
        <v>39.7060546875</v>
      </c>
      <c r="DE233" s="173">
        <f>_xlfn.AGGREGATE(9,6,Crops[[#This Row],[Bed Prep]:[Remove Crop Residue]])-0.75*Crops[[#This Row],[Market &amp; Sell]]</f>
        <v>36.8935546875</v>
      </c>
      <c r="DF233" s="36">
        <f>Crops[[#This Row],[Direct Revenue Per Bed2]]/Crops[[#This Row],[Direct Time]]</f>
        <v>94.444034531100129</v>
      </c>
      <c r="DG233" s="36">
        <f>_xlfn.XLOOKUP(Crops[[#This Row],[ProductIndex]],Products[ID],Products[Packaging Cost])*(Crops[[#This Row],[Custom Yield Per Bed]]/_xlfn.XLOOKUP(Crops[[#This Row],[ProductIndex]],Products[ID],Products[Units Per Pack]))</f>
        <v>158.33333333333331</v>
      </c>
      <c r="DH233" s="36"/>
      <c r="DI233" s="36"/>
      <c r="DJ233" s="36"/>
      <c r="DK233" s="36"/>
      <c r="DL233" s="36"/>
      <c r="DM233" s="33">
        <f>IFERROR(Crops[[#This Row],[Custom Yield Per Bed]]*Crops[[#This Row],[Direct Price]],"")</f>
        <v>3750</v>
      </c>
      <c r="DN233" s="36">
        <f>Crops[[#This Row],[Direct Time]]*LaborRate</f>
        <v>992.6513671875</v>
      </c>
      <c r="DO233" s="36">
        <f>SUM(Crops[[#This Row],[Irrigation Cost]])</f>
        <v>0</v>
      </c>
      <c r="DP233" s="36">
        <f>Crops[[#This Row],[Direct Labor Cost]]+Crops[[#This Row],[Direct Non-Labor Cost]]</f>
        <v>992.6513671875</v>
      </c>
      <c r="DQ233" s="36">
        <f>Crops[[#This Row],[Direct Revenue Per Bed2]]-Crops[[#This Row],[Direct Total Cost]]</f>
        <v>2757.3486328125</v>
      </c>
      <c r="DR233" s="36">
        <f>Crops[[#This Row],[Direct Profit]]*BedsPerAcre</f>
        <v>441175.78125</v>
      </c>
      <c r="DS233" s="36">
        <f>Crops[[#This Row],[Direct Profit]]*BedsPerAcre*GrowingDays/Crops[[#This Row],[Days In Field]]</f>
        <v>354516.25279017858</v>
      </c>
      <c r="DT233" s="36">
        <f>Crops[[#This Row],[Direct Profit]]/MIN(Crops[[#This Row],[Days In Field]],GrowingDays)</f>
        <v>15.318603515625</v>
      </c>
      <c r="DU233" s="33">
        <f>Crops[[#This Row],[Direct Time]] * BedsPerAcre</f>
        <v>6352.96875</v>
      </c>
      <c r="DV233" s="36">
        <f>(Crops[[#This Row],[Direct Revenue Per Bed2]]-Crops[[#This Row],[Direct Non-Labor Cost]])/Crops[[#This Row],[Direct Time]]</f>
        <v>94.444034531100129</v>
      </c>
      <c r="DW233" s="33">
        <f>IFERROR(Crops[[#This Row],[Custom Yield Per Bed]]*Crops[[#This Row],[Rough Wholesale Price]],"")</f>
        <v>1680.0000000000002</v>
      </c>
      <c r="DX233" s="36">
        <f>Crops[[#This Row],[Wholesale Time]]*LaborRate</f>
        <v>922.3388671875</v>
      </c>
      <c r="DY233" s="36">
        <f>SUM(Crops[[#This Row],[Packaging Costs]:[Irrigation Cost]])</f>
        <v>158.33333333333331</v>
      </c>
      <c r="DZ233" s="36">
        <f>Crops[[#This Row],[Wholesale Labor Cost]]+Crops[[#This Row],[Wholesale Non-Labor Cost]]</f>
        <v>1080.6722005208333</v>
      </c>
      <c r="EA233" s="36">
        <f>Crops[[#This Row],[Wholesale Revenue Per Bed]]-Crops[[#This Row],[Wholesale Total Cost]]</f>
        <v>599.32779947916697</v>
      </c>
      <c r="EB233" s="36">
        <f>Crops[[#This Row],[Wholesale Profit]]*BedsPerAcre</f>
        <v>95892.447916666715</v>
      </c>
      <c r="EC233" s="36">
        <f>Crops[[#This Row],[Wholesale Profit]]*BedsPerAcre*GrowingDays/Crops[[#This Row],[Days In Field]]</f>
        <v>77056.431361607174</v>
      </c>
      <c r="ED233" s="33">
        <f>Crops[[#This Row],[Wholesale Time]] * BedsPerAcre</f>
        <v>5902.96875</v>
      </c>
      <c r="EE233" s="221">
        <f>Crops[[#This Row],[Wholesale Profit]]/MIN(Crops[[#This Row],[Days In Field]],GrowingDays)</f>
        <v>3.329598885995372</v>
      </c>
      <c r="EF233" s="36">
        <f>(Crops[[#This Row],[Wholesale Revenue Per Bed]]-Crops[[#This Row],[Wholesale Non-Labor Cost]])/Crops[[#This Row],[Direct Time]]</f>
        <v>38.323290456397523</v>
      </c>
      <c r="EG233" s="174">
        <f>Crops[[#This Row],[Packaging Costs]]/Crops[[#This Row],[Wholesale Revenue Per Bed]]</f>
        <v>9.4246031746031717E-2</v>
      </c>
      <c r="EH233" s="36" t="str">
        <f>Crops[[#This Row],[Crop]]&amp;Crops[[#This Row],[Product]]&amp;Crops[[#This Row],[Unit]]</f>
        <v>ParsleyMature LeafBunch</v>
      </c>
      <c r="EI233" s="36" t="b">
        <f>_xlfn.XLOOKUP(Crops[[#This Row],[ProductIndex]],Products[ID],Products[Target])</f>
        <v>1</v>
      </c>
      <c r="EJ233" s="33">
        <f>Crops[[#This Row],[Custom Yield Per Bed]]</f>
        <v>1500</v>
      </c>
      <c r="EK233" s="210">
        <f>Crops[[#This Row],[Units Per Harvest]]/Crops[[#This Row],[Days Between Harvest]]*7</f>
        <v>50</v>
      </c>
      <c r="EL233" s="210">
        <f>Crops[[#This Row],[Custom Yield Per Bed]]/_xlfn.XLOOKUP(Crops[[#This Row],[ProductIndex]],Products[ID],Products[CSA Portion])</f>
        <v>1500</v>
      </c>
      <c r="EM233" s="210">
        <f>Crops[[#This Row],[Units Per Harvest]]/Crops[[#This Row],[Days Between Harvest]]*7/_xlfn.XLOOKUP(Crops[[#This Row],[ProductIndex]],Products[ID],Products[CSA Portion])</f>
        <v>50</v>
      </c>
      <c r="EN233" s="210">
        <f>Crops[[#This Row],[CSA Portions Per Week]]/CSAMembers</f>
        <v>1</v>
      </c>
      <c r="EO233" s="216">
        <v>1</v>
      </c>
      <c r="EP233" s="216">
        <v>1</v>
      </c>
      <c r="EQ233" s="210"/>
      <c r="ER233" s="210">
        <f>Crops[[#This Row],[Harvests]]*Crops[[#This Row],[Days Between Harvest]]/7</f>
        <v>30</v>
      </c>
      <c r="ES233" s="217">
        <f>_xlfn.XLOOKUP(Crops[[#This Row],[ProductIndex]],Products[ID],Products[CSA Need])</f>
        <v>5</v>
      </c>
      <c r="ET233" s="217">
        <f>_xlfn.XLOOKUP(Crops[[#This Row],[ProductIndex]],Products[ID],Products[CSA Times])</f>
        <v>5</v>
      </c>
      <c r="EU233" s="208">
        <f>Crops[[#This Row],[Custom Yield Per Bed]]/(Crops[[#This Row],[CSA Need]]*(_xlfn.XLOOKUP(Crops[[#This Row],[ProductIndex]],Products[ID],Products[CSA Portion])*CSAMembers))</f>
        <v>6</v>
      </c>
      <c r="EV233" s="208">
        <f>_xlfn.XLOOKUP(Crops[[#This Row],[ProductIndex]],Products[ID],Products[CSA Portion])*CSAMembers*Crops[[#This Row],[CSA Need]]/Crops[[#This Row],[Custom Yield Per Bed]]</f>
        <v>0.16666666666666666</v>
      </c>
      <c r="EW233" s="208">
        <f>IFERROR(Crops[[#This Row],[Days In Field]]*Crops[[#This Row],[CSA Beds]],"")</f>
        <v>37.333333333333329</v>
      </c>
      <c r="EX233" s="208" t="e">
        <f>Crops[[#This Row],[CSA Bed Days]]*#REF!</f>
        <v>#REF!</v>
      </c>
      <c r="EY233" t="s">
        <v>1747</v>
      </c>
    </row>
    <row r="234" spans="1:155">
      <c r="A234"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Parsnip (12r) - Mature Root 1X | Field DS Fa</v>
      </c>
      <c r="B234" s="180"/>
      <c r="C234" s="1"/>
      <c r="D234" s="1"/>
      <c r="E234" s="1" t="b">
        <v>0</v>
      </c>
      <c r="F234" s="1" t="b">
        <f>IFERROR(IF(ISNUMBER(MATCH(Crops[[#This Row],[Identifier]],BedPlan[Crop], 0)), TRUE, FALSE), FALSE)</f>
        <v>0</v>
      </c>
      <c r="G234" s="1" t="b">
        <f>IFERROR(IF(ISNUMBER(MATCH(Crops[[#This Row],[Identifier]],BedPlan[Crop], 0)), TRUE, FALSE), FALSE)</f>
        <v>0</v>
      </c>
      <c r="H234" s="1" t="b">
        <v>1</v>
      </c>
      <c r="I234" t="s">
        <v>109</v>
      </c>
      <c r="J234" t="s">
        <v>2948</v>
      </c>
      <c r="K234" t="s">
        <v>185</v>
      </c>
      <c r="M234" t="s">
        <v>443</v>
      </c>
      <c r="N234" t="str">
        <f>Crops[[#This Row],[Crop]]</f>
        <v>Parsnip</v>
      </c>
      <c r="O234" t="s">
        <v>210</v>
      </c>
      <c r="P234" t="str">
        <f>IF(OR(Crops[[#This Row],[Days in Cells]]="",Crops[[#This Row],[Days in Cells]]=0), "DS","TP")</f>
        <v>DS</v>
      </c>
      <c r="S234" t="b">
        <v>1</v>
      </c>
      <c r="V234" t="str">
        <f xml:space="preserve"> IF(Crops[[#This Row],[Sp]], "Sp", "") &amp; IF(Crops[[#This Row],[Su]], "Su", "") &amp; IF(Crops[[#This Row],[Fa]], "Fa", "") &amp; IF(Crops[[#This Row],[Wi]], "Wi", "") &amp; IF(Crops[[#This Row],[OW]], "Ow","")</f>
        <v>Fa</v>
      </c>
      <c r="W234" t="s">
        <v>144</v>
      </c>
      <c r="X234">
        <v>12</v>
      </c>
      <c r="Y234">
        <v>1</v>
      </c>
      <c r="AA234" t="s">
        <v>370</v>
      </c>
      <c r="AB234" t="b">
        <v>1</v>
      </c>
      <c r="AC234">
        <v>18</v>
      </c>
      <c r="AD234" s="32">
        <f>IFERROR(12/Crops[[#This Row],[Spacing]]*Crops[[#This Row],[Rows]]*BedLength,"")</f>
        <v>7200</v>
      </c>
      <c r="AE234">
        <v>1</v>
      </c>
      <c r="AG234">
        <f>IF(Crops[[#This Row],[Custom Safety Factor]]="",PlantingSafetyFactor,Crops[[#This Row],[Custom Safety Factor]])</f>
        <v>1.3</v>
      </c>
      <c r="AH234">
        <f>1</f>
        <v>1</v>
      </c>
      <c r="AI234" s="33">
        <f>IFERROR(Crops[[#This Row],[Plantings Per Bed]]*Crops[[#This Row],[Seeds Per Planting]]*Crops[[#This Row],[Safety Factor]]*Crops[[#This Row],[Seeding Factor]],"")</f>
        <v>9360</v>
      </c>
      <c r="AL234">
        <f>_xlfn.FLOOR.MATH(IFERROR(AVERAGE(Crops[[#This Row],[DTG Lower]:[DTG Upper]]),0))</f>
        <v>0</v>
      </c>
      <c r="AM234">
        <f>SUM(Crops[[#This Row],[Tray 1 Days]],Crops[[#This Row],[Tray 2 Days]],Crops[[#This Row],[Tray 3 Days]])</f>
        <v>0</v>
      </c>
      <c r="AP234">
        <v>110</v>
      </c>
      <c r="AQ234">
        <f>IFERROR(_xlfn.FLOOR.MATH(AVERAGE(Crops[[#This Row],[DTM Lower]:[DTM Upper]])),"")</f>
        <v>110</v>
      </c>
      <c r="AR234" cm="1">
        <f t="array" ref="AR234">_xlfn.SWITCH(Crops[[#This Row],[Normal Method]],"DS",Crops[[#This Row],[Days to Germination]]+Crops[[#This Row],[DTM]] + IF(Crops[[#This Row],[Days in Cells]]&gt;0,15,0), "TP",Crops[[#This Row],[DTM]]+Crops[[#This Row],[Days in Cells]] + IF(Crops[[#This Row],[Days in Cells]]&lt;=0,20,0), "X", Crops[[#This Row],[DTM]])</f>
        <v>110</v>
      </c>
      <c r="AS234" t="s">
        <v>338</v>
      </c>
      <c r="AT234">
        <f>(Crops[[#This Row],[Harvests]]-1)*Crops[[#This Row],[Days Between Harvest]]+7</f>
        <v>14</v>
      </c>
      <c r="AU234">
        <f>Crops[[#This Row],[STH]]-Crops[[#This Row],[Days in Cells]]+Crops[[#This Row],[Harvest window]]</f>
        <v>124</v>
      </c>
      <c r="AW234" t="s">
        <v>212</v>
      </c>
      <c r="AZ234" t="str">
        <f>IFERROR(IF(Crops[[#This Row],[Tray 1 Days]]=0,"",Crops[[#This Row],[Plantings Per Bed]]/Crops[[#This Row],[Tray 1 Size]]*Crops[[#This Row],[Safety Factor]]),"")</f>
        <v/>
      </c>
      <c r="BC234" t="str">
        <f>IFERROR(IF(Crops[[#This Row],[Tray 2 Days]]=0,"",Crops[[#This Row],[Plantings Per Bed]]/Crops[[#This Row],[Tray 2 Size]]*Crops[[#This Row],[Safety Factor]]),"")</f>
        <v/>
      </c>
      <c r="BE234" s="32" t="str">
        <f>IF(NOT(ISBLANK(Crops[[#This Row],[Tray 3 Size]])), Crops[[#This Row],[Days in Cells Old]]-SUM(Crops[[#This Row],[Tray 1 Days]],Crops[[#This Row],[Tray 2 Days]]), "")</f>
        <v/>
      </c>
      <c r="BF234" t="str">
        <f>IFERROR(IF(Crops[[#This Row],[Tray 3 Days]]=0,"",Crops[[#This Row],[Plantings Per Bed]]/Crops[[#This Row],[Tray 3 Size]]*Crops[[#This Row],[Safety Factor]]),"")</f>
        <v/>
      </c>
      <c r="BG234" s="33">
        <f>Crops[[#This Row],[Plantings Per Bed]]/3/4/5/Crops[[#This Row],[Harvests]]</f>
        <v>60</v>
      </c>
      <c r="BH234" s="33">
        <v>2</v>
      </c>
      <c r="BI234" s="33">
        <v>7</v>
      </c>
      <c r="BJ234" s="33">
        <f>_xlfn.XLOOKUP(Crops[[#This Row],[ProductIndex]],Products[ID],Products[Holding Period])</f>
        <v>0</v>
      </c>
      <c r="BK234" s="33"/>
      <c r="BL234" s="33">
        <f>Crops[[#This Row],[Units Per Harvest]]*Crops[[#This Row],[Harvests]]</f>
        <v>120</v>
      </c>
      <c r="BM234" s="35">
        <v>4</v>
      </c>
      <c r="BN234" s="35">
        <f>Crops[[#This Row],[Direct Price]]*0.6</f>
        <v>2.4</v>
      </c>
      <c r="BO234" s="35"/>
      <c r="BP234" t="s">
        <v>215</v>
      </c>
      <c r="BQ234">
        <f>Crops[[#This Row],[Custom Yield Per Bed]]*Crops[[#This Row],[Direct Price]]</f>
        <v>480</v>
      </c>
      <c r="BS234" t="b">
        <f>Crops[[#This Row],[Harvests]]&gt;1</f>
        <v>1</v>
      </c>
      <c r="BT234" s="36">
        <f>IFERROR(Crops[[#This Row],[Direct Revenue Per Bed]]/Crops[[#This Row],[Days In Field]],-1)</f>
        <v>3.870967741935484</v>
      </c>
      <c r="BU234" s="36">
        <f>IFERROR(Crops[[#This Row],[Direct Revenue Per Bed Day]]*GrowingDays*BedsPerAcre,"")</f>
        <v>111483.87096774194</v>
      </c>
      <c r="BV234" s="38">
        <f>LastFrostDate-5*Crops[[#This Row],[Sewing Rel Last Frost]]</f>
        <v>45798</v>
      </c>
      <c r="BW234" s="38">
        <f>Crops[[#This Row],[Target Sewing Date]]+Crops[[#This Row],[Days in Cells]]</f>
        <v>45798</v>
      </c>
      <c r="BX234" s="38">
        <f>Crops[[#This Row],[Target Sewing Date]]+Crops[[#This Row],[STH]]</f>
        <v>45908</v>
      </c>
      <c r="BY234" s="38">
        <f>Crops[[#This Row],[Target Harvest Data]]+Crops[[#This Row],[Harvest window]]</f>
        <v>45922</v>
      </c>
      <c r="BZ234">
        <v>-10</v>
      </c>
      <c r="CB234">
        <f>1</f>
        <v>1</v>
      </c>
      <c r="CC234">
        <f>IF(Crops[[#This Row],[Transplanting]]&gt;0, 2, 3)*BedLength/StandardBedLength</f>
        <v>1.5</v>
      </c>
      <c r="CD234" s="173">
        <f>IF(Crops[[#This Row],[Days in Cells]]&lt;=0,0,Crops[[#This Row],[Plantings Per Bed]]/StartsPerHourSeeding+Crops[[#This Row],[Tray 1 Count]]*5/60)</f>
        <v>0</v>
      </c>
      <c r="CE234" s="173">
        <f>IF(ISBLANK(Crops[[#This Row],[Tray 2 Days]]),0,Crops[[#This Row],[Plantings Per Bed]]/UpPottingPerHour)+IF(Crops[[#This Row],[Tray 3 Days]]="",0,Crops[[#This Row],[Plantings Per Bed]]/UpPottingPerHour)</f>
        <v>0</v>
      </c>
      <c r="CF234" s="173">
        <f>IFERROR(Crops[[#This Row],[Tray 1 Count]]/HomeStartFlatIrrigationPerHour,0)*Crops[[#This Row],[Days in Cells]]/DaysBetweenStartIrrigation</f>
        <v>0</v>
      </c>
      <c r="CG234" s="173">
        <f>0.5/16*MAX(Crops[[#This Row],[Tray 1 Count]],Crops[[#This Row],[Tray 2 Count]],Crops[[#This Row],[Tray 3 Count]])</f>
        <v>0</v>
      </c>
      <c r="CH234" s="173">
        <f>IF(Crops[[#This Row],[Days in Cells]]&gt;0,IF(IF(Crops[[#This Row],[Tray 3 Size]]&gt;0,Crops[[#This Row],[Tray 3 Size]],IF(Crops[[#This Row],[Tray 2 Size]]&gt;0,Crops[[#This Row],[Tray 2 Size]],Crops[[#This Row],[Tray 1 Size]]))&lt;=18,LargeTransplantTime,SmallTransplantTime)*Crops[[#This Row],[Plantings Per Bed]],0)</f>
        <v>0</v>
      </c>
      <c r="CI234" s="173"/>
      <c r="CJ234" s="173">
        <f>_xlfn.XLOOKUP(Crops[[#This Row],[Trellis Type]],TrellisMethods[Trellis Type],TrellisMethods[Hours],0,0)</f>
        <v>0</v>
      </c>
      <c r="CK234">
        <f>IF(Crops[[#This Row],[Days in Cells]]&lt;=0,Crops[[#This Row],[Rows]]*1/10,0)*BedLength/50</f>
        <v>1.2</v>
      </c>
      <c r="CL234" cm="1">
        <f t="array" ref="CL234">_xlfn.SWITCH(Crops[[#This Row],[Irrigation]],"DR", 0.5, "OH", 0.25,0)*BedLength/50</f>
        <v>0</v>
      </c>
      <c r="CM234">
        <f>IF(OR(ISBLANK(Crops[[#This Row],[Row Cover]]),Crops[[#This Row],[Row Cover]]="None"),0,1)*BedLength/50</f>
        <v>1</v>
      </c>
      <c r="CN234" s="173">
        <f>HoursPerWeedingPass*Crops[[#This Row],[Days In Field]]/14*Crops[[#This Row],[Rows]]+1*BedLength/50</f>
        <v>18.714285714285712</v>
      </c>
      <c r="CO234" s="49"/>
      <c r="CQ234" s="37">
        <f>_xlfn.XLOOKUP(Crops[[#This Row],[Crop]]&amp;Crops[[#This Row],[Product]]&amp;Crops[[#This Row],[Unit]],Products[ID],Products[Marketing (hr)])*Crops[[#This Row],[Direct Revenue Per Bed]]/2000</f>
        <v>0.96</v>
      </c>
      <c r="CR234" s="37">
        <f>_xlfn.XLOOKUP(Crops[[#This Row],[Crop]]&amp;Crops[[#This Row],[Product]]&amp;Crops[[#This Row],[Unit]],Products[ID],Products[Harvest (s)])*Crops[[#This Row],[Custom Yield Per Bed]]/3600</f>
        <v>1</v>
      </c>
      <c r="CS234" s="37">
        <f>_xlfn.XLOOKUP(Crops[[#This Row],[Crop]]&amp;Crops[[#This Row],[Product]]&amp;Crops[[#This Row],[Unit]],Products[ID],Products[Bunch (s)])*Crops[[#This Row],[Custom Yield Per Bed]]/3600</f>
        <v>0.33333333333333331</v>
      </c>
      <c r="CT234" s="37">
        <f>_xlfn.XLOOKUP(Crops[[#This Row],[Crop]]&amp;Crops[[#This Row],[Product]]&amp;Crops[[#This Row],[Unit]],Products[ID],Products[Haul (s)])*Crops[[#This Row],[Custom Yield Per Bed]]/3600</f>
        <v>0.16666666666666666</v>
      </c>
      <c r="CU234" s="37">
        <f>_xlfn.XLOOKUP(Crops[[#This Row],[Crop]]&amp;Crops[[#This Row],[Product]]&amp;Crops[[#This Row],[Unit]],Products[ID],Products[Wash (s)])*Crops[[#This Row],[Custom Yield Per Bed]]/3600</f>
        <v>0.5</v>
      </c>
      <c r="CV234" s="37">
        <f>_xlfn.XLOOKUP(Crops[[#This Row],[Crop]]&amp;Crops[[#This Row],[Product]]&amp;Crops[[#This Row],[Unit]],Products[ID],Products[Condition (s)])*Crops[[#This Row],[Custom Yield Per Bed]]/3600</f>
        <v>0</v>
      </c>
      <c r="CW234" s="37">
        <f>_xlfn.XLOOKUP(Crops[[#This Row],[Crop]]&amp;Crops[[#This Row],[Product]]&amp;Crops[[#This Row],[Unit]],Products[ID],Products[Trim (s)])*Crops[[#This Row],[Custom Yield Per Bed]]/3600</f>
        <v>0.16666666666666666</v>
      </c>
      <c r="CX234" s="37">
        <f>_xlfn.XLOOKUP(Crops[[#This Row],[Crop]]&amp;Crops[[#This Row],[Product]]&amp;Crops[[#This Row],[Unit]],Products[ID],Products[Pack (s)])*Crops[[#This Row],[Custom Yield Per Bed]]/3600</f>
        <v>0.1</v>
      </c>
      <c r="CY234" s="37">
        <f>_xlfn.XLOOKUP(Crops[[#This Row],[Crop]]&amp;Crops[[#This Row],[Product]]&amp;Crops[[#This Row],[Unit]],Products[ID],Products[Clean (s)])*Crops[[#This Row],[Custom Yield Per Bed]]/3600</f>
        <v>0</v>
      </c>
      <c r="CZ234" s="37">
        <f>_xlfn.XLOOKUP(Crops[[#This Row],[Crop]]&amp;Crops[[#This Row],[Product]]&amp;Crops[[#This Row],[Unit]],Products[ID],Products[Rehandle (s)])*Crops[[#This Row],[Custom Yield Per Bed]]/3600</f>
        <v>0</v>
      </c>
      <c r="DA234" s="37">
        <f>_xlfn.XLOOKUP(Crops[[#This Row],[Crop]]&amp;Crops[[#This Row],[Product]]&amp;Crops[[#This Row],[Unit]],Products[ID],Products[Market Transport (s)])*Crops[[#This Row],[Custom Yield Per Bed]]/3600</f>
        <v>0.41666666666666669</v>
      </c>
      <c r="DC234" s="37">
        <f>Crops[[#This Row],[Direct Revenue Per Bed2]]</f>
        <v>480</v>
      </c>
      <c r="DD234" s="173">
        <f>_xlfn.AGGREGATE(9,6,Crops[[#This Row],[Bed Prep]:[Remove Crop Residue]])</f>
        <v>26.057619047619049</v>
      </c>
      <c r="DE234" s="173">
        <f>_xlfn.AGGREGATE(9,6,Crops[[#This Row],[Bed Prep]:[Remove Crop Residue]])-0.75*Crops[[#This Row],[Market &amp; Sell]]</f>
        <v>25.33761904761905</v>
      </c>
      <c r="DF234" s="36">
        <f>Crops[[#This Row],[Direct Revenue Per Bed2]]/Crops[[#This Row],[Direct Time]]</f>
        <v>18.420715995687214</v>
      </c>
      <c r="DG234" s="36">
        <f>_xlfn.XLOOKUP(Crops[[#This Row],[ProductIndex]],Products[ID],Products[Packaging Cost])*(Crops[[#This Row],[Custom Yield Per Bed]]/_xlfn.XLOOKUP(Crops[[#This Row],[ProductIndex]],Products[ID],Products[Units Per Pack]))</f>
        <v>25.333333333333332</v>
      </c>
      <c r="DH234" s="36"/>
      <c r="DI234" s="36"/>
      <c r="DJ234" s="36"/>
      <c r="DK234" s="36"/>
      <c r="DL234" s="36"/>
      <c r="DM234" s="33">
        <f>IFERROR(Crops[[#This Row],[Custom Yield Per Bed]]*Crops[[#This Row],[Direct Price]],"")</f>
        <v>480</v>
      </c>
      <c r="DN234" s="36">
        <f>Crops[[#This Row],[Direct Time]]*LaborRate</f>
        <v>651.44047619047626</v>
      </c>
      <c r="DO234" s="36">
        <f>SUM(Crops[[#This Row],[Irrigation Cost]])</f>
        <v>0</v>
      </c>
      <c r="DP234" s="36">
        <f>Crops[[#This Row],[Direct Labor Cost]]+Crops[[#This Row],[Direct Non-Labor Cost]]</f>
        <v>651.44047619047626</v>
      </c>
      <c r="DQ234" s="36">
        <f>Crops[[#This Row],[Direct Revenue Per Bed2]]-Crops[[#This Row],[Direct Total Cost]]</f>
        <v>-171.44047619047626</v>
      </c>
      <c r="DR234" s="36">
        <f>Crops[[#This Row],[Direct Profit]]*BedsPerAcre</f>
        <v>-27430.476190476202</v>
      </c>
      <c r="DS234" s="36">
        <f>Crops[[#This Row],[Direct Profit]]*BedsPerAcre*GrowingDays/Crops[[#This Row],[Days In Field]]</f>
        <v>-39818.433179723521</v>
      </c>
      <c r="DT234" s="36">
        <f>Crops[[#This Row],[Direct Profit]]/MIN(Crops[[#This Row],[Days In Field]],GrowingDays)</f>
        <v>-1.3825844854070666</v>
      </c>
      <c r="DU234" s="36">
        <f>Crops[[#This Row],[Direct Time]] * BedsPerAcre</f>
        <v>4169.2190476190481</v>
      </c>
      <c r="DV234" s="36">
        <f>(Crops[[#This Row],[Direct Revenue Per Bed2]]-Crops[[#This Row],[Direct Non-Labor Cost]])/Crops[[#This Row],[Direct Time]]</f>
        <v>18.420715995687214</v>
      </c>
      <c r="DW234" s="33">
        <f>IFERROR(Crops[[#This Row],[Custom Yield Per Bed]]*Crops[[#This Row],[Rough Wholesale Price]],"")</f>
        <v>288</v>
      </c>
      <c r="DX234" s="36">
        <f>Crops[[#This Row],[Wholesale Time]]*LaborRate</f>
        <v>633.44047619047626</v>
      </c>
      <c r="DY234" s="36">
        <f>SUM(Crops[[#This Row],[Packaging Costs]:[Irrigation Cost]])</f>
        <v>25.333333333333332</v>
      </c>
      <c r="DZ234" s="36">
        <f>Crops[[#This Row],[Wholesale Labor Cost]]+Crops[[#This Row],[Wholesale Non-Labor Cost]]</f>
        <v>658.77380952380963</v>
      </c>
      <c r="EA234" s="36">
        <f>Crops[[#This Row],[Wholesale Revenue Per Bed]]-Crops[[#This Row],[Wholesale Total Cost]]</f>
        <v>-370.77380952380963</v>
      </c>
      <c r="EB234" s="36">
        <f>Crops[[#This Row],[Wholesale Profit]]*BedsPerAcre</f>
        <v>-59323.809523809541</v>
      </c>
      <c r="EC234" s="36">
        <f>Crops[[#This Row],[Wholesale Profit]]*BedsPerAcre*GrowingDays/Crops[[#This Row],[Days In Field]]</f>
        <v>-86115.207373271915</v>
      </c>
      <c r="ED234" s="36">
        <f>Crops[[#This Row],[Wholesale Time]] * BedsPerAcre</f>
        <v>4054.0190476190483</v>
      </c>
      <c r="EE234" s="221">
        <f>Crops[[#This Row],[Wholesale Profit]]/MIN(Crops[[#This Row],[Days In Field]],GrowingDays)</f>
        <v>-2.990111367127497</v>
      </c>
      <c r="EF234" s="36">
        <f>(Crops[[#This Row],[Wholesale Revenue Per Bed]]-Crops[[#This Row],[Wholesale Non-Labor Cost]])/Crops[[#This Row],[Direct Time]]</f>
        <v>10.080225142084393</v>
      </c>
      <c r="EG234" s="174">
        <f>Crops[[#This Row],[Packaging Costs]]/Crops[[#This Row],[Wholesale Revenue Per Bed]]</f>
        <v>8.7962962962962965E-2</v>
      </c>
      <c r="EH234" s="36" t="str">
        <f>Crops[[#This Row],[Crop]]&amp;Crops[[#This Row],[Product]]&amp;Crops[[#This Row],[Unit]]</f>
        <v>ParsnipMature RootBunch</v>
      </c>
      <c r="EI234" s="36" t="b">
        <f>_xlfn.XLOOKUP(Crops[[#This Row],[ProductIndex]],Products[ID],Products[Target])</f>
        <v>1</v>
      </c>
      <c r="EJ234" s="36">
        <f>Crops[[#This Row],[Custom Yield Per Bed]]</f>
        <v>120</v>
      </c>
      <c r="EK234" s="210">
        <f>Crops[[#This Row],[Units Per Harvest]]/Crops[[#This Row],[Days Between Harvest]]*7</f>
        <v>60</v>
      </c>
      <c r="EL234" s="210">
        <f>Crops[[#This Row],[Custom Yield Per Bed]]/_xlfn.XLOOKUP(Crops[[#This Row],[ProductIndex]],Products[ID],Products[CSA Portion])</f>
        <v>120</v>
      </c>
      <c r="EM234" s="210">
        <f>Crops[[#This Row],[Units Per Harvest]]/Crops[[#This Row],[Days Between Harvest]]*7/_xlfn.XLOOKUP(Crops[[#This Row],[ProductIndex]],Products[ID],Products[CSA Portion])</f>
        <v>60</v>
      </c>
      <c r="EN234" s="210">
        <f>Crops[[#This Row],[CSA Portions Per Week]]/CSAMembers</f>
        <v>1.2</v>
      </c>
      <c r="EO234" s="210"/>
      <c r="EP234" s="210"/>
      <c r="EQ234" s="36"/>
      <c r="ER234" s="36">
        <f>Crops[[#This Row],[Harvests]]*Crops[[#This Row],[Days Between Harvest]]/7</f>
        <v>2</v>
      </c>
      <c r="ES234" s="208">
        <f>_xlfn.XLOOKUP(Crops[[#This Row],[ProductIndex]],Products[ID],Products[CSA Need])</f>
        <v>1</v>
      </c>
      <c r="ET234" s="208">
        <f>_xlfn.XLOOKUP(Crops[[#This Row],[ProductIndex]],Products[ID],Products[CSA Times])</f>
        <v>1</v>
      </c>
      <c r="EU234" s="208">
        <f>Crops[[#This Row],[Custom Yield Per Bed]]/(Crops[[#This Row],[CSA Need]]*(_xlfn.XLOOKUP(Crops[[#This Row],[ProductIndex]],Products[ID],Products[CSA Portion])*CSAMembers))</f>
        <v>2.4</v>
      </c>
      <c r="EV234" s="208">
        <f>_xlfn.XLOOKUP(Crops[[#This Row],[ProductIndex]],Products[ID],Products[CSA Portion])*CSAMembers*Crops[[#This Row],[CSA Need]]/Crops[[#This Row],[Custom Yield Per Bed]]</f>
        <v>0.41666666666666669</v>
      </c>
      <c r="EW234" s="208">
        <f>IFERROR(Crops[[#This Row],[Days In Field]]*Crops[[#This Row],[CSA Beds]],"")</f>
        <v>51.666666666666671</v>
      </c>
      <c r="EX234" s="208" t="e">
        <f>Crops[[#This Row],[CSA Bed Days]]*#REF!</f>
        <v>#REF!</v>
      </c>
      <c r="EY234" t="s">
        <v>363</v>
      </c>
    </row>
    <row r="235" spans="1:155">
      <c r="A235"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Parsnip (4r) - Mature Root 1X | Field DS Fa</v>
      </c>
      <c r="B235" s="180"/>
      <c r="C235" s="1" t="b">
        <v>1</v>
      </c>
      <c r="D235" s="1"/>
      <c r="E235" s="1" t="b">
        <v>0</v>
      </c>
      <c r="F235" s="1" t="b">
        <f>IFERROR(IF(ISNUMBER(MATCH(Crops[[#This Row],[Identifier]],BedPlan[Crop], 0)), TRUE, FALSE), FALSE)</f>
        <v>0</v>
      </c>
      <c r="G235" s="1" t="b">
        <f>IFERROR(IF(ISNUMBER(MATCH(Crops[[#This Row],[Identifier]],BedPlan[Crop], 0)), TRUE, FALSE), FALSE)</f>
        <v>0</v>
      </c>
      <c r="H235" s="1" t="b">
        <v>1</v>
      </c>
      <c r="I235" t="s">
        <v>109</v>
      </c>
      <c r="J235" t="s">
        <v>2949</v>
      </c>
      <c r="K235" t="s">
        <v>185</v>
      </c>
      <c r="M235" t="s">
        <v>443</v>
      </c>
      <c r="N235" t="str">
        <f>Crops[[#This Row],[Crop]]</f>
        <v>Parsnip</v>
      </c>
      <c r="O235" t="s">
        <v>210</v>
      </c>
      <c r="P235" t="str">
        <f>IF(OR(Crops[[#This Row],[Days in Cells]]="",Crops[[#This Row],[Days in Cells]]=0), "DS","TP")</f>
        <v>DS</v>
      </c>
      <c r="S235" t="b">
        <v>1</v>
      </c>
      <c r="V235" t="str">
        <f xml:space="preserve"> IF(Crops[[#This Row],[Sp]], "Sp", "") &amp; IF(Crops[[#This Row],[Su]], "Su", "") &amp; IF(Crops[[#This Row],[Fa]], "Fa", "") &amp; IF(Crops[[#This Row],[Wi]], "Wi", "") &amp; IF(Crops[[#This Row],[OW]], "Ow","")</f>
        <v>Fa</v>
      </c>
      <c r="W235" t="s">
        <v>144</v>
      </c>
      <c r="X235">
        <v>4</v>
      </c>
      <c r="Y235">
        <v>0.5</v>
      </c>
      <c r="AA235" t="s">
        <v>370</v>
      </c>
      <c r="AB235" t="b">
        <v>1</v>
      </c>
      <c r="AC235">
        <v>18</v>
      </c>
      <c r="AD235" s="32">
        <f>IFERROR(12/Crops[[#This Row],[Spacing]]*Crops[[#This Row],[Rows]]*BedLength,"")</f>
        <v>4800</v>
      </c>
      <c r="AE235">
        <v>1</v>
      </c>
      <c r="AG235">
        <f>IF(Crops[[#This Row],[Custom Safety Factor]]="",PlantingSafetyFactor,Crops[[#This Row],[Custom Safety Factor]])</f>
        <v>1.3</v>
      </c>
      <c r="AH235">
        <f>1</f>
        <v>1</v>
      </c>
      <c r="AI235" s="33">
        <f>IFERROR(Crops[[#This Row],[Plantings Per Bed]]*Crops[[#This Row],[Seeds Per Planting]]*Crops[[#This Row],[Safety Factor]]*Crops[[#This Row],[Seeding Factor]],"")</f>
        <v>6240</v>
      </c>
      <c r="AL235">
        <f>_xlfn.FLOOR.MATH(IFERROR(AVERAGE(Crops[[#This Row],[DTG Lower]:[DTG Upper]]),0))</f>
        <v>0</v>
      </c>
      <c r="AM235">
        <f>SUM(Crops[[#This Row],[Tray 1 Days]],Crops[[#This Row],[Tray 2 Days]],Crops[[#This Row],[Tray 3 Days]])</f>
        <v>0</v>
      </c>
      <c r="AP235">
        <v>110</v>
      </c>
      <c r="AQ235">
        <f>IFERROR(_xlfn.FLOOR.MATH(AVERAGE(Crops[[#This Row],[DTM Lower]:[DTM Upper]])),"")</f>
        <v>110</v>
      </c>
      <c r="AR235" cm="1">
        <f t="array" ref="AR235">_xlfn.SWITCH(Crops[[#This Row],[Normal Method]],"DS",Crops[[#This Row],[Days to Germination]]+Crops[[#This Row],[DTM]] + IF(Crops[[#This Row],[Days in Cells]]&gt;0,15,0), "TP",Crops[[#This Row],[DTM]]+Crops[[#This Row],[Days in Cells]] + IF(Crops[[#This Row],[Days in Cells]]&lt;=0,20,0), "X", Crops[[#This Row],[DTM]])</f>
        <v>110</v>
      </c>
      <c r="AS235" t="s">
        <v>338</v>
      </c>
      <c r="AT235">
        <f>(Crops[[#This Row],[Harvests]]-1)*Crops[[#This Row],[Days Between Harvest]]+7</f>
        <v>14</v>
      </c>
      <c r="AU235">
        <f>Crops[[#This Row],[STH]]-Crops[[#This Row],[Days in Cells]]+Crops[[#This Row],[Harvest window]]</f>
        <v>124</v>
      </c>
      <c r="AW235" t="s">
        <v>212</v>
      </c>
      <c r="AZ235" t="str">
        <f>IFERROR(IF(Crops[[#This Row],[Tray 1 Days]]=0,"",Crops[[#This Row],[Plantings Per Bed]]/Crops[[#This Row],[Tray 1 Size]]*Crops[[#This Row],[Safety Factor]]),"")</f>
        <v/>
      </c>
      <c r="BC235" t="str">
        <f>IFERROR(IF(Crops[[#This Row],[Tray 2 Days]]=0,"",Crops[[#This Row],[Plantings Per Bed]]/Crops[[#This Row],[Tray 2 Size]]*Crops[[#This Row],[Safety Factor]]),"")</f>
        <v/>
      </c>
      <c r="BE235" s="32" t="str">
        <f>IF(NOT(ISBLANK(Crops[[#This Row],[Tray 3 Size]])), Crops[[#This Row],[Days in Cells Old]]-SUM(Crops[[#This Row],[Tray 1 Days]],Crops[[#This Row],[Tray 2 Days]]), "")</f>
        <v/>
      </c>
      <c r="BF235" t="str">
        <f>IFERROR(IF(Crops[[#This Row],[Tray 3 Days]]=0,"",Crops[[#This Row],[Plantings Per Bed]]/Crops[[#This Row],[Tray 3 Size]]*Crops[[#This Row],[Safety Factor]]),"")</f>
        <v/>
      </c>
      <c r="BG235" s="33">
        <f>BedLength*4/Crops[[#This Row],[Harvests]]</f>
        <v>100</v>
      </c>
      <c r="BH235" s="33">
        <v>2</v>
      </c>
      <c r="BI235" s="33">
        <v>7</v>
      </c>
      <c r="BJ235" s="33">
        <f>_xlfn.XLOOKUP(Crops[[#This Row],[ProductIndex]],Products[ID],Products[Holding Period])</f>
        <v>0</v>
      </c>
      <c r="BK235" s="33"/>
      <c r="BL235" s="33">
        <f>Crops[[#This Row],[Units Per Harvest]]*Crops[[#This Row],[Harvests]]</f>
        <v>200</v>
      </c>
      <c r="BM235" s="35">
        <v>4</v>
      </c>
      <c r="BN235" s="35">
        <f>Crops[[#This Row],[Direct Price]]*0.6</f>
        <v>2.4</v>
      </c>
      <c r="BO235" s="35"/>
      <c r="BP235" t="s">
        <v>215</v>
      </c>
      <c r="BQ235">
        <f>Crops[[#This Row],[Custom Yield Per Bed]]*Crops[[#This Row],[Direct Price]]</f>
        <v>800</v>
      </c>
      <c r="BS235" t="b">
        <f>Crops[[#This Row],[Harvests]]&gt;1</f>
        <v>1</v>
      </c>
      <c r="BT235" s="36">
        <f>IFERROR(Crops[[#This Row],[Direct Revenue Per Bed]]/Crops[[#This Row],[Days In Field]],-1)</f>
        <v>6.4516129032258061</v>
      </c>
      <c r="BU235" s="36">
        <f>IFERROR(Crops[[#This Row],[Direct Revenue Per Bed Day]]*GrowingDays*BedsPerAcre,"")</f>
        <v>185806.45161290321</v>
      </c>
      <c r="BV235" s="38">
        <f>LastFrostDate-5*Crops[[#This Row],[Sewing Rel Last Frost]]</f>
        <v>45798</v>
      </c>
      <c r="BW235" s="38">
        <f>Crops[[#This Row],[Target Sewing Date]]+Crops[[#This Row],[Days in Cells]]</f>
        <v>45798</v>
      </c>
      <c r="BX235" s="38">
        <f>Crops[[#This Row],[Target Sewing Date]]+Crops[[#This Row],[STH]]</f>
        <v>45908</v>
      </c>
      <c r="BY235" s="38">
        <f>Crops[[#This Row],[Target Harvest Data]]+Crops[[#This Row],[Harvest window]]</f>
        <v>45922</v>
      </c>
      <c r="BZ235">
        <v>-10</v>
      </c>
      <c r="CB235">
        <f>1</f>
        <v>1</v>
      </c>
      <c r="CC235">
        <f>IF(Crops[[#This Row],[Transplanting]]&gt;0, 2, 3)*BedLength/StandardBedLength</f>
        <v>1.5</v>
      </c>
      <c r="CD235" s="173">
        <f>IF(Crops[[#This Row],[Days in Cells]]&lt;=0,0,Crops[[#This Row],[Plantings Per Bed]]/StartsPerHourSeeding+Crops[[#This Row],[Tray 1 Count]]*5/60)</f>
        <v>0</v>
      </c>
      <c r="CE235" s="173">
        <f>IF(ISBLANK(Crops[[#This Row],[Tray 2 Days]]),0,Crops[[#This Row],[Plantings Per Bed]]/UpPottingPerHour)+IF(Crops[[#This Row],[Tray 3 Days]]="",0,Crops[[#This Row],[Plantings Per Bed]]/UpPottingPerHour)</f>
        <v>0</v>
      </c>
      <c r="CF235" s="173">
        <f>IFERROR(Crops[[#This Row],[Tray 1 Count]]/HomeStartFlatIrrigationPerHour,0)*Crops[[#This Row],[Days in Cells]]/DaysBetweenStartIrrigation</f>
        <v>0</v>
      </c>
      <c r="CG235" s="173">
        <f>0.5/16*MAX(Crops[[#This Row],[Tray 1 Count]],Crops[[#This Row],[Tray 2 Count]],Crops[[#This Row],[Tray 3 Count]])</f>
        <v>0</v>
      </c>
      <c r="CH235" s="173">
        <f>IF(Crops[[#This Row],[Days in Cells]]&gt;0,IF(IF(Crops[[#This Row],[Tray 3 Size]]&gt;0,Crops[[#This Row],[Tray 3 Size]],IF(Crops[[#This Row],[Tray 2 Size]]&gt;0,Crops[[#This Row],[Tray 2 Size]],Crops[[#This Row],[Tray 1 Size]]))&lt;=18,LargeTransplantTime,SmallTransplantTime)*Crops[[#This Row],[Plantings Per Bed]],0)</f>
        <v>0</v>
      </c>
      <c r="CI235" s="173"/>
      <c r="CJ235" s="173">
        <f>_xlfn.XLOOKUP(Crops[[#This Row],[Trellis Type]],TrellisMethods[Trellis Type],TrellisMethods[Hours],0,0)</f>
        <v>0</v>
      </c>
      <c r="CK235">
        <f>IF(Crops[[#This Row],[Days in Cells]]&lt;=0,Crops[[#This Row],[Rows]]*1/10,0)*BedLength/50</f>
        <v>0.4</v>
      </c>
      <c r="CL235" cm="1">
        <f t="array" ref="CL235">_xlfn.SWITCH(Crops[[#This Row],[Irrigation]],"DR", 0.5, "OH", 0.25,0)*BedLength/50</f>
        <v>0</v>
      </c>
      <c r="CM235">
        <f>IF(OR(ISBLANK(Crops[[#This Row],[Row Cover]]),Crops[[#This Row],[Row Cover]]="None"),0,1)*BedLength/50</f>
        <v>1</v>
      </c>
      <c r="CN235" s="173">
        <f>HoursPerWeedingPass*Crops[[#This Row],[Days In Field]]/14*Crops[[#This Row],[Rows]]+1*BedLength/50</f>
        <v>6.9047619047619042</v>
      </c>
      <c r="CO235" s="49"/>
      <c r="CQ235" s="37">
        <f>_xlfn.XLOOKUP(Crops[[#This Row],[Crop]]&amp;Crops[[#This Row],[Product]]&amp;Crops[[#This Row],[Unit]],Products[ID],Products[Marketing (hr)])*Crops[[#This Row],[Direct Revenue Per Bed]]/2000</f>
        <v>1.6</v>
      </c>
      <c r="CR235" s="37">
        <f>_xlfn.XLOOKUP(Crops[[#This Row],[Crop]]&amp;Crops[[#This Row],[Product]]&amp;Crops[[#This Row],[Unit]],Products[ID],Products[Harvest (s)])*Crops[[#This Row],[Custom Yield Per Bed]]/3600</f>
        <v>1.6666666666666667</v>
      </c>
      <c r="CS235" s="37">
        <f>_xlfn.XLOOKUP(Crops[[#This Row],[Crop]]&amp;Crops[[#This Row],[Product]]&amp;Crops[[#This Row],[Unit]],Products[ID],Products[Bunch (s)])*Crops[[#This Row],[Custom Yield Per Bed]]/3600</f>
        <v>0.55555555555555558</v>
      </c>
      <c r="CT235" s="37">
        <f>_xlfn.XLOOKUP(Crops[[#This Row],[Crop]]&amp;Crops[[#This Row],[Product]]&amp;Crops[[#This Row],[Unit]],Products[ID],Products[Haul (s)])*Crops[[#This Row],[Custom Yield Per Bed]]/3600</f>
        <v>0.27777777777777779</v>
      </c>
      <c r="CU235" s="37">
        <f>_xlfn.XLOOKUP(Crops[[#This Row],[Crop]]&amp;Crops[[#This Row],[Product]]&amp;Crops[[#This Row],[Unit]],Products[ID],Products[Wash (s)])*Crops[[#This Row],[Custom Yield Per Bed]]/3600</f>
        <v>0.83333333333333337</v>
      </c>
      <c r="CV235" s="37">
        <f>_xlfn.XLOOKUP(Crops[[#This Row],[Crop]]&amp;Crops[[#This Row],[Product]]&amp;Crops[[#This Row],[Unit]],Products[ID],Products[Condition (s)])*Crops[[#This Row],[Custom Yield Per Bed]]/3600</f>
        <v>0</v>
      </c>
      <c r="CW235" s="37">
        <f>_xlfn.XLOOKUP(Crops[[#This Row],[Crop]]&amp;Crops[[#This Row],[Product]]&amp;Crops[[#This Row],[Unit]],Products[ID],Products[Trim (s)])*Crops[[#This Row],[Custom Yield Per Bed]]/3600</f>
        <v>0.27777777777777779</v>
      </c>
      <c r="CX235" s="37">
        <f>_xlfn.XLOOKUP(Crops[[#This Row],[Crop]]&amp;Crops[[#This Row],[Product]]&amp;Crops[[#This Row],[Unit]],Products[ID],Products[Pack (s)])*Crops[[#This Row],[Custom Yield Per Bed]]/3600</f>
        <v>0.16666666666666666</v>
      </c>
      <c r="CY235" s="37">
        <f>_xlfn.XLOOKUP(Crops[[#This Row],[Crop]]&amp;Crops[[#This Row],[Product]]&amp;Crops[[#This Row],[Unit]],Products[ID],Products[Clean (s)])*Crops[[#This Row],[Custom Yield Per Bed]]/3600</f>
        <v>0</v>
      </c>
      <c r="CZ235" s="37">
        <f>_xlfn.XLOOKUP(Crops[[#This Row],[Crop]]&amp;Crops[[#This Row],[Product]]&amp;Crops[[#This Row],[Unit]],Products[ID],Products[Rehandle (s)])*Crops[[#This Row],[Custom Yield Per Bed]]/3600</f>
        <v>0</v>
      </c>
      <c r="DA235" s="37">
        <f>_xlfn.XLOOKUP(Crops[[#This Row],[Crop]]&amp;Crops[[#This Row],[Product]]&amp;Crops[[#This Row],[Unit]],Products[ID],Products[Market Transport (s)])*Crops[[#This Row],[Custom Yield Per Bed]]/3600</f>
        <v>0.69444444444444442</v>
      </c>
      <c r="DC235" s="37">
        <f>Crops[[#This Row],[Direct Revenue Per Bed2]]</f>
        <v>800</v>
      </c>
      <c r="DD235" s="173">
        <f>_xlfn.AGGREGATE(9,6,Crops[[#This Row],[Bed Prep]:[Remove Crop Residue]])</f>
        <v>15.876984126984127</v>
      </c>
      <c r="DE235" s="173">
        <f>_xlfn.AGGREGATE(9,6,Crops[[#This Row],[Bed Prep]:[Remove Crop Residue]])-0.75*Crops[[#This Row],[Market &amp; Sell]]</f>
        <v>14.676984126984127</v>
      </c>
      <c r="DF235" s="36">
        <f>Crops[[#This Row],[Direct Revenue Per Bed2]]/Crops[[#This Row],[Direct Time]]</f>
        <v>50.387403149212702</v>
      </c>
      <c r="DG235" s="36">
        <f>_xlfn.XLOOKUP(Crops[[#This Row],[ProductIndex]],Products[ID],Products[Packaging Cost])*(Crops[[#This Row],[Custom Yield Per Bed]]/_xlfn.XLOOKUP(Crops[[#This Row],[ProductIndex]],Products[ID],Products[Units Per Pack]))</f>
        <v>42.222222222222221</v>
      </c>
      <c r="DH235" s="36"/>
      <c r="DI235" s="36"/>
      <c r="DJ235" s="36"/>
      <c r="DK235" s="36"/>
      <c r="DL235" s="36"/>
      <c r="DM235" s="33">
        <f>IFERROR(Crops[[#This Row],[Custom Yield Per Bed]]*Crops[[#This Row],[Direct Price]],"")</f>
        <v>800</v>
      </c>
      <c r="DN235" s="36">
        <f>Crops[[#This Row],[Direct Time]]*LaborRate</f>
        <v>396.92460317460313</v>
      </c>
      <c r="DO235" s="36">
        <f>SUM(Crops[[#This Row],[Irrigation Cost]])</f>
        <v>0</v>
      </c>
      <c r="DP235" s="36">
        <f>Crops[[#This Row],[Direct Labor Cost]]+Crops[[#This Row],[Direct Non-Labor Cost]]</f>
        <v>396.92460317460313</v>
      </c>
      <c r="DQ235" s="36">
        <f>Crops[[#This Row],[Direct Revenue Per Bed2]]-Crops[[#This Row],[Direct Total Cost]]</f>
        <v>403.07539682539687</v>
      </c>
      <c r="DR235" s="36">
        <f>Crops[[#This Row],[Direct Profit]]*BedsPerAcre</f>
        <v>64492.063492063498</v>
      </c>
      <c r="DS235" s="36">
        <f>Crops[[#This Row],[Direct Profit]]*BedsPerAcre*GrowingDays/Crops[[#This Row],[Days In Field]]</f>
        <v>93617.511520737331</v>
      </c>
      <c r="DT235" s="36">
        <f>Crops[[#This Row],[Direct Profit]]/MIN(Crops[[#This Row],[Days In Field]],GrowingDays)</f>
        <v>3.2506080389144909</v>
      </c>
      <c r="DU235" s="36">
        <f>Crops[[#This Row],[Direct Time]] * BedsPerAcre</f>
        <v>2540.3174603174602</v>
      </c>
      <c r="DV235" s="36">
        <f>(Crops[[#This Row],[Direct Revenue Per Bed2]]-Crops[[#This Row],[Direct Non-Labor Cost]])/Crops[[#This Row],[Direct Time]]</f>
        <v>50.387403149212702</v>
      </c>
      <c r="DW235" s="33">
        <f>IFERROR(Crops[[#This Row],[Custom Yield Per Bed]]*Crops[[#This Row],[Rough Wholesale Price]],"")</f>
        <v>480</v>
      </c>
      <c r="DX235" s="36">
        <f>Crops[[#This Row],[Wholesale Time]]*LaborRate</f>
        <v>366.92460317460319</v>
      </c>
      <c r="DY235" s="36">
        <f>SUM(Crops[[#This Row],[Packaging Costs]:[Irrigation Cost]])</f>
        <v>42.222222222222221</v>
      </c>
      <c r="DZ235" s="36">
        <f>Crops[[#This Row],[Wholesale Labor Cost]]+Crops[[#This Row],[Wholesale Non-Labor Cost]]</f>
        <v>409.14682539682542</v>
      </c>
      <c r="EA235" s="36">
        <f>Crops[[#This Row],[Wholesale Revenue Per Bed]]-Crops[[#This Row],[Wholesale Total Cost]]</f>
        <v>70.85317460317458</v>
      </c>
      <c r="EB235" s="36">
        <f>Crops[[#This Row],[Wholesale Profit]]*BedsPerAcre</f>
        <v>11336.507936507933</v>
      </c>
      <c r="EC235" s="36">
        <f>Crops[[#This Row],[Wholesale Profit]]*BedsPerAcre*GrowingDays/Crops[[#This Row],[Days In Field]]</f>
        <v>16456.221198156676</v>
      </c>
      <c r="ED235" s="36">
        <f>Crops[[#This Row],[Wholesale Time]] * BedsPerAcre</f>
        <v>2348.3174603174602</v>
      </c>
      <c r="EE235" s="221">
        <f>Crops[[#This Row],[Wholesale Profit]]/MIN(Crops[[#This Row],[Days In Field]],GrowingDays)</f>
        <v>0.57139656938044014</v>
      </c>
      <c r="EF235" s="36">
        <f>(Crops[[#This Row],[Wholesale Revenue Per Bed]]-Crops[[#This Row],[Wholesale Non-Labor Cost]])/Crops[[#This Row],[Direct Time]]</f>
        <v>27.573106723319171</v>
      </c>
      <c r="EG235" s="174">
        <f>Crops[[#This Row],[Packaging Costs]]/Crops[[#This Row],[Wholesale Revenue Per Bed]]</f>
        <v>8.7962962962962965E-2</v>
      </c>
      <c r="EH235" s="36" t="str">
        <f>Crops[[#This Row],[Crop]]&amp;Crops[[#This Row],[Product]]&amp;Crops[[#This Row],[Unit]]</f>
        <v>ParsnipMature RootBunch</v>
      </c>
      <c r="EI235" s="36" t="b">
        <f>_xlfn.XLOOKUP(Crops[[#This Row],[ProductIndex]],Products[ID],Products[Target])</f>
        <v>1</v>
      </c>
      <c r="EJ235" s="33">
        <f>Crops[[#This Row],[Custom Yield Per Bed]]</f>
        <v>200</v>
      </c>
      <c r="EK235" s="210">
        <f>Crops[[#This Row],[Units Per Harvest]]/Crops[[#This Row],[Days Between Harvest]]*7</f>
        <v>100</v>
      </c>
      <c r="EL235" s="210">
        <f>Crops[[#This Row],[Custom Yield Per Bed]]/_xlfn.XLOOKUP(Crops[[#This Row],[ProductIndex]],Products[ID],Products[CSA Portion])</f>
        <v>200</v>
      </c>
      <c r="EM235" s="210">
        <f>Crops[[#This Row],[Units Per Harvest]]/Crops[[#This Row],[Days Between Harvest]]*7/_xlfn.XLOOKUP(Crops[[#This Row],[ProductIndex]],Products[ID],Products[CSA Portion])</f>
        <v>100</v>
      </c>
      <c r="EN235" s="210">
        <f>Crops[[#This Row],[CSA Portions Per Week]]/CSAMembers</f>
        <v>2</v>
      </c>
      <c r="EO235" s="216">
        <v>0.5</v>
      </c>
      <c r="EP235" s="216">
        <v>1</v>
      </c>
      <c r="EQ235" s="36"/>
      <c r="ER235" s="36">
        <f>Crops[[#This Row],[Harvests]]*Crops[[#This Row],[Days Between Harvest]]/7</f>
        <v>2</v>
      </c>
      <c r="ES235" s="208">
        <f>_xlfn.XLOOKUP(Crops[[#This Row],[ProductIndex]],Products[ID],Products[CSA Need])</f>
        <v>1</v>
      </c>
      <c r="ET235" s="208">
        <f>_xlfn.XLOOKUP(Crops[[#This Row],[ProductIndex]],Products[ID],Products[CSA Times])</f>
        <v>1</v>
      </c>
      <c r="EU235" s="208">
        <f>Crops[[#This Row],[Custom Yield Per Bed]]/(Crops[[#This Row],[CSA Need]]*(_xlfn.XLOOKUP(Crops[[#This Row],[ProductIndex]],Products[ID],Products[CSA Portion])*CSAMembers))</f>
        <v>4</v>
      </c>
      <c r="EV235" s="208">
        <f>_xlfn.XLOOKUP(Crops[[#This Row],[ProductIndex]],Products[ID],Products[CSA Portion])*CSAMembers*Crops[[#This Row],[CSA Need]]/Crops[[#This Row],[Custom Yield Per Bed]]</f>
        <v>0.25</v>
      </c>
      <c r="EW235" s="208">
        <f>IFERROR(Crops[[#This Row],[Days In Field]]*Crops[[#This Row],[CSA Beds]],"")</f>
        <v>31</v>
      </c>
      <c r="EX235" s="208" t="e">
        <f>Crops[[#This Row],[CSA Bed Days]]*#REF!</f>
        <v>#REF!</v>
      </c>
      <c r="EY235" t="s">
        <v>363</v>
      </c>
    </row>
    <row r="236" spans="1:155">
      <c r="A236"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 Tendril - Young Shoots 1X | Field DS Sp</v>
      </c>
      <c r="B236" s="28"/>
      <c r="C236" s="1" t="b">
        <v>0</v>
      </c>
      <c r="D236" s="1"/>
      <c r="E236" s="1" t="b">
        <v>0</v>
      </c>
      <c r="F236" s="1" t="b">
        <f>IFERROR(IF(ISNUMBER(MATCH(Crops[[#This Row],[Identifier]],BedPlan[Crop], 0)), TRUE, FALSE), FALSE)</f>
        <v>0</v>
      </c>
      <c r="G236" s="1" t="b">
        <f>IFERROR(IF(ISNUMBER(MATCH(Crops[[#This Row],[Identifier]],BedPlan[Crop], 0)), TRUE, FALSE), FALSE)</f>
        <v>0</v>
      </c>
      <c r="H236" s="1" t="b">
        <v>1</v>
      </c>
      <c r="I236" t="s">
        <v>382</v>
      </c>
      <c r="J236" t="s">
        <v>145</v>
      </c>
      <c r="K236" t="s">
        <v>381</v>
      </c>
      <c r="N236" t="str">
        <f>Crops[[#This Row],[Crop]]</f>
        <v>Pea Tendril</v>
      </c>
      <c r="O236" t="s">
        <v>210</v>
      </c>
      <c r="P236" t="str">
        <f>IF(OR(Crops[[#This Row],[Days in Cells]]="",Crops[[#This Row],[Days in Cells]]=0), "DS","TP")</f>
        <v>DS</v>
      </c>
      <c r="Q236" t="b">
        <v>1</v>
      </c>
      <c r="V236" t="str">
        <f xml:space="preserve"> IF(Crops[[#This Row],[Sp]], "Sp", "") &amp; IF(Crops[[#This Row],[Su]], "Su", "") &amp; IF(Crops[[#This Row],[Fa]], "Fa", "") &amp; IF(Crops[[#This Row],[Wi]], "Wi", "") &amp; IF(Crops[[#This Row],[OW]], "Ow","")</f>
        <v>Sp</v>
      </c>
      <c r="W236" t="b">
        <v>1</v>
      </c>
      <c r="X236">
        <v>2</v>
      </c>
      <c r="Y236">
        <v>1</v>
      </c>
      <c r="AD236" s="32">
        <f>IFERROR(12/Crops[[#This Row],[Spacing]]*Crops[[#This Row],[Rows]]*BedLength,"")</f>
        <v>1200</v>
      </c>
      <c r="AE236">
        <v>1</v>
      </c>
      <c r="AG236">
        <f>IF(Crops[[#This Row],[Custom Safety Factor]]="",PlantingSafetyFactor,Crops[[#This Row],[Custom Safety Factor]])</f>
        <v>1.3</v>
      </c>
      <c r="AH236">
        <v>2</v>
      </c>
      <c r="AI236" s="37">
        <f>IFERROR(Crops[[#This Row],[Plantings Per Bed]]*Crops[[#This Row],[Seeds Per Planting]]*Crops[[#This Row],[Safety Factor]]*Crops[[#This Row],[Seeding Factor]],"")</f>
        <v>3120</v>
      </c>
      <c r="AJ236">
        <v>4</v>
      </c>
      <c r="AK236">
        <v>7</v>
      </c>
      <c r="AL236">
        <f>_xlfn.FLOOR.MATH(IFERROR(AVERAGE(Crops[[#This Row],[DTG Lower]:[DTG Upper]]),0))</f>
        <v>5</v>
      </c>
      <c r="AM236">
        <f>SUM(Crops[[#This Row],[Tray 1 Days]],Crops[[#This Row],[Tray 2 Days]],Crops[[#This Row],[Tray 3 Days]])</f>
        <v>0</v>
      </c>
      <c r="AN236">
        <v>0</v>
      </c>
      <c r="AP236">
        <v>28</v>
      </c>
      <c r="AQ236">
        <f>IFERROR(_xlfn.FLOOR.MATH(AVERAGE(Crops[[#This Row],[DTM Lower]:[DTM Upper]])),"")</f>
        <v>28</v>
      </c>
      <c r="AR236" cm="1">
        <f t="array" ref="AR236">_xlfn.SWITCH(Crops[[#This Row],[Normal Method]],"DS",Crops[[#This Row],[Days to Germination]]+Crops[[#This Row],[DTM]] + IF(Crops[[#This Row],[Days in Cells]]&gt;0,15,0), "TP",Crops[[#This Row],[DTM]]+Crops[[#This Row],[Days in Cells]] + IF(Crops[[#This Row],[Days in Cells]]&lt;=0,20,0), "X", Crops[[#This Row],[DTM]])</f>
        <v>33</v>
      </c>
      <c r="AS236" t="s">
        <v>338</v>
      </c>
      <c r="AT236">
        <f>(Crops[[#This Row],[Harvests]]-1)*Crops[[#This Row],[Days Between Harvest]]+7</f>
        <v>33</v>
      </c>
      <c r="AU236">
        <f>Crops[[#This Row],[STH]]-Crops[[#This Row],[Days in Cells]]+Crops[[#This Row],[Harvest window]]</f>
        <v>66</v>
      </c>
      <c r="AZ236" t="str">
        <f>IFERROR(IF(Crops[[#This Row],[Tray 1 Days]]=0,"",Crops[[#This Row],[Plantings Per Bed]]/Crops[[#This Row],[Tray 1 Size]]*Crops[[#This Row],[Safety Factor]]),"")</f>
        <v/>
      </c>
      <c r="BC236" t="str">
        <f>IFERROR(IF(Crops[[#This Row],[Tray 2 Days]]=0,"",Crops[[#This Row],[Plantings Per Bed]]/Crops[[#This Row],[Tray 2 Size]]*Crops[[#This Row],[Safety Factor]]),"")</f>
        <v/>
      </c>
      <c r="BE236" s="32" t="str">
        <f>IF(NOT(ISBLANK(Crops[[#This Row],[Tray 3 Size]])), Crops[[#This Row],[Days in Cells Old]]-SUM(Crops[[#This Row],[Tray 1 Days]],Crops[[#This Row],[Tray 2 Days]]), "")</f>
        <v/>
      </c>
      <c r="BF236" t="str">
        <f>IFERROR(IF(Crops[[#This Row],[Tray 3 Days]]=0,"",Crops[[#This Row],[Plantings Per Bed]]/Crops[[#This Row],[Tray 3 Size]]*Crops[[#This Row],[Safety Factor]]),"")</f>
        <v/>
      </c>
      <c r="BG236" s="33">
        <f>50*BedLength/StandardBedLength/Crops[[#This Row],[Harvests]]</f>
        <v>1.7857142857142858</v>
      </c>
      <c r="BH236" s="33">
        <f>28/Crops[[#This Row],[Days Between Harvest]]</f>
        <v>14</v>
      </c>
      <c r="BI236" s="33">
        <v>2</v>
      </c>
      <c r="BJ236" s="37">
        <f>_xlfn.XLOOKUP(Crops[[#This Row],[ProductIndex]],Products[ID],Products[Holding Period])</f>
        <v>0</v>
      </c>
      <c r="BL236" s="37">
        <f>Crops[[#This Row],[Units Per Harvest]]*Crops[[#This Row],[Harvests]]</f>
        <v>25</v>
      </c>
      <c r="BM236">
        <v>12</v>
      </c>
      <c r="BN236" s="211">
        <f>Crops[[#This Row],[Direct Price]]*0.6</f>
        <v>7.1999999999999993</v>
      </c>
      <c r="BO236" s="211"/>
      <c r="BP236" t="s">
        <v>383</v>
      </c>
      <c r="BQ236" s="193">
        <f>Crops[[#This Row],[Custom Yield Per Bed]]*Crops[[#This Row],[Direct Price]]</f>
        <v>300</v>
      </c>
      <c r="BR236" s="193" t="b">
        <v>0</v>
      </c>
      <c r="BS236" t="b">
        <f>Crops[[#This Row],[Harvests]]&gt;1</f>
        <v>1</v>
      </c>
      <c r="BT236" s="36">
        <f>IFERROR(Crops[[#This Row],[Direct Revenue Per Bed]]/Crops[[#This Row],[Days In Field]],-1)</f>
        <v>4.5454545454545459</v>
      </c>
      <c r="BU236" s="33">
        <f>IFERROR(Crops[[#This Row],[Direct Revenue Per Bed Day]]*GrowingDays*BedsPerAcre,"")</f>
        <v>130909.09090909091</v>
      </c>
      <c r="BV236" s="38">
        <f>LastFrostDate-5*Crops[[#This Row],[Sewing Rel Last Frost]]</f>
        <v>45738</v>
      </c>
      <c r="BW236" s="38">
        <f>Crops[[#This Row],[Target Sewing Date]]+Crops[[#This Row],[Days in Cells]]</f>
        <v>45738</v>
      </c>
      <c r="BX236" s="38">
        <f>Crops[[#This Row],[Target Sewing Date]]+Crops[[#This Row],[STH]]</f>
        <v>45771</v>
      </c>
      <c r="BY236" s="38">
        <f>Crops[[#This Row],[Target Harvest Data]]+Crops[[#This Row],[Harvest window]]</f>
        <v>45804</v>
      </c>
      <c r="BZ236">
        <v>2</v>
      </c>
      <c r="CB236">
        <f>1</f>
        <v>1</v>
      </c>
      <c r="CC236">
        <f>IF(Crops[[#This Row],[Transplanting]]&gt;0, 2, 3)*BedLength/StandardBedLength</f>
        <v>1.5</v>
      </c>
      <c r="CD236" s="173">
        <f>IF(Crops[[#This Row],[Days in Cells]]&lt;=0,0,Crops[[#This Row],[Plantings Per Bed]]/StartsPerHourSeeding+Crops[[#This Row],[Tray 1 Count]]*5/60)</f>
        <v>0</v>
      </c>
      <c r="CE236" s="173">
        <f>IF(ISBLANK(Crops[[#This Row],[Tray 2 Days]]),0,Crops[[#This Row],[Plantings Per Bed]]/UpPottingPerHour)+IF(Crops[[#This Row],[Tray 3 Days]]="",0,Crops[[#This Row],[Plantings Per Bed]]/UpPottingPerHour)</f>
        <v>0</v>
      </c>
      <c r="CF236" s="173">
        <f>IFERROR(Crops[[#This Row],[Tray 1 Count]]/HomeStartFlatIrrigationPerHour,0)*Crops[[#This Row],[Days in Cells]]/DaysBetweenStartIrrigation</f>
        <v>0</v>
      </c>
      <c r="CG236" s="173">
        <f>0.5/16*MAX(Crops[[#This Row],[Tray 1 Count]],Crops[[#This Row],[Tray 2 Count]],Crops[[#This Row],[Tray 3 Count]])</f>
        <v>0</v>
      </c>
      <c r="CH236" s="173">
        <f>IF(Crops[[#This Row],[Days in Cells]]&gt;0,IF(IF(Crops[[#This Row],[Tray 3 Size]]&gt;0,Crops[[#This Row],[Tray 3 Size]],IF(Crops[[#This Row],[Tray 2 Size]]&gt;0,Crops[[#This Row],[Tray 2 Size]],Crops[[#This Row],[Tray 1 Size]]))&lt;=18,LargeTransplantTime,SmallTransplantTime)*Crops[[#This Row],[Plantings Per Bed]],0)</f>
        <v>0</v>
      </c>
      <c r="CI236" s="173"/>
      <c r="CJ236" s="173">
        <f>_xlfn.XLOOKUP(Crops[[#This Row],[Trellis Type]],TrellisMethods[Trellis Type],TrellisMethods[Hours],0,0)</f>
        <v>0</v>
      </c>
      <c r="CK236">
        <f>IF(Crops[[#This Row],[Days in Cells]]&lt;=0,Crops[[#This Row],[Rows]]*1/10,0)*BedLength/50</f>
        <v>0.2</v>
      </c>
      <c r="CL236" cm="1">
        <f t="array" ref="CL236">_xlfn.SWITCH(Crops[[#This Row],[Irrigation]],"DR", 0.5, "OH", 0.25,0)*BedLength/50</f>
        <v>0</v>
      </c>
      <c r="CM236">
        <f>IF(OR(ISBLANK(Crops[[#This Row],[Row Cover]]),Crops[[#This Row],[Row Cover]]="None"),0,1)*BedLength/50</f>
        <v>0</v>
      </c>
      <c r="CN236" s="173">
        <f>HoursPerWeedingPass*Crops[[#This Row],[Days In Field]]/14*Crops[[#This Row],[Rows]]+1*BedLength/50</f>
        <v>2.5714285714285712</v>
      </c>
      <c r="CQ236" s="37">
        <f>_xlfn.XLOOKUP(Crops[[#This Row],[Crop]]&amp;Crops[[#This Row],[Product]]&amp;Crops[[#This Row],[Unit]],Products[ID],Products[Marketing (hr)])*Crops[[#This Row],[Direct Revenue Per Bed]]/2000</f>
        <v>0.75</v>
      </c>
      <c r="CR236" s="37">
        <f>_xlfn.XLOOKUP(Crops[[#This Row],[Crop]]&amp;Crops[[#This Row],[Product]]&amp;Crops[[#This Row],[Unit]],Products[ID],Products[Harvest (s)])*Crops[[#This Row],[Custom Yield Per Bed]]/3600</f>
        <v>0.83333333333333337</v>
      </c>
      <c r="CS236" s="37">
        <f>_xlfn.XLOOKUP(Crops[[#This Row],[Crop]]&amp;Crops[[#This Row],[Product]]&amp;Crops[[#This Row],[Unit]],Products[ID],Products[Bunch (s)])*Crops[[#This Row],[Custom Yield Per Bed]]/3600</f>
        <v>0</v>
      </c>
      <c r="CT236" s="37">
        <f>_xlfn.XLOOKUP(Crops[[#This Row],[Crop]]&amp;Crops[[#This Row],[Product]]&amp;Crops[[#This Row],[Unit]],Products[ID],Products[Haul (s)])*Crops[[#This Row],[Custom Yield Per Bed]]/3600</f>
        <v>6.25E-2</v>
      </c>
      <c r="CU236" s="37">
        <f>_xlfn.XLOOKUP(Crops[[#This Row],[Crop]]&amp;Crops[[#This Row],[Product]]&amp;Crops[[#This Row],[Unit]],Products[ID],Products[Wash (s)])*Crops[[#This Row],[Custom Yield Per Bed]]/3600</f>
        <v>0</v>
      </c>
      <c r="CV236" s="37">
        <f>_xlfn.XLOOKUP(Crops[[#This Row],[Crop]]&amp;Crops[[#This Row],[Product]]&amp;Crops[[#This Row],[Unit]],Products[ID],Products[Condition (s)])*Crops[[#This Row],[Custom Yield Per Bed]]/3600</f>
        <v>0</v>
      </c>
      <c r="CW236" s="37">
        <f>_xlfn.XLOOKUP(Crops[[#This Row],[Crop]]&amp;Crops[[#This Row],[Product]]&amp;Crops[[#This Row],[Unit]],Products[ID],Products[Trim (s)])*Crops[[#This Row],[Custom Yield Per Bed]]/3600</f>
        <v>0</v>
      </c>
      <c r="CX236" s="37">
        <f>_xlfn.XLOOKUP(Crops[[#This Row],[Crop]]&amp;Crops[[#This Row],[Product]]&amp;Crops[[#This Row],[Unit]],Products[ID],Products[Pack (s)])*Crops[[#This Row],[Custom Yield Per Bed]]/3600</f>
        <v>2.0833333333333332E-2</v>
      </c>
      <c r="CY236" s="37">
        <f>_xlfn.XLOOKUP(Crops[[#This Row],[Crop]]&amp;Crops[[#This Row],[Product]]&amp;Crops[[#This Row],[Unit]],Products[ID],Products[Clean (s)])*Crops[[#This Row],[Custom Yield Per Bed]]/3600</f>
        <v>0</v>
      </c>
      <c r="CZ236" s="37">
        <f>_xlfn.XLOOKUP(Crops[[#This Row],[Crop]]&amp;Crops[[#This Row],[Product]]&amp;Crops[[#This Row],[Unit]],Products[ID],Products[Rehandle (s)])*Crops[[#This Row],[Custom Yield Per Bed]]/3600</f>
        <v>0</v>
      </c>
      <c r="DA236" s="37">
        <f>_xlfn.XLOOKUP(Crops[[#This Row],[Crop]]&amp;Crops[[#This Row],[Product]]&amp;Crops[[#This Row],[Unit]],Products[ID],Products[Market Transport (s)])*Crops[[#This Row],[Custom Yield Per Bed]]/3600</f>
        <v>0.15625</v>
      </c>
      <c r="DC236" s="37">
        <f>Crops[[#This Row],[Direct Revenue Per Bed2]]</f>
        <v>300</v>
      </c>
      <c r="DD236" s="173">
        <f>_xlfn.AGGREGATE(9,6,Crops[[#This Row],[Bed Prep]:[Remove Crop Residue]])</f>
        <v>6.0943452380952374</v>
      </c>
      <c r="DE236" s="173">
        <f>_xlfn.AGGREGATE(9,6,Crops[[#This Row],[Bed Prep]:[Remove Crop Residue]])-0.75*Crops[[#This Row],[Market &amp; Sell]]</f>
        <v>5.5318452380952374</v>
      </c>
      <c r="DF236" s="36">
        <f>Crops[[#This Row],[Direct Revenue Per Bed2]]/Crops[[#This Row],[Direct Time]]</f>
        <v>49.225960834106566</v>
      </c>
      <c r="DG236" s="36">
        <f>_xlfn.XLOOKUP(Crops[[#This Row],[ProductIndex]],Products[ID],Products[Packaging Cost])*(Crops[[#This Row],[Custom Yield Per Bed]]/_xlfn.XLOOKUP(Crops[[#This Row],[ProductIndex]],Products[ID],Products[Units Per Pack]))</f>
        <v>9.5</v>
      </c>
      <c r="DH236" s="36"/>
      <c r="DI236" s="36"/>
      <c r="DJ236" s="36"/>
      <c r="DK236" s="36"/>
      <c r="DL236" s="36"/>
      <c r="DM236" s="37">
        <f>IFERROR(Crops[[#This Row],[Custom Yield Per Bed]]*Crops[[#This Row],[Direct Price]],"")</f>
        <v>300</v>
      </c>
      <c r="DN236" s="36">
        <f>Crops[[#This Row],[Direct Time]]*LaborRate</f>
        <v>152.35863095238093</v>
      </c>
      <c r="DO236" s="36">
        <f>SUM(Crops[[#This Row],[Irrigation Cost]])</f>
        <v>0</v>
      </c>
      <c r="DP236" s="36">
        <f>Crops[[#This Row],[Direct Labor Cost]]+Crops[[#This Row],[Direct Non-Labor Cost]]</f>
        <v>152.35863095238093</v>
      </c>
      <c r="DQ236" s="36">
        <f>Crops[[#This Row],[Direct Revenue Per Bed2]]-Crops[[#This Row],[Direct Total Cost]]</f>
        <v>147.64136904761907</v>
      </c>
      <c r="DR236" s="36">
        <f>Crops[[#This Row],[Direct Profit]]*BedsPerAcre</f>
        <v>23622.61904761905</v>
      </c>
      <c r="DS236" s="36">
        <f>Crops[[#This Row],[Direct Profit]]*BedsPerAcre*GrowingDays/Crops[[#This Row],[Days In Field]]</f>
        <v>64425.324675324686</v>
      </c>
      <c r="DT236" s="36">
        <f>Crops[[#This Row],[Direct Profit]]/MIN(Crops[[#This Row],[Days In Field]],GrowingDays)</f>
        <v>2.2369904401154406</v>
      </c>
      <c r="DU236" s="36">
        <f>Crops[[#This Row],[Direct Time]] * BedsPerAcre</f>
        <v>975.09523809523796</v>
      </c>
      <c r="DV236" s="36">
        <f>(Crops[[#This Row],[Direct Revenue Per Bed2]]-Crops[[#This Row],[Direct Non-Labor Cost]])/Crops[[#This Row],[Direct Time]]</f>
        <v>49.225960834106566</v>
      </c>
      <c r="DW236" s="37">
        <f>IFERROR(Crops[[#This Row],[Custom Yield Per Bed]]*Crops[[#This Row],[Rough Wholesale Price]],"")</f>
        <v>179.99999999999997</v>
      </c>
      <c r="DX236" s="36">
        <f>Crops[[#This Row],[Wholesale Time]]*LaborRate</f>
        <v>138.29613095238093</v>
      </c>
      <c r="DY236" s="36">
        <f>SUM(Crops[[#This Row],[Packaging Costs]:[Irrigation Cost]])</f>
        <v>9.5</v>
      </c>
      <c r="DZ236" s="36">
        <f>Crops[[#This Row],[Wholesale Labor Cost]]+Crops[[#This Row],[Wholesale Non-Labor Cost]]</f>
        <v>147.79613095238093</v>
      </c>
      <c r="EA236" s="36">
        <f>Crops[[#This Row],[Wholesale Revenue Per Bed]]-Crops[[#This Row],[Wholesale Total Cost]]</f>
        <v>32.203869047619037</v>
      </c>
      <c r="EB236" s="36">
        <f>Crops[[#This Row],[Wholesale Profit]]*BedsPerAcre</f>
        <v>5152.6190476190459</v>
      </c>
      <c r="EC236" s="36">
        <f>Crops[[#This Row],[Wholesale Profit]]*BedsPerAcre*GrowingDays/Crops[[#This Row],[Days In Field]]</f>
        <v>14052.597402597399</v>
      </c>
      <c r="ED236" s="36">
        <f>Crops[[#This Row],[Wholesale Time]] * BedsPerAcre</f>
        <v>885.09523809523796</v>
      </c>
      <c r="EE236" s="36">
        <f>Crops[[#This Row],[Wholesale Profit]]/MIN(Crops[[#This Row],[Days In Field]],GrowingDays)</f>
        <v>0.48793740981240963</v>
      </c>
      <c r="EF236" s="36">
        <f>(Crops[[#This Row],[Wholesale Revenue Per Bed]]-Crops[[#This Row],[Wholesale Non-Labor Cost]])/Crops[[#This Row],[Direct Time]]</f>
        <v>27.976754407383893</v>
      </c>
      <c r="EG236" s="174">
        <f>Crops[[#This Row],[Packaging Costs]]/Crops[[#This Row],[Wholesale Revenue Per Bed]]</f>
        <v>5.2777777777777785E-2</v>
      </c>
      <c r="EH236" s="36" t="str">
        <f>Crops[[#This Row],[Crop]]&amp;Crops[[#This Row],[Product]]&amp;Crops[[#This Row],[Unit]]</f>
        <v>Pea TendrilYoung ShootsLb</v>
      </c>
      <c r="EI236" s="36" t="b">
        <f>_xlfn.XLOOKUP(Crops[[#This Row],[ProductIndex]],Products[ID],Products[Target])</f>
        <v>0</v>
      </c>
      <c r="EJ236" s="36">
        <f>Crops[[#This Row],[Custom Yield Per Bed]]</f>
        <v>25</v>
      </c>
      <c r="EK236" s="210">
        <f>Crops[[#This Row],[Units Per Harvest]]/Crops[[#This Row],[Days Between Harvest]]*7</f>
        <v>6.25</v>
      </c>
      <c r="EL236" s="210" t="e">
        <f>Crops[[#This Row],[Custom Yield Per Bed]]/_xlfn.XLOOKUP(Crops[[#This Row],[ProductIndex]],Products[ID],Products[CSA Portion])</f>
        <v>#DIV/0!</v>
      </c>
      <c r="EM236" s="210" t="e">
        <f>Crops[[#This Row],[Units Per Harvest]]/Crops[[#This Row],[Days Between Harvest]]*7/_xlfn.XLOOKUP(Crops[[#This Row],[ProductIndex]],Products[ID],Products[CSA Portion])</f>
        <v>#DIV/0!</v>
      </c>
      <c r="EN236" s="210" t="e">
        <f>Crops[[#This Row],[CSA Portions Per Week]]/CSAMembers</f>
        <v>#DIV/0!</v>
      </c>
      <c r="EO236" s="210"/>
      <c r="EP236" s="210"/>
      <c r="EQ236" s="36"/>
      <c r="ER236" s="36">
        <f>Crops[[#This Row],[Harvests]]*Crops[[#This Row],[Days Between Harvest]]/7</f>
        <v>4</v>
      </c>
      <c r="ES236" s="208">
        <f>_xlfn.XLOOKUP(Crops[[#This Row],[ProductIndex]],Products[ID],Products[CSA Need])</f>
        <v>0</v>
      </c>
      <c r="ET236" s="208">
        <f>_xlfn.XLOOKUP(Crops[[#This Row],[ProductIndex]],Products[ID],Products[CSA Times])</f>
        <v>0</v>
      </c>
      <c r="EU236" s="208" t="e">
        <f>Crops[[#This Row],[Custom Yield Per Bed]]/(Crops[[#This Row],[CSA Need]]*(_xlfn.XLOOKUP(Crops[[#This Row],[ProductIndex]],Products[ID],Products[CSA Portion])*CSAMembers))</f>
        <v>#DIV/0!</v>
      </c>
      <c r="EV236" s="208">
        <f>_xlfn.XLOOKUP(Crops[[#This Row],[ProductIndex]],Products[ID],Products[CSA Portion])*CSAMembers*Crops[[#This Row],[CSA Need]]/Crops[[#This Row],[Custom Yield Per Bed]]</f>
        <v>0</v>
      </c>
      <c r="EW236" s="208">
        <f>IFERROR(Crops[[#This Row],[Days In Field]]*Crops[[#This Row],[CSA Beds]],"")</f>
        <v>0</v>
      </c>
      <c r="EX236" s="208" t="e">
        <f>Crops[[#This Row],[CSA Bed Days]]*#REF!</f>
        <v>#REF!</v>
      </c>
      <c r="EY236" t="s">
        <v>386</v>
      </c>
    </row>
    <row r="237" spans="1:155">
      <c r="A237"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Pea Tendril - Young Shoots 3X | Field TP </v>
      </c>
      <c r="B237" s="28"/>
      <c r="C237" s="1"/>
      <c r="D237" s="1"/>
      <c r="E237" s="1" t="b">
        <v>0</v>
      </c>
      <c r="F237" s="1" t="b">
        <f>IFERROR(IF(ISNUMBER(MATCH(Crops[[#This Row],[Identifier]],BedPlan[Crop], 0)), TRUE, FALSE), FALSE)</f>
        <v>0</v>
      </c>
      <c r="G237" s="1" t="b">
        <f>IFERROR(IF(ISNUMBER(MATCH(Crops[[#This Row],[Identifier]],BedPlan[Crop], 0)), TRUE, FALSE), FALSE)</f>
        <v>0</v>
      </c>
      <c r="H237" s="1"/>
      <c r="I237" t="s">
        <v>382</v>
      </c>
      <c r="J237" t="s">
        <v>145</v>
      </c>
      <c r="K237" t="s">
        <v>381</v>
      </c>
      <c r="M237" t="s">
        <v>447</v>
      </c>
      <c r="N237" t="str">
        <f>Crops[[#This Row],[Crop]]</f>
        <v>Pea Tendril</v>
      </c>
      <c r="O237" t="s">
        <v>210</v>
      </c>
      <c r="P237" t="str">
        <f>IF(OR(Crops[[#This Row],[Days in Cells]]="",Crops[[#This Row],[Days in Cells]]=0), "DS","TP")</f>
        <v>TP</v>
      </c>
      <c r="V237" t="str">
        <f xml:space="preserve"> IF(Crops[[#This Row],[Sp]], "Sp", "") &amp; IF(Crops[[#This Row],[Su]], "Su", "") &amp; IF(Crops[[#This Row],[Fa]], "Fa", "") &amp; IF(Crops[[#This Row],[Wi]], "Wi", "") &amp; IF(Crops[[#This Row],[OW]], "Ow","")</f>
        <v/>
      </c>
      <c r="W237" t="b">
        <v>1</v>
      </c>
      <c r="X237">
        <v>3</v>
      </c>
      <c r="Y237">
        <v>9</v>
      </c>
      <c r="AA237" t="s">
        <v>476</v>
      </c>
      <c r="AB237" t="b">
        <v>1</v>
      </c>
      <c r="AC237">
        <v>18</v>
      </c>
      <c r="AD237" s="32">
        <f>IFERROR(12/Crops[[#This Row],[Spacing]]*Crops[[#This Row],[Rows]]*BedLength,"")</f>
        <v>200</v>
      </c>
      <c r="AE237">
        <v>3</v>
      </c>
      <c r="AG237">
        <f>IF(Crops[[#This Row],[Custom Safety Factor]]="",PlantingSafetyFactor,Crops[[#This Row],[Custom Safety Factor]])</f>
        <v>1.3</v>
      </c>
      <c r="AH237">
        <f>1</f>
        <v>1</v>
      </c>
      <c r="AI237" s="37">
        <f>IFERROR(Crops[[#This Row],[Plantings Per Bed]]*Crops[[#This Row],[Seeds Per Planting]]*Crops[[#This Row],[Safety Factor]]*Crops[[#This Row],[Seeding Factor]],"")</f>
        <v>780</v>
      </c>
      <c r="AJ237">
        <v>4</v>
      </c>
      <c r="AK237">
        <v>7</v>
      </c>
      <c r="AL237">
        <f>_xlfn.FLOOR.MATH(IFERROR(AVERAGE(Crops[[#This Row],[DTG Lower]:[DTG Upper]]),0))</f>
        <v>5</v>
      </c>
      <c r="AM237">
        <f>SUM(Crops[[#This Row],[Tray 1 Days]],Crops[[#This Row],[Tray 2 Days]],Crops[[#This Row],[Tray 3 Days]])</f>
        <v>21</v>
      </c>
      <c r="AN237" s="32">
        <v>21</v>
      </c>
      <c r="AP237">
        <v>65</v>
      </c>
      <c r="AQ237">
        <f>IFERROR(_xlfn.FLOOR.MATH(AVERAGE(Crops[[#This Row],[DTM Lower]:[DTM Upper]])),"")</f>
        <v>65</v>
      </c>
      <c r="AR237" cm="1">
        <f t="array" ref="AR237">_xlfn.SWITCH(Crops[[#This Row],[Normal Method]],"DS",Crops[[#This Row],[Days to Germination]]+Crops[[#This Row],[DTM]] + IF(Crops[[#This Row],[Days in Cells]]&gt;0,15,0), "TP",Crops[[#This Row],[DTM]]+Crops[[#This Row],[Days in Cells]] + IF(Crops[[#This Row],[Days in Cells]]&lt;=0,20,0), "X", Crops[[#This Row],[DTM]])</f>
        <v>85</v>
      </c>
      <c r="AS237" t="s">
        <v>338</v>
      </c>
      <c r="AT237">
        <f>(Crops[[#This Row],[Harvests]]-1)*Crops[[#This Row],[Days Between Harvest]]+7</f>
        <v>33</v>
      </c>
      <c r="AU237">
        <f>Crops[[#This Row],[STH]]-Crops[[#This Row],[Days in Cells]]+Crops[[#This Row],[Harvest window]]</f>
        <v>97</v>
      </c>
      <c r="AW237">
        <v>128</v>
      </c>
      <c r="AX237">
        <v>128</v>
      </c>
      <c r="AY237">
        <v>21</v>
      </c>
      <c r="AZ237" s="49">
        <f>IFERROR(IF(Crops[[#This Row],[Tray 1 Days]]=0,"",Crops[[#This Row],[Plantings Per Bed]]/Crops[[#This Row],[Tray 1 Size]]*Crops[[#This Row],[Safety Factor]]),"")</f>
        <v>2.03125</v>
      </c>
      <c r="BC237" t="str">
        <f>IFERROR(IF(Crops[[#This Row],[Tray 2 Days]]=0,"",Crops[[#This Row],[Plantings Per Bed]]/Crops[[#This Row],[Tray 2 Size]]*Crops[[#This Row],[Safety Factor]]),"")</f>
        <v/>
      </c>
      <c r="BE237" s="32" t="str">
        <f>IF(NOT(ISBLANK(Crops[[#This Row],[Tray 3 Size]])), Crops[[#This Row],[Days in Cells Old]]-SUM(Crops[[#This Row],[Tray 1 Days]],Crops[[#This Row],[Tray 2 Days]]), "")</f>
        <v/>
      </c>
      <c r="BF237" s="49" t="str">
        <f>IFERROR(IF(Crops[[#This Row],[Tray 3 Days]]=0,"",Crops[[#This Row],[Plantings Per Bed]]/Crops[[#This Row],[Tray 3 Size]]*Crops[[#This Row],[Safety Factor]]),"")</f>
        <v/>
      </c>
      <c r="BG237" s="33">
        <f>50*BedLength/StandardBedLength/Crops[[#This Row],[Harvests]]</f>
        <v>1.7857142857142858</v>
      </c>
      <c r="BH237" s="33">
        <f>28/Crops[[#This Row],[Days Between Harvest]]</f>
        <v>14</v>
      </c>
      <c r="BI237" s="33">
        <v>2</v>
      </c>
      <c r="BJ237" s="37">
        <f>_xlfn.XLOOKUP(Crops[[#This Row],[ProductIndex]],Products[ID],Products[Holding Period])</f>
        <v>0</v>
      </c>
      <c r="BL237" s="37">
        <f>Crops[[#This Row],[Units Per Harvest]]*Crops[[#This Row],[Harvests]]</f>
        <v>25</v>
      </c>
      <c r="BM237">
        <v>12</v>
      </c>
      <c r="BN237" s="211">
        <f>Crops[[#This Row],[Direct Price]]*0.6</f>
        <v>7.1999999999999993</v>
      </c>
      <c r="BO237" s="211"/>
      <c r="BP237" t="s">
        <v>383</v>
      </c>
      <c r="BQ237" s="193">
        <f>Crops[[#This Row],[Custom Yield Per Bed]]*Crops[[#This Row],[Direct Price]]</f>
        <v>300</v>
      </c>
      <c r="BR237" s="193" t="b">
        <v>0</v>
      </c>
      <c r="BS237" t="b">
        <f>Crops[[#This Row],[Harvests]]&gt;1</f>
        <v>1</v>
      </c>
      <c r="BT237" s="36">
        <f>IFERROR(Crops[[#This Row],[Direct Revenue Per Bed]]/Crops[[#This Row],[Days In Field]],-1)</f>
        <v>3.0927835051546393</v>
      </c>
      <c r="BU237" s="33">
        <f>IFERROR(Crops[[#This Row],[Direct Revenue Per Bed Day]]*GrowingDays*BedsPerAcre,"")</f>
        <v>89072.164948453603</v>
      </c>
      <c r="BV237" s="38">
        <f>LastFrostDate-5*Crops[[#This Row],[Sewing Rel Last Frost]]</f>
        <v>45718</v>
      </c>
      <c r="BW237" s="38">
        <f>Crops[[#This Row],[Target Sewing Date]]+Crops[[#This Row],[Days in Cells]]</f>
        <v>45739</v>
      </c>
      <c r="BX237" s="38">
        <f>Crops[[#This Row],[Target Sewing Date]]+Crops[[#This Row],[STH]]</f>
        <v>45803</v>
      </c>
      <c r="BY237" s="38">
        <f>Crops[[#This Row],[Target Harvest Data]]+Crops[[#This Row],[Harvest window]]</f>
        <v>45836</v>
      </c>
      <c r="BZ237">
        <v>6</v>
      </c>
      <c r="CA237" t="s">
        <v>373</v>
      </c>
      <c r="CB237">
        <f>1</f>
        <v>1</v>
      </c>
      <c r="CC237">
        <f>IF(Crops[[#This Row],[Transplanting]]&gt;0, 2, 3)*BedLength/StandardBedLength</f>
        <v>1</v>
      </c>
      <c r="CD237" s="173">
        <f>IF(Crops[[#This Row],[Days in Cells]]&lt;=0,0,Crops[[#This Row],[Plantings Per Bed]]/StartsPerHourSeeding+Crops[[#This Row],[Tray 1 Count]]*5/60)</f>
        <v>0.95052083333333337</v>
      </c>
      <c r="CE237" s="173">
        <f>IF(ISBLANK(Crops[[#This Row],[Tray 2 Days]]),0,Crops[[#This Row],[Plantings Per Bed]]/UpPottingPerHour)+IF(Crops[[#This Row],[Tray 3 Days]]="",0,Crops[[#This Row],[Plantings Per Bed]]/UpPottingPerHour)</f>
        <v>0</v>
      </c>
      <c r="CF237" s="173">
        <f>IFERROR(Crops[[#This Row],[Tray 1 Count]]/HomeStartFlatIrrigationPerHour,0)*Crops[[#This Row],[Days in Cells]]/DaysBetweenStartIrrigation</f>
        <v>0.177734375</v>
      </c>
      <c r="CG237" s="173">
        <f>0.5/16*MAX(Crops[[#This Row],[Tray 1 Count]],Crops[[#This Row],[Tray 2 Count]],Crops[[#This Row],[Tray 3 Count]])</f>
        <v>6.34765625E-2</v>
      </c>
      <c r="CH237" s="173">
        <f>IF(Crops[[#This Row],[Days in Cells]]&gt;0,IF(IF(Crops[[#This Row],[Tray 3 Size]]&gt;0,Crops[[#This Row],[Tray 3 Size]],IF(Crops[[#This Row],[Tray 2 Size]]&gt;0,Crops[[#This Row],[Tray 2 Size]],Crops[[#This Row],[Tray 1 Size]]))&lt;=18,LargeTransplantTime,SmallTransplantTime)*Crops[[#This Row],[Plantings Per Bed]],0)</f>
        <v>1</v>
      </c>
      <c r="CI237" s="173"/>
      <c r="CJ237" s="173">
        <f>_xlfn.XLOOKUP(Crops[[#This Row],[Trellis Type]],TrellisMethods[Trellis Type],TrellisMethods[Hours],0,0)</f>
        <v>0</v>
      </c>
      <c r="CK237">
        <f>IF(Crops[[#This Row],[Days in Cells]]&lt;=0,Crops[[#This Row],[Rows]]*1/10,0)*BedLength/50</f>
        <v>0</v>
      </c>
      <c r="CL237" cm="1">
        <f t="array" ref="CL237">_xlfn.SWITCH(Crops[[#This Row],[Irrigation]],"DR", 0.5, "OH", 0.25,0)*BedLength/50</f>
        <v>0</v>
      </c>
      <c r="CM237">
        <f>IF(OR(ISBLANK(Crops[[#This Row],[Row Cover]]),Crops[[#This Row],[Row Cover]]="None"),0,1)*BedLength/50</f>
        <v>1</v>
      </c>
      <c r="CN237" s="173">
        <f>HoursPerWeedingPass*Crops[[#This Row],[Days In Field]]/14*Crops[[#This Row],[Rows]]+1*BedLength/50</f>
        <v>4.4642857142857135</v>
      </c>
      <c r="CQ237" s="37">
        <f>_xlfn.XLOOKUP(Crops[[#This Row],[Crop]]&amp;Crops[[#This Row],[Product]]&amp;Crops[[#This Row],[Unit]],Products[ID],Products[Marketing (hr)])*Crops[[#This Row],[Direct Revenue Per Bed]]/2000</f>
        <v>0.75</v>
      </c>
      <c r="CR237" s="37">
        <f>_xlfn.XLOOKUP(Crops[[#This Row],[Crop]]&amp;Crops[[#This Row],[Product]]&amp;Crops[[#This Row],[Unit]],Products[ID],Products[Harvest (s)])*Crops[[#This Row],[Custom Yield Per Bed]]/3600</f>
        <v>0.83333333333333337</v>
      </c>
      <c r="CS237" s="37">
        <f>_xlfn.XLOOKUP(Crops[[#This Row],[Crop]]&amp;Crops[[#This Row],[Product]]&amp;Crops[[#This Row],[Unit]],Products[ID],Products[Bunch (s)])*Crops[[#This Row],[Custom Yield Per Bed]]/3600</f>
        <v>0</v>
      </c>
      <c r="CT237" s="37">
        <f>_xlfn.XLOOKUP(Crops[[#This Row],[Crop]]&amp;Crops[[#This Row],[Product]]&amp;Crops[[#This Row],[Unit]],Products[ID],Products[Haul (s)])*Crops[[#This Row],[Custom Yield Per Bed]]/3600</f>
        <v>6.25E-2</v>
      </c>
      <c r="CU237" s="37">
        <f>_xlfn.XLOOKUP(Crops[[#This Row],[Crop]]&amp;Crops[[#This Row],[Product]]&amp;Crops[[#This Row],[Unit]],Products[ID],Products[Wash (s)])*Crops[[#This Row],[Custom Yield Per Bed]]/3600</f>
        <v>0</v>
      </c>
      <c r="CV237" s="37">
        <f>_xlfn.XLOOKUP(Crops[[#This Row],[Crop]]&amp;Crops[[#This Row],[Product]]&amp;Crops[[#This Row],[Unit]],Products[ID],Products[Condition (s)])*Crops[[#This Row],[Custom Yield Per Bed]]/3600</f>
        <v>0</v>
      </c>
      <c r="CW237" s="37">
        <f>_xlfn.XLOOKUP(Crops[[#This Row],[Crop]]&amp;Crops[[#This Row],[Product]]&amp;Crops[[#This Row],[Unit]],Products[ID],Products[Trim (s)])*Crops[[#This Row],[Custom Yield Per Bed]]/3600</f>
        <v>0</v>
      </c>
      <c r="CX237" s="37">
        <f>_xlfn.XLOOKUP(Crops[[#This Row],[Crop]]&amp;Crops[[#This Row],[Product]]&amp;Crops[[#This Row],[Unit]],Products[ID],Products[Pack (s)])*Crops[[#This Row],[Custom Yield Per Bed]]/3600</f>
        <v>2.0833333333333332E-2</v>
      </c>
      <c r="CY237" s="37">
        <f>_xlfn.XLOOKUP(Crops[[#This Row],[Crop]]&amp;Crops[[#This Row],[Product]]&amp;Crops[[#This Row],[Unit]],Products[ID],Products[Clean (s)])*Crops[[#This Row],[Custom Yield Per Bed]]/3600</f>
        <v>0</v>
      </c>
      <c r="CZ237" s="37">
        <f>_xlfn.XLOOKUP(Crops[[#This Row],[Crop]]&amp;Crops[[#This Row],[Product]]&amp;Crops[[#This Row],[Unit]],Products[ID],Products[Rehandle (s)])*Crops[[#This Row],[Custom Yield Per Bed]]/3600</f>
        <v>0</v>
      </c>
      <c r="DA237" s="37">
        <f>_xlfn.XLOOKUP(Crops[[#This Row],[Crop]]&amp;Crops[[#This Row],[Product]]&amp;Crops[[#This Row],[Unit]],Products[ID],Products[Market Transport (s)])*Crops[[#This Row],[Custom Yield Per Bed]]/3600</f>
        <v>0.15625</v>
      </c>
      <c r="DC237" s="37">
        <f>Crops[[#This Row],[Direct Revenue Per Bed2]]</f>
        <v>300</v>
      </c>
      <c r="DD237" s="173">
        <f>_xlfn.AGGREGATE(9,6,Crops[[#This Row],[Bed Prep]:[Remove Crop Residue]])</f>
        <v>10.478934151785715</v>
      </c>
      <c r="DE237" s="173">
        <f>_xlfn.AGGREGATE(9,6,Crops[[#This Row],[Bed Prep]:[Remove Crop Residue]])-0.75*Crops[[#This Row],[Market &amp; Sell]]</f>
        <v>9.9164341517857153</v>
      </c>
      <c r="DF237" s="36">
        <f>Crops[[#This Row],[Direct Revenue Per Bed2]]/Crops[[#This Row],[Direct Time]]</f>
        <v>28.628865842131187</v>
      </c>
      <c r="DG237" s="36">
        <f>_xlfn.XLOOKUP(Crops[[#This Row],[ProductIndex]],Products[ID],Products[Packaging Cost])*(Crops[[#This Row],[Custom Yield Per Bed]]/_xlfn.XLOOKUP(Crops[[#This Row],[ProductIndex]],Products[ID],Products[Units Per Pack]))</f>
        <v>9.5</v>
      </c>
      <c r="DH237" s="36"/>
      <c r="DI237" s="36"/>
      <c r="DJ237" s="36"/>
      <c r="DK237" s="36"/>
      <c r="DL237" s="36"/>
      <c r="DM237" s="37">
        <f>IFERROR(Crops[[#This Row],[Custom Yield Per Bed]]*Crops[[#This Row],[Direct Price]],"")</f>
        <v>300</v>
      </c>
      <c r="DN237" s="36">
        <f>Crops[[#This Row],[Direct Time]]*LaborRate</f>
        <v>261.97335379464289</v>
      </c>
      <c r="DO237" s="36">
        <f>SUM(Crops[[#This Row],[Irrigation Cost]])</f>
        <v>0</v>
      </c>
      <c r="DP237" s="36">
        <f>Crops[[#This Row],[Direct Labor Cost]]+Crops[[#This Row],[Direct Non-Labor Cost]]</f>
        <v>261.97335379464289</v>
      </c>
      <c r="DQ237" s="36">
        <f>Crops[[#This Row],[Direct Revenue Per Bed2]]-Crops[[#This Row],[Direct Total Cost]]</f>
        <v>38.02664620535711</v>
      </c>
      <c r="DR237" s="36">
        <f>Crops[[#This Row],[Direct Profit]]*BedsPerAcre</f>
        <v>6084.2633928571377</v>
      </c>
      <c r="DS237" s="36">
        <f>Crops[[#This Row],[Direct Profit]]*BedsPerAcre*GrowingDays/Crops[[#This Row],[Days In Field]]</f>
        <v>11290.385677466853</v>
      </c>
      <c r="DT237" s="36">
        <f>Crops[[#This Row],[Direct Profit]]/MIN(Crops[[#This Row],[Days In Field]],GrowingDays)</f>
        <v>0.39202728046759905</v>
      </c>
      <c r="DU237" s="36">
        <f>Crops[[#This Row],[Direct Time]] * BedsPerAcre</f>
        <v>1676.6294642857144</v>
      </c>
      <c r="DV237" s="36">
        <f>(Crops[[#This Row],[Direct Revenue Per Bed2]]-Crops[[#This Row],[Direct Non-Labor Cost]])/Crops[[#This Row],[Direct Time]]</f>
        <v>28.628865842131187</v>
      </c>
      <c r="DW237" s="37">
        <f>IFERROR(Crops[[#This Row],[Custom Yield Per Bed]]*Crops[[#This Row],[Rough Wholesale Price]],"")</f>
        <v>179.99999999999997</v>
      </c>
      <c r="DX237" s="36">
        <f>Crops[[#This Row],[Wholesale Time]]*LaborRate</f>
        <v>247.91085379464289</v>
      </c>
      <c r="DY237" s="36">
        <f>SUM(Crops[[#This Row],[Packaging Costs]:[Irrigation Cost]])</f>
        <v>9.5</v>
      </c>
      <c r="DZ237" s="36">
        <f>Crops[[#This Row],[Wholesale Labor Cost]]+Crops[[#This Row],[Wholesale Non-Labor Cost]]</f>
        <v>257.41085379464289</v>
      </c>
      <c r="EA237" s="36">
        <f>Crops[[#This Row],[Wholesale Revenue Per Bed]]-Crops[[#This Row],[Wholesale Total Cost]]</f>
        <v>-77.410853794642918</v>
      </c>
      <c r="EB237" s="36">
        <f>Crops[[#This Row],[Wholesale Profit]]*BedsPerAcre</f>
        <v>-12385.736607142866</v>
      </c>
      <c r="EC237" s="36">
        <f>Crops[[#This Row],[Wholesale Profit]]*BedsPerAcre*GrowingDays/Crops[[#This Row],[Days In Field]]</f>
        <v>-22983.841126656866</v>
      </c>
      <c r="ED237" s="36">
        <f>Crops[[#This Row],[Wholesale Time]] * BedsPerAcre</f>
        <v>1586.6294642857144</v>
      </c>
      <c r="EE237" s="36">
        <f>Crops[[#This Row],[Wholesale Profit]]/MIN(Crops[[#This Row],[Days In Field]],GrowingDays)</f>
        <v>-0.79805003912003003</v>
      </c>
      <c r="EF237" s="36">
        <f>(Crops[[#This Row],[Wholesale Revenue Per Bed]]-Crops[[#This Row],[Wholesale Non-Labor Cost]])/Crops[[#This Row],[Direct Time]]</f>
        <v>16.270738753611223</v>
      </c>
      <c r="EG237" s="174">
        <f>Crops[[#This Row],[Packaging Costs]]/Crops[[#This Row],[Wholesale Revenue Per Bed]]</f>
        <v>5.2777777777777785E-2</v>
      </c>
      <c r="EH237" s="36" t="str">
        <f>Crops[[#This Row],[Crop]]&amp;Crops[[#This Row],[Product]]&amp;Crops[[#This Row],[Unit]]</f>
        <v>Pea TendrilYoung ShootsLb</v>
      </c>
      <c r="EI237" s="36" t="b">
        <f>_xlfn.XLOOKUP(Crops[[#This Row],[ProductIndex]],Products[ID],Products[Target])</f>
        <v>0</v>
      </c>
      <c r="EJ237" s="36">
        <f>Crops[[#This Row],[Custom Yield Per Bed]]</f>
        <v>25</v>
      </c>
      <c r="EK237" s="210">
        <f>Crops[[#This Row],[Units Per Harvest]]/Crops[[#This Row],[Days Between Harvest]]*7</f>
        <v>6.25</v>
      </c>
      <c r="EL237" s="210" t="e">
        <f>Crops[[#This Row],[Custom Yield Per Bed]]/_xlfn.XLOOKUP(Crops[[#This Row],[ProductIndex]],Products[ID],Products[CSA Portion])</f>
        <v>#DIV/0!</v>
      </c>
      <c r="EM237" s="210" t="e">
        <f>Crops[[#This Row],[Units Per Harvest]]/Crops[[#This Row],[Days Between Harvest]]*7/_xlfn.XLOOKUP(Crops[[#This Row],[ProductIndex]],Products[ID],Products[CSA Portion])</f>
        <v>#DIV/0!</v>
      </c>
      <c r="EN237" s="210" t="e">
        <f>Crops[[#This Row],[CSA Portions Per Week]]/CSAMembers</f>
        <v>#DIV/0!</v>
      </c>
      <c r="EO237" s="210"/>
      <c r="EP237" s="210"/>
      <c r="EQ237" s="36"/>
      <c r="ER237" s="36">
        <f>Crops[[#This Row],[Harvests]]*Crops[[#This Row],[Days Between Harvest]]/7</f>
        <v>4</v>
      </c>
      <c r="ES237" s="208">
        <f>_xlfn.XLOOKUP(Crops[[#This Row],[ProductIndex]],Products[ID],Products[CSA Need])</f>
        <v>0</v>
      </c>
      <c r="ET237" s="208">
        <f>_xlfn.XLOOKUP(Crops[[#This Row],[ProductIndex]],Products[ID],Products[CSA Times])</f>
        <v>0</v>
      </c>
      <c r="EU237" s="208" t="e">
        <f>Crops[[#This Row],[Custom Yield Per Bed]]/(Crops[[#This Row],[CSA Need]]*(_xlfn.XLOOKUP(Crops[[#This Row],[ProductIndex]],Products[ID],Products[CSA Portion])*CSAMembers))</f>
        <v>#DIV/0!</v>
      </c>
      <c r="EV237" s="208">
        <f>_xlfn.XLOOKUP(Crops[[#This Row],[ProductIndex]],Products[ID],Products[CSA Portion])*CSAMembers*Crops[[#This Row],[CSA Need]]/Crops[[#This Row],[Custom Yield Per Bed]]</f>
        <v>0</v>
      </c>
      <c r="EW237" s="208">
        <f>IFERROR(Crops[[#This Row],[Days In Field]]*Crops[[#This Row],[CSA Beds]],"")</f>
        <v>0</v>
      </c>
      <c r="EX237" s="208" t="e">
        <f>Crops[[#This Row],[CSA Bed Days]]*#REF!</f>
        <v>#REF!</v>
      </c>
      <c r="EY237" t="s">
        <v>384</v>
      </c>
    </row>
    <row r="238" spans="1:155">
      <c r="A23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Pea Tendril - Young Shoots 3X | Greenhouse TP </v>
      </c>
      <c r="B238" s="28"/>
      <c r="C238" s="1"/>
      <c r="D238" s="1"/>
      <c r="E238" s="1" t="b">
        <v>0</v>
      </c>
      <c r="F238" s="1" t="b">
        <f>IFERROR(IF(ISNUMBER(MATCH(Crops[[#This Row],[Identifier]],BedPlan[Crop], 0)), TRUE, FALSE), FALSE)</f>
        <v>0</v>
      </c>
      <c r="G238" s="1" t="b">
        <f>IFERROR(IF(ISNUMBER(MATCH(Crops[[#This Row],[Identifier]],BedPlan[Crop], 0)), TRUE, FALSE), FALSE)</f>
        <v>0</v>
      </c>
      <c r="H238" s="1"/>
      <c r="I238" t="s">
        <v>382</v>
      </c>
      <c r="J238" t="s">
        <v>145</v>
      </c>
      <c r="K238" t="s">
        <v>381</v>
      </c>
      <c r="M238" t="s">
        <v>447</v>
      </c>
      <c r="N238" t="str">
        <f>Crops[[#This Row],[Crop]]</f>
        <v>Pea Tendril</v>
      </c>
      <c r="O238" t="s">
        <v>211</v>
      </c>
      <c r="P238" t="str">
        <f>IF(OR(Crops[[#This Row],[Days in Cells]]="",Crops[[#This Row],[Days in Cells]]=0), "DS","TP")</f>
        <v>TP</v>
      </c>
      <c r="V238" t="str">
        <f xml:space="preserve"> IF(Crops[[#This Row],[Sp]], "Sp", "") &amp; IF(Crops[[#This Row],[Su]], "Su", "") &amp; IF(Crops[[#This Row],[Fa]], "Fa", "") &amp; IF(Crops[[#This Row],[Wi]], "Wi", "") &amp; IF(Crops[[#This Row],[OW]], "Ow","")</f>
        <v/>
      </c>
      <c r="W238" t="b">
        <v>1</v>
      </c>
      <c r="X238">
        <v>3</v>
      </c>
      <c r="Y238">
        <v>9</v>
      </c>
      <c r="AA238" t="s">
        <v>476</v>
      </c>
      <c r="AB238" t="b">
        <v>1</v>
      </c>
      <c r="AC238">
        <v>18</v>
      </c>
      <c r="AD238" s="32">
        <f>IFERROR(12/Crops[[#This Row],[Spacing]]*Crops[[#This Row],[Rows]]*BedLength,"")</f>
        <v>200</v>
      </c>
      <c r="AE238">
        <v>3</v>
      </c>
      <c r="AG238">
        <v>1.1000000000000001</v>
      </c>
      <c r="AH238">
        <f>1</f>
        <v>1</v>
      </c>
      <c r="AI238" s="37">
        <f>IFERROR(Crops[[#This Row],[Plantings Per Bed]]*Crops[[#This Row],[Seeds Per Planting]]*Crops[[#This Row],[Safety Factor]]*Crops[[#This Row],[Seeding Factor]],"")</f>
        <v>660</v>
      </c>
      <c r="AJ238">
        <v>4</v>
      </c>
      <c r="AK238">
        <v>7</v>
      </c>
      <c r="AL238">
        <f>_xlfn.FLOOR.MATH(IFERROR(AVERAGE(Crops[[#This Row],[DTG Lower]:[DTG Upper]]),0))</f>
        <v>5</v>
      </c>
      <c r="AM238">
        <f>SUM(Crops[[#This Row],[Tray 1 Days]],Crops[[#This Row],[Tray 2 Days]],Crops[[#This Row],[Tray 3 Days]])</f>
        <v>21</v>
      </c>
      <c r="AN238" s="32">
        <v>21</v>
      </c>
      <c r="AP238">
        <v>65</v>
      </c>
      <c r="AQ238">
        <f>IFERROR(_xlfn.FLOOR.MATH(AVERAGE(Crops[[#This Row],[DTM Lower]:[DTM Upper]])),"")</f>
        <v>65</v>
      </c>
      <c r="AR238" cm="1">
        <f t="array" ref="AR238">_xlfn.SWITCH(Crops[[#This Row],[Normal Method]],"DS",Crops[[#This Row],[Days to Germination]]+Crops[[#This Row],[DTM]] + IF(Crops[[#This Row],[Days in Cells]]&gt;0,15,0), "TP",Crops[[#This Row],[DTM]]+Crops[[#This Row],[Days in Cells]] + IF(Crops[[#This Row],[Days in Cells]]&lt;=0,20,0), "X", Crops[[#This Row],[DTM]])</f>
        <v>85</v>
      </c>
      <c r="AS238" t="s">
        <v>338</v>
      </c>
      <c r="AT238">
        <f>(Crops[[#This Row],[Harvests]]-1)*Crops[[#This Row],[Days Between Harvest]]+7</f>
        <v>33</v>
      </c>
      <c r="AU238">
        <f>Crops[[#This Row],[STH]]-Crops[[#This Row],[Days in Cells]]+Crops[[#This Row],[Harvest window]]</f>
        <v>97</v>
      </c>
      <c r="AW238">
        <v>128</v>
      </c>
      <c r="AX238">
        <v>128</v>
      </c>
      <c r="AY238">
        <v>21</v>
      </c>
      <c r="AZ238" s="49">
        <f>IFERROR(IF(Crops[[#This Row],[Tray 1 Days]]=0,"",Crops[[#This Row],[Plantings Per Bed]]/Crops[[#This Row],[Tray 1 Size]]*Crops[[#This Row],[Safety Factor]]),"")</f>
        <v>1.7187500000000002</v>
      </c>
      <c r="BC238" t="str">
        <f>IFERROR(IF(Crops[[#This Row],[Tray 2 Days]]=0,"",Crops[[#This Row],[Plantings Per Bed]]/Crops[[#This Row],[Tray 2 Size]]*Crops[[#This Row],[Safety Factor]]),"")</f>
        <v/>
      </c>
      <c r="BE238" s="32" t="str">
        <f>IF(NOT(ISBLANK(Crops[[#This Row],[Tray 3 Size]])), Crops[[#This Row],[Days in Cells Old]]-SUM(Crops[[#This Row],[Tray 1 Days]],Crops[[#This Row],[Tray 2 Days]]), "")</f>
        <v/>
      </c>
      <c r="BF238" s="49" t="str">
        <f>IFERROR(IF(Crops[[#This Row],[Tray 3 Days]]=0,"",Crops[[#This Row],[Plantings Per Bed]]/Crops[[#This Row],[Tray 3 Size]]*Crops[[#This Row],[Safety Factor]]),"")</f>
        <v/>
      </c>
      <c r="BG238" s="33">
        <f>50*BedLength/StandardBedLength/Crops[[#This Row],[Harvests]]</f>
        <v>1.7857142857142858</v>
      </c>
      <c r="BH238" s="33">
        <f>28/Crops[[#This Row],[Days Between Harvest]]</f>
        <v>14</v>
      </c>
      <c r="BI238" s="33">
        <v>2</v>
      </c>
      <c r="BJ238" s="37">
        <f>_xlfn.XLOOKUP(Crops[[#This Row],[ProductIndex]],Products[ID],Products[Holding Period])</f>
        <v>0</v>
      </c>
      <c r="BL238" s="37">
        <f>Crops[[#This Row],[Units Per Harvest]]*Crops[[#This Row],[Harvests]]</f>
        <v>25</v>
      </c>
      <c r="BM238">
        <v>12</v>
      </c>
      <c r="BN238" s="211">
        <f>Crops[[#This Row],[Direct Price]]*0.6</f>
        <v>7.1999999999999993</v>
      </c>
      <c r="BO238" s="211"/>
      <c r="BP238" t="s">
        <v>383</v>
      </c>
      <c r="BQ238" s="193">
        <f>Crops[[#This Row],[Custom Yield Per Bed]]*Crops[[#This Row],[Direct Price]]</f>
        <v>300</v>
      </c>
      <c r="BR238" s="193" t="b">
        <v>0</v>
      </c>
      <c r="BS238" t="b">
        <f>Crops[[#This Row],[Harvests]]&gt;1</f>
        <v>1</v>
      </c>
      <c r="BT238" s="36">
        <f>IFERROR(Crops[[#This Row],[Direct Revenue Per Bed]]/Crops[[#This Row],[Days In Field]],-1)</f>
        <v>3.0927835051546393</v>
      </c>
      <c r="BU238" s="33">
        <f>IFERROR(Crops[[#This Row],[Direct Revenue Per Bed Day]]*GrowingDays*BedsPerAcre,"")</f>
        <v>89072.164948453603</v>
      </c>
      <c r="BV238" s="38">
        <f>LastFrostDate-5*Crops[[#This Row],[Sewing Rel Last Frost]]</f>
        <v>45718</v>
      </c>
      <c r="BW238" s="38">
        <f>Crops[[#This Row],[Target Sewing Date]]+Crops[[#This Row],[Days in Cells]]</f>
        <v>45739</v>
      </c>
      <c r="BX238" s="38">
        <f>Crops[[#This Row],[Target Sewing Date]]+Crops[[#This Row],[STH]]</f>
        <v>45803</v>
      </c>
      <c r="BY238" s="38">
        <f>Crops[[#This Row],[Target Harvest Data]]+Crops[[#This Row],[Harvest window]]</f>
        <v>45836</v>
      </c>
      <c r="BZ238">
        <v>6</v>
      </c>
      <c r="CA238" t="s">
        <v>373</v>
      </c>
      <c r="CB238">
        <f>1</f>
        <v>1</v>
      </c>
      <c r="CC238">
        <f>IF(Crops[[#This Row],[Transplanting]]&gt;0, 2, 3)*BedLength/StandardBedLength</f>
        <v>1</v>
      </c>
      <c r="CD238" s="173">
        <f>IF(Crops[[#This Row],[Days in Cells]]&lt;=0,0,Crops[[#This Row],[Plantings Per Bed]]/StartsPerHourSeeding+Crops[[#This Row],[Tray 1 Count]]*5/60)</f>
        <v>0.92447916666666674</v>
      </c>
      <c r="CE238" s="173">
        <f>IF(ISBLANK(Crops[[#This Row],[Tray 2 Days]]),0,Crops[[#This Row],[Plantings Per Bed]]/UpPottingPerHour)+IF(Crops[[#This Row],[Tray 3 Days]]="",0,Crops[[#This Row],[Plantings Per Bed]]/UpPottingPerHour)</f>
        <v>0</v>
      </c>
      <c r="CF238" s="173">
        <f>IFERROR(Crops[[#This Row],[Tray 1 Count]]/HomeStartFlatIrrigationPerHour,0)*Crops[[#This Row],[Days in Cells]]/DaysBetweenStartIrrigation</f>
        <v>0.150390625</v>
      </c>
      <c r="CG238" s="173">
        <f>0.5/16*MAX(Crops[[#This Row],[Tray 1 Count]],Crops[[#This Row],[Tray 2 Count]],Crops[[#This Row],[Tray 3 Count]])</f>
        <v>5.3710937500000007E-2</v>
      </c>
      <c r="CH238" s="173">
        <f>IF(Crops[[#This Row],[Days in Cells]]&gt;0,IF(IF(Crops[[#This Row],[Tray 3 Size]]&gt;0,Crops[[#This Row],[Tray 3 Size]],IF(Crops[[#This Row],[Tray 2 Size]]&gt;0,Crops[[#This Row],[Tray 2 Size]],Crops[[#This Row],[Tray 1 Size]]))&lt;=18,LargeTransplantTime,SmallTransplantTime)*Crops[[#This Row],[Plantings Per Bed]],0)</f>
        <v>1</v>
      </c>
      <c r="CI238" s="173"/>
      <c r="CJ238" s="173">
        <f>_xlfn.XLOOKUP(Crops[[#This Row],[Trellis Type]],TrellisMethods[Trellis Type],TrellisMethods[Hours],0,0)</f>
        <v>0</v>
      </c>
      <c r="CK238">
        <f>IF(Crops[[#This Row],[Days in Cells]]&lt;=0,Crops[[#This Row],[Rows]]*1/10,0)*BedLength/50</f>
        <v>0</v>
      </c>
      <c r="CL238" cm="1">
        <f t="array" ref="CL238">_xlfn.SWITCH(Crops[[#This Row],[Irrigation]],"DR", 0.5, "OH", 0.25,0)*BedLength/50</f>
        <v>0</v>
      </c>
      <c r="CM238">
        <f>IF(OR(ISBLANK(Crops[[#This Row],[Row Cover]]),Crops[[#This Row],[Row Cover]]="None"),0,1)*BedLength/50</f>
        <v>1</v>
      </c>
      <c r="CN238" s="173">
        <f>HoursPerWeedingPass*Crops[[#This Row],[Days In Field]]/14*Crops[[#This Row],[Rows]]+1*BedLength/50</f>
        <v>4.4642857142857135</v>
      </c>
      <c r="CQ238" s="37">
        <f>_xlfn.XLOOKUP(Crops[[#This Row],[Crop]]&amp;Crops[[#This Row],[Product]]&amp;Crops[[#This Row],[Unit]],Products[ID],Products[Marketing (hr)])*Crops[[#This Row],[Direct Revenue Per Bed]]/2000</f>
        <v>0.75</v>
      </c>
      <c r="CR238" s="37">
        <f>_xlfn.XLOOKUP(Crops[[#This Row],[Crop]]&amp;Crops[[#This Row],[Product]]&amp;Crops[[#This Row],[Unit]],Products[ID],Products[Harvest (s)])*Crops[[#This Row],[Custom Yield Per Bed]]/3600</f>
        <v>0.83333333333333337</v>
      </c>
      <c r="CS238" s="37">
        <f>_xlfn.XLOOKUP(Crops[[#This Row],[Crop]]&amp;Crops[[#This Row],[Product]]&amp;Crops[[#This Row],[Unit]],Products[ID],Products[Bunch (s)])*Crops[[#This Row],[Custom Yield Per Bed]]/3600</f>
        <v>0</v>
      </c>
      <c r="CT238" s="37">
        <f>_xlfn.XLOOKUP(Crops[[#This Row],[Crop]]&amp;Crops[[#This Row],[Product]]&amp;Crops[[#This Row],[Unit]],Products[ID],Products[Haul (s)])*Crops[[#This Row],[Custom Yield Per Bed]]/3600</f>
        <v>6.25E-2</v>
      </c>
      <c r="CU238" s="37">
        <f>_xlfn.XLOOKUP(Crops[[#This Row],[Crop]]&amp;Crops[[#This Row],[Product]]&amp;Crops[[#This Row],[Unit]],Products[ID],Products[Wash (s)])*Crops[[#This Row],[Custom Yield Per Bed]]/3600</f>
        <v>0</v>
      </c>
      <c r="CV238" s="37">
        <f>_xlfn.XLOOKUP(Crops[[#This Row],[Crop]]&amp;Crops[[#This Row],[Product]]&amp;Crops[[#This Row],[Unit]],Products[ID],Products[Condition (s)])*Crops[[#This Row],[Custom Yield Per Bed]]/3600</f>
        <v>0</v>
      </c>
      <c r="CW238" s="37">
        <f>_xlfn.XLOOKUP(Crops[[#This Row],[Crop]]&amp;Crops[[#This Row],[Product]]&amp;Crops[[#This Row],[Unit]],Products[ID],Products[Trim (s)])*Crops[[#This Row],[Custom Yield Per Bed]]/3600</f>
        <v>0</v>
      </c>
      <c r="CX238" s="37">
        <f>_xlfn.XLOOKUP(Crops[[#This Row],[Crop]]&amp;Crops[[#This Row],[Product]]&amp;Crops[[#This Row],[Unit]],Products[ID],Products[Pack (s)])*Crops[[#This Row],[Custom Yield Per Bed]]/3600</f>
        <v>2.0833333333333332E-2</v>
      </c>
      <c r="CY238" s="37">
        <f>_xlfn.XLOOKUP(Crops[[#This Row],[Crop]]&amp;Crops[[#This Row],[Product]]&amp;Crops[[#This Row],[Unit]],Products[ID],Products[Clean (s)])*Crops[[#This Row],[Custom Yield Per Bed]]/3600</f>
        <v>0</v>
      </c>
      <c r="CZ238" s="37">
        <f>_xlfn.XLOOKUP(Crops[[#This Row],[Crop]]&amp;Crops[[#This Row],[Product]]&amp;Crops[[#This Row],[Unit]],Products[ID],Products[Rehandle (s)])*Crops[[#This Row],[Custom Yield Per Bed]]/3600</f>
        <v>0</v>
      </c>
      <c r="DA238" s="37">
        <f>_xlfn.XLOOKUP(Crops[[#This Row],[Crop]]&amp;Crops[[#This Row],[Product]]&amp;Crops[[#This Row],[Unit]],Products[ID],Products[Market Transport (s)])*Crops[[#This Row],[Custom Yield Per Bed]]/3600</f>
        <v>0.15625</v>
      </c>
      <c r="DC238" s="37">
        <f>Crops[[#This Row],[Direct Revenue Per Bed2]]</f>
        <v>300</v>
      </c>
      <c r="DD238" s="173">
        <f>_xlfn.AGGREGATE(9,6,Crops[[#This Row],[Bed Prep]:[Remove Crop Residue]])</f>
        <v>10.415783110119047</v>
      </c>
      <c r="DE238" s="173">
        <f>_xlfn.AGGREGATE(9,6,Crops[[#This Row],[Bed Prep]:[Remove Crop Residue]])-0.75*Crops[[#This Row],[Market &amp; Sell]]</f>
        <v>9.8532831101190474</v>
      </c>
      <c r="DF238" s="36">
        <f>Crops[[#This Row],[Direct Revenue Per Bed2]]/Crops[[#This Row],[Direct Time]]</f>
        <v>28.802443064367068</v>
      </c>
      <c r="DG238" s="36">
        <f>_xlfn.XLOOKUP(Crops[[#This Row],[ProductIndex]],Products[ID],Products[Packaging Cost])*(Crops[[#This Row],[Custom Yield Per Bed]]/_xlfn.XLOOKUP(Crops[[#This Row],[ProductIndex]],Products[ID],Products[Units Per Pack]))</f>
        <v>9.5</v>
      </c>
      <c r="DH238" s="36"/>
      <c r="DI238" s="36"/>
      <c r="DJ238" s="36"/>
      <c r="DK238" s="36"/>
      <c r="DL238" s="36"/>
      <c r="DM238" s="37">
        <f>IFERROR(Crops[[#This Row],[Custom Yield Per Bed]]*Crops[[#This Row],[Direct Price]],"")</f>
        <v>300</v>
      </c>
      <c r="DN238" s="36">
        <f>Crops[[#This Row],[Direct Time]]*LaborRate</f>
        <v>260.3945777529762</v>
      </c>
      <c r="DO238" s="36">
        <f>SUM(Crops[[#This Row],[Irrigation Cost]])</f>
        <v>0</v>
      </c>
      <c r="DP238" s="36">
        <f>Crops[[#This Row],[Direct Labor Cost]]+Crops[[#This Row],[Direct Non-Labor Cost]]</f>
        <v>260.3945777529762</v>
      </c>
      <c r="DQ238" s="36">
        <f>Crops[[#This Row],[Direct Revenue Per Bed2]]-Crops[[#This Row],[Direct Total Cost]]</f>
        <v>39.605422247023796</v>
      </c>
      <c r="DR238" s="36">
        <f>Crops[[#This Row],[Direct Profit]]*BedsPerAcre</f>
        <v>6336.8675595238074</v>
      </c>
      <c r="DS238" s="36">
        <f>Crops[[#This Row],[Direct Profit]]*BedsPerAcre*GrowingDays/Crops[[#This Row],[Days In Field]]</f>
        <v>11759.135677466858</v>
      </c>
      <c r="DT238" s="36">
        <f>Crops[[#This Row],[Direct Profit]]/MIN(Crops[[#This Row],[Days In Field]],GrowingDays)</f>
        <v>0.40830332213426596</v>
      </c>
      <c r="DU238" s="36">
        <f>Crops[[#This Row],[Direct Time]] * BedsPerAcre</f>
        <v>1666.5252976190477</v>
      </c>
      <c r="DV238" s="36">
        <f>(Crops[[#This Row],[Direct Revenue Per Bed2]]-Crops[[#This Row],[Direct Non-Labor Cost]])/Crops[[#This Row],[Direct Time]]</f>
        <v>28.802443064367068</v>
      </c>
      <c r="DW238" s="37">
        <f>IFERROR(Crops[[#This Row],[Custom Yield Per Bed]]*Crops[[#This Row],[Rough Wholesale Price]],"")</f>
        <v>179.99999999999997</v>
      </c>
      <c r="DX238" s="36">
        <f>Crops[[#This Row],[Wholesale Time]]*LaborRate</f>
        <v>246.33207775297618</v>
      </c>
      <c r="DY238" s="36">
        <f>SUM(Crops[[#This Row],[Packaging Costs]:[Irrigation Cost]])</f>
        <v>9.5</v>
      </c>
      <c r="DZ238" s="36">
        <f>Crops[[#This Row],[Wholesale Labor Cost]]+Crops[[#This Row],[Wholesale Non-Labor Cost]]</f>
        <v>255.83207775297618</v>
      </c>
      <c r="EA238" s="36">
        <f>Crops[[#This Row],[Wholesale Revenue Per Bed]]-Crops[[#This Row],[Wholesale Total Cost]]</f>
        <v>-75.832077752976204</v>
      </c>
      <c r="EB238" s="36">
        <f>Crops[[#This Row],[Wholesale Profit]]*BedsPerAcre</f>
        <v>-12133.132440476193</v>
      </c>
      <c r="EC238" s="36">
        <f>Crops[[#This Row],[Wholesale Profit]]*BedsPerAcre*GrowingDays/Crops[[#This Row],[Days In Field]]</f>
        <v>-22515.091126656851</v>
      </c>
      <c r="ED238" s="36">
        <f>Crops[[#This Row],[Wholesale Time]] * BedsPerAcre</f>
        <v>1576.5252976190477</v>
      </c>
      <c r="EE238" s="36">
        <f>Crops[[#This Row],[Wholesale Profit]]/MIN(Crops[[#This Row],[Days In Field]],GrowingDays)</f>
        <v>-0.78177399745336296</v>
      </c>
      <c r="EF238" s="36">
        <f>(Crops[[#This Row],[Wholesale Revenue Per Bed]]-Crops[[#This Row],[Wholesale Non-Labor Cost]])/Crops[[#This Row],[Direct Time]]</f>
        <v>16.369388474915279</v>
      </c>
      <c r="EG238" s="174">
        <f>Crops[[#This Row],[Packaging Costs]]/Crops[[#This Row],[Wholesale Revenue Per Bed]]</f>
        <v>5.2777777777777785E-2</v>
      </c>
      <c r="EH238" s="36" t="str">
        <f>Crops[[#This Row],[Crop]]&amp;Crops[[#This Row],[Product]]&amp;Crops[[#This Row],[Unit]]</f>
        <v>Pea TendrilYoung ShootsLb</v>
      </c>
      <c r="EI238" s="36" t="b">
        <f>_xlfn.XLOOKUP(Crops[[#This Row],[ProductIndex]],Products[ID],Products[Target])</f>
        <v>0</v>
      </c>
      <c r="EJ238" s="36">
        <f>Crops[[#This Row],[Custom Yield Per Bed]]</f>
        <v>25</v>
      </c>
      <c r="EK238" s="210">
        <f>Crops[[#This Row],[Units Per Harvest]]/Crops[[#This Row],[Days Between Harvest]]*7</f>
        <v>6.25</v>
      </c>
      <c r="EL238" s="210" t="e">
        <f>Crops[[#This Row],[Custom Yield Per Bed]]/_xlfn.XLOOKUP(Crops[[#This Row],[ProductIndex]],Products[ID],Products[CSA Portion])</f>
        <v>#DIV/0!</v>
      </c>
      <c r="EM238" s="210" t="e">
        <f>Crops[[#This Row],[Units Per Harvest]]/Crops[[#This Row],[Days Between Harvest]]*7/_xlfn.XLOOKUP(Crops[[#This Row],[ProductIndex]],Products[ID],Products[CSA Portion])</f>
        <v>#DIV/0!</v>
      </c>
      <c r="EN238" s="210" t="e">
        <f>Crops[[#This Row],[CSA Portions Per Week]]/CSAMembers</f>
        <v>#DIV/0!</v>
      </c>
      <c r="EO238" s="210"/>
      <c r="EP238" s="210"/>
      <c r="EQ238" s="36"/>
      <c r="ER238" s="36">
        <f>Crops[[#This Row],[Harvests]]*Crops[[#This Row],[Days Between Harvest]]/7</f>
        <v>4</v>
      </c>
      <c r="ES238" s="208">
        <f>_xlfn.XLOOKUP(Crops[[#This Row],[ProductIndex]],Products[ID],Products[CSA Need])</f>
        <v>0</v>
      </c>
      <c r="ET238" s="208">
        <f>_xlfn.XLOOKUP(Crops[[#This Row],[ProductIndex]],Products[ID],Products[CSA Times])</f>
        <v>0</v>
      </c>
      <c r="EU238" s="208" t="e">
        <f>Crops[[#This Row],[Custom Yield Per Bed]]/(Crops[[#This Row],[CSA Need]]*(_xlfn.XLOOKUP(Crops[[#This Row],[ProductIndex]],Products[ID],Products[CSA Portion])*CSAMembers))</f>
        <v>#DIV/0!</v>
      </c>
      <c r="EV238" s="208">
        <f>_xlfn.XLOOKUP(Crops[[#This Row],[ProductIndex]],Products[ID],Products[CSA Portion])*CSAMembers*Crops[[#This Row],[CSA Need]]/Crops[[#This Row],[Custom Yield Per Bed]]</f>
        <v>0</v>
      </c>
      <c r="EW238" s="208">
        <f>IFERROR(Crops[[#This Row],[Days In Field]]*Crops[[#This Row],[CSA Beds]],"")</f>
        <v>0</v>
      </c>
      <c r="EX238" s="208" t="e">
        <f>Crops[[#This Row],[CSA Bed Days]]*#REF!</f>
        <v>#REF!</v>
      </c>
      <c r="EY238" t="s">
        <v>385</v>
      </c>
    </row>
    <row r="239" spans="1:155" ht="15" customHeight="1">
      <c r="A239"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Peas (Snap) - Young Pod 3X | Field DS SpSu</v>
      </c>
      <c r="B239" s="28"/>
      <c r="C239" s="1"/>
      <c r="D239" s="1"/>
      <c r="E239" s="1" t="b">
        <v>0</v>
      </c>
      <c r="F239" s="1" t="b">
        <f>IFERROR(IF(ISNUMBER(MATCH(Crops[[#This Row],[Identifier]],BedPlan[Crop], 0)), TRUE, FALSE), FALSE)</f>
        <v>0</v>
      </c>
      <c r="G239" s="1" t="b">
        <f>IFERROR(IF(ISNUMBER(MATCH(Crops[[#This Row],[Identifier]],BedPlan[Crop], 0)), TRUE, FALSE), FALSE)</f>
        <v>0</v>
      </c>
      <c r="H239" s="1"/>
      <c r="I239" t="s">
        <v>110</v>
      </c>
      <c r="J239" t="s">
        <v>168</v>
      </c>
      <c r="K239" t="s">
        <v>183</v>
      </c>
      <c r="N239" t="str">
        <f>Crops[[#This Row],[Crop]]</f>
        <v>Peas</v>
      </c>
      <c r="O239" t="s">
        <v>210</v>
      </c>
      <c r="P239" t="str">
        <f>IF(OR(Crops[[#This Row],[Days in Cells]]="",Crops[[#This Row],[Days in Cells]]=0), "DS","TP")</f>
        <v>DS</v>
      </c>
      <c r="Q239" t="s">
        <v>144</v>
      </c>
      <c r="R239" t="s">
        <v>144</v>
      </c>
      <c r="V239" t="str">
        <f xml:space="preserve"> IF(Crops[[#This Row],[Sp]], "Sp", "") &amp; IF(Crops[[#This Row],[Su]], "Su", "") &amp; IF(Crops[[#This Row],[Fa]], "Fa", "") &amp; IF(Crops[[#This Row],[Wi]], "Wi", "") &amp; IF(Crops[[#This Row],[OW]], "Ow","")</f>
        <v>SpSu</v>
      </c>
      <c r="W239" t="s">
        <v>144</v>
      </c>
      <c r="X239">
        <v>2</v>
      </c>
      <c r="Y239">
        <v>1</v>
      </c>
      <c r="AD239" s="32">
        <f>IFERROR(12/Crops[[#This Row],[Spacing]]*Crops[[#This Row],[Rows]]*BedLength,"")</f>
        <v>1200</v>
      </c>
      <c r="AE239">
        <v>3</v>
      </c>
      <c r="AG239">
        <f>IF(Crops[[#This Row],[Custom Safety Factor]]="",PlantingSafetyFactor,Crops[[#This Row],[Custom Safety Factor]])</f>
        <v>1.3</v>
      </c>
      <c r="AH239">
        <v>2</v>
      </c>
      <c r="AI239" s="33">
        <f>IFERROR(Crops[[#This Row],[Plantings Per Bed]]*Crops[[#This Row],[Seeds Per Planting]]*Crops[[#This Row],[Safety Factor]]*Crops[[#This Row],[Seeding Factor]],"")</f>
        <v>9360</v>
      </c>
      <c r="AL239">
        <f>_xlfn.FLOOR.MATH(IFERROR(AVERAGE(Crops[[#This Row],[DTG Lower]:[DTG Upper]]),0))</f>
        <v>0</v>
      </c>
      <c r="AM239">
        <f>SUM(Crops[[#This Row],[Tray 1 Days]],Crops[[#This Row],[Tray 2 Days]],Crops[[#This Row],[Tray 3 Days]])</f>
        <v>0</v>
      </c>
      <c r="AP239">
        <v>65</v>
      </c>
      <c r="AQ239">
        <f>IFERROR(_xlfn.FLOOR.MATH(AVERAGE(Crops[[#This Row],[DTM Lower]:[DTM Upper]])),"")</f>
        <v>65</v>
      </c>
      <c r="AR239" cm="1">
        <f t="array" ref="AR239">_xlfn.SWITCH(Crops[[#This Row],[Normal Method]],"DS",Crops[[#This Row],[Days to Germination]]+Crops[[#This Row],[DTM]] + IF(Crops[[#This Row],[Days in Cells]]&gt;0,15,0), "TP",Crops[[#This Row],[DTM]]+Crops[[#This Row],[Days in Cells]] + IF(Crops[[#This Row],[Days in Cells]]&lt;=0,20,0), "X", Crops[[#This Row],[DTM]])</f>
        <v>65</v>
      </c>
      <c r="AS239" t="s">
        <v>338</v>
      </c>
      <c r="AT239">
        <f>(Crops[[#This Row],[Harvests]]-1)*Crops[[#This Row],[Days Between Harvest]]+7</f>
        <v>33</v>
      </c>
      <c r="AU239">
        <f>Crops[[#This Row],[STH]]-Crops[[#This Row],[Days in Cells]]+Crops[[#This Row],[Harvest window]]</f>
        <v>98</v>
      </c>
      <c r="AW239" t="s">
        <v>212</v>
      </c>
      <c r="AZ239" t="str">
        <f>IFERROR(IF(Crops[[#This Row],[Tray 1 Days]]=0,"",Crops[[#This Row],[Plantings Per Bed]]/Crops[[#This Row],[Tray 1 Size]]*Crops[[#This Row],[Safety Factor]]),"")</f>
        <v/>
      </c>
      <c r="BC239" t="str">
        <f>IFERROR(IF(Crops[[#This Row],[Tray 2 Days]]=0,"",Crops[[#This Row],[Plantings Per Bed]]/Crops[[#This Row],[Tray 2 Size]]*Crops[[#This Row],[Safety Factor]]),"")</f>
        <v/>
      </c>
      <c r="BE239" s="32" t="str">
        <f>IF(NOT(ISBLANK(Crops[[#This Row],[Tray 3 Size]])), Crops[[#This Row],[Days in Cells Old]]-SUM(Crops[[#This Row],[Tray 1 Days]],Crops[[#This Row],[Tray 2 Days]]), "")</f>
        <v/>
      </c>
      <c r="BF239" t="str">
        <f>IFERROR(IF(Crops[[#This Row],[Tray 3 Days]]=0,"",Crops[[#This Row],[Plantings Per Bed]]/Crops[[#This Row],[Tray 3 Size]]*Crops[[#This Row],[Safety Factor]]),"")</f>
        <v/>
      </c>
      <c r="BG239" s="33">
        <f>50*BedLength/StandardBedLength/Crops[[#This Row],[Harvests]]</f>
        <v>1.7857142857142858</v>
      </c>
      <c r="BH239" s="33">
        <f>28/Crops[[#This Row],[Days Between Harvest]]</f>
        <v>14</v>
      </c>
      <c r="BI239" s="33">
        <v>2</v>
      </c>
      <c r="BJ239" s="33">
        <f>_xlfn.XLOOKUP(Crops[[#This Row],[ProductIndex]],Products[ID],Products[Holding Period])</f>
        <v>4</v>
      </c>
      <c r="BK239" s="33"/>
      <c r="BL239" s="33">
        <f>Crops[[#This Row],[Units Per Harvest]]*Crops[[#This Row],[Harvests]]</f>
        <v>25</v>
      </c>
      <c r="BM239" s="35">
        <v>9.5</v>
      </c>
      <c r="BN239" s="35">
        <v>4</v>
      </c>
      <c r="BO239" s="35"/>
      <c r="BP239" t="s">
        <v>383</v>
      </c>
      <c r="BQ239">
        <f>Crops[[#This Row],[Custom Yield Per Bed]]*Crops[[#This Row],[Direct Price]]</f>
        <v>237.5</v>
      </c>
      <c r="BS239" t="b">
        <f>Crops[[#This Row],[Harvests]]&gt;1</f>
        <v>1</v>
      </c>
      <c r="BT239" s="36">
        <f>IFERROR(Crops[[#This Row],[Direct Revenue Per Bed]]/Crops[[#This Row],[Days In Field]],-1)</f>
        <v>2.4234693877551021</v>
      </c>
      <c r="BU239" s="36">
        <f>IFERROR(Crops[[#This Row],[Direct Revenue Per Bed Day]]*GrowingDays*BedsPerAcre,"")</f>
        <v>69795.918367346938</v>
      </c>
      <c r="BV239" s="38">
        <f>LastFrostDate-5*Crops[[#This Row],[Sewing Rel Last Frost]]</f>
        <v>45738</v>
      </c>
      <c r="BW239" s="38">
        <f>Crops[[#This Row],[Target Sewing Date]]+Crops[[#This Row],[Days in Cells]]</f>
        <v>45738</v>
      </c>
      <c r="BX239" s="38">
        <f>Crops[[#This Row],[Target Sewing Date]]+Crops[[#This Row],[STH]]</f>
        <v>45803</v>
      </c>
      <c r="BY239" s="38">
        <f>Crops[[#This Row],[Target Harvest Data]]+Crops[[#This Row],[Harvest window]]</f>
        <v>45836</v>
      </c>
      <c r="BZ239">
        <v>2</v>
      </c>
      <c r="CA239" t="s">
        <v>373</v>
      </c>
      <c r="CB239">
        <f>1</f>
        <v>1</v>
      </c>
      <c r="CC239">
        <f>IF(Crops[[#This Row],[Transplanting]]&gt;0, 2, 3)*BedLength/StandardBedLength</f>
        <v>1.5</v>
      </c>
      <c r="CD239" s="173">
        <f>IF(Crops[[#This Row],[Days in Cells]]&lt;=0,0,Crops[[#This Row],[Plantings Per Bed]]/StartsPerHourSeeding+Crops[[#This Row],[Tray 1 Count]]*5/60)</f>
        <v>0</v>
      </c>
      <c r="CE239" s="173">
        <f>IF(ISBLANK(Crops[[#This Row],[Tray 2 Days]]),0,Crops[[#This Row],[Plantings Per Bed]]/UpPottingPerHour)+IF(Crops[[#This Row],[Tray 3 Days]]="",0,Crops[[#This Row],[Plantings Per Bed]]/UpPottingPerHour)</f>
        <v>0</v>
      </c>
      <c r="CF239" s="173">
        <f>IFERROR(Crops[[#This Row],[Tray 1 Count]]/HomeStartFlatIrrigationPerHour,0)*Crops[[#This Row],[Days in Cells]]/DaysBetweenStartIrrigation</f>
        <v>0</v>
      </c>
      <c r="CG239" s="173">
        <f>0.5/16*MAX(Crops[[#This Row],[Tray 1 Count]],Crops[[#This Row],[Tray 2 Count]],Crops[[#This Row],[Tray 3 Count]])</f>
        <v>0</v>
      </c>
      <c r="CH239" s="173">
        <f>IF(Crops[[#This Row],[Days in Cells]]&gt;0,IF(IF(Crops[[#This Row],[Tray 3 Size]]&gt;0,Crops[[#This Row],[Tray 3 Size]],IF(Crops[[#This Row],[Tray 2 Size]]&gt;0,Crops[[#This Row],[Tray 2 Size]],Crops[[#This Row],[Tray 1 Size]]))&lt;=18,LargeTransplantTime,SmallTransplantTime)*Crops[[#This Row],[Plantings Per Bed]],0)</f>
        <v>0</v>
      </c>
      <c r="CI239" s="173"/>
      <c r="CJ239" s="173">
        <f>_xlfn.XLOOKUP(Crops[[#This Row],[Trellis Type]],TrellisMethods[Trellis Type],TrellisMethods[Hours],0,0)</f>
        <v>0</v>
      </c>
      <c r="CK239">
        <f>IF(Crops[[#This Row],[Days in Cells]]&lt;=0,Crops[[#This Row],[Rows]]*1/10,0)*BedLength/50</f>
        <v>0.2</v>
      </c>
      <c r="CL239" cm="1">
        <f t="array" ref="CL239">_xlfn.SWITCH(Crops[[#This Row],[Irrigation]],"DR", 0.5, "OH", 0.25,0)*BedLength/50</f>
        <v>0</v>
      </c>
      <c r="CM239">
        <f>IF(OR(ISBLANK(Crops[[#This Row],[Row Cover]]),Crops[[#This Row],[Row Cover]]="None"),0,1)*BedLength/50</f>
        <v>0</v>
      </c>
      <c r="CN239" s="173">
        <f>HoursPerWeedingPass*Crops[[#This Row],[Days In Field]]/14*Crops[[#This Row],[Rows]]+1*BedLength/50</f>
        <v>3.333333333333333</v>
      </c>
      <c r="CO239" s="49"/>
      <c r="CQ239" s="37">
        <f>_xlfn.XLOOKUP(Crops[[#This Row],[Crop]]&amp;Crops[[#This Row],[Product]]&amp;Crops[[#This Row],[Unit]],Products[ID],Products[Marketing (hr)])*Crops[[#This Row],[Direct Revenue Per Bed]]/2000</f>
        <v>0.11874999999999999</v>
      </c>
      <c r="CR239" s="37">
        <f>_xlfn.XLOOKUP(Crops[[#This Row],[Crop]]&amp;Crops[[#This Row],[Product]]&amp;Crops[[#This Row],[Unit]],Products[ID],Products[Harvest (s)])*Crops[[#This Row],[Custom Yield Per Bed]]/3600</f>
        <v>1.3888888888888888</v>
      </c>
      <c r="CS239" s="37">
        <f>_xlfn.XLOOKUP(Crops[[#This Row],[Crop]]&amp;Crops[[#This Row],[Product]]&amp;Crops[[#This Row],[Unit]],Products[ID],Products[Bunch (s)])*Crops[[#This Row],[Custom Yield Per Bed]]/3600</f>
        <v>0</v>
      </c>
      <c r="CT239" s="37">
        <f>_xlfn.XLOOKUP(Crops[[#This Row],[Crop]]&amp;Crops[[#This Row],[Product]]&amp;Crops[[#This Row],[Unit]],Products[ID],Products[Haul (s)])*Crops[[#This Row],[Custom Yield Per Bed]]/3600</f>
        <v>2.5000000000000001E-2</v>
      </c>
      <c r="CU239" s="37">
        <f>_xlfn.XLOOKUP(Crops[[#This Row],[Crop]]&amp;Crops[[#This Row],[Product]]&amp;Crops[[#This Row],[Unit]],Products[ID],Products[Wash (s)])*Crops[[#This Row],[Custom Yield Per Bed]]/3600</f>
        <v>0</v>
      </c>
      <c r="CV239" s="37">
        <f>_xlfn.XLOOKUP(Crops[[#This Row],[Crop]]&amp;Crops[[#This Row],[Product]]&amp;Crops[[#This Row],[Unit]],Products[ID],Products[Condition (s)])*Crops[[#This Row],[Custom Yield Per Bed]]/3600</f>
        <v>0</v>
      </c>
      <c r="CW239" s="37">
        <f>_xlfn.XLOOKUP(Crops[[#This Row],[Crop]]&amp;Crops[[#This Row],[Product]]&amp;Crops[[#This Row],[Unit]],Products[ID],Products[Trim (s)])*Crops[[#This Row],[Custom Yield Per Bed]]/3600</f>
        <v>6.9444444444444448E-2</v>
      </c>
      <c r="CX239" s="37">
        <f>_xlfn.XLOOKUP(Crops[[#This Row],[Crop]]&amp;Crops[[#This Row],[Product]]&amp;Crops[[#This Row],[Unit]],Products[ID],Products[Pack (s)])*Crops[[#This Row],[Custom Yield Per Bed]]/3600</f>
        <v>2.0833333333333332E-2</v>
      </c>
      <c r="CY239" s="37">
        <f>_xlfn.XLOOKUP(Crops[[#This Row],[Crop]]&amp;Crops[[#This Row],[Product]]&amp;Crops[[#This Row],[Unit]],Products[ID],Products[Clean (s)])*Crops[[#This Row],[Custom Yield Per Bed]]/3600</f>
        <v>0</v>
      </c>
      <c r="CZ239" s="37">
        <f>_xlfn.XLOOKUP(Crops[[#This Row],[Crop]]&amp;Crops[[#This Row],[Product]]&amp;Crops[[#This Row],[Unit]],Products[ID],Products[Rehandle (s)])*Crops[[#This Row],[Custom Yield Per Bed]]/3600</f>
        <v>0</v>
      </c>
      <c r="DA239" s="37">
        <f>_xlfn.XLOOKUP(Crops[[#This Row],[Crop]]&amp;Crops[[#This Row],[Product]]&amp;Crops[[#This Row],[Unit]],Products[ID],Products[Market Transport (s)])*Crops[[#This Row],[Custom Yield Per Bed]]/3600</f>
        <v>6.25E-2</v>
      </c>
      <c r="DC239" s="37">
        <f>Crops[[#This Row],[Direct Revenue Per Bed2]]</f>
        <v>237.5</v>
      </c>
      <c r="DD239" s="173">
        <f>_xlfn.AGGREGATE(9,6,Crops[[#This Row],[Bed Prep]:[Remove Crop Residue]])</f>
        <v>6.7187500000000009</v>
      </c>
      <c r="DE239" s="173">
        <f>_xlfn.AGGREGATE(9,6,Crops[[#This Row],[Bed Prep]:[Remove Crop Residue]])-0.75*Crops[[#This Row],[Market &amp; Sell]]</f>
        <v>6.6296875000000011</v>
      </c>
      <c r="DF239" s="36">
        <f>Crops[[#This Row],[Direct Revenue Per Bed2]]/Crops[[#This Row],[Direct Time]]</f>
        <v>35.348837209302324</v>
      </c>
      <c r="DG239" s="36">
        <f>_xlfn.XLOOKUP(Crops[[#This Row],[ProductIndex]],Products[ID],Products[Packaging Cost])*(Crops[[#This Row],[Custom Yield Per Bed]]/_xlfn.XLOOKUP(Crops[[#This Row],[ProductIndex]],Products[ID],Products[Units Per Pack]))</f>
        <v>3.8</v>
      </c>
      <c r="DH239" s="36"/>
      <c r="DI239" s="36"/>
      <c r="DJ239" s="36"/>
      <c r="DK239" s="36"/>
      <c r="DL239" s="36"/>
      <c r="DM239" s="33">
        <f>IFERROR(Crops[[#This Row],[Custom Yield Per Bed]]*Crops[[#This Row],[Direct Price]],"")</f>
        <v>237.5</v>
      </c>
      <c r="DN239" s="36">
        <f>Crops[[#This Row],[Direct Time]]*LaborRate</f>
        <v>167.96875000000003</v>
      </c>
      <c r="DO239" s="36">
        <f>SUM(Crops[[#This Row],[Irrigation Cost]])</f>
        <v>0</v>
      </c>
      <c r="DP239" s="36">
        <f>Crops[[#This Row],[Direct Labor Cost]]+Crops[[#This Row],[Direct Non-Labor Cost]]</f>
        <v>167.96875000000003</v>
      </c>
      <c r="DQ239" s="36">
        <f>Crops[[#This Row],[Direct Revenue Per Bed2]]-Crops[[#This Row],[Direct Total Cost]]</f>
        <v>69.531249999999972</v>
      </c>
      <c r="DR239" s="36">
        <f>Crops[[#This Row],[Direct Profit]]*BedsPerAcre</f>
        <v>11124.999999999996</v>
      </c>
      <c r="DS239" s="36">
        <f>Crops[[#This Row],[Direct Profit]]*BedsPerAcre*GrowingDays/Crops[[#This Row],[Days In Field]]</f>
        <v>20433.673469387748</v>
      </c>
      <c r="DT239" s="36">
        <f>Crops[[#This Row],[Direct Profit]]/MIN(Crops[[#This Row],[Days In Field]],GrowingDays)</f>
        <v>0.70950255102040782</v>
      </c>
      <c r="DU239" s="33">
        <f>Crops[[#This Row],[Direct Time]] * BedsPerAcre</f>
        <v>1075.0000000000002</v>
      </c>
      <c r="DV239" s="36">
        <f>(Crops[[#This Row],[Direct Revenue Per Bed2]]-Crops[[#This Row],[Direct Non-Labor Cost]])/Crops[[#This Row],[Direct Time]]</f>
        <v>35.348837209302324</v>
      </c>
      <c r="DW239" s="33">
        <f>IFERROR(Crops[[#This Row],[Custom Yield Per Bed]]*Crops[[#This Row],[Rough Wholesale Price]],"")</f>
        <v>100</v>
      </c>
      <c r="DX239" s="36">
        <f>Crops[[#This Row],[Wholesale Time]]*LaborRate</f>
        <v>165.74218750000003</v>
      </c>
      <c r="DY239" s="36">
        <f>SUM(Crops[[#This Row],[Packaging Costs]:[Irrigation Cost]])</f>
        <v>3.8</v>
      </c>
      <c r="DZ239" s="36">
        <f>Crops[[#This Row],[Wholesale Labor Cost]]+Crops[[#This Row],[Wholesale Non-Labor Cost]]</f>
        <v>169.54218750000004</v>
      </c>
      <c r="EA239" s="36">
        <f>Crops[[#This Row],[Wholesale Revenue Per Bed]]-Crops[[#This Row],[Wholesale Total Cost]]</f>
        <v>-69.54218750000004</v>
      </c>
      <c r="EB239" s="36">
        <f>Crops[[#This Row],[Wholesale Profit]]*BedsPerAcre</f>
        <v>-11126.750000000007</v>
      </c>
      <c r="EC239" s="36">
        <f>Crops[[#This Row],[Wholesale Profit]]*BedsPerAcre*GrowingDays/Crops[[#This Row],[Days In Field]]</f>
        <v>-20436.887755102056</v>
      </c>
      <c r="ED239" s="33">
        <f>Crops[[#This Row],[Wholesale Time]] * BedsPerAcre</f>
        <v>1060.7500000000002</v>
      </c>
      <c r="EE239" s="221">
        <f>Crops[[#This Row],[Wholesale Profit]]/MIN(Crops[[#This Row],[Days In Field]],GrowingDays)</f>
        <v>-0.70961415816326567</v>
      </c>
      <c r="EF239" s="36">
        <f>(Crops[[#This Row],[Wholesale Revenue Per Bed]]-Crops[[#This Row],[Wholesale Non-Labor Cost]])/Crops[[#This Row],[Direct Time]]</f>
        <v>14.31813953488372</v>
      </c>
      <c r="EG239" s="174">
        <f>Crops[[#This Row],[Packaging Costs]]/Crops[[#This Row],[Wholesale Revenue Per Bed]]</f>
        <v>3.7999999999999999E-2</v>
      </c>
      <c r="EH239" s="36" t="str">
        <f>Crops[[#This Row],[Crop]]&amp;Crops[[#This Row],[Product]]&amp;Crops[[#This Row],[Unit]]</f>
        <v>PeasYoung PodLb</v>
      </c>
      <c r="EI239" s="36" t="b">
        <f>_xlfn.XLOOKUP(Crops[[#This Row],[ProductIndex]],Products[ID],Products[Target])</f>
        <v>1</v>
      </c>
      <c r="EJ239" s="36">
        <f>Crops[[#This Row],[Custom Yield Per Bed]]</f>
        <v>25</v>
      </c>
      <c r="EK239" s="210">
        <f>Crops[[#This Row],[Units Per Harvest]]/Crops[[#This Row],[Days Between Harvest]]*7</f>
        <v>6.25</v>
      </c>
      <c r="EL239" s="210">
        <f>Crops[[#This Row],[Custom Yield Per Bed]]/_xlfn.XLOOKUP(Crops[[#This Row],[ProductIndex]],Products[ID],Products[CSA Portion])</f>
        <v>50</v>
      </c>
      <c r="EM239" s="210">
        <f>Crops[[#This Row],[Units Per Harvest]]/Crops[[#This Row],[Days Between Harvest]]*7/_xlfn.XLOOKUP(Crops[[#This Row],[ProductIndex]],Products[ID],Products[CSA Portion])</f>
        <v>12.5</v>
      </c>
      <c r="EN239" s="210">
        <f>Crops[[#This Row],[CSA Portions Per Week]]/CSAMembers</f>
        <v>0.25</v>
      </c>
      <c r="EO239" s="210"/>
      <c r="EP239" s="210"/>
      <c r="EQ239" s="210"/>
      <c r="ER239" s="210">
        <f>Crops[[#This Row],[Harvests]]*Crops[[#This Row],[Days Between Harvest]]/7</f>
        <v>4</v>
      </c>
      <c r="ES239" s="217">
        <f>_xlfn.XLOOKUP(Crops[[#This Row],[ProductIndex]],Products[ID],Products[CSA Need])</f>
        <v>1</v>
      </c>
      <c r="ET239" s="217">
        <f>_xlfn.XLOOKUP(Crops[[#This Row],[ProductIndex]],Products[ID],Products[CSA Times])</f>
        <v>2</v>
      </c>
      <c r="EU239" s="208">
        <f>Crops[[#This Row],[Custom Yield Per Bed]]/(Crops[[#This Row],[CSA Need]]*(_xlfn.XLOOKUP(Crops[[#This Row],[ProductIndex]],Products[ID],Products[CSA Portion])*CSAMembers))</f>
        <v>1</v>
      </c>
      <c r="EV239" s="208">
        <f>_xlfn.XLOOKUP(Crops[[#This Row],[ProductIndex]],Products[ID],Products[CSA Portion])*CSAMembers*Crops[[#This Row],[CSA Need]]/Crops[[#This Row],[Custom Yield Per Bed]]</f>
        <v>1</v>
      </c>
      <c r="EW239" s="208">
        <f>IFERROR(Crops[[#This Row],[Days In Field]]*Crops[[#This Row],[CSA Beds]],"")</f>
        <v>98</v>
      </c>
      <c r="EX239" s="208" t="e">
        <f>Crops[[#This Row],[CSA Bed Days]]*#REF!</f>
        <v>#REF!</v>
      </c>
      <c r="EY239" t="s">
        <v>1692</v>
      </c>
    </row>
    <row r="240" spans="1:155" ht="15" customHeight="1">
      <c r="A240"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Peas (Snap) - Young Pod 3X | Field TP SpSu</v>
      </c>
      <c r="B240" s="28"/>
      <c r="C240" s="1" t="b">
        <v>1</v>
      </c>
      <c r="D240" s="1"/>
      <c r="E240" s="1" t="b">
        <v>0</v>
      </c>
      <c r="F240" s="1" t="b">
        <f>IFERROR(IF(ISNUMBER(MATCH(Crops[[#This Row],[Identifier]],BedPlan[Crop], 0)), TRUE, FALSE), FALSE)</f>
        <v>1</v>
      </c>
      <c r="G240" s="1" t="b">
        <f>IFERROR(IF(ISNUMBER(MATCH(Crops[[#This Row],[Identifier]],BedPlan[Crop], 0)), TRUE, FALSE), FALSE)</f>
        <v>1</v>
      </c>
      <c r="H240" s="1"/>
      <c r="I240" t="s">
        <v>110</v>
      </c>
      <c r="J240" t="s">
        <v>168</v>
      </c>
      <c r="K240" t="s">
        <v>183</v>
      </c>
      <c r="N240" t="str">
        <f>Crops[[#This Row],[Crop]]</f>
        <v>Peas</v>
      </c>
      <c r="O240" t="s">
        <v>210</v>
      </c>
      <c r="P240" t="str">
        <f>IF(OR(Crops[[#This Row],[Days in Cells]]="",Crops[[#This Row],[Days in Cells]]=0), "DS","TP")</f>
        <v>TP</v>
      </c>
      <c r="Q240" t="s">
        <v>144</v>
      </c>
      <c r="R240" t="s">
        <v>144</v>
      </c>
      <c r="V240" t="str">
        <f xml:space="preserve"> IF(Crops[[#This Row],[Sp]], "Sp", "") &amp; IF(Crops[[#This Row],[Su]], "Su", "") &amp; IF(Crops[[#This Row],[Fa]], "Fa", "") &amp; IF(Crops[[#This Row],[Wi]], "Wi", "") &amp; IF(Crops[[#This Row],[OW]], "Ow","")</f>
        <v>SpSu</v>
      </c>
      <c r="W240" t="s">
        <v>144</v>
      </c>
      <c r="X240">
        <v>2</v>
      </c>
      <c r="Y240">
        <v>9</v>
      </c>
      <c r="AD240" s="32">
        <f>IFERROR(12/Crops[[#This Row],[Spacing]]*Crops[[#This Row],[Rows]]*BedLength,"")</f>
        <v>133.33333333333331</v>
      </c>
      <c r="AE240">
        <v>3</v>
      </c>
      <c r="AG240">
        <f>IF(Crops[[#This Row],[Custom Safety Factor]]="",PlantingSafetyFactor,Crops[[#This Row],[Custom Safety Factor]])</f>
        <v>1.3</v>
      </c>
      <c r="AH240">
        <f>1</f>
        <v>1</v>
      </c>
      <c r="AI240" s="33">
        <f>IFERROR(Crops[[#This Row],[Plantings Per Bed]]*Crops[[#This Row],[Seeds Per Planting]]*Crops[[#This Row],[Safety Factor]]*Crops[[#This Row],[Seeding Factor]],"")</f>
        <v>520</v>
      </c>
      <c r="AL240">
        <f>_xlfn.FLOOR.MATH(IFERROR(AVERAGE(Crops[[#This Row],[DTG Lower]:[DTG Upper]]),0))</f>
        <v>0</v>
      </c>
      <c r="AM240">
        <f>SUM(Crops[[#This Row],[Tray 1 Days]],Crops[[#This Row],[Tray 2 Days]],Crops[[#This Row],[Tray 3 Days]])</f>
        <v>21</v>
      </c>
      <c r="AP240">
        <v>65</v>
      </c>
      <c r="AQ240">
        <f>IFERROR(_xlfn.FLOOR.MATH(AVERAGE(Crops[[#This Row],[DTM Lower]:[DTM Upper]])),"")</f>
        <v>65</v>
      </c>
      <c r="AR240" cm="1">
        <f t="array" ref="AR240">_xlfn.SWITCH(Crops[[#This Row],[Normal Method]],"DS",Crops[[#This Row],[Days to Germination]]+Crops[[#This Row],[DTM]] + IF(Crops[[#This Row],[Days in Cells]]&gt;0,15,0), "TP",Crops[[#This Row],[DTM]]+Crops[[#This Row],[Days in Cells]] + IF(Crops[[#This Row],[Days in Cells]]&lt;=0,20,0), "X", Crops[[#This Row],[DTM]])</f>
        <v>80</v>
      </c>
      <c r="AS240" t="s">
        <v>338</v>
      </c>
      <c r="AT240">
        <f>(Crops[[#This Row],[Harvests]]-1)*Crops[[#This Row],[Days Between Harvest]]+7</f>
        <v>33</v>
      </c>
      <c r="AU240">
        <f>Crops[[#This Row],[STH]]-Crops[[#This Row],[Days in Cells]]+Crops[[#This Row],[Harvest window]]</f>
        <v>92</v>
      </c>
      <c r="AX240">
        <v>128</v>
      </c>
      <c r="AY240">
        <v>21</v>
      </c>
      <c r="AZ240">
        <f>IFERROR(IF(Crops[[#This Row],[Tray 1 Days]]=0,"",Crops[[#This Row],[Plantings Per Bed]]/Crops[[#This Row],[Tray 1 Size]]*Crops[[#This Row],[Safety Factor]]),"")</f>
        <v>1.3541666666666665</v>
      </c>
      <c r="BC240" t="str">
        <f>IFERROR(IF(Crops[[#This Row],[Tray 2 Days]]=0,"",Crops[[#This Row],[Plantings Per Bed]]/Crops[[#This Row],[Tray 2 Size]]*Crops[[#This Row],[Safety Factor]]),"")</f>
        <v/>
      </c>
      <c r="BE240" s="32" t="str">
        <f>IF(NOT(ISBLANK(Crops[[#This Row],[Tray 3 Size]])), Crops[[#This Row],[Days in Cells Old]]-SUM(Crops[[#This Row],[Tray 1 Days]],Crops[[#This Row],[Tray 2 Days]]), "")</f>
        <v/>
      </c>
      <c r="BF240" t="str">
        <f>IFERROR(IF(Crops[[#This Row],[Tray 3 Days]]=0,"",Crops[[#This Row],[Plantings Per Bed]]/Crops[[#This Row],[Tray 3 Size]]*Crops[[#This Row],[Safety Factor]]),"")</f>
        <v/>
      </c>
      <c r="BG240" s="33">
        <f>50*BedLength/StandardBedLength/Crops[[#This Row],[Harvests]]</f>
        <v>1.7857142857142858</v>
      </c>
      <c r="BH240" s="33">
        <f>28/Crops[[#This Row],[Days Between Harvest]]</f>
        <v>14</v>
      </c>
      <c r="BI240" s="33">
        <v>2</v>
      </c>
      <c r="BJ240" s="33">
        <f>_xlfn.XLOOKUP(Crops[[#This Row],[ProductIndex]],Products[ID],Products[Holding Period])</f>
        <v>4</v>
      </c>
      <c r="BK240" s="33"/>
      <c r="BL240" s="33">
        <f>Crops[[#This Row],[Units Per Harvest]]*Crops[[#This Row],[Harvests]]</f>
        <v>25</v>
      </c>
      <c r="BM240" s="35">
        <v>9.5</v>
      </c>
      <c r="BN240" s="35">
        <v>4</v>
      </c>
      <c r="BO240" s="35"/>
      <c r="BP240" t="s">
        <v>383</v>
      </c>
      <c r="BQ240">
        <f>Crops[[#This Row],[Custom Yield Per Bed]]*Crops[[#This Row],[Direct Price]]</f>
        <v>237.5</v>
      </c>
      <c r="BS240" t="b">
        <f>Crops[[#This Row],[Harvests]]&gt;1</f>
        <v>1</v>
      </c>
      <c r="BT240" s="36">
        <f>IFERROR(Crops[[#This Row],[Direct Revenue Per Bed]]/Crops[[#This Row],[Days In Field]],-1)</f>
        <v>2.5815217391304346</v>
      </c>
      <c r="BU240" s="36">
        <f>IFERROR(Crops[[#This Row],[Direct Revenue Per Bed Day]]*GrowingDays*BedsPerAcre,"")</f>
        <v>74347.826086956513</v>
      </c>
      <c r="BV240" s="38">
        <f>LastFrostDate-5*Crops[[#This Row],[Sewing Rel Last Frost]]</f>
        <v>45718</v>
      </c>
      <c r="BW240" s="38">
        <f>Crops[[#This Row],[Target Sewing Date]]+Crops[[#This Row],[Days in Cells]]</f>
        <v>45739</v>
      </c>
      <c r="BX240" s="38">
        <f>Crops[[#This Row],[Target Sewing Date]]+Crops[[#This Row],[STH]]</f>
        <v>45798</v>
      </c>
      <c r="BY240" s="38">
        <f>Crops[[#This Row],[Target Harvest Data]]+Crops[[#This Row],[Harvest window]]</f>
        <v>45831</v>
      </c>
      <c r="BZ240">
        <v>6</v>
      </c>
      <c r="CA240" t="s">
        <v>373</v>
      </c>
      <c r="CB240">
        <f>1</f>
        <v>1</v>
      </c>
      <c r="CC240">
        <f>IF(Crops[[#This Row],[Transplanting]]&gt;0, 2, 3)*BedLength/StandardBedLength</f>
        <v>1</v>
      </c>
      <c r="CD240" s="173">
        <f>IF(Crops[[#This Row],[Days in Cells]]&lt;=0,0,Crops[[#This Row],[Plantings Per Bed]]/StartsPerHourSeeding+Crops[[#This Row],[Tray 1 Count]]*5/60)</f>
        <v>0.63368055555555547</v>
      </c>
      <c r="CE240" s="173">
        <f>IF(ISBLANK(Crops[[#This Row],[Tray 2 Days]]),0,Crops[[#This Row],[Plantings Per Bed]]/UpPottingPerHour)+IF(Crops[[#This Row],[Tray 3 Days]]="",0,Crops[[#This Row],[Plantings Per Bed]]/UpPottingPerHour)</f>
        <v>0</v>
      </c>
      <c r="CF240" s="173">
        <f>IFERROR(Crops[[#This Row],[Tray 1 Count]]/HomeStartFlatIrrigationPerHour,0)*Crops[[#This Row],[Days in Cells]]/DaysBetweenStartIrrigation</f>
        <v>0.11848958333333331</v>
      </c>
      <c r="CG240" s="173">
        <f>0.5/16*MAX(Crops[[#This Row],[Tray 1 Count]],Crops[[#This Row],[Tray 2 Count]],Crops[[#This Row],[Tray 3 Count]])</f>
        <v>4.2317708333333329E-2</v>
      </c>
      <c r="CH240" s="173">
        <f>IF(Crops[[#This Row],[Days in Cells]]&gt;0,IF(IF(Crops[[#This Row],[Tray 3 Size]]&gt;0,Crops[[#This Row],[Tray 3 Size]],IF(Crops[[#This Row],[Tray 2 Size]]&gt;0,Crops[[#This Row],[Tray 2 Size]],Crops[[#This Row],[Tray 1 Size]]))&lt;=18,LargeTransplantTime,SmallTransplantTime)*Crops[[#This Row],[Plantings Per Bed]],0)</f>
        <v>0.66666666666666663</v>
      </c>
      <c r="CI240" s="173"/>
      <c r="CJ240" s="173">
        <f>_xlfn.XLOOKUP(Crops[[#This Row],[Trellis Type]],TrellisMethods[Trellis Type],TrellisMethods[Hours],0,0)</f>
        <v>0</v>
      </c>
      <c r="CK240">
        <f>IF(Crops[[#This Row],[Days in Cells]]&lt;=0,Crops[[#This Row],[Rows]]*1/10,0)*BedLength/50</f>
        <v>0</v>
      </c>
      <c r="CL240" cm="1">
        <f t="array" ref="CL240">_xlfn.SWITCH(Crops[[#This Row],[Irrigation]],"DR", 0.5, "OH", 0.25,0)*BedLength/50</f>
        <v>0</v>
      </c>
      <c r="CM240">
        <f>IF(OR(ISBLANK(Crops[[#This Row],[Row Cover]]),Crops[[#This Row],[Row Cover]]="None"),0,1)*BedLength/50</f>
        <v>0</v>
      </c>
      <c r="CN240" s="173">
        <f>HoursPerWeedingPass*Crops[[#This Row],[Days In Field]]/14*Crops[[#This Row],[Rows]]+1*BedLength/50</f>
        <v>3.1904761904761902</v>
      </c>
      <c r="CO240" s="49"/>
      <c r="CQ240" s="37">
        <f>_xlfn.XLOOKUP(Crops[[#This Row],[Crop]]&amp;Crops[[#This Row],[Product]]&amp;Crops[[#This Row],[Unit]],Products[ID],Products[Marketing (hr)])*Crops[[#This Row],[Direct Revenue Per Bed]]/2000</f>
        <v>0.11874999999999999</v>
      </c>
      <c r="CR240" s="37">
        <f>_xlfn.XLOOKUP(Crops[[#This Row],[Crop]]&amp;Crops[[#This Row],[Product]]&amp;Crops[[#This Row],[Unit]],Products[ID],Products[Harvest (s)])*Crops[[#This Row],[Custom Yield Per Bed]]/3600</f>
        <v>1.3888888888888888</v>
      </c>
      <c r="CS240" s="37">
        <f>_xlfn.XLOOKUP(Crops[[#This Row],[Crop]]&amp;Crops[[#This Row],[Product]]&amp;Crops[[#This Row],[Unit]],Products[ID],Products[Bunch (s)])*Crops[[#This Row],[Custom Yield Per Bed]]/3600</f>
        <v>0</v>
      </c>
      <c r="CT240" s="37">
        <f>_xlfn.XLOOKUP(Crops[[#This Row],[Crop]]&amp;Crops[[#This Row],[Product]]&amp;Crops[[#This Row],[Unit]],Products[ID],Products[Haul (s)])*Crops[[#This Row],[Custom Yield Per Bed]]/3600</f>
        <v>2.5000000000000001E-2</v>
      </c>
      <c r="CU240" s="37">
        <f>_xlfn.XLOOKUP(Crops[[#This Row],[Crop]]&amp;Crops[[#This Row],[Product]]&amp;Crops[[#This Row],[Unit]],Products[ID],Products[Wash (s)])*Crops[[#This Row],[Custom Yield Per Bed]]/3600</f>
        <v>0</v>
      </c>
      <c r="CV240" s="37">
        <f>_xlfn.XLOOKUP(Crops[[#This Row],[Crop]]&amp;Crops[[#This Row],[Product]]&amp;Crops[[#This Row],[Unit]],Products[ID],Products[Condition (s)])*Crops[[#This Row],[Custom Yield Per Bed]]/3600</f>
        <v>0</v>
      </c>
      <c r="CW240" s="37">
        <f>_xlfn.XLOOKUP(Crops[[#This Row],[Crop]]&amp;Crops[[#This Row],[Product]]&amp;Crops[[#This Row],[Unit]],Products[ID],Products[Trim (s)])*Crops[[#This Row],[Custom Yield Per Bed]]/3600</f>
        <v>6.9444444444444448E-2</v>
      </c>
      <c r="CX240" s="37">
        <f>_xlfn.XLOOKUP(Crops[[#This Row],[Crop]]&amp;Crops[[#This Row],[Product]]&amp;Crops[[#This Row],[Unit]],Products[ID],Products[Pack (s)])*Crops[[#This Row],[Custom Yield Per Bed]]/3600</f>
        <v>2.0833333333333332E-2</v>
      </c>
      <c r="CY240" s="37">
        <f>_xlfn.XLOOKUP(Crops[[#This Row],[Crop]]&amp;Crops[[#This Row],[Product]]&amp;Crops[[#This Row],[Unit]],Products[ID],Products[Clean (s)])*Crops[[#This Row],[Custom Yield Per Bed]]/3600</f>
        <v>0</v>
      </c>
      <c r="CZ240" s="37">
        <f>_xlfn.XLOOKUP(Crops[[#This Row],[Crop]]&amp;Crops[[#This Row],[Product]]&amp;Crops[[#This Row],[Unit]],Products[ID],Products[Rehandle (s)])*Crops[[#This Row],[Custom Yield Per Bed]]/3600</f>
        <v>0</v>
      </c>
      <c r="DA240" s="37">
        <f>_xlfn.XLOOKUP(Crops[[#This Row],[Crop]]&amp;Crops[[#This Row],[Product]]&amp;Crops[[#This Row],[Unit]],Products[ID],Products[Market Transport (s)])*Crops[[#This Row],[Custom Yield Per Bed]]/3600</f>
        <v>6.25E-2</v>
      </c>
      <c r="DC240" s="37">
        <f>Crops[[#This Row],[Direct Revenue Per Bed2]]</f>
        <v>237.5</v>
      </c>
      <c r="DD240" s="173">
        <f>_xlfn.AGGREGATE(9,6,Crops[[#This Row],[Bed Prep]:[Remove Crop Residue]])</f>
        <v>7.3370473710317468</v>
      </c>
      <c r="DE240" s="173">
        <f>_xlfn.AGGREGATE(9,6,Crops[[#This Row],[Bed Prep]:[Remove Crop Residue]])-0.75*Crops[[#This Row],[Market &amp; Sell]]</f>
        <v>7.2479848710317469</v>
      </c>
      <c r="DF240" s="36">
        <f>Crops[[#This Row],[Direct Revenue Per Bed2]]/Crops[[#This Row],[Direct Time]]</f>
        <v>32.369969551743864</v>
      </c>
      <c r="DG240" s="36">
        <f>_xlfn.XLOOKUP(Crops[[#This Row],[ProductIndex]],Products[ID],Products[Packaging Cost])*(Crops[[#This Row],[Custom Yield Per Bed]]/_xlfn.XLOOKUP(Crops[[#This Row],[ProductIndex]],Products[ID],Products[Units Per Pack]))</f>
        <v>3.8</v>
      </c>
      <c r="DH240" s="36"/>
      <c r="DI240" s="36"/>
      <c r="DJ240" s="36"/>
      <c r="DK240" s="36"/>
      <c r="DL240" s="36"/>
      <c r="DM240" s="33">
        <f>IFERROR(Crops[[#This Row],[Custom Yield Per Bed]]*Crops[[#This Row],[Direct Price]],"")</f>
        <v>237.5</v>
      </c>
      <c r="DN240" s="36">
        <f>Crops[[#This Row],[Direct Time]]*LaborRate</f>
        <v>183.42618427579367</v>
      </c>
      <c r="DO240" s="36">
        <f>SUM(Crops[[#This Row],[Irrigation Cost]])</f>
        <v>0</v>
      </c>
      <c r="DP240" s="36">
        <f>Crops[[#This Row],[Direct Labor Cost]]+Crops[[#This Row],[Direct Non-Labor Cost]]</f>
        <v>183.42618427579367</v>
      </c>
      <c r="DQ240" s="36">
        <f>Crops[[#This Row],[Direct Revenue Per Bed2]]-Crops[[#This Row],[Direct Total Cost]]</f>
        <v>54.073815724206327</v>
      </c>
      <c r="DR240" s="36">
        <f>Crops[[#This Row],[Direct Profit]]*BedsPerAcre</f>
        <v>8651.8105158730123</v>
      </c>
      <c r="DS240" s="36">
        <f>Crops[[#This Row],[Direct Profit]]*BedsPerAcre*GrowingDays/Crops[[#This Row],[Days In Field]]</f>
        <v>16927.455357142851</v>
      </c>
      <c r="DT240" s="36">
        <f>Crops[[#This Row],[Direct Profit]]/MIN(Crops[[#This Row],[Days In Field]],GrowingDays)</f>
        <v>0.58775886656746013</v>
      </c>
      <c r="DU240" s="33">
        <f>Crops[[#This Row],[Direct Time]] * BedsPerAcre</f>
        <v>1173.9275793650795</v>
      </c>
      <c r="DV240" s="36">
        <f>(Crops[[#This Row],[Direct Revenue Per Bed2]]-Crops[[#This Row],[Direct Non-Labor Cost]])/Crops[[#This Row],[Direct Time]]</f>
        <v>32.369969551743864</v>
      </c>
      <c r="DW240" s="33">
        <f>IFERROR(Crops[[#This Row],[Custom Yield Per Bed]]*Crops[[#This Row],[Rough Wholesale Price]],"")</f>
        <v>100</v>
      </c>
      <c r="DX240" s="36">
        <f>Crops[[#This Row],[Wholesale Time]]*LaborRate</f>
        <v>181.19962177579367</v>
      </c>
      <c r="DY240" s="36">
        <f>SUM(Crops[[#This Row],[Packaging Costs]:[Irrigation Cost]])</f>
        <v>3.8</v>
      </c>
      <c r="DZ240" s="36">
        <f>Crops[[#This Row],[Wholesale Labor Cost]]+Crops[[#This Row],[Wholesale Non-Labor Cost]]</f>
        <v>184.99962177579368</v>
      </c>
      <c r="EA240" s="36">
        <f>Crops[[#This Row],[Wholesale Revenue Per Bed]]-Crops[[#This Row],[Wholesale Total Cost]]</f>
        <v>-84.999621775793685</v>
      </c>
      <c r="EB240" s="36">
        <f>Crops[[#This Row],[Wholesale Profit]]*BedsPerAcre</f>
        <v>-13599.93948412699</v>
      </c>
      <c r="EC240" s="36">
        <f>Crops[[#This Row],[Wholesale Profit]]*BedsPerAcre*GrowingDays/Crops[[#This Row],[Days In Field]]</f>
        <v>-26608.577251552808</v>
      </c>
      <c r="ED240" s="33">
        <f>Crops[[#This Row],[Wholesale Time]] * BedsPerAcre</f>
        <v>1159.6775793650795</v>
      </c>
      <c r="EE240" s="221">
        <f>Crops[[#This Row],[Wholesale Profit]]/MIN(Crops[[#This Row],[Days In Field]],GrowingDays)</f>
        <v>-0.92390893234558358</v>
      </c>
      <c r="EF240" s="36">
        <f>(Crops[[#This Row],[Wholesale Revenue Per Bed]]-Crops[[#This Row],[Wholesale Non-Labor Cost]])/Crops[[#This Row],[Direct Time]]</f>
        <v>13.111541351064252</v>
      </c>
      <c r="EG240" s="174">
        <f>Crops[[#This Row],[Packaging Costs]]/Crops[[#This Row],[Wholesale Revenue Per Bed]]</f>
        <v>3.7999999999999999E-2</v>
      </c>
      <c r="EH240" s="36" t="str">
        <f>Crops[[#This Row],[Crop]]&amp;Crops[[#This Row],[Product]]&amp;Crops[[#This Row],[Unit]]</f>
        <v>PeasYoung PodLb</v>
      </c>
      <c r="EI240" s="36" t="b">
        <f>_xlfn.XLOOKUP(Crops[[#This Row],[ProductIndex]],Products[ID],Products[Target])</f>
        <v>1</v>
      </c>
      <c r="EJ240" s="33">
        <f>Crops[[#This Row],[Custom Yield Per Bed]]</f>
        <v>25</v>
      </c>
      <c r="EK240" s="210">
        <f>Crops[[#This Row],[Units Per Harvest]]/Crops[[#This Row],[Days Between Harvest]]*7</f>
        <v>6.25</v>
      </c>
      <c r="EL240" s="210">
        <f>Crops[[#This Row],[Custom Yield Per Bed]]/_xlfn.XLOOKUP(Crops[[#This Row],[ProductIndex]],Products[ID],Products[CSA Portion])</f>
        <v>50</v>
      </c>
      <c r="EM240" s="210">
        <f>Crops[[#This Row],[Units Per Harvest]]/Crops[[#This Row],[Days Between Harvest]]*7/_xlfn.XLOOKUP(Crops[[#This Row],[ProductIndex]],Products[ID],Products[CSA Portion])</f>
        <v>12.5</v>
      </c>
      <c r="EN240" s="210">
        <f>Crops[[#This Row],[CSA Portions Per Week]]/CSAMembers</f>
        <v>0.25</v>
      </c>
      <c r="EO240" s="216">
        <v>3</v>
      </c>
      <c r="EP240" s="216">
        <v>1</v>
      </c>
      <c r="EQ240" s="210" t="s">
        <v>2689</v>
      </c>
      <c r="ER240" s="210">
        <f>Crops[[#This Row],[Harvests]]*Crops[[#This Row],[Days Between Harvest]]/7</f>
        <v>4</v>
      </c>
      <c r="ES240" s="217">
        <f>_xlfn.XLOOKUP(Crops[[#This Row],[ProductIndex]],Products[ID],Products[CSA Need])</f>
        <v>1</v>
      </c>
      <c r="ET240" s="217">
        <f>_xlfn.XLOOKUP(Crops[[#This Row],[ProductIndex]],Products[ID],Products[CSA Times])</f>
        <v>2</v>
      </c>
      <c r="EU240" s="208">
        <f>Crops[[#This Row],[Custom Yield Per Bed]]/(Crops[[#This Row],[CSA Need]]*(_xlfn.XLOOKUP(Crops[[#This Row],[ProductIndex]],Products[ID],Products[CSA Portion])*CSAMembers))</f>
        <v>1</v>
      </c>
      <c r="EV240" s="208">
        <f>_xlfn.XLOOKUP(Crops[[#This Row],[ProductIndex]],Products[ID],Products[CSA Portion])*CSAMembers*Crops[[#This Row],[CSA Need]]/Crops[[#This Row],[Custom Yield Per Bed]]</f>
        <v>1</v>
      </c>
      <c r="EW240" s="208">
        <f>IFERROR(Crops[[#This Row],[Days In Field]]*Crops[[#This Row],[CSA Beds]],"")</f>
        <v>92</v>
      </c>
      <c r="EX240" s="208" t="e">
        <f>Crops[[#This Row],[CSA Bed Days]]*#REF!</f>
        <v>#REF!</v>
      </c>
      <c r="EY240" t="s">
        <v>1692</v>
      </c>
    </row>
    <row r="241" spans="1:155">
      <c r="A241"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Peas (Snow) - Young Pod 3X | Field DS SpSu</v>
      </c>
      <c r="B241" s="28"/>
      <c r="C241" s="1"/>
      <c r="D241" s="1"/>
      <c r="E241" s="1" t="b">
        <v>0</v>
      </c>
      <c r="F241" s="1" t="b">
        <f>IFERROR(IF(ISNUMBER(MATCH(Crops[[#This Row],[Identifier]],BedPlan[Crop], 0)), TRUE, FALSE), FALSE)</f>
        <v>0</v>
      </c>
      <c r="G241" s="1" t="b">
        <f>IFERROR(IF(ISNUMBER(MATCH(Crops[[#This Row],[Identifier]],BedPlan[Crop], 0)), TRUE, FALSE), FALSE)</f>
        <v>0</v>
      </c>
      <c r="H241" s="1" t="b">
        <v>1</v>
      </c>
      <c r="I241" t="s">
        <v>110</v>
      </c>
      <c r="J241" t="s">
        <v>1665</v>
      </c>
      <c r="K241" t="s">
        <v>183</v>
      </c>
      <c r="N241" t="str">
        <f>Crops[[#This Row],[Crop]]</f>
        <v>Peas</v>
      </c>
      <c r="O241" t="s">
        <v>210</v>
      </c>
      <c r="P241" t="str">
        <f>IF(OR(Crops[[#This Row],[Days in Cells]]="",Crops[[#This Row],[Days in Cells]]=0), "DS","TP")</f>
        <v>DS</v>
      </c>
      <c r="Q241" t="s">
        <v>144</v>
      </c>
      <c r="R241" t="s">
        <v>144</v>
      </c>
      <c r="V241" t="str">
        <f xml:space="preserve"> IF(Crops[[#This Row],[Sp]], "Sp", "") &amp; IF(Crops[[#This Row],[Su]], "Su", "") &amp; IF(Crops[[#This Row],[Fa]], "Fa", "") &amp; IF(Crops[[#This Row],[Wi]], "Wi", "") &amp; IF(Crops[[#This Row],[OW]], "Ow","")</f>
        <v>SpSu</v>
      </c>
      <c r="W241" t="s">
        <v>144</v>
      </c>
      <c r="X241">
        <v>2</v>
      </c>
      <c r="Y241">
        <v>1</v>
      </c>
      <c r="AC241">
        <v>5</v>
      </c>
      <c r="AD241" s="32">
        <f>IFERROR(12/Crops[[#This Row],[Spacing]]*Crops[[#This Row],[Rows]]*BedLength,"")</f>
        <v>1200</v>
      </c>
      <c r="AE241">
        <v>3</v>
      </c>
      <c r="AG241">
        <f>IF(Crops[[#This Row],[Custom Safety Factor]]="",PlantingSafetyFactor,Crops[[#This Row],[Custom Safety Factor]])</f>
        <v>1.3</v>
      </c>
      <c r="AH241">
        <f>1</f>
        <v>1</v>
      </c>
      <c r="AI241" s="33">
        <f>IFERROR(Crops[[#This Row],[Plantings Per Bed]]*Crops[[#This Row],[Seeds Per Planting]]*Crops[[#This Row],[Safety Factor]]*Crops[[#This Row],[Seeding Factor]],"")</f>
        <v>4680</v>
      </c>
      <c r="AL241">
        <f>_xlfn.FLOOR.MATH(IFERROR(AVERAGE(Crops[[#This Row],[DTG Lower]:[DTG Upper]]),0))</f>
        <v>0</v>
      </c>
      <c r="AM241">
        <f>SUM(Crops[[#This Row],[Tray 1 Days]],Crops[[#This Row],[Tray 2 Days]],Crops[[#This Row],[Tray 3 Days]])</f>
        <v>0</v>
      </c>
      <c r="AP241">
        <v>65</v>
      </c>
      <c r="AQ241">
        <f>IFERROR(_xlfn.FLOOR.MATH(AVERAGE(Crops[[#This Row],[DTM Lower]:[DTM Upper]])),"")</f>
        <v>65</v>
      </c>
      <c r="AR241" cm="1">
        <f t="array" ref="AR241">_xlfn.SWITCH(Crops[[#This Row],[Normal Method]],"DS",Crops[[#This Row],[Days to Germination]]+Crops[[#This Row],[DTM]] + IF(Crops[[#This Row],[Days in Cells]]&gt;0,15,0), "TP",Crops[[#This Row],[DTM]]+Crops[[#This Row],[Days in Cells]] + IF(Crops[[#This Row],[Days in Cells]]&lt;=0,20,0), "X", Crops[[#This Row],[DTM]])</f>
        <v>65</v>
      </c>
      <c r="AS241" t="s">
        <v>338</v>
      </c>
      <c r="AT241">
        <f>(Crops[[#This Row],[Harvests]]-1)*Crops[[#This Row],[Days Between Harvest]]+7</f>
        <v>33</v>
      </c>
      <c r="AU241">
        <f>Crops[[#This Row],[STH]]-Crops[[#This Row],[Days in Cells]]+Crops[[#This Row],[Harvest window]]</f>
        <v>98</v>
      </c>
      <c r="AW241" t="s">
        <v>212</v>
      </c>
      <c r="AZ241" t="str">
        <f>IFERROR(IF(Crops[[#This Row],[Tray 1 Days]]=0,"",Crops[[#This Row],[Plantings Per Bed]]/Crops[[#This Row],[Tray 1 Size]]*Crops[[#This Row],[Safety Factor]]),"")</f>
        <v/>
      </c>
      <c r="BC241" t="str">
        <f>IFERROR(IF(Crops[[#This Row],[Tray 2 Days]]=0,"",Crops[[#This Row],[Plantings Per Bed]]/Crops[[#This Row],[Tray 2 Size]]*Crops[[#This Row],[Safety Factor]]),"")</f>
        <v/>
      </c>
      <c r="BE241" s="32" t="str">
        <f>IF(NOT(ISBLANK(Crops[[#This Row],[Tray 3 Size]])), Crops[[#This Row],[Days in Cells Old]]-SUM(Crops[[#This Row],[Tray 1 Days]],Crops[[#This Row],[Tray 2 Days]]), "")</f>
        <v/>
      </c>
      <c r="BF241" t="str">
        <f>IFERROR(IF(Crops[[#This Row],[Tray 3 Days]]=0,"",Crops[[#This Row],[Plantings Per Bed]]/Crops[[#This Row],[Tray 3 Size]]*Crops[[#This Row],[Safety Factor]]),"")</f>
        <v/>
      </c>
      <c r="BG241" s="33">
        <f>50*BedLength/StandardBedLength/Crops[[#This Row],[Harvests]]</f>
        <v>1.7857142857142858</v>
      </c>
      <c r="BH241" s="33">
        <f>28/Crops[[#This Row],[Days Between Harvest]]</f>
        <v>14</v>
      </c>
      <c r="BI241" s="33">
        <v>2</v>
      </c>
      <c r="BJ241" s="33">
        <f>_xlfn.XLOOKUP(Crops[[#This Row],[ProductIndex]],Products[ID],Products[Holding Period])</f>
        <v>4</v>
      </c>
      <c r="BK241" s="33"/>
      <c r="BL241" s="33">
        <f>Crops[[#This Row],[Units Per Harvest]]*Crops[[#This Row],[Harvests]]</f>
        <v>25</v>
      </c>
      <c r="BM241" s="35">
        <v>9.5</v>
      </c>
      <c r="BN241" s="35">
        <v>4</v>
      </c>
      <c r="BO241" s="35"/>
      <c r="BP241" t="s">
        <v>383</v>
      </c>
      <c r="BQ241">
        <f>Crops[[#This Row],[Custom Yield Per Bed]]*Crops[[#This Row],[Direct Price]]</f>
        <v>237.5</v>
      </c>
      <c r="BS241" t="b">
        <f>Crops[[#This Row],[Harvests]]&gt;1</f>
        <v>1</v>
      </c>
      <c r="BT241" s="36">
        <f>IFERROR(Crops[[#This Row],[Direct Revenue Per Bed]]/Crops[[#This Row],[Days In Field]],-1)</f>
        <v>2.4234693877551021</v>
      </c>
      <c r="BU241" s="36">
        <f>IFERROR(Crops[[#This Row],[Direct Revenue Per Bed Day]]*GrowingDays*BedsPerAcre,"")</f>
        <v>69795.918367346938</v>
      </c>
      <c r="BV241" s="38">
        <f>LastFrostDate-5*Crops[[#This Row],[Sewing Rel Last Frost]]</f>
        <v>45738</v>
      </c>
      <c r="BW241" s="38">
        <f>Crops[[#This Row],[Target Sewing Date]]+Crops[[#This Row],[Days in Cells]]</f>
        <v>45738</v>
      </c>
      <c r="BX241" s="38">
        <f>Crops[[#This Row],[Target Sewing Date]]+Crops[[#This Row],[STH]]</f>
        <v>45803</v>
      </c>
      <c r="BY241" s="38">
        <f>Crops[[#This Row],[Target Harvest Data]]+Crops[[#This Row],[Harvest window]]</f>
        <v>45836</v>
      </c>
      <c r="BZ241">
        <v>2</v>
      </c>
      <c r="CA241" t="s">
        <v>373</v>
      </c>
      <c r="CB241">
        <f>1</f>
        <v>1</v>
      </c>
      <c r="CC241">
        <f>IF(Crops[[#This Row],[Transplanting]]&gt;0, 2, 3)*BedLength/StandardBedLength</f>
        <v>1.5</v>
      </c>
      <c r="CD241" s="173">
        <f>IF(Crops[[#This Row],[Days in Cells]]&lt;=0,0,Crops[[#This Row],[Plantings Per Bed]]/StartsPerHourSeeding+Crops[[#This Row],[Tray 1 Count]]*5/60)</f>
        <v>0</v>
      </c>
      <c r="CE241" s="173">
        <f>IF(ISBLANK(Crops[[#This Row],[Tray 2 Days]]),0,Crops[[#This Row],[Plantings Per Bed]]/UpPottingPerHour)+IF(Crops[[#This Row],[Tray 3 Days]]="",0,Crops[[#This Row],[Plantings Per Bed]]/UpPottingPerHour)</f>
        <v>0</v>
      </c>
      <c r="CF241" s="173">
        <f>IFERROR(Crops[[#This Row],[Tray 1 Count]]/HomeStartFlatIrrigationPerHour,0)*Crops[[#This Row],[Days in Cells]]/DaysBetweenStartIrrigation</f>
        <v>0</v>
      </c>
      <c r="CG241" s="173">
        <f>0.5/16*MAX(Crops[[#This Row],[Tray 1 Count]],Crops[[#This Row],[Tray 2 Count]],Crops[[#This Row],[Tray 3 Count]])</f>
        <v>0</v>
      </c>
      <c r="CH241" s="173">
        <f>IF(Crops[[#This Row],[Days in Cells]]&gt;0,IF(IF(Crops[[#This Row],[Tray 3 Size]]&gt;0,Crops[[#This Row],[Tray 3 Size]],IF(Crops[[#This Row],[Tray 2 Size]]&gt;0,Crops[[#This Row],[Tray 2 Size]],Crops[[#This Row],[Tray 1 Size]]))&lt;=18,LargeTransplantTime,SmallTransplantTime)*Crops[[#This Row],[Plantings Per Bed]],0)</f>
        <v>0</v>
      </c>
      <c r="CI241" s="173"/>
      <c r="CJ241" s="173">
        <f>_xlfn.XLOOKUP(Crops[[#This Row],[Trellis Type]],TrellisMethods[Trellis Type],TrellisMethods[Hours],0,0)</f>
        <v>0</v>
      </c>
      <c r="CK241">
        <f>IF(Crops[[#This Row],[Days in Cells]]&lt;=0,Crops[[#This Row],[Rows]]*1/10,0)*BedLength/50</f>
        <v>0.2</v>
      </c>
      <c r="CL241" cm="1">
        <f t="array" ref="CL241">_xlfn.SWITCH(Crops[[#This Row],[Irrigation]],"DR", 0.5, "OH", 0.25,0)*BedLength/50</f>
        <v>0</v>
      </c>
      <c r="CM241">
        <f>IF(OR(ISBLANK(Crops[[#This Row],[Row Cover]]),Crops[[#This Row],[Row Cover]]="None"),0,1)*BedLength/50</f>
        <v>0</v>
      </c>
      <c r="CN241" s="173">
        <f>HoursPerWeedingPass*Crops[[#This Row],[Days In Field]]/14*Crops[[#This Row],[Rows]]+1*BedLength/50</f>
        <v>3.333333333333333</v>
      </c>
      <c r="CO241" s="49"/>
      <c r="CQ241" s="37">
        <f>_xlfn.XLOOKUP(Crops[[#This Row],[Crop]]&amp;Crops[[#This Row],[Product]]&amp;Crops[[#This Row],[Unit]],Products[ID],Products[Marketing (hr)])*Crops[[#This Row],[Direct Revenue Per Bed]]/2000</f>
        <v>0.11874999999999999</v>
      </c>
      <c r="CR241" s="37">
        <f>_xlfn.XLOOKUP(Crops[[#This Row],[Crop]]&amp;Crops[[#This Row],[Product]]&amp;Crops[[#This Row],[Unit]],Products[ID],Products[Harvest (s)])*Crops[[#This Row],[Custom Yield Per Bed]]/3600</f>
        <v>1.3888888888888888</v>
      </c>
      <c r="CS241" s="37">
        <f>_xlfn.XLOOKUP(Crops[[#This Row],[Crop]]&amp;Crops[[#This Row],[Product]]&amp;Crops[[#This Row],[Unit]],Products[ID],Products[Bunch (s)])*Crops[[#This Row],[Custom Yield Per Bed]]/3600</f>
        <v>0</v>
      </c>
      <c r="CT241" s="37">
        <f>_xlfn.XLOOKUP(Crops[[#This Row],[Crop]]&amp;Crops[[#This Row],[Product]]&amp;Crops[[#This Row],[Unit]],Products[ID],Products[Haul (s)])*Crops[[#This Row],[Custom Yield Per Bed]]/3600</f>
        <v>2.5000000000000001E-2</v>
      </c>
      <c r="CU241" s="37">
        <f>_xlfn.XLOOKUP(Crops[[#This Row],[Crop]]&amp;Crops[[#This Row],[Product]]&amp;Crops[[#This Row],[Unit]],Products[ID],Products[Wash (s)])*Crops[[#This Row],[Custom Yield Per Bed]]/3600</f>
        <v>0</v>
      </c>
      <c r="CV241" s="37">
        <f>_xlfn.XLOOKUP(Crops[[#This Row],[Crop]]&amp;Crops[[#This Row],[Product]]&amp;Crops[[#This Row],[Unit]],Products[ID],Products[Condition (s)])*Crops[[#This Row],[Custom Yield Per Bed]]/3600</f>
        <v>0</v>
      </c>
      <c r="CW241" s="37">
        <f>_xlfn.XLOOKUP(Crops[[#This Row],[Crop]]&amp;Crops[[#This Row],[Product]]&amp;Crops[[#This Row],[Unit]],Products[ID],Products[Trim (s)])*Crops[[#This Row],[Custom Yield Per Bed]]/3600</f>
        <v>6.9444444444444448E-2</v>
      </c>
      <c r="CX241" s="37">
        <f>_xlfn.XLOOKUP(Crops[[#This Row],[Crop]]&amp;Crops[[#This Row],[Product]]&amp;Crops[[#This Row],[Unit]],Products[ID],Products[Pack (s)])*Crops[[#This Row],[Custom Yield Per Bed]]/3600</f>
        <v>2.0833333333333332E-2</v>
      </c>
      <c r="CY241" s="37">
        <f>_xlfn.XLOOKUP(Crops[[#This Row],[Crop]]&amp;Crops[[#This Row],[Product]]&amp;Crops[[#This Row],[Unit]],Products[ID],Products[Clean (s)])*Crops[[#This Row],[Custom Yield Per Bed]]/3600</f>
        <v>0</v>
      </c>
      <c r="CZ241" s="37">
        <f>_xlfn.XLOOKUP(Crops[[#This Row],[Crop]]&amp;Crops[[#This Row],[Product]]&amp;Crops[[#This Row],[Unit]],Products[ID],Products[Rehandle (s)])*Crops[[#This Row],[Custom Yield Per Bed]]/3600</f>
        <v>0</v>
      </c>
      <c r="DA241" s="37">
        <f>_xlfn.XLOOKUP(Crops[[#This Row],[Crop]]&amp;Crops[[#This Row],[Product]]&amp;Crops[[#This Row],[Unit]],Products[ID],Products[Market Transport (s)])*Crops[[#This Row],[Custom Yield Per Bed]]/3600</f>
        <v>6.25E-2</v>
      </c>
      <c r="DC241" s="37">
        <f>Crops[[#This Row],[Direct Revenue Per Bed2]]</f>
        <v>237.5</v>
      </c>
      <c r="DD241" s="173">
        <f>_xlfn.AGGREGATE(9,6,Crops[[#This Row],[Bed Prep]:[Remove Crop Residue]])</f>
        <v>6.7187500000000009</v>
      </c>
      <c r="DE241" s="173">
        <f>_xlfn.AGGREGATE(9,6,Crops[[#This Row],[Bed Prep]:[Remove Crop Residue]])-0.75*Crops[[#This Row],[Market &amp; Sell]]</f>
        <v>6.6296875000000011</v>
      </c>
      <c r="DF241" s="36">
        <f>Crops[[#This Row],[Direct Revenue Per Bed2]]/Crops[[#This Row],[Direct Time]]</f>
        <v>35.348837209302324</v>
      </c>
      <c r="DG241" s="36">
        <f>_xlfn.XLOOKUP(Crops[[#This Row],[ProductIndex]],Products[ID],Products[Packaging Cost])*(Crops[[#This Row],[Custom Yield Per Bed]]/_xlfn.XLOOKUP(Crops[[#This Row],[ProductIndex]],Products[ID],Products[Units Per Pack]))</f>
        <v>3.8</v>
      </c>
      <c r="DH241" s="36"/>
      <c r="DI241" s="36"/>
      <c r="DJ241" s="36"/>
      <c r="DK241" s="36"/>
      <c r="DL241" s="36"/>
      <c r="DM241" s="33">
        <f>IFERROR(Crops[[#This Row],[Custom Yield Per Bed]]*Crops[[#This Row],[Direct Price]],"")</f>
        <v>237.5</v>
      </c>
      <c r="DN241" s="36">
        <f>Crops[[#This Row],[Direct Time]]*LaborRate</f>
        <v>167.96875000000003</v>
      </c>
      <c r="DO241" s="36">
        <f>SUM(Crops[[#This Row],[Irrigation Cost]])</f>
        <v>0</v>
      </c>
      <c r="DP241" s="36">
        <f>Crops[[#This Row],[Direct Labor Cost]]+Crops[[#This Row],[Direct Non-Labor Cost]]</f>
        <v>167.96875000000003</v>
      </c>
      <c r="DQ241" s="36">
        <f>Crops[[#This Row],[Direct Revenue Per Bed2]]-Crops[[#This Row],[Direct Total Cost]]</f>
        <v>69.531249999999972</v>
      </c>
      <c r="DR241" s="36">
        <f>Crops[[#This Row],[Direct Profit]]*BedsPerAcre</f>
        <v>11124.999999999996</v>
      </c>
      <c r="DS241" s="36">
        <f>Crops[[#This Row],[Direct Profit]]*BedsPerAcre*GrowingDays/Crops[[#This Row],[Days In Field]]</f>
        <v>20433.673469387748</v>
      </c>
      <c r="DT241" s="36">
        <f>Crops[[#This Row],[Direct Profit]]/MIN(Crops[[#This Row],[Days In Field]],GrowingDays)</f>
        <v>0.70950255102040782</v>
      </c>
      <c r="DU241" s="33">
        <f>Crops[[#This Row],[Direct Time]] * BedsPerAcre</f>
        <v>1075.0000000000002</v>
      </c>
      <c r="DV241" s="36">
        <f>(Crops[[#This Row],[Direct Revenue Per Bed2]]-Crops[[#This Row],[Direct Non-Labor Cost]])/Crops[[#This Row],[Direct Time]]</f>
        <v>35.348837209302324</v>
      </c>
      <c r="DW241" s="33">
        <f>IFERROR(Crops[[#This Row],[Custom Yield Per Bed]]*Crops[[#This Row],[Rough Wholesale Price]],"")</f>
        <v>100</v>
      </c>
      <c r="DX241" s="36">
        <f>Crops[[#This Row],[Wholesale Time]]*LaborRate</f>
        <v>165.74218750000003</v>
      </c>
      <c r="DY241" s="36">
        <f>SUM(Crops[[#This Row],[Packaging Costs]:[Irrigation Cost]])</f>
        <v>3.8</v>
      </c>
      <c r="DZ241" s="36">
        <f>Crops[[#This Row],[Wholesale Labor Cost]]+Crops[[#This Row],[Wholesale Non-Labor Cost]]</f>
        <v>169.54218750000004</v>
      </c>
      <c r="EA241" s="36">
        <f>Crops[[#This Row],[Wholesale Revenue Per Bed]]-Crops[[#This Row],[Wholesale Total Cost]]</f>
        <v>-69.54218750000004</v>
      </c>
      <c r="EB241" s="36">
        <f>Crops[[#This Row],[Wholesale Profit]]*BedsPerAcre</f>
        <v>-11126.750000000007</v>
      </c>
      <c r="EC241" s="36">
        <f>Crops[[#This Row],[Wholesale Profit]]*BedsPerAcre*GrowingDays/Crops[[#This Row],[Days In Field]]</f>
        <v>-20436.887755102056</v>
      </c>
      <c r="ED241" s="33">
        <f>Crops[[#This Row],[Wholesale Time]] * BedsPerAcre</f>
        <v>1060.7500000000002</v>
      </c>
      <c r="EE241" s="221">
        <f>Crops[[#This Row],[Wholesale Profit]]/MIN(Crops[[#This Row],[Days In Field]],GrowingDays)</f>
        <v>-0.70961415816326567</v>
      </c>
      <c r="EF241" s="36">
        <f>(Crops[[#This Row],[Wholesale Revenue Per Bed]]-Crops[[#This Row],[Wholesale Non-Labor Cost]])/Crops[[#This Row],[Direct Time]]</f>
        <v>14.31813953488372</v>
      </c>
      <c r="EG241" s="174">
        <f>Crops[[#This Row],[Packaging Costs]]/Crops[[#This Row],[Wholesale Revenue Per Bed]]</f>
        <v>3.7999999999999999E-2</v>
      </c>
      <c r="EH241" s="36" t="str">
        <f>Crops[[#This Row],[Crop]]&amp;Crops[[#This Row],[Product]]&amp;Crops[[#This Row],[Unit]]</f>
        <v>PeasYoung PodLb</v>
      </c>
      <c r="EI241" s="36" t="b">
        <f>_xlfn.XLOOKUP(Crops[[#This Row],[ProductIndex]],Products[ID],Products[Target])</f>
        <v>1</v>
      </c>
      <c r="EJ241" s="36">
        <f>Crops[[#This Row],[Custom Yield Per Bed]]</f>
        <v>25</v>
      </c>
      <c r="EK241" s="210">
        <f>Crops[[#This Row],[Units Per Harvest]]/Crops[[#This Row],[Days Between Harvest]]*7</f>
        <v>6.25</v>
      </c>
      <c r="EL241" s="210">
        <f>Crops[[#This Row],[Custom Yield Per Bed]]/_xlfn.XLOOKUP(Crops[[#This Row],[ProductIndex]],Products[ID],Products[CSA Portion])</f>
        <v>50</v>
      </c>
      <c r="EM241" s="210">
        <f>Crops[[#This Row],[Units Per Harvest]]/Crops[[#This Row],[Days Between Harvest]]*7/_xlfn.XLOOKUP(Crops[[#This Row],[ProductIndex]],Products[ID],Products[CSA Portion])</f>
        <v>12.5</v>
      </c>
      <c r="EN241" s="210">
        <f>Crops[[#This Row],[CSA Portions Per Week]]/CSAMembers</f>
        <v>0.25</v>
      </c>
      <c r="EO241" s="210"/>
      <c r="EP241" s="210"/>
      <c r="EQ241" s="210"/>
      <c r="ER241" s="210">
        <f>Crops[[#This Row],[Harvests]]*Crops[[#This Row],[Days Between Harvest]]/7</f>
        <v>4</v>
      </c>
      <c r="ES241" s="217">
        <f>_xlfn.XLOOKUP(Crops[[#This Row],[ProductIndex]],Products[ID],Products[CSA Need])</f>
        <v>1</v>
      </c>
      <c r="ET241" s="217">
        <f>_xlfn.XLOOKUP(Crops[[#This Row],[ProductIndex]],Products[ID],Products[CSA Times])</f>
        <v>2</v>
      </c>
      <c r="EU241" s="208">
        <f>Crops[[#This Row],[Custom Yield Per Bed]]/(Crops[[#This Row],[CSA Need]]*(_xlfn.XLOOKUP(Crops[[#This Row],[ProductIndex]],Products[ID],Products[CSA Portion])*CSAMembers))</f>
        <v>1</v>
      </c>
      <c r="EV241" s="208">
        <f>_xlfn.XLOOKUP(Crops[[#This Row],[ProductIndex]],Products[ID],Products[CSA Portion])*CSAMembers*Crops[[#This Row],[CSA Need]]/Crops[[#This Row],[Custom Yield Per Bed]]</f>
        <v>1</v>
      </c>
      <c r="EW241" s="208">
        <f>IFERROR(Crops[[#This Row],[Days In Field]]*Crops[[#This Row],[CSA Beds]],"")</f>
        <v>98</v>
      </c>
      <c r="EX241" s="208" t="e">
        <f>Crops[[#This Row],[CSA Bed Days]]*#REF!</f>
        <v>#REF!</v>
      </c>
      <c r="EY241" t="s">
        <v>1692</v>
      </c>
    </row>
    <row r="242" spans="1:155" ht="15" customHeight="1">
      <c r="A242"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Peonies - Mature Stalk 1X | Field DS </v>
      </c>
      <c r="B242" s="189"/>
      <c r="C242" s="1"/>
      <c r="D242" s="1"/>
      <c r="E242" s="1" t="b">
        <v>0</v>
      </c>
      <c r="F242" s="1" t="b">
        <f>IFERROR(IF(ISNUMBER(MATCH(Crops[[#This Row],[Identifier]],BedPlan[Crop], 0)), TRUE, FALSE), FALSE)</f>
        <v>0</v>
      </c>
      <c r="G242" s="1" t="b">
        <f>IFERROR(IF(ISNUMBER(MATCH(Crops[[#This Row],[Identifier]],BedPlan[Crop], 0)), TRUE, FALSE), FALSE)</f>
        <v>0</v>
      </c>
      <c r="H242" s="1" t="b">
        <v>1</v>
      </c>
      <c r="I242" t="s">
        <v>111</v>
      </c>
      <c r="J242" t="s">
        <v>145</v>
      </c>
      <c r="K242" t="s">
        <v>199</v>
      </c>
      <c r="N242" t="str">
        <f>Crops[[#This Row],[Crop]]</f>
        <v>Peonies</v>
      </c>
      <c r="O242" t="s">
        <v>210</v>
      </c>
      <c r="P242" t="str">
        <f>IF(OR(Crops[[#This Row],[Days in Cells]]="",Crops[[#This Row],[Days in Cells]]=0), "DS","TP")</f>
        <v>DS</v>
      </c>
      <c r="V242" t="str">
        <f xml:space="preserve"> IF(Crops[[#This Row],[Sp]], "Sp", "") &amp; IF(Crops[[#This Row],[Su]], "Su", "") &amp; IF(Crops[[#This Row],[Fa]], "Fa", "") &amp; IF(Crops[[#This Row],[Wi]], "Wi", "") &amp; IF(Crops[[#This Row],[OW]], "Ow","")</f>
        <v/>
      </c>
      <c r="X242">
        <v>1</v>
      </c>
      <c r="Y242">
        <v>36</v>
      </c>
      <c r="AD242" s="32">
        <f>IFERROR(12/Crops[[#This Row],[Spacing]]*Crops[[#This Row],[Rows]]*BedLength,"")</f>
        <v>16.666666666666664</v>
      </c>
      <c r="AE242">
        <v>1</v>
      </c>
      <c r="AG242">
        <f>IF(Crops[[#This Row],[Custom Safety Factor]]="",PlantingSafetyFactor,Crops[[#This Row],[Custom Safety Factor]])</f>
        <v>1.3</v>
      </c>
      <c r="AH242">
        <v>2</v>
      </c>
      <c r="AI242" s="33">
        <f>IFERROR(Crops[[#This Row],[Plantings Per Bed]]*Crops[[#This Row],[Seeds Per Planting]]*Crops[[#This Row],[Safety Factor]]*Crops[[#This Row],[Seeding Factor]],"")</f>
        <v>43.333333333333329</v>
      </c>
      <c r="AL242">
        <f>_xlfn.FLOOR.MATH(IFERROR(AVERAGE(Crops[[#This Row],[DTG Lower]:[DTG Upper]]),0))</f>
        <v>0</v>
      </c>
      <c r="AM242">
        <f>SUM(Crops[[#This Row],[Tray 1 Days]],Crops[[#This Row],[Tray 2 Days]],Crops[[#This Row],[Tray 3 Days]])</f>
        <v>0</v>
      </c>
      <c r="AP242">
        <v>365</v>
      </c>
      <c r="AQ242">
        <f>IFERROR(_xlfn.FLOOR.MATH(AVERAGE(Crops[[#This Row],[DTM Lower]:[DTM Upper]])),"")</f>
        <v>365</v>
      </c>
      <c r="AR242" cm="1">
        <f t="array" ref="AR242">_xlfn.SWITCH(Crops[[#This Row],[Normal Method]],"DS",Crops[[#This Row],[Days to Germination]]+Crops[[#This Row],[DTM]] + IF(Crops[[#This Row],[Days in Cells]]&gt;0,15,0), "TP",Crops[[#This Row],[DTM]]+Crops[[#This Row],[Days in Cells]] + IF(Crops[[#This Row],[Days in Cells]]&lt;=0,20,0), "X", Crops[[#This Row],[DTM]])</f>
        <v>365</v>
      </c>
      <c r="AS242" t="s">
        <v>347</v>
      </c>
      <c r="AT242">
        <f>(Crops[[#This Row],[Harvests]]-1)*Crops[[#This Row],[Days Between Harvest]]+7</f>
        <v>28</v>
      </c>
      <c r="AU242">
        <f>Crops[[#This Row],[STH]]-Crops[[#This Row],[Days in Cells]]+Crops[[#This Row],[Harvest window]]</f>
        <v>393</v>
      </c>
      <c r="AW242" t="s">
        <v>212</v>
      </c>
      <c r="AZ242" t="str">
        <f>IFERROR(IF(Crops[[#This Row],[Tray 1 Days]]=0,"",Crops[[#This Row],[Plantings Per Bed]]/Crops[[#This Row],[Tray 1 Size]]*Crops[[#This Row],[Safety Factor]]),"")</f>
        <v/>
      </c>
      <c r="BC242" t="str">
        <f>IFERROR(IF(Crops[[#This Row],[Tray 2 Days]]=0,"",Crops[[#This Row],[Plantings Per Bed]]/Crops[[#This Row],[Tray 2 Size]]*Crops[[#This Row],[Safety Factor]]),"")</f>
        <v/>
      </c>
      <c r="BE242" s="32" t="str">
        <f>IF(NOT(ISBLANK(Crops[[#This Row],[Tray 3 Size]])), Crops[[#This Row],[Days in Cells Old]]-SUM(Crops[[#This Row],[Tray 1 Days]],Crops[[#This Row],[Tray 2 Days]]), "")</f>
        <v/>
      </c>
      <c r="BF242" t="str">
        <f>IFERROR(IF(Crops[[#This Row],[Tray 3 Days]]=0,"",Crops[[#This Row],[Plantings Per Bed]]/Crops[[#This Row],[Tray 3 Size]]*Crops[[#This Row],[Safety Factor]]),"")</f>
        <v/>
      </c>
      <c r="BG242" s="33">
        <f>Crops[[#This Row],[Plantings Per Bed]]*20/Crops[[#This Row],[Harvests]]</f>
        <v>83.333333333333314</v>
      </c>
      <c r="BH242" s="33">
        <v>4</v>
      </c>
      <c r="BI242" s="33">
        <v>7</v>
      </c>
      <c r="BJ242" s="33">
        <f>_xlfn.XLOOKUP(Crops[[#This Row],[ProductIndex]],Products[ID],Products[Holding Period])</f>
        <v>0</v>
      </c>
      <c r="BK242" s="33"/>
      <c r="BL242" s="33">
        <f>Crops[[#This Row],[Units Per Harvest]]*Crops[[#This Row],[Harvests]]</f>
        <v>333.33333333333326</v>
      </c>
      <c r="BM242" s="35">
        <v>4</v>
      </c>
      <c r="BN242" s="35">
        <f>Crops[[#This Row],[Direct Price]]*0.6</f>
        <v>2.4</v>
      </c>
      <c r="BO242" s="35"/>
      <c r="BP242" t="s">
        <v>213</v>
      </c>
      <c r="BQ242">
        <f>Crops[[#This Row],[Custom Yield Per Bed]]*Crops[[#This Row],[Direct Price]]</f>
        <v>1333.333333333333</v>
      </c>
      <c r="BR242" t="b">
        <v>0</v>
      </c>
      <c r="BS242" t="b">
        <f>Crops[[#This Row],[Harvests]]&gt;1</f>
        <v>1</v>
      </c>
      <c r="BT242" s="36">
        <f>IFERROR(Crops[[#This Row],[Direct Revenue Per Bed]]/Crops[[#This Row],[Days In Field]],-1)</f>
        <v>3.3927056827820179</v>
      </c>
      <c r="BU242" s="36">
        <f>IFERROR(Crops[[#This Row],[Direct Revenue Per Bed Day]]*GrowingDays*BedsPerAcre,"")</f>
        <v>97709.923664122107</v>
      </c>
      <c r="BV242" s="38">
        <f>LastFrostDate-5*Crops[[#This Row],[Sewing Rel Last Frost]]</f>
        <v>45748</v>
      </c>
      <c r="BW242" s="38">
        <f>Crops[[#This Row],[Target Sewing Date]]+Crops[[#This Row],[Days in Cells]]</f>
        <v>45748</v>
      </c>
      <c r="BX242" s="38">
        <f>Crops[[#This Row],[Target Sewing Date]]+Crops[[#This Row],[STH]]</f>
        <v>46113</v>
      </c>
      <c r="BY242" s="38">
        <f>Crops[[#This Row],[Target Harvest Data]]+Crops[[#This Row],[Harvest window]]</f>
        <v>46141</v>
      </c>
      <c r="CB242">
        <f>1</f>
        <v>1</v>
      </c>
      <c r="CC242">
        <f>IF(Crops[[#This Row],[Transplanting]]&gt;0, 2, 3)*BedLength/StandardBedLength</f>
        <v>1.5</v>
      </c>
      <c r="CD242" s="173">
        <f>IF(Crops[[#This Row],[Days in Cells]]&lt;=0,0,Crops[[#This Row],[Plantings Per Bed]]/StartsPerHourSeeding+Crops[[#This Row],[Tray 1 Count]]*5/60)</f>
        <v>0</v>
      </c>
      <c r="CE242" s="173">
        <f>IF(ISBLANK(Crops[[#This Row],[Tray 2 Days]]),0,Crops[[#This Row],[Plantings Per Bed]]/UpPottingPerHour)+IF(Crops[[#This Row],[Tray 3 Days]]="",0,Crops[[#This Row],[Plantings Per Bed]]/UpPottingPerHour)</f>
        <v>0</v>
      </c>
      <c r="CF242" s="173">
        <f>IFERROR(Crops[[#This Row],[Tray 1 Count]]/HomeStartFlatIrrigationPerHour,0)*Crops[[#This Row],[Days in Cells]]/DaysBetweenStartIrrigation</f>
        <v>0</v>
      </c>
      <c r="CG242" s="173">
        <f>0.5/16*MAX(Crops[[#This Row],[Tray 1 Count]],Crops[[#This Row],[Tray 2 Count]],Crops[[#This Row],[Tray 3 Count]])</f>
        <v>0</v>
      </c>
      <c r="CH242" s="173">
        <f>IF(Crops[[#This Row],[Days in Cells]]&gt;0,IF(IF(Crops[[#This Row],[Tray 3 Size]]&gt;0,Crops[[#This Row],[Tray 3 Size]],IF(Crops[[#This Row],[Tray 2 Size]]&gt;0,Crops[[#This Row],[Tray 2 Size]],Crops[[#This Row],[Tray 1 Size]]))&lt;=18,LargeTransplantTime,SmallTransplantTime)*Crops[[#This Row],[Plantings Per Bed]],0)</f>
        <v>0</v>
      </c>
      <c r="CI242" s="173"/>
      <c r="CJ242" s="173">
        <f>_xlfn.XLOOKUP(Crops[[#This Row],[Trellis Type]],TrellisMethods[Trellis Type],TrellisMethods[Hours],0,0)</f>
        <v>0</v>
      </c>
      <c r="CK242">
        <f>IF(Crops[[#This Row],[Days in Cells]]&lt;=0,Crops[[#This Row],[Rows]]*1/10,0)*BedLength/50</f>
        <v>0.1</v>
      </c>
      <c r="CL242" cm="1">
        <f t="array" ref="CL242">_xlfn.SWITCH(Crops[[#This Row],[Irrigation]],"DR", 0.5, "OH", 0.25,0)*BedLength/50</f>
        <v>0</v>
      </c>
      <c r="CM242">
        <f>IF(OR(ISBLANK(Crops[[#This Row],[Row Cover]]),Crops[[#This Row],[Row Cover]]="None"),0,1)*BedLength/50</f>
        <v>0</v>
      </c>
      <c r="CN242" s="173">
        <f>HoursPerWeedingPass*Crops[[#This Row],[Days In Field]]/14*Crops[[#This Row],[Rows]]+1*BedLength/50</f>
        <v>5.6785714285714288</v>
      </c>
      <c r="CQ242" s="37">
        <f>_xlfn.XLOOKUP(Crops[[#This Row],[Crop]]&amp;Crops[[#This Row],[Product]]&amp;Crops[[#This Row],[Unit]],Products[ID],Products[Marketing (hr)])*Crops[[#This Row],[Direct Revenue Per Bed]]/2000</f>
        <v>3.9999999999999991</v>
      </c>
      <c r="CR242" s="37">
        <f>_xlfn.XLOOKUP(Crops[[#This Row],[Crop]]&amp;Crops[[#This Row],[Product]]&amp;Crops[[#This Row],[Unit]],Products[ID],Products[Harvest (s)])*Crops[[#This Row],[Custom Yield Per Bed]]/3600</f>
        <v>0.74074074074074059</v>
      </c>
      <c r="CS242" s="37">
        <f>_xlfn.XLOOKUP(Crops[[#This Row],[Crop]]&amp;Crops[[#This Row],[Product]]&amp;Crops[[#This Row],[Unit]],Products[ID],Products[Bunch (s)])*Crops[[#This Row],[Custom Yield Per Bed]]/3600</f>
        <v>0</v>
      </c>
      <c r="CT242" s="37">
        <f>_xlfn.XLOOKUP(Crops[[#This Row],[Crop]]&amp;Crops[[#This Row],[Product]]&amp;Crops[[#This Row],[Unit]],Products[ID],Products[Haul (s)])*Crops[[#This Row],[Custom Yield Per Bed]]/3600</f>
        <v>0.23809523809523805</v>
      </c>
      <c r="CU242" s="37">
        <f>_xlfn.XLOOKUP(Crops[[#This Row],[Crop]]&amp;Crops[[#This Row],[Product]]&amp;Crops[[#This Row],[Unit]],Products[ID],Products[Wash (s)])*Crops[[#This Row],[Custom Yield Per Bed]]/3600</f>
        <v>0</v>
      </c>
      <c r="CV242" s="37">
        <f>_xlfn.XLOOKUP(Crops[[#This Row],[Crop]]&amp;Crops[[#This Row],[Product]]&amp;Crops[[#This Row],[Unit]],Products[ID],Products[Condition (s)])*Crops[[#This Row],[Custom Yield Per Bed]]/3600</f>
        <v>0</v>
      </c>
      <c r="CW242" s="37">
        <f>_xlfn.XLOOKUP(Crops[[#This Row],[Crop]]&amp;Crops[[#This Row],[Product]]&amp;Crops[[#This Row],[Unit]],Products[ID],Products[Trim (s)])*Crops[[#This Row],[Custom Yield Per Bed]]/3600</f>
        <v>0.27777777777777773</v>
      </c>
      <c r="CX242" s="37">
        <f>_xlfn.XLOOKUP(Crops[[#This Row],[Crop]]&amp;Crops[[#This Row],[Product]]&amp;Crops[[#This Row],[Unit]],Products[ID],Products[Pack (s)])*Crops[[#This Row],[Custom Yield Per Bed]]/3600</f>
        <v>0.27777777777777773</v>
      </c>
      <c r="CY242" s="37">
        <f>_xlfn.XLOOKUP(Crops[[#This Row],[Crop]]&amp;Crops[[#This Row],[Product]]&amp;Crops[[#This Row],[Unit]],Products[ID],Products[Clean (s)])*Crops[[#This Row],[Custom Yield Per Bed]]/3600</f>
        <v>0</v>
      </c>
      <c r="CZ242" s="37">
        <f>_xlfn.XLOOKUP(Crops[[#This Row],[Crop]]&amp;Crops[[#This Row],[Product]]&amp;Crops[[#This Row],[Unit]],Products[ID],Products[Rehandle (s)])*Crops[[#This Row],[Custom Yield Per Bed]]/3600</f>
        <v>0</v>
      </c>
      <c r="DA242" s="37">
        <f>_xlfn.XLOOKUP(Crops[[#This Row],[Crop]]&amp;Crops[[#This Row],[Product]]&amp;Crops[[#This Row],[Unit]],Products[ID],Products[Market Transport (s)])*Crops[[#This Row],[Custom Yield Per Bed]]/3600</f>
        <v>0.59523809523809523</v>
      </c>
      <c r="DC242" s="37">
        <f>Crops[[#This Row],[Direct Revenue Per Bed2]]</f>
        <v>1333.333333333333</v>
      </c>
      <c r="DD242" s="173">
        <f>_xlfn.AGGREGATE(9,6,Crops[[#This Row],[Bed Prep]:[Remove Crop Residue]])</f>
        <v>13.408201058201058</v>
      </c>
      <c r="DE242" s="173">
        <f>_xlfn.AGGREGATE(9,6,Crops[[#This Row],[Bed Prep]:[Remove Crop Residue]])-0.75*Crops[[#This Row],[Market &amp; Sell]]</f>
        <v>10.408201058201058</v>
      </c>
      <c r="DF242" s="36">
        <f>Crops[[#This Row],[Direct Revenue Per Bed2]]/Crops[[#This Row],[Direct Time]]</f>
        <v>99.441627370124081</v>
      </c>
      <c r="DG242" s="36">
        <f>_xlfn.XLOOKUP(Crops[[#This Row],[ProductIndex]],Products[ID],Products[Packaging Cost])*(Crops[[#This Row],[Custom Yield Per Bed]]/_xlfn.XLOOKUP(Crops[[#This Row],[ProductIndex]],Products[ID],Products[Units Per Pack]))</f>
        <v>38.095238095238088</v>
      </c>
      <c r="DH242" s="36"/>
      <c r="DI242" s="36"/>
      <c r="DJ242" s="36"/>
      <c r="DK242" s="36"/>
      <c r="DL242" s="36"/>
      <c r="DM242" s="33">
        <f>IFERROR(Crops[[#This Row],[Custom Yield Per Bed]]*Crops[[#This Row],[Direct Price]],"")</f>
        <v>1333.333333333333</v>
      </c>
      <c r="DN242" s="36">
        <f>Crops[[#This Row],[Direct Time]]*LaborRate</f>
        <v>335.20502645502643</v>
      </c>
      <c r="DO242" s="36">
        <f>SUM(Crops[[#This Row],[Irrigation Cost]])</f>
        <v>0</v>
      </c>
      <c r="DP242" s="36">
        <f>Crops[[#This Row],[Direct Labor Cost]]+Crops[[#This Row],[Direct Non-Labor Cost]]</f>
        <v>335.20502645502643</v>
      </c>
      <c r="DQ242" s="36">
        <f>Crops[[#This Row],[Direct Revenue Per Bed2]]-Crops[[#This Row],[Direct Total Cost]]</f>
        <v>998.1283068783066</v>
      </c>
      <c r="DR242" s="36">
        <f>Crops[[#This Row],[Direct Profit]]*BedsPerAcre</f>
        <v>159700.52910052906</v>
      </c>
      <c r="DS242" s="36">
        <f>Crops[[#This Row],[Direct Profit]]*BedsPerAcre*GrowingDays/Crops[[#This Row],[Days In Field]]</f>
        <v>73145.280504059119</v>
      </c>
      <c r="DT242" s="36">
        <f>Crops[[#This Row],[Direct Profit]]/MIN(Crops[[#This Row],[Days In Field]],GrowingDays)</f>
        <v>5.5451572604350368</v>
      </c>
      <c r="DU242" s="36">
        <f>Crops[[#This Row],[Direct Time]] * BedsPerAcre</f>
        <v>2145.3121693121693</v>
      </c>
      <c r="DV242" s="36">
        <f>(Crops[[#This Row],[Direct Revenue Per Bed2]]-Crops[[#This Row],[Direct Non-Labor Cost]])/Crops[[#This Row],[Direct Time]]</f>
        <v>99.441627370124081</v>
      </c>
      <c r="DW242" s="33">
        <f>IFERROR(Crops[[#This Row],[Custom Yield Per Bed]]*Crops[[#This Row],[Rough Wholesale Price]],"")</f>
        <v>799.99999999999977</v>
      </c>
      <c r="DX242" s="36">
        <f>Crops[[#This Row],[Wholesale Time]]*LaborRate</f>
        <v>260.20502645502643</v>
      </c>
      <c r="DY242" s="36">
        <f>SUM(Crops[[#This Row],[Packaging Costs]:[Irrigation Cost]])</f>
        <v>38.095238095238088</v>
      </c>
      <c r="DZ242" s="36">
        <f>Crops[[#This Row],[Wholesale Labor Cost]]+Crops[[#This Row],[Wholesale Non-Labor Cost]]</f>
        <v>298.3002645502645</v>
      </c>
      <c r="EA242" s="36">
        <f>Crops[[#This Row],[Wholesale Revenue Per Bed]]-Crops[[#This Row],[Wholesale Total Cost]]</f>
        <v>501.69973544973527</v>
      </c>
      <c r="EB242" s="36">
        <f>Crops[[#This Row],[Wholesale Profit]]*BedsPerAcre</f>
        <v>80271.957671957643</v>
      </c>
      <c r="EC242" s="36">
        <f>Crops[[#This Row],[Wholesale Profit]]*BedsPerAcre*GrowingDays/Crops[[#This Row],[Days In Field]]</f>
        <v>36765.782139827927</v>
      </c>
      <c r="ED242" s="36">
        <f>Crops[[#This Row],[Wholesale Time]] * BedsPerAcre</f>
        <v>1665.3121693121693</v>
      </c>
      <c r="EE242" s="36">
        <f>Crops[[#This Row],[Wholesale Profit]]/MIN(Crops[[#This Row],[Days In Field]],GrowingDays)</f>
        <v>2.7872207524985293</v>
      </c>
      <c r="EF242" s="36">
        <f>(Crops[[#This Row],[Wholesale Revenue Per Bed]]-Crops[[#This Row],[Wholesale Non-Labor Cost]])/Crops[[#This Row],[Direct Time]]</f>
        <v>56.823787068642332</v>
      </c>
      <c r="EG242" s="174">
        <f>Crops[[#This Row],[Packaging Costs]]/Crops[[#This Row],[Wholesale Revenue Per Bed]]</f>
        <v>4.7619047619047623E-2</v>
      </c>
      <c r="EH242" s="36" t="str">
        <f>Crops[[#This Row],[Crop]]&amp;Crops[[#This Row],[Product]]&amp;Crops[[#This Row],[Unit]]</f>
        <v>PeoniesMature StalkStem</v>
      </c>
      <c r="EI242" s="36" t="b">
        <f>_xlfn.XLOOKUP(Crops[[#This Row],[ProductIndex]],Products[ID],Products[Target])</f>
        <v>0</v>
      </c>
      <c r="EJ242" s="36">
        <f>Crops[[#This Row],[Custom Yield Per Bed]]</f>
        <v>333.33333333333326</v>
      </c>
      <c r="EK242" s="210">
        <f>Crops[[#This Row],[Units Per Harvest]]/Crops[[#This Row],[Days Between Harvest]]*7</f>
        <v>83.333333333333314</v>
      </c>
      <c r="EL242" s="210" t="e">
        <f>Crops[[#This Row],[Custom Yield Per Bed]]/_xlfn.XLOOKUP(Crops[[#This Row],[ProductIndex]],Products[ID],Products[CSA Portion])</f>
        <v>#DIV/0!</v>
      </c>
      <c r="EM242" s="210" t="e">
        <f>Crops[[#This Row],[Units Per Harvest]]/Crops[[#This Row],[Days Between Harvest]]*7/_xlfn.XLOOKUP(Crops[[#This Row],[ProductIndex]],Products[ID],Products[CSA Portion])</f>
        <v>#DIV/0!</v>
      </c>
      <c r="EN242" s="210" t="e">
        <f>Crops[[#This Row],[CSA Portions Per Week]]/CSAMembers</f>
        <v>#DIV/0!</v>
      </c>
      <c r="EO242" s="210"/>
      <c r="EP242" s="210"/>
      <c r="EQ242" s="36"/>
      <c r="ER242" s="36">
        <f>Crops[[#This Row],[Harvests]]*Crops[[#This Row],[Days Between Harvest]]/7</f>
        <v>4</v>
      </c>
      <c r="ES242" s="208">
        <f>_xlfn.XLOOKUP(Crops[[#This Row],[ProductIndex]],Products[ID],Products[CSA Need])</f>
        <v>0</v>
      </c>
      <c r="ET242" s="208">
        <f>_xlfn.XLOOKUP(Crops[[#This Row],[ProductIndex]],Products[ID],Products[CSA Times])</f>
        <v>0</v>
      </c>
      <c r="EU242" s="208" t="e">
        <f>Crops[[#This Row],[Custom Yield Per Bed]]/(Crops[[#This Row],[CSA Need]]*(_xlfn.XLOOKUP(Crops[[#This Row],[ProductIndex]],Products[ID],Products[CSA Portion])*CSAMembers))</f>
        <v>#DIV/0!</v>
      </c>
      <c r="EV242" s="208">
        <f>_xlfn.XLOOKUP(Crops[[#This Row],[ProductIndex]],Products[ID],Products[CSA Portion])*CSAMembers*Crops[[#This Row],[CSA Need]]/Crops[[#This Row],[Custom Yield Per Bed]]</f>
        <v>0</v>
      </c>
      <c r="EW242" s="208">
        <f>IFERROR(Crops[[#This Row],[Days In Field]]*Crops[[#This Row],[CSA Beds]],"")</f>
        <v>0</v>
      </c>
      <c r="EX242" s="208" t="e">
        <f>Crops[[#This Row],[CSA Bed Days]]*#REF!</f>
        <v>#REF!</v>
      </c>
      <c r="EY242" t="s">
        <v>212</v>
      </c>
    </row>
    <row r="243" spans="1:155" ht="15" customHeight="1">
      <c r="A243"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(Bell) - Ripe Fruit Large 1X | Field TP </v>
      </c>
      <c r="B243" s="190"/>
      <c r="C243" s="1" t="b">
        <v>1</v>
      </c>
      <c r="D243" s="1"/>
      <c r="E243" s="1" t="b">
        <v>0</v>
      </c>
      <c r="F243" s="1" t="b">
        <f>IFERROR(IF(ISNUMBER(MATCH(Crops[[#This Row],[Identifier]],BedPlan[Crop], 0)), TRUE, FALSE), FALSE)</f>
        <v>1</v>
      </c>
      <c r="G243" s="1" t="b">
        <f>IFERROR(IF(ISNUMBER(MATCH(Crops[[#This Row],[Identifier]],BedPlan[Crop], 0)), TRUE, FALSE), FALSE)</f>
        <v>1</v>
      </c>
      <c r="H243" s="1"/>
      <c r="I243" t="s">
        <v>112</v>
      </c>
      <c r="J243" t="s">
        <v>170</v>
      </c>
      <c r="K243" t="s">
        <v>2380</v>
      </c>
      <c r="M243" t="s">
        <v>112</v>
      </c>
      <c r="N243" t="s">
        <v>1315</v>
      </c>
      <c r="O243" t="s">
        <v>210</v>
      </c>
      <c r="P243" t="str">
        <f>IF(OR(Crops[[#This Row],[Days in Cells]]="",Crops[[#This Row],[Days in Cells]]=0), "DS","TP")</f>
        <v>TP</v>
      </c>
      <c r="V243" t="str">
        <f xml:space="preserve"> IF(Crops[[#This Row],[Sp]], "Sp", "") &amp; IF(Crops[[#This Row],[Su]], "Su", "") &amp; IF(Crops[[#This Row],[Fa]], "Fa", "") &amp; IF(Crops[[#This Row],[Wi]], "Wi", "") &amp; IF(Crops[[#This Row],[OW]], "Ow","")</f>
        <v/>
      </c>
      <c r="W243" t="s">
        <v>144</v>
      </c>
      <c r="X243">
        <v>2</v>
      </c>
      <c r="Y243">
        <v>12</v>
      </c>
      <c r="Z243" t="s">
        <v>432</v>
      </c>
      <c r="AA243" t="s">
        <v>474</v>
      </c>
      <c r="AB243" t="b">
        <v>0</v>
      </c>
      <c r="AC243">
        <v>4</v>
      </c>
      <c r="AD243" s="32">
        <f>IFERROR(12/Crops[[#This Row],[Spacing]]*Crops[[#This Row],[Rows]]*BedLength,"")</f>
        <v>100</v>
      </c>
      <c r="AE243">
        <v>1</v>
      </c>
      <c r="AG243">
        <f>IF(Crops[[#This Row],[Custom Safety Factor]]="",PlantingSafetyFactor,Crops[[#This Row],[Custom Safety Factor]])</f>
        <v>1.3</v>
      </c>
      <c r="AH243">
        <f>1</f>
        <v>1</v>
      </c>
      <c r="AI243" s="33">
        <f>IFERROR(Crops[[#This Row],[Plantings Per Bed]]*Crops[[#This Row],[Seeds Per Planting]]*Crops[[#This Row],[Safety Factor]]*Crops[[#This Row],[Seeding Factor]],"")</f>
        <v>130</v>
      </c>
      <c r="AL243">
        <f>_xlfn.FLOOR.MATH(IFERROR(AVERAGE(Crops[[#This Row],[DTG Lower]:[DTG Upper]]),0))</f>
        <v>0</v>
      </c>
      <c r="AM243">
        <f>SUM(Crops[[#This Row],[Tray 1 Days]],Crops[[#This Row],[Tray 2 Days]],Crops[[#This Row],[Tray 3 Days]])</f>
        <v>90</v>
      </c>
      <c r="AN243" s="32">
        <v>90</v>
      </c>
      <c r="AP243">
        <v>150</v>
      </c>
      <c r="AQ243">
        <f>IFERROR(_xlfn.FLOOR.MATH(AVERAGE(Crops[[#This Row],[DTM Lower]:[DTM Upper]])),"")</f>
        <v>150</v>
      </c>
      <c r="AR243" cm="1">
        <f t="array" ref="AR243">_xlfn.SWITCH(Crops[[#This Row],[Normal Method]],"DS",Crops[[#This Row],[Days to Germination]]+Crops[[#This Row],[DTM]] + IF(Crops[[#This Row],[Days in Cells]]&gt;0,15,0), "TP",Crops[[#This Row],[DTM]]+Crops[[#This Row],[Days in Cells]] + IF(Crops[[#This Row],[Days in Cells]]&lt;=0,20,0), "X", Crops[[#This Row],[DTM]])</f>
        <v>150</v>
      </c>
      <c r="AS243" t="s">
        <v>347</v>
      </c>
      <c r="AT243">
        <f>(Crops[[#This Row],[Harvests]]-1)*Crops[[#This Row],[Days Between Harvest]]+7</f>
        <v>70</v>
      </c>
      <c r="AU243">
        <f>Crops[[#This Row],[STH]]-Crops[[#This Row],[Days in Cells]]+Crops[[#This Row],[Harvest window]]</f>
        <v>130</v>
      </c>
      <c r="AX243">
        <v>128</v>
      </c>
      <c r="AY243">
        <v>28</v>
      </c>
      <c r="AZ243" s="49">
        <f>IFERROR(IF(Crops[[#This Row],[Tray 1 Days]]=0,"",Crops[[#This Row],[Plantings Per Bed]]/Crops[[#This Row],[Tray 1 Size]]*Crops[[#This Row],[Safety Factor]]),"")</f>
        <v>1.015625</v>
      </c>
      <c r="BA243">
        <v>18</v>
      </c>
      <c r="BB243">
        <v>62</v>
      </c>
      <c r="BC243">
        <f>IFERROR(IF(Crops[[#This Row],[Tray 2 Days]]=0,"",Crops[[#This Row],[Plantings Per Bed]]/Crops[[#This Row],[Tray 2 Size]]*Crops[[#This Row],[Safety Factor]]),"")</f>
        <v>7.2222222222222223</v>
      </c>
      <c r="BE243" s="32"/>
      <c r="BF243" s="49" t="str">
        <f>IFERROR(IF(Crops[[#This Row],[Tray 3 Days]]=0,"",Crops[[#This Row],[Plantings Per Bed]]/Crops[[#This Row],[Tray 3 Size]]*Crops[[#This Row],[Safety Factor]]),"")</f>
        <v/>
      </c>
      <c r="BG243" s="33">
        <f>Crops[[#This Row],[Plantings Per Bed]]*(4.5/16)</f>
        <v>28.125</v>
      </c>
      <c r="BH243" s="33">
        <v>10</v>
      </c>
      <c r="BI243" s="33">
        <v>7</v>
      </c>
      <c r="BJ243" s="33">
        <f>_xlfn.XLOOKUP(Crops[[#This Row],[ProductIndex]],Products[ID],Products[Holding Period])</f>
        <v>14</v>
      </c>
      <c r="BK243" s="33"/>
      <c r="BL243" s="33">
        <f>Crops[[#This Row],[Units Per Harvest]]*Crops[[#This Row],[Harvests]]</f>
        <v>281.25</v>
      </c>
      <c r="BM243" s="35">
        <v>4.75</v>
      </c>
      <c r="BN243" s="35">
        <v>3.54</v>
      </c>
      <c r="BO243" s="35"/>
      <c r="BP243" t="s">
        <v>383</v>
      </c>
      <c r="BQ243">
        <f>Crops[[#This Row],[Custom Yield Per Bed]]*Crops[[#This Row],[Direct Price]]</f>
        <v>1335.9375</v>
      </c>
      <c r="BS243" t="b">
        <f>Crops[[#This Row],[Harvests]]&gt;1</f>
        <v>1</v>
      </c>
      <c r="BT243" s="36">
        <f>IFERROR(Crops[[#This Row],[Direct Revenue Per Bed]]/Crops[[#This Row],[Days In Field]],-1)</f>
        <v>10.276442307692308</v>
      </c>
      <c r="BU243" s="36">
        <f>IFERROR(Crops[[#This Row],[Direct Revenue Per Bed Day]]*GrowingDays*BedsPerAcre,"")</f>
        <v>295961.5384615385</v>
      </c>
      <c r="BV243" s="38">
        <f>LastFrostDate-5*Crops[[#This Row],[Sewing Rel Last Frost]]</f>
        <v>45723</v>
      </c>
      <c r="BW243" s="38">
        <f>Crops[[#This Row],[Target Sewing Date]]+Crops[[#This Row],[Days in Cells]]</f>
        <v>45813</v>
      </c>
      <c r="BX243" s="38">
        <f>Crops[[#This Row],[Target Sewing Date]]+Crops[[#This Row],[STH]]</f>
        <v>45873</v>
      </c>
      <c r="BY243" s="38">
        <f>Crops[[#This Row],[Target Harvest Data]]+Crops[[#This Row],[Harvest window]]</f>
        <v>45943</v>
      </c>
      <c r="BZ243">
        <v>5</v>
      </c>
      <c r="CA243" t="s">
        <v>373</v>
      </c>
      <c r="CB243">
        <f>1</f>
        <v>1</v>
      </c>
      <c r="CC243">
        <f>IF(Crops[[#This Row],[Transplanting]]&gt;0, 2, 3)*BedLength/StandardBedLength</f>
        <v>1</v>
      </c>
      <c r="CD243" s="173">
        <f>IF(Crops[[#This Row],[Days in Cells]]&lt;=0,0,Crops[[#This Row],[Plantings Per Bed]]/StartsPerHourSeeding+Crops[[#This Row],[Tray 1 Count]]*5/60)</f>
        <v>0.47526041666666669</v>
      </c>
      <c r="CE243" s="173">
        <f>IF(ISBLANK(Crops[[#This Row],[Tray 2 Days]]),0,Crops[[#This Row],[Plantings Per Bed]]/UpPottingPerHour)+IF(Crops[[#This Row],[Tray 3 Days]]="",0,Crops[[#This Row],[Plantings Per Bed]]/UpPottingPerHour)</f>
        <v>0.83333333333333337</v>
      </c>
      <c r="CF243" s="173">
        <f>IFERROR(Crops[[#This Row],[Tray 1 Count]]/HomeStartFlatIrrigationPerHour,0)*Crops[[#This Row],[Days in Cells]]/DaysBetweenStartIrrigation</f>
        <v>0.380859375</v>
      </c>
      <c r="CG243" s="173">
        <f>0.5/16*MAX(Crops[[#This Row],[Tray 1 Count]],Crops[[#This Row],[Tray 2 Count]],Crops[[#This Row],[Tray 3 Count]])</f>
        <v>0.22569444444444445</v>
      </c>
      <c r="CH243" s="173">
        <f>IF(Crops[[#This Row],[Days in Cells]]&gt;0,IF(IF(Crops[[#This Row],[Tray 3 Size]]&gt;0,Crops[[#This Row],[Tray 3 Size]],IF(Crops[[#This Row],[Tray 2 Size]]&gt;0,Crops[[#This Row],[Tray 2 Size]],Crops[[#This Row],[Tray 1 Size]]))&lt;=18,LargeTransplantTime,SmallTransplantTime)*Crops[[#This Row],[Plantings Per Bed]],0)</f>
        <v>4.1666666666666661</v>
      </c>
      <c r="CI243" s="173"/>
      <c r="CJ243" s="173">
        <f>_xlfn.XLOOKUP(Crops[[#This Row],[Trellis Type]],TrellisMethods[Trellis Type],TrellisMethods[Hours],0,0)</f>
        <v>0</v>
      </c>
      <c r="CK243">
        <f>IF(Crops[[#This Row],[Days in Cells]]&lt;=0,Crops[[#This Row],[Rows]]*1/10,0)*BedLength/50</f>
        <v>0</v>
      </c>
      <c r="CL243" cm="1">
        <f t="array" ref="CL243">_xlfn.SWITCH(Crops[[#This Row],[Irrigation]],"DR", 0.5, "OH", 0.25,0)*BedLength/50</f>
        <v>0.5</v>
      </c>
      <c r="CM243">
        <f>IF(OR(ISBLANK(Crops[[#This Row],[Row Cover]]),Crops[[#This Row],[Row Cover]]="None"),0,1)*BedLength/50</f>
        <v>0</v>
      </c>
      <c r="CN243" s="173">
        <f>HoursPerWeedingPass*Crops[[#This Row],[Days In Field]]/14*Crops[[#This Row],[Rows]]+1*BedLength/50</f>
        <v>4.0952380952380949</v>
      </c>
      <c r="CO243" s="266">
        <v>19.142857100000001</v>
      </c>
      <c r="CQ243" s="37">
        <f>_xlfn.XLOOKUP(Crops[[#This Row],[Crop]]&amp;Crops[[#This Row],[Product]]&amp;Crops[[#This Row],[Unit]],Products[ID],Products[Marketing (hr)])*Crops[[#This Row],[Direct Revenue Per Bed]]/2000</f>
        <v>2.00390625</v>
      </c>
      <c r="CR243" s="37">
        <f>_xlfn.XLOOKUP(Crops[[#This Row],[Crop]]&amp;Crops[[#This Row],[Product]]&amp;Crops[[#This Row],[Unit]],Products[ID],Products[Harvest (s)])*Crops[[#This Row],[Custom Yield Per Bed]]/3600</f>
        <v>3.75</v>
      </c>
      <c r="CS243" s="37">
        <f>_xlfn.XLOOKUP(Crops[[#This Row],[Crop]]&amp;Crops[[#This Row],[Product]]&amp;Crops[[#This Row],[Unit]],Products[ID],Products[Bunch (s)])*Crops[[#This Row],[Custom Yield Per Bed]]/3600</f>
        <v>0</v>
      </c>
      <c r="CT243" s="37">
        <f>_xlfn.XLOOKUP(Crops[[#This Row],[Crop]]&amp;Crops[[#This Row],[Product]]&amp;Crops[[#This Row],[Unit]],Products[ID],Products[Haul (s)])*Crops[[#This Row],[Custom Yield Per Bed]]/3600</f>
        <v>0.3515625</v>
      </c>
      <c r="CU243" s="37">
        <f>_xlfn.XLOOKUP(Crops[[#This Row],[Crop]]&amp;Crops[[#This Row],[Product]]&amp;Crops[[#This Row],[Unit]],Products[ID],Products[Wash (s)])*Crops[[#This Row],[Custom Yield Per Bed]]/3600</f>
        <v>0</v>
      </c>
      <c r="CV243" s="37">
        <f>_xlfn.XLOOKUP(Crops[[#This Row],[Crop]]&amp;Crops[[#This Row],[Product]]&amp;Crops[[#This Row],[Unit]],Products[ID],Products[Condition (s)])*Crops[[#This Row],[Custom Yield Per Bed]]/3600</f>
        <v>0</v>
      </c>
      <c r="CW243" s="37">
        <f>_xlfn.XLOOKUP(Crops[[#This Row],[Crop]]&amp;Crops[[#This Row],[Product]]&amp;Crops[[#This Row],[Unit]],Products[ID],Products[Trim (s)])*Crops[[#This Row],[Custom Yield Per Bed]]/3600</f>
        <v>0</v>
      </c>
      <c r="CX243" s="37">
        <f>_xlfn.XLOOKUP(Crops[[#This Row],[Crop]]&amp;Crops[[#This Row],[Product]]&amp;Crops[[#This Row],[Unit]],Products[ID],Products[Pack (s)])*Crops[[#This Row],[Custom Yield Per Bed]]/3600</f>
        <v>0.234375</v>
      </c>
      <c r="CY243" s="37">
        <f>_xlfn.XLOOKUP(Crops[[#This Row],[Crop]]&amp;Crops[[#This Row],[Product]]&amp;Crops[[#This Row],[Unit]],Products[ID],Products[Clean (s)])*Crops[[#This Row],[Custom Yield Per Bed]]/3600</f>
        <v>0</v>
      </c>
      <c r="CZ243" s="37">
        <f>_xlfn.XLOOKUP(Crops[[#This Row],[Crop]]&amp;Crops[[#This Row],[Product]]&amp;Crops[[#This Row],[Unit]],Products[ID],Products[Rehandle (s)])*Crops[[#This Row],[Custom Yield Per Bed]]/3600</f>
        <v>0</v>
      </c>
      <c r="DA243" s="37">
        <f>_xlfn.XLOOKUP(Crops[[#This Row],[Crop]]&amp;Crops[[#This Row],[Product]]&amp;Crops[[#This Row],[Unit]],Products[ID],Products[Market Transport (s)])*Crops[[#This Row],[Custom Yield Per Bed]]/3600</f>
        <v>0.87890625</v>
      </c>
      <c r="DC243" s="37">
        <f>Crops[[#This Row],[Direct Revenue Per Bed2]]</f>
        <v>1335.9375</v>
      </c>
      <c r="DD243" s="173">
        <f>_xlfn.AGGREGATE(9,6,Crops[[#This Row],[Bed Prep]:[Remove Crop Residue]])</f>
        <v>38.038659431349203</v>
      </c>
      <c r="DE243" s="173">
        <f>_xlfn.AGGREGATE(9,6,Crops[[#This Row],[Bed Prep]:[Remove Crop Residue]])-0.75*Crops[[#This Row],[Market &amp; Sell]]</f>
        <v>36.535729743849203</v>
      </c>
      <c r="DF243" s="36">
        <f>Crops[[#This Row],[Direct Revenue Per Bed2]]/Crops[[#This Row],[Direct Time]]</f>
        <v>35.120520017564019</v>
      </c>
      <c r="DG243" s="36">
        <f>_xlfn.XLOOKUP(Crops[[#This Row],[ProductIndex]],Products[ID],Products[Packaging Cost])*(Crops[[#This Row],[Custom Yield Per Bed]]/_xlfn.XLOOKUP(Crops[[#This Row],[ProductIndex]],Products[ID],Products[Units Per Pack]))</f>
        <v>53.4375</v>
      </c>
      <c r="DH243" s="36"/>
      <c r="DI243" s="36"/>
      <c r="DJ243" s="36"/>
      <c r="DK243" s="36"/>
      <c r="DL243" s="36"/>
      <c r="DM243" s="33">
        <f>IFERROR(Crops[[#This Row],[Custom Yield Per Bed]]*Crops[[#This Row],[Direct Price]],"")</f>
        <v>1335.9375</v>
      </c>
      <c r="DN243" s="36">
        <f>Crops[[#This Row],[Direct Time]]*LaborRate</f>
        <v>950.96648578373004</v>
      </c>
      <c r="DO243" s="36">
        <f>SUM(Crops[[#This Row],[Irrigation Cost]])</f>
        <v>0</v>
      </c>
      <c r="DP243" s="36">
        <f>Crops[[#This Row],[Direct Labor Cost]]+Crops[[#This Row],[Direct Non-Labor Cost]]</f>
        <v>950.96648578373004</v>
      </c>
      <c r="DQ243" s="36">
        <f>Crops[[#This Row],[Direct Revenue Per Bed2]]-Crops[[#This Row],[Direct Total Cost]]</f>
        <v>384.97101421626996</v>
      </c>
      <c r="DR243" s="36">
        <f>Crops[[#This Row],[Direct Profit]]*BedsPerAcre</f>
        <v>61595.362274603191</v>
      </c>
      <c r="DS243" s="36">
        <f>Crops[[#This Row],[Direct Profit]]*BedsPerAcre*GrowingDays/Crops[[#This Row],[Days In Field]]</f>
        <v>85285.886226373652</v>
      </c>
      <c r="DT243" s="36">
        <f>Crops[[#This Row],[Direct Profit]]/MIN(Crops[[#This Row],[Days In Field]],GrowingDays)</f>
        <v>2.9613154939713073</v>
      </c>
      <c r="DU243" s="33">
        <f>Crops[[#This Row],[Direct Time]] * BedsPerAcre</f>
        <v>6086.1855090158724</v>
      </c>
      <c r="DV243" s="36">
        <f>(Crops[[#This Row],[Direct Revenue Per Bed2]]-Crops[[#This Row],[Direct Non-Labor Cost]])/Crops[[#This Row],[Direct Time]]</f>
        <v>35.120520017564019</v>
      </c>
      <c r="DW243" s="33">
        <f>IFERROR(Crops[[#This Row],[Custom Yield Per Bed]]*Crops[[#This Row],[Rough Wholesale Price]],"")</f>
        <v>995.625</v>
      </c>
      <c r="DX243" s="36">
        <f>Crops[[#This Row],[Wholesale Time]]*LaborRate</f>
        <v>913.39324359623004</v>
      </c>
      <c r="DY243" s="36">
        <f>SUM(Crops[[#This Row],[Packaging Costs]:[Irrigation Cost]])</f>
        <v>53.4375</v>
      </c>
      <c r="DZ243" s="36">
        <f>Crops[[#This Row],[Wholesale Labor Cost]]+Crops[[#This Row],[Wholesale Non-Labor Cost]]</f>
        <v>966.83074359623004</v>
      </c>
      <c r="EA243" s="36">
        <f>Crops[[#This Row],[Wholesale Revenue Per Bed]]-Crops[[#This Row],[Wholesale Total Cost]]</f>
        <v>28.794256403769964</v>
      </c>
      <c r="EB243" s="36">
        <f>Crops[[#This Row],[Wholesale Profit]]*BedsPerAcre</f>
        <v>4607.0810246031942</v>
      </c>
      <c r="EC243" s="36">
        <f>Crops[[#This Row],[Wholesale Profit]]*BedsPerAcre*GrowingDays/Crops[[#This Row],[Days In Field]]</f>
        <v>6379.0352648351927</v>
      </c>
      <c r="ED243" s="33">
        <f>Crops[[#This Row],[Wholesale Time]] * BedsPerAcre</f>
        <v>5845.7167590158724</v>
      </c>
      <c r="EE243" s="221">
        <f>Crops[[#This Row],[Wholesale Profit]]/MIN(Crops[[#This Row],[Days In Field]],GrowingDays)</f>
        <v>0.22149428002899973</v>
      </c>
      <c r="EF243" s="36">
        <f>(Crops[[#This Row],[Wholesale Revenue Per Bed]]-Crops[[#This Row],[Wholesale Non-Labor Cost]])/Crops[[#This Row],[Direct Time]]</f>
        <v>24.769208854492518</v>
      </c>
      <c r="EG243" s="174">
        <f>Crops[[#This Row],[Packaging Costs]]/Crops[[#This Row],[Wholesale Revenue Per Bed]]</f>
        <v>5.3672316384180789E-2</v>
      </c>
      <c r="EH243" s="36" t="str">
        <f>Crops[[#This Row],[Crop]]&amp;Crops[[#This Row],[Product]]&amp;Crops[[#This Row],[Unit]]</f>
        <v>PepperRipe Fruit LargeLb</v>
      </c>
      <c r="EI243" s="36" t="b">
        <f>_xlfn.XLOOKUP(Crops[[#This Row],[ProductIndex]],Products[ID],Products[Target])</f>
        <v>1</v>
      </c>
      <c r="EJ243" s="33">
        <f>Crops[[#This Row],[Custom Yield Per Bed]]</f>
        <v>281.25</v>
      </c>
      <c r="EK243" s="210">
        <f>Crops[[#This Row],[Units Per Harvest]]/Crops[[#This Row],[Days Between Harvest]]*7</f>
        <v>28.125000000000004</v>
      </c>
      <c r="EL243" s="210">
        <f>Crops[[#This Row],[Custom Yield Per Bed]]/_xlfn.XLOOKUP(Crops[[#This Row],[ProductIndex]],Products[ID],Products[CSA Portion])</f>
        <v>281.25</v>
      </c>
      <c r="EM243" s="210">
        <f>Crops[[#This Row],[Units Per Harvest]]/Crops[[#This Row],[Days Between Harvest]]*7/_xlfn.XLOOKUP(Crops[[#This Row],[ProductIndex]],Products[ID],Products[CSA Portion])</f>
        <v>28.125000000000004</v>
      </c>
      <c r="EN243" s="210">
        <f>Crops[[#This Row],[CSA Portions Per Week]]/CSAMembers</f>
        <v>0.56250000000000011</v>
      </c>
      <c r="EO243" s="216"/>
      <c r="EP243" s="216"/>
      <c r="EQ243" s="210"/>
      <c r="ER243" s="210">
        <f>Crops[[#This Row],[Harvests]]*Crops[[#This Row],[Days Between Harvest]]/7</f>
        <v>10</v>
      </c>
      <c r="ES243" s="217">
        <f>_xlfn.XLOOKUP(Crops[[#This Row],[ProductIndex]],Products[ID],Products[CSA Need])</f>
        <v>4</v>
      </c>
      <c r="ET243" s="217">
        <f>_xlfn.XLOOKUP(Crops[[#This Row],[ProductIndex]],Products[ID],Products[CSA Times])</f>
        <v>4</v>
      </c>
      <c r="EU243" s="208">
        <f>Crops[[#This Row],[Custom Yield Per Bed]]/(Crops[[#This Row],[CSA Need]]*(_xlfn.XLOOKUP(Crops[[#This Row],[ProductIndex]],Products[ID],Products[CSA Portion])*CSAMembers))</f>
        <v>1.40625</v>
      </c>
      <c r="EV243" s="208">
        <f>_xlfn.XLOOKUP(Crops[[#This Row],[ProductIndex]],Products[ID],Products[CSA Portion])*CSAMembers*Crops[[#This Row],[CSA Need]]/Crops[[#This Row],[Custom Yield Per Bed]]</f>
        <v>0.71111111111111114</v>
      </c>
      <c r="EW243" s="208">
        <f>IFERROR(Crops[[#This Row],[Days In Field]]*Crops[[#This Row],[CSA Beds]],"")</f>
        <v>92.444444444444443</v>
      </c>
      <c r="EX243" s="208" t="e">
        <f>Crops[[#This Row],[CSA Bed Days]]*#REF!</f>
        <v>#REF!</v>
      </c>
      <c r="EY243" t="s">
        <v>1418</v>
      </c>
    </row>
    <row r="244" spans="1:155" ht="15" customHeight="1">
      <c r="A24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(Bell) - Ripe Fruit Large 1X | Greenhouse TP </v>
      </c>
      <c r="B244" s="190"/>
      <c r="C244" s="1" t="b">
        <v>1</v>
      </c>
      <c r="D244" s="1"/>
      <c r="E244" s="1" t="b">
        <v>0</v>
      </c>
      <c r="F244" s="1" t="b">
        <f>IFERROR(IF(ISNUMBER(MATCH(Crops[[#This Row],[Identifier]],BedPlan[Crop], 0)), TRUE, FALSE), FALSE)</f>
        <v>1</v>
      </c>
      <c r="G244" s="1" t="b">
        <f>IFERROR(IF(ISNUMBER(MATCH(Crops[[#This Row],[Identifier]],BedPlan[Crop], 0)), TRUE, FALSE), FALSE)</f>
        <v>1</v>
      </c>
      <c r="H244" s="1"/>
      <c r="I244" t="s">
        <v>112</v>
      </c>
      <c r="J244" t="s">
        <v>170</v>
      </c>
      <c r="K244" t="s">
        <v>2380</v>
      </c>
      <c r="M244" t="s">
        <v>112</v>
      </c>
      <c r="N244" t="str">
        <f>Crops[[#This Row],[Crop]]</f>
        <v>Pepper</v>
      </c>
      <c r="O244" t="s">
        <v>211</v>
      </c>
      <c r="P244" t="str">
        <f>IF(OR(Crops[[#This Row],[Days in Cells]]="",Crops[[#This Row],[Days in Cells]]=0), "DS","TP")</f>
        <v>TP</v>
      </c>
      <c r="V244" t="str">
        <f xml:space="preserve"> IF(Crops[[#This Row],[Sp]], "Sp", "") &amp; IF(Crops[[#This Row],[Su]], "Su", "") &amp; IF(Crops[[#This Row],[Fa]], "Fa", "") &amp; IF(Crops[[#This Row],[Wi]], "Wi", "") &amp; IF(Crops[[#This Row],[OW]], "Ow","")</f>
        <v/>
      </c>
      <c r="W244" t="s">
        <v>144</v>
      </c>
      <c r="X244">
        <v>2</v>
      </c>
      <c r="Y244">
        <v>12</v>
      </c>
      <c r="AB244" t="b">
        <v>0</v>
      </c>
      <c r="AC244">
        <v>4</v>
      </c>
      <c r="AD244" s="32">
        <f>IFERROR(12/Crops[[#This Row],[Spacing]]*Crops[[#This Row],[Rows]]*BedLength,"")</f>
        <v>100</v>
      </c>
      <c r="AE244">
        <v>1</v>
      </c>
      <c r="AG244">
        <f>IF(Crops[[#This Row],[Custom Safety Factor]]="",PlantingSafetyFactor,Crops[[#This Row],[Custom Safety Factor]])</f>
        <v>1.3</v>
      </c>
      <c r="AH244">
        <f>1</f>
        <v>1</v>
      </c>
      <c r="AI244" s="33">
        <f>IFERROR(Crops[[#This Row],[Plantings Per Bed]]*Crops[[#This Row],[Seeds Per Planting]]*Crops[[#This Row],[Safety Factor]]*Crops[[#This Row],[Seeding Factor]],"")</f>
        <v>130</v>
      </c>
      <c r="AL244">
        <f>_xlfn.FLOOR.MATH(IFERROR(AVERAGE(Crops[[#This Row],[DTG Lower]:[DTG Upper]]),0))</f>
        <v>0</v>
      </c>
      <c r="AM244">
        <f>SUM(Crops[[#This Row],[Tray 1 Days]],Crops[[#This Row],[Tray 2 Days]],Crops[[#This Row],[Tray 3 Days]])</f>
        <v>90</v>
      </c>
      <c r="AN244">
        <v>60</v>
      </c>
      <c r="AP244">
        <v>150</v>
      </c>
      <c r="AQ244">
        <f>IFERROR(_xlfn.FLOOR.MATH(AVERAGE(Crops[[#This Row],[DTM Lower]:[DTM Upper]])),"")</f>
        <v>150</v>
      </c>
      <c r="AR244" cm="1">
        <f t="array" ref="AR244">_xlfn.SWITCH(Crops[[#This Row],[Normal Method]],"DS",Crops[[#This Row],[Days to Germination]]+Crops[[#This Row],[DTM]] + IF(Crops[[#This Row],[Days in Cells]]&gt;0,15,0), "TP",Crops[[#This Row],[DTM]]+Crops[[#This Row],[Days in Cells]] + IF(Crops[[#This Row],[Days in Cells]]&lt;=0,20,0), "X", Crops[[#This Row],[DTM]])</f>
        <v>150</v>
      </c>
      <c r="AS244" t="s">
        <v>347</v>
      </c>
      <c r="AT244">
        <f>(Crops[[#This Row],[Harvests]]-1)*Crops[[#This Row],[Days Between Harvest]]+7</f>
        <v>126</v>
      </c>
      <c r="AU244">
        <f>Crops[[#This Row],[STH]]-Crops[[#This Row],[Days in Cells]]+Crops[[#This Row],[Harvest window]]</f>
        <v>186</v>
      </c>
      <c r="AX244">
        <v>128</v>
      </c>
      <c r="AY244">
        <v>28</v>
      </c>
      <c r="AZ244">
        <f>IFERROR(IF(Crops[[#This Row],[Tray 1 Days]]=0,"",Crops[[#This Row],[Plantings Per Bed]]/Crops[[#This Row],[Tray 1 Size]]*Crops[[#This Row],[Safety Factor]]),"")</f>
        <v>1.015625</v>
      </c>
      <c r="BA244">
        <v>18</v>
      </c>
      <c r="BB244">
        <v>62</v>
      </c>
      <c r="BC244">
        <f>IFERROR(IF(Crops[[#This Row],[Tray 2 Days]]=0,"",Crops[[#This Row],[Plantings Per Bed]]/Crops[[#This Row],[Tray 2 Size]]*Crops[[#This Row],[Safety Factor]]),"")</f>
        <v>7.2222222222222223</v>
      </c>
      <c r="BE244" s="32" t="str">
        <f>IF(NOT(ISBLANK(Crops[[#This Row],[Tray 3 Size]])), Crops[[#This Row],[Days in Cells Old]]-SUM(Crops[[#This Row],[Tray 1 Days]],Crops[[#This Row],[Tray 2 Days]]), "")</f>
        <v/>
      </c>
      <c r="BF244" t="str">
        <f>IFERROR(IF(Crops[[#This Row],[Tray 3 Days]]=0,"",Crops[[#This Row],[Plantings Per Bed]]/Crops[[#This Row],[Tray 3 Size]]*Crops[[#This Row],[Safety Factor]]),"")</f>
        <v/>
      </c>
      <c r="BG244" s="33">
        <f>Crops[[#This Row],[Plantings Per Bed]]*(4.5/16)*2</f>
        <v>56.25</v>
      </c>
      <c r="BH244" s="33">
        <v>18</v>
      </c>
      <c r="BI244" s="33">
        <v>7</v>
      </c>
      <c r="BJ244" s="33">
        <f>_xlfn.XLOOKUP(Crops[[#This Row],[ProductIndex]],Products[ID],Products[Holding Period])</f>
        <v>14</v>
      </c>
      <c r="BK244" s="33"/>
      <c r="BL244" s="33">
        <f>Crops[[#This Row],[Units Per Harvest]]*Crops[[#This Row],[Harvests]]</f>
        <v>1012.5</v>
      </c>
      <c r="BM244" s="35">
        <v>4.75</v>
      </c>
      <c r="BN244" s="35">
        <v>3.54</v>
      </c>
      <c r="BO244" s="35"/>
      <c r="BP244" t="s">
        <v>383</v>
      </c>
      <c r="BQ244">
        <f>Crops[[#This Row],[Custom Yield Per Bed]]*Crops[[#This Row],[Direct Price]]</f>
        <v>4809.375</v>
      </c>
      <c r="BS244" t="b">
        <f>Crops[[#This Row],[Harvests]]&gt;1</f>
        <v>1</v>
      </c>
      <c r="BT244" s="36">
        <f>IFERROR(Crops[[#This Row],[Direct Revenue Per Bed]]/Crops[[#This Row],[Days In Field]],-1)</f>
        <v>25.856854838709676</v>
      </c>
      <c r="BU244" s="36">
        <f>IFERROR(Crops[[#This Row],[Direct Revenue Per Bed Day]]*GrowingDays*BedsPerAcre,"")</f>
        <v>744677.41935483867</v>
      </c>
      <c r="BV244" s="38">
        <f>LastFrostDate-5*Crops[[#This Row],[Sewing Rel Last Frost]]</f>
        <v>45708</v>
      </c>
      <c r="BW244" s="38">
        <f>Crops[[#This Row],[Target Sewing Date]]+Crops[[#This Row],[Days in Cells]]</f>
        <v>45798</v>
      </c>
      <c r="BX244" s="38">
        <f>Crops[[#This Row],[Target Sewing Date]]+Crops[[#This Row],[STH]]</f>
        <v>45858</v>
      </c>
      <c r="BY244" s="38">
        <f>Crops[[#This Row],[Target Harvest Data]]+Crops[[#This Row],[Harvest window]]</f>
        <v>45984</v>
      </c>
      <c r="BZ244">
        <v>8</v>
      </c>
      <c r="CB244">
        <f>1</f>
        <v>1</v>
      </c>
      <c r="CC244">
        <f>IF(Crops[[#This Row],[Transplanting]]&gt;0, 2, 3)*BedLength/StandardBedLength</f>
        <v>1</v>
      </c>
      <c r="CD244" s="173">
        <f>IF(Crops[[#This Row],[Days in Cells]]&lt;=0,0,Crops[[#This Row],[Plantings Per Bed]]/StartsPerHourSeeding+Crops[[#This Row],[Tray 1 Count]]*5/60)</f>
        <v>0.47526041666666669</v>
      </c>
      <c r="CE244" s="173">
        <f>IF(ISBLANK(Crops[[#This Row],[Tray 2 Days]]),0,Crops[[#This Row],[Plantings Per Bed]]/UpPottingPerHour)+IF(Crops[[#This Row],[Tray 3 Days]]="",0,Crops[[#This Row],[Plantings Per Bed]]/UpPottingPerHour)</f>
        <v>0.83333333333333337</v>
      </c>
      <c r="CF244" s="173">
        <f>IFERROR(Crops[[#This Row],[Tray 1 Count]]/HomeStartFlatIrrigationPerHour,0)*Crops[[#This Row],[Days in Cells]]/DaysBetweenStartIrrigation</f>
        <v>0.380859375</v>
      </c>
      <c r="CG244" s="173">
        <f>0.5/16*MAX(Crops[[#This Row],[Tray 1 Count]],Crops[[#This Row],[Tray 2 Count]],Crops[[#This Row],[Tray 3 Count]])</f>
        <v>0.22569444444444445</v>
      </c>
      <c r="CH244" s="173">
        <f>IF(Crops[[#This Row],[Days in Cells]]&gt;0,IF(IF(Crops[[#This Row],[Tray 3 Size]]&gt;0,Crops[[#This Row],[Tray 3 Size]],IF(Crops[[#This Row],[Tray 2 Size]]&gt;0,Crops[[#This Row],[Tray 2 Size]],Crops[[#This Row],[Tray 1 Size]]))&lt;=18,LargeTransplantTime,SmallTransplantTime)*Crops[[#This Row],[Plantings Per Bed]],0)</f>
        <v>4.1666666666666661</v>
      </c>
      <c r="CI244" s="173"/>
      <c r="CJ244" s="173">
        <f>_xlfn.XLOOKUP(Crops[[#This Row],[Trellis Type]],TrellisMethods[Trellis Type],TrellisMethods[Hours],0,0)</f>
        <v>0</v>
      </c>
      <c r="CK244">
        <f>IF(Crops[[#This Row],[Days in Cells]]&lt;=0,Crops[[#This Row],[Rows]]*1/10,0)*BedLength/50</f>
        <v>0</v>
      </c>
      <c r="CL244" cm="1">
        <f t="array" ref="CL244">_xlfn.SWITCH(Crops[[#This Row],[Irrigation]],"DR", 0.5, "OH", 0.25,0)*BedLength/50</f>
        <v>0</v>
      </c>
      <c r="CM244">
        <f>IF(OR(ISBLANK(Crops[[#This Row],[Row Cover]]),Crops[[#This Row],[Row Cover]]="None"),0,1)*BedLength/50</f>
        <v>0</v>
      </c>
      <c r="CN244" s="173">
        <f>HoursPerWeedingPass*Crops[[#This Row],[Days In Field]]/14*Crops[[#This Row],[Rows]]+1*BedLength/50</f>
        <v>5.4285714285714288</v>
      </c>
      <c r="CO244" s="49">
        <v>1</v>
      </c>
      <c r="CQ244" s="37">
        <f>_xlfn.XLOOKUP(Crops[[#This Row],[Crop]]&amp;Crops[[#This Row],[Product]]&amp;Crops[[#This Row],[Unit]],Products[ID],Products[Marketing (hr)])*Crops[[#This Row],[Direct Revenue Per Bed]]/2000</f>
        <v>7.2140624999999998</v>
      </c>
      <c r="CR244" s="37">
        <f>_xlfn.XLOOKUP(Crops[[#This Row],[Crop]]&amp;Crops[[#This Row],[Product]]&amp;Crops[[#This Row],[Unit]],Products[ID],Products[Harvest (s)])*Crops[[#This Row],[Custom Yield Per Bed]]/3600</f>
        <v>13.5</v>
      </c>
      <c r="CS244" s="37">
        <f>_xlfn.XLOOKUP(Crops[[#This Row],[Crop]]&amp;Crops[[#This Row],[Product]]&amp;Crops[[#This Row],[Unit]],Products[ID],Products[Bunch (s)])*Crops[[#This Row],[Custom Yield Per Bed]]/3600</f>
        <v>0</v>
      </c>
      <c r="CT244" s="37">
        <f>_xlfn.XLOOKUP(Crops[[#This Row],[Crop]]&amp;Crops[[#This Row],[Product]]&amp;Crops[[#This Row],[Unit]],Products[ID],Products[Haul (s)])*Crops[[#This Row],[Custom Yield Per Bed]]/3600</f>
        <v>1.265625</v>
      </c>
      <c r="CU244" s="37">
        <f>_xlfn.XLOOKUP(Crops[[#This Row],[Crop]]&amp;Crops[[#This Row],[Product]]&amp;Crops[[#This Row],[Unit]],Products[ID],Products[Wash (s)])*Crops[[#This Row],[Custom Yield Per Bed]]/3600</f>
        <v>0</v>
      </c>
      <c r="CV244" s="37">
        <f>_xlfn.XLOOKUP(Crops[[#This Row],[Crop]]&amp;Crops[[#This Row],[Product]]&amp;Crops[[#This Row],[Unit]],Products[ID],Products[Condition (s)])*Crops[[#This Row],[Custom Yield Per Bed]]/3600</f>
        <v>0</v>
      </c>
      <c r="CW244" s="37">
        <f>_xlfn.XLOOKUP(Crops[[#This Row],[Crop]]&amp;Crops[[#This Row],[Product]]&amp;Crops[[#This Row],[Unit]],Products[ID],Products[Trim (s)])*Crops[[#This Row],[Custom Yield Per Bed]]/3600</f>
        <v>0</v>
      </c>
      <c r="CX244" s="37">
        <f>_xlfn.XLOOKUP(Crops[[#This Row],[Crop]]&amp;Crops[[#This Row],[Product]]&amp;Crops[[#This Row],[Unit]],Products[ID],Products[Pack (s)])*Crops[[#This Row],[Custom Yield Per Bed]]/3600</f>
        <v>0.84375</v>
      </c>
      <c r="CY244" s="37">
        <f>_xlfn.XLOOKUP(Crops[[#This Row],[Crop]]&amp;Crops[[#This Row],[Product]]&amp;Crops[[#This Row],[Unit]],Products[ID],Products[Clean (s)])*Crops[[#This Row],[Custom Yield Per Bed]]/3600</f>
        <v>0</v>
      </c>
      <c r="CZ244" s="37">
        <f>_xlfn.XLOOKUP(Crops[[#This Row],[Crop]]&amp;Crops[[#This Row],[Product]]&amp;Crops[[#This Row],[Unit]],Products[ID],Products[Rehandle (s)])*Crops[[#This Row],[Custom Yield Per Bed]]/3600</f>
        <v>0</v>
      </c>
      <c r="DA244" s="37">
        <f>_xlfn.XLOOKUP(Crops[[#This Row],[Crop]]&amp;Crops[[#This Row],[Product]]&amp;Crops[[#This Row],[Unit]],Products[ID],Products[Market Transport (s)])*Crops[[#This Row],[Custom Yield Per Bed]]/3600</f>
        <v>3.1640625</v>
      </c>
      <c r="DC244" s="37">
        <f>Crops[[#This Row],[Direct Revenue Per Bed2]]</f>
        <v>4809.375</v>
      </c>
      <c r="DD244" s="173">
        <f>_xlfn.AGGREGATE(9,6,Crops[[#This Row],[Bed Prep]:[Remove Crop Residue]])</f>
        <v>39.497885664682542</v>
      </c>
      <c r="DE244" s="173">
        <f>_xlfn.AGGREGATE(9,6,Crops[[#This Row],[Bed Prep]:[Remove Crop Residue]])-0.75*Crops[[#This Row],[Market &amp; Sell]]</f>
        <v>34.087338789682541</v>
      </c>
      <c r="DF244" s="36">
        <f>Crops[[#This Row],[Direct Revenue Per Bed2]]/Crops[[#This Row],[Direct Time]]</f>
        <v>121.76284677182997</v>
      </c>
      <c r="DG244" s="36">
        <f>_xlfn.XLOOKUP(Crops[[#This Row],[ProductIndex]],Products[ID],Products[Packaging Cost])*(Crops[[#This Row],[Custom Yield Per Bed]]/_xlfn.XLOOKUP(Crops[[#This Row],[ProductIndex]],Products[ID],Products[Units Per Pack]))</f>
        <v>192.375</v>
      </c>
      <c r="DH244" s="36"/>
      <c r="DI244" s="36"/>
      <c r="DJ244" s="36"/>
      <c r="DK244" s="36"/>
      <c r="DL244" s="36"/>
      <c r="DM244" s="33">
        <f>IFERROR(Crops[[#This Row],[Custom Yield Per Bed]]*Crops[[#This Row],[Direct Price]],"")</f>
        <v>4809.375</v>
      </c>
      <c r="DN244" s="36">
        <f>Crops[[#This Row],[Direct Time]]*LaborRate</f>
        <v>987.44714161706361</v>
      </c>
      <c r="DO244" s="36">
        <f>SUM(Crops[[#This Row],[Irrigation Cost]])</f>
        <v>0</v>
      </c>
      <c r="DP244" s="36">
        <f>Crops[[#This Row],[Direct Labor Cost]]+Crops[[#This Row],[Direct Non-Labor Cost]]</f>
        <v>987.44714161706361</v>
      </c>
      <c r="DQ244" s="36">
        <f>Crops[[#This Row],[Direct Revenue Per Bed2]]-Crops[[#This Row],[Direct Total Cost]]</f>
        <v>3821.9278583829364</v>
      </c>
      <c r="DR244" s="36">
        <f>Crops[[#This Row],[Direct Profit]]*BedsPerAcre</f>
        <v>611508.45734126982</v>
      </c>
      <c r="DS244" s="36">
        <f>Crops[[#This Row],[Direct Profit]]*BedsPerAcre*GrowingDays/Crops[[#This Row],[Days In Field]]</f>
        <v>591782.37807219662</v>
      </c>
      <c r="DT244" s="36">
        <f>Crops[[#This Row],[Direct Profit]]/MIN(Crops[[#This Row],[Days In Field]],GrowingDays)</f>
        <v>21.23293254657187</v>
      </c>
      <c r="DU244" s="33">
        <f>Crops[[#This Row],[Direct Time]] * BedsPerAcre</f>
        <v>6319.6617063492067</v>
      </c>
      <c r="DV244" s="36">
        <f>(Crops[[#This Row],[Direct Revenue Per Bed2]]-Crops[[#This Row],[Direct Non-Labor Cost]])/Crops[[#This Row],[Direct Time]]</f>
        <v>121.76284677182997</v>
      </c>
      <c r="DW244" s="33">
        <f>IFERROR(Crops[[#This Row],[Custom Yield Per Bed]]*Crops[[#This Row],[Rough Wholesale Price]],"")</f>
        <v>3584.25</v>
      </c>
      <c r="DX244" s="36">
        <f>Crops[[#This Row],[Wholesale Time]]*LaborRate</f>
        <v>852.18346974206349</v>
      </c>
      <c r="DY244" s="36">
        <f>SUM(Crops[[#This Row],[Packaging Costs]:[Irrigation Cost]])</f>
        <v>192.375</v>
      </c>
      <c r="DZ244" s="36">
        <f>Crops[[#This Row],[Wholesale Labor Cost]]+Crops[[#This Row],[Wholesale Non-Labor Cost]]</f>
        <v>1044.5584697420636</v>
      </c>
      <c r="EA244" s="36">
        <f>Crops[[#This Row],[Wholesale Revenue Per Bed]]-Crops[[#This Row],[Wholesale Total Cost]]</f>
        <v>2539.6915302579364</v>
      </c>
      <c r="EB244" s="36">
        <f>Crops[[#This Row],[Wholesale Profit]]*BedsPerAcre</f>
        <v>406350.64484126982</v>
      </c>
      <c r="EC244" s="36">
        <f>Crops[[#This Row],[Wholesale Profit]]*BedsPerAcre*GrowingDays/Crops[[#This Row],[Days In Field]]</f>
        <v>393242.55952380953</v>
      </c>
      <c r="ED244" s="33">
        <f>Crops[[#This Row],[Wholesale Time]] * BedsPerAcre</f>
        <v>5453.9742063492067</v>
      </c>
      <c r="EE244" s="221">
        <f>Crops[[#This Row],[Wholesale Profit]]/MIN(Crops[[#This Row],[Days In Field]],GrowingDays)</f>
        <v>14.109397390321869</v>
      </c>
      <c r="EF244" s="36">
        <f>(Crops[[#This Row],[Wholesale Revenue Per Bed]]-Crops[[#This Row],[Wholesale Non-Labor Cost]])/Crops[[#This Row],[Direct Time]]</f>
        <v>85.874849828553764</v>
      </c>
      <c r="EG244" s="174">
        <f>Crops[[#This Row],[Packaging Costs]]/Crops[[#This Row],[Wholesale Revenue Per Bed]]</f>
        <v>5.3672316384180789E-2</v>
      </c>
      <c r="EH244" s="36" t="str">
        <f>Crops[[#This Row],[Crop]]&amp;Crops[[#This Row],[Product]]&amp;Crops[[#This Row],[Unit]]</f>
        <v>PepperRipe Fruit LargeLb</v>
      </c>
      <c r="EI244" s="36" t="b">
        <f>_xlfn.XLOOKUP(Crops[[#This Row],[ProductIndex]],Products[ID],Products[Target])</f>
        <v>1</v>
      </c>
      <c r="EJ244" s="33">
        <f>Crops[[#This Row],[Custom Yield Per Bed]]</f>
        <v>1012.5</v>
      </c>
      <c r="EK244" s="210">
        <f>Crops[[#This Row],[Units Per Harvest]]/Crops[[#This Row],[Days Between Harvest]]*7</f>
        <v>56.250000000000007</v>
      </c>
      <c r="EL244" s="210">
        <f>Crops[[#This Row],[Custom Yield Per Bed]]/_xlfn.XLOOKUP(Crops[[#This Row],[ProductIndex]],Products[ID],Products[CSA Portion])</f>
        <v>1012.5</v>
      </c>
      <c r="EM244" s="210">
        <f>Crops[[#This Row],[Units Per Harvest]]/Crops[[#This Row],[Days Between Harvest]]*7/_xlfn.XLOOKUP(Crops[[#This Row],[ProductIndex]],Products[ID],Products[CSA Portion])</f>
        <v>56.250000000000007</v>
      </c>
      <c r="EN244" s="210">
        <f>Crops[[#This Row],[CSA Portions Per Week]]/CSAMembers</f>
        <v>1.1250000000000002</v>
      </c>
      <c r="EO244" s="216">
        <v>2</v>
      </c>
      <c r="EP244" s="216">
        <v>1</v>
      </c>
      <c r="EQ244" s="210"/>
      <c r="ER244" s="210">
        <f>Crops[[#This Row],[Harvests]]*Crops[[#This Row],[Days Between Harvest]]/7</f>
        <v>18</v>
      </c>
      <c r="ES244" s="217">
        <f>_xlfn.XLOOKUP(Crops[[#This Row],[ProductIndex]],Products[ID],Products[CSA Need])</f>
        <v>4</v>
      </c>
      <c r="ET244" s="217">
        <f>_xlfn.XLOOKUP(Crops[[#This Row],[ProductIndex]],Products[ID],Products[CSA Times])</f>
        <v>4</v>
      </c>
      <c r="EU244" s="208">
        <f>Crops[[#This Row],[Custom Yield Per Bed]]/(Crops[[#This Row],[CSA Need]]*(_xlfn.XLOOKUP(Crops[[#This Row],[ProductIndex]],Products[ID],Products[CSA Portion])*CSAMembers))</f>
        <v>5.0625</v>
      </c>
      <c r="EV244" s="208">
        <f>_xlfn.XLOOKUP(Crops[[#This Row],[ProductIndex]],Products[ID],Products[CSA Portion])*CSAMembers*Crops[[#This Row],[CSA Need]]/Crops[[#This Row],[Custom Yield Per Bed]]</f>
        <v>0.19753086419753085</v>
      </c>
      <c r="EW244" s="208">
        <f>IFERROR(Crops[[#This Row],[Days In Field]]*Crops[[#This Row],[CSA Beds]],"")</f>
        <v>36.74074074074074</v>
      </c>
      <c r="EX244" s="208" t="e">
        <f>Crops[[#This Row],[CSA Bed Days]]*#REF!</f>
        <v>#REF!</v>
      </c>
      <c r="EY244" t="s">
        <v>2590</v>
      </c>
    </row>
    <row r="245" spans="1:155" ht="15" customHeight="1">
      <c r="A245"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(Hot) - Ripe Fruit Small 1X | Field TP </v>
      </c>
      <c r="B245" s="190"/>
      <c r="C245" s="1" t="b">
        <v>1</v>
      </c>
      <c r="D245" s="1"/>
      <c r="E245" s="1" t="b">
        <v>0</v>
      </c>
      <c r="F245" s="1" t="b">
        <f>IFERROR(IF(ISNUMBER(MATCH(Crops[[#This Row],[Identifier]],BedPlan[Crop], 0)), TRUE, FALSE), FALSE)</f>
        <v>1</v>
      </c>
      <c r="G245" s="1" t="b">
        <f>IFERROR(IF(ISNUMBER(MATCH(Crops[[#This Row],[Identifier]],BedPlan[Crop], 0)), TRUE, FALSE), FALSE)</f>
        <v>1</v>
      </c>
      <c r="H245" s="1"/>
      <c r="I245" t="s">
        <v>112</v>
      </c>
      <c r="J245" t="s">
        <v>171</v>
      </c>
      <c r="K245" t="s">
        <v>2381</v>
      </c>
      <c r="M245" t="s">
        <v>112</v>
      </c>
      <c r="N245" t="s">
        <v>1314</v>
      </c>
      <c r="O245" t="s">
        <v>210</v>
      </c>
      <c r="P245" t="str">
        <f>IF(OR(Crops[[#This Row],[Days in Cells]]="",Crops[[#This Row],[Days in Cells]]=0), "DS","TP")</f>
        <v>TP</v>
      </c>
      <c r="V245" t="str">
        <f xml:space="preserve"> IF(Crops[[#This Row],[Sp]], "Sp", "") &amp; IF(Crops[[#This Row],[Su]], "Su", "") &amp; IF(Crops[[#This Row],[Fa]], "Fa", "") &amp; IF(Crops[[#This Row],[Wi]], "Wi", "") &amp; IF(Crops[[#This Row],[OW]], "Ow","")</f>
        <v/>
      </c>
      <c r="W245" t="s">
        <v>144</v>
      </c>
      <c r="X245">
        <v>2</v>
      </c>
      <c r="Y245">
        <v>12</v>
      </c>
      <c r="Z245" t="s">
        <v>432</v>
      </c>
      <c r="AA245" t="s">
        <v>474</v>
      </c>
      <c r="AB245" t="b">
        <v>0</v>
      </c>
      <c r="AC245">
        <v>4</v>
      </c>
      <c r="AD245" s="32">
        <f>IFERROR(12/Crops[[#This Row],[Spacing]]*Crops[[#This Row],[Rows]]*BedLength,"")</f>
        <v>100</v>
      </c>
      <c r="AE245">
        <v>1</v>
      </c>
      <c r="AG245">
        <f>IF(Crops[[#This Row],[Custom Safety Factor]]="",PlantingSafetyFactor,Crops[[#This Row],[Custom Safety Factor]])</f>
        <v>1.3</v>
      </c>
      <c r="AH245">
        <f>1</f>
        <v>1</v>
      </c>
      <c r="AI245" s="33">
        <f>IFERROR(Crops[[#This Row],[Plantings Per Bed]]*Crops[[#This Row],[Seeds Per Planting]]*Crops[[#This Row],[Safety Factor]]*Crops[[#This Row],[Seeding Factor]],"")</f>
        <v>130</v>
      </c>
      <c r="AL245">
        <f>_xlfn.FLOOR.MATH(IFERROR(AVERAGE(Crops[[#This Row],[DTG Lower]:[DTG Upper]]),0))</f>
        <v>0</v>
      </c>
      <c r="AM245">
        <f>SUM(Crops[[#This Row],[Tray 1 Days]],Crops[[#This Row],[Tray 2 Days]],Crops[[#This Row],[Tray 3 Days]])</f>
        <v>90</v>
      </c>
      <c r="AN245" s="32">
        <v>90</v>
      </c>
      <c r="AP245">
        <v>150</v>
      </c>
      <c r="AQ245">
        <f>IFERROR(_xlfn.FLOOR.MATH(AVERAGE(Crops[[#This Row],[DTM Lower]:[DTM Upper]])),"")</f>
        <v>150</v>
      </c>
      <c r="AR245" cm="1">
        <f t="array" ref="AR245">_xlfn.SWITCH(Crops[[#This Row],[Normal Method]],"DS",Crops[[#This Row],[Days to Germination]]+Crops[[#This Row],[DTM]] + IF(Crops[[#This Row],[Days in Cells]]&gt;0,15,0), "TP",Crops[[#This Row],[DTM]]+Crops[[#This Row],[Days in Cells]] + IF(Crops[[#This Row],[Days in Cells]]&lt;=0,20,0), "X", Crops[[#This Row],[DTM]])</f>
        <v>150</v>
      </c>
      <c r="AS245" t="s">
        <v>347</v>
      </c>
      <c r="AT245">
        <f>(Crops[[#This Row],[Harvests]]-1)*Crops[[#This Row],[Days Between Harvest]]+7</f>
        <v>70</v>
      </c>
      <c r="AU245">
        <f>Crops[[#This Row],[STH]]-Crops[[#This Row],[Days in Cells]]+Crops[[#This Row],[Harvest window]]</f>
        <v>130</v>
      </c>
      <c r="AX245">
        <v>128</v>
      </c>
      <c r="AY245">
        <v>28</v>
      </c>
      <c r="AZ245" s="49">
        <f>IFERROR(IF(Crops[[#This Row],[Tray 1 Days]]=0,"",Crops[[#This Row],[Plantings Per Bed]]/Crops[[#This Row],[Tray 1 Size]]*Crops[[#This Row],[Safety Factor]]),"")</f>
        <v>1.015625</v>
      </c>
      <c r="BA245">
        <v>18</v>
      </c>
      <c r="BB245">
        <v>62</v>
      </c>
      <c r="BC245">
        <f>IFERROR(IF(Crops[[#This Row],[Tray 2 Days]]=0,"",Crops[[#This Row],[Plantings Per Bed]]/Crops[[#This Row],[Tray 2 Size]]*Crops[[#This Row],[Safety Factor]]),"")</f>
        <v>7.2222222222222223</v>
      </c>
      <c r="BE245" s="32"/>
      <c r="BF245" s="49" t="str">
        <f>IFERROR(IF(Crops[[#This Row],[Tray 3 Days]]=0,"",Crops[[#This Row],[Plantings Per Bed]]/Crops[[#This Row],[Tray 3 Size]]*Crops[[#This Row],[Safety Factor]]),"")</f>
        <v/>
      </c>
      <c r="BG245" s="33">
        <f>Crops[[#This Row],[Plantings Per Bed]]*(4.5/16)*0.5</f>
        <v>14.0625</v>
      </c>
      <c r="BH245" s="33">
        <v>10</v>
      </c>
      <c r="BI245" s="33">
        <v>7</v>
      </c>
      <c r="BJ245" s="33">
        <f>_xlfn.XLOOKUP(Crops[[#This Row],[ProductIndex]],Products[ID],Products[Holding Period])</f>
        <v>14</v>
      </c>
      <c r="BK245" s="33"/>
      <c r="BL245" s="33">
        <f>Crops[[#This Row],[Units Per Harvest]]*Crops[[#This Row],[Harvests]]</f>
        <v>140.625</v>
      </c>
      <c r="BM245" s="35">
        <v>8</v>
      </c>
      <c r="BN245" s="35">
        <v>4.49</v>
      </c>
      <c r="BO245" s="35"/>
      <c r="BP245" t="s">
        <v>383</v>
      </c>
      <c r="BQ245">
        <f>Crops[[#This Row],[Custom Yield Per Bed]]*Crops[[#This Row],[Direct Price]]</f>
        <v>1125</v>
      </c>
      <c r="BS245" t="b">
        <f>Crops[[#This Row],[Harvests]]&gt;1</f>
        <v>1</v>
      </c>
      <c r="BT245" s="36">
        <f>IFERROR(Crops[[#This Row],[Direct Revenue Per Bed]]/Crops[[#This Row],[Days In Field]],-1)</f>
        <v>8.6538461538461533</v>
      </c>
      <c r="BU245" s="36">
        <f>IFERROR(Crops[[#This Row],[Direct Revenue Per Bed Day]]*GrowingDays*BedsPerAcre,"")</f>
        <v>249230.76923076922</v>
      </c>
      <c r="BV245" s="38">
        <f>LastFrostDate-5*Crops[[#This Row],[Sewing Rel Last Frost]]</f>
        <v>45723</v>
      </c>
      <c r="BW245" s="38">
        <f>Crops[[#This Row],[Target Sewing Date]]+Crops[[#This Row],[Days in Cells]]</f>
        <v>45813</v>
      </c>
      <c r="BX245" s="38">
        <f>Crops[[#This Row],[Target Sewing Date]]+Crops[[#This Row],[STH]]</f>
        <v>45873</v>
      </c>
      <c r="BY245" s="38">
        <f>Crops[[#This Row],[Target Harvest Data]]+Crops[[#This Row],[Harvest window]]</f>
        <v>45943</v>
      </c>
      <c r="BZ245">
        <v>5</v>
      </c>
      <c r="CA245" t="s">
        <v>426</v>
      </c>
      <c r="CB245">
        <f>1</f>
        <v>1</v>
      </c>
      <c r="CC245">
        <f>IF(Crops[[#This Row],[Transplanting]]&gt;0, 2, 3)*BedLength/StandardBedLength</f>
        <v>1</v>
      </c>
      <c r="CD245" s="173">
        <f>IF(Crops[[#This Row],[Days in Cells]]&lt;=0,0,Crops[[#This Row],[Plantings Per Bed]]/StartsPerHourSeeding+Crops[[#This Row],[Tray 1 Count]]*5/60)</f>
        <v>0.47526041666666669</v>
      </c>
      <c r="CE245" s="173">
        <f>IF(ISBLANK(Crops[[#This Row],[Tray 2 Days]]),0,Crops[[#This Row],[Plantings Per Bed]]/UpPottingPerHour)+IF(Crops[[#This Row],[Tray 3 Days]]="",0,Crops[[#This Row],[Plantings Per Bed]]/UpPottingPerHour)</f>
        <v>0.83333333333333337</v>
      </c>
      <c r="CF245" s="173">
        <f>IFERROR(Crops[[#This Row],[Tray 1 Count]]/HomeStartFlatIrrigationPerHour,0)*Crops[[#This Row],[Days in Cells]]/DaysBetweenStartIrrigation</f>
        <v>0.380859375</v>
      </c>
      <c r="CG245" s="173">
        <f>0.5/16*MAX(Crops[[#This Row],[Tray 1 Count]],Crops[[#This Row],[Tray 2 Count]],Crops[[#This Row],[Tray 3 Count]])</f>
        <v>0.22569444444444445</v>
      </c>
      <c r="CH245" s="173">
        <f>IF(Crops[[#This Row],[Days in Cells]]&gt;0,IF(IF(Crops[[#This Row],[Tray 3 Size]]&gt;0,Crops[[#This Row],[Tray 3 Size]],IF(Crops[[#This Row],[Tray 2 Size]]&gt;0,Crops[[#This Row],[Tray 2 Size]],Crops[[#This Row],[Tray 1 Size]]))&lt;=18,LargeTransplantTime,SmallTransplantTime)*Crops[[#This Row],[Plantings Per Bed]],0)</f>
        <v>4.1666666666666661</v>
      </c>
      <c r="CI245" s="173"/>
      <c r="CJ245" s="173">
        <f>_xlfn.XLOOKUP(Crops[[#This Row],[Trellis Type]],TrellisMethods[Trellis Type],TrellisMethods[Hours],0,0)</f>
        <v>0</v>
      </c>
      <c r="CK245">
        <f>IF(Crops[[#This Row],[Days in Cells]]&lt;=0,Crops[[#This Row],[Rows]]*1/10,0)*BedLength/50</f>
        <v>0</v>
      </c>
      <c r="CL245" cm="1">
        <f t="array" ref="CL245">_xlfn.SWITCH(Crops[[#This Row],[Irrigation]],"DR", 0.5, "OH", 0.25,0)*BedLength/50</f>
        <v>0.5</v>
      </c>
      <c r="CM245">
        <f>IF(OR(ISBLANK(Crops[[#This Row],[Row Cover]]),Crops[[#This Row],[Row Cover]]="None"),0,1)*BedLength/50</f>
        <v>0</v>
      </c>
      <c r="CN245" s="173">
        <f>HoursPerWeedingPass*Crops[[#This Row],[Days In Field]]/14*Crops[[#This Row],[Rows]]+1*BedLength/50</f>
        <v>4.0952380952380949</v>
      </c>
      <c r="CO245" s="222">
        <f>BedLength/50</f>
        <v>1</v>
      </c>
      <c r="CQ245" s="37">
        <f>_xlfn.XLOOKUP(Crops[[#This Row],[Crop]]&amp;Crops[[#This Row],[Product]]&amp;Crops[[#This Row],[Unit]],Products[ID],Products[Marketing (hr)])*Crops[[#This Row],[Direct Revenue Per Bed]]/2000</f>
        <v>1.6875</v>
      </c>
      <c r="CR245" s="37">
        <f>_xlfn.XLOOKUP(Crops[[#This Row],[Crop]]&amp;Crops[[#This Row],[Product]]&amp;Crops[[#This Row],[Unit]],Products[ID],Products[Harvest (s)])*Crops[[#This Row],[Custom Yield Per Bed]]/3600</f>
        <v>6.25</v>
      </c>
      <c r="CS245" s="37">
        <f>_xlfn.XLOOKUP(Crops[[#This Row],[Crop]]&amp;Crops[[#This Row],[Product]]&amp;Crops[[#This Row],[Unit]],Products[ID],Products[Bunch (s)])*Crops[[#This Row],[Custom Yield Per Bed]]/3600</f>
        <v>0</v>
      </c>
      <c r="CT245" s="37">
        <f>_xlfn.XLOOKUP(Crops[[#This Row],[Crop]]&amp;Crops[[#This Row],[Product]]&amp;Crops[[#This Row],[Unit]],Products[ID],Products[Haul (s)])*Crops[[#This Row],[Custom Yield Per Bed]]/3600</f>
        <v>0.17578125</v>
      </c>
      <c r="CU245" s="37">
        <f>_xlfn.XLOOKUP(Crops[[#This Row],[Crop]]&amp;Crops[[#This Row],[Product]]&amp;Crops[[#This Row],[Unit]],Products[ID],Products[Wash (s)])*Crops[[#This Row],[Custom Yield Per Bed]]/3600</f>
        <v>0</v>
      </c>
      <c r="CV245" s="37">
        <f>_xlfn.XLOOKUP(Crops[[#This Row],[Crop]]&amp;Crops[[#This Row],[Product]]&amp;Crops[[#This Row],[Unit]],Products[ID],Products[Condition (s)])*Crops[[#This Row],[Custom Yield Per Bed]]/3600</f>
        <v>0</v>
      </c>
      <c r="CW245" s="37">
        <f>_xlfn.XLOOKUP(Crops[[#This Row],[Crop]]&amp;Crops[[#This Row],[Product]]&amp;Crops[[#This Row],[Unit]],Products[ID],Products[Trim (s)])*Crops[[#This Row],[Custom Yield Per Bed]]/3600</f>
        <v>0</v>
      </c>
      <c r="CX245" s="37">
        <f>_xlfn.XLOOKUP(Crops[[#This Row],[Crop]]&amp;Crops[[#This Row],[Product]]&amp;Crops[[#This Row],[Unit]],Products[ID],Products[Pack (s)])*Crops[[#This Row],[Custom Yield Per Bed]]/3600</f>
        <v>0.1171875</v>
      </c>
      <c r="CY245" s="37">
        <f>_xlfn.XLOOKUP(Crops[[#This Row],[Crop]]&amp;Crops[[#This Row],[Product]]&amp;Crops[[#This Row],[Unit]],Products[ID],Products[Clean (s)])*Crops[[#This Row],[Custom Yield Per Bed]]/3600</f>
        <v>0</v>
      </c>
      <c r="CZ245" s="37">
        <f>_xlfn.XLOOKUP(Crops[[#This Row],[Crop]]&amp;Crops[[#This Row],[Product]]&amp;Crops[[#This Row],[Unit]],Products[ID],Products[Rehandle (s)])*Crops[[#This Row],[Custom Yield Per Bed]]/3600</f>
        <v>0</v>
      </c>
      <c r="DA245" s="37">
        <f>_xlfn.XLOOKUP(Crops[[#This Row],[Crop]]&amp;Crops[[#This Row],[Product]]&amp;Crops[[#This Row],[Unit]],Products[ID],Products[Market Transport (s)])*Crops[[#This Row],[Custom Yield Per Bed]]/3600</f>
        <v>0.439453125</v>
      </c>
      <c r="DC245" s="37">
        <f>Crops[[#This Row],[Direct Revenue Per Bed2]]</f>
        <v>1125</v>
      </c>
      <c r="DD245" s="173">
        <f>_xlfn.AGGREGATE(9,6,Crops[[#This Row],[Bed Prep]:[Remove Crop Residue]])</f>
        <v>21.346974206349206</v>
      </c>
      <c r="DE245" s="173">
        <f>_xlfn.AGGREGATE(9,6,Crops[[#This Row],[Bed Prep]:[Remove Crop Residue]])-0.75*Crops[[#This Row],[Market &amp; Sell]]</f>
        <v>20.081349206349206</v>
      </c>
      <c r="DF245" s="36">
        <f>Crops[[#This Row],[Direct Revenue Per Bed2]]/Crops[[#This Row],[Direct Time]]</f>
        <v>52.700677347771027</v>
      </c>
      <c r="DG245" s="36">
        <f>_xlfn.XLOOKUP(Crops[[#This Row],[ProductIndex]],Products[ID],Products[Packaging Cost])*(Crops[[#This Row],[Custom Yield Per Bed]]/_xlfn.XLOOKUP(Crops[[#This Row],[ProductIndex]],Products[ID],Products[Units Per Pack]))</f>
        <v>26.71875</v>
      </c>
      <c r="DH245" s="36"/>
      <c r="DI245" s="36"/>
      <c r="DJ245" s="36"/>
      <c r="DK245" s="36"/>
      <c r="DL245" s="36"/>
      <c r="DM245" s="33">
        <f>IFERROR(Crops[[#This Row],[Custom Yield Per Bed]]*Crops[[#This Row],[Direct Price]],"")</f>
        <v>1125</v>
      </c>
      <c r="DN245" s="36">
        <f>Crops[[#This Row],[Direct Time]]*LaborRate</f>
        <v>533.67435515873012</v>
      </c>
      <c r="DO245" s="36">
        <f>SUM(Crops[[#This Row],[Irrigation Cost]])</f>
        <v>0</v>
      </c>
      <c r="DP245" s="36">
        <f>Crops[[#This Row],[Direct Labor Cost]]+Crops[[#This Row],[Direct Non-Labor Cost]]</f>
        <v>533.67435515873012</v>
      </c>
      <c r="DQ245" s="36">
        <f>Crops[[#This Row],[Direct Revenue Per Bed2]]-Crops[[#This Row],[Direct Total Cost]]</f>
        <v>591.32564484126988</v>
      </c>
      <c r="DR245" s="36">
        <f>Crops[[#This Row],[Direct Profit]]*BedsPerAcre</f>
        <v>94612.10317460318</v>
      </c>
      <c r="DS245" s="36">
        <f>Crops[[#This Row],[Direct Profit]]*BedsPerAcre*GrowingDays/Crops[[#This Row],[Days In Field]]</f>
        <v>131001.37362637362</v>
      </c>
      <c r="DT245" s="36">
        <f>Crops[[#This Row],[Direct Profit]]/MIN(Crops[[#This Row],[Days In Field]],GrowingDays)</f>
        <v>4.5486588064713072</v>
      </c>
      <c r="DU245" s="33">
        <f>Crops[[#This Row],[Direct Time]] * BedsPerAcre</f>
        <v>3415.5158730158728</v>
      </c>
      <c r="DV245" s="36">
        <f>(Crops[[#This Row],[Direct Revenue Per Bed2]]-Crops[[#This Row],[Direct Non-Labor Cost]])/Crops[[#This Row],[Direct Time]]</f>
        <v>52.700677347771027</v>
      </c>
      <c r="DW245" s="33">
        <f>IFERROR(Crops[[#This Row],[Custom Yield Per Bed]]*Crops[[#This Row],[Rough Wholesale Price]],"")</f>
        <v>631.40625</v>
      </c>
      <c r="DX245" s="36">
        <f>Crops[[#This Row],[Wholesale Time]]*LaborRate</f>
        <v>502.03373015873012</v>
      </c>
      <c r="DY245" s="36">
        <f>SUM(Crops[[#This Row],[Packaging Costs]:[Irrigation Cost]])</f>
        <v>26.71875</v>
      </c>
      <c r="DZ245" s="36">
        <f>Crops[[#This Row],[Wholesale Labor Cost]]+Crops[[#This Row],[Wholesale Non-Labor Cost]]</f>
        <v>528.75248015873012</v>
      </c>
      <c r="EA245" s="36">
        <f>Crops[[#This Row],[Wholesale Revenue Per Bed]]-Crops[[#This Row],[Wholesale Total Cost]]</f>
        <v>102.65376984126988</v>
      </c>
      <c r="EB245" s="36">
        <f>Crops[[#This Row],[Wholesale Profit]]*BedsPerAcre</f>
        <v>16424.60317460318</v>
      </c>
      <c r="EC245" s="36">
        <f>Crops[[#This Row],[Wholesale Profit]]*BedsPerAcre*GrowingDays/Crops[[#This Row],[Days In Field]]</f>
        <v>22741.758241758249</v>
      </c>
      <c r="ED245" s="33">
        <f>Crops[[#This Row],[Wholesale Time]] * BedsPerAcre</f>
        <v>3213.0158730158728</v>
      </c>
      <c r="EE245" s="221">
        <f>Crops[[#This Row],[Wholesale Profit]]/MIN(Crops[[#This Row],[Days In Field]],GrowingDays)</f>
        <v>0.7896443833943837</v>
      </c>
      <c r="EF245" s="36">
        <f>(Crops[[#This Row],[Wholesale Revenue Per Bed]]-Crops[[#This Row],[Wholesale Non-Labor Cost]])/Crops[[#This Row],[Direct Time]]</f>
        <v>28.326614074426928</v>
      </c>
      <c r="EG245" s="174">
        <f>Crops[[#This Row],[Packaging Costs]]/Crops[[#This Row],[Wholesale Revenue Per Bed]]</f>
        <v>4.2316258351893093E-2</v>
      </c>
      <c r="EH245" s="36" t="str">
        <f>Crops[[#This Row],[Crop]]&amp;Crops[[#This Row],[Product]]&amp;Crops[[#This Row],[Unit]]</f>
        <v>PepperRipe Fruit SmallLb</v>
      </c>
      <c r="EI245" s="36" t="b">
        <f>_xlfn.XLOOKUP(Crops[[#This Row],[ProductIndex]],Products[ID],Products[Target])</f>
        <v>1</v>
      </c>
      <c r="EJ245" s="33">
        <f>Crops[[#This Row],[Custom Yield Per Bed]]</f>
        <v>140.625</v>
      </c>
      <c r="EK245" s="210">
        <f>Crops[[#This Row],[Units Per Harvest]]/Crops[[#This Row],[Days Between Harvest]]*7</f>
        <v>14.062500000000002</v>
      </c>
      <c r="EL245" s="210">
        <f>Crops[[#This Row],[Custom Yield Per Bed]]/_xlfn.XLOOKUP(Crops[[#This Row],[ProductIndex]],Products[ID],Products[CSA Portion])</f>
        <v>562.5</v>
      </c>
      <c r="EM245" s="210">
        <f>Crops[[#This Row],[Units Per Harvest]]/Crops[[#This Row],[Days Between Harvest]]*7/_xlfn.XLOOKUP(Crops[[#This Row],[ProductIndex]],Products[ID],Products[CSA Portion])</f>
        <v>56.250000000000007</v>
      </c>
      <c r="EN245" s="210">
        <f>Crops[[#This Row],[CSA Portions Per Week]]/CSAMembers</f>
        <v>1.1250000000000002</v>
      </c>
      <c r="EO245" s="216"/>
      <c r="EP245" s="216"/>
      <c r="EQ245" s="210"/>
      <c r="ER245" s="210">
        <f>Crops[[#This Row],[Harvests]]*Crops[[#This Row],[Days Between Harvest]]/7</f>
        <v>10</v>
      </c>
      <c r="ES245" s="217">
        <f>_xlfn.XLOOKUP(Crops[[#This Row],[ProductIndex]],Products[ID],Products[CSA Need])</f>
        <v>0.5</v>
      </c>
      <c r="ET245" s="217">
        <f>_xlfn.XLOOKUP(Crops[[#This Row],[ProductIndex]],Products[ID],Products[CSA Times])</f>
        <v>2</v>
      </c>
      <c r="EU245" s="208">
        <f>Crops[[#This Row],[Custom Yield Per Bed]]/(Crops[[#This Row],[CSA Need]]*(_xlfn.XLOOKUP(Crops[[#This Row],[ProductIndex]],Products[ID],Products[CSA Portion])*CSAMembers))</f>
        <v>22.5</v>
      </c>
      <c r="EV245" s="208">
        <f>_xlfn.XLOOKUP(Crops[[#This Row],[ProductIndex]],Products[ID],Products[CSA Portion])*CSAMembers*Crops[[#This Row],[CSA Need]]/Crops[[#This Row],[Custom Yield Per Bed]]</f>
        <v>4.4444444444444446E-2</v>
      </c>
      <c r="EW245" s="208">
        <f>IFERROR(Crops[[#This Row],[Days In Field]]*Crops[[#This Row],[CSA Beds]],"")</f>
        <v>5.7777777777777777</v>
      </c>
      <c r="EX245" s="208" t="e">
        <f>Crops[[#This Row],[CSA Bed Days]]*#REF!</f>
        <v>#REF!</v>
      </c>
      <c r="EY245" t="s">
        <v>2591</v>
      </c>
    </row>
    <row r="246" spans="1:155">
      <c r="A246"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(Hot) - Ripe Fruit Small 1X | Greenhouse TP </v>
      </c>
      <c r="B246" s="190"/>
      <c r="C246" s="1" t="b">
        <v>1</v>
      </c>
      <c r="D246" s="1"/>
      <c r="E246" s="1" t="b">
        <v>0</v>
      </c>
      <c r="F246" s="1" t="b">
        <f>IFERROR(IF(ISNUMBER(MATCH(Crops[[#This Row],[Identifier]],BedPlan[Crop], 0)), TRUE, FALSE), FALSE)</f>
        <v>1</v>
      </c>
      <c r="G246" s="1" t="b">
        <f>IFERROR(IF(ISNUMBER(MATCH(Crops[[#This Row],[Identifier]],BedPlan[Crop], 0)), TRUE, FALSE), FALSE)</f>
        <v>1</v>
      </c>
      <c r="H246" s="1"/>
      <c r="I246" t="s">
        <v>112</v>
      </c>
      <c r="J246" t="s">
        <v>171</v>
      </c>
      <c r="K246" t="s">
        <v>2381</v>
      </c>
      <c r="M246" t="s">
        <v>112</v>
      </c>
      <c r="N246" t="str">
        <f>Crops[[#This Row],[Crop]]</f>
        <v>Pepper</v>
      </c>
      <c r="O246" t="s">
        <v>211</v>
      </c>
      <c r="P246" t="str">
        <f>IF(OR(Crops[[#This Row],[Days in Cells]]="",Crops[[#This Row],[Days in Cells]]=0), "DS","TP")</f>
        <v>TP</v>
      </c>
      <c r="V246" t="str">
        <f xml:space="preserve"> IF(Crops[[#This Row],[Sp]], "Sp", "") &amp; IF(Crops[[#This Row],[Su]], "Su", "") &amp; IF(Crops[[#This Row],[Fa]], "Fa", "") &amp; IF(Crops[[#This Row],[Wi]], "Wi", "") &amp; IF(Crops[[#This Row],[OW]], "Ow","")</f>
        <v/>
      </c>
      <c r="W246" t="s">
        <v>144</v>
      </c>
      <c r="X246">
        <v>2</v>
      </c>
      <c r="Y246">
        <v>12</v>
      </c>
      <c r="AB246" t="b">
        <v>0</v>
      </c>
      <c r="AC246">
        <v>4</v>
      </c>
      <c r="AD246" s="32">
        <f>IFERROR(12/Crops[[#This Row],[Spacing]]*Crops[[#This Row],[Rows]]*BedLength,"")</f>
        <v>100</v>
      </c>
      <c r="AE246">
        <v>1</v>
      </c>
      <c r="AG246">
        <f>IF(Crops[[#This Row],[Custom Safety Factor]]="",PlantingSafetyFactor,Crops[[#This Row],[Custom Safety Factor]])</f>
        <v>1.3</v>
      </c>
      <c r="AH246">
        <f>1</f>
        <v>1</v>
      </c>
      <c r="AI246" s="33">
        <f>IFERROR(Crops[[#This Row],[Plantings Per Bed]]*Crops[[#This Row],[Seeds Per Planting]]*Crops[[#This Row],[Safety Factor]]*Crops[[#This Row],[Seeding Factor]],"")</f>
        <v>130</v>
      </c>
      <c r="AL246">
        <f>_xlfn.FLOOR.MATH(IFERROR(AVERAGE(Crops[[#This Row],[DTG Lower]:[DTG Upper]]),0))</f>
        <v>0</v>
      </c>
      <c r="AM246">
        <f>SUM(Crops[[#This Row],[Tray 1 Days]],Crops[[#This Row],[Tray 2 Days]],Crops[[#This Row],[Tray 3 Days]])</f>
        <v>90</v>
      </c>
      <c r="AN246">
        <v>60</v>
      </c>
      <c r="AP246">
        <v>150</v>
      </c>
      <c r="AQ246">
        <f>IFERROR(_xlfn.FLOOR.MATH(AVERAGE(Crops[[#This Row],[DTM Lower]:[DTM Upper]])),"")</f>
        <v>150</v>
      </c>
      <c r="AR246" cm="1">
        <f t="array" ref="AR246">_xlfn.SWITCH(Crops[[#This Row],[Normal Method]],"DS",Crops[[#This Row],[Days to Germination]]+Crops[[#This Row],[DTM]] + IF(Crops[[#This Row],[Days in Cells]]&gt;0,15,0), "TP",Crops[[#This Row],[DTM]]+Crops[[#This Row],[Days in Cells]] + IF(Crops[[#This Row],[Days in Cells]]&lt;=0,20,0), "X", Crops[[#This Row],[DTM]])</f>
        <v>150</v>
      </c>
      <c r="AS246" t="s">
        <v>347</v>
      </c>
      <c r="AT246">
        <f>(Crops[[#This Row],[Harvests]]-1)*Crops[[#This Row],[Days Between Harvest]]+7</f>
        <v>126</v>
      </c>
      <c r="AU246">
        <f>Crops[[#This Row],[STH]]-Crops[[#This Row],[Days in Cells]]+Crops[[#This Row],[Harvest window]]</f>
        <v>186</v>
      </c>
      <c r="AX246">
        <v>128</v>
      </c>
      <c r="AY246">
        <v>28</v>
      </c>
      <c r="AZ246">
        <f>IFERROR(IF(Crops[[#This Row],[Tray 1 Days]]=0,"",Crops[[#This Row],[Plantings Per Bed]]/Crops[[#This Row],[Tray 1 Size]]*Crops[[#This Row],[Safety Factor]]),"")</f>
        <v>1.015625</v>
      </c>
      <c r="BA246">
        <v>18</v>
      </c>
      <c r="BB246">
        <v>62</v>
      </c>
      <c r="BC246">
        <f>IFERROR(IF(Crops[[#This Row],[Tray 2 Days]]=0,"",Crops[[#This Row],[Plantings Per Bed]]/Crops[[#This Row],[Tray 2 Size]]*Crops[[#This Row],[Safety Factor]]),"")</f>
        <v>7.2222222222222223</v>
      </c>
      <c r="BE246" s="32" t="str">
        <f>IF(NOT(ISBLANK(Crops[[#This Row],[Tray 3 Size]])), Crops[[#This Row],[Days in Cells Old]]-SUM(Crops[[#This Row],[Tray 1 Days]],Crops[[#This Row],[Tray 2 Days]]), "")</f>
        <v/>
      </c>
      <c r="BF246" t="str">
        <f>IFERROR(IF(Crops[[#This Row],[Tray 3 Days]]=0,"",Crops[[#This Row],[Plantings Per Bed]]/Crops[[#This Row],[Tray 3 Size]]*Crops[[#This Row],[Safety Factor]]),"")</f>
        <v/>
      </c>
      <c r="BG246" s="33">
        <f>Crops[[#This Row],[Plantings Per Bed]]*(4.5/16)*0.5</f>
        <v>14.0625</v>
      </c>
      <c r="BH246" s="33">
        <v>18</v>
      </c>
      <c r="BI246" s="33">
        <v>7</v>
      </c>
      <c r="BJ246" s="33">
        <f>_xlfn.XLOOKUP(Crops[[#This Row],[ProductIndex]],Products[ID],Products[Holding Period])</f>
        <v>14</v>
      </c>
      <c r="BK246" s="33"/>
      <c r="BL246" s="33">
        <f>Crops[[#This Row],[Units Per Harvest]]*Crops[[#This Row],[Harvests]]</f>
        <v>253.125</v>
      </c>
      <c r="BM246" s="35">
        <v>8</v>
      </c>
      <c r="BN246" s="35">
        <v>4.49</v>
      </c>
      <c r="BO246" s="35"/>
      <c r="BP246" t="s">
        <v>383</v>
      </c>
      <c r="BQ246">
        <f>Crops[[#This Row],[Custom Yield Per Bed]]*Crops[[#This Row],[Direct Price]]</f>
        <v>2025</v>
      </c>
      <c r="BS246" t="b">
        <f>Crops[[#This Row],[Harvests]]&gt;1</f>
        <v>1</v>
      </c>
      <c r="BT246" s="36">
        <f>IFERROR(Crops[[#This Row],[Direct Revenue Per Bed]]/Crops[[#This Row],[Days In Field]],-1)</f>
        <v>10.887096774193548</v>
      </c>
      <c r="BU246" s="36">
        <f>IFERROR(Crops[[#This Row],[Direct Revenue Per Bed Day]]*GrowingDays*BedsPerAcre,"")</f>
        <v>313548.38709677418</v>
      </c>
      <c r="BV246" s="38">
        <f>LastFrostDate-5*Crops[[#This Row],[Sewing Rel Last Frost]]</f>
        <v>45708</v>
      </c>
      <c r="BW246" s="38">
        <f>Crops[[#This Row],[Target Sewing Date]]+Crops[[#This Row],[Days in Cells]]</f>
        <v>45798</v>
      </c>
      <c r="BX246" s="38">
        <f>Crops[[#This Row],[Target Sewing Date]]+Crops[[#This Row],[STH]]</f>
        <v>45858</v>
      </c>
      <c r="BY246" s="38">
        <f>Crops[[#This Row],[Target Harvest Data]]+Crops[[#This Row],[Harvest window]]</f>
        <v>45984</v>
      </c>
      <c r="BZ246">
        <v>8</v>
      </c>
      <c r="CB246">
        <f>1</f>
        <v>1</v>
      </c>
      <c r="CC246">
        <f>IF(Crops[[#This Row],[Transplanting]]&gt;0, 2, 3)*BedLength/StandardBedLength</f>
        <v>1</v>
      </c>
      <c r="CD246" s="173">
        <f>IF(Crops[[#This Row],[Days in Cells]]&lt;=0,0,Crops[[#This Row],[Plantings Per Bed]]/StartsPerHourSeeding+Crops[[#This Row],[Tray 1 Count]]*5/60)</f>
        <v>0.47526041666666669</v>
      </c>
      <c r="CE246" s="173">
        <f>IF(ISBLANK(Crops[[#This Row],[Tray 2 Days]]),0,Crops[[#This Row],[Plantings Per Bed]]/UpPottingPerHour)+IF(Crops[[#This Row],[Tray 3 Days]]="",0,Crops[[#This Row],[Plantings Per Bed]]/UpPottingPerHour)</f>
        <v>0.83333333333333337</v>
      </c>
      <c r="CF246" s="173">
        <f>IFERROR(Crops[[#This Row],[Tray 1 Count]]/HomeStartFlatIrrigationPerHour,0)*Crops[[#This Row],[Days in Cells]]/DaysBetweenStartIrrigation</f>
        <v>0.380859375</v>
      </c>
      <c r="CG246" s="173">
        <f>0.5/16*MAX(Crops[[#This Row],[Tray 1 Count]],Crops[[#This Row],[Tray 2 Count]],Crops[[#This Row],[Tray 3 Count]])</f>
        <v>0.22569444444444445</v>
      </c>
      <c r="CH246" s="173">
        <f>IF(Crops[[#This Row],[Days in Cells]]&gt;0,IF(IF(Crops[[#This Row],[Tray 3 Size]]&gt;0,Crops[[#This Row],[Tray 3 Size]],IF(Crops[[#This Row],[Tray 2 Size]]&gt;0,Crops[[#This Row],[Tray 2 Size]],Crops[[#This Row],[Tray 1 Size]]))&lt;=18,LargeTransplantTime,SmallTransplantTime)*Crops[[#This Row],[Plantings Per Bed]],0)</f>
        <v>4.1666666666666661</v>
      </c>
      <c r="CI246" s="173"/>
      <c r="CJ246" s="173">
        <f>_xlfn.XLOOKUP(Crops[[#This Row],[Trellis Type]],TrellisMethods[Trellis Type],TrellisMethods[Hours],0,0)</f>
        <v>0</v>
      </c>
      <c r="CK246">
        <f>IF(Crops[[#This Row],[Days in Cells]]&lt;=0,Crops[[#This Row],[Rows]]*1/10,0)*BedLength/50</f>
        <v>0</v>
      </c>
      <c r="CL246" cm="1">
        <f t="array" ref="CL246">_xlfn.SWITCH(Crops[[#This Row],[Irrigation]],"DR", 0.5, "OH", 0.25,0)*BedLength/50</f>
        <v>0</v>
      </c>
      <c r="CM246">
        <f>IF(OR(ISBLANK(Crops[[#This Row],[Row Cover]]),Crops[[#This Row],[Row Cover]]="None"),0,1)*BedLength/50</f>
        <v>0</v>
      </c>
      <c r="CN246" s="173">
        <f>HoursPerWeedingPass*Crops[[#This Row],[Days In Field]]/14*Crops[[#This Row],[Rows]]+1*BedLength/50</f>
        <v>5.4285714285714288</v>
      </c>
      <c r="CO246" s="49">
        <v>1</v>
      </c>
      <c r="CQ246" s="37">
        <f>_xlfn.XLOOKUP(Crops[[#This Row],[Crop]]&amp;Crops[[#This Row],[Product]]&amp;Crops[[#This Row],[Unit]],Products[ID],Products[Marketing (hr)])*Crops[[#This Row],[Direct Revenue Per Bed]]/2000</f>
        <v>3.0375000000000001</v>
      </c>
      <c r="CR246" s="37">
        <f>_xlfn.XLOOKUP(Crops[[#This Row],[Crop]]&amp;Crops[[#This Row],[Product]]&amp;Crops[[#This Row],[Unit]],Products[ID],Products[Harvest (s)])*Crops[[#This Row],[Custom Yield Per Bed]]/3600</f>
        <v>11.25</v>
      </c>
      <c r="CS246" s="37">
        <f>_xlfn.XLOOKUP(Crops[[#This Row],[Crop]]&amp;Crops[[#This Row],[Product]]&amp;Crops[[#This Row],[Unit]],Products[ID],Products[Bunch (s)])*Crops[[#This Row],[Custom Yield Per Bed]]/3600</f>
        <v>0</v>
      </c>
      <c r="CT246" s="37">
        <f>_xlfn.XLOOKUP(Crops[[#This Row],[Crop]]&amp;Crops[[#This Row],[Product]]&amp;Crops[[#This Row],[Unit]],Products[ID],Products[Haul (s)])*Crops[[#This Row],[Custom Yield Per Bed]]/3600</f>
        <v>0.31640625</v>
      </c>
      <c r="CU246" s="37">
        <f>_xlfn.XLOOKUP(Crops[[#This Row],[Crop]]&amp;Crops[[#This Row],[Product]]&amp;Crops[[#This Row],[Unit]],Products[ID],Products[Wash (s)])*Crops[[#This Row],[Custom Yield Per Bed]]/3600</f>
        <v>0</v>
      </c>
      <c r="CV246" s="37">
        <f>_xlfn.XLOOKUP(Crops[[#This Row],[Crop]]&amp;Crops[[#This Row],[Product]]&amp;Crops[[#This Row],[Unit]],Products[ID],Products[Condition (s)])*Crops[[#This Row],[Custom Yield Per Bed]]/3600</f>
        <v>0</v>
      </c>
      <c r="CW246" s="37">
        <f>_xlfn.XLOOKUP(Crops[[#This Row],[Crop]]&amp;Crops[[#This Row],[Product]]&amp;Crops[[#This Row],[Unit]],Products[ID],Products[Trim (s)])*Crops[[#This Row],[Custom Yield Per Bed]]/3600</f>
        <v>0</v>
      </c>
      <c r="CX246" s="37">
        <f>_xlfn.XLOOKUP(Crops[[#This Row],[Crop]]&amp;Crops[[#This Row],[Product]]&amp;Crops[[#This Row],[Unit]],Products[ID],Products[Pack (s)])*Crops[[#This Row],[Custom Yield Per Bed]]/3600</f>
        <v>0.2109375</v>
      </c>
      <c r="CY246" s="37">
        <f>_xlfn.XLOOKUP(Crops[[#This Row],[Crop]]&amp;Crops[[#This Row],[Product]]&amp;Crops[[#This Row],[Unit]],Products[ID],Products[Clean (s)])*Crops[[#This Row],[Custom Yield Per Bed]]/3600</f>
        <v>0</v>
      </c>
      <c r="CZ246" s="37">
        <f>_xlfn.XLOOKUP(Crops[[#This Row],[Crop]]&amp;Crops[[#This Row],[Product]]&amp;Crops[[#This Row],[Unit]],Products[ID],Products[Rehandle (s)])*Crops[[#This Row],[Custom Yield Per Bed]]/3600</f>
        <v>0</v>
      </c>
      <c r="DA246" s="37">
        <f>_xlfn.XLOOKUP(Crops[[#This Row],[Crop]]&amp;Crops[[#This Row],[Product]]&amp;Crops[[#This Row],[Unit]],Products[ID],Products[Market Transport (s)])*Crops[[#This Row],[Custom Yield Per Bed]]/3600</f>
        <v>0.791015625</v>
      </c>
      <c r="DC246" s="37">
        <f>Crops[[#This Row],[Direct Revenue Per Bed2]]</f>
        <v>2025</v>
      </c>
      <c r="DD246" s="173">
        <f>_xlfn.AGGREGATE(9,6,Crops[[#This Row],[Bed Prep]:[Remove Crop Residue]])</f>
        <v>29.116245039682539</v>
      </c>
      <c r="DE246" s="173">
        <f>_xlfn.AGGREGATE(9,6,Crops[[#This Row],[Bed Prep]:[Remove Crop Residue]])-0.75*Crops[[#This Row],[Market &amp; Sell]]</f>
        <v>26.83812003968254</v>
      </c>
      <c r="DF246" s="36">
        <f>Crops[[#This Row],[Direct Revenue Per Bed2]]/Crops[[#This Row],[Direct Time]]</f>
        <v>69.548803330928379</v>
      </c>
      <c r="DG246" s="36">
        <f>_xlfn.XLOOKUP(Crops[[#This Row],[ProductIndex]],Products[ID],Products[Packaging Cost])*(Crops[[#This Row],[Custom Yield Per Bed]]/_xlfn.XLOOKUP(Crops[[#This Row],[ProductIndex]],Products[ID],Products[Units Per Pack]))</f>
        <v>48.09375</v>
      </c>
      <c r="DH246" s="36"/>
      <c r="DI246" s="36"/>
      <c r="DJ246" s="36"/>
      <c r="DK246" s="36"/>
      <c r="DL246" s="36"/>
      <c r="DM246" s="33">
        <f>IFERROR(Crops[[#This Row],[Custom Yield Per Bed]]*Crops[[#This Row],[Direct Price]],"")</f>
        <v>2025</v>
      </c>
      <c r="DN246" s="36">
        <f>Crops[[#This Row],[Direct Time]]*LaborRate</f>
        <v>727.90612599206349</v>
      </c>
      <c r="DO246" s="36">
        <f>SUM(Crops[[#This Row],[Irrigation Cost]])</f>
        <v>0</v>
      </c>
      <c r="DP246" s="36">
        <f>Crops[[#This Row],[Direct Labor Cost]]+Crops[[#This Row],[Direct Non-Labor Cost]]</f>
        <v>727.90612599206349</v>
      </c>
      <c r="DQ246" s="36">
        <f>Crops[[#This Row],[Direct Revenue Per Bed2]]-Crops[[#This Row],[Direct Total Cost]]</f>
        <v>1297.0938740079364</v>
      </c>
      <c r="DR246" s="36">
        <f>Crops[[#This Row],[Direct Profit]]*BedsPerAcre</f>
        <v>207535.01984126982</v>
      </c>
      <c r="DS246" s="36">
        <f>Crops[[#This Row],[Direct Profit]]*BedsPerAcre*GrowingDays/Crops[[#This Row],[Days In Field]]</f>
        <v>200840.34178187401</v>
      </c>
      <c r="DT246" s="36">
        <f>Crops[[#This Row],[Direct Profit]]/MIN(Crops[[#This Row],[Days In Field]],GrowingDays)</f>
        <v>7.2060770778218686</v>
      </c>
      <c r="DU246" s="33">
        <f>Crops[[#This Row],[Direct Time]] * BedsPerAcre</f>
        <v>4658.5992063492067</v>
      </c>
      <c r="DV246" s="36">
        <f>(Crops[[#This Row],[Direct Revenue Per Bed2]]-Crops[[#This Row],[Direct Non-Labor Cost]])/Crops[[#This Row],[Direct Time]]</f>
        <v>69.548803330928379</v>
      </c>
      <c r="DW246" s="33">
        <f>IFERROR(Crops[[#This Row],[Custom Yield Per Bed]]*Crops[[#This Row],[Rough Wholesale Price]],"")</f>
        <v>1136.53125</v>
      </c>
      <c r="DX246" s="36">
        <f>Crops[[#This Row],[Wholesale Time]]*LaborRate</f>
        <v>670.95300099206349</v>
      </c>
      <c r="DY246" s="36">
        <f>SUM(Crops[[#This Row],[Packaging Costs]:[Irrigation Cost]])</f>
        <v>48.09375</v>
      </c>
      <c r="DZ246" s="36">
        <f>Crops[[#This Row],[Wholesale Labor Cost]]+Crops[[#This Row],[Wholesale Non-Labor Cost]]</f>
        <v>719.04675099206349</v>
      </c>
      <c r="EA246" s="36">
        <f>Crops[[#This Row],[Wholesale Revenue Per Bed]]-Crops[[#This Row],[Wholesale Total Cost]]</f>
        <v>417.48449900793651</v>
      </c>
      <c r="EB246" s="36">
        <f>Crops[[#This Row],[Wholesale Profit]]*BedsPerAcre</f>
        <v>66797.519841269837</v>
      </c>
      <c r="EC246" s="36">
        <f>Crops[[#This Row],[Wholesale Profit]]*BedsPerAcre*GrowingDays/Crops[[#This Row],[Days In Field]]</f>
        <v>64642.761136712747</v>
      </c>
      <c r="ED246" s="33">
        <f>Crops[[#This Row],[Wholesale Time]] * BedsPerAcre</f>
        <v>4294.0992063492067</v>
      </c>
      <c r="EE246" s="221">
        <f>Crops[[#This Row],[Wholesale Profit]]/MIN(Crops[[#This Row],[Days In Field]],GrowingDays)</f>
        <v>2.3193583278218695</v>
      </c>
      <c r="EF246" s="36">
        <f>(Crops[[#This Row],[Wholesale Revenue Per Bed]]-Crops[[#This Row],[Wholesale Non-Labor Cost]])/Crops[[#This Row],[Direct Time]]</f>
        <v>37.382481790374008</v>
      </c>
      <c r="EG246" s="174">
        <f>Crops[[#This Row],[Packaging Costs]]/Crops[[#This Row],[Wholesale Revenue Per Bed]]</f>
        <v>4.2316258351893093E-2</v>
      </c>
      <c r="EH246" s="36" t="str">
        <f>Crops[[#This Row],[Crop]]&amp;Crops[[#This Row],[Product]]&amp;Crops[[#This Row],[Unit]]</f>
        <v>PepperRipe Fruit SmallLb</v>
      </c>
      <c r="EI246" s="36" t="b">
        <f>_xlfn.XLOOKUP(Crops[[#This Row],[ProductIndex]],Products[ID],Products[Target])</f>
        <v>1</v>
      </c>
      <c r="EJ246" s="33">
        <f>Crops[[#This Row],[Custom Yield Per Bed]]</f>
        <v>253.125</v>
      </c>
      <c r="EK246" s="210">
        <f>Crops[[#This Row],[Units Per Harvest]]/Crops[[#This Row],[Days Between Harvest]]*7</f>
        <v>14.062500000000002</v>
      </c>
      <c r="EL246" s="210">
        <f>Crops[[#This Row],[Custom Yield Per Bed]]/_xlfn.XLOOKUP(Crops[[#This Row],[ProductIndex]],Products[ID],Products[CSA Portion])</f>
        <v>1012.5</v>
      </c>
      <c r="EM246" s="210">
        <f>Crops[[#This Row],[Units Per Harvest]]/Crops[[#This Row],[Days Between Harvest]]*7/_xlfn.XLOOKUP(Crops[[#This Row],[ProductIndex]],Products[ID],Products[CSA Portion])</f>
        <v>56.250000000000007</v>
      </c>
      <c r="EN246" s="210">
        <f>Crops[[#This Row],[CSA Portions Per Week]]/CSAMembers</f>
        <v>1.1250000000000002</v>
      </c>
      <c r="EO246" s="216">
        <v>1</v>
      </c>
      <c r="EP246" s="216">
        <v>1</v>
      </c>
      <c r="EQ246" s="210" t="s">
        <v>2690</v>
      </c>
      <c r="ER246" s="210">
        <f>Crops[[#This Row],[Harvests]]*Crops[[#This Row],[Days Between Harvest]]/7</f>
        <v>18</v>
      </c>
      <c r="ES246" s="217">
        <f>_xlfn.XLOOKUP(Crops[[#This Row],[ProductIndex]],Products[ID],Products[CSA Need])</f>
        <v>0.5</v>
      </c>
      <c r="ET246" s="217">
        <f>_xlfn.XLOOKUP(Crops[[#This Row],[ProductIndex]],Products[ID],Products[CSA Times])</f>
        <v>2</v>
      </c>
      <c r="EU246" s="208">
        <f>Crops[[#This Row],[Custom Yield Per Bed]]/(Crops[[#This Row],[CSA Need]]*(_xlfn.XLOOKUP(Crops[[#This Row],[ProductIndex]],Products[ID],Products[CSA Portion])*CSAMembers))</f>
        <v>40.5</v>
      </c>
      <c r="EV246" s="208">
        <f>_xlfn.XLOOKUP(Crops[[#This Row],[ProductIndex]],Products[ID],Products[CSA Portion])*CSAMembers*Crops[[#This Row],[CSA Need]]/Crops[[#This Row],[Custom Yield Per Bed]]</f>
        <v>2.4691358024691357E-2</v>
      </c>
      <c r="EW246" s="208">
        <f>IFERROR(Crops[[#This Row],[Days In Field]]*Crops[[#This Row],[CSA Beds]],"")</f>
        <v>4.5925925925925926</v>
      </c>
      <c r="EX246" s="208" t="e">
        <f>Crops[[#This Row],[CSA Bed Days]]*#REF!</f>
        <v>#REF!</v>
      </c>
      <c r="EY246" t="s">
        <v>2590</v>
      </c>
    </row>
    <row r="247" spans="1:155">
      <c r="A24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Petunia - Mature Stem 1X | Field TP </v>
      </c>
      <c r="B247" s="189"/>
      <c r="C247" s="1"/>
      <c r="D247" s="1"/>
      <c r="E247" s="1" t="b">
        <v>0</v>
      </c>
      <c r="F247" s="1" t="b">
        <f>IFERROR(IF(ISNUMBER(MATCH(Crops[[#This Row],[Identifier]],BedPlan[Crop], 0)), TRUE, FALSE), FALSE)</f>
        <v>0</v>
      </c>
      <c r="G247" s="1" t="b">
        <f>IFERROR(IF(ISNUMBER(MATCH(Crops[[#This Row],[Identifier]],BedPlan[Crop], 0)), TRUE, FALSE), FALSE)</f>
        <v>0</v>
      </c>
      <c r="H247" s="1"/>
      <c r="I247" t="s">
        <v>419</v>
      </c>
      <c r="J247" t="s">
        <v>145</v>
      </c>
      <c r="K247" t="s">
        <v>181</v>
      </c>
      <c r="M247" t="s">
        <v>406</v>
      </c>
      <c r="N247" t="str">
        <f>Crops[[#This Row],[Crop]]</f>
        <v>Petunia</v>
      </c>
      <c r="O247" t="s">
        <v>210</v>
      </c>
      <c r="P247" t="str">
        <f>IF(OR(Crops[[#This Row],[Days in Cells]]="",Crops[[#This Row],[Days in Cells]]=0), "DS","TP")</f>
        <v>TP</v>
      </c>
      <c r="V247" t="str">
        <f xml:space="preserve"> IF(Crops[[#This Row],[Sp]], "Sp", "") &amp; IF(Crops[[#This Row],[Su]], "Su", "") &amp; IF(Crops[[#This Row],[Fa]], "Fa", "") &amp; IF(Crops[[#This Row],[Wi]], "Wi", "") &amp; IF(Crops[[#This Row],[OW]], "Ow","")</f>
        <v/>
      </c>
      <c r="W247" t="s">
        <v>144</v>
      </c>
      <c r="X247">
        <v>4</v>
      </c>
      <c r="Y247">
        <v>6</v>
      </c>
      <c r="AA247" t="s">
        <v>474</v>
      </c>
      <c r="AB247" t="b">
        <v>0</v>
      </c>
      <c r="AC247">
        <v>1.5</v>
      </c>
      <c r="AD247" s="32">
        <f>IFERROR(12/Crops[[#This Row],[Spacing]]*Crops[[#This Row],[Rows]]*BedLength,"")</f>
        <v>400</v>
      </c>
      <c r="AE247">
        <v>1</v>
      </c>
      <c r="AG247">
        <f>IF(Crops[[#This Row],[Custom Safety Factor]]="",PlantingSafetyFactor,Crops[[#This Row],[Custom Safety Factor]])</f>
        <v>1.3</v>
      </c>
      <c r="AH247">
        <f>1</f>
        <v>1</v>
      </c>
      <c r="AI247" s="33">
        <f>IFERROR(Crops[[#This Row],[Plantings Per Bed]]*Crops[[#This Row],[Seeds Per Planting]]*Crops[[#This Row],[Safety Factor]]*Crops[[#This Row],[Seeding Factor]],"")</f>
        <v>520</v>
      </c>
      <c r="AJ247">
        <v>7</v>
      </c>
      <c r="AK247">
        <v>14</v>
      </c>
      <c r="AL247">
        <f>_xlfn.FLOOR.MATH(IFERROR(AVERAGE(Crops[[#This Row],[DTG Lower]:[DTG Upper]]),0))</f>
        <v>10</v>
      </c>
      <c r="AM247">
        <f>SUM(Crops[[#This Row],[Tray 1 Days]],Crops[[#This Row],[Tray 2 Days]],Crops[[#This Row],[Tray 3 Days]])</f>
        <v>30</v>
      </c>
      <c r="AN247">
        <v>70</v>
      </c>
      <c r="AO247">
        <v>90</v>
      </c>
      <c r="AP247">
        <v>110</v>
      </c>
      <c r="AQ247">
        <f>IFERROR(_xlfn.FLOOR.MATH(AVERAGE(Crops[[#This Row],[DTM Lower]:[DTM Upper]])),"")</f>
        <v>100</v>
      </c>
      <c r="AR247" cm="1">
        <f t="array" ref="AR247">_xlfn.SWITCH(Crops[[#This Row],[Normal Method]],"DS",Crops[[#This Row],[Days to Germination]]+Crops[[#This Row],[DTM]] + IF(Crops[[#This Row],[Days in Cells]]&gt;0,15,0), "TP",Crops[[#This Row],[DTM]]+Crops[[#This Row],[Days in Cells]] + IF(Crops[[#This Row],[Days in Cells]]&lt;=0,20,0), "X", Crops[[#This Row],[DTM]])</f>
        <v>130</v>
      </c>
      <c r="AS247" t="s">
        <v>346</v>
      </c>
      <c r="AT247">
        <f>(Crops[[#This Row],[Harvests]]-1)*Crops[[#This Row],[Days Between Harvest]]+7</f>
        <v>49</v>
      </c>
      <c r="AU247">
        <f>Crops[[#This Row],[STH]]-Crops[[#This Row],[Days in Cells]]+Crops[[#This Row],[Harvest window]]</f>
        <v>149</v>
      </c>
      <c r="AW247">
        <v>18</v>
      </c>
      <c r="AX247">
        <v>72</v>
      </c>
      <c r="AY247">
        <v>30</v>
      </c>
      <c r="AZ247" s="49">
        <f>IFERROR(IF(Crops[[#This Row],[Tray 1 Days]]=0,"",Crops[[#This Row],[Plantings Per Bed]]/Crops[[#This Row],[Tray 1 Size]]*Crops[[#This Row],[Safety Factor]]),"")</f>
        <v>7.2222222222222223</v>
      </c>
      <c r="BC247" t="str">
        <f>IFERROR(IF(Crops[[#This Row],[Tray 2 Days]]=0,"",Crops[[#This Row],[Plantings Per Bed]]/Crops[[#This Row],[Tray 2 Size]]*Crops[[#This Row],[Safety Factor]]),"")</f>
        <v/>
      </c>
      <c r="BE247" s="32" t="str">
        <f>IF(NOT(ISBLANK(Crops[[#This Row],[Tray 3 Size]])), Crops[[#This Row],[Days in Cells Old]]-SUM(Crops[[#This Row],[Tray 1 Days]],Crops[[#This Row],[Tray 2 Days]]), "")</f>
        <v/>
      </c>
      <c r="BF247" s="49" t="str">
        <f>IFERROR(IF(Crops[[#This Row],[Tray 3 Days]]=0,"",Crops[[#This Row],[Plantings Per Bed]]/Crops[[#This Row],[Tray 3 Size]]*Crops[[#This Row],[Safety Factor]]),"")</f>
        <v/>
      </c>
      <c r="BG247" s="33">
        <f>Crops[[#This Row],[Plantings Per Bed]]</f>
        <v>400</v>
      </c>
      <c r="BH247" s="33">
        <v>3</v>
      </c>
      <c r="BI247" s="33">
        <v>21</v>
      </c>
      <c r="BJ247" s="33">
        <f>_xlfn.XLOOKUP(Crops[[#This Row],[ProductIndex]],Products[ID],Products[Holding Period])</f>
        <v>0</v>
      </c>
      <c r="BK247" s="33"/>
      <c r="BL247" s="33">
        <f>Crops[[#This Row],[Units Per Harvest]]*Crops[[#This Row],[Harvests]]</f>
        <v>1200</v>
      </c>
      <c r="BM247" s="35">
        <v>2</v>
      </c>
      <c r="BN247" s="35">
        <f>Crops[[#This Row],[Direct Price]]*0.6</f>
        <v>1.2</v>
      </c>
      <c r="BO247" s="35"/>
      <c r="BP247" t="s">
        <v>213</v>
      </c>
      <c r="BQ247">
        <f>Crops[[#This Row],[Custom Yield Per Bed]]*Crops[[#This Row],[Direct Price]]</f>
        <v>2400</v>
      </c>
      <c r="BR247" t="b">
        <v>0</v>
      </c>
      <c r="BS247" t="b">
        <f>Crops[[#This Row],[Harvests]]&gt;1</f>
        <v>1</v>
      </c>
      <c r="BT247" s="36">
        <f>IFERROR(Crops[[#This Row],[Direct Revenue Per Bed]]/Crops[[#This Row],[Days In Field]],-1)</f>
        <v>16.107382550335572</v>
      </c>
      <c r="BU247" s="36">
        <f>IFERROR(Crops[[#This Row],[Direct Revenue Per Bed Day]]*GrowingDays*BedsPerAcre,"")</f>
        <v>463892.61744966445</v>
      </c>
      <c r="BV247" s="38">
        <f>LastFrostDate-5*Crops[[#This Row],[Sewing Rel Last Frost]]</f>
        <v>45733</v>
      </c>
      <c r="BW247" s="38">
        <f>Crops[[#This Row],[Target Sewing Date]]+Crops[[#This Row],[Days in Cells]]</f>
        <v>45763</v>
      </c>
      <c r="BX247" s="38">
        <f>Crops[[#This Row],[Target Sewing Date]]+Crops[[#This Row],[STH]]</f>
        <v>45863</v>
      </c>
      <c r="BY247" s="38">
        <f>Crops[[#This Row],[Target Harvest Data]]+Crops[[#This Row],[Harvest window]]</f>
        <v>45912</v>
      </c>
      <c r="BZ247">
        <v>3</v>
      </c>
      <c r="CB247">
        <f>1</f>
        <v>1</v>
      </c>
      <c r="CC247">
        <f>IF(Crops[[#This Row],[Transplanting]]&gt;0, 2, 3)*BedLength/StandardBedLength</f>
        <v>1</v>
      </c>
      <c r="CD247" s="173">
        <f>IF(Crops[[#This Row],[Days in Cells]]&lt;=0,0,Crops[[#This Row],[Plantings Per Bed]]/StartsPerHourSeeding+Crops[[#This Row],[Tray 1 Count]]*5/60)</f>
        <v>2.1643518518518521</v>
      </c>
      <c r="CE247" s="173">
        <f>IF(ISBLANK(Crops[[#This Row],[Tray 2 Days]]),0,Crops[[#This Row],[Plantings Per Bed]]/UpPottingPerHour)+IF(Crops[[#This Row],[Tray 3 Days]]="",0,Crops[[#This Row],[Plantings Per Bed]]/UpPottingPerHour)</f>
        <v>0</v>
      </c>
      <c r="CF247" s="173">
        <f>IFERROR(Crops[[#This Row],[Tray 1 Count]]/HomeStartFlatIrrigationPerHour,0)*Crops[[#This Row],[Days in Cells]]/DaysBetweenStartIrrigation</f>
        <v>0.90277777777777779</v>
      </c>
      <c r="CG247" s="173">
        <f>0.5/16*MAX(Crops[[#This Row],[Tray 1 Count]],Crops[[#This Row],[Tray 2 Count]],Crops[[#This Row],[Tray 3 Count]])</f>
        <v>0.22569444444444445</v>
      </c>
      <c r="CH247" s="173">
        <f>IF(Crops[[#This Row],[Days in Cells]]&gt;0,IF(IF(Crops[[#This Row],[Tray 3 Size]]&gt;0,Crops[[#This Row],[Tray 3 Size]],IF(Crops[[#This Row],[Tray 2 Size]]&gt;0,Crops[[#This Row],[Tray 2 Size]],Crops[[#This Row],[Tray 1 Size]]))&lt;=18,LargeTransplantTime,SmallTransplantTime)*Crops[[#This Row],[Plantings Per Bed]],0)</f>
        <v>2</v>
      </c>
      <c r="CI247" s="173"/>
      <c r="CJ247" s="173">
        <f>_xlfn.XLOOKUP(Crops[[#This Row],[Trellis Type]],TrellisMethods[Trellis Type],TrellisMethods[Hours],0,0)</f>
        <v>0</v>
      </c>
      <c r="CK247">
        <f>IF(Crops[[#This Row],[Days in Cells]]&lt;=0,Crops[[#This Row],[Rows]]*1/10,0)*BedLength/50</f>
        <v>0</v>
      </c>
      <c r="CL247" cm="1">
        <f t="array" ref="CL247">_xlfn.SWITCH(Crops[[#This Row],[Irrigation]],"DR", 0.5, "OH", 0.25,0)*BedLength/50</f>
        <v>0</v>
      </c>
      <c r="CM247">
        <f>IF(OR(ISBLANK(Crops[[#This Row],[Row Cover]]),Crops[[#This Row],[Row Cover]]="None"),0,1)*BedLength/50</f>
        <v>0</v>
      </c>
      <c r="CN247" s="173">
        <f>HoursPerWeedingPass*Crops[[#This Row],[Days In Field]]/14*Crops[[#This Row],[Rows]]+1*BedLength/50</f>
        <v>8.0952380952380949</v>
      </c>
      <c r="CQ247" s="37">
        <f>_xlfn.XLOOKUP(Crops[[#This Row],[Crop]]&amp;Crops[[#This Row],[Product]]&amp;Crops[[#This Row],[Unit]],Products[ID],Products[Marketing (hr)])*Crops[[#This Row],[Direct Revenue Per Bed]]/2000</f>
        <v>7.2</v>
      </c>
      <c r="CR247" s="37">
        <f>_xlfn.XLOOKUP(Crops[[#This Row],[Crop]]&amp;Crops[[#This Row],[Product]]&amp;Crops[[#This Row],[Unit]],Products[ID],Products[Harvest (s)])*Crops[[#This Row],[Custom Yield Per Bed]]/3600</f>
        <v>1.6666666666666667</v>
      </c>
      <c r="CS247" s="37">
        <f>_xlfn.XLOOKUP(Crops[[#This Row],[Crop]]&amp;Crops[[#This Row],[Product]]&amp;Crops[[#This Row],[Unit]],Products[ID],Products[Bunch (s)])*Crops[[#This Row],[Custom Yield Per Bed]]/3600</f>
        <v>0</v>
      </c>
      <c r="CT247" s="37">
        <f>_xlfn.XLOOKUP(Crops[[#This Row],[Crop]]&amp;Crops[[#This Row],[Product]]&amp;Crops[[#This Row],[Unit]],Products[ID],Products[Haul (s)])*Crops[[#This Row],[Custom Yield Per Bed]]/3600</f>
        <v>0.85714285714285721</v>
      </c>
      <c r="CU247" s="37">
        <f>_xlfn.XLOOKUP(Crops[[#This Row],[Crop]]&amp;Crops[[#This Row],[Product]]&amp;Crops[[#This Row],[Unit]],Products[ID],Products[Wash (s)])*Crops[[#This Row],[Custom Yield Per Bed]]/3600</f>
        <v>0</v>
      </c>
      <c r="CV247" s="37">
        <f>_xlfn.XLOOKUP(Crops[[#This Row],[Crop]]&amp;Crops[[#This Row],[Product]]&amp;Crops[[#This Row],[Unit]],Products[ID],Products[Condition (s)])*Crops[[#This Row],[Custom Yield Per Bed]]/3600</f>
        <v>0</v>
      </c>
      <c r="CW247" s="37">
        <f>_xlfn.XLOOKUP(Crops[[#This Row],[Crop]]&amp;Crops[[#This Row],[Product]]&amp;Crops[[#This Row],[Unit]],Products[ID],Products[Trim (s)])*Crops[[#This Row],[Custom Yield Per Bed]]/3600</f>
        <v>3.3333333333333335</v>
      </c>
      <c r="CX247" s="37">
        <f>_xlfn.XLOOKUP(Crops[[#This Row],[Crop]]&amp;Crops[[#This Row],[Product]]&amp;Crops[[#This Row],[Unit]],Products[ID],Products[Pack (s)])*Crops[[#This Row],[Custom Yield Per Bed]]/3600</f>
        <v>1</v>
      </c>
      <c r="CY247" s="37">
        <f>_xlfn.XLOOKUP(Crops[[#This Row],[Crop]]&amp;Crops[[#This Row],[Product]]&amp;Crops[[#This Row],[Unit]],Products[ID],Products[Clean (s)])*Crops[[#This Row],[Custom Yield Per Bed]]/3600</f>
        <v>0</v>
      </c>
      <c r="CZ247" s="37">
        <f>_xlfn.XLOOKUP(Crops[[#This Row],[Crop]]&amp;Crops[[#This Row],[Product]]&amp;Crops[[#This Row],[Unit]],Products[ID],Products[Rehandle (s)])*Crops[[#This Row],[Custom Yield Per Bed]]/3600</f>
        <v>0</v>
      </c>
      <c r="DA247" s="37">
        <f>_xlfn.XLOOKUP(Crops[[#This Row],[Crop]]&amp;Crops[[#This Row],[Product]]&amp;Crops[[#This Row],[Unit]],Products[ID],Products[Market Transport (s)])*Crops[[#This Row],[Custom Yield Per Bed]]/3600</f>
        <v>2.1428571428571428</v>
      </c>
      <c r="DC247" s="37">
        <f>Crops[[#This Row],[Direct Revenue Per Bed2]]</f>
        <v>2400</v>
      </c>
      <c r="DD247" s="173">
        <f>_xlfn.AGGREGATE(9,6,Crops[[#This Row],[Bed Prep]:[Remove Crop Residue]])</f>
        <v>30.58806216931217</v>
      </c>
      <c r="DE247" s="173">
        <f>_xlfn.AGGREGATE(9,6,Crops[[#This Row],[Bed Prep]:[Remove Crop Residue]])-0.75*Crops[[#This Row],[Market &amp; Sell]]</f>
        <v>25.188062169312168</v>
      </c>
      <c r="DF247" s="36">
        <f>Crops[[#This Row],[Direct Revenue Per Bed2]]/Crops[[#This Row],[Direct Time]]</f>
        <v>78.461982544544057</v>
      </c>
      <c r="DG247" s="36">
        <f>_xlfn.XLOOKUP(Crops[[#This Row],[ProductIndex]],Products[ID],Products[Packaging Cost])*(Crops[[#This Row],[Custom Yield Per Bed]]/_xlfn.XLOOKUP(Crops[[#This Row],[ProductIndex]],Products[ID],Products[Units Per Pack]))</f>
        <v>137.14285714285714</v>
      </c>
      <c r="DH247" s="36"/>
      <c r="DI247" s="36"/>
      <c r="DJ247" s="36"/>
      <c r="DK247" s="36"/>
      <c r="DL247" s="36"/>
      <c r="DM247" s="33">
        <f>IFERROR(Crops[[#This Row],[Custom Yield Per Bed]]*Crops[[#This Row],[Direct Price]],"")</f>
        <v>2400</v>
      </c>
      <c r="DN247" s="36">
        <f>Crops[[#This Row],[Direct Time]]*LaborRate</f>
        <v>764.70155423280426</v>
      </c>
      <c r="DO247" s="36">
        <f>SUM(Crops[[#This Row],[Irrigation Cost]])</f>
        <v>0</v>
      </c>
      <c r="DP247" s="36">
        <f>Crops[[#This Row],[Direct Labor Cost]]+Crops[[#This Row],[Direct Non-Labor Cost]]</f>
        <v>764.70155423280426</v>
      </c>
      <c r="DQ247" s="36">
        <f>Crops[[#This Row],[Direct Revenue Per Bed2]]-Crops[[#This Row],[Direct Total Cost]]</f>
        <v>1635.2984457671957</v>
      </c>
      <c r="DR247" s="36">
        <f>Crops[[#This Row],[Direct Profit]]*BedsPerAcre</f>
        <v>261647.75132275131</v>
      </c>
      <c r="DS247" s="36">
        <f>Crops[[#This Row],[Direct Profit]]*BedsPerAcre*GrowingDays/Crops[[#This Row],[Days In Field]]</f>
        <v>316084.53179929691</v>
      </c>
      <c r="DT247" s="36">
        <f>Crops[[#This Row],[Direct Profit]]/MIN(Crops[[#This Row],[Days In Field]],GrowingDays)</f>
        <v>10.975157354142253</v>
      </c>
      <c r="DU247" s="36">
        <f>Crops[[#This Row],[Direct Time]] * BedsPerAcre</f>
        <v>4894.0899470899476</v>
      </c>
      <c r="DV247" s="36">
        <f>(Crops[[#This Row],[Direct Revenue Per Bed2]]-Crops[[#This Row],[Direct Non-Labor Cost]])/Crops[[#This Row],[Direct Time]]</f>
        <v>78.461982544544057</v>
      </c>
      <c r="DW247" s="33">
        <f>IFERROR(Crops[[#This Row],[Custom Yield Per Bed]]*Crops[[#This Row],[Rough Wholesale Price]],"")</f>
        <v>1440</v>
      </c>
      <c r="DX247" s="36">
        <f>Crops[[#This Row],[Wholesale Time]]*LaborRate</f>
        <v>629.70155423280426</v>
      </c>
      <c r="DY247" s="36">
        <f>SUM(Crops[[#This Row],[Packaging Costs]:[Irrigation Cost]])</f>
        <v>137.14285714285714</v>
      </c>
      <c r="DZ247" s="36">
        <f>Crops[[#This Row],[Wholesale Labor Cost]]+Crops[[#This Row],[Wholesale Non-Labor Cost]]</f>
        <v>766.84441137566137</v>
      </c>
      <c r="EA247" s="36">
        <f>Crops[[#This Row],[Wholesale Revenue Per Bed]]-Crops[[#This Row],[Wholesale Total Cost]]</f>
        <v>673.15558862433863</v>
      </c>
      <c r="EB247" s="36">
        <f>Crops[[#This Row],[Wholesale Profit]]*BedsPerAcre</f>
        <v>107704.89417989418</v>
      </c>
      <c r="EC247" s="36">
        <f>Crops[[#This Row],[Wholesale Profit]]*BedsPerAcre*GrowingDays/Crops[[#This Row],[Days In Field]]</f>
        <v>130113.29498242249</v>
      </c>
      <c r="ED247" s="36">
        <f>Crops[[#This Row],[Wholesale Time]] * BedsPerAcre</f>
        <v>4030.0899470899467</v>
      </c>
      <c r="EE247" s="36">
        <f>Crops[[#This Row],[Wholesale Profit]]/MIN(Crops[[#This Row],[Days In Field]],GrowingDays)</f>
        <v>4.517822742445226</v>
      </c>
      <c r="EF247" s="36">
        <f>(Crops[[#This Row],[Wholesale Revenue Per Bed]]-Crops[[#This Row],[Wholesale Non-Labor Cost]])/Crops[[#This Row],[Direct Time]]</f>
        <v>42.593647667038205</v>
      </c>
      <c r="EG247" s="174">
        <f>Crops[[#This Row],[Packaging Costs]]/Crops[[#This Row],[Wholesale Revenue Per Bed]]</f>
        <v>9.5238095238095233E-2</v>
      </c>
      <c r="EH247" s="36" t="str">
        <f>Crops[[#This Row],[Crop]]&amp;Crops[[#This Row],[Product]]&amp;Crops[[#This Row],[Unit]]</f>
        <v>PetuniaMature StemStem</v>
      </c>
      <c r="EI247" s="36" t="b">
        <f>_xlfn.XLOOKUP(Crops[[#This Row],[ProductIndex]],Products[ID],Products[Target])</f>
        <v>0</v>
      </c>
      <c r="EJ247" s="36">
        <f>Crops[[#This Row],[Custom Yield Per Bed]]</f>
        <v>1200</v>
      </c>
      <c r="EK247" s="210">
        <f>Crops[[#This Row],[Units Per Harvest]]/Crops[[#This Row],[Days Between Harvest]]*7</f>
        <v>133.33333333333334</v>
      </c>
      <c r="EL247" s="210" t="e">
        <f>Crops[[#This Row],[Custom Yield Per Bed]]/_xlfn.XLOOKUP(Crops[[#This Row],[ProductIndex]],Products[ID],Products[CSA Portion])</f>
        <v>#DIV/0!</v>
      </c>
      <c r="EM247" s="210" t="e">
        <f>Crops[[#This Row],[Units Per Harvest]]/Crops[[#This Row],[Days Between Harvest]]*7/_xlfn.XLOOKUP(Crops[[#This Row],[ProductIndex]],Products[ID],Products[CSA Portion])</f>
        <v>#DIV/0!</v>
      </c>
      <c r="EN247" s="210" t="e">
        <f>Crops[[#This Row],[CSA Portions Per Week]]/CSAMembers</f>
        <v>#DIV/0!</v>
      </c>
      <c r="EO247" s="210"/>
      <c r="EP247" s="210"/>
      <c r="EQ247" s="36"/>
      <c r="ER247" s="36">
        <f>Crops[[#This Row],[Harvests]]*Crops[[#This Row],[Days Between Harvest]]/7</f>
        <v>9</v>
      </c>
      <c r="ES247" s="208">
        <f>_xlfn.XLOOKUP(Crops[[#This Row],[ProductIndex]],Products[ID],Products[CSA Need])</f>
        <v>0</v>
      </c>
      <c r="ET247" s="208">
        <f>_xlfn.XLOOKUP(Crops[[#This Row],[ProductIndex]],Products[ID],Products[CSA Times])</f>
        <v>0</v>
      </c>
      <c r="EU247" s="208" t="e">
        <f>Crops[[#This Row],[Custom Yield Per Bed]]/(Crops[[#This Row],[CSA Need]]*(_xlfn.XLOOKUP(Crops[[#This Row],[ProductIndex]],Products[ID],Products[CSA Portion])*CSAMembers))</f>
        <v>#DIV/0!</v>
      </c>
      <c r="EV247" s="208">
        <f>_xlfn.XLOOKUP(Crops[[#This Row],[ProductIndex]],Products[ID],Products[CSA Portion])*CSAMembers*Crops[[#This Row],[CSA Need]]/Crops[[#This Row],[Custom Yield Per Bed]]</f>
        <v>0</v>
      </c>
      <c r="EW247" s="208">
        <f>IFERROR(Crops[[#This Row],[Days In Field]]*Crops[[#This Row],[CSA Beds]],"")</f>
        <v>0</v>
      </c>
      <c r="EX247" s="208" t="e">
        <f>Crops[[#This Row],[CSA Bed Days]]*#REF!</f>
        <v>#REF!</v>
      </c>
      <c r="EY247" t="s">
        <v>420</v>
      </c>
    </row>
    <row r="248" spans="1:155" ht="15.75" customHeight="1">
      <c r="A248"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Potato (Early) - Mature Root 1X | Field DS </v>
      </c>
      <c r="B248" s="190"/>
      <c r="C248" s="1" t="b">
        <v>1</v>
      </c>
      <c r="D248" s="1"/>
      <c r="E248" s="1" t="b">
        <v>0</v>
      </c>
      <c r="F248" s="1" t="b">
        <f>IFERROR(IF(ISNUMBER(MATCH(Crops[[#This Row],[Identifier]],BedPlan[Crop], 0)), TRUE, FALSE), FALSE)</f>
        <v>1</v>
      </c>
      <c r="G248" s="1" t="b">
        <f>IFERROR(IF(ISNUMBER(MATCH(Crops[[#This Row],[Identifier]],BedPlan[Crop], 0)), TRUE, FALSE), FALSE)</f>
        <v>1</v>
      </c>
      <c r="H248" s="1"/>
      <c r="I248" t="s">
        <v>113</v>
      </c>
      <c r="J248" t="s">
        <v>334</v>
      </c>
      <c r="K248" t="s">
        <v>185</v>
      </c>
      <c r="M248" t="s">
        <v>443</v>
      </c>
      <c r="N248" t="str">
        <f>Crops[[#This Row],[Crop]]</f>
        <v>Potato</v>
      </c>
      <c r="O248" t="s">
        <v>210</v>
      </c>
      <c r="P248" t="str">
        <f>IF(OR(Crops[[#This Row],[Days in Cells]]="",Crops[[#This Row],[Days in Cells]]=0), "DS","TP")</f>
        <v>DS</v>
      </c>
      <c r="V248" t="str">
        <f xml:space="preserve"> IF(Crops[[#This Row],[Sp]], "Sp", "") &amp; IF(Crops[[#This Row],[Su]], "Su", "") &amp; IF(Crops[[#This Row],[Fa]], "Fa", "") &amp; IF(Crops[[#This Row],[Wi]], "Wi", "") &amp; IF(Crops[[#This Row],[OW]], "Ow","")</f>
        <v/>
      </c>
      <c r="W248" t="s">
        <v>144</v>
      </c>
      <c r="X248">
        <v>2</v>
      </c>
      <c r="Y248">
        <v>18</v>
      </c>
      <c r="AA248" t="s">
        <v>474</v>
      </c>
      <c r="AB248" t="b">
        <v>0</v>
      </c>
      <c r="AC248">
        <v>3</v>
      </c>
      <c r="AD248" s="32">
        <f>IFERROR(12/Crops[[#This Row],[Spacing]]*Crops[[#This Row],[Rows]]*BedLength,"")</f>
        <v>66.666666666666657</v>
      </c>
      <c r="AE248">
        <v>1</v>
      </c>
      <c r="AG248">
        <f>IF(Crops[[#This Row],[Custom Safety Factor]]="",PlantingSafetyFactor,Crops[[#This Row],[Custom Safety Factor]])</f>
        <v>1.3</v>
      </c>
      <c r="AH248">
        <f>1</f>
        <v>1</v>
      </c>
      <c r="AI248" s="33">
        <f>IFERROR(Crops[[#This Row],[Plantings Per Bed]]*Crops[[#This Row],[Seeds Per Planting]]*Crops[[#This Row],[Safety Factor]]*Crops[[#This Row],[Seeding Factor]],"")</f>
        <v>86.666666666666657</v>
      </c>
      <c r="AL248">
        <f>_xlfn.FLOOR.MATH(IFERROR(AVERAGE(Crops[[#This Row],[DTG Lower]:[DTG Upper]]),0))</f>
        <v>0</v>
      </c>
      <c r="AM248">
        <f>SUM(Crops[[#This Row],[Tray 1 Days]],Crops[[#This Row],[Tray 2 Days]],Crops[[#This Row],[Tray 3 Days]])</f>
        <v>0</v>
      </c>
      <c r="AN248" s="32"/>
      <c r="AP248">
        <f>30*2</f>
        <v>60</v>
      </c>
      <c r="AQ248">
        <f>IFERROR(_xlfn.FLOOR.MATH(AVERAGE(Crops[[#This Row],[DTM Lower]:[DTM Upper]])),"")</f>
        <v>60</v>
      </c>
      <c r="AR248" cm="1">
        <f t="array" ref="AR248">_xlfn.SWITCH(Crops[[#This Row],[Normal Method]],"DS",Crops[[#This Row],[Days to Germination]]+Crops[[#This Row],[DTM]] + IF(Crops[[#This Row],[Days in Cells]]&gt;0,15,0), "TP",Crops[[#This Row],[DTM]]+Crops[[#This Row],[Days in Cells]] + IF(Crops[[#This Row],[Days in Cells]]&lt;=0,20,0), "X", Crops[[#This Row],[DTM]])</f>
        <v>60</v>
      </c>
      <c r="AS248" t="s">
        <v>347</v>
      </c>
      <c r="AT248">
        <f>(Crops[[#This Row],[Harvests]]-1)*Crops[[#This Row],[Days Between Harvest]]+7</f>
        <v>7</v>
      </c>
      <c r="AU248">
        <f>Crops[[#This Row],[STH]]-Crops[[#This Row],[Days in Cells]]+Crops[[#This Row],[Harvest window]]</f>
        <v>67</v>
      </c>
      <c r="AW248" t="s">
        <v>212</v>
      </c>
      <c r="AZ248" t="str">
        <f>IFERROR(IF(Crops[[#This Row],[Tray 1 Days]]=0,"",Crops[[#This Row],[Plantings Per Bed]]/Crops[[#This Row],[Tray 1 Size]]*Crops[[#This Row],[Safety Factor]]),"")</f>
        <v/>
      </c>
      <c r="BC248" t="str">
        <f>IFERROR(IF(Crops[[#This Row],[Tray 2 Days]]=0,"",Crops[[#This Row],[Plantings Per Bed]]/Crops[[#This Row],[Tray 2 Size]]*Crops[[#This Row],[Safety Factor]]),"")</f>
        <v/>
      </c>
      <c r="BE248" s="32" t="str">
        <f>IF(NOT(ISBLANK(Crops[[#This Row],[Tray 3 Size]])), Crops[[#This Row],[Days in Cells Old]]-SUM(Crops[[#This Row],[Tray 1 Days]],Crops[[#This Row],[Tray 2 Days]]), "")</f>
        <v/>
      </c>
      <c r="BF248" t="str">
        <f>IFERROR(IF(Crops[[#This Row],[Tray 3 Days]]=0,"",Crops[[#This Row],[Plantings Per Bed]]/Crops[[#This Row],[Tray 3 Size]]*Crops[[#This Row],[Safety Factor]]),"")</f>
        <v/>
      </c>
      <c r="BG248" s="33">
        <f>Crops[[#This Row],[Plantings Per Bed]]*1.4/Crops[[#This Row],[Harvests]]</f>
        <v>93.333333333333314</v>
      </c>
      <c r="BH248" s="33">
        <v>1</v>
      </c>
      <c r="BI248" s="33">
        <v>7</v>
      </c>
      <c r="BJ248" s="33">
        <f>_xlfn.XLOOKUP(Crops[[#This Row],[ProductIndex]],Products[ID],Products[Holding Period])</f>
        <v>30</v>
      </c>
      <c r="BK248" s="33">
        <v>7</v>
      </c>
      <c r="BL248" s="33">
        <f>Crops[[#This Row],[Units Per Harvest]]*Crops[[#This Row],[Harvests]]</f>
        <v>93.333333333333314</v>
      </c>
      <c r="BM248" s="35">
        <v>3</v>
      </c>
      <c r="BN248" s="35">
        <v>2</v>
      </c>
      <c r="BO248" s="35"/>
      <c r="BP248" t="s">
        <v>383</v>
      </c>
      <c r="BQ248">
        <f>Crops[[#This Row],[Custom Yield Per Bed]]*Crops[[#This Row],[Direct Price]]</f>
        <v>279.99999999999994</v>
      </c>
      <c r="BS248" t="b">
        <f>Crops[[#This Row],[Harvests]]&gt;1</f>
        <v>0</v>
      </c>
      <c r="BT248" s="36">
        <f>IFERROR(Crops[[#This Row],[Direct Revenue Per Bed]]/Crops[[#This Row],[Days In Field]],-1)</f>
        <v>4.179104477611939</v>
      </c>
      <c r="BU248" s="36">
        <f>IFERROR(Crops[[#This Row],[Direct Revenue Per Bed Day]]*GrowingDays*BedsPerAcre,"")</f>
        <v>120358.20895522383</v>
      </c>
      <c r="BV248" s="38">
        <f>LastFrostDate-5*Crops[[#This Row],[Sewing Rel Last Frost]]</f>
        <v>45748</v>
      </c>
      <c r="BW248" s="38">
        <f>Crops[[#This Row],[Target Sewing Date]]+Crops[[#This Row],[Days in Cells]]</f>
        <v>45748</v>
      </c>
      <c r="BX248" s="38">
        <f>Crops[[#This Row],[Target Sewing Date]]+Crops[[#This Row],[STH]]</f>
        <v>45808</v>
      </c>
      <c r="BY248" s="38">
        <f>Crops[[#This Row],[Target Harvest Data]]+Crops[[#This Row],[Harvest window]]</f>
        <v>45815</v>
      </c>
      <c r="BZ248">
        <v>0</v>
      </c>
      <c r="CA248" t="s">
        <v>373</v>
      </c>
      <c r="CB248">
        <f>1</f>
        <v>1</v>
      </c>
      <c r="CC248">
        <f>IF(Crops[[#This Row],[Transplanting]]&gt;0, 2, 3)*BedLength/StandardBedLength</f>
        <v>1.5</v>
      </c>
      <c r="CD248" s="173">
        <f>IF(Crops[[#This Row],[Days in Cells]]&lt;=0,0,Crops[[#This Row],[Plantings Per Bed]]/StartsPerHourSeeding+Crops[[#This Row],[Tray 1 Count]]*5/60)</f>
        <v>0</v>
      </c>
      <c r="CE248" s="173">
        <f>IF(ISBLANK(Crops[[#This Row],[Tray 2 Days]]),0,Crops[[#This Row],[Plantings Per Bed]]/UpPottingPerHour)+IF(Crops[[#This Row],[Tray 3 Days]]="",0,Crops[[#This Row],[Plantings Per Bed]]/UpPottingPerHour)</f>
        <v>0</v>
      </c>
      <c r="CF248" s="173">
        <f>IFERROR(Crops[[#This Row],[Tray 1 Count]]/HomeStartFlatIrrigationPerHour,0)*Crops[[#This Row],[Days in Cells]]/DaysBetweenStartIrrigation</f>
        <v>0</v>
      </c>
      <c r="CG248" s="173">
        <f>0.5/16*MAX(Crops[[#This Row],[Tray 1 Count]],Crops[[#This Row],[Tray 2 Count]],Crops[[#This Row],[Tray 3 Count]])</f>
        <v>0</v>
      </c>
      <c r="CH248" s="173">
        <f>IF(Crops[[#This Row],[Days in Cells]]&gt;0,IF(IF(Crops[[#This Row],[Tray 3 Size]]&gt;0,Crops[[#This Row],[Tray 3 Size]],IF(Crops[[#This Row],[Tray 2 Size]]&gt;0,Crops[[#This Row],[Tray 2 Size]],Crops[[#This Row],[Tray 1 Size]]))&lt;=18,LargeTransplantTime,SmallTransplantTime)*Crops[[#This Row],[Plantings Per Bed]],0)</f>
        <v>0</v>
      </c>
      <c r="CI248" s="173"/>
      <c r="CJ248" s="173">
        <f>_xlfn.XLOOKUP(Crops[[#This Row],[Trellis Type]],TrellisMethods[Trellis Type],TrellisMethods[Hours],0,0)</f>
        <v>0</v>
      </c>
      <c r="CK248">
        <f>IF(Crops[[#This Row],[Days in Cells]]&lt;=0,Crops[[#This Row],[Rows]]*1/10,0)*BedLength/50</f>
        <v>0.2</v>
      </c>
      <c r="CL248" cm="1">
        <f t="array" ref="CL248">_xlfn.SWITCH(Crops[[#This Row],[Irrigation]],"DR", 0.5, "OH", 0.25,0)*BedLength/50</f>
        <v>0</v>
      </c>
      <c r="CM248">
        <f>IF(OR(ISBLANK(Crops[[#This Row],[Row Cover]]),Crops[[#This Row],[Row Cover]]="None"),0,1)*BedLength/50</f>
        <v>0</v>
      </c>
      <c r="CN248" s="173">
        <f>HoursPerWeedingPass*Crops[[#This Row],[Days In Field]]/14*Crops[[#This Row],[Rows]]+1*BedLength/50</f>
        <v>2.5952380952380949</v>
      </c>
      <c r="CO248" s="49"/>
      <c r="CQ248" s="37">
        <f>_xlfn.XLOOKUP(Crops[[#This Row],[Crop]]&amp;Crops[[#This Row],[Product]]&amp;Crops[[#This Row],[Unit]],Products[ID],Products[Marketing (hr)])*Crops[[#This Row],[Direct Revenue Per Bed]]/2000</f>
        <v>0.41999999999999987</v>
      </c>
      <c r="CR248" s="37">
        <f>_xlfn.XLOOKUP(Crops[[#This Row],[Crop]]&amp;Crops[[#This Row],[Product]]&amp;Crops[[#This Row],[Unit]],Products[ID],Products[Harvest (s)])*Crops[[#This Row],[Custom Yield Per Bed]]/3600</f>
        <v>2.333333333333333</v>
      </c>
      <c r="CS248" s="37">
        <f>_xlfn.XLOOKUP(Crops[[#This Row],[Crop]]&amp;Crops[[#This Row],[Product]]&amp;Crops[[#This Row],[Unit]],Products[ID],Products[Bunch (s)])*Crops[[#This Row],[Custom Yield Per Bed]]/3600</f>
        <v>0</v>
      </c>
      <c r="CT248" s="37">
        <f>_xlfn.XLOOKUP(Crops[[#This Row],[Crop]]&amp;Crops[[#This Row],[Product]]&amp;Crops[[#This Row],[Unit]],Products[ID],Products[Haul (s)])*Crops[[#This Row],[Custom Yield Per Bed]]/3600</f>
        <v>5.1851851851851843E-2</v>
      </c>
      <c r="CU248" s="37">
        <f>_xlfn.XLOOKUP(Crops[[#This Row],[Crop]]&amp;Crops[[#This Row],[Product]]&amp;Crops[[#This Row],[Unit]],Products[ID],Products[Wash (s)])*Crops[[#This Row],[Custom Yield Per Bed]]/3600</f>
        <v>0.25925925925925919</v>
      </c>
      <c r="CV248" s="37">
        <f>_xlfn.XLOOKUP(Crops[[#This Row],[Crop]]&amp;Crops[[#This Row],[Product]]&amp;Crops[[#This Row],[Unit]],Products[ID],Products[Condition (s)])*Crops[[#This Row],[Custom Yield Per Bed]]/3600</f>
        <v>0</v>
      </c>
      <c r="CW248" s="37">
        <f>_xlfn.XLOOKUP(Crops[[#This Row],[Crop]]&amp;Crops[[#This Row],[Product]]&amp;Crops[[#This Row],[Unit]],Products[ID],Products[Trim (s)])*Crops[[#This Row],[Custom Yield Per Bed]]/3600</f>
        <v>0</v>
      </c>
      <c r="CX248" s="37">
        <f>_xlfn.XLOOKUP(Crops[[#This Row],[Crop]]&amp;Crops[[#This Row],[Product]]&amp;Crops[[#This Row],[Unit]],Products[ID],Products[Pack (s)])*Crops[[#This Row],[Custom Yield Per Bed]]/3600</f>
        <v>7.7777777777777765E-2</v>
      </c>
      <c r="CY248" s="37">
        <f>_xlfn.XLOOKUP(Crops[[#This Row],[Crop]]&amp;Crops[[#This Row],[Product]]&amp;Crops[[#This Row],[Unit]],Products[ID],Products[Clean (s)])*Crops[[#This Row],[Custom Yield Per Bed]]/3600</f>
        <v>0</v>
      </c>
      <c r="CZ248" s="37">
        <f>_xlfn.XLOOKUP(Crops[[#This Row],[Crop]]&amp;Crops[[#This Row],[Product]]&amp;Crops[[#This Row],[Unit]],Products[ID],Products[Rehandle (s)])*Crops[[#This Row],[Custom Yield Per Bed]]/3600</f>
        <v>0</v>
      </c>
      <c r="DA248" s="37">
        <f>_xlfn.XLOOKUP(Crops[[#This Row],[Crop]]&amp;Crops[[#This Row],[Product]]&amp;Crops[[#This Row],[Unit]],Products[ID],Products[Market Transport (s)])*Crops[[#This Row],[Custom Yield Per Bed]]/3600</f>
        <v>0.12962962962962959</v>
      </c>
      <c r="DC248" s="37">
        <f>Crops[[#This Row],[Direct Revenue Per Bed2]]</f>
        <v>279.99999999999994</v>
      </c>
      <c r="DD248" s="173">
        <f>_xlfn.AGGREGATE(9,6,Crops[[#This Row],[Bed Prep]:[Remove Crop Residue]])</f>
        <v>7.5670899470899471</v>
      </c>
      <c r="DE248" s="173">
        <f>_xlfn.AGGREGATE(9,6,Crops[[#This Row],[Bed Prep]:[Remove Crop Residue]])-0.75*Crops[[#This Row],[Market &amp; Sell]]</f>
        <v>7.2520899470899476</v>
      </c>
      <c r="DF248" s="36">
        <f>Crops[[#This Row],[Direct Revenue Per Bed2]]/Crops[[#This Row],[Direct Time]]</f>
        <v>37.002335370372954</v>
      </c>
      <c r="DG248" s="36">
        <f>_xlfn.XLOOKUP(Crops[[#This Row],[ProductIndex]],Products[ID],Products[Packaging Cost])*(Crops[[#This Row],[Custom Yield Per Bed]]/_xlfn.XLOOKUP(Crops[[#This Row],[ProductIndex]],Products[ID],Products[Units Per Pack]))</f>
        <v>14.186666666666662</v>
      </c>
      <c r="DH248" s="36"/>
      <c r="DI248" s="36"/>
      <c r="DJ248" s="36"/>
      <c r="DK248" s="36"/>
      <c r="DL248" s="36"/>
      <c r="DM248" s="33">
        <f>IFERROR(Crops[[#This Row],[Custom Yield Per Bed]]*Crops[[#This Row],[Direct Price]],"")</f>
        <v>279.99999999999994</v>
      </c>
      <c r="DN248" s="36">
        <f>Crops[[#This Row],[Direct Time]]*LaborRate</f>
        <v>189.17724867724868</v>
      </c>
      <c r="DO248" s="36">
        <f>SUM(Crops[[#This Row],[Irrigation Cost]])</f>
        <v>0</v>
      </c>
      <c r="DP248" s="36">
        <f>Crops[[#This Row],[Direct Labor Cost]]+Crops[[#This Row],[Direct Non-Labor Cost]]</f>
        <v>189.17724867724868</v>
      </c>
      <c r="DQ248" s="36">
        <f>Crops[[#This Row],[Direct Revenue Per Bed2]]-Crops[[#This Row],[Direct Total Cost]]</f>
        <v>90.822751322751259</v>
      </c>
      <c r="DR248" s="36">
        <f>Crops[[#This Row],[Direct Profit]]*BedsPerAcre</f>
        <v>14531.640211640202</v>
      </c>
      <c r="DS248" s="36">
        <f>Crops[[#This Row],[Direct Profit]]*BedsPerAcre*GrowingDays/Crops[[#This Row],[Days In Field]]</f>
        <v>39040.227434257264</v>
      </c>
      <c r="DT248" s="36">
        <f>Crops[[#This Row],[Direct Profit]]/MIN(Crops[[#This Row],[Days In Field]],GrowingDays)</f>
        <v>1.3555634525783771</v>
      </c>
      <c r="DU248" s="33">
        <f>Crops[[#This Row],[Direct Time]] * BedsPerAcre</f>
        <v>1210.7343915343915</v>
      </c>
      <c r="DV248" s="36">
        <f>(Crops[[#This Row],[Direct Revenue Per Bed2]]-Crops[[#This Row],[Direct Non-Labor Cost]])/Crops[[#This Row],[Direct Time]]</f>
        <v>37.002335370372954</v>
      </c>
      <c r="DW248" s="33">
        <f>IFERROR(Crops[[#This Row],[Custom Yield Per Bed]]*Crops[[#This Row],[Rough Wholesale Price]],"")</f>
        <v>186.66666666666663</v>
      </c>
      <c r="DX248" s="36">
        <f>Crops[[#This Row],[Wholesale Time]]*LaborRate</f>
        <v>181.30224867724868</v>
      </c>
      <c r="DY248" s="36">
        <f>SUM(Crops[[#This Row],[Packaging Costs]:[Irrigation Cost]])</f>
        <v>14.186666666666662</v>
      </c>
      <c r="DZ248" s="36">
        <f>Crops[[#This Row],[Wholesale Labor Cost]]+Crops[[#This Row],[Wholesale Non-Labor Cost]]</f>
        <v>195.48891534391535</v>
      </c>
      <c r="EA248" s="36">
        <f>Crops[[#This Row],[Wholesale Revenue Per Bed]]-Crops[[#This Row],[Wholesale Total Cost]]</f>
        <v>-8.822248677248723</v>
      </c>
      <c r="EB248" s="36">
        <f>Crops[[#This Row],[Wholesale Profit]]*BedsPerAcre</f>
        <v>-1411.5597883597957</v>
      </c>
      <c r="EC248" s="36">
        <f>Crops[[#This Row],[Wholesale Profit]]*BedsPerAcre*GrowingDays/Crops[[#This Row],[Days In Field]]</f>
        <v>-3792.2501776830331</v>
      </c>
      <c r="ED248" s="33">
        <f>Crops[[#This Row],[Wholesale Time]] * BedsPerAcre</f>
        <v>1160.3343915343917</v>
      </c>
      <c r="EE248" s="221">
        <f>Crops[[#This Row],[Wholesale Profit]]/MIN(Crops[[#This Row],[Days In Field]],GrowingDays)</f>
        <v>-0.13167535339177197</v>
      </c>
      <c r="EF248" s="36">
        <f>(Crops[[#This Row],[Wholesale Revenue Per Bed]]-Crops[[#This Row],[Wholesale Non-Labor Cost]])/Crops[[#This Row],[Direct Time]]</f>
        <v>22.793438588149737</v>
      </c>
      <c r="EG248" s="174">
        <f>Crops[[#This Row],[Packaging Costs]]/Crops[[#This Row],[Wholesale Revenue Per Bed]]</f>
        <v>7.5999999999999984E-2</v>
      </c>
      <c r="EH248" s="36" t="str">
        <f>Crops[[#This Row],[Crop]]&amp;Crops[[#This Row],[Product]]&amp;Crops[[#This Row],[Unit]]</f>
        <v>PotatoMature RootLb</v>
      </c>
      <c r="EI248" s="36" t="b">
        <f>_xlfn.XLOOKUP(Crops[[#This Row],[ProductIndex]],Products[ID],Products[Target])</f>
        <v>1</v>
      </c>
      <c r="EJ248" s="33">
        <f>Crops[[#This Row],[Custom Yield Per Bed]]</f>
        <v>93.333333333333314</v>
      </c>
      <c r="EK248" s="210">
        <f>Crops[[#This Row],[Units Per Harvest]]/Crops[[#This Row],[Days Between Harvest]]*7</f>
        <v>93.333333333333314</v>
      </c>
      <c r="EL248" s="210">
        <f>Crops[[#This Row],[Custom Yield Per Bed]]/_xlfn.XLOOKUP(Crops[[#This Row],[ProductIndex]],Products[ID],Products[CSA Portion])</f>
        <v>93.333333333333314</v>
      </c>
      <c r="EM248" s="210">
        <f>Crops[[#This Row],[Units Per Harvest]]/Crops[[#This Row],[Days Between Harvest]]*7/_xlfn.XLOOKUP(Crops[[#This Row],[ProductIndex]],Products[ID],Products[CSA Portion])</f>
        <v>93.333333333333314</v>
      </c>
      <c r="EN248" s="210">
        <f>Crops[[#This Row],[CSA Portions Per Week]]/CSAMembers</f>
        <v>1.8666666666666663</v>
      </c>
      <c r="EO248" s="216">
        <v>2</v>
      </c>
      <c r="EP248" s="216">
        <v>1</v>
      </c>
      <c r="EQ248" s="210"/>
      <c r="ER248" s="210">
        <f>Crops[[#This Row],[Harvests]]*Crops[[#This Row],[Days Between Harvest]]/7</f>
        <v>1</v>
      </c>
      <c r="ES248" s="217">
        <f>_xlfn.XLOOKUP(Crops[[#This Row],[ProductIndex]],Products[ID],Products[CSA Need])</f>
        <v>2</v>
      </c>
      <c r="ET248" s="217">
        <f>_xlfn.XLOOKUP(Crops[[#This Row],[ProductIndex]],Products[ID],Products[CSA Times])</f>
        <v>2</v>
      </c>
      <c r="EU248" s="208">
        <f>Crops[[#This Row],[Custom Yield Per Bed]]/(Crops[[#This Row],[CSA Need]]*(_xlfn.XLOOKUP(Crops[[#This Row],[ProductIndex]],Products[ID],Products[CSA Portion])*CSAMembers))</f>
        <v>0.93333333333333313</v>
      </c>
      <c r="EV248" s="208">
        <f>_xlfn.XLOOKUP(Crops[[#This Row],[ProductIndex]],Products[ID],Products[CSA Portion])*CSAMembers*Crops[[#This Row],[CSA Need]]/Crops[[#This Row],[Custom Yield Per Bed]]</f>
        <v>1.0714285714285716</v>
      </c>
      <c r="EW248" s="208">
        <f>IFERROR(Crops[[#This Row],[Days In Field]]*Crops[[#This Row],[CSA Beds]],"")</f>
        <v>71.785714285714292</v>
      </c>
      <c r="EX248" s="208" t="e">
        <f>Crops[[#This Row],[CSA Bed Days]]*#REF!</f>
        <v>#REF!</v>
      </c>
      <c r="EY248" t="s">
        <v>1419</v>
      </c>
    </row>
    <row r="249" spans="1:155">
      <c r="A249"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Potato (Main Crop) - Storage Root 1X | Field DS </v>
      </c>
      <c r="B249" s="190"/>
      <c r="C249" s="1" t="b">
        <v>1</v>
      </c>
      <c r="D249" s="1"/>
      <c r="E249" s="1" t="b">
        <v>0</v>
      </c>
      <c r="F249" s="1" t="b">
        <f>IFERROR(IF(ISNUMBER(MATCH(Crops[[#This Row],[Identifier]],BedPlan[Crop], 0)), TRUE, FALSE), FALSE)</f>
        <v>1</v>
      </c>
      <c r="G249" s="1" t="b">
        <f>IFERROR(IF(ISNUMBER(MATCH(Crops[[#This Row],[Identifier]],BedPlan[Crop], 0)), TRUE, FALSE), FALSE)</f>
        <v>1</v>
      </c>
      <c r="H249" s="1" t="b">
        <v>1</v>
      </c>
      <c r="I249" t="s">
        <v>113</v>
      </c>
      <c r="J249" t="s">
        <v>988</v>
      </c>
      <c r="K249" t="s">
        <v>205</v>
      </c>
      <c r="M249" t="s">
        <v>443</v>
      </c>
      <c r="N249" t="str">
        <f>Crops[[#This Row],[Crop]]</f>
        <v>Potato</v>
      </c>
      <c r="O249" t="s">
        <v>210</v>
      </c>
      <c r="P249" t="str">
        <f>IF(OR(Crops[[#This Row],[Days in Cells]]="",Crops[[#This Row],[Days in Cells]]=0), "DS","TP")</f>
        <v>DS</v>
      </c>
      <c r="V249" t="str">
        <f xml:space="preserve"> IF(Crops[[#This Row],[Sp]], "Sp", "") &amp; IF(Crops[[#This Row],[Su]], "Su", "") &amp; IF(Crops[[#This Row],[Fa]], "Fa", "") &amp; IF(Crops[[#This Row],[Wi]], "Wi", "") &amp; IF(Crops[[#This Row],[OW]], "Ow","")</f>
        <v/>
      </c>
      <c r="W249" t="s">
        <v>144</v>
      </c>
      <c r="X249">
        <v>2</v>
      </c>
      <c r="Y249">
        <v>24</v>
      </c>
      <c r="AB249" t="b">
        <v>0</v>
      </c>
      <c r="AC249">
        <v>3</v>
      </c>
      <c r="AD249" s="32">
        <f>IFERROR(12/Crops[[#This Row],[Spacing]]*Crops[[#This Row],[Rows]]*BedLength,"")</f>
        <v>50</v>
      </c>
      <c r="AE249">
        <v>1</v>
      </c>
      <c r="AG249">
        <f>IF(Crops[[#This Row],[Custom Safety Factor]]="",PlantingSafetyFactor,Crops[[#This Row],[Custom Safety Factor]])</f>
        <v>1.3</v>
      </c>
      <c r="AH249">
        <f>1</f>
        <v>1</v>
      </c>
      <c r="AI249" s="33">
        <f>IFERROR(Crops[[#This Row],[Plantings Per Bed]]*Crops[[#This Row],[Seeds Per Planting]]*Crops[[#This Row],[Safety Factor]]*Crops[[#This Row],[Seeding Factor]],"")</f>
        <v>65</v>
      </c>
      <c r="AL249">
        <f>_xlfn.FLOOR.MATH(IFERROR(AVERAGE(Crops[[#This Row],[DTG Lower]:[DTG Upper]]),0))</f>
        <v>0</v>
      </c>
      <c r="AM249">
        <f>SUM(Crops[[#This Row],[Tray 1 Days]],Crops[[#This Row],[Tray 2 Days]],Crops[[#This Row],[Tray 3 Days]])</f>
        <v>0</v>
      </c>
      <c r="AP249">
        <f>30*4</f>
        <v>120</v>
      </c>
      <c r="AQ249">
        <f>IFERROR(_xlfn.FLOOR.MATH(AVERAGE(Crops[[#This Row],[DTM Lower]:[DTM Upper]])),"")</f>
        <v>120</v>
      </c>
      <c r="AR249" cm="1">
        <f t="array" ref="AR249">_xlfn.SWITCH(Crops[[#This Row],[Normal Method]],"DS",Crops[[#This Row],[Days to Germination]]+Crops[[#This Row],[DTM]] + IF(Crops[[#This Row],[Days in Cells]]&gt;0,15,0), "TP",Crops[[#This Row],[DTM]]+Crops[[#This Row],[Days in Cells]] + IF(Crops[[#This Row],[Days in Cells]]&lt;=0,20,0), "X", Crops[[#This Row],[DTM]])</f>
        <v>120</v>
      </c>
      <c r="AS249" t="s">
        <v>347</v>
      </c>
      <c r="AT249">
        <f>(Crops[[#This Row],[Harvests]]-1)*Crops[[#This Row],[Days Between Harvest]]+7</f>
        <v>7</v>
      </c>
      <c r="AU249">
        <f>Crops[[#This Row],[STH]]-Crops[[#This Row],[Days in Cells]]+Crops[[#This Row],[Harvest window]]</f>
        <v>127</v>
      </c>
      <c r="AW249" t="s">
        <v>212</v>
      </c>
      <c r="AZ249" t="str">
        <f>IFERROR(IF(Crops[[#This Row],[Tray 1 Days]]=0,"",Crops[[#This Row],[Plantings Per Bed]]/Crops[[#This Row],[Tray 1 Size]]*Crops[[#This Row],[Safety Factor]]),"")</f>
        <v/>
      </c>
      <c r="BC249" t="str">
        <f>IFERROR(IF(Crops[[#This Row],[Tray 2 Days]]=0,"",Crops[[#This Row],[Plantings Per Bed]]/Crops[[#This Row],[Tray 2 Size]]*Crops[[#This Row],[Safety Factor]]),"")</f>
        <v/>
      </c>
      <c r="BE249" s="32" t="str">
        <f>IF(NOT(ISBLANK(Crops[[#This Row],[Tray 3 Size]])), Crops[[#This Row],[Days in Cells Old]]-SUM(Crops[[#This Row],[Tray 1 Days]],Crops[[#This Row],[Tray 2 Days]]), "")</f>
        <v/>
      </c>
      <c r="BF249" t="str">
        <f>IFERROR(IF(Crops[[#This Row],[Tray 3 Days]]=0,"",Crops[[#This Row],[Plantings Per Bed]]/Crops[[#This Row],[Tray 3 Size]]*Crops[[#This Row],[Safety Factor]]),"")</f>
        <v/>
      </c>
      <c r="BG249" s="33">
        <f>Crops[[#This Row],[Plantings Per Bed]]*1.75</f>
        <v>87.5</v>
      </c>
      <c r="BH249" s="33">
        <v>1</v>
      </c>
      <c r="BI249" s="33">
        <v>7</v>
      </c>
      <c r="BJ249" s="33">
        <f>_xlfn.XLOOKUP(Crops[[#This Row],[ProductIndex]],Products[ID],Products[Holding Period])</f>
        <v>60</v>
      </c>
      <c r="BK249" s="33"/>
      <c r="BL249" s="33">
        <f>Crops[[#This Row],[Units Per Harvest]]*Crops[[#This Row],[Harvests]]</f>
        <v>87.5</v>
      </c>
      <c r="BM249" s="35">
        <v>2.25</v>
      </c>
      <c r="BN249" s="212">
        <v>0.8</v>
      </c>
      <c r="BO249" s="212"/>
      <c r="BP249" t="s">
        <v>383</v>
      </c>
      <c r="BQ249">
        <f>Crops[[#This Row],[Custom Yield Per Bed]]*Crops[[#This Row],[Direct Price]]</f>
        <v>196.875</v>
      </c>
      <c r="BS249" t="b">
        <f>Crops[[#This Row],[Harvests]]&gt;1</f>
        <v>0</v>
      </c>
      <c r="BT249" s="36">
        <f>IFERROR(Crops[[#This Row],[Direct Revenue Per Bed]]/Crops[[#This Row],[Days In Field]],-1)</f>
        <v>1.5501968503937007</v>
      </c>
      <c r="BU249" s="36">
        <f>IFERROR(Crops[[#This Row],[Direct Revenue Per Bed Day]]*GrowingDays*BedsPerAcre,"")</f>
        <v>44645.669291338578</v>
      </c>
      <c r="BV249" s="38">
        <f>LastFrostDate-5*Crops[[#This Row],[Sewing Rel Last Frost]]</f>
        <v>45768</v>
      </c>
      <c r="BW249" s="38">
        <f>Crops[[#This Row],[Target Sewing Date]]+Crops[[#This Row],[Days in Cells]]</f>
        <v>45768</v>
      </c>
      <c r="BX249" s="38">
        <f>Crops[[#This Row],[Target Sewing Date]]+Crops[[#This Row],[STH]]</f>
        <v>45888</v>
      </c>
      <c r="BY249" s="38">
        <f>Crops[[#This Row],[Target Harvest Data]]+Crops[[#This Row],[Harvest window]]</f>
        <v>45895</v>
      </c>
      <c r="BZ249">
        <v>-4</v>
      </c>
      <c r="CA249" t="s">
        <v>373</v>
      </c>
      <c r="CB249">
        <f>1</f>
        <v>1</v>
      </c>
      <c r="CC249">
        <f>IF(Crops[[#This Row],[Transplanting]]&gt;0, 2, 3)*BedLength/StandardBedLength</f>
        <v>1.5</v>
      </c>
      <c r="CD249" s="173">
        <f>IF(Crops[[#This Row],[Days in Cells]]&lt;=0,0,Crops[[#This Row],[Plantings Per Bed]]/StartsPerHourSeeding+Crops[[#This Row],[Tray 1 Count]]*5/60)</f>
        <v>0</v>
      </c>
      <c r="CE249" s="173">
        <f>IF(ISBLANK(Crops[[#This Row],[Tray 2 Days]]),0,Crops[[#This Row],[Plantings Per Bed]]/UpPottingPerHour)+IF(Crops[[#This Row],[Tray 3 Days]]="",0,Crops[[#This Row],[Plantings Per Bed]]/UpPottingPerHour)</f>
        <v>0</v>
      </c>
      <c r="CF249" s="173">
        <f>IFERROR(Crops[[#This Row],[Tray 1 Count]]/HomeStartFlatIrrigationPerHour,0)*Crops[[#This Row],[Days in Cells]]/DaysBetweenStartIrrigation</f>
        <v>0</v>
      </c>
      <c r="CG249" s="173">
        <f>0.5/16*MAX(Crops[[#This Row],[Tray 1 Count]],Crops[[#This Row],[Tray 2 Count]],Crops[[#This Row],[Tray 3 Count]])</f>
        <v>0</v>
      </c>
      <c r="CH249" s="173">
        <f>IF(Crops[[#This Row],[Days in Cells]]&gt;0,IF(IF(Crops[[#This Row],[Tray 3 Size]]&gt;0,Crops[[#This Row],[Tray 3 Size]],IF(Crops[[#This Row],[Tray 2 Size]]&gt;0,Crops[[#This Row],[Tray 2 Size]],Crops[[#This Row],[Tray 1 Size]]))&lt;=18,LargeTransplantTime,SmallTransplantTime)*Crops[[#This Row],[Plantings Per Bed]],0)</f>
        <v>0</v>
      </c>
      <c r="CI249" s="173"/>
      <c r="CJ249" s="173">
        <f>_xlfn.XLOOKUP(Crops[[#This Row],[Trellis Type]],TrellisMethods[Trellis Type],TrellisMethods[Hours],0,0)</f>
        <v>0</v>
      </c>
      <c r="CK249">
        <f>IF(Crops[[#This Row],[Days in Cells]]&lt;=0,Crops[[#This Row],[Rows]]*1/10,0)*BedLength/50</f>
        <v>0.2</v>
      </c>
      <c r="CL249" cm="1">
        <f t="array" ref="CL249">_xlfn.SWITCH(Crops[[#This Row],[Irrigation]],"DR", 0.5, "OH", 0.25,0)*BedLength/50</f>
        <v>0</v>
      </c>
      <c r="CM249">
        <f>IF(OR(ISBLANK(Crops[[#This Row],[Row Cover]]),Crops[[#This Row],[Row Cover]]="None"),0,1)*BedLength/50</f>
        <v>0</v>
      </c>
      <c r="CN249" s="173">
        <f>HoursPerWeedingPass*Crops[[#This Row],[Days In Field]]/14*Crops[[#This Row],[Rows]]+1*BedLength/50</f>
        <v>4.0238095238095237</v>
      </c>
      <c r="CO249" s="49"/>
      <c r="CQ249" s="37">
        <f>_xlfn.XLOOKUP(Crops[[#This Row],[Crop]]&amp;Crops[[#This Row],[Product]]&amp;Crops[[#This Row],[Unit]],Products[ID],Products[Marketing (hr)])*Crops[[#This Row],[Direct Revenue Per Bed]]/2000</f>
        <v>0.29531249999999998</v>
      </c>
      <c r="CR249" s="37">
        <f>_xlfn.XLOOKUP(Crops[[#This Row],[Crop]]&amp;Crops[[#This Row],[Product]]&amp;Crops[[#This Row],[Unit]],Products[ID],Products[Harvest (s)])*Crops[[#This Row],[Custom Yield Per Bed]]/3600</f>
        <v>1.4583333333333333</v>
      </c>
      <c r="CS249" s="37">
        <f>_xlfn.XLOOKUP(Crops[[#This Row],[Crop]]&amp;Crops[[#This Row],[Product]]&amp;Crops[[#This Row],[Unit]],Products[ID],Products[Bunch (s)])*Crops[[#This Row],[Custom Yield Per Bed]]/3600</f>
        <v>0</v>
      </c>
      <c r="CT249" s="37">
        <f>_xlfn.XLOOKUP(Crops[[#This Row],[Crop]]&amp;Crops[[#This Row],[Product]]&amp;Crops[[#This Row],[Unit]],Products[ID],Products[Haul (s)])*Crops[[#This Row],[Custom Yield Per Bed]]/3600</f>
        <v>4.8611111111111112E-2</v>
      </c>
      <c r="CU249" s="37">
        <f>_xlfn.XLOOKUP(Crops[[#This Row],[Crop]]&amp;Crops[[#This Row],[Product]]&amp;Crops[[#This Row],[Unit]],Products[ID],Products[Wash (s)])*Crops[[#This Row],[Custom Yield Per Bed]]/3600</f>
        <v>0</v>
      </c>
      <c r="CV249" s="37">
        <f>_xlfn.XLOOKUP(Crops[[#This Row],[Crop]]&amp;Crops[[#This Row],[Product]]&amp;Crops[[#This Row],[Unit]],Products[ID],Products[Condition (s)])*Crops[[#This Row],[Custom Yield Per Bed]]/3600</f>
        <v>0</v>
      </c>
      <c r="CW249" s="37">
        <f>_xlfn.XLOOKUP(Crops[[#This Row],[Crop]]&amp;Crops[[#This Row],[Product]]&amp;Crops[[#This Row],[Unit]],Products[ID],Products[Trim (s)])*Crops[[#This Row],[Custom Yield Per Bed]]/3600</f>
        <v>0</v>
      </c>
      <c r="CX249" s="37">
        <f>_xlfn.XLOOKUP(Crops[[#This Row],[Crop]]&amp;Crops[[#This Row],[Product]]&amp;Crops[[#This Row],[Unit]],Products[ID],Products[Pack (s)])*Crops[[#This Row],[Custom Yield Per Bed]]/3600</f>
        <v>7.2916666666666671E-2</v>
      </c>
      <c r="CY249" s="37">
        <f>_xlfn.XLOOKUP(Crops[[#This Row],[Crop]]&amp;Crops[[#This Row],[Product]]&amp;Crops[[#This Row],[Unit]],Products[ID],Products[Clean (s)])*Crops[[#This Row],[Custom Yield Per Bed]]/3600</f>
        <v>0</v>
      </c>
      <c r="CZ249" s="37">
        <f>_xlfn.XLOOKUP(Crops[[#This Row],[Crop]]&amp;Crops[[#This Row],[Product]]&amp;Crops[[#This Row],[Unit]],Products[ID],Products[Rehandle (s)])*Crops[[#This Row],[Custom Yield Per Bed]]/3600</f>
        <v>0</v>
      </c>
      <c r="DA249" s="37">
        <f>_xlfn.XLOOKUP(Crops[[#This Row],[Crop]]&amp;Crops[[#This Row],[Product]]&amp;Crops[[#This Row],[Unit]],Products[ID],Products[Market Transport (s)])*Crops[[#This Row],[Custom Yield Per Bed]]/3600</f>
        <v>0.12152777777777778</v>
      </c>
      <c r="DC249" s="37">
        <f>Crops[[#This Row],[Direct Revenue Per Bed2]]</f>
        <v>196.875</v>
      </c>
      <c r="DD249" s="173">
        <f>_xlfn.AGGREGATE(9,6,Crops[[#This Row],[Bed Prep]:[Remove Crop Residue]])</f>
        <v>7.7205109126984119</v>
      </c>
      <c r="DE249" s="173">
        <f>_xlfn.AGGREGATE(9,6,Crops[[#This Row],[Bed Prep]:[Remove Crop Residue]])-0.75*Crops[[#This Row],[Market &amp; Sell]]</f>
        <v>7.4990265376984118</v>
      </c>
      <c r="DF249" s="36">
        <f>Crops[[#This Row],[Direct Revenue Per Bed2]]/Crops[[#This Row],[Direct Time]]</f>
        <v>25.500255388045272</v>
      </c>
      <c r="DG249" s="36">
        <f>_xlfn.XLOOKUP(Crops[[#This Row],[ProductIndex]],Products[ID],Products[Packaging Cost])*(Crops[[#This Row],[Custom Yield Per Bed]]/_xlfn.XLOOKUP(Crops[[#This Row],[ProductIndex]],Products[ID],Products[Units Per Pack]))</f>
        <v>13.299999999999999</v>
      </c>
      <c r="DH249" s="36"/>
      <c r="DI249" s="36"/>
      <c r="DJ249" s="36"/>
      <c r="DK249" s="36"/>
      <c r="DL249" s="36"/>
      <c r="DM249" s="33">
        <f>IFERROR(Crops[[#This Row],[Custom Yield Per Bed]]*Crops[[#This Row],[Direct Price]],"")</f>
        <v>196.875</v>
      </c>
      <c r="DN249" s="36">
        <f>Crops[[#This Row],[Direct Time]]*LaborRate</f>
        <v>193.0127728174603</v>
      </c>
      <c r="DO249" s="36">
        <f>SUM(Crops[[#This Row],[Irrigation Cost]])</f>
        <v>0</v>
      </c>
      <c r="DP249" s="36">
        <f>Crops[[#This Row],[Direct Labor Cost]]+Crops[[#This Row],[Direct Non-Labor Cost]]</f>
        <v>193.0127728174603</v>
      </c>
      <c r="DQ249" s="36">
        <f>Crops[[#This Row],[Direct Revenue Per Bed2]]-Crops[[#This Row],[Direct Total Cost]]</f>
        <v>3.8622271825396979</v>
      </c>
      <c r="DR249" s="36">
        <f>Crops[[#This Row],[Direct Profit]]*BedsPerAcre</f>
        <v>617.95634920635166</v>
      </c>
      <c r="DS249" s="36">
        <f>Crops[[#This Row],[Direct Profit]]*BedsPerAcre*GrowingDays/Crops[[#This Row],[Days In Field]]</f>
        <v>875.84364454443551</v>
      </c>
      <c r="DT249" s="36">
        <f>Crops[[#This Row],[Direct Profit]]/MIN(Crops[[#This Row],[Days In Field]],GrowingDays)</f>
        <v>3.0411237657792897E-2</v>
      </c>
      <c r="DU249" s="33">
        <f>Crops[[#This Row],[Direct Time]] * BedsPerAcre</f>
        <v>1235.281746031746</v>
      </c>
      <c r="DV249" s="36">
        <f>(Crops[[#This Row],[Direct Revenue Per Bed2]]-Crops[[#This Row],[Direct Non-Labor Cost]])/Crops[[#This Row],[Direct Time]]</f>
        <v>25.500255388045272</v>
      </c>
      <c r="DW249" s="33">
        <f>IFERROR(Crops[[#This Row],[Custom Yield Per Bed]]*Crops[[#This Row],[Rough Wholesale Price]],"")</f>
        <v>70</v>
      </c>
      <c r="DX249" s="36">
        <f>Crops[[#This Row],[Wholesale Time]]*LaborRate</f>
        <v>187.4756634424603</v>
      </c>
      <c r="DY249" s="36">
        <f>SUM(Crops[[#This Row],[Packaging Costs]:[Irrigation Cost]])</f>
        <v>13.299999999999999</v>
      </c>
      <c r="DZ249" s="36">
        <f>Crops[[#This Row],[Wholesale Labor Cost]]+Crops[[#This Row],[Wholesale Non-Labor Cost]]</f>
        <v>200.77566344246031</v>
      </c>
      <c r="EA249" s="36">
        <f>Crops[[#This Row],[Wholesale Revenue Per Bed]]-Crops[[#This Row],[Wholesale Total Cost]]</f>
        <v>-130.77566344246031</v>
      </c>
      <c r="EB249" s="36">
        <f>Crops[[#This Row],[Wholesale Profit]]*BedsPerAcre</f>
        <v>-20924.10615079365</v>
      </c>
      <c r="EC249" s="36">
        <f>Crops[[#This Row],[Wholesale Profit]]*BedsPerAcre*GrowingDays/Crops[[#This Row],[Days In Field]]</f>
        <v>-29656.21344206974</v>
      </c>
      <c r="ED249" s="33">
        <f>Crops[[#This Row],[Wholesale Time]] * BedsPerAcre</f>
        <v>1199.8442460317458</v>
      </c>
      <c r="EE249" s="221">
        <f>Crops[[#This Row],[Wholesale Profit]]/MIN(Crops[[#This Row],[Days In Field]],GrowingDays)</f>
        <v>-1.0297296334051993</v>
      </c>
      <c r="EF249" s="36">
        <f>(Crops[[#This Row],[Wholesale Revenue Per Bed]]-Crops[[#This Row],[Wholesale Non-Labor Cost]])/Crops[[#This Row],[Direct Time]]</f>
        <v>7.344073551757039</v>
      </c>
      <c r="EG249" s="174">
        <f>Crops[[#This Row],[Packaging Costs]]/Crops[[#This Row],[Wholesale Revenue Per Bed]]</f>
        <v>0.18999999999999997</v>
      </c>
      <c r="EH249" s="36" t="str">
        <f>Crops[[#This Row],[Crop]]&amp;Crops[[#This Row],[Product]]&amp;Crops[[#This Row],[Unit]]</f>
        <v>PotatoStorage RootLb</v>
      </c>
      <c r="EI249" s="36" t="b">
        <f>_xlfn.XLOOKUP(Crops[[#This Row],[ProductIndex]],Products[ID],Products[Target])</f>
        <v>1</v>
      </c>
      <c r="EJ249" s="33">
        <f>Crops[[#This Row],[Custom Yield Per Bed]]</f>
        <v>87.5</v>
      </c>
      <c r="EK249" s="210">
        <f>Crops[[#This Row],[Units Per Harvest]]/Crops[[#This Row],[Days Between Harvest]]*7</f>
        <v>87.5</v>
      </c>
      <c r="EL249" s="210">
        <f>Crops[[#This Row],[Custom Yield Per Bed]]/_xlfn.XLOOKUP(Crops[[#This Row],[ProductIndex]],Products[ID],Products[CSA Portion])</f>
        <v>87.5</v>
      </c>
      <c r="EM249" s="210">
        <f>Crops[[#This Row],[Units Per Harvest]]/Crops[[#This Row],[Days Between Harvest]]*7/_xlfn.XLOOKUP(Crops[[#This Row],[ProductIndex]],Products[ID],Products[CSA Portion])</f>
        <v>87.5</v>
      </c>
      <c r="EN249" s="210">
        <f>Crops[[#This Row],[CSA Portions Per Week]]/CSAMembers</f>
        <v>1.75</v>
      </c>
      <c r="EO249" s="216">
        <v>2</v>
      </c>
      <c r="EP249" s="216">
        <v>1</v>
      </c>
      <c r="EQ249" s="210"/>
      <c r="ER249" s="210">
        <f>Crops[[#This Row],[Harvests]]*Crops[[#This Row],[Days Between Harvest]]/7</f>
        <v>1</v>
      </c>
      <c r="ES249" s="217">
        <f>_xlfn.XLOOKUP(Crops[[#This Row],[ProductIndex]],Products[ID],Products[CSA Need])</f>
        <v>2</v>
      </c>
      <c r="ET249" s="217">
        <f>_xlfn.XLOOKUP(Crops[[#This Row],[ProductIndex]],Products[ID],Products[CSA Times])</f>
        <v>2</v>
      </c>
      <c r="EU249" s="208">
        <f>Crops[[#This Row],[Custom Yield Per Bed]]/(Crops[[#This Row],[CSA Need]]*(_xlfn.XLOOKUP(Crops[[#This Row],[ProductIndex]],Products[ID],Products[CSA Portion])*CSAMembers))</f>
        <v>0.875</v>
      </c>
      <c r="EV249" s="208">
        <f>_xlfn.XLOOKUP(Crops[[#This Row],[ProductIndex]],Products[ID],Products[CSA Portion])*CSAMembers*Crops[[#This Row],[CSA Need]]/Crops[[#This Row],[Custom Yield Per Bed]]</f>
        <v>1.1428571428571428</v>
      </c>
      <c r="EW249" s="208">
        <f>IFERROR(Crops[[#This Row],[Days In Field]]*Crops[[#This Row],[CSA Beds]],"")</f>
        <v>145.14285714285714</v>
      </c>
      <c r="EX249" s="208" t="e">
        <f>Crops[[#This Row],[CSA Bed Days]]*#REF!</f>
        <v>#REF!</v>
      </c>
      <c r="EY249" t="s">
        <v>1759</v>
      </c>
    </row>
    <row r="250" spans="1:155" ht="15.75" customHeight="1">
      <c r="A250"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Potato (Mid Season) - Mature Root 1X | Field DS </v>
      </c>
      <c r="B250" s="190"/>
      <c r="C250" s="1"/>
      <c r="D250" s="1"/>
      <c r="E250" s="1" t="b">
        <v>0</v>
      </c>
      <c r="F250" s="1" t="b">
        <f>IFERROR(IF(ISNUMBER(MATCH(Crops[[#This Row],[Identifier]],BedPlan[Crop], 0)), TRUE, FALSE), FALSE)</f>
        <v>0</v>
      </c>
      <c r="G250" s="1" t="b">
        <f>IFERROR(IF(ISNUMBER(MATCH(Crops[[#This Row],[Identifier]],BedPlan[Crop], 0)), TRUE, FALSE), FALSE)</f>
        <v>0</v>
      </c>
      <c r="H250" s="1"/>
      <c r="I250" t="s">
        <v>113</v>
      </c>
      <c r="J250" t="s">
        <v>1758</v>
      </c>
      <c r="K250" t="s">
        <v>185</v>
      </c>
      <c r="M250" t="s">
        <v>443</v>
      </c>
      <c r="N250" t="str">
        <f>Crops[[#This Row],[Crop]]</f>
        <v>Potato</v>
      </c>
      <c r="O250" t="s">
        <v>210</v>
      </c>
      <c r="P250" t="str">
        <f>IF(OR(Crops[[#This Row],[Days in Cells]]="",Crops[[#This Row],[Days in Cells]]=0), "DS","TP")</f>
        <v>DS</v>
      </c>
      <c r="V250" t="str">
        <f xml:space="preserve"> IF(Crops[[#This Row],[Sp]], "Sp", "") &amp; IF(Crops[[#This Row],[Su]], "Su", "") &amp; IF(Crops[[#This Row],[Fa]], "Fa", "") &amp; IF(Crops[[#This Row],[Wi]], "Wi", "") &amp; IF(Crops[[#This Row],[OW]], "Ow","")</f>
        <v/>
      </c>
      <c r="W250" t="s">
        <v>144</v>
      </c>
      <c r="X250">
        <v>2</v>
      </c>
      <c r="Y250">
        <v>18</v>
      </c>
      <c r="AA250" t="s">
        <v>334</v>
      </c>
      <c r="AB250" t="b">
        <v>0</v>
      </c>
      <c r="AC250">
        <v>3</v>
      </c>
      <c r="AD250" s="32">
        <f>IFERROR(12/Crops[[#This Row],[Spacing]]*Crops[[#This Row],[Rows]]*BedLength,"")</f>
        <v>66.666666666666657</v>
      </c>
      <c r="AE250">
        <v>1</v>
      </c>
      <c r="AG250">
        <f>IF(Crops[[#This Row],[Custom Safety Factor]]="",PlantingSafetyFactor,Crops[[#This Row],[Custom Safety Factor]])</f>
        <v>1.3</v>
      </c>
      <c r="AH250">
        <f>1</f>
        <v>1</v>
      </c>
      <c r="AI250" s="33">
        <f>IFERROR(Crops[[#This Row],[Plantings Per Bed]]*Crops[[#This Row],[Seeds Per Planting]]*Crops[[#This Row],[Safety Factor]]*Crops[[#This Row],[Seeding Factor]],"")</f>
        <v>86.666666666666657</v>
      </c>
      <c r="AL250">
        <f>_xlfn.FLOOR.MATH(IFERROR(AVERAGE(Crops[[#This Row],[DTG Lower]:[DTG Upper]]),0))</f>
        <v>0</v>
      </c>
      <c r="AM250">
        <f>SUM(Crops[[#This Row],[Tray 1 Days]],Crops[[#This Row],[Tray 2 Days]],Crops[[#This Row],[Tray 3 Days]])</f>
        <v>0</v>
      </c>
      <c r="AN250" s="32"/>
      <c r="AP250">
        <f>30*3</f>
        <v>90</v>
      </c>
      <c r="AQ250">
        <f>IFERROR(_xlfn.FLOOR.MATH(AVERAGE(Crops[[#This Row],[DTM Lower]:[DTM Upper]])),"")</f>
        <v>90</v>
      </c>
      <c r="AR250" cm="1">
        <f t="array" ref="AR250">_xlfn.SWITCH(Crops[[#This Row],[Normal Method]],"DS",Crops[[#This Row],[Days to Germination]]+Crops[[#This Row],[DTM]] + IF(Crops[[#This Row],[Days in Cells]]&gt;0,15,0), "TP",Crops[[#This Row],[DTM]]+Crops[[#This Row],[Days in Cells]] + IF(Crops[[#This Row],[Days in Cells]]&lt;=0,20,0), "X", Crops[[#This Row],[DTM]])</f>
        <v>90</v>
      </c>
      <c r="AS250" t="s">
        <v>347</v>
      </c>
      <c r="AT250">
        <f>(Crops[[#This Row],[Harvests]]-1)*Crops[[#This Row],[Days Between Harvest]]+7</f>
        <v>7</v>
      </c>
      <c r="AU250">
        <f>Crops[[#This Row],[STH]]-Crops[[#This Row],[Days in Cells]]+Crops[[#This Row],[Harvest window]]</f>
        <v>97</v>
      </c>
      <c r="AW250" t="s">
        <v>212</v>
      </c>
      <c r="AZ250" t="str">
        <f>IFERROR(IF(Crops[[#This Row],[Tray 1 Days]]=0,"",Crops[[#This Row],[Plantings Per Bed]]/Crops[[#This Row],[Tray 1 Size]]*Crops[[#This Row],[Safety Factor]]),"")</f>
        <v/>
      </c>
      <c r="BC250" t="str">
        <f>IFERROR(IF(Crops[[#This Row],[Tray 2 Days]]=0,"",Crops[[#This Row],[Plantings Per Bed]]/Crops[[#This Row],[Tray 2 Size]]*Crops[[#This Row],[Safety Factor]]),"")</f>
        <v/>
      </c>
      <c r="BE250" s="32" t="str">
        <f>IF(NOT(ISBLANK(Crops[[#This Row],[Tray 3 Size]])), Crops[[#This Row],[Days in Cells Old]]-SUM(Crops[[#This Row],[Tray 1 Days]],Crops[[#This Row],[Tray 2 Days]]), "")</f>
        <v/>
      </c>
      <c r="BF250" t="str">
        <f>IFERROR(IF(Crops[[#This Row],[Tray 3 Days]]=0,"",Crops[[#This Row],[Plantings Per Bed]]/Crops[[#This Row],[Tray 3 Size]]*Crops[[#This Row],[Safety Factor]]),"")</f>
        <v/>
      </c>
      <c r="BG250" s="33">
        <f>Crops[[#This Row],[Plantings Per Bed]]*1.4/Crops[[#This Row],[Harvests]]</f>
        <v>93.333333333333314</v>
      </c>
      <c r="BH250" s="33">
        <v>1</v>
      </c>
      <c r="BI250" s="33">
        <v>7</v>
      </c>
      <c r="BJ250" s="33">
        <f>_xlfn.XLOOKUP(Crops[[#This Row],[ProductIndex]],Products[ID],Products[Holding Period])</f>
        <v>30</v>
      </c>
      <c r="BK250" s="33">
        <v>7</v>
      </c>
      <c r="BL250" s="33">
        <f>Crops[[#This Row],[Units Per Harvest]]*Crops[[#This Row],[Harvests]]</f>
        <v>93.333333333333314</v>
      </c>
      <c r="BM250" s="35">
        <v>2.25</v>
      </c>
      <c r="BN250" s="212">
        <v>0.8</v>
      </c>
      <c r="BO250" s="212"/>
      <c r="BP250" t="s">
        <v>383</v>
      </c>
      <c r="BQ250">
        <f>Crops[[#This Row],[Custom Yield Per Bed]]*Crops[[#This Row],[Direct Price]]</f>
        <v>209.99999999999994</v>
      </c>
      <c r="BS250" t="b">
        <f>Crops[[#This Row],[Harvests]]&gt;1</f>
        <v>0</v>
      </c>
      <c r="BT250" s="36">
        <f>IFERROR(Crops[[#This Row],[Direct Revenue Per Bed]]/Crops[[#This Row],[Days In Field]],-1)</f>
        <v>2.1649484536082468</v>
      </c>
      <c r="BU250" s="36">
        <f>IFERROR(Crops[[#This Row],[Direct Revenue Per Bed Day]]*GrowingDays*BedsPerAcre,"")</f>
        <v>62350.515463917509</v>
      </c>
      <c r="BV250" s="38">
        <f>LastFrostDate-5*Crops[[#This Row],[Sewing Rel Last Frost]]</f>
        <v>45758</v>
      </c>
      <c r="BW250" s="38">
        <f>Crops[[#This Row],[Target Sewing Date]]+Crops[[#This Row],[Days in Cells]]</f>
        <v>45758</v>
      </c>
      <c r="BX250" s="38">
        <f>Crops[[#This Row],[Target Sewing Date]]+Crops[[#This Row],[STH]]</f>
        <v>45848</v>
      </c>
      <c r="BY250" s="38">
        <f>Crops[[#This Row],[Target Harvest Data]]+Crops[[#This Row],[Harvest window]]</f>
        <v>45855</v>
      </c>
      <c r="BZ250">
        <v>-2</v>
      </c>
      <c r="CA250" t="s">
        <v>373</v>
      </c>
      <c r="CB250">
        <f>1</f>
        <v>1</v>
      </c>
      <c r="CC250">
        <f>IF(Crops[[#This Row],[Transplanting]]&gt;0, 2, 3)*BedLength/StandardBedLength</f>
        <v>1.5</v>
      </c>
      <c r="CD250" s="173">
        <f>IF(Crops[[#This Row],[Days in Cells]]&lt;=0,0,Crops[[#This Row],[Plantings Per Bed]]/StartsPerHourSeeding+Crops[[#This Row],[Tray 1 Count]]*5/60)</f>
        <v>0</v>
      </c>
      <c r="CE250" s="173">
        <f>IF(ISBLANK(Crops[[#This Row],[Tray 2 Days]]),0,Crops[[#This Row],[Plantings Per Bed]]/UpPottingPerHour)+IF(Crops[[#This Row],[Tray 3 Days]]="",0,Crops[[#This Row],[Plantings Per Bed]]/UpPottingPerHour)</f>
        <v>0</v>
      </c>
      <c r="CF250" s="173">
        <f>IFERROR(Crops[[#This Row],[Tray 1 Count]]/HomeStartFlatIrrigationPerHour,0)*Crops[[#This Row],[Days in Cells]]/DaysBetweenStartIrrigation</f>
        <v>0</v>
      </c>
      <c r="CG250" s="173">
        <f>0.5/16*MAX(Crops[[#This Row],[Tray 1 Count]],Crops[[#This Row],[Tray 2 Count]],Crops[[#This Row],[Tray 3 Count]])</f>
        <v>0</v>
      </c>
      <c r="CH250" s="173">
        <f>IF(Crops[[#This Row],[Days in Cells]]&gt;0,IF(IF(Crops[[#This Row],[Tray 3 Size]]&gt;0,Crops[[#This Row],[Tray 3 Size]],IF(Crops[[#This Row],[Tray 2 Size]]&gt;0,Crops[[#This Row],[Tray 2 Size]],Crops[[#This Row],[Tray 1 Size]]))&lt;=18,LargeTransplantTime,SmallTransplantTime)*Crops[[#This Row],[Plantings Per Bed]],0)</f>
        <v>0</v>
      </c>
      <c r="CI250" s="173"/>
      <c r="CJ250" s="173">
        <f>_xlfn.XLOOKUP(Crops[[#This Row],[Trellis Type]],TrellisMethods[Trellis Type],TrellisMethods[Hours],0,0)</f>
        <v>0</v>
      </c>
      <c r="CK250">
        <f>IF(Crops[[#This Row],[Days in Cells]]&lt;=0,Crops[[#This Row],[Rows]]*1/10,0)*BedLength/50</f>
        <v>0.2</v>
      </c>
      <c r="CL250" cm="1">
        <f t="array" ref="CL250">_xlfn.SWITCH(Crops[[#This Row],[Irrigation]],"DR", 0.5, "OH", 0.25,0)*BedLength/50</f>
        <v>0</v>
      </c>
      <c r="CM250">
        <f>IF(OR(ISBLANK(Crops[[#This Row],[Row Cover]]),Crops[[#This Row],[Row Cover]]="None"),0,1)*BedLength/50</f>
        <v>1</v>
      </c>
      <c r="CN250" s="173">
        <f>HoursPerWeedingPass*Crops[[#This Row],[Days In Field]]/14*Crops[[#This Row],[Rows]]+1*BedLength/50</f>
        <v>3.3095238095238093</v>
      </c>
      <c r="CO250" s="49"/>
      <c r="CQ250" s="37">
        <f>_xlfn.XLOOKUP(Crops[[#This Row],[Crop]]&amp;Crops[[#This Row],[Product]]&amp;Crops[[#This Row],[Unit]],Products[ID],Products[Marketing (hr)])*Crops[[#This Row],[Direct Revenue Per Bed]]/2000</f>
        <v>0.31499999999999989</v>
      </c>
      <c r="CR250" s="37">
        <f>_xlfn.XLOOKUP(Crops[[#This Row],[Crop]]&amp;Crops[[#This Row],[Product]]&amp;Crops[[#This Row],[Unit]],Products[ID],Products[Harvest (s)])*Crops[[#This Row],[Custom Yield Per Bed]]/3600</f>
        <v>2.333333333333333</v>
      </c>
      <c r="CS250" s="37">
        <f>_xlfn.XLOOKUP(Crops[[#This Row],[Crop]]&amp;Crops[[#This Row],[Product]]&amp;Crops[[#This Row],[Unit]],Products[ID],Products[Bunch (s)])*Crops[[#This Row],[Custom Yield Per Bed]]/3600</f>
        <v>0</v>
      </c>
      <c r="CT250" s="37">
        <f>_xlfn.XLOOKUP(Crops[[#This Row],[Crop]]&amp;Crops[[#This Row],[Product]]&amp;Crops[[#This Row],[Unit]],Products[ID],Products[Haul (s)])*Crops[[#This Row],[Custom Yield Per Bed]]/3600</f>
        <v>5.1851851851851843E-2</v>
      </c>
      <c r="CU250" s="37">
        <f>_xlfn.XLOOKUP(Crops[[#This Row],[Crop]]&amp;Crops[[#This Row],[Product]]&amp;Crops[[#This Row],[Unit]],Products[ID],Products[Wash (s)])*Crops[[#This Row],[Custom Yield Per Bed]]/3600</f>
        <v>0.25925925925925919</v>
      </c>
      <c r="CV250" s="37">
        <f>_xlfn.XLOOKUP(Crops[[#This Row],[Crop]]&amp;Crops[[#This Row],[Product]]&amp;Crops[[#This Row],[Unit]],Products[ID],Products[Condition (s)])*Crops[[#This Row],[Custom Yield Per Bed]]/3600</f>
        <v>0</v>
      </c>
      <c r="CW250" s="37">
        <f>_xlfn.XLOOKUP(Crops[[#This Row],[Crop]]&amp;Crops[[#This Row],[Product]]&amp;Crops[[#This Row],[Unit]],Products[ID],Products[Trim (s)])*Crops[[#This Row],[Custom Yield Per Bed]]/3600</f>
        <v>0</v>
      </c>
      <c r="CX250" s="37">
        <f>_xlfn.XLOOKUP(Crops[[#This Row],[Crop]]&amp;Crops[[#This Row],[Product]]&amp;Crops[[#This Row],[Unit]],Products[ID],Products[Pack (s)])*Crops[[#This Row],[Custom Yield Per Bed]]/3600</f>
        <v>7.7777777777777765E-2</v>
      </c>
      <c r="CY250" s="37">
        <f>_xlfn.XLOOKUP(Crops[[#This Row],[Crop]]&amp;Crops[[#This Row],[Product]]&amp;Crops[[#This Row],[Unit]],Products[ID],Products[Clean (s)])*Crops[[#This Row],[Custom Yield Per Bed]]/3600</f>
        <v>0</v>
      </c>
      <c r="CZ250" s="37">
        <f>_xlfn.XLOOKUP(Crops[[#This Row],[Crop]]&amp;Crops[[#This Row],[Product]]&amp;Crops[[#This Row],[Unit]],Products[ID],Products[Rehandle (s)])*Crops[[#This Row],[Custom Yield Per Bed]]/3600</f>
        <v>0</v>
      </c>
      <c r="DA250" s="37">
        <f>_xlfn.XLOOKUP(Crops[[#This Row],[Crop]]&amp;Crops[[#This Row],[Product]]&amp;Crops[[#This Row],[Unit]],Products[ID],Products[Market Transport (s)])*Crops[[#This Row],[Custom Yield Per Bed]]/3600</f>
        <v>0.12962962962962959</v>
      </c>
      <c r="DC250" s="37">
        <f>Crops[[#This Row],[Direct Revenue Per Bed2]]</f>
        <v>209.99999999999994</v>
      </c>
      <c r="DD250" s="173">
        <f>_xlfn.AGGREGATE(9,6,Crops[[#This Row],[Bed Prep]:[Remove Crop Residue]])</f>
        <v>9.176375661375662</v>
      </c>
      <c r="DE250" s="173">
        <f>_xlfn.AGGREGATE(9,6,Crops[[#This Row],[Bed Prep]:[Remove Crop Residue]])-0.75*Crops[[#This Row],[Market &amp; Sell]]</f>
        <v>8.9401256613756619</v>
      </c>
      <c r="DF250" s="36">
        <f>Crops[[#This Row],[Direct Revenue Per Bed2]]/Crops[[#This Row],[Direct Time]]</f>
        <v>22.88485211911193</v>
      </c>
      <c r="DG250" s="36">
        <f>_xlfn.XLOOKUP(Crops[[#This Row],[ProductIndex]],Products[ID],Products[Packaging Cost])*(Crops[[#This Row],[Custom Yield Per Bed]]/_xlfn.XLOOKUP(Crops[[#This Row],[ProductIndex]],Products[ID],Products[Units Per Pack]))</f>
        <v>14.186666666666662</v>
      </c>
      <c r="DH250" s="36"/>
      <c r="DI250" s="36"/>
      <c r="DJ250" s="36"/>
      <c r="DK250" s="36"/>
      <c r="DL250" s="36"/>
      <c r="DM250" s="33">
        <f>IFERROR(Crops[[#This Row],[Custom Yield Per Bed]]*Crops[[#This Row],[Direct Price]],"")</f>
        <v>209.99999999999994</v>
      </c>
      <c r="DN250" s="36">
        <f>Crops[[#This Row],[Direct Time]]*LaborRate</f>
        <v>229.40939153439155</v>
      </c>
      <c r="DO250" s="36">
        <f>SUM(Crops[[#This Row],[Irrigation Cost]])</f>
        <v>0</v>
      </c>
      <c r="DP250" s="36">
        <f>Crops[[#This Row],[Direct Labor Cost]]+Crops[[#This Row],[Direct Non-Labor Cost]]</f>
        <v>229.40939153439155</v>
      </c>
      <c r="DQ250" s="36">
        <f>Crops[[#This Row],[Direct Revenue Per Bed2]]-Crops[[#This Row],[Direct Total Cost]]</f>
        <v>-19.409391534391602</v>
      </c>
      <c r="DR250" s="36">
        <f>Crops[[#This Row],[Direct Profit]]*BedsPerAcre</f>
        <v>-3105.5026455026564</v>
      </c>
      <c r="DS250" s="36">
        <f>Crops[[#This Row],[Direct Profit]]*BedsPerAcre*GrowingDays/Crops[[#This Row],[Days In Field]]</f>
        <v>-5762.7884143348265</v>
      </c>
      <c r="DT250" s="36">
        <f>Crops[[#This Row],[Direct Profit]]/MIN(Crops[[#This Row],[Days In Field]],GrowingDays)</f>
        <v>-0.20009681994218148</v>
      </c>
      <c r="DU250" s="33">
        <f>Crops[[#This Row],[Direct Time]] * BedsPerAcre</f>
        <v>1468.2201058201058</v>
      </c>
      <c r="DV250" s="36">
        <f>(Crops[[#This Row],[Direct Revenue Per Bed2]]-Crops[[#This Row],[Direct Non-Labor Cost]])/Crops[[#This Row],[Direct Time]]</f>
        <v>22.88485211911193</v>
      </c>
      <c r="DW250" s="33">
        <f>IFERROR(Crops[[#This Row],[Custom Yield Per Bed]]*Crops[[#This Row],[Rough Wholesale Price]],"")</f>
        <v>74.666666666666657</v>
      </c>
      <c r="DX250" s="36">
        <f>Crops[[#This Row],[Wholesale Time]]*LaborRate</f>
        <v>223.50314153439155</v>
      </c>
      <c r="DY250" s="36">
        <f>SUM(Crops[[#This Row],[Packaging Costs]:[Irrigation Cost]])</f>
        <v>14.186666666666662</v>
      </c>
      <c r="DZ250" s="36">
        <f>Crops[[#This Row],[Wholesale Labor Cost]]+Crops[[#This Row],[Wholesale Non-Labor Cost]]</f>
        <v>237.68980820105821</v>
      </c>
      <c r="EA250" s="36">
        <f>Crops[[#This Row],[Wholesale Revenue Per Bed]]-Crops[[#This Row],[Wholesale Total Cost]]</f>
        <v>-163.02314153439156</v>
      </c>
      <c r="EB250" s="36">
        <f>Crops[[#This Row],[Wholesale Profit]]*BedsPerAcre</f>
        <v>-26083.70264550265</v>
      </c>
      <c r="EC250" s="36">
        <f>Crops[[#This Row],[Wholesale Profit]]*BedsPerAcre*GrowingDays/Crops[[#This Row],[Days In Field]]</f>
        <v>-48402.747177221412</v>
      </c>
      <c r="ED250" s="33">
        <f>Crops[[#This Row],[Wholesale Time]] * BedsPerAcre</f>
        <v>1430.4201058201058</v>
      </c>
      <c r="EE250" s="221">
        <f>Crops[[#This Row],[Wholesale Profit]]/MIN(Crops[[#This Row],[Days In Field]],GrowingDays)</f>
        <v>-1.6806509436535213</v>
      </c>
      <c r="EF250" s="36">
        <f>(Crops[[#This Row],[Wholesale Revenue Per Bed]]-Crops[[#This Row],[Wholesale Non-Labor Cost]])/Crops[[#This Row],[Direct Time]]</f>
        <v>6.5908374103042373</v>
      </c>
      <c r="EG250" s="174">
        <f>Crops[[#This Row],[Packaging Costs]]/Crops[[#This Row],[Wholesale Revenue Per Bed]]</f>
        <v>0.18999999999999997</v>
      </c>
      <c r="EH250" s="36" t="str">
        <f>Crops[[#This Row],[Crop]]&amp;Crops[[#This Row],[Product]]&amp;Crops[[#This Row],[Unit]]</f>
        <v>PotatoMature RootLb</v>
      </c>
      <c r="EI250" s="36" t="b">
        <f>_xlfn.XLOOKUP(Crops[[#This Row],[ProductIndex]],Products[ID],Products[Target])</f>
        <v>1</v>
      </c>
      <c r="EJ250" s="36">
        <f>Crops[[#This Row],[Custom Yield Per Bed]]</f>
        <v>93.333333333333314</v>
      </c>
      <c r="EK250" s="210">
        <f>Crops[[#This Row],[Units Per Harvest]]/Crops[[#This Row],[Days Between Harvest]]*7</f>
        <v>93.333333333333314</v>
      </c>
      <c r="EL250" s="210">
        <f>Crops[[#This Row],[Custom Yield Per Bed]]/_xlfn.XLOOKUP(Crops[[#This Row],[ProductIndex]],Products[ID],Products[CSA Portion])</f>
        <v>93.333333333333314</v>
      </c>
      <c r="EM250" s="210">
        <f>Crops[[#This Row],[Units Per Harvest]]/Crops[[#This Row],[Days Between Harvest]]*7/_xlfn.XLOOKUP(Crops[[#This Row],[ProductIndex]],Products[ID],Products[CSA Portion])</f>
        <v>93.333333333333314</v>
      </c>
      <c r="EN250" s="210">
        <f>Crops[[#This Row],[CSA Portions Per Week]]/CSAMembers</f>
        <v>1.8666666666666663</v>
      </c>
      <c r="EO250" s="210"/>
      <c r="EP250" s="210"/>
      <c r="EQ250" s="210"/>
      <c r="ER250" s="210">
        <f>Crops[[#This Row],[Harvests]]*Crops[[#This Row],[Days Between Harvest]]/7</f>
        <v>1</v>
      </c>
      <c r="ES250" s="217">
        <f>_xlfn.XLOOKUP(Crops[[#This Row],[ProductIndex]],Products[ID],Products[CSA Need])</f>
        <v>2</v>
      </c>
      <c r="ET250" s="217">
        <f>_xlfn.XLOOKUP(Crops[[#This Row],[ProductIndex]],Products[ID],Products[CSA Times])</f>
        <v>2</v>
      </c>
      <c r="EU250" s="208">
        <f>Crops[[#This Row],[Custom Yield Per Bed]]/(Crops[[#This Row],[CSA Need]]*(_xlfn.XLOOKUP(Crops[[#This Row],[ProductIndex]],Products[ID],Products[CSA Portion])*CSAMembers))</f>
        <v>0.93333333333333313</v>
      </c>
      <c r="EV250" s="208">
        <f>_xlfn.XLOOKUP(Crops[[#This Row],[ProductIndex]],Products[ID],Products[CSA Portion])*CSAMembers*Crops[[#This Row],[CSA Need]]/Crops[[#This Row],[Custom Yield Per Bed]]</f>
        <v>1.0714285714285716</v>
      </c>
      <c r="EW250" s="208">
        <f>IFERROR(Crops[[#This Row],[Days In Field]]*Crops[[#This Row],[CSA Beds]],"")</f>
        <v>103.92857142857144</v>
      </c>
      <c r="EX250" s="208" t="e">
        <f>Crops[[#This Row],[CSA Bed Days]]*#REF!</f>
        <v>#REF!</v>
      </c>
      <c r="EY250" t="s">
        <v>1419</v>
      </c>
    </row>
    <row r="251" spans="1:155">
      <c r="A251"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Queen Anne's Lace - Mature Stem 1X | Field DS </v>
      </c>
      <c r="B251" s="180"/>
      <c r="C251" s="1" t="b">
        <v>1</v>
      </c>
      <c r="D251" s="1"/>
      <c r="E251" s="1" t="b">
        <v>0</v>
      </c>
      <c r="F251" s="1" t="b">
        <f>IFERROR(IF(ISNUMBER(MATCH(Crops[[#This Row],[Identifier]],BedPlan[Crop], 0)), TRUE, FALSE), FALSE)</f>
        <v>0</v>
      </c>
      <c r="G251" s="1" t="b">
        <f>IFERROR(IF(ISNUMBER(MATCH(Crops[[#This Row],[Identifier]],BedPlan[Crop], 0)), TRUE, FALSE), FALSE)</f>
        <v>0</v>
      </c>
      <c r="H251" s="1"/>
      <c r="I251" t="s">
        <v>141</v>
      </c>
      <c r="J251" t="s">
        <v>145</v>
      </c>
      <c r="K251" t="s">
        <v>181</v>
      </c>
      <c r="M251" t="s">
        <v>406</v>
      </c>
      <c r="N251" t="str">
        <f>Crops[[#This Row],[Crop]]</f>
        <v>Queen Anne's Lace</v>
      </c>
      <c r="O251" t="s">
        <v>210</v>
      </c>
      <c r="P251" t="str">
        <f>IF(OR(Crops[[#This Row],[Days in Cells]]="",Crops[[#This Row],[Days in Cells]]=0), "DS","TP")</f>
        <v>DS</v>
      </c>
      <c r="V251" t="str">
        <f xml:space="preserve"> IF(Crops[[#This Row],[Sp]], "Sp", "") &amp; IF(Crops[[#This Row],[Su]], "Su", "") &amp; IF(Crops[[#This Row],[Fa]], "Fa", "") &amp; IF(Crops[[#This Row],[Wi]], "Wi", "") &amp; IF(Crops[[#This Row],[OW]], "Ow","")</f>
        <v/>
      </c>
      <c r="X251">
        <v>4</v>
      </c>
      <c r="Y251">
        <v>6</v>
      </c>
      <c r="AA251" t="s">
        <v>474</v>
      </c>
      <c r="AB251" t="b">
        <v>1</v>
      </c>
      <c r="AC251">
        <v>3.5</v>
      </c>
      <c r="AD251" s="32">
        <f>IFERROR(12/Crops[[#This Row],[Spacing]]*Crops[[#This Row],[Rows]]*BedLength,"")</f>
        <v>400</v>
      </c>
      <c r="AE251">
        <v>1</v>
      </c>
      <c r="AG251">
        <f>IF(Crops[[#This Row],[Custom Safety Factor]]="",PlantingSafetyFactor,Crops[[#This Row],[Custom Safety Factor]])</f>
        <v>1.3</v>
      </c>
      <c r="AH251">
        <f>1</f>
        <v>1</v>
      </c>
      <c r="AI251" s="33">
        <f>IFERROR(Crops[[#This Row],[Plantings Per Bed]]*Crops[[#This Row],[Seeds Per Planting]]*Crops[[#This Row],[Safety Factor]]*Crops[[#This Row],[Seeding Factor]],"")</f>
        <v>520</v>
      </c>
      <c r="AJ251">
        <v>12</v>
      </c>
      <c r="AK251">
        <v>16</v>
      </c>
      <c r="AL251">
        <f>_xlfn.FLOOR.MATH(IFERROR(AVERAGE(Crops[[#This Row],[DTG Lower]:[DTG Upper]]),0))</f>
        <v>14</v>
      </c>
      <c r="AM251">
        <f>SUM(Crops[[#This Row],[Tray 1 Days]],Crops[[#This Row],[Tray 2 Days]],Crops[[#This Row],[Tray 3 Days]])</f>
        <v>0</v>
      </c>
      <c r="AN251" s="32"/>
      <c r="AO251">
        <v>75</v>
      </c>
      <c r="AP251">
        <v>85</v>
      </c>
      <c r="AQ251">
        <f>IFERROR(_xlfn.FLOOR.MATH(AVERAGE(Crops[[#This Row],[DTM Lower]:[DTM Upper]])),"")</f>
        <v>80</v>
      </c>
      <c r="AR251" cm="1">
        <f t="array" ref="AR251">_xlfn.SWITCH(Crops[[#This Row],[Normal Method]],"DS",Crops[[#This Row],[Days to Germination]]+Crops[[#This Row],[DTM]] + IF(Crops[[#This Row],[Days in Cells]]&gt;0,15,0), "TP",Crops[[#This Row],[DTM]]+Crops[[#This Row],[Days in Cells]] + IF(Crops[[#This Row],[Days in Cells]]&lt;=0,20,0), "X", Crops[[#This Row],[DTM]])</f>
        <v>94</v>
      </c>
      <c r="AS251" t="s">
        <v>338</v>
      </c>
      <c r="AT251">
        <f>(Crops[[#This Row],[Harvests]]-1)*Crops[[#This Row],[Days Between Harvest]]+7</f>
        <v>42</v>
      </c>
      <c r="AU251">
        <f>Crops[[#This Row],[STH]]-Crops[[#This Row],[Days in Cells]]+Crops[[#This Row],[Harvest window]]</f>
        <v>136</v>
      </c>
      <c r="AW251">
        <v>128</v>
      </c>
      <c r="AZ251" t="str">
        <f>IFERROR(IF(Crops[[#This Row],[Tray 1 Days]]=0,"",Crops[[#This Row],[Plantings Per Bed]]/Crops[[#This Row],[Tray 1 Size]]*Crops[[#This Row],[Safety Factor]]),"")</f>
        <v/>
      </c>
      <c r="BC251" t="str">
        <f>IFERROR(IF(Crops[[#This Row],[Tray 2 Days]]=0,"",Crops[[#This Row],[Plantings Per Bed]]/Crops[[#This Row],[Tray 2 Size]]*Crops[[#This Row],[Safety Factor]]),"")</f>
        <v/>
      </c>
      <c r="BE251" s="32" t="str">
        <f>IF(NOT(ISBLANK(Crops[[#This Row],[Tray 3 Size]])), Crops[[#This Row],[Days in Cells Old]]-SUM(Crops[[#This Row],[Tray 1 Days]],Crops[[#This Row],[Tray 2 Days]]), "")</f>
        <v/>
      </c>
      <c r="BF251" t="str">
        <f>IFERROR(IF(Crops[[#This Row],[Tray 3 Days]]=0,"",Crops[[#This Row],[Plantings Per Bed]]/Crops[[#This Row],[Tray 3 Size]]*Crops[[#This Row],[Safety Factor]]),"")</f>
        <v/>
      </c>
      <c r="BG251" s="33">
        <f>Crops[[#This Row],[Plantings Per Bed]]*2</f>
        <v>800</v>
      </c>
      <c r="BH251" s="33">
        <v>6</v>
      </c>
      <c r="BI251" s="33">
        <v>7</v>
      </c>
      <c r="BJ251" s="33">
        <f>_xlfn.XLOOKUP(Crops[[#This Row],[ProductIndex]],Products[ID],Products[Holding Period])</f>
        <v>0</v>
      </c>
      <c r="BK251" s="33"/>
      <c r="BL251" s="33">
        <f>Crops[[#This Row],[Units Per Harvest]]*Crops[[#This Row],[Harvests]]</f>
        <v>4800</v>
      </c>
      <c r="BM251" s="35">
        <v>1</v>
      </c>
      <c r="BN251" s="35">
        <f>Crops[[#This Row],[Direct Price]]*0.6</f>
        <v>0.6</v>
      </c>
      <c r="BO251" s="35"/>
      <c r="BP251" t="s">
        <v>213</v>
      </c>
      <c r="BQ251">
        <f>Crops[[#This Row],[Custom Yield Per Bed]]*Crops[[#This Row],[Direct Price]]</f>
        <v>4800</v>
      </c>
      <c r="BS251" t="b">
        <f>Crops[[#This Row],[Harvests]]&gt;1</f>
        <v>1</v>
      </c>
      <c r="BT251" s="36">
        <f>IFERROR(Crops[[#This Row],[Direct Revenue Per Bed]]/Crops[[#This Row],[Days In Field]],-1)</f>
        <v>35.294117647058826</v>
      </c>
      <c r="BU251" s="36">
        <f>IFERROR(Crops[[#This Row],[Direct Revenue Per Bed Day]]*GrowingDays*BedsPerAcre,"")</f>
        <v>1016470.5882352941</v>
      </c>
      <c r="BV251" s="38">
        <f>LastFrostDate-5*Crops[[#This Row],[Sewing Rel Last Frost]]</f>
        <v>45748</v>
      </c>
      <c r="BW251" s="38">
        <f>Crops[[#This Row],[Target Sewing Date]]+Crops[[#This Row],[Days in Cells]]</f>
        <v>45748</v>
      </c>
      <c r="BX251" s="38">
        <f>Crops[[#This Row],[Target Sewing Date]]+Crops[[#This Row],[STH]]</f>
        <v>45842</v>
      </c>
      <c r="BY251" s="38">
        <f>Crops[[#This Row],[Target Harvest Data]]+Crops[[#This Row],[Harvest window]]</f>
        <v>45884</v>
      </c>
      <c r="BZ251">
        <v>0</v>
      </c>
      <c r="CB251">
        <f>1</f>
        <v>1</v>
      </c>
      <c r="CC251">
        <f>IF(Crops[[#This Row],[Transplanting]]&gt;0, 2, 3)*BedLength/StandardBedLength</f>
        <v>1.5</v>
      </c>
      <c r="CD251" s="173">
        <f>IF(Crops[[#This Row],[Days in Cells]]&lt;=0,0,Crops[[#This Row],[Plantings Per Bed]]/StartsPerHourSeeding+Crops[[#This Row],[Tray 1 Count]]*5/60)</f>
        <v>0</v>
      </c>
      <c r="CE251" s="173">
        <f>IF(ISBLANK(Crops[[#This Row],[Tray 2 Days]]),0,Crops[[#This Row],[Plantings Per Bed]]/UpPottingPerHour)+IF(Crops[[#This Row],[Tray 3 Days]]="",0,Crops[[#This Row],[Plantings Per Bed]]/UpPottingPerHour)</f>
        <v>0</v>
      </c>
      <c r="CF251" s="173">
        <f>IFERROR(Crops[[#This Row],[Tray 1 Count]]/HomeStartFlatIrrigationPerHour,0)*Crops[[#This Row],[Days in Cells]]/DaysBetweenStartIrrigation</f>
        <v>0</v>
      </c>
      <c r="CG251" s="173">
        <f>0.5/16*MAX(Crops[[#This Row],[Tray 1 Count]],Crops[[#This Row],[Tray 2 Count]],Crops[[#This Row],[Tray 3 Count]])</f>
        <v>0</v>
      </c>
      <c r="CH251" s="173">
        <f>IF(Crops[[#This Row],[Days in Cells]]&gt;0,IF(IF(Crops[[#This Row],[Tray 3 Size]]&gt;0,Crops[[#This Row],[Tray 3 Size]],IF(Crops[[#This Row],[Tray 2 Size]]&gt;0,Crops[[#This Row],[Tray 2 Size]],Crops[[#This Row],[Tray 1 Size]]))&lt;=18,LargeTransplantTime,SmallTransplantTime)*Crops[[#This Row],[Plantings Per Bed]],0)</f>
        <v>0</v>
      </c>
      <c r="CI251" s="173"/>
      <c r="CJ251" s="173">
        <f>_xlfn.XLOOKUP(Crops[[#This Row],[Trellis Type]],TrellisMethods[Trellis Type],TrellisMethods[Hours],0,0)</f>
        <v>0</v>
      </c>
      <c r="CK251">
        <f>IF(Crops[[#This Row],[Days in Cells]]&lt;=0,Crops[[#This Row],[Rows]]*1/10,0)*BedLength/50</f>
        <v>0.4</v>
      </c>
      <c r="CL251" cm="1">
        <f t="array" ref="CL251">_xlfn.SWITCH(Crops[[#This Row],[Irrigation]],"DR", 0.5, "OH", 0.25,0)*BedLength/50</f>
        <v>0</v>
      </c>
      <c r="CM251">
        <f>IF(OR(ISBLANK(Crops[[#This Row],[Row Cover]]),Crops[[#This Row],[Row Cover]]="None"),0,1)*BedLength/50</f>
        <v>0</v>
      </c>
      <c r="CN251" s="173">
        <f>HoursPerWeedingPass*Crops[[#This Row],[Days In Field]]/14*Crops[[#This Row],[Rows]]+1*BedLength/50</f>
        <v>7.4761904761904754</v>
      </c>
      <c r="CQ251" s="37">
        <f>_xlfn.XLOOKUP(Crops[[#This Row],[Crop]]&amp;Crops[[#This Row],[Product]]&amp;Crops[[#This Row],[Unit]],Products[ID],Products[Marketing (hr)])*Crops[[#This Row],[Direct Revenue Per Bed]]/2000</f>
        <v>14.4</v>
      </c>
      <c r="CR251" s="37">
        <f>_xlfn.XLOOKUP(Crops[[#This Row],[Crop]]&amp;Crops[[#This Row],[Product]]&amp;Crops[[#This Row],[Unit]],Products[ID],Products[Harvest (s)])*Crops[[#This Row],[Custom Yield Per Bed]]/3600</f>
        <v>6.666666666666667</v>
      </c>
      <c r="CS251" s="37">
        <f>_xlfn.XLOOKUP(Crops[[#This Row],[Crop]]&amp;Crops[[#This Row],[Product]]&amp;Crops[[#This Row],[Unit]],Products[ID],Products[Bunch (s)])*Crops[[#This Row],[Custom Yield Per Bed]]/3600</f>
        <v>0</v>
      </c>
      <c r="CT251" s="37">
        <f>_xlfn.XLOOKUP(Crops[[#This Row],[Crop]]&amp;Crops[[#This Row],[Product]]&amp;Crops[[#This Row],[Unit]],Products[ID],Products[Haul (s)])*Crops[[#This Row],[Custom Yield Per Bed]]/3600</f>
        <v>1.5</v>
      </c>
      <c r="CU251" s="37">
        <f>_xlfn.XLOOKUP(Crops[[#This Row],[Crop]]&amp;Crops[[#This Row],[Product]]&amp;Crops[[#This Row],[Unit]],Products[ID],Products[Wash (s)])*Crops[[#This Row],[Custom Yield Per Bed]]/3600</f>
        <v>0</v>
      </c>
      <c r="CV251" s="37">
        <f>_xlfn.XLOOKUP(Crops[[#This Row],[Crop]]&amp;Crops[[#This Row],[Product]]&amp;Crops[[#This Row],[Unit]],Products[ID],Products[Condition (s)])*Crops[[#This Row],[Custom Yield Per Bed]]/3600</f>
        <v>0</v>
      </c>
      <c r="CW251" s="37">
        <f>_xlfn.XLOOKUP(Crops[[#This Row],[Crop]]&amp;Crops[[#This Row],[Product]]&amp;Crops[[#This Row],[Unit]],Products[ID],Products[Trim (s)])*Crops[[#This Row],[Custom Yield Per Bed]]/3600</f>
        <v>4</v>
      </c>
      <c r="CX251" s="37">
        <f>_xlfn.XLOOKUP(Crops[[#This Row],[Crop]]&amp;Crops[[#This Row],[Product]]&amp;Crops[[#This Row],[Unit]],Products[ID],Products[Pack (s)])*Crops[[#This Row],[Custom Yield Per Bed]]/3600</f>
        <v>4</v>
      </c>
      <c r="CY251" s="37">
        <f>_xlfn.XLOOKUP(Crops[[#This Row],[Crop]]&amp;Crops[[#This Row],[Product]]&amp;Crops[[#This Row],[Unit]],Products[ID],Products[Clean (s)])*Crops[[#This Row],[Custom Yield Per Bed]]/3600</f>
        <v>0</v>
      </c>
      <c r="CZ251" s="37">
        <f>_xlfn.XLOOKUP(Crops[[#This Row],[Crop]]&amp;Crops[[#This Row],[Product]]&amp;Crops[[#This Row],[Unit]],Products[ID],Products[Rehandle (s)])*Crops[[#This Row],[Custom Yield Per Bed]]/3600</f>
        <v>0</v>
      </c>
      <c r="DA251" s="37">
        <f>_xlfn.XLOOKUP(Crops[[#This Row],[Crop]]&amp;Crops[[#This Row],[Product]]&amp;Crops[[#This Row],[Unit]],Products[ID],Products[Market Transport (s)])*Crops[[#This Row],[Custom Yield Per Bed]]/3600</f>
        <v>3.75</v>
      </c>
      <c r="DC251" s="37">
        <f>Crops[[#This Row],[Direct Revenue Per Bed2]]</f>
        <v>4800</v>
      </c>
      <c r="DD251" s="173">
        <f>_xlfn.AGGREGATE(9,6,Crops[[#This Row],[Bed Prep]:[Remove Crop Residue]])</f>
        <v>43.692857142857143</v>
      </c>
      <c r="DE251" s="173">
        <f>_xlfn.AGGREGATE(9,6,Crops[[#This Row],[Bed Prep]:[Remove Crop Residue]])-0.75*Crops[[#This Row],[Market &amp; Sell]]</f>
        <v>32.892857142857139</v>
      </c>
      <c r="DF251" s="36">
        <f>Crops[[#This Row],[Direct Revenue Per Bed2]]/Crops[[#This Row],[Direct Time]]</f>
        <v>109.85777341834232</v>
      </c>
      <c r="DG251" s="36">
        <f>_xlfn.XLOOKUP(Crops[[#This Row],[ProductIndex]],Products[ID],Products[Packaging Cost])*(Crops[[#This Row],[Custom Yield Per Bed]]/_xlfn.XLOOKUP(Crops[[#This Row],[ProductIndex]],Products[ID],Products[Units Per Pack]))</f>
        <v>240</v>
      </c>
      <c r="DH251" s="36"/>
      <c r="DI251" s="36"/>
      <c r="DJ251" s="36"/>
      <c r="DK251" s="36"/>
      <c r="DL251" s="36"/>
      <c r="DM251" s="33">
        <f>IFERROR(Crops[[#This Row],[Custom Yield Per Bed]]*Crops[[#This Row],[Direct Price]],"")</f>
        <v>4800</v>
      </c>
      <c r="DN251" s="36">
        <f>Crops[[#This Row],[Direct Time]]*LaborRate</f>
        <v>1092.3214285714287</v>
      </c>
      <c r="DO251" s="36">
        <f>SUM(Crops[[#This Row],[Irrigation Cost]])</f>
        <v>0</v>
      </c>
      <c r="DP251" s="36">
        <f>Crops[[#This Row],[Direct Labor Cost]]+Crops[[#This Row],[Direct Non-Labor Cost]]</f>
        <v>1092.3214285714287</v>
      </c>
      <c r="DQ251" s="36">
        <f>Crops[[#This Row],[Direct Revenue Per Bed2]]-Crops[[#This Row],[Direct Total Cost]]</f>
        <v>3707.6785714285716</v>
      </c>
      <c r="DR251" s="36">
        <f>Crops[[#This Row],[Direct Profit]]*BedsPerAcre</f>
        <v>593228.57142857148</v>
      </c>
      <c r="DS251" s="36">
        <f>Crops[[#This Row],[Direct Profit]]*BedsPerAcre*GrowingDays/Crops[[#This Row],[Days In Field]]</f>
        <v>785155.46218487399</v>
      </c>
      <c r="DT251" s="36">
        <f>Crops[[#This Row],[Direct Profit]]/MIN(Crops[[#This Row],[Days In Field]],GrowingDays)</f>
        <v>27.262342436974791</v>
      </c>
      <c r="DU251" s="36">
        <f>Crops[[#This Row],[Direct Time]] * BedsPerAcre</f>
        <v>6990.8571428571431</v>
      </c>
      <c r="DV251" s="36">
        <f>(Crops[[#This Row],[Direct Revenue Per Bed2]]-Crops[[#This Row],[Direct Non-Labor Cost]])/Crops[[#This Row],[Direct Time]]</f>
        <v>109.85777341834232</v>
      </c>
      <c r="DW251" s="33">
        <f>IFERROR(Crops[[#This Row],[Custom Yield Per Bed]]*Crops[[#This Row],[Rough Wholesale Price]],"")</f>
        <v>2880</v>
      </c>
      <c r="DX251" s="36">
        <f>Crops[[#This Row],[Wholesale Time]]*LaborRate</f>
        <v>822.32142857142844</v>
      </c>
      <c r="DY251" s="36">
        <f>SUM(Crops[[#This Row],[Packaging Costs]:[Irrigation Cost]])</f>
        <v>240</v>
      </c>
      <c r="DZ251" s="36">
        <f>Crops[[#This Row],[Wholesale Labor Cost]]+Crops[[#This Row],[Wholesale Non-Labor Cost]]</f>
        <v>1062.3214285714284</v>
      </c>
      <c r="EA251" s="36">
        <f>Crops[[#This Row],[Wholesale Revenue Per Bed]]-Crops[[#This Row],[Wholesale Total Cost]]</f>
        <v>1817.6785714285716</v>
      </c>
      <c r="EB251" s="36">
        <f>Crops[[#This Row],[Wholesale Profit]]*BedsPerAcre</f>
        <v>290828.57142857148</v>
      </c>
      <c r="EC251" s="36">
        <f>Crops[[#This Row],[Wholesale Profit]]*BedsPerAcre*GrowingDays/Crops[[#This Row],[Days In Field]]</f>
        <v>384920.16806722694</v>
      </c>
      <c r="ED251" s="36">
        <f>Crops[[#This Row],[Wholesale Time]] * BedsPerAcre</f>
        <v>5262.8571428571422</v>
      </c>
      <c r="EE251" s="36">
        <f>Crops[[#This Row],[Wholesale Profit]]/MIN(Crops[[#This Row],[Days In Field]],GrowingDays)</f>
        <v>13.36528361344538</v>
      </c>
      <c r="EF251" s="36">
        <f>(Crops[[#This Row],[Wholesale Revenue Per Bed]]-Crops[[#This Row],[Wholesale Non-Labor Cost]])/Crops[[#This Row],[Direct Time]]</f>
        <v>60.421775380088278</v>
      </c>
      <c r="EG251" s="174">
        <f>Crops[[#This Row],[Packaging Costs]]/Crops[[#This Row],[Wholesale Revenue Per Bed]]</f>
        <v>8.3333333333333329E-2</v>
      </c>
      <c r="EH251" s="36" t="str">
        <f>Crops[[#This Row],[Crop]]&amp;Crops[[#This Row],[Product]]&amp;Crops[[#This Row],[Unit]]</f>
        <v>Queen Anne's LaceMature StemStem</v>
      </c>
      <c r="EI251" s="36" t="b">
        <f>_xlfn.XLOOKUP(Crops[[#This Row],[ProductIndex]],Products[ID],Products[Target])</f>
        <v>1</v>
      </c>
      <c r="EJ251" s="36">
        <f>Crops[[#This Row],[Custom Yield Per Bed]]</f>
        <v>4800</v>
      </c>
      <c r="EK251" s="210">
        <f>Crops[[#This Row],[Units Per Harvest]]/Crops[[#This Row],[Days Between Harvest]]*7</f>
        <v>800</v>
      </c>
      <c r="EL251" s="210" t="e">
        <f>Crops[[#This Row],[Custom Yield Per Bed]]/_xlfn.XLOOKUP(Crops[[#This Row],[ProductIndex]],Products[ID],Products[CSA Portion])</f>
        <v>#DIV/0!</v>
      </c>
      <c r="EM251" s="210" t="e">
        <f>Crops[[#This Row],[Units Per Harvest]]/Crops[[#This Row],[Days Between Harvest]]*7/_xlfn.XLOOKUP(Crops[[#This Row],[ProductIndex]],Products[ID],Products[CSA Portion])</f>
        <v>#DIV/0!</v>
      </c>
      <c r="EN251" s="210" t="e">
        <f>Crops[[#This Row],[CSA Portions Per Week]]/CSAMembers</f>
        <v>#DIV/0!</v>
      </c>
      <c r="EO251" s="210"/>
      <c r="EP251" s="210"/>
      <c r="EQ251" s="36"/>
      <c r="ER251" s="36">
        <f>Crops[[#This Row],[Harvests]]*Crops[[#This Row],[Days Between Harvest]]/7</f>
        <v>6</v>
      </c>
      <c r="ES251" s="208">
        <f>_xlfn.XLOOKUP(Crops[[#This Row],[ProductIndex]],Products[ID],Products[CSA Need])</f>
        <v>0</v>
      </c>
      <c r="ET251" s="208">
        <f>_xlfn.XLOOKUP(Crops[[#This Row],[ProductIndex]],Products[ID],Products[CSA Times])</f>
        <v>0</v>
      </c>
      <c r="EU251" s="208" t="e">
        <f>Crops[[#This Row],[Custom Yield Per Bed]]/(Crops[[#This Row],[CSA Need]]*(_xlfn.XLOOKUP(Crops[[#This Row],[ProductIndex]],Products[ID],Products[CSA Portion])*CSAMembers))</f>
        <v>#DIV/0!</v>
      </c>
      <c r="EV251" s="208">
        <f>_xlfn.XLOOKUP(Crops[[#This Row],[ProductIndex]],Products[ID],Products[CSA Portion])*CSAMembers*Crops[[#This Row],[CSA Need]]/Crops[[#This Row],[Custom Yield Per Bed]]</f>
        <v>0</v>
      </c>
      <c r="EW251" s="208">
        <f>IFERROR(Crops[[#This Row],[Days In Field]]*Crops[[#This Row],[CSA Beds]],"")</f>
        <v>0</v>
      </c>
      <c r="EX251" s="208" t="e">
        <f>Crops[[#This Row],[CSA Bed Days]]*#REF!</f>
        <v>#REF!</v>
      </c>
      <c r="EY251" t="s">
        <v>307</v>
      </c>
    </row>
    <row r="252" spans="1:155">
      <c r="A25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Radicchio (110 Day) - Forced Head 1X | Field TP Su</v>
      </c>
      <c r="B252" s="179"/>
      <c r="C252" s="1" t="b">
        <v>1</v>
      </c>
      <c r="D252" s="1"/>
      <c r="E252" s="1" t="b">
        <v>0</v>
      </c>
      <c r="F252" s="1" t="b">
        <f>IFERROR(IF(ISNUMBER(MATCH(Crops[[#This Row],[Identifier]],BedPlan[Crop], 0)), TRUE, FALSE), FALSE)</f>
        <v>0</v>
      </c>
      <c r="G252" s="1" t="b">
        <f>IFERROR(IF(ISNUMBER(MATCH(Crops[[#This Row],[Identifier]],BedPlan[Crop], 0)), TRUE, FALSE), FALSE)</f>
        <v>0</v>
      </c>
      <c r="H252" s="1"/>
      <c r="I252" t="s">
        <v>356</v>
      </c>
      <c r="J252" t="s">
        <v>1306</v>
      </c>
      <c r="K252" t="s">
        <v>357</v>
      </c>
      <c r="M252" t="s">
        <v>441</v>
      </c>
      <c r="N252" t="str">
        <f>Crops[[#This Row],[Crop]]</f>
        <v>Radicchio</v>
      </c>
      <c r="O252" t="s">
        <v>210</v>
      </c>
      <c r="P252" t="str">
        <f>IF(OR(Crops[[#This Row],[Days in Cells]]="",Crops[[#This Row],[Days in Cells]]=0), "DS","TP")</f>
        <v>TP</v>
      </c>
      <c r="R252" t="b">
        <v>1</v>
      </c>
      <c r="V252" t="str">
        <f xml:space="preserve"> IF(Crops[[#This Row],[Sp]], "Sp", "") &amp; IF(Crops[[#This Row],[Su]], "Su", "") &amp; IF(Crops[[#This Row],[Fa]], "Fa", "") &amp; IF(Crops[[#This Row],[Wi]], "Wi", "") &amp; IF(Crops[[#This Row],[OW]], "Ow","")</f>
        <v>Su</v>
      </c>
      <c r="W252" t="b">
        <v>1</v>
      </c>
      <c r="X252">
        <v>3</v>
      </c>
      <c r="Y252">
        <v>12</v>
      </c>
      <c r="AA252" t="s">
        <v>474</v>
      </c>
      <c r="AB252" t="b">
        <v>1</v>
      </c>
      <c r="AC252">
        <v>1.5</v>
      </c>
      <c r="AD252" s="32">
        <f>IFERROR(12/Crops[[#This Row],[Spacing]]*Crops[[#This Row],[Rows]]*BedLength,"")</f>
        <v>150</v>
      </c>
      <c r="AE252">
        <v>1</v>
      </c>
      <c r="AG252">
        <f>IF(Crops[[#This Row],[Custom Safety Factor]]="",PlantingSafetyFactor,Crops[[#This Row],[Custom Safety Factor]])</f>
        <v>1.3</v>
      </c>
      <c r="AH252">
        <f>1</f>
        <v>1</v>
      </c>
      <c r="AI252" s="37">
        <f>IFERROR(Crops[[#This Row],[Plantings Per Bed]]*Crops[[#This Row],[Seeds Per Planting]]*Crops[[#This Row],[Safety Factor]]*Crops[[#This Row],[Seeding Factor]],"")</f>
        <v>195</v>
      </c>
      <c r="AL252">
        <f>_xlfn.FLOOR.MATH(IFERROR(AVERAGE(Crops[[#This Row],[DTG Lower]:[DTG Upper]]),0))</f>
        <v>0</v>
      </c>
      <c r="AM252">
        <f>SUM(Crops[[#This Row],[Tray 1 Days]],Crops[[#This Row],[Tray 2 Days]],Crops[[#This Row],[Tray 3 Days]])</f>
        <v>30</v>
      </c>
      <c r="AN252" s="32">
        <v>30</v>
      </c>
      <c r="AP252">
        <v>110</v>
      </c>
      <c r="AQ252">
        <f>IFERROR(_xlfn.FLOOR.MATH(AVERAGE(Crops[[#This Row],[DTM Lower]:[DTM Upper]])),"")</f>
        <v>110</v>
      </c>
      <c r="AR252" cm="1">
        <f t="array" ref="AR252">_xlfn.SWITCH(Crops[[#This Row],[Normal Method]],"DS",Crops[[#This Row],[Days to Germination]]+Crops[[#This Row],[DTM]] + IF(Crops[[#This Row],[Days in Cells]]&gt;0,15,0), "TP",Crops[[#This Row],[DTM]]+Crops[[#This Row],[Days in Cells]] + IF(Crops[[#This Row],[Days in Cells]]&lt;=0,20,0), "X", Crops[[#This Row],[DTM]])</f>
        <v>140</v>
      </c>
      <c r="AS252" t="s">
        <v>346</v>
      </c>
      <c r="AT252">
        <f>(Crops[[#This Row],[Harvests]]-1)*Crops[[#This Row],[Days Between Harvest]]+7</f>
        <v>14</v>
      </c>
      <c r="AU252">
        <f>Crops[[#This Row],[STH]]-Crops[[#This Row],[Days in Cells]]+Crops[[#This Row],[Harvest window]]</f>
        <v>124</v>
      </c>
      <c r="AW252">
        <v>72</v>
      </c>
      <c r="AX252">
        <v>72</v>
      </c>
      <c r="AY252">
        <v>30</v>
      </c>
      <c r="AZ252" s="49">
        <f>IFERROR(IF(Crops[[#This Row],[Tray 1 Days]]=0,"",Crops[[#This Row],[Plantings Per Bed]]/Crops[[#This Row],[Tray 1 Size]]*Crops[[#This Row],[Safety Factor]]),"")</f>
        <v>2.7083333333333335</v>
      </c>
      <c r="BC252" t="str">
        <f>IFERROR(IF(Crops[[#This Row],[Tray 2 Days]]=0,"",Crops[[#This Row],[Plantings Per Bed]]/Crops[[#This Row],[Tray 2 Size]]*Crops[[#This Row],[Safety Factor]]),"")</f>
        <v/>
      </c>
      <c r="BE252" s="32" t="str">
        <f>IF(NOT(ISBLANK(Crops[[#This Row],[Tray 3 Size]])), Crops[[#This Row],[Days in Cells Old]]-SUM(Crops[[#This Row],[Tray 1 Days]],Crops[[#This Row],[Tray 2 Days]]), "")</f>
        <v/>
      </c>
      <c r="BF252" s="49" t="str">
        <f>IFERROR(IF(Crops[[#This Row],[Tray 3 Days]]=0,"",Crops[[#This Row],[Plantings Per Bed]]/Crops[[#This Row],[Tray 3 Size]]*Crops[[#This Row],[Safety Factor]]),"")</f>
        <v/>
      </c>
      <c r="BG252">
        <f>Crops[[#This Row],[Plantings Per Bed]]/Crops[[#This Row],[Harvests]]</f>
        <v>75</v>
      </c>
      <c r="BH252">
        <v>2</v>
      </c>
      <c r="BI252">
        <v>7</v>
      </c>
      <c r="BJ252" s="37">
        <f>_xlfn.XLOOKUP(Crops[[#This Row],[ProductIndex]],Products[ID],Products[Holding Period])</f>
        <v>10</v>
      </c>
      <c r="BK252">
        <v>21</v>
      </c>
      <c r="BL252" s="37">
        <f>Crops[[#This Row],[Units Per Harvest]]*Crops[[#This Row],[Harvests]]</f>
        <v>150</v>
      </c>
      <c r="BM252" s="35">
        <v>6</v>
      </c>
      <c r="BN252" s="35">
        <f>2.81*0.75</f>
        <v>2.1074999999999999</v>
      </c>
      <c r="BO252" s="35"/>
      <c r="BP252" t="s">
        <v>214</v>
      </c>
      <c r="BQ252">
        <f>Crops[[#This Row],[Custom Yield Per Bed]]*Crops[[#This Row],[Direct Price]]</f>
        <v>900</v>
      </c>
      <c r="BS252" t="b">
        <f>Crops[[#This Row],[Harvests]]&gt;1</f>
        <v>1</v>
      </c>
      <c r="BT252" s="36">
        <f>IFERROR(Crops[[#This Row],[Direct Revenue Per Bed]]/Crops[[#This Row],[Days In Field]],-1)</f>
        <v>7.258064516129032</v>
      </c>
      <c r="BU252" s="36">
        <f>IFERROR(Crops[[#This Row],[Direct Revenue Per Bed Day]]*GrowingDays*BedsPerAcre,"")</f>
        <v>209032.25806451612</v>
      </c>
      <c r="BV252" s="38">
        <f>LastFrostDate-5*Crops[[#This Row],[Sewing Rel Last Frost]]</f>
        <v>45808</v>
      </c>
      <c r="BW252" s="38">
        <f>Crops[[#This Row],[Target Sewing Date]]+Crops[[#This Row],[Days in Cells]]</f>
        <v>45838</v>
      </c>
      <c r="BX252" s="38">
        <f>Crops[[#This Row],[Target Sewing Date]]+Crops[[#This Row],[STH]]</f>
        <v>45948</v>
      </c>
      <c r="BY252" s="38">
        <f>Crops[[#This Row],[Target Harvest Data]]+Crops[[#This Row],[Harvest window]]</f>
        <v>45962</v>
      </c>
      <c r="BZ252">
        <v>-12</v>
      </c>
      <c r="CB252">
        <f>1</f>
        <v>1</v>
      </c>
      <c r="CC252">
        <f>IF(Crops[[#This Row],[Transplanting]]&gt;0, 2, 3)*BedLength/StandardBedLength</f>
        <v>1</v>
      </c>
      <c r="CD252" s="173">
        <f>IF(Crops[[#This Row],[Days in Cells]]&lt;=0,0,Crops[[#This Row],[Plantings Per Bed]]/StartsPerHourSeeding+Crops[[#This Row],[Tray 1 Count]]*5/60)</f>
        <v>0.81163194444444442</v>
      </c>
      <c r="CE252" s="173">
        <f>IF(ISBLANK(Crops[[#This Row],[Tray 2 Days]]),0,Crops[[#This Row],[Plantings Per Bed]]/UpPottingPerHour)+IF(Crops[[#This Row],[Tray 3 Days]]="",0,Crops[[#This Row],[Plantings Per Bed]]/UpPottingPerHour)</f>
        <v>0</v>
      </c>
      <c r="CF252" s="173">
        <f>IFERROR(Crops[[#This Row],[Tray 1 Count]]/HomeStartFlatIrrigationPerHour,0)*Crops[[#This Row],[Days in Cells]]/DaysBetweenStartIrrigation</f>
        <v>0.33854166666666669</v>
      </c>
      <c r="CG252" s="173">
        <f>0.5/16*MAX(Crops[[#This Row],[Tray 1 Count]],Crops[[#This Row],[Tray 2 Count]],Crops[[#This Row],[Tray 3 Count]])</f>
        <v>8.4635416666666671E-2</v>
      </c>
      <c r="CH252" s="173">
        <f>IF(Crops[[#This Row],[Days in Cells]]&gt;0,IF(IF(Crops[[#This Row],[Tray 3 Size]]&gt;0,Crops[[#This Row],[Tray 3 Size]],IF(Crops[[#This Row],[Tray 2 Size]]&gt;0,Crops[[#This Row],[Tray 2 Size]],Crops[[#This Row],[Tray 1 Size]]))&lt;=18,LargeTransplantTime,SmallTransplantTime)*Crops[[#This Row],[Plantings Per Bed]],0)</f>
        <v>0.75</v>
      </c>
      <c r="CI252" s="173"/>
      <c r="CJ252" s="173">
        <f>_xlfn.XLOOKUP(Crops[[#This Row],[Trellis Type]],TrellisMethods[Trellis Type],TrellisMethods[Hours],0,0)</f>
        <v>0</v>
      </c>
      <c r="CK252">
        <f>IF(Crops[[#This Row],[Days in Cells]]&lt;=0,Crops[[#This Row],[Rows]]*1/10,0)*BedLength/50</f>
        <v>0</v>
      </c>
      <c r="CL252" cm="1">
        <f t="array" ref="CL252">_xlfn.SWITCH(Crops[[#This Row],[Irrigation]],"DR", 0.5, "OH", 0.25,0)*BedLength/50</f>
        <v>0</v>
      </c>
      <c r="CM252">
        <f>IF(OR(ISBLANK(Crops[[#This Row],[Row Cover]]),Crops[[#This Row],[Row Cover]]="None"),0,1)*BedLength/50</f>
        <v>0</v>
      </c>
      <c r="CN252" s="173">
        <f>HoursPerWeedingPass*Crops[[#This Row],[Days In Field]]/14*Crops[[#This Row],[Rows]]+1*BedLength/50</f>
        <v>5.4285714285714279</v>
      </c>
      <c r="CO252" s="49"/>
      <c r="CQ252" s="37">
        <f>_xlfn.XLOOKUP(Crops[[#This Row],[Crop]]&amp;Crops[[#This Row],[Product]]&amp;Crops[[#This Row],[Unit]],Products[ID],Products[Marketing (hr)])*Crops[[#This Row],[Direct Revenue Per Bed]]/2000</f>
        <v>1.8</v>
      </c>
      <c r="CR252" s="37">
        <f>_xlfn.XLOOKUP(Crops[[#This Row],[Crop]]&amp;Crops[[#This Row],[Product]]&amp;Crops[[#This Row],[Unit]],Products[ID],Products[Harvest (s)])*Crops[[#This Row],[Custom Yield Per Bed]]/3600</f>
        <v>0.41666666666666669</v>
      </c>
      <c r="CS252" s="37">
        <f>_xlfn.XLOOKUP(Crops[[#This Row],[Crop]]&amp;Crops[[#This Row],[Product]]&amp;Crops[[#This Row],[Unit]],Products[ID],Products[Bunch (s)])*Crops[[#This Row],[Custom Yield Per Bed]]/3600</f>
        <v>0</v>
      </c>
      <c r="CT252" s="37">
        <f>_xlfn.XLOOKUP(Crops[[#This Row],[Crop]]&amp;Crops[[#This Row],[Product]]&amp;Crops[[#This Row],[Unit]],Products[ID],Products[Haul (s)])*Crops[[#This Row],[Custom Yield Per Bed]]/3600</f>
        <v>0.15625</v>
      </c>
      <c r="CU252" s="37">
        <f>_xlfn.XLOOKUP(Crops[[#This Row],[Crop]]&amp;Crops[[#This Row],[Product]]&amp;Crops[[#This Row],[Unit]],Products[ID],Products[Wash (s)])*Crops[[#This Row],[Custom Yield Per Bed]]/3600</f>
        <v>0</v>
      </c>
      <c r="CV252" s="37">
        <f>_xlfn.XLOOKUP(Crops[[#This Row],[Crop]]&amp;Crops[[#This Row],[Product]]&amp;Crops[[#This Row],[Unit]],Products[ID],Products[Condition (s)])*Crops[[#This Row],[Custom Yield Per Bed]]/3600</f>
        <v>0</v>
      </c>
      <c r="CW252" s="37">
        <f>_xlfn.XLOOKUP(Crops[[#This Row],[Crop]]&amp;Crops[[#This Row],[Product]]&amp;Crops[[#This Row],[Unit]],Products[ID],Products[Trim (s)])*Crops[[#This Row],[Custom Yield Per Bed]]/3600</f>
        <v>0.41666666666666669</v>
      </c>
      <c r="CX252" s="37">
        <f>_xlfn.XLOOKUP(Crops[[#This Row],[Crop]]&amp;Crops[[#This Row],[Product]]&amp;Crops[[#This Row],[Unit]],Products[ID],Products[Pack (s)])*Crops[[#This Row],[Custom Yield Per Bed]]/3600</f>
        <v>0.125</v>
      </c>
      <c r="CY252" s="37">
        <f>_xlfn.XLOOKUP(Crops[[#This Row],[Crop]]&amp;Crops[[#This Row],[Product]]&amp;Crops[[#This Row],[Unit]],Products[ID],Products[Clean (s)])*Crops[[#This Row],[Custom Yield Per Bed]]/3600</f>
        <v>0</v>
      </c>
      <c r="CZ252" s="37">
        <f>_xlfn.XLOOKUP(Crops[[#This Row],[Crop]]&amp;Crops[[#This Row],[Product]]&amp;Crops[[#This Row],[Unit]],Products[ID],Products[Rehandle (s)])*Crops[[#This Row],[Custom Yield Per Bed]]/3600</f>
        <v>0</v>
      </c>
      <c r="DA252" s="37">
        <f>_xlfn.XLOOKUP(Crops[[#This Row],[Crop]]&amp;Crops[[#This Row],[Product]]&amp;Crops[[#This Row],[Unit]],Products[ID],Products[Market Transport (s)])*Crops[[#This Row],[Custom Yield Per Bed]]/3600</f>
        <v>0.390625</v>
      </c>
      <c r="DC252" s="37">
        <f>Crops[[#This Row],[Direct Revenue Per Bed2]]</f>
        <v>900</v>
      </c>
      <c r="DD252" s="173">
        <f>_xlfn.AGGREGATE(9,6,Crops[[#This Row],[Bed Prep]:[Remove Crop Residue]])</f>
        <v>11.718588789682538</v>
      </c>
      <c r="DE252" s="173">
        <f>_xlfn.AGGREGATE(9,6,Crops[[#This Row],[Bed Prep]:[Remove Crop Residue]])-0.75*Crops[[#This Row],[Market &amp; Sell]]</f>
        <v>10.368588789682539</v>
      </c>
      <c r="DF252" s="36">
        <f>Crops[[#This Row],[Direct Revenue Per Bed2]]/Crops[[#This Row],[Direct Time]]</f>
        <v>76.801056522470688</v>
      </c>
      <c r="DG252" s="36">
        <f>_xlfn.XLOOKUP(Crops[[#This Row],[ProductIndex]],Products[ID],Products[Packaging Cost])*(Crops[[#This Row],[Custom Yield Per Bed]]/_xlfn.XLOOKUP(Crops[[#This Row],[ProductIndex]],Products[ID],Products[Units Per Pack]))</f>
        <v>23.75</v>
      </c>
      <c r="DH252" s="36"/>
      <c r="DI252" s="36"/>
      <c r="DJ252" s="36"/>
      <c r="DK252" s="36"/>
      <c r="DL252" s="36"/>
      <c r="DM252" s="37">
        <f>IFERROR(Crops[[#This Row],[Custom Yield Per Bed]]*Crops[[#This Row],[Direct Price]],"")</f>
        <v>900</v>
      </c>
      <c r="DN252" s="36">
        <f>Crops[[#This Row],[Direct Time]]*LaborRate</f>
        <v>292.96471974206344</v>
      </c>
      <c r="DO252" s="36">
        <f>SUM(Crops[[#This Row],[Irrigation Cost]])</f>
        <v>0</v>
      </c>
      <c r="DP252" s="36">
        <f>Crops[[#This Row],[Direct Labor Cost]]+Crops[[#This Row],[Direct Non-Labor Cost]]</f>
        <v>292.96471974206344</v>
      </c>
      <c r="DQ252" s="36">
        <f>Crops[[#This Row],[Direct Revenue Per Bed2]]-Crops[[#This Row],[Direct Total Cost]]</f>
        <v>607.03528025793662</v>
      </c>
      <c r="DR252" s="36">
        <f>Crops[[#This Row],[Direct Profit]]*BedsPerAcre</f>
        <v>97125.644841269852</v>
      </c>
      <c r="DS252" s="36">
        <f>Crops[[#This Row],[Direct Profit]]*BedsPerAcre*GrowingDays/Crops[[#This Row],[Days In Field]]</f>
        <v>140988.83928571432</v>
      </c>
      <c r="DT252" s="36">
        <f>Crops[[#This Row],[Direct Profit]]/MIN(Crops[[#This Row],[Days In Field]],GrowingDays)</f>
        <v>4.8954458085317469</v>
      </c>
      <c r="DU252" s="33">
        <f>Crops[[#This Row],[Direct Time]] * BedsPerAcre</f>
        <v>1874.9742063492063</v>
      </c>
      <c r="DV252" s="36">
        <f>(Crops[[#This Row],[Direct Revenue Per Bed2]]-Crops[[#This Row],[Direct Non-Labor Cost]])/Crops[[#This Row],[Direct Time]]</f>
        <v>76.801056522470688</v>
      </c>
      <c r="DW252" s="37">
        <f>IFERROR(Crops[[#This Row],[Custom Yield Per Bed]]*Crops[[#This Row],[Rough Wholesale Price]],"")</f>
        <v>316.125</v>
      </c>
      <c r="DX252" s="36">
        <f>Crops[[#This Row],[Wholesale Time]]*LaborRate</f>
        <v>259.21471974206349</v>
      </c>
      <c r="DY252" s="36">
        <f>SUM(Crops[[#This Row],[Packaging Costs]:[Irrigation Cost]])</f>
        <v>23.75</v>
      </c>
      <c r="DZ252" s="36">
        <f>Crops[[#This Row],[Wholesale Labor Cost]]+Crops[[#This Row],[Wholesale Non-Labor Cost]]</f>
        <v>282.96471974206349</v>
      </c>
      <c r="EA252" s="36">
        <f>Crops[[#This Row],[Wholesale Revenue Per Bed]]-Crops[[#This Row],[Wholesale Total Cost]]</f>
        <v>33.160280257936506</v>
      </c>
      <c r="EB252" s="36">
        <f>Crops[[#This Row],[Wholesale Profit]]*BedsPerAcre</f>
        <v>5305.644841269841</v>
      </c>
      <c r="EC252" s="36">
        <f>Crops[[#This Row],[Wholesale Profit]]*BedsPerAcre*GrowingDays/Crops[[#This Row],[Days In Field]]</f>
        <v>7701.742511520737</v>
      </c>
      <c r="ED252" s="33">
        <f>Crops[[#This Row],[Wholesale Time]] * BedsPerAcre</f>
        <v>1658.9742063492063</v>
      </c>
      <c r="EE252" s="221">
        <f>Crops[[#This Row],[Wholesale Profit]]/MIN(Crops[[#This Row],[Days In Field]],GrowingDays)</f>
        <v>0.26742161498335892</v>
      </c>
      <c r="EF252" s="36">
        <f>(Crops[[#This Row],[Wholesale Revenue Per Bed]]-Crops[[#This Row],[Wholesale Non-Labor Cost]])/Crops[[#This Row],[Direct Time]]</f>
        <v>24.949676556397076</v>
      </c>
      <c r="EG252" s="174">
        <f>Crops[[#This Row],[Packaging Costs]]/Crops[[#This Row],[Wholesale Revenue Per Bed]]</f>
        <v>7.5128509292210363E-2</v>
      </c>
      <c r="EH252" s="36" t="str">
        <f>Crops[[#This Row],[Crop]]&amp;Crops[[#This Row],[Product]]&amp;Crops[[#This Row],[Unit]]</f>
        <v>RadicchioForced HeadHead</v>
      </c>
      <c r="EI252" s="36" t="b">
        <f>_xlfn.XLOOKUP(Crops[[#This Row],[ProductIndex]],Products[ID],Products[Target])</f>
        <v>1</v>
      </c>
      <c r="EJ252" s="33">
        <f>Crops[[#This Row],[Custom Yield Per Bed]]</f>
        <v>150</v>
      </c>
      <c r="EK252" s="210">
        <f>Crops[[#This Row],[Units Per Harvest]]/Crops[[#This Row],[Days Between Harvest]]*7</f>
        <v>75</v>
      </c>
      <c r="EL252" s="210">
        <f>Crops[[#This Row],[Custom Yield Per Bed]]/_xlfn.XLOOKUP(Crops[[#This Row],[ProductIndex]],Products[ID],Products[CSA Portion])</f>
        <v>150</v>
      </c>
      <c r="EM252" s="210">
        <f>Crops[[#This Row],[Units Per Harvest]]/Crops[[#This Row],[Days Between Harvest]]*7/_xlfn.XLOOKUP(Crops[[#This Row],[ProductIndex]],Products[ID],Products[CSA Portion])</f>
        <v>75</v>
      </c>
      <c r="EN252" s="210">
        <f>Crops[[#This Row],[CSA Portions Per Week]]/CSAMembers</f>
        <v>1.5</v>
      </c>
      <c r="EO252" s="216"/>
      <c r="EP252" s="216"/>
      <c r="EQ252" s="210"/>
      <c r="ER252" s="210">
        <f>Crops[[#This Row],[Harvests]]*Crops[[#This Row],[Days Between Harvest]]/7</f>
        <v>2</v>
      </c>
      <c r="ES252" s="217">
        <f>_xlfn.XLOOKUP(Crops[[#This Row],[ProductIndex]],Products[ID],Products[CSA Need])</f>
        <v>1</v>
      </c>
      <c r="ET252" s="217">
        <f>_xlfn.XLOOKUP(Crops[[#This Row],[ProductIndex]],Products[ID],Products[CSA Times])</f>
        <v>1</v>
      </c>
      <c r="EU252" s="208">
        <f>Crops[[#This Row],[Custom Yield Per Bed]]/(Crops[[#This Row],[CSA Need]]*(_xlfn.XLOOKUP(Crops[[#This Row],[ProductIndex]],Products[ID],Products[CSA Portion])*CSAMembers))</f>
        <v>3</v>
      </c>
      <c r="EV252" s="208">
        <f>_xlfn.XLOOKUP(Crops[[#This Row],[ProductIndex]],Products[ID],Products[CSA Portion])*CSAMembers*Crops[[#This Row],[CSA Need]]/Crops[[#This Row],[Custom Yield Per Bed]]</f>
        <v>0.33333333333333331</v>
      </c>
      <c r="EW252" s="208">
        <f>IFERROR(Crops[[#This Row],[Days In Field]]*Crops[[#This Row],[CSA Beds]],"")</f>
        <v>41.333333333333329</v>
      </c>
      <c r="EX252" s="208" t="e">
        <f>Crops[[#This Row],[CSA Bed Days]]*#REF!</f>
        <v>#REF!</v>
      </c>
      <c r="EY252" t="s">
        <v>1417</v>
      </c>
    </row>
    <row r="253" spans="1:155" ht="15" customHeight="1">
      <c r="A25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Radicchio (90 Day) - Forced Head 1X | Field TP Su</v>
      </c>
      <c r="B253" s="179"/>
      <c r="C253" s="1" t="b">
        <v>1</v>
      </c>
      <c r="D253" s="1"/>
      <c r="E253" s="1" t="b">
        <v>0</v>
      </c>
      <c r="F253" s="1" t="b">
        <f>IFERROR(IF(ISNUMBER(MATCH(Crops[[#This Row],[Identifier]],BedPlan[Crop], 0)), TRUE, FALSE), FALSE)</f>
        <v>1</v>
      </c>
      <c r="G253" s="1" t="b">
        <f>IFERROR(IF(ISNUMBER(MATCH(Crops[[#This Row],[Identifier]],BedPlan[Crop], 0)), TRUE, FALSE), FALSE)</f>
        <v>1</v>
      </c>
      <c r="H253" s="1"/>
      <c r="I253" t="s">
        <v>356</v>
      </c>
      <c r="J253" t="s">
        <v>1305</v>
      </c>
      <c r="K253" t="s">
        <v>357</v>
      </c>
      <c r="M253" t="s">
        <v>441</v>
      </c>
      <c r="N253" t="str">
        <f>Crops[[#This Row],[Crop]]</f>
        <v>Radicchio</v>
      </c>
      <c r="O253" t="s">
        <v>210</v>
      </c>
      <c r="P253" t="str">
        <f>IF(OR(Crops[[#This Row],[Days in Cells]]="",Crops[[#This Row],[Days in Cells]]=0), "DS","TP")</f>
        <v>TP</v>
      </c>
      <c r="R253" t="b">
        <v>1</v>
      </c>
      <c r="V253" t="str">
        <f xml:space="preserve"> IF(Crops[[#This Row],[Sp]], "Sp", "") &amp; IF(Crops[[#This Row],[Su]], "Su", "") &amp; IF(Crops[[#This Row],[Fa]], "Fa", "") &amp; IF(Crops[[#This Row],[Wi]], "Wi", "") &amp; IF(Crops[[#This Row],[OW]], "Ow","")</f>
        <v>Su</v>
      </c>
      <c r="W253" t="b">
        <v>1</v>
      </c>
      <c r="X253">
        <v>3</v>
      </c>
      <c r="Y253">
        <v>12</v>
      </c>
      <c r="AA253" t="s">
        <v>474</v>
      </c>
      <c r="AB253" t="b">
        <v>1</v>
      </c>
      <c r="AC253">
        <v>1.5</v>
      </c>
      <c r="AD253" s="32">
        <f>IFERROR(12/Crops[[#This Row],[Spacing]]*Crops[[#This Row],[Rows]]*BedLength,"")</f>
        <v>150</v>
      </c>
      <c r="AE253">
        <v>1</v>
      </c>
      <c r="AG253">
        <f>IF(Crops[[#This Row],[Custom Safety Factor]]="",PlantingSafetyFactor,Crops[[#This Row],[Custom Safety Factor]])</f>
        <v>1.3</v>
      </c>
      <c r="AH253">
        <f>1</f>
        <v>1</v>
      </c>
      <c r="AI253" s="37">
        <f>IFERROR(Crops[[#This Row],[Plantings Per Bed]]*Crops[[#This Row],[Seeds Per Planting]]*Crops[[#This Row],[Safety Factor]]*Crops[[#This Row],[Seeding Factor]],"")</f>
        <v>195</v>
      </c>
      <c r="AL253">
        <f>_xlfn.FLOOR.MATH(IFERROR(AVERAGE(Crops[[#This Row],[DTG Lower]:[DTG Upper]]),0))</f>
        <v>0</v>
      </c>
      <c r="AM253">
        <f>SUM(Crops[[#This Row],[Tray 1 Days]],Crops[[#This Row],[Tray 2 Days]],Crops[[#This Row],[Tray 3 Days]])</f>
        <v>30</v>
      </c>
      <c r="AN253" s="32">
        <v>30</v>
      </c>
      <c r="AP253">
        <v>90</v>
      </c>
      <c r="AQ253">
        <f>IFERROR(_xlfn.FLOOR.MATH(AVERAGE(Crops[[#This Row],[DTM Lower]:[DTM Upper]])),"")</f>
        <v>90</v>
      </c>
      <c r="AR253" cm="1">
        <f t="array" ref="AR253">_xlfn.SWITCH(Crops[[#This Row],[Normal Method]],"DS",Crops[[#This Row],[Days to Germination]]+Crops[[#This Row],[DTM]] + IF(Crops[[#This Row],[Days in Cells]]&gt;0,15,0), "TP",Crops[[#This Row],[DTM]]+Crops[[#This Row],[Days in Cells]] + IF(Crops[[#This Row],[Days in Cells]]&lt;=0,20,0), "X", Crops[[#This Row],[DTM]])</f>
        <v>120</v>
      </c>
      <c r="AS253" t="s">
        <v>346</v>
      </c>
      <c r="AT253">
        <f>(Crops[[#This Row],[Harvests]]-1)*Crops[[#This Row],[Days Between Harvest]]+7</f>
        <v>14</v>
      </c>
      <c r="AU253">
        <f>Crops[[#This Row],[STH]]-Crops[[#This Row],[Days in Cells]]+Crops[[#This Row],[Harvest window]]</f>
        <v>104</v>
      </c>
      <c r="AX253">
        <v>72</v>
      </c>
      <c r="AY253">
        <v>30</v>
      </c>
      <c r="AZ253" s="49">
        <f>IFERROR(IF(Crops[[#This Row],[Tray 1 Days]]=0,"",Crops[[#This Row],[Plantings Per Bed]]/Crops[[#This Row],[Tray 1 Size]]*Crops[[#This Row],[Safety Factor]]),"")</f>
        <v>2.7083333333333335</v>
      </c>
      <c r="BC253" t="str">
        <f>IFERROR(IF(Crops[[#This Row],[Tray 2 Days]]=0,"",Crops[[#This Row],[Plantings Per Bed]]/Crops[[#This Row],[Tray 2 Size]]*Crops[[#This Row],[Safety Factor]]),"")</f>
        <v/>
      </c>
      <c r="BE253" s="32" t="str">
        <f>IF(NOT(ISBLANK(Crops[[#This Row],[Tray 3 Size]])), Crops[[#This Row],[Days in Cells Old]]-SUM(Crops[[#This Row],[Tray 1 Days]],Crops[[#This Row],[Tray 2 Days]]), "")</f>
        <v/>
      </c>
      <c r="BF253" s="49" t="str">
        <f>IFERROR(IF(Crops[[#This Row],[Tray 3 Days]]=0,"",Crops[[#This Row],[Plantings Per Bed]]/Crops[[#This Row],[Tray 3 Size]]*Crops[[#This Row],[Safety Factor]]),"")</f>
        <v/>
      </c>
      <c r="BG253">
        <f>Crops[[#This Row],[Plantings Per Bed]]/Crops[[#This Row],[Harvests]]</f>
        <v>75</v>
      </c>
      <c r="BH253">
        <v>2</v>
      </c>
      <c r="BI253">
        <v>7</v>
      </c>
      <c r="BJ253" s="37">
        <f>_xlfn.XLOOKUP(Crops[[#This Row],[ProductIndex]],Products[ID],Products[Holding Period])</f>
        <v>10</v>
      </c>
      <c r="BK253">
        <v>21</v>
      </c>
      <c r="BL253" s="37">
        <f>Crops[[#This Row],[Units Per Harvest]]*Crops[[#This Row],[Harvests]]</f>
        <v>150</v>
      </c>
      <c r="BM253" s="35">
        <v>6</v>
      </c>
      <c r="BN253" s="35">
        <f>2.81*0.75</f>
        <v>2.1074999999999999</v>
      </c>
      <c r="BO253" s="35"/>
      <c r="BP253" t="s">
        <v>214</v>
      </c>
      <c r="BQ253">
        <f>Crops[[#This Row],[Custom Yield Per Bed]]*Crops[[#This Row],[Direct Price]]</f>
        <v>900</v>
      </c>
      <c r="BS253" t="b">
        <f>Crops[[#This Row],[Harvests]]&gt;1</f>
        <v>1</v>
      </c>
      <c r="BT253" s="36">
        <f>IFERROR(Crops[[#This Row],[Direct Revenue Per Bed]]/Crops[[#This Row],[Days In Field]],-1)</f>
        <v>8.6538461538461533</v>
      </c>
      <c r="BU253" s="36">
        <f>IFERROR(Crops[[#This Row],[Direct Revenue Per Bed Day]]*GrowingDays*BedsPerAcre,"")</f>
        <v>249230.76923076922</v>
      </c>
      <c r="BV253" s="38">
        <f>LastFrostDate-5*Crops[[#This Row],[Sewing Rel Last Frost]]</f>
        <v>45808</v>
      </c>
      <c r="BW253" s="38">
        <f>Crops[[#This Row],[Target Sewing Date]]+Crops[[#This Row],[Days in Cells]]</f>
        <v>45838</v>
      </c>
      <c r="BX253" s="38">
        <f>Crops[[#This Row],[Target Sewing Date]]+Crops[[#This Row],[STH]]</f>
        <v>45928</v>
      </c>
      <c r="BY253" s="38">
        <f>Crops[[#This Row],[Target Harvest Data]]+Crops[[#This Row],[Harvest window]]</f>
        <v>45942</v>
      </c>
      <c r="BZ253">
        <v>-12</v>
      </c>
      <c r="CB253">
        <f>1</f>
        <v>1</v>
      </c>
      <c r="CC253">
        <f>IF(Crops[[#This Row],[Transplanting]]&gt;0, 2, 3)*BedLength/StandardBedLength</f>
        <v>1</v>
      </c>
      <c r="CD253" s="173">
        <f>IF(Crops[[#This Row],[Days in Cells]]&lt;=0,0,Crops[[#This Row],[Plantings Per Bed]]/StartsPerHourSeeding+Crops[[#This Row],[Tray 1 Count]]*5/60)</f>
        <v>0.81163194444444442</v>
      </c>
      <c r="CE253" s="173">
        <f>IF(ISBLANK(Crops[[#This Row],[Tray 2 Days]]),0,Crops[[#This Row],[Plantings Per Bed]]/UpPottingPerHour)+IF(Crops[[#This Row],[Tray 3 Days]]="",0,Crops[[#This Row],[Plantings Per Bed]]/UpPottingPerHour)</f>
        <v>0</v>
      </c>
      <c r="CF253" s="173">
        <f>IFERROR(Crops[[#This Row],[Tray 1 Count]]/HomeStartFlatIrrigationPerHour,0)*Crops[[#This Row],[Days in Cells]]/DaysBetweenStartIrrigation</f>
        <v>0.33854166666666669</v>
      </c>
      <c r="CG253" s="173">
        <f>0.5/16*MAX(Crops[[#This Row],[Tray 1 Count]],Crops[[#This Row],[Tray 2 Count]],Crops[[#This Row],[Tray 3 Count]])</f>
        <v>8.4635416666666671E-2</v>
      </c>
      <c r="CH253" s="173">
        <f>IF(Crops[[#This Row],[Days in Cells]]&gt;0,IF(IF(Crops[[#This Row],[Tray 3 Size]]&gt;0,Crops[[#This Row],[Tray 3 Size]],IF(Crops[[#This Row],[Tray 2 Size]]&gt;0,Crops[[#This Row],[Tray 2 Size]],Crops[[#This Row],[Tray 1 Size]]))&lt;=18,LargeTransplantTime,SmallTransplantTime)*Crops[[#This Row],[Plantings Per Bed]],0)</f>
        <v>0.75</v>
      </c>
      <c r="CI253" s="173"/>
      <c r="CJ253" s="173">
        <f>_xlfn.XLOOKUP(Crops[[#This Row],[Trellis Type]],TrellisMethods[Trellis Type],TrellisMethods[Hours],0,0)</f>
        <v>0</v>
      </c>
      <c r="CK253">
        <f>IF(Crops[[#This Row],[Days in Cells]]&lt;=0,Crops[[#This Row],[Rows]]*1/10,0)*BedLength/50</f>
        <v>0</v>
      </c>
      <c r="CL253" cm="1">
        <f t="array" ref="CL253">_xlfn.SWITCH(Crops[[#This Row],[Irrigation]],"DR", 0.5, "OH", 0.25,0)*BedLength/50</f>
        <v>0</v>
      </c>
      <c r="CM253">
        <f>IF(OR(ISBLANK(Crops[[#This Row],[Row Cover]]),Crops[[#This Row],[Row Cover]]="None"),0,1)*BedLength/50</f>
        <v>0</v>
      </c>
      <c r="CN253" s="173">
        <f>HoursPerWeedingPass*Crops[[#This Row],[Days In Field]]/14*Crops[[#This Row],[Rows]]+1*BedLength/50</f>
        <v>4.7142857142857135</v>
      </c>
      <c r="CO253" s="49"/>
      <c r="CQ253" s="37">
        <f>_xlfn.XLOOKUP(Crops[[#This Row],[Crop]]&amp;Crops[[#This Row],[Product]]&amp;Crops[[#This Row],[Unit]],Products[ID],Products[Marketing (hr)])*Crops[[#This Row],[Direct Revenue Per Bed]]/2000</f>
        <v>1.8</v>
      </c>
      <c r="CR253" s="37">
        <f>_xlfn.XLOOKUP(Crops[[#This Row],[Crop]]&amp;Crops[[#This Row],[Product]]&amp;Crops[[#This Row],[Unit]],Products[ID],Products[Harvest (s)])*Crops[[#This Row],[Custom Yield Per Bed]]/3600</f>
        <v>0.41666666666666669</v>
      </c>
      <c r="CS253" s="37">
        <f>_xlfn.XLOOKUP(Crops[[#This Row],[Crop]]&amp;Crops[[#This Row],[Product]]&amp;Crops[[#This Row],[Unit]],Products[ID],Products[Bunch (s)])*Crops[[#This Row],[Custom Yield Per Bed]]/3600</f>
        <v>0</v>
      </c>
      <c r="CT253" s="37">
        <f>_xlfn.XLOOKUP(Crops[[#This Row],[Crop]]&amp;Crops[[#This Row],[Product]]&amp;Crops[[#This Row],[Unit]],Products[ID],Products[Haul (s)])*Crops[[#This Row],[Custom Yield Per Bed]]/3600</f>
        <v>0.15625</v>
      </c>
      <c r="CU253" s="37">
        <f>_xlfn.XLOOKUP(Crops[[#This Row],[Crop]]&amp;Crops[[#This Row],[Product]]&amp;Crops[[#This Row],[Unit]],Products[ID],Products[Wash (s)])*Crops[[#This Row],[Custom Yield Per Bed]]/3600</f>
        <v>0</v>
      </c>
      <c r="CV253" s="37">
        <f>_xlfn.XLOOKUP(Crops[[#This Row],[Crop]]&amp;Crops[[#This Row],[Product]]&amp;Crops[[#This Row],[Unit]],Products[ID],Products[Condition (s)])*Crops[[#This Row],[Custom Yield Per Bed]]/3600</f>
        <v>0</v>
      </c>
      <c r="CW253" s="37">
        <f>_xlfn.XLOOKUP(Crops[[#This Row],[Crop]]&amp;Crops[[#This Row],[Product]]&amp;Crops[[#This Row],[Unit]],Products[ID],Products[Trim (s)])*Crops[[#This Row],[Custom Yield Per Bed]]/3600</f>
        <v>0.41666666666666669</v>
      </c>
      <c r="CX253" s="37">
        <f>_xlfn.XLOOKUP(Crops[[#This Row],[Crop]]&amp;Crops[[#This Row],[Product]]&amp;Crops[[#This Row],[Unit]],Products[ID],Products[Pack (s)])*Crops[[#This Row],[Custom Yield Per Bed]]/3600</f>
        <v>0.125</v>
      </c>
      <c r="CY253" s="37">
        <f>_xlfn.XLOOKUP(Crops[[#This Row],[Crop]]&amp;Crops[[#This Row],[Product]]&amp;Crops[[#This Row],[Unit]],Products[ID],Products[Clean (s)])*Crops[[#This Row],[Custom Yield Per Bed]]/3600</f>
        <v>0</v>
      </c>
      <c r="CZ253" s="37">
        <f>_xlfn.XLOOKUP(Crops[[#This Row],[Crop]]&amp;Crops[[#This Row],[Product]]&amp;Crops[[#This Row],[Unit]],Products[ID],Products[Rehandle (s)])*Crops[[#This Row],[Custom Yield Per Bed]]/3600</f>
        <v>0</v>
      </c>
      <c r="DA253" s="37">
        <f>_xlfn.XLOOKUP(Crops[[#This Row],[Crop]]&amp;Crops[[#This Row],[Product]]&amp;Crops[[#This Row],[Unit]],Products[ID],Products[Market Transport (s)])*Crops[[#This Row],[Custom Yield Per Bed]]/3600</f>
        <v>0.390625</v>
      </c>
      <c r="DC253" s="37">
        <f>Crops[[#This Row],[Direct Revenue Per Bed2]]</f>
        <v>900</v>
      </c>
      <c r="DD253" s="173">
        <f>_xlfn.AGGREGATE(9,6,Crops[[#This Row],[Bed Prep]:[Remove Crop Residue]])</f>
        <v>11.004303075396823</v>
      </c>
      <c r="DE253" s="173">
        <f>_xlfn.AGGREGATE(9,6,Crops[[#This Row],[Bed Prep]:[Remove Crop Residue]])-0.75*Crops[[#This Row],[Market &amp; Sell]]</f>
        <v>9.6543030753968235</v>
      </c>
      <c r="DF253" s="36">
        <f>Crops[[#This Row],[Direct Revenue Per Bed2]]/Crops[[#This Row],[Direct Time]]</f>
        <v>81.786187987879032</v>
      </c>
      <c r="DG253" s="36">
        <f>_xlfn.XLOOKUP(Crops[[#This Row],[ProductIndex]],Products[ID],Products[Packaging Cost])*(Crops[[#This Row],[Custom Yield Per Bed]]/_xlfn.XLOOKUP(Crops[[#This Row],[ProductIndex]],Products[ID],Products[Units Per Pack]))</f>
        <v>23.75</v>
      </c>
      <c r="DH253" s="36"/>
      <c r="DI253" s="36"/>
      <c r="DJ253" s="36"/>
      <c r="DK253" s="36"/>
      <c r="DL253" s="36"/>
      <c r="DM253" s="37">
        <f>IFERROR(Crops[[#This Row],[Custom Yield Per Bed]]*Crops[[#This Row],[Direct Price]],"")</f>
        <v>900</v>
      </c>
      <c r="DN253" s="36">
        <f>Crops[[#This Row],[Direct Time]]*LaborRate</f>
        <v>275.1075768849206</v>
      </c>
      <c r="DO253" s="36">
        <f>SUM(Crops[[#This Row],[Irrigation Cost]])</f>
        <v>0</v>
      </c>
      <c r="DP253" s="36">
        <f>Crops[[#This Row],[Direct Labor Cost]]+Crops[[#This Row],[Direct Non-Labor Cost]]</f>
        <v>275.1075768849206</v>
      </c>
      <c r="DQ253" s="36">
        <f>Crops[[#This Row],[Direct Revenue Per Bed2]]-Crops[[#This Row],[Direct Total Cost]]</f>
        <v>624.8924231150794</v>
      </c>
      <c r="DR253" s="36">
        <f>Crops[[#This Row],[Direct Profit]]*BedsPerAcre</f>
        <v>99982.787698412707</v>
      </c>
      <c r="DS253" s="36">
        <f>Crops[[#This Row],[Direct Profit]]*BedsPerAcre*GrowingDays/Crops[[#This Row],[Days In Field]]</f>
        <v>173047.13255494507</v>
      </c>
      <c r="DT253" s="36">
        <f>Crops[[#This Row],[Direct Profit]]/MIN(Crops[[#This Row],[Days In Field]],GrowingDays)</f>
        <v>6.0085809914911481</v>
      </c>
      <c r="DU253" s="33">
        <f>Crops[[#This Row],[Direct Time]] * BedsPerAcre</f>
        <v>1760.6884920634916</v>
      </c>
      <c r="DV253" s="36">
        <f>(Crops[[#This Row],[Direct Revenue Per Bed2]]-Crops[[#This Row],[Direct Non-Labor Cost]])/Crops[[#This Row],[Direct Time]]</f>
        <v>81.786187987879032</v>
      </c>
      <c r="DW253" s="37">
        <f>IFERROR(Crops[[#This Row],[Custom Yield Per Bed]]*Crops[[#This Row],[Rough Wholesale Price]],"")</f>
        <v>316.125</v>
      </c>
      <c r="DX253" s="36">
        <f>Crops[[#This Row],[Wholesale Time]]*LaborRate</f>
        <v>241.35757688492058</v>
      </c>
      <c r="DY253" s="36">
        <f>SUM(Crops[[#This Row],[Packaging Costs]:[Irrigation Cost]])</f>
        <v>23.75</v>
      </c>
      <c r="DZ253" s="36">
        <f>Crops[[#This Row],[Wholesale Labor Cost]]+Crops[[#This Row],[Wholesale Non-Labor Cost]]</f>
        <v>265.1075768849206</v>
      </c>
      <c r="EA253" s="36">
        <f>Crops[[#This Row],[Wholesale Revenue Per Bed]]-Crops[[#This Row],[Wholesale Total Cost]]</f>
        <v>51.017423115079396</v>
      </c>
      <c r="EB253" s="36">
        <f>Crops[[#This Row],[Wholesale Profit]]*BedsPerAcre</f>
        <v>8162.7876984127033</v>
      </c>
      <c r="EC253" s="36">
        <f>Crops[[#This Row],[Wholesale Profit]]*BedsPerAcre*GrowingDays/Crops[[#This Row],[Days In Field]]</f>
        <v>14127.901785714294</v>
      </c>
      <c r="ED253" s="33">
        <f>Crops[[#This Row],[Wholesale Time]] * BedsPerAcre</f>
        <v>1544.6884920634918</v>
      </c>
      <c r="EE253" s="221">
        <f>Crops[[#This Row],[Wholesale Profit]]/MIN(Crops[[#This Row],[Days In Field]],GrowingDays)</f>
        <v>0.4905521453373019</v>
      </c>
      <c r="EF253" s="36">
        <f>(Crops[[#This Row],[Wholesale Revenue Per Bed]]-Crops[[#This Row],[Wholesale Non-Labor Cost]])/Crops[[#This Row],[Direct Time]]</f>
        <v>26.569151903284592</v>
      </c>
      <c r="EG253" s="174">
        <f>Crops[[#This Row],[Packaging Costs]]/Crops[[#This Row],[Wholesale Revenue Per Bed]]</f>
        <v>7.5128509292210363E-2</v>
      </c>
      <c r="EH253" s="36" t="str">
        <f>Crops[[#This Row],[Crop]]&amp;Crops[[#This Row],[Product]]&amp;Crops[[#This Row],[Unit]]</f>
        <v>RadicchioForced HeadHead</v>
      </c>
      <c r="EI253" s="36" t="b">
        <f>_xlfn.XLOOKUP(Crops[[#This Row],[ProductIndex]],Products[ID],Products[Target])</f>
        <v>1</v>
      </c>
      <c r="EJ253" s="33">
        <f>Crops[[#This Row],[Custom Yield Per Bed]]</f>
        <v>150</v>
      </c>
      <c r="EK253" s="210">
        <f>Crops[[#This Row],[Units Per Harvest]]/Crops[[#This Row],[Days Between Harvest]]*7</f>
        <v>75</v>
      </c>
      <c r="EL253" s="210">
        <f>Crops[[#This Row],[Custom Yield Per Bed]]/_xlfn.XLOOKUP(Crops[[#This Row],[ProductIndex]],Products[ID],Products[CSA Portion])</f>
        <v>150</v>
      </c>
      <c r="EM253" s="210">
        <f>Crops[[#This Row],[Units Per Harvest]]/Crops[[#This Row],[Days Between Harvest]]*7/_xlfn.XLOOKUP(Crops[[#This Row],[ProductIndex]],Products[ID],Products[CSA Portion])</f>
        <v>75</v>
      </c>
      <c r="EN253" s="210">
        <f>Crops[[#This Row],[CSA Portions Per Week]]/CSAMembers</f>
        <v>1.5</v>
      </c>
      <c r="EO253" s="216">
        <v>0.5</v>
      </c>
      <c r="EP253" s="216">
        <v>1</v>
      </c>
      <c r="EQ253" s="210" t="s">
        <v>2691</v>
      </c>
      <c r="ER253" s="210">
        <f>Crops[[#This Row],[Harvests]]*Crops[[#This Row],[Days Between Harvest]]/7</f>
        <v>2</v>
      </c>
      <c r="ES253" s="217">
        <f>_xlfn.XLOOKUP(Crops[[#This Row],[ProductIndex]],Products[ID],Products[CSA Need])</f>
        <v>1</v>
      </c>
      <c r="ET253" s="217">
        <f>_xlfn.XLOOKUP(Crops[[#This Row],[ProductIndex]],Products[ID],Products[CSA Times])</f>
        <v>1</v>
      </c>
      <c r="EU253" s="208">
        <f>Crops[[#This Row],[Custom Yield Per Bed]]/(Crops[[#This Row],[CSA Need]]*(_xlfn.XLOOKUP(Crops[[#This Row],[ProductIndex]],Products[ID],Products[CSA Portion])*CSAMembers))</f>
        <v>3</v>
      </c>
      <c r="EV253" s="208">
        <f>_xlfn.XLOOKUP(Crops[[#This Row],[ProductIndex]],Products[ID],Products[CSA Portion])*CSAMembers*Crops[[#This Row],[CSA Need]]/Crops[[#This Row],[Custom Yield Per Bed]]</f>
        <v>0.33333333333333331</v>
      </c>
      <c r="EW253" s="208">
        <f>IFERROR(Crops[[#This Row],[Days In Field]]*Crops[[#This Row],[CSA Beds]],"")</f>
        <v>34.666666666666664</v>
      </c>
      <c r="EX253" s="208" t="e">
        <f>Crops[[#This Row],[CSA Bed Days]]*#REF!</f>
        <v>#REF!</v>
      </c>
      <c r="EY253" t="s">
        <v>1417</v>
      </c>
    </row>
    <row r="254" spans="1:155" ht="15" customHeight="1">
      <c r="A25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 Mature Root 5X | Field TP SpFaWi</v>
      </c>
      <c r="B254" s="191"/>
      <c r="C254" s="1"/>
      <c r="D254" s="1"/>
      <c r="E254" s="1" t="b">
        <v>0</v>
      </c>
      <c r="F254" s="1" t="b">
        <f>IFERROR(IF(ISNUMBER(MATCH(Crops[[#This Row],[Identifier]],BedPlan[Crop], 0)), TRUE, FALSE), FALSE)</f>
        <v>0</v>
      </c>
      <c r="G254" s="1" t="b">
        <f>IFERROR(IF(ISNUMBER(MATCH(Crops[[#This Row],[Identifier]],BedPlan[Crop], 0)), TRUE, FALSE), FALSE)</f>
        <v>0</v>
      </c>
      <c r="H254" s="1"/>
      <c r="I254" t="s">
        <v>114</v>
      </c>
      <c r="J254" t="s">
        <v>145</v>
      </c>
      <c r="K254" t="s">
        <v>185</v>
      </c>
      <c r="M254" t="s">
        <v>443</v>
      </c>
      <c r="N254" t="str">
        <f>Crops[[#This Row],[Crop]]</f>
        <v>Radish</v>
      </c>
      <c r="O254" t="s">
        <v>210</v>
      </c>
      <c r="P254" t="str">
        <f>IF(OR(Crops[[#This Row],[Days in Cells]]="",Crops[[#This Row],[Days in Cells]]=0), "DS","TP")</f>
        <v>TP</v>
      </c>
      <c r="Q254" t="b">
        <v>1</v>
      </c>
      <c r="S254" t="s">
        <v>144</v>
      </c>
      <c r="T254" t="s">
        <v>144</v>
      </c>
      <c r="V254" t="str">
        <f xml:space="preserve"> IF(Crops[[#This Row],[Sp]], "Sp", "") &amp; IF(Crops[[#This Row],[Su]], "Su", "") &amp; IF(Crops[[#This Row],[Fa]], "Fa", "") &amp; IF(Crops[[#This Row],[Wi]], "Wi", "") &amp; IF(Crops[[#This Row],[OW]], "Ow","")</f>
        <v>SpFaWi</v>
      </c>
      <c r="W254" t="s">
        <v>144</v>
      </c>
      <c r="X254">
        <v>4</v>
      </c>
      <c r="Y254">
        <v>6</v>
      </c>
      <c r="Z254" t="s">
        <v>431</v>
      </c>
      <c r="AA254" t="s">
        <v>475</v>
      </c>
      <c r="AB254" t="b">
        <v>1</v>
      </c>
      <c r="AC254">
        <v>1</v>
      </c>
      <c r="AD254" s="32">
        <f>IFERROR(12/Crops[[#This Row],[Spacing]]*Crops[[#This Row],[Rows]]*BedLength,"")</f>
        <v>400</v>
      </c>
      <c r="AE254">
        <v>5</v>
      </c>
      <c r="AG254">
        <f>IF(Crops[[#This Row],[Custom Safety Factor]]="",PlantingSafetyFactor,Crops[[#This Row],[Custom Safety Factor]])</f>
        <v>1.3</v>
      </c>
      <c r="AH254">
        <f>1</f>
        <v>1</v>
      </c>
      <c r="AI254" s="33">
        <f>IFERROR(Crops[[#This Row],[Plantings Per Bed]]*Crops[[#This Row],[Seeds Per Planting]]*Crops[[#This Row],[Safety Factor]]*Crops[[#This Row],[Seeding Factor]],"")</f>
        <v>2600</v>
      </c>
      <c r="AJ254">
        <v>5</v>
      </c>
      <c r="AK254">
        <v>10</v>
      </c>
      <c r="AL254">
        <f>_xlfn.FLOOR.MATH(IFERROR(AVERAGE(Crops[[#This Row],[DTG Lower]:[DTG Upper]]),0))</f>
        <v>7</v>
      </c>
      <c r="AM254">
        <f>SUM(Crops[[#This Row],[Tray 1 Days]],Crops[[#This Row],[Tray 2 Days]],Crops[[#This Row],[Tray 3 Days]])</f>
        <v>25</v>
      </c>
      <c r="AN254" s="32">
        <f>3.5*7</f>
        <v>24.5</v>
      </c>
      <c r="AP254">
        <v>42</v>
      </c>
      <c r="AQ254">
        <f>IFERROR(_xlfn.FLOOR.MATH(AVERAGE(Crops[[#This Row],[DTM Lower]:[DTM Upper]])),"")</f>
        <v>42</v>
      </c>
      <c r="AR254" cm="1">
        <f t="array" ref="AR254">_xlfn.SWITCH(Crops[[#This Row],[Normal Method]],"DS",Crops[[#This Row],[Days to Germination]]+Crops[[#This Row],[DTM]] + IF(Crops[[#This Row],[Days in Cells]]&gt;0,15,0), "TP",Crops[[#This Row],[DTM]]+Crops[[#This Row],[Days in Cells]] + IF(Crops[[#This Row],[Days in Cells]]&lt;=0,20,0), "X", Crops[[#This Row],[DTM]])</f>
        <v>42</v>
      </c>
      <c r="AS254" t="s">
        <v>347</v>
      </c>
      <c r="AT254">
        <f>(Crops[[#This Row],[Harvests]]-1)*Crops[[#This Row],[Days Between Harvest]]+7</f>
        <v>17</v>
      </c>
      <c r="AU254">
        <f>Crops[[#This Row],[STH]]-Crops[[#This Row],[Days in Cells]]+Crops[[#This Row],[Harvest window]]</f>
        <v>34</v>
      </c>
      <c r="AW254">
        <v>128</v>
      </c>
      <c r="AX254">
        <v>128</v>
      </c>
      <c r="AY254">
        <v>25</v>
      </c>
      <c r="AZ254" s="49">
        <f>IFERROR(IF(Crops[[#This Row],[Tray 1 Days]]=0,"",Crops[[#This Row],[Plantings Per Bed]]/Crops[[#This Row],[Tray 1 Size]]*Crops[[#This Row],[Safety Factor]]),"")</f>
        <v>4.0625</v>
      </c>
      <c r="BC254" t="str">
        <f>IFERROR(IF(Crops[[#This Row],[Tray 2 Days]]=0,"",Crops[[#This Row],[Plantings Per Bed]]/Crops[[#This Row],[Tray 2 Size]]*Crops[[#This Row],[Safety Factor]]),"")</f>
        <v/>
      </c>
      <c r="BE254" s="32" t="str">
        <f>IF(NOT(ISBLANK(Crops[[#This Row],[Tray 3 Size]])), Crops[[#This Row],[Days in Cells Old]]-SUM(Crops[[#This Row],[Tray 1 Days]],Crops[[#This Row],[Tray 2 Days]]), "")</f>
        <v/>
      </c>
      <c r="BF254" s="49" t="str">
        <f>IFERROR(IF(Crops[[#This Row],[Tray 3 Days]]=0,"",Crops[[#This Row],[Plantings Per Bed]]/Crops[[#This Row],[Tray 3 Size]]*Crops[[#This Row],[Safety Factor]]),"")</f>
        <v/>
      </c>
      <c r="BG254" s="33">
        <f>Crops[[#This Row],[Plantings Per Bed]]*5/15/Crops[[#This Row],[Harvests]]</f>
        <v>66.666666666666671</v>
      </c>
      <c r="BH254" s="33">
        <v>2</v>
      </c>
      <c r="BI254" s="33">
        <v>10</v>
      </c>
      <c r="BJ254" s="33">
        <f>_xlfn.XLOOKUP(Crops[[#This Row],[ProductIndex]],Products[ID],Products[Holding Period])</f>
        <v>7</v>
      </c>
      <c r="BK254" s="33"/>
      <c r="BL254" s="33">
        <f>Crops[[#This Row],[Units Per Harvest]]*Crops[[#This Row],[Harvests]]</f>
        <v>133.33333333333334</v>
      </c>
      <c r="BM254" s="35">
        <v>3</v>
      </c>
      <c r="BN254" s="35">
        <v>1.5</v>
      </c>
      <c r="BO254" s="35"/>
      <c r="BP254" t="s">
        <v>215</v>
      </c>
      <c r="BQ254">
        <f>Crops[[#This Row],[Custom Yield Per Bed]]*Crops[[#This Row],[Direct Price]]</f>
        <v>400</v>
      </c>
      <c r="BS254" t="b">
        <f>Crops[[#This Row],[Harvests]]&gt;1</f>
        <v>1</v>
      </c>
      <c r="BT254" s="36">
        <f>IFERROR(Crops[[#This Row],[Direct Revenue Per Bed]]/Crops[[#This Row],[Days In Field]],-1)</f>
        <v>11.764705882352942</v>
      </c>
      <c r="BU254" s="36">
        <f>IFERROR(Crops[[#This Row],[Direct Revenue Per Bed Day]]*GrowingDays*BedsPerAcre,"")</f>
        <v>338823.52941176476</v>
      </c>
      <c r="BV254" s="38">
        <f>LastFrostDate-5*Crops[[#This Row],[Sewing Rel Last Frost]]</f>
        <v>45723</v>
      </c>
      <c r="BW254" s="38">
        <f>Crops[[#This Row],[Target Sewing Date]]+Crops[[#This Row],[Days in Cells]]</f>
        <v>45748</v>
      </c>
      <c r="BX254" s="38">
        <f>Crops[[#This Row],[Target Sewing Date]]+Crops[[#This Row],[STH]]</f>
        <v>45765</v>
      </c>
      <c r="BY254" s="38">
        <f>Crops[[#This Row],[Target Harvest Data]]+Crops[[#This Row],[Harvest window]]</f>
        <v>45782</v>
      </c>
      <c r="BZ254">
        <v>5</v>
      </c>
      <c r="CA254" t="s">
        <v>373</v>
      </c>
      <c r="CB254">
        <f>1</f>
        <v>1</v>
      </c>
      <c r="CC254">
        <f>IF(Crops[[#This Row],[Transplanting]]&gt;0, 2, 3)*BedLength/StandardBedLength</f>
        <v>1</v>
      </c>
      <c r="CD254" s="173">
        <f>IF(Crops[[#This Row],[Days in Cells]]&lt;=0,0,Crops[[#This Row],[Plantings Per Bed]]/StartsPerHourSeeding+Crops[[#This Row],[Tray 1 Count]]*5/60)</f>
        <v>1.9010416666666667</v>
      </c>
      <c r="CE254" s="173">
        <f>IF(ISBLANK(Crops[[#This Row],[Tray 2 Days]]),0,Crops[[#This Row],[Plantings Per Bed]]/UpPottingPerHour)+IF(Crops[[#This Row],[Tray 3 Days]]="",0,Crops[[#This Row],[Plantings Per Bed]]/UpPottingPerHour)</f>
        <v>0</v>
      </c>
      <c r="CF254" s="173">
        <f>IFERROR(Crops[[#This Row],[Tray 1 Count]]/HomeStartFlatIrrigationPerHour,0)*Crops[[#This Row],[Days in Cells]]/DaysBetweenStartIrrigation</f>
        <v>0.42317708333333331</v>
      </c>
      <c r="CG254" s="173">
        <f>0.5/16*MAX(Crops[[#This Row],[Tray 1 Count]],Crops[[#This Row],[Tray 2 Count]],Crops[[#This Row],[Tray 3 Count]])</f>
        <v>0.126953125</v>
      </c>
      <c r="CH254" s="173">
        <f>IF(Crops[[#This Row],[Days in Cells]]&gt;0,IF(IF(Crops[[#This Row],[Tray 3 Size]]&gt;0,Crops[[#This Row],[Tray 3 Size]],IF(Crops[[#This Row],[Tray 2 Size]]&gt;0,Crops[[#This Row],[Tray 2 Size]],Crops[[#This Row],[Tray 1 Size]]))&lt;=18,LargeTransplantTime,SmallTransplantTime)*Crops[[#This Row],[Plantings Per Bed]],0)</f>
        <v>2</v>
      </c>
      <c r="CI254" s="173"/>
      <c r="CJ254" s="173">
        <f>_xlfn.XLOOKUP(Crops[[#This Row],[Trellis Type]],TrellisMethods[Trellis Type],TrellisMethods[Hours],0,0)</f>
        <v>0</v>
      </c>
      <c r="CK254">
        <f>IF(Crops[[#This Row],[Days in Cells]]&lt;=0,Crops[[#This Row],[Rows]]*1/10,0)*BedLength/50</f>
        <v>0</v>
      </c>
      <c r="CL254" cm="1">
        <f t="array" ref="CL254">_xlfn.SWITCH(Crops[[#This Row],[Irrigation]],"DR", 0.5, "OH", 0.25,0)*BedLength/50</f>
        <v>0.25</v>
      </c>
      <c r="CM254">
        <f>IF(OR(ISBLANK(Crops[[#This Row],[Row Cover]]),Crops[[#This Row],[Row Cover]]="None"),0,1)*BedLength/50</f>
        <v>1</v>
      </c>
      <c r="CN254" s="173">
        <f>HoursPerWeedingPass*Crops[[#This Row],[Days In Field]]/14*Crops[[#This Row],[Rows]]+1*BedLength/50</f>
        <v>2.6190476190476186</v>
      </c>
      <c r="CO254" s="49"/>
      <c r="CQ254" s="37">
        <f>_xlfn.XLOOKUP(Crops[[#This Row],[Crop]]&amp;Crops[[#This Row],[Product]]&amp;Crops[[#This Row],[Unit]],Products[ID],Products[Marketing (hr)])*Crops[[#This Row],[Direct Revenue Per Bed]]/2000</f>
        <v>0.6</v>
      </c>
      <c r="CR254" s="37">
        <f>_xlfn.XLOOKUP(Crops[[#This Row],[Crop]]&amp;Crops[[#This Row],[Product]]&amp;Crops[[#This Row],[Unit]],Products[ID],Products[Harvest (s)])*Crops[[#This Row],[Custom Yield Per Bed]]/3600</f>
        <v>0.88888888888888884</v>
      </c>
      <c r="CS254" s="37">
        <f>_xlfn.XLOOKUP(Crops[[#This Row],[Crop]]&amp;Crops[[#This Row],[Product]]&amp;Crops[[#This Row],[Unit]],Products[ID],Products[Bunch (s)])*Crops[[#This Row],[Custom Yield Per Bed]]/3600</f>
        <v>0.37037037037037041</v>
      </c>
      <c r="CT254" s="37">
        <f>_xlfn.XLOOKUP(Crops[[#This Row],[Crop]]&amp;Crops[[#This Row],[Product]]&amp;Crops[[#This Row],[Unit]],Products[ID],Products[Haul (s)])*Crops[[#This Row],[Custom Yield Per Bed]]/3600</f>
        <v>9.2592592592592601E-2</v>
      </c>
      <c r="CU254" s="37">
        <f>_xlfn.XLOOKUP(Crops[[#This Row],[Crop]]&amp;Crops[[#This Row],[Product]]&amp;Crops[[#This Row],[Unit]],Products[ID],Products[Wash (s)])*Crops[[#This Row],[Custom Yield Per Bed]]/3600</f>
        <v>0.74074074074074081</v>
      </c>
      <c r="CV254" s="37">
        <f>_xlfn.XLOOKUP(Crops[[#This Row],[Crop]]&amp;Crops[[#This Row],[Product]]&amp;Crops[[#This Row],[Unit]],Products[ID],Products[Condition (s)])*Crops[[#This Row],[Custom Yield Per Bed]]/3600</f>
        <v>0</v>
      </c>
      <c r="CW254" s="37">
        <f>_xlfn.XLOOKUP(Crops[[#This Row],[Crop]]&amp;Crops[[#This Row],[Product]]&amp;Crops[[#This Row],[Unit]],Products[ID],Products[Trim (s)])*Crops[[#This Row],[Custom Yield Per Bed]]/3600</f>
        <v>0.55555555555555558</v>
      </c>
      <c r="CX254" s="37">
        <f>_xlfn.XLOOKUP(Crops[[#This Row],[Crop]]&amp;Crops[[#This Row],[Product]]&amp;Crops[[#This Row],[Unit]],Products[ID],Products[Pack (s)])*Crops[[#This Row],[Custom Yield Per Bed]]/3600</f>
        <v>0.1111111111111111</v>
      </c>
      <c r="CY254" s="37">
        <f>_xlfn.XLOOKUP(Crops[[#This Row],[Crop]]&amp;Crops[[#This Row],[Product]]&amp;Crops[[#This Row],[Unit]],Products[ID],Products[Clean (s)])*Crops[[#This Row],[Custom Yield Per Bed]]/3600</f>
        <v>0</v>
      </c>
      <c r="CZ254" s="37">
        <f>_xlfn.XLOOKUP(Crops[[#This Row],[Crop]]&amp;Crops[[#This Row],[Product]]&amp;Crops[[#This Row],[Unit]],Products[ID],Products[Rehandle (s)])*Crops[[#This Row],[Custom Yield Per Bed]]/3600</f>
        <v>0</v>
      </c>
      <c r="DA254" s="37">
        <f>_xlfn.XLOOKUP(Crops[[#This Row],[Crop]]&amp;Crops[[#This Row],[Product]]&amp;Crops[[#This Row],[Unit]],Products[ID],Products[Market Transport (s)])*Crops[[#This Row],[Custom Yield Per Bed]]/3600</f>
        <v>0.23148148148148148</v>
      </c>
      <c r="DC254" s="37">
        <f>Crops[[#This Row],[Direct Revenue Per Bed2]]</f>
        <v>400</v>
      </c>
      <c r="DD254" s="173">
        <f>_xlfn.AGGREGATE(9,6,Crops[[#This Row],[Bed Prep]:[Remove Crop Residue]])</f>
        <v>12.910960234788359</v>
      </c>
      <c r="DE254" s="173">
        <f>_xlfn.AGGREGATE(9,6,Crops[[#This Row],[Bed Prep]:[Remove Crop Residue]])-0.75*Crops[[#This Row],[Market &amp; Sell]]</f>
        <v>12.460960234788359</v>
      </c>
      <c r="DF254" s="36">
        <f>Crops[[#This Row],[Direct Revenue Per Bed2]]/Crops[[#This Row],[Direct Time]]</f>
        <v>30.981429167615815</v>
      </c>
      <c r="DG254" s="36">
        <f>_xlfn.XLOOKUP(Crops[[#This Row],[ProductIndex]],Products[ID],Products[Packaging Cost])*(Crops[[#This Row],[Custom Yield Per Bed]]/_xlfn.XLOOKUP(Crops[[#This Row],[ProductIndex]],Products[ID],Products[Units Per Pack]))</f>
        <v>14.074074074074074</v>
      </c>
      <c r="DH254" s="36"/>
      <c r="DI254" s="36"/>
      <c r="DJ254" s="36"/>
      <c r="DK254" s="36"/>
      <c r="DL254" s="36"/>
      <c r="DM254" s="33">
        <f>IFERROR(Crops[[#This Row],[Custom Yield Per Bed]]*Crops[[#This Row],[Direct Price]],"")</f>
        <v>400</v>
      </c>
      <c r="DN254" s="36">
        <f>Crops[[#This Row],[Direct Time]]*LaborRate</f>
        <v>322.77400586970896</v>
      </c>
      <c r="DO254" s="36">
        <f>SUM(Crops[[#This Row],[Irrigation Cost]])</f>
        <v>0</v>
      </c>
      <c r="DP254" s="36">
        <f>Crops[[#This Row],[Direct Labor Cost]]+Crops[[#This Row],[Direct Non-Labor Cost]]</f>
        <v>322.77400586970896</v>
      </c>
      <c r="DQ254" s="36">
        <f>Crops[[#This Row],[Direct Revenue Per Bed2]]-Crops[[#This Row],[Direct Total Cost]]</f>
        <v>77.225994130291042</v>
      </c>
      <c r="DR254" s="36">
        <f>Crops[[#This Row],[Direct Profit]]*BedsPerAcre</f>
        <v>12356.159060846567</v>
      </c>
      <c r="DS254" s="36">
        <f>Crops[[#This Row],[Direct Profit]]*BedsPerAcre*GrowingDays/Crops[[#This Row],[Days In Field]]</f>
        <v>65414.959733893586</v>
      </c>
      <c r="DT254" s="36">
        <f>Crops[[#This Row],[Direct Profit]]/MIN(Crops[[#This Row],[Days In Field]],GrowingDays)</f>
        <v>2.2713527685379717</v>
      </c>
      <c r="DU254" s="33">
        <f>Crops[[#This Row],[Direct Time]] * BedsPerAcre</f>
        <v>2065.7536375661375</v>
      </c>
      <c r="DV254" s="36">
        <f>(Crops[[#This Row],[Direct Revenue Per Bed2]]-Crops[[#This Row],[Direct Non-Labor Cost]])/Crops[[#This Row],[Direct Time]]</f>
        <v>30.981429167615815</v>
      </c>
      <c r="DW254" s="33">
        <f>IFERROR(Crops[[#This Row],[Custom Yield Per Bed]]*Crops[[#This Row],[Rough Wholesale Price]],"")</f>
        <v>200</v>
      </c>
      <c r="DX254" s="36">
        <f>Crops[[#This Row],[Wholesale Time]]*LaborRate</f>
        <v>311.52400586970896</v>
      </c>
      <c r="DY254" s="36">
        <f>SUM(Crops[[#This Row],[Packaging Costs]:[Irrigation Cost]])</f>
        <v>14.074074074074074</v>
      </c>
      <c r="DZ254" s="36">
        <f>Crops[[#This Row],[Wholesale Labor Cost]]+Crops[[#This Row],[Wholesale Non-Labor Cost]]</f>
        <v>325.59807994378303</v>
      </c>
      <c r="EA254" s="36">
        <f>Crops[[#This Row],[Wholesale Revenue Per Bed]]-Crops[[#This Row],[Wholesale Total Cost]]</f>
        <v>-125.59807994378303</v>
      </c>
      <c r="EB254" s="36">
        <f>Crops[[#This Row],[Wholesale Profit]]*BedsPerAcre</f>
        <v>-20095.692791005284</v>
      </c>
      <c r="EC254" s="36">
        <f>Crops[[#This Row],[Wholesale Profit]]*BedsPerAcre*GrowingDays/Crops[[#This Row],[Days In Field]]</f>
        <v>-106388.96183473385</v>
      </c>
      <c r="ED254" s="33">
        <f>Crops[[#This Row],[Wholesale Time]] * BedsPerAcre</f>
        <v>1993.7536375661375</v>
      </c>
      <c r="EE254" s="221">
        <f>Crops[[#This Row],[Wholesale Profit]]/MIN(Crops[[#This Row],[Days In Field]],GrowingDays)</f>
        <v>-3.6940611748171479</v>
      </c>
      <c r="EF254" s="36">
        <f>(Crops[[#This Row],[Wholesale Revenue Per Bed]]-Crops[[#This Row],[Wholesale Non-Labor Cost]])/Crops[[#This Row],[Direct Time]]</f>
        <v>14.400627261243647</v>
      </c>
      <c r="EG254" s="174">
        <f>Crops[[#This Row],[Packaging Costs]]/Crops[[#This Row],[Wholesale Revenue Per Bed]]</f>
        <v>7.0370370370370375E-2</v>
      </c>
      <c r="EH254" s="36" t="str">
        <f>Crops[[#This Row],[Crop]]&amp;Crops[[#This Row],[Product]]&amp;Crops[[#This Row],[Unit]]</f>
        <v>RadishMature RootBunch</v>
      </c>
      <c r="EI254" s="36" t="b">
        <f>_xlfn.XLOOKUP(Crops[[#This Row],[ProductIndex]],Products[ID],Products[Target])</f>
        <v>1</v>
      </c>
      <c r="EJ254" s="36">
        <f>Crops[[#This Row],[Custom Yield Per Bed]]</f>
        <v>133.33333333333334</v>
      </c>
      <c r="EK254" s="210">
        <f>Crops[[#This Row],[Units Per Harvest]]/Crops[[#This Row],[Days Between Harvest]]*7</f>
        <v>46.666666666666671</v>
      </c>
      <c r="EL254" s="210">
        <f>Crops[[#This Row],[Custom Yield Per Bed]]/_xlfn.XLOOKUP(Crops[[#This Row],[ProductIndex]],Products[ID],Products[CSA Portion])</f>
        <v>133.33333333333334</v>
      </c>
      <c r="EM254" s="210">
        <f>Crops[[#This Row],[Units Per Harvest]]/Crops[[#This Row],[Days Between Harvest]]*7/_xlfn.XLOOKUP(Crops[[#This Row],[ProductIndex]],Products[ID],Products[CSA Portion])</f>
        <v>46.666666666666671</v>
      </c>
      <c r="EN254" s="210">
        <f>Crops[[#This Row],[CSA Portions Per Week]]/CSAMembers</f>
        <v>0.93333333333333346</v>
      </c>
      <c r="EO254" s="210"/>
      <c r="EP254" s="210"/>
      <c r="EQ254" s="210"/>
      <c r="ER254" s="210">
        <f>Crops[[#This Row],[Harvests]]*Crops[[#This Row],[Days Between Harvest]]/7</f>
        <v>2.8571428571428572</v>
      </c>
      <c r="ES254" s="217">
        <f>_xlfn.XLOOKUP(Crops[[#This Row],[ProductIndex]],Products[ID],Products[CSA Need])</f>
        <v>4</v>
      </c>
      <c r="ET254" s="217">
        <f>_xlfn.XLOOKUP(Crops[[#This Row],[ProductIndex]],Products[ID],Products[CSA Times])</f>
        <v>4</v>
      </c>
      <c r="EU254" s="208">
        <f>Crops[[#This Row],[Custom Yield Per Bed]]/(Crops[[#This Row],[CSA Need]]*(_xlfn.XLOOKUP(Crops[[#This Row],[ProductIndex]],Products[ID],Products[CSA Portion])*CSAMembers))</f>
        <v>0.66666666666666674</v>
      </c>
      <c r="EV254" s="208">
        <f>_xlfn.XLOOKUP(Crops[[#This Row],[ProductIndex]],Products[ID],Products[CSA Portion])*CSAMembers*Crops[[#This Row],[CSA Need]]/Crops[[#This Row],[Custom Yield Per Bed]]</f>
        <v>1.5</v>
      </c>
      <c r="EW254" s="208">
        <f>IFERROR(Crops[[#This Row],[Days In Field]]*Crops[[#This Row],[CSA Beds]],"")</f>
        <v>51</v>
      </c>
      <c r="EX254" s="208" t="e">
        <f>Crops[[#This Row],[CSA Bed Days]]*#REF!</f>
        <v>#REF!</v>
      </c>
      <c r="EY254" t="s">
        <v>328</v>
      </c>
    </row>
    <row r="255" spans="1:155" ht="15" customHeight="1">
      <c r="A25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(10r) - Mature Root 1X | Field DS Sp</v>
      </c>
      <c r="B255" s="191"/>
      <c r="C255" s="1"/>
      <c r="D255" s="1"/>
      <c r="E255" s="1" t="b">
        <v>0</v>
      </c>
      <c r="F255" s="1" t="b">
        <f>IFERROR(IF(ISNUMBER(MATCH(Crops[[#This Row],[Identifier]],BedPlan[Crop], 0)), TRUE, FALSE), FALSE)</f>
        <v>0</v>
      </c>
      <c r="G255" s="1" t="b">
        <f>IFERROR(IF(ISNUMBER(MATCH(Crops[[#This Row],[Identifier]],BedPlan[Crop], 0)), TRUE, FALSE), FALSE)</f>
        <v>0</v>
      </c>
      <c r="H255" s="1"/>
      <c r="I255" t="s">
        <v>114</v>
      </c>
      <c r="J255" t="s">
        <v>1725</v>
      </c>
      <c r="K255" t="s">
        <v>185</v>
      </c>
      <c r="M255" t="s">
        <v>443</v>
      </c>
      <c r="N255" t="str">
        <f>Crops[[#This Row],[Crop]]</f>
        <v>Radish</v>
      </c>
      <c r="O255" t="s">
        <v>210</v>
      </c>
      <c r="P255" t="str">
        <f>IF(OR(Crops[[#This Row],[Days in Cells]]="",Crops[[#This Row],[Days in Cells]]=0), "DS","TP")</f>
        <v>DS</v>
      </c>
      <c r="Q255" t="b">
        <v>1</v>
      </c>
      <c r="V255" t="str">
        <f xml:space="preserve"> IF(Crops[[#This Row],[Sp]], "Sp", "") &amp; IF(Crops[[#This Row],[Su]], "Su", "") &amp; IF(Crops[[#This Row],[Fa]], "Fa", "") &amp; IF(Crops[[#This Row],[Wi]], "Wi", "") &amp; IF(Crops[[#This Row],[OW]], "Ow","")</f>
        <v>Sp</v>
      </c>
      <c r="W255" t="s">
        <v>144</v>
      </c>
      <c r="X255">
        <v>10</v>
      </c>
      <c r="Y255">
        <v>2</v>
      </c>
      <c r="Z255" t="s">
        <v>431</v>
      </c>
      <c r="AA255" t="s">
        <v>475</v>
      </c>
      <c r="AB255" t="b">
        <v>1</v>
      </c>
      <c r="AC255">
        <v>1</v>
      </c>
      <c r="AD255" s="32">
        <f>IFERROR(12/Crops[[#This Row],[Spacing]]*Crops[[#This Row],[Rows]]*BedLength,"")</f>
        <v>3000</v>
      </c>
      <c r="AE255">
        <v>1</v>
      </c>
      <c r="AG255">
        <f>IF(Crops[[#This Row],[Custom Safety Factor]]="",PlantingSafetyFactor,Crops[[#This Row],[Custom Safety Factor]])</f>
        <v>1.3</v>
      </c>
      <c r="AH255">
        <f>1</f>
        <v>1</v>
      </c>
      <c r="AI255" s="33">
        <f>IFERROR(Crops[[#This Row],[Plantings Per Bed]]*Crops[[#This Row],[Seeds Per Planting]]*Crops[[#This Row],[Safety Factor]]*Crops[[#This Row],[Seeding Factor]],"")</f>
        <v>3900</v>
      </c>
      <c r="AJ255">
        <v>5</v>
      </c>
      <c r="AK255">
        <v>10</v>
      </c>
      <c r="AL255">
        <f>_xlfn.FLOOR.MATH(IFERROR(AVERAGE(Crops[[#This Row],[DTG Lower]:[DTG Upper]]),0))</f>
        <v>7</v>
      </c>
      <c r="AM255">
        <f>SUM(Crops[[#This Row],[Tray 1 Days]],Crops[[#This Row],[Tray 2 Days]],Crops[[#This Row],[Tray 3 Days]])</f>
        <v>0</v>
      </c>
      <c r="AN255" s="32"/>
      <c r="AP255">
        <v>25</v>
      </c>
      <c r="AQ255">
        <f>IFERROR(_xlfn.FLOOR.MATH(AVERAGE(Crops[[#This Row],[DTM Lower]:[DTM Upper]])),"")</f>
        <v>25</v>
      </c>
      <c r="AR255" cm="1">
        <f t="array" ref="AR255">_xlfn.SWITCH(Crops[[#This Row],[Normal Method]],"DS",Crops[[#This Row],[Days to Germination]]+Crops[[#This Row],[DTM]] + IF(Crops[[#This Row],[Days in Cells]]&gt;0,15,0), "TP",Crops[[#This Row],[DTM]]+Crops[[#This Row],[Days in Cells]] + IF(Crops[[#This Row],[Days in Cells]]&lt;=0,20,0), "X", Crops[[#This Row],[DTM]])</f>
        <v>32</v>
      </c>
      <c r="AS255" t="s">
        <v>338</v>
      </c>
      <c r="AT255">
        <f>(Crops[[#This Row],[Harvests]]-1)*Crops[[#This Row],[Days Between Harvest]]+7</f>
        <v>21</v>
      </c>
      <c r="AU255">
        <f>Crops[[#This Row],[STH]]-Crops[[#This Row],[Days in Cells]]+Crops[[#This Row],[Harvest window]]</f>
        <v>53</v>
      </c>
      <c r="AW255" t="s">
        <v>212</v>
      </c>
      <c r="AZ255" t="str">
        <f>IFERROR(IF(Crops[[#This Row],[Tray 1 Days]]=0,"",Crops[[#This Row],[Plantings Per Bed]]/Crops[[#This Row],[Tray 1 Size]]*Crops[[#This Row],[Safety Factor]]),"")</f>
        <v/>
      </c>
      <c r="BC255" t="str">
        <f>IFERROR(IF(Crops[[#This Row],[Tray 2 Days]]=0,"",Crops[[#This Row],[Plantings Per Bed]]/Crops[[#This Row],[Tray 2 Size]]*Crops[[#This Row],[Safety Factor]]),"")</f>
        <v/>
      </c>
      <c r="BE255" s="32" t="str">
        <f>IF(NOT(ISBLANK(Crops[[#This Row],[Tray 3 Size]])), Crops[[#This Row],[Days in Cells Old]]-SUM(Crops[[#This Row],[Tray 1 Days]],Crops[[#This Row],[Tray 2 Days]]), "")</f>
        <v/>
      </c>
      <c r="BF255" t="str">
        <f>IFERROR(IF(Crops[[#This Row],[Tray 3 Days]]=0,"",Crops[[#This Row],[Plantings Per Bed]]/Crops[[#This Row],[Tray 3 Size]]*Crops[[#This Row],[Safety Factor]]),"")</f>
        <v/>
      </c>
      <c r="BG255" s="33">
        <f>125*BedLength/StandardBedLength</f>
        <v>62.5</v>
      </c>
      <c r="BH255" s="33">
        <v>2</v>
      </c>
      <c r="BI255" s="33">
        <v>14</v>
      </c>
      <c r="BJ255" s="33">
        <f>_xlfn.XLOOKUP(Crops[[#This Row],[ProductIndex]],Products[ID],Products[Holding Period])</f>
        <v>7</v>
      </c>
      <c r="BK255" s="33"/>
      <c r="BL255" s="33">
        <f>Crops[[#This Row],[Units Per Harvest]]*Crops[[#This Row],[Harvests]]</f>
        <v>125</v>
      </c>
      <c r="BM255" s="35">
        <v>3</v>
      </c>
      <c r="BN255" s="212">
        <v>1.5</v>
      </c>
      <c r="BO255" s="212"/>
      <c r="BP255" t="s">
        <v>215</v>
      </c>
      <c r="BQ255">
        <f>Crops[[#This Row],[Custom Yield Per Bed]]*Crops[[#This Row],[Direct Price]]</f>
        <v>375</v>
      </c>
      <c r="BS255" t="b">
        <f>Crops[[#This Row],[Harvests]]&gt;1</f>
        <v>1</v>
      </c>
      <c r="BT255" s="36">
        <f>IFERROR(Crops[[#This Row],[Direct Revenue Per Bed]]/Crops[[#This Row],[Days In Field]],-1)</f>
        <v>7.0754716981132075</v>
      </c>
      <c r="BU255" s="36">
        <f>IFERROR(Crops[[#This Row],[Direct Revenue Per Bed Day]]*GrowingDays*BedsPerAcre,"")</f>
        <v>203773.58490566039</v>
      </c>
      <c r="BV255" s="38">
        <f>LastFrostDate-5*Crops[[#This Row],[Sewing Rel Last Frost]]</f>
        <v>45738</v>
      </c>
      <c r="BW255" s="38">
        <f>Crops[[#This Row],[Target Sewing Date]]+Crops[[#This Row],[Days in Cells]]</f>
        <v>45738</v>
      </c>
      <c r="BX255" s="38">
        <f>Crops[[#This Row],[Target Sewing Date]]+Crops[[#This Row],[STH]]</f>
        <v>45770</v>
      </c>
      <c r="BY255" s="38">
        <f>Crops[[#This Row],[Target Harvest Data]]+Crops[[#This Row],[Harvest window]]</f>
        <v>45791</v>
      </c>
      <c r="BZ255">
        <v>2</v>
      </c>
      <c r="CA255" t="s">
        <v>376</v>
      </c>
      <c r="CB255">
        <f>1</f>
        <v>1</v>
      </c>
      <c r="CC255">
        <f>IF(Crops[[#This Row],[Transplanting]]&gt;0, 2, 3)*BedLength/StandardBedLength</f>
        <v>1.5</v>
      </c>
      <c r="CD255" s="173">
        <f>IF(Crops[[#This Row],[Days in Cells]]&lt;=0,0,Crops[[#This Row],[Plantings Per Bed]]/StartsPerHourSeeding+Crops[[#This Row],[Tray 1 Count]]*5/60)</f>
        <v>0</v>
      </c>
      <c r="CE255" s="173">
        <f>IF(ISBLANK(Crops[[#This Row],[Tray 2 Days]]),0,Crops[[#This Row],[Plantings Per Bed]]/UpPottingPerHour)+IF(Crops[[#This Row],[Tray 3 Days]]="",0,Crops[[#This Row],[Plantings Per Bed]]/UpPottingPerHour)</f>
        <v>0</v>
      </c>
      <c r="CF255" s="173">
        <f>IFERROR(Crops[[#This Row],[Tray 1 Count]]/HomeStartFlatIrrigationPerHour,0)*Crops[[#This Row],[Days in Cells]]/DaysBetweenStartIrrigation</f>
        <v>0</v>
      </c>
      <c r="CG255" s="173">
        <f>0.5/16*MAX(Crops[[#This Row],[Tray 1 Count]],Crops[[#This Row],[Tray 2 Count]],Crops[[#This Row],[Tray 3 Count]])</f>
        <v>0</v>
      </c>
      <c r="CH255" s="173">
        <f>IF(Crops[[#This Row],[Days in Cells]]&gt;0,IF(IF(Crops[[#This Row],[Tray 3 Size]]&gt;0,Crops[[#This Row],[Tray 3 Size]],IF(Crops[[#This Row],[Tray 2 Size]]&gt;0,Crops[[#This Row],[Tray 2 Size]],Crops[[#This Row],[Tray 1 Size]]))&lt;=18,LargeTransplantTime,SmallTransplantTime)*Crops[[#This Row],[Plantings Per Bed]],0)</f>
        <v>0</v>
      </c>
      <c r="CI255" s="173"/>
      <c r="CJ255" s="173">
        <f>_xlfn.XLOOKUP(Crops[[#This Row],[Trellis Type]],TrellisMethods[Trellis Type],TrellisMethods[Hours],0,0)</f>
        <v>0</v>
      </c>
      <c r="CK255">
        <f>IF(Crops[[#This Row],[Days in Cells]]&lt;=0,Crops[[#This Row],[Rows]]*1/10,0)*BedLength/50</f>
        <v>1</v>
      </c>
      <c r="CL255" cm="1">
        <f t="array" ref="CL255">_xlfn.SWITCH(Crops[[#This Row],[Irrigation]],"DR", 0.5, "OH", 0.25,0)*BedLength/50</f>
        <v>0.25</v>
      </c>
      <c r="CM255">
        <f>IF(OR(ISBLANK(Crops[[#This Row],[Row Cover]]),Crops[[#This Row],[Row Cover]]="None"),0,1)*BedLength/50</f>
        <v>1</v>
      </c>
      <c r="CN255" s="173">
        <f>HoursPerWeedingPass*Crops[[#This Row],[Days In Field]]/14*Crops[[#This Row],[Rows]]+1*BedLength/50</f>
        <v>7.3095238095238084</v>
      </c>
      <c r="CO255" s="49"/>
      <c r="CQ255" s="37">
        <f>_xlfn.XLOOKUP(Crops[[#This Row],[Crop]]&amp;Crops[[#This Row],[Product]]&amp;Crops[[#This Row],[Unit]],Products[ID],Products[Marketing (hr)])*Crops[[#This Row],[Direct Revenue Per Bed]]/2000</f>
        <v>0.5625</v>
      </c>
      <c r="CR255" s="37">
        <f>_xlfn.XLOOKUP(Crops[[#This Row],[Crop]]&amp;Crops[[#This Row],[Product]]&amp;Crops[[#This Row],[Unit]],Products[ID],Products[Harvest (s)])*Crops[[#This Row],[Custom Yield Per Bed]]/3600</f>
        <v>0.83333333333333337</v>
      </c>
      <c r="CS255" s="37">
        <f>_xlfn.XLOOKUP(Crops[[#This Row],[Crop]]&amp;Crops[[#This Row],[Product]]&amp;Crops[[#This Row],[Unit]],Products[ID],Products[Bunch (s)])*Crops[[#This Row],[Custom Yield Per Bed]]/3600</f>
        <v>0.34722222222222221</v>
      </c>
      <c r="CT255" s="37">
        <f>_xlfn.XLOOKUP(Crops[[#This Row],[Crop]]&amp;Crops[[#This Row],[Product]]&amp;Crops[[#This Row],[Unit]],Products[ID],Products[Haul (s)])*Crops[[#This Row],[Custom Yield Per Bed]]/3600</f>
        <v>8.6805555555555552E-2</v>
      </c>
      <c r="CU255" s="37">
        <f>_xlfn.XLOOKUP(Crops[[#This Row],[Crop]]&amp;Crops[[#This Row],[Product]]&amp;Crops[[#This Row],[Unit]],Products[ID],Products[Wash (s)])*Crops[[#This Row],[Custom Yield Per Bed]]/3600</f>
        <v>0.69444444444444442</v>
      </c>
      <c r="CV255" s="37">
        <f>_xlfn.XLOOKUP(Crops[[#This Row],[Crop]]&amp;Crops[[#This Row],[Product]]&amp;Crops[[#This Row],[Unit]],Products[ID],Products[Condition (s)])*Crops[[#This Row],[Custom Yield Per Bed]]/3600</f>
        <v>0</v>
      </c>
      <c r="CW255" s="37">
        <f>_xlfn.XLOOKUP(Crops[[#This Row],[Crop]]&amp;Crops[[#This Row],[Product]]&amp;Crops[[#This Row],[Unit]],Products[ID],Products[Trim (s)])*Crops[[#This Row],[Custom Yield Per Bed]]/3600</f>
        <v>0.52083333333333337</v>
      </c>
      <c r="CX255" s="37">
        <f>_xlfn.XLOOKUP(Crops[[#This Row],[Crop]]&amp;Crops[[#This Row],[Product]]&amp;Crops[[#This Row],[Unit]],Products[ID],Products[Pack (s)])*Crops[[#This Row],[Custom Yield Per Bed]]/3600</f>
        <v>0.10416666666666667</v>
      </c>
      <c r="CY255" s="37">
        <f>_xlfn.XLOOKUP(Crops[[#This Row],[Crop]]&amp;Crops[[#This Row],[Product]]&amp;Crops[[#This Row],[Unit]],Products[ID],Products[Clean (s)])*Crops[[#This Row],[Custom Yield Per Bed]]/3600</f>
        <v>0</v>
      </c>
      <c r="CZ255" s="37">
        <f>_xlfn.XLOOKUP(Crops[[#This Row],[Crop]]&amp;Crops[[#This Row],[Product]]&amp;Crops[[#This Row],[Unit]],Products[ID],Products[Rehandle (s)])*Crops[[#This Row],[Custom Yield Per Bed]]/3600</f>
        <v>0</v>
      </c>
      <c r="DA255" s="37">
        <f>_xlfn.XLOOKUP(Crops[[#This Row],[Crop]]&amp;Crops[[#This Row],[Product]]&amp;Crops[[#This Row],[Unit]],Products[ID],Products[Market Transport (s)])*Crops[[#This Row],[Custom Yield Per Bed]]/3600</f>
        <v>0.2170138888888889</v>
      </c>
      <c r="DC255" s="37">
        <f>Crops[[#This Row],[Direct Revenue Per Bed2]]</f>
        <v>375</v>
      </c>
      <c r="DD255" s="173">
        <f>_xlfn.AGGREGATE(9,6,Crops[[#This Row],[Bed Prep]:[Remove Crop Residue]])</f>
        <v>14.425843253968253</v>
      </c>
      <c r="DE255" s="173">
        <f>_xlfn.AGGREGATE(9,6,Crops[[#This Row],[Bed Prep]:[Remove Crop Residue]])-0.75*Crops[[#This Row],[Market &amp; Sell]]</f>
        <v>14.003968253968253</v>
      </c>
      <c r="DF255" s="36">
        <f>Crops[[#This Row],[Direct Revenue Per Bed2]]/Crops[[#This Row],[Direct Time]]</f>
        <v>25.995014183787504</v>
      </c>
      <c r="DG255" s="36">
        <f>_xlfn.XLOOKUP(Crops[[#This Row],[ProductIndex]],Products[ID],Products[Packaging Cost])*(Crops[[#This Row],[Custom Yield Per Bed]]/_xlfn.XLOOKUP(Crops[[#This Row],[ProductIndex]],Products[ID],Products[Units Per Pack]))</f>
        <v>13.194444444444445</v>
      </c>
      <c r="DH255" s="36"/>
      <c r="DI255" s="36"/>
      <c r="DJ255" s="36"/>
      <c r="DK255" s="36"/>
      <c r="DL255" s="36"/>
      <c r="DM255" s="33">
        <f>IFERROR(Crops[[#This Row],[Custom Yield Per Bed]]*Crops[[#This Row],[Direct Price]],"")</f>
        <v>375</v>
      </c>
      <c r="DN255" s="36">
        <f>Crops[[#This Row],[Direct Time]]*LaborRate</f>
        <v>360.64608134920633</v>
      </c>
      <c r="DO255" s="36">
        <f>SUM(Crops[[#This Row],[Irrigation Cost]])</f>
        <v>0</v>
      </c>
      <c r="DP255" s="36">
        <f>Crops[[#This Row],[Direct Labor Cost]]+Crops[[#This Row],[Direct Non-Labor Cost]]</f>
        <v>360.64608134920633</v>
      </c>
      <c r="DQ255" s="36">
        <f>Crops[[#This Row],[Direct Revenue Per Bed2]]-Crops[[#This Row],[Direct Total Cost]]</f>
        <v>14.353918650793673</v>
      </c>
      <c r="DR255" s="36">
        <f>Crops[[#This Row],[Direct Profit]]*BedsPerAcre</f>
        <v>2296.6269841269877</v>
      </c>
      <c r="DS255" s="36">
        <f>Crops[[#This Row],[Direct Profit]]*BedsPerAcre*GrowingDays/Crops[[#This Row],[Days In Field]]</f>
        <v>7799.8652291105245</v>
      </c>
      <c r="DT255" s="36">
        <f>Crops[[#This Row],[Direct Profit]]/MIN(Crops[[#This Row],[Days In Field]],GrowingDays)</f>
        <v>0.27082865378855986</v>
      </c>
      <c r="DU255" s="33">
        <f>Crops[[#This Row],[Direct Time]] * BedsPerAcre</f>
        <v>2308.1349206349205</v>
      </c>
      <c r="DV255" s="36">
        <f>(Crops[[#This Row],[Direct Revenue Per Bed2]]-Crops[[#This Row],[Direct Non-Labor Cost]])/Crops[[#This Row],[Direct Time]]</f>
        <v>25.995014183787504</v>
      </c>
      <c r="DW255" s="33">
        <f>IFERROR(Crops[[#This Row],[Custom Yield Per Bed]]*Crops[[#This Row],[Rough Wholesale Price]],"")</f>
        <v>187.5</v>
      </c>
      <c r="DX255" s="36">
        <f>Crops[[#This Row],[Wholesale Time]]*LaborRate</f>
        <v>350.09920634920633</v>
      </c>
      <c r="DY255" s="36">
        <f>SUM(Crops[[#This Row],[Packaging Costs]:[Irrigation Cost]])</f>
        <v>13.194444444444445</v>
      </c>
      <c r="DZ255" s="36">
        <f>Crops[[#This Row],[Wholesale Labor Cost]]+Crops[[#This Row],[Wholesale Non-Labor Cost]]</f>
        <v>363.29365079365078</v>
      </c>
      <c r="EA255" s="36">
        <f>Crops[[#This Row],[Wholesale Revenue Per Bed]]-Crops[[#This Row],[Wholesale Total Cost]]</f>
        <v>-175.79365079365078</v>
      </c>
      <c r="EB255" s="36">
        <f>Crops[[#This Row],[Wholesale Profit]]*BedsPerAcre</f>
        <v>-28126.984126984127</v>
      </c>
      <c r="EC255" s="36">
        <f>Crops[[#This Row],[Wholesale Profit]]*BedsPerAcre*GrowingDays/Crops[[#This Row],[Days In Field]]</f>
        <v>-95525.606469002698</v>
      </c>
      <c r="ED255" s="33">
        <f>Crops[[#This Row],[Wholesale Time]] * BedsPerAcre</f>
        <v>2240.6349206349205</v>
      </c>
      <c r="EE255" s="221">
        <f>Crops[[#This Row],[Wholesale Profit]]/MIN(Crops[[#This Row],[Days In Field]],GrowingDays)</f>
        <v>-3.3168613357292602</v>
      </c>
      <c r="EF255" s="36">
        <f>(Crops[[#This Row],[Wholesale Revenue Per Bed]]-Crops[[#This Row],[Wholesale Non-Labor Cost]])/Crops[[#This Row],[Direct Time]]</f>
        <v>12.082867703945672</v>
      </c>
      <c r="EG255" s="174">
        <f>Crops[[#This Row],[Packaging Costs]]/Crops[[#This Row],[Wholesale Revenue Per Bed]]</f>
        <v>7.0370370370370375E-2</v>
      </c>
      <c r="EH255" s="36" t="str">
        <f>Crops[[#This Row],[Crop]]&amp;Crops[[#This Row],[Product]]&amp;Crops[[#This Row],[Unit]]</f>
        <v>RadishMature RootBunch</v>
      </c>
      <c r="EI255" s="36" t="b">
        <f>_xlfn.XLOOKUP(Crops[[#This Row],[ProductIndex]],Products[ID],Products[Target])</f>
        <v>1</v>
      </c>
      <c r="EJ255" s="36">
        <f>Crops[[#This Row],[Custom Yield Per Bed]]</f>
        <v>125</v>
      </c>
      <c r="EK255" s="210">
        <f>Crops[[#This Row],[Units Per Harvest]]/Crops[[#This Row],[Days Between Harvest]]*7</f>
        <v>31.25</v>
      </c>
      <c r="EL255" s="210">
        <f>Crops[[#This Row],[Custom Yield Per Bed]]/_xlfn.XLOOKUP(Crops[[#This Row],[ProductIndex]],Products[ID],Products[CSA Portion])</f>
        <v>125</v>
      </c>
      <c r="EM255" s="210">
        <f>Crops[[#This Row],[Units Per Harvest]]/Crops[[#This Row],[Days Between Harvest]]*7/_xlfn.XLOOKUP(Crops[[#This Row],[ProductIndex]],Products[ID],Products[CSA Portion])</f>
        <v>31.25</v>
      </c>
      <c r="EN255" s="210">
        <f>Crops[[#This Row],[CSA Portions Per Week]]/CSAMembers</f>
        <v>0.625</v>
      </c>
      <c r="EO255" s="210"/>
      <c r="EP255" s="210"/>
      <c r="EQ255" s="210"/>
      <c r="ER255" s="210">
        <f>Crops[[#This Row],[Harvests]]*Crops[[#This Row],[Days Between Harvest]]/7</f>
        <v>4</v>
      </c>
      <c r="ES255" s="217">
        <f>_xlfn.XLOOKUP(Crops[[#This Row],[ProductIndex]],Products[ID],Products[CSA Need])</f>
        <v>4</v>
      </c>
      <c r="ET255" s="217">
        <f>_xlfn.XLOOKUP(Crops[[#This Row],[ProductIndex]],Products[ID],Products[CSA Times])</f>
        <v>4</v>
      </c>
      <c r="EU255" s="208">
        <f>Crops[[#This Row],[Custom Yield Per Bed]]/(Crops[[#This Row],[CSA Need]]*(_xlfn.XLOOKUP(Crops[[#This Row],[ProductIndex]],Products[ID],Products[CSA Portion])*CSAMembers))</f>
        <v>0.625</v>
      </c>
      <c r="EV255" s="208">
        <f>_xlfn.XLOOKUP(Crops[[#This Row],[ProductIndex]],Products[ID],Products[CSA Portion])*CSAMembers*Crops[[#This Row],[CSA Need]]/Crops[[#This Row],[Custom Yield Per Bed]]</f>
        <v>1.6</v>
      </c>
      <c r="EW255" s="208">
        <f>IFERROR(Crops[[#This Row],[Days In Field]]*Crops[[#This Row],[CSA Beds]],"")</f>
        <v>84.800000000000011</v>
      </c>
      <c r="EX255" s="208" t="e">
        <f>Crops[[#This Row],[CSA Bed Days]]*#REF!</f>
        <v>#REF!</v>
      </c>
      <c r="EY255" t="s">
        <v>328</v>
      </c>
    </row>
    <row r="256" spans="1:155">
      <c r="A25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(6r) - Mature Root 1X | Field DS Sp</v>
      </c>
      <c r="B256" s="191"/>
      <c r="C256" s="1" t="b">
        <v>1</v>
      </c>
      <c r="D256" s="1"/>
      <c r="E256" s="1" t="b">
        <v>0</v>
      </c>
      <c r="F256" s="1" t="b">
        <f>IFERROR(IF(ISNUMBER(MATCH(Crops[[#This Row],[Identifier]],BedPlan[Crop], 0)), TRUE, FALSE), FALSE)</f>
        <v>1</v>
      </c>
      <c r="G256" s="1" t="b">
        <f>IFERROR(IF(ISNUMBER(MATCH(Crops[[#This Row],[Identifier]],BedPlan[Crop], 0)), TRUE, FALSE), FALSE)</f>
        <v>1</v>
      </c>
      <c r="H256" s="1"/>
      <c r="I256" t="s">
        <v>114</v>
      </c>
      <c r="J256" t="s">
        <v>1724</v>
      </c>
      <c r="K256" t="s">
        <v>185</v>
      </c>
      <c r="M256" t="s">
        <v>443</v>
      </c>
      <c r="N256" t="str">
        <f>Crops[[#This Row],[Crop]]</f>
        <v>Radish</v>
      </c>
      <c r="O256" t="s">
        <v>210</v>
      </c>
      <c r="P256" t="str">
        <f>IF(OR(Crops[[#This Row],[Days in Cells]]="",Crops[[#This Row],[Days in Cells]]=0), "DS","TP")</f>
        <v>DS</v>
      </c>
      <c r="Q256" t="b">
        <v>1</v>
      </c>
      <c r="V256" t="str">
        <f xml:space="preserve"> IF(Crops[[#This Row],[Sp]], "Sp", "") &amp; IF(Crops[[#This Row],[Su]], "Su", "") &amp; IF(Crops[[#This Row],[Fa]], "Fa", "") &amp; IF(Crops[[#This Row],[Wi]], "Wi", "") &amp; IF(Crops[[#This Row],[OW]], "Ow","")</f>
        <v>Sp</v>
      </c>
      <c r="W256" t="s">
        <v>144</v>
      </c>
      <c r="X256">
        <v>6</v>
      </c>
      <c r="Y256">
        <v>1</v>
      </c>
      <c r="Z256" t="s">
        <v>431</v>
      </c>
      <c r="AA256" t="s">
        <v>475</v>
      </c>
      <c r="AB256" t="b">
        <v>1</v>
      </c>
      <c r="AC256">
        <v>1</v>
      </c>
      <c r="AD256" s="32">
        <f>IFERROR(12/Crops[[#This Row],[Spacing]]*Crops[[#This Row],[Rows]]*BedLength,"")</f>
        <v>3600</v>
      </c>
      <c r="AE256">
        <v>1</v>
      </c>
      <c r="AG256">
        <f>IF(Crops[[#This Row],[Custom Safety Factor]]="",PlantingSafetyFactor,Crops[[#This Row],[Custom Safety Factor]])</f>
        <v>1.3</v>
      </c>
      <c r="AH256">
        <f>1</f>
        <v>1</v>
      </c>
      <c r="AI256" s="33">
        <f>IFERROR(Crops[[#This Row],[Plantings Per Bed]]*Crops[[#This Row],[Seeds Per Planting]]*Crops[[#This Row],[Safety Factor]]*Crops[[#This Row],[Seeding Factor]],"")</f>
        <v>4680</v>
      </c>
      <c r="AJ256">
        <v>5</v>
      </c>
      <c r="AK256">
        <v>10</v>
      </c>
      <c r="AL256">
        <f>_xlfn.FLOOR.MATH(IFERROR(AVERAGE(Crops[[#This Row],[DTG Lower]:[DTG Upper]]),0))</f>
        <v>7</v>
      </c>
      <c r="AM256">
        <f>SUM(Crops[[#This Row],[Tray 1 Days]],Crops[[#This Row],[Tray 2 Days]],Crops[[#This Row],[Tray 3 Days]])</f>
        <v>0</v>
      </c>
      <c r="AN256" s="32"/>
      <c r="AP256">
        <v>25</v>
      </c>
      <c r="AQ256">
        <f>IFERROR(_xlfn.FLOOR.MATH(AVERAGE(Crops[[#This Row],[DTM Lower]:[DTM Upper]])),"")</f>
        <v>25</v>
      </c>
      <c r="AR256" cm="1">
        <f t="array" ref="AR256">_xlfn.SWITCH(Crops[[#This Row],[Normal Method]],"DS",Crops[[#This Row],[Days to Germination]]+Crops[[#This Row],[DTM]] + IF(Crops[[#This Row],[Days in Cells]]&gt;0,15,0), "TP",Crops[[#This Row],[DTM]]+Crops[[#This Row],[Days in Cells]] + IF(Crops[[#This Row],[Days in Cells]]&lt;=0,20,0), "X", Crops[[#This Row],[DTM]])</f>
        <v>32</v>
      </c>
      <c r="AS256" t="s">
        <v>338</v>
      </c>
      <c r="AT256">
        <f>(Crops[[#This Row],[Harvests]]-1)*Crops[[#This Row],[Days Between Harvest]]+7</f>
        <v>21</v>
      </c>
      <c r="AU256">
        <f>Crops[[#This Row],[STH]]-Crops[[#This Row],[Days in Cells]]+Crops[[#This Row],[Harvest window]]</f>
        <v>53</v>
      </c>
      <c r="AW256" t="s">
        <v>212</v>
      </c>
      <c r="AZ256" t="str">
        <f>IFERROR(IF(Crops[[#This Row],[Tray 1 Days]]=0,"",Crops[[#This Row],[Plantings Per Bed]]/Crops[[#This Row],[Tray 1 Size]]*Crops[[#This Row],[Safety Factor]]),"")</f>
        <v/>
      </c>
      <c r="BC256" t="str">
        <f>IFERROR(IF(Crops[[#This Row],[Tray 2 Days]]=0,"",Crops[[#This Row],[Plantings Per Bed]]/Crops[[#This Row],[Tray 2 Size]]*Crops[[#This Row],[Safety Factor]]),"")</f>
        <v/>
      </c>
      <c r="BE256" s="32" t="str">
        <f>IF(NOT(ISBLANK(Crops[[#This Row],[Tray 3 Size]])), Crops[[#This Row],[Days in Cells Old]]-SUM(Crops[[#This Row],[Tray 1 Days]],Crops[[#This Row],[Tray 2 Days]]), "")</f>
        <v/>
      </c>
      <c r="BF256" t="str">
        <f>IFERROR(IF(Crops[[#This Row],[Tray 3 Days]]=0,"",Crops[[#This Row],[Plantings Per Bed]]/Crops[[#This Row],[Tray 3 Size]]*Crops[[#This Row],[Safety Factor]]),"")</f>
        <v/>
      </c>
      <c r="BG256" s="33">
        <f>125*BedLength/StandardBedLength</f>
        <v>62.5</v>
      </c>
      <c r="BH256" s="33">
        <v>2</v>
      </c>
      <c r="BI256" s="33">
        <v>14</v>
      </c>
      <c r="BJ256" s="33">
        <f>_xlfn.XLOOKUP(Crops[[#This Row],[ProductIndex]],Products[ID],Products[Holding Period])</f>
        <v>7</v>
      </c>
      <c r="BK256" s="33"/>
      <c r="BL256" s="33">
        <f>Crops[[#This Row],[Units Per Harvest]]*Crops[[#This Row],[Harvests]]</f>
        <v>125</v>
      </c>
      <c r="BM256" s="35">
        <v>3</v>
      </c>
      <c r="BN256" s="212">
        <v>1.5</v>
      </c>
      <c r="BO256" s="212"/>
      <c r="BP256" t="s">
        <v>215</v>
      </c>
      <c r="BQ256">
        <f>Crops[[#This Row],[Custom Yield Per Bed]]*Crops[[#This Row],[Direct Price]]</f>
        <v>375</v>
      </c>
      <c r="BS256" t="b">
        <f>Crops[[#This Row],[Harvests]]&gt;1</f>
        <v>1</v>
      </c>
      <c r="BT256" s="36">
        <f>IFERROR(Crops[[#This Row],[Direct Revenue Per Bed]]/Crops[[#This Row],[Days In Field]],-1)</f>
        <v>7.0754716981132075</v>
      </c>
      <c r="BU256" s="36">
        <f>IFERROR(Crops[[#This Row],[Direct Revenue Per Bed Day]]*GrowingDays*BedsPerAcre,"")</f>
        <v>203773.58490566039</v>
      </c>
      <c r="BV256" s="38">
        <f>LastFrostDate-5*Crops[[#This Row],[Sewing Rel Last Frost]]</f>
        <v>45748</v>
      </c>
      <c r="BW256" s="38">
        <f>Crops[[#This Row],[Target Sewing Date]]+Crops[[#This Row],[Days in Cells]]</f>
        <v>45748</v>
      </c>
      <c r="BX256" s="38">
        <f>Crops[[#This Row],[Target Sewing Date]]+Crops[[#This Row],[STH]]</f>
        <v>45780</v>
      </c>
      <c r="BY256" s="38">
        <f>Crops[[#This Row],[Target Harvest Data]]+Crops[[#This Row],[Harvest window]]</f>
        <v>45801</v>
      </c>
      <c r="BZ256">
        <v>0</v>
      </c>
      <c r="CB256">
        <f>1</f>
        <v>1</v>
      </c>
      <c r="CC256">
        <f>IF(Crops[[#This Row],[Transplanting]]&gt;0, 2, 3)*BedLength/StandardBedLength</f>
        <v>1.5</v>
      </c>
      <c r="CD256" s="173">
        <f>IF(Crops[[#This Row],[Days in Cells]]&lt;=0,0,Crops[[#This Row],[Plantings Per Bed]]/StartsPerHourSeeding+Crops[[#This Row],[Tray 1 Count]]*5/60)</f>
        <v>0</v>
      </c>
      <c r="CE256" s="173">
        <f>IF(ISBLANK(Crops[[#This Row],[Tray 2 Days]]),0,Crops[[#This Row],[Plantings Per Bed]]/UpPottingPerHour)+IF(Crops[[#This Row],[Tray 3 Days]]="",0,Crops[[#This Row],[Plantings Per Bed]]/UpPottingPerHour)</f>
        <v>0</v>
      </c>
      <c r="CF256" s="173">
        <f>IFERROR(Crops[[#This Row],[Tray 1 Count]]/HomeStartFlatIrrigationPerHour,0)*Crops[[#This Row],[Days in Cells]]/DaysBetweenStartIrrigation</f>
        <v>0</v>
      </c>
      <c r="CG256" s="173">
        <f>0.5/16*MAX(Crops[[#This Row],[Tray 1 Count]],Crops[[#This Row],[Tray 2 Count]],Crops[[#This Row],[Tray 3 Count]])</f>
        <v>0</v>
      </c>
      <c r="CH256" s="173">
        <f>IF(Crops[[#This Row],[Days in Cells]]&gt;0,IF(IF(Crops[[#This Row],[Tray 3 Size]]&gt;0,Crops[[#This Row],[Tray 3 Size]],IF(Crops[[#This Row],[Tray 2 Size]]&gt;0,Crops[[#This Row],[Tray 2 Size]],Crops[[#This Row],[Tray 1 Size]]))&lt;=18,LargeTransplantTime,SmallTransplantTime)*Crops[[#This Row],[Plantings Per Bed]],0)</f>
        <v>0</v>
      </c>
      <c r="CI256" s="173"/>
      <c r="CJ256" s="173">
        <f>_xlfn.XLOOKUP(Crops[[#This Row],[Trellis Type]],TrellisMethods[Trellis Type],TrellisMethods[Hours],0,0)</f>
        <v>0</v>
      </c>
      <c r="CK256">
        <f>IF(Crops[[#This Row],[Days in Cells]]&lt;=0,Crops[[#This Row],[Rows]]*1/10,0)*BedLength/50</f>
        <v>0.6</v>
      </c>
      <c r="CL256" cm="1">
        <f t="array" ref="CL256">_xlfn.SWITCH(Crops[[#This Row],[Irrigation]],"DR", 0.5, "OH", 0.25,0)*BedLength/50</f>
        <v>0.25</v>
      </c>
      <c r="CM256">
        <f>IF(OR(ISBLANK(Crops[[#This Row],[Row Cover]]),Crops[[#This Row],[Row Cover]]="None"),0,1)*BedLength/50</f>
        <v>1</v>
      </c>
      <c r="CN256" s="173">
        <f>HoursPerWeedingPass*Crops[[#This Row],[Days In Field]]/14*Crops[[#This Row],[Rows]]+1*BedLength/50</f>
        <v>4.7857142857142847</v>
      </c>
      <c r="CO256" s="49"/>
      <c r="CQ256" s="37">
        <f>_xlfn.XLOOKUP(Crops[[#This Row],[Crop]]&amp;Crops[[#This Row],[Product]]&amp;Crops[[#This Row],[Unit]],Products[ID],Products[Marketing (hr)])*Crops[[#This Row],[Direct Revenue Per Bed]]/2000</f>
        <v>0.5625</v>
      </c>
      <c r="CR256" s="37">
        <f>_xlfn.XLOOKUP(Crops[[#This Row],[Crop]]&amp;Crops[[#This Row],[Product]]&amp;Crops[[#This Row],[Unit]],Products[ID],Products[Harvest (s)])*Crops[[#This Row],[Custom Yield Per Bed]]/3600</f>
        <v>0.83333333333333337</v>
      </c>
      <c r="CS256" s="37">
        <f>_xlfn.XLOOKUP(Crops[[#This Row],[Crop]]&amp;Crops[[#This Row],[Product]]&amp;Crops[[#This Row],[Unit]],Products[ID],Products[Bunch (s)])*Crops[[#This Row],[Custom Yield Per Bed]]/3600</f>
        <v>0.34722222222222221</v>
      </c>
      <c r="CT256" s="37">
        <f>_xlfn.XLOOKUP(Crops[[#This Row],[Crop]]&amp;Crops[[#This Row],[Product]]&amp;Crops[[#This Row],[Unit]],Products[ID],Products[Haul (s)])*Crops[[#This Row],[Custom Yield Per Bed]]/3600</f>
        <v>8.6805555555555552E-2</v>
      </c>
      <c r="CU256" s="37">
        <f>_xlfn.XLOOKUP(Crops[[#This Row],[Crop]]&amp;Crops[[#This Row],[Product]]&amp;Crops[[#This Row],[Unit]],Products[ID],Products[Wash (s)])*Crops[[#This Row],[Custom Yield Per Bed]]/3600</f>
        <v>0.69444444444444442</v>
      </c>
      <c r="CV256" s="37">
        <f>_xlfn.XLOOKUP(Crops[[#This Row],[Crop]]&amp;Crops[[#This Row],[Product]]&amp;Crops[[#This Row],[Unit]],Products[ID],Products[Condition (s)])*Crops[[#This Row],[Custom Yield Per Bed]]/3600</f>
        <v>0</v>
      </c>
      <c r="CW256" s="37">
        <f>_xlfn.XLOOKUP(Crops[[#This Row],[Crop]]&amp;Crops[[#This Row],[Product]]&amp;Crops[[#This Row],[Unit]],Products[ID],Products[Trim (s)])*Crops[[#This Row],[Custom Yield Per Bed]]/3600</f>
        <v>0.52083333333333337</v>
      </c>
      <c r="CX256" s="37">
        <f>_xlfn.XLOOKUP(Crops[[#This Row],[Crop]]&amp;Crops[[#This Row],[Product]]&amp;Crops[[#This Row],[Unit]],Products[ID],Products[Pack (s)])*Crops[[#This Row],[Custom Yield Per Bed]]/3600</f>
        <v>0.10416666666666667</v>
      </c>
      <c r="CY256" s="37">
        <f>_xlfn.XLOOKUP(Crops[[#This Row],[Crop]]&amp;Crops[[#This Row],[Product]]&amp;Crops[[#This Row],[Unit]],Products[ID],Products[Clean (s)])*Crops[[#This Row],[Custom Yield Per Bed]]/3600</f>
        <v>0</v>
      </c>
      <c r="CZ256" s="37">
        <f>_xlfn.XLOOKUP(Crops[[#This Row],[Crop]]&amp;Crops[[#This Row],[Product]]&amp;Crops[[#This Row],[Unit]],Products[ID],Products[Rehandle (s)])*Crops[[#This Row],[Custom Yield Per Bed]]/3600</f>
        <v>0</v>
      </c>
      <c r="DA256" s="37">
        <f>_xlfn.XLOOKUP(Crops[[#This Row],[Crop]]&amp;Crops[[#This Row],[Product]]&amp;Crops[[#This Row],[Unit]],Products[ID],Products[Market Transport (s)])*Crops[[#This Row],[Custom Yield Per Bed]]/3600</f>
        <v>0.2170138888888889</v>
      </c>
      <c r="DC256" s="37">
        <f>Crops[[#This Row],[Direct Revenue Per Bed2]]</f>
        <v>375</v>
      </c>
      <c r="DD256" s="173">
        <f>_xlfn.AGGREGATE(9,6,Crops[[#This Row],[Bed Prep]:[Remove Crop Residue]])</f>
        <v>11.502033730158729</v>
      </c>
      <c r="DE256" s="173">
        <f>_xlfn.AGGREGATE(9,6,Crops[[#This Row],[Bed Prep]:[Remove Crop Residue]])-0.75*Crops[[#This Row],[Market &amp; Sell]]</f>
        <v>11.080158730158729</v>
      </c>
      <c r="DF256" s="36">
        <f>Crops[[#This Row],[Direct Revenue Per Bed2]]/Crops[[#This Row],[Direct Time]]</f>
        <v>32.602929951138734</v>
      </c>
      <c r="DG256" s="36">
        <f>_xlfn.XLOOKUP(Crops[[#This Row],[ProductIndex]],Products[ID],Products[Packaging Cost])*(Crops[[#This Row],[Custom Yield Per Bed]]/_xlfn.XLOOKUP(Crops[[#This Row],[ProductIndex]],Products[ID],Products[Units Per Pack]))</f>
        <v>13.194444444444445</v>
      </c>
      <c r="DH256" s="36"/>
      <c r="DI256" s="36"/>
      <c r="DJ256" s="36"/>
      <c r="DK256" s="36"/>
      <c r="DL256" s="36"/>
      <c r="DM256" s="33">
        <f>IFERROR(Crops[[#This Row],[Custom Yield Per Bed]]*Crops[[#This Row],[Direct Price]],"")</f>
        <v>375</v>
      </c>
      <c r="DN256" s="36">
        <f>Crops[[#This Row],[Direct Time]]*LaborRate</f>
        <v>287.5508432539682</v>
      </c>
      <c r="DO256" s="36">
        <f>SUM(Crops[[#This Row],[Irrigation Cost]])</f>
        <v>0</v>
      </c>
      <c r="DP256" s="36">
        <f>Crops[[#This Row],[Direct Labor Cost]]+Crops[[#This Row],[Direct Non-Labor Cost]]</f>
        <v>287.5508432539682</v>
      </c>
      <c r="DQ256" s="36">
        <f>Crops[[#This Row],[Direct Revenue Per Bed2]]-Crops[[#This Row],[Direct Total Cost]]</f>
        <v>87.449156746031804</v>
      </c>
      <c r="DR256" s="36">
        <f>Crops[[#This Row],[Direct Profit]]*BedsPerAcre</f>
        <v>13991.865079365089</v>
      </c>
      <c r="DS256" s="36">
        <f>Crops[[#This Row],[Direct Profit]]*BedsPerAcre*GrowingDays/Crops[[#This Row],[Days In Field]]</f>
        <v>47519.54177897577</v>
      </c>
      <c r="DT256" s="36">
        <f>Crops[[#This Row],[Direct Profit]]/MIN(Crops[[#This Row],[Days In Field]],GrowingDays)</f>
        <v>1.64998408954777</v>
      </c>
      <c r="DU256" s="33">
        <f>Crops[[#This Row],[Direct Time]] * BedsPerAcre</f>
        <v>1840.3253968253966</v>
      </c>
      <c r="DV256" s="36">
        <f>(Crops[[#This Row],[Direct Revenue Per Bed2]]-Crops[[#This Row],[Direct Non-Labor Cost]])/Crops[[#This Row],[Direct Time]]</f>
        <v>32.602929951138734</v>
      </c>
      <c r="DW256" s="33">
        <f>IFERROR(Crops[[#This Row],[Custom Yield Per Bed]]*Crops[[#This Row],[Rough Wholesale Price]],"")</f>
        <v>187.5</v>
      </c>
      <c r="DX256" s="36">
        <f>Crops[[#This Row],[Wholesale Time]]*LaborRate</f>
        <v>277.0039682539682</v>
      </c>
      <c r="DY256" s="36">
        <f>SUM(Crops[[#This Row],[Packaging Costs]:[Irrigation Cost]])</f>
        <v>13.194444444444445</v>
      </c>
      <c r="DZ256" s="36">
        <f>Crops[[#This Row],[Wholesale Labor Cost]]+Crops[[#This Row],[Wholesale Non-Labor Cost]]</f>
        <v>290.19841269841265</v>
      </c>
      <c r="EA256" s="36">
        <f>Crops[[#This Row],[Wholesale Revenue Per Bed]]-Crops[[#This Row],[Wholesale Total Cost]]</f>
        <v>-102.69841269841265</v>
      </c>
      <c r="EB256" s="36">
        <f>Crops[[#This Row],[Wholesale Profit]]*BedsPerAcre</f>
        <v>-16431.746031746025</v>
      </c>
      <c r="EC256" s="36">
        <f>Crops[[#This Row],[Wholesale Profit]]*BedsPerAcre*GrowingDays/Crops[[#This Row],[Days In Field]]</f>
        <v>-55805.929919137445</v>
      </c>
      <c r="ED256" s="33">
        <f>Crops[[#This Row],[Wholesale Time]] * BedsPerAcre</f>
        <v>1772.8253968253966</v>
      </c>
      <c r="EE256" s="221">
        <f>Crops[[#This Row],[Wholesale Profit]]/MIN(Crops[[#This Row],[Days In Field]],GrowingDays)</f>
        <v>-1.93770589997005</v>
      </c>
      <c r="EF256" s="36">
        <f>(Crops[[#This Row],[Wholesale Revenue Per Bed]]-Crops[[#This Row],[Wholesale Non-Labor Cost]])/Crops[[#This Row],[Direct Time]]</f>
        <v>15.154324847658929</v>
      </c>
      <c r="EG256" s="174">
        <f>Crops[[#This Row],[Packaging Costs]]/Crops[[#This Row],[Wholesale Revenue Per Bed]]</f>
        <v>7.0370370370370375E-2</v>
      </c>
      <c r="EH256" s="36" t="str">
        <f>Crops[[#This Row],[Crop]]&amp;Crops[[#This Row],[Product]]&amp;Crops[[#This Row],[Unit]]</f>
        <v>RadishMature RootBunch</v>
      </c>
      <c r="EI256" s="36" t="b">
        <f>_xlfn.XLOOKUP(Crops[[#This Row],[ProductIndex]],Products[ID],Products[Target])</f>
        <v>1</v>
      </c>
      <c r="EJ256" s="33">
        <f>Crops[[#This Row],[Custom Yield Per Bed]]</f>
        <v>125</v>
      </c>
      <c r="EK256" s="210">
        <f>Crops[[#This Row],[Units Per Harvest]]/Crops[[#This Row],[Days Between Harvest]]*7</f>
        <v>31.25</v>
      </c>
      <c r="EL256" s="210">
        <f>Crops[[#This Row],[Custom Yield Per Bed]]/_xlfn.XLOOKUP(Crops[[#This Row],[ProductIndex]],Products[ID],Products[CSA Portion])</f>
        <v>125</v>
      </c>
      <c r="EM256" s="210">
        <f>Crops[[#This Row],[Units Per Harvest]]/Crops[[#This Row],[Days Between Harvest]]*7/_xlfn.XLOOKUP(Crops[[#This Row],[ProductIndex]],Products[ID],Products[CSA Portion])</f>
        <v>31.25</v>
      </c>
      <c r="EN256" s="210">
        <f>Crops[[#This Row],[CSA Portions Per Week]]/CSAMembers</f>
        <v>0.625</v>
      </c>
      <c r="EO256" s="216">
        <v>1</v>
      </c>
      <c r="EP256" s="216">
        <v>2</v>
      </c>
      <c r="EQ256" s="210"/>
      <c r="ER256" s="210">
        <f>Crops[[#This Row],[Harvests]]*Crops[[#This Row],[Days Between Harvest]]/7</f>
        <v>4</v>
      </c>
      <c r="ES256" s="217">
        <f>_xlfn.XLOOKUP(Crops[[#This Row],[ProductIndex]],Products[ID],Products[CSA Need])</f>
        <v>4</v>
      </c>
      <c r="ET256" s="217">
        <f>_xlfn.XLOOKUP(Crops[[#This Row],[ProductIndex]],Products[ID],Products[CSA Times])</f>
        <v>4</v>
      </c>
      <c r="EU256" s="208">
        <f>Crops[[#This Row],[Custom Yield Per Bed]]/(Crops[[#This Row],[CSA Need]]*(_xlfn.XLOOKUP(Crops[[#This Row],[ProductIndex]],Products[ID],Products[CSA Portion])*CSAMembers))</f>
        <v>0.625</v>
      </c>
      <c r="EV256" s="208">
        <f>_xlfn.XLOOKUP(Crops[[#This Row],[ProductIndex]],Products[ID],Products[CSA Portion])*CSAMembers*Crops[[#This Row],[CSA Need]]/Crops[[#This Row],[Custom Yield Per Bed]]</f>
        <v>1.6</v>
      </c>
      <c r="EW256" s="208">
        <f>IFERROR(Crops[[#This Row],[Days In Field]]*Crops[[#This Row],[CSA Beds]],"")</f>
        <v>84.800000000000011</v>
      </c>
      <c r="EX256" s="208" t="e">
        <f>Crops[[#This Row],[CSA Bed Days]]*#REF!</f>
        <v>#REF!</v>
      </c>
      <c r="EY256" t="s">
        <v>328</v>
      </c>
    </row>
    <row r="257" spans="1:155">
      <c r="A25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(6r) - Mature Root 1X | Field DS Su</v>
      </c>
      <c r="B257" s="191"/>
      <c r="C257" s="1" t="b">
        <v>1</v>
      </c>
      <c r="D257" s="1"/>
      <c r="E257" s="1" t="b">
        <v>0</v>
      </c>
      <c r="F257" s="1" t="b">
        <f>IFERROR(IF(ISNUMBER(MATCH(Crops[[#This Row],[Identifier]],BedPlan[Crop], 0)), TRUE, FALSE), FALSE)</f>
        <v>1</v>
      </c>
      <c r="G257" s="1" t="b">
        <f>IFERROR(IF(ISNUMBER(MATCH(Crops[[#This Row],[Identifier]],BedPlan[Crop], 0)), TRUE, FALSE), FALSE)</f>
        <v>1</v>
      </c>
      <c r="H257" s="1"/>
      <c r="I257" t="s">
        <v>114</v>
      </c>
      <c r="J257" t="s">
        <v>1724</v>
      </c>
      <c r="K257" t="s">
        <v>185</v>
      </c>
      <c r="M257" t="s">
        <v>443</v>
      </c>
      <c r="N257" t="str">
        <f>Crops[[#This Row],[Crop]]</f>
        <v>Radish</v>
      </c>
      <c r="O257" t="s">
        <v>210</v>
      </c>
      <c r="P257" t="str">
        <f>IF(OR(Crops[[#This Row],[Days in Cells]]="",Crops[[#This Row],[Days in Cells]]=0), "DS","TP")</f>
        <v>DS</v>
      </c>
      <c r="R257" t="b">
        <v>1</v>
      </c>
      <c r="V257" t="str">
        <f xml:space="preserve"> IF(Crops[[#This Row],[Sp]], "Sp", "") &amp; IF(Crops[[#This Row],[Su]], "Su", "") &amp; IF(Crops[[#This Row],[Fa]], "Fa", "") &amp; IF(Crops[[#This Row],[Wi]], "Wi", "") &amp; IF(Crops[[#This Row],[OW]], "Ow","")</f>
        <v>Su</v>
      </c>
      <c r="W257" t="s">
        <v>144</v>
      </c>
      <c r="X257">
        <v>6</v>
      </c>
      <c r="Y257">
        <v>1</v>
      </c>
      <c r="Z257" t="s">
        <v>431</v>
      </c>
      <c r="AA257" t="s">
        <v>475</v>
      </c>
      <c r="AB257" t="b">
        <v>1</v>
      </c>
      <c r="AC257">
        <v>1</v>
      </c>
      <c r="AD257" s="32">
        <f>IFERROR(12/Crops[[#This Row],[Spacing]]*Crops[[#This Row],[Rows]]*BedLength,"")</f>
        <v>3600</v>
      </c>
      <c r="AE257">
        <v>1</v>
      </c>
      <c r="AG257">
        <f>IF(Crops[[#This Row],[Custom Safety Factor]]="",PlantingSafetyFactor,Crops[[#This Row],[Custom Safety Factor]])</f>
        <v>1.3</v>
      </c>
      <c r="AH257">
        <f>1</f>
        <v>1</v>
      </c>
      <c r="AI257" s="33">
        <f>IFERROR(Crops[[#This Row],[Plantings Per Bed]]*Crops[[#This Row],[Seeds Per Planting]]*Crops[[#This Row],[Safety Factor]]*Crops[[#This Row],[Seeding Factor]],"")</f>
        <v>4680</v>
      </c>
      <c r="AJ257">
        <v>5</v>
      </c>
      <c r="AK257">
        <v>10</v>
      </c>
      <c r="AL257">
        <f>_xlfn.FLOOR.MATH(IFERROR(AVERAGE(Crops[[#This Row],[DTG Lower]:[DTG Upper]]),0))</f>
        <v>7</v>
      </c>
      <c r="AM257">
        <f>SUM(Crops[[#This Row],[Tray 1 Days]],Crops[[#This Row],[Tray 2 Days]],Crops[[#This Row],[Tray 3 Days]])</f>
        <v>0</v>
      </c>
      <c r="AN257" s="32"/>
      <c r="AP257">
        <v>25</v>
      </c>
      <c r="AQ257">
        <f>IFERROR(_xlfn.FLOOR.MATH(AVERAGE(Crops[[#This Row],[DTM Lower]:[DTM Upper]])),"")</f>
        <v>25</v>
      </c>
      <c r="AR257" cm="1">
        <f t="array" ref="AR257">_xlfn.SWITCH(Crops[[#This Row],[Normal Method]],"DS",Crops[[#This Row],[Days to Germination]]+Crops[[#This Row],[DTM]] + IF(Crops[[#This Row],[Days in Cells]]&gt;0,15,0), "TP",Crops[[#This Row],[DTM]]+Crops[[#This Row],[Days in Cells]] + IF(Crops[[#This Row],[Days in Cells]]&lt;=0,20,0), "X", Crops[[#This Row],[DTM]])</f>
        <v>32</v>
      </c>
      <c r="AS257" t="s">
        <v>338</v>
      </c>
      <c r="AT257">
        <f>(Crops[[#This Row],[Harvests]]-1)*Crops[[#This Row],[Days Between Harvest]]+7</f>
        <v>21</v>
      </c>
      <c r="AU257">
        <f>Crops[[#This Row],[STH]]-Crops[[#This Row],[Days in Cells]]+Crops[[#This Row],[Harvest window]]</f>
        <v>53</v>
      </c>
      <c r="AW257" t="s">
        <v>212</v>
      </c>
      <c r="AZ257" t="str">
        <f>IFERROR(IF(Crops[[#This Row],[Tray 1 Days]]=0,"",Crops[[#This Row],[Plantings Per Bed]]/Crops[[#This Row],[Tray 1 Size]]*Crops[[#This Row],[Safety Factor]]),"")</f>
        <v/>
      </c>
      <c r="BC257" t="str">
        <f>IFERROR(IF(Crops[[#This Row],[Tray 2 Days]]=0,"",Crops[[#This Row],[Plantings Per Bed]]/Crops[[#This Row],[Tray 2 Size]]*Crops[[#This Row],[Safety Factor]]),"")</f>
        <v/>
      </c>
      <c r="BE257" s="32" t="str">
        <f>IF(NOT(ISBLANK(Crops[[#This Row],[Tray 3 Size]])), Crops[[#This Row],[Days in Cells Old]]-SUM(Crops[[#This Row],[Tray 1 Days]],Crops[[#This Row],[Tray 2 Days]]), "")</f>
        <v/>
      </c>
      <c r="BF257" t="str">
        <f>IFERROR(IF(Crops[[#This Row],[Tray 3 Days]]=0,"",Crops[[#This Row],[Plantings Per Bed]]/Crops[[#This Row],[Tray 3 Size]]*Crops[[#This Row],[Safety Factor]]),"")</f>
        <v/>
      </c>
      <c r="BG257" s="33">
        <f>125*BedLength/StandardBedLength</f>
        <v>62.5</v>
      </c>
      <c r="BH257" s="33">
        <v>2</v>
      </c>
      <c r="BI257" s="33">
        <v>14</v>
      </c>
      <c r="BJ257" s="33">
        <f>_xlfn.XLOOKUP(Crops[[#This Row],[ProductIndex]],Products[ID],Products[Holding Period])</f>
        <v>7</v>
      </c>
      <c r="BK257" s="33"/>
      <c r="BL257" s="33">
        <f>Crops[[#This Row],[Units Per Harvest]]*Crops[[#This Row],[Harvests]]</f>
        <v>125</v>
      </c>
      <c r="BM257" s="35">
        <v>3</v>
      </c>
      <c r="BN257" s="35">
        <v>1.5</v>
      </c>
      <c r="BO257" s="35"/>
      <c r="BP257" t="s">
        <v>215</v>
      </c>
      <c r="BQ257">
        <f>Crops[[#This Row],[Custom Yield Per Bed]]*Crops[[#This Row],[Direct Price]]</f>
        <v>375</v>
      </c>
      <c r="BS257" t="b">
        <f>Crops[[#This Row],[Harvests]]&gt;1</f>
        <v>1</v>
      </c>
      <c r="BT257" s="36">
        <f>IFERROR(Crops[[#This Row],[Direct Revenue Per Bed]]/Crops[[#This Row],[Days In Field]],-1)</f>
        <v>7.0754716981132075</v>
      </c>
      <c r="BU257" s="36">
        <f>IFERROR(Crops[[#This Row],[Direct Revenue Per Bed Day]]*GrowingDays*BedsPerAcre,"")</f>
        <v>203773.58490566039</v>
      </c>
      <c r="BV257" s="38">
        <f>LastFrostDate-5*Crops[[#This Row],[Sewing Rel Last Frost]]</f>
        <v>45778</v>
      </c>
      <c r="BW257" s="38">
        <f>Crops[[#This Row],[Target Sewing Date]]+Crops[[#This Row],[Days in Cells]]</f>
        <v>45778</v>
      </c>
      <c r="BX257" s="38">
        <f>Crops[[#This Row],[Target Sewing Date]]+Crops[[#This Row],[STH]]</f>
        <v>45810</v>
      </c>
      <c r="BY257" s="38">
        <f>Crops[[#This Row],[Target Harvest Data]]+Crops[[#This Row],[Harvest window]]</f>
        <v>45831</v>
      </c>
      <c r="BZ257">
        <v>-6</v>
      </c>
      <c r="CB257">
        <f>1</f>
        <v>1</v>
      </c>
      <c r="CC257">
        <f>IF(Crops[[#This Row],[Transplanting]]&gt;0, 2, 3)*BedLength/StandardBedLength</f>
        <v>1.5</v>
      </c>
      <c r="CD257" s="173">
        <f>IF(Crops[[#This Row],[Days in Cells]]&lt;=0,0,Crops[[#This Row],[Plantings Per Bed]]/StartsPerHourSeeding+Crops[[#This Row],[Tray 1 Count]]*5/60)</f>
        <v>0</v>
      </c>
      <c r="CE257" s="173">
        <f>IF(ISBLANK(Crops[[#This Row],[Tray 2 Days]]),0,Crops[[#This Row],[Plantings Per Bed]]/UpPottingPerHour)+IF(Crops[[#This Row],[Tray 3 Days]]="",0,Crops[[#This Row],[Plantings Per Bed]]/UpPottingPerHour)</f>
        <v>0</v>
      </c>
      <c r="CF257" s="173">
        <f>IFERROR(Crops[[#This Row],[Tray 1 Count]]/HomeStartFlatIrrigationPerHour,0)*Crops[[#This Row],[Days in Cells]]/DaysBetweenStartIrrigation</f>
        <v>0</v>
      </c>
      <c r="CG257" s="173">
        <f>0.5/16*MAX(Crops[[#This Row],[Tray 1 Count]],Crops[[#This Row],[Tray 2 Count]],Crops[[#This Row],[Tray 3 Count]])</f>
        <v>0</v>
      </c>
      <c r="CH257" s="173">
        <f>IF(Crops[[#This Row],[Days in Cells]]&gt;0,IF(IF(Crops[[#This Row],[Tray 3 Size]]&gt;0,Crops[[#This Row],[Tray 3 Size]],IF(Crops[[#This Row],[Tray 2 Size]]&gt;0,Crops[[#This Row],[Tray 2 Size]],Crops[[#This Row],[Tray 1 Size]]))&lt;=18,LargeTransplantTime,SmallTransplantTime)*Crops[[#This Row],[Plantings Per Bed]],0)</f>
        <v>0</v>
      </c>
      <c r="CI257" s="173"/>
      <c r="CJ257" s="173">
        <f>_xlfn.XLOOKUP(Crops[[#This Row],[Trellis Type]],TrellisMethods[Trellis Type],TrellisMethods[Hours],0,0)</f>
        <v>0</v>
      </c>
      <c r="CK257">
        <f>IF(Crops[[#This Row],[Days in Cells]]&lt;=0,Crops[[#This Row],[Rows]]*1/10,0)*BedLength/50</f>
        <v>0.6</v>
      </c>
      <c r="CL257" cm="1">
        <f t="array" ref="CL257">_xlfn.SWITCH(Crops[[#This Row],[Irrigation]],"DR", 0.5, "OH", 0.25,0)*BedLength/50</f>
        <v>0.25</v>
      </c>
      <c r="CM257">
        <f>IF(OR(ISBLANK(Crops[[#This Row],[Row Cover]]),Crops[[#This Row],[Row Cover]]="None"),0,1)*BedLength/50</f>
        <v>1</v>
      </c>
      <c r="CN257" s="173">
        <f>HoursPerWeedingPass*Crops[[#This Row],[Days In Field]]/14*Crops[[#This Row],[Rows]]+1*BedLength/50</f>
        <v>4.7857142857142847</v>
      </c>
      <c r="CO257" s="49"/>
      <c r="CQ257" s="37">
        <f>_xlfn.XLOOKUP(Crops[[#This Row],[Crop]]&amp;Crops[[#This Row],[Product]]&amp;Crops[[#This Row],[Unit]],Products[ID],Products[Marketing (hr)])*Crops[[#This Row],[Direct Revenue Per Bed]]/2000</f>
        <v>0.5625</v>
      </c>
      <c r="CR257" s="37">
        <f>_xlfn.XLOOKUP(Crops[[#This Row],[Crop]]&amp;Crops[[#This Row],[Product]]&amp;Crops[[#This Row],[Unit]],Products[ID],Products[Harvest (s)])*Crops[[#This Row],[Custom Yield Per Bed]]/3600</f>
        <v>0.83333333333333337</v>
      </c>
      <c r="CS257" s="37">
        <f>_xlfn.XLOOKUP(Crops[[#This Row],[Crop]]&amp;Crops[[#This Row],[Product]]&amp;Crops[[#This Row],[Unit]],Products[ID],Products[Bunch (s)])*Crops[[#This Row],[Custom Yield Per Bed]]/3600</f>
        <v>0.34722222222222221</v>
      </c>
      <c r="CT257" s="37">
        <f>_xlfn.XLOOKUP(Crops[[#This Row],[Crop]]&amp;Crops[[#This Row],[Product]]&amp;Crops[[#This Row],[Unit]],Products[ID],Products[Haul (s)])*Crops[[#This Row],[Custom Yield Per Bed]]/3600</f>
        <v>8.6805555555555552E-2</v>
      </c>
      <c r="CU257" s="37">
        <f>_xlfn.XLOOKUP(Crops[[#This Row],[Crop]]&amp;Crops[[#This Row],[Product]]&amp;Crops[[#This Row],[Unit]],Products[ID],Products[Wash (s)])*Crops[[#This Row],[Custom Yield Per Bed]]/3600</f>
        <v>0.69444444444444442</v>
      </c>
      <c r="CV257" s="37">
        <f>_xlfn.XLOOKUP(Crops[[#This Row],[Crop]]&amp;Crops[[#This Row],[Product]]&amp;Crops[[#This Row],[Unit]],Products[ID],Products[Condition (s)])*Crops[[#This Row],[Custom Yield Per Bed]]/3600</f>
        <v>0</v>
      </c>
      <c r="CW257" s="37">
        <f>_xlfn.XLOOKUP(Crops[[#This Row],[Crop]]&amp;Crops[[#This Row],[Product]]&amp;Crops[[#This Row],[Unit]],Products[ID],Products[Trim (s)])*Crops[[#This Row],[Custom Yield Per Bed]]/3600</f>
        <v>0.52083333333333337</v>
      </c>
      <c r="CX257" s="37">
        <f>_xlfn.XLOOKUP(Crops[[#This Row],[Crop]]&amp;Crops[[#This Row],[Product]]&amp;Crops[[#This Row],[Unit]],Products[ID],Products[Pack (s)])*Crops[[#This Row],[Custom Yield Per Bed]]/3600</f>
        <v>0.10416666666666667</v>
      </c>
      <c r="CY257" s="37">
        <f>_xlfn.XLOOKUP(Crops[[#This Row],[Crop]]&amp;Crops[[#This Row],[Product]]&amp;Crops[[#This Row],[Unit]],Products[ID],Products[Clean (s)])*Crops[[#This Row],[Custom Yield Per Bed]]/3600</f>
        <v>0</v>
      </c>
      <c r="CZ257" s="37">
        <f>_xlfn.XLOOKUP(Crops[[#This Row],[Crop]]&amp;Crops[[#This Row],[Product]]&amp;Crops[[#This Row],[Unit]],Products[ID],Products[Rehandle (s)])*Crops[[#This Row],[Custom Yield Per Bed]]/3600</f>
        <v>0</v>
      </c>
      <c r="DA257" s="37">
        <f>_xlfn.XLOOKUP(Crops[[#This Row],[Crop]]&amp;Crops[[#This Row],[Product]]&amp;Crops[[#This Row],[Unit]],Products[ID],Products[Market Transport (s)])*Crops[[#This Row],[Custom Yield Per Bed]]/3600</f>
        <v>0.2170138888888889</v>
      </c>
      <c r="DC257" s="37">
        <f>Crops[[#This Row],[Direct Revenue Per Bed2]]</f>
        <v>375</v>
      </c>
      <c r="DD257" s="173">
        <f>_xlfn.AGGREGATE(9,6,Crops[[#This Row],[Bed Prep]:[Remove Crop Residue]])</f>
        <v>11.502033730158729</v>
      </c>
      <c r="DE257" s="173">
        <f>_xlfn.AGGREGATE(9,6,Crops[[#This Row],[Bed Prep]:[Remove Crop Residue]])-0.75*Crops[[#This Row],[Market &amp; Sell]]</f>
        <v>11.080158730158729</v>
      </c>
      <c r="DF257" s="36">
        <f>Crops[[#This Row],[Direct Revenue Per Bed2]]/Crops[[#This Row],[Direct Time]]</f>
        <v>32.602929951138734</v>
      </c>
      <c r="DG257" s="36">
        <f>_xlfn.XLOOKUP(Crops[[#This Row],[ProductIndex]],Products[ID],Products[Packaging Cost])*(Crops[[#This Row],[Custom Yield Per Bed]]/_xlfn.XLOOKUP(Crops[[#This Row],[ProductIndex]],Products[ID],Products[Units Per Pack]))</f>
        <v>13.194444444444445</v>
      </c>
      <c r="DH257" s="36"/>
      <c r="DI257" s="36"/>
      <c r="DJ257" s="36"/>
      <c r="DK257" s="36"/>
      <c r="DL257" s="36"/>
      <c r="DM257" s="33">
        <f>IFERROR(Crops[[#This Row],[Custom Yield Per Bed]]*Crops[[#This Row],[Direct Price]],"")</f>
        <v>375</v>
      </c>
      <c r="DN257" s="36">
        <f>Crops[[#This Row],[Direct Time]]*LaborRate</f>
        <v>287.5508432539682</v>
      </c>
      <c r="DO257" s="36">
        <f>SUM(Crops[[#This Row],[Irrigation Cost]])</f>
        <v>0</v>
      </c>
      <c r="DP257" s="36">
        <f>Crops[[#This Row],[Direct Labor Cost]]+Crops[[#This Row],[Direct Non-Labor Cost]]</f>
        <v>287.5508432539682</v>
      </c>
      <c r="DQ257" s="36">
        <f>Crops[[#This Row],[Direct Revenue Per Bed2]]-Crops[[#This Row],[Direct Total Cost]]</f>
        <v>87.449156746031804</v>
      </c>
      <c r="DR257" s="36">
        <f>Crops[[#This Row],[Direct Profit]]*BedsPerAcre</f>
        <v>13991.865079365089</v>
      </c>
      <c r="DS257" s="36">
        <f>Crops[[#This Row],[Direct Profit]]*BedsPerAcre*GrowingDays/Crops[[#This Row],[Days In Field]]</f>
        <v>47519.54177897577</v>
      </c>
      <c r="DT257" s="36">
        <f>Crops[[#This Row],[Direct Profit]]/MIN(Crops[[#This Row],[Days In Field]],GrowingDays)</f>
        <v>1.64998408954777</v>
      </c>
      <c r="DU257" s="33">
        <f>Crops[[#This Row],[Direct Time]] * BedsPerAcre</f>
        <v>1840.3253968253966</v>
      </c>
      <c r="DV257" s="36">
        <f>(Crops[[#This Row],[Direct Revenue Per Bed2]]-Crops[[#This Row],[Direct Non-Labor Cost]])/Crops[[#This Row],[Direct Time]]</f>
        <v>32.602929951138734</v>
      </c>
      <c r="DW257" s="33">
        <f>IFERROR(Crops[[#This Row],[Custom Yield Per Bed]]*Crops[[#This Row],[Rough Wholesale Price]],"")</f>
        <v>187.5</v>
      </c>
      <c r="DX257" s="36">
        <f>Crops[[#This Row],[Wholesale Time]]*LaborRate</f>
        <v>277.0039682539682</v>
      </c>
      <c r="DY257" s="36">
        <f>SUM(Crops[[#This Row],[Packaging Costs]:[Irrigation Cost]])</f>
        <v>13.194444444444445</v>
      </c>
      <c r="DZ257" s="36">
        <f>Crops[[#This Row],[Wholesale Labor Cost]]+Crops[[#This Row],[Wholesale Non-Labor Cost]]</f>
        <v>290.19841269841265</v>
      </c>
      <c r="EA257" s="36">
        <f>Crops[[#This Row],[Wholesale Revenue Per Bed]]-Crops[[#This Row],[Wholesale Total Cost]]</f>
        <v>-102.69841269841265</v>
      </c>
      <c r="EB257" s="36">
        <f>Crops[[#This Row],[Wholesale Profit]]*BedsPerAcre</f>
        <v>-16431.746031746025</v>
      </c>
      <c r="EC257" s="36">
        <f>Crops[[#This Row],[Wholesale Profit]]*BedsPerAcre*GrowingDays/Crops[[#This Row],[Days In Field]]</f>
        <v>-55805.929919137445</v>
      </c>
      <c r="ED257" s="33">
        <f>Crops[[#This Row],[Wholesale Time]] * BedsPerAcre</f>
        <v>1772.8253968253966</v>
      </c>
      <c r="EE257" s="221">
        <f>Crops[[#This Row],[Wholesale Profit]]/MIN(Crops[[#This Row],[Days In Field]],GrowingDays)</f>
        <v>-1.93770589997005</v>
      </c>
      <c r="EF257" s="36">
        <f>(Crops[[#This Row],[Wholesale Revenue Per Bed]]-Crops[[#This Row],[Wholesale Non-Labor Cost]])/Crops[[#This Row],[Direct Time]]</f>
        <v>15.154324847658929</v>
      </c>
      <c r="EG257" s="174">
        <f>Crops[[#This Row],[Packaging Costs]]/Crops[[#This Row],[Wholesale Revenue Per Bed]]</f>
        <v>7.0370370370370375E-2</v>
      </c>
      <c r="EH257" s="36" t="str">
        <f>Crops[[#This Row],[Crop]]&amp;Crops[[#This Row],[Product]]&amp;Crops[[#This Row],[Unit]]</f>
        <v>RadishMature RootBunch</v>
      </c>
      <c r="EI257" s="36" t="b">
        <f>_xlfn.XLOOKUP(Crops[[#This Row],[ProductIndex]],Products[ID],Products[Target])</f>
        <v>1</v>
      </c>
      <c r="EJ257" s="33">
        <f>Crops[[#This Row],[Custom Yield Per Bed]]</f>
        <v>125</v>
      </c>
      <c r="EK257" s="210">
        <f>Crops[[#This Row],[Units Per Harvest]]/Crops[[#This Row],[Days Between Harvest]]*7</f>
        <v>31.25</v>
      </c>
      <c r="EL257" s="210">
        <f>Crops[[#This Row],[Custom Yield Per Bed]]/_xlfn.XLOOKUP(Crops[[#This Row],[ProductIndex]],Products[ID],Products[CSA Portion])</f>
        <v>125</v>
      </c>
      <c r="EM257" s="210">
        <f>Crops[[#This Row],[Units Per Harvest]]/Crops[[#This Row],[Days Between Harvest]]*7/_xlfn.XLOOKUP(Crops[[#This Row],[ProductIndex]],Products[ID],Products[CSA Portion])</f>
        <v>31.25</v>
      </c>
      <c r="EN257" s="210">
        <f>Crops[[#This Row],[CSA Portions Per Week]]/CSAMembers</f>
        <v>0.625</v>
      </c>
      <c r="EO257" s="216">
        <v>1</v>
      </c>
      <c r="EP257" s="216">
        <v>2</v>
      </c>
      <c r="EQ257" s="210"/>
      <c r="ER257" s="210">
        <f>Crops[[#This Row],[Harvests]]*Crops[[#This Row],[Days Between Harvest]]/7</f>
        <v>4</v>
      </c>
      <c r="ES257" s="217">
        <f>_xlfn.XLOOKUP(Crops[[#This Row],[ProductIndex]],Products[ID],Products[CSA Need])</f>
        <v>4</v>
      </c>
      <c r="ET257" s="217">
        <f>_xlfn.XLOOKUP(Crops[[#This Row],[ProductIndex]],Products[ID],Products[CSA Times])</f>
        <v>4</v>
      </c>
      <c r="EU257" s="208">
        <f>Crops[[#This Row],[Custom Yield Per Bed]]/(Crops[[#This Row],[CSA Need]]*(_xlfn.XLOOKUP(Crops[[#This Row],[ProductIndex]],Products[ID],Products[CSA Portion])*CSAMembers))</f>
        <v>0.625</v>
      </c>
      <c r="EV257" s="208">
        <f>_xlfn.XLOOKUP(Crops[[#This Row],[ProductIndex]],Products[ID],Products[CSA Portion])*CSAMembers*Crops[[#This Row],[CSA Need]]/Crops[[#This Row],[Custom Yield Per Bed]]</f>
        <v>1.6</v>
      </c>
      <c r="EW257" s="208">
        <f>IFERROR(Crops[[#This Row],[Days In Field]]*Crops[[#This Row],[CSA Beds]],"")</f>
        <v>84.800000000000011</v>
      </c>
      <c r="EX257" s="208" t="e">
        <f>Crops[[#This Row],[CSA Bed Days]]*#REF!</f>
        <v>#REF!</v>
      </c>
      <c r="EY257" t="s">
        <v>328</v>
      </c>
    </row>
    <row r="258" spans="1:155">
      <c r="A25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(Cluster) - Storage Root 3X | Field TP FaWi</v>
      </c>
      <c r="B258" s="191"/>
      <c r="C258" s="1"/>
      <c r="D258" s="1"/>
      <c r="E258" s="1" t="b">
        <v>0</v>
      </c>
      <c r="F258" s="1" t="b">
        <f>IFERROR(IF(ISNUMBER(MATCH(Crops[[#This Row],[Identifier]],BedPlan[Crop], 0)), TRUE, FALSE), FALSE)</f>
        <v>0</v>
      </c>
      <c r="G258" s="1" t="b">
        <f>IFERROR(IF(ISNUMBER(MATCH(Crops[[#This Row],[Identifier]],BedPlan[Crop], 0)), TRUE, FALSE), FALSE)</f>
        <v>0</v>
      </c>
      <c r="H258" s="1"/>
      <c r="I258" t="s">
        <v>114</v>
      </c>
      <c r="J258" t="s">
        <v>1129</v>
      </c>
      <c r="K258" t="s">
        <v>205</v>
      </c>
      <c r="M258" t="s">
        <v>443</v>
      </c>
      <c r="N258" t="s">
        <v>1316</v>
      </c>
      <c r="O258" t="s">
        <v>210</v>
      </c>
      <c r="P258" t="str">
        <f>IF(OR(Crops[[#This Row],[Days in Cells]]="",Crops[[#This Row],[Days in Cells]]=0), "DS","TP")</f>
        <v>TP</v>
      </c>
      <c r="S258" t="s">
        <v>144</v>
      </c>
      <c r="T258" t="s">
        <v>144</v>
      </c>
      <c r="V258" t="str">
        <f xml:space="preserve"> IF(Crops[[#This Row],[Sp]], "Sp", "") &amp; IF(Crops[[#This Row],[Su]], "Su", "") &amp; IF(Crops[[#This Row],[Fa]], "Fa", "") &amp; IF(Crops[[#This Row],[Wi]], "Wi", "") &amp; IF(Crops[[#This Row],[OW]], "Ow","")</f>
        <v>FaWi</v>
      </c>
      <c r="W258" t="s">
        <v>144</v>
      </c>
      <c r="X258">
        <v>2</v>
      </c>
      <c r="Y258">
        <v>12</v>
      </c>
      <c r="Z258" t="s">
        <v>431</v>
      </c>
      <c r="AA258" t="s">
        <v>475</v>
      </c>
      <c r="AB258" t="b">
        <v>1</v>
      </c>
      <c r="AC258">
        <v>2</v>
      </c>
      <c r="AD258" s="32">
        <f>IFERROR(12/Crops[[#This Row],[Spacing]]*Crops[[#This Row],[Rows]]*BedLength,"")</f>
        <v>100</v>
      </c>
      <c r="AE258">
        <v>3</v>
      </c>
      <c r="AG258">
        <f>IF(Crops[[#This Row],[Custom Safety Factor]]="",PlantingSafetyFactor,Crops[[#This Row],[Custom Safety Factor]])</f>
        <v>1.3</v>
      </c>
      <c r="AH258">
        <f>1</f>
        <v>1</v>
      </c>
      <c r="AI258" s="33">
        <f>IFERROR(Crops[[#This Row],[Plantings Per Bed]]*Crops[[#This Row],[Seeds Per Planting]]*Crops[[#This Row],[Safety Factor]]*Crops[[#This Row],[Seeding Factor]],"")</f>
        <v>390</v>
      </c>
      <c r="AJ258">
        <v>5</v>
      </c>
      <c r="AK258">
        <v>10</v>
      </c>
      <c r="AL258">
        <f>_xlfn.FLOOR.MATH(IFERROR(AVERAGE(Crops[[#This Row],[DTG Lower]:[DTG Upper]]),0))</f>
        <v>7</v>
      </c>
      <c r="AM258">
        <f>SUM(Crops[[#This Row],[Tray 1 Days]],Crops[[#This Row],[Tray 2 Days]],Crops[[#This Row],[Tray 3 Days]])</f>
        <v>21</v>
      </c>
      <c r="AN258" s="32">
        <f>3.5*7</f>
        <v>24.5</v>
      </c>
      <c r="AO258">
        <v>70</v>
      </c>
      <c r="AP258">
        <v>90</v>
      </c>
      <c r="AQ258">
        <f>IFERROR(_xlfn.FLOOR.MATH(AVERAGE(Crops[[#This Row],[DTM Lower]:[DTM Upper]])),"")</f>
        <v>80</v>
      </c>
      <c r="AR258" cm="1">
        <f t="array" ref="AR258">_xlfn.SWITCH(Crops[[#This Row],[Normal Method]],"DS",Crops[[#This Row],[Days to Germination]]+Crops[[#This Row],[DTM]] + IF(Crops[[#This Row],[Days in Cells]]&gt;0,15,0), "TP",Crops[[#This Row],[DTM]]+Crops[[#This Row],[Days in Cells]] + IF(Crops[[#This Row],[Days in Cells]]&lt;=0,20,0), "X", Crops[[#This Row],[DTM]])</f>
        <v>80</v>
      </c>
      <c r="AS258" t="s">
        <v>347</v>
      </c>
      <c r="AT258">
        <f>(Crops[[#This Row],[Harvests]]-1)*Crops[[#This Row],[Days Between Harvest]]+7</f>
        <v>21</v>
      </c>
      <c r="AU258">
        <f>Crops[[#This Row],[STH]]-Crops[[#This Row],[Days in Cells]]+Crops[[#This Row],[Harvest window]]</f>
        <v>80</v>
      </c>
      <c r="AX258">
        <v>128</v>
      </c>
      <c r="AY258">
        <v>21</v>
      </c>
      <c r="AZ258" s="49">
        <f>IFERROR(IF(Crops[[#This Row],[Tray 1 Days]]=0,"",Crops[[#This Row],[Plantings Per Bed]]/Crops[[#This Row],[Tray 1 Size]]*Crops[[#This Row],[Safety Factor]]),"")</f>
        <v>1.015625</v>
      </c>
      <c r="BC258" t="str">
        <f>IFERROR(IF(Crops[[#This Row],[Tray 2 Days]]=0,"",Crops[[#This Row],[Plantings Per Bed]]/Crops[[#This Row],[Tray 2 Size]]*Crops[[#This Row],[Safety Factor]]),"")</f>
        <v/>
      </c>
      <c r="BE258" s="32" t="str">
        <f>IF(NOT(ISBLANK(Crops[[#This Row],[Tray 3 Size]])), Crops[[#This Row],[Days in Cells Old]]-SUM(Crops[[#This Row],[Tray 1 Days]],Crops[[#This Row],[Tray 2 Days]]), "")</f>
        <v/>
      </c>
      <c r="BF258" s="49" t="str">
        <f>IFERROR(IF(Crops[[#This Row],[Tray 3 Days]]=0,"",Crops[[#This Row],[Plantings Per Bed]]/Crops[[#This Row],[Tray 3 Size]]*Crops[[#This Row],[Safety Factor]]),"")</f>
        <v/>
      </c>
      <c r="BG258" s="33">
        <f>Crops[[#This Row],[Plantings Per Bed]]/Crops[[#This Row],[Harvests]]</f>
        <v>50</v>
      </c>
      <c r="BH258" s="33">
        <v>2</v>
      </c>
      <c r="BI258" s="33">
        <v>14</v>
      </c>
      <c r="BJ258" s="33">
        <f>_xlfn.XLOOKUP(Crops[[#This Row],[ProductIndex]],Products[ID],Products[Holding Period])</f>
        <v>30</v>
      </c>
      <c r="BK258" s="33"/>
      <c r="BL258" s="33">
        <f>Crops[[#This Row],[Units Per Harvest]]*Crops[[#This Row],[Harvests]]</f>
        <v>100</v>
      </c>
      <c r="BM258" s="35">
        <v>5</v>
      </c>
      <c r="BN258" s="35">
        <v>1.5</v>
      </c>
      <c r="BO258" s="35"/>
      <c r="BP258" t="s">
        <v>215</v>
      </c>
      <c r="BQ258">
        <f>Crops[[#This Row],[Custom Yield Per Bed]]*Crops[[#This Row],[Direct Price]]</f>
        <v>500</v>
      </c>
      <c r="BS258" t="b">
        <f>Crops[[#This Row],[Harvests]]&gt;1</f>
        <v>1</v>
      </c>
      <c r="BT258" s="36">
        <f>IFERROR(Crops[[#This Row],[Direct Revenue Per Bed]]/Crops[[#This Row],[Days In Field]],-1)</f>
        <v>6.25</v>
      </c>
      <c r="BU258" s="36">
        <f>IFERROR(Crops[[#This Row],[Direct Revenue Per Bed Day]]*GrowingDays*BedsPerAcre,"")</f>
        <v>180000</v>
      </c>
      <c r="BV258" s="38">
        <f>LastFrostDate-5*Crops[[#This Row],[Sewing Rel Last Frost]]</f>
        <v>45818</v>
      </c>
      <c r="BW258" s="38">
        <f>Crops[[#This Row],[Target Sewing Date]]+Crops[[#This Row],[Days in Cells]]</f>
        <v>45839</v>
      </c>
      <c r="BX258" s="38">
        <f>Crops[[#This Row],[Target Sewing Date]]+Crops[[#This Row],[STH]]</f>
        <v>45898</v>
      </c>
      <c r="BY258" s="38">
        <f>Crops[[#This Row],[Target Harvest Data]]+Crops[[#This Row],[Harvest window]]</f>
        <v>45919</v>
      </c>
      <c r="BZ258">
        <v>-14</v>
      </c>
      <c r="CA258" t="s">
        <v>373</v>
      </c>
      <c r="CB258">
        <f>1</f>
        <v>1</v>
      </c>
      <c r="CC258">
        <f>IF(Crops[[#This Row],[Transplanting]]&gt;0, 2, 3)*BedLength/StandardBedLength</f>
        <v>1</v>
      </c>
      <c r="CD258" s="173">
        <f>IF(Crops[[#This Row],[Days in Cells]]&lt;=0,0,Crops[[#This Row],[Plantings Per Bed]]/StartsPerHourSeeding+Crops[[#This Row],[Tray 1 Count]]*5/60)</f>
        <v>0.47526041666666669</v>
      </c>
      <c r="CE258" s="173">
        <f>IF(ISBLANK(Crops[[#This Row],[Tray 2 Days]]),0,Crops[[#This Row],[Plantings Per Bed]]/UpPottingPerHour)+IF(Crops[[#This Row],[Tray 3 Days]]="",0,Crops[[#This Row],[Plantings Per Bed]]/UpPottingPerHour)</f>
        <v>0</v>
      </c>
      <c r="CF258" s="173">
        <f>IFERROR(Crops[[#This Row],[Tray 1 Count]]/HomeStartFlatIrrigationPerHour,0)*Crops[[#This Row],[Days in Cells]]/DaysBetweenStartIrrigation</f>
        <v>8.88671875E-2</v>
      </c>
      <c r="CG258" s="173">
        <f>0.5/16*MAX(Crops[[#This Row],[Tray 1 Count]],Crops[[#This Row],[Tray 2 Count]],Crops[[#This Row],[Tray 3 Count]])</f>
        <v>3.173828125E-2</v>
      </c>
      <c r="CH258" s="173">
        <f>IF(Crops[[#This Row],[Days in Cells]]&gt;0,IF(IF(Crops[[#This Row],[Tray 3 Size]]&gt;0,Crops[[#This Row],[Tray 3 Size]],IF(Crops[[#This Row],[Tray 2 Size]]&gt;0,Crops[[#This Row],[Tray 2 Size]],Crops[[#This Row],[Tray 1 Size]]))&lt;=18,LargeTransplantTime,SmallTransplantTime)*Crops[[#This Row],[Plantings Per Bed]],0)</f>
        <v>0.5</v>
      </c>
      <c r="CI258" s="173"/>
      <c r="CJ258" s="173">
        <f>_xlfn.XLOOKUP(Crops[[#This Row],[Trellis Type]],TrellisMethods[Trellis Type],TrellisMethods[Hours],0,0)</f>
        <v>0</v>
      </c>
      <c r="CK258">
        <f>IF(Crops[[#This Row],[Days in Cells]]&lt;=0,Crops[[#This Row],[Rows]]*1/10,0)*BedLength/50</f>
        <v>0</v>
      </c>
      <c r="CL258" cm="1">
        <f t="array" ref="CL258">_xlfn.SWITCH(Crops[[#This Row],[Irrigation]],"DR", 0.5, "OH", 0.25,0)*BedLength/50</f>
        <v>0.25</v>
      </c>
      <c r="CM258">
        <f>IF(OR(ISBLANK(Crops[[#This Row],[Row Cover]]),Crops[[#This Row],[Row Cover]]="None"),0,1)*BedLength/50</f>
        <v>1</v>
      </c>
      <c r="CN258" s="173">
        <f>HoursPerWeedingPass*Crops[[#This Row],[Days In Field]]/14*Crops[[#This Row],[Rows]]+1*BedLength/50</f>
        <v>2.9047619047619047</v>
      </c>
      <c r="CO258" s="49"/>
      <c r="CQ258" s="37">
        <f>_xlfn.XLOOKUP(Crops[[#This Row],[Crop]]&amp;Crops[[#This Row],[Product]]&amp;Crops[[#This Row],[Unit]],Products[ID],Products[Marketing (hr)])*Crops[[#This Row],[Direct Revenue Per Bed]]/2000</f>
        <v>0.75</v>
      </c>
      <c r="CR258" s="37">
        <f>_xlfn.XLOOKUP(Crops[[#This Row],[Crop]]&amp;Crops[[#This Row],[Product]]&amp;Crops[[#This Row],[Unit]],Products[ID],Products[Harvest (s)])*Crops[[#This Row],[Custom Yield Per Bed]]/3600</f>
        <v>0.66666666666666663</v>
      </c>
      <c r="CS258" s="37">
        <f>_xlfn.XLOOKUP(Crops[[#This Row],[Crop]]&amp;Crops[[#This Row],[Product]]&amp;Crops[[#This Row],[Unit]],Products[ID],Products[Bunch (s)])*Crops[[#This Row],[Custom Yield Per Bed]]/3600</f>
        <v>0.27777777777777779</v>
      </c>
      <c r="CT258" s="37">
        <f>_xlfn.XLOOKUP(Crops[[#This Row],[Crop]]&amp;Crops[[#This Row],[Product]]&amp;Crops[[#This Row],[Unit]],Products[ID],Products[Haul (s)])*Crops[[#This Row],[Custom Yield Per Bed]]/3600</f>
        <v>6.9444444444444448E-2</v>
      </c>
      <c r="CU258" s="37">
        <f>_xlfn.XLOOKUP(Crops[[#This Row],[Crop]]&amp;Crops[[#This Row],[Product]]&amp;Crops[[#This Row],[Unit]],Products[ID],Products[Wash (s)])*Crops[[#This Row],[Custom Yield Per Bed]]/3600</f>
        <v>0.55555555555555558</v>
      </c>
      <c r="CV258" s="37">
        <f>_xlfn.XLOOKUP(Crops[[#This Row],[Crop]]&amp;Crops[[#This Row],[Product]]&amp;Crops[[#This Row],[Unit]],Products[ID],Products[Condition (s)])*Crops[[#This Row],[Custom Yield Per Bed]]/3600</f>
        <v>0</v>
      </c>
      <c r="CW258" s="37">
        <f>_xlfn.XLOOKUP(Crops[[#This Row],[Crop]]&amp;Crops[[#This Row],[Product]]&amp;Crops[[#This Row],[Unit]],Products[ID],Products[Trim (s)])*Crops[[#This Row],[Custom Yield Per Bed]]/3600</f>
        <v>0.41666666666666669</v>
      </c>
      <c r="CX258" s="37">
        <f>_xlfn.XLOOKUP(Crops[[#This Row],[Crop]]&amp;Crops[[#This Row],[Product]]&amp;Crops[[#This Row],[Unit]],Products[ID],Products[Pack (s)])*Crops[[#This Row],[Custom Yield Per Bed]]/3600</f>
        <v>8.3333333333333329E-2</v>
      </c>
      <c r="CY258" s="37">
        <f>_xlfn.XLOOKUP(Crops[[#This Row],[Crop]]&amp;Crops[[#This Row],[Product]]&amp;Crops[[#This Row],[Unit]],Products[ID],Products[Clean (s)])*Crops[[#This Row],[Custom Yield Per Bed]]/3600</f>
        <v>0</v>
      </c>
      <c r="CZ258" s="37">
        <f>_xlfn.XLOOKUP(Crops[[#This Row],[Crop]]&amp;Crops[[#This Row],[Product]]&amp;Crops[[#This Row],[Unit]],Products[ID],Products[Rehandle (s)])*Crops[[#This Row],[Custom Yield Per Bed]]/3600</f>
        <v>0</v>
      </c>
      <c r="DA258" s="37">
        <f>_xlfn.XLOOKUP(Crops[[#This Row],[Crop]]&amp;Crops[[#This Row],[Product]]&amp;Crops[[#This Row],[Unit]],Products[ID],Products[Market Transport (s)])*Crops[[#This Row],[Custom Yield Per Bed]]/3600</f>
        <v>0.1736111111111111</v>
      </c>
      <c r="DC258" s="37">
        <f>Crops[[#This Row],[Direct Revenue Per Bed2]]</f>
        <v>500</v>
      </c>
      <c r="DD258" s="173">
        <f>_xlfn.AGGREGATE(9,6,Crops[[#This Row],[Bed Prep]:[Remove Crop Residue]])</f>
        <v>9.2436833457341265</v>
      </c>
      <c r="DE258" s="173">
        <f>_xlfn.AGGREGATE(9,6,Crops[[#This Row],[Bed Prep]:[Remove Crop Residue]])-0.75*Crops[[#This Row],[Market &amp; Sell]]</f>
        <v>8.6811833457341265</v>
      </c>
      <c r="DF258" s="36">
        <f>Crops[[#This Row],[Direct Revenue Per Bed2]]/Crops[[#This Row],[Direct Time]]</f>
        <v>54.090991793952497</v>
      </c>
      <c r="DG258" s="36">
        <f>_xlfn.XLOOKUP(Crops[[#This Row],[ProductIndex]],Products[ID],Products[Packaging Cost])*(Crops[[#This Row],[Custom Yield Per Bed]]/_xlfn.XLOOKUP(Crops[[#This Row],[ProductIndex]],Products[ID],Products[Units Per Pack]))</f>
        <v>10.555555555555555</v>
      </c>
      <c r="DH258" s="36"/>
      <c r="DI258" s="36"/>
      <c r="DJ258" s="36"/>
      <c r="DK258" s="36"/>
      <c r="DL258" s="36"/>
      <c r="DM258" s="33">
        <f>IFERROR(Crops[[#This Row],[Custom Yield Per Bed]]*Crops[[#This Row],[Direct Price]],"")</f>
        <v>500</v>
      </c>
      <c r="DN258" s="36">
        <f>Crops[[#This Row],[Direct Time]]*LaborRate</f>
        <v>231.09208364335316</v>
      </c>
      <c r="DO258" s="36">
        <f>SUM(Crops[[#This Row],[Irrigation Cost]])</f>
        <v>0</v>
      </c>
      <c r="DP258" s="36">
        <f>Crops[[#This Row],[Direct Labor Cost]]+Crops[[#This Row],[Direct Non-Labor Cost]]</f>
        <v>231.09208364335316</v>
      </c>
      <c r="DQ258" s="36">
        <f>Crops[[#This Row],[Direct Revenue Per Bed2]]-Crops[[#This Row],[Direct Total Cost]]</f>
        <v>268.90791635664687</v>
      </c>
      <c r="DR258" s="36">
        <f>Crops[[#This Row],[Direct Profit]]*BedsPerAcre</f>
        <v>43025.266617063498</v>
      </c>
      <c r="DS258" s="36">
        <f>Crops[[#This Row],[Direct Profit]]*BedsPerAcre*GrowingDays/Crops[[#This Row],[Days In Field]]</f>
        <v>96806.84988839287</v>
      </c>
      <c r="DT258" s="36">
        <f>Crops[[#This Row],[Direct Profit]]/MIN(Crops[[#This Row],[Days In Field]],GrowingDays)</f>
        <v>3.3613489544580859</v>
      </c>
      <c r="DU258" s="33">
        <f>Crops[[#This Row],[Direct Time]] * BedsPerAcre</f>
        <v>1478.9893353174602</v>
      </c>
      <c r="DV258" s="36">
        <f>(Crops[[#This Row],[Direct Revenue Per Bed2]]-Crops[[#This Row],[Direct Non-Labor Cost]])/Crops[[#This Row],[Direct Time]]</f>
        <v>54.090991793952497</v>
      </c>
      <c r="DW258" s="33">
        <f>IFERROR(Crops[[#This Row],[Custom Yield Per Bed]]*Crops[[#This Row],[Rough Wholesale Price]],"")</f>
        <v>150</v>
      </c>
      <c r="DX258" s="36">
        <f>Crops[[#This Row],[Wholesale Time]]*LaborRate</f>
        <v>217.02958364335316</v>
      </c>
      <c r="DY258" s="36">
        <f>SUM(Crops[[#This Row],[Packaging Costs]:[Irrigation Cost]])</f>
        <v>10.555555555555555</v>
      </c>
      <c r="DZ258" s="36">
        <f>Crops[[#This Row],[Wholesale Labor Cost]]+Crops[[#This Row],[Wholesale Non-Labor Cost]]</f>
        <v>227.58513919890871</v>
      </c>
      <c r="EA258" s="36">
        <f>Crops[[#This Row],[Wholesale Revenue Per Bed]]-Crops[[#This Row],[Wholesale Total Cost]]</f>
        <v>-77.585139198908706</v>
      </c>
      <c r="EB258" s="36">
        <f>Crops[[#This Row],[Wholesale Profit]]*BedsPerAcre</f>
        <v>-12413.622271825392</v>
      </c>
      <c r="EC258" s="36">
        <f>Crops[[#This Row],[Wholesale Profit]]*BedsPerAcre*GrowingDays/Crops[[#This Row],[Days In Field]]</f>
        <v>-27930.65011160713</v>
      </c>
      <c r="ED258" s="33">
        <f>Crops[[#This Row],[Wholesale Time]] * BedsPerAcre</f>
        <v>1388.9893353174602</v>
      </c>
      <c r="EE258" s="221">
        <f>Crops[[#This Row],[Wholesale Profit]]/MIN(Crops[[#This Row],[Days In Field]],GrowingDays)</f>
        <v>-0.96981423998635885</v>
      </c>
      <c r="EF258" s="36">
        <f>(Crops[[#This Row],[Wholesale Revenue Per Bed]]-Crops[[#This Row],[Wholesale Non-Labor Cost]])/Crops[[#This Row],[Direct Time]]</f>
        <v>15.08537660031342</v>
      </c>
      <c r="EG258" s="174">
        <f>Crops[[#This Row],[Packaging Costs]]/Crops[[#This Row],[Wholesale Revenue Per Bed]]</f>
        <v>7.0370370370370375E-2</v>
      </c>
      <c r="EH258" s="36" t="str">
        <f>Crops[[#This Row],[Crop]]&amp;Crops[[#This Row],[Product]]&amp;Crops[[#This Row],[Unit]]</f>
        <v>RadishStorage RootBunch</v>
      </c>
      <c r="EI258" s="36" t="b">
        <f>_xlfn.XLOOKUP(Crops[[#This Row],[ProductIndex]],Products[ID],Products[Target])</f>
        <v>1</v>
      </c>
      <c r="EJ258" s="36">
        <f>Crops[[#This Row],[Custom Yield Per Bed]]</f>
        <v>100</v>
      </c>
      <c r="EK258" s="210">
        <f>Crops[[#This Row],[Units Per Harvest]]/Crops[[#This Row],[Days Between Harvest]]*7</f>
        <v>25</v>
      </c>
      <c r="EL258" s="210">
        <f>Crops[[#This Row],[Custom Yield Per Bed]]/_xlfn.XLOOKUP(Crops[[#This Row],[ProductIndex]],Products[ID],Products[CSA Portion])</f>
        <v>100</v>
      </c>
      <c r="EM258" s="210">
        <f>Crops[[#This Row],[Units Per Harvest]]/Crops[[#This Row],[Days Between Harvest]]*7/_xlfn.XLOOKUP(Crops[[#This Row],[ProductIndex]],Products[ID],Products[CSA Portion])</f>
        <v>25</v>
      </c>
      <c r="EN258" s="210">
        <f>Crops[[#This Row],[CSA Portions Per Week]]/CSAMembers</f>
        <v>0.5</v>
      </c>
      <c r="EO258" s="210"/>
      <c r="EP258" s="210"/>
      <c r="EQ258" s="210"/>
      <c r="ER258" s="210">
        <f>Crops[[#This Row],[Harvests]]*Crops[[#This Row],[Days Between Harvest]]/7</f>
        <v>4</v>
      </c>
      <c r="ES258" s="217">
        <f>_xlfn.XLOOKUP(Crops[[#This Row],[ProductIndex]],Products[ID],Products[CSA Need])</f>
        <v>2</v>
      </c>
      <c r="ET258" s="217">
        <f>_xlfn.XLOOKUP(Crops[[#This Row],[ProductIndex]],Products[ID],Products[CSA Times])</f>
        <v>2</v>
      </c>
      <c r="EU258" s="208">
        <f>Crops[[#This Row],[Custom Yield Per Bed]]/(Crops[[#This Row],[CSA Need]]*(_xlfn.XLOOKUP(Crops[[#This Row],[ProductIndex]],Products[ID],Products[CSA Portion])*CSAMembers))</f>
        <v>1</v>
      </c>
      <c r="EV258" s="208">
        <f>_xlfn.XLOOKUP(Crops[[#This Row],[ProductIndex]],Products[ID],Products[CSA Portion])*CSAMembers*Crops[[#This Row],[CSA Need]]/Crops[[#This Row],[Custom Yield Per Bed]]</f>
        <v>1</v>
      </c>
      <c r="EW258" s="208">
        <f>IFERROR(Crops[[#This Row],[Days In Field]]*Crops[[#This Row],[CSA Beds]],"")</f>
        <v>80</v>
      </c>
      <c r="EX258" s="208" t="e">
        <f>Crops[[#This Row],[CSA Bed Days]]*#REF!</f>
        <v>#REF!</v>
      </c>
      <c r="EY258" t="s">
        <v>329</v>
      </c>
    </row>
    <row r="259" spans="1:155">
      <c r="A25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(Daikon) - Storage Root 1X | Field DS FaWi</v>
      </c>
      <c r="B259" s="191"/>
      <c r="C259" s="1"/>
      <c r="D259" s="1"/>
      <c r="E259" s="1" t="b">
        <v>0</v>
      </c>
      <c r="F259" s="1" t="b">
        <f>IFERROR(IF(ISNUMBER(MATCH(Crops[[#This Row],[Identifier]],BedPlan[Crop], 0)), TRUE, FALSE), FALSE)</f>
        <v>0</v>
      </c>
      <c r="G259" s="1" t="b">
        <f>IFERROR(IF(ISNUMBER(MATCH(Crops[[#This Row],[Identifier]],BedPlan[Crop], 0)), TRUE, FALSE), FALSE)</f>
        <v>0</v>
      </c>
      <c r="H259" s="1"/>
      <c r="I259" t="s">
        <v>114</v>
      </c>
      <c r="J259" t="s">
        <v>1922</v>
      </c>
      <c r="K259" t="s">
        <v>205</v>
      </c>
      <c r="M259" t="s">
        <v>443</v>
      </c>
      <c r="N259" t="s">
        <v>1316</v>
      </c>
      <c r="O259" t="s">
        <v>210</v>
      </c>
      <c r="P259" t="str">
        <f>IF(OR(Crops[[#This Row],[Days in Cells]]="",Crops[[#This Row],[Days in Cells]]=0), "DS","TP")</f>
        <v>DS</v>
      </c>
      <c r="S259" t="s">
        <v>144</v>
      </c>
      <c r="T259" t="s">
        <v>144</v>
      </c>
      <c r="V259" t="str">
        <f xml:space="preserve"> IF(Crops[[#This Row],[Sp]], "Sp", "") &amp; IF(Crops[[#This Row],[Su]], "Su", "") &amp; IF(Crops[[#This Row],[Fa]], "Fa", "") &amp; IF(Crops[[#This Row],[Wi]], "Wi", "") &amp; IF(Crops[[#This Row],[OW]], "Ow","")</f>
        <v>FaWi</v>
      </c>
      <c r="W259" t="s">
        <v>144</v>
      </c>
      <c r="X259">
        <v>2</v>
      </c>
      <c r="Y259">
        <v>4</v>
      </c>
      <c r="Z259" t="s">
        <v>431</v>
      </c>
      <c r="AA259" t="s">
        <v>475</v>
      </c>
      <c r="AB259" t="b">
        <v>1</v>
      </c>
      <c r="AC259">
        <v>2</v>
      </c>
      <c r="AD259" s="32">
        <f>IFERROR(12/Crops[[#This Row],[Spacing]]*Crops[[#This Row],[Rows]]*BedLength,"")</f>
        <v>300</v>
      </c>
      <c r="AE259">
        <v>1</v>
      </c>
      <c r="AG259">
        <f>IF(Crops[[#This Row],[Custom Safety Factor]]="",PlantingSafetyFactor,Crops[[#This Row],[Custom Safety Factor]])</f>
        <v>1.3</v>
      </c>
      <c r="AH259">
        <f>1</f>
        <v>1</v>
      </c>
      <c r="AI259" s="33">
        <f>IFERROR(Crops[[#This Row],[Plantings Per Bed]]*Crops[[#This Row],[Seeds Per Planting]]*Crops[[#This Row],[Safety Factor]]*Crops[[#This Row],[Seeding Factor]],"")</f>
        <v>390</v>
      </c>
      <c r="AJ259">
        <v>5</v>
      </c>
      <c r="AK259">
        <v>10</v>
      </c>
      <c r="AL259">
        <f>_xlfn.FLOOR.MATH(IFERROR(AVERAGE(Crops[[#This Row],[DTG Lower]:[DTG Upper]]),0))</f>
        <v>7</v>
      </c>
      <c r="AM259">
        <f>SUM(Crops[[#This Row],[Tray 1 Days]],Crops[[#This Row],[Tray 2 Days]],Crops[[#This Row],[Tray 3 Days]])</f>
        <v>0</v>
      </c>
      <c r="AN259" s="32">
        <f>3.5*7</f>
        <v>24.5</v>
      </c>
      <c r="AO259">
        <v>70</v>
      </c>
      <c r="AP259">
        <v>90</v>
      </c>
      <c r="AQ259">
        <v>50</v>
      </c>
      <c r="AR259" cm="1">
        <f t="array" ref="AR259">_xlfn.SWITCH(Crops[[#This Row],[Normal Method]],"DS",Crops[[#This Row],[Days to Germination]]+Crops[[#This Row],[DTM]] + IF(Crops[[#This Row],[Days in Cells]]&gt;0,15,0), "TP",Crops[[#This Row],[DTM]]+Crops[[#This Row],[Days in Cells]] + IF(Crops[[#This Row],[Days in Cells]]&lt;=0,20,0), "X", Crops[[#This Row],[DTM]])</f>
        <v>57</v>
      </c>
      <c r="AS259" t="s">
        <v>338</v>
      </c>
      <c r="AT259">
        <f>(Crops[[#This Row],[Harvests]]-1)*Crops[[#This Row],[Days Between Harvest]]+7</f>
        <v>21</v>
      </c>
      <c r="AU259">
        <f>Crops[[#This Row],[STH]]-Crops[[#This Row],[Days in Cells]]+Crops[[#This Row],[Harvest window]]</f>
        <v>78</v>
      </c>
      <c r="AZ259" s="49" t="str">
        <f>IFERROR(IF(Crops[[#This Row],[Tray 1 Days]]=0,"",Crops[[#This Row],[Plantings Per Bed]]/Crops[[#This Row],[Tray 1 Size]]*Crops[[#This Row],[Safety Factor]]),"")</f>
        <v/>
      </c>
      <c r="BC259" t="str">
        <f>IFERROR(IF(Crops[[#This Row],[Tray 2 Days]]=0,"",Crops[[#This Row],[Plantings Per Bed]]/Crops[[#This Row],[Tray 2 Size]]*Crops[[#This Row],[Safety Factor]]),"")</f>
        <v/>
      </c>
      <c r="BE259" s="32" t="str">
        <f>IF(NOT(ISBLANK(Crops[[#This Row],[Tray 3 Size]])), Crops[[#This Row],[Days in Cells Old]]-SUM(Crops[[#This Row],[Tray 1 Days]],Crops[[#This Row],[Tray 2 Days]]), "")</f>
        <v/>
      </c>
      <c r="BF259" s="49" t="str">
        <f>IFERROR(IF(Crops[[#This Row],[Tray 3 Days]]=0,"",Crops[[#This Row],[Plantings Per Bed]]/Crops[[#This Row],[Tray 3 Size]]*Crops[[#This Row],[Safety Factor]]),"")</f>
        <v/>
      </c>
      <c r="BG259" s="33">
        <f>Crops[[#This Row],[Plantings Per Bed]]*3/Crops[[#This Row],[Harvests]]</f>
        <v>450</v>
      </c>
      <c r="BH259" s="33">
        <v>2</v>
      </c>
      <c r="BI259" s="33">
        <v>14</v>
      </c>
      <c r="BJ259" s="33">
        <f>_xlfn.XLOOKUP(Crops[[#This Row],[ProductIndex]],Products[ID],Products[Holding Period])</f>
        <v>30</v>
      </c>
      <c r="BK259" s="33"/>
      <c r="BL259" s="33">
        <f>Crops[[#This Row],[Units Per Harvest]]*Crops[[#This Row],[Harvests]]</f>
        <v>900</v>
      </c>
      <c r="BM259" s="35">
        <v>2</v>
      </c>
      <c r="BN259" s="35">
        <f>Crops[[#This Row],[Direct Price]]*0.6</f>
        <v>1.2</v>
      </c>
      <c r="BO259" s="35"/>
      <c r="BP259" t="s">
        <v>383</v>
      </c>
      <c r="BQ259">
        <f>Crops[[#This Row],[Custom Yield Per Bed]]*Crops[[#This Row],[Direct Price]]</f>
        <v>1800</v>
      </c>
      <c r="BS259" t="b">
        <f>Crops[[#This Row],[Harvests]]&gt;1</f>
        <v>1</v>
      </c>
      <c r="BT259" s="36">
        <f>IFERROR(Crops[[#This Row],[Direct Revenue Per Bed]]/Crops[[#This Row],[Days In Field]],-1)</f>
        <v>23.076923076923077</v>
      </c>
      <c r="BU259" s="36">
        <f>IFERROR(Crops[[#This Row],[Direct Revenue Per Bed Day]]*GrowingDays*BedsPerAcre,"")</f>
        <v>664615.38461538451</v>
      </c>
      <c r="BV259" s="38">
        <f>LastFrostDate-5*Crops[[#This Row],[Sewing Rel Last Frost]]</f>
        <v>45828</v>
      </c>
      <c r="BW259" s="38">
        <f>Crops[[#This Row],[Target Sewing Date]]+Crops[[#This Row],[Days in Cells]]</f>
        <v>45828</v>
      </c>
      <c r="BX259" s="38">
        <f>Crops[[#This Row],[Target Sewing Date]]+Crops[[#This Row],[STH]]</f>
        <v>45885</v>
      </c>
      <c r="BY259" s="38">
        <f>Crops[[#This Row],[Target Harvest Data]]+Crops[[#This Row],[Harvest window]]</f>
        <v>45906</v>
      </c>
      <c r="BZ259">
        <v>-16</v>
      </c>
      <c r="CA259" t="s">
        <v>373</v>
      </c>
      <c r="CB259">
        <f>1</f>
        <v>1</v>
      </c>
      <c r="CC259">
        <f>IF(Crops[[#This Row],[Transplanting]]&gt;0, 2, 3)*BedLength/StandardBedLength</f>
        <v>1.5</v>
      </c>
      <c r="CD259" s="173">
        <f>IF(Crops[[#This Row],[Days in Cells]]&lt;=0,0,Crops[[#This Row],[Plantings Per Bed]]/StartsPerHourSeeding+Crops[[#This Row],[Tray 1 Count]]*5/60)</f>
        <v>0</v>
      </c>
      <c r="CE259" s="173">
        <f>IF(ISBLANK(Crops[[#This Row],[Tray 2 Days]]),0,Crops[[#This Row],[Plantings Per Bed]]/UpPottingPerHour)+IF(Crops[[#This Row],[Tray 3 Days]]="",0,Crops[[#This Row],[Plantings Per Bed]]/UpPottingPerHour)</f>
        <v>0</v>
      </c>
      <c r="CF259" s="173">
        <f>IFERROR(Crops[[#This Row],[Tray 1 Count]]/HomeStartFlatIrrigationPerHour,0)*Crops[[#This Row],[Days in Cells]]/DaysBetweenStartIrrigation</f>
        <v>0</v>
      </c>
      <c r="CG259" s="173">
        <f>0.5/16*MAX(Crops[[#This Row],[Tray 1 Count]],Crops[[#This Row],[Tray 2 Count]],Crops[[#This Row],[Tray 3 Count]])</f>
        <v>0</v>
      </c>
      <c r="CH259" s="173">
        <f>IF(Crops[[#This Row],[Days in Cells]]&gt;0,IF(IF(Crops[[#This Row],[Tray 3 Size]]&gt;0,Crops[[#This Row],[Tray 3 Size]],IF(Crops[[#This Row],[Tray 2 Size]]&gt;0,Crops[[#This Row],[Tray 2 Size]],Crops[[#This Row],[Tray 1 Size]]))&lt;=18,LargeTransplantTime,SmallTransplantTime)*Crops[[#This Row],[Plantings Per Bed]],0)</f>
        <v>0</v>
      </c>
      <c r="CI259" s="173"/>
      <c r="CJ259" s="173">
        <f>_xlfn.XLOOKUP(Crops[[#This Row],[Trellis Type]],TrellisMethods[Trellis Type],TrellisMethods[Hours],0,0)</f>
        <v>0</v>
      </c>
      <c r="CK259">
        <f>IF(Crops[[#This Row],[Days in Cells]]&lt;=0,Crops[[#This Row],[Rows]]*1/10,0)*BedLength/50</f>
        <v>0.2</v>
      </c>
      <c r="CL259" cm="1">
        <f t="array" ref="CL259">_xlfn.SWITCH(Crops[[#This Row],[Irrigation]],"DR", 0.5, "OH", 0.25,0)*BedLength/50</f>
        <v>0.25</v>
      </c>
      <c r="CM259">
        <f>IF(OR(ISBLANK(Crops[[#This Row],[Row Cover]]),Crops[[#This Row],[Row Cover]]="None"),0,1)*BedLength/50</f>
        <v>1</v>
      </c>
      <c r="CN259" s="173">
        <f>HoursPerWeedingPass*Crops[[#This Row],[Days In Field]]/14*Crops[[#This Row],[Rows]]+1*BedLength/50</f>
        <v>2.8571428571428572</v>
      </c>
      <c r="CO259" s="49"/>
      <c r="CQ259" s="37">
        <f>_xlfn.XLOOKUP(Crops[[#This Row],[Crop]]&amp;Crops[[#This Row],[Product]]&amp;Crops[[#This Row],[Unit]],Products[ID],Products[Marketing (hr)])*Crops[[#This Row],[Direct Revenue Per Bed]]/2000</f>
        <v>2.7</v>
      </c>
      <c r="CR259" s="37">
        <f>_xlfn.XLOOKUP(Crops[[#This Row],[Crop]]&amp;Crops[[#This Row],[Product]]&amp;Crops[[#This Row],[Unit]],Products[ID],Products[Harvest (s)])*Crops[[#This Row],[Custom Yield Per Bed]]/3600</f>
        <v>3</v>
      </c>
      <c r="CS259" s="37">
        <f>_xlfn.XLOOKUP(Crops[[#This Row],[Crop]]&amp;Crops[[#This Row],[Product]]&amp;Crops[[#This Row],[Unit]],Products[ID],Products[Bunch (s)])*Crops[[#This Row],[Custom Yield Per Bed]]/3600</f>
        <v>0</v>
      </c>
      <c r="CT259" s="37">
        <f>_xlfn.XLOOKUP(Crops[[#This Row],[Crop]]&amp;Crops[[#This Row],[Product]]&amp;Crops[[#This Row],[Unit]],Products[ID],Products[Haul (s)])*Crops[[#This Row],[Custom Yield Per Bed]]/3600</f>
        <v>0.5625</v>
      </c>
      <c r="CU259" s="37">
        <f>_xlfn.XLOOKUP(Crops[[#This Row],[Crop]]&amp;Crops[[#This Row],[Product]]&amp;Crops[[#This Row],[Unit]],Products[ID],Products[Wash (s)])*Crops[[#This Row],[Custom Yield Per Bed]]/3600</f>
        <v>5</v>
      </c>
      <c r="CV259" s="37">
        <f>_xlfn.XLOOKUP(Crops[[#This Row],[Crop]]&amp;Crops[[#This Row],[Product]]&amp;Crops[[#This Row],[Unit]],Products[ID],Products[Condition (s)])*Crops[[#This Row],[Custom Yield Per Bed]]/3600</f>
        <v>0</v>
      </c>
      <c r="CW259" s="37">
        <f>_xlfn.XLOOKUP(Crops[[#This Row],[Crop]]&amp;Crops[[#This Row],[Product]]&amp;Crops[[#This Row],[Unit]],Products[ID],Products[Trim (s)])*Crops[[#This Row],[Custom Yield Per Bed]]/3600</f>
        <v>7.5</v>
      </c>
      <c r="CX259" s="37">
        <f>_xlfn.XLOOKUP(Crops[[#This Row],[Crop]]&amp;Crops[[#This Row],[Product]]&amp;Crops[[#This Row],[Unit]],Products[ID],Products[Pack (s)])*Crops[[#This Row],[Custom Yield Per Bed]]/3600</f>
        <v>0.75</v>
      </c>
      <c r="CY259" s="37">
        <f>_xlfn.XLOOKUP(Crops[[#This Row],[Crop]]&amp;Crops[[#This Row],[Product]]&amp;Crops[[#This Row],[Unit]],Products[ID],Products[Clean (s)])*Crops[[#This Row],[Custom Yield Per Bed]]/3600</f>
        <v>0</v>
      </c>
      <c r="CZ259" s="37">
        <f>_xlfn.XLOOKUP(Crops[[#This Row],[Crop]]&amp;Crops[[#This Row],[Product]]&amp;Crops[[#This Row],[Unit]],Products[ID],Products[Rehandle (s)])*Crops[[#This Row],[Custom Yield Per Bed]]/3600</f>
        <v>0</v>
      </c>
      <c r="DA259" s="37">
        <f>_xlfn.XLOOKUP(Crops[[#This Row],[Crop]]&amp;Crops[[#This Row],[Product]]&amp;Crops[[#This Row],[Unit]],Products[ID],Products[Market Transport (s)])*Crops[[#This Row],[Custom Yield Per Bed]]/3600</f>
        <v>1.40625</v>
      </c>
      <c r="DC259" s="37">
        <f>Crops[[#This Row],[Direct Revenue Per Bed2]]</f>
        <v>1800</v>
      </c>
      <c r="DD259" s="173">
        <f>_xlfn.AGGREGATE(9,6,Crops[[#This Row],[Bed Prep]:[Remove Crop Residue]])</f>
        <v>26.725892857142856</v>
      </c>
      <c r="DE259" s="173">
        <f>_xlfn.AGGREGATE(9,6,Crops[[#This Row],[Bed Prep]:[Remove Crop Residue]])-0.75*Crops[[#This Row],[Market &amp; Sell]]</f>
        <v>24.700892857142854</v>
      </c>
      <c r="DF259" s="36">
        <f>Crops[[#This Row],[Direct Revenue Per Bed2]]/Crops[[#This Row],[Direct Time]]</f>
        <v>67.350415928907893</v>
      </c>
      <c r="DG259" s="36">
        <f>_xlfn.XLOOKUP(Crops[[#This Row],[ProductIndex]],Products[ID],Products[Packaging Cost])*(Crops[[#This Row],[Custom Yield Per Bed]]/_xlfn.XLOOKUP(Crops[[#This Row],[ProductIndex]],Products[ID],Products[Units Per Pack]))</f>
        <v>136.79999999999998</v>
      </c>
      <c r="DH259" s="36"/>
      <c r="DI259" s="36"/>
      <c r="DJ259" s="36"/>
      <c r="DK259" s="36"/>
      <c r="DL259" s="36"/>
      <c r="DM259" s="33">
        <f>IFERROR(Crops[[#This Row],[Custom Yield Per Bed]]*Crops[[#This Row],[Direct Price]],"")</f>
        <v>1800</v>
      </c>
      <c r="DN259" s="36">
        <f>Crops[[#This Row],[Direct Time]]*LaborRate</f>
        <v>668.14732142857144</v>
      </c>
      <c r="DO259" s="36">
        <f>SUM(Crops[[#This Row],[Irrigation Cost]])</f>
        <v>0</v>
      </c>
      <c r="DP259" s="36">
        <f>Crops[[#This Row],[Direct Labor Cost]]+Crops[[#This Row],[Direct Non-Labor Cost]]</f>
        <v>668.14732142857144</v>
      </c>
      <c r="DQ259" s="36">
        <f>Crops[[#This Row],[Direct Revenue Per Bed2]]-Crops[[#This Row],[Direct Total Cost]]</f>
        <v>1131.8526785714284</v>
      </c>
      <c r="DR259" s="36">
        <f>Crops[[#This Row],[Direct Profit]]*BedsPerAcre</f>
        <v>181096.42857142855</v>
      </c>
      <c r="DS259" s="36">
        <f>Crops[[#This Row],[Direct Profit]]*BedsPerAcre*GrowingDays/Crops[[#This Row],[Days In Field]]</f>
        <v>417914.83516483509</v>
      </c>
      <c r="DT259" s="36">
        <f>Crops[[#This Row],[Direct Profit]]/MIN(Crops[[#This Row],[Days In Field]],GrowingDays)</f>
        <v>14.510931776556776</v>
      </c>
      <c r="DU259" s="36">
        <f>Crops[[#This Row],[Direct Time]] * BedsPerAcre</f>
        <v>4276.1428571428569</v>
      </c>
      <c r="DV259" s="36">
        <f>(Crops[[#This Row],[Direct Revenue Per Bed2]]-Crops[[#This Row],[Direct Non-Labor Cost]])/Crops[[#This Row],[Direct Time]]</f>
        <v>67.350415928907893</v>
      </c>
      <c r="DW259" s="33">
        <f>IFERROR(Crops[[#This Row],[Custom Yield Per Bed]]*Crops[[#This Row],[Rough Wholesale Price]],"")</f>
        <v>1080</v>
      </c>
      <c r="DX259" s="36">
        <f>Crops[[#This Row],[Wholesale Time]]*LaborRate</f>
        <v>617.52232142857133</v>
      </c>
      <c r="DY259" s="36">
        <f>SUM(Crops[[#This Row],[Packaging Costs]:[Irrigation Cost]])</f>
        <v>136.79999999999998</v>
      </c>
      <c r="DZ259" s="36">
        <f>Crops[[#This Row],[Wholesale Labor Cost]]+Crops[[#This Row],[Wholesale Non-Labor Cost]]</f>
        <v>754.32232142857129</v>
      </c>
      <c r="EA259" s="36">
        <f>Crops[[#This Row],[Wholesale Revenue Per Bed]]-Crops[[#This Row],[Wholesale Total Cost]]</f>
        <v>325.67767857142871</v>
      </c>
      <c r="EB259" s="36">
        <f>Crops[[#This Row],[Wholesale Profit]]*BedsPerAcre</f>
        <v>52108.428571428594</v>
      </c>
      <c r="EC259" s="36">
        <f>Crops[[#This Row],[Wholesale Profit]]*BedsPerAcre*GrowingDays/Crops[[#This Row],[Days In Field]]</f>
        <v>120250.21978021984</v>
      </c>
      <c r="ED259" s="36">
        <f>Crops[[#This Row],[Wholesale Time]] * BedsPerAcre</f>
        <v>3952.1428571428569</v>
      </c>
      <c r="EE259" s="221">
        <f>Crops[[#This Row],[Wholesale Profit]]/MIN(Crops[[#This Row],[Days In Field]],GrowingDays)</f>
        <v>4.1753548534798552</v>
      </c>
      <c r="EF259" s="36">
        <f>(Crops[[#This Row],[Wholesale Revenue Per Bed]]-Crops[[#This Row],[Wholesale Non-Labor Cost]])/Crops[[#This Row],[Direct Time]]</f>
        <v>35.291617946747742</v>
      </c>
      <c r="EG259" s="174">
        <f>Crops[[#This Row],[Packaging Costs]]/Crops[[#This Row],[Wholesale Revenue Per Bed]]</f>
        <v>0.12666666666666665</v>
      </c>
      <c r="EH259" s="36" t="str">
        <f>Crops[[#This Row],[Crop]]&amp;Crops[[#This Row],[Product]]&amp;Crops[[#This Row],[Unit]]</f>
        <v>RadishStorage RootLb</v>
      </c>
      <c r="EI259" s="36" t="b">
        <f>_xlfn.XLOOKUP(Crops[[#This Row],[ProductIndex]],Products[ID],Products[Target])</f>
        <v>1</v>
      </c>
      <c r="EJ259" s="36">
        <f>Crops[[#This Row],[Custom Yield Per Bed]]</f>
        <v>900</v>
      </c>
      <c r="EK259" s="210">
        <f>Crops[[#This Row],[Units Per Harvest]]/Crops[[#This Row],[Days Between Harvest]]*7</f>
        <v>225.00000000000003</v>
      </c>
      <c r="EL259" s="210">
        <f>Crops[[#This Row],[Custom Yield Per Bed]]/_xlfn.XLOOKUP(Crops[[#This Row],[ProductIndex]],Products[ID],Products[CSA Portion])</f>
        <v>450</v>
      </c>
      <c r="EM259" s="210">
        <f>Crops[[#This Row],[Units Per Harvest]]/Crops[[#This Row],[Days Between Harvest]]*7/_xlfn.XLOOKUP(Crops[[#This Row],[ProductIndex]],Products[ID],Products[CSA Portion])</f>
        <v>112.50000000000001</v>
      </c>
      <c r="EN259" s="210">
        <f>Crops[[#This Row],[CSA Portions Per Week]]/CSAMembers</f>
        <v>2.2500000000000004</v>
      </c>
      <c r="EO259" s="210"/>
      <c r="EP259" s="210"/>
      <c r="EQ259" s="36"/>
      <c r="ER259" s="36">
        <f>Crops[[#This Row],[Harvests]]*Crops[[#This Row],[Days Between Harvest]]/7</f>
        <v>4</v>
      </c>
      <c r="ES259" s="208">
        <f>_xlfn.XLOOKUP(Crops[[#This Row],[ProductIndex]],Products[ID],Products[CSA Need])</f>
        <v>2</v>
      </c>
      <c r="ET259" s="208">
        <f>_xlfn.XLOOKUP(Crops[[#This Row],[ProductIndex]],Products[ID],Products[CSA Times])</f>
        <v>1</v>
      </c>
      <c r="EU259" s="208">
        <f>Crops[[#This Row],[Custom Yield Per Bed]]/(Crops[[#This Row],[CSA Need]]*(_xlfn.XLOOKUP(Crops[[#This Row],[ProductIndex]],Products[ID],Products[CSA Portion])*CSAMembers))</f>
        <v>4.5</v>
      </c>
      <c r="EV259" s="208">
        <f>_xlfn.XLOOKUP(Crops[[#This Row],[ProductIndex]],Products[ID],Products[CSA Portion])*CSAMembers*Crops[[#This Row],[CSA Need]]/Crops[[#This Row],[Custom Yield Per Bed]]</f>
        <v>0.22222222222222221</v>
      </c>
      <c r="EW259" s="208">
        <f>IFERROR(Crops[[#This Row],[Days In Field]]*Crops[[#This Row],[CSA Beds]],"")</f>
        <v>17.333333333333332</v>
      </c>
      <c r="EX259" s="208" t="e">
        <f>Crops[[#This Row],[CSA Bed Days]]*#REF!</f>
        <v>#REF!</v>
      </c>
      <c r="EY259" t="s">
        <v>329</v>
      </c>
    </row>
    <row r="260" spans="1:155">
      <c r="A26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(Daikon) - Storage Root 1X | Field TP FaWi</v>
      </c>
      <c r="B260" s="191"/>
      <c r="C260" s="1" t="b">
        <v>1</v>
      </c>
      <c r="D260" s="1" t="s">
        <v>2580</v>
      </c>
      <c r="E260" s="1" t="b">
        <v>0</v>
      </c>
      <c r="F260" s="1" t="b">
        <f>IFERROR(IF(ISNUMBER(MATCH(Crops[[#This Row],[Identifier]],BedPlan[Crop], 0)), TRUE, FALSE), FALSE)</f>
        <v>1</v>
      </c>
      <c r="G260" s="1" t="b">
        <f>IFERROR(IF(ISNUMBER(MATCH(Crops[[#This Row],[Identifier]],BedPlan[Crop], 0)), TRUE, FALSE), FALSE)</f>
        <v>1</v>
      </c>
      <c r="H260" s="1"/>
      <c r="I260" t="s">
        <v>114</v>
      </c>
      <c r="J260" t="s">
        <v>1922</v>
      </c>
      <c r="K260" t="s">
        <v>205</v>
      </c>
      <c r="M260" t="s">
        <v>443</v>
      </c>
      <c r="N260" t="s">
        <v>1316</v>
      </c>
      <c r="O260" t="s">
        <v>210</v>
      </c>
      <c r="P260" t="str">
        <f>IF(OR(Crops[[#This Row],[Days in Cells]]="",Crops[[#This Row],[Days in Cells]]=0), "DS","TP")</f>
        <v>TP</v>
      </c>
      <c r="S260" t="s">
        <v>144</v>
      </c>
      <c r="T260" t="s">
        <v>144</v>
      </c>
      <c r="V260" t="str">
        <f xml:space="preserve"> IF(Crops[[#This Row],[Sp]], "Sp", "") &amp; IF(Crops[[#This Row],[Su]], "Su", "") &amp; IF(Crops[[#This Row],[Fa]], "Fa", "") &amp; IF(Crops[[#This Row],[Wi]], "Wi", "") &amp; IF(Crops[[#This Row],[OW]], "Ow","")</f>
        <v>FaWi</v>
      </c>
      <c r="W260" t="s">
        <v>144</v>
      </c>
      <c r="X260">
        <v>3</v>
      </c>
      <c r="Y260">
        <v>9</v>
      </c>
      <c r="Z260" t="s">
        <v>431</v>
      </c>
      <c r="AA260" t="s">
        <v>475</v>
      </c>
      <c r="AB260" t="b">
        <v>1</v>
      </c>
      <c r="AC260">
        <v>2</v>
      </c>
      <c r="AD260" s="32">
        <f>IFERROR(12/Crops[[#This Row],[Spacing]]*Crops[[#This Row],[Rows]]*BedLength,"")</f>
        <v>200</v>
      </c>
      <c r="AE260">
        <v>1</v>
      </c>
      <c r="AG260">
        <f>IF(Crops[[#This Row],[Custom Safety Factor]]="",PlantingSafetyFactor,Crops[[#This Row],[Custom Safety Factor]])</f>
        <v>1.3</v>
      </c>
      <c r="AH260">
        <f>1</f>
        <v>1</v>
      </c>
      <c r="AI260" s="33">
        <f>IFERROR(Crops[[#This Row],[Plantings Per Bed]]*Crops[[#This Row],[Seeds Per Planting]]*Crops[[#This Row],[Safety Factor]]*Crops[[#This Row],[Seeding Factor]],"")</f>
        <v>260</v>
      </c>
      <c r="AJ260">
        <v>5</v>
      </c>
      <c r="AK260">
        <v>10</v>
      </c>
      <c r="AL260">
        <f>_xlfn.FLOOR.MATH(IFERROR(AVERAGE(Crops[[#This Row],[DTG Lower]:[DTG Upper]]),0))</f>
        <v>7</v>
      </c>
      <c r="AM260">
        <f>SUM(Crops[[#This Row],[Tray 1 Days]],Crops[[#This Row],[Tray 2 Days]],Crops[[#This Row],[Tray 3 Days]])</f>
        <v>25</v>
      </c>
      <c r="AN260" s="32">
        <f>3.5*7</f>
        <v>24.5</v>
      </c>
      <c r="AP260">
        <v>50</v>
      </c>
      <c r="AQ260">
        <f>IFERROR(_xlfn.FLOOR.MATH(AVERAGE(Crops[[#This Row],[DTM Lower]:[DTM Upper]])),"")</f>
        <v>50</v>
      </c>
      <c r="AR260" cm="1">
        <f t="array" ref="AR260">_xlfn.SWITCH(Crops[[#This Row],[Normal Method]],"DS",Crops[[#This Row],[Days to Germination]]+Crops[[#This Row],[DTM]] + IF(Crops[[#This Row],[Days in Cells]]&gt;0,15,0), "TP",Crops[[#This Row],[DTM]]+Crops[[#This Row],[Days in Cells]] + IF(Crops[[#This Row],[Days in Cells]]&lt;=0,20,0), "X", Crops[[#This Row],[DTM]])</f>
        <v>75</v>
      </c>
      <c r="AS260" t="s">
        <v>346</v>
      </c>
      <c r="AT260">
        <f>(Crops[[#This Row],[Harvests]]-1)*Crops[[#This Row],[Days Between Harvest]]+7</f>
        <v>21</v>
      </c>
      <c r="AU260">
        <f>Crops[[#This Row],[STH]]-Crops[[#This Row],[Days in Cells]]+Crops[[#This Row],[Harvest window]]</f>
        <v>71</v>
      </c>
      <c r="AX260">
        <v>128</v>
      </c>
      <c r="AY260">
        <v>25</v>
      </c>
      <c r="AZ260" s="49">
        <f>IFERROR(IF(Crops[[#This Row],[Tray 1 Days]]=0,"",Crops[[#This Row],[Plantings Per Bed]]/Crops[[#This Row],[Tray 1 Size]]*Crops[[#This Row],[Safety Factor]]),"")</f>
        <v>2.03125</v>
      </c>
      <c r="BC260" t="str">
        <f>IFERROR(IF(Crops[[#This Row],[Tray 2 Days]]=0,"",Crops[[#This Row],[Plantings Per Bed]]/Crops[[#This Row],[Tray 2 Size]]*Crops[[#This Row],[Safety Factor]]),"")</f>
        <v/>
      </c>
      <c r="BE260" s="32" t="str">
        <f>IF(NOT(ISBLANK(Crops[[#This Row],[Tray 3 Size]])), Crops[[#This Row],[Days in Cells Old]]-SUM(Crops[[#This Row],[Tray 1 Days]],Crops[[#This Row],[Tray 2 Days]]), "")</f>
        <v/>
      </c>
      <c r="BF260" s="49" t="str">
        <f>IFERROR(IF(Crops[[#This Row],[Tray 3 Days]]=0,"",Crops[[#This Row],[Plantings Per Bed]]/Crops[[#This Row],[Tray 3 Size]]*Crops[[#This Row],[Safety Factor]]),"")</f>
        <v/>
      </c>
      <c r="BG260" s="33">
        <f>Crops[[#This Row],[Plantings Per Bed]]*3/Crops[[#This Row],[Harvests]]</f>
        <v>300</v>
      </c>
      <c r="BH260" s="33">
        <v>2</v>
      </c>
      <c r="BI260" s="33">
        <v>14</v>
      </c>
      <c r="BJ260" s="33">
        <f>_xlfn.XLOOKUP(Crops[[#This Row],[ProductIndex]],Products[ID],Products[Holding Period])</f>
        <v>30</v>
      </c>
      <c r="BK260" s="33"/>
      <c r="BL260" s="33">
        <f>Crops[[#This Row],[Units Per Harvest]]*Crops[[#This Row],[Harvests]]</f>
        <v>600</v>
      </c>
      <c r="BM260" s="35">
        <v>2</v>
      </c>
      <c r="BN260" s="35">
        <f>Crops[[#This Row],[Direct Price]]*0.6</f>
        <v>1.2</v>
      </c>
      <c r="BO260" s="35"/>
      <c r="BP260" t="s">
        <v>383</v>
      </c>
      <c r="BQ260">
        <f>Crops[[#This Row],[Custom Yield Per Bed]]*Crops[[#This Row],[Direct Price]]</f>
        <v>1200</v>
      </c>
      <c r="BS260" t="b">
        <f>Crops[[#This Row],[Harvests]]&gt;1</f>
        <v>1</v>
      </c>
      <c r="BT260" s="36">
        <f>IFERROR(Crops[[#This Row],[Direct Revenue Per Bed]]/Crops[[#This Row],[Days In Field]],-1)</f>
        <v>16.901408450704224</v>
      </c>
      <c r="BU260" s="36">
        <f>IFERROR(Crops[[#This Row],[Direct Revenue Per Bed Day]]*GrowingDays*BedsPerAcre,"")</f>
        <v>486760.56338028167</v>
      </c>
      <c r="BV260" s="38">
        <f>LastFrostDate-5*Crops[[#This Row],[Sewing Rel Last Frost]]</f>
        <v>45828</v>
      </c>
      <c r="BW260" s="38">
        <f>Crops[[#This Row],[Target Sewing Date]]+Crops[[#This Row],[Days in Cells]]</f>
        <v>45853</v>
      </c>
      <c r="BX260" s="38">
        <f>Crops[[#This Row],[Target Sewing Date]]+Crops[[#This Row],[STH]]</f>
        <v>45903</v>
      </c>
      <c r="BY260" s="38">
        <f>Crops[[#This Row],[Target Harvest Data]]+Crops[[#This Row],[Harvest window]]</f>
        <v>45924</v>
      </c>
      <c r="BZ260">
        <v>-16</v>
      </c>
      <c r="CA260" t="s">
        <v>373</v>
      </c>
      <c r="CB260">
        <f>1</f>
        <v>1</v>
      </c>
      <c r="CC260">
        <f>IF(Crops[[#This Row],[Transplanting]]&gt;0, 2, 3)*BedLength/StandardBedLength</f>
        <v>1</v>
      </c>
      <c r="CD260" s="173">
        <f>IF(Crops[[#This Row],[Days in Cells]]&lt;=0,0,Crops[[#This Row],[Plantings Per Bed]]/StartsPerHourSeeding+Crops[[#This Row],[Tray 1 Count]]*5/60)</f>
        <v>0.95052083333333337</v>
      </c>
      <c r="CE260" s="173">
        <f>IF(ISBLANK(Crops[[#This Row],[Tray 2 Days]]),0,Crops[[#This Row],[Plantings Per Bed]]/UpPottingPerHour)+IF(Crops[[#This Row],[Tray 3 Days]]="",0,Crops[[#This Row],[Plantings Per Bed]]/UpPottingPerHour)</f>
        <v>0</v>
      </c>
      <c r="CF260" s="173">
        <f>IFERROR(Crops[[#This Row],[Tray 1 Count]]/HomeStartFlatIrrigationPerHour,0)*Crops[[#This Row],[Days in Cells]]/DaysBetweenStartIrrigation</f>
        <v>0.21158854166666666</v>
      </c>
      <c r="CG260" s="173">
        <f>0.5/16*MAX(Crops[[#This Row],[Tray 1 Count]],Crops[[#This Row],[Tray 2 Count]],Crops[[#This Row],[Tray 3 Count]])</f>
        <v>6.34765625E-2</v>
      </c>
      <c r="CH260" s="173">
        <f>IF(Crops[[#This Row],[Days in Cells]]&gt;0,IF(IF(Crops[[#This Row],[Tray 3 Size]]&gt;0,Crops[[#This Row],[Tray 3 Size]],IF(Crops[[#This Row],[Tray 2 Size]]&gt;0,Crops[[#This Row],[Tray 2 Size]],Crops[[#This Row],[Tray 1 Size]]))&lt;=18,LargeTransplantTime,SmallTransplantTime)*Crops[[#This Row],[Plantings Per Bed]],0)</f>
        <v>1</v>
      </c>
      <c r="CI260" s="173"/>
      <c r="CJ260" s="173">
        <f>_xlfn.XLOOKUP(Crops[[#This Row],[Trellis Type]],TrellisMethods[Trellis Type],TrellisMethods[Hours],0,0)</f>
        <v>0</v>
      </c>
      <c r="CK260">
        <f>IF(Crops[[#This Row],[Days in Cells]]&lt;=0,Crops[[#This Row],[Rows]]*1/10,0)*BedLength/50</f>
        <v>0</v>
      </c>
      <c r="CL260" cm="1">
        <f t="array" ref="CL260">_xlfn.SWITCH(Crops[[#This Row],[Irrigation]],"DR", 0.5, "OH", 0.25,0)*BedLength/50</f>
        <v>0.25</v>
      </c>
      <c r="CM260">
        <f>IF(OR(ISBLANK(Crops[[#This Row],[Row Cover]]),Crops[[#This Row],[Row Cover]]="None"),0,1)*BedLength/50</f>
        <v>1</v>
      </c>
      <c r="CN260" s="173">
        <f>HoursPerWeedingPass*Crops[[#This Row],[Days In Field]]/14*Crops[[#This Row],[Rows]]+1*BedLength/50</f>
        <v>3.5357142857142856</v>
      </c>
      <c r="CO260" s="49"/>
      <c r="CQ260" s="37">
        <f>_xlfn.XLOOKUP(Crops[[#This Row],[Crop]]&amp;Crops[[#This Row],[Product]]&amp;Crops[[#This Row],[Unit]],Products[ID],Products[Marketing (hr)])*Crops[[#This Row],[Direct Revenue Per Bed]]/2000</f>
        <v>1.8</v>
      </c>
      <c r="CR260" s="37">
        <f>_xlfn.XLOOKUP(Crops[[#This Row],[Crop]]&amp;Crops[[#This Row],[Product]]&amp;Crops[[#This Row],[Unit]],Products[ID],Products[Harvest (s)])*Crops[[#This Row],[Custom Yield Per Bed]]/3600</f>
        <v>2</v>
      </c>
      <c r="CS260" s="37">
        <f>_xlfn.XLOOKUP(Crops[[#This Row],[Crop]]&amp;Crops[[#This Row],[Product]]&amp;Crops[[#This Row],[Unit]],Products[ID],Products[Bunch (s)])*Crops[[#This Row],[Custom Yield Per Bed]]/3600</f>
        <v>0</v>
      </c>
      <c r="CT260" s="37">
        <f>_xlfn.XLOOKUP(Crops[[#This Row],[Crop]]&amp;Crops[[#This Row],[Product]]&amp;Crops[[#This Row],[Unit]],Products[ID],Products[Haul (s)])*Crops[[#This Row],[Custom Yield Per Bed]]/3600</f>
        <v>0.375</v>
      </c>
      <c r="CU260" s="37">
        <f>_xlfn.XLOOKUP(Crops[[#This Row],[Crop]]&amp;Crops[[#This Row],[Product]]&amp;Crops[[#This Row],[Unit]],Products[ID],Products[Wash (s)])*Crops[[#This Row],[Custom Yield Per Bed]]/3600</f>
        <v>3.3333333333333335</v>
      </c>
      <c r="CV260" s="37">
        <f>_xlfn.XLOOKUP(Crops[[#This Row],[Crop]]&amp;Crops[[#This Row],[Product]]&amp;Crops[[#This Row],[Unit]],Products[ID],Products[Condition (s)])*Crops[[#This Row],[Custom Yield Per Bed]]/3600</f>
        <v>0</v>
      </c>
      <c r="CW260" s="37">
        <f>_xlfn.XLOOKUP(Crops[[#This Row],[Crop]]&amp;Crops[[#This Row],[Product]]&amp;Crops[[#This Row],[Unit]],Products[ID],Products[Trim (s)])*Crops[[#This Row],[Custom Yield Per Bed]]/3600</f>
        <v>5</v>
      </c>
      <c r="CX260" s="37">
        <f>_xlfn.XLOOKUP(Crops[[#This Row],[Crop]]&amp;Crops[[#This Row],[Product]]&amp;Crops[[#This Row],[Unit]],Products[ID],Products[Pack (s)])*Crops[[#This Row],[Custom Yield Per Bed]]/3600</f>
        <v>0.5</v>
      </c>
      <c r="CY260" s="37">
        <f>_xlfn.XLOOKUP(Crops[[#This Row],[Crop]]&amp;Crops[[#This Row],[Product]]&amp;Crops[[#This Row],[Unit]],Products[ID],Products[Clean (s)])*Crops[[#This Row],[Custom Yield Per Bed]]/3600</f>
        <v>0</v>
      </c>
      <c r="CZ260" s="37">
        <f>_xlfn.XLOOKUP(Crops[[#This Row],[Crop]]&amp;Crops[[#This Row],[Product]]&amp;Crops[[#This Row],[Unit]],Products[ID],Products[Rehandle (s)])*Crops[[#This Row],[Custom Yield Per Bed]]/3600</f>
        <v>0</v>
      </c>
      <c r="DA260" s="37">
        <f>_xlfn.XLOOKUP(Crops[[#This Row],[Crop]]&amp;Crops[[#This Row],[Product]]&amp;Crops[[#This Row],[Unit]],Products[ID],Products[Market Transport (s)])*Crops[[#This Row],[Custom Yield Per Bed]]/3600</f>
        <v>0.9375</v>
      </c>
      <c r="DC260" s="37">
        <f>Crops[[#This Row],[Direct Revenue Per Bed2]]</f>
        <v>1200</v>
      </c>
      <c r="DD260" s="173">
        <f>_xlfn.AGGREGATE(9,6,Crops[[#This Row],[Bed Prep]:[Remove Crop Residue]])</f>
        <v>21.957133556547618</v>
      </c>
      <c r="DE260" s="173">
        <f>_xlfn.AGGREGATE(9,6,Crops[[#This Row],[Bed Prep]:[Remove Crop Residue]])-0.75*Crops[[#This Row],[Market &amp; Sell]]</f>
        <v>20.607133556547616</v>
      </c>
      <c r="DF260" s="36">
        <f>Crops[[#This Row],[Direct Revenue Per Bed2]]/Crops[[#This Row],[Direct Time]]</f>
        <v>54.65194247279878</v>
      </c>
      <c r="DG260" s="36">
        <f>_xlfn.XLOOKUP(Crops[[#This Row],[ProductIndex]],Products[ID],Products[Packaging Cost])*(Crops[[#This Row],[Custom Yield Per Bed]]/_xlfn.XLOOKUP(Crops[[#This Row],[ProductIndex]],Products[ID],Products[Units Per Pack]))</f>
        <v>91.199999999999989</v>
      </c>
      <c r="DH260" s="36"/>
      <c r="DI260" s="36"/>
      <c r="DJ260" s="36"/>
      <c r="DK260" s="36"/>
      <c r="DL260" s="36"/>
      <c r="DM260" s="33">
        <f>IFERROR(Crops[[#This Row],[Custom Yield Per Bed]]*Crops[[#This Row],[Direct Price]],"")</f>
        <v>1200</v>
      </c>
      <c r="DN260" s="36">
        <f>Crops[[#This Row],[Direct Time]]*LaborRate</f>
        <v>548.92833891369048</v>
      </c>
      <c r="DO260" s="36">
        <f>SUM(Crops[[#This Row],[Irrigation Cost]])</f>
        <v>0</v>
      </c>
      <c r="DP260" s="36">
        <f>Crops[[#This Row],[Direct Labor Cost]]+Crops[[#This Row],[Direct Non-Labor Cost]]</f>
        <v>548.92833891369048</v>
      </c>
      <c r="DQ260" s="36">
        <f>Crops[[#This Row],[Direct Revenue Per Bed2]]-Crops[[#This Row],[Direct Total Cost]]</f>
        <v>651.07166108630952</v>
      </c>
      <c r="DR260" s="36">
        <f>Crops[[#This Row],[Direct Profit]]*BedsPerAcre</f>
        <v>104171.46577380953</v>
      </c>
      <c r="DS260" s="36">
        <f>Crops[[#This Row],[Direct Profit]]*BedsPerAcre*GrowingDays/Crops[[#This Row],[Days In Field]]</f>
        <v>264096.67379275657</v>
      </c>
      <c r="DT260" s="36">
        <f>Crops[[#This Row],[Direct Profit]]/MIN(Crops[[#This Row],[Days In Field]],GrowingDays)</f>
        <v>9.1700233955818238</v>
      </c>
      <c r="DU260" s="36">
        <f>Crops[[#This Row],[Direct Time]] * BedsPerAcre</f>
        <v>3513.1413690476188</v>
      </c>
      <c r="DV260" s="36">
        <f>(Crops[[#This Row],[Direct Revenue Per Bed2]]-Crops[[#This Row],[Direct Non-Labor Cost]])/Crops[[#This Row],[Direct Time]]</f>
        <v>54.65194247279878</v>
      </c>
      <c r="DW260" s="33">
        <f>IFERROR(Crops[[#This Row],[Custom Yield Per Bed]]*Crops[[#This Row],[Rough Wholesale Price]],"")</f>
        <v>720</v>
      </c>
      <c r="DX260" s="36">
        <f>Crops[[#This Row],[Wholesale Time]]*LaborRate</f>
        <v>515.17833891369037</v>
      </c>
      <c r="DY260" s="36">
        <f>SUM(Crops[[#This Row],[Packaging Costs]:[Irrigation Cost]])</f>
        <v>91.199999999999989</v>
      </c>
      <c r="DZ260" s="36">
        <f>Crops[[#This Row],[Wholesale Labor Cost]]+Crops[[#This Row],[Wholesale Non-Labor Cost]]</f>
        <v>606.37833891369041</v>
      </c>
      <c r="EA260" s="36">
        <f>Crops[[#This Row],[Wholesale Revenue Per Bed]]-Crops[[#This Row],[Wholesale Total Cost]]</f>
        <v>113.62166108630959</v>
      </c>
      <c r="EB260" s="36">
        <f>Crops[[#This Row],[Wholesale Profit]]*BedsPerAcre</f>
        <v>18179.465773809534</v>
      </c>
      <c r="EC260" s="36">
        <f>Crops[[#This Row],[Wholesale Profit]]*BedsPerAcre*GrowingDays/Crops[[#This Row],[Days In Field]]</f>
        <v>46088.786468812898</v>
      </c>
      <c r="ED260" s="36">
        <f>Crops[[#This Row],[Wholesale Time]] * BedsPerAcre</f>
        <v>3297.1413690476184</v>
      </c>
      <c r="EE260" s="221">
        <f>Crops[[#This Row],[Wholesale Profit]]/MIN(Crops[[#This Row],[Days In Field]],GrowingDays)</f>
        <v>1.6003050857226702</v>
      </c>
      <c r="EF260" s="36">
        <f>(Crops[[#This Row],[Wholesale Revenue Per Bed]]-Crops[[#This Row],[Wholesale Non-Labor Cost]])/Crops[[#This Row],[Direct Time]]</f>
        <v>28.637617855746559</v>
      </c>
      <c r="EG260" s="174">
        <f>Crops[[#This Row],[Packaging Costs]]/Crops[[#This Row],[Wholesale Revenue Per Bed]]</f>
        <v>0.12666666666666665</v>
      </c>
      <c r="EH260" s="36" t="str">
        <f>Crops[[#This Row],[Crop]]&amp;Crops[[#This Row],[Product]]&amp;Crops[[#This Row],[Unit]]</f>
        <v>RadishStorage RootLb</v>
      </c>
      <c r="EI260" s="36" t="b">
        <f>_xlfn.XLOOKUP(Crops[[#This Row],[ProductIndex]],Products[ID],Products[Target])</f>
        <v>1</v>
      </c>
      <c r="EJ260" s="33">
        <f>Crops[[#This Row],[Custom Yield Per Bed]]</f>
        <v>600</v>
      </c>
      <c r="EK260" s="210">
        <f>Crops[[#This Row],[Units Per Harvest]]/Crops[[#This Row],[Days Between Harvest]]*7</f>
        <v>150</v>
      </c>
      <c r="EL260" s="210">
        <f>Crops[[#This Row],[Custom Yield Per Bed]]/_xlfn.XLOOKUP(Crops[[#This Row],[ProductIndex]],Products[ID],Products[CSA Portion])</f>
        <v>300</v>
      </c>
      <c r="EM260" s="210">
        <f>Crops[[#This Row],[Units Per Harvest]]/Crops[[#This Row],[Days Between Harvest]]*7/_xlfn.XLOOKUP(Crops[[#This Row],[ProductIndex]],Products[ID],Products[CSA Portion])</f>
        <v>75</v>
      </c>
      <c r="EN260" s="210">
        <f>Crops[[#This Row],[CSA Portions Per Week]]/CSAMembers</f>
        <v>1.5</v>
      </c>
      <c r="EO260" s="216">
        <v>1</v>
      </c>
      <c r="EP260" s="216">
        <v>1</v>
      </c>
      <c r="EQ260" s="36"/>
      <c r="ER260" s="36">
        <f>Crops[[#This Row],[Harvests]]*Crops[[#This Row],[Days Between Harvest]]/7</f>
        <v>4</v>
      </c>
      <c r="ES260" s="208">
        <f>_xlfn.XLOOKUP(Crops[[#This Row],[ProductIndex]],Products[ID],Products[CSA Need])</f>
        <v>2</v>
      </c>
      <c r="ET260" s="208">
        <f>_xlfn.XLOOKUP(Crops[[#This Row],[ProductIndex]],Products[ID],Products[CSA Times])</f>
        <v>1</v>
      </c>
      <c r="EU260" s="208">
        <f>Crops[[#This Row],[Custom Yield Per Bed]]/(Crops[[#This Row],[CSA Need]]*(_xlfn.XLOOKUP(Crops[[#This Row],[ProductIndex]],Products[ID],Products[CSA Portion])*CSAMembers))</f>
        <v>3</v>
      </c>
      <c r="EV260" s="208">
        <f>_xlfn.XLOOKUP(Crops[[#This Row],[ProductIndex]],Products[ID],Products[CSA Portion])*CSAMembers*Crops[[#This Row],[CSA Need]]/Crops[[#This Row],[Custom Yield Per Bed]]</f>
        <v>0.33333333333333331</v>
      </c>
      <c r="EW260" s="208">
        <f>IFERROR(Crops[[#This Row],[Days In Field]]*Crops[[#This Row],[CSA Beds]],"")</f>
        <v>23.666666666666664</v>
      </c>
      <c r="EX260" s="208" t="e">
        <f>Crops[[#This Row],[CSA Bed Days]]*#REF!</f>
        <v>#REF!</v>
      </c>
      <c r="EY260" t="s">
        <v>329</v>
      </c>
    </row>
    <row r="261" spans="1:155">
      <c r="A26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Radish (Munchen Bier) - Storage Root 1X | Field DS </v>
      </c>
      <c r="B261" s="191"/>
      <c r="C261" s="1" t="b">
        <v>1</v>
      </c>
      <c r="D261" s="1"/>
      <c r="E261" s="1" t="b">
        <v>0</v>
      </c>
      <c r="F261" s="1" t="b">
        <f>IFERROR(IF(ISNUMBER(MATCH(Crops[[#This Row],[Identifier]],BedPlan[Crop], 0)), TRUE, FALSE), FALSE)</f>
        <v>1</v>
      </c>
      <c r="G261" s="1" t="b">
        <f>IFERROR(IF(ISNUMBER(MATCH(Crops[[#This Row],[Identifier]],BedPlan[Crop], 0)), TRUE, FALSE), FALSE)</f>
        <v>1</v>
      </c>
      <c r="H261" s="1" t="b">
        <v>1</v>
      </c>
      <c r="I261" t="s">
        <v>114</v>
      </c>
      <c r="J261" t="s">
        <v>172</v>
      </c>
      <c r="K261" t="s">
        <v>205</v>
      </c>
      <c r="M261" t="s">
        <v>443</v>
      </c>
      <c r="N261" t="str">
        <f>Crops[[#This Row],[Crop]]</f>
        <v>Radish</v>
      </c>
      <c r="O261" t="s">
        <v>210</v>
      </c>
      <c r="P261" t="str">
        <f>IF(OR(Crops[[#This Row],[Days in Cells]]="",Crops[[#This Row],[Days in Cells]]=0), "DS","TP")</f>
        <v>DS</v>
      </c>
      <c r="V261" t="str">
        <f xml:space="preserve"> IF(Crops[[#This Row],[Sp]], "Sp", "") &amp; IF(Crops[[#This Row],[Su]], "Su", "") &amp; IF(Crops[[#This Row],[Fa]], "Fa", "") &amp; IF(Crops[[#This Row],[Wi]], "Wi", "") &amp; IF(Crops[[#This Row],[OW]], "Ow","")</f>
        <v/>
      </c>
      <c r="W261" t="b">
        <v>1</v>
      </c>
      <c r="X261">
        <v>6</v>
      </c>
      <c r="Y261">
        <v>3</v>
      </c>
      <c r="AB261" t="b">
        <v>1</v>
      </c>
      <c r="AD261" s="32">
        <f>IFERROR(12/Crops[[#This Row],[Spacing]]*Crops[[#This Row],[Rows]]*BedLength,"")</f>
        <v>1200</v>
      </c>
      <c r="AE261">
        <v>1</v>
      </c>
      <c r="AG261">
        <f>IF(Crops[[#This Row],[Custom Safety Factor]]="",PlantingSafetyFactor,Crops[[#This Row],[Custom Safety Factor]])</f>
        <v>1.3</v>
      </c>
      <c r="AH261">
        <f>1</f>
        <v>1</v>
      </c>
      <c r="AI261" s="33">
        <f>IFERROR(Crops[[#This Row],[Plantings Per Bed]]*Crops[[#This Row],[Seeds Per Planting]]*Crops[[#This Row],[Safety Factor]]*Crops[[#This Row],[Seeding Factor]],"")</f>
        <v>1560</v>
      </c>
      <c r="AL261">
        <f>_xlfn.FLOOR.MATH(IFERROR(AVERAGE(Crops[[#This Row],[DTG Lower]:[DTG Upper]]),0))</f>
        <v>0</v>
      </c>
      <c r="AM261">
        <f>SUM(Crops[[#This Row],[Tray 1 Days]],Crops[[#This Row],[Tray 2 Days]],Crops[[#This Row],[Tray 3 Days]])</f>
        <v>0</v>
      </c>
      <c r="AP261">
        <v>50</v>
      </c>
      <c r="AQ261">
        <f>IFERROR(_xlfn.FLOOR.MATH(AVERAGE(Crops[[#This Row],[DTM Lower]:[DTM Upper]])),"")</f>
        <v>50</v>
      </c>
      <c r="AR261" cm="1">
        <f t="array" ref="AR261">_xlfn.SWITCH(Crops[[#This Row],[Normal Method]],"DS",Crops[[#This Row],[Days to Germination]]+Crops[[#This Row],[DTM]] + IF(Crops[[#This Row],[Days in Cells]]&gt;0,15,0), "TP",Crops[[#This Row],[DTM]]+Crops[[#This Row],[Days in Cells]] + IF(Crops[[#This Row],[Days in Cells]]&lt;=0,20,0), "X", Crops[[#This Row],[DTM]])</f>
        <v>50</v>
      </c>
      <c r="AS261" t="s">
        <v>338</v>
      </c>
      <c r="AT261">
        <f>(Crops[[#This Row],[Harvests]]-1)*Crops[[#This Row],[Days Between Harvest]]+7</f>
        <v>21</v>
      </c>
      <c r="AU261">
        <f>Crops[[#This Row],[STH]]-Crops[[#This Row],[Days in Cells]]+Crops[[#This Row],[Harvest window]]</f>
        <v>71</v>
      </c>
      <c r="AW261" t="s">
        <v>212</v>
      </c>
      <c r="AZ261" t="str">
        <f>IFERROR(IF(Crops[[#This Row],[Tray 1 Days]]=0,"",Crops[[#This Row],[Plantings Per Bed]]/Crops[[#This Row],[Tray 1 Size]]*Crops[[#This Row],[Safety Factor]]),"")</f>
        <v/>
      </c>
      <c r="BC261" t="str">
        <f>IFERROR(IF(Crops[[#This Row],[Tray 2 Days]]=0,"",Crops[[#This Row],[Plantings Per Bed]]/Crops[[#This Row],[Tray 2 Size]]*Crops[[#This Row],[Safety Factor]]),"")</f>
        <v/>
      </c>
      <c r="BE261" s="32" t="str">
        <f>IF(NOT(ISBLANK(Crops[[#This Row],[Tray 3 Size]])), Crops[[#This Row],[Days in Cells Old]]-SUM(Crops[[#This Row],[Tray 1 Days]],Crops[[#This Row],[Tray 2 Days]]), "")</f>
        <v/>
      </c>
      <c r="BF261" t="str">
        <f>IFERROR(IF(Crops[[#This Row],[Tray 3 Days]]=0,"",Crops[[#This Row],[Plantings Per Bed]]/Crops[[#This Row],[Tray 3 Size]]*Crops[[#This Row],[Safety Factor]]),"")</f>
        <v/>
      </c>
      <c r="BG261" s="33">
        <f>Crops[[#This Row],[Plantings Per Bed]]/7/Crops[[#This Row],[Harvests]]</f>
        <v>85.714285714285708</v>
      </c>
      <c r="BH261" s="33">
        <v>2</v>
      </c>
      <c r="BI261" s="33">
        <v>14</v>
      </c>
      <c r="BJ261" s="33">
        <f>_xlfn.XLOOKUP(Crops[[#This Row],[ProductIndex]],Products[ID],Products[Holding Period])</f>
        <v>30</v>
      </c>
      <c r="BK261" s="33"/>
      <c r="BL261" s="33">
        <f>Crops[[#This Row],[Units Per Harvest]]*Crops[[#This Row],[Harvests]]</f>
        <v>171.42857142857142</v>
      </c>
      <c r="BM261" s="35">
        <v>3</v>
      </c>
      <c r="BN261" s="35">
        <f>Crops[[#This Row],[Direct Price]]*0.6</f>
        <v>1.7999999999999998</v>
      </c>
      <c r="BO261" s="35"/>
      <c r="BP261" t="s">
        <v>383</v>
      </c>
      <c r="BQ261">
        <f>Crops[[#This Row],[Custom Yield Per Bed]]*Crops[[#This Row],[Direct Price]]</f>
        <v>514.28571428571422</v>
      </c>
      <c r="BS261" t="b">
        <f>Crops[[#This Row],[Harvests]]&gt;1</f>
        <v>1</v>
      </c>
      <c r="BT261" s="36">
        <f>IFERROR(Crops[[#This Row],[Direct Revenue Per Bed]]/Crops[[#This Row],[Days In Field]],-1)</f>
        <v>7.2434607645875246</v>
      </c>
      <c r="BU261" s="36">
        <f>IFERROR(Crops[[#This Row],[Direct Revenue Per Bed Day]]*GrowingDays*BedsPerAcre,"")</f>
        <v>208611.67002012074</v>
      </c>
      <c r="BV261" s="38">
        <f>LastFrostDate-5*Crops[[#This Row],[Sewing Rel Last Frost]]</f>
        <v>45838</v>
      </c>
      <c r="BW261" s="38">
        <f>Crops[[#This Row],[Target Sewing Date]]+Crops[[#This Row],[Days in Cells]]</f>
        <v>45838</v>
      </c>
      <c r="BX261" s="38">
        <f>Crops[[#This Row],[Target Sewing Date]]+Crops[[#This Row],[STH]]</f>
        <v>45888</v>
      </c>
      <c r="BY261" s="38">
        <f>Crops[[#This Row],[Target Harvest Data]]+Crops[[#This Row],[Harvest window]]</f>
        <v>45909</v>
      </c>
      <c r="BZ261">
        <v>-18</v>
      </c>
      <c r="CB261">
        <f>1</f>
        <v>1</v>
      </c>
      <c r="CC261">
        <f>IF(Crops[[#This Row],[Transplanting]]&gt;0, 2, 3)*BedLength/StandardBedLength</f>
        <v>1.5</v>
      </c>
      <c r="CD261" s="173">
        <f>IF(Crops[[#This Row],[Days in Cells]]&lt;=0,0,Crops[[#This Row],[Plantings Per Bed]]/StartsPerHourSeeding+Crops[[#This Row],[Tray 1 Count]]*5/60)</f>
        <v>0</v>
      </c>
      <c r="CE261" s="173">
        <f>IF(ISBLANK(Crops[[#This Row],[Tray 2 Days]]),0,Crops[[#This Row],[Plantings Per Bed]]/UpPottingPerHour)+IF(Crops[[#This Row],[Tray 3 Days]]="",0,Crops[[#This Row],[Plantings Per Bed]]/UpPottingPerHour)</f>
        <v>0</v>
      </c>
      <c r="CF261" s="173">
        <f>IFERROR(Crops[[#This Row],[Tray 1 Count]]/HomeStartFlatIrrigationPerHour,0)*Crops[[#This Row],[Days in Cells]]/DaysBetweenStartIrrigation</f>
        <v>0</v>
      </c>
      <c r="CG261" s="173">
        <f>0.5/16*MAX(Crops[[#This Row],[Tray 1 Count]],Crops[[#This Row],[Tray 2 Count]],Crops[[#This Row],[Tray 3 Count]])</f>
        <v>0</v>
      </c>
      <c r="CH261" s="173">
        <f>IF(Crops[[#This Row],[Days in Cells]]&gt;0,IF(IF(Crops[[#This Row],[Tray 3 Size]]&gt;0,Crops[[#This Row],[Tray 3 Size]],IF(Crops[[#This Row],[Tray 2 Size]]&gt;0,Crops[[#This Row],[Tray 2 Size]],Crops[[#This Row],[Tray 1 Size]]))&lt;=18,LargeTransplantTime,SmallTransplantTime)*Crops[[#This Row],[Plantings Per Bed]],0)</f>
        <v>0</v>
      </c>
      <c r="CI261" s="173"/>
      <c r="CJ261" s="173">
        <f>_xlfn.XLOOKUP(Crops[[#This Row],[Trellis Type]],TrellisMethods[Trellis Type],TrellisMethods[Hours],0,0)</f>
        <v>0</v>
      </c>
      <c r="CK261">
        <f>IF(Crops[[#This Row],[Days in Cells]]&lt;=0,Crops[[#This Row],[Rows]]*1/10,0)*BedLength/50</f>
        <v>0.6</v>
      </c>
      <c r="CL261" cm="1">
        <f t="array" ref="CL261">_xlfn.SWITCH(Crops[[#This Row],[Irrigation]],"DR", 0.5, "OH", 0.25,0)*BedLength/50</f>
        <v>0</v>
      </c>
      <c r="CM261">
        <f>IF(OR(ISBLANK(Crops[[#This Row],[Row Cover]]),Crops[[#This Row],[Row Cover]]="None"),0,1)*BedLength/50</f>
        <v>0</v>
      </c>
      <c r="CN261" s="173">
        <f>HoursPerWeedingPass*Crops[[#This Row],[Days In Field]]/14*Crops[[#This Row],[Rows]]+1*BedLength/50</f>
        <v>6.0714285714285712</v>
      </c>
      <c r="CO261" s="49"/>
      <c r="CQ261" s="37">
        <f>_xlfn.XLOOKUP(Crops[[#This Row],[Crop]]&amp;Crops[[#This Row],[Product]]&amp;Crops[[#This Row],[Unit]],Products[ID],Products[Marketing (hr)])*Crops[[#This Row],[Direct Revenue Per Bed]]/2000</f>
        <v>0.77142857142857135</v>
      </c>
      <c r="CR261" s="37">
        <f>_xlfn.XLOOKUP(Crops[[#This Row],[Crop]]&amp;Crops[[#This Row],[Product]]&amp;Crops[[#This Row],[Unit]],Products[ID],Products[Harvest (s)])*Crops[[#This Row],[Custom Yield Per Bed]]/3600</f>
        <v>0.5714285714285714</v>
      </c>
      <c r="CS261" s="37">
        <f>_xlfn.XLOOKUP(Crops[[#This Row],[Crop]]&amp;Crops[[#This Row],[Product]]&amp;Crops[[#This Row],[Unit]],Products[ID],Products[Bunch (s)])*Crops[[#This Row],[Custom Yield Per Bed]]/3600</f>
        <v>0</v>
      </c>
      <c r="CT261" s="37">
        <f>_xlfn.XLOOKUP(Crops[[#This Row],[Crop]]&amp;Crops[[#This Row],[Product]]&amp;Crops[[#This Row],[Unit]],Products[ID],Products[Haul (s)])*Crops[[#This Row],[Custom Yield Per Bed]]/3600</f>
        <v>0.10714285714285712</v>
      </c>
      <c r="CU261" s="37">
        <f>_xlfn.XLOOKUP(Crops[[#This Row],[Crop]]&amp;Crops[[#This Row],[Product]]&amp;Crops[[#This Row],[Unit]],Products[ID],Products[Wash (s)])*Crops[[#This Row],[Custom Yield Per Bed]]/3600</f>
        <v>0.95238095238095233</v>
      </c>
      <c r="CV261" s="37">
        <f>_xlfn.XLOOKUP(Crops[[#This Row],[Crop]]&amp;Crops[[#This Row],[Product]]&amp;Crops[[#This Row],[Unit]],Products[ID],Products[Condition (s)])*Crops[[#This Row],[Custom Yield Per Bed]]/3600</f>
        <v>0</v>
      </c>
      <c r="CW261" s="37">
        <f>_xlfn.XLOOKUP(Crops[[#This Row],[Crop]]&amp;Crops[[#This Row],[Product]]&amp;Crops[[#This Row],[Unit]],Products[ID],Products[Trim (s)])*Crops[[#This Row],[Custom Yield Per Bed]]/3600</f>
        <v>1.4285714285714284</v>
      </c>
      <c r="CX261" s="37">
        <f>_xlfn.XLOOKUP(Crops[[#This Row],[Crop]]&amp;Crops[[#This Row],[Product]]&amp;Crops[[#This Row],[Unit]],Products[ID],Products[Pack (s)])*Crops[[#This Row],[Custom Yield Per Bed]]/3600</f>
        <v>0.14285714285714285</v>
      </c>
      <c r="CY261" s="37">
        <f>_xlfn.XLOOKUP(Crops[[#This Row],[Crop]]&amp;Crops[[#This Row],[Product]]&amp;Crops[[#This Row],[Unit]],Products[ID],Products[Clean (s)])*Crops[[#This Row],[Custom Yield Per Bed]]/3600</f>
        <v>0</v>
      </c>
      <c r="CZ261" s="37">
        <f>_xlfn.XLOOKUP(Crops[[#This Row],[Crop]]&amp;Crops[[#This Row],[Product]]&amp;Crops[[#This Row],[Unit]],Products[ID],Products[Rehandle (s)])*Crops[[#This Row],[Custom Yield Per Bed]]/3600</f>
        <v>0</v>
      </c>
      <c r="DA261" s="37">
        <f>_xlfn.XLOOKUP(Crops[[#This Row],[Crop]]&amp;Crops[[#This Row],[Product]]&amp;Crops[[#This Row],[Unit]],Products[ID],Products[Market Transport (s)])*Crops[[#This Row],[Custom Yield Per Bed]]/3600</f>
        <v>0.26785714285714285</v>
      </c>
      <c r="DC261" s="37">
        <f>Crops[[#This Row],[Direct Revenue Per Bed2]]</f>
        <v>514.28571428571422</v>
      </c>
      <c r="DD261" s="173">
        <f>_xlfn.AGGREGATE(9,6,Crops[[#This Row],[Bed Prep]:[Remove Crop Residue]])</f>
        <v>12.413095238095238</v>
      </c>
      <c r="DE261" s="173">
        <f>_xlfn.AGGREGATE(9,6,Crops[[#This Row],[Bed Prep]:[Remove Crop Residue]])-0.75*Crops[[#This Row],[Market &amp; Sell]]</f>
        <v>11.834523809523809</v>
      </c>
      <c r="DF261" s="36">
        <f>Crops[[#This Row],[Direct Revenue Per Bed2]]/Crops[[#This Row],[Direct Time]]</f>
        <v>41.43090054665771</v>
      </c>
      <c r="DG261" s="36">
        <f>_xlfn.XLOOKUP(Crops[[#This Row],[ProductIndex]],Products[ID],Products[Packaging Cost])*(Crops[[#This Row],[Custom Yield Per Bed]]/_xlfn.XLOOKUP(Crops[[#This Row],[ProductIndex]],Products[ID],Products[Units Per Pack]))</f>
        <v>26.057142857142853</v>
      </c>
      <c r="DH261" s="36"/>
      <c r="DI261" s="36"/>
      <c r="DJ261" s="36"/>
      <c r="DK261" s="36"/>
      <c r="DL261" s="36"/>
      <c r="DM261" s="33">
        <f>IFERROR(Crops[[#This Row],[Custom Yield Per Bed]]*Crops[[#This Row],[Direct Price]],"")</f>
        <v>514.28571428571422</v>
      </c>
      <c r="DN261" s="36">
        <f>Crops[[#This Row],[Direct Time]]*LaborRate</f>
        <v>310.32738095238096</v>
      </c>
      <c r="DO261" s="36">
        <f>SUM(Crops[[#This Row],[Irrigation Cost]])</f>
        <v>0</v>
      </c>
      <c r="DP261" s="36">
        <f>Crops[[#This Row],[Direct Labor Cost]]+Crops[[#This Row],[Direct Non-Labor Cost]]</f>
        <v>310.32738095238096</v>
      </c>
      <c r="DQ261" s="36">
        <f>Crops[[#This Row],[Direct Revenue Per Bed2]]-Crops[[#This Row],[Direct Total Cost]]</f>
        <v>203.95833333333326</v>
      </c>
      <c r="DR261" s="36">
        <f>Crops[[#This Row],[Direct Profit]]*BedsPerAcre</f>
        <v>32633.333333333321</v>
      </c>
      <c r="DS261" s="36">
        <f>Crops[[#This Row],[Direct Profit]]*BedsPerAcre*GrowingDays/Crops[[#This Row],[Days In Field]]</f>
        <v>82732.394366197157</v>
      </c>
      <c r="DT261" s="36">
        <f>Crops[[#This Row],[Direct Profit]]/MIN(Crops[[#This Row],[Days In Field]],GrowingDays)</f>
        <v>2.8726525821596232</v>
      </c>
      <c r="DU261" s="36">
        <f>Crops[[#This Row],[Direct Time]] * BedsPerAcre</f>
        <v>1986.0952380952381</v>
      </c>
      <c r="DV261" s="36">
        <f>(Crops[[#This Row],[Direct Revenue Per Bed2]]-Crops[[#This Row],[Direct Non-Labor Cost]])/Crops[[#This Row],[Direct Time]]</f>
        <v>41.43090054665771</v>
      </c>
      <c r="DW261" s="33">
        <f>IFERROR(Crops[[#This Row],[Custom Yield Per Bed]]*Crops[[#This Row],[Rough Wholesale Price]],"")</f>
        <v>308.5714285714285</v>
      </c>
      <c r="DX261" s="36">
        <f>Crops[[#This Row],[Wholesale Time]]*LaborRate</f>
        <v>295.86309523809524</v>
      </c>
      <c r="DY261" s="36">
        <f>SUM(Crops[[#This Row],[Packaging Costs]:[Irrigation Cost]])</f>
        <v>26.057142857142853</v>
      </c>
      <c r="DZ261" s="36">
        <f>Crops[[#This Row],[Wholesale Labor Cost]]+Crops[[#This Row],[Wholesale Non-Labor Cost]]</f>
        <v>321.92023809523812</v>
      </c>
      <c r="EA261" s="36">
        <f>Crops[[#This Row],[Wholesale Revenue Per Bed]]-Crops[[#This Row],[Wholesale Total Cost]]</f>
        <v>-13.348809523809621</v>
      </c>
      <c r="EB261" s="36">
        <f>Crops[[#This Row],[Wholesale Profit]]*BedsPerAcre</f>
        <v>-2135.8095238095393</v>
      </c>
      <c r="EC261" s="36">
        <f>Crops[[#This Row],[Wholesale Profit]]*BedsPerAcre*GrowingDays/Crops[[#This Row],[Days In Field]]</f>
        <v>-5414.7283702213672</v>
      </c>
      <c r="ED261" s="36">
        <f>Crops[[#This Row],[Wholesale Time]] * BedsPerAcre</f>
        <v>1893.5238095238094</v>
      </c>
      <c r="EE261" s="221">
        <f>Crops[[#This Row],[Wholesale Profit]]/MIN(Crops[[#This Row],[Days In Field]],GrowingDays)</f>
        <v>-0.18801140174379746</v>
      </c>
      <c r="EF261" s="36">
        <f>(Crops[[#This Row],[Wholesale Revenue Per Bed]]-Crops[[#This Row],[Wholesale Non-Labor Cost]])/Crops[[#This Row],[Direct Time]]</f>
        <v>22.759374700297297</v>
      </c>
      <c r="EG261" s="174">
        <f>Crops[[#This Row],[Packaging Costs]]/Crops[[#This Row],[Wholesale Revenue Per Bed]]</f>
        <v>8.4444444444444447E-2</v>
      </c>
      <c r="EH261" s="36" t="str">
        <f>Crops[[#This Row],[Crop]]&amp;Crops[[#This Row],[Product]]&amp;Crops[[#This Row],[Unit]]</f>
        <v>RadishStorage RootLb</v>
      </c>
      <c r="EI261" s="36" t="b">
        <f>_xlfn.XLOOKUP(Crops[[#This Row],[ProductIndex]],Products[ID],Products[Target])</f>
        <v>1</v>
      </c>
      <c r="EJ261" s="33">
        <f>Crops[[#This Row],[Custom Yield Per Bed]]</f>
        <v>171.42857142857142</v>
      </c>
      <c r="EK261" s="210">
        <f>Crops[[#This Row],[Units Per Harvest]]/Crops[[#This Row],[Days Between Harvest]]*7</f>
        <v>42.857142857142854</v>
      </c>
      <c r="EL261" s="210">
        <f>Crops[[#This Row],[Custom Yield Per Bed]]/_xlfn.XLOOKUP(Crops[[#This Row],[ProductIndex]],Products[ID],Products[CSA Portion])</f>
        <v>85.714285714285708</v>
      </c>
      <c r="EM261" s="210">
        <f>Crops[[#This Row],[Units Per Harvest]]/Crops[[#This Row],[Days Between Harvest]]*7/_xlfn.XLOOKUP(Crops[[#This Row],[ProductIndex]],Products[ID],Products[CSA Portion])</f>
        <v>21.428571428571427</v>
      </c>
      <c r="EN261" s="210">
        <f>Crops[[#This Row],[CSA Portions Per Week]]/CSAMembers</f>
        <v>0.42857142857142855</v>
      </c>
      <c r="EO261" s="216"/>
      <c r="EP261" s="216"/>
      <c r="EQ261" s="36"/>
      <c r="ER261" s="36">
        <f>Crops[[#This Row],[Harvests]]*Crops[[#This Row],[Days Between Harvest]]/7</f>
        <v>4</v>
      </c>
      <c r="ES261" s="208">
        <f>_xlfn.XLOOKUP(Crops[[#This Row],[ProductIndex]],Products[ID],Products[CSA Need])</f>
        <v>2</v>
      </c>
      <c r="ET261" s="208">
        <f>_xlfn.XLOOKUP(Crops[[#This Row],[ProductIndex]],Products[ID],Products[CSA Times])</f>
        <v>1</v>
      </c>
      <c r="EU261" s="208">
        <f>Crops[[#This Row],[Custom Yield Per Bed]]/(Crops[[#This Row],[CSA Need]]*(_xlfn.XLOOKUP(Crops[[#This Row],[ProductIndex]],Products[ID],Products[CSA Portion])*CSAMembers))</f>
        <v>0.8571428571428571</v>
      </c>
      <c r="EV261" s="208">
        <f>_xlfn.XLOOKUP(Crops[[#This Row],[ProductIndex]],Products[ID],Products[CSA Portion])*CSAMembers*Crops[[#This Row],[CSA Need]]/Crops[[#This Row],[Custom Yield Per Bed]]</f>
        <v>1.1666666666666667</v>
      </c>
      <c r="EW261" s="208">
        <f>IFERROR(Crops[[#This Row],[Days In Field]]*Crops[[#This Row],[CSA Beds]],"")</f>
        <v>82.833333333333343</v>
      </c>
      <c r="EX261" s="208" t="e">
        <f>Crops[[#This Row],[CSA Bed Days]]*#REF!</f>
        <v>#REF!</v>
      </c>
      <c r="EY261">
        <v>0</v>
      </c>
    </row>
    <row r="262" spans="1:155">
      <c r="A262"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Ranunculus - Mature Stalk X | Field DS </v>
      </c>
      <c r="B262" s="189"/>
      <c r="C262" s="1"/>
      <c r="D262" s="1"/>
      <c r="E262" s="1" t="b">
        <v>0</v>
      </c>
      <c r="F262" s="1" t="b">
        <f>IFERROR(IF(ISNUMBER(MATCH(Crops[[#This Row],[Identifier]],BedPlan[Crop], 0)), TRUE, FALSE), FALSE)</f>
        <v>0</v>
      </c>
      <c r="G262" s="1" t="b">
        <f>IFERROR(IF(ISNUMBER(MATCH(Crops[[#This Row],[Identifier]],BedPlan[Crop], 0)), TRUE, FALSE), FALSE)</f>
        <v>0</v>
      </c>
      <c r="H262" s="1" t="b">
        <v>1</v>
      </c>
      <c r="I262" t="s">
        <v>115</v>
      </c>
      <c r="J262" t="s">
        <v>145</v>
      </c>
      <c r="K262" t="s">
        <v>199</v>
      </c>
      <c r="N262" t="str">
        <f>Crops[[#This Row],[Crop]]</f>
        <v>Ranunculus</v>
      </c>
      <c r="O262" t="s">
        <v>210</v>
      </c>
      <c r="P262" t="str">
        <f>IF(OR(Crops[[#This Row],[Days in Cells]]="",Crops[[#This Row],[Days in Cells]]=0), "DS","TP")</f>
        <v>DS</v>
      </c>
      <c r="V262" t="str">
        <f xml:space="preserve"> IF(Crops[[#This Row],[Sp]], "Sp", "") &amp; IF(Crops[[#This Row],[Su]], "Su", "") &amp; IF(Crops[[#This Row],[Fa]], "Fa", "") &amp; IF(Crops[[#This Row],[Wi]], "Wi", "") &amp; IF(Crops[[#This Row],[OW]], "Ow","")</f>
        <v/>
      </c>
      <c r="X262">
        <v>3</v>
      </c>
      <c r="Y262">
        <v>6</v>
      </c>
      <c r="AD262" s="32">
        <f>IFERROR(12/Crops[[#This Row],[Spacing]]*Crops[[#This Row],[Rows]]*BedLength,"")</f>
        <v>300</v>
      </c>
      <c r="AG262">
        <f>IF(Crops[[#This Row],[Custom Safety Factor]]="",PlantingSafetyFactor,Crops[[#This Row],[Custom Safety Factor]])</f>
        <v>1.3</v>
      </c>
      <c r="AH262">
        <f>1</f>
        <v>1</v>
      </c>
      <c r="AI262" s="33">
        <f>IFERROR(Crops[[#This Row],[Plantings Per Bed]]*Crops[[#This Row],[Seeds Per Planting]]*Crops[[#This Row],[Safety Factor]]*Crops[[#This Row],[Seeding Factor]],"")</f>
        <v>0</v>
      </c>
      <c r="AL262">
        <f>_xlfn.FLOOR.MATH(IFERROR(AVERAGE(Crops[[#This Row],[DTG Lower]:[DTG Upper]]),0))</f>
        <v>0</v>
      </c>
      <c r="AM262">
        <f>SUM(Crops[[#This Row],[Tray 1 Days]],Crops[[#This Row],[Tray 2 Days]],Crops[[#This Row],[Tray 3 Days]])</f>
        <v>0</v>
      </c>
      <c r="AP262">
        <v>180</v>
      </c>
      <c r="AQ262">
        <f>IFERROR(_xlfn.FLOOR.MATH(AVERAGE(Crops[[#This Row],[DTM Lower]:[DTM Upper]])),"")</f>
        <v>180</v>
      </c>
      <c r="AR262" cm="1">
        <f t="array" ref="AR262">_xlfn.SWITCH(Crops[[#This Row],[Normal Method]],"DS",Crops[[#This Row],[Days to Germination]]+Crops[[#This Row],[DTM]] + IF(Crops[[#This Row],[Days in Cells]]&gt;0,15,0), "TP",Crops[[#This Row],[DTM]]+Crops[[#This Row],[Days in Cells]] + IF(Crops[[#This Row],[Days in Cells]]&lt;=0,20,0), "X", Crops[[#This Row],[DTM]])</f>
        <v>200</v>
      </c>
      <c r="AS262" t="s">
        <v>346</v>
      </c>
      <c r="AT262">
        <f>(Crops[[#This Row],[Harvests]]-1)*Crops[[#This Row],[Days Between Harvest]]+7</f>
        <v>7</v>
      </c>
      <c r="AU262">
        <f>Crops[[#This Row],[STH]]-Crops[[#This Row],[Days in Cells]]+Crops[[#This Row],[Harvest window]]</f>
        <v>207</v>
      </c>
      <c r="AW262" t="s">
        <v>212</v>
      </c>
      <c r="AZ262" t="str">
        <f>IFERROR(IF(Crops[[#This Row],[Tray 1 Days]]=0,"",Crops[[#This Row],[Plantings Per Bed]]/Crops[[#This Row],[Tray 1 Size]]*Crops[[#This Row],[Safety Factor]]),"")</f>
        <v/>
      </c>
      <c r="BC262" t="str">
        <f>IFERROR(IF(Crops[[#This Row],[Tray 2 Days]]=0,"",Crops[[#This Row],[Plantings Per Bed]]/Crops[[#This Row],[Tray 2 Size]]*Crops[[#This Row],[Safety Factor]]),"")</f>
        <v/>
      </c>
      <c r="BE262" s="32" t="str">
        <f>IF(NOT(ISBLANK(Crops[[#This Row],[Tray 3 Size]])), Crops[[#This Row],[Days in Cells Old]]-SUM(Crops[[#This Row],[Tray 1 Days]],Crops[[#This Row],[Tray 2 Days]]), "")</f>
        <v/>
      </c>
      <c r="BF262" t="str">
        <f>IFERROR(IF(Crops[[#This Row],[Tray 3 Days]]=0,"",Crops[[#This Row],[Plantings Per Bed]]/Crops[[#This Row],[Tray 3 Size]]*Crops[[#This Row],[Safety Factor]]),"")</f>
        <v/>
      </c>
      <c r="BG262" s="33"/>
      <c r="BH262" s="33"/>
      <c r="BI262" s="33"/>
      <c r="BJ262" s="33" t="e">
        <f>_xlfn.XLOOKUP(Crops[[#This Row],[ProductIndex]],Products[ID],Products[Holding Period])</f>
        <v>#N/A</v>
      </c>
      <c r="BK262" s="33"/>
      <c r="BL262" s="33">
        <f>Crops[[#This Row],[Units Per Harvest]]*Crops[[#This Row],[Harvests]]</f>
        <v>0</v>
      </c>
      <c r="BM262" s="35"/>
      <c r="BN262" s="35">
        <f>Crops[[#This Row],[Direct Price]]*0.6</f>
        <v>0</v>
      </c>
      <c r="BO262" s="35"/>
      <c r="BP262" t="s">
        <v>213</v>
      </c>
      <c r="BQ262">
        <f>Crops[[#This Row],[Custom Yield Per Bed]]*Crops[[#This Row],[Direct Price]]</f>
        <v>0</v>
      </c>
      <c r="BR262" t="b">
        <v>0</v>
      </c>
      <c r="BS262" t="b">
        <f>Crops[[#This Row],[Harvests]]&gt;1</f>
        <v>0</v>
      </c>
      <c r="BT262" s="36">
        <f>IFERROR(Crops[[#This Row],[Direct Revenue Per Bed]]/Crops[[#This Row],[Days In Field]],-1)</f>
        <v>0</v>
      </c>
      <c r="BU262" s="36">
        <f>IFERROR(Crops[[#This Row],[Direct Revenue Per Bed Day]]*GrowingDays*BedsPerAcre,"")</f>
        <v>0</v>
      </c>
      <c r="BV262" s="38">
        <f>LastFrostDate-5*Crops[[#This Row],[Sewing Rel Last Frost]]</f>
        <v>45748</v>
      </c>
      <c r="BW262" s="38">
        <f>Crops[[#This Row],[Target Sewing Date]]+Crops[[#This Row],[Days in Cells]]</f>
        <v>45748</v>
      </c>
      <c r="BX262" s="38">
        <f>Crops[[#This Row],[Target Sewing Date]]+Crops[[#This Row],[STH]]</f>
        <v>45948</v>
      </c>
      <c r="BY262" s="38">
        <f>Crops[[#This Row],[Target Harvest Data]]+Crops[[#This Row],[Harvest window]]</f>
        <v>45955</v>
      </c>
      <c r="CB262">
        <f>1</f>
        <v>1</v>
      </c>
      <c r="CC262">
        <f>IF(Crops[[#This Row],[Transplanting]]&gt;0, 2, 3)*BedLength/StandardBedLength</f>
        <v>1.5</v>
      </c>
      <c r="CD262" s="173">
        <f>IF(Crops[[#This Row],[Days in Cells]]&lt;=0,0,Crops[[#This Row],[Plantings Per Bed]]/StartsPerHourSeeding+Crops[[#This Row],[Tray 1 Count]]*5/60)</f>
        <v>0</v>
      </c>
      <c r="CE262" s="173">
        <f>IF(ISBLANK(Crops[[#This Row],[Tray 2 Days]]),0,Crops[[#This Row],[Plantings Per Bed]]/UpPottingPerHour)+IF(Crops[[#This Row],[Tray 3 Days]]="",0,Crops[[#This Row],[Plantings Per Bed]]/UpPottingPerHour)</f>
        <v>0</v>
      </c>
      <c r="CF262" s="173">
        <f>IFERROR(Crops[[#This Row],[Tray 1 Count]]/HomeStartFlatIrrigationPerHour,0)*Crops[[#This Row],[Days in Cells]]/DaysBetweenStartIrrigation</f>
        <v>0</v>
      </c>
      <c r="CG262" s="173">
        <f>0.5/16*MAX(Crops[[#This Row],[Tray 1 Count]],Crops[[#This Row],[Tray 2 Count]],Crops[[#This Row],[Tray 3 Count]])</f>
        <v>0</v>
      </c>
      <c r="CH262" s="173">
        <f>IF(Crops[[#This Row],[Days in Cells]]&gt;0,IF(IF(Crops[[#This Row],[Tray 3 Size]]&gt;0,Crops[[#This Row],[Tray 3 Size]],IF(Crops[[#This Row],[Tray 2 Size]]&gt;0,Crops[[#This Row],[Tray 2 Size]],Crops[[#This Row],[Tray 1 Size]]))&lt;=18,LargeTransplantTime,SmallTransplantTime)*Crops[[#This Row],[Plantings Per Bed]],0)</f>
        <v>0</v>
      </c>
      <c r="CI262" s="173"/>
      <c r="CJ262" s="173">
        <f>_xlfn.XLOOKUP(Crops[[#This Row],[Trellis Type]],TrellisMethods[Trellis Type],TrellisMethods[Hours],0,0)</f>
        <v>0</v>
      </c>
      <c r="CK262">
        <f>IF(Crops[[#This Row],[Days in Cells]]&lt;=0,Crops[[#This Row],[Rows]]*1/10,0)*BedLength/50</f>
        <v>0.3</v>
      </c>
      <c r="CL262" cm="1">
        <f t="array" ref="CL262">_xlfn.SWITCH(Crops[[#This Row],[Irrigation]],"DR", 0.5, "OH", 0.25,0)*BedLength/50</f>
        <v>0</v>
      </c>
      <c r="CM262">
        <f>IF(OR(ISBLANK(Crops[[#This Row],[Row Cover]]),Crops[[#This Row],[Row Cover]]="None"),0,1)*BedLength/50</f>
        <v>0</v>
      </c>
      <c r="CN262" s="173">
        <f>HoursPerWeedingPass*Crops[[#This Row],[Days In Field]]/14*Crops[[#This Row],[Rows]]+1*BedLength/50</f>
        <v>8.3928571428571423</v>
      </c>
      <c r="CQ262" s="37" t="e">
        <f>_xlfn.XLOOKUP(Crops[[#This Row],[Crop]]&amp;Crops[[#This Row],[Product]]&amp;Crops[[#This Row],[Unit]],Products[ID],Products[Marketing (hr)])*Crops[[#This Row],[Direct Revenue Per Bed]]/2000</f>
        <v>#N/A</v>
      </c>
      <c r="CR262" s="37" t="e">
        <f>_xlfn.XLOOKUP(Crops[[#This Row],[Crop]]&amp;Crops[[#This Row],[Product]]&amp;Crops[[#This Row],[Unit]],Products[ID],Products[Harvest (s)])*Crops[[#This Row],[Custom Yield Per Bed]]/3600</f>
        <v>#N/A</v>
      </c>
      <c r="CS262" s="37" t="e">
        <f>_xlfn.XLOOKUP(Crops[[#This Row],[Crop]]&amp;Crops[[#This Row],[Product]]&amp;Crops[[#This Row],[Unit]],Products[ID],Products[Bunch (s)])*Crops[[#This Row],[Custom Yield Per Bed]]/3600</f>
        <v>#N/A</v>
      </c>
      <c r="CT262" s="37" t="e">
        <f>_xlfn.XLOOKUP(Crops[[#This Row],[Crop]]&amp;Crops[[#This Row],[Product]]&amp;Crops[[#This Row],[Unit]],Products[ID],Products[Haul (s)])*Crops[[#This Row],[Custom Yield Per Bed]]/3600</f>
        <v>#N/A</v>
      </c>
      <c r="CU262" s="37" t="e">
        <f>_xlfn.XLOOKUP(Crops[[#This Row],[Crop]]&amp;Crops[[#This Row],[Product]]&amp;Crops[[#This Row],[Unit]],Products[ID],Products[Wash (s)])*Crops[[#This Row],[Custom Yield Per Bed]]/3600</f>
        <v>#N/A</v>
      </c>
      <c r="CV262" s="37" t="e">
        <f>_xlfn.XLOOKUP(Crops[[#This Row],[Crop]]&amp;Crops[[#This Row],[Product]]&amp;Crops[[#This Row],[Unit]],Products[ID],Products[Condition (s)])*Crops[[#This Row],[Custom Yield Per Bed]]/3600</f>
        <v>#N/A</v>
      </c>
      <c r="CW262" s="37" t="e">
        <f>_xlfn.XLOOKUP(Crops[[#This Row],[Crop]]&amp;Crops[[#This Row],[Product]]&amp;Crops[[#This Row],[Unit]],Products[ID],Products[Trim (s)])*Crops[[#This Row],[Custom Yield Per Bed]]/3600</f>
        <v>#N/A</v>
      </c>
      <c r="CX262" s="37" t="e">
        <f>_xlfn.XLOOKUP(Crops[[#This Row],[Crop]]&amp;Crops[[#This Row],[Product]]&amp;Crops[[#This Row],[Unit]],Products[ID],Products[Pack (s)])*Crops[[#This Row],[Custom Yield Per Bed]]/3600</f>
        <v>#N/A</v>
      </c>
      <c r="CY262" s="37" t="e">
        <f>_xlfn.XLOOKUP(Crops[[#This Row],[Crop]]&amp;Crops[[#This Row],[Product]]&amp;Crops[[#This Row],[Unit]],Products[ID],Products[Clean (s)])*Crops[[#This Row],[Custom Yield Per Bed]]/3600</f>
        <v>#N/A</v>
      </c>
      <c r="CZ262" s="37" t="e">
        <f>_xlfn.XLOOKUP(Crops[[#This Row],[Crop]]&amp;Crops[[#This Row],[Product]]&amp;Crops[[#This Row],[Unit]],Products[ID],Products[Rehandle (s)])*Crops[[#This Row],[Custom Yield Per Bed]]/3600</f>
        <v>#N/A</v>
      </c>
      <c r="DA262" s="37" t="e">
        <f>_xlfn.XLOOKUP(Crops[[#This Row],[Crop]]&amp;Crops[[#This Row],[Product]]&amp;Crops[[#This Row],[Unit]],Products[ID],Products[Market Transport (s)])*Crops[[#This Row],[Custom Yield Per Bed]]/3600</f>
        <v>#N/A</v>
      </c>
      <c r="DC262" s="37">
        <f>Crops[[#This Row],[Direct Revenue Per Bed2]]</f>
        <v>0</v>
      </c>
      <c r="DD262" s="173">
        <f>_xlfn.AGGREGATE(9,6,Crops[[#This Row],[Bed Prep]:[Remove Crop Residue]])</f>
        <v>10.192857142857143</v>
      </c>
      <c r="DE262" s="173" t="e">
        <f>_xlfn.AGGREGATE(9,6,Crops[[#This Row],[Bed Prep]:[Remove Crop Residue]])-0.75*Crops[[#This Row],[Market &amp; Sell]]</f>
        <v>#N/A</v>
      </c>
      <c r="DF262" s="36">
        <f>Crops[[#This Row],[Direct Revenue Per Bed2]]/Crops[[#This Row],[Direct Time]]</f>
        <v>0</v>
      </c>
      <c r="DG262" s="36" t="e">
        <f>_xlfn.XLOOKUP(Crops[[#This Row],[ProductIndex]],Products[ID],Products[Packaging Cost])*(Crops[[#This Row],[Custom Yield Per Bed]]/_xlfn.XLOOKUP(Crops[[#This Row],[ProductIndex]],Products[ID],Products[Units Per Pack]))</f>
        <v>#N/A</v>
      </c>
      <c r="DH262" s="36"/>
      <c r="DI262" s="36"/>
      <c r="DJ262" s="36"/>
      <c r="DK262" s="36"/>
      <c r="DL262" s="36"/>
      <c r="DM262" s="33">
        <f>IFERROR(Crops[[#This Row],[Custom Yield Per Bed]]*Crops[[#This Row],[Direct Price]],"")</f>
        <v>0</v>
      </c>
      <c r="DN262" s="36">
        <f>Crops[[#This Row],[Direct Time]]*LaborRate</f>
        <v>254.82142857142858</v>
      </c>
      <c r="DO262" s="36">
        <f>SUM(Crops[[#This Row],[Irrigation Cost]])</f>
        <v>0</v>
      </c>
      <c r="DP262" s="36">
        <f>Crops[[#This Row],[Direct Labor Cost]]+Crops[[#This Row],[Direct Non-Labor Cost]]</f>
        <v>254.82142857142858</v>
      </c>
      <c r="DQ262" s="36">
        <f>Crops[[#This Row],[Direct Revenue Per Bed2]]-Crops[[#This Row],[Direct Total Cost]]</f>
        <v>-254.82142857142858</v>
      </c>
      <c r="DR262" s="36">
        <f>Crops[[#This Row],[Direct Profit]]*BedsPerAcre</f>
        <v>-40771.428571428572</v>
      </c>
      <c r="DS262" s="36">
        <f>Crops[[#This Row],[Direct Profit]]*BedsPerAcre*GrowingDays/Crops[[#This Row],[Days In Field]]</f>
        <v>-35453.416149068325</v>
      </c>
      <c r="DT262" s="36">
        <f>Crops[[#This Row],[Direct Profit]]/MIN(Crops[[#This Row],[Days In Field]],GrowingDays)</f>
        <v>-1.4156746031746033</v>
      </c>
      <c r="DU262" s="36">
        <f>Crops[[#This Row],[Direct Time]] * BedsPerAcre</f>
        <v>1630.8571428571429</v>
      </c>
      <c r="DV262" s="36">
        <f>(Crops[[#This Row],[Direct Revenue Per Bed2]]-Crops[[#This Row],[Direct Non-Labor Cost]])/Crops[[#This Row],[Direct Time]]</f>
        <v>0</v>
      </c>
      <c r="DW262" s="33">
        <f>IFERROR(Crops[[#This Row],[Custom Yield Per Bed]]*Crops[[#This Row],[Rough Wholesale Price]],"")</f>
        <v>0</v>
      </c>
      <c r="DX262" s="36" t="e">
        <f>Crops[[#This Row],[Wholesale Time]]*LaborRate</f>
        <v>#N/A</v>
      </c>
      <c r="DY262" s="36" t="e">
        <f>SUM(Crops[[#This Row],[Packaging Costs]:[Irrigation Cost]])</f>
        <v>#N/A</v>
      </c>
      <c r="DZ262" s="36" t="e">
        <f>Crops[[#This Row],[Wholesale Labor Cost]]+Crops[[#This Row],[Wholesale Non-Labor Cost]]</f>
        <v>#N/A</v>
      </c>
      <c r="EA262" s="36" t="e">
        <f>Crops[[#This Row],[Wholesale Revenue Per Bed]]-Crops[[#This Row],[Wholesale Total Cost]]</f>
        <v>#N/A</v>
      </c>
      <c r="EB262" s="36" t="e">
        <f>Crops[[#This Row],[Wholesale Profit]]*BedsPerAcre</f>
        <v>#N/A</v>
      </c>
      <c r="EC262" s="36" t="e">
        <f>Crops[[#This Row],[Wholesale Profit]]*BedsPerAcre*GrowingDays/Crops[[#This Row],[Days In Field]]</f>
        <v>#N/A</v>
      </c>
      <c r="ED262" s="36" t="e">
        <f>Crops[[#This Row],[Wholesale Time]] * BedsPerAcre</f>
        <v>#N/A</v>
      </c>
      <c r="EE262" s="36" t="e">
        <f>Crops[[#This Row],[Wholesale Profit]]/MIN(Crops[[#This Row],[Days In Field]],GrowingDays)</f>
        <v>#N/A</v>
      </c>
      <c r="EF262" s="36" t="e">
        <f>(Crops[[#This Row],[Wholesale Revenue Per Bed]]-Crops[[#This Row],[Wholesale Non-Labor Cost]])/Crops[[#This Row],[Direct Time]]</f>
        <v>#N/A</v>
      </c>
      <c r="EG262" s="174" t="e">
        <f>Crops[[#This Row],[Packaging Costs]]/Crops[[#This Row],[Wholesale Revenue Per Bed]]</f>
        <v>#N/A</v>
      </c>
      <c r="EH262" s="36" t="str">
        <f>Crops[[#This Row],[Crop]]&amp;Crops[[#This Row],[Product]]&amp;Crops[[#This Row],[Unit]]</f>
        <v>RanunculusMature StalkStem</v>
      </c>
      <c r="EI262" s="36" t="e">
        <f>_xlfn.XLOOKUP(Crops[[#This Row],[ProductIndex]],Products[ID],Products[Target])</f>
        <v>#N/A</v>
      </c>
      <c r="EJ262" s="36">
        <f>Crops[[#This Row],[Custom Yield Per Bed]]</f>
        <v>0</v>
      </c>
      <c r="EK262" s="210" t="e">
        <f>Crops[[#This Row],[Units Per Harvest]]/Crops[[#This Row],[Days Between Harvest]]*7</f>
        <v>#DIV/0!</v>
      </c>
      <c r="EL262" s="210" t="e">
        <f>Crops[[#This Row],[Custom Yield Per Bed]]/_xlfn.XLOOKUP(Crops[[#This Row],[ProductIndex]],Products[ID],Products[CSA Portion])</f>
        <v>#N/A</v>
      </c>
      <c r="EM262" s="210" t="e">
        <f>Crops[[#This Row],[Units Per Harvest]]/Crops[[#This Row],[Days Between Harvest]]*7/_xlfn.XLOOKUP(Crops[[#This Row],[ProductIndex]],Products[ID],Products[CSA Portion])</f>
        <v>#DIV/0!</v>
      </c>
      <c r="EN262" s="210" t="e">
        <f>Crops[[#This Row],[CSA Portions Per Week]]/CSAMembers</f>
        <v>#DIV/0!</v>
      </c>
      <c r="EO262" s="210"/>
      <c r="EP262" s="210"/>
      <c r="EQ262" s="36"/>
      <c r="ER262" s="36">
        <f>Crops[[#This Row],[Harvests]]*Crops[[#This Row],[Days Between Harvest]]/7</f>
        <v>0</v>
      </c>
      <c r="ES262" s="208" t="e">
        <f>_xlfn.XLOOKUP(Crops[[#This Row],[ProductIndex]],Products[ID],Products[CSA Need])</f>
        <v>#N/A</v>
      </c>
      <c r="ET262" s="208" t="e">
        <f>_xlfn.XLOOKUP(Crops[[#This Row],[ProductIndex]],Products[ID],Products[CSA Times])</f>
        <v>#N/A</v>
      </c>
      <c r="EU262" s="208" t="e">
        <f>Crops[[#This Row],[Custom Yield Per Bed]]/(Crops[[#This Row],[CSA Need]]*(_xlfn.XLOOKUP(Crops[[#This Row],[ProductIndex]],Products[ID],Products[CSA Portion])*CSAMembers))</f>
        <v>#N/A</v>
      </c>
      <c r="EV262" s="208" t="e">
        <f>_xlfn.XLOOKUP(Crops[[#This Row],[ProductIndex]],Products[ID],Products[CSA Portion])*CSAMembers*Crops[[#This Row],[CSA Need]]/Crops[[#This Row],[Custom Yield Per Bed]]</f>
        <v>#N/A</v>
      </c>
      <c r="EW262" s="208" t="str">
        <f>IFERROR(Crops[[#This Row],[Days In Field]]*Crops[[#This Row],[CSA Beds]],"")</f>
        <v/>
      </c>
      <c r="EX262" s="208" t="e">
        <f>Crops[[#This Row],[CSA Bed Days]]*#REF!</f>
        <v>#VALUE!</v>
      </c>
      <c r="EY262">
        <v>0</v>
      </c>
    </row>
    <row r="263" spans="1:155">
      <c r="A263"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Raspberry (Black Primocane) - Black Berry 1X | Field DS Su</v>
      </c>
      <c r="B263" s="185"/>
      <c r="C263" s="1"/>
      <c r="D263" s="1"/>
      <c r="E263" s="1" t="b">
        <v>0</v>
      </c>
      <c r="F263" s="1" t="b">
        <v>1</v>
      </c>
      <c r="G263" s="1" t="b">
        <f>IFERROR(IF(ISNUMBER(MATCH(Crops[[#This Row],[Identifier]],BedPlan[Crop], 0)), TRUE, FALSE), FALSE)</f>
        <v>0</v>
      </c>
      <c r="H263" s="1"/>
      <c r="I263" t="s">
        <v>2547</v>
      </c>
      <c r="J263" t="s">
        <v>2552</v>
      </c>
      <c r="K263" t="s">
        <v>2559</v>
      </c>
      <c r="M263" t="s">
        <v>2550</v>
      </c>
      <c r="N263" t="str">
        <f>Crops[[#This Row],[Crop]]</f>
        <v>Raspberry</v>
      </c>
      <c r="O263" t="s">
        <v>210</v>
      </c>
      <c r="P263" t="str">
        <f>IF(OR(Crops[[#This Row],[Days in Cells]]="",Crops[[#This Row],[Days in Cells]]=0), "DS","TP")</f>
        <v>DS</v>
      </c>
      <c r="R263" t="b">
        <v>1</v>
      </c>
      <c r="V263" t="str">
        <f xml:space="preserve"> IF(Crops[[#This Row],[Sp]], "Sp", "") &amp; IF(Crops[[#This Row],[Su]], "Su", "") &amp; IF(Crops[[#This Row],[Fa]], "Fa", "") &amp; IF(Crops[[#This Row],[Wi]], "Wi", "") &amp; IF(Crops[[#This Row],[OW]], "Ow","")</f>
        <v>Su</v>
      </c>
      <c r="W263" t="b">
        <v>1</v>
      </c>
      <c r="X263">
        <v>1</v>
      </c>
      <c r="Y263">
        <v>2</v>
      </c>
      <c r="AA263" t="s">
        <v>474</v>
      </c>
      <c r="AB263" t="b">
        <v>1</v>
      </c>
      <c r="AC263">
        <v>6</v>
      </c>
      <c r="AD263" s="32">
        <f>IFERROR(12/Crops[[#This Row],[Spacing]]*Crops[[#This Row],[Rows]]*BedLength,"")</f>
        <v>300</v>
      </c>
      <c r="AE263">
        <v>1</v>
      </c>
      <c r="AG263">
        <f>IF(Crops[[#This Row],[Custom Safety Factor]]="",PlantingSafetyFactor,Crops[[#This Row],[Custom Safety Factor]])</f>
        <v>1.3</v>
      </c>
      <c r="AH263">
        <f>1</f>
        <v>1</v>
      </c>
      <c r="AI263" s="33">
        <f>IFERROR(Crops[[#This Row],[Plantings Per Bed]]*Crops[[#This Row],[Seeds Per Planting]]*Crops[[#This Row],[Safety Factor]]*Crops[[#This Row],[Seeding Factor]],"")</f>
        <v>390</v>
      </c>
      <c r="AL263">
        <f>_xlfn.FLOOR.MATH(IFERROR(AVERAGE(Crops[[#This Row],[DTG Lower]:[DTG Upper]]),0))</f>
        <v>0</v>
      </c>
      <c r="AM263">
        <f>SUM(Crops[[#This Row],[Tray 1 Days]],Crops[[#This Row],[Tray 2 Days]],Crops[[#This Row],[Tray 3 Days]])</f>
        <v>0</v>
      </c>
      <c r="AN263" s="32"/>
      <c r="AP263">
        <f>5*30</f>
        <v>150</v>
      </c>
      <c r="AQ263">
        <f>IFERROR(_xlfn.FLOOR.MATH(AVERAGE(Crops[[#This Row],[DTM Lower]:[DTM Upper]])),"")</f>
        <v>150</v>
      </c>
      <c r="AR263" cm="1">
        <f t="array" ref="AR263">_xlfn.SWITCH(Crops[[#This Row],[Normal Method]],"DS",Crops[[#This Row],[Days to Germination]]+Crops[[#This Row],[DTM]] + IF(Crops[[#This Row],[Days in Cells]]&gt;0,15,0), "TP",Crops[[#This Row],[DTM]]+Crops[[#This Row],[Days in Cells]] + IF(Crops[[#This Row],[Days in Cells]]&lt;=0,20,0), "X", Crops[[#This Row],[DTM]])</f>
        <v>150</v>
      </c>
      <c r="AS263" t="s">
        <v>347</v>
      </c>
      <c r="AT263">
        <f>(Crops[[#This Row],[Harvests]]-1)*Crops[[#This Row],[Days Between Harvest]]+7</f>
        <v>28</v>
      </c>
      <c r="AU263">
        <v>365</v>
      </c>
      <c r="AZ263" t="str">
        <f>IFERROR(IF(Crops[[#This Row],[Tray 1 Days]]=0,"",Crops[[#This Row],[Plantings Per Bed]]/Crops[[#This Row],[Tray 1 Size]]*Crops[[#This Row],[Safety Factor]]),"")</f>
        <v/>
      </c>
      <c r="BC263" t="str">
        <f>IFERROR(IF(Crops[[#This Row],[Tray 2 Days]]=0,"",Crops[[#This Row],[Plantings Per Bed]]/Crops[[#This Row],[Tray 2 Size]]*Crops[[#This Row],[Safety Factor]]),"")</f>
        <v/>
      </c>
      <c r="BE263" s="32" t="str">
        <f>IF(NOT(ISBLANK(Crops[[#This Row],[Tray 3 Size]])), Crops[[#This Row],[Days in Cells Old]]-SUM(Crops[[#This Row],[Tray 1 Days]],Crops[[#This Row],[Tray 2 Days]]), "")</f>
        <v/>
      </c>
      <c r="BF263" t="str">
        <f>IFERROR(IF(Crops[[#This Row],[Tray 3 Days]]=0,"",Crops[[#This Row],[Plantings Per Bed]]/Crops[[#This Row],[Tray 3 Size]]*Crops[[#This Row],[Safety Factor]]),"")</f>
        <v/>
      </c>
      <c r="BG263" s="178">
        <f>2*2.5*BedLength/Crops[[#This Row],[Harvests]]</f>
        <v>31.25</v>
      </c>
      <c r="BH263" s="33">
        <v>8</v>
      </c>
      <c r="BI263" s="33">
        <v>3</v>
      </c>
      <c r="BJ263" s="33">
        <f>_xlfn.XLOOKUP(Crops[[#This Row],[ProductIndex]],Products[ID],Products[Holding Period])</f>
        <v>0</v>
      </c>
      <c r="BK263" s="33"/>
      <c r="BL263" s="33">
        <f>Crops[[#This Row],[Units Per Harvest]]*Crops[[#This Row],[Harvests]]</f>
        <v>250</v>
      </c>
      <c r="BM263" s="35">
        <v>6</v>
      </c>
      <c r="BN263" s="35">
        <f>Crops[[#This Row],[Direct Price]]*0.6</f>
        <v>3.5999999999999996</v>
      </c>
      <c r="BO263" s="35"/>
      <c r="BP263" t="s">
        <v>2548</v>
      </c>
      <c r="BQ263">
        <f>Crops[[#This Row],[Custom Yield Per Bed]]*Crops[[#This Row],[Direct Price]]</f>
        <v>1500</v>
      </c>
      <c r="BS263" t="b">
        <f>Crops[[#This Row],[Harvests]]&gt;1</f>
        <v>1</v>
      </c>
      <c r="BT263" s="36">
        <f>IFERROR(Crops[[#This Row],[Direct Revenue Per Bed]]/Crops[[#This Row],[Days In Field]],-1)</f>
        <v>4.1095890410958908</v>
      </c>
      <c r="BU263" s="36">
        <f>IFERROR(Crops[[#This Row],[Direct Revenue Per Bed Day]]*GrowingDays*BedsPerAcre,"")</f>
        <v>118356.16438356167</v>
      </c>
      <c r="BV263" s="38">
        <f>LastFrostDate-5*Crops[[#This Row],[Sewing Rel Last Frost]]</f>
        <v>45748</v>
      </c>
      <c r="BW263" s="38">
        <f>Crops[[#This Row],[Target Sewing Date]]+Crops[[#This Row],[Days in Cells]]</f>
        <v>45748</v>
      </c>
      <c r="BX263" s="38">
        <f>Crops[[#This Row],[Target Sewing Date]]+Crops[[#This Row],[STH]]</f>
        <v>45898</v>
      </c>
      <c r="BY263" s="38">
        <f>Crops[[#This Row],[Target Harvest Data]]+Crops[[#This Row],[Harvest window]]</f>
        <v>45926</v>
      </c>
      <c r="CB263">
        <f>1</f>
        <v>1</v>
      </c>
      <c r="CC263">
        <f>IF(Crops[[#This Row],[Transplanting]]&gt;0, 2, 3)*BedLength/StandardBedLength</f>
        <v>1.5</v>
      </c>
      <c r="CD263" s="173">
        <f>IF(Crops[[#This Row],[Days in Cells]]&lt;=0,0,Crops[[#This Row],[Plantings Per Bed]]/StartsPerHourSeeding+Crops[[#This Row],[Tray 1 Count]]*5/60)</f>
        <v>0</v>
      </c>
      <c r="CE263" s="173">
        <f>IF(ISBLANK(Crops[[#This Row],[Tray 2 Days]]),0,Crops[[#This Row],[Plantings Per Bed]]/UpPottingPerHour)+IF(Crops[[#This Row],[Tray 3 Days]]="",0,Crops[[#This Row],[Plantings Per Bed]]/UpPottingPerHour)</f>
        <v>0</v>
      </c>
      <c r="CF263" s="173">
        <f>IFERROR(Crops[[#This Row],[Tray 1 Count]]/HomeStartFlatIrrigationPerHour,0)*Crops[[#This Row],[Days in Cells]]/DaysBetweenStartIrrigation</f>
        <v>0</v>
      </c>
      <c r="CG263">
        <f>0.5/16*MAX(Crops[[#This Row],[Tray 1 Count]],Crops[[#This Row],[Tray 2 Count]],Crops[[#This Row],[Tray 3 Count]])</f>
        <v>0</v>
      </c>
      <c r="CH263">
        <f>IF(Crops[[#This Row],[Days in Cells]]&gt;0,IF(IF(Crops[[#This Row],[Tray 3 Size]]&gt;0,Crops[[#This Row],[Tray 3 Size]],IF(Crops[[#This Row],[Tray 2 Size]]&gt;0,Crops[[#This Row],[Tray 2 Size]],Crops[[#This Row],[Tray 1 Size]]))&lt;=18,LargeTransplantTime,SmallTransplantTime)*Crops[[#This Row],[Plantings Per Bed]],0)</f>
        <v>0</v>
      </c>
      <c r="CI263" s="173" t="s">
        <v>2554</v>
      </c>
      <c r="CJ263" s="173">
        <f>_xlfn.XLOOKUP(Crops[[#This Row],[Trellis Type]],TrellisMethods[Trellis Type],TrellisMethods[Hours],0,0)</f>
        <v>1.5</v>
      </c>
      <c r="CK263">
        <f>IF(Crops[[#This Row],[Days in Cells]]&lt;=0,Crops[[#This Row],[Rows]]*1/10,0)*BedLength/50</f>
        <v>0.1</v>
      </c>
      <c r="CL263" cm="1">
        <f t="array" ref="CL263">_xlfn.SWITCH(Crops[[#This Row],[Irrigation]],"DR", 0.5, "OH", 0.25,0)*BedLength/50</f>
        <v>0</v>
      </c>
      <c r="CM263">
        <f>IF(OR(ISBLANK(Crops[[#This Row],[Row Cover]]),Crops[[#This Row],[Row Cover]]="None"),0,1)*BedLength/50</f>
        <v>0</v>
      </c>
      <c r="CN263" s="173">
        <f>HoursPerWeedingPass*Crops[[#This Row],[Days In Field]]/14*Crops[[#This Row],[Rows]]+1*BedLength/50</f>
        <v>5.3452380952380949</v>
      </c>
      <c r="CO263" s="49">
        <f>2*BedLength/100</f>
        <v>1</v>
      </c>
      <c r="CQ263" s="37">
        <f>_xlfn.XLOOKUP(Crops[[#This Row],[Crop]]&amp;Crops[[#This Row],[Product]]&amp;Crops[[#This Row],[Unit]],Products[ID],Products[Marketing (hr)])*Crops[[#This Row],[Direct Revenue Per Bed]]/2000</f>
        <v>0.75</v>
      </c>
      <c r="CR263" s="37">
        <f>_xlfn.XLOOKUP(Crops[[#This Row],[Crop]]&amp;Crops[[#This Row],[Product]]&amp;Crops[[#This Row],[Unit]],Products[ID],Products[Harvest (s)])*Crops[[#This Row],[Custom Yield Per Bed]]/3600</f>
        <v>12.847222222222221</v>
      </c>
      <c r="CS263" s="37">
        <f>_xlfn.XLOOKUP(Crops[[#This Row],[Crop]]&amp;Crops[[#This Row],[Product]]&amp;Crops[[#This Row],[Unit]],Products[ID],Products[Bunch (s)])*Crops[[#This Row],[Custom Yield Per Bed]]/3600</f>
        <v>0</v>
      </c>
      <c r="CT263" s="37">
        <f>_xlfn.XLOOKUP(Crops[[#This Row],[Crop]]&amp;Crops[[#This Row],[Product]]&amp;Crops[[#This Row],[Unit]],Products[ID],Products[Haul (s)])*Crops[[#This Row],[Custom Yield Per Bed]]/3600</f>
        <v>0.52083333333333337</v>
      </c>
      <c r="CU263" s="37">
        <f>_xlfn.XLOOKUP(Crops[[#This Row],[Crop]]&amp;Crops[[#This Row],[Product]]&amp;Crops[[#This Row],[Unit]],Products[ID],Products[Wash (s)])*Crops[[#This Row],[Custom Yield Per Bed]]/3600</f>
        <v>0</v>
      </c>
      <c r="CV263" s="37">
        <f>_xlfn.XLOOKUP(Crops[[#This Row],[Crop]]&amp;Crops[[#This Row],[Product]]&amp;Crops[[#This Row],[Unit]],Products[ID],Products[Condition (s)])*Crops[[#This Row],[Custom Yield Per Bed]]/3600</f>
        <v>0</v>
      </c>
      <c r="CW263" s="37">
        <f>_xlfn.XLOOKUP(Crops[[#This Row],[Crop]]&amp;Crops[[#This Row],[Product]]&amp;Crops[[#This Row],[Unit]],Products[ID],Products[Trim (s)])*Crops[[#This Row],[Custom Yield Per Bed]]/3600</f>
        <v>0</v>
      </c>
      <c r="CX263" s="37">
        <f>_xlfn.XLOOKUP(Crops[[#This Row],[Crop]]&amp;Crops[[#This Row],[Product]]&amp;Crops[[#This Row],[Unit]],Products[ID],Products[Pack (s)])*Crops[[#This Row],[Custom Yield Per Bed]]/3600</f>
        <v>0</v>
      </c>
      <c r="CY263" s="37">
        <f>_xlfn.XLOOKUP(Crops[[#This Row],[Crop]]&amp;Crops[[#This Row],[Product]]&amp;Crops[[#This Row],[Unit]],Products[ID],Products[Clean (s)])*Crops[[#This Row],[Custom Yield Per Bed]]/3600</f>
        <v>0</v>
      </c>
      <c r="CZ263" s="37">
        <f>_xlfn.XLOOKUP(Crops[[#This Row],[Crop]]&amp;Crops[[#This Row],[Product]]&amp;Crops[[#This Row],[Unit]],Products[ID],Products[Rehandle (s)])*Crops[[#This Row],[Custom Yield Per Bed]]/3600</f>
        <v>0</v>
      </c>
      <c r="DA263" s="37">
        <f>_xlfn.XLOOKUP(Crops[[#This Row],[Crop]]&amp;Crops[[#This Row],[Product]]&amp;Crops[[#This Row],[Unit]],Products[ID],Products[Market Transport (s)])*Crops[[#This Row],[Custom Yield Per Bed]]/3600</f>
        <v>1.3020833333333333</v>
      </c>
      <c r="DC263" s="37">
        <f>Crops[[#This Row],[Direct Revenue Per Bed2]]</f>
        <v>1500</v>
      </c>
      <c r="DD263" s="173">
        <f>_xlfn.AGGREGATE(9,6,Crops[[#This Row],[Bed Prep]:[Remove Crop Residue]])</f>
        <v>24.865376984126982</v>
      </c>
      <c r="DE263" s="173">
        <f>_xlfn.AGGREGATE(9,6,Crops[[#This Row],[Bed Prep]:[Remove Crop Residue]])-0.75*Crops[[#This Row],[Market &amp; Sell]]</f>
        <v>24.302876984126982</v>
      </c>
      <c r="DF263" s="213">
        <f>Crops[[#This Row],[Direct Revenue Per Bed2]]/Crops[[#This Row],[Direct Time]]</f>
        <v>60.324844499946146</v>
      </c>
      <c r="DG263" s="36">
        <f>_xlfn.XLOOKUP(Crops[[#This Row],[ProductIndex]],Products[ID],Products[Packaging Cost])*(Crops[[#This Row],[Custom Yield Per Bed]]/_xlfn.XLOOKUP(Crops[[#This Row],[ProductIndex]],Products[ID],Products[Units Per Pack]))</f>
        <v>90</v>
      </c>
      <c r="DH263" s="36"/>
      <c r="DI263" s="36"/>
      <c r="DJ263" s="36"/>
      <c r="DK263" s="36"/>
      <c r="DL263" s="36"/>
      <c r="DM263" s="33">
        <f>IFERROR(Crops[[#This Row],[Custom Yield Per Bed]]*Crops[[#This Row],[Direct Price]],"")</f>
        <v>1500</v>
      </c>
      <c r="DN263" s="36">
        <f>Crops[[#This Row],[Direct Time]]*LaborRate</f>
        <v>621.63442460317458</v>
      </c>
      <c r="DO263" s="36">
        <f>SUM(Crops[[#This Row],[Irrigation Cost]])</f>
        <v>0</v>
      </c>
      <c r="DP263" s="36">
        <f>Crops[[#This Row],[Direct Labor Cost]]+Crops[[#This Row],[Direct Non-Labor Cost]]</f>
        <v>621.63442460317458</v>
      </c>
      <c r="DQ263" s="36">
        <f>Crops[[#This Row],[Direct Revenue Per Bed2]]-Crops[[#This Row],[Direct Total Cost]]</f>
        <v>878.36557539682542</v>
      </c>
      <c r="DR263" s="36">
        <f>Crops[[#This Row],[Direct Profit]]*BedsPerAcre</f>
        <v>140538.49206349207</v>
      </c>
      <c r="DS263" s="36">
        <f>Crops[[#This Row],[Direct Profit]]*BedsPerAcre*GrowingDays/Crops[[#This Row],[Days In Field]]</f>
        <v>69306.653620352256</v>
      </c>
      <c r="DT263" s="36">
        <f>Crops[[#This Row],[Direct Profit]]/MIN(Crops[[#This Row],[Days In Field]],GrowingDays)</f>
        <v>4.8798087522045854</v>
      </c>
      <c r="DU263" s="214">
        <f>Crops[[#This Row],[Direct Time]] * BedsPerAcre</f>
        <v>3978.4603174603171</v>
      </c>
      <c r="DV263" s="36">
        <f>(Crops[[#This Row],[Direct Revenue Per Bed2]]-Crops[[#This Row],[Direct Non-Labor Cost]])/Crops[[#This Row],[Direct Time]]</f>
        <v>60.324844499946146</v>
      </c>
      <c r="DW263" s="33">
        <f>IFERROR(Crops[[#This Row],[Custom Yield Per Bed]]*Crops[[#This Row],[Rough Wholesale Price]],"")</f>
        <v>899.99999999999989</v>
      </c>
      <c r="DX263" s="36">
        <f>Crops[[#This Row],[Wholesale Time]]*LaborRate</f>
        <v>607.57192460317458</v>
      </c>
      <c r="DY263" s="36">
        <f>SUM(Crops[[#This Row],[Packaging Costs]:[Irrigation Cost]])</f>
        <v>90</v>
      </c>
      <c r="DZ263" s="36">
        <f>Crops[[#This Row],[Wholesale Labor Cost]]+Crops[[#This Row],[Wholesale Non-Labor Cost]]</f>
        <v>697.57192460317458</v>
      </c>
      <c r="EA263" s="36">
        <f>Crops[[#This Row],[Wholesale Revenue Per Bed]]-Crops[[#This Row],[Wholesale Total Cost]]</f>
        <v>202.42807539682531</v>
      </c>
      <c r="EB263" s="36">
        <f>Crops[[#This Row],[Wholesale Profit]]*BedsPerAcre</f>
        <v>32388.492063492049</v>
      </c>
      <c r="EC263" s="36">
        <f>Crops[[#This Row],[Wholesale Profit]]*BedsPerAcre*GrowingDays/Crops[[#This Row],[Days In Field]]</f>
        <v>15972.407045009779</v>
      </c>
      <c r="ED263" s="214">
        <f>Crops[[#This Row],[Wholesale Time]] * BedsPerAcre</f>
        <v>3888.4603174603171</v>
      </c>
      <c r="EE263" s="221">
        <f>Crops[[#This Row],[Wholesale Profit]]/MIN(Crops[[#This Row],[Days In Field]],GrowingDays)</f>
        <v>1.1246004188712517</v>
      </c>
      <c r="EF263" s="36">
        <f>(Crops[[#This Row],[Wholesale Revenue Per Bed]]-Crops[[#This Row],[Wholesale Non-Labor Cost]])/Crops[[#This Row],[Direct Time]]</f>
        <v>32.57541602997091</v>
      </c>
      <c r="EG263" s="174">
        <f>Crops[[#This Row],[Packaging Costs]]/Crops[[#This Row],[Wholesale Revenue Per Bed]]</f>
        <v>0.10000000000000002</v>
      </c>
      <c r="EH263" s="36" t="str">
        <f>Crops[[#This Row],[Crop]]&amp;Crops[[#This Row],[Product]]&amp;Crops[[#This Row],[Unit]]</f>
        <v>RaspberryBlack Berry1/2 Pint</v>
      </c>
      <c r="EI263" s="213" t="b">
        <f>_xlfn.XLOOKUP(Crops[[#This Row],[ProductIndex]],Products[ID],Products[Target])</f>
        <v>1</v>
      </c>
      <c r="EJ263" s="213">
        <f>Crops[[#This Row],[Custom Yield Per Bed]]</f>
        <v>250</v>
      </c>
      <c r="EK263" s="210">
        <f>Crops[[#This Row],[Units Per Harvest]]/Crops[[#This Row],[Days Between Harvest]]*7</f>
        <v>72.916666666666657</v>
      </c>
      <c r="EL263" s="210">
        <f>Crops[[#This Row],[Custom Yield Per Bed]]/_xlfn.XLOOKUP(Crops[[#This Row],[ProductIndex]],Products[ID],Products[CSA Portion])</f>
        <v>250</v>
      </c>
      <c r="EM263" s="210">
        <f>Crops[[#This Row],[Units Per Harvest]]/Crops[[#This Row],[Days Between Harvest]]*7/_xlfn.XLOOKUP(Crops[[#This Row],[ProductIndex]],Products[ID],Products[CSA Portion])</f>
        <v>72.916666666666657</v>
      </c>
      <c r="EN263" s="210">
        <f>Crops[[#This Row],[CSA Portions Per Week]]/CSAMembers</f>
        <v>1.458333333333333</v>
      </c>
      <c r="EO263" s="210"/>
      <c r="EP263" s="210"/>
      <c r="EQ263" s="215"/>
      <c r="ER263" s="210">
        <f>Crops[[#This Row],[Harvests]]*Crops[[#This Row],[Days Between Harvest]]/7</f>
        <v>3.4285714285714284</v>
      </c>
      <c r="ES263" s="217">
        <f>_xlfn.XLOOKUP(Crops[[#This Row],[ProductIndex]],Products[ID],Products[CSA Need])</f>
        <v>1</v>
      </c>
      <c r="ET263" s="217">
        <f>_xlfn.XLOOKUP(Crops[[#This Row],[ProductIndex]],Products[ID],Products[CSA Times])</f>
        <v>1</v>
      </c>
      <c r="EU263" s="208">
        <f>Crops[[#This Row],[Custom Yield Per Bed]]/(Crops[[#This Row],[CSA Need]]*(_xlfn.XLOOKUP(Crops[[#This Row],[ProductIndex]],Products[ID],Products[CSA Portion])*CSAMembers))</f>
        <v>5</v>
      </c>
      <c r="EV263" s="208">
        <f>_xlfn.XLOOKUP(Crops[[#This Row],[ProductIndex]],Products[ID],Products[CSA Portion])*CSAMembers*Crops[[#This Row],[CSA Need]]/Crops[[#This Row],[Custom Yield Per Bed]]</f>
        <v>0.2</v>
      </c>
      <c r="EW263" s="208">
        <f>IFERROR(Crops[[#This Row],[Days In Field]]*Crops[[#This Row],[CSA Beds]],"")</f>
        <v>73</v>
      </c>
      <c r="EX263" s="208" t="e">
        <f>Crops[[#This Row],[CSA Bed Days]]*#REF!</f>
        <v>#REF!</v>
      </c>
      <c r="EY263" t="s">
        <v>2553</v>
      </c>
    </row>
    <row r="264" spans="1:155">
      <c r="A264"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Raspberry (Red Fall Bearing) - Red Berry 1X | Field DS Su</v>
      </c>
      <c r="B264" s="185"/>
      <c r="C264" s="1" t="s">
        <v>2588</v>
      </c>
      <c r="D264" s="1"/>
      <c r="E264" s="1" t="b">
        <v>0</v>
      </c>
      <c r="F264" s="1" t="b">
        <v>1</v>
      </c>
      <c r="G264" s="1" t="b">
        <f>IFERROR(IF(ISNUMBER(MATCH(Crops[[#This Row],[Identifier]],BedPlan[Crop], 0)), TRUE, FALSE), FALSE)</f>
        <v>0</v>
      </c>
      <c r="H264" s="1"/>
      <c r="I264" t="s">
        <v>2547</v>
      </c>
      <c r="J264" t="s">
        <v>2551</v>
      </c>
      <c r="K264" t="s">
        <v>2558</v>
      </c>
      <c r="M264" t="s">
        <v>2550</v>
      </c>
      <c r="N264" t="str">
        <f>Crops[[#This Row],[Crop]]</f>
        <v>Raspberry</v>
      </c>
      <c r="O264" t="s">
        <v>210</v>
      </c>
      <c r="P264" t="str">
        <f>IF(OR(Crops[[#This Row],[Days in Cells]]="",Crops[[#This Row],[Days in Cells]]=0), "DS","TP")</f>
        <v>DS</v>
      </c>
      <c r="R264" t="b">
        <v>1</v>
      </c>
      <c r="V264" t="str">
        <f xml:space="preserve"> IF(Crops[[#This Row],[Sp]], "Sp", "") &amp; IF(Crops[[#This Row],[Su]], "Su", "") &amp; IF(Crops[[#This Row],[Fa]], "Fa", "") &amp; IF(Crops[[#This Row],[Wi]], "Wi", "") &amp; IF(Crops[[#This Row],[OW]], "Ow","")</f>
        <v>Su</v>
      </c>
      <c r="W264" t="b">
        <v>1</v>
      </c>
      <c r="X264">
        <v>1</v>
      </c>
      <c r="Y264">
        <v>2</v>
      </c>
      <c r="AA264" t="s">
        <v>474</v>
      </c>
      <c r="AB264" t="b">
        <v>1</v>
      </c>
      <c r="AC264">
        <v>6</v>
      </c>
      <c r="AD264" s="32">
        <f>IFERROR(12/Crops[[#This Row],[Spacing]]*Crops[[#This Row],[Rows]]*BedLength,"")</f>
        <v>300</v>
      </c>
      <c r="AE264">
        <v>1</v>
      </c>
      <c r="AG264">
        <f>IF(Crops[[#This Row],[Custom Safety Factor]]="",PlantingSafetyFactor,Crops[[#This Row],[Custom Safety Factor]])</f>
        <v>1.3</v>
      </c>
      <c r="AH264">
        <f>1</f>
        <v>1</v>
      </c>
      <c r="AI264" s="33">
        <f>IFERROR(Crops[[#This Row],[Plantings Per Bed]]*Crops[[#This Row],[Seeds Per Planting]]*Crops[[#This Row],[Safety Factor]]*Crops[[#This Row],[Seeding Factor]],"")</f>
        <v>390</v>
      </c>
      <c r="AL264">
        <f>_xlfn.FLOOR.MATH(IFERROR(AVERAGE(Crops[[#This Row],[DTG Lower]:[DTG Upper]]),0))</f>
        <v>0</v>
      </c>
      <c r="AM264">
        <f>SUM(Crops[[#This Row],[Tray 1 Days]],Crops[[#This Row],[Tray 2 Days]],Crops[[#This Row],[Tray 3 Days]])</f>
        <v>0</v>
      </c>
      <c r="AN264" s="32"/>
      <c r="AP264">
        <f>14*30</f>
        <v>420</v>
      </c>
      <c r="AQ264">
        <f>IFERROR(_xlfn.FLOOR.MATH(AVERAGE(Crops[[#This Row],[DTM Lower]:[DTM Upper]])),"")</f>
        <v>420</v>
      </c>
      <c r="AR264" cm="1">
        <f t="array" ref="AR264">_xlfn.SWITCH(Crops[[#This Row],[Normal Method]],"DS",Crops[[#This Row],[Days to Germination]]+Crops[[#This Row],[DTM]] + IF(Crops[[#This Row],[Days in Cells]]&gt;0,15,0), "TP",Crops[[#This Row],[DTM]]+Crops[[#This Row],[Days in Cells]] + IF(Crops[[#This Row],[Days in Cells]]&lt;=0,20,0), "X", Crops[[#This Row],[DTM]])</f>
        <v>420</v>
      </c>
      <c r="AS264" t="s">
        <v>347</v>
      </c>
      <c r="AT264">
        <f>(Crops[[#This Row],[Harvests]]-1)*Crops[[#This Row],[Days Between Harvest]]+7</f>
        <v>67</v>
      </c>
      <c r="AU264">
        <v>365</v>
      </c>
      <c r="AZ264" t="str">
        <f>IFERROR(IF(Crops[[#This Row],[Tray 1 Days]]=0,"",Crops[[#This Row],[Plantings Per Bed]]/Crops[[#This Row],[Tray 1 Size]]*Crops[[#This Row],[Safety Factor]]),"")</f>
        <v/>
      </c>
      <c r="BC264" t="str">
        <f>IFERROR(IF(Crops[[#This Row],[Tray 2 Days]]=0,"",Crops[[#This Row],[Plantings Per Bed]]/Crops[[#This Row],[Tray 2 Size]]*Crops[[#This Row],[Safety Factor]]),"")</f>
        <v/>
      </c>
      <c r="BE264" s="32" t="str">
        <f>IF(NOT(ISBLANK(Crops[[#This Row],[Tray 3 Size]])), Crops[[#This Row],[Days in Cells Old]]-SUM(Crops[[#This Row],[Tray 1 Days]],Crops[[#This Row],[Tray 2 Days]]), "")</f>
        <v/>
      </c>
      <c r="BF264" t="str">
        <f>IFERROR(IF(Crops[[#This Row],[Tray 3 Days]]=0,"",Crops[[#This Row],[Plantings Per Bed]]/Crops[[#This Row],[Tray 3 Size]]*Crops[[#This Row],[Safety Factor]]),"")</f>
        <v/>
      </c>
      <c r="BG264" s="178">
        <f>2*2.5*BedLength/Crops[[#This Row],[Harvests]]</f>
        <v>11.904761904761905</v>
      </c>
      <c r="BH264" s="33">
        <f>9*7/Crops[[#This Row],[Days Between Harvest]]</f>
        <v>21</v>
      </c>
      <c r="BI264" s="33">
        <v>3</v>
      </c>
      <c r="BJ264" s="33">
        <f>_xlfn.XLOOKUP(Crops[[#This Row],[ProductIndex]],Products[ID],Products[Holding Period])</f>
        <v>0</v>
      </c>
      <c r="BK264" s="33"/>
      <c r="BL264" s="33">
        <f>Crops[[#This Row],[Units Per Harvest]]*Crops[[#This Row],[Harvests]]</f>
        <v>250</v>
      </c>
      <c r="BM264" s="35">
        <v>5</v>
      </c>
      <c r="BN264" s="35">
        <f>Crops[[#This Row],[Direct Price]]*0.6</f>
        <v>3</v>
      </c>
      <c r="BO264" s="35"/>
      <c r="BP264" t="s">
        <v>2548</v>
      </c>
      <c r="BQ264">
        <f>Crops[[#This Row],[Custom Yield Per Bed]]*Crops[[#This Row],[Direct Price]]</f>
        <v>1250</v>
      </c>
      <c r="BS264" t="b">
        <f>Crops[[#This Row],[Harvests]]&gt;1</f>
        <v>1</v>
      </c>
      <c r="BT264" s="36">
        <f>IFERROR(Crops[[#This Row],[Direct Revenue Per Bed]]/Crops[[#This Row],[Days In Field]],-1)</f>
        <v>3.4246575342465753</v>
      </c>
      <c r="BU264" s="36">
        <f>IFERROR(Crops[[#This Row],[Direct Revenue Per Bed Day]]*GrowingDays*BedsPerAcre,"")</f>
        <v>98630.136986301368</v>
      </c>
      <c r="BV264" s="38">
        <f>LastFrostDate-5*Crops[[#This Row],[Sewing Rel Last Frost]]</f>
        <v>45748</v>
      </c>
      <c r="BW264" s="38">
        <f>Crops[[#This Row],[Target Sewing Date]]+Crops[[#This Row],[Days in Cells]]</f>
        <v>45748</v>
      </c>
      <c r="BX264" s="38">
        <f>Crops[[#This Row],[Target Sewing Date]]+Crops[[#This Row],[STH]]</f>
        <v>46168</v>
      </c>
      <c r="BY264" s="38">
        <f>Crops[[#This Row],[Target Harvest Data]]+Crops[[#This Row],[Harvest window]]</f>
        <v>46235</v>
      </c>
      <c r="CB264">
        <f>1</f>
        <v>1</v>
      </c>
      <c r="CC264">
        <f>IF(Crops[[#This Row],[Transplanting]]&gt;0, 2, 3)*BedLength/StandardBedLength</f>
        <v>1.5</v>
      </c>
      <c r="CD264" s="173">
        <f>IF(Crops[[#This Row],[Days in Cells]]&lt;=0,0,Crops[[#This Row],[Plantings Per Bed]]/StartsPerHourSeeding+Crops[[#This Row],[Tray 1 Count]]*5/60)</f>
        <v>0</v>
      </c>
      <c r="CE264" s="173">
        <f>IF(ISBLANK(Crops[[#This Row],[Tray 2 Days]]),0,Crops[[#This Row],[Plantings Per Bed]]/UpPottingPerHour)+IF(Crops[[#This Row],[Tray 3 Days]]="",0,Crops[[#This Row],[Plantings Per Bed]]/UpPottingPerHour)</f>
        <v>0</v>
      </c>
      <c r="CF264" s="173">
        <f>IFERROR(Crops[[#This Row],[Tray 1 Count]]/HomeStartFlatIrrigationPerHour,0)*Crops[[#This Row],[Days in Cells]]/DaysBetweenStartIrrigation</f>
        <v>0</v>
      </c>
      <c r="CG264">
        <f>0.5/16*MAX(Crops[[#This Row],[Tray 1 Count]],Crops[[#This Row],[Tray 2 Count]],Crops[[#This Row],[Tray 3 Count]])</f>
        <v>0</v>
      </c>
      <c r="CH264">
        <f>IF(Crops[[#This Row],[Days in Cells]]&gt;0,IF(IF(Crops[[#This Row],[Tray 3 Size]]&gt;0,Crops[[#This Row],[Tray 3 Size]],IF(Crops[[#This Row],[Tray 2 Size]]&gt;0,Crops[[#This Row],[Tray 2 Size]],Crops[[#This Row],[Tray 1 Size]]))&lt;=18,LargeTransplantTime,SmallTransplantTime)*Crops[[#This Row],[Plantings Per Bed]],0)</f>
        <v>0</v>
      </c>
      <c r="CI264" s="173" t="s">
        <v>2554</v>
      </c>
      <c r="CJ264" s="173">
        <f>_xlfn.XLOOKUP(Crops[[#This Row],[Trellis Type]],TrellisMethods[Trellis Type],TrellisMethods[Hours],0,0)</f>
        <v>1.5</v>
      </c>
      <c r="CK264">
        <f>IF(Crops[[#This Row],[Days in Cells]]&lt;=0,Crops[[#This Row],[Rows]]*1/10,0)*BedLength/50</f>
        <v>0.1</v>
      </c>
      <c r="CL264" cm="1">
        <f t="array" ref="CL264">_xlfn.SWITCH(Crops[[#This Row],[Irrigation]],"DR", 0.5, "OH", 0.25,0)*BedLength/50</f>
        <v>0</v>
      </c>
      <c r="CM264">
        <f>IF(OR(ISBLANK(Crops[[#This Row],[Row Cover]]),Crops[[#This Row],[Row Cover]]="None"),0,1)*BedLength/50</f>
        <v>0</v>
      </c>
      <c r="CN264" s="173">
        <f>HoursPerWeedingPass*Crops[[#This Row],[Days In Field]]/14*Crops[[#This Row],[Rows]]+1*BedLength/50</f>
        <v>5.3452380952380949</v>
      </c>
      <c r="CO264" s="49">
        <f>2*BedLength/100</f>
        <v>1</v>
      </c>
      <c r="CQ264" s="37">
        <f>_xlfn.XLOOKUP(Crops[[#This Row],[Crop]]&amp;Crops[[#This Row],[Product]]&amp;Crops[[#This Row],[Unit]],Products[ID],Products[Marketing (hr)])*Crops[[#This Row],[Direct Revenue Per Bed]]/2000</f>
        <v>0.625</v>
      </c>
      <c r="CR264" s="37">
        <f>_xlfn.XLOOKUP(Crops[[#This Row],[Crop]]&amp;Crops[[#This Row],[Product]]&amp;Crops[[#This Row],[Unit]],Products[ID],Products[Harvest (s)])*Crops[[#This Row],[Custom Yield Per Bed]]/3600</f>
        <v>12.847222222222221</v>
      </c>
      <c r="CS264" s="37">
        <f>_xlfn.XLOOKUP(Crops[[#This Row],[Crop]]&amp;Crops[[#This Row],[Product]]&amp;Crops[[#This Row],[Unit]],Products[ID],Products[Bunch (s)])*Crops[[#This Row],[Custom Yield Per Bed]]/3600</f>
        <v>0</v>
      </c>
      <c r="CT264" s="37">
        <f>_xlfn.XLOOKUP(Crops[[#This Row],[Crop]]&amp;Crops[[#This Row],[Product]]&amp;Crops[[#This Row],[Unit]],Products[ID],Products[Haul (s)])*Crops[[#This Row],[Custom Yield Per Bed]]/3600</f>
        <v>0.52083333333333337</v>
      </c>
      <c r="CU264" s="37">
        <f>_xlfn.XLOOKUP(Crops[[#This Row],[Crop]]&amp;Crops[[#This Row],[Product]]&amp;Crops[[#This Row],[Unit]],Products[ID],Products[Wash (s)])*Crops[[#This Row],[Custom Yield Per Bed]]/3600</f>
        <v>0</v>
      </c>
      <c r="CV264" s="37">
        <f>_xlfn.XLOOKUP(Crops[[#This Row],[Crop]]&amp;Crops[[#This Row],[Product]]&amp;Crops[[#This Row],[Unit]],Products[ID],Products[Condition (s)])*Crops[[#This Row],[Custom Yield Per Bed]]/3600</f>
        <v>0</v>
      </c>
      <c r="CW264" s="37">
        <f>_xlfn.XLOOKUP(Crops[[#This Row],[Crop]]&amp;Crops[[#This Row],[Product]]&amp;Crops[[#This Row],[Unit]],Products[ID],Products[Trim (s)])*Crops[[#This Row],[Custom Yield Per Bed]]/3600</f>
        <v>0</v>
      </c>
      <c r="CX264" s="37">
        <f>_xlfn.XLOOKUP(Crops[[#This Row],[Crop]]&amp;Crops[[#This Row],[Product]]&amp;Crops[[#This Row],[Unit]],Products[ID],Products[Pack (s)])*Crops[[#This Row],[Custom Yield Per Bed]]/3600</f>
        <v>0</v>
      </c>
      <c r="CY264" s="37">
        <f>_xlfn.XLOOKUP(Crops[[#This Row],[Crop]]&amp;Crops[[#This Row],[Product]]&amp;Crops[[#This Row],[Unit]],Products[ID],Products[Clean (s)])*Crops[[#This Row],[Custom Yield Per Bed]]/3600</f>
        <v>0</v>
      </c>
      <c r="CZ264" s="37">
        <f>_xlfn.XLOOKUP(Crops[[#This Row],[Crop]]&amp;Crops[[#This Row],[Product]]&amp;Crops[[#This Row],[Unit]],Products[ID],Products[Rehandle (s)])*Crops[[#This Row],[Custom Yield Per Bed]]/3600</f>
        <v>0</v>
      </c>
      <c r="DA264" s="37">
        <f>_xlfn.XLOOKUP(Crops[[#This Row],[Crop]]&amp;Crops[[#This Row],[Product]]&amp;Crops[[#This Row],[Unit]],Products[ID],Products[Market Transport (s)])*Crops[[#This Row],[Custom Yield Per Bed]]/3600</f>
        <v>1.3020833333333333</v>
      </c>
      <c r="DC264" s="37">
        <f>Crops[[#This Row],[Direct Revenue Per Bed2]]</f>
        <v>1250</v>
      </c>
      <c r="DD264" s="173">
        <f>_xlfn.AGGREGATE(9,6,Crops[[#This Row],[Bed Prep]:[Remove Crop Residue]])</f>
        <v>24.740376984126982</v>
      </c>
      <c r="DE264" s="173">
        <f>_xlfn.AGGREGATE(9,6,Crops[[#This Row],[Bed Prep]:[Remove Crop Residue]])-0.75*Crops[[#This Row],[Market &amp; Sell]]</f>
        <v>24.271626984126982</v>
      </c>
      <c r="DF264" s="213">
        <f>Crops[[#This Row],[Direct Revenue Per Bed2]]/Crops[[#This Row],[Direct Time]]</f>
        <v>50.524694947129518</v>
      </c>
      <c r="DG264" s="36">
        <f>_xlfn.XLOOKUP(Crops[[#This Row],[ProductIndex]],Products[ID],Products[Packaging Cost])*(Crops[[#This Row],[Custom Yield Per Bed]]/_xlfn.XLOOKUP(Crops[[#This Row],[ProductIndex]],Products[ID],Products[Units Per Pack]))</f>
        <v>90</v>
      </c>
      <c r="DH264" s="36"/>
      <c r="DI264" s="36"/>
      <c r="DJ264" s="36"/>
      <c r="DK264" s="36"/>
      <c r="DL264" s="36"/>
      <c r="DM264" s="33">
        <f>IFERROR(Crops[[#This Row],[Custom Yield Per Bed]]*Crops[[#This Row],[Direct Price]],"")</f>
        <v>1250</v>
      </c>
      <c r="DN264" s="36">
        <f>Crops[[#This Row],[Direct Time]]*LaborRate</f>
        <v>618.50942460317458</v>
      </c>
      <c r="DO264" s="36">
        <f>SUM(Crops[[#This Row],[Irrigation Cost]])</f>
        <v>0</v>
      </c>
      <c r="DP264" s="36">
        <f>Crops[[#This Row],[Direct Labor Cost]]+Crops[[#This Row],[Direct Non-Labor Cost]]</f>
        <v>618.50942460317458</v>
      </c>
      <c r="DQ264" s="36">
        <f>Crops[[#This Row],[Direct Revenue Per Bed2]]-Crops[[#This Row],[Direct Total Cost]]</f>
        <v>631.49057539682542</v>
      </c>
      <c r="DR264" s="36">
        <f>Crops[[#This Row],[Direct Profit]]*BedsPerAcre</f>
        <v>101038.49206349207</v>
      </c>
      <c r="DS264" s="36">
        <f>Crops[[#This Row],[Direct Profit]]*BedsPerAcre*GrowingDays/Crops[[#This Row],[Days In Field]]</f>
        <v>49827.201565557742</v>
      </c>
      <c r="DT264" s="36">
        <f>Crops[[#This Row],[Direct Profit]]/MIN(Crops[[#This Row],[Days In Field]],GrowingDays)</f>
        <v>3.5082809744268078</v>
      </c>
      <c r="DU264" s="214">
        <f>Crops[[#This Row],[Direct Time]] * BedsPerAcre</f>
        <v>3958.4603174603171</v>
      </c>
      <c r="DV264" s="36">
        <f>(Crops[[#This Row],[Direct Revenue Per Bed2]]-Crops[[#This Row],[Direct Non-Labor Cost]])/Crops[[#This Row],[Direct Time]]</f>
        <v>50.524694947129518</v>
      </c>
      <c r="DW264" s="33">
        <f>IFERROR(Crops[[#This Row],[Custom Yield Per Bed]]*Crops[[#This Row],[Rough Wholesale Price]],"")</f>
        <v>750</v>
      </c>
      <c r="DX264" s="36">
        <f>Crops[[#This Row],[Wholesale Time]]*LaborRate</f>
        <v>606.79067460317458</v>
      </c>
      <c r="DY264" s="36">
        <f>SUM(Crops[[#This Row],[Packaging Costs]:[Irrigation Cost]])</f>
        <v>90</v>
      </c>
      <c r="DZ264" s="36">
        <f>Crops[[#This Row],[Wholesale Labor Cost]]+Crops[[#This Row],[Wholesale Non-Labor Cost]]</f>
        <v>696.79067460317458</v>
      </c>
      <c r="EA264" s="36">
        <f>Crops[[#This Row],[Wholesale Revenue Per Bed]]-Crops[[#This Row],[Wholesale Total Cost]]</f>
        <v>53.20932539682542</v>
      </c>
      <c r="EB264" s="36">
        <f>Crops[[#This Row],[Wholesale Profit]]*BedsPerAcre</f>
        <v>8513.4920634920672</v>
      </c>
      <c r="EC264" s="36">
        <f>Crops[[#This Row],[Wholesale Profit]]*BedsPerAcre*GrowingDays/Crops[[#This Row],[Days In Field]]</f>
        <v>4198.4344422700606</v>
      </c>
      <c r="ED264" s="214">
        <f>Crops[[#This Row],[Wholesale Time]] * BedsPerAcre</f>
        <v>3883.4603174603171</v>
      </c>
      <c r="EE264" s="221">
        <f>Crops[[#This Row],[Wholesale Profit]]/MIN(Crops[[#This Row],[Days In Field]],GrowingDays)</f>
        <v>0.29560736331569676</v>
      </c>
      <c r="EF264" s="36">
        <f>(Crops[[#This Row],[Wholesale Revenue Per Bed]]-Crops[[#This Row],[Wholesale Non-Labor Cost]])/Crops[[#This Row],[Direct Time]]</f>
        <v>26.677038932084386</v>
      </c>
      <c r="EG264" s="174">
        <f>Crops[[#This Row],[Packaging Costs]]/Crops[[#This Row],[Wholesale Revenue Per Bed]]</f>
        <v>0.12</v>
      </c>
      <c r="EH264" s="36" t="str">
        <f>Crops[[#This Row],[Crop]]&amp;Crops[[#This Row],[Product]]&amp;Crops[[#This Row],[Unit]]</f>
        <v>RaspberryRed Berry1/2 Pint</v>
      </c>
      <c r="EI264" s="213" t="b">
        <f>_xlfn.XLOOKUP(Crops[[#This Row],[ProductIndex]],Products[ID],Products[Target])</f>
        <v>1</v>
      </c>
      <c r="EJ264" s="33">
        <f>Crops[[#This Row],[Custom Yield Per Bed]]</f>
        <v>250</v>
      </c>
      <c r="EK264" s="210">
        <f>Crops[[#This Row],[Units Per Harvest]]/Crops[[#This Row],[Days Between Harvest]]*7</f>
        <v>27.777777777777779</v>
      </c>
      <c r="EL264" s="210">
        <f>Crops[[#This Row],[Custom Yield Per Bed]]/_xlfn.XLOOKUP(Crops[[#This Row],[ProductIndex]],Products[ID],Products[CSA Portion])</f>
        <v>250</v>
      </c>
      <c r="EM264" s="210">
        <f>Crops[[#This Row],[Units Per Harvest]]/Crops[[#This Row],[Days Between Harvest]]*7/_xlfn.XLOOKUP(Crops[[#This Row],[ProductIndex]],Products[ID],Products[CSA Portion])</f>
        <v>27.777777777777779</v>
      </c>
      <c r="EN264" s="210">
        <f>Crops[[#This Row],[CSA Portions Per Week]]/CSAMembers</f>
        <v>0.55555555555555558</v>
      </c>
      <c r="EO264" s="216">
        <v>1</v>
      </c>
      <c r="EP264" s="216">
        <v>1</v>
      </c>
      <c r="EQ264" s="215"/>
      <c r="ER264" s="210">
        <f>Crops[[#This Row],[Harvests]]*Crops[[#This Row],[Days Between Harvest]]/7</f>
        <v>9</v>
      </c>
      <c r="ES264" s="217">
        <f>_xlfn.XLOOKUP(Crops[[#This Row],[ProductIndex]],Products[ID],Products[CSA Need])</f>
        <v>1</v>
      </c>
      <c r="ET264" s="217">
        <f>_xlfn.XLOOKUP(Crops[[#This Row],[ProductIndex]],Products[ID],Products[CSA Times])</f>
        <v>1</v>
      </c>
      <c r="EU264" s="208">
        <f>Crops[[#This Row],[Custom Yield Per Bed]]/(Crops[[#This Row],[CSA Need]]*(_xlfn.XLOOKUP(Crops[[#This Row],[ProductIndex]],Products[ID],Products[CSA Portion])*CSAMembers))</f>
        <v>5</v>
      </c>
      <c r="EV264" s="208">
        <f>_xlfn.XLOOKUP(Crops[[#This Row],[ProductIndex]],Products[ID],Products[CSA Portion])*CSAMembers*Crops[[#This Row],[CSA Need]]/Crops[[#This Row],[Custom Yield Per Bed]]</f>
        <v>0.2</v>
      </c>
      <c r="EW264" s="208">
        <f>IFERROR(Crops[[#This Row],[Days In Field]]*Crops[[#This Row],[CSA Beds]],"")</f>
        <v>73</v>
      </c>
      <c r="EX264" s="208" t="e">
        <f>Crops[[#This Row],[CSA Bed Days]]*#REF!</f>
        <v>#REF!</v>
      </c>
    </row>
    <row r="265" spans="1:155">
      <c r="A265"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Raspberry (Red June Bearing) - Red Berry 1X | Field DS Su</v>
      </c>
      <c r="B265" s="185"/>
      <c r="C265" s="1"/>
      <c r="D265" s="1"/>
      <c r="E265" s="1" t="b">
        <v>0</v>
      </c>
      <c r="F265" s="1" t="b">
        <v>1</v>
      </c>
      <c r="G265" s="1" t="b">
        <f>IFERROR(IF(ISNUMBER(MATCH(Crops[[#This Row],[Identifier]],BedPlan[Crop], 0)), TRUE, FALSE), FALSE)</f>
        <v>0</v>
      </c>
      <c r="H265" s="1"/>
      <c r="I265" t="s">
        <v>2547</v>
      </c>
      <c r="J265" t="s">
        <v>2549</v>
      </c>
      <c r="K265" t="s">
        <v>2558</v>
      </c>
      <c r="M265" t="s">
        <v>2550</v>
      </c>
      <c r="N265" t="str">
        <f>Crops[[#This Row],[Crop]]</f>
        <v>Raspberry</v>
      </c>
      <c r="O265" t="s">
        <v>210</v>
      </c>
      <c r="P265" t="str">
        <f>IF(OR(Crops[[#This Row],[Days in Cells]]="",Crops[[#This Row],[Days in Cells]]=0), "DS","TP")</f>
        <v>DS</v>
      </c>
      <c r="R265" t="b">
        <v>1</v>
      </c>
      <c r="V265" t="str">
        <f xml:space="preserve"> IF(Crops[[#This Row],[Sp]], "Sp", "") &amp; IF(Crops[[#This Row],[Su]], "Su", "") &amp; IF(Crops[[#This Row],[Fa]], "Fa", "") &amp; IF(Crops[[#This Row],[Wi]], "Wi", "") &amp; IF(Crops[[#This Row],[OW]], "Ow","")</f>
        <v>Su</v>
      </c>
      <c r="W265" t="b">
        <v>1</v>
      </c>
      <c r="X265">
        <v>1</v>
      </c>
      <c r="Y265">
        <v>2</v>
      </c>
      <c r="AA265" t="s">
        <v>474</v>
      </c>
      <c r="AB265" t="b">
        <v>1</v>
      </c>
      <c r="AC265">
        <v>6</v>
      </c>
      <c r="AD265" s="32">
        <f>IFERROR(12/Crops[[#This Row],[Spacing]]*Crops[[#This Row],[Rows]]*BedLength,"")</f>
        <v>300</v>
      </c>
      <c r="AE265">
        <v>1</v>
      </c>
      <c r="AG265">
        <f>IF(Crops[[#This Row],[Custom Safety Factor]]="",PlantingSafetyFactor,Crops[[#This Row],[Custom Safety Factor]])</f>
        <v>1.3</v>
      </c>
      <c r="AH265">
        <f>1</f>
        <v>1</v>
      </c>
      <c r="AI265" s="33">
        <f>IFERROR(Crops[[#This Row],[Plantings Per Bed]]*Crops[[#This Row],[Seeds Per Planting]]*Crops[[#This Row],[Safety Factor]]*Crops[[#This Row],[Seeding Factor]],"")</f>
        <v>390</v>
      </c>
      <c r="AL265">
        <f>_xlfn.FLOOR.MATH(IFERROR(AVERAGE(Crops[[#This Row],[DTG Lower]:[DTG Upper]]),0))</f>
        <v>0</v>
      </c>
      <c r="AM265">
        <f>SUM(Crops[[#This Row],[Tray 1 Days]],Crops[[#This Row],[Tray 2 Days]],Crops[[#This Row],[Tray 3 Days]])</f>
        <v>0</v>
      </c>
      <c r="AN265" s="32"/>
      <c r="AP265">
        <f>14*30</f>
        <v>420</v>
      </c>
      <c r="AQ265">
        <f>IFERROR(_xlfn.FLOOR.MATH(AVERAGE(Crops[[#This Row],[DTM Lower]:[DTM Upper]])),"")</f>
        <v>420</v>
      </c>
      <c r="AR265" cm="1">
        <f t="array" ref="AR265">_xlfn.SWITCH(Crops[[#This Row],[Normal Method]],"DS",Crops[[#This Row],[Days to Germination]]+Crops[[#This Row],[DTM]] + IF(Crops[[#This Row],[Days in Cells]]&gt;0,15,0), "TP",Crops[[#This Row],[DTM]]+Crops[[#This Row],[Days in Cells]] + IF(Crops[[#This Row],[Days in Cells]]&lt;=0,20,0), "X", Crops[[#This Row],[DTM]])</f>
        <v>420</v>
      </c>
      <c r="AS265" t="s">
        <v>347</v>
      </c>
      <c r="AT265">
        <f>(Crops[[#This Row],[Harvests]]-1)*Crops[[#This Row],[Days Between Harvest]]+7</f>
        <v>46</v>
      </c>
      <c r="AU265">
        <v>365</v>
      </c>
      <c r="AZ265" t="str">
        <f>IFERROR(IF(Crops[[#This Row],[Tray 1 Days]]=0,"",Crops[[#This Row],[Plantings Per Bed]]/Crops[[#This Row],[Tray 1 Size]]*Crops[[#This Row],[Safety Factor]]),"")</f>
        <v/>
      </c>
      <c r="BC265" t="str">
        <f>IFERROR(IF(Crops[[#This Row],[Tray 2 Days]]=0,"",Crops[[#This Row],[Plantings Per Bed]]/Crops[[#This Row],[Tray 2 Size]]*Crops[[#This Row],[Safety Factor]]),"")</f>
        <v/>
      </c>
      <c r="BE265" s="32" t="str">
        <f>IF(NOT(ISBLANK(Crops[[#This Row],[Tray 3 Size]])), Crops[[#This Row],[Days in Cells Old]]-SUM(Crops[[#This Row],[Tray 1 Days]],Crops[[#This Row],[Tray 2 Days]]), "")</f>
        <v/>
      </c>
      <c r="BF265" t="str">
        <f>IFERROR(IF(Crops[[#This Row],[Tray 3 Days]]=0,"",Crops[[#This Row],[Plantings Per Bed]]/Crops[[#This Row],[Tray 3 Size]]*Crops[[#This Row],[Safety Factor]]),"")</f>
        <v/>
      </c>
      <c r="BG265" s="178">
        <f>2.5*2.5*BedLength/Crops[[#This Row],[Harvests]]</f>
        <v>22.321428571428573</v>
      </c>
      <c r="BH265" s="33">
        <f>6*7/Crops[[#This Row],[Days Between Harvest]]</f>
        <v>14</v>
      </c>
      <c r="BI265" s="33">
        <v>3</v>
      </c>
      <c r="BJ265" s="33">
        <f>_xlfn.XLOOKUP(Crops[[#This Row],[ProductIndex]],Products[ID],Products[Holding Period])</f>
        <v>0</v>
      </c>
      <c r="BK265" s="33"/>
      <c r="BL265" s="33">
        <f>Crops[[#This Row],[Units Per Harvest]]*Crops[[#This Row],[Harvests]]</f>
        <v>312.5</v>
      </c>
      <c r="BM265" s="35">
        <v>5</v>
      </c>
      <c r="BN265" s="35">
        <f>Crops[[#This Row],[Direct Price]]*0.6</f>
        <v>3</v>
      </c>
      <c r="BO265" s="35"/>
      <c r="BP265" t="s">
        <v>2548</v>
      </c>
      <c r="BQ265">
        <f>Crops[[#This Row],[Custom Yield Per Bed]]*Crops[[#This Row],[Direct Price]]</f>
        <v>1562.5</v>
      </c>
      <c r="BS265" t="b">
        <f>Crops[[#This Row],[Harvests]]&gt;1</f>
        <v>1</v>
      </c>
      <c r="BT265" s="36">
        <f>IFERROR(Crops[[#This Row],[Direct Revenue Per Bed]]/Crops[[#This Row],[Days In Field]],-1)</f>
        <v>4.2808219178082192</v>
      </c>
      <c r="BU265" s="36">
        <f>IFERROR(Crops[[#This Row],[Direct Revenue Per Bed Day]]*GrowingDays*BedsPerAcre,"")</f>
        <v>123287.67123287672</v>
      </c>
      <c r="BV265" s="38">
        <f>LastFrostDate-5*Crops[[#This Row],[Sewing Rel Last Frost]]</f>
        <v>45748</v>
      </c>
      <c r="BW265" s="38">
        <f>Crops[[#This Row],[Target Sewing Date]]+Crops[[#This Row],[Days in Cells]]</f>
        <v>45748</v>
      </c>
      <c r="BX265" s="38">
        <f>Crops[[#This Row],[Target Sewing Date]]+Crops[[#This Row],[STH]]</f>
        <v>46168</v>
      </c>
      <c r="BY265" s="38">
        <f>Crops[[#This Row],[Target Harvest Data]]+Crops[[#This Row],[Harvest window]]</f>
        <v>46214</v>
      </c>
      <c r="CB265">
        <f>1</f>
        <v>1</v>
      </c>
      <c r="CC265">
        <f>IF(Crops[[#This Row],[Transplanting]]&gt;0, 2, 3)*BedLength/StandardBedLength</f>
        <v>1.5</v>
      </c>
      <c r="CD265" s="173">
        <f>IF(Crops[[#This Row],[Days in Cells]]&lt;=0,0,Crops[[#This Row],[Plantings Per Bed]]/StartsPerHourSeeding+Crops[[#This Row],[Tray 1 Count]]*5/60)</f>
        <v>0</v>
      </c>
      <c r="CE265" s="173">
        <f>IF(ISBLANK(Crops[[#This Row],[Tray 2 Days]]),0,Crops[[#This Row],[Plantings Per Bed]]/UpPottingPerHour)+IF(Crops[[#This Row],[Tray 3 Days]]="",0,Crops[[#This Row],[Plantings Per Bed]]/UpPottingPerHour)</f>
        <v>0</v>
      </c>
      <c r="CF265" s="173">
        <f>IFERROR(Crops[[#This Row],[Tray 1 Count]]/HomeStartFlatIrrigationPerHour,0)*Crops[[#This Row],[Days in Cells]]/DaysBetweenStartIrrigation</f>
        <v>0</v>
      </c>
      <c r="CG265">
        <f>0.5/16*MAX(Crops[[#This Row],[Tray 1 Count]],Crops[[#This Row],[Tray 2 Count]],Crops[[#This Row],[Tray 3 Count]])</f>
        <v>0</v>
      </c>
      <c r="CH265">
        <f>IF(Crops[[#This Row],[Days in Cells]]&gt;0,IF(IF(Crops[[#This Row],[Tray 3 Size]]&gt;0,Crops[[#This Row],[Tray 3 Size]],IF(Crops[[#This Row],[Tray 2 Size]]&gt;0,Crops[[#This Row],[Tray 2 Size]],Crops[[#This Row],[Tray 1 Size]]))&lt;=18,LargeTransplantTime,SmallTransplantTime)*Crops[[#This Row],[Plantings Per Bed]],0)</f>
        <v>0</v>
      </c>
      <c r="CI265" s="173" t="s">
        <v>2554</v>
      </c>
      <c r="CJ265" s="173">
        <f>_xlfn.XLOOKUP(Crops[[#This Row],[Trellis Type]],TrellisMethods[Trellis Type],TrellisMethods[Hours],0,0)</f>
        <v>1.5</v>
      </c>
      <c r="CK265">
        <f>IF(Crops[[#This Row],[Days in Cells]]&lt;=0,Crops[[#This Row],[Rows]]*1/10,0)*BedLength/50</f>
        <v>0.1</v>
      </c>
      <c r="CL265" cm="1">
        <f t="array" ref="CL265">_xlfn.SWITCH(Crops[[#This Row],[Irrigation]],"DR", 0.5, "OH", 0.25,0)*BedLength/50</f>
        <v>0</v>
      </c>
      <c r="CM265">
        <f>IF(OR(ISBLANK(Crops[[#This Row],[Row Cover]]),Crops[[#This Row],[Row Cover]]="None"),0,1)*BedLength/50</f>
        <v>0</v>
      </c>
      <c r="CN265" s="173">
        <f>HoursPerWeedingPass*Crops[[#This Row],[Days In Field]]/14*Crops[[#This Row],[Rows]]+1*BedLength/50</f>
        <v>5.3452380952380949</v>
      </c>
      <c r="CO265" s="49">
        <f>2*BedLength/100</f>
        <v>1</v>
      </c>
      <c r="CQ265" s="37">
        <f>_xlfn.XLOOKUP(Crops[[#This Row],[Crop]]&amp;Crops[[#This Row],[Product]]&amp;Crops[[#This Row],[Unit]],Products[ID],Products[Marketing (hr)])*Crops[[#This Row],[Direct Revenue Per Bed]]/2000</f>
        <v>0.78125</v>
      </c>
      <c r="CR265" s="37">
        <f>_xlfn.XLOOKUP(Crops[[#This Row],[Crop]]&amp;Crops[[#This Row],[Product]]&amp;Crops[[#This Row],[Unit]],Products[ID],Products[Harvest (s)])*Crops[[#This Row],[Custom Yield Per Bed]]/3600</f>
        <v>16.059027777777779</v>
      </c>
      <c r="CS265" s="37">
        <f>_xlfn.XLOOKUP(Crops[[#This Row],[Crop]]&amp;Crops[[#This Row],[Product]]&amp;Crops[[#This Row],[Unit]],Products[ID],Products[Bunch (s)])*Crops[[#This Row],[Custom Yield Per Bed]]/3600</f>
        <v>0</v>
      </c>
      <c r="CT265" s="37">
        <f>_xlfn.XLOOKUP(Crops[[#This Row],[Crop]]&amp;Crops[[#This Row],[Product]]&amp;Crops[[#This Row],[Unit]],Products[ID],Products[Haul (s)])*Crops[[#This Row],[Custom Yield Per Bed]]/3600</f>
        <v>0.65104166666666663</v>
      </c>
      <c r="CU265" s="37">
        <f>_xlfn.XLOOKUP(Crops[[#This Row],[Crop]]&amp;Crops[[#This Row],[Product]]&amp;Crops[[#This Row],[Unit]],Products[ID],Products[Wash (s)])*Crops[[#This Row],[Custom Yield Per Bed]]/3600</f>
        <v>0</v>
      </c>
      <c r="CV265" s="37">
        <f>_xlfn.XLOOKUP(Crops[[#This Row],[Crop]]&amp;Crops[[#This Row],[Product]]&amp;Crops[[#This Row],[Unit]],Products[ID],Products[Condition (s)])*Crops[[#This Row],[Custom Yield Per Bed]]/3600</f>
        <v>0</v>
      </c>
      <c r="CW265" s="37">
        <f>_xlfn.XLOOKUP(Crops[[#This Row],[Crop]]&amp;Crops[[#This Row],[Product]]&amp;Crops[[#This Row],[Unit]],Products[ID],Products[Trim (s)])*Crops[[#This Row],[Custom Yield Per Bed]]/3600</f>
        <v>0</v>
      </c>
      <c r="CX265" s="37">
        <f>_xlfn.XLOOKUP(Crops[[#This Row],[Crop]]&amp;Crops[[#This Row],[Product]]&amp;Crops[[#This Row],[Unit]],Products[ID],Products[Pack (s)])*Crops[[#This Row],[Custom Yield Per Bed]]/3600</f>
        <v>0</v>
      </c>
      <c r="CY265" s="37">
        <f>_xlfn.XLOOKUP(Crops[[#This Row],[Crop]]&amp;Crops[[#This Row],[Product]]&amp;Crops[[#This Row],[Unit]],Products[ID],Products[Clean (s)])*Crops[[#This Row],[Custom Yield Per Bed]]/3600</f>
        <v>0</v>
      </c>
      <c r="CZ265" s="37">
        <f>_xlfn.XLOOKUP(Crops[[#This Row],[Crop]]&amp;Crops[[#This Row],[Product]]&amp;Crops[[#This Row],[Unit]],Products[ID],Products[Rehandle (s)])*Crops[[#This Row],[Custom Yield Per Bed]]/3600</f>
        <v>0</v>
      </c>
      <c r="DA265" s="37">
        <f>_xlfn.XLOOKUP(Crops[[#This Row],[Crop]]&amp;Crops[[#This Row],[Product]]&amp;Crops[[#This Row],[Unit]],Products[ID],Products[Market Transport (s)])*Crops[[#This Row],[Custom Yield Per Bed]]/3600</f>
        <v>1.6276041666666667</v>
      </c>
      <c r="DC265" s="37">
        <f>Crops[[#This Row],[Direct Revenue Per Bed2]]</f>
        <v>1562.5</v>
      </c>
      <c r="DD265" s="173">
        <f>_xlfn.AGGREGATE(9,6,Crops[[#This Row],[Bed Prep]:[Remove Crop Residue]])</f>
        <v>28.564161706349211</v>
      </c>
      <c r="DE265" s="173">
        <f>_xlfn.AGGREGATE(9,6,Crops[[#This Row],[Bed Prep]:[Remove Crop Residue]])-0.75*Crops[[#This Row],[Market &amp; Sell]]</f>
        <v>27.978224206349211</v>
      </c>
      <c r="DF265" s="213">
        <f>Crops[[#This Row],[Direct Revenue Per Bed2]]/Crops[[#This Row],[Direct Time]]</f>
        <v>54.70141277251939</v>
      </c>
      <c r="DG265" s="36">
        <f>_xlfn.XLOOKUP(Crops[[#This Row],[ProductIndex]],Products[ID],Products[Packaging Cost])*(Crops[[#This Row],[Custom Yield Per Bed]]/_xlfn.XLOOKUP(Crops[[#This Row],[ProductIndex]],Products[ID],Products[Units Per Pack]))</f>
        <v>112.50000000000001</v>
      </c>
      <c r="DH265" s="36"/>
      <c r="DI265" s="36"/>
      <c r="DJ265" s="36"/>
      <c r="DK265" s="36"/>
      <c r="DL265" s="36"/>
      <c r="DM265" s="33">
        <f>IFERROR(Crops[[#This Row],[Custom Yield Per Bed]]*Crops[[#This Row],[Direct Price]],"")</f>
        <v>1562.5</v>
      </c>
      <c r="DN265" s="36">
        <f>Crops[[#This Row],[Direct Time]]*LaborRate</f>
        <v>714.10404265873024</v>
      </c>
      <c r="DO265" s="36">
        <f>SUM(Crops[[#This Row],[Irrigation Cost]])</f>
        <v>0</v>
      </c>
      <c r="DP265" s="36">
        <f>Crops[[#This Row],[Direct Labor Cost]]+Crops[[#This Row],[Direct Non-Labor Cost]]</f>
        <v>714.10404265873024</v>
      </c>
      <c r="DQ265" s="36">
        <f>Crops[[#This Row],[Direct Revenue Per Bed2]]-Crops[[#This Row],[Direct Total Cost]]</f>
        <v>848.39595734126976</v>
      </c>
      <c r="DR265" s="36">
        <f>Crops[[#This Row],[Direct Profit]]*BedsPerAcre</f>
        <v>135743.35317460317</v>
      </c>
      <c r="DS265" s="36">
        <f>Crops[[#This Row],[Direct Profit]]*BedsPerAcre*GrowingDays/Crops[[#This Row],[Days In Field]]</f>
        <v>66941.927592954991</v>
      </c>
      <c r="DT265" s="36">
        <f>Crops[[#This Row],[Direct Profit]]/MIN(Crops[[#This Row],[Days In Field]],GrowingDays)</f>
        <v>4.7133108741181653</v>
      </c>
      <c r="DU265" s="214">
        <f>Crops[[#This Row],[Direct Time]] * BedsPerAcre</f>
        <v>4570.2658730158737</v>
      </c>
      <c r="DV265" s="36">
        <f>(Crops[[#This Row],[Direct Revenue Per Bed2]]-Crops[[#This Row],[Direct Non-Labor Cost]])/Crops[[#This Row],[Direct Time]]</f>
        <v>54.70141277251939</v>
      </c>
      <c r="DW265" s="33">
        <f>IFERROR(Crops[[#This Row],[Custom Yield Per Bed]]*Crops[[#This Row],[Rough Wholesale Price]],"")</f>
        <v>937.5</v>
      </c>
      <c r="DX265" s="36">
        <f>Crops[[#This Row],[Wholesale Time]]*LaborRate</f>
        <v>699.45560515873024</v>
      </c>
      <c r="DY265" s="36">
        <f>SUM(Crops[[#This Row],[Packaging Costs]:[Irrigation Cost]])</f>
        <v>112.50000000000001</v>
      </c>
      <c r="DZ265" s="36">
        <f>Crops[[#This Row],[Wholesale Labor Cost]]+Crops[[#This Row],[Wholesale Non-Labor Cost]]</f>
        <v>811.95560515873024</v>
      </c>
      <c r="EA265" s="36">
        <f>Crops[[#This Row],[Wholesale Revenue Per Bed]]-Crops[[#This Row],[Wholesale Total Cost]]</f>
        <v>125.54439484126976</v>
      </c>
      <c r="EB265" s="36">
        <f>Crops[[#This Row],[Wholesale Profit]]*BedsPerAcre</f>
        <v>20087.103174603162</v>
      </c>
      <c r="EC265" s="36">
        <f>Crops[[#This Row],[Wholesale Profit]]*BedsPerAcre*GrowingDays/Crops[[#This Row],[Days In Field]]</f>
        <v>9905.9686888453944</v>
      </c>
      <c r="ED265" s="214">
        <f>Crops[[#This Row],[Wholesale Time]] * BedsPerAcre</f>
        <v>4476.5158730158737</v>
      </c>
      <c r="EE265" s="221">
        <f>Crops[[#This Row],[Wholesale Profit]]/MIN(Crops[[#This Row],[Days In Field]],GrowingDays)</f>
        <v>0.69746886022927645</v>
      </c>
      <c r="EF265" s="36">
        <f>(Crops[[#This Row],[Wholesale Revenue Per Bed]]-Crops[[#This Row],[Wholesale Non-Labor Cost]])/Crops[[#This Row],[Direct Time]]</f>
        <v>28.88234594389024</v>
      </c>
      <c r="EG265" s="174">
        <f>Crops[[#This Row],[Packaging Costs]]/Crops[[#This Row],[Wholesale Revenue Per Bed]]</f>
        <v>0.12000000000000001</v>
      </c>
      <c r="EH265" s="36" t="str">
        <f>Crops[[#This Row],[Crop]]&amp;Crops[[#This Row],[Product]]&amp;Crops[[#This Row],[Unit]]</f>
        <v>RaspberryRed Berry1/2 Pint</v>
      </c>
      <c r="EI265" s="213" t="b">
        <f>_xlfn.XLOOKUP(Crops[[#This Row],[ProductIndex]],Products[ID],Products[Target])</f>
        <v>1</v>
      </c>
      <c r="EJ265" s="213">
        <f>Crops[[#This Row],[Custom Yield Per Bed]]</f>
        <v>312.5</v>
      </c>
      <c r="EK265" s="210">
        <f>Crops[[#This Row],[Units Per Harvest]]/Crops[[#This Row],[Days Between Harvest]]*7</f>
        <v>52.083333333333336</v>
      </c>
      <c r="EL265" s="210">
        <f>Crops[[#This Row],[Custom Yield Per Bed]]/_xlfn.XLOOKUP(Crops[[#This Row],[ProductIndex]],Products[ID],Products[CSA Portion])</f>
        <v>312.5</v>
      </c>
      <c r="EM265" s="210">
        <f>Crops[[#This Row],[Units Per Harvest]]/Crops[[#This Row],[Days Between Harvest]]*7/_xlfn.XLOOKUP(Crops[[#This Row],[ProductIndex]],Products[ID],Products[CSA Portion])</f>
        <v>52.083333333333336</v>
      </c>
      <c r="EN265" s="210">
        <f>Crops[[#This Row],[CSA Portions Per Week]]/CSAMembers</f>
        <v>1.0416666666666667</v>
      </c>
      <c r="EO265" s="210"/>
      <c r="EP265" s="210"/>
      <c r="EQ265" s="215"/>
      <c r="ER265" s="210">
        <f>Crops[[#This Row],[Harvests]]*Crops[[#This Row],[Days Between Harvest]]/7</f>
        <v>6</v>
      </c>
      <c r="ES265" s="217">
        <f>_xlfn.XLOOKUP(Crops[[#This Row],[ProductIndex]],Products[ID],Products[CSA Need])</f>
        <v>1</v>
      </c>
      <c r="ET265" s="217">
        <f>_xlfn.XLOOKUP(Crops[[#This Row],[ProductIndex]],Products[ID],Products[CSA Times])</f>
        <v>1</v>
      </c>
      <c r="EU265" s="208">
        <f>Crops[[#This Row],[Custom Yield Per Bed]]/(Crops[[#This Row],[CSA Need]]*(_xlfn.XLOOKUP(Crops[[#This Row],[ProductIndex]],Products[ID],Products[CSA Portion])*CSAMembers))</f>
        <v>6.25</v>
      </c>
      <c r="EV265" s="208">
        <f>_xlfn.XLOOKUP(Crops[[#This Row],[ProductIndex]],Products[ID],Products[CSA Portion])*CSAMembers*Crops[[#This Row],[CSA Need]]/Crops[[#This Row],[Custom Yield Per Bed]]</f>
        <v>0.16</v>
      </c>
      <c r="EW265" s="208">
        <f>IFERROR(Crops[[#This Row],[Days In Field]]*Crops[[#This Row],[CSA Beds]],"")</f>
        <v>58.4</v>
      </c>
      <c r="EX265" s="208" t="e">
        <f>Crops[[#This Row],[CSA Bed Days]]*#REF!</f>
        <v>#REF!</v>
      </c>
    </row>
    <row r="266" spans="1:155">
      <c r="A26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Rat Tail Radish - Mature Pod 1X | Field TP SpSuFa</v>
      </c>
      <c r="B266" s="191"/>
      <c r="C266" s="1" t="s">
        <v>2588</v>
      </c>
      <c r="D266" s="1"/>
      <c r="E266" s="1" t="b">
        <v>0</v>
      </c>
      <c r="F266" s="1" t="b">
        <f>IFERROR(IF(ISNUMBER(MATCH(Crops[[#This Row],[Identifier]],BedPlan[Crop], 0)), TRUE, FALSE), FALSE)</f>
        <v>0</v>
      </c>
      <c r="G266" s="1" t="b">
        <f>IFERROR(IF(ISNUMBER(MATCH(Crops[[#This Row],[Identifier]],BedPlan[Crop], 0)), TRUE, FALSE), FALSE)</f>
        <v>0</v>
      </c>
      <c r="H266" s="1"/>
      <c r="I266" t="s">
        <v>117</v>
      </c>
      <c r="J266" t="s">
        <v>145</v>
      </c>
      <c r="K266" t="s">
        <v>192</v>
      </c>
      <c r="M266" t="s">
        <v>45</v>
      </c>
      <c r="N266" t="str">
        <f>Crops[[#This Row],[Crop]]</f>
        <v>Rat Tail Radish</v>
      </c>
      <c r="O266" t="s">
        <v>210</v>
      </c>
      <c r="P266" t="str">
        <f>IF(OR(Crops[[#This Row],[Days in Cells]]="",Crops[[#This Row],[Days in Cells]]=0), "DS","TP")</f>
        <v>TP</v>
      </c>
      <c r="Q266" t="s">
        <v>144</v>
      </c>
      <c r="R266" t="s">
        <v>144</v>
      </c>
      <c r="S266" t="s">
        <v>144</v>
      </c>
      <c r="V266" t="str">
        <f xml:space="preserve"> IF(Crops[[#This Row],[Sp]], "Sp", "") &amp; IF(Crops[[#This Row],[Su]], "Su", "") &amp; IF(Crops[[#This Row],[Fa]], "Fa", "") &amp; IF(Crops[[#This Row],[Wi]], "Wi", "") &amp; IF(Crops[[#This Row],[OW]], "Ow","")</f>
        <v>SpSuFa</v>
      </c>
      <c r="W266" t="b">
        <v>1</v>
      </c>
      <c r="X266">
        <v>1</v>
      </c>
      <c r="Y266">
        <v>9</v>
      </c>
      <c r="Z266" t="s">
        <v>431</v>
      </c>
      <c r="AA266" t="s">
        <v>475</v>
      </c>
      <c r="AB266" t="b">
        <v>1</v>
      </c>
      <c r="AC266">
        <v>4</v>
      </c>
      <c r="AD266" s="32">
        <f>IFERROR(12/Crops[[#This Row],[Spacing]]*Crops[[#This Row],[Rows]]*BedLength,"")</f>
        <v>66.666666666666657</v>
      </c>
      <c r="AE266">
        <v>1</v>
      </c>
      <c r="AG266">
        <f>IF(Crops[[#This Row],[Custom Safety Factor]]="",PlantingSafetyFactor,Crops[[#This Row],[Custom Safety Factor]])</f>
        <v>1.3</v>
      </c>
      <c r="AH266">
        <f>1</f>
        <v>1</v>
      </c>
      <c r="AI266" s="33">
        <f>IFERROR(Crops[[#This Row],[Plantings Per Bed]]*Crops[[#This Row],[Seeds Per Planting]]*Crops[[#This Row],[Safety Factor]]*Crops[[#This Row],[Seeding Factor]],"")</f>
        <v>86.666666666666657</v>
      </c>
      <c r="AJ266">
        <v>5</v>
      </c>
      <c r="AK266">
        <v>10</v>
      </c>
      <c r="AL266">
        <f>_xlfn.FLOOR.MATH(IFERROR(AVERAGE(Crops[[#This Row],[DTG Lower]:[DTG Upper]]),0))</f>
        <v>7</v>
      </c>
      <c r="AM266">
        <f>SUM(Crops[[#This Row],[Tray 1 Days]],Crops[[#This Row],[Tray 2 Days]],Crops[[#This Row],[Tray 3 Days]])</f>
        <v>30</v>
      </c>
      <c r="AN266" s="32">
        <v>21</v>
      </c>
      <c r="AP266">
        <v>55</v>
      </c>
      <c r="AQ266">
        <f>IFERROR(_xlfn.FLOOR.MATH(AVERAGE(Crops[[#This Row],[DTM Lower]:[DTM Upper]])),"")</f>
        <v>55</v>
      </c>
      <c r="AR266" cm="1">
        <f t="array" ref="AR266">_xlfn.SWITCH(Crops[[#This Row],[Normal Method]],"DS",Crops[[#This Row],[Days to Germination]]+Crops[[#This Row],[DTM]] + IF(Crops[[#This Row],[Days in Cells]]&gt;0,15,0), "TP",Crops[[#This Row],[DTM]]+Crops[[#This Row],[Days in Cells]] + IF(Crops[[#This Row],[Days in Cells]]&lt;=0,20,0), "X", Crops[[#This Row],[DTM]])</f>
        <v>77</v>
      </c>
      <c r="AS266" t="s">
        <v>338</v>
      </c>
      <c r="AT266">
        <f>(Crops[[#This Row],[Harvests]]-1)*Crops[[#This Row],[Days Between Harvest]]+7</f>
        <v>46</v>
      </c>
      <c r="AU266">
        <f>Crops[[#This Row],[STH]]-Crops[[#This Row],[Days in Cells]]+Crops[[#This Row],[Harvest window]]</f>
        <v>93</v>
      </c>
      <c r="AX266">
        <v>128</v>
      </c>
      <c r="AY266">
        <v>30</v>
      </c>
      <c r="AZ266" s="49">
        <f>IFERROR(IF(Crops[[#This Row],[Tray 1 Days]]=0,"",Crops[[#This Row],[Plantings Per Bed]]/Crops[[#This Row],[Tray 1 Size]]*Crops[[#This Row],[Safety Factor]]),"")</f>
        <v>0.67708333333333326</v>
      </c>
      <c r="BC266" t="str">
        <f>IFERROR(IF(Crops[[#This Row],[Tray 2 Days]]=0,"",Crops[[#This Row],[Plantings Per Bed]]/Crops[[#This Row],[Tray 2 Size]]*Crops[[#This Row],[Safety Factor]]),"")</f>
        <v/>
      </c>
      <c r="BE266" s="32" t="str">
        <f>IF(NOT(ISBLANK(Crops[[#This Row],[Tray 3 Size]])), Crops[[#This Row],[Days in Cells Old]]-SUM(Crops[[#This Row],[Tray 1 Days]],Crops[[#This Row],[Tray 2 Days]]), "")</f>
        <v/>
      </c>
      <c r="BF266" s="49" t="str">
        <f>IFERROR(IF(Crops[[#This Row],[Tray 3 Days]]=0,"",Crops[[#This Row],[Plantings Per Bed]]/Crops[[#This Row],[Tray 3 Size]]*Crops[[#This Row],[Safety Factor]]),"")</f>
        <v/>
      </c>
      <c r="BG266" s="33">
        <f>Crops[[#This Row],[Plantings Per Bed]]*0.03*Crops[[#This Row],[Days Between Harvest]]</f>
        <v>5.9999999999999982</v>
      </c>
      <c r="BH266" s="33">
        <f>7*6/Crops[[#This Row],[Days Between Harvest]]</f>
        <v>14</v>
      </c>
      <c r="BI266" s="33">
        <v>3</v>
      </c>
      <c r="BJ266" s="33">
        <f>_xlfn.XLOOKUP(Crops[[#This Row],[ProductIndex]],Products[ID],Products[Holding Period])</f>
        <v>0</v>
      </c>
      <c r="BK266" s="33"/>
      <c r="BL266" s="33">
        <f>Crops[[#This Row],[Units Per Harvest]]*Crops[[#This Row],[Harvests]]</f>
        <v>83.999999999999972</v>
      </c>
      <c r="BM266" s="35">
        <v>4.25</v>
      </c>
      <c r="BN266" s="35">
        <f>Crops[[#This Row],[Direct Price]]*0.6</f>
        <v>2.5499999999999998</v>
      </c>
      <c r="BO266" s="35"/>
      <c r="BP266" t="s">
        <v>383</v>
      </c>
      <c r="BQ266">
        <f>Crops[[#This Row],[Custom Yield Per Bed]]*Crops[[#This Row],[Direct Price]]</f>
        <v>356.99999999999989</v>
      </c>
      <c r="BS266" t="b">
        <f>Crops[[#This Row],[Harvests]]&gt;1</f>
        <v>1</v>
      </c>
      <c r="BT266" s="36">
        <f>IFERROR(Crops[[#This Row],[Direct Revenue Per Bed]]/Crops[[#This Row],[Days In Field]],-1)</f>
        <v>3.8387096774193536</v>
      </c>
      <c r="BU266" s="36">
        <f>IFERROR(Crops[[#This Row],[Direct Revenue Per Bed Day]]*GrowingDays*BedsPerAcre,"")</f>
        <v>110554.83870967739</v>
      </c>
      <c r="BV266" s="38">
        <f>LastFrostDate-5*Crops[[#This Row],[Sewing Rel Last Frost]]</f>
        <v>45723</v>
      </c>
      <c r="BW266" s="38">
        <f>Crops[[#This Row],[Target Sewing Date]]+Crops[[#This Row],[Days in Cells]]</f>
        <v>45753</v>
      </c>
      <c r="BX266" s="38">
        <f>Crops[[#This Row],[Target Sewing Date]]+Crops[[#This Row],[STH]]</f>
        <v>45800</v>
      </c>
      <c r="BY266" s="38">
        <f>Crops[[#This Row],[Target Harvest Data]]+Crops[[#This Row],[Harvest window]]</f>
        <v>45846</v>
      </c>
      <c r="BZ266">
        <v>5</v>
      </c>
      <c r="CB266">
        <f>1</f>
        <v>1</v>
      </c>
      <c r="CC266">
        <f>IF(Crops[[#This Row],[Transplanting]]&gt;0, 2, 3)*BedLength/StandardBedLength</f>
        <v>1</v>
      </c>
      <c r="CD266" s="173">
        <f>IF(Crops[[#This Row],[Days in Cells]]&lt;=0,0,Crops[[#This Row],[Plantings Per Bed]]/StartsPerHourSeeding+Crops[[#This Row],[Tray 1 Count]]*5/60)</f>
        <v>0.31684027777777773</v>
      </c>
      <c r="CE266" s="173">
        <f>IF(ISBLANK(Crops[[#This Row],[Tray 2 Days]]),0,Crops[[#This Row],[Plantings Per Bed]]/UpPottingPerHour)+IF(Crops[[#This Row],[Tray 3 Days]]="",0,Crops[[#This Row],[Plantings Per Bed]]/UpPottingPerHour)</f>
        <v>0</v>
      </c>
      <c r="CF266" s="173">
        <f>IFERROR(Crops[[#This Row],[Tray 1 Count]]/HomeStartFlatIrrigationPerHour,0)*Crops[[#This Row],[Days in Cells]]/DaysBetweenStartIrrigation</f>
        <v>8.4635416666666657E-2</v>
      </c>
      <c r="CG266" s="173">
        <f>0.5/16*MAX(Crops[[#This Row],[Tray 1 Count]],Crops[[#This Row],[Tray 2 Count]],Crops[[#This Row],[Tray 3 Count]])</f>
        <v>2.1158854166666664E-2</v>
      </c>
      <c r="CH266" s="173">
        <f>IF(Crops[[#This Row],[Days in Cells]]&gt;0,IF(IF(Crops[[#This Row],[Tray 3 Size]]&gt;0,Crops[[#This Row],[Tray 3 Size]],IF(Crops[[#This Row],[Tray 2 Size]]&gt;0,Crops[[#This Row],[Tray 2 Size]],Crops[[#This Row],[Tray 1 Size]]))&lt;=18,LargeTransplantTime,SmallTransplantTime)*Crops[[#This Row],[Plantings Per Bed]],0)</f>
        <v>0.33333333333333331</v>
      </c>
      <c r="CI266" s="173"/>
      <c r="CJ266" s="173">
        <f>_xlfn.XLOOKUP(Crops[[#This Row],[Trellis Type]],TrellisMethods[Trellis Type],TrellisMethods[Hours],0,0)</f>
        <v>0</v>
      </c>
      <c r="CK266">
        <f>IF(Crops[[#This Row],[Days in Cells]]&lt;=0,Crops[[#This Row],[Rows]]*1/10,0)*BedLength/50</f>
        <v>0</v>
      </c>
      <c r="CL266" cm="1">
        <f t="array" ref="CL266">_xlfn.SWITCH(Crops[[#This Row],[Irrigation]],"DR", 0.5, "OH", 0.25,0)*BedLength/50</f>
        <v>0.25</v>
      </c>
      <c r="CM266">
        <f>IF(OR(ISBLANK(Crops[[#This Row],[Row Cover]]),Crops[[#This Row],[Row Cover]]="None"),0,1)*BedLength/50</f>
        <v>1</v>
      </c>
      <c r="CN266" s="173">
        <f>HoursPerWeedingPass*Crops[[#This Row],[Days In Field]]/14*Crops[[#This Row],[Rows]]+1*BedLength/50</f>
        <v>2.1071428571428572</v>
      </c>
      <c r="CQ266" s="37">
        <f>_xlfn.XLOOKUP(Crops[[#This Row],[Crop]]&amp;Crops[[#This Row],[Product]]&amp;Crops[[#This Row],[Unit]],Products[ID],Products[Marketing (hr)])*Crops[[#This Row],[Direct Revenue Per Bed]]/2000</f>
        <v>0.89249999999999974</v>
      </c>
      <c r="CR266" s="37">
        <f>_xlfn.XLOOKUP(Crops[[#This Row],[Crop]]&amp;Crops[[#This Row],[Product]]&amp;Crops[[#This Row],[Unit]],Products[ID],Products[Harvest (s)])*Crops[[#This Row],[Custom Yield Per Bed]]/3600</f>
        <v>1.8666666666666663</v>
      </c>
      <c r="CS266" s="37">
        <f>_xlfn.XLOOKUP(Crops[[#This Row],[Crop]]&amp;Crops[[#This Row],[Product]]&amp;Crops[[#This Row],[Unit]],Products[ID],Products[Bunch (s)])*Crops[[#This Row],[Custom Yield Per Bed]]/3600</f>
        <v>0</v>
      </c>
      <c r="CT266" s="37">
        <f>_xlfn.XLOOKUP(Crops[[#This Row],[Crop]]&amp;Crops[[#This Row],[Product]]&amp;Crops[[#This Row],[Unit]],Products[ID],Products[Haul (s)])*Crops[[#This Row],[Custom Yield Per Bed]]/3600</f>
        <v>5.9999999999999984E-2</v>
      </c>
      <c r="CU266" s="37">
        <f>_xlfn.XLOOKUP(Crops[[#This Row],[Crop]]&amp;Crops[[#This Row],[Product]]&amp;Crops[[#This Row],[Unit]],Products[ID],Products[Wash (s)])*Crops[[#This Row],[Custom Yield Per Bed]]/3600</f>
        <v>0</v>
      </c>
      <c r="CV266" s="37">
        <f>_xlfn.XLOOKUP(Crops[[#This Row],[Crop]]&amp;Crops[[#This Row],[Product]]&amp;Crops[[#This Row],[Unit]],Products[ID],Products[Condition (s)])*Crops[[#This Row],[Custom Yield Per Bed]]/3600</f>
        <v>0</v>
      </c>
      <c r="CW266" s="37">
        <f>_xlfn.XLOOKUP(Crops[[#This Row],[Crop]]&amp;Crops[[#This Row],[Product]]&amp;Crops[[#This Row],[Unit]],Products[ID],Products[Trim (s)])*Crops[[#This Row],[Custom Yield Per Bed]]/3600</f>
        <v>0</v>
      </c>
      <c r="CX266" s="37">
        <f>_xlfn.XLOOKUP(Crops[[#This Row],[Crop]]&amp;Crops[[#This Row],[Product]]&amp;Crops[[#This Row],[Unit]],Products[ID],Products[Pack (s)])*Crops[[#This Row],[Custom Yield Per Bed]]/3600</f>
        <v>6.9999999999999979E-2</v>
      </c>
      <c r="CY266" s="37">
        <f>_xlfn.XLOOKUP(Crops[[#This Row],[Crop]]&amp;Crops[[#This Row],[Product]]&amp;Crops[[#This Row],[Unit]],Products[ID],Products[Clean (s)])*Crops[[#This Row],[Custom Yield Per Bed]]/3600</f>
        <v>0</v>
      </c>
      <c r="CZ266" s="37">
        <f>_xlfn.XLOOKUP(Crops[[#This Row],[Crop]]&amp;Crops[[#This Row],[Product]]&amp;Crops[[#This Row],[Unit]],Products[ID],Products[Rehandle (s)])*Crops[[#This Row],[Custom Yield Per Bed]]/3600</f>
        <v>0</v>
      </c>
      <c r="DA266" s="37">
        <f>_xlfn.XLOOKUP(Crops[[#This Row],[Crop]]&amp;Crops[[#This Row],[Product]]&amp;Crops[[#This Row],[Unit]],Products[ID],Products[Market Transport (s)])*Crops[[#This Row],[Custom Yield Per Bed]]/3600</f>
        <v>0.14999999999999997</v>
      </c>
      <c r="DC266" s="37">
        <f>Crops[[#This Row],[Direct Revenue Per Bed2]]</f>
        <v>356.99999999999989</v>
      </c>
      <c r="DD266" s="173">
        <f>_xlfn.AGGREGATE(9,6,Crops[[#This Row],[Bed Prep]:[Remove Crop Residue]])</f>
        <v>8.1522774057539689</v>
      </c>
      <c r="DE266" s="173">
        <f>_xlfn.AGGREGATE(9,6,Crops[[#This Row],[Bed Prep]:[Remove Crop Residue]])-0.75*Crops[[#This Row],[Market &amp; Sell]]</f>
        <v>7.4829024057539693</v>
      </c>
      <c r="DF266" s="36">
        <f>Crops[[#This Row],[Direct Revenue Per Bed2]]/Crops[[#This Row],[Direct Time]]</f>
        <v>43.791444062983587</v>
      </c>
      <c r="DG266" s="36">
        <f>_xlfn.XLOOKUP(Crops[[#This Row],[ProductIndex]],Products[ID],Products[Packaging Cost])*(Crops[[#This Row],[Custom Yield Per Bed]]/_xlfn.XLOOKUP(Crops[[#This Row],[ProductIndex]],Products[ID],Products[Units Per Pack]))</f>
        <v>12.767999999999995</v>
      </c>
      <c r="DH266" s="36"/>
      <c r="DI266" s="36"/>
      <c r="DJ266" s="36"/>
      <c r="DK266" s="36"/>
      <c r="DL266" s="36"/>
      <c r="DM266" s="33">
        <f>IFERROR(Crops[[#This Row],[Custom Yield Per Bed]]*Crops[[#This Row],[Direct Price]],"")</f>
        <v>356.99999999999989</v>
      </c>
      <c r="DN266" s="36">
        <f>Crops[[#This Row],[Direct Time]]*LaborRate</f>
        <v>203.80693514384922</v>
      </c>
      <c r="DO266" s="36">
        <f>SUM(Crops[[#This Row],[Irrigation Cost]])</f>
        <v>0</v>
      </c>
      <c r="DP266" s="36">
        <f>Crops[[#This Row],[Direct Labor Cost]]+Crops[[#This Row],[Direct Non-Labor Cost]]</f>
        <v>203.80693514384922</v>
      </c>
      <c r="DQ266" s="36">
        <f>Crops[[#This Row],[Direct Revenue Per Bed2]]-Crops[[#This Row],[Direct Total Cost]]</f>
        <v>153.19306485615067</v>
      </c>
      <c r="DR266" s="36">
        <f>Crops[[#This Row],[Direct Profit]]*BedsPerAcre</f>
        <v>24510.890376984105</v>
      </c>
      <c r="DS266" s="36">
        <f>Crops[[#This Row],[Direct Profit]]*BedsPerAcre*GrowingDays/Crops[[#This Row],[Days In Field]]</f>
        <v>47440.432987711174</v>
      </c>
      <c r="DT266" s="36">
        <f>Crops[[#This Row],[Direct Profit]]/MIN(Crops[[#This Row],[Days In Field]],GrowingDays)</f>
        <v>1.6472372565177491</v>
      </c>
      <c r="DU266" s="36">
        <f>Crops[[#This Row],[Direct Time]] * BedsPerAcre</f>
        <v>1304.3643849206351</v>
      </c>
      <c r="DV266" s="36">
        <f>(Crops[[#This Row],[Direct Revenue Per Bed2]]-Crops[[#This Row],[Direct Non-Labor Cost]])/Crops[[#This Row],[Direct Time]]</f>
        <v>43.791444062983587</v>
      </c>
      <c r="DW266" s="33">
        <f>IFERROR(Crops[[#This Row],[Custom Yield Per Bed]]*Crops[[#This Row],[Rough Wholesale Price]],"")</f>
        <v>214.1999999999999</v>
      </c>
      <c r="DX266" s="36">
        <f>Crops[[#This Row],[Wholesale Time]]*LaborRate</f>
        <v>187.07256014384924</v>
      </c>
      <c r="DY266" s="36">
        <f>SUM(Crops[[#This Row],[Packaging Costs]:[Irrigation Cost]])</f>
        <v>12.767999999999995</v>
      </c>
      <c r="DZ266" s="36">
        <f>Crops[[#This Row],[Wholesale Labor Cost]]+Crops[[#This Row],[Wholesale Non-Labor Cost]]</f>
        <v>199.84056014384925</v>
      </c>
      <c r="EA266" s="36">
        <f>Crops[[#This Row],[Wholesale Revenue Per Bed]]-Crops[[#This Row],[Wholesale Total Cost]]</f>
        <v>14.359439856150658</v>
      </c>
      <c r="EB266" s="36">
        <f>Crops[[#This Row],[Wholesale Profit]]*BedsPerAcre</f>
        <v>2297.5103769841053</v>
      </c>
      <c r="EC266" s="36">
        <f>Crops[[#This Row],[Wholesale Profit]]*BedsPerAcre*GrowingDays/Crops[[#This Row],[Days In Field]]</f>
        <v>4446.7942780337526</v>
      </c>
      <c r="ED266" s="36">
        <f>Crops[[#This Row],[Wholesale Time]] * BedsPerAcre</f>
        <v>1197.2643849206352</v>
      </c>
      <c r="EE266" s="36">
        <f>Crops[[#This Row],[Wholesale Profit]]/MIN(Crops[[#This Row],[Days In Field]],GrowingDays)</f>
        <v>0.15440257909839417</v>
      </c>
      <c r="EF266" s="36">
        <f>(Crops[[#This Row],[Wholesale Revenue Per Bed]]-Crops[[#This Row],[Wholesale Non-Labor Cost]])/Crops[[#This Row],[Direct Time]]</f>
        <v>24.708678320714029</v>
      </c>
      <c r="EG266" s="174">
        <f>Crops[[#This Row],[Packaging Costs]]/Crops[[#This Row],[Wholesale Revenue Per Bed]]</f>
        <v>5.9607843137254909E-2</v>
      </c>
      <c r="EH266" s="36" t="str">
        <f>Crops[[#This Row],[Crop]]&amp;Crops[[#This Row],[Product]]&amp;Crops[[#This Row],[Unit]]</f>
        <v>Rat Tail RadishMature PodLb</v>
      </c>
      <c r="EI266" s="36" t="b">
        <f>_xlfn.XLOOKUP(Crops[[#This Row],[ProductIndex]],Products[ID],Products[Target])</f>
        <v>1</v>
      </c>
      <c r="EJ266" s="36">
        <f>Crops[[#This Row],[Custom Yield Per Bed]]</f>
        <v>83.999999999999972</v>
      </c>
      <c r="EK266" s="210">
        <f>Crops[[#This Row],[Units Per Harvest]]/Crops[[#This Row],[Days Between Harvest]]*7</f>
        <v>13.999999999999995</v>
      </c>
      <c r="EL266" s="210" t="e">
        <f>Crops[[#This Row],[Custom Yield Per Bed]]/_xlfn.XLOOKUP(Crops[[#This Row],[ProductIndex]],Products[ID],Products[CSA Portion])</f>
        <v>#DIV/0!</v>
      </c>
      <c r="EM266" s="210" t="e">
        <f>Crops[[#This Row],[Units Per Harvest]]/Crops[[#This Row],[Days Between Harvest]]*7/_xlfn.XLOOKUP(Crops[[#This Row],[ProductIndex]],Products[ID],Products[CSA Portion])</f>
        <v>#DIV/0!</v>
      </c>
      <c r="EN266" s="210" t="e">
        <f>Crops[[#This Row],[CSA Portions Per Week]]/CSAMembers</f>
        <v>#DIV/0!</v>
      </c>
      <c r="EO266" s="210"/>
      <c r="EP266" s="210"/>
      <c r="EQ266" s="36"/>
      <c r="ER266" s="36">
        <f>Crops[[#This Row],[Harvests]]*Crops[[#This Row],[Days Between Harvest]]/7</f>
        <v>6</v>
      </c>
      <c r="ES266" s="208">
        <f>_xlfn.XLOOKUP(Crops[[#This Row],[ProductIndex]],Products[ID],Products[CSA Need])</f>
        <v>0</v>
      </c>
      <c r="ET266" s="208">
        <f>_xlfn.XLOOKUP(Crops[[#This Row],[ProductIndex]],Products[ID],Products[CSA Times])</f>
        <v>0</v>
      </c>
      <c r="EU266" s="208" t="e">
        <f>Crops[[#This Row],[Custom Yield Per Bed]]/(Crops[[#This Row],[CSA Need]]*(_xlfn.XLOOKUP(Crops[[#This Row],[ProductIndex]],Products[ID],Products[CSA Portion])*CSAMembers))</f>
        <v>#DIV/0!</v>
      </c>
      <c r="EV266" s="208">
        <f>_xlfn.XLOOKUP(Crops[[#This Row],[ProductIndex]],Products[ID],Products[CSA Portion])*CSAMembers*Crops[[#This Row],[CSA Need]]/Crops[[#This Row],[Custom Yield Per Bed]]</f>
        <v>0</v>
      </c>
      <c r="EW266" s="208">
        <f>IFERROR(Crops[[#This Row],[Days In Field]]*Crops[[#This Row],[CSA Beds]],"")</f>
        <v>0</v>
      </c>
      <c r="EX266" s="208" t="e">
        <f>Crops[[#This Row],[CSA Bed Days]]*#REF!</f>
        <v>#REF!</v>
      </c>
      <c r="EY266" t="s">
        <v>300</v>
      </c>
    </row>
    <row r="267" spans="1:155">
      <c r="A26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Rose (Golden Celebration) - Mature Stem 1X | Field DS </v>
      </c>
      <c r="B267" s="189"/>
      <c r="C267" s="1"/>
      <c r="D267" s="1"/>
      <c r="E267" s="1" t="b">
        <v>1</v>
      </c>
      <c r="F267" s="1" t="b">
        <f>IFERROR(IF(ISNUMBER(MATCH(Crops[[#This Row],[Identifier]],BedPlan[Crop], 0)), TRUE, FALSE), FALSE)</f>
        <v>0</v>
      </c>
      <c r="G267" s="1" t="b">
        <f>IFERROR(IF(ISNUMBER(MATCH(Crops[[#This Row],[Identifier]],BedPlan[Crop], 0)), TRUE, FALSE), FALSE)</f>
        <v>0</v>
      </c>
      <c r="H267" s="1" t="b">
        <v>1</v>
      </c>
      <c r="I267" t="s">
        <v>2408</v>
      </c>
      <c r="J267" t="s">
        <v>173</v>
      </c>
      <c r="K267" t="s">
        <v>181</v>
      </c>
      <c r="N267" t="str">
        <f>Crops[[#This Row],[Crop]]</f>
        <v>Rose</v>
      </c>
      <c r="O267" t="s">
        <v>210</v>
      </c>
      <c r="P267" t="str">
        <f>IF(OR(Crops[[#This Row],[Days in Cells]]="",Crops[[#This Row],[Days in Cells]]=0), "DS","TP")</f>
        <v>DS</v>
      </c>
      <c r="V267" t="str">
        <f xml:space="preserve"> IF(Crops[[#This Row],[Sp]], "Sp", "") &amp; IF(Crops[[#This Row],[Su]], "Su", "") &amp; IF(Crops[[#This Row],[Fa]], "Fa", "") &amp; IF(Crops[[#This Row],[Wi]], "Wi", "") &amp; IF(Crops[[#This Row],[OW]], "Ow","")</f>
        <v/>
      </c>
      <c r="X267">
        <v>1</v>
      </c>
      <c r="Y267">
        <v>60</v>
      </c>
      <c r="AD267" s="32">
        <f>IFERROR(12/Crops[[#This Row],[Spacing]]*Crops[[#This Row],[Rows]]*BedLength,"")</f>
        <v>10</v>
      </c>
      <c r="AE267">
        <v>1</v>
      </c>
      <c r="AG267">
        <f>IF(Crops[[#This Row],[Custom Safety Factor]]="",PlantingSafetyFactor,Crops[[#This Row],[Custom Safety Factor]])</f>
        <v>1.3</v>
      </c>
      <c r="AH267">
        <f>1</f>
        <v>1</v>
      </c>
      <c r="AI267" s="33">
        <f>IFERROR(Crops[[#This Row],[Plantings Per Bed]]*Crops[[#This Row],[Seeds Per Planting]]*Crops[[#This Row],[Safety Factor]]*Crops[[#This Row],[Seeding Factor]],"")</f>
        <v>13</v>
      </c>
      <c r="AL267">
        <f>_xlfn.FLOOR.MATH(IFERROR(AVERAGE(Crops[[#This Row],[DTG Lower]:[DTG Upper]]),0))</f>
        <v>0</v>
      </c>
      <c r="AM267">
        <f>SUM(Crops[[#This Row],[Tray 1 Days]],Crops[[#This Row],[Tray 2 Days]],Crops[[#This Row],[Tray 3 Days]])</f>
        <v>0</v>
      </c>
      <c r="AP267">
        <v>365</v>
      </c>
      <c r="AQ267">
        <f>IFERROR(_xlfn.FLOOR.MATH(AVERAGE(Crops[[#This Row],[DTM Lower]:[DTM Upper]])),"")</f>
        <v>365</v>
      </c>
      <c r="AR267" cm="1">
        <f t="array" ref="AR267">_xlfn.SWITCH(Crops[[#This Row],[Normal Method]],"DS",Crops[[#This Row],[Days to Germination]]+Crops[[#This Row],[DTM]] + IF(Crops[[#This Row],[Days in Cells]]&gt;0,15,0), "TP",Crops[[#This Row],[DTM]]+Crops[[#This Row],[Days in Cells]] + IF(Crops[[#This Row],[Days in Cells]]&lt;=0,20,0), "X", Crops[[#This Row],[DTM]])</f>
        <v>365</v>
      </c>
      <c r="AS267" t="s">
        <v>347</v>
      </c>
      <c r="AT267">
        <f>(Crops[[#This Row],[Harvests]]-1)*Crops[[#This Row],[Days Between Harvest]]+7</f>
        <v>7</v>
      </c>
      <c r="AU267">
        <f>Crops[[#This Row],[STH]]-Crops[[#This Row],[Days in Cells]]+Crops[[#This Row],[Harvest window]]</f>
        <v>372</v>
      </c>
      <c r="AW267" t="s">
        <v>212</v>
      </c>
      <c r="AZ267" t="str">
        <f>IFERROR(IF(Crops[[#This Row],[Tray 1 Days]]=0,"",Crops[[#This Row],[Plantings Per Bed]]/Crops[[#This Row],[Tray 1 Size]]*Crops[[#This Row],[Safety Factor]]),"")</f>
        <v/>
      </c>
      <c r="BC267" t="str">
        <f>IFERROR(IF(Crops[[#This Row],[Tray 2 Days]]=0,"",Crops[[#This Row],[Plantings Per Bed]]/Crops[[#This Row],[Tray 2 Size]]*Crops[[#This Row],[Safety Factor]]),"")</f>
        <v/>
      </c>
      <c r="BE267" s="32" t="str">
        <f>IF(NOT(ISBLANK(Crops[[#This Row],[Tray 3 Size]])), Crops[[#This Row],[Days in Cells Old]]-SUM(Crops[[#This Row],[Tray 1 Days]],Crops[[#This Row],[Tray 2 Days]]), "")</f>
        <v/>
      </c>
      <c r="BF267" t="str">
        <f>IFERROR(IF(Crops[[#This Row],[Tray 3 Days]]=0,"",Crops[[#This Row],[Plantings Per Bed]]/Crops[[#This Row],[Tray 3 Size]]*Crops[[#This Row],[Safety Factor]]),"")</f>
        <v/>
      </c>
      <c r="BG267" s="33"/>
      <c r="BH267" s="33"/>
      <c r="BI267" s="33"/>
      <c r="BJ267" s="33">
        <f>_xlfn.XLOOKUP(Crops[[#This Row],[ProductIndex]],Products[ID],Products[Holding Period])</f>
        <v>0</v>
      </c>
      <c r="BK267" s="33"/>
      <c r="BL267" s="33">
        <f>Crops[[#This Row],[Units Per Harvest]]*Crops[[#This Row],[Harvests]]</f>
        <v>0</v>
      </c>
      <c r="BM267" s="35">
        <v>4.5</v>
      </c>
      <c r="BN267" s="35">
        <f>Crops[[#This Row],[Direct Price]]*0.6</f>
        <v>2.6999999999999997</v>
      </c>
      <c r="BO267" s="35"/>
      <c r="BP267" t="s">
        <v>213</v>
      </c>
      <c r="BQ267">
        <f>Crops[[#This Row],[Custom Yield Per Bed]]*Crops[[#This Row],[Direct Price]]</f>
        <v>0</v>
      </c>
      <c r="BR267" t="b">
        <v>0</v>
      </c>
      <c r="BS267" t="b">
        <f>Crops[[#This Row],[Harvests]]&gt;1</f>
        <v>0</v>
      </c>
      <c r="BT267" s="36">
        <f>IFERROR(Crops[[#This Row],[Direct Revenue Per Bed]]/Crops[[#This Row],[Days In Field]],-1)</f>
        <v>0</v>
      </c>
      <c r="BU267" s="36">
        <f>IFERROR(Crops[[#This Row],[Direct Revenue Per Bed Day]]*GrowingDays*BedsPerAcre,"")</f>
        <v>0</v>
      </c>
      <c r="BV267" s="38">
        <f>LastFrostDate-5*Crops[[#This Row],[Sewing Rel Last Frost]]</f>
        <v>45748</v>
      </c>
      <c r="BW267" s="38">
        <f>Crops[[#This Row],[Target Sewing Date]]+Crops[[#This Row],[Days in Cells]]</f>
        <v>45748</v>
      </c>
      <c r="BX267" s="38">
        <f>Crops[[#This Row],[Target Sewing Date]]+Crops[[#This Row],[STH]]</f>
        <v>46113</v>
      </c>
      <c r="BY267" s="38">
        <f>Crops[[#This Row],[Target Harvest Data]]+Crops[[#This Row],[Harvest window]]</f>
        <v>46120</v>
      </c>
      <c r="CB267">
        <f>1</f>
        <v>1</v>
      </c>
      <c r="CC267">
        <f>IF(Crops[[#This Row],[Transplanting]]&gt;0, 2, 3)*BedLength/StandardBedLength</f>
        <v>1.5</v>
      </c>
      <c r="CD267" s="173">
        <f>IF(Crops[[#This Row],[Days in Cells]]&lt;=0,0,Crops[[#This Row],[Plantings Per Bed]]/StartsPerHourSeeding+Crops[[#This Row],[Tray 1 Count]]*5/60)</f>
        <v>0</v>
      </c>
      <c r="CE267" s="173">
        <f>IF(ISBLANK(Crops[[#This Row],[Tray 2 Days]]),0,Crops[[#This Row],[Plantings Per Bed]]/UpPottingPerHour)+IF(Crops[[#This Row],[Tray 3 Days]]="",0,Crops[[#This Row],[Plantings Per Bed]]/UpPottingPerHour)</f>
        <v>0</v>
      </c>
      <c r="CF267" s="173">
        <f>IFERROR(Crops[[#This Row],[Tray 1 Count]]/HomeStartFlatIrrigationPerHour,0)*Crops[[#This Row],[Days in Cells]]/DaysBetweenStartIrrigation</f>
        <v>0</v>
      </c>
      <c r="CG267">
        <f>0.5/16*MAX(Crops[[#This Row],[Tray 1 Count]],Crops[[#This Row],[Tray 2 Count]],Crops[[#This Row],[Tray 3 Count]])</f>
        <v>0</v>
      </c>
      <c r="CH267">
        <f>IF(Crops[[#This Row],[Days in Cells]]&gt;0,IF(IF(Crops[[#This Row],[Tray 3 Size]]&gt;0,Crops[[#This Row],[Tray 3 Size]],IF(Crops[[#This Row],[Tray 2 Size]]&gt;0,Crops[[#This Row],[Tray 2 Size]],Crops[[#This Row],[Tray 1 Size]]))&lt;=18,LargeTransplantTime,SmallTransplantTime)*Crops[[#This Row],[Plantings Per Bed]],0)</f>
        <v>0</v>
      </c>
      <c r="CJ267" s="173">
        <f>_xlfn.XLOOKUP(Crops[[#This Row],[Trellis Type]],TrellisMethods[Trellis Type],TrellisMethods[Hours],0,0)</f>
        <v>0</v>
      </c>
      <c r="CK267">
        <f>IF(Crops[[#This Row],[Days in Cells]]&lt;=0,Crops[[#This Row],[Rows]]*1/10,0)*BedLength/50</f>
        <v>0.1</v>
      </c>
      <c r="CL267" cm="1">
        <f t="array" ref="CL267">_xlfn.SWITCH(Crops[[#This Row],[Irrigation]],"DR", 0.5, "OH", 0.25,0)*BedLength/50</f>
        <v>0</v>
      </c>
      <c r="CM267">
        <f>IF(OR(ISBLANK(Crops[[#This Row],[Row Cover]]),Crops[[#This Row],[Row Cover]]="None"),0,1)*BedLength/50</f>
        <v>0</v>
      </c>
      <c r="CN267" s="173">
        <f>HoursPerWeedingPass*Crops[[#This Row],[Days In Field]]/14*Crops[[#This Row],[Rows]]+1*BedLength/50</f>
        <v>5.4285714285714288</v>
      </c>
      <c r="CQ267" s="37">
        <f>_xlfn.XLOOKUP(Crops[[#This Row],[Crop]]&amp;Crops[[#This Row],[Product]]&amp;Crops[[#This Row],[Unit]],Products[ID],Products[Marketing (hr)])*Crops[[#This Row],[Direct Revenue Per Bed]]/2000</f>
        <v>0</v>
      </c>
      <c r="CR267" s="37">
        <f>_xlfn.XLOOKUP(Crops[[#This Row],[Crop]]&amp;Crops[[#This Row],[Product]]&amp;Crops[[#This Row],[Unit]],Products[ID],Products[Harvest (s)])*Crops[[#This Row],[Custom Yield Per Bed]]/3600</f>
        <v>0</v>
      </c>
      <c r="CS267" s="37">
        <f>_xlfn.XLOOKUP(Crops[[#This Row],[Crop]]&amp;Crops[[#This Row],[Product]]&amp;Crops[[#This Row],[Unit]],Products[ID],Products[Bunch (s)])*Crops[[#This Row],[Custom Yield Per Bed]]/3600</f>
        <v>0</v>
      </c>
      <c r="CT267" s="37">
        <f>_xlfn.XLOOKUP(Crops[[#This Row],[Crop]]&amp;Crops[[#This Row],[Product]]&amp;Crops[[#This Row],[Unit]],Products[ID],Products[Haul (s)])*Crops[[#This Row],[Custom Yield Per Bed]]/3600</f>
        <v>0</v>
      </c>
      <c r="CU267" s="37">
        <f>_xlfn.XLOOKUP(Crops[[#This Row],[Crop]]&amp;Crops[[#This Row],[Product]]&amp;Crops[[#This Row],[Unit]],Products[ID],Products[Wash (s)])*Crops[[#This Row],[Custom Yield Per Bed]]/3600</f>
        <v>0</v>
      </c>
      <c r="CV267" s="37">
        <f>_xlfn.XLOOKUP(Crops[[#This Row],[Crop]]&amp;Crops[[#This Row],[Product]]&amp;Crops[[#This Row],[Unit]],Products[ID],Products[Condition (s)])*Crops[[#This Row],[Custom Yield Per Bed]]/3600</f>
        <v>0</v>
      </c>
      <c r="CW267" s="37">
        <f>_xlfn.XLOOKUP(Crops[[#This Row],[Crop]]&amp;Crops[[#This Row],[Product]]&amp;Crops[[#This Row],[Unit]],Products[ID],Products[Trim (s)])*Crops[[#This Row],[Custom Yield Per Bed]]/3600</f>
        <v>0</v>
      </c>
      <c r="CX267" s="37">
        <f>_xlfn.XLOOKUP(Crops[[#This Row],[Crop]]&amp;Crops[[#This Row],[Product]]&amp;Crops[[#This Row],[Unit]],Products[ID],Products[Pack (s)])*Crops[[#This Row],[Custom Yield Per Bed]]/3600</f>
        <v>0</v>
      </c>
      <c r="CY267" s="37">
        <f>_xlfn.XLOOKUP(Crops[[#This Row],[Crop]]&amp;Crops[[#This Row],[Product]]&amp;Crops[[#This Row],[Unit]],Products[ID],Products[Clean (s)])*Crops[[#This Row],[Custom Yield Per Bed]]/3600</f>
        <v>0</v>
      </c>
      <c r="CZ267" s="37">
        <f>_xlfn.XLOOKUP(Crops[[#This Row],[Crop]]&amp;Crops[[#This Row],[Product]]&amp;Crops[[#This Row],[Unit]],Products[ID],Products[Rehandle (s)])*Crops[[#This Row],[Custom Yield Per Bed]]/3600</f>
        <v>0</v>
      </c>
      <c r="DA267" s="37">
        <f>_xlfn.XLOOKUP(Crops[[#This Row],[Crop]]&amp;Crops[[#This Row],[Product]]&amp;Crops[[#This Row],[Unit]],Products[ID],Products[Market Transport (s)])*Crops[[#This Row],[Custom Yield Per Bed]]/3600</f>
        <v>0</v>
      </c>
      <c r="DC267" s="37">
        <f>Crops[[#This Row],[Direct Revenue Per Bed2]]</f>
        <v>0</v>
      </c>
      <c r="DD267" s="173">
        <f>_xlfn.AGGREGATE(9,6,Crops[[#This Row],[Bed Prep]:[Remove Crop Residue]])</f>
        <v>7.0285714285714285</v>
      </c>
      <c r="DE267" s="173">
        <f>_xlfn.AGGREGATE(9,6,Crops[[#This Row],[Bed Prep]:[Remove Crop Residue]])-0.75*Crops[[#This Row],[Market &amp; Sell]]</f>
        <v>7.0285714285714285</v>
      </c>
      <c r="DF267" s="36">
        <f>Crops[[#This Row],[Direct Revenue Per Bed2]]/Crops[[#This Row],[Direct Time]]</f>
        <v>0</v>
      </c>
      <c r="DG267" s="36">
        <f>_xlfn.XLOOKUP(Crops[[#This Row],[ProductIndex]],Products[ID],Products[Packaging Cost])*(Crops[[#This Row],[Custom Yield Per Bed]]/_xlfn.XLOOKUP(Crops[[#This Row],[ProductIndex]],Products[ID],Products[Units Per Pack]))</f>
        <v>0</v>
      </c>
      <c r="DH267" s="36"/>
      <c r="DI267" s="36"/>
      <c r="DJ267" s="36"/>
      <c r="DK267" s="36"/>
      <c r="DL267" s="36"/>
      <c r="DM267" s="33">
        <f>IFERROR(Crops[[#This Row],[Custom Yield Per Bed]]*Crops[[#This Row],[Direct Price]],"")</f>
        <v>0</v>
      </c>
      <c r="DN267" s="36">
        <f>Crops[[#This Row],[Direct Time]]*LaborRate</f>
        <v>175.71428571428572</v>
      </c>
      <c r="DO267" s="36">
        <f>SUM(Crops[[#This Row],[Irrigation Cost]])</f>
        <v>0</v>
      </c>
      <c r="DP267" s="36">
        <f>Crops[[#This Row],[Direct Labor Cost]]+Crops[[#This Row],[Direct Non-Labor Cost]]</f>
        <v>175.71428571428572</v>
      </c>
      <c r="DQ267" s="36">
        <f>Crops[[#This Row],[Direct Revenue Per Bed2]]-Crops[[#This Row],[Direct Total Cost]]</f>
        <v>-175.71428571428572</v>
      </c>
      <c r="DR267" s="36">
        <f>Crops[[#This Row],[Direct Profit]]*BedsPerAcre</f>
        <v>-28114.285714285717</v>
      </c>
      <c r="DS267" s="36">
        <f>Crops[[#This Row],[Direct Profit]]*BedsPerAcre*GrowingDays/Crops[[#This Row],[Days In Field]]</f>
        <v>-13603.686635944701</v>
      </c>
      <c r="DT267" s="36">
        <f>Crops[[#This Row],[Direct Profit]]/MIN(Crops[[#This Row],[Days In Field]],GrowingDays)</f>
        <v>-0.97619047619047628</v>
      </c>
      <c r="DU267" s="36">
        <f>Crops[[#This Row],[Direct Time]] * BedsPerAcre</f>
        <v>1124.5714285714284</v>
      </c>
      <c r="DV267" s="36">
        <f>(Crops[[#This Row],[Direct Revenue Per Bed2]]-Crops[[#This Row],[Direct Non-Labor Cost]])/Crops[[#This Row],[Direct Time]]</f>
        <v>0</v>
      </c>
      <c r="DW267" s="33">
        <f>IFERROR(Crops[[#This Row],[Custom Yield Per Bed]]*Crops[[#This Row],[Rough Wholesale Price]],"")</f>
        <v>0</v>
      </c>
      <c r="DX267" s="36">
        <f>Crops[[#This Row],[Wholesale Time]]*LaborRate</f>
        <v>175.71428571428572</v>
      </c>
      <c r="DY267" s="36">
        <f>SUM(Crops[[#This Row],[Packaging Costs]:[Irrigation Cost]])</f>
        <v>0</v>
      </c>
      <c r="DZ267" s="36">
        <f>Crops[[#This Row],[Wholesale Labor Cost]]+Crops[[#This Row],[Wholesale Non-Labor Cost]]</f>
        <v>175.71428571428572</v>
      </c>
      <c r="EA267" s="36">
        <f>Crops[[#This Row],[Wholesale Revenue Per Bed]]-Crops[[#This Row],[Wholesale Total Cost]]</f>
        <v>-175.71428571428572</v>
      </c>
      <c r="EB267" s="36">
        <f>Crops[[#This Row],[Wholesale Profit]]*BedsPerAcre</f>
        <v>-28114.285714285717</v>
      </c>
      <c r="EC267" s="36">
        <f>Crops[[#This Row],[Wholesale Profit]]*BedsPerAcre*GrowingDays/Crops[[#This Row],[Days In Field]]</f>
        <v>-13603.686635944701</v>
      </c>
      <c r="ED267" s="36">
        <f>Crops[[#This Row],[Wholesale Time]] * BedsPerAcre</f>
        <v>1124.5714285714284</v>
      </c>
      <c r="EE267" s="36">
        <f>Crops[[#This Row],[Wholesale Profit]]/MIN(Crops[[#This Row],[Days In Field]],GrowingDays)</f>
        <v>-0.97619047619047628</v>
      </c>
      <c r="EF267" s="36">
        <f>(Crops[[#This Row],[Wholesale Revenue Per Bed]]-Crops[[#This Row],[Wholesale Non-Labor Cost]])/Crops[[#This Row],[Direct Time]]</f>
        <v>0</v>
      </c>
      <c r="EG267" s="174" t="e">
        <f>Crops[[#This Row],[Packaging Costs]]/Crops[[#This Row],[Wholesale Revenue Per Bed]]</f>
        <v>#DIV/0!</v>
      </c>
      <c r="EH267" s="173" t="str">
        <f>Crops[[#This Row],[Crop]]&amp;Crops[[#This Row],[Product]]&amp;Crops[[#This Row],[Unit]]</f>
        <v>RoseMature StemStem</v>
      </c>
      <c r="EI267" s="173" t="b">
        <f>_xlfn.XLOOKUP(Crops[[#This Row],[ProductIndex]],Products[ID],Products[Target])</f>
        <v>0</v>
      </c>
      <c r="EJ267" s="173">
        <f>Crops[[#This Row],[Custom Yield Per Bed]]</f>
        <v>0</v>
      </c>
      <c r="EK267" s="210" t="e">
        <f>Crops[[#This Row],[Units Per Harvest]]/Crops[[#This Row],[Days Between Harvest]]*7</f>
        <v>#DIV/0!</v>
      </c>
      <c r="EL267" s="210" t="e">
        <f>Crops[[#This Row],[Custom Yield Per Bed]]/_xlfn.XLOOKUP(Crops[[#This Row],[ProductIndex]],Products[ID],Products[CSA Portion])</f>
        <v>#DIV/0!</v>
      </c>
      <c r="EM267" s="210" t="e">
        <f>Crops[[#This Row],[Units Per Harvest]]/Crops[[#This Row],[Days Between Harvest]]*7/_xlfn.XLOOKUP(Crops[[#This Row],[ProductIndex]],Products[ID],Products[CSA Portion])</f>
        <v>#DIV/0!</v>
      </c>
      <c r="EN267" s="210" t="e">
        <f>Crops[[#This Row],[CSA Portions Per Week]]/CSAMembers</f>
        <v>#DIV/0!</v>
      </c>
      <c r="EO267" s="210"/>
      <c r="EP267" s="210"/>
      <c r="EQ267" s="173"/>
      <c r="ER267" s="173">
        <f>Crops[[#This Row],[Harvests]]*Crops[[#This Row],[Days Between Harvest]]/7</f>
        <v>0</v>
      </c>
      <c r="ES267" s="49">
        <f>_xlfn.XLOOKUP(Crops[[#This Row],[ProductIndex]],Products[ID],Products[CSA Need])</f>
        <v>0</v>
      </c>
      <c r="ET267" s="49">
        <f>_xlfn.XLOOKUP(Crops[[#This Row],[ProductIndex]],Products[ID],Products[CSA Times])</f>
        <v>0</v>
      </c>
      <c r="EU267" s="49" t="e">
        <f>Crops[[#This Row],[Custom Yield Per Bed]]/(Crops[[#This Row],[CSA Need]]*(_xlfn.XLOOKUP(Crops[[#This Row],[ProductIndex]],Products[ID],Products[CSA Portion])*CSAMembers))</f>
        <v>#DIV/0!</v>
      </c>
      <c r="EV267" s="49" t="e">
        <f>_xlfn.XLOOKUP(Crops[[#This Row],[ProductIndex]],Products[ID],Products[CSA Portion])*CSAMembers*Crops[[#This Row],[CSA Need]]/Crops[[#This Row],[Custom Yield Per Bed]]</f>
        <v>#DIV/0!</v>
      </c>
      <c r="EW267" s="49" t="str">
        <f>IFERROR(Crops[[#This Row],[Days In Field]]*Crops[[#This Row],[CSA Beds]],"")</f>
        <v/>
      </c>
      <c r="EX267" s="49" t="e">
        <f>Crops[[#This Row],[CSA Bed Days]]*#REF!</f>
        <v>#VALUE!</v>
      </c>
      <c r="EY267">
        <v>0</v>
      </c>
    </row>
    <row r="268" spans="1:155">
      <c r="A268"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Roselle - Mature Leaf 1X | Field TP Su</v>
      </c>
      <c r="B268" s="29"/>
      <c r="C268" s="1" t="s">
        <v>2588</v>
      </c>
      <c r="D268" s="1"/>
      <c r="E268" s="1" t="b">
        <v>0</v>
      </c>
      <c r="F268" s="1" t="b">
        <f>IFERROR(IF(ISNUMBER(MATCH(Crops[[#This Row],[Identifier]],BedPlan[Crop], 0)), TRUE, FALSE), FALSE)</f>
        <v>0</v>
      </c>
      <c r="G268" s="1" t="b">
        <f>IFERROR(IF(ISNUMBER(MATCH(Crops[[#This Row],[Identifier]],BedPlan[Crop], 0)), TRUE, FALSE), FALSE)</f>
        <v>0</v>
      </c>
      <c r="H268" s="1"/>
      <c r="I268" t="s">
        <v>1715</v>
      </c>
      <c r="J268" t="s">
        <v>145</v>
      </c>
      <c r="K268" t="s">
        <v>179</v>
      </c>
      <c r="M268" t="s">
        <v>441</v>
      </c>
      <c r="N268" t="str">
        <f>Crops[[#This Row],[Crop]]</f>
        <v>Roselle</v>
      </c>
      <c r="O268" t="s">
        <v>210</v>
      </c>
      <c r="P268" t="str">
        <f>IF(OR(Crops[[#This Row],[Days in Cells]]="",Crops[[#This Row],[Days in Cells]]=0), "DS","TP")</f>
        <v>TP</v>
      </c>
      <c r="R268" t="b">
        <v>1</v>
      </c>
      <c r="V268" t="str">
        <f xml:space="preserve"> IF(Crops[[#This Row],[Sp]], "Sp", "") &amp; IF(Crops[[#This Row],[Su]], "Su", "") &amp; IF(Crops[[#This Row],[Fa]], "Fa", "") &amp; IF(Crops[[#This Row],[Wi]], "Wi", "") &amp; IF(Crops[[#This Row],[OW]], "Ow","")</f>
        <v>Su</v>
      </c>
      <c r="X268">
        <v>2</v>
      </c>
      <c r="Y268">
        <v>12</v>
      </c>
      <c r="AB268" t="b">
        <v>0</v>
      </c>
      <c r="AC268">
        <v>4</v>
      </c>
      <c r="AD268" s="32">
        <f>IFERROR(12/Crops[[#This Row],[Spacing]]*Crops[[#This Row],[Rows]]*BedLength,"")</f>
        <v>100</v>
      </c>
      <c r="AE268">
        <v>1</v>
      </c>
      <c r="AG268">
        <f>IF(Crops[[#This Row],[Custom Safety Factor]]="",PlantingSafetyFactor,Crops[[#This Row],[Custom Safety Factor]])</f>
        <v>1.3</v>
      </c>
      <c r="AH268">
        <f>1</f>
        <v>1</v>
      </c>
      <c r="AI268" s="33">
        <f>IFERROR(Crops[[#This Row],[Plantings Per Bed]]*Crops[[#This Row],[Seeds Per Planting]]*Crops[[#This Row],[Safety Factor]]*Crops[[#This Row],[Seeding Factor]],"")</f>
        <v>130</v>
      </c>
      <c r="AJ268">
        <v>10</v>
      </c>
      <c r="AK268">
        <v>14</v>
      </c>
      <c r="AL268">
        <f>_xlfn.FLOOR.MATH(IFERROR(AVERAGE(Crops[[#This Row],[DTG Lower]:[DTG Upper]]),0))</f>
        <v>12</v>
      </c>
      <c r="AM268">
        <f>SUM(Crops[[#This Row],[Tray 1 Days]],Crops[[#This Row],[Tray 2 Days]],Crops[[#This Row],[Tray 3 Days]])</f>
        <v>30</v>
      </c>
      <c r="AN268" s="32"/>
      <c r="AP268">
        <v>115</v>
      </c>
      <c r="AQ268">
        <f>IFERROR(_xlfn.FLOOR.MATH(AVERAGE(Crops[[#This Row],[DTM Lower]:[DTM Upper]])),"")</f>
        <v>115</v>
      </c>
      <c r="AR268" cm="1">
        <f t="array" ref="AR268">_xlfn.SWITCH(Crops[[#This Row],[Normal Method]],"DS",Crops[[#This Row],[Days to Germination]]+Crops[[#This Row],[DTM]] + IF(Crops[[#This Row],[Days in Cells]]&gt;0,15,0), "TP",Crops[[#This Row],[DTM]]+Crops[[#This Row],[Days in Cells]] + IF(Crops[[#This Row],[Days in Cells]]&lt;=0,20,0), "X", Crops[[#This Row],[DTM]])</f>
        <v>115</v>
      </c>
      <c r="AS268" t="s">
        <v>347</v>
      </c>
      <c r="AT268">
        <f>(Crops[[#This Row],[Harvests]]-1)*Crops[[#This Row],[Days Between Harvest]]+7</f>
        <v>56</v>
      </c>
      <c r="AU268">
        <f>Crops[[#This Row],[STH]]-Crops[[#This Row],[Days in Cells]]+Crops[[#This Row],[Harvest window]]</f>
        <v>141</v>
      </c>
      <c r="AX268">
        <v>128</v>
      </c>
      <c r="AY268">
        <v>30</v>
      </c>
      <c r="AZ268">
        <f>IFERROR(IF(Crops[[#This Row],[Tray 1 Days]]=0,"",Crops[[#This Row],[Plantings Per Bed]]/Crops[[#This Row],[Tray 1 Size]]*Crops[[#This Row],[Safety Factor]]),"")</f>
        <v>1.015625</v>
      </c>
      <c r="BC268" t="str">
        <f>IFERROR(IF(Crops[[#This Row],[Tray 2 Days]]=0,"",Crops[[#This Row],[Plantings Per Bed]]/Crops[[#This Row],[Tray 2 Size]]*Crops[[#This Row],[Safety Factor]]),"")</f>
        <v/>
      </c>
      <c r="BE268" s="32" t="str">
        <f>IF(NOT(ISBLANK(Crops[[#This Row],[Tray 3 Size]])), Crops[[#This Row],[Days in Cells Old]]-SUM(Crops[[#This Row],[Tray 1 Days]],Crops[[#This Row],[Tray 2 Days]]), "")</f>
        <v/>
      </c>
      <c r="BF268" t="str">
        <f>IFERROR(IF(Crops[[#This Row],[Tray 3 Days]]=0,"",Crops[[#This Row],[Plantings Per Bed]]/Crops[[#This Row],[Tray 3 Size]]*Crops[[#This Row],[Safety Factor]]),"")</f>
        <v/>
      </c>
      <c r="BG268" s="39">
        <f>6*BedLength/StandardBedLength</f>
        <v>3</v>
      </c>
      <c r="BH268" s="33">
        <v>8</v>
      </c>
      <c r="BI268" s="33">
        <v>7</v>
      </c>
      <c r="BJ268" s="33">
        <f>_xlfn.XLOOKUP(Crops[[#This Row],[ProductIndex]],Products[ID],Products[Holding Period])</f>
        <v>0</v>
      </c>
      <c r="BK268" s="33"/>
      <c r="BL268" s="33">
        <f>Crops[[#This Row],[Units Per Harvest]]*Crops[[#This Row],[Harvests]]</f>
        <v>24</v>
      </c>
      <c r="BM268" s="35">
        <v>22</v>
      </c>
      <c r="BN268" s="35">
        <f>Crops[[#This Row],[Direct Price]]*0.6</f>
        <v>13.2</v>
      </c>
      <c r="BO268" s="35"/>
      <c r="BP268" t="s">
        <v>383</v>
      </c>
      <c r="BQ268">
        <f>Crops[[#This Row],[Custom Yield Per Bed]]*Crops[[#This Row],[Direct Price]]</f>
        <v>528</v>
      </c>
      <c r="BS268" t="b">
        <f>Crops[[#This Row],[Harvests]]&gt;1</f>
        <v>1</v>
      </c>
      <c r="BT268" s="36">
        <f>IFERROR(Crops[[#This Row],[Direct Revenue Per Bed]]/Crops[[#This Row],[Days In Field]],-1)</f>
        <v>3.7446808510638299</v>
      </c>
      <c r="BU268" s="36">
        <f>IFERROR(Crops[[#This Row],[Direct Revenue Per Bed Day]]*GrowingDays*BedsPerAcre,"")</f>
        <v>107846.80851063829</v>
      </c>
      <c r="BV268" s="38">
        <f>LastFrostDate-5*Crops[[#This Row],[Sewing Rel Last Frost]]</f>
        <v>45758</v>
      </c>
      <c r="BW268" s="38">
        <f>Crops[[#This Row],[Target Sewing Date]]+Crops[[#This Row],[Days in Cells]]</f>
        <v>45788</v>
      </c>
      <c r="BX268" s="38">
        <f>Crops[[#This Row],[Target Sewing Date]]+Crops[[#This Row],[STH]]</f>
        <v>45873</v>
      </c>
      <c r="BY268" s="38">
        <f>Crops[[#This Row],[Target Harvest Data]]+Crops[[#This Row],[Harvest window]]</f>
        <v>45929</v>
      </c>
      <c r="BZ268">
        <v>-2</v>
      </c>
      <c r="CB268">
        <f>1</f>
        <v>1</v>
      </c>
      <c r="CC268">
        <f>IF(Crops[[#This Row],[Transplanting]]&gt;0, 2, 3)*BedLength/StandardBedLength</f>
        <v>1</v>
      </c>
      <c r="CD268" s="173">
        <f>IF(Crops[[#This Row],[Days in Cells]]&lt;=0,0,Crops[[#This Row],[Plantings Per Bed]]/StartsPerHourSeeding+Crops[[#This Row],[Tray 1 Count]]*5/60)</f>
        <v>0.47526041666666669</v>
      </c>
      <c r="CE268" s="173">
        <f>IF(ISBLANK(Crops[[#This Row],[Tray 2 Days]]),0,Crops[[#This Row],[Plantings Per Bed]]/UpPottingPerHour)+IF(Crops[[#This Row],[Tray 3 Days]]="",0,Crops[[#This Row],[Plantings Per Bed]]/UpPottingPerHour)</f>
        <v>0</v>
      </c>
      <c r="CF268" s="173">
        <f>IFERROR(Crops[[#This Row],[Tray 1 Count]]/HomeStartFlatIrrigationPerHour,0)*Crops[[#This Row],[Days in Cells]]/DaysBetweenStartIrrigation</f>
        <v>0.126953125</v>
      </c>
      <c r="CG268" s="173">
        <f>0.5/16*MAX(Crops[[#This Row],[Tray 1 Count]],Crops[[#This Row],[Tray 2 Count]],Crops[[#This Row],[Tray 3 Count]])</f>
        <v>3.173828125E-2</v>
      </c>
      <c r="CH268" s="173">
        <f>IF(Crops[[#This Row],[Days in Cells]]&gt;0,IF(IF(Crops[[#This Row],[Tray 3 Size]]&gt;0,Crops[[#This Row],[Tray 3 Size]],IF(Crops[[#This Row],[Tray 2 Size]]&gt;0,Crops[[#This Row],[Tray 2 Size]],Crops[[#This Row],[Tray 1 Size]]))&lt;=18,LargeTransplantTime,SmallTransplantTime)*Crops[[#This Row],[Plantings Per Bed]],0)</f>
        <v>0.5</v>
      </c>
      <c r="CI268" s="173"/>
      <c r="CJ268" s="173">
        <f>_xlfn.XLOOKUP(Crops[[#This Row],[Trellis Type]],TrellisMethods[Trellis Type],TrellisMethods[Hours],0,0)</f>
        <v>0</v>
      </c>
      <c r="CK268">
        <f>IF(Crops[[#This Row],[Days in Cells]]&lt;=0,Crops[[#This Row],[Rows]]*1/10,0)*BedLength/50</f>
        <v>0</v>
      </c>
      <c r="CL268" cm="1">
        <f t="array" ref="CL268">_xlfn.SWITCH(Crops[[#This Row],[Irrigation]],"DR", 0.5, "OH", 0.25,0)*BedLength/50</f>
        <v>0</v>
      </c>
      <c r="CM268">
        <f>IF(OR(ISBLANK(Crops[[#This Row],[Row Cover]]),Crops[[#This Row],[Row Cover]]="None"),0,1)*BedLength/50</f>
        <v>0</v>
      </c>
      <c r="CN268" s="173">
        <f>HoursPerWeedingPass*Crops[[#This Row],[Days In Field]]/14*Crops[[#This Row],[Rows]]+1*BedLength/50</f>
        <v>4.3571428571428577</v>
      </c>
      <c r="CQ268" s="37">
        <f>_xlfn.XLOOKUP(Crops[[#This Row],[Crop]]&amp;Crops[[#This Row],[Product]]&amp;Crops[[#This Row],[Unit]],Products[ID],Products[Marketing (hr)])*Crops[[#This Row],[Direct Revenue Per Bed]]/2000</f>
        <v>1.32</v>
      </c>
      <c r="CR268" s="37">
        <f>_xlfn.XLOOKUP(Crops[[#This Row],[Crop]]&amp;Crops[[#This Row],[Product]]&amp;Crops[[#This Row],[Unit]],Products[ID],Products[Harvest (s)])*Crops[[#This Row],[Custom Yield Per Bed]]/3600</f>
        <v>1</v>
      </c>
      <c r="CS268" s="37">
        <f>_xlfn.XLOOKUP(Crops[[#This Row],[Crop]]&amp;Crops[[#This Row],[Product]]&amp;Crops[[#This Row],[Unit]],Products[ID],Products[Bunch (s)])*Crops[[#This Row],[Custom Yield Per Bed]]/3600</f>
        <v>0</v>
      </c>
      <c r="CT268" s="37">
        <f>_xlfn.XLOOKUP(Crops[[#This Row],[Crop]]&amp;Crops[[#This Row],[Product]]&amp;Crops[[#This Row],[Unit]],Products[ID],Products[Haul (s)])*Crops[[#This Row],[Custom Yield Per Bed]]/3600</f>
        <v>0.06</v>
      </c>
      <c r="CU268" s="37">
        <f>_xlfn.XLOOKUP(Crops[[#This Row],[Crop]]&amp;Crops[[#This Row],[Product]]&amp;Crops[[#This Row],[Unit]],Products[ID],Products[Wash (s)])*Crops[[#This Row],[Custom Yield Per Bed]]/3600</f>
        <v>0</v>
      </c>
      <c r="CV268" s="37">
        <f>_xlfn.XLOOKUP(Crops[[#This Row],[Crop]]&amp;Crops[[#This Row],[Product]]&amp;Crops[[#This Row],[Unit]],Products[ID],Products[Condition (s)])*Crops[[#This Row],[Custom Yield Per Bed]]/3600</f>
        <v>0</v>
      </c>
      <c r="CW268" s="37">
        <f>_xlfn.XLOOKUP(Crops[[#This Row],[Crop]]&amp;Crops[[#This Row],[Product]]&amp;Crops[[#This Row],[Unit]],Products[ID],Products[Trim (s)])*Crops[[#This Row],[Custom Yield Per Bed]]/3600</f>
        <v>0</v>
      </c>
      <c r="CX268" s="37">
        <f>_xlfn.XLOOKUP(Crops[[#This Row],[Crop]]&amp;Crops[[#This Row],[Product]]&amp;Crops[[#This Row],[Unit]],Products[ID],Products[Pack (s)])*Crops[[#This Row],[Custom Yield Per Bed]]/3600</f>
        <v>0.02</v>
      </c>
      <c r="CY268" s="37">
        <f>_xlfn.XLOOKUP(Crops[[#This Row],[Crop]]&amp;Crops[[#This Row],[Product]]&amp;Crops[[#This Row],[Unit]],Products[ID],Products[Clean (s)])*Crops[[#This Row],[Custom Yield Per Bed]]/3600</f>
        <v>0</v>
      </c>
      <c r="CZ268" s="37">
        <f>_xlfn.XLOOKUP(Crops[[#This Row],[Crop]]&amp;Crops[[#This Row],[Product]]&amp;Crops[[#This Row],[Unit]],Products[ID],Products[Rehandle (s)])*Crops[[#This Row],[Custom Yield Per Bed]]/3600</f>
        <v>0</v>
      </c>
      <c r="DA268" s="37">
        <f>_xlfn.XLOOKUP(Crops[[#This Row],[Crop]]&amp;Crops[[#This Row],[Product]]&amp;Crops[[#This Row],[Unit]],Products[ID],Products[Market Transport (s)])*Crops[[#This Row],[Custom Yield Per Bed]]/3600</f>
        <v>0.15</v>
      </c>
      <c r="DC268" s="37">
        <f>Crops[[#This Row],[Direct Revenue Per Bed2]]</f>
        <v>528</v>
      </c>
      <c r="DD268" s="173">
        <f>_xlfn.AGGREGATE(9,6,Crops[[#This Row],[Bed Prep]:[Remove Crop Residue]])</f>
        <v>9.0410946800595262</v>
      </c>
      <c r="DE268" s="173">
        <f>_xlfn.AGGREGATE(9,6,Crops[[#This Row],[Bed Prep]:[Remove Crop Residue]])-0.75*Crops[[#This Row],[Market &amp; Sell]]</f>
        <v>8.051094680059526</v>
      </c>
      <c r="DF268" s="36">
        <f>Crops[[#This Row],[Direct Revenue Per Bed2]]/Crops[[#This Row],[Direct Time]]</f>
        <v>58.400007818137759</v>
      </c>
      <c r="DG268" s="36">
        <f>_xlfn.XLOOKUP(Crops[[#This Row],[ProductIndex]],Products[ID],Products[Packaging Cost])*(Crops[[#This Row],[Custom Yield Per Bed]]/_xlfn.XLOOKUP(Crops[[#This Row],[ProductIndex]],Products[ID],Products[Units Per Pack]))</f>
        <v>9.1199999999999992</v>
      </c>
      <c r="DH268" s="36"/>
      <c r="DI268" s="36"/>
      <c r="DJ268" s="36"/>
      <c r="DK268" s="36"/>
      <c r="DL268" s="36"/>
      <c r="DM268" s="33">
        <f>IFERROR(Crops[[#This Row],[Custom Yield Per Bed]]*Crops[[#This Row],[Direct Price]],"")</f>
        <v>528</v>
      </c>
      <c r="DN268" s="36">
        <f>Crops[[#This Row],[Direct Time]]*LaborRate</f>
        <v>226.02736700148816</v>
      </c>
      <c r="DO268" s="36">
        <f>SUM(Crops[[#This Row],[Irrigation Cost]])</f>
        <v>0</v>
      </c>
      <c r="DP268" s="36">
        <f>Crops[[#This Row],[Direct Labor Cost]]+Crops[[#This Row],[Direct Non-Labor Cost]]</f>
        <v>226.02736700148816</v>
      </c>
      <c r="DQ268" s="36">
        <f>Crops[[#This Row],[Direct Revenue Per Bed2]]-Crops[[#This Row],[Direct Total Cost]]</f>
        <v>301.97263299851181</v>
      </c>
      <c r="DR268" s="36">
        <f>Crops[[#This Row],[Direct Profit]]*BedsPerAcre</f>
        <v>48315.621279761894</v>
      </c>
      <c r="DS268" s="36">
        <f>Crops[[#This Row],[Direct Profit]]*BedsPerAcre*GrowingDays/Crops[[#This Row],[Days In Field]]</f>
        <v>61679.516527355612</v>
      </c>
      <c r="DT268" s="36">
        <f>Crops[[#This Row],[Direct Profit]]/MIN(Crops[[#This Row],[Days In Field]],GrowingDays)</f>
        <v>2.1416498794220695</v>
      </c>
      <c r="DU268" s="36">
        <f>Crops[[#This Row],[Direct Time]] * BedsPerAcre</f>
        <v>1446.5751488095243</v>
      </c>
      <c r="DV268" s="36">
        <f>(Crops[[#This Row],[Direct Revenue Per Bed2]]-Crops[[#This Row],[Direct Non-Labor Cost]])/Crops[[#This Row],[Direct Time]]</f>
        <v>58.400007818137759</v>
      </c>
      <c r="DW268" s="33">
        <f>IFERROR(Crops[[#This Row],[Custom Yield Per Bed]]*Crops[[#This Row],[Rough Wholesale Price]],"")</f>
        <v>316.79999999999995</v>
      </c>
      <c r="DX268" s="36">
        <f>Crops[[#This Row],[Wholesale Time]]*LaborRate</f>
        <v>201.27736700148816</v>
      </c>
      <c r="DY268" s="36">
        <f>SUM(Crops[[#This Row],[Packaging Costs]:[Irrigation Cost]])</f>
        <v>9.1199999999999992</v>
      </c>
      <c r="DZ268" s="36">
        <f>Crops[[#This Row],[Wholesale Labor Cost]]+Crops[[#This Row],[Wholesale Non-Labor Cost]]</f>
        <v>210.39736700148816</v>
      </c>
      <c r="EA268" s="36">
        <f>Crops[[#This Row],[Wholesale Revenue Per Bed]]-Crops[[#This Row],[Wholesale Total Cost]]</f>
        <v>106.40263299851179</v>
      </c>
      <c r="EB268" s="36">
        <f>Crops[[#This Row],[Wholesale Profit]]*BedsPerAcre</f>
        <v>17024.421279761886</v>
      </c>
      <c r="EC268" s="36">
        <f>Crops[[#This Row],[Wholesale Profit]]*BedsPerAcre*GrowingDays/Crops[[#This Row],[Days In Field]]</f>
        <v>21733.303761398151</v>
      </c>
      <c r="ED268" s="36">
        <f>Crops[[#This Row],[Wholesale Time]] * BedsPerAcre</f>
        <v>1288.1751488095242</v>
      </c>
      <c r="EE268" s="36">
        <f>Crops[[#This Row],[Wholesale Profit]]/MIN(Crops[[#This Row],[Days In Field]],GrowingDays)</f>
        <v>0.75462860282632471</v>
      </c>
      <c r="EF268" s="36">
        <f>(Crops[[#This Row],[Wholesale Revenue Per Bed]]-Crops[[#This Row],[Wholesale Non-Labor Cost]])/Crops[[#This Row],[Direct Time]]</f>
        <v>34.031277283114811</v>
      </c>
      <c r="EG268" s="174">
        <f>Crops[[#This Row],[Packaging Costs]]/Crops[[#This Row],[Wholesale Revenue Per Bed]]</f>
        <v>2.8787878787878789E-2</v>
      </c>
      <c r="EH268" s="36" t="str">
        <f>Crops[[#This Row],[Crop]]&amp;Crops[[#This Row],[Product]]&amp;Crops[[#This Row],[Unit]]</f>
        <v>RoselleMature LeafLb</v>
      </c>
      <c r="EI268" s="36" t="b">
        <f>_xlfn.XLOOKUP(Crops[[#This Row],[ProductIndex]],Products[ID],Products[Target])</f>
        <v>1</v>
      </c>
      <c r="EJ268" s="36">
        <f>Crops[[#This Row],[Custom Yield Per Bed]]</f>
        <v>24</v>
      </c>
      <c r="EK268" s="210">
        <f>Crops[[#This Row],[Units Per Harvest]]/Crops[[#This Row],[Days Between Harvest]]*7</f>
        <v>3</v>
      </c>
      <c r="EL268" s="210" t="e">
        <f>Crops[[#This Row],[Custom Yield Per Bed]]/_xlfn.XLOOKUP(Crops[[#This Row],[ProductIndex]],Products[ID],Products[CSA Portion])</f>
        <v>#DIV/0!</v>
      </c>
      <c r="EM268" s="210" t="e">
        <f>Crops[[#This Row],[Units Per Harvest]]/Crops[[#This Row],[Days Between Harvest]]*7/_xlfn.XLOOKUP(Crops[[#This Row],[ProductIndex]],Products[ID],Products[CSA Portion])</f>
        <v>#DIV/0!</v>
      </c>
      <c r="EN268" s="210" t="e">
        <f>Crops[[#This Row],[CSA Portions Per Week]]/CSAMembers</f>
        <v>#DIV/0!</v>
      </c>
      <c r="EO268" s="210"/>
      <c r="EP268" s="210"/>
      <c r="EQ268" s="36"/>
      <c r="ER268" s="36">
        <f>Crops[[#This Row],[Harvests]]*Crops[[#This Row],[Days Between Harvest]]/7</f>
        <v>8</v>
      </c>
      <c r="ES268" s="208">
        <f>_xlfn.XLOOKUP(Crops[[#This Row],[ProductIndex]],Products[ID],Products[CSA Need])</f>
        <v>0</v>
      </c>
      <c r="ET268" s="208">
        <f>_xlfn.XLOOKUP(Crops[[#This Row],[ProductIndex]],Products[ID],Products[CSA Times])</f>
        <v>0</v>
      </c>
      <c r="EU268" s="208" t="e">
        <f>Crops[[#This Row],[Custom Yield Per Bed]]/(Crops[[#This Row],[CSA Need]]*(_xlfn.XLOOKUP(Crops[[#This Row],[ProductIndex]],Products[ID],Products[CSA Portion])*CSAMembers))</f>
        <v>#DIV/0!</v>
      </c>
      <c r="EV268" s="208">
        <f>_xlfn.XLOOKUP(Crops[[#This Row],[ProductIndex]],Products[ID],Products[CSA Portion])*CSAMembers*Crops[[#This Row],[CSA Need]]/Crops[[#This Row],[Custom Yield Per Bed]]</f>
        <v>0</v>
      </c>
      <c r="EW268" s="208">
        <f>IFERROR(Crops[[#This Row],[Days In Field]]*Crops[[#This Row],[CSA Beds]],"")</f>
        <v>0</v>
      </c>
      <c r="EX268" s="208" t="e">
        <f>Crops[[#This Row],[CSA Bed Days]]*#REF!</f>
        <v>#REF!</v>
      </c>
      <c r="EY268" t="s">
        <v>1742</v>
      </c>
    </row>
    <row r="269" spans="1:155">
      <c r="A269"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Rosemary - Mature Sprigs 6X | Pot TP </v>
      </c>
      <c r="B269" s="29"/>
      <c r="C269" s="1" t="b">
        <v>1</v>
      </c>
      <c r="D269" s="1"/>
      <c r="E269" s="1" t="b">
        <v>0</v>
      </c>
      <c r="F269" s="1" t="b">
        <f>IFERROR(IF(ISNUMBER(MATCH(Crops[[#This Row],[Identifier]],BedPlan[Crop], 0)), TRUE, FALSE), FALSE)</f>
        <v>0</v>
      </c>
      <c r="G269" s="1" t="b">
        <f>IFERROR(IF(ISNUMBER(MATCH(Crops[[#This Row],[Identifier]],BedPlan[Crop], 0)), TRUE, FALSE), FALSE)</f>
        <v>0</v>
      </c>
      <c r="H269" s="1"/>
      <c r="I269" t="s">
        <v>1698</v>
      </c>
      <c r="J269" t="s">
        <v>145</v>
      </c>
      <c r="K269" t="s">
        <v>1700</v>
      </c>
      <c r="M269" t="s">
        <v>442</v>
      </c>
      <c r="N269" t="str">
        <f>Crops[[#This Row],[Crop]]</f>
        <v>Rosemary</v>
      </c>
      <c r="O269" t="s">
        <v>1701</v>
      </c>
      <c r="P269" t="str">
        <f>IF(OR(Crops[[#This Row],[Days in Cells]]="",Crops[[#This Row],[Days in Cells]]=0), "DS","TP")</f>
        <v>TP</v>
      </c>
      <c r="V269" t="str">
        <f xml:space="preserve"> IF(Crops[[#This Row],[Sp]], "Sp", "") &amp; IF(Crops[[#This Row],[Su]], "Su", "") &amp; IF(Crops[[#This Row],[Fa]], "Fa", "") &amp; IF(Crops[[#This Row],[Wi]], "Wi", "") &amp; IF(Crops[[#This Row],[OW]], "Ow","")</f>
        <v/>
      </c>
      <c r="X269">
        <v>1</v>
      </c>
      <c r="Y269">
        <v>24</v>
      </c>
      <c r="AB269" t="b">
        <v>1</v>
      </c>
      <c r="AD269" s="32">
        <f>IFERROR(12/Crops[[#This Row],[Spacing]]*Crops[[#This Row],[Rows]]*BedLength,"")</f>
        <v>25</v>
      </c>
      <c r="AE269">
        <v>6</v>
      </c>
      <c r="AG269">
        <f>IF(Crops[[#This Row],[Custom Safety Factor]]="",PlantingSafetyFactor,Crops[[#This Row],[Custom Safety Factor]])</f>
        <v>1.3</v>
      </c>
      <c r="AH269">
        <f>1</f>
        <v>1</v>
      </c>
      <c r="AI269" s="37">
        <f>IFERROR(Crops[[#This Row],[Plantings Per Bed]]*Crops[[#This Row],[Seeds Per Planting]]*Crops[[#This Row],[Safety Factor]]*Crops[[#This Row],[Seeding Factor]],"")</f>
        <v>195</v>
      </c>
      <c r="AJ269">
        <v>20</v>
      </c>
      <c r="AK269">
        <v>30</v>
      </c>
      <c r="AL269">
        <f>_xlfn.FLOOR.MATH(IFERROR(AVERAGE(Crops[[#This Row],[DTG Lower]:[DTG Upper]]),0))</f>
        <v>25</v>
      </c>
      <c r="AM269">
        <f>6*30</f>
        <v>180</v>
      </c>
      <c r="AP269">
        <v>240</v>
      </c>
      <c r="AQ269">
        <f>IFERROR(_xlfn.FLOOR.MATH(AVERAGE(Crops[[#This Row],[DTM Lower]:[DTM Upper]])),"")</f>
        <v>240</v>
      </c>
      <c r="AR269" cm="1">
        <f t="array" ref="AR269">_xlfn.SWITCH(Crops[[#This Row],[Normal Method]],"DS",Crops[[#This Row],[Days to Germination]]+Crops[[#This Row],[DTM]] + IF(Crops[[#This Row],[Days in Cells]]&gt;0,15,0), "TP",Crops[[#This Row],[DTM]]+Crops[[#This Row],[Days in Cells]] + IF(Crops[[#This Row],[Days in Cells]]&lt;=0,20,0), "X", Crops[[#This Row],[DTM]])</f>
        <v>240</v>
      </c>
      <c r="AS269" t="s">
        <v>347</v>
      </c>
      <c r="AT269">
        <f>(Crops[[#This Row],[Harvests]]-1)*Crops[[#This Row],[Days Between Harvest]]+7</f>
        <v>7</v>
      </c>
      <c r="AU269">
        <f>Crops[[#This Row],[STH]]-Crops[[#This Row],[Days in Cells]]+Crops[[#This Row],[Harvest window]]</f>
        <v>67</v>
      </c>
      <c r="AX269">
        <v>18</v>
      </c>
      <c r="AY269">
        <f>6*30</f>
        <v>180</v>
      </c>
      <c r="AZ269">
        <f>IFERROR(IF(Crops[[#This Row],[Tray 1 Days]]=0,"",Crops[[#This Row],[Plantings Per Bed]]/Crops[[#This Row],[Tray 1 Size]]*Crops[[#This Row],[Safety Factor]]),"")</f>
        <v>1.8055555555555556</v>
      </c>
      <c r="BC269" t="str">
        <f>IFERROR(IF(Crops[[#This Row],[Tray 2 Days]]=0,"",Crops[[#This Row],[Plantings Per Bed]]/Crops[[#This Row],[Tray 2 Size]]*Crops[[#This Row],[Safety Factor]]),"")</f>
        <v/>
      </c>
      <c r="BE269" s="32" t="str">
        <f>IF(NOT(ISBLANK(Crops[[#This Row],[Tray 3 Size]])), Crops[[#This Row],[Days in Cells Old]]-SUM(Crops[[#This Row],[Tray 1 Days]],Crops[[#This Row],[Tray 2 Days]]), "")</f>
        <v/>
      </c>
      <c r="BF269" t="str">
        <f>IFERROR(IF(Crops[[#This Row],[Tray 3 Days]]=0,"",Crops[[#This Row],[Plantings Per Bed]]/Crops[[#This Row],[Tray 3 Size]]*Crops[[#This Row],[Safety Factor]]),"")</f>
        <v/>
      </c>
      <c r="BJ269" s="37" t="e">
        <f>_xlfn.XLOOKUP(Crops[[#This Row],[ProductIndex]],Products[ID],Products[Holding Period])</f>
        <v>#N/A</v>
      </c>
      <c r="BK269" s="33"/>
      <c r="BL269" s="37">
        <f>Crops[[#This Row],[Units Per Harvest]]*Crops[[#This Row],[Harvests]]</f>
        <v>0</v>
      </c>
      <c r="BN269" s="211">
        <f>Crops[[#This Row],[Direct Price]]*0.6</f>
        <v>0</v>
      </c>
      <c r="BO269" s="211"/>
      <c r="BP269" t="s">
        <v>215</v>
      </c>
      <c r="BQ269">
        <f>Crops[[#This Row],[Custom Yield Per Bed]]*Crops[[#This Row],[Direct Price]]</f>
        <v>0</v>
      </c>
      <c r="BS269" t="b">
        <f>Crops[[#This Row],[Harvests]]&gt;1</f>
        <v>0</v>
      </c>
      <c r="BT269" s="36">
        <f>IFERROR(Crops[[#This Row],[Direct Revenue Per Bed]]/Crops[[#This Row],[Days In Field]],-1)</f>
        <v>0</v>
      </c>
      <c r="BU269" s="36">
        <f>IFERROR(Crops[[#This Row],[Direct Revenue Per Bed Day]]*GrowingDays*BedsPerAcre,"")</f>
        <v>0</v>
      </c>
      <c r="BV269" s="38">
        <f>LastFrostDate-5*Crops[[#This Row],[Sewing Rel Last Frost]]</f>
        <v>45683</v>
      </c>
      <c r="BW269" s="38">
        <f>Crops[[#This Row],[Target Sewing Date]]+Crops[[#This Row],[Days in Cells]]</f>
        <v>45863</v>
      </c>
      <c r="BX269" s="38">
        <f>Crops[[#This Row],[Target Sewing Date]]+Crops[[#This Row],[STH]]</f>
        <v>45923</v>
      </c>
      <c r="BY269" s="38">
        <f>Crops[[#This Row],[Target Harvest Data]]+Crops[[#This Row],[Harvest window]]</f>
        <v>45930</v>
      </c>
      <c r="BZ269">
        <v>13</v>
      </c>
      <c r="CB269">
        <f>1</f>
        <v>1</v>
      </c>
      <c r="CC269">
        <f>IF(Crops[[#This Row],[Transplanting]]&gt;0, 2, 3)*BedLength/StandardBedLength</f>
        <v>1</v>
      </c>
      <c r="CD269" s="173">
        <f>IF(Crops[[#This Row],[Days in Cells]]&lt;=0,0,Crops[[#This Row],[Plantings Per Bed]]/StartsPerHourSeeding+Crops[[#This Row],[Tray 1 Count]]*5/60)</f>
        <v>0.24811921296296297</v>
      </c>
      <c r="CE269" s="173">
        <f>IF(ISBLANK(Crops[[#This Row],[Tray 2 Days]]),0,Crops[[#This Row],[Plantings Per Bed]]/UpPottingPerHour)+IF(Crops[[#This Row],[Tray 3 Days]]="",0,Crops[[#This Row],[Plantings Per Bed]]/UpPottingPerHour)</f>
        <v>0</v>
      </c>
      <c r="CF269" s="173">
        <f>IFERROR(Crops[[#This Row],[Tray 1 Count]]/HomeStartFlatIrrigationPerHour,0)*Crops[[#This Row],[Days in Cells]]/DaysBetweenStartIrrigation</f>
        <v>1.3541666666666667</v>
      </c>
      <c r="CG269" s="173">
        <f>0.5/16*MAX(Crops[[#This Row],[Tray 1 Count]],Crops[[#This Row],[Tray 2 Count]],Crops[[#This Row],[Tray 3 Count]])</f>
        <v>5.6423611111111112E-2</v>
      </c>
      <c r="CH269" s="173">
        <f>IF(Crops[[#This Row],[Days in Cells]]&gt;0,IF(IF(Crops[[#This Row],[Tray 3 Size]]&gt;0,Crops[[#This Row],[Tray 3 Size]],IF(Crops[[#This Row],[Tray 2 Size]]&gt;0,Crops[[#This Row],[Tray 2 Size]],Crops[[#This Row],[Tray 1 Size]]))&lt;=18,LargeTransplantTime,SmallTransplantTime)*Crops[[#This Row],[Plantings Per Bed]],0)</f>
        <v>1.0416666666666665</v>
      </c>
      <c r="CI269" s="173"/>
      <c r="CJ269" s="173">
        <f>_xlfn.XLOOKUP(Crops[[#This Row],[Trellis Type]],TrellisMethods[Trellis Type],TrellisMethods[Hours],0,0)</f>
        <v>0</v>
      </c>
      <c r="CK269">
        <f>IF(Crops[[#This Row],[Days in Cells]]&lt;=0,Crops[[#This Row],[Rows]]*1/10,0)*BedLength/50</f>
        <v>0</v>
      </c>
      <c r="CL269" cm="1">
        <f t="array" ref="CL269">_xlfn.SWITCH(Crops[[#This Row],[Irrigation]],"DR", 0.5, "OH", 0.25,0)*BedLength/50</f>
        <v>0</v>
      </c>
      <c r="CM269">
        <f>IF(OR(ISBLANK(Crops[[#This Row],[Row Cover]]),Crops[[#This Row],[Row Cover]]="None"),0,1)*BedLength/50</f>
        <v>0</v>
      </c>
      <c r="CN269" s="173">
        <f>HoursPerWeedingPass*Crops[[#This Row],[Days In Field]]/14*Crops[[#This Row],[Rows]]+1*BedLength/50</f>
        <v>1.7976190476190474</v>
      </c>
      <c r="CQ269" s="37" t="e">
        <f>_xlfn.XLOOKUP(Crops[[#This Row],[Crop]]&amp;Crops[[#This Row],[Product]]&amp;Crops[[#This Row],[Unit]],Products[ID],Products[Marketing (hr)])*Crops[[#This Row],[Direct Revenue Per Bed]]/2000</f>
        <v>#N/A</v>
      </c>
      <c r="CR269" s="37" t="e">
        <f>_xlfn.XLOOKUP(Crops[[#This Row],[Crop]]&amp;Crops[[#This Row],[Product]]&amp;Crops[[#This Row],[Unit]],Products[ID],Products[Harvest (s)])*Crops[[#This Row],[Custom Yield Per Bed]]/3600</f>
        <v>#N/A</v>
      </c>
      <c r="CS269" s="37" t="e">
        <f>_xlfn.XLOOKUP(Crops[[#This Row],[Crop]]&amp;Crops[[#This Row],[Product]]&amp;Crops[[#This Row],[Unit]],Products[ID],Products[Bunch (s)])*Crops[[#This Row],[Custom Yield Per Bed]]/3600</f>
        <v>#N/A</v>
      </c>
      <c r="CT269" s="37" t="e">
        <f>_xlfn.XLOOKUP(Crops[[#This Row],[Crop]]&amp;Crops[[#This Row],[Product]]&amp;Crops[[#This Row],[Unit]],Products[ID],Products[Haul (s)])*Crops[[#This Row],[Custom Yield Per Bed]]/3600</f>
        <v>#N/A</v>
      </c>
      <c r="CU269" s="37" t="e">
        <f>_xlfn.XLOOKUP(Crops[[#This Row],[Crop]]&amp;Crops[[#This Row],[Product]]&amp;Crops[[#This Row],[Unit]],Products[ID],Products[Wash (s)])*Crops[[#This Row],[Custom Yield Per Bed]]/3600</f>
        <v>#N/A</v>
      </c>
      <c r="CV269" s="37" t="e">
        <f>_xlfn.XLOOKUP(Crops[[#This Row],[Crop]]&amp;Crops[[#This Row],[Product]]&amp;Crops[[#This Row],[Unit]],Products[ID],Products[Condition (s)])*Crops[[#This Row],[Custom Yield Per Bed]]/3600</f>
        <v>#N/A</v>
      </c>
      <c r="CW269" s="37" t="e">
        <f>_xlfn.XLOOKUP(Crops[[#This Row],[Crop]]&amp;Crops[[#This Row],[Product]]&amp;Crops[[#This Row],[Unit]],Products[ID],Products[Trim (s)])*Crops[[#This Row],[Custom Yield Per Bed]]/3600</f>
        <v>#N/A</v>
      </c>
      <c r="CX269" s="37" t="e">
        <f>_xlfn.XLOOKUP(Crops[[#This Row],[Crop]]&amp;Crops[[#This Row],[Product]]&amp;Crops[[#This Row],[Unit]],Products[ID],Products[Pack (s)])*Crops[[#This Row],[Custom Yield Per Bed]]/3600</f>
        <v>#N/A</v>
      </c>
      <c r="CY269" s="37" t="e">
        <f>_xlfn.XLOOKUP(Crops[[#This Row],[Crop]]&amp;Crops[[#This Row],[Product]]&amp;Crops[[#This Row],[Unit]],Products[ID],Products[Clean (s)])*Crops[[#This Row],[Custom Yield Per Bed]]/3600</f>
        <v>#N/A</v>
      </c>
      <c r="CZ269" s="37" t="e">
        <f>_xlfn.XLOOKUP(Crops[[#This Row],[Crop]]&amp;Crops[[#This Row],[Product]]&amp;Crops[[#This Row],[Unit]],Products[ID],Products[Rehandle (s)])*Crops[[#This Row],[Custom Yield Per Bed]]/3600</f>
        <v>#N/A</v>
      </c>
      <c r="DA269" s="37" t="e">
        <f>_xlfn.XLOOKUP(Crops[[#This Row],[Crop]]&amp;Crops[[#This Row],[Product]]&amp;Crops[[#This Row],[Unit]],Products[ID],Products[Market Transport (s)])*Crops[[#This Row],[Custom Yield Per Bed]]/3600</f>
        <v>#N/A</v>
      </c>
      <c r="DC269" s="37">
        <f>Crops[[#This Row],[Direct Revenue Per Bed2]]</f>
        <v>0</v>
      </c>
      <c r="DD269" s="173">
        <f>_xlfn.AGGREGATE(9,6,Crops[[#This Row],[Bed Prep]:[Remove Crop Residue]])</f>
        <v>5.4979952050264549</v>
      </c>
      <c r="DE269" s="173" t="e">
        <f>_xlfn.AGGREGATE(9,6,Crops[[#This Row],[Bed Prep]:[Remove Crop Residue]])-0.75*Crops[[#This Row],[Market &amp; Sell]]</f>
        <v>#N/A</v>
      </c>
      <c r="DF269" s="36">
        <f>Crops[[#This Row],[Direct Revenue Per Bed2]]/Crops[[#This Row],[Direct Time]]</f>
        <v>0</v>
      </c>
      <c r="DG269" s="36" t="e">
        <f>_xlfn.XLOOKUP(Crops[[#This Row],[ProductIndex]],Products[ID],Products[Packaging Cost])*(Crops[[#This Row],[Custom Yield Per Bed]]/_xlfn.XLOOKUP(Crops[[#This Row],[ProductIndex]],Products[ID],Products[Units Per Pack]))</f>
        <v>#N/A</v>
      </c>
      <c r="DH269" s="36"/>
      <c r="DI269" s="36"/>
      <c r="DJ269" s="36"/>
      <c r="DK269" s="36"/>
      <c r="DL269" s="36"/>
      <c r="DM269" s="37">
        <f>IFERROR(Crops[[#This Row],[Custom Yield Per Bed]]*Crops[[#This Row],[Direct Price]],"")</f>
        <v>0</v>
      </c>
      <c r="DN269" s="36">
        <f>Crops[[#This Row],[Direct Time]]*LaborRate</f>
        <v>137.44988012566137</v>
      </c>
      <c r="DO269" s="36">
        <f>SUM(Crops[[#This Row],[Irrigation Cost]])</f>
        <v>0</v>
      </c>
      <c r="DP269" s="36">
        <f>Crops[[#This Row],[Direct Labor Cost]]+Crops[[#This Row],[Direct Non-Labor Cost]]</f>
        <v>137.44988012566137</v>
      </c>
      <c r="DQ269" s="36">
        <f>Crops[[#This Row],[Direct Revenue Per Bed2]]-Crops[[#This Row],[Direct Total Cost]]</f>
        <v>-137.44988012566137</v>
      </c>
      <c r="DR269" s="36">
        <f>Crops[[#This Row],[Direct Profit]]*BedsPerAcre</f>
        <v>-21991.980820105819</v>
      </c>
      <c r="DS269" s="36">
        <f>Crops[[#This Row],[Direct Profit]]*BedsPerAcre*GrowingDays/Crops[[#This Row],[Days In Field]]</f>
        <v>-59082.933546552951</v>
      </c>
      <c r="DT269" s="36">
        <f>Crops[[#This Row],[Direct Profit]]/MIN(Crops[[#This Row],[Days In Field]],GrowingDays)</f>
        <v>-2.0514907481441993</v>
      </c>
      <c r="DU269" s="36">
        <f>Crops[[#This Row],[Direct Time]] * BedsPerAcre</f>
        <v>879.67923280423281</v>
      </c>
      <c r="DV269" s="36">
        <f>(Crops[[#This Row],[Direct Revenue Per Bed2]]-Crops[[#This Row],[Direct Non-Labor Cost]])/Crops[[#This Row],[Direct Time]]</f>
        <v>0</v>
      </c>
      <c r="DW269" s="37">
        <f>IFERROR(Crops[[#This Row],[Custom Yield Per Bed]]*Crops[[#This Row],[Rough Wholesale Price]],"")</f>
        <v>0</v>
      </c>
      <c r="DX269" s="36" t="e">
        <f>Crops[[#This Row],[Wholesale Time]]*LaborRate</f>
        <v>#N/A</v>
      </c>
      <c r="DY269" s="36" t="e">
        <f>SUM(Crops[[#This Row],[Packaging Costs]:[Irrigation Cost]])</f>
        <v>#N/A</v>
      </c>
      <c r="DZ269" s="36" t="e">
        <f>Crops[[#This Row],[Wholesale Labor Cost]]+Crops[[#This Row],[Wholesale Non-Labor Cost]]</f>
        <v>#N/A</v>
      </c>
      <c r="EA269" s="36" t="e">
        <f>Crops[[#This Row],[Wholesale Revenue Per Bed]]-Crops[[#This Row],[Wholesale Total Cost]]</f>
        <v>#N/A</v>
      </c>
      <c r="EB269" s="36" t="e">
        <f>Crops[[#This Row],[Wholesale Profit]]*BedsPerAcre</f>
        <v>#N/A</v>
      </c>
      <c r="EC269" s="36" t="e">
        <f>Crops[[#This Row],[Wholesale Profit]]*BedsPerAcre*GrowingDays/Crops[[#This Row],[Days In Field]]</f>
        <v>#N/A</v>
      </c>
      <c r="ED269" s="36" t="e">
        <f>Crops[[#This Row],[Wholesale Time]] * BedsPerAcre</f>
        <v>#N/A</v>
      </c>
      <c r="EE269" s="36" t="e">
        <f>Crops[[#This Row],[Wholesale Profit]]/MIN(Crops[[#This Row],[Days In Field]],GrowingDays)</f>
        <v>#N/A</v>
      </c>
      <c r="EF269" s="36" t="e">
        <f>(Crops[[#This Row],[Wholesale Revenue Per Bed]]-Crops[[#This Row],[Wholesale Non-Labor Cost]])/Crops[[#This Row],[Direct Time]]</f>
        <v>#N/A</v>
      </c>
      <c r="EG269" s="174" t="e">
        <f>Crops[[#This Row],[Packaging Costs]]/Crops[[#This Row],[Wholesale Revenue Per Bed]]</f>
        <v>#N/A</v>
      </c>
      <c r="EH269" s="36" t="str">
        <f>Crops[[#This Row],[Crop]]&amp;Crops[[#This Row],[Product]]&amp;Crops[[#This Row],[Unit]]</f>
        <v>RosemaryMature SprigsBunch</v>
      </c>
      <c r="EI269" s="36" t="e">
        <f>_xlfn.XLOOKUP(Crops[[#This Row],[ProductIndex]],Products[ID],Products[Target])</f>
        <v>#N/A</v>
      </c>
      <c r="EJ269" s="36">
        <f>Crops[[#This Row],[Custom Yield Per Bed]]</f>
        <v>0</v>
      </c>
      <c r="EK269" s="210" t="e">
        <f>Crops[[#This Row],[Units Per Harvest]]/Crops[[#This Row],[Days Between Harvest]]*7</f>
        <v>#DIV/0!</v>
      </c>
      <c r="EL269" s="210" t="e">
        <f>Crops[[#This Row],[Custom Yield Per Bed]]/_xlfn.XLOOKUP(Crops[[#This Row],[ProductIndex]],Products[ID],Products[CSA Portion])</f>
        <v>#N/A</v>
      </c>
      <c r="EM269" s="210" t="e">
        <f>Crops[[#This Row],[Units Per Harvest]]/Crops[[#This Row],[Days Between Harvest]]*7/_xlfn.XLOOKUP(Crops[[#This Row],[ProductIndex]],Products[ID],Products[CSA Portion])</f>
        <v>#DIV/0!</v>
      </c>
      <c r="EN269" s="210" t="e">
        <f>Crops[[#This Row],[CSA Portions Per Week]]/CSAMembers</f>
        <v>#DIV/0!</v>
      </c>
      <c r="EO269" s="210"/>
      <c r="EP269" s="210"/>
      <c r="EQ269" s="36"/>
      <c r="ER269" s="36">
        <f>Crops[[#This Row],[Harvests]]*Crops[[#This Row],[Days Between Harvest]]/7</f>
        <v>0</v>
      </c>
      <c r="ES269" s="208" t="e">
        <f>_xlfn.XLOOKUP(Crops[[#This Row],[ProductIndex]],Products[ID],Products[CSA Need])</f>
        <v>#N/A</v>
      </c>
      <c r="ET269" s="208" t="e">
        <f>_xlfn.XLOOKUP(Crops[[#This Row],[ProductIndex]],Products[ID],Products[CSA Times])</f>
        <v>#N/A</v>
      </c>
      <c r="EU269" s="208" t="e">
        <f>Crops[[#This Row],[Custom Yield Per Bed]]/(Crops[[#This Row],[CSA Need]]*(_xlfn.XLOOKUP(Crops[[#This Row],[ProductIndex]],Products[ID],Products[CSA Portion])*CSAMembers))</f>
        <v>#N/A</v>
      </c>
      <c r="EV269" s="208" t="e">
        <f>_xlfn.XLOOKUP(Crops[[#This Row],[ProductIndex]],Products[ID],Products[CSA Portion])*CSAMembers*Crops[[#This Row],[CSA Need]]/Crops[[#This Row],[Custom Yield Per Bed]]</f>
        <v>#N/A</v>
      </c>
      <c r="EW269" s="208" t="str">
        <f>IFERROR(Crops[[#This Row],[Days In Field]]*Crops[[#This Row],[CSA Beds]],"")</f>
        <v/>
      </c>
      <c r="EX269" s="208" t="e">
        <f>Crops[[#This Row],[CSA Bed Days]]*#REF!</f>
        <v>#VALUE!</v>
      </c>
      <c r="EY269" t="s">
        <v>1703</v>
      </c>
    </row>
    <row r="270" spans="1:155">
      <c r="A27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Rubeckia (Annual) - Mature Stem 1X | Field TP </v>
      </c>
      <c r="B270" s="189"/>
      <c r="C270" s="1" t="b">
        <v>0</v>
      </c>
      <c r="D270" s="1"/>
      <c r="E270" s="1" t="b">
        <v>0</v>
      </c>
      <c r="F270" s="1" t="b">
        <f>IFERROR(IF(ISNUMBER(MATCH(Crops[[#This Row],[Identifier]],BedPlan[Crop], 0)), TRUE, FALSE), FALSE)</f>
        <v>0</v>
      </c>
      <c r="G270" s="1" t="b">
        <f>IFERROR(IF(ISNUMBER(MATCH(Crops[[#This Row],[Identifier]],BedPlan[Crop], 0)), TRUE, FALSE), FALSE)</f>
        <v>0</v>
      </c>
      <c r="H270" s="1"/>
      <c r="I270" t="s">
        <v>140</v>
      </c>
      <c r="J270" t="s">
        <v>1522</v>
      </c>
      <c r="K270" t="s">
        <v>181</v>
      </c>
      <c r="M270" t="s">
        <v>406</v>
      </c>
      <c r="N270" t="str">
        <f>Crops[[#This Row],[Crop]]</f>
        <v>Rubeckia</v>
      </c>
      <c r="O270" t="s">
        <v>210</v>
      </c>
      <c r="P270" t="str">
        <f>IF(OR(Crops[[#This Row],[Days in Cells]]="",Crops[[#This Row],[Days in Cells]]=0), "DS","TP")</f>
        <v>TP</v>
      </c>
      <c r="V270" t="str">
        <f xml:space="preserve"> IF(Crops[[#This Row],[Sp]], "Sp", "") &amp; IF(Crops[[#This Row],[Su]], "Su", "") &amp; IF(Crops[[#This Row],[Fa]], "Fa", "") &amp; IF(Crops[[#This Row],[Wi]], "Wi", "") &amp; IF(Crops[[#This Row],[OW]], "Ow","")</f>
        <v/>
      </c>
      <c r="X270">
        <v>2</v>
      </c>
      <c r="Y270">
        <v>12</v>
      </c>
      <c r="AA270" t="s">
        <v>474</v>
      </c>
      <c r="AB270" t="b">
        <v>0</v>
      </c>
      <c r="AC270">
        <v>4</v>
      </c>
      <c r="AD270" s="32">
        <f>IFERROR(12/Crops[[#This Row],[Spacing]]*Crops[[#This Row],[Rows]]*BedLength,"")</f>
        <v>100</v>
      </c>
      <c r="AE270">
        <v>1</v>
      </c>
      <c r="AG270">
        <f>IF(Crops[[#This Row],[Custom Safety Factor]]="",PlantingSafetyFactor,Crops[[#This Row],[Custom Safety Factor]])</f>
        <v>1.3</v>
      </c>
      <c r="AH270">
        <f>1</f>
        <v>1</v>
      </c>
      <c r="AI270" s="33">
        <f>IFERROR(Crops[[#This Row],[Plantings Per Bed]]*Crops[[#This Row],[Seeds Per Planting]]*Crops[[#This Row],[Safety Factor]]*Crops[[#This Row],[Seeding Factor]],"")</f>
        <v>130</v>
      </c>
      <c r="AJ270">
        <v>7</v>
      </c>
      <c r="AK270">
        <v>18</v>
      </c>
      <c r="AL270">
        <f>_xlfn.FLOOR.MATH(IFERROR(AVERAGE(Crops[[#This Row],[DTG Lower]:[DTG Upper]]),0))</f>
        <v>12</v>
      </c>
      <c r="AM270">
        <f>SUM(Crops[[#This Row],[Tray 1 Days]],Crops[[#This Row],[Tray 2 Days]],Crops[[#This Row],[Tray 3 Days]])</f>
        <v>60</v>
      </c>
      <c r="AN270">
        <v>60</v>
      </c>
      <c r="AO270">
        <v>90</v>
      </c>
      <c r="AP270">
        <v>100</v>
      </c>
      <c r="AQ270">
        <f>IFERROR(_xlfn.FLOOR.MATH(AVERAGE(Crops[[#This Row],[DTM Lower]:[DTM Upper]])),"")</f>
        <v>95</v>
      </c>
      <c r="AR270" cm="1">
        <f t="array" ref="AR270">_xlfn.SWITCH(Crops[[#This Row],[Normal Method]],"DS",Crops[[#This Row],[Days to Germination]]+Crops[[#This Row],[DTM]] + IF(Crops[[#This Row],[Days in Cells]]&gt;0,15,0), "TP",Crops[[#This Row],[DTM]]+Crops[[#This Row],[Days in Cells]] + IF(Crops[[#This Row],[Days in Cells]]&lt;=0,20,0), "X", Crops[[#This Row],[DTM]])</f>
        <v>155</v>
      </c>
      <c r="AS270" t="s">
        <v>346</v>
      </c>
      <c r="AT270">
        <f>(Crops[[#This Row],[Harvests]]-1)*Crops[[#This Row],[Days Between Harvest]]+7</f>
        <v>84</v>
      </c>
      <c r="AU270">
        <f>Crops[[#This Row],[STH]]-Crops[[#This Row],[Days in Cells]]+Crops[[#This Row],[Harvest window]]</f>
        <v>179</v>
      </c>
      <c r="AW270">
        <v>128</v>
      </c>
      <c r="AX270">
        <v>128</v>
      </c>
      <c r="AY270">
        <v>60</v>
      </c>
      <c r="AZ270" s="49">
        <f>IFERROR(IF(Crops[[#This Row],[Tray 1 Days]]=0,"",Crops[[#This Row],[Plantings Per Bed]]/Crops[[#This Row],[Tray 1 Size]]*Crops[[#This Row],[Safety Factor]]),"")</f>
        <v>1.015625</v>
      </c>
      <c r="BC270" t="str">
        <f>IFERROR(IF(Crops[[#This Row],[Tray 2 Days]]=0,"",Crops[[#This Row],[Plantings Per Bed]]/Crops[[#This Row],[Tray 2 Size]]*Crops[[#This Row],[Safety Factor]]),"")</f>
        <v/>
      </c>
      <c r="BE270" s="32" t="str">
        <f>IF(NOT(ISBLANK(Crops[[#This Row],[Tray 3 Size]])), Crops[[#This Row],[Days in Cells Old]]-SUM(Crops[[#This Row],[Tray 1 Days]],Crops[[#This Row],[Tray 2 Days]]), "")</f>
        <v/>
      </c>
      <c r="BF270" s="49" t="str">
        <f>IFERROR(IF(Crops[[#This Row],[Tray 3 Days]]=0,"",Crops[[#This Row],[Plantings Per Bed]]/Crops[[#This Row],[Tray 3 Size]]*Crops[[#This Row],[Safety Factor]]),"")</f>
        <v/>
      </c>
      <c r="BG270" s="33">
        <f>Crops[[#This Row],[Plantings Per Bed]]*2</f>
        <v>200</v>
      </c>
      <c r="BH270" s="33">
        <v>12</v>
      </c>
      <c r="BI270" s="33">
        <v>7</v>
      </c>
      <c r="BJ270" s="33">
        <f>_xlfn.XLOOKUP(Crops[[#This Row],[ProductIndex]],Products[ID],Products[Holding Period])</f>
        <v>0</v>
      </c>
      <c r="BK270" s="33"/>
      <c r="BL270" s="33">
        <f>Crops[[#This Row],[Units Per Harvest]]*Crops[[#This Row],[Harvests]]</f>
        <v>2400</v>
      </c>
      <c r="BM270" s="35">
        <v>1</v>
      </c>
      <c r="BN270" s="35">
        <f>Crops[[#This Row],[Direct Price]]*0.6</f>
        <v>0.6</v>
      </c>
      <c r="BO270" s="35"/>
      <c r="BP270" t="s">
        <v>213</v>
      </c>
      <c r="BQ270">
        <f>Crops[[#This Row],[Custom Yield Per Bed]]*Crops[[#This Row],[Direct Price]]</f>
        <v>2400</v>
      </c>
      <c r="BR270" t="b">
        <v>0</v>
      </c>
      <c r="BS270" t="b">
        <f>Crops[[#This Row],[Harvests]]&gt;1</f>
        <v>1</v>
      </c>
      <c r="BT270" s="36">
        <f>IFERROR(Crops[[#This Row],[Direct Revenue Per Bed]]/Crops[[#This Row],[Days In Field]],-1)</f>
        <v>13.407821229050279</v>
      </c>
      <c r="BU270" s="36">
        <f>IFERROR(Crops[[#This Row],[Direct Revenue Per Bed Day]]*GrowingDays*BedsPerAcre,"")</f>
        <v>386145.251396648</v>
      </c>
      <c r="BV270" s="38">
        <f>LastFrostDate-5*Crops[[#This Row],[Sewing Rel Last Frost]]</f>
        <v>45723</v>
      </c>
      <c r="BW270" s="38">
        <f>Crops[[#This Row],[Target Sewing Date]]+Crops[[#This Row],[Days in Cells]]</f>
        <v>45783</v>
      </c>
      <c r="BX270" s="38">
        <f>Crops[[#This Row],[Target Sewing Date]]+Crops[[#This Row],[STH]]</f>
        <v>45878</v>
      </c>
      <c r="BY270" s="38">
        <f>Crops[[#This Row],[Target Harvest Data]]+Crops[[#This Row],[Harvest window]]</f>
        <v>45962</v>
      </c>
      <c r="BZ270">
        <v>5</v>
      </c>
      <c r="CB270">
        <f>1</f>
        <v>1</v>
      </c>
      <c r="CC270">
        <f>IF(Crops[[#This Row],[Transplanting]]&gt;0, 2, 3)*BedLength/StandardBedLength</f>
        <v>1</v>
      </c>
      <c r="CD270" s="173">
        <f>IF(Crops[[#This Row],[Days in Cells]]&lt;=0,0,Crops[[#This Row],[Plantings Per Bed]]/StartsPerHourSeeding+Crops[[#This Row],[Tray 1 Count]]*5/60)</f>
        <v>0.47526041666666669</v>
      </c>
      <c r="CE270" s="173">
        <f>IF(ISBLANK(Crops[[#This Row],[Tray 2 Days]]),0,Crops[[#This Row],[Plantings Per Bed]]/UpPottingPerHour)+IF(Crops[[#This Row],[Tray 3 Days]]="",0,Crops[[#This Row],[Plantings Per Bed]]/UpPottingPerHour)</f>
        <v>0</v>
      </c>
      <c r="CF270" s="173">
        <f>IFERROR(Crops[[#This Row],[Tray 1 Count]]/HomeStartFlatIrrigationPerHour,0)*Crops[[#This Row],[Days in Cells]]/DaysBetweenStartIrrigation</f>
        <v>0.25390625</v>
      </c>
      <c r="CG270" s="173">
        <f>0.5/16*MAX(Crops[[#This Row],[Tray 1 Count]],Crops[[#This Row],[Tray 2 Count]],Crops[[#This Row],[Tray 3 Count]])</f>
        <v>3.173828125E-2</v>
      </c>
      <c r="CH270" s="173">
        <f>IF(Crops[[#This Row],[Days in Cells]]&gt;0,IF(IF(Crops[[#This Row],[Tray 3 Size]]&gt;0,Crops[[#This Row],[Tray 3 Size]],IF(Crops[[#This Row],[Tray 2 Size]]&gt;0,Crops[[#This Row],[Tray 2 Size]],Crops[[#This Row],[Tray 1 Size]]))&lt;=18,LargeTransplantTime,SmallTransplantTime)*Crops[[#This Row],[Plantings Per Bed]],0)</f>
        <v>0.5</v>
      </c>
      <c r="CI270" s="173"/>
      <c r="CJ270" s="173">
        <f>_xlfn.XLOOKUP(Crops[[#This Row],[Trellis Type]],TrellisMethods[Trellis Type],TrellisMethods[Hours],0,0)</f>
        <v>0</v>
      </c>
      <c r="CK270">
        <f>IF(Crops[[#This Row],[Days in Cells]]&lt;=0,Crops[[#This Row],[Rows]]*1/10,0)*BedLength/50</f>
        <v>0</v>
      </c>
      <c r="CL270" cm="1">
        <f t="array" ref="CL270">_xlfn.SWITCH(Crops[[#This Row],[Irrigation]],"DR", 0.5, "OH", 0.25,0)*BedLength/50</f>
        <v>0</v>
      </c>
      <c r="CM270">
        <f>IF(OR(ISBLANK(Crops[[#This Row],[Row Cover]]),Crops[[#This Row],[Row Cover]]="None"),0,1)*BedLength/50</f>
        <v>0</v>
      </c>
      <c r="CN270" s="173">
        <f>HoursPerWeedingPass*Crops[[#This Row],[Days In Field]]/14*Crops[[#This Row],[Rows]]+1*BedLength/50</f>
        <v>5.2619047619047619</v>
      </c>
      <c r="CQ270" s="37">
        <f>_xlfn.XLOOKUP(Crops[[#This Row],[Crop]]&amp;Crops[[#This Row],[Product]]&amp;Crops[[#This Row],[Unit]],Products[ID],Products[Marketing (hr)])*Crops[[#This Row],[Direct Revenue Per Bed]]/2000</f>
        <v>7.2</v>
      </c>
      <c r="CR270" s="37">
        <f>_xlfn.XLOOKUP(Crops[[#This Row],[Crop]]&amp;Crops[[#This Row],[Product]]&amp;Crops[[#This Row],[Unit]],Products[ID],Products[Harvest (s)])*Crops[[#This Row],[Custom Yield Per Bed]]/3600</f>
        <v>3.3333333333333335</v>
      </c>
      <c r="CS270" s="37">
        <f>_xlfn.XLOOKUP(Crops[[#This Row],[Crop]]&amp;Crops[[#This Row],[Product]]&amp;Crops[[#This Row],[Unit]],Products[ID],Products[Bunch (s)])*Crops[[#This Row],[Custom Yield Per Bed]]/3600</f>
        <v>0</v>
      </c>
      <c r="CT270" s="37">
        <f>_xlfn.XLOOKUP(Crops[[#This Row],[Crop]]&amp;Crops[[#This Row],[Product]]&amp;Crops[[#This Row],[Unit]],Products[ID],Products[Haul (s)])*Crops[[#This Row],[Custom Yield Per Bed]]/3600</f>
        <v>1.2</v>
      </c>
      <c r="CU270" s="37">
        <f>_xlfn.XLOOKUP(Crops[[#This Row],[Crop]]&amp;Crops[[#This Row],[Product]]&amp;Crops[[#This Row],[Unit]],Products[ID],Products[Wash (s)])*Crops[[#This Row],[Custom Yield Per Bed]]/3600</f>
        <v>0</v>
      </c>
      <c r="CV270" s="37">
        <f>_xlfn.XLOOKUP(Crops[[#This Row],[Crop]]&amp;Crops[[#This Row],[Product]]&amp;Crops[[#This Row],[Unit]],Products[ID],Products[Condition (s)])*Crops[[#This Row],[Custom Yield Per Bed]]/3600</f>
        <v>0</v>
      </c>
      <c r="CW270" s="37">
        <f>_xlfn.XLOOKUP(Crops[[#This Row],[Crop]]&amp;Crops[[#This Row],[Product]]&amp;Crops[[#This Row],[Unit]],Products[ID],Products[Trim (s)])*Crops[[#This Row],[Custom Yield Per Bed]]/3600</f>
        <v>0</v>
      </c>
      <c r="CX270" s="37">
        <f>_xlfn.XLOOKUP(Crops[[#This Row],[Crop]]&amp;Crops[[#This Row],[Product]]&amp;Crops[[#This Row],[Unit]],Products[ID],Products[Pack (s)])*Crops[[#This Row],[Custom Yield Per Bed]]/3600</f>
        <v>2</v>
      </c>
      <c r="CY270" s="37">
        <f>_xlfn.XLOOKUP(Crops[[#This Row],[Crop]]&amp;Crops[[#This Row],[Product]]&amp;Crops[[#This Row],[Unit]],Products[ID],Products[Clean (s)])*Crops[[#This Row],[Custom Yield Per Bed]]/3600</f>
        <v>0</v>
      </c>
      <c r="CZ270" s="37">
        <f>_xlfn.XLOOKUP(Crops[[#This Row],[Crop]]&amp;Crops[[#This Row],[Product]]&amp;Crops[[#This Row],[Unit]],Products[ID],Products[Rehandle (s)])*Crops[[#This Row],[Custom Yield Per Bed]]/3600</f>
        <v>0</v>
      </c>
      <c r="DA270" s="37">
        <f>_xlfn.XLOOKUP(Crops[[#This Row],[Crop]]&amp;Crops[[#This Row],[Product]]&amp;Crops[[#This Row],[Unit]],Products[ID],Products[Market Transport (s)])*Crops[[#This Row],[Custom Yield Per Bed]]/3600</f>
        <v>3</v>
      </c>
      <c r="DC270" s="37">
        <f>Crops[[#This Row],[Direct Revenue Per Bed2]]</f>
        <v>2400</v>
      </c>
      <c r="DD270" s="173">
        <f>_xlfn.AGGREGATE(9,6,Crops[[#This Row],[Bed Prep]:[Remove Crop Residue]])</f>
        <v>24.256143043154761</v>
      </c>
      <c r="DE270" s="173">
        <f>_xlfn.AGGREGATE(9,6,Crops[[#This Row],[Bed Prep]:[Remove Crop Residue]])-0.75*Crops[[#This Row],[Market &amp; Sell]]</f>
        <v>18.856143043154759</v>
      </c>
      <c r="DF270" s="36">
        <f>Crops[[#This Row],[Direct Revenue Per Bed2]]/Crops[[#This Row],[Direct Time]]</f>
        <v>98.94400753368312</v>
      </c>
      <c r="DG270" s="36">
        <f>_xlfn.XLOOKUP(Crops[[#This Row],[ProductIndex]],Products[ID],Products[Packaging Cost])*(Crops[[#This Row],[Custom Yield Per Bed]]/_xlfn.XLOOKUP(Crops[[#This Row],[ProductIndex]],Products[ID],Products[Units Per Pack]))</f>
        <v>192</v>
      </c>
      <c r="DH270" s="36"/>
      <c r="DI270" s="36"/>
      <c r="DJ270" s="36"/>
      <c r="DK270" s="36"/>
      <c r="DL270" s="36"/>
      <c r="DM270" s="33">
        <f>IFERROR(Crops[[#This Row],[Custom Yield Per Bed]]*Crops[[#This Row],[Direct Price]],"")</f>
        <v>2400</v>
      </c>
      <c r="DN270" s="36">
        <f>Crops[[#This Row],[Direct Time]]*LaborRate</f>
        <v>606.40357607886904</v>
      </c>
      <c r="DO270" s="36">
        <f>SUM(Crops[[#This Row],[Irrigation Cost]])</f>
        <v>0</v>
      </c>
      <c r="DP270" s="36">
        <f>Crops[[#This Row],[Direct Labor Cost]]+Crops[[#This Row],[Direct Non-Labor Cost]]</f>
        <v>606.40357607886904</v>
      </c>
      <c r="DQ270" s="36">
        <f>Crops[[#This Row],[Direct Revenue Per Bed2]]-Crops[[#This Row],[Direct Total Cost]]</f>
        <v>1793.596423921131</v>
      </c>
      <c r="DR270" s="36">
        <f>Crops[[#This Row],[Direct Profit]]*BedsPerAcre</f>
        <v>286975.42782738095</v>
      </c>
      <c r="DS270" s="36">
        <f>Crops[[#This Row],[Direct Profit]]*BedsPerAcre*GrowingDays/Crops[[#This Row],[Days In Field]]</f>
        <v>288578.64250798081</v>
      </c>
      <c r="DT270" s="36">
        <f>Crops[[#This Row],[Direct Profit]]/MIN(Crops[[#This Row],[Days In Field]],GrowingDays)</f>
        <v>10.020091753749336</v>
      </c>
      <c r="DU270" s="36">
        <f>Crops[[#This Row],[Direct Time]] * BedsPerAcre</f>
        <v>3880.9828869047619</v>
      </c>
      <c r="DV270" s="36">
        <f>(Crops[[#This Row],[Direct Revenue Per Bed2]]-Crops[[#This Row],[Direct Non-Labor Cost]])/Crops[[#This Row],[Direct Time]]</f>
        <v>98.94400753368312</v>
      </c>
      <c r="DW270" s="33">
        <f>IFERROR(Crops[[#This Row],[Custom Yield Per Bed]]*Crops[[#This Row],[Rough Wholesale Price]],"")</f>
        <v>1440</v>
      </c>
      <c r="DX270" s="36">
        <f>Crops[[#This Row],[Wholesale Time]]*LaborRate</f>
        <v>471.40357607886898</v>
      </c>
      <c r="DY270" s="36">
        <f>SUM(Crops[[#This Row],[Packaging Costs]:[Irrigation Cost]])</f>
        <v>192</v>
      </c>
      <c r="DZ270" s="36">
        <f>Crops[[#This Row],[Wholesale Labor Cost]]+Crops[[#This Row],[Wholesale Non-Labor Cost]]</f>
        <v>663.40357607886904</v>
      </c>
      <c r="EA270" s="36">
        <f>Crops[[#This Row],[Wholesale Revenue Per Bed]]-Crops[[#This Row],[Wholesale Total Cost]]</f>
        <v>776.59642392113096</v>
      </c>
      <c r="EB270" s="36">
        <f>Crops[[#This Row],[Wholesale Profit]]*BedsPerAcre</f>
        <v>124255.42782738095</v>
      </c>
      <c r="EC270" s="36">
        <f>Crops[[#This Row],[Wholesale Profit]]*BedsPerAcre*GrowingDays/Crops[[#This Row],[Days In Field]]</f>
        <v>124949.59222865124</v>
      </c>
      <c r="ED270" s="36">
        <f>Crops[[#This Row],[Wholesale Time]] * BedsPerAcre</f>
        <v>3016.9828869047615</v>
      </c>
      <c r="EE270" s="36">
        <f>Crops[[#This Row],[Wholesale Profit]]/MIN(Crops[[#This Row],[Days In Field]],GrowingDays)</f>
        <v>4.3385275079392791</v>
      </c>
      <c r="EF270" s="36">
        <f>(Crops[[#This Row],[Wholesale Revenue Per Bed]]-Crops[[#This Row],[Wholesale Non-Labor Cost]])/Crops[[#This Row],[Direct Time]]</f>
        <v>51.45088391751522</v>
      </c>
      <c r="EG270" s="174">
        <f>Crops[[#This Row],[Packaging Costs]]/Crops[[#This Row],[Wholesale Revenue Per Bed]]</f>
        <v>0.13333333333333333</v>
      </c>
      <c r="EH270" s="36" t="str">
        <f>Crops[[#This Row],[Crop]]&amp;Crops[[#This Row],[Product]]&amp;Crops[[#This Row],[Unit]]</f>
        <v>RubeckiaMature StemStem</v>
      </c>
      <c r="EI270" s="36" t="b">
        <f>_xlfn.XLOOKUP(Crops[[#This Row],[ProductIndex]],Products[ID],Products[Target])</f>
        <v>1</v>
      </c>
      <c r="EJ270" s="36">
        <f>Crops[[#This Row],[Custom Yield Per Bed]]</f>
        <v>2400</v>
      </c>
      <c r="EK270" s="210">
        <f>Crops[[#This Row],[Units Per Harvest]]/Crops[[#This Row],[Days Between Harvest]]*7</f>
        <v>200</v>
      </c>
      <c r="EL270" s="210" t="e">
        <f>Crops[[#This Row],[Custom Yield Per Bed]]/_xlfn.XLOOKUP(Crops[[#This Row],[ProductIndex]],Products[ID],Products[CSA Portion])</f>
        <v>#DIV/0!</v>
      </c>
      <c r="EM270" s="210" t="e">
        <f>Crops[[#This Row],[Units Per Harvest]]/Crops[[#This Row],[Days Between Harvest]]*7/_xlfn.XLOOKUP(Crops[[#This Row],[ProductIndex]],Products[ID],Products[CSA Portion])</f>
        <v>#DIV/0!</v>
      </c>
      <c r="EN270" s="210" t="e">
        <f>Crops[[#This Row],[CSA Portions Per Week]]/CSAMembers</f>
        <v>#DIV/0!</v>
      </c>
      <c r="EO270" s="210"/>
      <c r="EP270" s="210"/>
      <c r="EQ270" s="36"/>
      <c r="ER270" s="36">
        <f>Crops[[#This Row],[Harvests]]*Crops[[#This Row],[Days Between Harvest]]/7</f>
        <v>12</v>
      </c>
      <c r="ES270" s="208">
        <f>_xlfn.XLOOKUP(Crops[[#This Row],[ProductIndex]],Products[ID],Products[CSA Need])</f>
        <v>0</v>
      </c>
      <c r="ET270" s="208">
        <f>_xlfn.XLOOKUP(Crops[[#This Row],[ProductIndex]],Products[ID],Products[CSA Times])</f>
        <v>0</v>
      </c>
      <c r="EU270" s="208" t="e">
        <f>Crops[[#This Row],[Custom Yield Per Bed]]/(Crops[[#This Row],[CSA Need]]*(_xlfn.XLOOKUP(Crops[[#This Row],[ProductIndex]],Products[ID],Products[CSA Portion])*CSAMembers))</f>
        <v>#DIV/0!</v>
      </c>
      <c r="EV270" s="208">
        <f>_xlfn.XLOOKUP(Crops[[#This Row],[ProductIndex]],Products[ID],Products[CSA Portion])*CSAMembers*Crops[[#This Row],[CSA Need]]/Crops[[#This Row],[Custom Yield Per Bed]]</f>
        <v>0</v>
      </c>
      <c r="EW270" s="208">
        <f>IFERROR(Crops[[#This Row],[Days In Field]]*Crops[[#This Row],[CSA Beds]],"")</f>
        <v>0</v>
      </c>
      <c r="EX270" s="208" t="e">
        <f>Crops[[#This Row],[CSA Bed Days]]*#REF!</f>
        <v>#REF!</v>
      </c>
      <c r="EY270" t="s">
        <v>1523</v>
      </c>
    </row>
    <row r="271" spans="1:155">
      <c r="A27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Rubeckia (Perennial) - Mature Stem 1X | Field PE </v>
      </c>
      <c r="B271" s="189"/>
      <c r="C271" s="1" t="b">
        <v>1</v>
      </c>
      <c r="D271" s="1"/>
      <c r="E271" s="1" t="b">
        <v>0</v>
      </c>
      <c r="F271" s="1" t="b">
        <f>IFERROR(IF(ISNUMBER(MATCH(Crops[[#This Row],[Identifier]],BedPlan[Crop], 0)), TRUE, FALSE), FALSE)</f>
        <v>0</v>
      </c>
      <c r="G271" s="1" t="b">
        <f>IFERROR(IF(ISNUMBER(MATCH(Crops[[#This Row],[Identifier]],BedPlan[Crop], 0)), TRUE, FALSE), FALSE)</f>
        <v>0</v>
      </c>
      <c r="H271" s="1"/>
      <c r="I271" t="s">
        <v>140</v>
      </c>
      <c r="J271" t="s">
        <v>1521</v>
      </c>
      <c r="K271" t="s">
        <v>181</v>
      </c>
      <c r="M271" t="s">
        <v>406</v>
      </c>
      <c r="N271" t="str">
        <f>Crops[[#This Row],[Crop]]</f>
        <v>Rubeckia</v>
      </c>
      <c r="O271" t="s">
        <v>210</v>
      </c>
      <c r="P271" t="s">
        <v>1524</v>
      </c>
      <c r="V271" t="str">
        <f xml:space="preserve"> IF(Crops[[#This Row],[Sp]], "Sp", "") &amp; IF(Crops[[#This Row],[Su]], "Su", "") &amp; IF(Crops[[#This Row],[Fa]], "Fa", "") &amp; IF(Crops[[#This Row],[Wi]], "Wi", "") &amp; IF(Crops[[#This Row],[OW]], "Ow","")</f>
        <v/>
      </c>
      <c r="X271">
        <v>2</v>
      </c>
      <c r="Y271">
        <v>12</v>
      </c>
      <c r="AA271" t="s">
        <v>474</v>
      </c>
      <c r="AB271" t="b">
        <v>0</v>
      </c>
      <c r="AC271">
        <v>4</v>
      </c>
      <c r="AD271" s="32">
        <f>IFERROR(12/Crops[[#This Row],[Spacing]]*Crops[[#This Row],[Rows]]*BedLength,"")</f>
        <v>100</v>
      </c>
      <c r="AE271">
        <v>1</v>
      </c>
      <c r="AI271" s="33">
        <f>IFERROR(Crops[[#This Row],[Plantings Per Bed]]*Crops[[#This Row],[Seeds Per Planting]]*Crops[[#This Row],[Safety Factor]]*Crops[[#This Row],[Seeding Factor]],"")</f>
        <v>0</v>
      </c>
      <c r="AL271">
        <f>_xlfn.FLOOR.MATH(IFERROR(AVERAGE(Crops[[#This Row],[DTG Lower]:[DTG Upper]]),0))</f>
        <v>0</v>
      </c>
      <c r="AM271">
        <f>SUM(Crops[[#This Row],[Tray 1 Days]],Crops[[#This Row],[Tray 2 Days]],Crops[[#This Row],[Tray 3 Days]])</f>
        <v>0</v>
      </c>
      <c r="AN271">
        <v>60</v>
      </c>
      <c r="AO271">
        <v>200</v>
      </c>
      <c r="AP271">
        <v>217</v>
      </c>
      <c r="AQ271">
        <f>IFERROR(_xlfn.FLOOR.MATH(AVERAGE(Crops[[#This Row],[DTM Lower]:[DTM Upper]])),"")</f>
        <v>208</v>
      </c>
      <c r="AR271" cm="1">
        <f t="array" ref="AR271">_xlfn.SWITCH(Crops[[#This Row],[Normal Method]],"DS",Crops[[#This Row],[Days to Germination]]+Crops[[#This Row],[DTM]] + IF(Crops[[#This Row],[Days in Cells]]&gt;0,15,0), "TP",Crops[[#This Row],[DTM]]+Crops[[#This Row],[Days in Cells]] + IF(Crops[[#This Row],[Days in Cells]]&lt;=0,20,0), "X", Crops[[#This Row],[DTM]])</f>
        <v>208</v>
      </c>
      <c r="AS271" t="s">
        <v>347</v>
      </c>
      <c r="AT271">
        <f>(Crops[[#This Row],[Harvests]]-1)*Crops[[#This Row],[Days Between Harvest]]+7</f>
        <v>84</v>
      </c>
      <c r="AU271">
        <f>Crops[[#This Row],[STH]]-Crops[[#This Row],[Days in Cells]]+Crops[[#This Row],[Harvest window]]</f>
        <v>292</v>
      </c>
      <c r="AW271">
        <v>128</v>
      </c>
      <c r="AZ271" s="49" t="str">
        <f>IFERROR(IF(Crops[[#This Row],[Tray 1 Days]]=0,"",Crops[[#This Row],[Plantings Per Bed]]/Crops[[#This Row],[Tray 1 Size]]*Crops[[#This Row],[Safety Factor]]),"")</f>
        <v/>
      </c>
      <c r="BC271" t="str">
        <f>IFERROR(IF(Crops[[#This Row],[Tray 2 Days]]=0,"",Crops[[#This Row],[Plantings Per Bed]]/Crops[[#This Row],[Tray 2 Size]]*Crops[[#This Row],[Safety Factor]]),"")</f>
        <v/>
      </c>
      <c r="BE271" s="32" t="str">
        <f>IF(NOT(ISBLANK(Crops[[#This Row],[Tray 3 Size]])), Crops[[#This Row],[Days in Cells Old]]-SUM(Crops[[#This Row],[Tray 1 Days]],Crops[[#This Row],[Tray 2 Days]]), "")</f>
        <v/>
      </c>
      <c r="BF271" s="49" t="str">
        <f>IFERROR(IF(Crops[[#This Row],[Tray 3 Days]]=0,"",Crops[[#This Row],[Plantings Per Bed]]/Crops[[#This Row],[Tray 3 Size]]*Crops[[#This Row],[Safety Factor]]),"")</f>
        <v/>
      </c>
      <c r="BG271" s="33">
        <f>Crops[[#This Row],[Plantings Per Bed]]*2</f>
        <v>200</v>
      </c>
      <c r="BH271" s="33">
        <v>12</v>
      </c>
      <c r="BI271" s="33">
        <v>7</v>
      </c>
      <c r="BJ271" s="33">
        <f>_xlfn.XLOOKUP(Crops[[#This Row],[ProductIndex]],Products[ID],Products[Holding Period])</f>
        <v>0</v>
      </c>
      <c r="BK271" s="33"/>
      <c r="BL271" s="33">
        <f>Crops[[#This Row],[Units Per Harvest]]*Crops[[#This Row],[Harvests]]</f>
        <v>2400</v>
      </c>
      <c r="BM271" s="35">
        <v>1</v>
      </c>
      <c r="BN271" s="35">
        <f>Crops[[#This Row],[Direct Price]]*0.6</f>
        <v>0.6</v>
      </c>
      <c r="BO271" s="35"/>
      <c r="BP271" t="s">
        <v>213</v>
      </c>
      <c r="BQ271">
        <f>Crops[[#This Row],[Custom Yield Per Bed]]*Crops[[#This Row],[Direct Price]]</f>
        <v>2400</v>
      </c>
      <c r="BR271" t="b">
        <v>0</v>
      </c>
      <c r="BS271" t="b">
        <f>Crops[[#This Row],[Harvests]]&gt;1</f>
        <v>1</v>
      </c>
      <c r="BT271" s="36">
        <f>IFERROR(Crops[[#This Row],[Direct Revenue Per Bed]]/Crops[[#This Row],[Days In Field]],-1)</f>
        <v>8.2191780821917817</v>
      </c>
      <c r="BU271" s="36">
        <f>IFERROR(Crops[[#This Row],[Direct Revenue Per Bed Day]]*GrowingDays*BedsPerAcre,"")</f>
        <v>236712.32876712334</v>
      </c>
      <c r="BV271" s="38">
        <f>LastFrostDate-5*Crops[[#This Row],[Sewing Rel Last Frost]]</f>
        <v>45683</v>
      </c>
      <c r="BW271" s="38">
        <f>Crops[[#This Row],[Target Sewing Date]]+Crops[[#This Row],[Days in Cells]]</f>
        <v>45683</v>
      </c>
      <c r="BX271" s="38">
        <f>Crops[[#This Row],[Target Sewing Date]]+Crops[[#This Row],[STH]]</f>
        <v>45891</v>
      </c>
      <c r="BY271" s="38">
        <f>Crops[[#This Row],[Target Harvest Data]]+Crops[[#This Row],[Harvest window]]</f>
        <v>45975</v>
      </c>
      <c r="BZ271">
        <v>13</v>
      </c>
      <c r="CB271">
        <f>1</f>
        <v>1</v>
      </c>
      <c r="CC271">
        <f>IF(Crops[[#This Row],[Transplanting]]&gt;0, 2, 3)*BedLength/StandardBedLength</f>
        <v>1.5</v>
      </c>
      <c r="CD271" s="173">
        <f>IF(Crops[[#This Row],[Days in Cells]]&lt;=0,0,Crops[[#This Row],[Plantings Per Bed]]/StartsPerHourSeeding+Crops[[#This Row],[Tray 1 Count]]*5/60)</f>
        <v>0</v>
      </c>
      <c r="CE271" s="173">
        <f>IF(ISBLANK(Crops[[#This Row],[Tray 2 Days]]),0,Crops[[#This Row],[Plantings Per Bed]]/UpPottingPerHour)+IF(Crops[[#This Row],[Tray 3 Days]]="",0,Crops[[#This Row],[Plantings Per Bed]]/UpPottingPerHour)</f>
        <v>0</v>
      </c>
      <c r="CF271" s="173">
        <f>IFERROR(Crops[[#This Row],[Tray 1 Count]]/HomeStartFlatIrrigationPerHour,0)*Crops[[#This Row],[Days in Cells]]/DaysBetweenStartIrrigation</f>
        <v>0</v>
      </c>
      <c r="CG271" s="173">
        <f>0.5/16*MAX(Crops[[#This Row],[Tray 1 Count]],Crops[[#This Row],[Tray 2 Count]],Crops[[#This Row],[Tray 3 Count]])</f>
        <v>0</v>
      </c>
      <c r="CH271" s="173">
        <f>IF(Crops[[#This Row],[Days in Cells]]&gt;0,IF(IF(Crops[[#This Row],[Tray 3 Size]]&gt;0,Crops[[#This Row],[Tray 3 Size]],IF(Crops[[#This Row],[Tray 2 Size]]&gt;0,Crops[[#This Row],[Tray 2 Size]],Crops[[#This Row],[Tray 1 Size]]))&lt;=18,LargeTransplantTime,SmallTransplantTime)*Crops[[#This Row],[Plantings Per Bed]],0)</f>
        <v>0</v>
      </c>
      <c r="CI271" s="173"/>
      <c r="CJ271" s="173">
        <f>_xlfn.XLOOKUP(Crops[[#This Row],[Trellis Type]],TrellisMethods[Trellis Type],TrellisMethods[Hours],0,0)</f>
        <v>0</v>
      </c>
      <c r="CK271">
        <f>IF(Crops[[#This Row],[Days in Cells]]&lt;=0,Crops[[#This Row],[Rows]]*1/10,0)*BedLength/50</f>
        <v>0.2</v>
      </c>
      <c r="CL271" cm="1">
        <f t="array" ref="CL271">_xlfn.SWITCH(Crops[[#This Row],[Irrigation]],"DR", 0.5, "OH", 0.25,0)*BedLength/50</f>
        <v>0</v>
      </c>
      <c r="CM271">
        <f>IF(OR(ISBLANK(Crops[[#This Row],[Row Cover]]),Crops[[#This Row],[Row Cover]]="None"),0,1)*BedLength/50</f>
        <v>0</v>
      </c>
      <c r="CN271" s="173">
        <f>HoursPerWeedingPass*Crops[[#This Row],[Days In Field]]/14*Crops[[#This Row],[Rows]]+1*BedLength/50</f>
        <v>7.9523809523809517</v>
      </c>
      <c r="CQ271" s="37">
        <f>_xlfn.XLOOKUP(Crops[[#This Row],[Crop]]&amp;Crops[[#This Row],[Product]]&amp;Crops[[#This Row],[Unit]],Products[ID],Products[Marketing (hr)])*Crops[[#This Row],[Direct Revenue Per Bed]]/2000</f>
        <v>7.2</v>
      </c>
      <c r="CR271" s="37">
        <f>_xlfn.XLOOKUP(Crops[[#This Row],[Crop]]&amp;Crops[[#This Row],[Product]]&amp;Crops[[#This Row],[Unit]],Products[ID],Products[Harvest (s)])*Crops[[#This Row],[Custom Yield Per Bed]]/3600</f>
        <v>3.3333333333333335</v>
      </c>
      <c r="CS271" s="37">
        <f>_xlfn.XLOOKUP(Crops[[#This Row],[Crop]]&amp;Crops[[#This Row],[Product]]&amp;Crops[[#This Row],[Unit]],Products[ID],Products[Bunch (s)])*Crops[[#This Row],[Custom Yield Per Bed]]/3600</f>
        <v>0</v>
      </c>
      <c r="CT271" s="37">
        <f>_xlfn.XLOOKUP(Crops[[#This Row],[Crop]]&amp;Crops[[#This Row],[Product]]&amp;Crops[[#This Row],[Unit]],Products[ID],Products[Haul (s)])*Crops[[#This Row],[Custom Yield Per Bed]]/3600</f>
        <v>1.2</v>
      </c>
      <c r="CU271" s="37">
        <f>_xlfn.XLOOKUP(Crops[[#This Row],[Crop]]&amp;Crops[[#This Row],[Product]]&amp;Crops[[#This Row],[Unit]],Products[ID],Products[Wash (s)])*Crops[[#This Row],[Custom Yield Per Bed]]/3600</f>
        <v>0</v>
      </c>
      <c r="CV271" s="37">
        <f>_xlfn.XLOOKUP(Crops[[#This Row],[Crop]]&amp;Crops[[#This Row],[Product]]&amp;Crops[[#This Row],[Unit]],Products[ID],Products[Condition (s)])*Crops[[#This Row],[Custom Yield Per Bed]]/3600</f>
        <v>0</v>
      </c>
      <c r="CW271" s="37">
        <f>_xlfn.XLOOKUP(Crops[[#This Row],[Crop]]&amp;Crops[[#This Row],[Product]]&amp;Crops[[#This Row],[Unit]],Products[ID],Products[Trim (s)])*Crops[[#This Row],[Custom Yield Per Bed]]/3600</f>
        <v>0</v>
      </c>
      <c r="CX271" s="37">
        <f>_xlfn.XLOOKUP(Crops[[#This Row],[Crop]]&amp;Crops[[#This Row],[Product]]&amp;Crops[[#This Row],[Unit]],Products[ID],Products[Pack (s)])*Crops[[#This Row],[Custom Yield Per Bed]]/3600</f>
        <v>2</v>
      </c>
      <c r="CY271" s="37">
        <f>_xlfn.XLOOKUP(Crops[[#This Row],[Crop]]&amp;Crops[[#This Row],[Product]]&amp;Crops[[#This Row],[Unit]],Products[ID],Products[Clean (s)])*Crops[[#This Row],[Custom Yield Per Bed]]/3600</f>
        <v>0</v>
      </c>
      <c r="CZ271" s="37">
        <f>_xlfn.XLOOKUP(Crops[[#This Row],[Crop]]&amp;Crops[[#This Row],[Product]]&amp;Crops[[#This Row],[Unit]],Products[ID],Products[Rehandle (s)])*Crops[[#This Row],[Custom Yield Per Bed]]/3600</f>
        <v>0</v>
      </c>
      <c r="DA271" s="37">
        <f>_xlfn.XLOOKUP(Crops[[#This Row],[Crop]]&amp;Crops[[#This Row],[Product]]&amp;Crops[[#This Row],[Unit]],Products[ID],Products[Market Transport (s)])*Crops[[#This Row],[Custom Yield Per Bed]]/3600</f>
        <v>3</v>
      </c>
      <c r="DC271" s="37">
        <f>Crops[[#This Row],[Direct Revenue Per Bed2]]</f>
        <v>2400</v>
      </c>
      <c r="DD271" s="173">
        <f>_xlfn.AGGREGATE(9,6,Crops[[#This Row],[Bed Prep]:[Remove Crop Residue]])</f>
        <v>26.385714285714283</v>
      </c>
      <c r="DE271" s="173">
        <f>_xlfn.AGGREGATE(9,6,Crops[[#This Row],[Bed Prep]:[Remove Crop Residue]])-0.75*Crops[[#This Row],[Market &amp; Sell]]</f>
        <v>20.98571428571428</v>
      </c>
      <c r="DF271" s="36">
        <f>Crops[[#This Row],[Direct Revenue Per Bed2]]/Crops[[#This Row],[Direct Time]]</f>
        <v>90.958310774228494</v>
      </c>
      <c r="DG271" s="36">
        <f>_xlfn.XLOOKUP(Crops[[#This Row],[ProductIndex]],Products[ID],Products[Packaging Cost])*(Crops[[#This Row],[Custom Yield Per Bed]]/_xlfn.XLOOKUP(Crops[[#This Row],[ProductIndex]],Products[ID],Products[Units Per Pack]))</f>
        <v>192</v>
      </c>
      <c r="DH271" s="36"/>
      <c r="DI271" s="36"/>
      <c r="DJ271" s="36"/>
      <c r="DK271" s="36"/>
      <c r="DL271" s="36"/>
      <c r="DM271" s="33">
        <f>IFERROR(Crops[[#This Row],[Custom Yield Per Bed]]*Crops[[#This Row],[Direct Price]],"")</f>
        <v>2400</v>
      </c>
      <c r="DN271" s="36">
        <f>Crops[[#This Row],[Direct Time]]*LaborRate</f>
        <v>659.64285714285711</v>
      </c>
      <c r="DO271" s="36">
        <f>SUM(Crops[[#This Row],[Irrigation Cost]])</f>
        <v>0</v>
      </c>
      <c r="DP271" s="36">
        <f>Crops[[#This Row],[Direct Labor Cost]]+Crops[[#This Row],[Direct Non-Labor Cost]]</f>
        <v>659.64285714285711</v>
      </c>
      <c r="DQ271" s="36">
        <f>Crops[[#This Row],[Direct Revenue Per Bed2]]-Crops[[#This Row],[Direct Total Cost]]</f>
        <v>1740.3571428571429</v>
      </c>
      <c r="DR271" s="36">
        <f>Crops[[#This Row],[Direct Profit]]*BedsPerAcre</f>
        <v>278457.14285714284</v>
      </c>
      <c r="DS271" s="36">
        <f>Crops[[#This Row],[Direct Profit]]*BedsPerAcre*GrowingDays/Crops[[#This Row],[Days In Field]]</f>
        <v>171651.66340508804</v>
      </c>
      <c r="DT271" s="36">
        <f>Crops[[#This Row],[Direct Profit]]/MIN(Crops[[#This Row],[Days In Field]],GrowingDays)</f>
        <v>9.6686507936507944</v>
      </c>
      <c r="DU271" s="36">
        <f>Crops[[#This Row],[Direct Time]] * BedsPerAcre</f>
        <v>4221.7142857142853</v>
      </c>
      <c r="DV271" s="36">
        <f>(Crops[[#This Row],[Direct Revenue Per Bed2]]-Crops[[#This Row],[Direct Non-Labor Cost]])/Crops[[#This Row],[Direct Time]]</f>
        <v>90.958310774228494</v>
      </c>
      <c r="DW271" s="33">
        <f>IFERROR(Crops[[#This Row],[Custom Yield Per Bed]]*Crops[[#This Row],[Rough Wholesale Price]],"")</f>
        <v>1440</v>
      </c>
      <c r="DX271" s="36">
        <f>Crops[[#This Row],[Wholesale Time]]*LaborRate</f>
        <v>524.642857142857</v>
      </c>
      <c r="DY271" s="36">
        <f>SUM(Crops[[#This Row],[Packaging Costs]:[Irrigation Cost]])</f>
        <v>192</v>
      </c>
      <c r="DZ271" s="36">
        <f>Crops[[#This Row],[Wholesale Labor Cost]]+Crops[[#This Row],[Wholesale Non-Labor Cost]]</f>
        <v>716.642857142857</v>
      </c>
      <c r="EA271" s="36">
        <f>Crops[[#This Row],[Wholesale Revenue Per Bed]]-Crops[[#This Row],[Wholesale Total Cost]]</f>
        <v>723.357142857143</v>
      </c>
      <c r="EB271" s="36">
        <f>Crops[[#This Row],[Wholesale Profit]]*BedsPerAcre</f>
        <v>115737.14285714288</v>
      </c>
      <c r="EC271" s="36">
        <f>Crops[[#This Row],[Wholesale Profit]]*BedsPerAcre*GrowingDays/Crops[[#This Row],[Days In Field]]</f>
        <v>71344.814090019587</v>
      </c>
      <c r="ED271" s="36">
        <f>Crops[[#This Row],[Wholesale Time]] * BedsPerAcre</f>
        <v>3357.7142857142849</v>
      </c>
      <c r="EE271" s="36">
        <f>Crops[[#This Row],[Wholesale Profit]]/MIN(Crops[[#This Row],[Days In Field]],GrowingDays)</f>
        <v>4.018650793650794</v>
      </c>
      <c r="EF271" s="36">
        <f>(Crops[[#This Row],[Wholesale Revenue Per Bed]]-Crops[[#This Row],[Wholesale Non-Labor Cost]])/Crops[[#This Row],[Direct Time]]</f>
        <v>47.298321602598811</v>
      </c>
      <c r="EG271" s="174">
        <f>Crops[[#This Row],[Packaging Costs]]/Crops[[#This Row],[Wholesale Revenue Per Bed]]</f>
        <v>0.13333333333333333</v>
      </c>
      <c r="EH271" s="36" t="str">
        <f>Crops[[#This Row],[Crop]]&amp;Crops[[#This Row],[Product]]&amp;Crops[[#This Row],[Unit]]</f>
        <v>RubeckiaMature StemStem</v>
      </c>
      <c r="EI271" s="36" t="b">
        <f>_xlfn.XLOOKUP(Crops[[#This Row],[ProductIndex]],Products[ID],Products[Target])</f>
        <v>1</v>
      </c>
      <c r="EJ271" s="36">
        <f>Crops[[#This Row],[Custom Yield Per Bed]]</f>
        <v>2400</v>
      </c>
      <c r="EK271" s="210">
        <f>Crops[[#This Row],[Units Per Harvest]]/Crops[[#This Row],[Days Between Harvest]]*7</f>
        <v>200</v>
      </c>
      <c r="EL271" s="210" t="e">
        <f>Crops[[#This Row],[Custom Yield Per Bed]]/_xlfn.XLOOKUP(Crops[[#This Row],[ProductIndex]],Products[ID],Products[CSA Portion])</f>
        <v>#DIV/0!</v>
      </c>
      <c r="EM271" s="210" t="e">
        <f>Crops[[#This Row],[Units Per Harvest]]/Crops[[#This Row],[Days Between Harvest]]*7/_xlfn.XLOOKUP(Crops[[#This Row],[ProductIndex]],Products[ID],Products[CSA Portion])</f>
        <v>#DIV/0!</v>
      </c>
      <c r="EN271" s="210" t="e">
        <f>Crops[[#This Row],[CSA Portions Per Week]]/CSAMembers</f>
        <v>#DIV/0!</v>
      </c>
      <c r="EO271" s="210"/>
      <c r="EP271" s="210"/>
      <c r="EQ271" s="36"/>
      <c r="ER271" s="36">
        <f>Crops[[#This Row],[Harvests]]*Crops[[#This Row],[Days Between Harvest]]/7</f>
        <v>12</v>
      </c>
      <c r="ES271" s="208">
        <f>_xlfn.XLOOKUP(Crops[[#This Row],[ProductIndex]],Products[ID],Products[CSA Need])</f>
        <v>0</v>
      </c>
      <c r="ET271" s="208">
        <f>_xlfn.XLOOKUP(Crops[[#This Row],[ProductIndex]],Products[ID],Products[CSA Times])</f>
        <v>0</v>
      </c>
      <c r="EU271" s="208" t="e">
        <f>Crops[[#This Row],[Custom Yield Per Bed]]/(Crops[[#This Row],[CSA Need]]*(_xlfn.XLOOKUP(Crops[[#This Row],[ProductIndex]],Products[ID],Products[CSA Portion])*CSAMembers))</f>
        <v>#DIV/0!</v>
      </c>
      <c r="EV271" s="208">
        <f>_xlfn.XLOOKUP(Crops[[#This Row],[ProductIndex]],Products[ID],Products[CSA Portion])*CSAMembers*Crops[[#This Row],[CSA Need]]/Crops[[#This Row],[Custom Yield Per Bed]]</f>
        <v>0</v>
      </c>
      <c r="EW271" s="208">
        <f>IFERROR(Crops[[#This Row],[Days In Field]]*Crops[[#This Row],[CSA Beds]],"")</f>
        <v>0</v>
      </c>
      <c r="EX271" s="208" t="e">
        <f>Crops[[#This Row],[CSA Bed Days]]*#REF!</f>
        <v>#REF!</v>
      </c>
      <c r="EY271" t="s">
        <v>306</v>
      </c>
    </row>
    <row r="272" spans="1:155">
      <c r="A27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Rutabaga - Mature Root 2X | Field TP Fa</v>
      </c>
      <c r="B272" s="191"/>
      <c r="C272" s="1" t="b">
        <v>1</v>
      </c>
      <c r="D272" s="1"/>
      <c r="E272" s="1" t="b">
        <v>0</v>
      </c>
      <c r="F272" s="1" t="b">
        <f>IFERROR(IF(ISNUMBER(MATCH(Crops[[#This Row],[Identifier]],BedPlan[Crop], 0)), TRUE, FALSE), FALSE)</f>
        <v>1</v>
      </c>
      <c r="G272" s="1" t="b">
        <f>IFERROR(IF(ISNUMBER(MATCH(Crops[[#This Row],[Identifier]],BedPlan[Crop], 0)), TRUE, FALSE), FALSE)</f>
        <v>1</v>
      </c>
      <c r="H272" s="1" t="b">
        <v>1</v>
      </c>
      <c r="I272" t="s">
        <v>118</v>
      </c>
      <c r="J272" t="s">
        <v>145</v>
      </c>
      <c r="K272" t="s">
        <v>185</v>
      </c>
      <c r="N272" t="str">
        <f>Crops[[#This Row],[Crop]]</f>
        <v>Rutabaga</v>
      </c>
      <c r="O272" t="s">
        <v>210</v>
      </c>
      <c r="P272" t="str">
        <f>IF(OR(Crops[[#This Row],[Days in Cells]]="",Crops[[#This Row],[Days in Cells]]=0), "DS","TP")</f>
        <v>TP</v>
      </c>
      <c r="S272" t="b">
        <v>1</v>
      </c>
      <c r="V272" t="str">
        <f xml:space="preserve"> IF(Crops[[#This Row],[Sp]], "Sp", "") &amp; IF(Crops[[#This Row],[Su]], "Su", "") &amp; IF(Crops[[#This Row],[Fa]], "Fa", "") &amp; IF(Crops[[#This Row],[Wi]], "Wi", "") &amp; IF(Crops[[#This Row],[OW]], "Ow","")</f>
        <v>Fa</v>
      </c>
      <c r="W272" t="s">
        <v>144</v>
      </c>
      <c r="X272">
        <v>3</v>
      </c>
      <c r="Y272">
        <v>12</v>
      </c>
      <c r="AA272" t="s">
        <v>475</v>
      </c>
      <c r="AD272" s="32">
        <f>IFERROR(12/Crops[[#This Row],[Spacing]]*Crops[[#This Row],[Rows]]*BedLength,"")</f>
        <v>150</v>
      </c>
      <c r="AE272">
        <v>2</v>
      </c>
      <c r="AG272">
        <f>IF(Crops[[#This Row],[Custom Safety Factor]]="",PlantingSafetyFactor,Crops[[#This Row],[Custom Safety Factor]])</f>
        <v>1.3</v>
      </c>
      <c r="AH272">
        <f>1</f>
        <v>1</v>
      </c>
      <c r="AI272" s="33">
        <f>IFERROR(Crops[[#This Row],[Plantings Per Bed]]*Crops[[#This Row],[Seeds Per Planting]]*Crops[[#This Row],[Safety Factor]]*Crops[[#This Row],[Seeding Factor]],"")</f>
        <v>390</v>
      </c>
      <c r="AL272">
        <f>_xlfn.FLOOR.MATH(IFERROR(AVERAGE(Crops[[#This Row],[DTG Lower]:[DTG Upper]]),0))</f>
        <v>0</v>
      </c>
      <c r="AM272">
        <f>SUM(Crops[[#This Row],[Tray 1 Days]],Crops[[#This Row],[Tray 2 Days]],Crops[[#This Row],[Tray 3 Days]])</f>
        <v>28</v>
      </c>
      <c r="AN272">
        <v>21</v>
      </c>
      <c r="AP272">
        <v>120</v>
      </c>
      <c r="AQ272">
        <f>IFERROR(_xlfn.FLOOR.MATH(AVERAGE(Crops[[#This Row],[DTM Lower]:[DTM Upper]])),"")</f>
        <v>120</v>
      </c>
      <c r="AR272" cm="1">
        <f t="array" ref="AR272">_xlfn.SWITCH(Crops[[#This Row],[Normal Method]],"DS",Crops[[#This Row],[Days to Germination]]+Crops[[#This Row],[DTM]] + IF(Crops[[#This Row],[Days in Cells]]&gt;0,15,0), "TP",Crops[[#This Row],[DTM]]+Crops[[#This Row],[Days in Cells]] + IF(Crops[[#This Row],[Days in Cells]]&lt;=0,20,0), "X", Crops[[#This Row],[DTM]])</f>
        <v>120</v>
      </c>
      <c r="AS272" t="s">
        <v>347</v>
      </c>
      <c r="AT272">
        <f>(Crops[[#This Row],[Harvests]]-1)*Crops[[#This Row],[Days Between Harvest]]+7</f>
        <v>21</v>
      </c>
      <c r="AU272">
        <f>Crops[[#This Row],[STH]]-Crops[[#This Row],[Days in Cells]]+Crops[[#This Row],[Harvest window]]</f>
        <v>113</v>
      </c>
      <c r="AW272">
        <v>128</v>
      </c>
      <c r="AX272">
        <v>128</v>
      </c>
      <c r="AY272">
        <v>28</v>
      </c>
      <c r="AZ272">
        <f>IFERROR(IF(Crops[[#This Row],[Tray 1 Days]]=0,"",Crops[[#This Row],[Plantings Per Bed]]/Crops[[#This Row],[Tray 1 Size]]*Crops[[#This Row],[Safety Factor]]),"")</f>
        <v>1.5234375</v>
      </c>
      <c r="BC272" t="str">
        <f>IFERROR(IF(Crops[[#This Row],[Tray 2 Days]]=0,"",Crops[[#This Row],[Plantings Per Bed]]/Crops[[#This Row],[Tray 2 Size]]*Crops[[#This Row],[Safety Factor]]),"")</f>
        <v/>
      </c>
      <c r="BE272" s="32" t="str">
        <f>IF(NOT(ISBLANK(Crops[[#This Row],[Tray 3 Size]])), Crops[[#This Row],[Days in Cells Old]]-SUM(Crops[[#This Row],[Tray 1 Days]],Crops[[#This Row],[Tray 2 Days]]), "")</f>
        <v/>
      </c>
      <c r="BF272" t="str">
        <f>IFERROR(IF(Crops[[#This Row],[Tray 3 Days]]=0,"",Crops[[#This Row],[Plantings Per Bed]]/Crops[[#This Row],[Tray 3 Size]]*Crops[[#This Row],[Safety Factor]]),"")</f>
        <v/>
      </c>
      <c r="BG272" s="33">
        <f>Crops[[#This Row],[Plantings Per Bed]]/Crops[[#This Row],[Harvests]]</f>
        <v>75</v>
      </c>
      <c r="BH272" s="33">
        <v>2</v>
      </c>
      <c r="BI272" s="33">
        <v>14</v>
      </c>
      <c r="BJ272" s="33">
        <f>_xlfn.XLOOKUP(Crops[[#This Row],[ProductIndex]],Products[ID],Products[Holding Period])</f>
        <v>0</v>
      </c>
      <c r="BK272" s="33"/>
      <c r="BL272" s="33">
        <f>Crops[[#This Row],[Units Per Harvest]]*Crops[[#This Row],[Harvests]]</f>
        <v>150</v>
      </c>
      <c r="BM272" s="35">
        <v>3.5</v>
      </c>
      <c r="BN272" s="35">
        <f>Crops[[#This Row],[Direct Price]]*0.6</f>
        <v>2.1</v>
      </c>
      <c r="BO272" s="35"/>
      <c r="BP272" t="s">
        <v>443</v>
      </c>
      <c r="BQ272">
        <f>Crops[[#This Row],[Custom Yield Per Bed]]*Crops[[#This Row],[Direct Price]]</f>
        <v>525</v>
      </c>
      <c r="BS272" t="b">
        <f>Crops[[#This Row],[Harvests]]&gt;1</f>
        <v>1</v>
      </c>
      <c r="BT272" s="36">
        <f>IFERROR(Crops[[#This Row],[Direct Revenue Per Bed]]/Crops[[#This Row],[Days In Field]],-1)</f>
        <v>4.6460176991150446</v>
      </c>
      <c r="BU272" s="36">
        <f>IFERROR(Crops[[#This Row],[Direct Revenue Per Bed Day]]*GrowingDays*BedsPerAcre,"")</f>
        <v>133805.30973451328</v>
      </c>
      <c r="BV272" s="38">
        <f>LastFrostDate-5*Crops[[#This Row],[Sewing Rel Last Frost]]</f>
        <v>45798</v>
      </c>
      <c r="BW272" s="38">
        <f>Crops[[#This Row],[Target Sewing Date]]+Crops[[#This Row],[Days in Cells]]</f>
        <v>45826</v>
      </c>
      <c r="BX272" s="38">
        <f>Crops[[#This Row],[Target Sewing Date]]+Crops[[#This Row],[STH]]</f>
        <v>45918</v>
      </c>
      <c r="BY272" s="38">
        <f>Crops[[#This Row],[Target Harvest Data]]+Crops[[#This Row],[Harvest window]]</f>
        <v>45939</v>
      </c>
      <c r="BZ272">
        <v>-10</v>
      </c>
      <c r="CA272" t="s">
        <v>373</v>
      </c>
      <c r="CB272">
        <f>1</f>
        <v>1</v>
      </c>
      <c r="CC272">
        <f>IF(Crops[[#This Row],[Transplanting]]&gt;0, 2, 3)*BedLength/StandardBedLength</f>
        <v>1</v>
      </c>
      <c r="CD272" s="173">
        <f>IF(Crops[[#This Row],[Days in Cells]]&lt;=0,0,Crops[[#This Row],[Plantings Per Bed]]/StartsPerHourSeeding+Crops[[#This Row],[Tray 1 Count]]*5/60)</f>
        <v>0.712890625</v>
      </c>
      <c r="CE272" s="173">
        <f>IF(ISBLANK(Crops[[#This Row],[Tray 2 Days]]),0,Crops[[#This Row],[Plantings Per Bed]]/UpPottingPerHour)+IF(Crops[[#This Row],[Tray 3 Days]]="",0,Crops[[#This Row],[Plantings Per Bed]]/UpPottingPerHour)</f>
        <v>0</v>
      </c>
      <c r="CF272" s="173">
        <f>IFERROR(Crops[[#This Row],[Tray 1 Count]]/HomeStartFlatIrrigationPerHour,0)*Crops[[#This Row],[Days in Cells]]/DaysBetweenStartIrrigation</f>
        <v>0.177734375</v>
      </c>
      <c r="CG272" s="173">
        <f>0.5/16*MAX(Crops[[#This Row],[Tray 1 Count]],Crops[[#This Row],[Tray 2 Count]],Crops[[#This Row],[Tray 3 Count]])</f>
        <v>4.7607421875E-2</v>
      </c>
      <c r="CH272" s="173">
        <f>IF(Crops[[#This Row],[Days in Cells]]&gt;0,IF(IF(Crops[[#This Row],[Tray 3 Size]]&gt;0,Crops[[#This Row],[Tray 3 Size]],IF(Crops[[#This Row],[Tray 2 Size]]&gt;0,Crops[[#This Row],[Tray 2 Size]],Crops[[#This Row],[Tray 1 Size]]))&lt;=18,LargeTransplantTime,SmallTransplantTime)*Crops[[#This Row],[Plantings Per Bed]],0)</f>
        <v>0.75</v>
      </c>
      <c r="CI272" s="173"/>
      <c r="CJ272" s="173">
        <f>_xlfn.XLOOKUP(Crops[[#This Row],[Trellis Type]],TrellisMethods[Trellis Type],TrellisMethods[Hours],0,0)</f>
        <v>0</v>
      </c>
      <c r="CK272">
        <f>IF(Crops[[#This Row],[Days in Cells]]&lt;=0,Crops[[#This Row],[Rows]]*1/10,0)*BedLength/50</f>
        <v>0</v>
      </c>
      <c r="CL272" cm="1">
        <f t="array" ref="CL272">_xlfn.SWITCH(Crops[[#This Row],[Irrigation]],"DR", 0.5, "OH", 0.25,0)*BedLength/50</f>
        <v>0</v>
      </c>
      <c r="CM272">
        <f>IF(OR(ISBLANK(Crops[[#This Row],[Row Cover]]),Crops[[#This Row],[Row Cover]]="None"),0,1)*BedLength/50</f>
        <v>1</v>
      </c>
      <c r="CN272" s="173">
        <f>HoursPerWeedingPass*Crops[[#This Row],[Days In Field]]/14*Crops[[#This Row],[Rows]]+1*BedLength/50</f>
        <v>5.0357142857142856</v>
      </c>
      <c r="CQ272" s="37">
        <f>_xlfn.XLOOKUP(Crops[[#This Row],[Crop]]&amp;Crops[[#This Row],[Product]]&amp;Crops[[#This Row],[Unit]],Products[ID],Products[Marketing (hr)])*Crops[[#This Row],[Direct Revenue Per Bed]]/2000</f>
        <v>1.05</v>
      </c>
      <c r="CR272" s="37">
        <f>_xlfn.XLOOKUP(Crops[[#This Row],[Crop]]&amp;Crops[[#This Row],[Product]]&amp;Crops[[#This Row],[Unit]],Products[ID],Products[Harvest (s)])*Crops[[#This Row],[Custom Yield Per Bed]]/3600</f>
        <v>0.41666666666666669</v>
      </c>
      <c r="CS272" s="37">
        <f>_xlfn.XLOOKUP(Crops[[#This Row],[Crop]]&amp;Crops[[#This Row],[Product]]&amp;Crops[[#This Row],[Unit]],Products[ID],Products[Bunch (s)])*Crops[[#This Row],[Custom Yield Per Bed]]/3600</f>
        <v>0</v>
      </c>
      <c r="CT272" s="37">
        <f>_xlfn.XLOOKUP(Crops[[#This Row],[Crop]]&amp;Crops[[#This Row],[Product]]&amp;Crops[[#This Row],[Unit]],Products[ID],Products[Haul (s)])*Crops[[#This Row],[Custom Yield Per Bed]]/3600</f>
        <v>9.375E-2</v>
      </c>
      <c r="CU272" s="37">
        <f>_xlfn.XLOOKUP(Crops[[#This Row],[Crop]]&amp;Crops[[#This Row],[Product]]&amp;Crops[[#This Row],[Unit]],Products[ID],Products[Wash (s)])*Crops[[#This Row],[Custom Yield Per Bed]]/3600</f>
        <v>0.625</v>
      </c>
      <c r="CV272" s="37">
        <f>_xlfn.XLOOKUP(Crops[[#This Row],[Crop]]&amp;Crops[[#This Row],[Product]]&amp;Crops[[#This Row],[Unit]],Products[ID],Products[Condition (s)])*Crops[[#This Row],[Custom Yield Per Bed]]/3600</f>
        <v>0</v>
      </c>
      <c r="CW272" s="37">
        <f>_xlfn.XLOOKUP(Crops[[#This Row],[Crop]]&amp;Crops[[#This Row],[Product]]&amp;Crops[[#This Row],[Unit]],Products[ID],Products[Trim (s)])*Crops[[#This Row],[Custom Yield Per Bed]]/3600</f>
        <v>0.20833333333333334</v>
      </c>
      <c r="CX272" s="37">
        <f>_xlfn.XLOOKUP(Crops[[#This Row],[Crop]]&amp;Crops[[#This Row],[Product]]&amp;Crops[[#This Row],[Unit]],Products[ID],Products[Pack (s)])*Crops[[#This Row],[Custom Yield Per Bed]]/3600</f>
        <v>0.125</v>
      </c>
      <c r="CY272" s="37">
        <f>_xlfn.XLOOKUP(Crops[[#This Row],[Crop]]&amp;Crops[[#This Row],[Product]]&amp;Crops[[#This Row],[Unit]],Products[ID],Products[Clean (s)])*Crops[[#This Row],[Custom Yield Per Bed]]/3600</f>
        <v>0</v>
      </c>
      <c r="CZ272" s="37">
        <f>_xlfn.XLOOKUP(Crops[[#This Row],[Crop]]&amp;Crops[[#This Row],[Product]]&amp;Crops[[#This Row],[Unit]],Products[ID],Products[Rehandle (s)])*Crops[[#This Row],[Custom Yield Per Bed]]/3600</f>
        <v>0</v>
      </c>
      <c r="DA272" s="37">
        <f>_xlfn.XLOOKUP(Crops[[#This Row],[Crop]]&amp;Crops[[#This Row],[Product]]&amp;Crops[[#This Row],[Unit]],Products[ID],Products[Market Transport (s)])*Crops[[#This Row],[Custom Yield Per Bed]]/3600</f>
        <v>0.234375</v>
      </c>
      <c r="DC272" s="37">
        <f>Crops[[#This Row],[Direct Revenue Per Bed2]]</f>
        <v>525</v>
      </c>
      <c r="DD272" s="173">
        <f>_xlfn.AGGREGATE(9,6,Crops[[#This Row],[Bed Prep]:[Remove Crop Residue]])</f>
        <v>11.477071707589285</v>
      </c>
      <c r="DE272" s="173">
        <f>_xlfn.AGGREGATE(9,6,Crops[[#This Row],[Bed Prep]:[Remove Crop Residue]])-0.75*Crops[[#This Row],[Market &amp; Sell]]</f>
        <v>10.689571707589286</v>
      </c>
      <c r="DF272" s="36">
        <f>Crops[[#This Row],[Direct Revenue Per Bed2]]/Crops[[#This Row],[Direct Time]]</f>
        <v>45.743375433721518</v>
      </c>
      <c r="DG272" s="36">
        <f>_xlfn.XLOOKUP(Crops[[#This Row],[ProductIndex]],Products[ID],Products[Packaging Cost])*(Crops[[#This Row],[Custom Yield Per Bed]]/_xlfn.XLOOKUP(Crops[[#This Row],[ProductIndex]],Products[ID],Products[Units Per Pack]))</f>
        <v>22.799999999999997</v>
      </c>
      <c r="DH272" s="36"/>
      <c r="DI272" s="36"/>
      <c r="DJ272" s="36"/>
      <c r="DK272" s="36"/>
      <c r="DL272" s="36"/>
      <c r="DM272" s="33">
        <f>IFERROR(Crops[[#This Row],[Custom Yield Per Bed]]*Crops[[#This Row],[Direct Price]],"")</f>
        <v>525</v>
      </c>
      <c r="DN272" s="36">
        <f>Crops[[#This Row],[Direct Time]]*LaborRate</f>
        <v>286.92679268973211</v>
      </c>
      <c r="DO272" s="36">
        <f>SUM(Crops[[#This Row],[Irrigation Cost]])</f>
        <v>0</v>
      </c>
      <c r="DP272" s="36">
        <f>Crops[[#This Row],[Direct Labor Cost]]+Crops[[#This Row],[Direct Non-Labor Cost]]</f>
        <v>286.92679268973211</v>
      </c>
      <c r="DQ272" s="36">
        <f>Crops[[#This Row],[Direct Revenue Per Bed2]]-Crops[[#This Row],[Direct Total Cost]]</f>
        <v>238.07320731026789</v>
      </c>
      <c r="DR272" s="36">
        <f>Crops[[#This Row],[Direct Profit]]*BedsPerAcre</f>
        <v>38091.713169642862</v>
      </c>
      <c r="DS272" s="36">
        <f>Crops[[#This Row],[Direct Profit]]*BedsPerAcre*GrowingDays/Crops[[#This Row],[Days In Field]]</f>
        <v>60677.065225979786</v>
      </c>
      <c r="DT272" s="36">
        <f>Crops[[#This Row],[Direct Profit]]/MIN(Crops[[#This Row],[Days In Field]],GrowingDays)</f>
        <v>2.1068425425687423</v>
      </c>
      <c r="DU272" s="36">
        <f>Crops[[#This Row],[Direct Time]] * BedsPerAcre</f>
        <v>1836.3314732142858</v>
      </c>
      <c r="DV272" s="36">
        <f>(Crops[[#This Row],[Direct Revenue Per Bed2]]-Crops[[#This Row],[Direct Non-Labor Cost]])/Crops[[#This Row],[Direct Time]]</f>
        <v>45.743375433721518</v>
      </c>
      <c r="DW272" s="33">
        <f>IFERROR(Crops[[#This Row],[Custom Yield Per Bed]]*Crops[[#This Row],[Rough Wholesale Price]],"")</f>
        <v>315</v>
      </c>
      <c r="DX272" s="36">
        <f>Crops[[#This Row],[Wholesale Time]]*LaborRate</f>
        <v>267.23929268973217</v>
      </c>
      <c r="DY272" s="36">
        <f>SUM(Crops[[#This Row],[Packaging Costs]:[Irrigation Cost]])</f>
        <v>22.799999999999997</v>
      </c>
      <c r="DZ272" s="36">
        <f>Crops[[#This Row],[Wholesale Labor Cost]]+Crops[[#This Row],[Wholesale Non-Labor Cost]]</f>
        <v>290.03929268973218</v>
      </c>
      <c r="EA272" s="36">
        <f>Crops[[#This Row],[Wholesale Revenue Per Bed]]-Crops[[#This Row],[Wholesale Total Cost]]</f>
        <v>24.960707310267821</v>
      </c>
      <c r="EB272" s="36">
        <f>Crops[[#This Row],[Wholesale Profit]]*BedsPerAcre</f>
        <v>3993.7131696428514</v>
      </c>
      <c r="EC272" s="36">
        <f>Crops[[#This Row],[Wholesale Profit]]*BedsPerAcre*GrowingDays/Crops[[#This Row],[Days In Field]]</f>
        <v>6361.666995891268</v>
      </c>
      <c r="ED272" s="36">
        <f>Crops[[#This Row],[Wholesale Time]] * BedsPerAcre</f>
        <v>1710.3314732142858</v>
      </c>
      <c r="EE272" s="36">
        <f>Crops[[#This Row],[Wholesale Profit]]/MIN(Crops[[#This Row],[Days In Field]],GrowingDays)</f>
        <v>0.22089121513511345</v>
      </c>
      <c r="EF272" s="36">
        <f>(Crops[[#This Row],[Wholesale Revenue Per Bed]]-Crops[[#This Row],[Wholesale Non-Labor Cost]])/Crops[[#This Row],[Direct Time]]</f>
        <v>25.459455812825574</v>
      </c>
      <c r="EG272" s="174">
        <f>Crops[[#This Row],[Packaging Costs]]/Crops[[#This Row],[Wholesale Revenue Per Bed]]</f>
        <v>7.2380952380952365E-2</v>
      </c>
      <c r="EH272" s="36" t="str">
        <f>Crops[[#This Row],[Crop]]&amp;Crops[[#This Row],[Product]]&amp;Crops[[#This Row],[Unit]]</f>
        <v>RutabagaMature RootRoot</v>
      </c>
      <c r="EI272" s="36" t="b">
        <f>_xlfn.XLOOKUP(Crops[[#This Row],[ProductIndex]],Products[ID],Products[Target])</f>
        <v>1</v>
      </c>
      <c r="EJ272" s="36">
        <f>Crops[[#This Row],[Custom Yield Per Bed]]</f>
        <v>150</v>
      </c>
      <c r="EK272" s="210">
        <f>Crops[[#This Row],[Units Per Harvest]]/Crops[[#This Row],[Days Between Harvest]]*7</f>
        <v>37.5</v>
      </c>
      <c r="EL272" s="210" t="e">
        <f>Crops[[#This Row],[Custom Yield Per Bed]]/_xlfn.XLOOKUP(Crops[[#This Row],[ProductIndex]],Products[ID],Products[CSA Portion])</f>
        <v>#DIV/0!</v>
      </c>
      <c r="EM272" s="210" t="e">
        <f>Crops[[#This Row],[Units Per Harvest]]/Crops[[#This Row],[Days Between Harvest]]*7/_xlfn.XLOOKUP(Crops[[#This Row],[ProductIndex]],Products[ID],Products[CSA Portion])</f>
        <v>#DIV/0!</v>
      </c>
      <c r="EN272" s="210" t="e">
        <f>Crops[[#This Row],[CSA Portions Per Week]]/CSAMembers</f>
        <v>#DIV/0!</v>
      </c>
      <c r="EO272" s="210"/>
      <c r="EP272" s="210"/>
      <c r="EQ272" s="36"/>
      <c r="ER272" s="36">
        <f>Crops[[#This Row],[Harvests]]*Crops[[#This Row],[Days Between Harvest]]/7</f>
        <v>4</v>
      </c>
      <c r="ES272" s="208">
        <f>_xlfn.XLOOKUP(Crops[[#This Row],[ProductIndex]],Products[ID],Products[CSA Need])</f>
        <v>0</v>
      </c>
      <c r="ET272" s="208">
        <f>_xlfn.XLOOKUP(Crops[[#This Row],[ProductIndex]],Products[ID],Products[CSA Times])</f>
        <v>0</v>
      </c>
      <c r="EU272" s="208" t="e">
        <f>Crops[[#This Row],[Custom Yield Per Bed]]/(Crops[[#This Row],[CSA Need]]*(_xlfn.XLOOKUP(Crops[[#This Row],[ProductIndex]],Products[ID],Products[CSA Portion])*CSAMembers))</f>
        <v>#DIV/0!</v>
      </c>
      <c r="EV272" s="208">
        <f>_xlfn.XLOOKUP(Crops[[#This Row],[ProductIndex]],Products[ID],Products[CSA Portion])*CSAMembers*Crops[[#This Row],[CSA Need]]/Crops[[#This Row],[Custom Yield Per Bed]]</f>
        <v>0</v>
      </c>
      <c r="EW272" s="208">
        <f>IFERROR(Crops[[#This Row],[Days In Field]]*Crops[[#This Row],[CSA Beds]],"")</f>
        <v>0</v>
      </c>
      <c r="EX272" s="208" t="e">
        <f>Crops[[#This Row],[CSA Bed Days]]*#REF!</f>
        <v>#REF!</v>
      </c>
      <c r="EY272" t="s">
        <v>1412</v>
      </c>
    </row>
    <row r="273" spans="1:155">
      <c r="A27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Rutabaga - Mature Root 2X | Field TP Ow</v>
      </c>
      <c r="B273" s="191"/>
      <c r="C273" s="1" t="b">
        <v>1</v>
      </c>
      <c r="D273" s="1"/>
      <c r="E273" s="1" t="b">
        <v>0</v>
      </c>
      <c r="F273" s="1" t="b">
        <f>IFERROR(IF(ISNUMBER(MATCH(Crops[[#This Row],[Identifier]],BedPlan[Crop], 0)), TRUE, FALSE), FALSE)</f>
        <v>0</v>
      </c>
      <c r="G273" s="1" t="b">
        <f>IFERROR(IF(ISNUMBER(MATCH(Crops[[#This Row],[Identifier]],BedPlan[Crop], 0)), TRUE, FALSE), FALSE)</f>
        <v>0</v>
      </c>
      <c r="H273" s="1" t="b">
        <v>1</v>
      </c>
      <c r="I273" t="s">
        <v>118</v>
      </c>
      <c r="J273" t="s">
        <v>145</v>
      </c>
      <c r="K273" t="s">
        <v>185</v>
      </c>
      <c r="M273" t="s">
        <v>443</v>
      </c>
      <c r="N273" t="str">
        <f>Crops[[#This Row],[Crop]]</f>
        <v>Rutabaga</v>
      </c>
      <c r="O273" t="s">
        <v>210</v>
      </c>
      <c r="P273" t="str">
        <f>IF(OR(Crops[[#This Row],[Days in Cells]]="",Crops[[#This Row],[Days in Cells]]=0), "DS","TP")</f>
        <v>TP</v>
      </c>
      <c r="U273" t="b">
        <v>1</v>
      </c>
      <c r="V273" t="str">
        <f xml:space="preserve"> IF(Crops[[#This Row],[Sp]], "Sp", "") &amp; IF(Crops[[#This Row],[Su]], "Su", "") &amp; IF(Crops[[#This Row],[Fa]], "Fa", "") &amp; IF(Crops[[#This Row],[Wi]], "Wi", "") &amp; IF(Crops[[#This Row],[OW]], "Ow","")</f>
        <v>Ow</v>
      </c>
      <c r="W273" t="s">
        <v>144</v>
      </c>
      <c r="X273">
        <v>3</v>
      </c>
      <c r="Y273">
        <v>12</v>
      </c>
      <c r="AA273" t="s">
        <v>475</v>
      </c>
      <c r="AB273" t="b">
        <v>1</v>
      </c>
      <c r="AC273">
        <v>2</v>
      </c>
      <c r="AD273" s="32">
        <f>IFERROR(12/Crops[[#This Row],[Spacing]]*Crops[[#This Row],[Rows]]*BedLength,"")</f>
        <v>150</v>
      </c>
      <c r="AE273">
        <v>2</v>
      </c>
      <c r="AG273">
        <f>IF(Crops[[#This Row],[Custom Safety Factor]]="",PlantingSafetyFactor,Crops[[#This Row],[Custom Safety Factor]])</f>
        <v>1.3</v>
      </c>
      <c r="AH273">
        <f>1</f>
        <v>1</v>
      </c>
      <c r="AI273" s="33">
        <f>IFERROR(Crops[[#This Row],[Plantings Per Bed]]*Crops[[#This Row],[Seeds Per Planting]]*Crops[[#This Row],[Safety Factor]]*Crops[[#This Row],[Seeding Factor]],"")</f>
        <v>390</v>
      </c>
      <c r="AL273">
        <f>_xlfn.FLOOR.MATH(IFERROR(AVERAGE(Crops[[#This Row],[DTG Lower]:[DTG Upper]]),0))</f>
        <v>0</v>
      </c>
      <c r="AM273">
        <f>SUM(Crops[[#This Row],[Tray 1 Days]],Crops[[#This Row],[Tray 2 Days]],Crops[[#This Row],[Tray 3 Days]])</f>
        <v>28</v>
      </c>
      <c r="AN273">
        <v>21</v>
      </c>
      <c r="AP273">
        <v>270</v>
      </c>
      <c r="AQ273">
        <f>IFERROR(_xlfn.FLOOR.MATH(AVERAGE(Crops[[#This Row],[DTM Lower]:[DTM Upper]])),"")</f>
        <v>270</v>
      </c>
      <c r="AR273" cm="1">
        <f t="array" ref="AR273">_xlfn.SWITCH(Crops[[#This Row],[Normal Method]],"DS",Crops[[#This Row],[Days to Germination]]+Crops[[#This Row],[DTM]] + IF(Crops[[#This Row],[Days in Cells]]&gt;0,15,0), "TP",Crops[[#This Row],[DTM]]+Crops[[#This Row],[Days in Cells]] + IF(Crops[[#This Row],[Days in Cells]]&lt;=0,20,0), "X", Crops[[#This Row],[DTM]])</f>
        <v>270</v>
      </c>
      <c r="AS273" t="s">
        <v>347</v>
      </c>
      <c r="AT273">
        <f>(Crops[[#This Row],[Harvests]]-1)*Crops[[#This Row],[Days Between Harvest]]+7</f>
        <v>21</v>
      </c>
      <c r="AU273">
        <f>Crops[[#This Row],[STH]]-Crops[[#This Row],[Days in Cells]]+Crops[[#This Row],[Harvest window]]</f>
        <v>263</v>
      </c>
      <c r="AW273">
        <v>128</v>
      </c>
      <c r="AX273">
        <v>128</v>
      </c>
      <c r="AY273">
        <v>28</v>
      </c>
      <c r="AZ273">
        <f>IFERROR(IF(Crops[[#This Row],[Tray 1 Days]]=0,"",Crops[[#This Row],[Plantings Per Bed]]/Crops[[#This Row],[Tray 1 Size]]*Crops[[#This Row],[Safety Factor]]),"")</f>
        <v>1.5234375</v>
      </c>
      <c r="BC273" t="str">
        <f>IFERROR(IF(Crops[[#This Row],[Tray 2 Days]]=0,"",Crops[[#This Row],[Plantings Per Bed]]/Crops[[#This Row],[Tray 2 Size]]*Crops[[#This Row],[Safety Factor]]),"")</f>
        <v/>
      </c>
      <c r="BE273" s="32" t="str">
        <f>IF(NOT(ISBLANK(Crops[[#This Row],[Tray 3 Size]])), Crops[[#This Row],[Days in Cells Old]]-SUM(Crops[[#This Row],[Tray 1 Days]],Crops[[#This Row],[Tray 2 Days]]), "")</f>
        <v/>
      </c>
      <c r="BF273" t="str">
        <f>IFERROR(IF(Crops[[#This Row],[Tray 3 Days]]=0,"",Crops[[#This Row],[Plantings Per Bed]]/Crops[[#This Row],[Tray 3 Size]]*Crops[[#This Row],[Safety Factor]]),"")</f>
        <v/>
      </c>
      <c r="BG273" s="33">
        <f>Crops[[#This Row],[Plantings Per Bed]]/Crops[[#This Row],[Harvests]]*1.5</f>
        <v>112.5</v>
      </c>
      <c r="BH273" s="33">
        <v>2</v>
      </c>
      <c r="BI273" s="33">
        <v>14</v>
      </c>
      <c r="BJ273" s="33">
        <f>_xlfn.XLOOKUP(Crops[[#This Row],[ProductIndex]],Products[ID],Products[Holding Period])</f>
        <v>0</v>
      </c>
      <c r="BK273" s="33"/>
      <c r="BL273" s="33">
        <f>Crops[[#This Row],[Units Per Harvest]]*Crops[[#This Row],[Harvests]]</f>
        <v>225</v>
      </c>
      <c r="BM273" s="35">
        <v>3.5</v>
      </c>
      <c r="BN273" s="35">
        <f>Crops[[#This Row],[Direct Price]]*0.6</f>
        <v>2.1</v>
      </c>
      <c r="BO273" s="35"/>
      <c r="BP273" t="s">
        <v>443</v>
      </c>
      <c r="BQ273">
        <f>Crops[[#This Row],[Custom Yield Per Bed]]*Crops[[#This Row],[Direct Price]]</f>
        <v>787.5</v>
      </c>
      <c r="BS273" t="b">
        <f>Crops[[#This Row],[Harvests]]&gt;1</f>
        <v>1</v>
      </c>
      <c r="BT273" s="36">
        <f>IFERROR(Crops[[#This Row],[Direct Revenue Per Bed]]/Crops[[#This Row],[Days In Field]],-1)</f>
        <v>2.9942965779467681</v>
      </c>
      <c r="BU273" s="36">
        <f>IFERROR(Crops[[#This Row],[Direct Revenue Per Bed Day]]*GrowingDays*BedsPerAcre,"")</f>
        <v>86235.74144486693</v>
      </c>
      <c r="BV273" s="38">
        <f>LastFrostDate-5*Crops[[#This Row],[Sewing Rel Last Frost]]</f>
        <v>45798</v>
      </c>
      <c r="BW273" s="38">
        <f>Crops[[#This Row],[Target Sewing Date]]+Crops[[#This Row],[Days in Cells]]</f>
        <v>45826</v>
      </c>
      <c r="BX273" s="38">
        <f>Crops[[#This Row],[Target Sewing Date]]+Crops[[#This Row],[STH]]</f>
        <v>46068</v>
      </c>
      <c r="BY273" s="38">
        <f>Crops[[#This Row],[Target Harvest Data]]+Crops[[#This Row],[Harvest window]]</f>
        <v>46089</v>
      </c>
      <c r="BZ273">
        <v>-10</v>
      </c>
      <c r="CA273" t="s">
        <v>373</v>
      </c>
      <c r="CB273">
        <f>1</f>
        <v>1</v>
      </c>
      <c r="CC273">
        <f>IF(Crops[[#This Row],[Transplanting]]&gt;0, 2, 3)*BedLength/StandardBedLength</f>
        <v>1</v>
      </c>
      <c r="CD273" s="173">
        <f>IF(Crops[[#This Row],[Days in Cells]]&lt;=0,0,Crops[[#This Row],[Plantings Per Bed]]/StartsPerHourSeeding+Crops[[#This Row],[Tray 1 Count]]*5/60)</f>
        <v>0.712890625</v>
      </c>
      <c r="CE273" s="173">
        <f>IF(ISBLANK(Crops[[#This Row],[Tray 2 Days]]),0,Crops[[#This Row],[Plantings Per Bed]]/UpPottingPerHour)+IF(Crops[[#This Row],[Tray 3 Days]]="",0,Crops[[#This Row],[Plantings Per Bed]]/UpPottingPerHour)</f>
        <v>0</v>
      </c>
      <c r="CF273" s="173">
        <f>IFERROR(Crops[[#This Row],[Tray 1 Count]]/HomeStartFlatIrrigationPerHour,0)*Crops[[#This Row],[Days in Cells]]/DaysBetweenStartIrrigation</f>
        <v>0.177734375</v>
      </c>
      <c r="CG273" s="173">
        <f>0.5/16*MAX(Crops[[#This Row],[Tray 1 Count]],Crops[[#This Row],[Tray 2 Count]],Crops[[#This Row],[Tray 3 Count]])</f>
        <v>4.7607421875E-2</v>
      </c>
      <c r="CH273" s="173">
        <f>IF(Crops[[#This Row],[Days in Cells]]&gt;0,IF(IF(Crops[[#This Row],[Tray 3 Size]]&gt;0,Crops[[#This Row],[Tray 3 Size]],IF(Crops[[#This Row],[Tray 2 Size]]&gt;0,Crops[[#This Row],[Tray 2 Size]],Crops[[#This Row],[Tray 1 Size]]))&lt;=18,LargeTransplantTime,SmallTransplantTime)*Crops[[#This Row],[Plantings Per Bed]],0)</f>
        <v>0.75</v>
      </c>
      <c r="CI273" s="173"/>
      <c r="CJ273" s="173">
        <f>_xlfn.XLOOKUP(Crops[[#This Row],[Trellis Type]],TrellisMethods[Trellis Type],TrellisMethods[Hours],0,0)</f>
        <v>0</v>
      </c>
      <c r="CK273">
        <f>IF(Crops[[#This Row],[Days in Cells]]&lt;=0,Crops[[#This Row],[Rows]]*1/10,0)*BedLength/50</f>
        <v>0</v>
      </c>
      <c r="CL273" cm="1">
        <f t="array" ref="CL273">_xlfn.SWITCH(Crops[[#This Row],[Irrigation]],"DR", 0.5, "OH", 0.25,0)*BedLength/50</f>
        <v>0</v>
      </c>
      <c r="CM273">
        <f>IF(OR(ISBLANK(Crops[[#This Row],[Row Cover]]),Crops[[#This Row],[Row Cover]]="None"),0,1)*BedLength/50</f>
        <v>1</v>
      </c>
      <c r="CN273" s="173">
        <f>HoursPerWeedingPass*Crops[[#This Row],[Days In Field]]/14*Crops[[#This Row],[Rows]]+1*BedLength/50</f>
        <v>10.392857142857142</v>
      </c>
      <c r="CQ273" s="37">
        <f>_xlfn.XLOOKUP(Crops[[#This Row],[Crop]]&amp;Crops[[#This Row],[Product]]&amp;Crops[[#This Row],[Unit]],Products[ID],Products[Marketing (hr)])*Crops[[#This Row],[Direct Revenue Per Bed]]/2000</f>
        <v>1.575</v>
      </c>
      <c r="CR273" s="37">
        <f>_xlfn.XLOOKUP(Crops[[#This Row],[Crop]]&amp;Crops[[#This Row],[Product]]&amp;Crops[[#This Row],[Unit]],Products[ID],Products[Harvest (s)])*Crops[[#This Row],[Custom Yield Per Bed]]/3600</f>
        <v>0.625</v>
      </c>
      <c r="CS273" s="37">
        <f>_xlfn.XLOOKUP(Crops[[#This Row],[Crop]]&amp;Crops[[#This Row],[Product]]&amp;Crops[[#This Row],[Unit]],Products[ID],Products[Bunch (s)])*Crops[[#This Row],[Custom Yield Per Bed]]/3600</f>
        <v>0</v>
      </c>
      <c r="CT273" s="37">
        <f>_xlfn.XLOOKUP(Crops[[#This Row],[Crop]]&amp;Crops[[#This Row],[Product]]&amp;Crops[[#This Row],[Unit]],Products[ID],Products[Haul (s)])*Crops[[#This Row],[Custom Yield Per Bed]]/3600</f>
        <v>0.140625</v>
      </c>
      <c r="CU273" s="37">
        <f>_xlfn.XLOOKUP(Crops[[#This Row],[Crop]]&amp;Crops[[#This Row],[Product]]&amp;Crops[[#This Row],[Unit]],Products[ID],Products[Wash (s)])*Crops[[#This Row],[Custom Yield Per Bed]]/3600</f>
        <v>0.9375</v>
      </c>
      <c r="CV273" s="37">
        <f>_xlfn.XLOOKUP(Crops[[#This Row],[Crop]]&amp;Crops[[#This Row],[Product]]&amp;Crops[[#This Row],[Unit]],Products[ID],Products[Condition (s)])*Crops[[#This Row],[Custom Yield Per Bed]]/3600</f>
        <v>0</v>
      </c>
      <c r="CW273" s="37">
        <f>_xlfn.XLOOKUP(Crops[[#This Row],[Crop]]&amp;Crops[[#This Row],[Product]]&amp;Crops[[#This Row],[Unit]],Products[ID],Products[Trim (s)])*Crops[[#This Row],[Custom Yield Per Bed]]/3600</f>
        <v>0.3125</v>
      </c>
      <c r="CX273" s="37">
        <f>_xlfn.XLOOKUP(Crops[[#This Row],[Crop]]&amp;Crops[[#This Row],[Product]]&amp;Crops[[#This Row],[Unit]],Products[ID],Products[Pack (s)])*Crops[[#This Row],[Custom Yield Per Bed]]/3600</f>
        <v>0.1875</v>
      </c>
      <c r="CY273" s="37">
        <f>_xlfn.XLOOKUP(Crops[[#This Row],[Crop]]&amp;Crops[[#This Row],[Product]]&amp;Crops[[#This Row],[Unit]],Products[ID],Products[Clean (s)])*Crops[[#This Row],[Custom Yield Per Bed]]/3600</f>
        <v>0</v>
      </c>
      <c r="CZ273" s="37">
        <f>_xlfn.XLOOKUP(Crops[[#This Row],[Crop]]&amp;Crops[[#This Row],[Product]]&amp;Crops[[#This Row],[Unit]],Products[ID],Products[Rehandle (s)])*Crops[[#This Row],[Custom Yield Per Bed]]/3600</f>
        <v>0</v>
      </c>
      <c r="DA273" s="37">
        <f>_xlfn.XLOOKUP(Crops[[#This Row],[Crop]]&amp;Crops[[#This Row],[Product]]&amp;Crops[[#This Row],[Unit]],Products[ID],Products[Market Transport (s)])*Crops[[#This Row],[Custom Yield Per Bed]]/3600</f>
        <v>0.3515625</v>
      </c>
      <c r="DC273" s="37">
        <f>Crops[[#This Row],[Direct Revenue Per Bed2]]</f>
        <v>787.5</v>
      </c>
      <c r="DD273" s="173">
        <f>_xlfn.AGGREGATE(9,6,Crops[[#This Row],[Bed Prep]:[Remove Crop Residue]])</f>
        <v>18.210777064732142</v>
      </c>
      <c r="DE273" s="173">
        <f>_xlfn.AGGREGATE(9,6,Crops[[#This Row],[Bed Prep]:[Remove Crop Residue]])-0.75*Crops[[#This Row],[Market &amp; Sell]]</f>
        <v>17.029527064732143</v>
      </c>
      <c r="DF273" s="36">
        <f>Crops[[#This Row],[Direct Revenue Per Bed2]]/Crops[[#This Row],[Direct Time]]</f>
        <v>43.243624212231452</v>
      </c>
      <c r="DG273" s="36">
        <f>_xlfn.XLOOKUP(Crops[[#This Row],[ProductIndex]],Products[ID],Products[Packaging Cost])*(Crops[[#This Row],[Custom Yield Per Bed]]/_xlfn.XLOOKUP(Crops[[#This Row],[ProductIndex]],Products[ID],Products[Units Per Pack]))</f>
        <v>34.199999999999996</v>
      </c>
      <c r="DH273" s="36"/>
      <c r="DI273" s="36"/>
      <c r="DJ273" s="36"/>
      <c r="DK273" s="36"/>
      <c r="DL273" s="36"/>
      <c r="DM273" s="33">
        <f>IFERROR(Crops[[#This Row],[Custom Yield Per Bed]]*Crops[[#This Row],[Direct Price]],"")</f>
        <v>787.5</v>
      </c>
      <c r="DN273" s="36">
        <f>Crops[[#This Row],[Direct Time]]*LaborRate</f>
        <v>455.26942661830356</v>
      </c>
      <c r="DO273" s="36">
        <f>SUM(Crops[[#This Row],[Irrigation Cost]])</f>
        <v>0</v>
      </c>
      <c r="DP273" s="36">
        <f>Crops[[#This Row],[Direct Labor Cost]]+Crops[[#This Row],[Direct Non-Labor Cost]]</f>
        <v>455.26942661830356</v>
      </c>
      <c r="DQ273" s="36">
        <f>Crops[[#This Row],[Direct Revenue Per Bed2]]-Crops[[#This Row],[Direct Total Cost]]</f>
        <v>332.23057338169644</v>
      </c>
      <c r="DR273" s="36">
        <f>Crops[[#This Row],[Direct Profit]]*BedsPerAcre</f>
        <v>53156.891741071435</v>
      </c>
      <c r="DS273" s="36">
        <f>Crops[[#This Row],[Direct Profit]]*BedsPerAcre*GrowingDays/Crops[[#This Row],[Days In Field]]</f>
        <v>36381.142636474746</v>
      </c>
      <c r="DT273" s="36">
        <f>Crops[[#This Row],[Direct Profit]]/MIN(Crops[[#This Row],[Days In Field]],GrowingDays)</f>
        <v>1.8457254076760914</v>
      </c>
      <c r="DU273" s="36">
        <f>Crops[[#This Row],[Direct Time]] * BedsPerAcre</f>
        <v>2913.7243303571427</v>
      </c>
      <c r="DV273" s="36">
        <f>(Crops[[#This Row],[Direct Revenue Per Bed2]]-Crops[[#This Row],[Direct Non-Labor Cost]])/Crops[[#This Row],[Direct Time]]</f>
        <v>43.243624212231452</v>
      </c>
      <c r="DW273" s="33">
        <f>IFERROR(Crops[[#This Row],[Custom Yield Per Bed]]*Crops[[#This Row],[Rough Wholesale Price]],"")</f>
        <v>472.5</v>
      </c>
      <c r="DX273" s="36">
        <f>Crops[[#This Row],[Wholesale Time]]*LaborRate</f>
        <v>425.73817661830356</v>
      </c>
      <c r="DY273" s="36">
        <f>SUM(Crops[[#This Row],[Packaging Costs]:[Irrigation Cost]])</f>
        <v>34.199999999999996</v>
      </c>
      <c r="DZ273" s="36">
        <f>Crops[[#This Row],[Wholesale Labor Cost]]+Crops[[#This Row],[Wholesale Non-Labor Cost]]</f>
        <v>459.93817661830354</v>
      </c>
      <c r="EA273" s="36">
        <f>Crops[[#This Row],[Wholesale Revenue Per Bed]]-Crops[[#This Row],[Wholesale Total Cost]]</f>
        <v>12.561823381696456</v>
      </c>
      <c r="EB273" s="36">
        <f>Crops[[#This Row],[Wholesale Profit]]*BedsPerAcre</f>
        <v>2009.891741071433</v>
      </c>
      <c r="EC273" s="36">
        <f>Crops[[#This Row],[Wholesale Profit]]*BedsPerAcre*GrowingDays/Crops[[#This Row],[Days In Field]]</f>
        <v>1375.5913056762658</v>
      </c>
      <c r="ED273" s="36">
        <f>Crops[[#This Row],[Wholesale Time]] * BedsPerAcre</f>
        <v>2724.7243303571431</v>
      </c>
      <c r="EE273" s="36">
        <f>Crops[[#This Row],[Wholesale Profit]]/MIN(Crops[[#This Row],[Days In Field]],GrowingDays)</f>
        <v>6.9787907676091429E-2</v>
      </c>
      <c r="EF273" s="36">
        <f>(Crops[[#This Row],[Wholesale Revenue Per Bed]]-Crops[[#This Row],[Wholesale Non-Labor Cost]])/Crops[[#This Row],[Direct Time]]</f>
        <v>24.068165704407676</v>
      </c>
      <c r="EG273" s="174">
        <f>Crops[[#This Row],[Packaging Costs]]/Crops[[#This Row],[Wholesale Revenue Per Bed]]</f>
        <v>7.2380952380952365E-2</v>
      </c>
      <c r="EH273" s="36" t="str">
        <f>Crops[[#This Row],[Crop]]&amp;Crops[[#This Row],[Product]]&amp;Crops[[#This Row],[Unit]]</f>
        <v>RutabagaMature RootRoot</v>
      </c>
      <c r="EI273" s="36" t="b">
        <f>_xlfn.XLOOKUP(Crops[[#This Row],[ProductIndex]],Products[ID],Products[Target])</f>
        <v>1</v>
      </c>
      <c r="EJ273" s="36">
        <f>Crops[[#This Row],[Custom Yield Per Bed]]</f>
        <v>225</v>
      </c>
      <c r="EK273" s="210">
        <f>Crops[[#This Row],[Units Per Harvest]]/Crops[[#This Row],[Days Between Harvest]]*7</f>
        <v>56.250000000000007</v>
      </c>
      <c r="EL273" s="210" t="e">
        <f>Crops[[#This Row],[Custom Yield Per Bed]]/_xlfn.XLOOKUP(Crops[[#This Row],[ProductIndex]],Products[ID],Products[CSA Portion])</f>
        <v>#DIV/0!</v>
      </c>
      <c r="EM273" s="210" t="e">
        <f>Crops[[#This Row],[Units Per Harvest]]/Crops[[#This Row],[Days Between Harvest]]*7/_xlfn.XLOOKUP(Crops[[#This Row],[ProductIndex]],Products[ID],Products[CSA Portion])</f>
        <v>#DIV/0!</v>
      </c>
      <c r="EN273" s="210" t="e">
        <f>Crops[[#This Row],[CSA Portions Per Week]]/CSAMembers</f>
        <v>#DIV/0!</v>
      </c>
      <c r="EO273" s="210"/>
      <c r="EP273" s="210"/>
      <c r="EQ273" s="36"/>
      <c r="ER273" s="36">
        <f>Crops[[#This Row],[Harvests]]*Crops[[#This Row],[Days Between Harvest]]/7</f>
        <v>4</v>
      </c>
      <c r="ES273" s="208">
        <f>_xlfn.XLOOKUP(Crops[[#This Row],[ProductIndex]],Products[ID],Products[CSA Need])</f>
        <v>0</v>
      </c>
      <c r="ET273" s="208">
        <f>_xlfn.XLOOKUP(Crops[[#This Row],[ProductIndex]],Products[ID],Products[CSA Times])</f>
        <v>0</v>
      </c>
      <c r="EU273" s="208" t="e">
        <f>Crops[[#This Row],[Custom Yield Per Bed]]/(Crops[[#This Row],[CSA Need]]*(_xlfn.XLOOKUP(Crops[[#This Row],[ProductIndex]],Products[ID],Products[CSA Portion])*CSAMembers))</f>
        <v>#DIV/0!</v>
      </c>
      <c r="EV273" s="208">
        <f>_xlfn.XLOOKUP(Crops[[#This Row],[ProductIndex]],Products[ID],Products[CSA Portion])*CSAMembers*Crops[[#This Row],[CSA Need]]/Crops[[#This Row],[Custom Yield Per Bed]]</f>
        <v>0</v>
      </c>
      <c r="EW273" s="208">
        <f>IFERROR(Crops[[#This Row],[Days In Field]]*Crops[[#This Row],[CSA Beds]],"")</f>
        <v>0</v>
      </c>
      <c r="EX273" s="208" t="e">
        <f>Crops[[#This Row],[CSA Bed Days]]*#REF!</f>
        <v>#REF!</v>
      </c>
      <c r="EY273" t="s">
        <v>1412</v>
      </c>
    </row>
    <row r="274" spans="1:155">
      <c r="A274"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Sage - Mature Sprigs 4X | Pot TP </v>
      </c>
      <c r="B274" s="29"/>
      <c r="C274" s="1" t="b">
        <v>1</v>
      </c>
      <c r="D274" s="1"/>
      <c r="E274" s="1" t="b">
        <v>0</v>
      </c>
      <c r="F274" s="1" t="b">
        <f>IFERROR(IF(ISNUMBER(MATCH(Crops[[#This Row],[Identifier]],BedPlan[Crop], 0)), TRUE, FALSE), FALSE)</f>
        <v>0</v>
      </c>
      <c r="G274" s="1" t="b">
        <f>IFERROR(IF(ISNUMBER(MATCH(Crops[[#This Row],[Identifier]],BedPlan[Crop], 0)), TRUE, FALSE), FALSE)</f>
        <v>0</v>
      </c>
      <c r="H274" s="1"/>
      <c r="I274" t="s">
        <v>1697</v>
      </c>
      <c r="J274" t="s">
        <v>145</v>
      </c>
      <c r="K274" t="s">
        <v>1700</v>
      </c>
      <c r="M274" t="s">
        <v>442</v>
      </c>
      <c r="N274" t="str">
        <f>Crops[[#This Row],[Crop]]</f>
        <v>Sage</v>
      </c>
      <c r="O274" t="s">
        <v>1701</v>
      </c>
      <c r="P274" t="str">
        <f>IF(OR(Crops[[#This Row],[Days in Cells]]="",Crops[[#This Row],[Days in Cells]]=0), "DS","TP")</f>
        <v>TP</v>
      </c>
      <c r="V274" t="str">
        <f xml:space="preserve"> IF(Crops[[#This Row],[Sp]], "Sp", "") &amp; IF(Crops[[#This Row],[Su]], "Su", "") &amp; IF(Crops[[#This Row],[Fa]], "Fa", "") &amp; IF(Crops[[#This Row],[Wi]], "Wi", "") &amp; IF(Crops[[#This Row],[OW]], "Ow","")</f>
        <v/>
      </c>
      <c r="X274">
        <v>2</v>
      </c>
      <c r="Y274">
        <v>12</v>
      </c>
      <c r="AB274" t="b">
        <v>1</v>
      </c>
      <c r="AD274" s="32">
        <f>IFERROR(12/Crops[[#This Row],[Spacing]]*Crops[[#This Row],[Rows]]*BedLength,"")</f>
        <v>100</v>
      </c>
      <c r="AE274">
        <v>4</v>
      </c>
      <c r="AG274">
        <v>1</v>
      </c>
      <c r="AH274">
        <f>1</f>
        <v>1</v>
      </c>
      <c r="AI274" s="37">
        <f>IFERROR(Crops[[#This Row],[Plantings Per Bed]]*Crops[[#This Row],[Seeds Per Planting]]*Crops[[#This Row],[Safety Factor]]*Crops[[#This Row],[Seeding Factor]],"")</f>
        <v>400</v>
      </c>
      <c r="AJ274">
        <v>7</v>
      </c>
      <c r="AK274">
        <v>21</v>
      </c>
      <c r="AL274">
        <f>_xlfn.FLOOR.MATH(IFERROR(AVERAGE(Crops[[#This Row],[DTG Lower]:[DTG Upper]]),0))</f>
        <v>14</v>
      </c>
      <c r="AM274">
        <f>SUM(Crops[[#This Row],[Tray 1 Days]],Crops[[#This Row],[Tray 2 Days]],Crops[[#This Row],[Tray 3 Days]])</f>
        <v>90</v>
      </c>
      <c r="AO274">
        <v>80</v>
      </c>
      <c r="AP274">
        <v>90</v>
      </c>
      <c r="AQ274">
        <f>IFERROR(_xlfn.FLOOR.MATH(AVERAGE(Crops[[#This Row],[DTM Lower]:[DTM Upper]])),"")</f>
        <v>85</v>
      </c>
      <c r="AR274" cm="1">
        <f t="array" ref="AR274">_xlfn.SWITCH(Crops[[#This Row],[Normal Method]],"DS",Crops[[#This Row],[Days to Germination]]+Crops[[#This Row],[DTM]] + IF(Crops[[#This Row],[Days in Cells]]&gt;0,15,0), "TP",Crops[[#This Row],[DTM]]+Crops[[#This Row],[Days in Cells]] + IF(Crops[[#This Row],[Days in Cells]]&lt;=0,20,0), "X", Crops[[#This Row],[DTM]])</f>
        <v>175</v>
      </c>
      <c r="AS274" t="s">
        <v>346</v>
      </c>
      <c r="AT274">
        <f>(Crops[[#This Row],[Harvests]]-1)*Crops[[#This Row],[Days Between Harvest]]+7</f>
        <v>7</v>
      </c>
      <c r="AU274">
        <f>Crops[[#This Row],[STH]]-Crops[[#This Row],[Days in Cells]]+Crops[[#This Row],[Harvest window]]</f>
        <v>92</v>
      </c>
      <c r="AW274">
        <v>50</v>
      </c>
      <c r="AX274">
        <v>18</v>
      </c>
      <c r="AY274">
        <v>90</v>
      </c>
      <c r="AZ274">
        <f>IFERROR(IF(Crops[[#This Row],[Tray 1 Days]]=0,"",Crops[[#This Row],[Plantings Per Bed]]/Crops[[#This Row],[Tray 1 Size]]*Crops[[#This Row],[Safety Factor]]),"")</f>
        <v>5.5555555555555554</v>
      </c>
      <c r="BC274" t="str">
        <f>IFERROR(IF(Crops[[#This Row],[Tray 2 Days]]=0,"",Crops[[#This Row],[Plantings Per Bed]]/Crops[[#This Row],[Tray 2 Size]]*Crops[[#This Row],[Safety Factor]]),"")</f>
        <v/>
      </c>
      <c r="BE274" s="32" t="str">
        <f>IF(NOT(ISBLANK(Crops[[#This Row],[Tray 3 Size]])), Crops[[#This Row],[Days in Cells Old]]-SUM(Crops[[#This Row],[Tray 1 Days]],Crops[[#This Row],[Tray 2 Days]]), "")</f>
        <v/>
      </c>
      <c r="BF274" t="str">
        <f>IFERROR(IF(Crops[[#This Row],[Tray 3 Days]]=0,"",Crops[[#This Row],[Plantings Per Bed]]/Crops[[#This Row],[Tray 3 Size]]*Crops[[#This Row],[Safety Factor]]),"")</f>
        <v/>
      </c>
      <c r="BJ274" s="37" t="e">
        <f>_xlfn.XLOOKUP(Crops[[#This Row],[ProductIndex]],Products[ID],Products[Holding Period])</f>
        <v>#N/A</v>
      </c>
      <c r="BK274" s="33"/>
      <c r="BL274" s="37">
        <f>Crops[[#This Row],[Units Per Harvest]]*Crops[[#This Row],[Harvests]]</f>
        <v>0</v>
      </c>
      <c r="BM274">
        <v>3</v>
      </c>
      <c r="BN274" s="211">
        <f>Crops[[#This Row],[Direct Price]]*0.6</f>
        <v>1.7999999999999998</v>
      </c>
      <c r="BO274" s="211"/>
      <c r="BP274" t="s">
        <v>215</v>
      </c>
      <c r="BQ274">
        <f>Crops[[#This Row],[Custom Yield Per Bed]]*Crops[[#This Row],[Direct Price]]</f>
        <v>0</v>
      </c>
      <c r="BS274" t="b">
        <f>Crops[[#This Row],[Harvests]]&gt;1</f>
        <v>0</v>
      </c>
      <c r="BT274" s="36">
        <f>IFERROR(Crops[[#This Row],[Direct Revenue Per Bed]]/Crops[[#This Row],[Days In Field]],-1)</f>
        <v>0</v>
      </c>
      <c r="BU274" s="36">
        <f>IFERROR(Crops[[#This Row],[Direct Revenue Per Bed Day]]*GrowingDays*BedsPerAcre,"")</f>
        <v>0</v>
      </c>
      <c r="BV274" s="38">
        <f>LastFrostDate-5*Crops[[#This Row],[Sewing Rel Last Frost]]</f>
        <v>45718</v>
      </c>
      <c r="BW274" s="38">
        <f>Crops[[#This Row],[Target Sewing Date]]+Crops[[#This Row],[Days in Cells]]</f>
        <v>45808</v>
      </c>
      <c r="BX274" s="38">
        <f>Crops[[#This Row],[Target Sewing Date]]+Crops[[#This Row],[STH]]</f>
        <v>45893</v>
      </c>
      <c r="BY274" s="38">
        <f>Crops[[#This Row],[Target Harvest Data]]+Crops[[#This Row],[Harvest window]]</f>
        <v>45900</v>
      </c>
      <c r="BZ274">
        <v>6</v>
      </c>
      <c r="CB274">
        <f>1</f>
        <v>1</v>
      </c>
      <c r="CC274">
        <f>IF(Crops[[#This Row],[Transplanting]]&gt;0, 2, 3)*BedLength/StandardBedLength</f>
        <v>1</v>
      </c>
      <c r="CD274" s="173">
        <f>IF(Crops[[#This Row],[Days in Cells]]&lt;=0,0,Crops[[#This Row],[Plantings Per Bed]]/StartsPerHourSeeding+Crops[[#This Row],[Tray 1 Count]]*5/60)</f>
        <v>0.85358796296296302</v>
      </c>
      <c r="CE274" s="173">
        <f>IF(ISBLANK(Crops[[#This Row],[Tray 2 Days]]),0,Crops[[#This Row],[Plantings Per Bed]]/UpPottingPerHour)+IF(Crops[[#This Row],[Tray 3 Days]]="",0,Crops[[#This Row],[Plantings Per Bed]]/UpPottingPerHour)</f>
        <v>0</v>
      </c>
      <c r="CF274" s="173">
        <f>IFERROR(Crops[[#This Row],[Tray 1 Count]]/HomeStartFlatIrrigationPerHour,0)*Crops[[#This Row],[Days in Cells]]/DaysBetweenStartIrrigation</f>
        <v>2.083333333333333</v>
      </c>
      <c r="CG274" s="173">
        <f>0.5/16*MAX(Crops[[#This Row],[Tray 1 Count]],Crops[[#This Row],[Tray 2 Count]],Crops[[#This Row],[Tray 3 Count]])</f>
        <v>0.1736111111111111</v>
      </c>
      <c r="CH274" s="173">
        <f>IF(Crops[[#This Row],[Days in Cells]]&gt;0,IF(IF(Crops[[#This Row],[Tray 3 Size]]&gt;0,Crops[[#This Row],[Tray 3 Size]],IF(Crops[[#This Row],[Tray 2 Size]]&gt;0,Crops[[#This Row],[Tray 2 Size]],Crops[[#This Row],[Tray 1 Size]]))&lt;=18,LargeTransplantTime,SmallTransplantTime)*Crops[[#This Row],[Plantings Per Bed]],0)</f>
        <v>4.1666666666666661</v>
      </c>
      <c r="CI274" s="173"/>
      <c r="CJ274" s="173">
        <f>_xlfn.XLOOKUP(Crops[[#This Row],[Trellis Type]],TrellisMethods[Trellis Type],TrellisMethods[Hours],0,0)</f>
        <v>0</v>
      </c>
      <c r="CK274">
        <f>IF(Crops[[#This Row],[Days in Cells]]&lt;=0,Crops[[#This Row],[Rows]]*1/10,0)*BedLength/50</f>
        <v>0</v>
      </c>
      <c r="CL274" cm="1">
        <f t="array" ref="CL274">_xlfn.SWITCH(Crops[[#This Row],[Irrigation]],"DR", 0.5, "OH", 0.25,0)*BedLength/50</f>
        <v>0</v>
      </c>
      <c r="CM274">
        <f>IF(OR(ISBLANK(Crops[[#This Row],[Row Cover]]),Crops[[#This Row],[Row Cover]]="None"),0,1)*BedLength/50</f>
        <v>0</v>
      </c>
      <c r="CN274" s="173">
        <f>HoursPerWeedingPass*Crops[[#This Row],[Days In Field]]/14*Crops[[#This Row],[Rows]]+1*BedLength/50</f>
        <v>3.1904761904761902</v>
      </c>
      <c r="CQ274" s="37" t="e">
        <f>_xlfn.XLOOKUP(Crops[[#This Row],[Crop]]&amp;Crops[[#This Row],[Product]]&amp;Crops[[#This Row],[Unit]],Products[ID],Products[Marketing (hr)])*Crops[[#This Row],[Direct Revenue Per Bed]]/2000</f>
        <v>#N/A</v>
      </c>
      <c r="CR274" s="37" t="e">
        <f>_xlfn.XLOOKUP(Crops[[#This Row],[Crop]]&amp;Crops[[#This Row],[Product]]&amp;Crops[[#This Row],[Unit]],Products[ID],Products[Harvest (s)])*Crops[[#This Row],[Custom Yield Per Bed]]/3600</f>
        <v>#N/A</v>
      </c>
      <c r="CS274" s="37" t="e">
        <f>_xlfn.XLOOKUP(Crops[[#This Row],[Crop]]&amp;Crops[[#This Row],[Product]]&amp;Crops[[#This Row],[Unit]],Products[ID],Products[Bunch (s)])*Crops[[#This Row],[Custom Yield Per Bed]]/3600</f>
        <v>#N/A</v>
      </c>
      <c r="CT274" s="37" t="e">
        <f>_xlfn.XLOOKUP(Crops[[#This Row],[Crop]]&amp;Crops[[#This Row],[Product]]&amp;Crops[[#This Row],[Unit]],Products[ID],Products[Haul (s)])*Crops[[#This Row],[Custom Yield Per Bed]]/3600</f>
        <v>#N/A</v>
      </c>
      <c r="CU274" s="37" t="e">
        <f>_xlfn.XLOOKUP(Crops[[#This Row],[Crop]]&amp;Crops[[#This Row],[Product]]&amp;Crops[[#This Row],[Unit]],Products[ID],Products[Wash (s)])*Crops[[#This Row],[Custom Yield Per Bed]]/3600</f>
        <v>#N/A</v>
      </c>
      <c r="CV274" s="37" t="e">
        <f>_xlfn.XLOOKUP(Crops[[#This Row],[Crop]]&amp;Crops[[#This Row],[Product]]&amp;Crops[[#This Row],[Unit]],Products[ID],Products[Condition (s)])*Crops[[#This Row],[Custom Yield Per Bed]]/3600</f>
        <v>#N/A</v>
      </c>
      <c r="CW274" s="37" t="e">
        <f>_xlfn.XLOOKUP(Crops[[#This Row],[Crop]]&amp;Crops[[#This Row],[Product]]&amp;Crops[[#This Row],[Unit]],Products[ID],Products[Trim (s)])*Crops[[#This Row],[Custom Yield Per Bed]]/3600</f>
        <v>#N/A</v>
      </c>
      <c r="CX274" s="37" t="e">
        <f>_xlfn.XLOOKUP(Crops[[#This Row],[Crop]]&amp;Crops[[#This Row],[Product]]&amp;Crops[[#This Row],[Unit]],Products[ID],Products[Pack (s)])*Crops[[#This Row],[Custom Yield Per Bed]]/3600</f>
        <v>#N/A</v>
      </c>
      <c r="CY274" s="37" t="e">
        <f>_xlfn.XLOOKUP(Crops[[#This Row],[Crop]]&amp;Crops[[#This Row],[Product]]&amp;Crops[[#This Row],[Unit]],Products[ID],Products[Clean (s)])*Crops[[#This Row],[Custom Yield Per Bed]]/3600</f>
        <v>#N/A</v>
      </c>
      <c r="CZ274" s="37" t="e">
        <f>_xlfn.XLOOKUP(Crops[[#This Row],[Crop]]&amp;Crops[[#This Row],[Product]]&amp;Crops[[#This Row],[Unit]],Products[ID],Products[Rehandle (s)])*Crops[[#This Row],[Custom Yield Per Bed]]/3600</f>
        <v>#N/A</v>
      </c>
      <c r="DA274" s="37" t="e">
        <f>_xlfn.XLOOKUP(Crops[[#This Row],[Crop]]&amp;Crops[[#This Row],[Product]]&amp;Crops[[#This Row],[Unit]],Products[ID],Products[Market Transport (s)])*Crops[[#This Row],[Custom Yield Per Bed]]/3600</f>
        <v>#N/A</v>
      </c>
      <c r="DC274" s="37">
        <f>Crops[[#This Row],[Direct Revenue Per Bed2]]</f>
        <v>0</v>
      </c>
      <c r="DD274" s="173">
        <f>_xlfn.AGGREGATE(9,6,Crops[[#This Row],[Bed Prep]:[Remove Crop Residue]])</f>
        <v>11.467675264550262</v>
      </c>
      <c r="DE274" s="173" t="e">
        <f>_xlfn.AGGREGATE(9,6,Crops[[#This Row],[Bed Prep]:[Remove Crop Residue]])-0.75*Crops[[#This Row],[Market &amp; Sell]]</f>
        <v>#N/A</v>
      </c>
      <c r="DF274" s="36">
        <f>Crops[[#This Row],[Direct Revenue Per Bed2]]/Crops[[#This Row],[Direct Time]]</f>
        <v>0</v>
      </c>
      <c r="DG274" s="36" t="e">
        <f>_xlfn.XLOOKUP(Crops[[#This Row],[ProductIndex]],Products[ID],Products[Packaging Cost])*(Crops[[#This Row],[Custom Yield Per Bed]]/_xlfn.XLOOKUP(Crops[[#This Row],[ProductIndex]],Products[ID],Products[Units Per Pack]))</f>
        <v>#N/A</v>
      </c>
      <c r="DH274" s="36"/>
      <c r="DI274" s="36"/>
      <c r="DJ274" s="36"/>
      <c r="DK274" s="36"/>
      <c r="DL274" s="36"/>
      <c r="DM274" s="37">
        <f>IFERROR(Crops[[#This Row],[Custom Yield Per Bed]]*Crops[[#This Row],[Direct Price]],"")</f>
        <v>0</v>
      </c>
      <c r="DN274" s="36">
        <f>Crops[[#This Row],[Direct Time]]*LaborRate</f>
        <v>286.69188161375655</v>
      </c>
      <c r="DO274" s="36">
        <f>SUM(Crops[[#This Row],[Irrigation Cost]])</f>
        <v>0</v>
      </c>
      <c r="DP274" s="36">
        <f>Crops[[#This Row],[Direct Labor Cost]]+Crops[[#This Row],[Direct Non-Labor Cost]]</f>
        <v>286.69188161375655</v>
      </c>
      <c r="DQ274" s="36">
        <f>Crops[[#This Row],[Direct Revenue Per Bed2]]-Crops[[#This Row],[Direct Total Cost]]</f>
        <v>-286.69188161375655</v>
      </c>
      <c r="DR274" s="36">
        <f>Crops[[#This Row],[Direct Profit]]*BedsPerAcre</f>
        <v>-45870.701058201048</v>
      </c>
      <c r="DS274" s="36">
        <f>Crops[[#This Row],[Direct Profit]]*BedsPerAcre*GrowingDays/Crops[[#This Row],[Days In Field]]</f>
        <v>-89747.023809523787</v>
      </c>
      <c r="DT274" s="36">
        <f>Crops[[#This Row],[Direct Profit]]/MIN(Crops[[#This Row],[Days In Field]],GrowingDays)</f>
        <v>-3.116216104497354</v>
      </c>
      <c r="DU274" s="36">
        <f>Crops[[#This Row],[Direct Time]] * BedsPerAcre</f>
        <v>1834.8280423280421</v>
      </c>
      <c r="DV274" s="36">
        <f>(Crops[[#This Row],[Direct Revenue Per Bed2]]-Crops[[#This Row],[Direct Non-Labor Cost]])/Crops[[#This Row],[Direct Time]]</f>
        <v>0</v>
      </c>
      <c r="DW274" s="37">
        <f>IFERROR(Crops[[#This Row],[Custom Yield Per Bed]]*Crops[[#This Row],[Rough Wholesale Price]],"")</f>
        <v>0</v>
      </c>
      <c r="DX274" s="36" t="e">
        <f>Crops[[#This Row],[Wholesale Time]]*LaborRate</f>
        <v>#N/A</v>
      </c>
      <c r="DY274" s="36" t="e">
        <f>SUM(Crops[[#This Row],[Packaging Costs]:[Irrigation Cost]])</f>
        <v>#N/A</v>
      </c>
      <c r="DZ274" s="36" t="e">
        <f>Crops[[#This Row],[Wholesale Labor Cost]]+Crops[[#This Row],[Wholesale Non-Labor Cost]]</f>
        <v>#N/A</v>
      </c>
      <c r="EA274" s="36" t="e">
        <f>Crops[[#This Row],[Wholesale Revenue Per Bed]]-Crops[[#This Row],[Wholesale Total Cost]]</f>
        <v>#N/A</v>
      </c>
      <c r="EB274" s="36" t="e">
        <f>Crops[[#This Row],[Wholesale Profit]]*BedsPerAcre</f>
        <v>#N/A</v>
      </c>
      <c r="EC274" s="36" t="e">
        <f>Crops[[#This Row],[Wholesale Profit]]*BedsPerAcre*GrowingDays/Crops[[#This Row],[Days In Field]]</f>
        <v>#N/A</v>
      </c>
      <c r="ED274" s="36" t="e">
        <f>Crops[[#This Row],[Wholesale Time]] * BedsPerAcre</f>
        <v>#N/A</v>
      </c>
      <c r="EE274" s="36" t="e">
        <f>Crops[[#This Row],[Wholesale Profit]]/MIN(Crops[[#This Row],[Days In Field]],GrowingDays)</f>
        <v>#N/A</v>
      </c>
      <c r="EF274" s="36" t="e">
        <f>(Crops[[#This Row],[Wholesale Revenue Per Bed]]-Crops[[#This Row],[Wholesale Non-Labor Cost]])/Crops[[#This Row],[Direct Time]]</f>
        <v>#N/A</v>
      </c>
      <c r="EG274" s="174" t="e">
        <f>Crops[[#This Row],[Packaging Costs]]/Crops[[#This Row],[Wholesale Revenue Per Bed]]</f>
        <v>#N/A</v>
      </c>
      <c r="EH274" s="36" t="str">
        <f>Crops[[#This Row],[Crop]]&amp;Crops[[#This Row],[Product]]&amp;Crops[[#This Row],[Unit]]</f>
        <v>SageMature SprigsBunch</v>
      </c>
      <c r="EI274" s="36" t="e">
        <f>_xlfn.XLOOKUP(Crops[[#This Row],[ProductIndex]],Products[ID],Products[Target])</f>
        <v>#N/A</v>
      </c>
      <c r="EJ274" s="36">
        <f>Crops[[#This Row],[Custom Yield Per Bed]]</f>
        <v>0</v>
      </c>
      <c r="EK274" s="210" t="e">
        <f>Crops[[#This Row],[Units Per Harvest]]/Crops[[#This Row],[Days Between Harvest]]*7</f>
        <v>#DIV/0!</v>
      </c>
      <c r="EL274" s="210" t="e">
        <f>Crops[[#This Row],[Custom Yield Per Bed]]/_xlfn.XLOOKUP(Crops[[#This Row],[ProductIndex]],Products[ID],Products[CSA Portion])</f>
        <v>#N/A</v>
      </c>
      <c r="EM274" s="210" t="e">
        <f>Crops[[#This Row],[Units Per Harvest]]/Crops[[#This Row],[Days Between Harvest]]*7/_xlfn.XLOOKUP(Crops[[#This Row],[ProductIndex]],Products[ID],Products[CSA Portion])</f>
        <v>#DIV/0!</v>
      </c>
      <c r="EN274" s="210" t="e">
        <f>Crops[[#This Row],[CSA Portions Per Week]]/CSAMembers</f>
        <v>#DIV/0!</v>
      </c>
      <c r="EO274" s="210"/>
      <c r="EP274" s="210"/>
      <c r="EQ274" s="36"/>
      <c r="ER274" s="36">
        <f>Crops[[#This Row],[Harvests]]*Crops[[#This Row],[Days Between Harvest]]/7</f>
        <v>0</v>
      </c>
      <c r="ES274" s="208" t="e">
        <f>_xlfn.XLOOKUP(Crops[[#This Row],[ProductIndex]],Products[ID],Products[CSA Need])</f>
        <v>#N/A</v>
      </c>
      <c r="ET274" s="208" t="e">
        <f>_xlfn.XLOOKUP(Crops[[#This Row],[ProductIndex]],Products[ID],Products[CSA Times])</f>
        <v>#N/A</v>
      </c>
      <c r="EU274" s="208" t="e">
        <f>Crops[[#This Row],[Custom Yield Per Bed]]/(Crops[[#This Row],[CSA Need]]*(_xlfn.XLOOKUP(Crops[[#This Row],[ProductIndex]],Products[ID],Products[CSA Portion])*CSAMembers))</f>
        <v>#N/A</v>
      </c>
      <c r="EV274" s="208" t="e">
        <f>_xlfn.XLOOKUP(Crops[[#This Row],[ProductIndex]],Products[ID],Products[CSA Portion])*CSAMembers*Crops[[#This Row],[CSA Need]]/Crops[[#This Row],[Custom Yield Per Bed]]</f>
        <v>#N/A</v>
      </c>
      <c r="EW274" s="208" t="str">
        <f>IFERROR(Crops[[#This Row],[Days In Field]]*Crops[[#This Row],[CSA Beds]],"")</f>
        <v/>
      </c>
      <c r="EX274" s="208" t="e">
        <f>Crops[[#This Row],[CSA Bed Days]]*#REF!</f>
        <v>#VALUE!</v>
      </c>
    </row>
    <row r="275" spans="1:155">
      <c r="A275"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Salsola (Agretti) - Mature Leaf 1X | Field DS </v>
      </c>
      <c r="B275" s="29"/>
      <c r="C275" s="1"/>
      <c r="D275" s="1"/>
      <c r="E275" s="1" t="b">
        <v>1</v>
      </c>
      <c r="F275" s="1" t="b">
        <f>IFERROR(IF(ISNUMBER(MATCH(Crops[[#This Row],[Identifier]],BedPlan[Crop], 0)), TRUE, FALSE), FALSE)</f>
        <v>0</v>
      </c>
      <c r="G275" s="1" t="b">
        <f>IFERROR(IF(ISNUMBER(MATCH(Crops[[#This Row],[Identifier]],BedPlan[Crop], 0)), TRUE, FALSE), FALSE)</f>
        <v>0</v>
      </c>
      <c r="H275" s="1"/>
      <c r="I275" t="s">
        <v>409</v>
      </c>
      <c r="J275" t="s">
        <v>1536</v>
      </c>
      <c r="K275" t="s">
        <v>179</v>
      </c>
      <c r="M275" t="s">
        <v>441</v>
      </c>
      <c r="N275" t="str">
        <f>Crops[[#This Row],[Crop]]</f>
        <v>Salsola</v>
      </c>
      <c r="O275" t="s">
        <v>210</v>
      </c>
      <c r="P275" t="str">
        <f>IF(OR(Crops[[#This Row],[Days in Cells]]="",Crops[[#This Row],[Days in Cells]]=0), "DS","TP")</f>
        <v>DS</v>
      </c>
      <c r="V275" t="str">
        <f xml:space="preserve"> IF(Crops[[#This Row],[Sp]], "Sp", "") &amp; IF(Crops[[#This Row],[Su]], "Su", "") &amp; IF(Crops[[#This Row],[Fa]], "Fa", "") &amp; IF(Crops[[#This Row],[Wi]], "Wi", "") &amp; IF(Crops[[#This Row],[OW]], "Ow","")</f>
        <v/>
      </c>
      <c r="X275">
        <v>3</v>
      </c>
      <c r="Y275">
        <v>6</v>
      </c>
      <c r="AA275" t="s">
        <v>474</v>
      </c>
      <c r="AB275" t="b">
        <v>1</v>
      </c>
      <c r="AC275">
        <v>4</v>
      </c>
      <c r="AD275" s="32">
        <f>IFERROR(12/Crops[[#This Row],[Spacing]]*Crops[[#This Row],[Rows]]*BedLength,"")</f>
        <v>300</v>
      </c>
      <c r="AE275">
        <v>1</v>
      </c>
      <c r="AG275">
        <f>IF(Crops[[#This Row],[Custom Safety Factor]]="",PlantingSafetyFactor,Crops[[#This Row],[Custom Safety Factor]])</f>
        <v>1.3</v>
      </c>
      <c r="AH275">
        <f>1</f>
        <v>1</v>
      </c>
      <c r="AI275" s="33">
        <f>IFERROR(Crops[[#This Row],[Plantings Per Bed]]*Crops[[#This Row],[Seeds Per Planting]]*Crops[[#This Row],[Safety Factor]]*Crops[[#This Row],[Seeding Factor]],"")</f>
        <v>390</v>
      </c>
      <c r="AJ275">
        <v>7</v>
      </c>
      <c r="AK275">
        <v>10</v>
      </c>
      <c r="AL275">
        <f>_xlfn.FLOOR.MATH(IFERROR(AVERAGE(Crops[[#This Row],[DTG Lower]:[DTG Upper]]),0))</f>
        <v>8</v>
      </c>
      <c r="AM275">
        <f>SUM(Crops[[#This Row],[Tray 1 Days]],Crops[[#This Row],[Tray 2 Days]],Crops[[#This Row],[Tray 3 Days]])</f>
        <v>0</v>
      </c>
      <c r="AO275">
        <v>40</v>
      </c>
      <c r="AP275">
        <v>55</v>
      </c>
      <c r="AQ275">
        <f>IFERROR(_xlfn.FLOOR.MATH(AVERAGE(Crops[[#This Row],[DTM Lower]:[DTM Upper]])),"")</f>
        <v>47</v>
      </c>
      <c r="AR275" cm="1">
        <f t="array" ref="AR275">_xlfn.SWITCH(Crops[[#This Row],[Normal Method]],"DS",Crops[[#This Row],[Days to Germination]]+Crops[[#This Row],[DTM]] + IF(Crops[[#This Row],[Days in Cells]]&gt;0,15,0), "TP",Crops[[#This Row],[DTM]]+Crops[[#This Row],[Days in Cells]] + IF(Crops[[#This Row],[Days in Cells]]&lt;=0,20,0), "X", Crops[[#This Row],[DTM]])</f>
        <v>55</v>
      </c>
      <c r="AS275" t="s">
        <v>338</v>
      </c>
      <c r="AT275">
        <f>(Crops[[#This Row],[Harvests]]-1)*Crops[[#This Row],[Days Between Harvest]]+7</f>
        <v>105</v>
      </c>
      <c r="AU275">
        <f>Crops[[#This Row],[STH]]-Crops[[#This Row],[Days in Cells]]+Crops[[#This Row],[Harvest window]]</f>
        <v>160</v>
      </c>
      <c r="AW275">
        <v>128</v>
      </c>
      <c r="AZ275" t="str">
        <f>IFERROR(IF(Crops[[#This Row],[Tray 1 Days]]=0,"",Crops[[#This Row],[Plantings Per Bed]]/Crops[[#This Row],[Tray 1 Size]]*Crops[[#This Row],[Safety Factor]]),"")</f>
        <v/>
      </c>
      <c r="BC275" t="str">
        <f>IFERROR(IF(Crops[[#This Row],[Tray 2 Days]]=0,"",Crops[[#This Row],[Plantings Per Bed]]/Crops[[#This Row],[Tray 2 Size]]*Crops[[#This Row],[Safety Factor]]),"")</f>
        <v/>
      </c>
      <c r="BE275" s="32" t="str">
        <f>IF(NOT(ISBLANK(Crops[[#This Row],[Tray 3 Size]])), Crops[[#This Row],[Days in Cells Old]]-SUM(Crops[[#This Row],[Tray 1 Days]],Crops[[#This Row],[Tray 2 Days]]), "")</f>
        <v/>
      </c>
      <c r="BF275" t="str">
        <f>IFERROR(IF(Crops[[#This Row],[Tray 3 Days]]=0,"",Crops[[#This Row],[Plantings Per Bed]]/Crops[[#This Row],[Tray 3 Size]]*Crops[[#This Row],[Safety Factor]]),"")</f>
        <v/>
      </c>
      <c r="BG275" s="33">
        <f>Crops[[#This Row],[Plantings Per Bed]]/48</f>
        <v>6.25</v>
      </c>
      <c r="BH275" s="33">
        <v>8</v>
      </c>
      <c r="BI275" s="33">
        <v>14</v>
      </c>
      <c r="BJ275" s="33">
        <f>_xlfn.XLOOKUP(Crops[[#This Row],[ProductIndex]],Products[ID],Products[Holding Period])</f>
        <v>0</v>
      </c>
      <c r="BK275" s="33"/>
      <c r="BL275" s="33">
        <f>Crops[[#This Row],[Units Per Harvest]]*Crops[[#This Row],[Harvests]]</f>
        <v>50</v>
      </c>
      <c r="BM275" s="35">
        <v>3</v>
      </c>
      <c r="BN275" s="35">
        <f>Crops[[#This Row],[Direct Price]]*0.6</f>
        <v>1.7999999999999998</v>
      </c>
      <c r="BO275" s="35"/>
      <c r="BP275" t="s">
        <v>215</v>
      </c>
      <c r="BQ275" s="193">
        <f>Crops[[#This Row],[Custom Yield Per Bed]]*Crops[[#This Row],[Direct Price]]</f>
        <v>150</v>
      </c>
      <c r="BR275" s="193" t="b">
        <v>0</v>
      </c>
      <c r="BS275" t="b">
        <f>Crops[[#This Row],[Harvests]]&gt;1</f>
        <v>1</v>
      </c>
      <c r="BT275" s="36">
        <f>IFERROR(Crops[[#This Row],[Direct Revenue Per Bed]]/Crops[[#This Row],[Days In Field]],-1)</f>
        <v>0.9375</v>
      </c>
      <c r="BU275" s="33">
        <f>IFERROR(Crops[[#This Row],[Direct Revenue Per Bed Day]]*GrowingDays*BedsPerAcre,"")</f>
        <v>27000</v>
      </c>
      <c r="BV275" s="38">
        <f>LastFrostDate-5*Crops[[#This Row],[Sewing Rel Last Frost]]</f>
        <v>45738</v>
      </c>
      <c r="BW275" s="38">
        <f>Crops[[#This Row],[Target Sewing Date]]+Crops[[#This Row],[Days in Cells]]</f>
        <v>45738</v>
      </c>
      <c r="BX275" s="38">
        <f>Crops[[#This Row],[Target Sewing Date]]+Crops[[#This Row],[STH]]</f>
        <v>45793</v>
      </c>
      <c r="BY275" s="38">
        <f>Crops[[#This Row],[Target Harvest Data]]+Crops[[#This Row],[Harvest window]]</f>
        <v>45898</v>
      </c>
      <c r="BZ275">
        <v>2</v>
      </c>
      <c r="CB275">
        <f>1</f>
        <v>1</v>
      </c>
      <c r="CC275">
        <f>IF(Crops[[#This Row],[Transplanting]]&gt;0, 2, 3)*BedLength/StandardBedLength</f>
        <v>1.5</v>
      </c>
      <c r="CD275" s="173">
        <f>IF(Crops[[#This Row],[Days in Cells]]&lt;=0,0,Crops[[#This Row],[Plantings Per Bed]]/StartsPerHourSeeding+Crops[[#This Row],[Tray 1 Count]]*5/60)</f>
        <v>0</v>
      </c>
      <c r="CE275" s="173">
        <f>IF(ISBLANK(Crops[[#This Row],[Tray 2 Days]]),0,Crops[[#This Row],[Plantings Per Bed]]/UpPottingPerHour)+IF(Crops[[#This Row],[Tray 3 Days]]="",0,Crops[[#This Row],[Plantings Per Bed]]/UpPottingPerHour)</f>
        <v>0</v>
      </c>
      <c r="CF275" s="173">
        <f>IFERROR(Crops[[#This Row],[Tray 1 Count]]/HomeStartFlatIrrigationPerHour,0)*Crops[[#This Row],[Days in Cells]]/DaysBetweenStartIrrigation</f>
        <v>0</v>
      </c>
      <c r="CG275">
        <f>0.5/16*MAX(Crops[[#This Row],[Tray 1 Count]],Crops[[#This Row],[Tray 2 Count]],Crops[[#This Row],[Tray 3 Count]])</f>
        <v>0</v>
      </c>
      <c r="CH275">
        <f>IF(Crops[[#This Row],[Days in Cells]]&gt;0,IF(IF(Crops[[#This Row],[Tray 3 Size]]&gt;0,Crops[[#This Row],[Tray 3 Size]],IF(Crops[[#This Row],[Tray 2 Size]]&gt;0,Crops[[#This Row],[Tray 2 Size]],Crops[[#This Row],[Tray 1 Size]]))&lt;=18,LargeTransplantTime,SmallTransplantTime)*Crops[[#This Row],[Plantings Per Bed]],0)</f>
        <v>0</v>
      </c>
      <c r="CJ275" s="173">
        <f>_xlfn.XLOOKUP(Crops[[#This Row],[Trellis Type]],TrellisMethods[Trellis Type],TrellisMethods[Hours],0,0)</f>
        <v>0</v>
      </c>
      <c r="CK275">
        <f>IF(Crops[[#This Row],[Days in Cells]]&lt;=0,Crops[[#This Row],[Rows]]*1/10,0)*BedLength/50</f>
        <v>0.3</v>
      </c>
      <c r="CL275" cm="1">
        <f t="array" ref="CL275">_xlfn.SWITCH(Crops[[#This Row],[Irrigation]],"DR", 0.5, "OH", 0.25,0)*BedLength/50</f>
        <v>0</v>
      </c>
      <c r="CM275">
        <f>IF(OR(ISBLANK(Crops[[#This Row],[Row Cover]]),Crops[[#This Row],[Row Cover]]="None"),0,1)*BedLength/50</f>
        <v>0</v>
      </c>
      <c r="CN275" s="173">
        <f>HoursPerWeedingPass*Crops[[#This Row],[Days In Field]]/14*Crops[[#This Row],[Rows]]+1*BedLength/50</f>
        <v>6.7142857142857135</v>
      </c>
      <c r="CQ275" s="37">
        <f>_xlfn.XLOOKUP(Crops[[#This Row],[Crop]]&amp;Crops[[#This Row],[Product]]&amp;Crops[[#This Row],[Unit]],Products[ID],Products[Marketing (hr)])*Crops[[#This Row],[Direct Revenue Per Bed]]/2000</f>
        <v>0.375</v>
      </c>
      <c r="CR275" s="37">
        <f>_xlfn.XLOOKUP(Crops[[#This Row],[Crop]]&amp;Crops[[#This Row],[Product]]&amp;Crops[[#This Row],[Unit]],Products[ID],Products[Harvest (s)])*Crops[[#This Row],[Custom Yield Per Bed]]/3600</f>
        <v>0.41666666666666669</v>
      </c>
      <c r="CS275" s="37">
        <f>_xlfn.XLOOKUP(Crops[[#This Row],[Crop]]&amp;Crops[[#This Row],[Product]]&amp;Crops[[#This Row],[Unit]],Products[ID],Products[Bunch (s)])*Crops[[#This Row],[Custom Yield Per Bed]]/3600</f>
        <v>0.1388888888888889</v>
      </c>
      <c r="CT275" s="37">
        <f>_xlfn.XLOOKUP(Crops[[#This Row],[Crop]]&amp;Crops[[#This Row],[Product]]&amp;Crops[[#This Row],[Unit]],Products[ID],Products[Haul (s)])*Crops[[#This Row],[Custom Yield Per Bed]]/3600</f>
        <v>6.25E-2</v>
      </c>
      <c r="CU275" s="37">
        <f>_xlfn.XLOOKUP(Crops[[#This Row],[Crop]]&amp;Crops[[#This Row],[Product]]&amp;Crops[[#This Row],[Unit]],Products[ID],Products[Wash (s)])*Crops[[#This Row],[Custom Yield Per Bed]]/3600</f>
        <v>0</v>
      </c>
      <c r="CV275" s="37">
        <f>_xlfn.XLOOKUP(Crops[[#This Row],[Crop]]&amp;Crops[[#This Row],[Product]]&amp;Crops[[#This Row],[Unit]],Products[ID],Products[Condition (s)])*Crops[[#This Row],[Custom Yield Per Bed]]/3600</f>
        <v>0</v>
      </c>
      <c r="CW275" s="37">
        <f>_xlfn.XLOOKUP(Crops[[#This Row],[Crop]]&amp;Crops[[#This Row],[Product]]&amp;Crops[[#This Row],[Unit]],Products[ID],Products[Trim (s)])*Crops[[#This Row],[Custom Yield Per Bed]]/3600</f>
        <v>0.20833333333333334</v>
      </c>
      <c r="CX275" s="37">
        <f>_xlfn.XLOOKUP(Crops[[#This Row],[Crop]]&amp;Crops[[#This Row],[Product]]&amp;Crops[[#This Row],[Unit]],Products[ID],Products[Pack (s)])*Crops[[#This Row],[Custom Yield Per Bed]]/3600</f>
        <v>4.1666666666666664E-2</v>
      </c>
      <c r="CY275" s="37">
        <f>_xlfn.XLOOKUP(Crops[[#This Row],[Crop]]&amp;Crops[[#This Row],[Product]]&amp;Crops[[#This Row],[Unit]],Products[ID],Products[Clean (s)])*Crops[[#This Row],[Custom Yield Per Bed]]/3600</f>
        <v>0</v>
      </c>
      <c r="CZ275" s="37">
        <f>_xlfn.XLOOKUP(Crops[[#This Row],[Crop]]&amp;Crops[[#This Row],[Product]]&amp;Crops[[#This Row],[Unit]],Products[ID],Products[Rehandle (s)])*Crops[[#This Row],[Custom Yield Per Bed]]/3600</f>
        <v>0</v>
      </c>
      <c r="DA275" s="37">
        <f>_xlfn.XLOOKUP(Crops[[#This Row],[Crop]]&amp;Crops[[#This Row],[Product]]&amp;Crops[[#This Row],[Unit]],Products[ID],Products[Market Transport (s)])*Crops[[#This Row],[Custom Yield Per Bed]]/3600</f>
        <v>0.15625</v>
      </c>
      <c r="DC275" s="37">
        <f>Crops[[#This Row],[Direct Revenue Per Bed2]]</f>
        <v>150</v>
      </c>
      <c r="DD275" s="173">
        <f>_xlfn.AGGREGATE(9,6,Crops[[#This Row],[Bed Prep]:[Remove Crop Residue]])</f>
        <v>9.9135912698412696</v>
      </c>
      <c r="DE275" s="173">
        <f>_xlfn.AGGREGATE(9,6,Crops[[#This Row],[Bed Prep]:[Remove Crop Residue]])-0.75*Crops[[#This Row],[Market &amp; Sell]]</f>
        <v>9.6323412698412696</v>
      </c>
      <c r="DF275" s="36">
        <f>Crops[[#This Row],[Direct Revenue Per Bed2]]/Crops[[#This Row],[Direct Time]]</f>
        <v>15.13074282740746</v>
      </c>
      <c r="DG275" s="36">
        <f>_xlfn.XLOOKUP(Crops[[#This Row],[ProductIndex]],Products[ID],Products[Packaging Cost])*(Crops[[#This Row],[Custom Yield Per Bed]]/_xlfn.XLOOKUP(Crops[[#This Row],[ProductIndex]],Products[ID],Products[Units Per Pack]))</f>
        <v>9.5</v>
      </c>
      <c r="DH275" s="36"/>
      <c r="DI275" s="36"/>
      <c r="DJ275" s="36"/>
      <c r="DK275" s="36"/>
      <c r="DL275" s="36"/>
      <c r="DM275" s="33">
        <f>IFERROR(Crops[[#This Row],[Custom Yield Per Bed]]*Crops[[#This Row],[Direct Price]],"")</f>
        <v>150</v>
      </c>
      <c r="DN275" s="36">
        <f>Crops[[#This Row],[Direct Time]]*LaborRate</f>
        <v>247.83978174603175</v>
      </c>
      <c r="DO275" s="36">
        <f>SUM(Crops[[#This Row],[Irrigation Cost]])</f>
        <v>0</v>
      </c>
      <c r="DP275" s="36">
        <f>Crops[[#This Row],[Direct Labor Cost]]+Crops[[#This Row],[Direct Non-Labor Cost]]</f>
        <v>247.83978174603175</v>
      </c>
      <c r="DQ275" s="36">
        <f>Crops[[#This Row],[Direct Revenue Per Bed2]]-Crops[[#This Row],[Direct Total Cost]]</f>
        <v>-97.839781746031747</v>
      </c>
      <c r="DR275" s="36">
        <f>Crops[[#This Row],[Direct Profit]]*BedsPerAcre</f>
        <v>-15654.36507936508</v>
      </c>
      <c r="DS275" s="36">
        <f>Crops[[#This Row],[Direct Profit]]*BedsPerAcre*GrowingDays/Crops[[#This Row],[Days In Field]]</f>
        <v>-17611.160714285714</v>
      </c>
      <c r="DT275" s="36">
        <f>Crops[[#This Row],[Direct Profit]]/MIN(Crops[[#This Row],[Days In Field]],GrowingDays)</f>
        <v>-0.61149863591269837</v>
      </c>
      <c r="DU275" s="36">
        <f>Crops[[#This Row],[Direct Time]] * BedsPerAcre</f>
        <v>1586.1746031746031</v>
      </c>
      <c r="DV275" s="36">
        <f>(Crops[[#This Row],[Direct Revenue Per Bed2]]-Crops[[#This Row],[Direct Non-Labor Cost]])/Crops[[#This Row],[Direct Time]]</f>
        <v>15.13074282740746</v>
      </c>
      <c r="DW275" s="33">
        <f>IFERROR(Crops[[#This Row],[Custom Yield Per Bed]]*Crops[[#This Row],[Rough Wholesale Price]],"")</f>
        <v>89.999999999999986</v>
      </c>
      <c r="DX275" s="36">
        <f>Crops[[#This Row],[Wholesale Time]]*LaborRate</f>
        <v>240.80853174603175</v>
      </c>
      <c r="DY275" s="36">
        <f>SUM(Crops[[#This Row],[Packaging Costs]:[Irrigation Cost]])</f>
        <v>9.5</v>
      </c>
      <c r="DZ275" s="36">
        <f>Crops[[#This Row],[Wholesale Labor Cost]]+Crops[[#This Row],[Wholesale Non-Labor Cost]]</f>
        <v>250.30853174603175</v>
      </c>
      <c r="EA275" s="36">
        <f>Crops[[#This Row],[Wholesale Revenue Per Bed]]-Crops[[#This Row],[Wholesale Total Cost]]</f>
        <v>-160.30853174603175</v>
      </c>
      <c r="EB275" s="36">
        <f>Crops[[#This Row],[Wholesale Profit]]*BedsPerAcre</f>
        <v>-25649.365079365081</v>
      </c>
      <c r="EC275" s="36">
        <f>Crops[[#This Row],[Wholesale Profit]]*BedsPerAcre*GrowingDays/Crops[[#This Row],[Days In Field]]</f>
        <v>-28855.535714285717</v>
      </c>
      <c r="ED275" s="36">
        <f>Crops[[#This Row],[Wholesale Time]] * BedsPerAcre</f>
        <v>1541.1746031746031</v>
      </c>
      <c r="EE275" s="36">
        <f>Crops[[#This Row],[Wholesale Profit]]/MIN(Crops[[#This Row],[Days In Field]],GrowingDays)</f>
        <v>-1.0019283234126983</v>
      </c>
      <c r="EF275" s="36">
        <f>(Crops[[#This Row],[Wholesale Revenue Per Bed]]-Crops[[#This Row],[Wholesale Non-Labor Cost]])/Crops[[#This Row],[Direct Time]]</f>
        <v>8.120165317375335</v>
      </c>
      <c r="EG275" s="174">
        <f>Crops[[#This Row],[Packaging Costs]]/Crops[[#This Row],[Wholesale Revenue Per Bed]]</f>
        <v>0.10555555555555557</v>
      </c>
      <c r="EH275" s="173" t="str">
        <f>Crops[[#This Row],[Crop]]&amp;Crops[[#This Row],[Product]]&amp;Crops[[#This Row],[Unit]]</f>
        <v>SalsolaMature LeafBunch</v>
      </c>
      <c r="EI275" s="173" t="b">
        <f>_xlfn.XLOOKUP(Crops[[#This Row],[ProductIndex]],Products[ID],Products[Target])</f>
        <v>0</v>
      </c>
      <c r="EJ275" s="173">
        <f>Crops[[#This Row],[Custom Yield Per Bed]]</f>
        <v>50</v>
      </c>
      <c r="EK275" s="210">
        <f>Crops[[#This Row],[Units Per Harvest]]/Crops[[#This Row],[Days Between Harvest]]*7</f>
        <v>3.125</v>
      </c>
      <c r="EL275" s="210" t="e">
        <f>Crops[[#This Row],[Custom Yield Per Bed]]/_xlfn.XLOOKUP(Crops[[#This Row],[ProductIndex]],Products[ID],Products[CSA Portion])</f>
        <v>#DIV/0!</v>
      </c>
      <c r="EM275" s="210" t="e">
        <f>Crops[[#This Row],[Units Per Harvest]]/Crops[[#This Row],[Days Between Harvest]]*7/_xlfn.XLOOKUP(Crops[[#This Row],[ProductIndex]],Products[ID],Products[CSA Portion])</f>
        <v>#DIV/0!</v>
      </c>
      <c r="EN275" s="210" t="e">
        <f>Crops[[#This Row],[CSA Portions Per Week]]/CSAMembers</f>
        <v>#DIV/0!</v>
      </c>
      <c r="EO275" s="210"/>
      <c r="EP275" s="210"/>
      <c r="EQ275" s="173"/>
      <c r="ER275" s="173">
        <f>Crops[[#This Row],[Harvests]]*Crops[[#This Row],[Days Between Harvest]]/7</f>
        <v>16</v>
      </c>
      <c r="ES275" s="49">
        <f>_xlfn.XLOOKUP(Crops[[#This Row],[ProductIndex]],Products[ID],Products[CSA Need])</f>
        <v>0</v>
      </c>
      <c r="ET275" s="49">
        <f>_xlfn.XLOOKUP(Crops[[#This Row],[ProductIndex]],Products[ID],Products[CSA Times])</f>
        <v>0</v>
      </c>
      <c r="EU275" s="49" t="e">
        <f>Crops[[#This Row],[Custom Yield Per Bed]]/(Crops[[#This Row],[CSA Need]]*(_xlfn.XLOOKUP(Crops[[#This Row],[ProductIndex]],Products[ID],Products[CSA Portion])*CSAMembers))</f>
        <v>#DIV/0!</v>
      </c>
      <c r="EV275" s="49">
        <f>_xlfn.XLOOKUP(Crops[[#This Row],[ProductIndex]],Products[ID],Products[CSA Portion])*CSAMembers*Crops[[#This Row],[CSA Need]]/Crops[[#This Row],[Custom Yield Per Bed]]</f>
        <v>0</v>
      </c>
      <c r="EW275" s="49">
        <f>IFERROR(Crops[[#This Row],[Days In Field]]*Crops[[#This Row],[CSA Beds]],"")</f>
        <v>0</v>
      </c>
      <c r="EX275" s="49" t="e">
        <f>Crops[[#This Row],[CSA Bed Days]]*#REF!</f>
        <v>#REF!</v>
      </c>
      <c r="EY275" t="s">
        <v>1537</v>
      </c>
    </row>
    <row r="276" spans="1:155">
      <c r="A276"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Salsola (Saltwort) - Mature Leaf 1X | Field DS </v>
      </c>
      <c r="B276" s="29"/>
      <c r="C276" s="1"/>
      <c r="D276" s="1"/>
      <c r="E276" s="1" t="b">
        <v>1</v>
      </c>
      <c r="F276" s="1" t="b">
        <f>IFERROR(IF(ISNUMBER(MATCH(Crops[[#This Row],[Identifier]],BedPlan[Crop], 0)), TRUE, FALSE), FALSE)</f>
        <v>0</v>
      </c>
      <c r="G276" s="1" t="b">
        <f>IFERROR(IF(ISNUMBER(MATCH(Crops[[#This Row],[Identifier]],BedPlan[Crop], 0)), TRUE, FALSE), FALSE)</f>
        <v>0</v>
      </c>
      <c r="H276" s="1"/>
      <c r="I276" t="s">
        <v>409</v>
      </c>
      <c r="J276" t="s">
        <v>1535</v>
      </c>
      <c r="K276" t="s">
        <v>179</v>
      </c>
      <c r="M276" t="s">
        <v>441</v>
      </c>
      <c r="N276" t="str">
        <f>Crops[[#This Row],[Crop]]</f>
        <v>Salsola</v>
      </c>
      <c r="O276" t="s">
        <v>210</v>
      </c>
      <c r="P276" t="str">
        <f>IF(OR(Crops[[#This Row],[Days in Cells]]="",Crops[[#This Row],[Days in Cells]]=0), "DS","TP")</f>
        <v>DS</v>
      </c>
      <c r="V276" t="str">
        <f xml:space="preserve"> IF(Crops[[#This Row],[Sp]], "Sp", "") &amp; IF(Crops[[#This Row],[Su]], "Su", "") &amp; IF(Crops[[#This Row],[Fa]], "Fa", "") &amp; IF(Crops[[#This Row],[Wi]], "Wi", "") &amp; IF(Crops[[#This Row],[OW]], "Ow","")</f>
        <v/>
      </c>
      <c r="X276">
        <v>1</v>
      </c>
      <c r="Y276">
        <v>18</v>
      </c>
      <c r="AA276" t="s">
        <v>474</v>
      </c>
      <c r="AB276" t="b">
        <v>1</v>
      </c>
      <c r="AC276">
        <v>4</v>
      </c>
      <c r="AD276" s="32">
        <f>IFERROR(12/Crops[[#This Row],[Spacing]]*Crops[[#This Row],[Rows]]*BedLength,"")</f>
        <v>33.333333333333329</v>
      </c>
      <c r="AE276">
        <v>1</v>
      </c>
      <c r="AG276">
        <f>IF(Crops[[#This Row],[Custom Safety Factor]]="",PlantingSafetyFactor,Crops[[#This Row],[Custom Safety Factor]])</f>
        <v>1.3</v>
      </c>
      <c r="AH276">
        <f>1</f>
        <v>1</v>
      </c>
      <c r="AI276" s="33">
        <f>IFERROR(Crops[[#This Row],[Plantings Per Bed]]*Crops[[#This Row],[Seeds Per Planting]]*Crops[[#This Row],[Safety Factor]]*Crops[[#This Row],[Seeding Factor]],"")</f>
        <v>43.333333333333329</v>
      </c>
      <c r="AJ276">
        <v>7</v>
      </c>
      <c r="AK276">
        <v>14</v>
      </c>
      <c r="AL276">
        <f>_xlfn.FLOOR.MATH(IFERROR(AVERAGE(Crops[[#This Row],[DTG Lower]:[DTG Upper]]),0))</f>
        <v>10</v>
      </c>
      <c r="AM276">
        <f>SUM(Crops[[#This Row],[Tray 1 Days]],Crops[[#This Row],[Tray 2 Days]],Crops[[#This Row],[Tray 3 Days]])</f>
        <v>0</v>
      </c>
      <c r="AO276">
        <v>40</v>
      </c>
      <c r="AP276">
        <v>55</v>
      </c>
      <c r="AQ276">
        <f>IFERROR(_xlfn.FLOOR.MATH(AVERAGE(Crops[[#This Row],[DTM Lower]:[DTM Upper]])),"")</f>
        <v>47</v>
      </c>
      <c r="AR276" cm="1">
        <f t="array" ref="AR276">_xlfn.SWITCH(Crops[[#This Row],[Normal Method]],"DS",Crops[[#This Row],[Days to Germination]]+Crops[[#This Row],[DTM]] + IF(Crops[[#This Row],[Days in Cells]]&gt;0,15,0), "TP",Crops[[#This Row],[DTM]]+Crops[[#This Row],[Days in Cells]] + IF(Crops[[#This Row],[Days in Cells]]&lt;=0,20,0), "X", Crops[[#This Row],[DTM]])</f>
        <v>57</v>
      </c>
      <c r="AS276" t="s">
        <v>338</v>
      </c>
      <c r="AT276">
        <f>(Crops[[#This Row],[Harvests]]-1)*Crops[[#This Row],[Days Between Harvest]]+7</f>
        <v>105</v>
      </c>
      <c r="AU276">
        <f>Crops[[#This Row],[STH]]-Crops[[#This Row],[Days in Cells]]+Crops[[#This Row],[Harvest window]]</f>
        <v>162</v>
      </c>
      <c r="AW276">
        <v>128</v>
      </c>
      <c r="AZ276" t="str">
        <f>IFERROR(IF(Crops[[#This Row],[Tray 1 Days]]=0,"",Crops[[#This Row],[Plantings Per Bed]]/Crops[[#This Row],[Tray 1 Size]]*Crops[[#This Row],[Safety Factor]]),"")</f>
        <v/>
      </c>
      <c r="BC276" t="str">
        <f>IFERROR(IF(Crops[[#This Row],[Tray 2 Days]]=0,"",Crops[[#This Row],[Plantings Per Bed]]/Crops[[#This Row],[Tray 2 Size]]*Crops[[#This Row],[Safety Factor]]),"")</f>
        <v/>
      </c>
      <c r="BE276" s="32" t="str">
        <f>IF(NOT(ISBLANK(Crops[[#This Row],[Tray 3 Size]])), Crops[[#This Row],[Days in Cells Old]]-SUM(Crops[[#This Row],[Tray 1 Days]],Crops[[#This Row],[Tray 2 Days]]), "")</f>
        <v/>
      </c>
      <c r="BF276" t="str">
        <f>IFERROR(IF(Crops[[#This Row],[Tray 3 Days]]=0,"",Crops[[#This Row],[Plantings Per Bed]]/Crops[[#This Row],[Tray 3 Size]]*Crops[[#This Row],[Safety Factor]]),"")</f>
        <v/>
      </c>
      <c r="BG276" s="33">
        <f>Crops[[#This Row],[Plantings Per Bed]]*1.5/Crops[[#This Row],[Harvests]]</f>
        <v>6.2499999999999991</v>
      </c>
      <c r="BH276" s="33">
        <v>8</v>
      </c>
      <c r="BI276" s="33">
        <v>14</v>
      </c>
      <c r="BJ276" s="33">
        <f>_xlfn.XLOOKUP(Crops[[#This Row],[ProductIndex]],Products[ID],Products[Holding Period])</f>
        <v>0</v>
      </c>
      <c r="BK276" s="33"/>
      <c r="BL276" s="33">
        <f>Crops[[#This Row],[Units Per Harvest]]*Crops[[#This Row],[Harvests]]</f>
        <v>49.999999999999993</v>
      </c>
      <c r="BM276" s="35">
        <v>22</v>
      </c>
      <c r="BN276" s="35">
        <f>Crops[[#This Row],[Direct Price]]*0.6</f>
        <v>13.2</v>
      </c>
      <c r="BO276" s="35"/>
      <c r="BP276" t="s">
        <v>383</v>
      </c>
      <c r="BQ276" s="193">
        <f>Crops[[#This Row],[Custom Yield Per Bed]]*Crops[[#This Row],[Direct Price]]</f>
        <v>1099.9999999999998</v>
      </c>
      <c r="BR276" s="193" t="b">
        <v>0</v>
      </c>
      <c r="BS276" t="b">
        <f>Crops[[#This Row],[Harvests]]&gt;1</f>
        <v>1</v>
      </c>
      <c r="BT276" s="36">
        <f>IFERROR(Crops[[#This Row],[Direct Revenue Per Bed]]/Crops[[#This Row],[Days In Field]],-1)</f>
        <v>6.7901234567901216</v>
      </c>
      <c r="BU276" s="33">
        <f>IFERROR(Crops[[#This Row],[Direct Revenue Per Bed Day]]*GrowingDays*BedsPerAcre,"")</f>
        <v>195555.5555555555</v>
      </c>
      <c r="BV276" s="38">
        <f>LastFrostDate-5*Crops[[#This Row],[Sewing Rel Last Frost]]</f>
        <v>45738</v>
      </c>
      <c r="BW276" s="38">
        <f>Crops[[#This Row],[Target Sewing Date]]+Crops[[#This Row],[Days in Cells]]</f>
        <v>45738</v>
      </c>
      <c r="BX276" s="38">
        <f>Crops[[#This Row],[Target Sewing Date]]+Crops[[#This Row],[STH]]</f>
        <v>45795</v>
      </c>
      <c r="BY276" s="38">
        <f>Crops[[#This Row],[Target Harvest Data]]+Crops[[#This Row],[Harvest window]]</f>
        <v>45900</v>
      </c>
      <c r="BZ276">
        <v>2</v>
      </c>
      <c r="CB276">
        <f>1</f>
        <v>1</v>
      </c>
      <c r="CC276">
        <f>IF(Crops[[#This Row],[Transplanting]]&gt;0, 2, 3)*BedLength/StandardBedLength</f>
        <v>1.5</v>
      </c>
      <c r="CD276" s="173">
        <f>IF(Crops[[#This Row],[Days in Cells]]&lt;=0,0,Crops[[#This Row],[Plantings Per Bed]]/StartsPerHourSeeding+Crops[[#This Row],[Tray 1 Count]]*5/60)</f>
        <v>0</v>
      </c>
      <c r="CE276" s="173">
        <f>IF(ISBLANK(Crops[[#This Row],[Tray 2 Days]]),0,Crops[[#This Row],[Plantings Per Bed]]/UpPottingPerHour)+IF(Crops[[#This Row],[Tray 3 Days]]="",0,Crops[[#This Row],[Plantings Per Bed]]/UpPottingPerHour)</f>
        <v>0</v>
      </c>
      <c r="CF276" s="173">
        <f>IFERROR(Crops[[#This Row],[Tray 1 Count]]/HomeStartFlatIrrigationPerHour,0)*Crops[[#This Row],[Days in Cells]]/DaysBetweenStartIrrigation</f>
        <v>0</v>
      </c>
      <c r="CG276">
        <f>0.5/16*MAX(Crops[[#This Row],[Tray 1 Count]],Crops[[#This Row],[Tray 2 Count]],Crops[[#This Row],[Tray 3 Count]])</f>
        <v>0</v>
      </c>
      <c r="CH276">
        <f>IF(Crops[[#This Row],[Days in Cells]]&gt;0,IF(IF(Crops[[#This Row],[Tray 3 Size]]&gt;0,Crops[[#This Row],[Tray 3 Size]],IF(Crops[[#This Row],[Tray 2 Size]]&gt;0,Crops[[#This Row],[Tray 2 Size]],Crops[[#This Row],[Tray 1 Size]]))&lt;=18,LargeTransplantTime,SmallTransplantTime)*Crops[[#This Row],[Plantings Per Bed]],0)</f>
        <v>0</v>
      </c>
      <c r="CJ276" s="173">
        <f>_xlfn.XLOOKUP(Crops[[#This Row],[Trellis Type]],TrellisMethods[Trellis Type],TrellisMethods[Hours],0,0)</f>
        <v>0</v>
      </c>
      <c r="CK276">
        <f>IF(Crops[[#This Row],[Days in Cells]]&lt;=0,Crops[[#This Row],[Rows]]*1/10,0)*BedLength/50</f>
        <v>0.1</v>
      </c>
      <c r="CL276" cm="1">
        <f t="array" ref="CL276">_xlfn.SWITCH(Crops[[#This Row],[Irrigation]],"DR", 0.5, "OH", 0.25,0)*BedLength/50</f>
        <v>0</v>
      </c>
      <c r="CM276">
        <f>IF(OR(ISBLANK(Crops[[#This Row],[Row Cover]]),Crops[[#This Row],[Row Cover]]="None"),0,1)*BedLength/50</f>
        <v>0</v>
      </c>
      <c r="CN276" s="173">
        <f>HoursPerWeedingPass*Crops[[#This Row],[Days In Field]]/14*Crops[[#This Row],[Rows]]+1*BedLength/50</f>
        <v>2.9285714285714288</v>
      </c>
      <c r="CQ276" s="37">
        <f>_xlfn.XLOOKUP(Crops[[#This Row],[Crop]]&amp;Crops[[#This Row],[Product]]&amp;Crops[[#This Row],[Unit]],Products[ID],Products[Marketing (hr)])*Crops[[#This Row],[Direct Revenue Per Bed]]/2000</f>
        <v>2.7499999999999996</v>
      </c>
      <c r="CR276" s="37">
        <f>_xlfn.XLOOKUP(Crops[[#This Row],[Crop]]&amp;Crops[[#This Row],[Product]]&amp;Crops[[#This Row],[Unit]],Products[ID],Products[Harvest (s)])*Crops[[#This Row],[Custom Yield Per Bed]]/3600</f>
        <v>4.1666666666666661</v>
      </c>
      <c r="CS276" s="37">
        <f>_xlfn.XLOOKUP(Crops[[#This Row],[Crop]]&amp;Crops[[#This Row],[Product]]&amp;Crops[[#This Row],[Unit]],Products[ID],Products[Bunch (s)])*Crops[[#This Row],[Custom Yield Per Bed]]/3600</f>
        <v>0</v>
      </c>
      <c r="CT276" s="37">
        <f>_xlfn.XLOOKUP(Crops[[#This Row],[Crop]]&amp;Crops[[#This Row],[Product]]&amp;Crops[[#This Row],[Unit]],Products[ID],Products[Haul (s)])*Crops[[#This Row],[Custom Yield Per Bed]]/3600</f>
        <v>0.12499999999999999</v>
      </c>
      <c r="CU276" s="37">
        <f>_xlfn.XLOOKUP(Crops[[#This Row],[Crop]]&amp;Crops[[#This Row],[Product]]&amp;Crops[[#This Row],[Unit]],Products[ID],Products[Wash (s)])*Crops[[#This Row],[Custom Yield Per Bed]]/3600</f>
        <v>0</v>
      </c>
      <c r="CV276" s="37">
        <f>_xlfn.XLOOKUP(Crops[[#This Row],[Crop]]&amp;Crops[[#This Row],[Product]]&amp;Crops[[#This Row],[Unit]],Products[ID],Products[Condition (s)])*Crops[[#This Row],[Custom Yield Per Bed]]/3600</f>
        <v>0</v>
      </c>
      <c r="CW276" s="37">
        <f>_xlfn.XLOOKUP(Crops[[#This Row],[Crop]]&amp;Crops[[#This Row],[Product]]&amp;Crops[[#This Row],[Unit]],Products[ID],Products[Trim (s)])*Crops[[#This Row],[Custom Yield Per Bed]]/3600</f>
        <v>0</v>
      </c>
      <c r="CX276" s="37">
        <f>_xlfn.XLOOKUP(Crops[[#This Row],[Crop]]&amp;Crops[[#This Row],[Product]]&amp;Crops[[#This Row],[Unit]],Products[ID],Products[Pack (s)])*Crops[[#This Row],[Custom Yield Per Bed]]/3600</f>
        <v>4.1666666666666657E-2</v>
      </c>
      <c r="CY276" s="37">
        <f>_xlfn.XLOOKUP(Crops[[#This Row],[Crop]]&amp;Crops[[#This Row],[Product]]&amp;Crops[[#This Row],[Unit]],Products[ID],Products[Clean (s)])*Crops[[#This Row],[Custom Yield Per Bed]]/3600</f>
        <v>0</v>
      </c>
      <c r="CZ276" s="37">
        <f>_xlfn.XLOOKUP(Crops[[#This Row],[Crop]]&amp;Crops[[#This Row],[Product]]&amp;Crops[[#This Row],[Unit]],Products[ID],Products[Rehandle (s)])*Crops[[#This Row],[Custom Yield Per Bed]]/3600</f>
        <v>0</v>
      </c>
      <c r="DA276" s="37">
        <f>_xlfn.XLOOKUP(Crops[[#This Row],[Crop]]&amp;Crops[[#This Row],[Product]]&amp;Crops[[#This Row],[Unit]],Products[ID],Products[Market Transport (s)])*Crops[[#This Row],[Custom Yield Per Bed]]/3600</f>
        <v>0.31249999999999994</v>
      </c>
      <c r="DC276" s="37">
        <f>Crops[[#This Row],[Direct Revenue Per Bed2]]</f>
        <v>1099.9999999999998</v>
      </c>
      <c r="DD276" s="173">
        <f>_xlfn.AGGREGATE(9,6,Crops[[#This Row],[Bed Prep]:[Remove Crop Residue]])</f>
        <v>11.924404761904761</v>
      </c>
      <c r="DE276" s="173">
        <f>_xlfn.AGGREGATE(9,6,Crops[[#This Row],[Bed Prep]:[Remove Crop Residue]])-0.75*Crops[[#This Row],[Market &amp; Sell]]</f>
        <v>9.8619047619047606</v>
      </c>
      <c r="DF276" s="36">
        <f>Crops[[#This Row],[Direct Revenue Per Bed2]]/Crops[[#This Row],[Direct Time]]</f>
        <v>92.247791144611384</v>
      </c>
      <c r="DG276" s="36">
        <f>_xlfn.XLOOKUP(Crops[[#This Row],[ProductIndex]],Products[ID],Products[Packaging Cost])*(Crops[[#This Row],[Custom Yield Per Bed]]/_xlfn.XLOOKUP(Crops[[#This Row],[ProductIndex]],Products[ID],Products[Units Per Pack]))</f>
        <v>18.999999999999996</v>
      </c>
      <c r="DH276" s="36"/>
      <c r="DI276" s="36"/>
      <c r="DJ276" s="36"/>
      <c r="DK276" s="36"/>
      <c r="DL276" s="36"/>
      <c r="DM276" s="33">
        <f>IFERROR(Crops[[#This Row],[Custom Yield Per Bed]]*Crops[[#This Row],[Direct Price]],"")</f>
        <v>1099.9999999999998</v>
      </c>
      <c r="DN276" s="36">
        <f>Crops[[#This Row],[Direct Time]]*LaborRate</f>
        <v>298.11011904761904</v>
      </c>
      <c r="DO276" s="36">
        <f>SUM(Crops[[#This Row],[Irrigation Cost]])</f>
        <v>0</v>
      </c>
      <c r="DP276" s="36">
        <f>Crops[[#This Row],[Direct Labor Cost]]+Crops[[#This Row],[Direct Non-Labor Cost]]</f>
        <v>298.11011904761904</v>
      </c>
      <c r="DQ276" s="36">
        <f>Crops[[#This Row],[Direct Revenue Per Bed2]]-Crops[[#This Row],[Direct Total Cost]]</f>
        <v>801.88988095238074</v>
      </c>
      <c r="DR276" s="36">
        <f>Crops[[#This Row],[Direct Profit]]*BedsPerAcre</f>
        <v>128302.38095238092</v>
      </c>
      <c r="DS276" s="36">
        <f>Crops[[#This Row],[Direct Profit]]*BedsPerAcre*GrowingDays/Crops[[#This Row],[Days In Field]]</f>
        <v>142558.201058201</v>
      </c>
      <c r="DT276" s="36">
        <f>Crops[[#This Row],[Direct Profit]]/MIN(Crops[[#This Row],[Days In Field]],GrowingDays)</f>
        <v>4.9499375367430911</v>
      </c>
      <c r="DU276" s="36">
        <f>Crops[[#This Row],[Direct Time]] * BedsPerAcre</f>
        <v>1907.9047619047617</v>
      </c>
      <c r="DV276" s="36">
        <f>(Crops[[#This Row],[Direct Revenue Per Bed2]]-Crops[[#This Row],[Direct Non-Labor Cost]])/Crops[[#This Row],[Direct Time]]</f>
        <v>92.247791144611384</v>
      </c>
      <c r="DW276" s="33">
        <f>IFERROR(Crops[[#This Row],[Custom Yield Per Bed]]*Crops[[#This Row],[Rough Wholesale Price]],"")</f>
        <v>659.99999999999989</v>
      </c>
      <c r="DX276" s="36">
        <f>Crops[[#This Row],[Wholesale Time]]*LaborRate</f>
        <v>246.54761904761901</v>
      </c>
      <c r="DY276" s="36">
        <f>SUM(Crops[[#This Row],[Packaging Costs]:[Irrigation Cost]])</f>
        <v>18.999999999999996</v>
      </c>
      <c r="DZ276" s="36">
        <f>Crops[[#This Row],[Wholesale Labor Cost]]+Crops[[#This Row],[Wholesale Non-Labor Cost]]</f>
        <v>265.54761904761898</v>
      </c>
      <c r="EA276" s="36">
        <f>Crops[[#This Row],[Wholesale Revenue Per Bed]]-Crops[[#This Row],[Wholesale Total Cost]]</f>
        <v>394.45238095238091</v>
      </c>
      <c r="EB276" s="36">
        <f>Crops[[#This Row],[Wholesale Profit]]*BedsPerAcre</f>
        <v>63112.380952380947</v>
      </c>
      <c r="EC276" s="36">
        <f>Crops[[#This Row],[Wholesale Profit]]*BedsPerAcre*GrowingDays/Crops[[#This Row],[Days In Field]]</f>
        <v>70124.867724867727</v>
      </c>
      <c r="ED276" s="36">
        <f>Crops[[#This Row],[Wholesale Time]] * BedsPerAcre</f>
        <v>1577.9047619047617</v>
      </c>
      <c r="EE276" s="36">
        <f>Crops[[#This Row],[Wholesale Profit]]/MIN(Crops[[#This Row],[Days In Field]],GrowingDays)</f>
        <v>2.4348912404467957</v>
      </c>
      <c r="EF276" s="36">
        <f>(Crops[[#This Row],[Wholesale Revenue Per Bed]]-Crops[[#This Row],[Wholesale Non-Labor Cost]])/Crops[[#This Row],[Direct Time]]</f>
        <v>53.755303748814455</v>
      </c>
      <c r="EG276" s="174">
        <f>Crops[[#This Row],[Packaging Costs]]/Crops[[#This Row],[Wholesale Revenue Per Bed]]</f>
        <v>2.8787878787878786E-2</v>
      </c>
      <c r="EH276" s="173" t="str">
        <f>Crops[[#This Row],[Crop]]&amp;Crops[[#This Row],[Product]]&amp;Crops[[#This Row],[Unit]]</f>
        <v>SalsolaMature LeafLb</v>
      </c>
      <c r="EI276" s="173" t="b">
        <f>_xlfn.XLOOKUP(Crops[[#This Row],[ProductIndex]],Products[ID],Products[Target])</f>
        <v>0</v>
      </c>
      <c r="EJ276" s="173">
        <f>Crops[[#This Row],[Custom Yield Per Bed]]</f>
        <v>49.999999999999993</v>
      </c>
      <c r="EK276" s="210">
        <f>Crops[[#This Row],[Units Per Harvest]]/Crops[[#This Row],[Days Between Harvest]]*7</f>
        <v>3.1249999999999996</v>
      </c>
      <c r="EL276" s="210" t="e">
        <f>Crops[[#This Row],[Custom Yield Per Bed]]/_xlfn.XLOOKUP(Crops[[#This Row],[ProductIndex]],Products[ID],Products[CSA Portion])</f>
        <v>#DIV/0!</v>
      </c>
      <c r="EM276" s="210" t="e">
        <f>Crops[[#This Row],[Units Per Harvest]]/Crops[[#This Row],[Days Between Harvest]]*7/_xlfn.XLOOKUP(Crops[[#This Row],[ProductIndex]],Products[ID],Products[CSA Portion])</f>
        <v>#DIV/0!</v>
      </c>
      <c r="EN276" s="210" t="e">
        <f>Crops[[#This Row],[CSA Portions Per Week]]/CSAMembers</f>
        <v>#DIV/0!</v>
      </c>
      <c r="EO276" s="210"/>
      <c r="EP276" s="210"/>
      <c r="EQ276" s="173"/>
      <c r="ER276" s="173">
        <f>Crops[[#This Row],[Harvests]]*Crops[[#This Row],[Days Between Harvest]]/7</f>
        <v>16</v>
      </c>
      <c r="ES276" s="49">
        <f>_xlfn.XLOOKUP(Crops[[#This Row],[ProductIndex]],Products[ID],Products[CSA Need])</f>
        <v>0</v>
      </c>
      <c r="ET276" s="49">
        <f>_xlfn.XLOOKUP(Crops[[#This Row],[ProductIndex]],Products[ID],Products[CSA Times])</f>
        <v>0</v>
      </c>
      <c r="EU276" s="49" t="e">
        <f>Crops[[#This Row],[Custom Yield Per Bed]]/(Crops[[#This Row],[CSA Need]]*(_xlfn.XLOOKUP(Crops[[#This Row],[ProductIndex]],Products[ID],Products[CSA Portion])*CSAMembers))</f>
        <v>#DIV/0!</v>
      </c>
      <c r="EV276" s="49">
        <f>_xlfn.XLOOKUP(Crops[[#This Row],[ProductIndex]],Products[ID],Products[CSA Portion])*CSAMembers*Crops[[#This Row],[CSA Need]]/Crops[[#This Row],[Custom Yield Per Bed]]</f>
        <v>0</v>
      </c>
      <c r="EW276" s="49">
        <f>IFERROR(Crops[[#This Row],[Days In Field]]*Crops[[#This Row],[CSA Beds]],"")</f>
        <v>0</v>
      </c>
      <c r="EX276" s="49" t="e">
        <f>Crops[[#This Row],[CSA Bed Days]]*#REF!</f>
        <v>#REF!</v>
      </c>
      <c r="EY276" t="s">
        <v>392</v>
      </c>
    </row>
    <row r="277" spans="1:155">
      <c r="A277"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Salsola (Saltwort) - Mature Leaf 1X | Field TP </v>
      </c>
      <c r="B277" s="29"/>
      <c r="C277" s="1" t="b">
        <v>0</v>
      </c>
      <c r="D277" s="1"/>
      <c r="E277" s="1" t="b">
        <v>1</v>
      </c>
      <c r="F277" s="1" t="b">
        <f>IFERROR(IF(ISNUMBER(MATCH(Crops[[#This Row],[Identifier]],BedPlan[Crop], 0)), TRUE, FALSE), FALSE)</f>
        <v>0</v>
      </c>
      <c r="G277" s="1" t="b">
        <f>IFERROR(IF(ISNUMBER(MATCH(Crops[[#This Row],[Identifier]],BedPlan[Crop], 0)), TRUE, FALSE), FALSE)</f>
        <v>0</v>
      </c>
      <c r="H277" s="1"/>
      <c r="I277" t="s">
        <v>409</v>
      </c>
      <c r="J277" t="s">
        <v>1535</v>
      </c>
      <c r="K277" t="s">
        <v>179</v>
      </c>
      <c r="M277" t="s">
        <v>441</v>
      </c>
      <c r="N277" t="str">
        <f>Crops[[#This Row],[Crop]]</f>
        <v>Salsola</v>
      </c>
      <c r="O277" t="s">
        <v>210</v>
      </c>
      <c r="P277" t="str">
        <f>IF(OR(Crops[[#This Row],[Days in Cells]]="",Crops[[#This Row],[Days in Cells]]=0), "DS","TP")</f>
        <v>TP</v>
      </c>
      <c r="V277" t="str">
        <f xml:space="preserve"> IF(Crops[[#This Row],[Sp]], "Sp", "") &amp; IF(Crops[[#This Row],[Su]], "Su", "") &amp; IF(Crops[[#This Row],[Fa]], "Fa", "") &amp; IF(Crops[[#This Row],[Wi]], "Wi", "") &amp; IF(Crops[[#This Row],[OW]], "Ow","")</f>
        <v/>
      </c>
      <c r="X277">
        <v>1</v>
      </c>
      <c r="Y277">
        <v>18</v>
      </c>
      <c r="AA277" t="s">
        <v>474</v>
      </c>
      <c r="AB277" t="b">
        <v>1</v>
      </c>
      <c r="AC277">
        <v>4</v>
      </c>
      <c r="AD277" s="32">
        <f>IFERROR(12/Crops[[#This Row],[Spacing]]*Crops[[#This Row],[Rows]]*BedLength,"")</f>
        <v>33.333333333333329</v>
      </c>
      <c r="AE277">
        <v>1</v>
      </c>
      <c r="AG277">
        <f>IF(Crops[[#This Row],[Custom Safety Factor]]="",PlantingSafetyFactor,Crops[[#This Row],[Custom Safety Factor]])</f>
        <v>1.3</v>
      </c>
      <c r="AH277">
        <f>1</f>
        <v>1</v>
      </c>
      <c r="AI277" s="33">
        <f>IFERROR(Crops[[#This Row],[Plantings Per Bed]]*Crops[[#This Row],[Seeds Per Planting]]*Crops[[#This Row],[Safety Factor]]*Crops[[#This Row],[Seeding Factor]],"")</f>
        <v>43.333333333333329</v>
      </c>
      <c r="AJ277">
        <v>7</v>
      </c>
      <c r="AK277">
        <v>14</v>
      </c>
      <c r="AL277">
        <f>_xlfn.FLOOR.MATH(IFERROR(AVERAGE(Crops[[#This Row],[DTG Lower]:[DTG Upper]]),0))</f>
        <v>10</v>
      </c>
      <c r="AM277">
        <f>SUM(Crops[[#This Row],[Tray 1 Days]],Crops[[#This Row],[Tray 2 Days]],Crops[[#This Row],[Tray 3 Days]])</f>
        <v>28</v>
      </c>
      <c r="AO277">
        <v>40</v>
      </c>
      <c r="AP277">
        <v>55</v>
      </c>
      <c r="AQ277">
        <f>IFERROR(_xlfn.FLOOR.MATH(AVERAGE(Crops[[#This Row],[DTM Lower]:[DTM Upper]])),"")</f>
        <v>47</v>
      </c>
      <c r="AR277" cm="1">
        <f t="array" ref="AR277">_xlfn.SWITCH(Crops[[#This Row],[Normal Method]],"DS",Crops[[#This Row],[Days to Germination]]+Crops[[#This Row],[DTM]] + IF(Crops[[#This Row],[Days in Cells]]&gt;0,15,0), "TP",Crops[[#This Row],[DTM]]+Crops[[#This Row],[Days in Cells]] + IF(Crops[[#This Row],[Days in Cells]]&lt;=0,20,0), "X", Crops[[#This Row],[DTM]])</f>
        <v>72</v>
      </c>
      <c r="AS277" t="s">
        <v>338</v>
      </c>
      <c r="AT277">
        <f>(Crops[[#This Row],[Harvests]]-1)*Crops[[#This Row],[Days Between Harvest]]+7</f>
        <v>105</v>
      </c>
      <c r="AU277">
        <f>Crops[[#This Row],[STH]]-Crops[[#This Row],[Days in Cells]]+Crops[[#This Row],[Harvest window]]</f>
        <v>149</v>
      </c>
      <c r="AW277">
        <v>128</v>
      </c>
      <c r="AX277">
        <v>128</v>
      </c>
      <c r="AY277">
        <v>28</v>
      </c>
      <c r="AZ277">
        <f>IFERROR(IF(Crops[[#This Row],[Tray 1 Days]]=0,"",Crops[[#This Row],[Plantings Per Bed]]/Crops[[#This Row],[Tray 1 Size]]*Crops[[#This Row],[Safety Factor]]),"")</f>
        <v>0.33854166666666663</v>
      </c>
      <c r="BC277" t="str">
        <f>IFERROR(IF(Crops[[#This Row],[Tray 2 Days]]=0,"",Crops[[#This Row],[Plantings Per Bed]]/Crops[[#This Row],[Tray 2 Size]]*Crops[[#This Row],[Safety Factor]]),"")</f>
        <v/>
      </c>
      <c r="BE277" s="32" t="str">
        <f>IF(NOT(ISBLANK(Crops[[#This Row],[Tray 3 Size]])), Crops[[#This Row],[Days in Cells Old]]-SUM(Crops[[#This Row],[Tray 1 Days]],Crops[[#This Row],[Tray 2 Days]]), "")</f>
        <v/>
      </c>
      <c r="BF277" t="str">
        <f>IFERROR(IF(Crops[[#This Row],[Tray 3 Days]]=0,"",Crops[[#This Row],[Plantings Per Bed]]/Crops[[#This Row],[Tray 3 Size]]*Crops[[#This Row],[Safety Factor]]),"")</f>
        <v/>
      </c>
      <c r="BG277" s="33">
        <f>Crops[[#This Row],[Plantings Per Bed]]*1.5/Crops[[#This Row],[Harvests]]</f>
        <v>6.2499999999999991</v>
      </c>
      <c r="BH277" s="33">
        <v>8</v>
      </c>
      <c r="BI277" s="33">
        <v>14</v>
      </c>
      <c r="BJ277" s="33">
        <f>_xlfn.XLOOKUP(Crops[[#This Row],[ProductIndex]],Products[ID],Products[Holding Period])</f>
        <v>0</v>
      </c>
      <c r="BK277" s="33"/>
      <c r="BL277" s="33">
        <f>Crops[[#This Row],[Units Per Harvest]]*Crops[[#This Row],[Harvests]]</f>
        <v>49.999999999999993</v>
      </c>
      <c r="BM277" s="35">
        <v>22</v>
      </c>
      <c r="BN277" s="35">
        <f>Crops[[#This Row],[Direct Price]]*0.6</f>
        <v>13.2</v>
      </c>
      <c r="BO277" s="35"/>
      <c r="BP277" t="s">
        <v>383</v>
      </c>
      <c r="BQ277" s="193">
        <f>Crops[[#This Row],[Custom Yield Per Bed]]*Crops[[#This Row],[Direct Price]]</f>
        <v>1099.9999999999998</v>
      </c>
      <c r="BR277" s="193" t="b">
        <v>0</v>
      </c>
      <c r="BS277" t="b">
        <f>Crops[[#This Row],[Harvests]]&gt;1</f>
        <v>1</v>
      </c>
      <c r="BT277" s="36">
        <f>IFERROR(Crops[[#This Row],[Direct Revenue Per Bed]]/Crops[[#This Row],[Days In Field]],-1)</f>
        <v>7.3825503355704685</v>
      </c>
      <c r="BU277" s="33">
        <f>IFERROR(Crops[[#This Row],[Direct Revenue Per Bed Day]]*GrowingDays*BedsPerAcre,"")</f>
        <v>212617.44966442947</v>
      </c>
      <c r="BV277" s="38">
        <f>LastFrostDate-5*Crops[[#This Row],[Sewing Rel Last Frost]]</f>
        <v>45738</v>
      </c>
      <c r="BW277" s="38">
        <f>Crops[[#This Row],[Target Sewing Date]]+Crops[[#This Row],[Days in Cells]]</f>
        <v>45766</v>
      </c>
      <c r="BX277" s="38">
        <f>Crops[[#This Row],[Target Sewing Date]]+Crops[[#This Row],[STH]]</f>
        <v>45810</v>
      </c>
      <c r="BY277" s="38">
        <f>Crops[[#This Row],[Target Harvest Data]]+Crops[[#This Row],[Harvest window]]</f>
        <v>45915</v>
      </c>
      <c r="BZ277">
        <v>2</v>
      </c>
      <c r="CB277">
        <f>1</f>
        <v>1</v>
      </c>
      <c r="CC277">
        <f>IF(Crops[[#This Row],[Transplanting]]&gt;0, 2, 3)*BedLength/StandardBedLength</f>
        <v>1</v>
      </c>
      <c r="CD277" s="173">
        <f>IF(Crops[[#This Row],[Days in Cells]]&lt;=0,0,Crops[[#This Row],[Plantings Per Bed]]/StartsPerHourSeeding+Crops[[#This Row],[Tray 1 Count]]*5/60)</f>
        <v>0.15842013888888887</v>
      </c>
      <c r="CE277" s="173">
        <f>IF(ISBLANK(Crops[[#This Row],[Tray 2 Days]]),0,Crops[[#This Row],[Plantings Per Bed]]/UpPottingPerHour)+IF(Crops[[#This Row],[Tray 3 Days]]="",0,Crops[[#This Row],[Plantings Per Bed]]/UpPottingPerHour)</f>
        <v>0</v>
      </c>
      <c r="CF277" s="173">
        <f>IFERROR(Crops[[#This Row],[Tray 1 Count]]/HomeStartFlatIrrigationPerHour,0)*Crops[[#This Row],[Days in Cells]]/DaysBetweenStartIrrigation</f>
        <v>3.9496527777777769E-2</v>
      </c>
      <c r="CG277">
        <f>0.5/16*MAX(Crops[[#This Row],[Tray 1 Count]],Crops[[#This Row],[Tray 2 Count]],Crops[[#This Row],[Tray 3 Count]])</f>
        <v>1.0579427083333332E-2</v>
      </c>
      <c r="CH277">
        <f>IF(Crops[[#This Row],[Days in Cells]]&gt;0,IF(IF(Crops[[#This Row],[Tray 3 Size]]&gt;0,Crops[[#This Row],[Tray 3 Size]],IF(Crops[[#This Row],[Tray 2 Size]]&gt;0,Crops[[#This Row],[Tray 2 Size]],Crops[[#This Row],[Tray 1 Size]]))&lt;=18,LargeTransplantTime,SmallTransplantTime)*Crops[[#This Row],[Plantings Per Bed]],0)</f>
        <v>0.16666666666666666</v>
      </c>
      <c r="CJ277" s="173">
        <f>_xlfn.XLOOKUP(Crops[[#This Row],[Trellis Type]],TrellisMethods[Trellis Type],TrellisMethods[Hours],0,0)</f>
        <v>0</v>
      </c>
      <c r="CK277">
        <f>IF(Crops[[#This Row],[Days in Cells]]&lt;=0,Crops[[#This Row],[Rows]]*1/10,0)*BedLength/50</f>
        <v>0</v>
      </c>
      <c r="CL277" cm="1">
        <f t="array" ref="CL277">_xlfn.SWITCH(Crops[[#This Row],[Irrigation]],"DR", 0.5, "OH", 0.25,0)*BedLength/50</f>
        <v>0</v>
      </c>
      <c r="CM277">
        <f>IF(OR(ISBLANK(Crops[[#This Row],[Row Cover]]),Crops[[#This Row],[Row Cover]]="None"),0,1)*BedLength/50</f>
        <v>0</v>
      </c>
      <c r="CN277" s="173">
        <f>HoursPerWeedingPass*Crops[[#This Row],[Days In Field]]/14*Crops[[#This Row],[Rows]]+1*BedLength/50</f>
        <v>2.7738095238095237</v>
      </c>
      <c r="CQ277" s="37">
        <f>_xlfn.XLOOKUP(Crops[[#This Row],[Crop]]&amp;Crops[[#This Row],[Product]]&amp;Crops[[#This Row],[Unit]],Products[ID],Products[Marketing (hr)])*Crops[[#This Row],[Direct Revenue Per Bed]]/2000</f>
        <v>2.7499999999999996</v>
      </c>
      <c r="CR277" s="37">
        <f>_xlfn.XLOOKUP(Crops[[#This Row],[Crop]]&amp;Crops[[#This Row],[Product]]&amp;Crops[[#This Row],[Unit]],Products[ID],Products[Harvest (s)])*Crops[[#This Row],[Custom Yield Per Bed]]/3600</f>
        <v>4.1666666666666661</v>
      </c>
      <c r="CS277" s="37">
        <f>_xlfn.XLOOKUP(Crops[[#This Row],[Crop]]&amp;Crops[[#This Row],[Product]]&amp;Crops[[#This Row],[Unit]],Products[ID],Products[Bunch (s)])*Crops[[#This Row],[Custom Yield Per Bed]]/3600</f>
        <v>0</v>
      </c>
      <c r="CT277" s="37">
        <f>_xlfn.XLOOKUP(Crops[[#This Row],[Crop]]&amp;Crops[[#This Row],[Product]]&amp;Crops[[#This Row],[Unit]],Products[ID],Products[Haul (s)])*Crops[[#This Row],[Custom Yield Per Bed]]/3600</f>
        <v>0.12499999999999999</v>
      </c>
      <c r="CU277" s="37">
        <f>_xlfn.XLOOKUP(Crops[[#This Row],[Crop]]&amp;Crops[[#This Row],[Product]]&amp;Crops[[#This Row],[Unit]],Products[ID],Products[Wash (s)])*Crops[[#This Row],[Custom Yield Per Bed]]/3600</f>
        <v>0</v>
      </c>
      <c r="CV277" s="37">
        <f>_xlfn.XLOOKUP(Crops[[#This Row],[Crop]]&amp;Crops[[#This Row],[Product]]&amp;Crops[[#This Row],[Unit]],Products[ID],Products[Condition (s)])*Crops[[#This Row],[Custom Yield Per Bed]]/3600</f>
        <v>0</v>
      </c>
      <c r="CW277" s="37">
        <f>_xlfn.XLOOKUP(Crops[[#This Row],[Crop]]&amp;Crops[[#This Row],[Product]]&amp;Crops[[#This Row],[Unit]],Products[ID],Products[Trim (s)])*Crops[[#This Row],[Custom Yield Per Bed]]/3600</f>
        <v>0</v>
      </c>
      <c r="CX277" s="37">
        <f>_xlfn.XLOOKUP(Crops[[#This Row],[Crop]]&amp;Crops[[#This Row],[Product]]&amp;Crops[[#This Row],[Unit]],Products[ID],Products[Pack (s)])*Crops[[#This Row],[Custom Yield Per Bed]]/3600</f>
        <v>4.1666666666666657E-2</v>
      </c>
      <c r="CY277" s="37">
        <f>_xlfn.XLOOKUP(Crops[[#This Row],[Crop]]&amp;Crops[[#This Row],[Product]]&amp;Crops[[#This Row],[Unit]],Products[ID],Products[Clean (s)])*Crops[[#This Row],[Custom Yield Per Bed]]/3600</f>
        <v>0</v>
      </c>
      <c r="CZ277" s="37">
        <f>_xlfn.XLOOKUP(Crops[[#This Row],[Crop]]&amp;Crops[[#This Row],[Product]]&amp;Crops[[#This Row],[Unit]],Products[ID],Products[Rehandle (s)])*Crops[[#This Row],[Custom Yield Per Bed]]/3600</f>
        <v>0</v>
      </c>
      <c r="DA277" s="37">
        <f>_xlfn.XLOOKUP(Crops[[#This Row],[Crop]]&amp;Crops[[#This Row],[Product]]&amp;Crops[[#This Row],[Unit]],Products[ID],Products[Market Transport (s)])*Crops[[#This Row],[Custom Yield Per Bed]]/3600</f>
        <v>0.31249999999999994</v>
      </c>
      <c r="DC277" s="37">
        <f>Crops[[#This Row],[Direct Revenue Per Bed2]]</f>
        <v>1099.9999999999998</v>
      </c>
      <c r="DD277" s="173">
        <f>_xlfn.AGGREGATE(9,6,Crops[[#This Row],[Bed Prep]:[Remove Crop Residue]])</f>
        <v>11.544805617559522</v>
      </c>
      <c r="DE277" s="173">
        <f>_xlfn.AGGREGATE(9,6,Crops[[#This Row],[Bed Prep]:[Remove Crop Residue]])-0.75*Crops[[#This Row],[Market &amp; Sell]]</f>
        <v>9.4823056175595219</v>
      </c>
      <c r="DF277" s="36">
        <f>Crops[[#This Row],[Direct Revenue Per Bed2]]/Crops[[#This Row],[Direct Time]]</f>
        <v>95.280945945673778</v>
      </c>
      <c r="DG277" s="36">
        <f>_xlfn.XLOOKUP(Crops[[#This Row],[ProductIndex]],Products[ID],Products[Packaging Cost])*(Crops[[#This Row],[Custom Yield Per Bed]]/_xlfn.XLOOKUP(Crops[[#This Row],[ProductIndex]],Products[ID],Products[Units Per Pack]))</f>
        <v>18.999999999999996</v>
      </c>
      <c r="DH277" s="36"/>
      <c r="DI277" s="36"/>
      <c r="DJ277" s="36"/>
      <c r="DK277" s="36"/>
      <c r="DL277" s="36"/>
      <c r="DM277" s="33">
        <f>IFERROR(Crops[[#This Row],[Custom Yield Per Bed]]*Crops[[#This Row],[Direct Price]],"")</f>
        <v>1099.9999999999998</v>
      </c>
      <c r="DN277" s="36">
        <f>Crops[[#This Row],[Direct Time]]*LaborRate</f>
        <v>288.62014043898807</v>
      </c>
      <c r="DO277" s="36">
        <f>SUM(Crops[[#This Row],[Irrigation Cost]])</f>
        <v>0</v>
      </c>
      <c r="DP277" s="36">
        <f>Crops[[#This Row],[Direct Labor Cost]]+Crops[[#This Row],[Direct Non-Labor Cost]]</f>
        <v>288.62014043898807</v>
      </c>
      <c r="DQ277" s="36">
        <f>Crops[[#This Row],[Direct Revenue Per Bed2]]-Crops[[#This Row],[Direct Total Cost]]</f>
        <v>811.3798595610117</v>
      </c>
      <c r="DR277" s="36">
        <f>Crops[[#This Row],[Direct Profit]]*BedsPerAcre</f>
        <v>129820.77752976186</v>
      </c>
      <c r="DS277" s="36">
        <f>Crops[[#This Row],[Direct Profit]]*BedsPerAcre*GrowingDays/Crops[[#This Row],[Days In Field]]</f>
        <v>156830.46949904118</v>
      </c>
      <c r="DT277" s="36">
        <f>Crops[[#This Row],[Direct Profit]]/MIN(Crops[[#This Row],[Days In Field]],GrowingDays)</f>
        <v>5.4455024131611527</v>
      </c>
      <c r="DU277" s="36">
        <f>Crops[[#This Row],[Direct Time]] * BedsPerAcre</f>
        <v>1847.1688988095234</v>
      </c>
      <c r="DV277" s="36">
        <f>(Crops[[#This Row],[Direct Revenue Per Bed2]]-Crops[[#This Row],[Direct Non-Labor Cost]])/Crops[[#This Row],[Direct Time]]</f>
        <v>95.280945945673778</v>
      </c>
      <c r="DW277" s="33">
        <f>IFERROR(Crops[[#This Row],[Custom Yield Per Bed]]*Crops[[#This Row],[Rough Wholesale Price]],"")</f>
        <v>659.99999999999989</v>
      </c>
      <c r="DX277" s="36">
        <f>Crops[[#This Row],[Wholesale Time]]*LaborRate</f>
        <v>237.05764043898805</v>
      </c>
      <c r="DY277" s="36">
        <f>SUM(Crops[[#This Row],[Packaging Costs]:[Irrigation Cost]])</f>
        <v>18.999999999999996</v>
      </c>
      <c r="DZ277" s="36">
        <f>Crops[[#This Row],[Wholesale Labor Cost]]+Crops[[#This Row],[Wholesale Non-Labor Cost]]</f>
        <v>256.05764043898802</v>
      </c>
      <c r="EA277" s="36">
        <f>Crops[[#This Row],[Wholesale Revenue Per Bed]]-Crops[[#This Row],[Wholesale Total Cost]]</f>
        <v>403.94235956101187</v>
      </c>
      <c r="EB277" s="36">
        <f>Crops[[#This Row],[Wholesale Profit]]*BedsPerAcre</f>
        <v>64630.777529761901</v>
      </c>
      <c r="EC277" s="36">
        <f>Crops[[#This Row],[Wholesale Profit]]*BedsPerAcre*GrowingDays/Crops[[#This Row],[Days In Field]]</f>
        <v>78077.44936481303</v>
      </c>
      <c r="ED277" s="36">
        <f>Crops[[#This Row],[Wholesale Time]] * BedsPerAcre</f>
        <v>1517.1688988095234</v>
      </c>
      <c r="EE277" s="36">
        <f>Crops[[#This Row],[Wholesale Profit]]/MIN(Crops[[#This Row],[Days In Field]],GrowingDays)</f>
        <v>2.7110225473893412</v>
      </c>
      <c r="EF277" s="36">
        <f>(Crops[[#This Row],[Wholesale Revenue Per Bed]]-Crops[[#This Row],[Wholesale Non-Labor Cost]])/Crops[[#This Row],[Direct Time]]</f>
        <v>55.522805773797174</v>
      </c>
      <c r="EG277" s="174">
        <f>Crops[[#This Row],[Packaging Costs]]/Crops[[#This Row],[Wholesale Revenue Per Bed]]</f>
        <v>2.8787878787878786E-2</v>
      </c>
      <c r="EH277" s="173" t="str">
        <f>Crops[[#This Row],[Crop]]&amp;Crops[[#This Row],[Product]]&amp;Crops[[#This Row],[Unit]]</f>
        <v>SalsolaMature LeafLb</v>
      </c>
      <c r="EI277" s="173" t="b">
        <f>_xlfn.XLOOKUP(Crops[[#This Row],[ProductIndex]],Products[ID],Products[Target])</f>
        <v>0</v>
      </c>
      <c r="EJ277" s="173">
        <f>Crops[[#This Row],[Custom Yield Per Bed]]</f>
        <v>49.999999999999993</v>
      </c>
      <c r="EK277" s="210">
        <f>Crops[[#This Row],[Units Per Harvest]]/Crops[[#This Row],[Days Between Harvest]]*7</f>
        <v>3.1249999999999996</v>
      </c>
      <c r="EL277" s="210" t="e">
        <f>Crops[[#This Row],[Custom Yield Per Bed]]/_xlfn.XLOOKUP(Crops[[#This Row],[ProductIndex]],Products[ID],Products[CSA Portion])</f>
        <v>#DIV/0!</v>
      </c>
      <c r="EM277" s="210" t="e">
        <f>Crops[[#This Row],[Units Per Harvest]]/Crops[[#This Row],[Days Between Harvest]]*7/_xlfn.XLOOKUP(Crops[[#This Row],[ProductIndex]],Products[ID],Products[CSA Portion])</f>
        <v>#DIV/0!</v>
      </c>
      <c r="EN277" s="210" t="e">
        <f>Crops[[#This Row],[CSA Portions Per Week]]/CSAMembers</f>
        <v>#DIV/0!</v>
      </c>
      <c r="EO277" s="210"/>
      <c r="EP277" s="210"/>
      <c r="EQ277" s="173"/>
      <c r="ER277" s="173">
        <f>Crops[[#This Row],[Harvests]]*Crops[[#This Row],[Days Between Harvest]]/7</f>
        <v>16</v>
      </c>
      <c r="ES277" s="49">
        <f>_xlfn.XLOOKUP(Crops[[#This Row],[ProductIndex]],Products[ID],Products[CSA Need])</f>
        <v>0</v>
      </c>
      <c r="ET277" s="49">
        <f>_xlfn.XLOOKUP(Crops[[#This Row],[ProductIndex]],Products[ID],Products[CSA Times])</f>
        <v>0</v>
      </c>
      <c r="EU277" s="49" t="e">
        <f>Crops[[#This Row],[Custom Yield Per Bed]]/(Crops[[#This Row],[CSA Need]]*(_xlfn.XLOOKUP(Crops[[#This Row],[ProductIndex]],Products[ID],Products[CSA Portion])*CSAMembers))</f>
        <v>#DIV/0!</v>
      </c>
      <c r="EV277" s="49">
        <f>_xlfn.XLOOKUP(Crops[[#This Row],[ProductIndex]],Products[ID],Products[CSA Portion])*CSAMembers*Crops[[#This Row],[CSA Need]]/Crops[[#This Row],[Custom Yield Per Bed]]</f>
        <v>0</v>
      </c>
      <c r="EW277" s="49">
        <f>IFERROR(Crops[[#This Row],[Days In Field]]*Crops[[#This Row],[CSA Beds]],"")</f>
        <v>0</v>
      </c>
      <c r="EX277" s="49" t="e">
        <f>Crops[[#This Row],[CSA Bed Days]]*#REF!</f>
        <v>#REF!</v>
      </c>
      <c r="EY277" t="s">
        <v>392</v>
      </c>
    </row>
    <row r="278" spans="1:155">
      <c r="A27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Scabiosa - Mature Stem 1X | Field DS Sp</v>
      </c>
      <c r="B278" s="189"/>
      <c r="C278" s="1" t="b">
        <v>1</v>
      </c>
      <c r="D278" s="1"/>
      <c r="E278" s="1" t="b">
        <v>0</v>
      </c>
      <c r="F278" s="1" t="b">
        <f>IFERROR(IF(ISNUMBER(MATCH(Crops[[#This Row],[Identifier]],BedPlan[Crop], 0)), TRUE, FALSE), FALSE)</f>
        <v>0</v>
      </c>
      <c r="G278" s="1" t="b">
        <f>IFERROR(IF(ISNUMBER(MATCH(Crops[[#This Row],[Identifier]],BedPlan[Crop], 0)), TRUE, FALSE), FALSE)</f>
        <v>0</v>
      </c>
      <c r="H278" s="1" t="b">
        <v>1</v>
      </c>
      <c r="I278" t="s">
        <v>1769</v>
      </c>
      <c r="J278" t="s">
        <v>145</v>
      </c>
      <c r="K278" t="s">
        <v>181</v>
      </c>
      <c r="M278" t="s">
        <v>406</v>
      </c>
      <c r="N278" t="str">
        <f>Crops[[#This Row],[Crop]]</f>
        <v>Scabiosa</v>
      </c>
      <c r="O278" t="s">
        <v>210</v>
      </c>
      <c r="P278" t="str">
        <f>IF(OR(Crops[[#This Row],[Days in Cells]]="",Crops[[#This Row],[Days in Cells]]=0), "DS","TP")</f>
        <v>DS</v>
      </c>
      <c r="Q278" t="b">
        <v>1</v>
      </c>
      <c r="V278" t="str">
        <f xml:space="preserve"> IF(Crops[[#This Row],[Sp]], "Sp", "") &amp; IF(Crops[[#This Row],[Su]], "Su", "") &amp; IF(Crops[[#This Row],[Fa]], "Fa", "") &amp; IF(Crops[[#This Row],[Wi]], "Wi", "") &amp; IF(Crops[[#This Row],[OW]], "Ow","")</f>
        <v>Sp</v>
      </c>
      <c r="X278">
        <v>3</v>
      </c>
      <c r="Y278">
        <v>12</v>
      </c>
      <c r="AA278" t="s">
        <v>474</v>
      </c>
      <c r="AB278" t="b">
        <v>1</v>
      </c>
      <c r="AC278">
        <v>3</v>
      </c>
      <c r="AD278" s="32">
        <f>IFERROR(12/Crops[[#This Row],[Spacing]]*Crops[[#This Row],[Rows]]*BedLength,"")</f>
        <v>150</v>
      </c>
      <c r="AE278">
        <v>1</v>
      </c>
      <c r="AG278">
        <f>IF(Crops[[#This Row],[Custom Safety Factor]]="",PlantingSafetyFactor,Crops[[#This Row],[Custom Safety Factor]])</f>
        <v>1.3</v>
      </c>
      <c r="AH278">
        <f>1</f>
        <v>1</v>
      </c>
      <c r="AI278" s="33">
        <f>IFERROR(Crops[[#This Row],[Plantings Per Bed]]*Crops[[#This Row],[Seeds Per Planting]]*Crops[[#This Row],[Safety Factor]]*Crops[[#This Row],[Seeding Factor]],"")</f>
        <v>195</v>
      </c>
      <c r="AL278">
        <f>_xlfn.FLOOR.MATH(IFERROR(AVERAGE(Crops[[#This Row],[DTG Lower]:[DTG Upper]]),0))</f>
        <v>0</v>
      </c>
      <c r="AM278">
        <f>SUM(Crops[[#This Row],[Tray 1 Days]],Crops[[#This Row],[Tray 2 Days]],Crops[[#This Row],[Tray 3 Days]])</f>
        <v>0</v>
      </c>
      <c r="AN278">
        <v>30</v>
      </c>
      <c r="AO278">
        <v>90</v>
      </c>
      <c r="AP278">
        <v>95</v>
      </c>
      <c r="AQ278">
        <f>IFERROR(_xlfn.FLOOR.MATH(AVERAGE(Crops[[#This Row],[DTM Lower]:[DTM Upper]])),"")</f>
        <v>92</v>
      </c>
      <c r="AR278" cm="1">
        <f t="array" ref="AR278">_xlfn.SWITCH(Crops[[#This Row],[Normal Method]],"DS",Crops[[#This Row],[Days to Germination]]+Crops[[#This Row],[DTM]] + IF(Crops[[#This Row],[Days in Cells]]&gt;0,15,0), "TP",Crops[[#This Row],[DTM]]+Crops[[#This Row],[Days in Cells]] + IF(Crops[[#This Row],[Days in Cells]]&lt;=0,20,0), "X", Crops[[#This Row],[DTM]])</f>
        <v>92</v>
      </c>
      <c r="AS278" t="s">
        <v>338</v>
      </c>
      <c r="AT278">
        <f>(Crops[[#This Row],[Harvests]]-1)*Crops[[#This Row],[Days Between Harvest]]+7</f>
        <v>56</v>
      </c>
      <c r="AU278">
        <f>Crops[[#This Row],[STH]]-Crops[[#This Row],[Days in Cells]]+Crops[[#This Row],[Harvest window]]</f>
        <v>148</v>
      </c>
      <c r="AZ278" t="str">
        <f>IFERROR(IF(Crops[[#This Row],[Tray 1 Days]]=0,"",Crops[[#This Row],[Plantings Per Bed]]/Crops[[#This Row],[Tray 1 Size]]*Crops[[#This Row],[Safety Factor]]),"")</f>
        <v/>
      </c>
      <c r="BC278" t="str">
        <f>IFERROR(IF(Crops[[#This Row],[Tray 2 Days]]=0,"",Crops[[#This Row],[Plantings Per Bed]]/Crops[[#This Row],[Tray 2 Size]]*Crops[[#This Row],[Safety Factor]]),"")</f>
        <v/>
      </c>
      <c r="BE278" s="32" t="str">
        <f>IF(NOT(ISBLANK(Crops[[#This Row],[Tray 3 Size]])), Crops[[#This Row],[Days in Cells Old]]-SUM(Crops[[#This Row],[Tray 1 Days]],Crops[[#This Row],[Tray 2 Days]]), "")</f>
        <v/>
      </c>
      <c r="BF278" t="str">
        <f>IFERROR(IF(Crops[[#This Row],[Tray 3 Days]]=0,"",Crops[[#This Row],[Plantings Per Bed]]/Crops[[#This Row],[Tray 3 Size]]*Crops[[#This Row],[Safety Factor]]),"")</f>
        <v/>
      </c>
      <c r="BG278" s="33">
        <f>Crops[[#This Row],[Plantings Per Bed]]*10/Crops[[#This Row],[Harvests]]</f>
        <v>187.5</v>
      </c>
      <c r="BH278" s="33">
        <v>8</v>
      </c>
      <c r="BI278" s="33">
        <v>7</v>
      </c>
      <c r="BJ278" s="33">
        <f>_xlfn.XLOOKUP(Crops[[#This Row],[ProductIndex]],Products[ID],Products[Holding Period])</f>
        <v>0</v>
      </c>
      <c r="BK278" s="33"/>
      <c r="BL278" s="33">
        <f>Crops[[#This Row],[Units Per Harvest]]*Crops[[#This Row],[Harvests]]</f>
        <v>1500</v>
      </c>
      <c r="BM278" s="35">
        <v>0.8</v>
      </c>
      <c r="BN278" s="35">
        <f>Crops[[#This Row],[Direct Price]]*0.6</f>
        <v>0.48</v>
      </c>
      <c r="BO278" s="35"/>
      <c r="BP278" t="s">
        <v>213</v>
      </c>
      <c r="BQ278">
        <f>Crops[[#This Row],[Custom Yield Per Bed]]*Crops[[#This Row],[Direct Price]]</f>
        <v>1200</v>
      </c>
      <c r="BR278" t="b">
        <v>0</v>
      </c>
      <c r="BS278" t="b">
        <f>Crops[[#This Row],[Harvests]]&gt;1</f>
        <v>1</v>
      </c>
      <c r="BT278" s="36">
        <f>IFERROR(Crops[[#This Row],[Direct Revenue Per Bed]]/Crops[[#This Row],[Days In Field]],-1)</f>
        <v>8.1081081081081088</v>
      </c>
      <c r="BU278" s="36">
        <f>IFERROR(Crops[[#This Row],[Direct Revenue Per Bed Day]]*GrowingDays*BedsPerAcre,"")</f>
        <v>233513.51351351355</v>
      </c>
      <c r="BV278" s="38">
        <f>LastFrostDate-5*Crops[[#This Row],[Sewing Rel Last Frost]]</f>
        <v>45768</v>
      </c>
      <c r="BW278" s="38">
        <f>Crops[[#This Row],[Target Sewing Date]]+Crops[[#This Row],[Days in Cells]]</f>
        <v>45768</v>
      </c>
      <c r="BX278" s="38">
        <f>Crops[[#This Row],[Target Sewing Date]]+Crops[[#This Row],[STH]]</f>
        <v>45860</v>
      </c>
      <c r="BY278" s="38">
        <f>Crops[[#This Row],[Target Harvest Data]]+Crops[[#This Row],[Harvest window]]</f>
        <v>45916</v>
      </c>
      <c r="BZ278">
        <v>-4</v>
      </c>
      <c r="CB278">
        <f>1</f>
        <v>1</v>
      </c>
      <c r="CC278">
        <f>IF(Crops[[#This Row],[Transplanting]]&gt;0, 2, 3)*BedLength/StandardBedLength</f>
        <v>1.5</v>
      </c>
      <c r="CD278" s="173">
        <f>IF(Crops[[#This Row],[Days in Cells]]&lt;=0,0,Crops[[#This Row],[Plantings Per Bed]]/StartsPerHourSeeding+Crops[[#This Row],[Tray 1 Count]]*5/60)</f>
        <v>0</v>
      </c>
      <c r="CE278" s="173">
        <f>IF(ISBLANK(Crops[[#This Row],[Tray 2 Days]]),0,Crops[[#This Row],[Plantings Per Bed]]/UpPottingPerHour)+IF(Crops[[#This Row],[Tray 3 Days]]="",0,Crops[[#This Row],[Plantings Per Bed]]/UpPottingPerHour)</f>
        <v>0</v>
      </c>
      <c r="CF278" s="173">
        <f>IFERROR(Crops[[#This Row],[Tray 1 Count]]/HomeStartFlatIrrigationPerHour,0)*Crops[[#This Row],[Days in Cells]]/DaysBetweenStartIrrigation</f>
        <v>0</v>
      </c>
      <c r="CG278" s="173">
        <f>0.5/16*MAX(Crops[[#This Row],[Tray 1 Count]],Crops[[#This Row],[Tray 2 Count]],Crops[[#This Row],[Tray 3 Count]])</f>
        <v>0</v>
      </c>
      <c r="CH278" s="173">
        <f>IF(Crops[[#This Row],[Days in Cells]]&gt;0,IF(IF(Crops[[#This Row],[Tray 3 Size]]&gt;0,Crops[[#This Row],[Tray 3 Size]],IF(Crops[[#This Row],[Tray 2 Size]]&gt;0,Crops[[#This Row],[Tray 2 Size]],Crops[[#This Row],[Tray 1 Size]]))&lt;=18,LargeTransplantTime,SmallTransplantTime)*Crops[[#This Row],[Plantings Per Bed]],0)</f>
        <v>0</v>
      </c>
      <c r="CI278" s="173"/>
      <c r="CJ278" s="173">
        <f>_xlfn.XLOOKUP(Crops[[#This Row],[Trellis Type]],TrellisMethods[Trellis Type],TrellisMethods[Hours],0,0)</f>
        <v>0</v>
      </c>
      <c r="CK278">
        <f>IF(Crops[[#This Row],[Days in Cells]]&lt;=0,Crops[[#This Row],[Rows]]*1/10,0)*BedLength/50</f>
        <v>0.3</v>
      </c>
      <c r="CL278" cm="1">
        <f t="array" ref="CL278">_xlfn.SWITCH(Crops[[#This Row],[Irrigation]],"DR", 0.5, "OH", 0.25,0)*BedLength/50</f>
        <v>0</v>
      </c>
      <c r="CM278">
        <f>IF(OR(ISBLANK(Crops[[#This Row],[Row Cover]]),Crops[[#This Row],[Row Cover]]="None"),0,1)*BedLength/50</f>
        <v>0</v>
      </c>
      <c r="CN278" s="173">
        <f>HoursPerWeedingPass*Crops[[#This Row],[Days In Field]]/14*Crops[[#This Row],[Rows]]+1*BedLength/50</f>
        <v>6.2857142857142847</v>
      </c>
      <c r="CQ278" s="37">
        <f>_xlfn.XLOOKUP(Crops[[#This Row],[Crop]]&amp;Crops[[#This Row],[Product]]&amp;Crops[[#This Row],[Unit]],Products[ID],Products[Marketing (hr)])*Crops[[#This Row],[Direct Revenue Per Bed]]/2000</f>
        <v>3.6</v>
      </c>
      <c r="CR278" s="37">
        <f>_xlfn.XLOOKUP(Crops[[#This Row],[Crop]]&amp;Crops[[#This Row],[Product]]&amp;Crops[[#This Row],[Unit]],Products[ID],Products[Harvest (s)])*Crops[[#This Row],[Custom Yield Per Bed]]/3600</f>
        <v>2.0833333333333335</v>
      </c>
      <c r="CS278" s="37">
        <f>_xlfn.XLOOKUP(Crops[[#This Row],[Crop]]&amp;Crops[[#This Row],[Product]]&amp;Crops[[#This Row],[Unit]],Products[ID],Products[Bunch (s)])*Crops[[#This Row],[Custom Yield Per Bed]]/3600</f>
        <v>0</v>
      </c>
      <c r="CT278" s="37">
        <f>_xlfn.XLOOKUP(Crops[[#This Row],[Crop]]&amp;Crops[[#This Row],[Product]]&amp;Crops[[#This Row],[Unit]],Products[ID],Products[Haul (s)])*Crops[[#This Row],[Custom Yield Per Bed]]/3600</f>
        <v>0.46875</v>
      </c>
      <c r="CU278" s="37">
        <f>_xlfn.XLOOKUP(Crops[[#This Row],[Crop]]&amp;Crops[[#This Row],[Product]]&amp;Crops[[#This Row],[Unit]],Products[ID],Products[Wash (s)])*Crops[[#This Row],[Custom Yield Per Bed]]/3600</f>
        <v>0</v>
      </c>
      <c r="CV278" s="37">
        <f>_xlfn.XLOOKUP(Crops[[#This Row],[Crop]]&amp;Crops[[#This Row],[Product]]&amp;Crops[[#This Row],[Unit]],Products[ID],Products[Condition (s)])*Crops[[#This Row],[Custom Yield Per Bed]]/3600</f>
        <v>0</v>
      </c>
      <c r="CW278" s="37">
        <f>_xlfn.XLOOKUP(Crops[[#This Row],[Crop]]&amp;Crops[[#This Row],[Product]]&amp;Crops[[#This Row],[Unit]],Products[ID],Products[Trim (s)])*Crops[[#This Row],[Custom Yield Per Bed]]/3600</f>
        <v>1.25</v>
      </c>
      <c r="CX278" s="37">
        <f>_xlfn.XLOOKUP(Crops[[#This Row],[Crop]]&amp;Crops[[#This Row],[Product]]&amp;Crops[[#This Row],[Unit]],Products[ID],Products[Pack (s)])*Crops[[#This Row],[Custom Yield Per Bed]]/3600</f>
        <v>1.25</v>
      </c>
      <c r="CY278" s="37">
        <f>_xlfn.XLOOKUP(Crops[[#This Row],[Crop]]&amp;Crops[[#This Row],[Product]]&amp;Crops[[#This Row],[Unit]],Products[ID],Products[Clean (s)])*Crops[[#This Row],[Custom Yield Per Bed]]/3600</f>
        <v>0</v>
      </c>
      <c r="CZ278" s="37">
        <f>_xlfn.XLOOKUP(Crops[[#This Row],[Crop]]&amp;Crops[[#This Row],[Product]]&amp;Crops[[#This Row],[Unit]],Products[ID],Products[Rehandle (s)])*Crops[[#This Row],[Custom Yield Per Bed]]/3600</f>
        <v>0</v>
      </c>
      <c r="DA278" s="37">
        <f>_xlfn.XLOOKUP(Crops[[#This Row],[Crop]]&amp;Crops[[#This Row],[Product]]&amp;Crops[[#This Row],[Unit]],Products[ID],Products[Market Transport (s)])*Crops[[#This Row],[Custom Yield Per Bed]]/3600</f>
        <v>1.171875</v>
      </c>
      <c r="DC278" s="37">
        <f>Crops[[#This Row],[Direct Revenue Per Bed2]]</f>
        <v>1200</v>
      </c>
      <c r="DD278" s="173">
        <f>_xlfn.AGGREGATE(9,6,Crops[[#This Row],[Bed Prep]:[Remove Crop Residue]])</f>
        <v>17.909672619047619</v>
      </c>
      <c r="DE278" s="173">
        <f>_xlfn.AGGREGATE(9,6,Crops[[#This Row],[Bed Prep]:[Remove Crop Residue]])-0.75*Crops[[#This Row],[Market &amp; Sell]]</f>
        <v>15.20967261904762</v>
      </c>
      <c r="DF278" s="36">
        <f>Crops[[#This Row],[Direct Revenue Per Bed2]]/Crops[[#This Row],[Direct Time]]</f>
        <v>67.002899803079274</v>
      </c>
      <c r="DG278" s="36">
        <f>_xlfn.XLOOKUP(Crops[[#This Row],[ProductIndex]],Products[ID],Products[Packaging Cost])*(Crops[[#This Row],[Custom Yield Per Bed]]/_xlfn.XLOOKUP(Crops[[#This Row],[ProductIndex]],Products[ID],Products[Units Per Pack]))</f>
        <v>75</v>
      </c>
      <c r="DH278" s="36"/>
      <c r="DI278" s="36"/>
      <c r="DJ278" s="36"/>
      <c r="DK278" s="36"/>
      <c r="DL278" s="36"/>
      <c r="DM278" s="33">
        <f>IFERROR(Crops[[#This Row],[Custom Yield Per Bed]]*Crops[[#This Row],[Direct Price]],"")</f>
        <v>1200</v>
      </c>
      <c r="DN278" s="36">
        <f>Crops[[#This Row],[Direct Time]]*LaborRate</f>
        <v>447.74181547619048</v>
      </c>
      <c r="DO278" s="36">
        <f>SUM(Crops[[#This Row],[Irrigation Cost]])</f>
        <v>0</v>
      </c>
      <c r="DP278" s="36">
        <f>Crops[[#This Row],[Direct Labor Cost]]+Crops[[#This Row],[Direct Non-Labor Cost]]</f>
        <v>447.74181547619048</v>
      </c>
      <c r="DQ278" s="36">
        <f>Crops[[#This Row],[Direct Revenue Per Bed2]]-Crops[[#This Row],[Direct Total Cost]]</f>
        <v>752.25818452380952</v>
      </c>
      <c r="DR278" s="36">
        <f>Crops[[#This Row],[Direct Profit]]*BedsPerAcre</f>
        <v>120361.30952380953</v>
      </c>
      <c r="DS278" s="36">
        <f>Crops[[#This Row],[Direct Profit]]*BedsPerAcre*GrowingDays/Crops[[#This Row],[Days In Field]]</f>
        <v>146385.37644787645</v>
      </c>
      <c r="DT278" s="36">
        <f>Crops[[#This Row],[Direct Profit]]/MIN(Crops[[#This Row],[Days In Field]],GrowingDays)</f>
        <v>5.0828255711068211</v>
      </c>
      <c r="DU278" s="36">
        <f>Crops[[#This Row],[Direct Time]] * BedsPerAcre</f>
        <v>2865.5476190476193</v>
      </c>
      <c r="DV278" s="36">
        <f>(Crops[[#This Row],[Direct Revenue Per Bed2]]-Crops[[#This Row],[Direct Non-Labor Cost]])/Crops[[#This Row],[Direct Time]]</f>
        <v>67.002899803079274</v>
      </c>
      <c r="DW278" s="33">
        <f>IFERROR(Crops[[#This Row],[Custom Yield Per Bed]]*Crops[[#This Row],[Rough Wholesale Price]],"")</f>
        <v>720</v>
      </c>
      <c r="DX278" s="36">
        <f>Crops[[#This Row],[Wholesale Time]]*LaborRate</f>
        <v>380.24181547619048</v>
      </c>
      <c r="DY278" s="36">
        <f>SUM(Crops[[#This Row],[Packaging Costs]:[Irrigation Cost]])</f>
        <v>75</v>
      </c>
      <c r="DZ278" s="36">
        <f>Crops[[#This Row],[Wholesale Labor Cost]]+Crops[[#This Row],[Wholesale Non-Labor Cost]]</f>
        <v>455.24181547619048</v>
      </c>
      <c r="EA278" s="36">
        <f>Crops[[#This Row],[Wholesale Revenue Per Bed]]-Crops[[#This Row],[Wholesale Total Cost]]</f>
        <v>264.75818452380952</v>
      </c>
      <c r="EB278" s="36">
        <f>Crops[[#This Row],[Wholesale Profit]]*BedsPerAcre</f>
        <v>42361.309523809527</v>
      </c>
      <c r="EC278" s="36">
        <f>Crops[[#This Row],[Wholesale Profit]]*BedsPerAcre*GrowingDays/Crops[[#This Row],[Days In Field]]</f>
        <v>51520.511583011583</v>
      </c>
      <c r="ED278" s="36">
        <f>Crops[[#This Row],[Wholesale Time]] * BedsPerAcre</f>
        <v>2433.5476190476193</v>
      </c>
      <c r="EE278" s="36">
        <f>Crops[[#This Row],[Wholesale Profit]]/MIN(Crops[[#This Row],[Days In Field]],GrowingDays)</f>
        <v>1.7889066521879022</v>
      </c>
      <c r="EF278" s="36">
        <f>(Crops[[#This Row],[Wholesale Revenue Per Bed]]-Crops[[#This Row],[Wholesale Non-Labor Cost]])/Crops[[#This Row],[Direct Time]]</f>
        <v>36.014058644155114</v>
      </c>
      <c r="EG278" s="174">
        <f>Crops[[#This Row],[Packaging Costs]]/Crops[[#This Row],[Wholesale Revenue Per Bed]]</f>
        <v>0.10416666666666667</v>
      </c>
      <c r="EH278" s="36" t="str">
        <f>Crops[[#This Row],[Crop]]&amp;Crops[[#This Row],[Product]]&amp;Crops[[#This Row],[Unit]]</f>
        <v>ScabiosaMature StemStem</v>
      </c>
      <c r="EI278" s="36" t="b">
        <f>_xlfn.XLOOKUP(Crops[[#This Row],[ProductIndex]],Products[ID],Products[Target])</f>
        <v>1</v>
      </c>
      <c r="EJ278" s="36">
        <f>Crops[[#This Row],[Custom Yield Per Bed]]</f>
        <v>1500</v>
      </c>
      <c r="EK278" s="210">
        <f>Crops[[#This Row],[Units Per Harvest]]/Crops[[#This Row],[Days Between Harvest]]*7</f>
        <v>187.5</v>
      </c>
      <c r="EL278" s="210" t="e">
        <f>Crops[[#This Row],[Custom Yield Per Bed]]/_xlfn.XLOOKUP(Crops[[#This Row],[ProductIndex]],Products[ID],Products[CSA Portion])</f>
        <v>#DIV/0!</v>
      </c>
      <c r="EM278" s="210" t="e">
        <f>Crops[[#This Row],[Units Per Harvest]]/Crops[[#This Row],[Days Between Harvest]]*7/_xlfn.XLOOKUP(Crops[[#This Row],[ProductIndex]],Products[ID],Products[CSA Portion])</f>
        <v>#DIV/0!</v>
      </c>
      <c r="EN278" s="210" t="e">
        <f>Crops[[#This Row],[CSA Portions Per Week]]/CSAMembers</f>
        <v>#DIV/0!</v>
      </c>
      <c r="EO278" s="210"/>
      <c r="EP278" s="210"/>
      <c r="EQ278" s="36"/>
      <c r="ER278" s="36">
        <f>Crops[[#This Row],[Harvests]]*Crops[[#This Row],[Days Between Harvest]]/7</f>
        <v>8</v>
      </c>
      <c r="ES278" s="208">
        <f>_xlfn.XLOOKUP(Crops[[#This Row],[ProductIndex]],Products[ID],Products[CSA Need])</f>
        <v>0</v>
      </c>
      <c r="ET278" s="208">
        <f>_xlfn.XLOOKUP(Crops[[#This Row],[ProductIndex]],Products[ID],Products[CSA Times])</f>
        <v>0</v>
      </c>
      <c r="EU278" s="208" t="e">
        <f>Crops[[#This Row],[Custom Yield Per Bed]]/(Crops[[#This Row],[CSA Need]]*(_xlfn.XLOOKUP(Crops[[#This Row],[ProductIndex]],Products[ID],Products[CSA Portion])*CSAMembers))</f>
        <v>#DIV/0!</v>
      </c>
      <c r="EV278" s="208">
        <f>_xlfn.XLOOKUP(Crops[[#This Row],[ProductIndex]],Products[ID],Products[CSA Portion])*CSAMembers*Crops[[#This Row],[CSA Need]]/Crops[[#This Row],[Custom Yield Per Bed]]</f>
        <v>0</v>
      </c>
      <c r="EW278" s="208">
        <f>IFERROR(Crops[[#This Row],[Days In Field]]*Crops[[#This Row],[CSA Beds]],"")</f>
        <v>0</v>
      </c>
      <c r="EX278" s="208" t="e">
        <f>Crops[[#This Row],[CSA Bed Days]]*#REF!</f>
        <v>#REF!</v>
      </c>
      <c r="EY278" t="s">
        <v>1770</v>
      </c>
    </row>
    <row r="279" spans="1:155">
      <c r="A279"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DS Fa</v>
      </c>
      <c r="B279" s="185"/>
      <c r="C279" s="1"/>
      <c r="D279" s="1"/>
      <c r="E279" s="1" t="b">
        <v>0</v>
      </c>
      <c r="F279" s="1" t="b">
        <f>IFERROR(IF(ISNUMBER(MATCH(Crops[[#This Row],[Identifier]],BedPlan[Crop], 0)), TRUE, FALSE), FALSE)</f>
        <v>1</v>
      </c>
      <c r="G279" s="1" t="b">
        <f>IFERROR(IF(ISNUMBER(MATCH(Crops[[#This Row],[Identifier]],BedPlan[Crop], 0)), TRUE, FALSE), FALSE)</f>
        <v>1</v>
      </c>
      <c r="H279" s="1"/>
      <c r="I279" t="s">
        <v>119</v>
      </c>
      <c r="J279" t="s">
        <v>145</v>
      </c>
      <c r="K279" t="s">
        <v>199</v>
      </c>
      <c r="M279" t="s">
        <v>105</v>
      </c>
      <c r="N279" t="str">
        <f>Crops[[#This Row],[Crop]]</f>
        <v>Scallion</v>
      </c>
      <c r="O279" t="s">
        <v>210</v>
      </c>
      <c r="P279" t="str">
        <f>IF(OR(Crops[[#This Row],[Days in Cells]]="",Crops[[#This Row],[Days in Cells]]=0), "DS","TP")</f>
        <v>DS</v>
      </c>
      <c r="S279" t="b">
        <v>1</v>
      </c>
      <c r="V279" t="str">
        <f xml:space="preserve"> IF(Crops[[#This Row],[Sp]], "Sp", "") &amp; IF(Crops[[#This Row],[Su]], "Su", "") &amp; IF(Crops[[#This Row],[Fa]], "Fa", "") &amp; IF(Crops[[#This Row],[Wi]], "Wi", "") &amp; IF(Crops[[#This Row],[OW]], "Ow","")</f>
        <v>Fa</v>
      </c>
      <c r="W279" t="s">
        <v>144</v>
      </c>
      <c r="X279">
        <v>4</v>
      </c>
      <c r="Y279">
        <v>6</v>
      </c>
      <c r="AA279" t="s">
        <v>474</v>
      </c>
      <c r="AB279" t="b">
        <v>1</v>
      </c>
      <c r="AC279">
        <v>1.5</v>
      </c>
      <c r="AD279" s="32">
        <f>IFERROR(12/Crops[[#This Row],[Spacing]]*Crops[[#This Row],[Rows]]*BedLength,"")</f>
        <v>400</v>
      </c>
      <c r="AE279">
        <v>6</v>
      </c>
      <c r="AF279">
        <v>1.1000000000000001</v>
      </c>
      <c r="AG279">
        <f>IF(Crops[[#This Row],[Custom Safety Factor]]="",PlantingSafetyFactor,Crops[[#This Row],[Custom Safety Factor]])</f>
        <v>1.1000000000000001</v>
      </c>
      <c r="AH279">
        <f>1</f>
        <v>1</v>
      </c>
      <c r="AI279" s="33">
        <f>IFERROR(Crops[[#This Row],[Plantings Per Bed]]*Crops[[#This Row],[Seeds Per Planting]]*Crops[[#This Row],[Safety Factor]]*Crops[[#This Row],[Seeding Factor]],"")</f>
        <v>2640</v>
      </c>
      <c r="AJ279">
        <v>14</v>
      </c>
      <c r="AK279">
        <v>20</v>
      </c>
      <c r="AL279">
        <f>_xlfn.FLOOR.MATH(IFERROR(AVERAGE(Crops[[#This Row],[DTG Lower]:[DTG Upper]]),0))</f>
        <v>17</v>
      </c>
      <c r="AM279">
        <f>SUM(Crops[[#This Row],[Tray 1 Days]],Crops[[#This Row],[Tray 2 Days]],Crops[[#This Row],[Tray 3 Days]])</f>
        <v>0</v>
      </c>
      <c r="AN279" s="32">
        <v>45</v>
      </c>
      <c r="AP279">
        <v>60</v>
      </c>
      <c r="AQ279">
        <f>IFERROR(_xlfn.FLOOR.MATH(AVERAGE(Crops[[#This Row],[DTM Lower]:[DTM Upper]])),"")</f>
        <v>60</v>
      </c>
      <c r="AR279" cm="1">
        <f t="array" ref="AR279">_xlfn.SWITCH(Crops[[#This Row],[Normal Method]],"DS",Crops[[#This Row],[Days to Germination]]+Crops[[#This Row],[DTM]] + IF(Crops[[#This Row],[Days in Cells]]&gt;0,15,0), "TP",Crops[[#This Row],[DTM]]+Crops[[#This Row],[Days in Cells]] + IF(Crops[[#This Row],[Days in Cells]]&lt;=0,20,0), "X", Crops[[#This Row],[DTM]])</f>
        <v>77</v>
      </c>
      <c r="AS279" t="s">
        <v>338</v>
      </c>
      <c r="AT279">
        <f>(Crops[[#This Row],[Harvests]]-1)*Crops[[#This Row],[Days Between Harvest]]+7</f>
        <v>14</v>
      </c>
      <c r="AU279">
        <f>Crops[[#This Row],[STH]]-Crops[[#This Row],[Days in Cells]]+Crops[[#This Row],[Harvest window]]</f>
        <v>91</v>
      </c>
      <c r="AW279">
        <v>72</v>
      </c>
      <c r="AZ279" t="str">
        <f>IFERROR(IF(Crops[[#This Row],[Tray 1 Days]]=0,"",Crops[[#This Row],[Plantings Per Bed]]/Crops[[#This Row],[Tray 1 Size]]*Crops[[#This Row],[Safety Factor]]),"")</f>
        <v/>
      </c>
      <c r="BC279" t="str">
        <f>IFERROR(IF(Crops[[#This Row],[Tray 2 Days]]=0,"",Crops[[#This Row],[Plantings Per Bed]]/Crops[[#This Row],[Tray 2 Size]]*Crops[[#This Row],[Safety Factor]]),"")</f>
        <v/>
      </c>
      <c r="BE279" s="32" t="str">
        <f>IF(NOT(ISBLANK(Crops[[#This Row],[Tray 3 Size]])), Crops[[#This Row],[Days in Cells Old]]-SUM(Crops[[#This Row],[Tray 1 Days]],Crops[[#This Row],[Tray 2 Days]]), "")</f>
        <v/>
      </c>
      <c r="BF279" t="str">
        <f>IFERROR(IF(Crops[[#This Row],[Tray 3 Days]]=0,"",Crops[[#This Row],[Plantings Per Bed]]/Crops[[#This Row],[Tray 3 Size]]*Crops[[#This Row],[Safety Factor]]),"")</f>
        <v/>
      </c>
      <c r="BG279" s="33">
        <f>Crops[[#This Row],[Plantings Per Bed]]/3/Crops[[#This Row],[Harvests]]</f>
        <v>66.666666666666671</v>
      </c>
      <c r="BH279" s="33">
        <v>2</v>
      </c>
      <c r="BI279" s="33">
        <v>7</v>
      </c>
      <c r="BJ279" s="33">
        <f>_xlfn.XLOOKUP(Crops[[#This Row],[ProductIndex]],Products[ID],Products[Holding Period])</f>
        <v>7</v>
      </c>
      <c r="BK279" s="33"/>
      <c r="BL279" s="33">
        <f>Crops[[#This Row],[Units Per Harvest]]*Crops[[#This Row],[Harvests]]</f>
        <v>133.33333333333334</v>
      </c>
      <c r="BM279" s="35">
        <v>2.5</v>
      </c>
      <c r="BN279" s="35">
        <f>Crops[[#This Row],[Direct Price]]*0.6</f>
        <v>1.5</v>
      </c>
      <c r="BO279" s="35"/>
      <c r="BP279" t="s">
        <v>215</v>
      </c>
      <c r="BQ279">
        <f>Crops[[#This Row],[Custom Yield Per Bed]]*Crops[[#This Row],[Direct Price]]</f>
        <v>333.33333333333337</v>
      </c>
      <c r="BS279" t="b">
        <f>Crops[[#This Row],[Harvests]]&gt;1</f>
        <v>1</v>
      </c>
      <c r="BT279" s="36">
        <f>IFERROR(Crops[[#This Row],[Direct Revenue Per Bed]]/Crops[[#This Row],[Days In Field]],-1)</f>
        <v>3.6630036630036633</v>
      </c>
      <c r="BU279" s="36">
        <f>IFERROR(Crops[[#This Row],[Direct Revenue Per Bed Day]]*GrowingDays*BedsPerAcre,"")</f>
        <v>105494.5054945055</v>
      </c>
      <c r="BV279" s="38">
        <f>LastFrostDate-5*Crops[[#This Row],[Sewing Rel Last Frost]]</f>
        <v>45833</v>
      </c>
      <c r="BW279" s="38">
        <f>Crops[[#This Row],[Target Sewing Date]]+Crops[[#This Row],[Days in Cells]]</f>
        <v>45833</v>
      </c>
      <c r="BX279" s="38">
        <f>Crops[[#This Row],[Target Sewing Date]]+Crops[[#This Row],[STH]]</f>
        <v>45910</v>
      </c>
      <c r="BY279" s="38">
        <f>Crops[[#This Row],[Target Harvest Data]]+Crops[[#This Row],[Harvest window]]</f>
        <v>45924</v>
      </c>
      <c r="BZ279">
        <v>-17</v>
      </c>
      <c r="CA279" t="s">
        <v>1762</v>
      </c>
      <c r="CB279">
        <f>1</f>
        <v>1</v>
      </c>
      <c r="CC279">
        <f>IF(Crops[[#This Row],[Transplanting]]&gt;0, 2, 3)*BedLength/StandardBedLength</f>
        <v>1.5</v>
      </c>
      <c r="CD279" s="173">
        <f>IF(Crops[[#This Row],[Days in Cells]]&lt;=0,0,Crops[[#This Row],[Plantings Per Bed]]/StartsPerHourSeeding+Crops[[#This Row],[Tray 1 Count]]*5/60)</f>
        <v>0</v>
      </c>
      <c r="CE279" s="173">
        <f>IF(ISBLANK(Crops[[#This Row],[Tray 2 Days]]),0,Crops[[#This Row],[Plantings Per Bed]]/UpPottingPerHour)+IF(Crops[[#This Row],[Tray 3 Days]]="",0,Crops[[#This Row],[Plantings Per Bed]]/UpPottingPerHour)</f>
        <v>0</v>
      </c>
      <c r="CF279" s="173">
        <f>IFERROR(Crops[[#This Row],[Tray 1 Count]]/HomeStartFlatIrrigationPerHour,0)*Crops[[#This Row],[Days in Cells]]/DaysBetweenStartIrrigation</f>
        <v>0</v>
      </c>
      <c r="CG279" s="173">
        <f>0.5/16*MAX(Crops[[#This Row],[Tray 1 Count]],Crops[[#This Row],[Tray 2 Count]],Crops[[#This Row],[Tray 3 Count]])</f>
        <v>0</v>
      </c>
      <c r="CH279" s="173">
        <f>IF(Crops[[#This Row],[Days in Cells]]&gt;0,IF(IF(Crops[[#This Row],[Tray 3 Size]]&gt;0,Crops[[#This Row],[Tray 3 Size]],IF(Crops[[#This Row],[Tray 2 Size]]&gt;0,Crops[[#This Row],[Tray 2 Size]],Crops[[#This Row],[Tray 1 Size]]))&lt;=18,LargeTransplantTime,SmallTransplantTime)*Crops[[#This Row],[Plantings Per Bed]],0)</f>
        <v>0</v>
      </c>
      <c r="CI279" s="173"/>
      <c r="CJ279" s="173">
        <f>_xlfn.XLOOKUP(Crops[[#This Row],[Trellis Type]],TrellisMethods[Trellis Type],TrellisMethods[Hours],0,0)</f>
        <v>0</v>
      </c>
      <c r="CK279">
        <f>IF(Crops[[#This Row],[Days in Cells]]&lt;=0,Crops[[#This Row],[Rows]]*1/10,0)*BedLength/50</f>
        <v>0.4</v>
      </c>
      <c r="CL279" cm="1">
        <f t="array" ref="CL279">_xlfn.SWITCH(Crops[[#This Row],[Irrigation]],"DR", 0.5, "OH", 0.25,0)*BedLength/50</f>
        <v>0</v>
      </c>
      <c r="CM279">
        <f>IF(OR(ISBLANK(Crops[[#This Row],[Row Cover]]),Crops[[#This Row],[Row Cover]]="None"),0,1)*BedLength/50</f>
        <v>0</v>
      </c>
      <c r="CN279" s="173">
        <f>HoursPerWeedingPass*Crops[[#This Row],[Days In Field]]/14*Crops[[#This Row],[Rows]]+1*BedLength/50</f>
        <v>5.333333333333333</v>
      </c>
      <c r="CQ279" s="37">
        <f>_xlfn.XLOOKUP(Crops[[#This Row],[Crop]]&amp;Crops[[#This Row],[Product]]&amp;Crops[[#This Row],[Unit]],Products[ID],Products[Marketing (hr)])*Crops[[#This Row],[Direct Revenue Per Bed]]/2000</f>
        <v>0.33333333333333337</v>
      </c>
      <c r="CR279" s="37">
        <f>_xlfn.XLOOKUP(Crops[[#This Row],[Crop]]&amp;Crops[[#This Row],[Product]]&amp;Crops[[#This Row],[Unit]],Products[ID],Products[Harvest (s)])*Crops[[#This Row],[Custom Yield Per Bed]]/3600</f>
        <v>1.1111111111111112</v>
      </c>
      <c r="CS279" s="37">
        <f>_xlfn.XLOOKUP(Crops[[#This Row],[Crop]]&amp;Crops[[#This Row],[Product]]&amp;Crops[[#This Row],[Unit]],Products[ID],Products[Bunch (s)])*Crops[[#This Row],[Custom Yield Per Bed]]/3600</f>
        <v>0.37037037037037041</v>
      </c>
      <c r="CT279" s="37">
        <f>_xlfn.XLOOKUP(Crops[[#This Row],[Crop]]&amp;Crops[[#This Row],[Product]]&amp;Crops[[#This Row],[Unit]],Products[ID],Products[Haul (s)])*Crops[[#This Row],[Custom Yield Per Bed]]/3600</f>
        <v>9.2592592592592601E-2</v>
      </c>
      <c r="CU279" s="37">
        <f>_xlfn.XLOOKUP(Crops[[#This Row],[Crop]]&amp;Crops[[#This Row],[Product]]&amp;Crops[[#This Row],[Unit]],Products[ID],Products[Wash (s)])*Crops[[#This Row],[Custom Yield Per Bed]]/3600</f>
        <v>0.92592592592592593</v>
      </c>
      <c r="CV279" s="37">
        <f>_xlfn.XLOOKUP(Crops[[#This Row],[Crop]]&amp;Crops[[#This Row],[Product]]&amp;Crops[[#This Row],[Unit]],Products[ID],Products[Condition (s)])*Crops[[#This Row],[Custom Yield Per Bed]]/3600</f>
        <v>0</v>
      </c>
      <c r="CW279" s="37">
        <f>_xlfn.XLOOKUP(Crops[[#This Row],[Crop]]&amp;Crops[[#This Row],[Product]]&amp;Crops[[#This Row],[Unit]],Products[ID],Products[Trim (s)])*Crops[[#This Row],[Custom Yield Per Bed]]/3600</f>
        <v>1.6666666666666667</v>
      </c>
      <c r="CX279" s="37">
        <f>_xlfn.XLOOKUP(Crops[[#This Row],[Crop]]&amp;Crops[[#This Row],[Product]]&amp;Crops[[#This Row],[Unit]],Products[ID],Products[Pack (s)])*Crops[[#This Row],[Custom Yield Per Bed]]/3600</f>
        <v>0.1111111111111111</v>
      </c>
      <c r="CY279" s="37">
        <f>_xlfn.XLOOKUP(Crops[[#This Row],[Crop]]&amp;Crops[[#This Row],[Product]]&amp;Crops[[#This Row],[Unit]],Products[ID],Products[Clean (s)])*Crops[[#This Row],[Custom Yield Per Bed]]/3600</f>
        <v>0</v>
      </c>
      <c r="CZ279" s="37">
        <f>_xlfn.XLOOKUP(Crops[[#This Row],[Crop]]&amp;Crops[[#This Row],[Product]]&amp;Crops[[#This Row],[Unit]],Products[ID],Products[Rehandle (s)])*Crops[[#This Row],[Custom Yield Per Bed]]/3600</f>
        <v>0</v>
      </c>
      <c r="DA279" s="37">
        <f>_xlfn.XLOOKUP(Crops[[#This Row],[Crop]]&amp;Crops[[#This Row],[Product]]&amp;Crops[[#This Row],[Unit]],Products[ID],Products[Market Transport (s)])*Crops[[#This Row],[Custom Yield Per Bed]]/3600</f>
        <v>0.23148148148148148</v>
      </c>
      <c r="DC279" s="37">
        <f>Crops[[#This Row],[Direct Revenue Per Bed2]]</f>
        <v>333.33333333333337</v>
      </c>
      <c r="DD279" s="173">
        <f>_xlfn.AGGREGATE(9,6,Crops[[#This Row],[Bed Prep]:[Remove Crop Residue]])</f>
        <v>12.075925925925924</v>
      </c>
      <c r="DE279" s="173">
        <f>_xlfn.AGGREGATE(9,6,Crops[[#This Row],[Bed Prep]:[Remove Crop Residue]])-0.75*Crops[[#This Row],[Market &amp; Sell]]</f>
        <v>11.825925925925924</v>
      </c>
      <c r="DF279" s="36">
        <f>Crops[[#This Row],[Direct Revenue Per Bed2]]/Crops[[#This Row],[Direct Time]]</f>
        <v>27.603128354546858</v>
      </c>
      <c r="DG279" s="36">
        <f>_xlfn.XLOOKUP(Crops[[#This Row],[ProductIndex]],Products[ID],Products[Packaging Cost])*(Crops[[#This Row],[Custom Yield Per Bed]]/_xlfn.XLOOKUP(Crops[[#This Row],[ProductIndex]],Products[ID],Products[Units Per Pack]))</f>
        <v>14.074074074074074</v>
      </c>
      <c r="DH279" s="36"/>
      <c r="DI279" s="36"/>
      <c r="DJ279" s="36"/>
      <c r="DK279" s="36"/>
      <c r="DL279" s="36"/>
      <c r="DM279" s="33">
        <f>IFERROR(Crops[[#This Row],[Custom Yield Per Bed]]*Crops[[#This Row],[Direct Price]],"")</f>
        <v>333.33333333333337</v>
      </c>
      <c r="DN279" s="36">
        <f>Crops[[#This Row],[Direct Time]]*LaborRate</f>
        <v>301.8981481481481</v>
      </c>
      <c r="DO279" s="36">
        <f>SUM(Crops[[#This Row],[Irrigation Cost]])</f>
        <v>0</v>
      </c>
      <c r="DP279" s="36">
        <f>Crops[[#This Row],[Direct Labor Cost]]+Crops[[#This Row],[Direct Non-Labor Cost]]</f>
        <v>301.8981481481481</v>
      </c>
      <c r="DQ279" s="36">
        <f>Crops[[#This Row],[Direct Revenue Per Bed2]]-Crops[[#This Row],[Direct Total Cost]]</f>
        <v>31.435185185185276</v>
      </c>
      <c r="DR279" s="36">
        <f>Crops[[#This Row],[Direct Profit]]*BedsPerAcre</f>
        <v>5029.6296296296441</v>
      </c>
      <c r="DS279" s="36">
        <f>Crops[[#This Row],[Direct Profit]]*BedsPerAcre*GrowingDays/Crops[[#This Row],[Days In Field]]</f>
        <v>9948.7179487179765</v>
      </c>
      <c r="DT279" s="36">
        <f>Crops[[#This Row],[Direct Profit]]/MIN(Crops[[#This Row],[Days In Field]],GrowingDays)</f>
        <v>0.34544159544159642</v>
      </c>
      <c r="DU279" s="36">
        <f>Crops[[#This Row],[Direct Time]] * BedsPerAcre</f>
        <v>1932.1481481481478</v>
      </c>
      <c r="DV279" s="36">
        <f>(Crops[[#This Row],[Direct Revenue Per Bed2]]-Crops[[#This Row],[Direct Non-Labor Cost]])/Crops[[#This Row],[Direct Time]]</f>
        <v>27.603128354546858</v>
      </c>
      <c r="DW279" s="33">
        <f>IFERROR(Crops[[#This Row],[Custom Yield Per Bed]]*Crops[[#This Row],[Rough Wholesale Price]],"")</f>
        <v>200</v>
      </c>
      <c r="DX279" s="36">
        <f>Crops[[#This Row],[Wholesale Time]]*LaborRate</f>
        <v>295.6481481481481</v>
      </c>
      <c r="DY279" s="36">
        <f>SUM(Crops[[#This Row],[Packaging Costs]:[Irrigation Cost]])</f>
        <v>14.074074074074074</v>
      </c>
      <c r="DZ279" s="36">
        <f>Crops[[#This Row],[Wholesale Labor Cost]]+Crops[[#This Row],[Wholesale Non-Labor Cost]]</f>
        <v>309.72222222222217</v>
      </c>
      <c r="EA279" s="36">
        <f>Crops[[#This Row],[Wholesale Revenue Per Bed]]-Crops[[#This Row],[Wholesale Total Cost]]</f>
        <v>-109.72222222222217</v>
      </c>
      <c r="EB279" s="36">
        <f>Crops[[#This Row],[Wholesale Profit]]*BedsPerAcre</f>
        <v>-17555.555555555547</v>
      </c>
      <c r="EC279" s="36">
        <f>Crops[[#This Row],[Wholesale Profit]]*BedsPerAcre*GrowingDays/Crops[[#This Row],[Days In Field]]</f>
        <v>-34725.274725274707</v>
      </c>
      <c r="ED279" s="36">
        <f>Crops[[#This Row],[Wholesale Time]] * BedsPerAcre</f>
        <v>1892.1481481481478</v>
      </c>
      <c r="EE279" s="36">
        <f>Crops[[#This Row],[Wholesale Profit]]/MIN(Crops[[#This Row],[Days In Field]],GrowingDays)</f>
        <v>-1.2057387057387052</v>
      </c>
      <c r="EF279" s="36">
        <f>(Crops[[#This Row],[Wholesale Revenue Per Bed]]-Crops[[#This Row],[Wholesale Non-Labor Cost]])/Crops[[#This Row],[Direct Time]]</f>
        <v>15.396411593313911</v>
      </c>
      <c r="EG279" s="174">
        <f>Crops[[#This Row],[Packaging Costs]]/Crops[[#This Row],[Wholesale Revenue Per Bed]]</f>
        <v>7.0370370370370375E-2</v>
      </c>
      <c r="EH279" s="36" t="str">
        <f>Crops[[#This Row],[Crop]]&amp;Crops[[#This Row],[Product]]&amp;Crops[[#This Row],[Unit]]</f>
        <v>ScallionMature StalkBunch</v>
      </c>
      <c r="EI279" s="36" t="b">
        <f>_xlfn.XLOOKUP(Crops[[#This Row],[ProductIndex]],Products[ID],Products[Target])</f>
        <v>1</v>
      </c>
      <c r="EJ279" s="36">
        <f>Crops[[#This Row],[Custom Yield Per Bed]]</f>
        <v>133.33333333333334</v>
      </c>
      <c r="EK279" s="210">
        <f>Crops[[#This Row],[Units Per Harvest]]/Crops[[#This Row],[Days Between Harvest]]*7</f>
        <v>66.666666666666671</v>
      </c>
      <c r="EL279" s="210">
        <f>Crops[[#This Row],[Custom Yield Per Bed]]/_xlfn.XLOOKUP(Crops[[#This Row],[ProductIndex]],Products[ID],Products[CSA Portion])</f>
        <v>133.33333333333334</v>
      </c>
      <c r="EM279" s="210">
        <f>Crops[[#This Row],[Units Per Harvest]]/Crops[[#This Row],[Days Between Harvest]]*7/_xlfn.XLOOKUP(Crops[[#This Row],[ProductIndex]],Products[ID],Products[CSA Portion])</f>
        <v>66.666666666666671</v>
      </c>
      <c r="EN279" s="210">
        <f>Crops[[#This Row],[CSA Portions Per Week]]/CSAMembers</f>
        <v>1.3333333333333335</v>
      </c>
      <c r="EO279" s="210"/>
      <c r="EP279" s="210"/>
      <c r="EQ279" s="36"/>
      <c r="ER279" s="36">
        <f>Crops[[#This Row],[Harvests]]*Crops[[#This Row],[Days Between Harvest]]/7</f>
        <v>2</v>
      </c>
      <c r="ES279" s="208">
        <f>_xlfn.XLOOKUP(Crops[[#This Row],[ProductIndex]],Products[ID],Products[CSA Need])</f>
        <v>0</v>
      </c>
      <c r="ET279" s="208">
        <f>_xlfn.XLOOKUP(Crops[[#This Row],[ProductIndex]],Products[ID],Products[CSA Times])</f>
        <v>0</v>
      </c>
      <c r="EU279" s="208" t="e">
        <f>Crops[[#This Row],[Custom Yield Per Bed]]/(Crops[[#This Row],[CSA Need]]*(_xlfn.XLOOKUP(Crops[[#This Row],[ProductIndex]],Products[ID],Products[CSA Portion])*CSAMembers))</f>
        <v>#DIV/0!</v>
      </c>
      <c r="EV279" s="208">
        <f>_xlfn.XLOOKUP(Crops[[#This Row],[ProductIndex]],Products[ID],Products[CSA Portion])*CSAMembers*Crops[[#This Row],[CSA Need]]/Crops[[#This Row],[Custom Yield Per Bed]]</f>
        <v>0</v>
      </c>
      <c r="EW279" s="208">
        <f>IFERROR(Crops[[#This Row],[Days In Field]]*Crops[[#This Row],[CSA Beds]],"")</f>
        <v>0</v>
      </c>
      <c r="EX279" s="208" t="e">
        <f>Crops[[#This Row],[CSA Bed Days]]*#REF!</f>
        <v>#REF!</v>
      </c>
      <c r="EY279" s="88" t="s">
        <v>1409</v>
      </c>
    </row>
    <row r="280" spans="1:155">
      <c r="A280"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DS Ow</v>
      </c>
      <c r="B280" s="185"/>
      <c r="C280" s="1"/>
      <c r="D280" s="1"/>
      <c r="E280" s="1" t="b">
        <v>0</v>
      </c>
      <c r="F280" s="1" t="b">
        <f>IFERROR(IF(ISNUMBER(MATCH(Crops[[#This Row],[Identifier]],BedPlan[Crop], 0)), TRUE, FALSE), FALSE)</f>
        <v>0</v>
      </c>
      <c r="G280" s="1" t="b">
        <f>IFERROR(IF(ISNUMBER(MATCH(Crops[[#This Row],[Identifier]],BedPlan[Crop], 0)), TRUE, FALSE), FALSE)</f>
        <v>0</v>
      </c>
      <c r="H280" s="1"/>
      <c r="I280" t="s">
        <v>119</v>
      </c>
      <c r="J280" t="s">
        <v>145</v>
      </c>
      <c r="K280" t="s">
        <v>199</v>
      </c>
      <c r="M280" t="s">
        <v>105</v>
      </c>
      <c r="N280" t="str">
        <f>Crops[[#This Row],[Crop]]</f>
        <v>Scallion</v>
      </c>
      <c r="O280" t="s">
        <v>210</v>
      </c>
      <c r="P280" t="str">
        <f>IF(OR(Crops[[#This Row],[Days in Cells]]="",Crops[[#This Row],[Days in Cells]]=0), "DS","TP")</f>
        <v>DS</v>
      </c>
      <c r="U280" t="s">
        <v>144</v>
      </c>
      <c r="V280" t="str">
        <f xml:space="preserve"> IF(Crops[[#This Row],[Sp]], "Sp", "") &amp; IF(Crops[[#This Row],[Su]], "Su", "") &amp; IF(Crops[[#This Row],[Fa]], "Fa", "") &amp; IF(Crops[[#This Row],[Wi]], "Wi", "") &amp; IF(Crops[[#This Row],[OW]], "Ow","")</f>
        <v>Ow</v>
      </c>
      <c r="X280">
        <v>4</v>
      </c>
      <c r="Y280">
        <v>6</v>
      </c>
      <c r="AA280" t="s">
        <v>474</v>
      </c>
      <c r="AB280" t="b">
        <v>1</v>
      </c>
      <c r="AD280" s="32">
        <f>IFERROR(12/Crops[[#This Row],[Spacing]]*Crops[[#This Row],[Rows]]*BedLength,"")</f>
        <v>400</v>
      </c>
      <c r="AE280">
        <v>6</v>
      </c>
      <c r="AF280">
        <v>1.1000000000000001</v>
      </c>
      <c r="AG280">
        <f>IF(Crops[[#This Row],[Custom Safety Factor]]="",PlantingSafetyFactor,Crops[[#This Row],[Custom Safety Factor]])</f>
        <v>1.1000000000000001</v>
      </c>
      <c r="AH280">
        <f>1</f>
        <v>1</v>
      </c>
      <c r="AI280" s="33">
        <f>IFERROR(Crops[[#This Row],[Plantings Per Bed]]*Crops[[#This Row],[Seeds Per Planting]]*Crops[[#This Row],[Safety Factor]]*Crops[[#This Row],[Seeding Factor]],"")</f>
        <v>2640</v>
      </c>
      <c r="AJ280">
        <v>14</v>
      </c>
      <c r="AK280">
        <v>20</v>
      </c>
      <c r="AL280">
        <f>_xlfn.FLOOR.MATH(IFERROR(AVERAGE(Crops[[#This Row],[DTG Lower]:[DTG Upper]]),0))</f>
        <v>17</v>
      </c>
      <c r="AM280">
        <f>SUM(Crops[[#This Row],[Tray 1 Days]],Crops[[#This Row],[Tray 2 Days]],Crops[[#This Row],[Tray 3 Days]])</f>
        <v>0</v>
      </c>
      <c r="AP280">
        <v>210</v>
      </c>
      <c r="AQ280">
        <f>IFERROR(_xlfn.FLOOR.MATH(AVERAGE(Crops[[#This Row],[DTM Lower]:[DTM Upper]])),"")</f>
        <v>210</v>
      </c>
      <c r="AR280" cm="1">
        <f t="array" ref="AR280">_xlfn.SWITCH(Crops[[#This Row],[Normal Method]],"DS",Crops[[#This Row],[Days to Germination]]+Crops[[#This Row],[DTM]] + IF(Crops[[#This Row],[Days in Cells]]&gt;0,15,0), "TP",Crops[[#This Row],[DTM]]+Crops[[#This Row],[Days in Cells]] + IF(Crops[[#This Row],[Days in Cells]]&lt;=0,20,0), "X", Crops[[#This Row],[DTM]])</f>
        <v>210</v>
      </c>
      <c r="AS280" t="s">
        <v>347</v>
      </c>
      <c r="AT280">
        <f>(Crops[[#This Row],[Harvests]]-1)*Crops[[#This Row],[Days Between Harvest]]+7</f>
        <v>14</v>
      </c>
      <c r="AU280">
        <f>Crops[[#This Row],[STH]]-Crops[[#This Row],[Days in Cells]]+Crops[[#This Row],[Harvest window]]</f>
        <v>224</v>
      </c>
      <c r="AW280">
        <v>128</v>
      </c>
      <c r="AZ280" s="49"/>
      <c r="BC280" t="str">
        <f>IFERROR(IF(Crops[[#This Row],[Tray 2 Days]]=0,"",Crops[[#This Row],[Plantings Per Bed]]/Crops[[#This Row],[Tray 2 Size]]*Crops[[#This Row],[Safety Factor]]),"")</f>
        <v/>
      </c>
      <c r="BE280" s="32" t="str">
        <f>IF(NOT(ISBLANK(Crops[[#This Row],[Tray 3 Size]])), Crops[[#This Row],[Days in Cells Old]]-SUM(Crops[[#This Row],[Tray 1 Days]],Crops[[#This Row],[Tray 2 Days]]), "")</f>
        <v/>
      </c>
      <c r="BF280" t="str">
        <f>IFERROR(IF(Crops[[#This Row],[Tray 3 Days]]=0,"",Crops[[#This Row],[Plantings Per Bed]]/Crops[[#This Row],[Tray 3 Size]]*Crops[[#This Row],[Safety Factor]]),"")</f>
        <v/>
      </c>
      <c r="BG280" s="33">
        <f>Crops[[#This Row],[Plantings Per Bed]]/3/Crops[[#This Row],[Harvests]]</f>
        <v>66.666666666666671</v>
      </c>
      <c r="BH280" s="33">
        <v>2</v>
      </c>
      <c r="BI280" s="33">
        <v>7</v>
      </c>
      <c r="BJ280" s="33">
        <f>_xlfn.XLOOKUP(Crops[[#This Row],[ProductIndex]],Products[ID],Products[Holding Period])</f>
        <v>7</v>
      </c>
      <c r="BK280" s="33"/>
      <c r="BL280" s="33">
        <f>Crops[[#This Row],[Units Per Harvest]]*Crops[[#This Row],[Harvests]]</f>
        <v>133.33333333333334</v>
      </c>
      <c r="BM280" s="35">
        <v>2.75</v>
      </c>
      <c r="BN280" s="35">
        <f>Crops[[#This Row],[Direct Price]]*0.6</f>
        <v>1.65</v>
      </c>
      <c r="BO280" s="35"/>
      <c r="BP280" t="s">
        <v>215</v>
      </c>
      <c r="BQ280">
        <f>Crops[[#This Row],[Custom Yield Per Bed]]*Crops[[#This Row],[Direct Price]]</f>
        <v>366.66666666666669</v>
      </c>
      <c r="BS280" t="b">
        <f>Crops[[#This Row],[Harvests]]&gt;1</f>
        <v>1</v>
      </c>
      <c r="BT280" s="36">
        <f>IFERROR(Crops[[#This Row],[Direct Revenue Per Bed]]/Crops[[#This Row],[Days In Field]],-1)</f>
        <v>1.6369047619047621</v>
      </c>
      <c r="BU280" s="36">
        <f>IFERROR(Crops[[#This Row],[Direct Revenue Per Bed Day]]*GrowingDays*BedsPerAcre,"")</f>
        <v>47142.857142857145</v>
      </c>
      <c r="BV280" s="38">
        <f>LastFrostDate-5*Crops[[#This Row],[Sewing Rel Last Frost]]</f>
        <v>45858</v>
      </c>
      <c r="BW280" s="38">
        <f>Crops[[#This Row],[Target Sewing Date]]+Crops[[#This Row],[Days in Cells]]</f>
        <v>45858</v>
      </c>
      <c r="BX280" s="38">
        <f>Crops[[#This Row],[Target Sewing Date]]+Crops[[#This Row],[STH]]</f>
        <v>46068</v>
      </c>
      <c r="BY280" s="38">
        <f>Crops[[#This Row],[Target Harvest Data]]+Crops[[#This Row],[Harvest window]]</f>
        <v>46082</v>
      </c>
      <c r="BZ280">
        <v>-22</v>
      </c>
      <c r="CA280" t="s">
        <v>373</v>
      </c>
      <c r="CB280">
        <f>1</f>
        <v>1</v>
      </c>
      <c r="CC280">
        <f>IF(Crops[[#This Row],[Transplanting]]&gt;0, 2, 3)*BedLength/StandardBedLength</f>
        <v>1.5</v>
      </c>
      <c r="CD280" s="173">
        <f>IF(Crops[[#This Row],[Days in Cells]]&lt;=0,0,Crops[[#This Row],[Plantings Per Bed]]/StartsPerHourSeeding+Crops[[#This Row],[Tray 1 Count]]*5/60)</f>
        <v>0</v>
      </c>
      <c r="CE280" s="173">
        <f>IF(ISBLANK(Crops[[#This Row],[Tray 2 Days]]),0,Crops[[#This Row],[Plantings Per Bed]]/UpPottingPerHour)+IF(Crops[[#This Row],[Tray 3 Days]]="",0,Crops[[#This Row],[Plantings Per Bed]]/UpPottingPerHour)</f>
        <v>0</v>
      </c>
      <c r="CF280" s="173">
        <f>IFERROR(Crops[[#This Row],[Tray 1 Count]]/HomeStartFlatIrrigationPerHour,0)*Crops[[#This Row],[Days in Cells]]/DaysBetweenStartIrrigation</f>
        <v>0</v>
      </c>
      <c r="CG280" s="173">
        <f>0.5/16*MAX(Crops[[#This Row],[Tray 1 Count]],Crops[[#This Row],[Tray 2 Count]],Crops[[#This Row],[Tray 3 Count]])</f>
        <v>0</v>
      </c>
      <c r="CH280" s="173">
        <f>IF(Crops[[#This Row],[Days in Cells]]&gt;0,IF(IF(Crops[[#This Row],[Tray 3 Size]]&gt;0,Crops[[#This Row],[Tray 3 Size]],IF(Crops[[#This Row],[Tray 2 Size]]&gt;0,Crops[[#This Row],[Tray 2 Size]],Crops[[#This Row],[Tray 1 Size]]))&lt;=18,LargeTransplantTime,SmallTransplantTime)*Crops[[#This Row],[Plantings Per Bed]],0)</f>
        <v>0</v>
      </c>
      <c r="CI280" s="173"/>
      <c r="CJ280" s="173">
        <f>_xlfn.XLOOKUP(Crops[[#This Row],[Trellis Type]],TrellisMethods[Trellis Type],TrellisMethods[Hours],0,0)</f>
        <v>0</v>
      </c>
      <c r="CK280">
        <f>IF(Crops[[#This Row],[Days in Cells]]&lt;=0,Crops[[#This Row],[Rows]]*1/10,0)*BedLength/50</f>
        <v>0.4</v>
      </c>
      <c r="CL280" cm="1">
        <f t="array" ref="CL280">_xlfn.SWITCH(Crops[[#This Row],[Irrigation]],"DR", 0.5, "OH", 0.25,0)*BedLength/50</f>
        <v>0</v>
      </c>
      <c r="CM280">
        <f>IF(OR(ISBLANK(Crops[[#This Row],[Row Cover]]),Crops[[#This Row],[Row Cover]]="None"),0,1)*BedLength/50</f>
        <v>0</v>
      </c>
      <c r="CN280" s="173">
        <f>HoursPerWeedingPass*Crops[[#This Row],[Days In Field]]/14*Crops[[#This Row],[Rows]]+1*BedLength/50</f>
        <v>11.666666666666666</v>
      </c>
      <c r="CQ280" s="37">
        <f>_xlfn.XLOOKUP(Crops[[#This Row],[Crop]]&amp;Crops[[#This Row],[Product]]&amp;Crops[[#This Row],[Unit]],Products[ID],Products[Marketing (hr)])*Crops[[#This Row],[Direct Revenue Per Bed]]/2000</f>
        <v>0.3666666666666667</v>
      </c>
      <c r="CR280" s="37">
        <f>_xlfn.XLOOKUP(Crops[[#This Row],[Crop]]&amp;Crops[[#This Row],[Product]]&amp;Crops[[#This Row],[Unit]],Products[ID],Products[Harvest (s)])*Crops[[#This Row],[Custom Yield Per Bed]]/3600</f>
        <v>1.1111111111111112</v>
      </c>
      <c r="CS280" s="37">
        <f>_xlfn.XLOOKUP(Crops[[#This Row],[Crop]]&amp;Crops[[#This Row],[Product]]&amp;Crops[[#This Row],[Unit]],Products[ID],Products[Bunch (s)])*Crops[[#This Row],[Custom Yield Per Bed]]/3600</f>
        <v>0.37037037037037041</v>
      </c>
      <c r="CT280" s="37">
        <f>_xlfn.XLOOKUP(Crops[[#This Row],[Crop]]&amp;Crops[[#This Row],[Product]]&amp;Crops[[#This Row],[Unit]],Products[ID],Products[Haul (s)])*Crops[[#This Row],[Custom Yield Per Bed]]/3600</f>
        <v>9.2592592592592601E-2</v>
      </c>
      <c r="CU280" s="37">
        <f>_xlfn.XLOOKUP(Crops[[#This Row],[Crop]]&amp;Crops[[#This Row],[Product]]&amp;Crops[[#This Row],[Unit]],Products[ID],Products[Wash (s)])*Crops[[#This Row],[Custom Yield Per Bed]]/3600</f>
        <v>0.92592592592592593</v>
      </c>
      <c r="CV280" s="37">
        <f>_xlfn.XLOOKUP(Crops[[#This Row],[Crop]]&amp;Crops[[#This Row],[Product]]&amp;Crops[[#This Row],[Unit]],Products[ID],Products[Condition (s)])*Crops[[#This Row],[Custom Yield Per Bed]]/3600</f>
        <v>0</v>
      </c>
      <c r="CW280" s="37">
        <f>_xlfn.XLOOKUP(Crops[[#This Row],[Crop]]&amp;Crops[[#This Row],[Product]]&amp;Crops[[#This Row],[Unit]],Products[ID],Products[Trim (s)])*Crops[[#This Row],[Custom Yield Per Bed]]/3600</f>
        <v>1.6666666666666667</v>
      </c>
      <c r="CX280" s="37">
        <f>_xlfn.XLOOKUP(Crops[[#This Row],[Crop]]&amp;Crops[[#This Row],[Product]]&amp;Crops[[#This Row],[Unit]],Products[ID],Products[Pack (s)])*Crops[[#This Row],[Custom Yield Per Bed]]/3600</f>
        <v>0.1111111111111111</v>
      </c>
      <c r="CY280" s="37">
        <f>_xlfn.XLOOKUP(Crops[[#This Row],[Crop]]&amp;Crops[[#This Row],[Product]]&amp;Crops[[#This Row],[Unit]],Products[ID],Products[Clean (s)])*Crops[[#This Row],[Custom Yield Per Bed]]/3600</f>
        <v>0</v>
      </c>
      <c r="CZ280" s="37">
        <f>_xlfn.XLOOKUP(Crops[[#This Row],[Crop]]&amp;Crops[[#This Row],[Product]]&amp;Crops[[#This Row],[Unit]],Products[ID],Products[Rehandle (s)])*Crops[[#This Row],[Custom Yield Per Bed]]/3600</f>
        <v>0</v>
      </c>
      <c r="DA280" s="37">
        <f>_xlfn.XLOOKUP(Crops[[#This Row],[Crop]]&amp;Crops[[#This Row],[Product]]&amp;Crops[[#This Row],[Unit]],Products[ID],Products[Market Transport (s)])*Crops[[#This Row],[Custom Yield Per Bed]]/3600</f>
        <v>0.23148148148148148</v>
      </c>
      <c r="DC280" s="37">
        <f>Crops[[#This Row],[Direct Revenue Per Bed2]]</f>
        <v>366.66666666666669</v>
      </c>
      <c r="DD280" s="173">
        <f>_xlfn.AGGREGATE(9,6,Crops[[#This Row],[Bed Prep]:[Remove Crop Residue]])</f>
        <v>18.442592592592593</v>
      </c>
      <c r="DE280" s="173">
        <f>_xlfn.AGGREGATE(9,6,Crops[[#This Row],[Bed Prep]:[Remove Crop Residue]])-0.75*Crops[[#This Row],[Market &amp; Sell]]</f>
        <v>18.167592592592595</v>
      </c>
      <c r="DF280" s="36">
        <f>Crops[[#This Row],[Direct Revenue Per Bed2]]/Crops[[#This Row],[Direct Time]]</f>
        <v>19.88151420825384</v>
      </c>
      <c r="DG280" s="36">
        <f>_xlfn.XLOOKUP(Crops[[#This Row],[ProductIndex]],Products[ID],Products[Packaging Cost])*(Crops[[#This Row],[Custom Yield Per Bed]]/_xlfn.XLOOKUP(Crops[[#This Row],[ProductIndex]],Products[ID],Products[Units Per Pack]))</f>
        <v>14.074074074074074</v>
      </c>
      <c r="DH280" s="36"/>
      <c r="DI280" s="36"/>
      <c r="DJ280" s="36"/>
      <c r="DK280" s="36"/>
      <c r="DL280" s="36"/>
      <c r="DM280" s="33">
        <f>IFERROR(Crops[[#This Row],[Custom Yield Per Bed]]*Crops[[#This Row],[Direct Price]],"")</f>
        <v>366.66666666666669</v>
      </c>
      <c r="DN280" s="36">
        <f>Crops[[#This Row],[Direct Time]]*LaborRate</f>
        <v>461.06481481481484</v>
      </c>
      <c r="DO280" s="36">
        <f>SUM(Crops[[#This Row],[Irrigation Cost]])</f>
        <v>0</v>
      </c>
      <c r="DP280" s="36">
        <f>Crops[[#This Row],[Direct Labor Cost]]+Crops[[#This Row],[Direct Non-Labor Cost]]</f>
        <v>461.06481481481484</v>
      </c>
      <c r="DQ280" s="36">
        <f>Crops[[#This Row],[Direct Revenue Per Bed2]]-Crops[[#This Row],[Direct Total Cost]]</f>
        <v>-94.398148148148152</v>
      </c>
      <c r="DR280" s="36">
        <f>Crops[[#This Row],[Direct Profit]]*BedsPerAcre</f>
        <v>-15103.703703703704</v>
      </c>
      <c r="DS280" s="36">
        <f>Crops[[#This Row],[Direct Profit]]*BedsPerAcre*GrowingDays/Crops[[#This Row],[Days In Field]]</f>
        <v>-12136.904761904763</v>
      </c>
      <c r="DT280" s="36">
        <f>Crops[[#This Row],[Direct Profit]]/MIN(Crops[[#This Row],[Days In Field]],GrowingDays)</f>
        <v>-0.5244341563786008</v>
      </c>
      <c r="DU280" s="36">
        <f>Crops[[#This Row],[Direct Time]] * BedsPerAcre</f>
        <v>2950.8148148148148</v>
      </c>
      <c r="DV280" s="36">
        <f>(Crops[[#This Row],[Direct Revenue Per Bed2]]-Crops[[#This Row],[Direct Non-Labor Cost]])/Crops[[#This Row],[Direct Time]]</f>
        <v>19.88151420825384</v>
      </c>
      <c r="DW280" s="33">
        <f>IFERROR(Crops[[#This Row],[Custom Yield Per Bed]]*Crops[[#This Row],[Rough Wholesale Price]],"")</f>
        <v>220</v>
      </c>
      <c r="DX280" s="36">
        <f>Crops[[#This Row],[Wholesale Time]]*LaborRate</f>
        <v>454.18981481481484</v>
      </c>
      <c r="DY280" s="36">
        <f>SUM(Crops[[#This Row],[Packaging Costs]:[Irrigation Cost]])</f>
        <v>14.074074074074074</v>
      </c>
      <c r="DZ280" s="36">
        <f>Crops[[#This Row],[Wholesale Labor Cost]]+Crops[[#This Row],[Wholesale Non-Labor Cost]]</f>
        <v>468.26388888888891</v>
      </c>
      <c r="EA280" s="36">
        <f>Crops[[#This Row],[Wholesale Revenue Per Bed]]-Crops[[#This Row],[Wholesale Total Cost]]</f>
        <v>-248.26388888888891</v>
      </c>
      <c r="EB280" s="36">
        <f>Crops[[#This Row],[Wholesale Profit]]*BedsPerAcre</f>
        <v>-39722.222222222226</v>
      </c>
      <c r="EC280" s="36">
        <f>Crops[[#This Row],[Wholesale Profit]]*BedsPerAcre*GrowingDays/Crops[[#This Row],[Days In Field]]</f>
        <v>-31919.642857142862</v>
      </c>
      <c r="ED280" s="36">
        <f>Crops[[#This Row],[Wholesale Time]] * BedsPerAcre</f>
        <v>2906.8148148148152</v>
      </c>
      <c r="EE280" s="36">
        <f>Crops[[#This Row],[Wholesale Profit]]/MIN(Crops[[#This Row],[Days In Field]],GrowingDays)</f>
        <v>-1.3792438271604939</v>
      </c>
      <c r="EF280" s="36">
        <f>(Crops[[#This Row],[Wholesale Revenue Per Bed]]-Crops[[#This Row],[Wholesale Non-Labor Cost]])/Crops[[#This Row],[Direct Time]]</f>
        <v>11.165779696756703</v>
      </c>
      <c r="EG280" s="174">
        <f>Crops[[#This Row],[Packaging Costs]]/Crops[[#This Row],[Wholesale Revenue Per Bed]]</f>
        <v>6.3973063973063973E-2</v>
      </c>
      <c r="EH280" s="36" t="str">
        <f>Crops[[#This Row],[Crop]]&amp;Crops[[#This Row],[Product]]&amp;Crops[[#This Row],[Unit]]</f>
        <v>ScallionMature StalkBunch</v>
      </c>
      <c r="EI280" s="36" t="b">
        <f>_xlfn.XLOOKUP(Crops[[#This Row],[ProductIndex]],Products[ID],Products[Target])</f>
        <v>1</v>
      </c>
      <c r="EJ280" s="36">
        <f>Crops[[#This Row],[Custom Yield Per Bed]]</f>
        <v>133.33333333333334</v>
      </c>
      <c r="EK280" s="210">
        <f>Crops[[#This Row],[Units Per Harvest]]/Crops[[#This Row],[Days Between Harvest]]*7</f>
        <v>66.666666666666671</v>
      </c>
      <c r="EL280" s="210">
        <f>Crops[[#This Row],[Custom Yield Per Bed]]/_xlfn.XLOOKUP(Crops[[#This Row],[ProductIndex]],Products[ID],Products[CSA Portion])</f>
        <v>133.33333333333334</v>
      </c>
      <c r="EM280" s="210">
        <f>Crops[[#This Row],[Units Per Harvest]]/Crops[[#This Row],[Days Between Harvest]]*7/_xlfn.XLOOKUP(Crops[[#This Row],[ProductIndex]],Products[ID],Products[CSA Portion])</f>
        <v>66.666666666666671</v>
      </c>
      <c r="EN280" s="210">
        <f>Crops[[#This Row],[CSA Portions Per Week]]/CSAMembers</f>
        <v>1.3333333333333335</v>
      </c>
      <c r="EO280" s="210"/>
      <c r="EP280" s="210"/>
      <c r="EQ280" s="36"/>
      <c r="ER280" s="36">
        <f>Crops[[#This Row],[Harvests]]*Crops[[#This Row],[Days Between Harvest]]/7</f>
        <v>2</v>
      </c>
      <c r="ES280" s="208">
        <f>_xlfn.XLOOKUP(Crops[[#This Row],[ProductIndex]],Products[ID],Products[CSA Need])</f>
        <v>0</v>
      </c>
      <c r="ET280" s="208">
        <f>_xlfn.XLOOKUP(Crops[[#This Row],[ProductIndex]],Products[ID],Products[CSA Times])</f>
        <v>0</v>
      </c>
      <c r="EU280" s="208" t="e">
        <f>Crops[[#This Row],[Custom Yield Per Bed]]/(Crops[[#This Row],[CSA Need]]*(_xlfn.XLOOKUP(Crops[[#This Row],[ProductIndex]],Products[ID],Products[CSA Portion])*CSAMembers))</f>
        <v>#DIV/0!</v>
      </c>
      <c r="EV280" s="208">
        <f>_xlfn.XLOOKUP(Crops[[#This Row],[ProductIndex]],Products[ID],Products[CSA Portion])*CSAMembers*Crops[[#This Row],[CSA Need]]/Crops[[#This Row],[Custom Yield Per Bed]]</f>
        <v>0</v>
      </c>
      <c r="EW280" s="208">
        <f>IFERROR(Crops[[#This Row],[Days In Field]]*Crops[[#This Row],[CSA Beds]],"")</f>
        <v>0</v>
      </c>
      <c r="EX280" s="208" t="e">
        <f>Crops[[#This Row],[CSA Bed Days]]*#REF!</f>
        <v>#REF!</v>
      </c>
      <c r="EY280">
        <v>0</v>
      </c>
    </row>
    <row r="281" spans="1:155">
      <c r="A281"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DS Sp</v>
      </c>
      <c r="B281" s="185"/>
      <c r="C281" s="1"/>
      <c r="D281" s="1"/>
      <c r="E281" s="1" t="b">
        <v>0</v>
      </c>
      <c r="F281" s="1" t="b">
        <f>IFERROR(IF(ISNUMBER(MATCH(Crops[[#This Row],[Identifier]],BedPlan[Crop], 0)), TRUE, FALSE), FALSE)</f>
        <v>0</v>
      </c>
      <c r="G281" s="1" t="b">
        <f>IFERROR(IF(ISNUMBER(MATCH(Crops[[#This Row],[Identifier]],BedPlan[Crop], 0)), TRUE, FALSE), FALSE)</f>
        <v>0</v>
      </c>
      <c r="H281" s="1"/>
      <c r="I281" t="s">
        <v>119</v>
      </c>
      <c r="J281" t="s">
        <v>145</v>
      </c>
      <c r="K281" t="s">
        <v>199</v>
      </c>
      <c r="M281" t="s">
        <v>105</v>
      </c>
      <c r="N281" t="str">
        <f>Crops[[#This Row],[Crop]]</f>
        <v>Scallion</v>
      </c>
      <c r="O281" t="s">
        <v>210</v>
      </c>
      <c r="P281" t="str">
        <f>IF(OR(Crops[[#This Row],[Days in Cells]]="",Crops[[#This Row],[Days in Cells]]=0), "DS","TP")</f>
        <v>DS</v>
      </c>
      <c r="Q281" t="b">
        <v>1</v>
      </c>
      <c r="V281" t="str">
        <f xml:space="preserve"> IF(Crops[[#This Row],[Sp]], "Sp", "") &amp; IF(Crops[[#This Row],[Su]], "Su", "") &amp; IF(Crops[[#This Row],[Fa]], "Fa", "") &amp; IF(Crops[[#This Row],[Wi]], "Wi", "") &amp; IF(Crops[[#This Row],[OW]], "Ow","")</f>
        <v>Sp</v>
      </c>
      <c r="W281" t="s">
        <v>144</v>
      </c>
      <c r="X281">
        <v>4</v>
      </c>
      <c r="Y281">
        <v>6</v>
      </c>
      <c r="AA281" t="s">
        <v>474</v>
      </c>
      <c r="AB281" t="b">
        <v>1</v>
      </c>
      <c r="AC281">
        <v>1.5</v>
      </c>
      <c r="AD281" s="32">
        <f>IFERROR(12/Crops[[#This Row],[Spacing]]*Crops[[#This Row],[Rows]]*BedLength,"")</f>
        <v>400</v>
      </c>
      <c r="AE281">
        <v>6</v>
      </c>
      <c r="AF281">
        <v>1.1000000000000001</v>
      </c>
      <c r="AG281">
        <f>IF(Crops[[#This Row],[Custom Safety Factor]]="",PlantingSafetyFactor,Crops[[#This Row],[Custom Safety Factor]])</f>
        <v>1.1000000000000001</v>
      </c>
      <c r="AH281">
        <f>1</f>
        <v>1</v>
      </c>
      <c r="AI281" s="33">
        <f>IFERROR(Crops[[#This Row],[Plantings Per Bed]]*Crops[[#This Row],[Seeds Per Planting]]*Crops[[#This Row],[Safety Factor]]*Crops[[#This Row],[Seeding Factor]],"")</f>
        <v>2640</v>
      </c>
      <c r="AJ281">
        <v>14</v>
      </c>
      <c r="AK281">
        <v>20</v>
      </c>
      <c r="AL281">
        <f>_xlfn.FLOOR.MATH(IFERROR(AVERAGE(Crops[[#This Row],[DTG Lower]:[DTG Upper]]),0))</f>
        <v>17</v>
      </c>
      <c r="AM281">
        <f>SUM(Crops[[#This Row],[Tray 1 Days]],Crops[[#This Row],[Tray 2 Days]],Crops[[#This Row],[Tray 3 Days]])</f>
        <v>0</v>
      </c>
      <c r="AN281" s="32">
        <v>45</v>
      </c>
      <c r="AP281">
        <v>60</v>
      </c>
      <c r="AQ281">
        <f>IFERROR(_xlfn.FLOOR.MATH(AVERAGE(Crops[[#This Row],[DTM Lower]:[DTM Upper]])),"")</f>
        <v>60</v>
      </c>
      <c r="AR281" cm="1">
        <f t="array" ref="AR281">_xlfn.SWITCH(Crops[[#This Row],[Normal Method]],"DS",Crops[[#This Row],[Days to Germination]]+Crops[[#This Row],[DTM]] + IF(Crops[[#This Row],[Days in Cells]]&gt;0,15,0), "TP",Crops[[#This Row],[DTM]]+Crops[[#This Row],[Days in Cells]] + IF(Crops[[#This Row],[Days in Cells]]&lt;=0,20,0), "X", Crops[[#This Row],[DTM]])</f>
        <v>77</v>
      </c>
      <c r="AS281" t="s">
        <v>338</v>
      </c>
      <c r="AT281">
        <f>(Crops[[#This Row],[Harvests]]-1)*Crops[[#This Row],[Days Between Harvest]]+7</f>
        <v>14</v>
      </c>
      <c r="AU281">
        <f>Crops[[#This Row],[STH]]-Crops[[#This Row],[Days in Cells]]+Crops[[#This Row],[Harvest window]]</f>
        <v>91</v>
      </c>
      <c r="AZ281" t="str">
        <f>IFERROR(IF(Crops[[#This Row],[Tray 1 Days]]=0,"",Crops[[#This Row],[Plantings Per Bed]]/Crops[[#This Row],[Tray 1 Size]]*Crops[[#This Row],[Safety Factor]]),"")</f>
        <v/>
      </c>
      <c r="BC281" t="str">
        <f>IFERROR(IF(Crops[[#This Row],[Tray 2 Days]]=0,"",Crops[[#This Row],[Plantings Per Bed]]/Crops[[#This Row],[Tray 2 Size]]*Crops[[#This Row],[Safety Factor]]),"")</f>
        <v/>
      </c>
      <c r="BE281" s="32" t="str">
        <f>IF(NOT(ISBLANK(Crops[[#This Row],[Tray 3 Size]])), Crops[[#This Row],[Days in Cells Old]]-SUM(Crops[[#This Row],[Tray 1 Days]],Crops[[#This Row],[Tray 2 Days]]), "")</f>
        <v/>
      </c>
      <c r="BF281" t="str">
        <f>IFERROR(IF(Crops[[#This Row],[Tray 3 Days]]=0,"",Crops[[#This Row],[Plantings Per Bed]]/Crops[[#This Row],[Tray 3 Size]]*Crops[[#This Row],[Safety Factor]]),"")</f>
        <v/>
      </c>
      <c r="BG281" s="33">
        <f>Crops[[#This Row],[Plantings Per Bed]]/3/Crops[[#This Row],[Harvests]]</f>
        <v>66.666666666666671</v>
      </c>
      <c r="BH281" s="33">
        <v>2</v>
      </c>
      <c r="BI281" s="33">
        <v>7</v>
      </c>
      <c r="BJ281" s="33">
        <f>_xlfn.XLOOKUP(Crops[[#This Row],[ProductIndex]],Products[ID],Products[Holding Period])</f>
        <v>7</v>
      </c>
      <c r="BK281" s="33"/>
      <c r="BL281" s="33">
        <f>Crops[[#This Row],[Units Per Harvest]]*Crops[[#This Row],[Harvests]]</f>
        <v>133.33333333333334</v>
      </c>
      <c r="BM281" s="35">
        <v>2.5</v>
      </c>
      <c r="BN281" s="35">
        <f>Crops[[#This Row],[Direct Price]]*0.6</f>
        <v>1.5</v>
      </c>
      <c r="BO281" s="35"/>
      <c r="BP281" t="s">
        <v>215</v>
      </c>
      <c r="BQ281">
        <f>Crops[[#This Row],[Custom Yield Per Bed]]*Crops[[#This Row],[Direct Price]]</f>
        <v>333.33333333333337</v>
      </c>
      <c r="BS281" t="b">
        <f>Crops[[#This Row],[Harvests]]&gt;1</f>
        <v>1</v>
      </c>
      <c r="BT281" s="36">
        <f>IFERROR(Crops[[#This Row],[Direct Revenue Per Bed]]/Crops[[#This Row],[Days In Field]],-1)</f>
        <v>3.6630036630036633</v>
      </c>
      <c r="BU281" s="36">
        <f>IFERROR(Crops[[#This Row],[Direct Revenue Per Bed Day]]*GrowingDays*BedsPerAcre,"")</f>
        <v>105494.5054945055</v>
      </c>
      <c r="BV281" s="38">
        <f>LastFrostDate-5*Crops[[#This Row],[Sewing Rel Last Frost]]</f>
        <v>45743</v>
      </c>
      <c r="BW281" s="38">
        <f>Crops[[#This Row],[Target Sewing Date]]+Crops[[#This Row],[Days in Cells]]</f>
        <v>45743</v>
      </c>
      <c r="BX281" s="38">
        <f>Crops[[#This Row],[Target Sewing Date]]+Crops[[#This Row],[STH]]</f>
        <v>45820</v>
      </c>
      <c r="BY281" s="38">
        <f>Crops[[#This Row],[Target Harvest Data]]+Crops[[#This Row],[Harvest window]]</f>
        <v>45834</v>
      </c>
      <c r="BZ281">
        <v>1</v>
      </c>
      <c r="CA281" t="s">
        <v>1408</v>
      </c>
      <c r="CB281">
        <f>1</f>
        <v>1</v>
      </c>
      <c r="CC281">
        <f>IF(Crops[[#This Row],[Transplanting]]&gt;0, 2, 3)*BedLength/StandardBedLength</f>
        <v>1.5</v>
      </c>
      <c r="CD281" s="173">
        <f>IF(Crops[[#This Row],[Days in Cells]]&lt;=0,0,Crops[[#This Row],[Plantings Per Bed]]/StartsPerHourSeeding+Crops[[#This Row],[Tray 1 Count]]*5/60)</f>
        <v>0</v>
      </c>
      <c r="CE281" s="173">
        <f>IF(ISBLANK(Crops[[#This Row],[Tray 2 Days]]),0,Crops[[#This Row],[Plantings Per Bed]]/UpPottingPerHour)+IF(Crops[[#This Row],[Tray 3 Days]]="",0,Crops[[#This Row],[Plantings Per Bed]]/UpPottingPerHour)</f>
        <v>0</v>
      </c>
      <c r="CF281" s="173">
        <f>IFERROR(Crops[[#This Row],[Tray 1 Count]]/HomeStartFlatIrrigationPerHour,0)*Crops[[#This Row],[Days in Cells]]/DaysBetweenStartIrrigation</f>
        <v>0</v>
      </c>
      <c r="CG281" s="173">
        <f>0.5/16*MAX(Crops[[#This Row],[Tray 1 Count]],Crops[[#This Row],[Tray 2 Count]],Crops[[#This Row],[Tray 3 Count]])</f>
        <v>0</v>
      </c>
      <c r="CH281" s="173">
        <f>IF(Crops[[#This Row],[Days in Cells]]&gt;0,IF(IF(Crops[[#This Row],[Tray 3 Size]]&gt;0,Crops[[#This Row],[Tray 3 Size]],IF(Crops[[#This Row],[Tray 2 Size]]&gt;0,Crops[[#This Row],[Tray 2 Size]],Crops[[#This Row],[Tray 1 Size]]))&lt;=18,LargeTransplantTime,SmallTransplantTime)*Crops[[#This Row],[Plantings Per Bed]],0)</f>
        <v>0</v>
      </c>
      <c r="CI281" s="173"/>
      <c r="CJ281" s="173">
        <f>_xlfn.XLOOKUP(Crops[[#This Row],[Trellis Type]],TrellisMethods[Trellis Type],TrellisMethods[Hours],0,0)</f>
        <v>0</v>
      </c>
      <c r="CK281">
        <f>IF(Crops[[#This Row],[Days in Cells]]&lt;=0,Crops[[#This Row],[Rows]]*1/10,0)*BedLength/50</f>
        <v>0.4</v>
      </c>
      <c r="CL281" cm="1">
        <f t="array" ref="CL281">_xlfn.SWITCH(Crops[[#This Row],[Irrigation]],"DR", 0.5, "OH", 0.25,0)*BedLength/50</f>
        <v>0</v>
      </c>
      <c r="CM281">
        <f>IF(OR(ISBLANK(Crops[[#This Row],[Row Cover]]),Crops[[#This Row],[Row Cover]]="None"),0,1)*BedLength/50</f>
        <v>0</v>
      </c>
      <c r="CN281" s="173">
        <f>HoursPerWeedingPass*Crops[[#This Row],[Days In Field]]/14*Crops[[#This Row],[Rows]]+1*BedLength/50</f>
        <v>5.333333333333333</v>
      </c>
      <c r="CQ281" s="37">
        <f>_xlfn.XLOOKUP(Crops[[#This Row],[Crop]]&amp;Crops[[#This Row],[Product]]&amp;Crops[[#This Row],[Unit]],Products[ID],Products[Marketing (hr)])*Crops[[#This Row],[Direct Revenue Per Bed]]/2000</f>
        <v>0.33333333333333337</v>
      </c>
      <c r="CR281" s="37">
        <f>_xlfn.XLOOKUP(Crops[[#This Row],[Crop]]&amp;Crops[[#This Row],[Product]]&amp;Crops[[#This Row],[Unit]],Products[ID],Products[Harvest (s)])*Crops[[#This Row],[Custom Yield Per Bed]]/3600</f>
        <v>1.1111111111111112</v>
      </c>
      <c r="CS281" s="37">
        <f>_xlfn.XLOOKUP(Crops[[#This Row],[Crop]]&amp;Crops[[#This Row],[Product]]&amp;Crops[[#This Row],[Unit]],Products[ID],Products[Bunch (s)])*Crops[[#This Row],[Custom Yield Per Bed]]/3600</f>
        <v>0.37037037037037041</v>
      </c>
      <c r="CT281" s="37">
        <f>_xlfn.XLOOKUP(Crops[[#This Row],[Crop]]&amp;Crops[[#This Row],[Product]]&amp;Crops[[#This Row],[Unit]],Products[ID],Products[Haul (s)])*Crops[[#This Row],[Custom Yield Per Bed]]/3600</f>
        <v>9.2592592592592601E-2</v>
      </c>
      <c r="CU281" s="37">
        <f>_xlfn.XLOOKUP(Crops[[#This Row],[Crop]]&amp;Crops[[#This Row],[Product]]&amp;Crops[[#This Row],[Unit]],Products[ID],Products[Wash (s)])*Crops[[#This Row],[Custom Yield Per Bed]]/3600</f>
        <v>0.92592592592592593</v>
      </c>
      <c r="CV281" s="37">
        <f>_xlfn.XLOOKUP(Crops[[#This Row],[Crop]]&amp;Crops[[#This Row],[Product]]&amp;Crops[[#This Row],[Unit]],Products[ID],Products[Condition (s)])*Crops[[#This Row],[Custom Yield Per Bed]]/3600</f>
        <v>0</v>
      </c>
      <c r="CW281" s="37">
        <f>_xlfn.XLOOKUP(Crops[[#This Row],[Crop]]&amp;Crops[[#This Row],[Product]]&amp;Crops[[#This Row],[Unit]],Products[ID],Products[Trim (s)])*Crops[[#This Row],[Custom Yield Per Bed]]/3600</f>
        <v>1.6666666666666667</v>
      </c>
      <c r="CX281" s="37">
        <f>_xlfn.XLOOKUP(Crops[[#This Row],[Crop]]&amp;Crops[[#This Row],[Product]]&amp;Crops[[#This Row],[Unit]],Products[ID],Products[Pack (s)])*Crops[[#This Row],[Custom Yield Per Bed]]/3600</f>
        <v>0.1111111111111111</v>
      </c>
      <c r="CY281" s="37">
        <f>_xlfn.XLOOKUP(Crops[[#This Row],[Crop]]&amp;Crops[[#This Row],[Product]]&amp;Crops[[#This Row],[Unit]],Products[ID],Products[Clean (s)])*Crops[[#This Row],[Custom Yield Per Bed]]/3600</f>
        <v>0</v>
      </c>
      <c r="CZ281" s="37">
        <f>_xlfn.XLOOKUP(Crops[[#This Row],[Crop]]&amp;Crops[[#This Row],[Product]]&amp;Crops[[#This Row],[Unit]],Products[ID],Products[Rehandle (s)])*Crops[[#This Row],[Custom Yield Per Bed]]/3600</f>
        <v>0</v>
      </c>
      <c r="DA281" s="37">
        <f>_xlfn.XLOOKUP(Crops[[#This Row],[Crop]]&amp;Crops[[#This Row],[Product]]&amp;Crops[[#This Row],[Unit]],Products[ID],Products[Market Transport (s)])*Crops[[#This Row],[Custom Yield Per Bed]]/3600</f>
        <v>0.23148148148148148</v>
      </c>
      <c r="DC281" s="37">
        <f>Crops[[#This Row],[Direct Revenue Per Bed2]]</f>
        <v>333.33333333333337</v>
      </c>
      <c r="DD281" s="173">
        <f>_xlfn.AGGREGATE(9,6,Crops[[#This Row],[Bed Prep]:[Remove Crop Residue]])</f>
        <v>12.075925925925924</v>
      </c>
      <c r="DE281" s="173">
        <f>_xlfn.AGGREGATE(9,6,Crops[[#This Row],[Bed Prep]:[Remove Crop Residue]])-0.75*Crops[[#This Row],[Market &amp; Sell]]</f>
        <v>11.825925925925924</v>
      </c>
      <c r="DF281" s="36">
        <f>Crops[[#This Row],[Direct Revenue Per Bed2]]/Crops[[#This Row],[Direct Time]]</f>
        <v>27.603128354546858</v>
      </c>
      <c r="DG281" s="36">
        <f>_xlfn.XLOOKUP(Crops[[#This Row],[ProductIndex]],Products[ID],Products[Packaging Cost])*(Crops[[#This Row],[Custom Yield Per Bed]]/_xlfn.XLOOKUP(Crops[[#This Row],[ProductIndex]],Products[ID],Products[Units Per Pack]))</f>
        <v>14.074074074074074</v>
      </c>
      <c r="DH281" s="36"/>
      <c r="DI281" s="36"/>
      <c r="DJ281" s="36"/>
      <c r="DK281" s="36"/>
      <c r="DL281" s="36"/>
      <c r="DM281" s="33">
        <f>IFERROR(Crops[[#This Row],[Custom Yield Per Bed]]*Crops[[#This Row],[Direct Price]],"")</f>
        <v>333.33333333333337</v>
      </c>
      <c r="DN281" s="36">
        <f>Crops[[#This Row],[Direct Time]]*LaborRate</f>
        <v>301.8981481481481</v>
      </c>
      <c r="DO281" s="36">
        <f>SUM(Crops[[#This Row],[Irrigation Cost]])</f>
        <v>0</v>
      </c>
      <c r="DP281" s="36">
        <f>Crops[[#This Row],[Direct Labor Cost]]+Crops[[#This Row],[Direct Non-Labor Cost]]</f>
        <v>301.8981481481481</v>
      </c>
      <c r="DQ281" s="36">
        <f>Crops[[#This Row],[Direct Revenue Per Bed2]]-Crops[[#This Row],[Direct Total Cost]]</f>
        <v>31.435185185185276</v>
      </c>
      <c r="DR281" s="36">
        <f>Crops[[#This Row],[Direct Profit]]*BedsPerAcre</f>
        <v>5029.6296296296441</v>
      </c>
      <c r="DS281" s="36">
        <f>Crops[[#This Row],[Direct Profit]]*BedsPerAcre*GrowingDays/Crops[[#This Row],[Days In Field]]</f>
        <v>9948.7179487179765</v>
      </c>
      <c r="DT281" s="36">
        <f>Crops[[#This Row],[Direct Profit]]/MIN(Crops[[#This Row],[Days In Field]],GrowingDays)</f>
        <v>0.34544159544159642</v>
      </c>
      <c r="DU281" s="36">
        <f>Crops[[#This Row],[Direct Time]] * BedsPerAcre</f>
        <v>1932.1481481481478</v>
      </c>
      <c r="DV281" s="36">
        <f>(Crops[[#This Row],[Direct Revenue Per Bed2]]-Crops[[#This Row],[Direct Non-Labor Cost]])/Crops[[#This Row],[Direct Time]]</f>
        <v>27.603128354546858</v>
      </c>
      <c r="DW281" s="33">
        <f>IFERROR(Crops[[#This Row],[Custom Yield Per Bed]]*Crops[[#This Row],[Rough Wholesale Price]],"")</f>
        <v>200</v>
      </c>
      <c r="DX281" s="36">
        <f>Crops[[#This Row],[Wholesale Time]]*LaborRate</f>
        <v>295.6481481481481</v>
      </c>
      <c r="DY281" s="36">
        <f>SUM(Crops[[#This Row],[Packaging Costs]:[Irrigation Cost]])</f>
        <v>14.074074074074074</v>
      </c>
      <c r="DZ281" s="36">
        <f>Crops[[#This Row],[Wholesale Labor Cost]]+Crops[[#This Row],[Wholesale Non-Labor Cost]]</f>
        <v>309.72222222222217</v>
      </c>
      <c r="EA281" s="36">
        <f>Crops[[#This Row],[Wholesale Revenue Per Bed]]-Crops[[#This Row],[Wholesale Total Cost]]</f>
        <v>-109.72222222222217</v>
      </c>
      <c r="EB281" s="36">
        <f>Crops[[#This Row],[Wholesale Profit]]*BedsPerAcre</f>
        <v>-17555.555555555547</v>
      </c>
      <c r="EC281" s="36">
        <f>Crops[[#This Row],[Wholesale Profit]]*BedsPerAcre*GrowingDays/Crops[[#This Row],[Days In Field]]</f>
        <v>-34725.274725274707</v>
      </c>
      <c r="ED281" s="36">
        <f>Crops[[#This Row],[Wholesale Time]] * BedsPerAcre</f>
        <v>1892.1481481481478</v>
      </c>
      <c r="EE281" s="36">
        <f>Crops[[#This Row],[Wholesale Profit]]/MIN(Crops[[#This Row],[Days In Field]],GrowingDays)</f>
        <v>-1.2057387057387052</v>
      </c>
      <c r="EF281" s="36">
        <f>(Crops[[#This Row],[Wholesale Revenue Per Bed]]-Crops[[#This Row],[Wholesale Non-Labor Cost]])/Crops[[#This Row],[Direct Time]]</f>
        <v>15.396411593313911</v>
      </c>
      <c r="EG281" s="174">
        <f>Crops[[#This Row],[Packaging Costs]]/Crops[[#This Row],[Wholesale Revenue Per Bed]]</f>
        <v>7.0370370370370375E-2</v>
      </c>
      <c r="EH281" s="36" t="str">
        <f>Crops[[#This Row],[Crop]]&amp;Crops[[#This Row],[Product]]&amp;Crops[[#This Row],[Unit]]</f>
        <v>ScallionMature StalkBunch</v>
      </c>
      <c r="EI281" s="36" t="b">
        <f>_xlfn.XLOOKUP(Crops[[#This Row],[ProductIndex]],Products[ID],Products[Target])</f>
        <v>1</v>
      </c>
      <c r="EJ281" s="36">
        <f>Crops[[#This Row],[Custom Yield Per Bed]]</f>
        <v>133.33333333333334</v>
      </c>
      <c r="EK281" s="210">
        <f>Crops[[#This Row],[Units Per Harvest]]/Crops[[#This Row],[Days Between Harvest]]*7</f>
        <v>66.666666666666671</v>
      </c>
      <c r="EL281" s="210">
        <f>Crops[[#This Row],[Custom Yield Per Bed]]/_xlfn.XLOOKUP(Crops[[#This Row],[ProductIndex]],Products[ID],Products[CSA Portion])</f>
        <v>133.33333333333334</v>
      </c>
      <c r="EM281" s="210">
        <f>Crops[[#This Row],[Units Per Harvest]]/Crops[[#This Row],[Days Between Harvest]]*7/_xlfn.XLOOKUP(Crops[[#This Row],[ProductIndex]],Products[ID],Products[CSA Portion])</f>
        <v>66.666666666666671</v>
      </c>
      <c r="EN281" s="210">
        <f>Crops[[#This Row],[CSA Portions Per Week]]/CSAMembers</f>
        <v>1.3333333333333335</v>
      </c>
      <c r="EO281" s="210"/>
      <c r="EP281" s="210"/>
      <c r="EQ281" s="36"/>
      <c r="ER281" s="36">
        <f>Crops[[#This Row],[Harvests]]*Crops[[#This Row],[Days Between Harvest]]/7</f>
        <v>2</v>
      </c>
      <c r="ES281" s="208">
        <f>_xlfn.XLOOKUP(Crops[[#This Row],[ProductIndex]],Products[ID],Products[CSA Need])</f>
        <v>0</v>
      </c>
      <c r="ET281" s="208">
        <f>_xlfn.XLOOKUP(Crops[[#This Row],[ProductIndex]],Products[ID],Products[CSA Times])</f>
        <v>0</v>
      </c>
      <c r="EU281" s="208" t="e">
        <f>Crops[[#This Row],[Custom Yield Per Bed]]/(Crops[[#This Row],[CSA Need]]*(_xlfn.XLOOKUP(Crops[[#This Row],[ProductIndex]],Products[ID],Products[CSA Portion])*CSAMembers))</f>
        <v>#DIV/0!</v>
      </c>
      <c r="EV281" s="208">
        <f>_xlfn.XLOOKUP(Crops[[#This Row],[ProductIndex]],Products[ID],Products[CSA Portion])*CSAMembers*Crops[[#This Row],[CSA Need]]/Crops[[#This Row],[Custom Yield Per Bed]]</f>
        <v>0</v>
      </c>
      <c r="EW281" s="208">
        <f>IFERROR(Crops[[#This Row],[Days In Field]]*Crops[[#This Row],[CSA Beds]],"")</f>
        <v>0</v>
      </c>
      <c r="EX281" s="208" t="e">
        <f>Crops[[#This Row],[CSA Bed Days]]*#REF!</f>
        <v>#REF!</v>
      </c>
      <c r="EY281" s="88" t="s">
        <v>1409</v>
      </c>
    </row>
    <row r="282" spans="1:155">
      <c r="A282"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TP Fa</v>
      </c>
      <c r="B282" s="185"/>
      <c r="C282" s="1" t="b">
        <v>1</v>
      </c>
      <c r="D282" s="1"/>
      <c r="E282" s="1" t="b">
        <v>0</v>
      </c>
      <c r="F282" s="1" t="b">
        <f>IFERROR(IF(ISNUMBER(MATCH(Crops[[#This Row],[Identifier]],BedPlan[Crop], 0)), TRUE, FALSE), FALSE)</f>
        <v>0</v>
      </c>
      <c r="G282" s="1" t="b">
        <f>IFERROR(IF(ISNUMBER(MATCH(Crops[[#This Row],[Identifier]],BedPlan[Crop], 0)), TRUE, FALSE), FALSE)</f>
        <v>0</v>
      </c>
      <c r="H282" s="1"/>
      <c r="I282" t="s">
        <v>119</v>
      </c>
      <c r="J282" t="s">
        <v>145</v>
      </c>
      <c r="K282" t="s">
        <v>199</v>
      </c>
      <c r="M282" t="s">
        <v>105</v>
      </c>
      <c r="N282" t="str">
        <f>Crops[[#This Row],[Crop]]</f>
        <v>Scallion</v>
      </c>
      <c r="O282" t="s">
        <v>210</v>
      </c>
      <c r="P282" t="str">
        <f>IF(OR(Crops[[#This Row],[Days in Cells]]="",Crops[[#This Row],[Days in Cells]]=0), "DS","TP")</f>
        <v>TP</v>
      </c>
      <c r="S282" t="b">
        <v>1</v>
      </c>
      <c r="V282" t="str">
        <f xml:space="preserve"> IF(Crops[[#This Row],[Sp]], "Sp", "") &amp; IF(Crops[[#This Row],[Su]], "Su", "") &amp; IF(Crops[[#This Row],[Fa]], "Fa", "") &amp; IF(Crops[[#This Row],[Wi]], "Wi", "") &amp; IF(Crops[[#This Row],[OW]], "Ow","")</f>
        <v>Fa</v>
      </c>
      <c r="W282" t="s">
        <v>144</v>
      </c>
      <c r="X282">
        <v>4</v>
      </c>
      <c r="Y282">
        <v>6</v>
      </c>
      <c r="AA282" t="s">
        <v>474</v>
      </c>
      <c r="AB282" t="b">
        <v>1</v>
      </c>
      <c r="AC282">
        <v>1.5</v>
      </c>
      <c r="AD282" s="32">
        <f>IFERROR(12/Crops[[#This Row],[Spacing]]*Crops[[#This Row],[Rows]]*BedLength,"")</f>
        <v>400</v>
      </c>
      <c r="AE282">
        <v>6</v>
      </c>
      <c r="AF282">
        <v>1.1000000000000001</v>
      </c>
      <c r="AG282">
        <f>IF(Crops[[#This Row],[Custom Safety Factor]]="",PlantingSafetyFactor,Crops[[#This Row],[Custom Safety Factor]])</f>
        <v>1.1000000000000001</v>
      </c>
      <c r="AH282">
        <f>1</f>
        <v>1</v>
      </c>
      <c r="AI282" s="33">
        <f>IFERROR(Crops[[#This Row],[Plantings Per Bed]]*Crops[[#This Row],[Seeds Per Planting]]*Crops[[#This Row],[Safety Factor]]*Crops[[#This Row],[Seeding Factor]],"")</f>
        <v>2640</v>
      </c>
      <c r="AJ282">
        <v>14</v>
      </c>
      <c r="AK282">
        <v>20</v>
      </c>
      <c r="AL282">
        <f>_xlfn.FLOOR.MATH(IFERROR(AVERAGE(Crops[[#This Row],[DTG Lower]:[DTG Upper]]),0))</f>
        <v>17</v>
      </c>
      <c r="AM282">
        <f>SUM(Crops[[#This Row],[Tray 1 Days]],Crops[[#This Row],[Tray 2 Days]],Crops[[#This Row],[Tray 3 Days]])</f>
        <v>42</v>
      </c>
      <c r="AN282" s="32">
        <v>45</v>
      </c>
      <c r="AP282">
        <v>75</v>
      </c>
      <c r="AQ282">
        <f>IFERROR(_xlfn.FLOOR.MATH(AVERAGE(Crops[[#This Row],[DTM Lower]:[DTM Upper]])),"")</f>
        <v>75</v>
      </c>
      <c r="AR282" cm="1">
        <f t="array" ref="AR282">_xlfn.SWITCH(Crops[[#This Row],[Normal Method]],"DS",Crops[[#This Row],[Days to Germination]]+Crops[[#This Row],[DTM]] + IF(Crops[[#This Row],[Days in Cells]]&gt;0,15,0), "TP",Crops[[#This Row],[DTM]]+Crops[[#This Row],[Days in Cells]] + IF(Crops[[#This Row],[Days in Cells]]&lt;=0,20,0), "X", Crops[[#This Row],[DTM]])</f>
        <v>75</v>
      </c>
      <c r="AS282" t="s">
        <v>347</v>
      </c>
      <c r="AT282">
        <f>(Crops[[#This Row],[Harvests]]-1)*Crops[[#This Row],[Days Between Harvest]]+7</f>
        <v>14</v>
      </c>
      <c r="AU282">
        <f>Crops[[#This Row],[STH]]-Crops[[#This Row],[Days in Cells]]+Crops[[#This Row],[Harvest window]]</f>
        <v>47</v>
      </c>
      <c r="AW282">
        <v>72</v>
      </c>
      <c r="AX282">
        <v>128</v>
      </c>
      <c r="AY282">
        <v>42</v>
      </c>
      <c r="AZ282" s="49">
        <f>IFERROR(IF(Crops[[#This Row],[Tray 1 Days]]=0,"",Crops[[#This Row],[Plantings Per Bed]]/Crops[[#This Row],[Tray 1 Size]]*Crops[[#This Row],[Safety Factor]]),"")</f>
        <v>3.4375000000000004</v>
      </c>
      <c r="BC282" t="str">
        <f>IFERROR(IF(Crops[[#This Row],[Tray 2 Days]]=0,"",Crops[[#This Row],[Plantings Per Bed]]/Crops[[#This Row],[Tray 2 Size]]*Crops[[#This Row],[Safety Factor]]),"")</f>
        <v/>
      </c>
      <c r="BE282" s="32" t="str">
        <f>IF(NOT(ISBLANK(Crops[[#This Row],[Tray 3 Size]])), Crops[[#This Row],[Days in Cells Old]]-SUM(Crops[[#This Row],[Tray 1 Days]],Crops[[#This Row],[Tray 2 Days]]), "")</f>
        <v/>
      </c>
      <c r="BF282" t="str">
        <f>IFERROR(IF(Crops[[#This Row],[Tray 3 Days]]=0,"",Crops[[#This Row],[Plantings Per Bed]]/Crops[[#This Row],[Tray 3 Size]]*Crops[[#This Row],[Safety Factor]]),"")</f>
        <v/>
      </c>
      <c r="BG282" s="33">
        <f>Crops[[#This Row],[Plantings Per Bed]]/3/Crops[[#This Row],[Harvests]]</f>
        <v>66.666666666666671</v>
      </c>
      <c r="BH282" s="33">
        <v>2</v>
      </c>
      <c r="BI282" s="33">
        <v>7</v>
      </c>
      <c r="BJ282" s="33">
        <f>_xlfn.XLOOKUP(Crops[[#This Row],[ProductIndex]],Products[ID],Products[Holding Period])</f>
        <v>7</v>
      </c>
      <c r="BK282" s="33"/>
      <c r="BL282" s="33">
        <f>Crops[[#This Row],[Units Per Harvest]]*Crops[[#This Row],[Harvests]]</f>
        <v>133.33333333333334</v>
      </c>
      <c r="BM282" s="35">
        <v>2.5</v>
      </c>
      <c r="BN282" s="35">
        <f>Crops[[#This Row],[Direct Price]]*0.6</f>
        <v>1.5</v>
      </c>
      <c r="BO282" s="35"/>
      <c r="BP282" t="s">
        <v>215</v>
      </c>
      <c r="BQ282">
        <f>Crops[[#This Row],[Custom Yield Per Bed]]*Crops[[#This Row],[Direct Price]]</f>
        <v>333.33333333333337</v>
      </c>
      <c r="BS282" t="b">
        <f>Crops[[#This Row],[Harvests]]&gt;1</f>
        <v>1</v>
      </c>
      <c r="BT282" s="36">
        <f>IFERROR(Crops[[#This Row],[Direct Revenue Per Bed]]/Crops[[#This Row],[Days In Field]],-1)</f>
        <v>7.0921985815602842</v>
      </c>
      <c r="BU282" s="36">
        <f>IFERROR(Crops[[#This Row],[Direct Revenue Per Bed Day]]*GrowingDays*BedsPerAcre,"")</f>
        <v>204255.31914893619</v>
      </c>
      <c r="BV282" s="38">
        <f>LastFrostDate-5*Crops[[#This Row],[Sewing Rel Last Frost]]</f>
        <v>45813</v>
      </c>
      <c r="BW282" s="38">
        <f>Crops[[#This Row],[Target Sewing Date]]+Crops[[#This Row],[Days in Cells]]</f>
        <v>45855</v>
      </c>
      <c r="BX282" s="38">
        <f>Crops[[#This Row],[Target Sewing Date]]+Crops[[#This Row],[STH]]</f>
        <v>45888</v>
      </c>
      <c r="BY282" s="38">
        <f>Crops[[#This Row],[Target Harvest Data]]+Crops[[#This Row],[Harvest window]]</f>
        <v>45902</v>
      </c>
      <c r="BZ282">
        <v>-13</v>
      </c>
      <c r="CA282" t="s">
        <v>373</v>
      </c>
      <c r="CB282">
        <f>1</f>
        <v>1</v>
      </c>
      <c r="CC282">
        <f>IF(Crops[[#This Row],[Transplanting]]&gt;0, 2, 3)*BedLength/StandardBedLength</f>
        <v>1</v>
      </c>
      <c r="CD282" s="173">
        <f>IF(Crops[[#This Row],[Days in Cells]]&lt;=0,0,Crops[[#This Row],[Plantings Per Bed]]/StartsPerHourSeeding+Crops[[#This Row],[Tray 1 Count]]*5/60)</f>
        <v>1.8489583333333335</v>
      </c>
      <c r="CE282" s="173">
        <f>IF(ISBLANK(Crops[[#This Row],[Tray 2 Days]]),0,Crops[[#This Row],[Plantings Per Bed]]/UpPottingPerHour)+IF(Crops[[#This Row],[Tray 3 Days]]="",0,Crops[[#This Row],[Plantings Per Bed]]/UpPottingPerHour)</f>
        <v>0</v>
      </c>
      <c r="CF282" s="173">
        <f>IFERROR(Crops[[#This Row],[Tray 1 Count]]/HomeStartFlatIrrigationPerHour,0)*Crops[[#This Row],[Days in Cells]]/DaysBetweenStartIrrigation</f>
        <v>0.6015625</v>
      </c>
      <c r="CG282" s="173">
        <f>0.5/16*MAX(Crops[[#This Row],[Tray 1 Count]],Crops[[#This Row],[Tray 2 Count]],Crops[[#This Row],[Tray 3 Count]])</f>
        <v>0.10742187500000001</v>
      </c>
      <c r="CH282" s="173">
        <f>IF(Crops[[#This Row],[Days in Cells]]&gt;0,IF(IF(Crops[[#This Row],[Tray 3 Size]]&gt;0,Crops[[#This Row],[Tray 3 Size]],IF(Crops[[#This Row],[Tray 2 Size]]&gt;0,Crops[[#This Row],[Tray 2 Size]],Crops[[#This Row],[Tray 1 Size]]))&lt;=18,LargeTransplantTime,SmallTransplantTime)*Crops[[#This Row],[Plantings Per Bed]],0)</f>
        <v>2</v>
      </c>
      <c r="CI282" s="173"/>
      <c r="CJ282" s="173">
        <f>_xlfn.XLOOKUP(Crops[[#This Row],[Trellis Type]],TrellisMethods[Trellis Type],TrellisMethods[Hours],0,0)</f>
        <v>0</v>
      </c>
      <c r="CK282">
        <f>IF(Crops[[#This Row],[Days in Cells]]&lt;=0,Crops[[#This Row],[Rows]]*1/10,0)*BedLength/50</f>
        <v>0</v>
      </c>
      <c r="CL282" cm="1">
        <f t="array" ref="CL282">_xlfn.SWITCH(Crops[[#This Row],[Irrigation]],"DR", 0.5, "OH", 0.25,0)*BedLength/50</f>
        <v>0</v>
      </c>
      <c r="CM282">
        <f>IF(OR(ISBLANK(Crops[[#This Row],[Row Cover]]),Crops[[#This Row],[Row Cover]]="None"),0,1)*BedLength/50</f>
        <v>0</v>
      </c>
      <c r="CN282" s="173">
        <f>HoursPerWeedingPass*Crops[[#This Row],[Days In Field]]/14*Crops[[#This Row],[Rows]]+1*BedLength/50</f>
        <v>3.2380952380952381</v>
      </c>
      <c r="CQ282" s="37">
        <f>_xlfn.XLOOKUP(Crops[[#This Row],[Crop]]&amp;Crops[[#This Row],[Product]]&amp;Crops[[#This Row],[Unit]],Products[ID],Products[Marketing (hr)])*Crops[[#This Row],[Direct Revenue Per Bed]]/2000</f>
        <v>0.33333333333333337</v>
      </c>
      <c r="CR282" s="37">
        <f>_xlfn.XLOOKUP(Crops[[#This Row],[Crop]]&amp;Crops[[#This Row],[Product]]&amp;Crops[[#This Row],[Unit]],Products[ID],Products[Harvest (s)])*Crops[[#This Row],[Custom Yield Per Bed]]/3600</f>
        <v>1.1111111111111112</v>
      </c>
      <c r="CS282" s="37">
        <f>_xlfn.XLOOKUP(Crops[[#This Row],[Crop]]&amp;Crops[[#This Row],[Product]]&amp;Crops[[#This Row],[Unit]],Products[ID],Products[Bunch (s)])*Crops[[#This Row],[Custom Yield Per Bed]]/3600</f>
        <v>0.37037037037037041</v>
      </c>
      <c r="CT282" s="37">
        <f>_xlfn.XLOOKUP(Crops[[#This Row],[Crop]]&amp;Crops[[#This Row],[Product]]&amp;Crops[[#This Row],[Unit]],Products[ID],Products[Haul (s)])*Crops[[#This Row],[Custom Yield Per Bed]]/3600</f>
        <v>9.2592592592592601E-2</v>
      </c>
      <c r="CU282" s="37">
        <f>_xlfn.XLOOKUP(Crops[[#This Row],[Crop]]&amp;Crops[[#This Row],[Product]]&amp;Crops[[#This Row],[Unit]],Products[ID],Products[Wash (s)])*Crops[[#This Row],[Custom Yield Per Bed]]/3600</f>
        <v>0.92592592592592593</v>
      </c>
      <c r="CV282" s="37">
        <f>_xlfn.XLOOKUP(Crops[[#This Row],[Crop]]&amp;Crops[[#This Row],[Product]]&amp;Crops[[#This Row],[Unit]],Products[ID],Products[Condition (s)])*Crops[[#This Row],[Custom Yield Per Bed]]/3600</f>
        <v>0</v>
      </c>
      <c r="CW282" s="37">
        <f>_xlfn.XLOOKUP(Crops[[#This Row],[Crop]]&amp;Crops[[#This Row],[Product]]&amp;Crops[[#This Row],[Unit]],Products[ID],Products[Trim (s)])*Crops[[#This Row],[Custom Yield Per Bed]]/3600</f>
        <v>1.6666666666666667</v>
      </c>
      <c r="CX282" s="37">
        <f>_xlfn.XLOOKUP(Crops[[#This Row],[Crop]]&amp;Crops[[#This Row],[Product]]&amp;Crops[[#This Row],[Unit]],Products[ID],Products[Pack (s)])*Crops[[#This Row],[Custom Yield Per Bed]]/3600</f>
        <v>0.1111111111111111</v>
      </c>
      <c r="CY282" s="37">
        <f>_xlfn.XLOOKUP(Crops[[#This Row],[Crop]]&amp;Crops[[#This Row],[Product]]&amp;Crops[[#This Row],[Unit]],Products[ID],Products[Clean (s)])*Crops[[#This Row],[Custom Yield Per Bed]]/3600</f>
        <v>0</v>
      </c>
      <c r="CZ282" s="37">
        <f>_xlfn.XLOOKUP(Crops[[#This Row],[Crop]]&amp;Crops[[#This Row],[Product]]&amp;Crops[[#This Row],[Unit]],Products[ID],Products[Rehandle (s)])*Crops[[#This Row],[Custom Yield Per Bed]]/3600</f>
        <v>0</v>
      </c>
      <c r="DA282" s="37">
        <f>_xlfn.XLOOKUP(Crops[[#This Row],[Crop]]&amp;Crops[[#This Row],[Product]]&amp;Crops[[#This Row],[Unit]],Products[ID],Products[Market Transport (s)])*Crops[[#This Row],[Custom Yield Per Bed]]/3600</f>
        <v>0.23148148148148148</v>
      </c>
      <c r="DC282" s="37">
        <f>Crops[[#This Row],[Direct Revenue Per Bed2]]</f>
        <v>333.33333333333337</v>
      </c>
      <c r="DD282" s="173">
        <f>_xlfn.AGGREGATE(9,6,Crops[[#This Row],[Bed Prep]:[Remove Crop Residue]])</f>
        <v>13.638630539021165</v>
      </c>
      <c r="DE282" s="173">
        <f>_xlfn.AGGREGATE(9,6,Crops[[#This Row],[Bed Prep]:[Remove Crop Residue]])-0.75*Crops[[#This Row],[Market &amp; Sell]]</f>
        <v>13.388630539021165</v>
      </c>
      <c r="DF282" s="36">
        <f>Crops[[#This Row],[Direct Revenue Per Bed2]]/Crops[[#This Row],[Direct Time]]</f>
        <v>24.440381486956568</v>
      </c>
      <c r="DG282" s="36">
        <f>_xlfn.XLOOKUP(Crops[[#This Row],[ProductIndex]],Products[ID],Products[Packaging Cost])*(Crops[[#This Row],[Custom Yield Per Bed]]/_xlfn.XLOOKUP(Crops[[#This Row],[ProductIndex]],Products[ID],Products[Units Per Pack]))</f>
        <v>14.074074074074074</v>
      </c>
      <c r="DH282" s="36"/>
      <c r="DI282" s="36"/>
      <c r="DJ282" s="36"/>
      <c r="DK282" s="36"/>
      <c r="DL282" s="36"/>
      <c r="DM282" s="33">
        <f>IFERROR(Crops[[#This Row],[Custom Yield Per Bed]]*Crops[[#This Row],[Direct Price]],"")</f>
        <v>333.33333333333337</v>
      </c>
      <c r="DN282" s="36">
        <f>Crops[[#This Row],[Direct Time]]*LaborRate</f>
        <v>340.96576347552912</v>
      </c>
      <c r="DO282" s="36">
        <f>SUM(Crops[[#This Row],[Irrigation Cost]])</f>
        <v>0</v>
      </c>
      <c r="DP282" s="36">
        <f>Crops[[#This Row],[Direct Labor Cost]]+Crops[[#This Row],[Direct Non-Labor Cost]]</f>
        <v>340.96576347552912</v>
      </c>
      <c r="DQ282" s="36">
        <f>Crops[[#This Row],[Direct Revenue Per Bed2]]-Crops[[#This Row],[Direct Total Cost]]</f>
        <v>-7.6324301421957443</v>
      </c>
      <c r="DR282" s="36">
        <f>Crops[[#This Row],[Direct Profit]]*BedsPerAcre</f>
        <v>-1221.1888227513191</v>
      </c>
      <c r="DS282" s="36">
        <f>Crops[[#This Row],[Direct Profit]]*BedsPerAcre*GrowingDays/Crops[[#This Row],[Days In Field]]</f>
        <v>-4676.8933637284563</v>
      </c>
      <c r="DT282" s="36">
        <f>Crops[[#This Row],[Direct Profit]]/MIN(Crops[[#This Row],[Days In Field]],GrowingDays)</f>
        <v>-0.16239213068501585</v>
      </c>
      <c r="DU282" s="36">
        <f>Crops[[#This Row],[Direct Time]] * BedsPerAcre</f>
        <v>2182.1808862433863</v>
      </c>
      <c r="DV282" s="36">
        <f>(Crops[[#This Row],[Direct Revenue Per Bed2]]-Crops[[#This Row],[Direct Non-Labor Cost]])/Crops[[#This Row],[Direct Time]]</f>
        <v>24.440381486956568</v>
      </c>
      <c r="DW282" s="33">
        <f>IFERROR(Crops[[#This Row],[Custom Yield Per Bed]]*Crops[[#This Row],[Rough Wholesale Price]],"")</f>
        <v>200</v>
      </c>
      <c r="DX282" s="36">
        <f>Crops[[#This Row],[Wholesale Time]]*LaborRate</f>
        <v>334.71576347552912</v>
      </c>
      <c r="DY282" s="36">
        <f>SUM(Crops[[#This Row],[Packaging Costs]:[Irrigation Cost]])</f>
        <v>14.074074074074074</v>
      </c>
      <c r="DZ282" s="36">
        <f>Crops[[#This Row],[Wholesale Labor Cost]]+Crops[[#This Row],[Wholesale Non-Labor Cost]]</f>
        <v>348.78983754960319</v>
      </c>
      <c r="EA282" s="36">
        <f>Crops[[#This Row],[Wholesale Revenue Per Bed]]-Crops[[#This Row],[Wholesale Total Cost]]</f>
        <v>-148.78983754960319</v>
      </c>
      <c r="EB282" s="36">
        <f>Crops[[#This Row],[Wholesale Profit]]*BedsPerAcre</f>
        <v>-23806.374007936509</v>
      </c>
      <c r="EC282" s="36">
        <f>Crops[[#This Row],[Wholesale Profit]]*BedsPerAcre*GrowingDays/Crops[[#This Row],[Days In Field]]</f>
        <v>-91173.347264437703</v>
      </c>
      <c r="ED282" s="36">
        <f>Crops[[#This Row],[Wholesale Time]] * BedsPerAcre</f>
        <v>2142.1808862433863</v>
      </c>
      <c r="EE282" s="36">
        <f>Crops[[#This Row],[Wholesale Profit]]/MIN(Crops[[#This Row],[Days In Field]],GrowingDays)</f>
        <v>-3.1657412244596426</v>
      </c>
      <c r="EF282" s="36">
        <f>(Crops[[#This Row],[Wholesale Revenue Per Bed]]-Crops[[#This Row],[Wholesale Non-Labor Cost]])/Crops[[#This Row],[Direct Time]]</f>
        <v>13.632301673835773</v>
      </c>
      <c r="EG282" s="174">
        <f>Crops[[#This Row],[Packaging Costs]]/Crops[[#This Row],[Wholesale Revenue Per Bed]]</f>
        <v>7.0370370370370375E-2</v>
      </c>
      <c r="EH282" s="36" t="str">
        <f>Crops[[#This Row],[Crop]]&amp;Crops[[#This Row],[Product]]&amp;Crops[[#This Row],[Unit]]</f>
        <v>ScallionMature StalkBunch</v>
      </c>
      <c r="EI282" s="36" t="b">
        <f>_xlfn.XLOOKUP(Crops[[#This Row],[ProductIndex]],Products[ID],Products[Target])</f>
        <v>1</v>
      </c>
      <c r="EJ282" s="36">
        <f>Crops[[#This Row],[Custom Yield Per Bed]]</f>
        <v>133.33333333333334</v>
      </c>
      <c r="EK282" s="210">
        <f>Crops[[#This Row],[Units Per Harvest]]/Crops[[#This Row],[Days Between Harvest]]*7</f>
        <v>66.666666666666671</v>
      </c>
      <c r="EL282" s="210">
        <f>Crops[[#This Row],[Custom Yield Per Bed]]/_xlfn.XLOOKUP(Crops[[#This Row],[ProductIndex]],Products[ID],Products[CSA Portion])</f>
        <v>133.33333333333334</v>
      </c>
      <c r="EM282" s="210">
        <f>Crops[[#This Row],[Units Per Harvest]]/Crops[[#This Row],[Days Between Harvest]]*7/_xlfn.XLOOKUP(Crops[[#This Row],[ProductIndex]],Products[ID],Products[CSA Portion])</f>
        <v>66.666666666666671</v>
      </c>
      <c r="EN282" s="210">
        <f>Crops[[#This Row],[CSA Portions Per Week]]/CSAMembers</f>
        <v>1.3333333333333335</v>
      </c>
      <c r="EO282" s="210"/>
      <c r="EP282" s="210"/>
      <c r="EQ282" s="36"/>
      <c r="ER282" s="36">
        <f>Crops[[#This Row],[Harvests]]*Crops[[#This Row],[Days Between Harvest]]/7</f>
        <v>2</v>
      </c>
      <c r="ES282" s="208">
        <f>_xlfn.XLOOKUP(Crops[[#This Row],[ProductIndex]],Products[ID],Products[CSA Need])</f>
        <v>0</v>
      </c>
      <c r="ET282" s="208">
        <f>_xlfn.XLOOKUP(Crops[[#This Row],[ProductIndex]],Products[ID],Products[CSA Times])</f>
        <v>0</v>
      </c>
      <c r="EU282" s="208" t="e">
        <f>Crops[[#This Row],[Custom Yield Per Bed]]/(Crops[[#This Row],[CSA Need]]*(_xlfn.XLOOKUP(Crops[[#This Row],[ProductIndex]],Products[ID],Products[CSA Portion])*CSAMembers))</f>
        <v>#DIV/0!</v>
      </c>
      <c r="EV282" s="208">
        <f>_xlfn.XLOOKUP(Crops[[#This Row],[ProductIndex]],Products[ID],Products[CSA Portion])*CSAMembers*Crops[[#This Row],[CSA Need]]/Crops[[#This Row],[Custom Yield Per Bed]]</f>
        <v>0</v>
      </c>
      <c r="EW282" s="208">
        <f>IFERROR(Crops[[#This Row],[Days In Field]]*Crops[[#This Row],[CSA Beds]],"")</f>
        <v>0</v>
      </c>
      <c r="EX282" s="208" t="e">
        <f>Crops[[#This Row],[CSA Bed Days]]*#REF!</f>
        <v>#REF!</v>
      </c>
      <c r="EY282" t="s">
        <v>330</v>
      </c>
    </row>
    <row r="283" spans="1:155">
      <c r="A283"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TP Ow</v>
      </c>
      <c r="B283" s="185"/>
      <c r="C283" s="1" t="b">
        <v>1</v>
      </c>
      <c r="D283" s="1"/>
      <c r="E283" s="1" t="b">
        <v>0</v>
      </c>
      <c r="F283" s="1" t="b">
        <f>IFERROR(IF(ISNUMBER(MATCH(Crops[[#This Row],[Identifier]],BedPlan[Crop], 0)), TRUE, FALSE), FALSE)</f>
        <v>0</v>
      </c>
      <c r="G283" s="1" t="b">
        <f>IFERROR(IF(ISNUMBER(MATCH(Crops[[#This Row],[Identifier]],BedPlan[Crop], 0)), TRUE, FALSE), FALSE)</f>
        <v>0</v>
      </c>
      <c r="H283" s="1"/>
      <c r="I283" t="s">
        <v>119</v>
      </c>
      <c r="J283" t="s">
        <v>145</v>
      </c>
      <c r="K283" t="s">
        <v>199</v>
      </c>
      <c r="M283" t="s">
        <v>105</v>
      </c>
      <c r="N283" t="str">
        <f>Crops[[#This Row],[Crop]]</f>
        <v>Scallion</v>
      </c>
      <c r="O283" t="s">
        <v>210</v>
      </c>
      <c r="P283" t="str">
        <f>IF(OR(Crops[[#This Row],[Days in Cells]]="",Crops[[#This Row],[Days in Cells]]=0), "DS","TP")</f>
        <v>TP</v>
      </c>
      <c r="U283" t="s">
        <v>144</v>
      </c>
      <c r="V283" t="str">
        <f xml:space="preserve"> IF(Crops[[#This Row],[Sp]], "Sp", "") &amp; IF(Crops[[#This Row],[Su]], "Su", "") &amp; IF(Crops[[#This Row],[Fa]], "Fa", "") &amp; IF(Crops[[#This Row],[Wi]], "Wi", "") &amp; IF(Crops[[#This Row],[OW]], "Ow","")</f>
        <v>Ow</v>
      </c>
      <c r="X283">
        <v>4</v>
      </c>
      <c r="Y283">
        <v>6</v>
      </c>
      <c r="AA283" t="s">
        <v>474</v>
      </c>
      <c r="AB283" t="b">
        <v>1</v>
      </c>
      <c r="AC283">
        <v>1.5</v>
      </c>
      <c r="AD283" s="32">
        <f>IFERROR(12/Crops[[#This Row],[Spacing]]*Crops[[#This Row],[Rows]]*BedLength,"")</f>
        <v>400</v>
      </c>
      <c r="AE283">
        <v>6</v>
      </c>
      <c r="AF283">
        <v>1.1000000000000001</v>
      </c>
      <c r="AG283">
        <f>IF(Crops[[#This Row],[Custom Safety Factor]]="",PlantingSafetyFactor,Crops[[#This Row],[Custom Safety Factor]])</f>
        <v>1.1000000000000001</v>
      </c>
      <c r="AH283">
        <f>1</f>
        <v>1</v>
      </c>
      <c r="AI283" s="33">
        <f>IFERROR(Crops[[#This Row],[Plantings Per Bed]]*Crops[[#This Row],[Seeds Per Planting]]*Crops[[#This Row],[Safety Factor]]*Crops[[#This Row],[Seeding Factor]],"")</f>
        <v>2640</v>
      </c>
      <c r="AJ283">
        <v>14</v>
      </c>
      <c r="AK283">
        <v>20</v>
      </c>
      <c r="AL283">
        <f>_xlfn.FLOOR.MATH(IFERROR(AVERAGE(Crops[[#This Row],[DTG Lower]:[DTG Upper]]),0))</f>
        <v>17</v>
      </c>
      <c r="AM283">
        <f>SUM(Crops[[#This Row],[Tray 1 Days]],Crops[[#This Row],[Tray 2 Days]],Crops[[#This Row],[Tray 3 Days]])</f>
        <v>42</v>
      </c>
      <c r="AN283" s="32">
        <v>45</v>
      </c>
      <c r="AP283">
        <v>210</v>
      </c>
      <c r="AQ283">
        <f>IFERROR(_xlfn.FLOOR.MATH(AVERAGE(Crops[[#This Row],[DTM Lower]:[DTM Upper]])),"")</f>
        <v>210</v>
      </c>
      <c r="AR283" cm="1">
        <f t="array" ref="AR283">_xlfn.SWITCH(Crops[[#This Row],[Normal Method]],"DS",Crops[[#This Row],[Days to Germination]]+Crops[[#This Row],[DTM]] + IF(Crops[[#This Row],[Days in Cells]]&gt;0,15,0), "TP",Crops[[#This Row],[DTM]]+Crops[[#This Row],[Days in Cells]] + IF(Crops[[#This Row],[Days in Cells]]&lt;=0,20,0), "X", Crops[[#This Row],[DTM]])</f>
        <v>210</v>
      </c>
      <c r="AS283" t="s">
        <v>347</v>
      </c>
      <c r="AT283">
        <f>(Crops[[#This Row],[Harvests]]-1)*Crops[[#This Row],[Days Between Harvest]]+7</f>
        <v>14</v>
      </c>
      <c r="AU283">
        <f>Crops[[#This Row],[STH]]-Crops[[#This Row],[Days in Cells]]+Crops[[#This Row],[Harvest window]]</f>
        <v>182</v>
      </c>
      <c r="AW283">
        <v>128</v>
      </c>
      <c r="AX283">
        <v>128</v>
      </c>
      <c r="AY283">
        <v>42</v>
      </c>
      <c r="AZ283" s="49">
        <f>IFERROR(IF(Crops[[#This Row],[Tray 1 Days]]=0,"",Crops[[#This Row],[Plantings Per Bed]]/Crops[[#This Row],[Tray 1 Size]]*Crops[[#This Row],[Safety Factor]]),"")</f>
        <v>3.4375000000000004</v>
      </c>
      <c r="BC283" t="str">
        <f>IFERROR(IF(Crops[[#This Row],[Tray 2 Days]]=0,"",Crops[[#This Row],[Plantings Per Bed]]/Crops[[#This Row],[Tray 2 Size]]*Crops[[#This Row],[Safety Factor]]),"")</f>
        <v/>
      </c>
      <c r="BE283" s="32" t="str">
        <f>IF(NOT(ISBLANK(Crops[[#This Row],[Tray 3 Size]])), Crops[[#This Row],[Days in Cells Old]]-SUM(Crops[[#This Row],[Tray 1 Days]],Crops[[#This Row],[Tray 2 Days]]), "")</f>
        <v/>
      </c>
      <c r="BF283" s="49" t="str">
        <f>IFERROR(IF(Crops[[#This Row],[Tray 3 Days]]=0,"",Crops[[#This Row],[Plantings Per Bed]]/Crops[[#This Row],[Tray 3 Size]]*Crops[[#This Row],[Safety Factor]]),"")</f>
        <v/>
      </c>
      <c r="BG283" s="33">
        <f>Crops[[#This Row],[Plantings Per Bed]]/3/Crops[[#This Row],[Harvests]]</f>
        <v>66.666666666666671</v>
      </c>
      <c r="BH283" s="33">
        <v>2</v>
      </c>
      <c r="BI283" s="33">
        <v>7</v>
      </c>
      <c r="BJ283" s="33">
        <f>_xlfn.XLOOKUP(Crops[[#This Row],[ProductIndex]],Products[ID],Products[Holding Period])</f>
        <v>7</v>
      </c>
      <c r="BK283" s="33"/>
      <c r="BL283" s="33">
        <f>Crops[[#This Row],[Units Per Harvest]]*Crops[[#This Row],[Harvests]]</f>
        <v>133.33333333333334</v>
      </c>
      <c r="BM283" s="35">
        <v>2.75</v>
      </c>
      <c r="BN283" s="35">
        <f>Crops[[#This Row],[Direct Price]]*0.6</f>
        <v>1.65</v>
      </c>
      <c r="BO283" s="35"/>
      <c r="BP283" t="s">
        <v>215</v>
      </c>
      <c r="BQ283">
        <f>Crops[[#This Row],[Custom Yield Per Bed]]*Crops[[#This Row],[Direct Price]]</f>
        <v>366.66666666666669</v>
      </c>
      <c r="BS283" t="b">
        <f>Crops[[#This Row],[Harvests]]&gt;1</f>
        <v>1</v>
      </c>
      <c r="BT283" s="36">
        <f>IFERROR(Crops[[#This Row],[Direct Revenue Per Bed]]/Crops[[#This Row],[Days In Field]],-1)</f>
        <v>2.0146520146520146</v>
      </c>
      <c r="BU283" s="36">
        <f>IFERROR(Crops[[#This Row],[Direct Revenue Per Bed Day]]*GrowingDays*BedsPerAcre,"")</f>
        <v>58021.978021978022</v>
      </c>
      <c r="BV283" s="38">
        <f>LastFrostDate-5*Crops[[#This Row],[Sewing Rel Last Frost]]</f>
        <v>45858</v>
      </c>
      <c r="BW283" s="38">
        <f>Crops[[#This Row],[Target Sewing Date]]+Crops[[#This Row],[Days in Cells]]</f>
        <v>45900</v>
      </c>
      <c r="BX283" s="38">
        <f>Crops[[#This Row],[Target Sewing Date]]+Crops[[#This Row],[STH]]</f>
        <v>46068</v>
      </c>
      <c r="BY283" s="38">
        <f>Crops[[#This Row],[Target Harvest Data]]+Crops[[#This Row],[Harvest window]]</f>
        <v>46082</v>
      </c>
      <c r="BZ283">
        <v>-22</v>
      </c>
      <c r="CA283" t="s">
        <v>373</v>
      </c>
      <c r="CB283">
        <f>1</f>
        <v>1</v>
      </c>
      <c r="CC283">
        <f>IF(Crops[[#This Row],[Transplanting]]&gt;0, 2, 3)*BedLength/StandardBedLength</f>
        <v>1</v>
      </c>
      <c r="CD283" s="173">
        <f>IF(Crops[[#This Row],[Days in Cells]]&lt;=0,0,Crops[[#This Row],[Plantings Per Bed]]/StartsPerHourSeeding+Crops[[#This Row],[Tray 1 Count]]*5/60)</f>
        <v>1.8489583333333335</v>
      </c>
      <c r="CE283" s="173">
        <f>IF(ISBLANK(Crops[[#This Row],[Tray 2 Days]]),0,Crops[[#This Row],[Plantings Per Bed]]/UpPottingPerHour)+IF(Crops[[#This Row],[Tray 3 Days]]="",0,Crops[[#This Row],[Plantings Per Bed]]/UpPottingPerHour)</f>
        <v>0</v>
      </c>
      <c r="CF283" s="173">
        <f>IFERROR(Crops[[#This Row],[Tray 1 Count]]/HomeStartFlatIrrigationPerHour,0)*Crops[[#This Row],[Days in Cells]]/DaysBetweenStartIrrigation</f>
        <v>0.6015625</v>
      </c>
      <c r="CG283" s="173">
        <f>0.5/16*MAX(Crops[[#This Row],[Tray 1 Count]],Crops[[#This Row],[Tray 2 Count]],Crops[[#This Row],[Tray 3 Count]])</f>
        <v>0.10742187500000001</v>
      </c>
      <c r="CH283" s="173">
        <f>IF(Crops[[#This Row],[Days in Cells]]&gt;0,IF(IF(Crops[[#This Row],[Tray 3 Size]]&gt;0,Crops[[#This Row],[Tray 3 Size]],IF(Crops[[#This Row],[Tray 2 Size]]&gt;0,Crops[[#This Row],[Tray 2 Size]],Crops[[#This Row],[Tray 1 Size]]))&lt;=18,LargeTransplantTime,SmallTransplantTime)*Crops[[#This Row],[Plantings Per Bed]],0)</f>
        <v>2</v>
      </c>
      <c r="CI283" s="173"/>
      <c r="CJ283" s="173">
        <f>_xlfn.XLOOKUP(Crops[[#This Row],[Trellis Type]],TrellisMethods[Trellis Type],TrellisMethods[Hours],0,0)</f>
        <v>0</v>
      </c>
      <c r="CK283">
        <f>IF(Crops[[#This Row],[Days in Cells]]&lt;=0,Crops[[#This Row],[Rows]]*1/10,0)*BedLength/50</f>
        <v>0</v>
      </c>
      <c r="CL283" cm="1">
        <f t="array" ref="CL283">_xlfn.SWITCH(Crops[[#This Row],[Irrigation]],"DR", 0.5, "OH", 0.25,0)*BedLength/50</f>
        <v>0</v>
      </c>
      <c r="CM283">
        <f>IF(OR(ISBLANK(Crops[[#This Row],[Row Cover]]),Crops[[#This Row],[Row Cover]]="None"),0,1)*BedLength/50</f>
        <v>0</v>
      </c>
      <c r="CN283" s="173">
        <f>HoursPerWeedingPass*Crops[[#This Row],[Days In Field]]/14*Crops[[#This Row],[Rows]]+1*BedLength/50</f>
        <v>9.6666666666666661</v>
      </c>
      <c r="CQ283" s="37">
        <f>_xlfn.XLOOKUP(Crops[[#This Row],[Crop]]&amp;Crops[[#This Row],[Product]]&amp;Crops[[#This Row],[Unit]],Products[ID],Products[Marketing (hr)])*Crops[[#This Row],[Direct Revenue Per Bed]]/2000</f>
        <v>0.3666666666666667</v>
      </c>
      <c r="CR283" s="37">
        <f>_xlfn.XLOOKUP(Crops[[#This Row],[Crop]]&amp;Crops[[#This Row],[Product]]&amp;Crops[[#This Row],[Unit]],Products[ID],Products[Harvest (s)])*Crops[[#This Row],[Custom Yield Per Bed]]/3600</f>
        <v>1.1111111111111112</v>
      </c>
      <c r="CS283" s="37">
        <f>_xlfn.XLOOKUP(Crops[[#This Row],[Crop]]&amp;Crops[[#This Row],[Product]]&amp;Crops[[#This Row],[Unit]],Products[ID],Products[Bunch (s)])*Crops[[#This Row],[Custom Yield Per Bed]]/3600</f>
        <v>0.37037037037037041</v>
      </c>
      <c r="CT283" s="37">
        <f>_xlfn.XLOOKUP(Crops[[#This Row],[Crop]]&amp;Crops[[#This Row],[Product]]&amp;Crops[[#This Row],[Unit]],Products[ID],Products[Haul (s)])*Crops[[#This Row],[Custom Yield Per Bed]]/3600</f>
        <v>9.2592592592592601E-2</v>
      </c>
      <c r="CU283" s="37">
        <f>_xlfn.XLOOKUP(Crops[[#This Row],[Crop]]&amp;Crops[[#This Row],[Product]]&amp;Crops[[#This Row],[Unit]],Products[ID],Products[Wash (s)])*Crops[[#This Row],[Custom Yield Per Bed]]/3600</f>
        <v>0.92592592592592593</v>
      </c>
      <c r="CV283" s="37">
        <f>_xlfn.XLOOKUP(Crops[[#This Row],[Crop]]&amp;Crops[[#This Row],[Product]]&amp;Crops[[#This Row],[Unit]],Products[ID],Products[Condition (s)])*Crops[[#This Row],[Custom Yield Per Bed]]/3600</f>
        <v>0</v>
      </c>
      <c r="CW283" s="37">
        <f>_xlfn.XLOOKUP(Crops[[#This Row],[Crop]]&amp;Crops[[#This Row],[Product]]&amp;Crops[[#This Row],[Unit]],Products[ID],Products[Trim (s)])*Crops[[#This Row],[Custom Yield Per Bed]]/3600</f>
        <v>1.6666666666666667</v>
      </c>
      <c r="CX283" s="37">
        <f>_xlfn.XLOOKUP(Crops[[#This Row],[Crop]]&amp;Crops[[#This Row],[Product]]&amp;Crops[[#This Row],[Unit]],Products[ID],Products[Pack (s)])*Crops[[#This Row],[Custom Yield Per Bed]]/3600</f>
        <v>0.1111111111111111</v>
      </c>
      <c r="CY283" s="37">
        <f>_xlfn.XLOOKUP(Crops[[#This Row],[Crop]]&amp;Crops[[#This Row],[Product]]&amp;Crops[[#This Row],[Unit]],Products[ID],Products[Clean (s)])*Crops[[#This Row],[Custom Yield Per Bed]]/3600</f>
        <v>0</v>
      </c>
      <c r="CZ283" s="37">
        <f>_xlfn.XLOOKUP(Crops[[#This Row],[Crop]]&amp;Crops[[#This Row],[Product]]&amp;Crops[[#This Row],[Unit]],Products[ID],Products[Rehandle (s)])*Crops[[#This Row],[Custom Yield Per Bed]]/3600</f>
        <v>0</v>
      </c>
      <c r="DA283" s="37">
        <f>_xlfn.XLOOKUP(Crops[[#This Row],[Crop]]&amp;Crops[[#This Row],[Product]]&amp;Crops[[#This Row],[Unit]],Products[ID],Products[Market Transport (s)])*Crops[[#This Row],[Custom Yield Per Bed]]/3600</f>
        <v>0.23148148148148148</v>
      </c>
      <c r="DC283" s="37">
        <f>Crops[[#This Row],[Direct Revenue Per Bed2]]</f>
        <v>366.66666666666669</v>
      </c>
      <c r="DD283" s="173">
        <f>_xlfn.AGGREGATE(9,6,Crops[[#This Row],[Bed Prep]:[Remove Crop Residue]])</f>
        <v>20.100535300925927</v>
      </c>
      <c r="DE283" s="173">
        <f>_xlfn.AGGREGATE(9,6,Crops[[#This Row],[Bed Prep]:[Remove Crop Residue]])-0.75*Crops[[#This Row],[Market &amp; Sell]]</f>
        <v>19.825535300925928</v>
      </c>
      <c r="DF283" s="36">
        <f>Crops[[#This Row],[Direct Revenue Per Bed2]]/Crops[[#This Row],[Direct Time]]</f>
        <v>18.241636910524281</v>
      </c>
      <c r="DG283" s="36">
        <f>_xlfn.XLOOKUP(Crops[[#This Row],[ProductIndex]],Products[ID],Products[Packaging Cost])*(Crops[[#This Row],[Custom Yield Per Bed]]/_xlfn.XLOOKUP(Crops[[#This Row],[ProductIndex]],Products[ID],Products[Units Per Pack]))</f>
        <v>14.074074074074074</v>
      </c>
      <c r="DH283" s="36"/>
      <c r="DI283" s="36"/>
      <c r="DJ283" s="36"/>
      <c r="DK283" s="36"/>
      <c r="DL283" s="36"/>
      <c r="DM283" s="33">
        <f>IFERROR(Crops[[#This Row],[Custom Yield Per Bed]]*Crops[[#This Row],[Direct Price]],"")</f>
        <v>366.66666666666669</v>
      </c>
      <c r="DN283" s="36">
        <f>Crops[[#This Row],[Direct Time]]*LaborRate</f>
        <v>502.51338252314815</v>
      </c>
      <c r="DO283" s="36">
        <f>SUM(Crops[[#This Row],[Irrigation Cost]])</f>
        <v>0</v>
      </c>
      <c r="DP283" s="36">
        <f>Crops[[#This Row],[Direct Labor Cost]]+Crops[[#This Row],[Direct Non-Labor Cost]]</f>
        <v>502.51338252314815</v>
      </c>
      <c r="DQ283" s="36">
        <f>Crops[[#This Row],[Direct Revenue Per Bed2]]-Crops[[#This Row],[Direct Total Cost]]</f>
        <v>-135.84671585648147</v>
      </c>
      <c r="DR283" s="36">
        <f>Crops[[#This Row],[Direct Profit]]*BedsPerAcre</f>
        <v>-21735.474537037036</v>
      </c>
      <c r="DS283" s="36">
        <f>Crops[[#This Row],[Direct Profit]]*BedsPerAcre*GrowingDays/Crops[[#This Row],[Days In Field]]</f>
        <v>-21496.623168498169</v>
      </c>
      <c r="DT283" s="36">
        <f>Crops[[#This Row],[Direct Profit]]/MIN(Crops[[#This Row],[Days In Field]],GrowingDays)</f>
        <v>-0.75470397698045255</v>
      </c>
      <c r="DU283" s="36">
        <f>Crops[[#This Row],[Direct Time]] * BedsPerAcre</f>
        <v>3216.0856481481483</v>
      </c>
      <c r="DV283" s="36">
        <f>(Crops[[#This Row],[Direct Revenue Per Bed2]]-Crops[[#This Row],[Direct Non-Labor Cost]])/Crops[[#This Row],[Direct Time]]</f>
        <v>18.241636910524281</v>
      </c>
      <c r="DW283" s="33">
        <f>IFERROR(Crops[[#This Row],[Custom Yield Per Bed]]*Crops[[#This Row],[Rough Wholesale Price]],"")</f>
        <v>220</v>
      </c>
      <c r="DX283" s="36">
        <f>Crops[[#This Row],[Wholesale Time]]*LaborRate</f>
        <v>495.63838252314821</v>
      </c>
      <c r="DY283" s="36">
        <f>SUM(Crops[[#This Row],[Packaging Costs]:[Irrigation Cost]])</f>
        <v>14.074074074074074</v>
      </c>
      <c r="DZ283" s="36">
        <f>Crops[[#This Row],[Wholesale Labor Cost]]+Crops[[#This Row],[Wholesale Non-Labor Cost]]</f>
        <v>509.71245659722229</v>
      </c>
      <c r="EA283" s="36">
        <f>Crops[[#This Row],[Wholesale Revenue Per Bed]]-Crops[[#This Row],[Wholesale Total Cost]]</f>
        <v>-289.71245659722229</v>
      </c>
      <c r="EB283" s="36">
        <f>Crops[[#This Row],[Wholesale Profit]]*BedsPerAcre</f>
        <v>-46353.993055555562</v>
      </c>
      <c r="EC283" s="36">
        <f>Crops[[#This Row],[Wholesale Profit]]*BedsPerAcre*GrowingDays/Crops[[#This Row],[Days In Field]]</f>
        <v>-45844.608516483524</v>
      </c>
      <c r="ED283" s="36">
        <f>Crops[[#This Row],[Wholesale Time]] * BedsPerAcre</f>
        <v>3172.0856481481487</v>
      </c>
      <c r="EE283" s="36">
        <f>Crops[[#This Row],[Wholesale Profit]]/MIN(Crops[[#This Row],[Days In Field]],GrowingDays)</f>
        <v>-1.609513647762346</v>
      </c>
      <c r="EF283" s="36">
        <f>(Crops[[#This Row],[Wholesale Revenue Per Bed]]-Crops[[#This Row],[Wholesale Non-Labor Cost]])/Crops[[#This Row],[Direct Time]]</f>
        <v>10.244798103284344</v>
      </c>
      <c r="EG283" s="174">
        <f>Crops[[#This Row],[Packaging Costs]]/Crops[[#This Row],[Wholesale Revenue Per Bed]]</f>
        <v>6.3973063973063973E-2</v>
      </c>
      <c r="EH283" s="36" t="str">
        <f>Crops[[#This Row],[Crop]]&amp;Crops[[#This Row],[Product]]&amp;Crops[[#This Row],[Unit]]</f>
        <v>ScallionMature StalkBunch</v>
      </c>
      <c r="EI283" s="36" t="b">
        <f>_xlfn.XLOOKUP(Crops[[#This Row],[ProductIndex]],Products[ID],Products[Target])</f>
        <v>1</v>
      </c>
      <c r="EJ283" s="36">
        <f>Crops[[#This Row],[Custom Yield Per Bed]]</f>
        <v>133.33333333333334</v>
      </c>
      <c r="EK283" s="210">
        <f>Crops[[#This Row],[Units Per Harvest]]/Crops[[#This Row],[Days Between Harvest]]*7</f>
        <v>66.666666666666671</v>
      </c>
      <c r="EL283" s="210">
        <f>Crops[[#This Row],[Custom Yield Per Bed]]/_xlfn.XLOOKUP(Crops[[#This Row],[ProductIndex]],Products[ID],Products[CSA Portion])</f>
        <v>133.33333333333334</v>
      </c>
      <c r="EM283" s="210">
        <f>Crops[[#This Row],[Units Per Harvest]]/Crops[[#This Row],[Days Between Harvest]]*7/_xlfn.XLOOKUP(Crops[[#This Row],[ProductIndex]],Products[ID],Products[CSA Portion])</f>
        <v>66.666666666666671</v>
      </c>
      <c r="EN283" s="210">
        <f>Crops[[#This Row],[CSA Portions Per Week]]/CSAMembers</f>
        <v>1.3333333333333335</v>
      </c>
      <c r="EO283" s="210"/>
      <c r="EP283" s="210"/>
      <c r="EQ283" s="36"/>
      <c r="ER283" s="36">
        <f>Crops[[#This Row],[Harvests]]*Crops[[#This Row],[Days Between Harvest]]/7</f>
        <v>2</v>
      </c>
      <c r="ES283" s="208">
        <f>_xlfn.XLOOKUP(Crops[[#This Row],[ProductIndex]],Products[ID],Products[CSA Need])</f>
        <v>0</v>
      </c>
      <c r="ET283" s="208">
        <f>_xlfn.XLOOKUP(Crops[[#This Row],[ProductIndex]],Products[ID],Products[CSA Times])</f>
        <v>0</v>
      </c>
      <c r="EU283" s="208" t="e">
        <f>Crops[[#This Row],[Custom Yield Per Bed]]/(Crops[[#This Row],[CSA Need]]*(_xlfn.XLOOKUP(Crops[[#This Row],[ProductIndex]],Products[ID],Products[CSA Portion])*CSAMembers))</f>
        <v>#DIV/0!</v>
      </c>
      <c r="EV283" s="208">
        <f>_xlfn.XLOOKUP(Crops[[#This Row],[ProductIndex]],Products[ID],Products[CSA Portion])*CSAMembers*Crops[[#This Row],[CSA Need]]/Crops[[#This Row],[Custom Yield Per Bed]]</f>
        <v>0</v>
      </c>
      <c r="EW283" s="208">
        <f>IFERROR(Crops[[#This Row],[Days In Field]]*Crops[[#This Row],[CSA Beds]],"")</f>
        <v>0</v>
      </c>
      <c r="EX283" s="208" t="e">
        <f>Crops[[#This Row],[CSA Bed Days]]*#REF!</f>
        <v>#REF!</v>
      </c>
      <c r="EY283" t="s">
        <v>330</v>
      </c>
    </row>
    <row r="284" spans="1:155">
      <c r="A284"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TP Sp</v>
      </c>
      <c r="B284" s="185"/>
      <c r="C284" s="1" t="b">
        <v>1</v>
      </c>
      <c r="D284" s="1"/>
      <c r="E284" s="1" t="b">
        <v>0</v>
      </c>
      <c r="F284" s="1" t="b">
        <f>IFERROR(IF(ISNUMBER(MATCH(Crops[[#This Row],[Identifier]],BedPlan[Crop], 0)), TRUE, FALSE), FALSE)</f>
        <v>1</v>
      </c>
      <c r="G284" s="1" t="b">
        <f>IFERROR(IF(ISNUMBER(MATCH(Crops[[#This Row],[Identifier]],BedPlan[Crop], 0)), TRUE, FALSE), FALSE)</f>
        <v>1</v>
      </c>
      <c r="H284" s="1"/>
      <c r="I284" t="s">
        <v>119</v>
      </c>
      <c r="J284" t="s">
        <v>145</v>
      </c>
      <c r="K284" t="s">
        <v>199</v>
      </c>
      <c r="M284" t="s">
        <v>105</v>
      </c>
      <c r="N284" t="str">
        <f>Crops[[#This Row],[Crop]]</f>
        <v>Scallion</v>
      </c>
      <c r="O284" t="s">
        <v>210</v>
      </c>
      <c r="P284" t="str">
        <f>IF(OR(Crops[[#This Row],[Days in Cells]]="",Crops[[#This Row],[Days in Cells]]=0), "DS","TP")</f>
        <v>TP</v>
      </c>
      <c r="Q284" t="b">
        <v>1</v>
      </c>
      <c r="V284" t="str">
        <f xml:space="preserve"> IF(Crops[[#This Row],[Sp]], "Sp", "") &amp; IF(Crops[[#This Row],[Su]], "Su", "") &amp; IF(Crops[[#This Row],[Fa]], "Fa", "") &amp; IF(Crops[[#This Row],[Wi]], "Wi", "") &amp; IF(Crops[[#This Row],[OW]], "Ow","")</f>
        <v>Sp</v>
      </c>
      <c r="W284" t="s">
        <v>144</v>
      </c>
      <c r="X284">
        <v>4</v>
      </c>
      <c r="Y284">
        <v>6</v>
      </c>
      <c r="AA284" t="s">
        <v>474</v>
      </c>
      <c r="AB284" t="b">
        <v>1</v>
      </c>
      <c r="AC284">
        <v>1.5</v>
      </c>
      <c r="AD284" s="32">
        <f>IFERROR(12/Crops[[#This Row],[Spacing]]*Crops[[#This Row],[Rows]]*BedLength,"")</f>
        <v>400</v>
      </c>
      <c r="AE284">
        <v>6</v>
      </c>
      <c r="AF284">
        <v>1.1000000000000001</v>
      </c>
      <c r="AG284">
        <f>IF(Crops[[#This Row],[Custom Safety Factor]]="",PlantingSafetyFactor,Crops[[#This Row],[Custom Safety Factor]])</f>
        <v>1.1000000000000001</v>
      </c>
      <c r="AH284">
        <f>1</f>
        <v>1</v>
      </c>
      <c r="AI284" s="33">
        <f>IFERROR(Crops[[#This Row],[Plantings Per Bed]]*Crops[[#This Row],[Seeds Per Planting]]*Crops[[#This Row],[Safety Factor]]*Crops[[#This Row],[Seeding Factor]],"")</f>
        <v>2640</v>
      </c>
      <c r="AJ284">
        <v>14</v>
      </c>
      <c r="AK284">
        <v>20</v>
      </c>
      <c r="AL284">
        <f>_xlfn.FLOOR.MATH(IFERROR(AVERAGE(Crops[[#This Row],[DTG Lower]:[DTG Upper]]),0))</f>
        <v>17</v>
      </c>
      <c r="AM284">
        <f>SUM(Crops[[#This Row],[Tray 1 Days]],Crops[[#This Row],[Tray 2 Days]],Crops[[#This Row],[Tray 3 Days]])</f>
        <v>42</v>
      </c>
      <c r="AN284" s="32">
        <v>45</v>
      </c>
      <c r="AP284">
        <v>60</v>
      </c>
      <c r="AQ284">
        <f>IFERROR(_xlfn.FLOOR.MATH(AVERAGE(Crops[[#This Row],[DTM Lower]:[DTM Upper]])),"")</f>
        <v>60</v>
      </c>
      <c r="AR284" cm="1">
        <f t="array" ref="AR284">_xlfn.SWITCH(Crops[[#This Row],[Normal Method]],"DS",Crops[[#This Row],[Days to Germination]]+Crops[[#This Row],[DTM]] + IF(Crops[[#This Row],[Days in Cells]]&gt;0,15,0), "TP",Crops[[#This Row],[DTM]]+Crops[[#This Row],[Days in Cells]] + IF(Crops[[#This Row],[Days in Cells]]&lt;=0,20,0), "X", Crops[[#This Row],[DTM]])</f>
        <v>92</v>
      </c>
      <c r="AS284" t="s">
        <v>338</v>
      </c>
      <c r="AT284">
        <f>(Crops[[#This Row],[Harvests]]-1)*Crops[[#This Row],[Days Between Harvest]]+7</f>
        <v>14</v>
      </c>
      <c r="AU284">
        <f>Crops[[#This Row],[STH]]-Crops[[#This Row],[Days in Cells]]+Crops[[#This Row],[Harvest window]]</f>
        <v>64</v>
      </c>
      <c r="AW284">
        <v>72</v>
      </c>
      <c r="AX284">
        <v>128</v>
      </c>
      <c r="AY284">
        <v>42</v>
      </c>
      <c r="AZ284">
        <f>IFERROR(IF(Crops[[#This Row],[Tray 1 Days]]=0,"",Crops[[#This Row],[Plantings Per Bed]]/Crops[[#This Row],[Tray 1 Size]]*Crops[[#This Row],[Safety Factor]]),"")</f>
        <v>3.4375000000000004</v>
      </c>
      <c r="BC284" t="str">
        <f>IFERROR(IF(Crops[[#This Row],[Tray 2 Days]]=0,"",Crops[[#This Row],[Plantings Per Bed]]/Crops[[#This Row],[Tray 2 Size]]*Crops[[#This Row],[Safety Factor]]),"")</f>
        <v/>
      </c>
      <c r="BE284" s="32" t="str">
        <f>IF(NOT(ISBLANK(Crops[[#This Row],[Tray 3 Size]])), Crops[[#This Row],[Days in Cells Old]]-SUM(Crops[[#This Row],[Tray 1 Days]],Crops[[#This Row],[Tray 2 Days]]), "")</f>
        <v/>
      </c>
      <c r="BF284" t="str">
        <f>IFERROR(IF(Crops[[#This Row],[Tray 3 Days]]=0,"",Crops[[#This Row],[Plantings Per Bed]]/Crops[[#This Row],[Tray 3 Size]]*Crops[[#This Row],[Safety Factor]]),"")</f>
        <v/>
      </c>
      <c r="BG284" s="33">
        <f>Crops[[#This Row],[Plantings Per Bed]]/2/Crops[[#This Row],[Harvests]]</f>
        <v>100</v>
      </c>
      <c r="BH284" s="33">
        <v>2</v>
      </c>
      <c r="BI284" s="33">
        <v>7</v>
      </c>
      <c r="BJ284" s="33">
        <f>_xlfn.XLOOKUP(Crops[[#This Row],[ProductIndex]],Products[ID],Products[Holding Period])</f>
        <v>7</v>
      </c>
      <c r="BK284" s="33"/>
      <c r="BL284" s="33">
        <f>Crops[[#This Row],[Units Per Harvest]]*Crops[[#This Row],[Harvests]]</f>
        <v>200</v>
      </c>
      <c r="BM284" s="35">
        <v>2.5</v>
      </c>
      <c r="BN284" s="35">
        <f>Crops[[#This Row],[Direct Price]]*0.6</f>
        <v>1.5</v>
      </c>
      <c r="BO284" s="35"/>
      <c r="BP284" t="s">
        <v>215</v>
      </c>
      <c r="BQ284">
        <f>Crops[[#This Row],[Custom Yield Per Bed]]*Crops[[#This Row],[Direct Price]]</f>
        <v>500</v>
      </c>
      <c r="BS284" t="b">
        <f>Crops[[#This Row],[Harvests]]&gt;1</f>
        <v>1</v>
      </c>
      <c r="BT284" s="36">
        <f>IFERROR(Crops[[#This Row],[Direct Revenue Per Bed]]/Crops[[#This Row],[Days In Field]],-1)</f>
        <v>7.8125</v>
      </c>
      <c r="BU284" s="36">
        <f>IFERROR(Crops[[#This Row],[Direct Revenue Per Bed Day]]*GrowingDays*BedsPerAcre,"")</f>
        <v>225000</v>
      </c>
      <c r="BV284" s="38">
        <f>LastFrostDate-5*Crops[[#This Row],[Sewing Rel Last Frost]]</f>
        <v>45718</v>
      </c>
      <c r="BW284" s="38">
        <f>Crops[[#This Row],[Target Sewing Date]]+Crops[[#This Row],[Days in Cells]]</f>
        <v>45760</v>
      </c>
      <c r="BX284" s="38">
        <f>Crops[[#This Row],[Target Sewing Date]]+Crops[[#This Row],[STH]]</f>
        <v>45810</v>
      </c>
      <c r="BY284" s="38">
        <f>Crops[[#This Row],[Target Harvest Data]]+Crops[[#This Row],[Harvest window]]</f>
        <v>45824</v>
      </c>
      <c r="BZ284">
        <v>6</v>
      </c>
      <c r="CA284" t="s">
        <v>373</v>
      </c>
      <c r="CB284">
        <f>1</f>
        <v>1</v>
      </c>
      <c r="CC284">
        <f>IF(Crops[[#This Row],[Transplanting]]&gt;0, 2, 3)*BedLength/StandardBedLength</f>
        <v>1</v>
      </c>
      <c r="CD284" s="173">
        <f>IF(Crops[[#This Row],[Days in Cells]]&lt;=0,0,Crops[[#This Row],[Plantings Per Bed]]/StartsPerHourSeeding+Crops[[#This Row],[Tray 1 Count]]*5/60)</f>
        <v>1.8489583333333335</v>
      </c>
      <c r="CE284" s="173">
        <f>IF(ISBLANK(Crops[[#This Row],[Tray 2 Days]]),0,Crops[[#This Row],[Plantings Per Bed]]/UpPottingPerHour)+IF(Crops[[#This Row],[Tray 3 Days]]="",0,Crops[[#This Row],[Plantings Per Bed]]/UpPottingPerHour)</f>
        <v>0</v>
      </c>
      <c r="CF284" s="173">
        <f>IFERROR(Crops[[#This Row],[Tray 1 Count]]/HomeStartFlatIrrigationPerHour,0)*Crops[[#This Row],[Days in Cells]]/DaysBetweenStartIrrigation</f>
        <v>0.6015625</v>
      </c>
      <c r="CG284" s="173">
        <f>0.5/16*MAX(Crops[[#This Row],[Tray 1 Count]],Crops[[#This Row],[Tray 2 Count]],Crops[[#This Row],[Tray 3 Count]])</f>
        <v>0.10742187500000001</v>
      </c>
      <c r="CH284" s="173">
        <f>IF(Crops[[#This Row],[Days in Cells]]&gt;0,IF(IF(Crops[[#This Row],[Tray 3 Size]]&gt;0,Crops[[#This Row],[Tray 3 Size]],IF(Crops[[#This Row],[Tray 2 Size]]&gt;0,Crops[[#This Row],[Tray 2 Size]],Crops[[#This Row],[Tray 1 Size]]))&lt;=18,LargeTransplantTime,SmallTransplantTime)*Crops[[#This Row],[Plantings Per Bed]],0)</f>
        <v>2</v>
      </c>
      <c r="CI284" s="173"/>
      <c r="CJ284" s="173">
        <f>_xlfn.XLOOKUP(Crops[[#This Row],[Trellis Type]],TrellisMethods[Trellis Type],TrellisMethods[Hours],0,0)</f>
        <v>0</v>
      </c>
      <c r="CK284">
        <f>IF(Crops[[#This Row],[Days in Cells]]&lt;=0,Crops[[#This Row],[Rows]]*1/10,0)*BedLength/50</f>
        <v>0</v>
      </c>
      <c r="CL284" cm="1">
        <f t="array" ref="CL284">_xlfn.SWITCH(Crops[[#This Row],[Irrigation]],"DR", 0.5, "OH", 0.25,0)*BedLength/50</f>
        <v>0</v>
      </c>
      <c r="CM284">
        <f>IF(OR(ISBLANK(Crops[[#This Row],[Row Cover]]),Crops[[#This Row],[Row Cover]]="None"),0,1)*BedLength/50</f>
        <v>0</v>
      </c>
      <c r="CN284" s="173">
        <f>HoursPerWeedingPass*Crops[[#This Row],[Days In Field]]/14*Crops[[#This Row],[Rows]]+1*BedLength/50</f>
        <v>4.0476190476190474</v>
      </c>
      <c r="CQ284" s="37">
        <f>_xlfn.XLOOKUP(Crops[[#This Row],[Crop]]&amp;Crops[[#This Row],[Product]]&amp;Crops[[#This Row],[Unit]],Products[ID],Products[Marketing (hr)])*Crops[[#This Row],[Direct Revenue Per Bed]]/2000</f>
        <v>0.5</v>
      </c>
      <c r="CR284" s="37">
        <f>_xlfn.XLOOKUP(Crops[[#This Row],[Crop]]&amp;Crops[[#This Row],[Product]]&amp;Crops[[#This Row],[Unit]],Products[ID],Products[Harvest (s)])*Crops[[#This Row],[Custom Yield Per Bed]]/3600</f>
        <v>1.6666666666666667</v>
      </c>
      <c r="CS284" s="37">
        <f>_xlfn.XLOOKUP(Crops[[#This Row],[Crop]]&amp;Crops[[#This Row],[Product]]&amp;Crops[[#This Row],[Unit]],Products[ID],Products[Bunch (s)])*Crops[[#This Row],[Custom Yield Per Bed]]/3600</f>
        <v>0.55555555555555558</v>
      </c>
      <c r="CT284" s="37">
        <f>_xlfn.XLOOKUP(Crops[[#This Row],[Crop]]&amp;Crops[[#This Row],[Product]]&amp;Crops[[#This Row],[Unit]],Products[ID],Products[Haul (s)])*Crops[[#This Row],[Custom Yield Per Bed]]/3600</f>
        <v>0.1388888888888889</v>
      </c>
      <c r="CU284" s="37">
        <f>_xlfn.XLOOKUP(Crops[[#This Row],[Crop]]&amp;Crops[[#This Row],[Product]]&amp;Crops[[#This Row],[Unit]],Products[ID],Products[Wash (s)])*Crops[[#This Row],[Custom Yield Per Bed]]/3600</f>
        <v>1.3888888888888888</v>
      </c>
      <c r="CV284" s="37">
        <f>_xlfn.XLOOKUP(Crops[[#This Row],[Crop]]&amp;Crops[[#This Row],[Product]]&amp;Crops[[#This Row],[Unit]],Products[ID],Products[Condition (s)])*Crops[[#This Row],[Custom Yield Per Bed]]/3600</f>
        <v>0</v>
      </c>
      <c r="CW284" s="37">
        <f>_xlfn.XLOOKUP(Crops[[#This Row],[Crop]]&amp;Crops[[#This Row],[Product]]&amp;Crops[[#This Row],[Unit]],Products[ID],Products[Trim (s)])*Crops[[#This Row],[Custom Yield Per Bed]]/3600</f>
        <v>2.5</v>
      </c>
      <c r="CX284" s="37">
        <f>_xlfn.XLOOKUP(Crops[[#This Row],[Crop]]&amp;Crops[[#This Row],[Product]]&amp;Crops[[#This Row],[Unit]],Products[ID],Products[Pack (s)])*Crops[[#This Row],[Custom Yield Per Bed]]/3600</f>
        <v>0.16666666666666666</v>
      </c>
      <c r="CY284" s="37">
        <f>_xlfn.XLOOKUP(Crops[[#This Row],[Crop]]&amp;Crops[[#This Row],[Product]]&amp;Crops[[#This Row],[Unit]],Products[ID],Products[Clean (s)])*Crops[[#This Row],[Custom Yield Per Bed]]/3600</f>
        <v>0</v>
      </c>
      <c r="CZ284" s="37">
        <f>_xlfn.XLOOKUP(Crops[[#This Row],[Crop]]&amp;Crops[[#This Row],[Product]]&amp;Crops[[#This Row],[Unit]],Products[ID],Products[Rehandle (s)])*Crops[[#This Row],[Custom Yield Per Bed]]/3600</f>
        <v>0</v>
      </c>
      <c r="DA284" s="37">
        <f>_xlfn.XLOOKUP(Crops[[#This Row],[Crop]]&amp;Crops[[#This Row],[Product]]&amp;Crops[[#This Row],[Unit]],Products[ID],Products[Market Transport (s)])*Crops[[#This Row],[Custom Yield Per Bed]]/3600</f>
        <v>0.34722222222222221</v>
      </c>
      <c r="DC284" s="37">
        <f>Crops[[#This Row],[Direct Revenue Per Bed2]]</f>
        <v>500</v>
      </c>
      <c r="DD284" s="173">
        <f>_xlfn.AGGREGATE(9,6,Crops[[#This Row],[Bed Prep]:[Remove Crop Residue]])</f>
        <v>16.869450644841269</v>
      </c>
      <c r="DE284" s="173">
        <f>_xlfn.AGGREGATE(9,6,Crops[[#This Row],[Bed Prep]:[Remove Crop Residue]])-0.75*Crops[[#This Row],[Market &amp; Sell]]</f>
        <v>16.494450644841269</v>
      </c>
      <c r="DF284" s="36">
        <f>Crops[[#This Row],[Direct Revenue Per Bed2]]/Crops[[#This Row],[Direct Time]]</f>
        <v>29.639376558649321</v>
      </c>
      <c r="DG284" s="36">
        <f>_xlfn.XLOOKUP(Crops[[#This Row],[ProductIndex]],Products[ID],Products[Packaging Cost])*(Crops[[#This Row],[Custom Yield Per Bed]]/_xlfn.XLOOKUP(Crops[[#This Row],[ProductIndex]],Products[ID],Products[Units Per Pack]))</f>
        <v>21.111111111111111</v>
      </c>
      <c r="DH284" s="36"/>
      <c r="DI284" s="36"/>
      <c r="DJ284" s="36"/>
      <c r="DK284" s="36"/>
      <c r="DL284" s="36"/>
      <c r="DM284" s="33">
        <f>IFERROR(Crops[[#This Row],[Custom Yield Per Bed]]*Crops[[#This Row],[Direct Price]],"")</f>
        <v>500</v>
      </c>
      <c r="DN284" s="36">
        <f>Crops[[#This Row],[Direct Time]]*LaborRate</f>
        <v>421.73626612103175</v>
      </c>
      <c r="DO284" s="36">
        <f>SUM(Crops[[#This Row],[Irrigation Cost]])</f>
        <v>0</v>
      </c>
      <c r="DP284" s="36">
        <f>Crops[[#This Row],[Direct Labor Cost]]+Crops[[#This Row],[Direct Non-Labor Cost]]</f>
        <v>421.73626612103175</v>
      </c>
      <c r="DQ284" s="36">
        <f>Crops[[#This Row],[Direct Revenue Per Bed2]]-Crops[[#This Row],[Direct Total Cost]]</f>
        <v>78.263733878968253</v>
      </c>
      <c r="DR284" s="36">
        <f>Crops[[#This Row],[Direct Profit]]*BedsPerAcre</f>
        <v>12522.19742063492</v>
      </c>
      <c r="DS284" s="36">
        <f>Crops[[#This Row],[Direct Profit]]*BedsPerAcre*GrowingDays/Crops[[#This Row],[Days In Field]]</f>
        <v>35218.680245535717</v>
      </c>
      <c r="DT284" s="36">
        <f>Crops[[#This Row],[Direct Profit]]/MIN(Crops[[#This Row],[Days In Field]],GrowingDays)</f>
        <v>1.222870841858879</v>
      </c>
      <c r="DU284" s="36">
        <f>Crops[[#This Row],[Direct Time]] * BedsPerAcre</f>
        <v>2699.1121031746029</v>
      </c>
      <c r="DV284" s="36">
        <f>(Crops[[#This Row],[Direct Revenue Per Bed2]]-Crops[[#This Row],[Direct Non-Labor Cost]])/Crops[[#This Row],[Direct Time]]</f>
        <v>29.639376558649321</v>
      </c>
      <c r="DW284" s="33">
        <f>IFERROR(Crops[[#This Row],[Custom Yield Per Bed]]*Crops[[#This Row],[Rough Wholesale Price]],"")</f>
        <v>300</v>
      </c>
      <c r="DX284" s="36">
        <f>Crops[[#This Row],[Wholesale Time]]*LaborRate</f>
        <v>412.36126612103175</v>
      </c>
      <c r="DY284" s="36">
        <f>SUM(Crops[[#This Row],[Packaging Costs]:[Irrigation Cost]])</f>
        <v>21.111111111111111</v>
      </c>
      <c r="DZ284" s="36">
        <f>Crops[[#This Row],[Wholesale Labor Cost]]+Crops[[#This Row],[Wholesale Non-Labor Cost]]</f>
        <v>433.47237723214283</v>
      </c>
      <c r="EA284" s="36">
        <f>Crops[[#This Row],[Wholesale Revenue Per Bed]]-Crops[[#This Row],[Wholesale Total Cost]]</f>
        <v>-133.47237723214283</v>
      </c>
      <c r="EB284" s="36">
        <f>Crops[[#This Row],[Wholesale Profit]]*BedsPerAcre</f>
        <v>-21355.580357142855</v>
      </c>
      <c r="EC284" s="36">
        <f>Crops[[#This Row],[Wholesale Profit]]*BedsPerAcre*GrowingDays/Crops[[#This Row],[Days In Field]]</f>
        <v>-60062.569754464283</v>
      </c>
      <c r="ED284" s="36">
        <f>Crops[[#This Row],[Wholesale Time]] * BedsPerAcre</f>
        <v>2639.1121031746029</v>
      </c>
      <c r="EE284" s="36">
        <f>Crops[[#This Row],[Wholesale Profit]]/MIN(Crops[[#This Row],[Days In Field]],GrowingDays)</f>
        <v>-2.0855058942522318</v>
      </c>
      <c r="EF284" s="36">
        <f>(Crops[[#This Row],[Wholesale Revenue Per Bed]]-Crops[[#This Row],[Wholesale Non-Labor Cost]])/Crops[[#This Row],[Direct Time]]</f>
        <v>16.532185591602179</v>
      </c>
      <c r="EG284" s="174">
        <f>Crops[[#This Row],[Packaging Costs]]/Crops[[#This Row],[Wholesale Revenue Per Bed]]</f>
        <v>7.0370370370370375E-2</v>
      </c>
      <c r="EH284" s="36" t="str">
        <f>Crops[[#This Row],[Crop]]&amp;Crops[[#This Row],[Product]]&amp;Crops[[#This Row],[Unit]]</f>
        <v>ScallionMature StalkBunch</v>
      </c>
      <c r="EI284" s="36" t="b">
        <f>_xlfn.XLOOKUP(Crops[[#This Row],[ProductIndex]],Products[ID],Products[Target])</f>
        <v>1</v>
      </c>
      <c r="EJ284" s="36">
        <f>Crops[[#This Row],[Custom Yield Per Bed]]</f>
        <v>200</v>
      </c>
      <c r="EK284" s="210">
        <f>Crops[[#This Row],[Units Per Harvest]]/Crops[[#This Row],[Days Between Harvest]]*7</f>
        <v>100</v>
      </c>
      <c r="EL284" s="210">
        <f>Crops[[#This Row],[Custom Yield Per Bed]]/_xlfn.XLOOKUP(Crops[[#This Row],[ProductIndex]],Products[ID],Products[CSA Portion])</f>
        <v>200</v>
      </c>
      <c r="EM284" s="210">
        <f>Crops[[#This Row],[Units Per Harvest]]/Crops[[#This Row],[Days Between Harvest]]*7/_xlfn.XLOOKUP(Crops[[#This Row],[ProductIndex]],Products[ID],Products[CSA Portion])</f>
        <v>100</v>
      </c>
      <c r="EN284" s="210">
        <f>Crops[[#This Row],[CSA Portions Per Week]]/CSAMembers</f>
        <v>2</v>
      </c>
      <c r="EO284" s="210"/>
      <c r="EP284" s="210"/>
      <c r="EQ284" s="36"/>
      <c r="ER284" s="36">
        <f>Crops[[#This Row],[Harvests]]*Crops[[#This Row],[Days Between Harvest]]/7</f>
        <v>2</v>
      </c>
      <c r="ES284" s="208">
        <f>_xlfn.XLOOKUP(Crops[[#This Row],[ProductIndex]],Products[ID],Products[CSA Need])</f>
        <v>0</v>
      </c>
      <c r="ET284" s="208">
        <f>_xlfn.XLOOKUP(Crops[[#This Row],[ProductIndex]],Products[ID],Products[CSA Times])</f>
        <v>0</v>
      </c>
      <c r="EU284" s="208" t="e">
        <f>Crops[[#This Row],[Custom Yield Per Bed]]/(Crops[[#This Row],[CSA Need]]*(_xlfn.XLOOKUP(Crops[[#This Row],[ProductIndex]],Products[ID],Products[CSA Portion])*CSAMembers))</f>
        <v>#DIV/0!</v>
      </c>
      <c r="EV284" s="208">
        <f>_xlfn.XLOOKUP(Crops[[#This Row],[ProductIndex]],Products[ID],Products[CSA Portion])*CSAMembers*Crops[[#This Row],[CSA Need]]/Crops[[#This Row],[Custom Yield Per Bed]]</f>
        <v>0</v>
      </c>
      <c r="EW284" s="208">
        <f>IFERROR(Crops[[#This Row],[Days In Field]]*Crops[[#This Row],[CSA Beds]],"")</f>
        <v>0</v>
      </c>
      <c r="EX284" s="208" t="e">
        <f>Crops[[#This Row],[CSA Bed Days]]*#REF!</f>
        <v>#REF!</v>
      </c>
      <c r="EY284" s="88" t="s">
        <v>1409</v>
      </c>
    </row>
    <row r="285" spans="1:155">
      <c r="A285"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(Interplant) - Mature Stalk 6X | Field TP Sp</v>
      </c>
      <c r="B285" s="185"/>
      <c r="C285" s="1" t="b">
        <v>1</v>
      </c>
      <c r="D285" s="1"/>
      <c r="E285" s="1" t="b">
        <v>0</v>
      </c>
      <c r="F285" s="1" t="b">
        <f>IFERROR(IF(ISNUMBER(MATCH(Crops[[#This Row],[Identifier]],BedPlan[Crop], 0)), TRUE, FALSE), FALSE)</f>
        <v>0</v>
      </c>
      <c r="G285" s="1" t="b">
        <f>IFERROR(IF(ISNUMBER(MATCH(Crops[[#This Row],[Identifier]],BedPlan[Crop], 0)), TRUE, FALSE), FALSE)</f>
        <v>0</v>
      </c>
      <c r="H285" s="1"/>
      <c r="I285" t="s">
        <v>119</v>
      </c>
      <c r="J285" t="s">
        <v>1710</v>
      </c>
      <c r="K285" t="s">
        <v>199</v>
      </c>
      <c r="M285" t="s">
        <v>105</v>
      </c>
      <c r="N285" t="str">
        <f>Crops[[#This Row],[Crop]]</f>
        <v>Scallion</v>
      </c>
      <c r="O285" t="s">
        <v>210</v>
      </c>
      <c r="P285" t="str">
        <f>IF(OR(Crops[[#This Row],[Days in Cells]]="",Crops[[#This Row],[Days in Cells]]=0), "DS","TP")</f>
        <v>TP</v>
      </c>
      <c r="Q285" t="b">
        <v>1</v>
      </c>
      <c r="V285" t="str">
        <f xml:space="preserve"> IF(Crops[[#This Row],[Sp]], "Sp", "") &amp; IF(Crops[[#This Row],[Su]], "Su", "") &amp; IF(Crops[[#This Row],[Fa]], "Fa", "") &amp; IF(Crops[[#This Row],[Wi]], "Wi", "") &amp; IF(Crops[[#This Row],[OW]], "Ow","")</f>
        <v>Sp</v>
      </c>
      <c r="W285" t="s">
        <v>144</v>
      </c>
      <c r="X285">
        <v>3</v>
      </c>
      <c r="Y285">
        <v>6</v>
      </c>
      <c r="AA285" t="s">
        <v>474</v>
      </c>
      <c r="AB285" t="b">
        <v>1</v>
      </c>
      <c r="AC285">
        <v>1.5</v>
      </c>
      <c r="AD285" s="32">
        <f>IFERROR(12/Crops[[#This Row],[Spacing]]*Crops[[#This Row],[Rows]]*BedLength,"")</f>
        <v>300</v>
      </c>
      <c r="AE285">
        <v>6</v>
      </c>
      <c r="AF285">
        <v>1.1000000000000001</v>
      </c>
      <c r="AG285">
        <f>IF(Crops[[#This Row],[Custom Safety Factor]]="",PlantingSafetyFactor,Crops[[#This Row],[Custom Safety Factor]])</f>
        <v>1.1000000000000001</v>
      </c>
      <c r="AH285">
        <f>1</f>
        <v>1</v>
      </c>
      <c r="AI285" s="33">
        <f>IFERROR(Crops[[#This Row],[Plantings Per Bed]]*Crops[[#This Row],[Seeds Per Planting]]*Crops[[#This Row],[Safety Factor]]*Crops[[#This Row],[Seeding Factor]],"")</f>
        <v>1980.0000000000002</v>
      </c>
      <c r="AJ285">
        <v>14</v>
      </c>
      <c r="AK285">
        <v>20</v>
      </c>
      <c r="AL285">
        <f>_xlfn.FLOOR.MATH(IFERROR(AVERAGE(Crops[[#This Row],[DTG Lower]:[DTG Upper]]),0))</f>
        <v>17</v>
      </c>
      <c r="AM285">
        <f>SUM(Crops[[#This Row],[Tray 1 Days]],Crops[[#This Row],[Tray 2 Days]],Crops[[#This Row],[Tray 3 Days]])</f>
        <v>42</v>
      </c>
      <c r="AN285" s="32">
        <v>45</v>
      </c>
      <c r="AP285">
        <v>60</v>
      </c>
      <c r="AQ285">
        <f>IFERROR(_xlfn.FLOOR.MATH(AVERAGE(Crops[[#This Row],[DTM Lower]:[DTM Upper]])),"")</f>
        <v>60</v>
      </c>
      <c r="AR285" cm="1">
        <f t="array" ref="AR285">_xlfn.SWITCH(Crops[[#This Row],[Normal Method]],"DS",Crops[[#This Row],[Days to Germination]]+Crops[[#This Row],[DTM]] + IF(Crops[[#This Row],[Days in Cells]]&gt;0,15,0), "TP",Crops[[#This Row],[DTM]]+Crops[[#This Row],[Days in Cells]] + IF(Crops[[#This Row],[Days in Cells]]&lt;=0,20,0), "X", Crops[[#This Row],[DTM]])</f>
        <v>92</v>
      </c>
      <c r="AS285" t="s">
        <v>338</v>
      </c>
      <c r="AT285">
        <f>(Crops[[#This Row],[Harvests]]-1)*Crops[[#This Row],[Days Between Harvest]]+7</f>
        <v>14</v>
      </c>
      <c r="AU285">
        <f>Crops[[#This Row],[STH]]-Crops[[#This Row],[Days in Cells]]+Crops[[#This Row],[Harvest window]]</f>
        <v>64</v>
      </c>
      <c r="AW285">
        <v>72</v>
      </c>
      <c r="AX285">
        <v>128</v>
      </c>
      <c r="AY285">
        <v>42</v>
      </c>
      <c r="AZ285">
        <f>IFERROR(IF(Crops[[#This Row],[Tray 1 Days]]=0,"",Crops[[#This Row],[Plantings Per Bed]]/Crops[[#This Row],[Tray 1 Size]]*Crops[[#This Row],[Safety Factor]]),"")</f>
        <v>2.578125</v>
      </c>
      <c r="BC285" t="str">
        <f>IFERROR(IF(Crops[[#This Row],[Tray 2 Days]]=0,"",Crops[[#This Row],[Plantings Per Bed]]/Crops[[#This Row],[Tray 2 Size]]*Crops[[#This Row],[Safety Factor]]),"")</f>
        <v/>
      </c>
      <c r="BE285" s="32" t="str">
        <f>IF(NOT(ISBLANK(Crops[[#This Row],[Tray 3 Size]])), Crops[[#This Row],[Days in Cells Old]]-SUM(Crops[[#This Row],[Tray 1 Days]],Crops[[#This Row],[Tray 2 Days]]), "")</f>
        <v/>
      </c>
      <c r="BF285" t="str">
        <f>IFERROR(IF(Crops[[#This Row],[Tray 3 Days]]=0,"",Crops[[#This Row],[Plantings Per Bed]]/Crops[[#This Row],[Tray 3 Size]]*Crops[[#This Row],[Safety Factor]]),"")</f>
        <v/>
      </c>
      <c r="BG285" s="33">
        <f>Crops[[#This Row],[Plantings Per Bed]]/3/Crops[[#This Row],[Harvests]]</f>
        <v>50</v>
      </c>
      <c r="BH285" s="33">
        <v>2</v>
      </c>
      <c r="BI285" s="33">
        <v>7</v>
      </c>
      <c r="BJ285" s="33">
        <f>_xlfn.XLOOKUP(Crops[[#This Row],[ProductIndex]],Products[ID],Products[Holding Period])</f>
        <v>7</v>
      </c>
      <c r="BK285" s="33"/>
      <c r="BL285" s="33">
        <f>Crops[[#This Row],[Units Per Harvest]]*Crops[[#This Row],[Harvests]]</f>
        <v>100</v>
      </c>
      <c r="BM285" s="35">
        <v>2.5</v>
      </c>
      <c r="BN285" s="35">
        <f>Crops[[#This Row],[Direct Price]]*0.6</f>
        <v>1.5</v>
      </c>
      <c r="BO285" s="35"/>
      <c r="BP285" t="s">
        <v>215</v>
      </c>
      <c r="BQ285">
        <f>Crops[[#This Row],[Custom Yield Per Bed]]*Crops[[#This Row],[Direct Price]]</f>
        <v>250</v>
      </c>
      <c r="BS285" t="b">
        <f>Crops[[#This Row],[Harvests]]&gt;1</f>
        <v>1</v>
      </c>
      <c r="BT285" s="36">
        <f>IFERROR(Crops[[#This Row],[Direct Revenue Per Bed]]/Crops[[#This Row],[Days In Field]],-1)</f>
        <v>3.90625</v>
      </c>
      <c r="BU285" s="36">
        <f>IFERROR(Crops[[#This Row],[Direct Revenue Per Bed Day]]*GrowingDays*BedsPerAcre,"")</f>
        <v>112500</v>
      </c>
      <c r="BV285" s="38">
        <f>LastFrostDate-5*Crops[[#This Row],[Sewing Rel Last Frost]]</f>
        <v>45718</v>
      </c>
      <c r="BW285" s="38">
        <f>Crops[[#This Row],[Target Sewing Date]]+Crops[[#This Row],[Days in Cells]]</f>
        <v>45760</v>
      </c>
      <c r="BX285" s="38">
        <f>Crops[[#This Row],[Target Sewing Date]]+Crops[[#This Row],[STH]]</f>
        <v>45810</v>
      </c>
      <c r="BY285" s="38">
        <f>Crops[[#This Row],[Target Harvest Data]]+Crops[[#This Row],[Harvest window]]</f>
        <v>45824</v>
      </c>
      <c r="BZ285">
        <v>6</v>
      </c>
      <c r="CA285" t="s">
        <v>373</v>
      </c>
      <c r="CB285">
        <f>1</f>
        <v>1</v>
      </c>
      <c r="CC285">
        <f>IF(Crops[[#This Row],[Transplanting]]&gt;0, 2, 3)*BedLength/StandardBedLength</f>
        <v>1</v>
      </c>
      <c r="CD285" s="173">
        <f>IF(Crops[[#This Row],[Days in Cells]]&lt;=0,0,Crops[[#This Row],[Plantings Per Bed]]/StartsPerHourSeeding+Crops[[#This Row],[Tray 1 Count]]*5/60)</f>
        <v>1.38671875</v>
      </c>
      <c r="CE285" s="173">
        <f>IF(ISBLANK(Crops[[#This Row],[Tray 2 Days]]),0,Crops[[#This Row],[Plantings Per Bed]]/UpPottingPerHour)+IF(Crops[[#This Row],[Tray 3 Days]]="",0,Crops[[#This Row],[Plantings Per Bed]]/UpPottingPerHour)</f>
        <v>0</v>
      </c>
      <c r="CF285" s="173">
        <f>IFERROR(Crops[[#This Row],[Tray 1 Count]]/HomeStartFlatIrrigationPerHour,0)*Crops[[#This Row],[Days in Cells]]/DaysBetweenStartIrrigation</f>
        <v>0.451171875</v>
      </c>
      <c r="CG285" s="173">
        <f>0.5/16*MAX(Crops[[#This Row],[Tray 1 Count]],Crops[[#This Row],[Tray 2 Count]],Crops[[#This Row],[Tray 3 Count]])</f>
        <v>8.056640625E-2</v>
      </c>
      <c r="CH285" s="173">
        <f>IF(Crops[[#This Row],[Days in Cells]]&gt;0,IF(IF(Crops[[#This Row],[Tray 3 Size]]&gt;0,Crops[[#This Row],[Tray 3 Size]],IF(Crops[[#This Row],[Tray 2 Size]]&gt;0,Crops[[#This Row],[Tray 2 Size]],Crops[[#This Row],[Tray 1 Size]]))&lt;=18,LargeTransplantTime,SmallTransplantTime)*Crops[[#This Row],[Plantings Per Bed]],0)</f>
        <v>1.5</v>
      </c>
      <c r="CI285" s="173"/>
      <c r="CJ285" s="173">
        <f>_xlfn.XLOOKUP(Crops[[#This Row],[Trellis Type]],TrellisMethods[Trellis Type],TrellisMethods[Hours],0,0)</f>
        <v>0</v>
      </c>
      <c r="CK285">
        <f>IF(Crops[[#This Row],[Days in Cells]]&lt;=0,Crops[[#This Row],[Rows]]*1/10,0)*BedLength/50</f>
        <v>0</v>
      </c>
      <c r="CL285" cm="1">
        <f t="array" ref="CL285">_xlfn.SWITCH(Crops[[#This Row],[Irrigation]],"DR", 0.5, "OH", 0.25,0)*BedLength/50</f>
        <v>0</v>
      </c>
      <c r="CM285">
        <f>IF(OR(ISBLANK(Crops[[#This Row],[Row Cover]]),Crops[[#This Row],[Row Cover]]="None"),0,1)*BedLength/50</f>
        <v>0</v>
      </c>
      <c r="CN285" s="173">
        <f>HoursPerWeedingPass*Crops[[#This Row],[Days In Field]]/14*Crops[[#This Row],[Rows]]+1*BedLength/50</f>
        <v>3.2857142857142856</v>
      </c>
      <c r="CQ285" s="37">
        <f>_xlfn.XLOOKUP(Crops[[#This Row],[Crop]]&amp;Crops[[#This Row],[Product]]&amp;Crops[[#This Row],[Unit]],Products[ID],Products[Marketing (hr)])*Crops[[#This Row],[Direct Revenue Per Bed]]/2000</f>
        <v>0.25</v>
      </c>
      <c r="CR285" s="37">
        <f>_xlfn.XLOOKUP(Crops[[#This Row],[Crop]]&amp;Crops[[#This Row],[Product]]&amp;Crops[[#This Row],[Unit]],Products[ID],Products[Harvest (s)])*Crops[[#This Row],[Custom Yield Per Bed]]/3600</f>
        <v>0.83333333333333337</v>
      </c>
      <c r="CS285" s="37">
        <f>_xlfn.XLOOKUP(Crops[[#This Row],[Crop]]&amp;Crops[[#This Row],[Product]]&amp;Crops[[#This Row],[Unit]],Products[ID],Products[Bunch (s)])*Crops[[#This Row],[Custom Yield Per Bed]]/3600</f>
        <v>0.27777777777777779</v>
      </c>
      <c r="CT285" s="37">
        <f>_xlfn.XLOOKUP(Crops[[#This Row],[Crop]]&amp;Crops[[#This Row],[Product]]&amp;Crops[[#This Row],[Unit]],Products[ID],Products[Haul (s)])*Crops[[#This Row],[Custom Yield Per Bed]]/3600</f>
        <v>6.9444444444444448E-2</v>
      </c>
      <c r="CU285" s="37">
        <f>_xlfn.XLOOKUP(Crops[[#This Row],[Crop]]&amp;Crops[[#This Row],[Product]]&amp;Crops[[#This Row],[Unit]],Products[ID],Products[Wash (s)])*Crops[[#This Row],[Custom Yield Per Bed]]/3600</f>
        <v>0.69444444444444442</v>
      </c>
      <c r="CV285" s="37">
        <f>_xlfn.XLOOKUP(Crops[[#This Row],[Crop]]&amp;Crops[[#This Row],[Product]]&amp;Crops[[#This Row],[Unit]],Products[ID],Products[Condition (s)])*Crops[[#This Row],[Custom Yield Per Bed]]/3600</f>
        <v>0</v>
      </c>
      <c r="CW285" s="37">
        <f>_xlfn.XLOOKUP(Crops[[#This Row],[Crop]]&amp;Crops[[#This Row],[Product]]&amp;Crops[[#This Row],[Unit]],Products[ID],Products[Trim (s)])*Crops[[#This Row],[Custom Yield Per Bed]]/3600</f>
        <v>1.25</v>
      </c>
      <c r="CX285" s="37">
        <f>_xlfn.XLOOKUP(Crops[[#This Row],[Crop]]&amp;Crops[[#This Row],[Product]]&amp;Crops[[#This Row],[Unit]],Products[ID],Products[Pack (s)])*Crops[[#This Row],[Custom Yield Per Bed]]/3600</f>
        <v>8.3333333333333329E-2</v>
      </c>
      <c r="CY285" s="37">
        <f>_xlfn.XLOOKUP(Crops[[#This Row],[Crop]]&amp;Crops[[#This Row],[Product]]&amp;Crops[[#This Row],[Unit]],Products[ID],Products[Clean (s)])*Crops[[#This Row],[Custom Yield Per Bed]]/3600</f>
        <v>0</v>
      </c>
      <c r="CZ285" s="37">
        <f>_xlfn.XLOOKUP(Crops[[#This Row],[Crop]]&amp;Crops[[#This Row],[Product]]&amp;Crops[[#This Row],[Unit]],Products[ID],Products[Rehandle (s)])*Crops[[#This Row],[Custom Yield Per Bed]]/3600</f>
        <v>0</v>
      </c>
      <c r="DA285" s="37">
        <f>_xlfn.XLOOKUP(Crops[[#This Row],[Crop]]&amp;Crops[[#This Row],[Product]]&amp;Crops[[#This Row],[Unit]],Products[ID],Products[Market Transport (s)])*Crops[[#This Row],[Custom Yield Per Bed]]/3600</f>
        <v>0.1736111111111111</v>
      </c>
      <c r="DC285" s="37">
        <f>Crops[[#This Row],[Direct Revenue Per Bed2]]</f>
        <v>250</v>
      </c>
      <c r="DD285" s="173">
        <f>_xlfn.AGGREGATE(9,6,Crops[[#This Row],[Bed Prep]:[Remove Crop Residue]])</f>
        <v>11.336115761408731</v>
      </c>
      <c r="DE285" s="173">
        <f>_xlfn.AGGREGATE(9,6,Crops[[#This Row],[Bed Prep]:[Remove Crop Residue]])-0.75*Crops[[#This Row],[Market &amp; Sell]]</f>
        <v>11.148615761408731</v>
      </c>
      <c r="DF285" s="36">
        <f>Crops[[#This Row],[Direct Revenue Per Bed2]]/Crops[[#This Row],[Direct Time]]</f>
        <v>22.053409233087496</v>
      </c>
      <c r="DG285" s="36">
        <f>_xlfn.XLOOKUP(Crops[[#This Row],[ProductIndex]],Products[ID],Products[Packaging Cost])*(Crops[[#This Row],[Custom Yield Per Bed]]/_xlfn.XLOOKUP(Crops[[#This Row],[ProductIndex]],Products[ID],Products[Units Per Pack]))</f>
        <v>10.555555555555555</v>
      </c>
      <c r="DH285" s="36"/>
      <c r="DI285" s="36"/>
      <c r="DJ285" s="36"/>
      <c r="DK285" s="36"/>
      <c r="DL285" s="36"/>
      <c r="DM285" s="33">
        <f>IFERROR(Crops[[#This Row],[Custom Yield Per Bed]]*Crops[[#This Row],[Direct Price]],"")</f>
        <v>250</v>
      </c>
      <c r="DN285" s="36">
        <f>Crops[[#This Row],[Direct Time]]*LaborRate</f>
        <v>283.40289403521825</v>
      </c>
      <c r="DO285" s="36">
        <f>SUM(Crops[[#This Row],[Irrigation Cost]])</f>
        <v>0</v>
      </c>
      <c r="DP285" s="36">
        <f>Crops[[#This Row],[Direct Labor Cost]]+Crops[[#This Row],[Direct Non-Labor Cost]]</f>
        <v>283.40289403521825</v>
      </c>
      <c r="DQ285" s="36">
        <f>Crops[[#This Row],[Direct Revenue Per Bed2]]-Crops[[#This Row],[Direct Total Cost]]</f>
        <v>-33.402894035218253</v>
      </c>
      <c r="DR285" s="36">
        <f>Crops[[#This Row],[Direct Profit]]*BedsPerAcre</f>
        <v>-5344.4630456349205</v>
      </c>
      <c r="DS285" s="36">
        <f>Crops[[#This Row],[Direct Profit]]*BedsPerAcre*GrowingDays/Crops[[#This Row],[Days In Field]]</f>
        <v>-15031.302315848214</v>
      </c>
      <c r="DT285" s="36">
        <f>Crops[[#This Row],[Direct Profit]]/MIN(Crops[[#This Row],[Days In Field]],GrowingDays)</f>
        <v>-0.5219202193002852</v>
      </c>
      <c r="DU285" s="36">
        <f>Crops[[#This Row],[Direct Time]] * BedsPerAcre</f>
        <v>1813.7785218253971</v>
      </c>
      <c r="DV285" s="36">
        <f>(Crops[[#This Row],[Direct Revenue Per Bed2]]-Crops[[#This Row],[Direct Non-Labor Cost]])/Crops[[#This Row],[Direct Time]]</f>
        <v>22.053409233087496</v>
      </c>
      <c r="DW285" s="33">
        <f>IFERROR(Crops[[#This Row],[Custom Yield Per Bed]]*Crops[[#This Row],[Rough Wholesale Price]],"")</f>
        <v>150</v>
      </c>
      <c r="DX285" s="36">
        <f>Crops[[#This Row],[Wholesale Time]]*LaborRate</f>
        <v>278.71539403521825</v>
      </c>
      <c r="DY285" s="36">
        <f>SUM(Crops[[#This Row],[Packaging Costs]:[Irrigation Cost]])</f>
        <v>10.555555555555555</v>
      </c>
      <c r="DZ285" s="36">
        <f>Crops[[#This Row],[Wholesale Labor Cost]]+Crops[[#This Row],[Wholesale Non-Labor Cost]]</f>
        <v>289.2709495907738</v>
      </c>
      <c r="EA285" s="36">
        <f>Crops[[#This Row],[Wholesale Revenue Per Bed]]-Crops[[#This Row],[Wholesale Total Cost]]</f>
        <v>-139.2709495907738</v>
      </c>
      <c r="EB285" s="36">
        <f>Crops[[#This Row],[Wholesale Profit]]*BedsPerAcre</f>
        <v>-22283.351934523809</v>
      </c>
      <c r="EC285" s="36">
        <f>Crops[[#This Row],[Wholesale Profit]]*BedsPerAcre*GrowingDays/Crops[[#This Row],[Days In Field]]</f>
        <v>-62671.92731584821</v>
      </c>
      <c r="ED285" s="36">
        <f>Crops[[#This Row],[Wholesale Time]] * BedsPerAcre</f>
        <v>1783.7785218253971</v>
      </c>
      <c r="EE285" s="36">
        <f>Crops[[#This Row],[Wholesale Profit]]/MIN(Crops[[#This Row],[Days In Field]],GrowingDays)</f>
        <v>-2.1761085873558406</v>
      </c>
      <c r="EF285" s="36">
        <f>(Crops[[#This Row],[Wholesale Revenue Per Bed]]-Crops[[#This Row],[Wholesale Non-Labor Cost]])/Crops[[#This Row],[Direct Time]]</f>
        <v>12.300901594455471</v>
      </c>
      <c r="EG285" s="174">
        <f>Crops[[#This Row],[Packaging Costs]]/Crops[[#This Row],[Wholesale Revenue Per Bed]]</f>
        <v>7.0370370370370375E-2</v>
      </c>
      <c r="EH285" s="36" t="str">
        <f>Crops[[#This Row],[Crop]]&amp;Crops[[#This Row],[Product]]&amp;Crops[[#This Row],[Unit]]</f>
        <v>ScallionMature StalkBunch</v>
      </c>
      <c r="EI285" s="36" t="b">
        <f>_xlfn.XLOOKUP(Crops[[#This Row],[ProductIndex]],Products[ID],Products[Target])</f>
        <v>1</v>
      </c>
      <c r="EJ285" s="36">
        <f>Crops[[#This Row],[Custom Yield Per Bed]]</f>
        <v>100</v>
      </c>
      <c r="EK285" s="210">
        <f>Crops[[#This Row],[Units Per Harvest]]/Crops[[#This Row],[Days Between Harvest]]*7</f>
        <v>50</v>
      </c>
      <c r="EL285" s="210">
        <f>Crops[[#This Row],[Custom Yield Per Bed]]/_xlfn.XLOOKUP(Crops[[#This Row],[ProductIndex]],Products[ID],Products[CSA Portion])</f>
        <v>100</v>
      </c>
      <c r="EM285" s="210">
        <f>Crops[[#This Row],[Units Per Harvest]]/Crops[[#This Row],[Days Between Harvest]]*7/_xlfn.XLOOKUP(Crops[[#This Row],[ProductIndex]],Products[ID],Products[CSA Portion])</f>
        <v>50</v>
      </c>
      <c r="EN285" s="210">
        <f>Crops[[#This Row],[CSA Portions Per Week]]/CSAMembers</f>
        <v>1</v>
      </c>
      <c r="EO285" s="210"/>
      <c r="EP285" s="210"/>
      <c r="EQ285" s="36"/>
      <c r="ER285" s="36">
        <f>Crops[[#This Row],[Harvests]]*Crops[[#This Row],[Days Between Harvest]]/7</f>
        <v>2</v>
      </c>
      <c r="ES285" s="208">
        <f>_xlfn.XLOOKUP(Crops[[#This Row],[ProductIndex]],Products[ID],Products[CSA Need])</f>
        <v>0</v>
      </c>
      <c r="ET285" s="208">
        <f>_xlfn.XLOOKUP(Crops[[#This Row],[ProductIndex]],Products[ID],Products[CSA Times])</f>
        <v>0</v>
      </c>
      <c r="EU285" s="208" t="e">
        <f>Crops[[#This Row],[Custom Yield Per Bed]]/(Crops[[#This Row],[CSA Need]]*(_xlfn.XLOOKUP(Crops[[#This Row],[ProductIndex]],Products[ID],Products[CSA Portion])*CSAMembers))</f>
        <v>#DIV/0!</v>
      </c>
      <c r="EV285" s="208">
        <f>_xlfn.XLOOKUP(Crops[[#This Row],[ProductIndex]],Products[ID],Products[CSA Portion])*CSAMembers*Crops[[#This Row],[CSA Need]]/Crops[[#This Row],[Custom Yield Per Bed]]</f>
        <v>0</v>
      </c>
      <c r="EW285" s="208">
        <f>IFERROR(Crops[[#This Row],[Days In Field]]*Crops[[#This Row],[CSA Beds]],"")</f>
        <v>0</v>
      </c>
      <c r="EX285" s="208" t="e">
        <f>Crops[[#This Row],[CSA Bed Days]]*#REF!</f>
        <v>#REF!</v>
      </c>
      <c r="EY285" s="88" t="s">
        <v>1409</v>
      </c>
    </row>
    <row r="286" spans="1:155">
      <c r="A286"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Shallots - Mature Bulb 4X | Field TP Ow</v>
      </c>
      <c r="B286" s="185"/>
      <c r="C286" s="1" t="b">
        <v>1</v>
      </c>
      <c r="D286" s="1"/>
      <c r="E286" s="1" t="b">
        <v>0</v>
      </c>
      <c r="F286" s="1" t="b">
        <f>IFERROR(IF(ISNUMBER(MATCH(Crops[[#This Row],[Identifier]],BedPlan[Crop], 0)), TRUE, FALSE), FALSE)</f>
        <v>0</v>
      </c>
      <c r="G286" s="1" t="b">
        <f>IFERROR(IF(ISNUMBER(MATCH(Crops[[#This Row],[Identifier]],BedPlan[Crop], 0)), TRUE, FALSE), FALSE)</f>
        <v>0</v>
      </c>
      <c r="H286" s="1"/>
      <c r="I286" t="s">
        <v>120</v>
      </c>
      <c r="J286" t="s">
        <v>145</v>
      </c>
      <c r="K286" t="s">
        <v>198</v>
      </c>
      <c r="M286" t="s">
        <v>105</v>
      </c>
      <c r="N286" t="str">
        <f>Crops[[#This Row],[Crop]]</f>
        <v>Shallots</v>
      </c>
      <c r="O286" t="s">
        <v>210</v>
      </c>
      <c r="P286" t="str">
        <f>IF(OR(Crops[[#This Row],[Days in Cells]]="",Crops[[#This Row],[Days in Cells]]=0), "DS","TP")</f>
        <v>TP</v>
      </c>
      <c r="U286" t="s">
        <v>144</v>
      </c>
      <c r="V286" t="str">
        <f xml:space="preserve"> IF(Crops[[#This Row],[Sp]], "Sp", "") &amp; IF(Crops[[#This Row],[Su]], "Su", "") &amp; IF(Crops[[#This Row],[Fa]], "Fa", "") &amp; IF(Crops[[#This Row],[Wi]], "Wi", "") &amp; IF(Crops[[#This Row],[OW]], "Ow","")</f>
        <v>Ow</v>
      </c>
      <c r="X286">
        <v>3</v>
      </c>
      <c r="Y286">
        <v>12</v>
      </c>
      <c r="Z286" t="s">
        <v>431</v>
      </c>
      <c r="AA286" t="s">
        <v>474</v>
      </c>
      <c r="AB286" t="b">
        <v>1</v>
      </c>
      <c r="AC286">
        <v>1.5</v>
      </c>
      <c r="AD286" s="32">
        <f>IFERROR(12/Crops[[#This Row],[Spacing]]*Crops[[#This Row],[Rows]]*BedLength,"")</f>
        <v>150</v>
      </c>
      <c r="AE286">
        <v>4</v>
      </c>
      <c r="AG286">
        <v>1.1000000000000001</v>
      </c>
      <c r="AH286">
        <f>1</f>
        <v>1</v>
      </c>
      <c r="AI286" s="33">
        <f>IFERROR(Crops[[#This Row],[Plantings Per Bed]]*Crops[[#This Row],[Seeds Per Planting]]*Crops[[#This Row],[Safety Factor]]*Crops[[#This Row],[Seeding Factor]],"")</f>
        <v>660</v>
      </c>
      <c r="AL286">
        <f>_xlfn.FLOOR.MATH(IFERROR(AVERAGE(Crops[[#This Row],[DTG Lower]:[DTG Upper]]),0))</f>
        <v>0</v>
      </c>
      <c r="AM286">
        <f>SUM(Crops[[#This Row],[Tray 1 Days]],Crops[[#This Row],[Tray 2 Days]],Crops[[#This Row],[Tray 3 Days]])</f>
        <v>42</v>
      </c>
      <c r="AN286" s="32"/>
      <c r="AP286">
        <v>310</v>
      </c>
      <c r="AQ286">
        <f>IFERROR(_xlfn.FLOOR.MATH(AVERAGE(Crops[[#This Row],[DTM Lower]:[DTM Upper]])),"")</f>
        <v>310</v>
      </c>
      <c r="AR286" cm="1">
        <f t="array" ref="AR286">_xlfn.SWITCH(Crops[[#This Row],[Normal Method]],"DS",Crops[[#This Row],[Days to Germination]]+Crops[[#This Row],[DTM]] + IF(Crops[[#This Row],[Days in Cells]]&gt;0,15,0), "TP",Crops[[#This Row],[DTM]]+Crops[[#This Row],[Days in Cells]] + IF(Crops[[#This Row],[Days in Cells]]&lt;=0,20,0), "X", Crops[[#This Row],[DTM]])</f>
        <v>310</v>
      </c>
      <c r="AS286" t="s">
        <v>347</v>
      </c>
      <c r="AT286">
        <f>(Crops[[#This Row],[Harvests]]-1)*Crops[[#This Row],[Days Between Harvest]]+7</f>
        <v>14</v>
      </c>
      <c r="AU286">
        <f>Crops[[#This Row],[STH]]-Crops[[#This Row],[Days in Cells]]+Crops[[#This Row],[Harvest window]]</f>
        <v>282</v>
      </c>
      <c r="AW286">
        <v>72</v>
      </c>
      <c r="AX286">
        <v>128</v>
      </c>
      <c r="AY286">
        <v>42</v>
      </c>
      <c r="AZ286">
        <f>IFERROR(IF(Crops[[#This Row],[Tray 1 Days]]=0,"",Crops[[#This Row],[Plantings Per Bed]]/Crops[[#This Row],[Tray 1 Size]]*Crops[[#This Row],[Safety Factor]]),"")</f>
        <v>1.2890625</v>
      </c>
      <c r="BC286" t="str">
        <f>IFERROR(IF(Crops[[#This Row],[Tray 2 Days]]=0,"",Crops[[#This Row],[Plantings Per Bed]]/Crops[[#This Row],[Tray 2 Size]]*Crops[[#This Row],[Safety Factor]]),"")</f>
        <v/>
      </c>
      <c r="BE286" s="32" t="str">
        <f>IF(NOT(ISBLANK(Crops[[#This Row],[Tray 3 Size]])), Crops[[#This Row],[Days in Cells Old]]-SUM(Crops[[#This Row],[Tray 1 Days]],Crops[[#This Row],[Tray 2 Days]]), "")</f>
        <v/>
      </c>
      <c r="BF286" t="str">
        <f>IFERROR(IF(Crops[[#This Row],[Tray 3 Days]]=0,"",Crops[[#This Row],[Plantings Per Bed]]/Crops[[#This Row],[Tray 3 Size]]*Crops[[#This Row],[Safety Factor]]),"")</f>
        <v/>
      </c>
      <c r="BG286" s="33">
        <f>1/16*Crops[[#This Row],[Seeds Per Bed]]/Crops[[#This Row],[Safety Factor]]</f>
        <v>37.5</v>
      </c>
      <c r="BH286" s="33">
        <v>2</v>
      </c>
      <c r="BI286" s="33">
        <v>7</v>
      </c>
      <c r="BJ286" s="33">
        <f>_xlfn.XLOOKUP(Crops[[#This Row],[ProductIndex]],Products[ID],Products[Holding Period])</f>
        <v>0</v>
      </c>
      <c r="BK286" s="33">
        <v>21</v>
      </c>
      <c r="BL286" s="33">
        <f>Crops[[#This Row],[Units Per Harvest]]*Crops[[#This Row],[Harvests]]</f>
        <v>75</v>
      </c>
      <c r="BM286" s="35">
        <v>7</v>
      </c>
      <c r="BN286" s="212">
        <f>Crops[[#This Row],[Direct Price]]*0.6</f>
        <v>4.2</v>
      </c>
      <c r="BO286" s="35"/>
      <c r="BP286" t="s">
        <v>383</v>
      </c>
      <c r="BQ286">
        <f>Crops[[#This Row],[Custom Yield Per Bed]]*Crops[[#This Row],[Direct Price]]</f>
        <v>525</v>
      </c>
      <c r="BS286" t="b">
        <f>Crops[[#This Row],[Harvests]]&gt;1</f>
        <v>1</v>
      </c>
      <c r="BT286" s="36">
        <f>IFERROR(Crops[[#This Row],[Direct Revenue Per Bed]]/Crops[[#This Row],[Days In Field]],-1)</f>
        <v>1.8617021276595744</v>
      </c>
      <c r="BU286" s="36">
        <f>IFERROR(Crops[[#This Row],[Direct Revenue Per Bed Day]]*GrowingDays*BedsPerAcre,"")</f>
        <v>53617.02127659574</v>
      </c>
      <c r="BV286" s="38">
        <f>LastFrostDate-5*Crops[[#This Row],[Sewing Rel Last Frost]]</f>
        <v>45853</v>
      </c>
      <c r="BW286" s="38">
        <f>Crops[[#This Row],[Target Sewing Date]]+Crops[[#This Row],[Days in Cells]]</f>
        <v>45895</v>
      </c>
      <c r="BX286" s="38">
        <f>Crops[[#This Row],[Target Sewing Date]]+Crops[[#This Row],[STH]]</f>
        <v>46163</v>
      </c>
      <c r="BY286" s="38">
        <f>Crops[[#This Row],[Target Harvest Data]]+Crops[[#This Row],[Harvest window]]</f>
        <v>46177</v>
      </c>
      <c r="BZ286">
        <v>-21</v>
      </c>
      <c r="CB286">
        <f>1</f>
        <v>1</v>
      </c>
      <c r="CC286">
        <f>IF(Crops[[#This Row],[Transplanting]]&gt;0, 2, 3)*BedLength/StandardBedLength</f>
        <v>1</v>
      </c>
      <c r="CD286" s="173">
        <f>IF(Crops[[#This Row],[Days in Cells]]&lt;=0,0,Crops[[#This Row],[Plantings Per Bed]]/StartsPerHourSeeding+Crops[[#This Row],[Tray 1 Count]]*5/60)</f>
        <v>0.693359375</v>
      </c>
      <c r="CE286" s="173">
        <f>IF(ISBLANK(Crops[[#This Row],[Tray 2 Days]]),0,Crops[[#This Row],[Plantings Per Bed]]/UpPottingPerHour)+IF(Crops[[#This Row],[Tray 3 Days]]="",0,Crops[[#This Row],[Plantings Per Bed]]/UpPottingPerHour)</f>
        <v>0</v>
      </c>
      <c r="CF286" s="173">
        <f>IFERROR(Crops[[#This Row],[Tray 1 Count]]/HomeStartFlatIrrigationPerHour,0)*Crops[[#This Row],[Days in Cells]]/DaysBetweenStartIrrigation</f>
        <v>0.2255859375</v>
      </c>
      <c r="CG286" s="173">
        <f>0.5/16*MAX(Crops[[#This Row],[Tray 1 Count]],Crops[[#This Row],[Tray 2 Count]],Crops[[#This Row],[Tray 3 Count]])</f>
        <v>4.0283203125E-2</v>
      </c>
      <c r="CH286" s="173">
        <f>IF(Crops[[#This Row],[Days in Cells]]&gt;0,IF(IF(Crops[[#This Row],[Tray 3 Size]]&gt;0,Crops[[#This Row],[Tray 3 Size]],IF(Crops[[#This Row],[Tray 2 Size]]&gt;0,Crops[[#This Row],[Tray 2 Size]],Crops[[#This Row],[Tray 1 Size]]))&lt;=18,LargeTransplantTime,SmallTransplantTime)*Crops[[#This Row],[Plantings Per Bed]],0)</f>
        <v>0.75</v>
      </c>
      <c r="CI286" s="173"/>
      <c r="CJ286" s="173">
        <f>_xlfn.XLOOKUP(Crops[[#This Row],[Trellis Type]],TrellisMethods[Trellis Type],TrellisMethods[Hours],0,0)</f>
        <v>0</v>
      </c>
      <c r="CK286">
        <f>IF(Crops[[#This Row],[Days in Cells]]&lt;=0,Crops[[#This Row],[Rows]]*1/10,0)*BedLength/50</f>
        <v>0</v>
      </c>
      <c r="CL286" cm="1">
        <f t="array" ref="CL286">_xlfn.SWITCH(Crops[[#This Row],[Irrigation]],"DR", 0.5, "OH", 0.25,0)*BedLength/50</f>
        <v>0.25</v>
      </c>
      <c r="CM286">
        <f>IF(OR(ISBLANK(Crops[[#This Row],[Row Cover]]),Crops[[#This Row],[Row Cover]]="None"),0,1)*BedLength/50</f>
        <v>0</v>
      </c>
      <c r="CN286" s="173">
        <f>HoursPerWeedingPass*Crops[[#This Row],[Days In Field]]/14*Crops[[#This Row],[Rows]]+1*BedLength/50</f>
        <v>11.071428571428571</v>
      </c>
      <c r="CQ286" s="37">
        <f>_xlfn.XLOOKUP(Crops[[#This Row],[Crop]]&amp;Crops[[#This Row],[Product]]&amp;Crops[[#This Row],[Unit]],Products[ID],Products[Marketing (hr)])*Crops[[#This Row],[Direct Revenue Per Bed]]/2000</f>
        <v>0.78749999999999998</v>
      </c>
      <c r="CR286" s="37">
        <f>_xlfn.XLOOKUP(Crops[[#This Row],[Crop]]&amp;Crops[[#This Row],[Product]]&amp;Crops[[#This Row],[Unit]],Products[ID],Products[Harvest (s)])*Crops[[#This Row],[Custom Yield Per Bed]]/3600</f>
        <v>1.25</v>
      </c>
      <c r="CS286" s="37">
        <f>_xlfn.XLOOKUP(Crops[[#This Row],[Crop]]&amp;Crops[[#This Row],[Product]]&amp;Crops[[#This Row],[Unit]],Products[ID],Products[Bunch (s)])*Crops[[#This Row],[Custom Yield Per Bed]]/3600</f>
        <v>0</v>
      </c>
      <c r="CT286" s="37">
        <f>_xlfn.XLOOKUP(Crops[[#This Row],[Crop]]&amp;Crops[[#This Row],[Product]]&amp;Crops[[#This Row],[Unit]],Products[ID],Products[Haul (s)])*Crops[[#This Row],[Custom Yield Per Bed]]/3600</f>
        <v>4.6875E-2</v>
      </c>
      <c r="CU286" s="37">
        <f>_xlfn.XLOOKUP(Crops[[#This Row],[Crop]]&amp;Crops[[#This Row],[Product]]&amp;Crops[[#This Row],[Unit]],Products[ID],Products[Wash (s)])*Crops[[#This Row],[Custom Yield Per Bed]]/3600</f>
        <v>0.41666666666666669</v>
      </c>
      <c r="CV286" s="37">
        <f>_xlfn.XLOOKUP(Crops[[#This Row],[Crop]]&amp;Crops[[#This Row],[Product]]&amp;Crops[[#This Row],[Unit]],Products[ID],Products[Condition (s)])*Crops[[#This Row],[Custom Yield Per Bed]]/3600</f>
        <v>0</v>
      </c>
      <c r="CW286" s="37">
        <f>_xlfn.XLOOKUP(Crops[[#This Row],[Crop]]&amp;Crops[[#This Row],[Product]]&amp;Crops[[#This Row],[Unit]],Products[ID],Products[Trim (s)])*Crops[[#This Row],[Custom Yield Per Bed]]/3600</f>
        <v>1.25</v>
      </c>
      <c r="CX286" s="37">
        <f>_xlfn.XLOOKUP(Crops[[#This Row],[Crop]]&amp;Crops[[#This Row],[Product]]&amp;Crops[[#This Row],[Unit]],Products[ID],Products[Pack (s)])*Crops[[#This Row],[Custom Yield Per Bed]]/3600</f>
        <v>6.25E-2</v>
      </c>
      <c r="CY286" s="37">
        <f>_xlfn.XLOOKUP(Crops[[#This Row],[Crop]]&amp;Crops[[#This Row],[Product]]&amp;Crops[[#This Row],[Unit]],Products[ID],Products[Clean (s)])*Crops[[#This Row],[Custom Yield Per Bed]]/3600</f>
        <v>0</v>
      </c>
      <c r="CZ286" s="37">
        <f>_xlfn.XLOOKUP(Crops[[#This Row],[Crop]]&amp;Crops[[#This Row],[Product]]&amp;Crops[[#This Row],[Unit]],Products[ID],Products[Rehandle (s)])*Crops[[#This Row],[Custom Yield Per Bed]]/3600</f>
        <v>0</v>
      </c>
      <c r="DA286" s="37">
        <f>_xlfn.XLOOKUP(Crops[[#This Row],[Crop]]&amp;Crops[[#This Row],[Product]]&amp;Crops[[#This Row],[Unit]],Products[ID],Products[Market Transport (s)])*Crops[[#This Row],[Custom Yield Per Bed]]/3600</f>
        <v>0.1171875</v>
      </c>
      <c r="DC286" s="37">
        <f>Crops[[#This Row],[Direct Revenue Per Bed2]]</f>
        <v>525</v>
      </c>
      <c r="DD286" s="173">
        <f>_xlfn.AGGREGATE(9,6,Crops[[#This Row],[Bed Prep]:[Remove Crop Residue]])</f>
        <v>17.961386253720239</v>
      </c>
      <c r="DE286" s="173">
        <f>_xlfn.AGGREGATE(9,6,Crops[[#This Row],[Bed Prep]:[Remove Crop Residue]])-0.75*Crops[[#This Row],[Market &amp; Sell]]</f>
        <v>17.370761253720239</v>
      </c>
      <c r="DF286" s="36">
        <f>Crops[[#This Row],[Direct Revenue Per Bed2]]/Crops[[#This Row],[Direct Time]]</f>
        <v>29.229369748187434</v>
      </c>
      <c r="DG286" s="36">
        <f>_xlfn.XLOOKUP(Crops[[#This Row],[ProductIndex]],Products[ID],Products[Packaging Cost])*(Crops[[#This Row],[Custom Yield Per Bed]]/_xlfn.XLOOKUP(Crops[[#This Row],[ProductIndex]],Products[ID],Products[Units Per Pack]))</f>
        <v>11.399999999999999</v>
      </c>
      <c r="DH286" s="36"/>
      <c r="DI286" s="36"/>
      <c r="DJ286" s="36"/>
      <c r="DK286" s="36"/>
      <c r="DL286" s="36"/>
      <c r="DM286" s="33">
        <f>IFERROR(Crops[[#This Row],[Custom Yield Per Bed]]*Crops[[#This Row],[Direct Price]],"")</f>
        <v>525</v>
      </c>
      <c r="DN286" s="36">
        <f>Crops[[#This Row],[Direct Time]]*LaborRate</f>
        <v>449.03465634300596</v>
      </c>
      <c r="DO286" s="36">
        <f>SUM(Crops[[#This Row],[Irrigation Cost]])</f>
        <v>0</v>
      </c>
      <c r="DP286" s="36">
        <f>Crops[[#This Row],[Direct Labor Cost]]+Crops[[#This Row],[Direct Non-Labor Cost]]</f>
        <v>449.03465634300596</v>
      </c>
      <c r="DQ286" s="36">
        <f>Crops[[#This Row],[Direct Revenue Per Bed2]]-Crops[[#This Row],[Direct Total Cost]]</f>
        <v>75.965343656994037</v>
      </c>
      <c r="DR286" s="36">
        <f>Crops[[#This Row],[Direct Profit]]*BedsPerAcre</f>
        <v>12154.454985119046</v>
      </c>
      <c r="DS286" s="36">
        <f>Crops[[#This Row],[Direct Profit]]*BedsPerAcre*GrowingDays/Crops[[#This Row],[Days In Field]]</f>
        <v>7758.1627564589653</v>
      </c>
      <c r="DT286" s="36">
        <f>Crops[[#This Row],[Direct Profit]]/MIN(Crops[[#This Row],[Days In Field]],GrowingDays)</f>
        <v>0.42202968698330018</v>
      </c>
      <c r="DU286" s="36">
        <f>Crops[[#This Row],[Direct Time]] * BedsPerAcre</f>
        <v>2873.8218005952381</v>
      </c>
      <c r="DV286" s="36">
        <f>(Crops[[#This Row],[Direct Revenue Per Bed2]]-Crops[[#This Row],[Direct Non-Labor Cost]])/Crops[[#This Row],[Direct Time]]</f>
        <v>29.229369748187434</v>
      </c>
      <c r="DW286" s="33">
        <f>IFERROR(Crops[[#This Row],[Custom Yield Per Bed]]*Crops[[#This Row],[Rough Wholesale Price]],"")</f>
        <v>315</v>
      </c>
      <c r="DX286" s="36">
        <f>Crops[[#This Row],[Wholesale Time]]*LaborRate</f>
        <v>434.26903134300596</v>
      </c>
      <c r="DY286" s="36">
        <f>SUM(Crops[[#This Row],[Packaging Costs]:[Irrigation Cost]])</f>
        <v>11.399999999999999</v>
      </c>
      <c r="DZ286" s="36">
        <f>Crops[[#This Row],[Wholesale Labor Cost]]+Crops[[#This Row],[Wholesale Non-Labor Cost]]</f>
        <v>445.66903134300594</v>
      </c>
      <c r="EA286" s="36">
        <f>Crops[[#This Row],[Wholesale Revenue Per Bed]]-Crops[[#This Row],[Wholesale Total Cost]]</f>
        <v>-130.66903134300594</v>
      </c>
      <c r="EB286" s="36">
        <f>Crops[[#This Row],[Wholesale Profit]]*BedsPerAcre</f>
        <v>-20907.04501488095</v>
      </c>
      <c r="EC286" s="36">
        <f>Crops[[#This Row],[Wholesale Profit]]*BedsPerAcre*GrowingDays/Crops[[#This Row],[Days In Field]]</f>
        <v>-13344.922349924011</v>
      </c>
      <c r="ED286" s="36">
        <f>Crops[[#This Row],[Wholesale Time]] * BedsPerAcre</f>
        <v>2779.3218005952385</v>
      </c>
      <c r="EE286" s="36">
        <f>Crops[[#This Row],[Wholesale Profit]]/MIN(Crops[[#This Row],[Days In Field]],GrowingDays)</f>
        <v>-0.72593906301669964</v>
      </c>
      <c r="EF286" s="36">
        <f>(Crops[[#This Row],[Wholesale Revenue Per Bed]]-Crops[[#This Row],[Wholesale Non-Labor Cost]])/Crops[[#This Row],[Direct Time]]</f>
        <v>16.90292696295182</v>
      </c>
      <c r="EG286" s="174">
        <f>Crops[[#This Row],[Packaging Costs]]/Crops[[#This Row],[Wholesale Revenue Per Bed]]</f>
        <v>3.6190476190476183E-2</v>
      </c>
      <c r="EH286" s="36" t="str">
        <f>Crops[[#This Row],[Crop]]&amp;Crops[[#This Row],[Product]]&amp;Crops[[#This Row],[Unit]]</f>
        <v>ShallotsMature BulbLb</v>
      </c>
      <c r="EI286" s="36" t="b">
        <f>_xlfn.XLOOKUP(Crops[[#This Row],[ProductIndex]],Products[ID],Products[Target])</f>
        <v>1</v>
      </c>
      <c r="EJ286" s="36">
        <f>Crops[[#This Row],[Custom Yield Per Bed]]</f>
        <v>75</v>
      </c>
      <c r="EK286" s="210">
        <f>Crops[[#This Row],[Units Per Harvest]]/Crops[[#This Row],[Days Between Harvest]]*7</f>
        <v>37.5</v>
      </c>
      <c r="EL286" s="210" t="e">
        <f>Crops[[#This Row],[Custom Yield Per Bed]]/_xlfn.XLOOKUP(Crops[[#This Row],[ProductIndex]],Products[ID],Products[CSA Portion])</f>
        <v>#DIV/0!</v>
      </c>
      <c r="EM286" s="210" t="e">
        <f>Crops[[#This Row],[Units Per Harvest]]/Crops[[#This Row],[Days Between Harvest]]*7/_xlfn.XLOOKUP(Crops[[#This Row],[ProductIndex]],Products[ID],Products[CSA Portion])</f>
        <v>#DIV/0!</v>
      </c>
      <c r="EN286" s="210" t="e">
        <f>Crops[[#This Row],[CSA Portions Per Week]]/CSAMembers</f>
        <v>#DIV/0!</v>
      </c>
      <c r="EO286" s="210"/>
      <c r="EP286" s="210"/>
      <c r="EQ286" s="36"/>
      <c r="ER286" s="36">
        <f>Crops[[#This Row],[Harvests]]*Crops[[#This Row],[Days Between Harvest]]/7</f>
        <v>2</v>
      </c>
      <c r="ES286" s="208">
        <f>_xlfn.XLOOKUP(Crops[[#This Row],[ProductIndex]],Products[ID],Products[CSA Need])</f>
        <v>0</v>
      </c>
      <c r="ET286" s="208">
        <f>_xlfn.XLOOKUP(Crops[[#This Row],[ProductIndex]],Products[ID],Products[CSA Times])</f>
        <v>0</v>
      </c>
      <c r="EU286" s="208" t="e">
        <f>Crops[[#This Row],[Custom Yield Per Bed]]/(Crops[[#This Row],[CSA Need]]*(_xlfn.XLOOKUP(Crops[[#This Row],[ProductIndex]],Products[ID],Products[CSA Portion])*CSAMembers))</f>
        <v>#DIV/0!</v>
      </c>
      <c r="EV286" s="208">
        <f>_xlfn.XLOOKUP(Crops[[#This Row],[ProductIndex]],Products[ID],Products[CSA Portion])*CSAMembers*Crops[[#This Row],[CSA Need]]/Crops[[#This Row],[Custom Yield Per Bed]]</f>
        <v>0</v>
      </c>
      <c r="EW286" s="208">
        <f>IFERROR(Crops[[#This Row],[Days In Field]]*Crops[[#This Row],[CSA Beds]],"")</f>
        <v>0</v>
      </c>
      <c r="EX286" s="208" t="e">
        <f>Crops[[#This Row],[CSA Bed Days]]*#REF!</f>
        <v>#REF!</v>
      </c>
    </row>
    <row r="287" spans="1:155">
      <c r="A28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Shallots - Mature Bulb 4X | Field TP SpSu</v>
      </c>
      <c r="B287" s="185"/>
      <c r="C287" s="1" t="b">
        <v>1</v>
      </c>
      <c r="D287" s="1"/>
      <c r="E287" s="1" t="b">
        <v>0</v>
      </c>
      <c r="F287" s="1" t="b">
        <f>IFERROR(IF(ISNUMBER(MATCH(Crops[[#This Row],[Identifier]],BedPlan[Crop], 0)), TRUE, FALSE), FALSE)</f>
        <v>0</v>
      </c>
      <c r="G287" s="1" t="b">
        <f>IFERROR(IF(ISNUMBER(MATCH(Crops[[#This Row],[Identifier]],BedPlan[Crop], 0)), TRUE, FALSE), FALSE)</f>
        <v>0</v>
      </c>
      <c r="H287" s="1"/>
      <c r="I287" t="s">
        <v>120</v>
      </c>
      <c r="J287" t="s">
        <v>145</v>
      </c>
      <c r="K287" t="s">
        <v>198</v>
      </c>
      <c r="M287" t="s">
        <v>105</v>
      </c>
      <c r="N287" t="str">
        <f>Crops[[#This Row],[Crop]]</f>
        <v>Shallots</v>
      </c>
      <c r="O287" t="s">
        <v>210</v>
      </c>
      <c r="P287" t="str">
        <f>IF(OR(Crops[[#This Row],[Days in Cells]]="",Crops[[#This Row],[Days in Cells]]=0), "DS","TP")</f>
        <v>TP</v>
      </c>
      <c r="Q287" t="s">
        <v>144</v>
      </c>
      <c r="R287" t="b">
        <v>1</v>
      </c>
      <c r="V287" t="str">
        <f xml:space="preserve"> IF(Crops[[#This Row],[Sp]], "Sp", "") &amp; IF(Crops[[#This Row],[Su]], "Su", "") &amp; IF(Crops[[#This Row],[Fa]], "Fa", "") &amp; IF(Crops[[#This Row],[Wi]], "Wi", "") &amp; IF(Crops[[#This Row],[OW]], "Ow","")</f>
        <v>SpSu</v>
      </c>
      <c r="W287" t="b">
        <v>1</v>
      </c>
      <c r="X287">
        <v>3</v>
      </c>
      <c r="Y287">
        <v>12</v>
      </c>
      <c r="AB287" t="b">
        <v>1</v>
      </c>
      <c r="AC287">
        <v>1</v>
      </c>
      <c r="AD287" s="32">
        <f>IFERROR(12/Crops[[#This Row],[Spacing]]*Crops[[#This Row],[Rows]]*BedLength,"")</f>
        <v>150</v>
      </c>
      <c r="AE287">
        <v>4</v>
      </c>
      <c r="AG287">
        <v>1.1000000000000001</v>
      </c>
      <c r="AH287">
        <f>1</f>
        <v>1</v>
      </c>
      <c r="AI287" s="33">
        <f>IFERROR(Crops[[#This Row],[Plantings Per Bed]]*Crops[[#This Row],[Seeds Per Planting]]*Crops[[#This Row],[Safety Factor]]*Crops[[#This Row],[Seeding Factor]],"")</f>
        <v>660</v>
      </c>
      <c r="AL287">
        <f>_xlfn.FLOOR.MATH(IFERROR(AVERAGE(Crops[[#This Row],[DTG Lower]:[DTG Upper]]),0))</f>
        <v>0</v>
      </c>
      <c r="AM287">
        <f>SUM(Crops[[#This Row],[Tray 1 Days]],Crops[[#This Row],[Tray 2 Days]],Crops[[#This Row],[Tray 3 Days]])</f>
        <v>42</v>
      </c>
      <c r="AN287" s="32">
        <f>6*7</f>
        <v>42</v>
      </c>
      <c r="AP287">
        <f>4.5*30</f>
        <v>135</v>
      </c>
      <c r="AQ287">
        <f>IFERROR(_xlfn.FLOOR.MATH(AVERAGE(Crops[[#This Row],[DTM Lower]:[DTM Upper]])),"")</f>
        <v>135</v>
      </c>
      <c r="AR287" cm="1">
        <f t="array" ref="AR287">_xlfn.SWITCH(Crops[[#This Row],[Normal Method]],"DS",Crops[[#This Row],[Days to Germination]]+Crops[[#This Row],[DTM]] + IF(Crops[[#This Row],[Days in Cells]]&gt;0,15,0), "TP",Crops[[#This Row],[DTM]]+Crops[[#This Row],[Days in Cells]] + IF(Crops[[#This Row],[Days in Cells]]&lt;=0,20,0), "X", Crops[[#This Row],[DTM]])</f>
        <v>135</v>
      </c>
      <c r="AS287" t="s">
        <v>347</v>
      </c>
      <c r="AT287">
        <f>(Crops[[#This Row],[Harvests]]-1)*Crops[[#This Row],[Days Between Harvest]]+7</f>
        <v>14</v>
      </c>
      <c r="AU287">
        <f>Crops[[#This Row],[STH]]-Crops[[#This Row],[Days in Cells]]+Crops[[#This Row],[Harvest window]]</f>
        <v>107</v>
      </c>
      <c r="AW287">
        <v>128</v>
      </c>
      <c r="AX287">
        <v>128</v>
      </c>
      <c r="AY287">
        <v>42</v>
      </c>
      <c r="AZ287" s="49">
        <f>IFERROR(IF(Crops[[#This Row],[Tray 1 Days]]=0,"",Crops[[#This Row],[Plantings Per Bed]]/Crops[[#This Row],[Tray 1 Size]]*Crops[[#This Row],[Safety Factor]]),"")</f>
        <v>1.2890625</v>
      </c>
      <c r="BC287" t="str">
        <f>IFERROR(IF(Crops[[#This Row],[Tray 2 Days]]=0,"",Crops[[#This Row],[Plantings Per Bed]]/Crops[[#This Row],[Tray 2 Size]]*Crops[[#This Row],[Safety Factor]]),"")</f>
        <v/>
      </c>
      <c r="BE287" s="32" t="str">
        <f>IF(NOT(ISBLANK(Crops[[#This Row],[Tray 3 Size]])), Crops[[#This Row],[Days in Cells Old]]-SUM(Crops[[#This Row],[Tray 1 Days]],Crops[[#This Row],[Tray 2 Days]]), "")</f>
        <v/>
      </c>
      <c r="BF287" s="49" t="str">
        <f>IFERROR(IF(Crops[[#This Row],[Tray 3 Days]]=0,"",Crops[[#This Row],[Plantings Per Bed]]/Crops[[#This Row],[Tray 3 Size]]*Crops[[#This Row],[Safety Factor]]),"")</f>
        <v/>
      </c>
      <c r="BG287" s="33">
        <f>1/16*Crops[[#This Row],[Seeds Per Bed]]/Crops[[#This Row],[Safety Factor]]</f>
        <v>37.5</v>
      </c>
      <c r="BH287" s="33">
        <v>2</v>
      </c>
      <c r="BI287" s="33">
        <v>7</v>
      </c>
      <c r="BJ287" s="33">
        <f>_xlfn.XLOOKUP(Crops[[#This Row],[ProductIndex]],Products[ID],Products[Holding Period])</f>
        <v>0</v>
      </c>
      <c r="BK287" s="33"/>
      <c r="BL287" s="33">
        <f>Crops[[#This Row],[Units Per Harvest]]*Crops[[#This Row],[Harvests]]</f>
        <v>75</v>
      </c>
      <c r="BM287" s="35">
        <v>7</v>
      </c>
      <c r="BN287" s="35">
        <f>Crops[[#This Row],[Direct Price]]*0.6</f>
        <v>4.2</v>
      </c>
      <c r="BO287" s="35"/>
      <c r="BP287" t="s">
        <v>383</v>
      </c>
      <c r="BQ287">
        <f>Crops[[#This Row],[Custom Yield Per Bed]]*Crops[[#This Row],[Direct Price]]</f>
        <v>525</v>
      </c>
      <c r="BS287" t="b">
        <f>Crops[[#This Row],[Harvests]]&gt;1</f>
        <v>1</v>
      </c>
      <c r="BT287" s="36">
        <f>IFERROR(Crops[[#This Row],[Direct Revenue Per Bed]]/Crops[[#This Row],[Days In Field]],-1)</f>
        <v>4.9065420560747661</v>
      </c>
      <c r="BU287" s="36">
        <f>IFERROR(Crops[[#This Row],[Direct Revenue Per Bed Day]]*GrowingDays*BedsPerAcre,"")</f>
        <v>141308.41121495326</v>
      </c>
      <c r="BV287" s="38">
        <f>LastFrostDate-5*Crops[[#This Row],[Sewing Rel Last Frost]]</f>
        <v>45718</v>
      </c>
      <c r="BW287" s="38">
        <f>Crops[[#This Row],[Target Sewing Date]]+Crops[[#This Row],[Days in Cells]]</f>
        <v>45760</v>
      </c>
      <c r="BX287" s="38">
        <f>Crops[[#This Row],[Target Sewing Date]]+Crops[[#This Row],[STH]]</f>
        <v>45853</v>
      </c>
      <c r="BY287" s="38">
        <f>Crops[[#This Row],[Target Harvest Data]]+Crops[[#This Row],[Harvest window]]</f>
        <v>45867</v>
      </c>
      <c r="BZ287">
        <v>6</v>
      </c>
      <c r="CA287" t="s">
        <v>373</v>
      </c>
      <c r="CB287">
        <f>1</f>
        <v>1</v>
      </c>
      <c r="CC287">
        <f>IF(Crops[[#This Row],[Transplanting]]&gt;0, 2, 3)*BedLength/StandardBedLength</f>
        <v>1</v>
      </c>
      <c r="CD287" s="173">
        <f>IF(Crops[[#This Row],[Days in Cells]]&lt;=0,0,Crops[[#This Row],[Plantings Per Bed]]/StartsPerHourSeeding+Crops[[#This Row],[Tray 1 Count]]*5/60)</f>
        <v>0.693359375</v>
      </c>
      <c r="CE287" s="173">
        <f>IF(ISBLANK(Crops[[#This Row],[Tray 2 Days]]),0,Crops[[#This Row],[Plantings Per Bed]]/UpPottingPerHour)+IF(Crops[[#This Row],[Tray 3 Days]]="",0,Crops[[#This Row],[Plantings Per Bed]]/UpPottingPerHour)</f>
        <v>0</v>
      </c>
      <c r="CF287" s="173">
        <f>IFERROR(Crops[[#This Row],[Tray 1 Count]]/HomeStartFlatIrrigationPerHour,0)*Crops[[#This Row],[Days in Cells]]/DaysBetweenStartIrrigation</f>
        <v>0.2255859375</v>
      </c>
      <c r="CG287" s="173">
        <f>0.5/16*MAX(Crops[[#This Row],[Tray 1 Count]],Crops[[#This Row],[Tray 2 Count]],Crops[[#This Row],[Tray 3 Count]])</f>
        <v>4.0283203125E-2</v>
      </c>
      <c r="CH287" s="173">
        <f>IF(Crops[[#This Row],[Days in Cells]]&gt;0,IF(IF(Crops[[#This Row],[Tray 3 Size]]&gt;0,Crops[[#This Row],[Tray 3 Size]],IF(Crops[[#This Row],[Tray 2 Size]]&gt;0,Crops[[#This Row],[Tray 2 Size]],Crops[[#This Row],[Tray 1 Size]]))&lt;=18,LargeTransplantTime,SmallTransplantTime)*Crops[[#This Row],[Plantings Per Bed]],0)</f>
        <v>0.75</v>
      </c>
      <c r="CI287" s="173"/>
      <c r="CJ287" s="173">
        <f>_xlfn.XLOOKUP(Crops[[#This Row],[Trellis Type]],TrellisMethods[Trellis Type],TrellisMethods[Hours],0,0)</f>
        <v>0</v>
      </c>
      <c r="CK287">
        <f>IF(Crops[[#This Row],[Days in Cells]]&lt;=0,Crops[[#This Row],[Rows]]*1/10,0)*BedLength/50</f>
        <v>0</v>
      </c>
      <c r="CL287" cm="1">
        <f t="array" ref="CL287">_xlfn.SWITCH(Crops[[#This Row],[Irrigation]],"DR", 0.5, "OH", 0.25,0)*BedLength/50</f>
        <v>0</v>
      </c>
      <c r="CM287">
        <f>IF(OR(ISBLANK(Crops[[#This Row],[Row Cover]]),Crops[[#This Row],[Row Cover]]="None"),0,1)*BedLength/50</f>
        <v>0</v>
      </c>
      <c r="CN287" s="173">
        <f>HoursPerWeedingPass*Crops[[#This Row],[Days In Field]]/14*Crops[[#This Row],[Rows]]+1*BedLength/50</f>
        <v>4.8214285714285712</v>
      </c>
      <c r="CQ287" s="37">
        <f>_xlfn.XLOOKUP(Crops[[#This Row],[Crop]]&amp;Crops[[#This Row],[Product]]&amp;Crops[[#This Row],[Unit]],Products[ID],Products[Marketing (hr)])*Crops[[#This Row],[Direct Revenue Per Bed]]/2000</f>
        <v>0.78749999999999998</v>
      </c>
      <c r="CR287" s="37">
        <f>_xlfn.XLOOKUP(Crops[[#This Row],[Crop]]&amp;Crops[[#This Row],[Product]]&amp;Crops[[#This Row],[Unit]],Products[ID],Products[Harvest (s)])*Crops[[#This Row],[Custom Yield Per Bed]]/3600</f>
        <v>1.25</v>
      </c>
      <c r="CS287" s="37">
        <f>_xlfn.XLOOKUP(Crops[[#This Row],[Crop]]&amp;Crops[[#This Row],[Product]]&amp;Crops[[#This Row],[Unit]],Products[ID],Products[Bunch (s)])*Crops[[#This Row],[Custom Yield Per Bed]]/3600</f>
        <v>0</v>
      </c>
      <c r="CT287" s="37">
        <f>_xlfn.XLOOKUP(Crops[[#This Row],[Crop]]&amp;Crops[[#This Row],[Product]]&amp;Crops[[#This Row],[Unit]],Products[ID],Products[Haul (s)])*Crops[[#This Row],[Custom Yield Per Bed]]/3600</f>
        <v>4.6875E-2</v>
      </c>
      <c r="CU287" s="37">
        <f>_xlfn.XLOOKUP(Crops[[#This Row],[Crop]]&amp;Crops[[#This Row],[Product]]&amp;Crops[[#This Row],[Unit]],Products[ID],Products[Wash (s)])*Crops[[#This Row],[Custom Yield Per Bed]]/3600</f>
        <v>0.41666666666666669</v>
      </c>
      <c r="CV287" s="37">
        <f>_xlfn.XLOOKUP(Crops[[#This Row],[Crop]]&amp;Crops[[#This Row],[Product]]&amp;Crops[[#This Row],[Unit]],Products[ID],Products[Condition (s)])*Crops[[#This Row],[Custom Yield Per Bed]]/3600</f>
        <v>0</v>
      </c>
      <c r="CW287" s="37">
        <f>_xlfn.XLOOKUP(Crops[[#This Row],[Crop]]&amp;Crops[[#This Row],[Product]]&amp;Crops[[#This Row],[Unit]],Products[ID],Products[Trim (s)])*Crops[[#This Row],[Custom Yield Per Bed]]/3600</f>
        <v>1.25</v>
      </c>
      <c r="CX287" s="37">
        <f>_xlfn.XLOOKUP(Crops[[#This Row],[Crop]]&amp;Crops[[#This Row],[Product]]&amp;Crops[[#This Row],[Unit]],Products[ID],Products[Pack (s)])*Crops[[#This Row],[Custom Yield Per Bed]]/3600</f>
        <v>6.25E-2</v>
      </c>
      <c r="CY287" s="37">
        <f>_xlfn.XLOOKUP(Crops[[#This Row],[Crop]]&amp;Crops[[#This Row],[Product]]&amp;Crops[[#This Row],[Unit]],Products[ID],Products[Clean (s)])*Crops[[#This Row],[Custom Yield Per Bed]]/3600</f>
        <v>0</v>
      </c>
      <c r="CZ287" s="37">
        <f>_xlfn.XLOOKUP(Crops[[#This Row],[Crop]]&amp;Crops[[#This Row],[Product]]&amp;Crops[[#This Row],[Unit]],Products[ID],Products[Rehandle (s)])*Crops[[#This Row],[Custom Yield Per Bed]]/3600</f>
        <v>0</v>
      </c>
      <c r="DA287" s="37">
        <f>_xlfn.XLOOKUP(Crops[[#This Row],[Crop]]&amp;Crops[[#This Row],[Product]]&amp;Crops[[#This Row],[Unit]],Products[ID],Products[Market Transport (s)])*Crops[[#This Row],[Custom Yield Per Bed]]/3600</f>
        <v>0.1171875</v>
      </c>
      <c r="DC287" s="37">
        <f>Crops[[#This Row],[Direct Revenue Per Bed2]]</f>
        <v>525</v>
      </c>
      <c r="DD287" s="173">
        <f>_xlfn.AGGREGATE(9,6,Crops[[#This Row],[Bed Prep]:[Remove Crop Residue]])</f>
        <v>11.461386253720237</v>
      </c>
      <c r="DE287" s="173">
        <f>_xlfn.AGGREGATE(9,6,Crops[[#This Row],[Bed Prep]:[Remove Crop Residue]])-0.75*Crops[[#This Row],[Market &amp; Sell]]</f>
        <v>10.870761253720238</v>
      </c>
      <c r="DF287" s="36">
        <f>Crops[[#This Row],[Direct Revenue Per Bed2]]/Crops[[#This Row],[Direct Time]]</f>
        <v>45.805977425251761</v>
      </c>
      <c r="DG287" s="36">
        <f>_xlfn.XLOOKUP(Crops[[#This Row],[ProductIndex]],Products[ID],Products[Packaging Cost])*(Crops[[#This Row],[Custom Yield Per Bed]]/_xlfn.XLOOKUP(Crops[[#This Row],[ProductIndex]],Products[ID],Products[Units Per Pack]))</f>
        <v>11.399999999999999</v>
      </c>
      <c r="DH287" s="36"/>
      <c r="DI287" s="36"/>
      <c r="DJ287" s="36"/>
      <c r="DK287" s="36"/>
      <c r="DL287" s="36"/>
      <c r="DM287" s="33">
        <f>IFERROR(Crops[[#This Row],[Custom Yield Per Bed]]*Crops[[#This Row],[Direct Price]],"")</f>
        <v>525</v>
      </c>
      <c r="DN287" s="36">
        <f>Crops[[#This Row],[Direct Time]]*LaborRate</f>
        <v>286.53465634300591</v>
      </c>
      <c r="DO287" s="36">
        <f>SUM(Crops[[#This Row],[Irrigation Cost]])</f>
        <v>0</v>
      </c>
      <c r="DP287" s="36">
        <f>Crops[[#This Row],[Direct Labor Cost]]+Crops[[#This Row],[Direct Non-Labor Cost]]</f>
        <v>286.53465634300591</v>
      </c>
      <c r="DQ287" s="36">
        <f>Crops[[#This Row],[Direct Revenue Per Bed2]]-Crops[[#This Row],[Direct Total Cost]]</f>
        <v>238.46534365699409</v>
      </c>
      <c r="DR287" s="36">
        <f>Crops[[#This Row],[Direct Profit]]*BedsPerAcre</f>
        <v>38154.454985119053</v>
      </c>
      <c r="DS287" s="36">
        <f>Crops[[#This Row],[Direct Profit]]*BedsPerAcre*GrowingDays/Crops[[#This Row],[Days In Field]]</f>
        <v>64185.064460947935</v>
      </c>
      <c r="DT287" s="36">
        <f>Crops[[#This Row],[Direct Profit]]/MIN(Crops[[#This Row],[Days In Field]],GrowingDays)</f>
        <v>2.2286480715606927</v>
      </c>
      <c r="DU287" s="36">
        <f>Crops[[#This Row],[Direct Time]] * BedsPerAcre</f>
        <v>1833.8218005952378</v>
      </c>
      <c r="DV287" s="36">
        <f>(Crops[[#This Row],[Direct Revenue Per Bed2]]-Crops[[#This Row],[Direct Non-Labor Cost]])/Crops[[#This Row],[Direct Time]]</f>
        <v>45.805977425251761</v>
      </c>
      <c r="DW287" s="33">
        <f>IFERROR(Crops[[#This Row],[Custom Yield Per Bed]]*Crops[[#This Row],[Rough Wholesale Price]],"")</f>
        <v>315</v>
      </c>
      <c r="DX287" s="36">
        <f>Crops[[#This Row],[Wholesale Time]]*LaborRate</f>
        <v>271.76903134300596</v>
      </c>
      <c r="DY287" s="36">
        <f>SUM(Crops[[#This Row],[Packaging Costs]:[Irrigation Cost]])</f>
        <v>11.399999999999999</v>
      </c>
      <c r="DZ287" s="36">
        <f>Crops[[#This Row],[Wholesale Labor Cost]]+Crops[[#This Row],[Wholesale Non-Labor Cost]]</f>
        <v>283.16903134300594</v>
      </c>
      <c r="EA287" s="36">
        <f>Crops[[#This Row],[Wholesale Revenue Per Bed]]-Crops[[#This Row],[Wholesale Total Cost]]</f>
        <v>31.83096865699406</v>
      </c>
      <c r="EB287" s="36">
        <f>Crops[[#This Row],[Wholesale Profit]]*BedsPerAcre</f>
        <v>5092.9549851190495</v>
      </c>
      <c r="EC287" s="36">
        <f>Crops[[#This Row],[Wholesale Profit]]*BedsPerAcre*GrowingDays/Crops[[#This Row],[Days In Field]]</f>
        <v>8567.587825433915</v>
      </c>
      <c r="ED287" s="36">
        <f>Crops[[#This Row],[Wholesale Time]] * BedsPerAcre</f>
        <v>1739.3218005952381</v>
      </c>
      <c r="EE287" s="36">
        <f>Crops[[#This Row],[Wholesale Profit]]/MIN(Crops[[#This Row],[Days In Field]],GrowingDays)</f>
        <v>0.29748568838312206</v>
      </c>
      <c r="EF287" s="36">
        <f>(Crops[[#This Row],[Wholesale Revenue Per Bed]]-Crops[[#This Row],[Wholesale Non-Labor Cost]])/Crops[[#This Row],[Direct Time]]</f>
        <v>26.48894237391702</v>
      </c>
      <c r="EG287" s="174">
        <f>Crops[[#This Row],[Packaging Costs]]/Crops[[#This Row],[Wholesale Revenue Per Bed]]</f>
        <v>3.6190476190476183E-2</v>
      </c>
      <c r="EH287" s="36" t="str">
        <f>Crops[[#This Row],[Crop]]&amp;Crops[[#This Row],[Product]]&amp;Crops[[#This Row],[Unit]]</f>
        <v>ShallotsMature BulbLb</v>
      </c>
      <c r="EI287" s="36" t="b">
        <f>_xlfn.XLOOKUP(Crops[[#This Row],[ProductIndex]],Products[ID],Products[Target])</f>
        <v>1</v>
      </c>
      <c r="EJ287" s="36">
        <f>Crops[[#This Row],[Custom Yield Per Bed]]</f>
        <v>75</v>
      </c>
      <c r="EK287" s="210">
        <f>Crops[[#This Row],[Units Per Harvest]]/Crops[[#This Row],[Days Between Harvest]]*7</f>
        <v>37.5</v>
      </c>
      <c r="EL287" s="210" t="e">
        <f>Crops[[#This Row],[Custom Yield Per Bed]]/_xlfn.XLOOKUP(Crops[[#This Row],[ProductIndex]],Products[ID],Products[CSA Portion])</f>
        <v>#DIV/0!</v>
      </c>
      <c r="EM287" s="210" t="e">
        <f>Crops[[#This Row],[Units Per Harvest]]/Crops[[#This Row],[Days Between Harvest]]*7/_xlfn.XLOOKUP(Crops[[#This Row],[ProductIndex]],Products[ID],Products[CSA Portion])</f>
        <v>#DIV/0!</v>
      </c>
      <c r="EN287" s="210" t="e">
        <f>Crops[[#This Row],[CSA Portions Per Week]]/CSAMembers</f>
        <v>#DIV/0!</v>
      </c>
      <c r="EO287" s="210"/>
      <c r="EP287" s="210"/>
      <c r="EQ287" s="36"/>
      <c r="ER287" s="36">
        <f>Crops[[#This Row],[Harvests]]*Crops[[#This Row],[Days Between Harvest]]/7</f>
        <v>2</v>
      </c>
      <c r="ES287" s="208">
        <f>_xlfn.XLOOKUP(Crops[[#This Row],[ProductIndex]],Products[ID],Products[CSA Need])</f>
        <v>0</v>
      </c>
      <c r="ET287" s="208">
        <f>_xlfn.XLOOKUP(Crops[[#This Row],[ProductIndex]],Products[ID],Products[CSA Times])</f>
        <v>0</v>
      </c>
      <c r="EU287" s="208" t="e">
        <f>Crops[[#This Row],[Custom Yield Per Bed]]/(Crops[[#This Row],[CSA Need]]*(_xlfn.XLOOKUP(Crops[[#This Row],[ProductIndex]],Products[ID],Products[CSA Portion])*CSAMembers))</f>
        <v>#DIV/0!</v>
      </c>
      <c r="EV287" s="208">
        <f>_xlfn.XLOOKUP(Crops[[#This Row],[ProductIndex]],Products[ID],Products[CSA Portion])*CSAMembers*Crops[[#This Row],[CSA Need]]/Crops[[#This Row],[Custom Yield Per Bed]]</f>
        <v>0</v>
      </c>
      <c r="EW287" s="208">
        <f>IFERROR(Crops[[#This Row],[Days In Field]]*Crops[[#This Row],[CSA Beds]],"")</f>
        <v>0</v>
      </c>
      <c r="EX287" s="208" t="e">
        <f>Crops[[#This Row],[CSA Bed Days]]*#REF!</f>
        <v>#REF!</v>
      </c>
      <c r="EY287" t="s">
        <v>360</v>
      </c>
    </row>
    <row r="288" spans="1:155">
      <c r="A288"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Shallots (French Grey) - Mature Bulb 1X | Field DS Ow</v>
      </c>
      <c r="B288" s="185"/>
      <c r="C288" s="1" t="b">
        <v>1</v>
      </c>
      <c r="D288" s="1"/>
      <c r="E288" s="1" t="b">
        <v>0</v>
      </c>
      <c r="F288" s="1" t="b">
        <f>IFERROR(IF(ISNUMBER(MATCH(Crops[[#This Row],[Identifier]],BedPlan[Crop], 0)), TRUE, FALSE), FALSE)</f>
        <v>0</v>
      </c>
      <c r="G288" s="1" t="b">
        <f>IFERROR(IF(ISNUMBER(MATCH(Crops[[#This Row],[Identifier]],BedPlan[Crop], 0)), TRUE, FALSE), FALSE)</f>
        <v>0</v>
      </c>
      <c r="H288" s="1"/>
      <c r="I288" t="s">
        <v>120</v>
      </c>
      <c r="J288" t="s">
        <v>590</v>
      </c>
      <c r="K288" t="s">
        <v>198</v>
      </c>
      <c r="M288" t="s">
        <v>105</v>
      </c>
      <c r="N288" t="str">
        <f>Crops[[#This Row],[Crop]]</f>
        <v>Shallots</v>
      </c>
      <c r="O288" t="s">
        <v>210</v>
      </c>
      <c r="P288" t="str">
        <f>IF(OR(Crops[[#This Row],[Days in Cells]]="",Crops[[#This Row],[Days in Cells]]=0), "DS","TP")</f>
        <v>DS</v>
      </c>
      <c r="U288" t="s">
        <v>144</v>
      </c>
      <c r="V288" t="str">
        <f xml:space="preserve"> IF(Crops[[#This Row],[Sp]], "Sp", "") &amp; IF(Crops[[#This Row],[Su]], "Su", "") &amp; IF(Crops[[#This Row],[Fa]], "Fa", "") &amp; IF(Crops[[#This Row],[Wi]], "Wi", "") &amp; IF(Crops[[#This Row],[OW]], "Ow","")</f>
        <v>Ow</v>
      </c>
      <c r="X288">
        <v>3</v>
      </c>
      <c r="Y288">
        <v>9</v>
      </c>
      <c r="Z288" t="s">
        <v>431</v>
      </c>
      <c r="AA288" t="s">
        <v>474</v>
      </c>
      <c r="AB288" t="b">
        <v>1</v>
      </c>
      <c r="AC288">
        <v>1.5</v>
      </c>
      <c r="AD288" s="32">
        <f>IFERROR(12/Crops[[#This Row],[Spacing]]*Crops[[#This Row],[Rows]]*BedLength,"")</f>
        <v>200</v>
      </c>
      <c r="AE288">
        <v>1</v>
      </c>
      <c r="AG288">
        <f>IF(Crops[[#This Row],[Custom Safety Factor]]="",PlantingSafetyFactor,Crops[[#This Row],[Custom Safety Factor]])</f>
        <v>1.3</v>
      </c>
      <c r="AH288">
        <f>1</f>
        <v>1</v>
      </c>
      <c r="AI288" s="33">
        <f>IFERROR(Crops[[#This Row],[Plantings Per Bed]]*Crops[[#This Row],[Seeds Per Planting]]*Crops[[#This Row],[Safety Factor]]*Crops[[#This Row],[Seeding Factor]],"")</f>
        <v>260</v>
      </c>
      <c r="AL288">
        <f>_xlfn.FLOOR.MATH(IFERROR(AVERAGE(Crops[[#This Row],[DTG Lower]:[DTG Upper]]),0))</f>
        <v>0</v>
      </c>
      <c r="AM288">
        <f>SUM(Crops[[#This Row],[Tray 1 Days]],Crops[[#This Row],[Tray 2 Days]],Crops[[#This Row],[Tray 3 Days]])</f>
        <v>0</v>
      </c>
      <c r="AN288" s="32"/>
      <c r="AP288">
        <v>270</v>
      </c>
      <c r="AQ288">
        <f>IFERROR(_xlfn.FLOOR.MATH(AVERAGE(Crops[[#This Row],[DTM Lower]:[DTM Upper]])),"")</f>
        <v>270</v>
      </c>
      <c r="AR288" cm="1">
        <f t="array" ref="AR288">_xlfn.SWITCH(Crops[[#This Row],[Normal Method]],"DS",Crops[[#This Row],[Days to Germination]]+Crops[[#This Row],[DTM]] + IF(Crops[[#This Row],[Days in Cells]]&gt;0,15,0), "TP",Crops[[#This Row],[DTM]]+Crops[[#This Row],[Days in Cells]] + IF(Crops[[#This Row],[Days in Cells]]&lt;=0,20,0), "X", Crops[[#This Row],[DTM]])</f>
        <v>270</v>
      </c>
      <c r="AS288" t="s">
        <v>338</v>
      </c>
      <c r="AT288">
        <f>(Crops[[#This Row],[Harvests]]-1)*Crops[[#This Row],[Days Between Harvest]]+7</f>
        <v>7</v>
      </c>
      <c r="AU288">
        <f>Crops[[#This Row],[STH]]-Crops[[#This Row],[Days in Cells]]+Crops[[#This Row],[Harvest window]]</f>
        <v>277</v>
      </c>
      <c r="AW288">
        <v>72</v>
      </c>
      <c r="AZ288" t="str">
        <f>IFERROR(IF(Crops[[#This Row],[Tray 1 Days]]=0,"",Crops[[#This Row],[Plantings Per Bed]]/Crops[[#This Row],[Tray 1 Size]]*Crops[[#This Row],[Safety Factor]]),"")</f>
        <v/>
      </c>
      <c r="BC288" t="str">
        <f>IFERROR(IF(Crops[[#This Row],[Tray 2 Days]]=0,"",Crops[[#This Row],[Plantings Per Bed]]/Crops[[#This Row],[Tray 2 Size]]*Crops[[#This Row],[Safety Factor]]),"")</f>
        <v/>
      </c>
      <c r="BE288" s="32" t="str">
        <f>IF(NOT(ISBLANK(Crops[[#This Row],[Tray 3 Size]])), Crops[[#This Row],[Days in Cells Old]]-SUM(Crops[[#This Row],[Tray 1 Days]],Crops[[#This Row],[Tray 2 Days]]), "")</f>
        <v/>
      </c>
      <c r="BF288" t="str">
        <f>IFERROR(IF(Crops[[#This Row],[Tray 3 Days]]=0,"",Crops[[#This Row],[Plantings Per Bed]]/Crops[[#This Row],[Tray 3 Size]]*Crops[[#This Row],[Safety Factor]]),"")</f>
        <v/>
      </c>
      <c r="BG288" s="33">
        <f>50*BedLength/StandardBedLength</f>
        <v>25</v>
      </c>
      <c r="BH288" s="33">
        <v>1</v>
      </c>
      <c r="BI288" s="33">
        <v>0</v>
      </c>
      <c r="BJ288" s="33">
        <f>_xlfn.XLOOKUP(Crops[[#This Row],[ProductIndex]],Products[ID],Products[Holding Period])</f>
        <v>0</v>
      </c>
      <c r="BK288" s="33">
        <v>21</v>
      </c>
      <c r="BL288" s="33">
        <f>Crops[[#This Row],[Units Per Harvest]]*Crops[[#This Row],[Harvests]]</f>
        <v>25</v>
      </c>
      <c r="BM288" s="35">
        <v>26</v>
      </c>
      <c r="BN288" s="35">
        <f>Crops[[#This Row],[Direct Price]]*0.6</f>
        <v>15.6</v>
      </c>
      <c r="BO288" s="35"/>
      <c r="BP288" t="s">
        <v>383</v>
      </c>
      <c r="BQ288">
        <f>Crops[[#This Row],[Custom Yield Per Bed]]*Crops[[#This Row],[Direct Price]]</f>
        <v>650</v>
      </c>
      <c r="BS288" t="b">
        <f>Crops[[#This Row],[Harvests]]&gt;1</f>
        <v>0</v>
      </c>
      <c r="BT288" s="36">
        <f>IFERROR(Crops[[#This Row],[Direct Revenue Per Bed]]/Crops[[#This Row],[Days In Field]],-1)</f>
        <v>2.3465703971119134</v>
      </c>
      <c r="BU288" s="36">
        <f>IFERROR(Crops[[#This Row],[Direct Revenue Per Bed Day]]*GrowingDays*BedsPerAcre,"")</f>
        <v>67581.227436823116</v>
      </c>
      <c r="BV288" s="38">
        <f>LastFrostDate-5*Crops[[#This Row],[Sewing Rel Last Frost]]</f>
        <v>45898</v>
      </c>
      <c r="BW288" s="38">
        <f>Crops[[#This Row],[Target Sewing Date]]+Crops[[#This Row],[Days in Cells]]</f>
        <v>45898</v>
      </c>
      <c r="BX288" s="38">
        <f>Crops[[#This Row],[Target Sewing Date]]+Crops[[#This Row],[STH]]</f>
        <v>46168</v>
      </c>
      <c r="BY288" s="38">
        <f>Crops[[#This Row],[Target Harvest Data]]+Crops[[#This Row],[Harvest window]]</f>
        <v>46175</v>
      </c>
      <c r="BZ288">
        <v>-30</v>
      </c>
      <c r="CB288">
        <f>1</f>
        <v>1</v>
      </c>
      <c r="CC288">
        <f>IF(Crops[[#This Row],[Transplanting]]&gt;0, 2, 3)*BedLength/StandardBedLength</f>
        <v>1.5</v>
      </c>
      <c r="CD288" s="173">
        <f>IF(Crops[[#This Row],[Days in Cells]]&lt;=0,0,Crops[[#This Row],[Plantings Per Bed]]/StartsPerHourSeeding+Crops[[#This Row],[Tray 1 Count]]*5/60)</f>
        <v>0</v>
      </c>
      <c r="CE288" s="173">
        <f>IF(ISBLANK(Crops[[#This Row],[Tray 2 Days]]),0,Crops[[#This Row],[Plantings Per Bed]]/UpPottingPerHour)+IF(Crops[[#This Row],[Tray 3 Days]]="",0,Crops[[#This Row],[Plantings Per Bed]]/UpPottingPerHour)</f>
        <v>0</v>
      </c>
      <c r="CF288" s="173">
        <f>IFERROR(Crops[[#This Row],[Tray 1 Count]]/HomeStartFlatIrrigationPerHour,0)*Crops[[#This Row],[Days in Cells]]/DaysBetweenStartIrrigation</f>
        <v>0</v>
      </c>
      <c r="CG288" s="173">
        <f>0.5/16*MAX(Crops[[#This Row],[Tray 1 Count]],Crops[[#This Row],[Tray 2 Count]],Crops[[#This Row],[Tray 3 Count]])</f>
        <v>0</v>
      </c>
      <c r="CH288" s="173">
        <f>IF(Crops[[#This Row],[Days in Cells]]&gt;0,IF(IF(Crops[[#This Row],[Tray 3 Size]]&gt;0,Crops[[#This Row],[Tray 3 Size]],IF(Crops[[#This Row],[Tray 2 Size]]&gt;0,Crops[[#This Row],[Tray 2 Size]],Crops[[#This Row],[Tray 1 Size]]))&lt;=18,LargeTransplantTime,SmallTransplantTime)*Crops[[#This Row],[Plantings Per Bed]],0)</f>
        <v>0</v>
      </c>
      <c r="CI288" s="173"/>
      <c r="CJ288" s="173">
        <f>_xlfn.XLOOKUP(Crops[[#This Row],[Trellis Type]],TrellisMethods[Trellis Type],TrellisMethods[Hours],0,0)</f>
        <v>0</v>
      </c>
      <c r="CK288">
        <f>IF(Crops[[#This Row],[Days in Cells]]&lt;=0,Crops[[#This Row],[Rows]]*1/10,0)*BedLength/50</f>
        <v>0.3</v>
      </c>
      <c r="CL288" cm="1">
        <f t="array" ref="CL288">_xlfn.SWITCH(Crops[[#This Row],[Irrigation]],"DR", 0.5, "OH", 0.25,0)*BedLength/50</f>
        <v>0.25</v>
      </c>
      <c r="CM288">
        <f>IF(OR(ISBLANK(Crops[[#This Row],[Row Cover]]),Crops[[#This Row],[Row Cover]]="None"),0,1)*BedLength/50</f>
        <v>0</v>
      </c>
      <c r="CN288" s="173">
        <f>HoursPerWeedingPass*Crops[[#This Row],[Days In Field]]/14*Crops[[#This Row],[Rows]]+1*BedLength/50</f>
        <v>10.892857142857142</v>
      </c>
      <c r="CQ288" s="37">
        <f>_xlfn.XLOOKUP(Crops[[#This Row],[Crop]]&amp;Crops[[#This Row],[Product]]&amp;Crops[[#This Row],[Unit]],Products[ID],Products[Marketing (hr)])*Crops[[#This Row],[Direct Revenue Per Bed]]/2000</f>
        <v>0.97499999999999998</v>
      </c>
      <c r="CR288" s="37">
        <f>_xlfn.XLOOKUP(Crops[[#This Row],[Crop]]&amp;Crops[[#This Row],[Product]]&amp;Crops[[#This Row],[Unit]],Products[ID],Products[Harvest (s)])*Crops[[#This Row],[Custom Yield Per Bed]]/3600</f>
        <v>0.41666666666666669</v>
      </c>
      <c r="CS288" s="37">
        <f>_xlfn.XLOOKUP(Crops[[#This Row],[Crop]]&amp;Crops[[#This Row],[Product]]&amp;Crops[[#This Row],[Unit]],Products[ID],Products[Bunch (s)])*Crops[[#This Row],[Custom Yield Per Bed]]/3600</f>
        <v>0</v>
      </c>
      <c r="CT288" s="37">
        <f>_xlfn.XLOOKUP(Crops[[#This Row],[Crop]]&amp;Crops[[#This Row],[Product]]&amp;Crops[[#This Row],[Unit]],Products[ID],Products[Haul (s)])*Crops[[#This Row],[Custom Yield Per Bed]]/3600</f>
        <v>1.5625E-2</v>
      </c>
      <c r="CU288" s="37">
        <f>_xlfn.XLOOKUP(Crops[[#This Row],[Crop]]&amp;Crops[[#This Row],[Product]]&amp;Crops[[#This Row],[Unit]],Products[ID],Products[Wash (s)])*Crops[[#This Row],[Custom Yield Per Bed]]/3600</f>
        <v>0.1388888888888889</v>
      </c>
      <c r="CV288" s="37">
        <f>_xlfn.XLOOKUP(Crops[[#This Row],[Crop]]&amp;Crops[[#This Row],[Product]]&amp;Crops[[#This Row],[Unit]],Products[ID],Products[Condition (s)])*Crops[[#This Row],[Custom Yield Per Bed]]/3600</f>
        <v>0</v>
      </c>
      <c r="CW288" s="37">
        <f>_xlfn.XLOOKUP(Crops[[#This Row],[Crop]]&amp;Crops[[#This Row],[Product]]&amp;Crops[[#This Row],[Unit]],Products[ID],Products[Trim (s)])*Crops[[#This Row],[Custom Yield Per Bed]]/3600</f>
        <v>0.41666666666666669</v>
      </c>
      <c r="CX288" s="37">
        <f>_xlfn.XLOOKUP(Crops[[#This Row],[Crop]]&amp;Crops[[#This Row],[Product]]&amp;Crops[[#This Row],[Unit]],Products[ID],Products[Pack (s)])*Crops[[#This Row],[Custom Yield Per Bed]]/3600</f>
        <v>2.0833333333333332E-2</v>
      </c>
      <c r="CY288" s="37">
        <f>_xlfn.XLOOKUP(Crops[[#This Row],[Crop]]&amp;Crops[[#This Row],[Product]]&amp;Crops[[#This Row],[Unit]],Products[ID],Products[Clean (s)])*Crops[[#This Row],[Custom Yield Per Bed]]/3600</f>
        <v>0</v>
      </c>
      <c r="CZ288" s="37">
        <f>_xlfn.XLOOKUP(Crops[[#This Row],[Crop]]&amp;Crops[[#This Row],[Product]]&amp;Crops[[#This Row],[Unit]],Products[ID],Products[Rehandle (s)])*Crops[[#This Row],[Custom Yield Per Bed]]/3600</f>
        <v>0</v>
      </c>
      <c r="DA288" s="37">
        <f>_xlfn.XLOOKUP(Crops[[#This Row],[Crop]]&amp;Crops[[#This Row],[Product]]&amp;Crops[[#This Row],[Unit]],Products[ID],Products[Market Transport (s)])*Crops[[#This Row],[Custom Yield Per Bed]]/3600</f>
        <v>3.90625E-2</v>
      </c>
      <c r="DC288" s="37">
        <f>Crops[[#This Row],[Direct Revenue Per Bed2]]</f>
        <v>650</v>
      </c>
      <c r="DD288" s="173">
        <f>_xlfn.AGGREGATE(9,6,Crops[[#This Row],[Bed Prep]:[Remove Crop Residue]])</f>
        <v>14.965600198412698</v>
      </c>
      <c r="DE288" s="173">
        <f>_xlfn.AGGREGATE(9,6,Crops[[#This Row],[Bed Prep]:[Remove Crop Residue]])-0.75*Crops[[#This Row],[Market &amp; Sell]]</f>
        <v>14.234350198412699</v>
      </c>
      <c r="DF288" s="36">
        <f>Crops[[#This Row],[Direct Revenue Per Bed2]]/Crops[[#This Row],[Direct Time]]</f>
        <v>43.432938965517813</v>
      </c>
      <c r="DG288" s="36">
        <f>_xlfn.XLOOKUP(Crops[[#This Row],[ProductIndex]],Products[ID],Products[Packaging Cost])*(Crops[[#This Row],[Custom Yield Per Bed]]/_xlfn.XLOOKUP(Crops[[#This Row],[ProductIndex]],Products[ID],Products[Units Per Pack]))</f>
        <v>3.8</v>
      </c>
      <c r="DH288" s="36"/>
      <c r="DI288" s="36"/>
      <c r="DJ288" s="36"/>
      <c r="DK288" s="36"/>
      <c r="DL288" s="36"/>
      <c r="DM288" s="33">
        <f>IFERROR(Crops[[#This Row],[Custom Yield Per Bed]]*Crops[[#This Row],[Direct Price]],"")</f>
        <v>650</v>
      </c>
      <c r="DN288" s="36">
        <f>Crops[[#This Row],[Direct Time]]*LaborRate</f>
        <v>374.14000496031747</v>
      </c>
      <c r="DO288" s="36">
        <f>SUM(Crops[[#This Row],[Irrigation Cost]])</f>
        <v>0</v>
      </c>
      <c r="DP288" s="36">
        <f>Crops[[#This Row],[Direct Labor Cost]]+Crops[[#This Row],[Direct Non-Labor Cost]]</f>
        <v>374.14000496031747</v>
      </c>
      <c r="DQ288" s="36">
        <f>Crops[[#This Row],[Direct Revenue Per Bed2]]-Crops[[#This Row],[Direct Total Cost]]</f>
        <v>275.85999503968253</v>
      </c>
      <c r="DR288" s="36">
        <f>Crops[[#This Row],[Direct Profit]]*BedsPerAcre</f>
        <v>44137.599206349201</v>
      </c>
      <c r="DS288" s="36">
        <f>Crops[[#This Row],[Direct Profit]]*BedsPerAcre*GrowingDays/Crops[[#This Row],[Days In Field]]</f>
        <v>28681.472408457965</v>
      </c>
      <c r="DT288" s="36">
        <f>Crops[[#This Row],[Direct Profit]]/MIN(Crops[[#This Row],[Days In Field]],GrowingDays)</f>
        <v>1.5325555279982364</v>
      </c>
      <c r="DU288" s="36">
        <f>Crops[[#This Row],[Direct Time]] * BedsPerAcre</f>
        <v>2394.4960317460318</v>
      </c>
      <c r="DV288" s="36">
        <f>(Crops[[#This Row],[Direct Revenue Per Bed2]]-Crops[[#This Row],[Direct Non-Labor Cost]])/Crops[[#This Row],[Direct Time]]</f>
        <v>43.432938965517813</v>
      </c>
      <c r="DW288" s="33">
        <f>IFERROR(Crops[[#This Row],[Custom Yield Per Bed]]*Crops[[#This Row],[Rough Wholesale Price]],"")</f>
        <v>390</v>
      </c>
      <c r="DX288" s="36">
        <f>Crops[[#This Row],[Wholesale Time]]*LaborRate</f>
        <v>355.85875496031747</v>
      </c>
      <c r="DY288" s="36">
        <f>SUM(Crops[[#This Row],[Packaging Costs]:[Irrigation Cost]])</f>
        <v>3.8</v>
      </c>
      <c r="DZ288" s="36">
        <f>Crops[[#This Row],[Wholesale Labor Cost]]+Crops[[#This Row],[Wholesale Non-Labor Cost]]</f>
        <v>359.65875496031748</v>
      </c>
      <c r="EA288" s="36">
        <f>Crops[[#This Row],[Wholesale Revenue Per Bed]]-Crops[[#This Row],[Wholesale Total Cost]]</f>
        <v>30.341245039682519</v>
      </c>
      <c r="EB288" s="36">
        <f>Crops[[#This Row],[Wholesale Profit]]*BedsPerAcre</f>
        <v>4854.5992063492031</v>
      </c>
      <c r="EC288" s="36">
        <f>Crops[[#This Row],[Wholesale Profit]]*BedsPerAcre*GrowingDays/Crops[[#This Row],[Days In Field]]</f>
        <v>3154.6132026817927</v>
      </c>
      <c r="ED288" s="36">
        <f>Crops[[#This Row],[Wholesale Time]] * BedsPerAcre</f>
        <v>2277.4960317460318</v>
      </c>
      <c r="EE288" s="36">
        <f>Crops[[#This Row],[Wholesale Profit]]/MIN(Crops[[#This Row],[Days In Field]],GrowingDays)</f>
        <v>0.16856247244268066</v>
      </c>
      <c r="EF288" s="36">
        <f>(Crops[[#This Row],[Wholesale Revenue Per Bed]]-Crops[[#This Row],[Wholesale Non-Labor Cost]])/Crops[[#This Row],[Direct Time]]</f>
        <v>25.80584773612766</v>
      </c>
      <c r="EG288" s="174">
        <f>Crops[[#This Row],[Packaging Costs]]/Crops[[#This Row],[Wholesale Revenue Per Bed]]</f>
        <v>9.7435897435897423E-3</v>
      </c>
      <c r="EH288" s="36" t="str">
        <f>Crops[[#This Row],[Crop]]&amp;Crops[[#This Row],[Product]]&amp;Crops[[#This Row],[Unit]]</f>
        <v>ShallotsMature BulbLb</v>
      </c>
      <c r="EI288" s="36" t="b">
        <f>_xlfn.XLOOKUP(Crops[[#This Row],[ProductIndex]],Products[ID],Products[Target])</f>
        <v>1</v>
      </c>
      <c r="EJ288" s="36">
        <f>Crops[[#This Row],[Custom Yield Per Bed]]</f>
        <v>25</v>
      </c>
      <c r="EK288" s="210" t="e">
        <f>Crops[[#This Row],[Units Per Harvest]]/Crops[[#This Row],[Days Between Harvest]]*7</f>
        <v>#DIV/0!</v>
      </c>
      <c r="EL288" s="210" t="e">
        <f>Crops[[#This Row],[Custom Yield Per Bed]]/_xlfn.XLOOKUP(Crops[[#This Row],[ProductIndex]],Products[ID],Products[CSA Portion])</f>
        <v>#DIV/0!</v>
      </c>
      <c r="EM288" s="210" t="e">
        <f>Crops[[#This Row],[Units Per Harvest]]/Crops[[#This Row],[Days Between Harvest]]*7/_xlfn.XLOOKUP(Crops[[#This Row],[ProductIndex]],Products[ID],Products[CSA Portion])</f>
        <v>#DIV/0!</v>
      </c>
      <c r="EN288" s="210" t="e">
        <f>Crops[[#This Row],[CSA Portions Per Week]]/CSAMembers</f>
        <v>#DIV/0!</v>
      </c>
      <c r="EO288" s="210"/>
      <c r="EP288" s="210"/>
      <c r="EQ288" s="36"/>
      <c r="ER288" s="36">
        <f>Crops[[#This Row],[Harvests]]*Crops[[#This Row],[Days Between Harvest]]/7</f>
        <v>0</v>
      </c>
      <c r="ES288" s="208">
        <f>_xlfn.XLOOKUP(Crops[[#This Row],[ProductIndex]],Products[ID],Products[CSA Need])</f>
        <v>0</v>
      </c>
      <c r="ET288" s="208">
        <f>_xlfn.XLOOKUP(Crops[[#This Row],[ProductIndex]],Products[ID],Products[CSA Times])</f>
        <v>0</v>
      </c>
      <c r="EU288" s="208" t="e">
        <f>Crops[[#This Row],[Custom Yield Per Bed]]/(Crops[[#This Row],[CSA Need]]*(_xlfn.XLOOKUP(Crops[[#This Row],[ProductIndex]],Products[ID],Products[CSA Portion])*CSAMembers))</f>
        <v>#DIV/0!</v>
      </c>
      <c r="EV288" s="208">
        <f>_xlfn.XLOOKUP(Crops[[#This Row],[ProductIndex]],Products[ID],Products[CSA Portion])*CSAMembers*Crops[[#This Row],[CSA Need]]/Crops[[#This Row],[Custom Yield Per Bed]]</f>
        <v>0</v>
      </c>
      <c r="EW288" s="208">
        <f>IFERROR(Crops[[#This Row],[Days In Field]]*Crops[[#This Row],[CSA Beds]],"")</f>
        <v>0</v>
      </c>
      <c r="EX288" s="208" t="e">
        <f>Crops[[#This Row],[CSA Bed Days]]*#REF!</f>
        <v>#REF!</v>
      </c>
      <c r="EY288" t="s">
        <v>339</v>
      </c>
    </row>
    <row r="289" spans="1:155">
      <c r="A28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Shiso - Loose Leaf 3X | Field DS SpSu</v>
      </c>
      <c r="B289" s="179"/>
      <c r="C289" s="1"/>
      <c r="D289" s="1"/>
      <c r="E289" s="1" t="b">
        <v>0</v>
      </c>
      <c r="F289" s="1" t="b">
        <f>IFERROR(IF(ISNUMBER(MATCH(Crops[[#This Row],[Identifier]],BedPlan[Crop], 0)), TRUE, FALSE), FALSE)</f>
        <v>0</v>
      </c>
      <c r="G289" s="1" t="b">
        <f>IFERROR(IF(ISNUMBER(MATCH(Crops[[#This Row],[Identifier]],BedPlan[Crop], 0)), TRUE, FALSE), FALSE)</f>
        <v>0</v>
      </c>
      <c r="H289" s="1" t="b">
        <v>1</v>
      </c>
      <c r="I289" t="s">
        <v>388</v>
      </c>
      <c r="J289" t="s">
        <v>145</v>
      </c>
      <c r="K289" t="s">
        <v>190</v>
      </c>
      <c r="N289" t="str">
        <f>Crops[[#This Row],[Crop]]</f>
        <v>Shiso</v>
      </c>
      <c r="O289" t="s">
        <v>210</v>
      </c>
      <c r="P289" t="str">
        <f>IF(OR(Crops[[#This Row],[Days in Cells]]="",Crops[[#This Row],[Days in Cells]]=0), "DS","TP")</f>
        <v>DS</v>
      </c>
      <c r="Q289" t="b">
        <v>1</v>
      </c>
      <c r="R289" t="b">
        <v>1</v>
      </c>
      <c r="V289" t="str">
        <f xml:space="preserve"> IF(Crops[[#This Row],[Sp]], "Sp", "") &amp; IF(Crops[[#This Row],[Su]], "Su", "") &amp; IF(Crops[[#This Row],[Fa]], "Fa", "") &amp; IF(Crops[[#This Row],[Wi]], "Wi", "") &amp; IF(Crops[[#This Row],[OW]], "Ow","")</f>
        <v>SpSu</v>
      </c>
      <c r="W289" t="b">
        <v>1</v>
      </c>
      <c r="X289">
        <v>2</v>
      </c>
      <c r="Y289">
        <v>12</v>
      </c>
      <c r="AD289" s="32">
        <f>IFERROR(12/Crops[[#This Row],[Spacing]]*Crops[[#This Row],[Rows]]*BedLength,"")</f>
        <v>100</v>
      </c>
      <c r="AE289">
        <v>3</v>
      </c>
      <c r="AG289">
        <f>IF(Crops[[#This Row],[Custom Safety Factor]]="",PlantingSafetyFactor,Crops[[#This Row],[Custom Safety Factor]])</f>
        <v>1.3</v>
      </c>
      <c r="AH289">
        <f>1</f>
        <v>1</v>
      </c>
      <c r="AI289" s="37">
        <f>IFERROR(Crops[[#This Row],[Plantings Per Bed]]*Crops[[#This Row],[Seeds Per Planting]]*Crops[[#This Row],[Safety Factor]]*Crops[[#This Row],[Seeding Factor]],"")</f>
        <v>390</v>
      </c>
      <c r="AJ289">
        <v>15</v>
      </c>
      <c r="AK289">
        <v>30</v>
      </c>
      <c r="AL289">
        <f>_xlfn.FLOOR.MATH(IFERROR(AVERAGE(Crops[[#This Row],[DTG Lower]:[DTG Upper]]),0))</f>
        <v>22</v>
      </c>
      <c r="AM289">
        <f>SUM(Crops[[#This Row],[Tray 1 Days]],Crops[[#This Row],[Tray 2 Days]],Crops[[#This Row],[Tray 3 Days]])</f>
        <v>0</v>
      </c>
      <c r="AN289">
        <v>60</v>
      </c>
      <c r="AO289">
        <v>80</v>
      </c>
      <c r="AP289">
        <v>85</v>
      </c>
      <c r="AQ289">
        <f>IFERROR(_xlfn.FLOOR.MATH(AVERAGE(Crops[[#This Row],[DTM Lower]:[DTM Upper]])),"")</f>
        <v>82</v>
      </c>
      <c r="AR289" cm="1">
        <f t="array" ref="AR289">_xlfn.SWITCH(Crops[[#This Row],[Normal Method]],"DS",Crops[[#This Row],[Days to Germination]]+Crops[[#This Row],[DTM]] + IF(Crops[[#This Row],[Days in Cells]]&gt;0,15,0), "TP",Crops[[#This Row],[DTM]]+Crops[[#This Row],[Days in Cells]] + IF(Crops[[#This Row],[Days in Cells]]&lt;=0,20,0), "X", Crops[[#This Row],[DTM]])</f>
        <v>102</v>
      </c>
      <c r="AS289" t="s">
        <v>346</v>
      </c>
      <c r="AT289">
        <f>(Crops[[#This Row],[Harvests]]-1)*Crops[[#This Row],[Days Between Harvest]]+7</f>
        <v>112</v>
      </c>
      <c r="AU289">
        <f>Crops[[#This Row],[STH]]-Crops[[#This Row],[Days in Cells]]+Crops[[#This Row],[Harvest window]]</f>
        <v>214</v>
      </c>
      <c r="AW289">
        <v>128</v>
      </c>
      <c r="AZ289" t="str">
        <f>IFERROR(IF(Crops[[#This Row],[Tray 1 Days]]=0,"",Crops[[#This Row],[Plantings Per Bed]]/Crops[[#This Row],[Tray 1 Size]]*Crops[[#This Row],[Safety Factor]]),"")</f>
        <v/>
      </c>
      <c r="BC289" t="str">
        <f>IFERROR(IF(Crops[[#This Row],[Tray 2 Days]]=0,"",Crops[[#This Row],[Plantings Per Bed]]/Crops[[#This Row],[Tray 2 Size]]*Crops[[#This Row],[Safety Factor]]),"")</f>
        <v/>
      </c>
      <c r="BE289" s="32" t="str">
        <f>IF(NOT(ISBLANK(Crops[[#This Row],[Tray 3 Size]])), Crops[[#This Row],[Days in Cells Old]]-SUM(Crops[[#This Row],[Tray 1 Days]],Crops[[#This Row],[Tray 2 Days]]), "")</f>
        <v/>
      </c>
      <c r="BF289" t="str">
        <f>IFERROR(IF(Crops[[#This Row],[Tray 3 Days]]=0,"",Crops[[#This Row],[Plantings Per Bed]]/Crops[[#This Row],[Tray 3 Size]]*Crops[[#This Row],[Safety Factor]]),"")</f>
        <v/>
      </c>
      <c r="BG289">
        <f>Crops[[#This Row],[Plantings Per Bed]]/5</f>
        <v>20</v>
      </c>
      <c r="BH289">
        <v>16</v>
      </c>
      <c r="BI289">
        <v>7</v>
      </c>
      <c r="BJ289" s="37">
        <f>_xlfn.XLOOKUP(Crops[[#This Row],[ProductIndex]],Products[ID],Products[Holding Period])</f>
        <v>0</v>
      </c>
      <c r="BL289" s="37">
        <f>Crops[[#This Row],[Units Per Harvest]]*Crops[[#This Row],[Harvests]]</f>
        <v>320</v>
      </c>
      <c r="BM289">
        <v>3</v>
      </c>
      <c r="BN289" s="211">
        <f>Crops[[#This Row],[Direct Price]]*0.6</f>
        <v>1.7999999999999998</v>
      </c>
      <c r="BO289" s="211"/>
      <c r="BP289" t="s">
        <v>389</v>
      </c>
      <c r="BQ289">
        <f>Crops[[#This Row],[Custom Yield Per Bed]]*Crops[[#This Row],[Direct Price]]</f>
        <v>960</v>
      </c>
      <c r="BS289" t="b">
        <f>Crops[[#This Row],[Harvests]]&gt;1</f>
        <v>1</v>
      </c>
      <c r="BT289" s="36">
        <f>IFERROR(Crops[[#This Row],[Direct Revenue Per Bed]]/Crops[[#This Row],[Days In Field]],-1)</f>
        <v>4.4859813084112146</v>
      </c>
      <c r="BU289" s="36">
        <f>IFERROR(Crops[[#This Row],[Direct Revenue Per Bed Day]]*GrowingDays*BedsPerAcre,"")</f>
        <v>129196.26168224298</v>
      </c>
      <c r="BV289" s="38">
        <f>LastFrostDate-5*Crops[[#This Row],[Sewing Rel Last Frost]]</f>
        <v>45748</v>
      </c>
      <c r="BW289" s="38">
        <f>Crops[[#This Row],[Target Sewing Date]]+Crops[[#This Row],[Days in Cells]]</f>
        <v>45748</v>
      </c>
      <c r="BX289" s="38">
        <f>Crops[[#This Row],[Target Sewing Date]]+Crops[[#This Row],[STH]]</f>
        <v>45850</v>
      </c>
      <c r="BY289" s="38">
        <f>Crops[[#This Row],[Target Harvest Data]]+Crops[[#This Row],[Harvest window]]</f>
        <v>45962</v>
      </c>
      <c r="CB289">
        <f>1</f>
        <v>1</v>
      </c>
      <c r="CC289">
        <f>IF(Crops[[#This Row],[Transplanting]]&gt;0, 2, 3)*BedLength/StandardBedLength</f>
        <v>1.5</v>
      </c>
      <c r="CD289" s="173">
        <f>IF(Crops[[#This Row],[Days in Cells]]&lt;=0,0,Crops[[#This Row],[Plantings Per Bed]]/StartsPerHourSeeding+Crops[[#This Row],[Tray 1 Count]]*5/60)</f>
        <v>0</v>
      </c>
      <c r="CE289" s="173">
        <f>IF(ISBLANK(Crops[[#This Row],[Tray 2 Days]]),0,Crops[[#This Row],[Plantings Per Bed]]/UpPottingPerHour)+IF(Crops[[#This Row],[Tray 3 Days]]="",0,Crops[[#This Row],[Plantings Per Bed]]/UpPottingPerHour)</f>
        <v>0</v>
      </c>
      <c r="CF289" s="173">
        <f>IFERROR(Crops[[#This Row],[Tray 1 Count]]/HomeStartFlatIrrigationPerHour,0)*Crops[[#This Row],[Days in Cells]]/DaysBetweenStartIrrigation</f>
        <v>0</v>
      </c>
      <c r="CG289" s="173">
        <f>0.5/16*MAX(Crops[[#This Row],[Tray 1 Count]],Crops[[#This Row],[Tray 2 Count]],Crops[[#This Row],[Tray 3 Count]])</f>
        <v>0</v>
      </c>
      <c r="CH289" s="173">
        <f>IF(Crops[[#This Row],[Days in Cells]]&gt;0,IF(IF(Crops[[#This Row],[Tray 3 Size]]&gt;0,Crops[[#This Row],[Tray 3 Size]],IF(Crops[[#This Row],[Tray 2 Size]]&gt;0,Crops[[#This Row],[Tray 2 Size]],Crops[[#This Row],[Tray 1 Size]]))&lt;=18,LargeTransplantTime,SmallTransplantTime)*Crops[[#This Row],[Plantings Per Bed]],0)</f>
        <v>0</v>
      </c>
      <c r="CI289" s="173"/>
      <c r="CJ289" s="173">
        <f>_xlfn.XLOOKUP(Crops[[#This Row],[Trellis Type]],TrellisMethods[Trellis Type],TrellisMethods[Hours],0,0)</f>
        <v>0</v>
      </c>
      <c r="CK289">
        <f>IF(Crops[[#This Row],[Days in Cells]]&lt;=0,Crops[[#This Row],[Rows]]*1/10,0)*BedLength/50</f>
        <v>0.2</v>
      </c>
      <c r="CL289" cm="1">
        <f t="array" ref="CL289">_xlfn.SWITCH(Crops[[#This Row],[Irrigation]],"DR", 0.5, "OH", 0.25,0)*BedLength/50</f>
        <v>0</v>
      </c>
      <c r="CM289">
        <f>IF(OR(ISBLANK(Crops[[#This Row],[Row Cover]]),Crops[[#This Row],[Row Cover]]="None"),0,1)*BedLength/50</f>
        <v>0</v>
      </c>
      <c r="CN289" s="173">
        <f>HoursPerWeedingPass*Crops[[#This Row],[Days In Field]]/14*Crops[[#This Row],[Rows]]+1*BedLength/50</f>
        <v>6.0952380952380949</v>
      </c>
      <c r="CQ289" s="37">
        <f>_xlfn.XLOOKUP(Crops[[#This Row],[Crop]]&amp;Crops[[#This Row],[Product]]&amp;Crops[[#This Row],[Unit]],Products[ID],Products[Marketing (hr)])*Crops[[#This Row],[Direct Revenue Per Bed]]/2000</f>
        <v>2.4</v>
      </c>
      <c r="CR289" s="37">
        <f>_xlfn.XLOOKUP(Crops[[#This Row],[Crop]]&amp;Crops[[#This Row],[Product]]&amp;Crops[[#This Row],[Unit]],Products[ID],Products[Harvest (s)])*Crops[[#This Row],[Custom Yield Per Bed]]/3600</f>
        <v>4.2666666666666666</v>
      </c>
      <c r="CS289" s="37">
        <f>_xlfn.XLOOKUP(Crops[[#This Row],[Crop]]&amp;Crops[[#This Row],[Product]]&amp;Crops[[#This Row],[Unit]],Products[ID],Products[Bunch (s)])*Crops[[#This Row],[Custom Yield Per Bed]]/3600</f>
        <v>0.88888888888888884</v>
      </c>
      <c r="CT289" s="37">
        <f>_xlfn.XLOOKUP(Crops[[#This Row],[Crop]]&amp;Crops[[#This Row],[Product]]&amp;Crops[[#This Row],[Unit]],Products[ID],Products[Haul (s)])*Crops[[#This Row],[Custom Yield Per Bed]]/3600</f>
        <v>0.22222222222222221</v>
      </c>
      <c r="CU289" s="37">
        <f>_xlfn.XLOOKUP(Crops[[#This Row],[Crop]]&amp;Crops[[#This Row],[Product]]&amp;Crops[[#This Row],[Unit]],Products[ID],Products[Wash (s)])*Crops[[#This Row],[Custom Yield Per Bed]]/3600</f>
        <v>0</v>
      </c>
      <c r="CV289" s="37">
        <f>_xlfn.XLOOKUP(Crops[[#This Row],[Crop]]&amp;Crops[[#This Row],[Product]]&amp;Crops[[#This Row],[Unit]],Products[ID],Products[Condition (s)])*Crops[[#This Row],[Custom Yield Per Bed]]/3600</f>
        <v>0</v>
      </c>
      <c r="CW289" s="37">
        <f>_xlfn.XLOOKUP(Crops[[#This Row],[Crop]]&amp;Crops[[#This Row],[Product]]&amp;Crops[[#This Row],[Unit]],Products[ID],Products[Trim (s)])*Crops[[#This Row],[Custom Yield Per Bed]]/3600</f>
        <v>0</v>
      </c>
      <c r="CX289" s="37">
        <f>_xlfn.XLOOKUP(Crops[[#This Row],[Crop]]&amp;Crops[[#This Row],[Product]]&amp;Crops[[#This Row],[Unit]],Products[ID],Products[Pack (s)])*Crops[[#This Row],[Custom Yield Per Bed]]/3600</f>
        <v>0.26666666666666666</v>
      </c>
      <c r="CY289" s="37">
        <f>_xlfn.XLOOKUP(Crops[[#This Row],[Crop]]&amp;Crops[[#This Row],[Product]]&amp;Crops[[#This Row],[Unit]],Products[ID],Products[Clean (s)])*Crops[[#This Row],[Custom Yield Per Bed]]/3600</f>
        <v>0</v>
      </c>
      <c r="CZ289" s="37">
        <f>_xlfn.XLOOKUP(Crops[[#This Row],[Crop]]&amp;Crops[[#This Row],[Product]]&amp;Crops[[#This Row],[Unit]],Products[ID],Products[Rehandle (s)])*Crops[[#This Row],[Custom Yield Per Bed]]/3600</f>
        <v>0</v>
      </c>
      <c r="DA289" s="37">
        <f>_xlfn.XLOOKUP(Crops[[#This Row],[Crop]]&amp;Crops[[#This Row],[Product]]&amp;Crops[[#This Row],[Unit]],Products[ID],Products[Market Transport (s)])*Crops[[#This Row],[Custom Yield Per Bed]]/3600</f>
        <v>0.55555555555555558</v>
      </c>
      <c r="DC289" s="37">
        <f>Crops[[#This Row],[Direct Revenue Per Bed2]]</f>
        <v>960</v>
      </c>
      <c r="DD289" s="173">
        <f>_xlfn.AGGREGATE(9,6,Crops[[#This Row],[Bed Prep]:[Remove Crop Residue]])</f>
        <v>16.395238095238096</v>
      </c>
      <c r="DE289" s="173">
        <f>_xlfn.AGGREGATE(9,6,Crops[[#This Row],[Bed Prep]:[Remove Crop Residue]])-0.75*Crops[[#This Row],[Market &amp; Sell]]</f>
        <v>14.595238095238095</v>
      </c>
      <c r="DF289" s="36">
        <f>Crops[[#This Row],[Direct Revenue Per Bed2]]/Crops[[#This Row],[Direct Time]]</f>
        <v>58.55358698809178</v>
      </c>
      <c r="DG289" s="36">
        <f>_xlfn.XLOOKUP(Crops[[#This Row],[ProductIndex]],Products[ID],Products[Packaging Cost])*(Crops[[#This Row],[Custom Yield Per Bed]]/_xlfn.XLOOKUP(Crops[[#This Row],[ProductIndex]],Products[ID],Products[Units Per Pack]))</f>
        <v>33.777777777777779</v>
      </c>
      <c r="DH289" s="36"/>
      <c r="DI289" s="36"/>
      <c r="DJ289" s="36"/>
      <c r="DK289" s="36"/>
      <c r="DL289" s="36"/>
      <c r="DM289" s="37">
        <f>IFERROR(Crops[[#This Row],[Custom Yield Per Bed]]*Crops[[#This Row],[Direct Price]],"")</f>
        <v>960</v>
      </c>
      <c r="DN289" s="36">
        <f>Crops[[#This Row],[Direct Time]]*LaborRate</f>
        <v>409.88095238095241</v>
      </c>
      <c r="DO289" s="36">
        <f>SUM(Crops[[#This Row],[Irrigation Cost]])</f>
        <v>0</v>
      </c>
      <c r="DP289" s="36">
        <f>Crops[[#This Row],[Direct Labor Cost]]+Crops[[#This Row],[Direct Non-Labor Cost]]</f>
        <v>409.88095238095241</v>
      </c>
      <c r="DQ289" s="36">
        <f>Crops[[#This Row],[Direct Revenue Per Bed2]]-Crops[[#This Row],[Direct Total Cost]]</f>
        <v>550.11904761904759</v>
      </c>
      <c r="DR289" s="36">
        <f>Crops[[#This Row],[Direct Profit]]*BedsPerAcre</f>
        <v>88019.047619047618</v>
      </c>
      <c r="DS289" s="36">
        <f>Crops[[#This Row],[Direct Profit]]*BedsPerAcre*GrowingDays/Crops[[#This Row],[Days In Field]]</f>
        <v>74034.712950600791</v>
      </c>
      <c r="DT289" s="36">
        <f>Crops[[#This Row],[Direct Profit]]/MIN(Crops[[#This Row],[Days In Field]],GrowingDays)</f>
        <v>3.0562169312169312</v>
      </c>
      <c r="DU289" s="36">
        <f>Crops[[#This Row],[Direct Time]] * BedsPerAcre</f>
        <v>2623.2380952380954</v>
      </c>
      <c r="DV289" s="36">
        <f>(Crops[[#This Row],[Direct Revenue Per Bed2]]-Crops[[#This Row],[Direct Non-Labor Cost]])/Crops[[#This Row],[Direct Time]]</f>
        <v>58.55358698809178</v>
      </c>
      <c r="DW289" s="37">
        <f>IFERROR(Crops[[#This Row],[Custom Yield Per Bed]]*Crops[[#This Row],[Rough Wholesale Price]],"")</f>
        <v>576</v>
      </c>
      <c r="DX289" s="36">
        <f>Crops[[#This Row],[Wholesale Time]]*LaborRate</f>
        <v>364.88095238095235</v>
      </c>
      <c r="DY289" s="36">
        <f>SUM(Crops[[#This Row],[Packaging Costs]:[Irrigation Cost]])</f>
        <v>33.777777777777779</v>
      </c>
      <c r="DZ289" s="36">
        <f>Crops[[#This Row],[Wholesale Labor Cost]]+Crops[[#This Row],[Wholesale Non-Labor Cost]]</f>
        <v>398.65873015873012</v>
      </c>
      <c r="EA289" s="36">
        <f>Crops[[#This Row],[Wholesale Revenue Per Bed]]-Crops[[#This Row],[Wholesale Total Cost]]</f>
        <v>177.34126984126988</v>
      </c>
      <c r="EB289" s="36">
        <f>Crops[[#This Row],[Wholesale Profit]]*BedsPerAcre</f>
        <v>28374.60317460318</v>
      </c>
      <c r="EC289" s="36">
        <f>Crops[[#This Row],[Wholesale Profit]]*BedsPerAcre*GrowingDays/Crops[[#This Row],[Days In Field]]</f>
        <v>23866.488651535386</v>
      </c>
      <c r="ED289" s="36">
        <f>Crops[[#This Row],[Wholesale Time]] * BedsPerAcre</f>
        <v>2335.2380952380954</v>
      </c>
      <c r="EE289" s="36">
        <f>Crops[[#This Row],[Wholesale Profit]]/MIN(Crops[[#This Row],[Days In Field]],GrowingDays)</f>
        <v>0.98522927689594375</v>
      </c>
      <c r="EF289" s="36">
        <f>(Crops[[#This Row],[Wholesale Revenue Per Bed]]-Crops[[#This Row],[Wholesale Non-Labor Cost]])/Crops[[#This Row],[Direct Time]]</f>
        <v>33.071933391422206</v>
      </c>
      <c r="EG289" s="174">
        <f>Crops[[#This Row],[Packaging Costs]]/Crops[[#This Row],[Wholesale Revenue Per Bed]]</f>
        <v>5.8641975308641979E-2</v>
      </c>
      <c r="EH289" s="36" t="str">
        <f>Crops[[#This Row],[Crop]]&amp;Crops[[#This Row],[Product]]&amp;Crops[[#This Row],[Unit]]</f>
        <v>ShisoLoose Leafbunch</v>
      </c>
      <c r="EI289" s="36" t="b">
        <f>_xlfn.XLOOKUP(Crops[[#This Row],[ProductIndex]],Products[ID],Products[Target])</f>
        <v>1</v>
      </c>
      <c r="EJ289" s="36">
        <f>Crops[[#This Row],[Custom Yield Per Bed]]</f>
        <v>320</v>
      </c>
      <c r="EK289" s="210">
        <f>Crops[[#This Row],[Units Per Harvest]]/Crops[[#This Row],[Days Between Harvest]]*7</f>
        <v>20</v>
      </c>
      <c r="EL289" s="210" t="e">
        <f>Crops[[#This Row],[Custom Yield Per Bed]]/_xlfn.XLOOKUP(Crops[[#This Row],[ProductIndex]],Products[ID],Products[CSA Portion])</f>
        <v>#DIV/0!</v>
      </c>
      <c r="EM289" s="210" t="e">
        <f>Crops[[#This Row],[Units Per Harvest]]/Crops[[#This Row],[Days Between Harvest]]*7/_xlfn.XLOOKUP(Crops[[#This Row],[ProductIndex]],Products[ID],Products[CSA Portion])</f>
        <v>#DIV/0!</v>
      </c>
      <c r="EN289" s="210" t="e">
        <f>Crops[[#This Row],[CSA Portions Per Week]]/CSAMembers</f>
        <v>#DIV/0!</v>
      </c>
      <c r="EO289" s="210"/>
      <c r="EP289" s="210"/>
      <c r="EQ289" s="36"/>
      <c r="ER289" s="36">
        <f>Crops[[#This Row],[Harvests]]*Crops[[#This Row],[Days Between Harvest]]/7</f>
        <v>16</v>
      </c>
      <c r="ES289" s="208">
        <f>_xlfn.XLOOKUP(Crops[[#This Row],[ProductIndex]],Products[ID],Products[CSA Need])</f>
        <v>0</v>
      </c>
      <c r="ET289" s="208">
        <f>_xlfn.XLOOKUP(Crops[[#This Row],[ProductIndex]],Products[ID],Products[CSA Times])</f>
        <v>0</v>
      </c>
      <c r="EU289" s="208" t="e">
        <f>Crops[[#This Row],[Custom Yield Per Bed]]/(Crops[[#This Row],[CSA Need]]*(_xlfn.XLOOKUP(Crops[[#This Row],[ProductIndex]],Products[ID],Products[CSA Portion])*CSAMembers))</f>
        <v>#DIV/0!</v>
      </c>
      <c r="EV289" s="208">
        <f>_xlfn.XLOOKUP(Crops[[#This Row],[ProductIndex]],Products[ID],Products[CSA Portion])*CSAMembers*Crops[[#This Row],[CSA Need]]/Crops[[#This Row],[Custom Yield Per Bed]]</f>
        <v>0</v>
      </c>
      <c r="EW289" s="208">
        <f>IFERROR(Crops[[#This Row],[Days In Field]]*Crops[[#This Row],[CSA Beds]],"")</f>
        <v>0</v>
      </c>
      <c r="EX289" s="208" t="e">
        <f>Crops[[#This Row],[CSA Bed Days]]*#REF!</f>
        <v>#REF!</v>
      </c>
      <c r="EY289" t="s">
        <v>390</v>
      </c>
    </row>
    <row r="290" spans="1:155">
      <c r="A29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Snapdragons - Mature Stem 1X | Field TP </v>
      </c>
      <c r="B290" s="189"/>
      <c r="C290" s="1" t="b">
        <v>1</v>
      </c>
      <c r="D290" s="1"/>
      <c r="E290" s="1" t="b">
        <v>0</v>
      </c>
      <c r="F290" s="1" t="b">
        <f>IFERROR(IF(ISNUMBER(MATCH(Crops[[#This Row],[Identifier]],BedPlan[Crop], 0)), TRUE, FALSE), FALSE)</f>
        <v>0</v>
      </c>
      <c r="G290" s="1" t="b">
        <f>IFERROR(IF(ISNUMBER(MATCH(Crops[[#This Row],[Identifier]],BedPlan[Crop], 0)), TRUE, FALSE), FALSE)</f>
        <v>0</v>
      </c>
      <c r="H290" s="1"/>
      <c r="I290" t="s">
        <v>121</v>
      </c>
      <c r="J290" t="s">
        <v>145</v>
      </c>
      <c r="K290" t="s">
        <v>181</v>
      </c>
      <c r="M290" t="s">
        <v>406</v>
      </c>
      <c r="N290" t="str">
        <f>Crops[[#This Row],[Crop]]</f>
        <v>Snapdragons</v>
      </c>
      <c r="O290" t="s">
        <v>210</v>
      </c>
      <c r="P290" t="str">
        <f>IF(OR(Crops[[#This Row],[Days in Cells]]="",Crops[[#This Row],[Days in Cells]]=0), "DS","TP")</f>
        <v>TP</v>
      </c>
      <c r="V290" t="str">
        <f xml:space="preserve"> IF(Crops[[#This Row],[Sp]], "Sp", "") &amp; IF(Crops[[#This Row],[Su]], "Su", "") &amp; IF(Crops[[#This Row],[Fa]], "Fa", "") &amp; IF(Crops[[#This Row],[Wi]], "Wi", "") &amp; IF(Crops[[#This Row],[OW]], "Ow","")</f>
        <v/>
      </c>
      <c r="W290" t="s">
        <v>144</v>
      </c>
      <c r="X290">
        <v>6</v>
      </c>
      <c r="Y290">
        <v>6</v>
      </c>
      <c r="AA290" t="s">
        <v>474</v>
      </c>
      <c r="AB290" t="b">
        <v>0</v>
      </c>
      <c r="AC290">
        <v>4</v>
      </c>
      <c r="AD290" s="32">
        <f>IFERROR(12/Crops[[#This Row],[Spacing]]*Crops[[#This Row],[Rows]]*BedLength,"")</f>
        <v>600</v>
      </c>
      <c r="AE290">
        <v>1</v>
      </c>
      <c r="AG290">
        <f>IF(Crops[[#This Row],[Custom Safety Factor]]="",PlantingSafetyFactor,Crops[[#This Row],[Custom Safety Factor]])</f>
        <v>1.3</v>
      </c>
      <c r="AH290">
        <f>1</f>
        <v>1</v>
      </c>
      <c r="AI290" s="33">
        <f>IFERROR(Crops[[#This Row],[Plantings Per Bed]]*Crops[[#This Row],[Seeds Per Planting]]*Crops[[#This Row],[Safety Factor]]*Crops[[#This Row],[Seeding Factor]],"")</f>
        <v>780</v>
      </c>
      <c r="AJ290">
        <v>7</v>
      </c>
      <c r="AK290">
        <v>14</v>
      </c>
      <c r="AL290">
        <f>_xlfn.FLOOR.MATH(IFERROR(AVERAGE(Crops[[#This Row],[DTG Lower]:[DTG Upper]]),0))</f>
        <v>10</v>
      </c>
      <c r="AM290">
        <f>SUM(Crops[[#This Row],[Tray 1 Days]],Crops[[#This Row],[Tray 2 Days]],Crops[[#This Row],[Tray 3 Days]])</f>
        <v>42</v>
      </c>
      <c r="AN290" s="32">
        <v>60</v>
      </c>
      <c r="AO290">
        <v>100</v>
      </c>
      <c r="AP290">
        <v>110</v>
      </c>
      <c r="AQ290">
        <f>IFERROR(_xlfn.FLOOR.MATH(AVERAGE(Crops[[#This Row],[DTM Lower]:[DTM Upper]])),"")</f>
        <v>105</v>
      </c>
      <c r="AR290" cm="1">
        <f t="array" ref="AR290">_xlfn.SWITCH(Crops[[#This Row],[Normal Method]],"DS",Crops[[#This Row],[Days to Germination]]+Crops[[#This Row],[DTM]] + IF(Crops[[#This Row],[Days in Cells]]&gt;0,15,0), "TP",Crops[[#This Row],[DTM]]+Crops[[#This Row],[Days in Cells]] + IF(Crops[[#This Row],[Days in Cells]]&lt;=0,20,0), "X", Crops[[#This Row],[DTM]])</f>
        <v>130</v>
      </c>
      <c r="AS290" t="s">
        <v>338</v>
      </c>
      <c r="AT290">
        <f>(Crops[[#This Row],[Harvests]]-1)*Crops[[#This Row],[Days Between Harvest]]+7</f>
        <v>28</v>
      </c>
      <c r="AU290">
        <f>Crops[[#This Row],[STH]]-Crops[[#This Row],[Days in Cells]]+Crops[[#This Row],[Harvest window]]</f>
        <v>116</v>
      </c>
      <c r="AW290">
        <v>128</v>
      </c>
      <c r="AX290">
        <v>128</v>
      </c>
      <c r="AY290">
        <v>42</v>
      </c>
      <c r="AZ290" s="49">
        <f>IFERROR(IF(Crops[[#This Row],[Tray 1 Days]]=0,"",Crops[[#This Row],[Plantings Per Bed]]/Crops[[#This Row],[Tray 1 Size]]*Crops[[#This Row],[Safety Factor]]),"")</f>
        <v>6.09375</v>
      </c>
      <c r="BC290" t="str">
        <f>IFERROR(IF(Crops[[#This Row],[Tray 2 Days]]=0,"",Crops[[#This Row],[Plantings Per Bed]]/Crops[[#This Row],[Tray 2 Size]]*Crops[[#This Row],[Safety Factor]]),"")</f>
        <v/>
      </c>
      <c r="BE290" s="32" t="str">
        <f>IF(NOT(ISBLANK(Crops[[#This Row],[Tray 3 Size]])), Crops[[#This Row],[Days in Cells Old]]-SUM(Crops[[#This Row],[Tray 1 Days]],Crops[[#This Row],[Tray 2 Days]]), "")</f>
        <v/>
      </c>
      <c r="BF290" s="49" t="str">
        <f>IFERROR(IF(Crops[[#This Row],[Tray 3 Days]]=0,"",Crops[[#This Row],[Plantings Per Bed]]/Crops[[#This Row],[Tray 3 Size]]*Crops[[#This Row],[Safety Factor]]),"")</f>
        <v/>
      </c>
      <c r="BG290" s="33">
        <f>Crops[[#This Row],[Plantings Per Bed]]</f>
        <v>600</v>
      </c>
      <c r="BH290" s="33">
        <v>4</v>
      </c>
      <c r="BI290" s="33">
        <v>7</v>
      </c>
      <c r="BJ290" s="33">
        <f>_xlfn.XLOOKUP(Crops[[#This Row],[ProductIndex]],Products[ID],Products[Holding Period])</f>
        <v>0</v>
      </c>
      <c r="BK290" s="33"/>
      <c r="BL290" s="33">
        <f>Crops[[#This Row],[Units Per Harvest]]*Crops[[#This Row],[Harvests]]</f>
        <v>2400</v>
      </c>
      <c r="BM290" s="35">
        <v>1</v>
      </c>
      <c r="BN290" s="35">
        <f>Crops[[#This Row],[Direct Price]]*0.6</f>
        <v>0.6</v>
      </c>
      <c r="BO290" s="35"/>
      <c r="BP290" t="s">
        <v>213</v>
      </c>
      <c r="BQ290">
        <f>Crops[[#This Row],[Custom Yield Per Bed]]*Crops[[#This Row],[Direct Price]]</f>
        <v>2400</v>
      </c>
      <c r="BR290" t="b">
        <v>0</v>
      </c>
      <c r="BS290" t="b">
        <f>Crops[[#This Row],[Harvests]]&gt;1</f>
        <v>1</v>
      </c>
      <c r="BT290" s="36">
        <f>IFERROR(Crops[[#This Row],[Direct Revenue Per Bed]]/Crops[[#This Row],[Days In Field]],-1)</f>
        <v>20.689655172413794</v>
      </c>
      <c r="BU290" s="36">
        <f>IFERROR(Crops[[#This Row],[Direct Revenue Per Bed Day]]*GrowingDays*BedsPerAcre,"")</f>
        <v>595862.06896551722</v>
      </c>
      <c r="BV290" s="38">
        <f>LastFrostDate-5*Crops[[#This Row],[Sewing Rel Last Frost]]</f>
        <v>45723</v>
      </c>
      <c r="BW290" s="38">
        <f>Crops[[#This Row],[Target Sewing Date]]+Crops[[#This Row],[Days in Cells]]</f>
        <v>45765</v>
      </c>
      <c r="BX290" s="38">
        <f>Crops[[#This Row],[Target Sewing Date]]+Crops[[#This Row],[STH]]</f>
        <v>45853</v>
      </c>
      <c r="BY290" s="38">
        <f>Crops[[#This Row],[Target Harvest Data]]+Crops[[#This Row],[Harvest window]]</f>
        <v>45881</v>
      </c>
      <c r="BZ290">
        <v>5</v>
      </c>
      <c r="CB290">
        <f>1</f>
        <v>1</v>
      </c>
      <c r="CC290">
        <f>IF(Crops[[#This Row],[Transplanting]]&gt;0, 2, 3)*BedLength/StandardBedLength</f>
        <v>1</v>
      </c>
      <c r="CD290" s="173">
        <f>IF(Crops[[#This Row],[Days in Cells]]&lt;=0,0,Crops[[#This Row],[Plantings Per Bed]]/StartsPerHourSeeding+Crops[[#This Row],[Tray 1 Count]]*5/60)</f>
        <v>2.8515625</v>
      </c>
      <c r="CE290" s="173">
        <f>IF(ISBLANK(Crops[[#This Row],[Tray 2 Days]]),0,Crops[[#This Row],[Plantings Per Bed]]/UpPottingPerHour)+IF(Crops[[#This Row],[Tray 3 Days]]="",0,Crops[[#This Row],[Plantings Per Bed]]/UpPottingPerHour)</f>
        <v>0</v>
      </c>
      <c r="CF290" s="173">
        <f>IFERROR(Crops[[#This Row],[Tray 1 Count]]/HomeStartFlatIrrigationPerHour,0)*Crops[[#This Row],[Days in Cells]]/DaysBetweenStartIrrigation</f>
        <v>1.06640625</v>
      </c>
      <c r="CG290" s="173">
        <f>0.5/16*MAX(Crops[[#This Row],[Tray 1 Count]],Crops[[#This Row],[Tray 2 Count]],Crops[[#This Row],[Tray 3 Count]])</f>
        <v>0.1904296875</v>
      </c>
      <c r="CH290" s="173">
        <f>IF(Crops[[#This Row],[Days in Cells]]&gt;0,IF(IF(Crops[[#This Row],[Tray 3 Size]]&gt;0,Crops[[#This Row],[Tray 3 Size]],IF(Crops[[#This Row],[Tray 2 Size]]&gt;0,Crops[[#This Row],[Tray 2 Size]],Crops[[#This Row],[Tray 1 Size]]))&lt;=18,LargeTransplantTime,SmallTransplantTime)*Crops[[#This Row],[Plantings Per Bed]],0)</f>
        <v>3</v>
      </c>
      <c r="CI290" s="173"/>
      <c r="CJ290" s="173">
        <f>_xlfn.XLOOKUP(Crops[[#This Row],[Trellis Type]],TrellisMethods[Trellis Type],TrellisMethods[Hours],0,0)</f>
        <v>0</v>
      </c>
      <c r="CK290">
        <f>IF(Crops[[#This Row],[Days in Cells]]&lt;=0,Crops[[#This Row],[Rows]]*1/10,0)*BedLength/50</f>
        <v>0</v>
      </c>
      <c r="CL290" cm="1">
        <f t="array" ref="CL290">_xlfn.SWITCH(Crops[[#This Row],[Irrigation]],"DR", 0.5, "OH", 0.25,0)*BedLength/50</f>
        <v>0</v>
      </c>
      <c r="CM290">
        <f>IF(OR(ISBLANK(Crops[[#This Row],[Row Cover]]),Crops[[#This Row],[Row Cover]]="None"),0,1)*BedLength/50</f>
        <v>0</v>
      </c>
      <c r="CN290" s="173">
        <f>HoursPerWeedingPass*Crops[[#This Row],[Days In Field]]/14*Crops[[#This Row],[Rows]]+1*BedLength/50</f>
        <v>9.2857142857142847</v>
      </c>
      <c r="CQ290" s="37">
        <f>_xlfn.XLOOKUP(Crops[[#This Row],[Crop]]&amp;Crops[[#This Row],[Product]]&amp;Crops[[#This Row],[Unit]],Products[ID],Products[Marketing (hr)])*Crops[[#This Row],[Direct Revenue Per Bed]]/2000</f>
        <v>7.2</v>
      </c>
      <c r="CR290" s="37">
        <f>_xlfn.XLOOKUP(Crops[[#This Row],[Crop]]&amp;Crops[[#This Row],[Product]]&amp;Crops[[#This Row],[Unit]],Products[ID],Products[Harvest (s)])*Crops[[#This Row],[Custom Yield Per Bed]]/3600</f>
        <v>6.666666666666667</v>
      </c>
      <c r="CS290" s="37">
        <f>_xlfn.XLOOKUP(Crops[[#This Row],[Crop]]&amp;Crops[[#This Row],[Product]]&amp;Crops[[#This Row],[Unit]],Products[ID],Products[Bunch (s)])*Crops[[#This Row],[Custom Yield Per Bed]]/3600</f>
        <v>0</v>
      </c>
      <c r="CT290" s="37">
        <f>_xlfn.XLOOKUP(Crops[[#This Row],[Crop]]&amp;Crops[[#This Row],[Product]]&amp;Crops[[#This Row],[Unit]],Products[ID],Products[Haul (s)])*Crops[[#This Row],[Custom Yield Per Bed]]/3600</f>
        <v>0.75</v>
      </c>
      <c r="CU290" s="37">
        <f>_xlfn.XLOOKUP(Crops[[#This Row],[Crop]]&amp;Crops[[#This Row],[Product]]&amp;Crops[[#This Row],[Unit]],Products[ID],Products[Wash (s)])*Crops[[#This Row],[Custom Yield Per Bed]]/3600</f>
        <v>0</v>
      </c>
      <c r="CV290" s="37">
        <f>_xlfn.XLOOKUP(Crops[[#This Row],[Crop]]&amp;Crops[[#This Row],[Product]]&amp;Crops[[#This Row],[Unit]],Products[ID],Products[Condition (s)])*Crops[[#This Row],[Custom Yield Per Bed]]/3600</f>
        <v>0</v>
      </c>
      <c r="CW290" s="37">
        <f>_xlfn.XLOOKUP(Crops[[#This Row],[Crop]]&amp;Crops[[#This Row],[Product]]&amp;Crops[[#This Row],[Unit]],Products[ID],Products[Trim (s)])*Crops[[#This Row],[Custom Yield Per Bed]]/3600</f>
        <v>2</v>
      </c>
      <c r="CX290" s="37">
        <f>_xlfn.XLOOKUP(Crops[[#This Row],[Crop]]&amp;Crops[[#This Row],[Product]]&amp;Crops[[#This Row],[Unit]],Products[ID],Products[Pack (s)])*Crops[[#This Row],[Custom Yield Per Bed]]/3600</f>
        <v>2</v>
      </c>
      <c r="CY290" s="37">
        <f>_xlfn.XLOOKUP(Crops[[#This Row],[Crop]]&amp;Crops[[#This Row],[Product]]&amp;Crops[[#This Row],[Unit]],Products[ID],Products[Clean (s)])*Crops[[#This Row],[Custom Yield Per Bed]]/3600</f>
        <v>0</v>
      </c>
      <c r="CZ290" s="37">
        <f>_xlfn.XLOOKUP(Crops[[#This Row],[Crop]]&amp;Crops[[#This Row],[Product]]&amp;Crops[[#This Row],[Unit]],Products[ID],Products[Rehandle (s)])*Crops[[#This Row],[Custom Yield Per Bed]]/3600</f>
        <v>0</v>
      </c>
      <c r="DA290" s="37">
        <f>_xlfn.XLOOKUP(Crops[[#This Row],[Crop]]&amp;Crops[[#This Row],[Product]]&amp;Crops[[#This Row],[Unit]],Products[ID],Products[Market Transport (s)])*Crops[[#This Row],[Custom Yield Per Bed]]/3600</f>
        <v>1.875</v>
      </c>
      <c r="DC290" s="37">
        <f>Crops[[#This Row],[Direct Revenue Per Bed2]]</f>
        <v>2400</v>
      </c>
      <c r="DD290" s="173">
        <f>_xlfn.AGGREGATE(9,6,Crops[[#This Row],[Bed Prep]:[Remove Crop Residue]])</f>
        <v>37.885779389880952</v>
      </c>
      <c r="DE290" s="173">
        <f>_xlfn.AGGREGATE(9,6,Crops[[#This Row],[Bed Prep]:[Remove Crop Residue]])-0.75*Crops[[#This Row],[Market &amp; Sell]]</f>
        <v>32.485779389880953</v>
      </c>
      <c r="DF290" s="36">
        <f>Crops[[#This Row],[Direct Revenue Per Bed2]]/Crops[[#This Row],[Direct Time]]</f>
        <v>63.348307429595195</v>
      </c>
      <c r="DG290" s="36">
        <f>_xlfn.XLOOKUP(Crops[[#This Row],[ProductIndex]],Products[ID],Products[Packaging Cost])*(Crops[[#This Row],[Custom Yield Per Bed]]/_xlfn.XLOOKUP(Crops[[#This Row],[ProductIndex]],Products[ID],Products[Units Per Pack]))</f>
        <v>120</v>
      </c>
      <c r="DH290" s="36"/>
      <c r="DI290" s="36"/>
      <c r="DJ290" s="36"/>
      <c r="DK290" s="36"/>
      <c r="DL290" s="36"/>
      <c r="DM290" s="33">
        <f>IFERROR(Crops[[#This Row],[Custom Yield Per Bed]]*Crops[[#This Row],[Direct Price]],"")</f>
        <v>2400</v>
      </c>
      <c r="DN290" s="36">
        <f>Crops[[#This Row],[Direct Time]]*LaborRate</f>
        <v>947.14448474702385</v>
      </c>
      <c r="DO290" s="36">
        <f>SUM(Crops[[#This Row],[Irrigation Cost]])</f>
        <v>0</v>
      </c>
      <c r="DP290" s="36">
        <f>Crops[[#This Row],[Direct Labor Cost]]+Crops[[#This Row],[Direct Non-Labor Cost]]</f>
        <v>947.14448474702385</v>
      </c>
      <c r="DQ290" s="36">
        <f>Crops[[#This Row],[Direct Revenue Per Bed2]]-Crops[[#This Row],[Direct Total Cost]]</f>
        <v>1452.8555152529761</v>
      </c>
      <c r="DR290" s="36">
        <f>Crops[[#This Row],[Direct Profit]]*BedsPerAcre</f>
        <v>232456.88244047618</v>
      </c>
      <c r="DS290" s="36">
        <f>Crops[[#This Row],[Direct Profit]]*BedsPerAcre*GrowingDays/Crops[[#This Row],[Days In Field]]</f>
        <v>360708.95551108377</v>
      </c>
      <c r="DT290" s="36">
        <f>Crops[[#This Row],[Direct Profit]]/MIN(Crops[[#This Row],[Days In Field]],GrowingDays)</f>
        <v>12.524616510801518</v>
      </c>
      <c r="DU290" s="36">
        <f>Crops[[#This Row],[Direct Time]] * BedsPerAcre</f>
        <v>6061.7247023809523</v>
      </c>
      <c r="DV290" s="36">
        <f>(Crops[[#This Row],[Direct Revenue Per Bed2]]-Crops[[#This Row],[Direct Non-Labor Cost]])/Crops[[#This Row],[Direct Time]]</f>
        <v>63.348307429595195</v>
      </c>
      <c r="DW290" s="33">
        <f>IFERROR(Crops[[#This Row],[Custom Yield Per Bed]]*Crops[[#This Row],[Rough Wholesale Price]],"")</f>
        <v>1440</v>
      </c>
      <c r="DX290" s="36">
        <f>Crops[[#This Row],[Wholesale Time]]*LaborRate</f>
        <v>812.14448474702385</v>
      </c>
      <c r="DY290" s="36">
        <f>SUM(Crops[[#This Row],[Packaging Costs]:[Irrigation Cost]])</f>
        <v>120</v>
      </c>
      <c r="DZ290" s="36">
        <f>Crops[[#This Row],[Wholesale Labor Cost]]+Crops[[#This Row],[Wholesale Non-Labor Cost]]</f>
        <v>932.14448474702385</v>
      </c>
      <c r="EA290" s="36">
        <f>Crops[[#This Row],[Wholesale Revenue Per Bed]]-Crops[[#This Row],[Wholesale Total Cost]]</f>
        <v>507.85551525297615</v>
      </c>
      <c r="EB290" s="36">
        <f>Crops[[#This Row],[Wholesale Profit]]*BedsPerAcre</f>
        <v>81256.882440476184</v>
      </c>
      <c r="EC290" s="36">
        <f>Crops[[#This Row],[Wholesale Profit]]*BedsPerAcre*GrowingDays/Crops[[#This Row],[Days In Field]]</f>
        <v>126088.26585591132</v>
      </c>
      <c r="ED290" s="36">
        <f>Crops[[#This Row],[Wholesale Time]] * BedsPerAcre</f>
        <v>5197.7247023809523</v>
      </c>
      <c r="EE290" s="36">
        <f>Crops[[#This Row],[Wholesale Profit]]/MIN(Crops[[#This Row],[Days In Field]],GrowingDays)</f>
        <v>4.3780647866635878</v>
      </c>
      <c r="EF290" s="36">
        <f>(Crops[[#This Row],[Wholesale Revenue Per Bed]]-Crops[[#This Row],[Wholesale Non-Labor Cost]])/Crops[[#This Row],[Direct Time]]</f>
        <v>34.84156908627736</v>
      </c>
      <c r="EG290" s="174">
        <f>Crops[[#This Row],[Packaging Costs]]/Crops[[#This Row],[Wholesale Revenue Per Bed]]</f>
        <v>8.3333333333333329E-2</v>
      </c>
      <c r="EH290" s="36" t="str">
        <f>Crops[[#This Row],[Crop]]&amp;Crops[[#This Row],[Product]]&amp;Crops[[#This Row],[Unit]]</f>
        <v>SnapdragonsMature StemStem</v>
      </c>
      <c r="EI290" s="36" t="b">
        <f>_xlfn.XLOOKUP(Crops[[#This Row],[ProductIndex]],Products[ID],Products[Target])</f>
        <v>1</v>
      </c>
      <c r="EJ290" s="36">
        <f>Crops[[#This Row],[Custom Yield Per Bed]]</f>
        <v>2400</v>
      </c>
      <c r="EK290" s="210">
        <f>Crops[[#This Row],[Units Per Harvest]]/Crops[[#This Row],[Days Between Harvest]]*7</f>
        <v>600</v>
      </c>
      <c r="EL290" s="210" t="e">
        <f>Crops[[#This Row],[Custom Yield Per Bed]]/_xlfn.XLOOKUP(Crops[[#This Row],[ProductIndex]],Products[ID],Products[CSA Portion])</f>
        <v>#DIV/0!</v>
      </c>
      <c r="EM290" s="210" t="e">
        <f>Crops[[#This Row],[Units Per Harvest]]/Crops[[#This Row],[Days Between Harvest]]*7/_xlfn.XLOOKUP(Crops[[#This Row],[ProductIndex]],Products[ID],Products[CSA Portion])</f>
        <v>#DIV/0!</v>
      </c>
      <c r="EN290" s="210" t="e">
        <f>Crops[[#This Row],[CSA Portions Per Week]]/CSAMembers</f>
        <v>#DIV/0!</v>
      </c>
      <c r="EO290" s="210"/>
      <c r="EP290" s="210"/>
      <c r="EQ290" s="36"/>
      <c r="ER290" s="36">
        <f>Crops[[#This Row],[Harvests]]*Crops[[#This Row],[Days Between Harvest]]/7</f>
        <v>4</v>
      </c>
      <c r="ES290" s="208">
        <f>_xlfn.XLOOKUP(Crops[[#This Row],[ProductIndex]],Products[ID],Products[CSA Need])</f>
        <v>0</v>
      </c>
      <c r="ET290" s="208">
        <f>_xlfn.XLOOKUP(Crops[[#This Row],[ProductIndex]],Products[ID],Products[CSA Times])</f>
        <v>0</v>
      </c>
      <c r="EU290" s="208" t="e">
        <f>Crops[[#This Row],[Custom Yield Per Bed]]/(Crops[[#This Row],[CSA Need]]*(_xlfn.XLOOKUP(Crops[[#This Row],[ProductIndex]],Products[ID],Products[CSA Portion])*CSAMembers))</f>
        <v>#DIV/0!</v>
      </c>
      <c r="EV290" s="208">
        <f>_xlfn.XLOOKUP(Crops[[#This Row],[ProductIndex]],Products[ID],Products[CSA Portion])*CSAMembers*Crops[[#This Row],[CSA Need]]/Crops[[#This Row],[Custom Yield Per Bed]]</f>
        <v>0</v>
      </c>
      <c r="EW290" s="208">
        <f>IFERROR(Crops[[#This Row],[Days In Field]]*Crops[[#This Row],[CSA Beds]],"")</f>
        <v>0</v>
      </c>
      <c r="EX290" s="208" t="e">
        <f>Crops[[#This Row],[CSA Bed Days]]*#REF!</f>
        <v>#REF!</v>
      </c>
      <c r="EY290" t="s">
        <v>273</v>
      </c>
    </row>
    <row r="291" spans="1:155">
      <c r="A29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Snapdragons - Mature Stem 1X | Tunnel TP Ow</v>
      </c>
      <c r="B291" s="189"/>
      <c r="C291" s="1" t="b">
        <v>1</v>
      </c>
      <c r="D291" s="1"/>
      <c r="E291" s="1" t="b">
        <v>0</v>
      </c>
      <c r="F291" s="1" t="b">
        <f>IFERROR(IF(ISNUMBER(MATCH(Crops[[#This Row],[Identifier]],BedPlan[Crop], 0)), TRUE, FALSE), FALSE)</f>
        <v>0</v>
      </c>
      <c r="G291" s="1" t="b">
        <f>IFERROR(IF(ISNUMBER(MATCH(Crops[[#This Row],[Identifier]],BedPlan[Crop], 0)), TRUE, FALSE), FALSE)</f>
        <v>0</v>
      </c>
      <c r="H291" s="1"/>
      <c r="I291" t="s">
        <v>121</v>
      </c>
      <c r="J291" t="s">
        <v>145</v>
      </c>
      <c r="K291" t="s">
        <v>181</v>
      </c>
      <c r="M291" t="s">
        <v>406</v>
      </c>
      <c r="N291" t="str">
        <f>Crops[[#This Row],[Crop]]</f>
        <v>Snapdragons</v>
      </c>
      <c r="O291" t="s">
        <v>1413</v>
      </c>
      <c r="P291" t="str">
        <f>IF(OR(Crops[[#This Row],[Days in Cells]]="",Crops[[#This Row],[Days in Cells]]=0), "DS","TP")</f>
        <v>TP</v>
      </c>
      <c r="U291" t="b">
        <v>1</v>
      </c>
      <c r="V291" t="str">
        <f xml:space="preserve"> IF(Crops[[#This Row],[Sp]], "Sp", "") &amp; IF(Crops[[#This Row],[Su]], "Su", "") &amp; IF(Crops[[#This Row],[Fa]], "Fa", "") &amp; IF(Crops[[#This Row],[Wi]], "Wi", "") &amp; IF(Crops[[#This Row],[OW]], "Ow","")</f>
        <v>Ow</v>
      </c>
      <c r="W291" t="s">
        <v>144</v>
      </c>
      <c r="X291">
        <v>3</v>
      </c>
      <c r="Y291">
        <v>6</v>
      </c>
      <c r="AA291" t="s">
        <v>474</v>
      </c>
      <c r="AB291" t="b">
        <v>0</v>
      </c>
      <c r="AC291">
        <v>1</v>
      </c>
      <c r="AD291" s="32">
        <f>IFERROR(12/Crops[[#This Row],[Spacing]]*Crops[[#This Row],[Rows]]*BedLength,"")</f>
        <v>300</v>
      </c>
      <c r="AE291">
        <v>1</v>
      </c>
      <c r="AG291">
        <f>IF(Crops[[#This Row],[Custom Safety Factor]]="",PlantingSafetyFactor,Crops[[#This Row],[Custom Safety Factor]])</f>
        <v>1.3</v>
      </c>
      <c r="AH291">
        <f>1</f>
        <v>1</v>
      </c>
      <c r="AI291" s="33">
        <f>IFERROR(Crops[[#This Row],[Plantings Per Bed]]*Crops[[#This Row],[Seeds Per Planting]]*Crops[[#This Row],[Safety Factor]]*Crops[[#This Row],[Seeding Factor]],"")</f>
        <v>390</v>
      </c>
      <c r="AJ291">
        <v>7</v>
      </c>
      <c r="AK291">
        <v>14</v>
      </c>
      <c r="AL291">
        <f>_xlfn.FLOOR.MATH(IFERROR(AVERAGE(Crops[[#This Row],[DTG Lower]:[DTG Upper]]),0))</f>
        <v>10</v>
      </c>
      <c r="AM291">
        <f>SUM(Crops[[#This Row],[Tray 1 Days]],Crops[[#This Row],[Tray 2 Days]],Crops[[#This Row],[Tray 3 Days]])</f>
        <v>63</v>
      </c>
      <c r="AN291" s="32">
        <v>60</v>
      </c>
      <c r="AP291">
        <f>DATE(2024,5,19)-DATE(2023,10,15)</f>
        <v>217</v>
      </c>
      <c r="AQ291">
        <f>IFERROR(_xlfn.FLOOR.MATH(AVERAGE(Crops[[#This Row],[DTM Lower]:[DTM Upper]])),"")</f>
        <v>217</v>
      </c>
      <c r="AR291" cm="1">
        <f t="array" ref="AR291">_xlfn.SWITCH(Crops[[#This Row],[Normal Method]],"DS",Crops[[#This Row],[Days to Germination]]+Crops[[#This Row],[DTM]] + IF(Crops[[#This Row],[Days in Cells]]&gt;0,15,0), "TP",Crops[[#This Row],[DTM]]+Crops[[#This Row],[Days in Cells]] + IF(Crops[[#This Row],[Days in Cells]]&lt;=0,20,0), "X", Crops[[#This Row],[DTM]])</f>
        <v>280</v>
      </c>
      <c r="AS291" t="s">
        <v>346</v>
      </c>
      <c r="AT291">
        <f>(Crops[[#This Row],[Harvests]]-1)*Crops[[#This Row],[Days Between Harvest]]+7</f>
        <v>49</v>
      </c>
      <c r="AU291">
        <f>Crops[[#This Row],[STH]]-Crops[[#This Row],[Days in Cells]]+Crops[[#This Row],[Harvest window]]</f>
        <v>266</v>
      </c>
      <c r="AX291">
        <v>72</v>
      </c>
      <c r="AY291">
        <f>7*9</f>
        <v>63</v>
      </c>
      <c r="AZ291" s="49">
        <f>IFERROR(IF(Crops[[#This Row],[Tray 1 Days]]=0,"",Crops[[#This Row],[Plantings Per Bed]]/Crops[[#This Row],[Tray 1 Size]]*Crops[[#This Row],[Safety Factor]]),"")</f>
        <v>5.416666666666667</v>
      </c>
      <c r="BC291" t="str">
        <f>IFERROR(IF(Crops[[#This Row],[Tray 2 Days]]=0,"",Crops[[#This Row],[Plantings Per Bed]]/Crops[[#This Row],[Tray 2 Size]]*Crops[[#This Row],[Safety Factor]]),"")</f>
        <v/>
      </c>
      <c r="BE291" s="32" t="str">
        <f>IF(NOT(ISBLANK(Crops[[#This Row],[Tray 3 Size]])), Crops[[#This Row],[Days in Cells Old]]-SUM(Crops[[#This Row],[Tray 1 Days]],Crops[[#This Row],[Tray 2 Days]]), "")</f>
        <v/>
      </c>
      <c r="BF291" s="49" t="str">
        <f>IFERROR(IF(Crops[[#This Row],[Tray 3 Days]]=0,"",Crops[[#This Row],[Plantings Per Bed]]/Crops[[#This Row],[Tray 3 Size]]*Crops[[#This Row],[Safety Factor]]),"")</f>
        <v/>
      </c>
      <c r="BG291" s="33">
        <f>Crops[[#This Row],[Plantings Per Bed]]*8/Crops[[#This Row],[Harvests]]</f>
        <v>342.85714285714283</v>
      </c>
      <c r="BH291" s="33">
        <v>7</v>
      </c>
      <c r="BI291" s="33">
        <v>7</v>
      </c>
      <c r="BJ291" s="33">
        <f>_xlfn.XLOOKUP(Crops[[#This Row],[ProductIndex]],Products[ID],Products[Holding Period])</f>
        <v>0</v>
      </c>
      <c r="BK291" s="33"/>
      <c r="BL291" s="33">
        <f>Crops[[#This Row],[Units Per Harvest]]*Crops[[#This Row],[Harvests]]</f>
        <v>2400</v>
      </c>
      <c r="BM291" s="35">
        <v>1</v>
      </c>
      <c r="BN291" s="35">
        <f>Crops[[#This Row],[Direct Price]]*0.6</f>
        <v>0.6</v>
      </c>
      <c r="BO291" s="35"/>
      <c r="BP291" t="s">
        <v>213</v>
      </c>
      <c r="BQ291">
        <f>Crops[[#This Row],[Custom Yield Per Bed]]*Crops[[#This Row],[Direct Price]]</f>
        <v>2400</v>
      </c>
      <c r="BR291" t="b">
        <v>0</v>
      </c>
      <c r="BS291" t="b">
        <f>Crops[[#This Row],[Harvests]]&gt;1</f>
        <v>1</v>
      </c>
      <c r="BT291" s="36">
        <f>IFERROR(Crops[[#This Row],[Direct Revenue Per Bed]]/Crops[[#This Row],[Days In Field]],-1)</f>
        <v>9.022556390977444</v>
      </c>
      <c r="BU291" s="36">
        <f>IFERROR(Crops[[#This Row],[Direct Revenue Per Bed Day]]*GrowingDays*BedsPerAcre,"")</f>
        <v>259849.62406015038</v>
      </c>
      <c r="BV291" s="38">
        <f>LastFrostDate-5*Crops[[#This Row],[Sewing Rel Last Frost]]</f>
        <v>45843</v>
      </c>
      <c r="BW291" s="38">
        <f>Crops[[#This Row],[Target Sewing Date]]+Crops[[#This Row],[Days in Cells]]</f>
        <v>45906</v>
      </c>
      <c r="BX291" s="38">
        <f>Crops[[#This Row],[Target Sewing Date]]+Crops[[#This Row],[STH]]</f>
        <v>46123</v>
      </c>
      <c r="BY291" s="38">
        <f>Crops[[#This Row],[Target Harvest Data]]+Crops[[#This Row],[Harvest window]]</f>
        <v>46172</v>
      </c>
      <c r="BZ291">
        <v>-19</v>
      </c>
      <c r="CA291" t="s">
        <v>490</v>
      </c>
      <c r="CB291">
        <f>1</f>
        <v>1</v>
      </c>
      <c r="CC291">
        <f>IF(Crops[[#This Row],[Transplanting]]&gt;0, 2, 3)*BedLength/StandardBedLength</f>
        <v>1</v>
      </c>
      <c r="CD291" s="173">
        <f>IF(Crops[[#This Row],[Days in Cells]]&lt;=0,0,Crops[[#This Row],[Plantings Per Bed]]/StartsPerHourSeeding+Crops[[#This Row],[Tray 1 Count]]*5/60)</f>
        <v>1.6232638888888888</v>
      </c>
      <c r="CE291" s="173">
        <f>IF(ISBLANK(Crops[[#This Row],[Tray 2 Days]]),0,Crops[[#This Row],[Plantings Per Bed]]/UpPottingPerHour)+IF(Crops[[#This Row],[Tray 3 Days]]="",0,Crops[[#This Row],[Plantings Per Bed]]/UpPottingPerHour)</f>
        <v>0</v>
      </c>
      <c r="CF291" s="173">
        <f>IFERROR(Crops[[#This Row],[Tray 1 Count]]/HomeStartFlatIrrigationPerHour,0)*Crops[[#This Row],[Days in Cells]]/DaysBetweenStartIrrigation</f>
        <v>1.421875</v>
      </c>
      <c r="CG291" s="173">
        <f>0.5/16*MAX(Crops[[#This Row],[Tray 1 Count]],Crops[[#This Row],[Tray 2 Count]],Crops[[#This Row],[Tray 3 Count]])</f>
        <v>0.16927083333333334</v>
      </c>
      <c r="CH291" s="173">
        <f>IF(Crops[[#This Row],[Days in Cells]]&gt;0,IF(IF(Crops[[#This Row],[Tray 3 Size]]&gt;0,Crops[[#This Row],[Tray 3 Size]],IF(Crops[[#This Row],[Tray 2 Size]]&gt;0,Crops[[#This Row],[Tray 2 Size]],Crops[[#This Row],[Tray 1 Size]]))&lt;=18,LargeTransplantTime,SmallTransplantTime)*Crops[[#This Row],[Plantings Per Bed]],0)</f>
        <v>1.5</v>
      </c>
      <c r="CI291" s="173"/>
      <c r="CJ291" s="173">
        <f>_xlfn.XLOOKUP(Crops[[#This Row],[Trellis Type]],TrellisMethods[Trellis Type],TrellisMethods[Hours],0,0)</f>
        <v>0</v>
      </c>
      <c r="CK291">
        <f>IF(Crops[[#This Row],[Days in Cells]]&lt;=0,Crops[[#This Row],[Rows]]*1/10,0)*BedLength/50</f>
        <v>0</v>
      </c>
      <c r="CL291" cm="1">
        <f t="array" ref="CL291">_xlfn.SWITCH(Crops[[#This Row],[Irrigation]],"DR", 0.5, "OH", 0.25,0)*BedLength/50</f>
        <v>0</v>
      </c>
      <c r="CM291">
        <f>IF(OR(ISBLANK(Crops[[#This Row],[Row Cover]]),Crops[[#This Row],[Row Cover]]="None"),0,1)*BedLength/50</f>
        <v>0</v>
      </c>
      <c r="CN291" s="173">
        <f>HoursPerWeedingPass*Crops[[#This Row],[Days In Field]]/14*Crops[[#This Row],[Rows]]+1*BedLength/50</f>
        <v>10.5</v>
      </c>
      <c r="CQ291" s="37">
        <f>_xlfn.XLOOKUP(Crops[[#This Row],[Crop]]&amp;Crops[[#This Row],[Product]]&amp;Crops[[#This Row],[Unit]],Products[ID],Products[Marketing (hr)])*Crops[[#This Row],[Direct Revenue Per Bed]]/2000</f>
        <v>7.2</v>
      </c>
      <c r="CR291" s="37">
        <f>_xlfn.XLOOKUP(Crops[[#This Row],[Crop]]&amp;Crops[[#This Row],[Product]]&amp;Crops[[#This Row],[Unit]],Products[ID],Products[Harvest (s)])*Crops[[#This Row],[Custom Yield Per Bed]]/3600</f>
        <v>6.666666666666667</v>
      </c>
      <c r="CS291" s="37">
        <f>_xlfn.XLOOKUP(Crops[[#This Row],[Crop]]&amp;Crops[[#This Row],[Product]]&amp;Crops[[#This Row],[Unit]],Products[ID],Products[Bunch (s)])*Crops[[#This Row],[Custom Yield Per Bed]]/3600</f>
        <v>0</v>
      </c>
      <c r="CT291" s="37">
        <f>_xlfn.XLOOKUP(Crops[[#This Row],[Crop]]&amp;Crops[[#This Row],[Product]]&amp;Crops[[#This Row],[Unit]],Products[ID],Products[Haul (s)])*Crops[[#This Row],[Custom Yield Per Bed]]/3600</f>
        <v>0.75</v>
      </c>
      <c r="CU291" s="37">
        <f>_xlfn.XLOOKUP(Crops[[#This Row],[Crop]]&amp;Crops[[#This Row],[Product]]&amp;Crops[[#This Row],[Unit]],Products[ID],Products[Wash (s)])*Crops[[#This Row],[Custom Yield Per Bed]]/3600</f>
        <v>0</v>
      </c>
      <c r="CV291" s="37">
        <f>_xlfn.XLOOKUP(Crops[[#This Row],[Crop]]&amp;Crops[[#This Row],[Product]]&amp;Crops[[#This Row],[Unit]],Products[ID],Products[Condition (s)])*Crops[[#This Row],[Custom Yield Per Bed]]/3600</f>
        <v>0</v>
      </c>
      <c r="CW291" s="37">
        <f>_xlfn.XLOOKUP(Crops[[#This Row],[Crop]]&amp;Crops[[#This Row],[Product]]&amp;Crops[[#This Row],[Unit]],Products[ID],Products[Trim (s)])*Crops[[#This Row],[Custom Yield Per Bed]]/3600</f>
        <v>2</v>
      </c>
      <c r="CX291" s="37">
        <f>_xlfn.XLOOKUP(Crops[[#This Row],[Crop]]&amp;Crops[[#This Row],[Product]]&amp;Crops[[#This Row],[Unit]],Products[ID],Products[Pack (s)])*Crops[[#This Row],[Custom Yield Per Bed]]/3600</f>
        <v>2</v>
      </c>
      <c r="CY291" s="37">
        <f>_xlfn.XLOOKUP(Crops[[#This Row],[Crop]]&amp;Crops[[#This Row],[Product]]&amp;Crops[[#This Row],[Unit]],Products[ID],Products[Clean (s)])*Crops[[#This Row],[Custom Yield Per Bed]]/3600</f>
        <v>0</v>
      </c>
      <c r="CZ291" s="37">
        <f>_xlfn.XLOOKUP(Crops[[#This Row],[Crop]]&amp;Crops[[#This Row],[Product]]&amp;Crops[[#This Row],[Unit]],Products[ID],Products[Rehandle (s)])*Crops[[#This Row],[Custom Yield Per Bed]]/3600</f>
        <v>0</v>
      </c>
      <c r="DA291" s="37">
        <f>_xlfn.XLOOKUP(Crops[[#This Row],[Crop]]&amp;Crops[[#This Row],[Product]]&amp;Crops[[#This Row],[Unit]],Products[ID],Products[Market Transport (s)])*Crops[[#This Row],[Custom Yield Per Bed]]/3600</f>
        <v>1.875</v>
      </c>
      <c r="DC291" s="37">
        <f>Crops[[#This Row],[Direct Revenue Per Bed2]]</f>
        <v>2400</v>
      </c>
      <c r="DD291" s="173">
        <f>_xlfn.AGGREGATE(9,6,Crops[[#This Row],[Bed Prep]:[Remove Crop Residue]])</f>
        <v>36.706076388888889</v>
      </c>
      <c r="DE291" s="173">
        <f>_xlfn.AGGREGATE(9,6,Crops[[#This Row],[Bed Prep]:[Remove Crop Residue]])-0.75*Crops[[#This Row],[Market &amp; Sell]]</f>
        <v>31.30607638888889</v>
      </c>
      <c r="DF291" s="36">
        <f>Crops[[#This Row],[Direct Revenue Per Bed2]]/Crops[[#This Row],[Direct Time]]</f>
        <v>65.384269747950825</v>
      </c>
      <c r="DG291" s="36">
        <f>_xlfn.XLOOKUP(Crops[[#This Row],[ProductIndex]],Products[ID],Products[Packaging Cost])*(Crops[[#This Row],[Custom Yield Per Bed]]/_xlfn.XLOOKUP(Crops[[#This Row],[ProductIndex]],Products[ID],Products[Units Per Pack]))</f>
        <v>120</v>
      </c>
      <c r="DH291" s="36"/>
      <c r="DI291" s="36"/>
      <c r="DJ291" s="36"/>
      <c r="DK291" s="36"/>
      <c r="DL291" s="36"/>
      <c r="DM291" s="33">
        <f>IFERROR(Crops[[#This Row],[Custom Yield Per Bed]]*Crops[[#This Row],[Direct Price]],"")</f>
        <v>2400</v>
      </c>
      <c r="DN291" s="36">
        <f>Crops[[#This Row],[Direct Time]]*LaborRate</f>
        <v>917.65190972222217</v>
      </c>
      <c r="DO291" s="36">
        <f>SUM(Crops[[#This Row],[Irrigation Cost]])</f>
        <v>0</v>
      </c>
      <c r="DP291" s="36">
        <f>Crops[[#This Row],[Direct Labor Cost]]+Crops[[#This Row],[Direct Non-Labor Cost]]</f>
        <v>917.65190972222217</v>
      </c>
      <c r="DQ291" s="36">
        <f>Crops[[#This Row],[Direct Revenue Per Bed2]]-Crops[[#This Row],[Direct Total Cost]]</f>
        <v>1482.3480902777778</v>
      </c>
      <c r="DR291" s="36">
        <f>Crops[[#This Row],[Direct Profit]]*BedsPerAcre</f>
        <v>237175.69444444444</v>
      </c>
      <c r="DS291" s="36">
        <f>Crops[[#This Row],[Direct Profit]]*BedsPerAcre*GrowingDays/Crops[[#This Row],[Days In Field]]</f>
        <v>160494.83082706766</v>
      </c>
      <c r="DT291" s="36">
        <f>Crops[[#This Row],[Direct Profit]]/MIN(Crops[[#This Row],[Days In Field]],GrowingDays)</f>
        <v>8.2352671682098766</v>
      </c>
      <c r="DU291" s="36">
        <f>Crops[[#This Row],[Direct Time]] * BedsPerAcre</f>
        <v>5872.9722222222226</v>
      </c>
      <c r="DV291" s="36">
        <f>(Crops[[#This Row],[Direct Revenue Per Bed2]]-Crops[[#This Row],[Direct Non-Labor Cost]])/Crops[[#This Row],[Direct Time]]</f>
        <v>65.384269747950825</v>
      </c>
      <c r="DW291" s="33">
        <f>IFERROR(Crops[[#This Row],[Custom Yield Per Bed]]*Crops[[#This Row],[Rough Wholesale Price]],"")</f>
        <v>1440</v>
      </c>
      <c r="DX291" s="36">
        <f>Crops[[#This Row],[Wholesale Time]]*LaborRate</f>
        <v>782.65190972222229</v>
      </c>
      <c r="DY291" s="36">
        <f>SUM(Crops[[#This Row],[Packaging Costs]:[Irrigation Cost]])</f>
        <v>120</v>
      </c>
      <c r="DZ291" s="36">
        <f>Crops[[#This Row],[Wholesale Labor Cost]]+Crops[[#This Row],[Wholesale Non-Labor Cost]]</f>
        <v>902.65190972222229</v>
      </c>
      <c r="EA291" s="36">
        <f>Crops[[#This Row],[Wholesale Revenue Per Bed]]-Crops[[#This Row],[Wholesale Total Cost]]</f>
        <v>537.34809027777771</v>
      </c>
      <c r="EB291" s="36">
        <f>Crops[[#This Row],[Wholesale Profit]]*BedsPerAcre</f>
        <v>85975.694444444438</v>
      </c>
      <c r="EC291" s="36">
        <f>Crops[[#This Row],[Wholesale Profit]]*BedsPerAcre*GrowingDays/Crops[[#This Row],[Days In Field]]</f>
        <v>58179.041353383451</v>
      </c>
      <c r="ED291" s="36">
        <f>Crops[[#This Row],[Wholesale Time]] * BedsPerAcre</f>
        <v>5008.9722222222226</v>
      </c>
      <c r="EE291" s="36">
        <f>Crops[[#This Row],[Wholesale Profit]]/MIN(Crops[[#This Row],[Days In Field]],GrowingDays)</f>
        <v>2.9852671682098761</v>
      </c>
      <c r="EF291" s="36">
        <f>(Crops[[#This Row],[Wholesale Revenue Per Bed]]-Crops[[#This Row],[Wholesale Non-Labor Cost]])/Crops[[#This Row],[Direct Time]]</f>
        <v>35.961348361372956</v>
      </c>
      <c r="EG291" s="174">
        <f>Crops[[#This Row],[Packaging Costs]]/Crops[[#This Row],[Wholesale Revenue Per Bed]]</f>
        <v>8.3333333333333329E-2</v>
      </c>
      <c r="EH291" s="36" t="str">
        <f>Crops[[#This Row],[Crop]]&amp;Crops[[#This Row],[Product]]&amp;Crops[[#This Row],[Unit]]</f>
        <v>SnapdragonsMature StemStem</v>
      </c>
      <c r="EI291" s="36" t="b">
        <f>_xlfn.XLOOKUP(Crops[[#This Row],[ProductIndex]],Products[ID],Products[Target])</f>
        <v>1</v>
      </c>
      <c r="EJ291" s="36">
        <f>Crops[[#This Row],[Custom Yield Per Bed]]</f>
        <v>2400</v>
      </c>
      <c r="EK291" s="210">
        <f>Crops[[#This Row],[Units Per Harvest]]/Crops[[#This Row],[Days Between Harvest]]*7</f>
        <v>342.85714285714283</v>
      </c>
      <c r="EL291" s="210" t="e">
        <f>Crops[[#This Row],[Custom Yield Per Bed]]/_xlfn.XLOOKUP(Crops[[#This Row],[ProductIndex]],Products[ID],Products[CSA Portion])</f>
        <v>#DIV/0!</v>
      </c>
      <c r="EM291" s="210" t="e">
        <f>Crops[[#This Row],[Units Per Harvest]]/Crops[[#This Row],[Days Between Harvest]]*7/_xlfn.XLOOKUP(Crops[[#This Row],[ProductIndex]],Products[ID],Products[CSA Portion])</f>
        <v>#DIV/0!</v>
      </c>
      <c r="EN291" s="210" t="e">
        <f>Crops[[#This Row],[CSA Portions Per Week]]/CSAMembers</f>
        <v>#DIV/0!</v>
      </c>
      <c r="EO291" s="210"/>
      <c r="EP291" s="210"/>
      <c r="EQ291" s="36"/>
      <c r="ER291" s="36">
        <f>Crops[[#This Row],[Harvests]]*Crops[[#This Row],[Days Between Harvest]]/7</f>
        <v>7</v>
      </c>
      <c r="ES291" s="208">
        <f>_xlfn.XLOOKUP(Crops[[#This Row],[ProductIndex]],Products[ID],Products[CSA Need])</f>
        <v>0</v>
      </c>
      <c r="ET291" s="208">
        <f>_xlfn.XLOOKUP(Crops[[#This Row],[ProductIndex]],Products[ID],Products[CSA Times])</f>
        <v>0</v>
      </c>
      <c r="EU291" s="208" t="e">
        <f>Crops[[#This Row],[Custom Yield Per Bed]]/(Crops[[#This Row],[CSA Need]]*(_xlfn.XLOOKUP(Crops[[#This Row],[ProductIndex]],Products[ID],Products[CSA Portion])*CSAMembers))</f>
        <v>#DIV/0!</v>
      </c>
      <c r="EV291" s="208">
        <f>_xlfn.XLOOKUP(Crops[[#This Row],[ProductIndex]],Products[ID],Products[CSA Portion])*CSAMembers*Crops[[#This Row],[CSA Need]]/Crops[[#This Row],[Custom Yield Per Bed]]</f>
        <v>0</v>
      </c>
      <c r="EW291" s="208">
        <f>IFERROR(Crops[[#This Row],[Days In Field]]*Crops[[#This Row],[CSA Beds]],"")</f>
        <v>0</v>
      </c>
      <c r="EX291" s="208" t="e">
        <f>Crops[[#This Row],[CSA Bed Days]]*#REF!</f>
        <v>#REF!</v>
      </c>
      <c r="EY291" t="s">
        <v>1422</v>
      </c>
    </row>
    <row r="292" spans="1:155">
      <c r="A292"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Sorrel - Mature Leaf 3X | Field DS </v>
      </c>
      <c r="B292" s="186"/>
      <c r="C292" s="1"/>
      <c r="D292" s="1"/>
      <c r="E292" s="1" t="b">
        <v>0</v>
      </c>
      <c r="F292" s="1" t="b">
        <f>IFERROR(IF(ISNUMBER(MATCH(Crops[[#This Row],[Identifier]],BedPlan[Crop], 0)), TRUE, FALSE), FALSE)</f>
        <v>0</v>
      </c>
      <c r="G292" s="1" t="b">
        <f>IFERROR(IF(ISNUMBER(MATCH(Crops[[#This Row],[Identifier]],BedPlan[Crop], 0)), TRUE, FALSE), FALSE)</f>
        <v>0</v>
      </c>
      <c r="H292" s="1"/>
      <c r="I292" t="s">
        <v>122</v>
      </c>
      <c r="J292" t="s">
        <v>145</v>
      </c>
      <c r="K292" t="s">
        <v>179</v>
      </c>
      <c r="N292" t="str">
        <f>Crops[[#This Row],[Crop]]</f>
        <v>Sorrel</v>
      </c>
      <c r="O292" t="s">
        <v>210</v>
      </c>
      <c r="P292" t="str">
        <f>IF(OR(Crops[[#This Row],[Days in Cells]]="",Crops[[#This Row],[Days in Cells]]=0), "DS","TP")</f>
        <v>DS</v>
      </c>
      <c r="V292" t="str">
        <f xml:space="preserve"> IF(Crops[[#This Row],[Sp]], "Sp", "") &amp; IF(Crops[[#This Row],[Su]], "Su", "") &amp; IF(Crops[[#This Row],[Fa]], "Fa", "") &amp; IF(Crops[[#This Row],[Wi]], "Wi", "") &amp; IF(Crops[[#This Row],[OW]], "Ow","")</f>
        <v/>
      </c>
      <c r="X292">
        <v>3</v>
      </c>
      <c r="Y292">
        <v>12</v>
      </c>
      <c r="AD292" s="32">
        <f>IFERROR(12/Crops[[#This Row],[Spacing]]*Crops[[#This Row],[Rows]]*BedLength,"")</f>
        <v>150</v>
      </c>
      <c r="AE292">
        <v>3</v>
      </c>
      <c r="AG292">
        <f>IF(Crops[[#This Row],[Custom Safety Factor]]="",PlantingSafetyFactor,Crops[[#This Row],[Custom Safety Factor]])</f>
        <v>1.3</v>
      </c>
      <c r="AH292">
        <f>1</f>
        <v>1</v>
      </c>
      <c r="AI292" s="33">
        <f>IFERROR(Crops[[#This Row],[Plantings Per Bed]]*Crops[[#This Row],[Seeds Per Planting]]*Crops[[#This Row],[Safety Factor]]*Crops[[#This Row],[Seeding Factor]],"")</f>
        <v>585</v>
      </c>
      <c r="AL292">
        <f>_xlfn.FLOOR.MATH(IFERROR(AVERAGE(Crops[[#This Row],[DTG Lower]:[DTG Upper]]),0))</f>
        <v>0</v>
      </c>
      <c r="AM292">
        <f>SUM(Crops[[#This Row],[Tray 1 Days]],Crops[[#This Row],[Tray 2 Days]],Crops[[#This Row],[Tray 3 Days]])</f>
        <v>0</v>
      </c>
      <c r="AP292">
        <v>70</v>
      </c>
      <c r="AQ292">
        <f>IFERROR(_xlfn.FLOOR.MATH(AVERAGE(Crops[[#This Row],[DTM Lower]:[DTM Upper]])),"")</f>
        <v>70</v>
      </c>
      <c r="AR292" cm="1">
        <f t="array" ref="AR292">_xlfn.SWITCH(Crops[[#This Row],[Normal Method]],"DS",Crops[[#This Row],[Days to Germination]]+Crops[[#This Row],[DTM]] + IF(Crops[[#This Row],[Days in Cells]]&gt;0,15,0), "TP",Crops[[#This Row],[DTM]]+Crops[[#This Row],[Days in Cells]] + IF(Crops[[#This Row],[Days in Cells]]&lt;=0,20,0), "X", Crops[[#This Row],[DTM]])</f>
        <v>70</v>
      </c>
      <c r="AS292" t="s">
        <v>347</v>
      </c>
      <c r="AT292">
        <f>(Crops[[#This Row],[Harvests]]-1)*Crops[[#This Row],[Days Between Harvest]]+7</f>
        <v>224</v>
      </c>
      <c r="AU292">
        <f>Crops[[#This Row],[STH]]-Crops[[#This Row],[Days in Cells]]+Crops[[#This Row],[Harvest window]]</f>
        <v>294</v>
      </c>
      <c r="AW292">
        <v>128</v>
      </c>
      <c r="AZ292" t="str">
        <f>IFERROR(IF(Crops[[#This Row],[Tray 1 Days]]=0,"",Crops[[#This Row],[Plantings Per Bed]]/Crops[[#This Row],[Tray 1 Size]]*Crops[[#This Row],[Safety Factor]]),"")</f>
        <v/>
      </c>
      <c r="BC292" t="str">
        <f>IFERROR(IF(Crops[[#This Row],[Tray 2 Days]]=0,"",Crops[[#This Row],[Plantings Per Bed]]/Crops[[#This Row],[Tray 2 Size]]*Crops[[#This Row],[Safety Factor]]),"")</f>
        <v/>
      </c>
      <c r="BE292" s="32" t="str">
        <f>IF(NOT(ISBLANK(Crops[[#This Row],[Tray 3 Size]])), Crops[[#This Row],[Days in Cells Old]]-SUM(Crops[[#This Row],[Tray 1 Days]],Crops[[#This Row],[Tray 2 Days]]), "")</f>
        <v/>
      </c>
      <c r="BF292" t="str">
        <f>IFERROR(IF(Crops[[#This Row],[Tray 3 Days]]=0,"",Crops[[#This Row],[Plantings Per Bed]]/Crops[[#This Row],[Tray 3 Size]]*Crops[[#This Row],[Safety Factor]]),"")</f>
        <v/>
      </c>
      <c r="BG292" s="33">
        <f>Crops[[#This Row],[Plantings Per Bed]]/7</f>
        <v>21.428571428571427</v>
      </c>
      <c r="BH292" s="33">
        <v>32</v>
      </c>
      <c r="BI292" s="33">
        <v>7</v>
      </c>
      <c r="BJ292" s="33">
        <f>_xlfn.XLOOKUP(Crops[[#This Row],[ProductIndex]],Products[ID],Products[Holding Period])</f>
        <v>0</v>
      </c>
      <c r="BK292" s="33"/>
      <c r="BL292" s="33">
        <f>Crops[[#This Row],[Units Per Harvest]]*Crops[[#This Row],[Harvests]]</f>
        <v>685.71428571428567</v>
      </c>
      <c r="BM292" s="35">
        <v>3</v>
      </c>
      <c r="BN292" s="35">
        <f>Crops[[#This Row],[Direct Price]]*0.6</f>
        <v>1.7999999999999998</v>
      </c>
      <c r="BO292" s="35"/>
      <c r="BP292" t="s">
        <v>215</v>
      </c>
      <c r="BQ292">
        <f>Crops[[#This Row],[Custom Yield Per Bed]]*Crops[[#This Row],[Direct Price]]</f>
        <v>2057.1428571428569</v>
      </c>
      <c r="BS292" t="b">
        <f>Crops[[#This Row],[Harvests]]&gt;1</f>
        <v>1</v>
      </c>
      <c r="BT292" s="36">
        <f>IFERROR(Crops[[#This Row],[Direct Revenue Per Bed]]/Crops[[#This Row],[Days In Field]],-1)</f>
        <v>6.9970845481049553</v>
      </c>
      <c r="BU292" s="36">
        <f>IFERROR(Crops[[#This Row],[Direct Revenue Per Bed Day]]*GrowingDays*BedsPerAcre,"")</f>
        <v>201516.03498542271</v>
      </c>
      <c r="BV292" s="38">
        <f>LastFrostDate-5*Crops[[#This Row],[Sewing Rel Last Frost]]</f>
        <v>45748</v>
      </c>
      <c r="BW292" s="38">
        <f>Crops[[#This Row],[Target Sewing Date]]+Crops[[#This Row],[Days in Cells]]</f>
        <v>45748</v>
      </c>
      <c r="BX292" s="38">
        <f>Crops[[#This Row],[Target Sewing Date]]+Crops[[#This Row],[STH]]</f>
        <v>45818</v>
      </c>
      <c r="BY292" s="38">
        <f>Crops[[#This Row],[Target Harvest Data]]+Crops[[#This Row],[Harvest window]]</f>
        <v>46042</v>
      </c>
      <c r="BZ292">
        <v>0</v>
      </c>
      <c r="CA292" t="s">
        <v>373</v>
      </c>
      <c r="CB292">
        <f>1</f>
        <v>1</v>
      </c>
      <c r="CC292">
        <f>IF(Crops[[#This Row],[Transplanting]]&gt;0, 2, 3)*BedLength/StandardBedLength</f>
        <v>1.5</v>
      </c>
      <c r="CD292" s="173">
        <f>IF(Crops[[#This Row],[Days in Cells]]&lt;=0,0,Crops[[#This Row],[Plantings Per Bed]]/StartsPerHourSeeding+Crops[[#This Row],[Tray 1 Count]]*5/60)</f>
        <v>0</v>
      </c>
      <c r="CE292" s="173">
        <f>IF(ISBLANK(Crops[[#This Row],[Tray 2 Days]]),0,Crops[[#This Row],[Plantings Per Bed]]/UpPottingPerHour)+IF(Crops[[#This Row],[Tray 3 Days]]="",0,Crops[[#This Row],[Plantings Per Bed]]/UpPottingPerHour)</f>
        <v>0</v>
      </c>
      <c r="CF292" s="173">
        <f>IFERROR(Crops[[#This Row],[Tray 1 Count]]/HomeStartFlatIrrigationPerHour,0)*Crops[[#This Row],[Days in Cells]]/DaysBetweenStartIrrigation</f>
        <v>0</v>
      </c>
      <c r="CG292" s="173">
        <f>0.5/16*MAX(Crops[[#This Row],[Tray 1 Count]],Crops[[#This Row],[Tray 2 Count]],Crops[[#This Row],[Tray 3 Count]])</f>
        <v>0</v>
      </c>
      <c r="CH292" s="173">
        <f>IF(Crops[[#This Row],[Days in Cells]]&gt;0,IF(IF(Crops[[#This Row],[Tray 3 Size]]&gt;0,Crops[[#This Row],[Tray 3 Size]],IF(Crops[[#This Row],[Tray 2 Size]]&gt;0,Crops[[#This Row],[Tray 2 Size]],Crops[[#This Row],[Tray 1 Size]]))&lt;=18,LargeTransplantTime,SmallTransplantTime)*Crops[[#This Row],[Plantings Per Bed]],0)</f>
        <v>0</v>
      </c>
      <c r="CI292" s="173"/>
      <c r="CJ292" s="173">
        <f>_xlfn.XLOOKUP(Crops[[#This Row],[Trellis Type]],TrellisMethods[Trellis Type],TrellisMethods[Hours],0,0)</f>
        <v>0</v>
      </c>
      <c r="CK292">
        <f>IF(Crops[[#This Row],[Days in Cells]]&lt;=0,Crops[[#This Row],[Rows]]*1/10,0)*BedLength/50</f>
        <v>0.3</v>
      </c>
      <c r="CL292" cm="1">
        <f t="array" ref="CL292">_xlfn.SWITCH(Crops[[#This Row],[Irrigation]],"DR", 0.5, "OH", 0.25,0)*BedLength/50</f>
        <v>0</v>
      </c>
      <c r="CM292">
        <f>IF(OR(ISBLANK(Crops[[#This Row],[Row Cover]]),Crops[[#This Row],[Row Cover]]="None"),0,1)*BedLength/50</f>
        <v>0</v>
      </c>
      <c r="CN292" s="173">
        <f>HoursPerWeedingPass*Crops[[#This Row],[Days In Field]]/14*Crops[[#This Row],[Rows]]+1*BedLength/50</f>
        <v>11.5</v>
      </c>
      <c r="CQ292" s="37">
        <f>_xlfn.XLOOKUP(Crops[[#This Row],[Crop]]&amp;Crops[[#This Row],[Product]]&amp;Crops[[#This Row],[Unit]],Products[ID],Products[Marketing (hr)])*Crops[[#This Row],[Direct Revenue Per Bed]]/2000</f>
        <v>5.1428571428571423</v>
      </c>
      <c r="CR292" s="37">
        <f>_xlfn.XLOOKUP(Crops[[#This Row],[Crop]]&amp;Crops[[#This Row],[Product]]&amp;Crops[[#This Row],[Unit]],Products[ID],Products[Harvest (s)])*Crops[[#This Row],[Custom Yield Per Bed]]/3600</f>
        <v>1.9047619047619047</v>
      </c>
      <c r="CS292" s="37">
        <f>_xlfn.XLOOKUP(Crops[[#This Row],[Crop]]&amp;Crops[[#This Row],[Product]]&amp;Crops[[#This Row],[Unit]],Products[ID],Products[Bunch (s)])*Crops[[#This Row],[Custom Yield Per Bed]]/3600</f>
        <v>1.9047619047619047</v>
      </c>
      <c r="CT292" s="37">
        <f>_xlfn.XLOOKUP(Crops[[#This Row],[Crop]]&amp;Crops[[#This Row],[Product]]&amp;Crops[[#This Row],[Unit]],Products[ID],Products[Haul (s)])*Crops[[#This Row],[Custom Yield Per Bed]]/3600</f>
        <v>0.5714285714285714</v>
      </c>
      <c r="CU292" s="37">
        <f>_xlfn.XLOOKUP(Crops[[#This Row],[Crop]]&amp;Crops[[#This Row],[Product]]&amp;Crops[[#This Row],[Unit]],Products[ID],Products[Wash (s)])*Crops[[#This Row],[Custom Yield Per Bed]]/3600</f>
        <v>0</v>
      </c>
      <c r="CV292" s="37">
        <f>_xlfn.XLOOKUP(Crops[[#This Row],[Crop]]&amp;Crops[[#This Row],[Product]]&amp;Crops[[#This Row],[Unit]],Products[ID],Products[Condition (s)])*Crops[[#This Row],[Custom Yield Per Bed]]/3600</f>
        <v>1.9047619047619047</v>
      </c>
      <c r="CW292" s="37">
        <f>_xlfn.XLOOKUP(Crops[[#This Row],[Crop]]&amp;Crops[[#This Row],[Product]]&amp;Crops[[#This Row],[Unit]],Products[ID],Products[Trim (s)])*Crops[[#This Row],[Custom Yield Per Bed]]/3600</f>
        <v>3.8095238095238093</v>
      </c>
      <c r="CX292" s="37">
        <f>_xlfn.XLOOKUP(Crops[[#This Row],[Crop]]&amp;Crops[[#This Row],[Product]]&amp;Crops[[#This Row],[Unit]],Products[ID],Products[Pack (s)])*Crops[[#This Row],[Custom Yield Per Bed]]/3600</f>
        <v>0.5714285714285714</v>
      </c>
      <c r="CY292" s="37">
        <f>_xlfn.XLOOKUP(Crops[[#This Row],[Crop]]&amp;Crops[[#This Row],[Product]]&amp;Crops[[#This Row],[Unit]],Products[ID],Products[Clean (s)])*Crops[[#This Row],[Custom Yield Per Bed]]/3600</f>
        <v>0</v>
      </c>
      <c r="CZ292" s="37">
        <f>_xlfn.XLOOKUP(Crops[[#This Row],[Crop]]&amp;Crops[[#This Row],[Product]]&amp;Crops[[#This Row],[Unit]],Products[ID],Products[Rehandle (s)])*Crops[[#This Row],[Custom Yield Per Bed]]/3600</f>
        <v>0</v>
      </c>
      <c r="DA292" s="37">
        <f>_xlfn.XLOOKUP(Crops[[#This Row],[Crop]]&amp;Crops[[#This Row],[Product]]&amp;Crops[[#This Row],[Unit]],Products[ID],Products[Market Transport (s)])*Crops[[#This Row],[Custom Yield Per Bed]]/3600</f>
        <v>1.4285714285714284</v>
      </c>
      <c r="DC292" s="37">
        <f>Crops[[#This Row],[Direct Revenue Per Bed2]]</f>
        <v>2057.1428571428569</v>
      </c>
      <c r="DD292" s="173">
        <f>_xlfn.AGGREGATE(9,6,Crops[[#This Row],[Bed Prep]:[Remove Crop Residue]])</f>
        <v>30.538095238095242</v>
      </c>
      <c r="DE292" s="173">
        <f>_xlfn.AGGREGATE(9,6,Crops[[#This Row],[Bed Prep]:[Remove Crop Residue]])-0.75*Crops[[#This Row],[Market &amp; Sell]]</f>
        <v>26.680952380952384</v>
      </c>
      <c r="DF292" s="36">
        <f>Crops[[#This Row],[Direct Revenue Per Bed2]]/Crops[[#This Row],[Direct Time]]</f>
        <v>67.363168563854657</v>
      </c>
      <c r="DG292" s="36">
        <f>_xlfn.XLOOKUP(Crops[[#This Row],[ProductIndex]],Products[ID],Products[Packaging Cost])*(Crops[[#This Row],[Custom Yield Per Bed]]/_xlfn.XLOOKUP(Crops[[#This Row],[ProductIndex]],Products[ID],Products[Units Per Pack]))</f>
        <v>86.857142857142847</v>
      </c>
      <c r="DH292" s="36"/>
      <c r="DI292" s="36"/>
      <c r="DJ292" s="36"/>
      <c r="DK292" s="36"/>
      <c r="DL292" s="36"/>
      <c r="DM292" s="33">
        <f>IFERROR(Crops[[#This Row],[Custom Yield Per Bed]]*Crops[[#This Row],[Direct Price]],"")</f>
        <v>2057.1428571428569</v>
      </c>
      <c r="DN292" s="36">
        <f>Crops[[#This Row],[Direct Time]]*LaborRate</f>
        <v>763.45238095238108</v>
      </c>
      <c r="DO292" s="36">
        <f>SUM(Crops[[#This Row],[Irrigation Cost]])</f>
        <v>0</v>
      </c>
      <c r="DP292" s="36">
        <f>Crops[[#This Row],[Direct Labor Cost]]+Crops[[#This Row],[Direct Non-Labor Cost]]</f>
        <v>763.45238095238108</v>
      </c>
      <c r="DQ292" s="36">
        <f>Crops[[#This Row],[Direct Revenue Per Bed2]]-Crops[[#This Row],[Direct Total Cost]]</f>
        <v>1293.6904761904757</v>
      </c>
      <c r="DR292" s="36">
        <f>Crops[[#This Row],[Direct Profit]]*BedsPerAcre</f>
        <v>206990.4761904761</v>
      </c>
      <c r="DS292" s="36">
        <f>Crops[[#This Row],[Direct Profit]]*BedsPerAcre*GrowingDays/Crops[[#This Row],[Days In Field]]</f>
        <v>126728.86297376086</v>
      </c>
      <c r="DT292" s="36">
        <f>Crops[[#This Row],[Direct Profit]]/MIN(Crops[[#This Row],[Days In Field]],GrowingDays)</f>
        <v>7.187169312169309</v>
      </c>
      <c r="DU292" s="36">
        <f>Crops[[#This Row],[Direct Time]] * BedsPerAcre</f>
        <v>4886.0952380952385</v>
      </c>
      <c r="DV292" s="36">
        <f>(Crops[[#This Row],[Direct Revenue Per Bed2]]-Crops[[#This Row],[Direct Non-Labor Cost]])/Crops[[#This Row],[Direct Time]]</f>
        <v>67.363168563854657</v>
      </c>
      <c r="DW292" s="33">
        <f>IFERROR(Crops[[#This Row],[Custom Yield Per Bed]]*Crops[[#This Row],[Rough Wholesale Price]],"")</f>
        <v>1234.285714285714</v>
      </c>
      <c r="DX292" s="36">
        <f>Crops[[#This Row],[Wholesale Time]]*LaborRate</f>
        <v>667.02380952380963</v>
      </c>
      <c r="DY292" s="36">
        <f>SUM(Crops[[#This Row],[Packaging Costs]:[Irrigation Cost]])</f>
        <v>86.857142857142847</v>
      </c>
      <c r="DZ292" s="36">
        <f>Crops[[#This Row],[Wholesale Labor Cost]]+Crops[[#This Row],[Wholesale Non-Labor Cost]]</f>
        <v>753.88095238095252</v>
      </c>
      <c r="EA292" s="36">
        <f>Crops[[#This Row],[Wholesale Revenue Per Bed]]-Crops[[#This Row],[Wholesale Total Cost]]</f>
        <v>480.40476190476147</v>
      </c>
      <c r="EB292" s="36">
        <f>Crops[[#This Row],[Wholesale Profit]]*BedsPerAcre</f>
        <v>76864.761904761835</v>
      </c>
      <c r="EC292" s="36">
        <f>Crops[[#This Row],[Wholesale Profit]]*BedsPerAcre*GrowingDays/Crops[[#This Row],[Days In Field]]</f>
        <v>47060.058309037857</v>
      </c>
      <c r="ED292" s="36">
        <f>Crops[[#This Row],[Wholesale Time]] * BedsPerAcre</f>
        <v>4268.9523809523816</v>
      </c>
      <c r="EE292" s="36">
        <f>Crops[[#This Row],[Wholesale Profit]]/MIN(Crops[[#This Row],[Days In Field]],GrowingDays)</f>
        <v>2.6689153439153417</v>
      </c>
      <c r="EF292" s="36">
        <f>(Crops[[#This Row],[Wholesale Revenue Per Bed]]-Crops[[#This Row],[Wholesale Non-Labor Cost]])/Crops[[#This Row],[Direct Time]]</f>
        <v>37.573678465616702</v>
      </c>
      <c r="EG292" s="174">
        <f>Crops[[#This Row],[Packaging Costs]]/Crops[[#This Row],[Wholesale Revenue Per Bed]]</f>
        <v>7.0370370370370375E-2</v>
      </c>
      <c r="EH292" s="36" t="str">
        <f>Crops[[#This Row],[Crop]]&amp;Crops[[#This Row],[Product]]&amp;Crops[[#This Row],[Unit]]</f>
        <v>SorrelMature LeafBunch</v>
      </c>
      <c r="EI292" s="36" t="b">
        <f>_xlfn.XLOOKUP(Crops[[#This Row],[ProductIndex]],Products[ID],Products[Target])</f>
        <v>1</v>
      </c>
      <c r="EJ292" s="36">
        <f>Crops[[#This Row],[Custom Yield Per Bed]]</f>
        <v>685.71428571428567</v>
      </c>
      <c r="EK292" s="210">
        <f>Crops[[#This Row],[Units Per Harvest]]/Crops[[#This Row],[Days Between Harvest]]*7</f>
        <v>21.428571428571427</v>
      </c>
      <c r="EL292" s="210" t="e">
        <f>Crops[[#This Row],[Custom Yield Per Bed]]/_xlfn.XLOOKUP(Crops[[#This Row],[ProductIndex]],Products[ID],Products[CSA Portion])</f>
        <v>#DIV/0!</v>
      </c>
      <c r="EM292" s="210" t="e">
        <f>Crops[[#This Row],[Units Per Harvest]]/Crops[[#This Row],[Days Between Harvest]]*7/_xlfn.XLOOKUP(Crops[[#This Row],[ProductIndex]],Products[ID],Products[CSA Portion])</f>
        <v>#DIV/0!</v>
      </c>
      <c r="EN292" s="210" t="e">
        <f>Crops[[#This Row],[CSA Portions Per Week]]/CSAMembers</f>
        <v>#DIV/0!</v>
      </c>
      <c r="EO292" s="210"/>
      <c r="EP292" s="210"/>
      <c r="EQ292" s="36"/>
      <c r="ER292" s="36">
        <f>Crops[[#This Row],[Harvests]]*Crops[[#This Row],[Days Between Harvest]]/7</f>
        <v>32</v>
      </c>
      <c r="ES292" s="208">
        <f>_xlfn.XLOOKUP(Crops[[#This Row],[ProductIndex]],Products[ID],Products[CSA Need])</f>
        <v>0</v>
      </c>
      <c r="ET292" s="208">
        <f>_xlfn.XLOOKUP(Crops[[#This Row],[ProductIndex]],Products[ID],Products[CSA Times])</f>
        <v>0</v>
      </c>
      <c r="EU292" s="208" t="e">
        <f>Crops[[#This Row],[Custom Yield Per Bed]]/(Crops[[#This Row],[CSA Need]]*(_xlfn.XLOOKUP(Crops[[#This Row],[ProductIndex]],Products[ID],Products[CSA Portion])*CSAMembers))</f>
        <v>#DIV/0!</v>
      </c>
      <c r="EV292" s="208">
        <f>_xlfn.XLOOKUP(Crops[[#This Row],[ProductIndex]],Products[ID],Products[CSA Portion])*CSAMembers*Crops[[#This Row],[CSA Need]]/Crops[[#This Row],[Custom Yield Per Bed]]</f>
        <v>0</v>
      </c>
      <c r="EW292" s="208">
        <f>IFERROR(Crops[[#This Row],[Days In Field]]*Crops[[#This Row],[CSA Beds]],"")</f>
        <v>0</v>
      </c>
      <c r="EX292" s="208" t="e">
        <f>Crops[[#This Row],[CSA Bed Days]]*#REF!</f>
        <v>#REF!</v>
      </c>
      <c r="EY292" t="s">
        <v>1538</v>
      </c>
    </row>
    <row r="293" spans="1:155">
      <c r="A293"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Sorrel - Mature Leaf 3X | Field TP </v>
      </c>
      <c r="B293" s="186"/>
      <c r="C293" s="1" t="b">
        <v>1</v>
      </c>
      <c r="D293" s="1"/>
      <c r="E293" s="1" t="b">
        <v>0</v>
      </c>
      <c r="F293" s="1" t="b">
        <f>IFERROR(IF(ISNUMBER(MATCH(Crops[[#This Row],[Identifier]],BedPlan[Crop], 0)), TRUE, FALSE), FALSE)</f>
        <v>1</v>
      </c>
      <c r="G293" s="1" t="b">
        <f>IFERROR(IF(ISNUMBER(MATCH(Crops[[#This Row],[Identifier]],BedPlan[Crop], 0)), TRUE, FALSE), FALSE)</f>
        <v>1</v>
      </c>
      <c r="H293" s="1"/>
      <c r="I293" t="s">
        <v>122</v>
      </c>
      <c r="J293" t="s">
        <v>145</v>
      </c>
      <c r="K293" t="s">
        <v>179</v>
      </c>
      <c r="M293" t="s">
        <v>441</v>
      </c>
      <c r="N293" t="str">
        <f>Crops[[#This Row],[Crop]]</f>
        <v>Sorrel</v>
      </c>
      <c r="O293" t="s">
        <v>210</v>
      </c>
      <c r="P293" t="str">
        <f>IF(OR(Crops[[#This Row],[Days in Cells]]="",Crops[[#This Row],[Days in Cells]]=0), "DS","TP")</f>
        <v>TP</v>
      </c>
      <c r="V293" t="str">
        <f xml:space="preserve"> IF(Crops[[#This Row],[Sp]], "Sp", "") &amp; IF(Crops[[#This Row],[Su]], "Su", "") &amp; IF(Crops[[#This Row],[Fa]], "Fa", "") &amp; IF(Crops[[#This Row],[Wi]], "Wi", "") &amp; IF(Crops[[#This Row],[OW]], "Ow","")</f>
        <v/>
      </c>
      <c r="X293">
        <v>3</v>
      </c>
      <c r="Y293">
        <v>12</v>
      </c>
      <c r="AB293" t="b">
        <v>1</v>
      </c>
      <c r="AC293">
        <v>1.5</v>
      </c>
      <c r="AD293" s="32">
        <f>IFERROR(12/Crops[[#This Row],[Spacing]]*Crops[[#This Row],[Rows]]*BedLength,"")</f>
        <v>150</v>
      </c>
      <c r="AE293">
        <v>3</v>
      </c>
      <c r="AG293">
        <f>IF(Crops[[#This Row],[Custom Safety Factor]]="",PlantingSafetyFactor,Crops[[#This Row],[Custom Safety Factor]])</f>
        <v>1.3</v>
      </c>
      <c r="AH293">
        <f>1</f>
        <v>1</v>
      </c>
      <c r="AI293" s="33">
        <f>IFERROR(Crops[[#This Row],[Plantings Per Bed]]*Crops[[#This Row],[Seeds Per Planting]]*Crops[[#This Row],[Safety Factor]]*Crops[[#This Row],[Seeding Factor]],"")</f>
        <v>585</v>
      </c>
      <c r="AL293">
        <f>_xlfn.FLOOR.MATH(IFERROR(AVERAGE(Crops[[#This Row],[DTG Lower]:[DTG Upper]]),0))</f>
        <v>0</v>
      </c>
      <c r="AM293">
        <f>SUM(Crops[[#This Row],[Tray 1 Days]],Crops[[#This Row],[Tray 2 Days]],Crops[[#This Row],[Tray 3 Days]])</f>
        <v>28</v>
      </c>
      <c r="AP293">
        <v>70</v>
      </c>
      <c r="AQ293">
        <f>IFERROR(_xlfn.FLOOR.MATH(AVERAGE(Crops[[#This Row],[DTM Lower]:[DTM Upper]])),"")</f>
        <v>70</v>
      </c>
      <c r="AR293" cm="1">
        <f t="array" ref="AR293">_xlfn.SWITCH(Crops[[#This Row],[Normal Method]],"DS",Crops[[#This Row],[Days to Germination]]+Crops[[#This Row],[DTM]] + IF(Crops[[#This Row],[Days in Cells]]&gt;0,15,0), "TP",Crops[[#This Row],[DTM]]+Crops[[#This Row],[Days in Cells]] + IF(Crops[[#This Row],[Days in Cells]]&lt;=0,20,0), "X", Crops[[#This Row],[DTM]])</f>
        <v>70</v>
      </c>
      <c r="AS293" t="s">
        <v>347</v>
      </c>
      <c r="AT293">
        <f>(Crops[[#This Row],[Harvests]]-1)*Crops[[#This Row],[Days Between Harvest]]+7</f>
        <v>224</v>
      </c>
      <c r="AU293">
        <f>Crops[[#This Row],[STH]]-Crops[[#This Row],[Days in Cells]]+Crops[[#This Row],[Harvest window]]</f>
        <v>266</v>
      </c>
      <c r="AX293">
        <v>128</v>
      </c>
      <c r="AY293">
        <v>28</v>
      </c>
      <c r="AZ293">
        <f>IFERROR(IF(Crops[[#This Row],[Tray 1 Days]]=0,"",Crops[[#This Row],[Plantings Per Bed]]/Crops[[#This Row],[Tray 1 Size]]*Crops[[#This Row],[Safety Factor]]),"")</f>
        <v>1.5234375</v>
      </c>
      <c r="BC293" t="str">
        <f>IFERROR(IF(Crops[[#This Row],[Tray 2 Days]]=0,"",Crops[[#This Row],[Plantings Per Bed]]/Crops[[#This Row],[Tray 2 Size]]*Crops[[#This Row],[Safety Factor]]),"")</f>
        <v/>
      </c>
      <c r="BE293" s="32" t="str">
        <f>IF(NOT(ISBLANK(Crops[[#This Row],[Tray 3 Size]])), Crops[[#This Row],[Days in Cells Old]]-SUM(Crops[[#This Row],[Tray 1 Days]],Crops[[#This Row],[Tray 2 Days]]), "")</f>
        <v/>
      </c>
      <c r="BF293" t="str">
        <f>IFERROR(IF(Crops[[#This Row],[Tray 3 Days]]=0,"",Crops[[#This Row],[Plantings Per Bed]]/Crops[[#This Row],[Tray 3 Size]]*Crops[[#This Row],[Safety Factor]]),"")</f>
        <v/>
      </c>
      <c r="BG293" s="33">
        <f>Crops[[#This Row],[Plantings Per Bed]]/7</f>
        <v>21.428571428571427</v>
      </c>
      <c r="BH293" s="33">
        <v>32</v>
      </c>
      <c r="BI293" s="33">
        <v>7</v>
      </c>
      <c r="BJ293" s="33">
        <f>_xlfn.XLOOKUP(Crops[[#This Row],[ProductIndex]],Products[ID],Products[Holding Period])</f>
        <v>0</v>
      </c>
      <c r="BK293" s="33"/>
      <c r="BL293" s="33">
        <f>Crops[[#This Row],[Units Per Harvest]]*Crops[[#This Row],[Harvests]]</f>
        <v>685.71428571428567</v>
      </c>
      <c r="BM293" s="35">
        <v>3</v>
      </c>
      <c r="BN293" s="35">
        <f>Crops[[#This Row],[Direct Price]]*0.6</f>
        <v>1.7999999999999998</v>
      </c>
      <c r="BO293" s="35"/>
      <c r="BP293" t="s">
        <v>215</v>
      </c>
      <c r="BQ293">
        <f>Crops[[#This Row],[Custom Yield Per Bed]]*Crops[[#This Row],[Direct Price]]</f>
        <v>2057.1428571428569</v>
      </c>
      <c r="BS293" t="b">
        <f>Crops[[#This Row],[Harvests]]&gt;1</f>
        <v>1</v>
      </c>
      <c r="BT293" s="36">
        <f>IFERROR(Crops[[#This Row],[Direct Revenue Per Bed]]/Crops[[#This Row],[Days In Field]],-1)</f>
        <v>7.7336197636949509</v>
      </c>
      <c r="BU293" s="36">
        <f>IFERROR(Crops[[#This Row],[Direct Revenue Per Bed Day]]*GrowingDays*BedsPerAcre,"")</f>
        <v>222728.24919441459</v>
      </c>
      <c r="BV293" s="38">
        <f>LastFrostDate-5*Crops[[#This Row],[Sewing Rel Last Frost]]</f>
        <v>45748</v>
      </c>
      <c r="BW293" s="38">
        <f>Crops[[#This Row],[Target Sewing Date]]+Crops[[#This Row],[Days in Cells]]</f>
        <v>45776</v>
      </c>
      <c r="BX293" s="38">
        <f>Crops[[#This Row],[Target Sewing Date]]+Crops[[#This Row],[STH]]</f>
        <v>45818</v>
      </c>
      <c r="BY293" s="38">
        <f>Crops[[#This Row],[Target Harvest Data]]+Crops[[#This Row],[Harvest window]]</f>
        <v>46042</v>
      </c>
      <c r="BZ293">
        <v>0</v>
      </c>
      <c r="CA293" t="s">
        <v>373</v>
      </c>
      <c r="CB293">
        <f>1</f>
        <v>1</v>
      </c>
      <c r="CC293">
        <f>IF(Crops[[#This Row],[Transplanting]]&gt;0, 2, 3)*BedLength/StandardBedLength</f>
        <v>1</v>
      </c>
      <c r="CD293" s="173">
        <f>IF(Crops[[#This Row],[Days in Cells]]&lt;=0,0,Crops[[#This Row],[Plantings Per Bed]]/StartsPerHourSeeding+Crops[[#This Row],[Tray 1 Count]]*5/60)</f>
        <v>0.712890625</v>
      </c>
      <c r="CE293" s="173">
        <f>IF(ISBLANK(Crops[[#This Row],[Tray 2 Days]]),0,Crops[[#This Row],[Plantings Per Bed]]/UpPottingPerHour)+IF(Crops[[#This Row],[Tray 3 Days]]="",0,Crops[[#This Row],[Plantings Per Bed]]/UpPottingPerHour)</f>
        <v>0</v>
      </c>
      <c r="CF293" s="173">
        <f>IFERROR(Crops[[#This Row],[Tray 1 Count]]/HomeStartFlatIrrigationPerHour,0)*Crops[[#This Row],[Days in Cells]]/DaysBetweenStartIrrigation</f>
        <v>0.177734375</v>
      </c>
      <c r="CG293" s="173">
        <f>0.5/16*MAX(Crops[[#This Row],[Tray 1 Count]],Crops[[#This Row],[Tray 2 Count]],Crops[[#This Row],[Tray 3 Count]])</f>
        <v>4.7607421875E-2</v>
      </c>
      <c r="CH293" s="173">
        <f>IF(Crops[[#This Row],[Days in Cells]]&gt;0,IF(IF(Crops[[#This Row],[Tray 3 Size]]&gt;0,Crops[[#This Row],[Tray 3 Size]],IF(Crops[[#This Row],[Tray 2 Size]]&gt;0,Crops[[#This Row],[Tray 2 Size]],Crops[[#This Row],[Tray 1 Size]]))&lt;=18,LargeTransplantTime,SmallTransplantTime)*Crops[[#This Row],[Plantings Per Bed]],0)</f>
        <v>0.75</v>
      </c>
      <c r="CI293" s="173"/>
      <c r="CJ293" s="173">
        <f>_xlfn.XLOOKUP(Crops[[#This Row],[Trellis Type]],TrellisMethods[Trellis Type],TrellisMethods[Hours],0,0)</f>
        <v>0</v>
      </c>
      <c r="CK293">
        <f>IF(Crops[[#This Row],[Days in Cells]]&lt;=0,Crops[[#This Row],[Rows]]*1/10,0)*BedLength/50</f>
        <v>0</v>
      </c>
      <c r="CL293" cm="1">
        <f t="array" ref="CL293">_xlfn.SWITCH(Crops[[#This Row],[Irrigation]],"DR", 0.5, "OH", 0.25,0)*BedLength/50</f>
        <v>0</v>
      </c>
      <c r="CM293">
        <f>IF(OR(ISBLANK(Crops[[#This Row],[Row Cover]]),Crops[[#This Row],[Row Cover]]="None"),0,1)*BedLength/50</f>
        <v>0</v>
      </c>
      <c r="CN293" s="173">
        <f>HoursPerWeedingPass*Crops[[#This Row],[Days In Field]]/14*Crops[[#This Row],[Rows]]+1*BedLength/50</f>
        <v>10.5</v>
      </c>
      <c r="CQ293" s="37">
        <f>_xlfn.XLOOKUP(Crops[[#This Row],[Crop]]&amp;Crops[[#This Row],[Product]]&amp;Crops[[#This Row],[Unit]],Products[ID],Products[Marketing (hr)])*Crops[[#This Row],[Direct Revenue Per Bed]]/2000</f>
        <v>5.1428571428571423</v>
      </c>
      <c r="CR293" s="37">
        <f>_xlfn.XLOOKUP(Crops[[#This Row],[Crop]]&amp;Crops[[#This Row],[Product]]&amp;Crops[[#This Row],[Unit]],Products[ID],Products[Harvest (s)])*Crops[[#This Row],[Custom Yield Per Bed]]/3600</f>
        <v>1.9047619047619047</v>
      </c>
      <c r="CS293" s="37">
        <f>_xlfn.XLOOKUP(Crops[[#This Row],[Crop]]&amp;Crops[[#This Row],[Product]]&amp;Crops[[#This Row],[Unit]],Products[ID],Products[Bunch (s)])*Crops[[#This Row],[Custom Yield Per Bed]]/3600</f>
        <v>1.9047619047619047</v>
      </c>
      <c r="CT293" s="37">
        <f>_xlfn.XLOOKUP(Crops[[#This Row],[Crop]]&amp;Crops[[#This Row],[Product]]&amp;Crops[[#This Row],[Unit]],Products[ID],Products[Haul (s)])*Crops[[#This Row],[Custom Yield Per Bed]]/3600</f>
        <v>0.5714285714285714</v>
      </c>
      <c r="CU293" s="37">
        <f>_xlfn.XLOOKUP(Crops[[#This Row],[Crop]]&amp;Crops[[#This Row],[Product]]&amp;Crops[[#This Row],[Unit]],Products[ID],Products[Wash (s)])*Crops[[#This Row],[Custom Yield Per Bed]]/3600</f>
        <v>0</v>
      </c>
      <c r="CV293" s="37">
        <f>_xlfn.XLOOKUP(Crops[[#This Row],[Crop]]&amp;Crops[[#This Row],[Product]]&amp;Crops[[#This Row],[Unit]],Products[ID],Products[Condition (s)])*Crops[[#This Row],[Custom Yield Per Bed]]/3600</f>
        <v>1.9047619047619047</v>
      </c>
      <c r="CW293" s="37">
        <f>_xlfn.XLOOKUP(Crops[[#This Row],[Crop]]&amp;Crops[[#This Row],[Product]]&amp;Crops[[#This Row],[Unit]],Products[ID],Products[Trim (s)])*Crops[[#This Row],[Custom Yield Per Bed]]/3600</f>
        <v>3.8095238095238093</v>
      </c>
      <c r="CX293" s="37">
        <f>_xlfn.XLOOKUP(Crops[[#This Row],[Crop]]&amp;Crops[[#This Row],[Product]]&amp;Crops[[#This Row],[Unit]],Products[ID],Products[Pack (s)])*Crops[[#This Row],[Custom Yield Per Bed]]/3600</f>
        <v>0.5714285714285714</v>
      </c>
      <c r="CY293" s="37">
        <f>_xlfn.XLOOKUP(Crops[[#This Row],[Crop]]&amp;Crops[[#This Row],[Product]]&amp;Crops[[#This Row],[Unit]],Products[ID],Products[Clean (s)])*Crops[[#This Row],[Custom Yield Per Bed]]/3600</f>
        <v>0</v>
      </c>
      <c r="CZ293" s="37">
        <f>_xlfn.XLOOKUP(Crops[[#This Row],[Crop]]&amp;Crops[[#This Row],[Product]]&amp;Crops[[#This Row],[Unit]],Products[ID],Products[Rehandle (s)])*Crops[[#This Row],[Custom Yield Per Bed]]/3600</f>
        <v>0</v>
      </c>
      <c r="DA293" s="37">
        <f>_xlfn.XLOOKUP(Crops[[#This Row],[Crop]]&amp;Crops[[#This Row],[Product]]&amp;Crops[[#This Row],[Unit]],Products[ID],Products[Market Transport (s)])*Crops[[#This Row],[Custom Yield Per Bed]]/3600</f>
        <v>1.4285714285714284</v>
      </c>
      <c r="DC293" s="37">
        <f>Crops[[#This Row],[Direct Revenue Per Bed2]]</f>
        <v>2057.1428571428569</v>
      </c>
      <c r="DD293" s="173">
        <f>_xlfn.AGGREGATE(9,6,Crops[[#This Row],[Bed Prep]:[Remove Crop Residue]])</f>
        <v>30.426327659970241</v>
      </c>
      <c r="DE293" s="173">
        <f>_xlfn.AGGREGATE(9,6,Crops[[#This Row],[Bed Prep]:[Remove Crop Residue]])-0.75*Crops[[#This Row],[Market &amp; Sell]]</f>
        <v>26.569184802827383</v>
      </c>
      <c r="DF293" s="36">
        <f>Crops[[#This Row],[Direct Revenue Per Bed2]]/Crops[[#This Row],[Direct Time]]</f>
        <v>67.610619333771709</v>
      </c>
      <c r="DG293" s="36">
        <f>_xlfn.XLOOKUP(Crops[[#This Row],[ProductIndex]],Products[ID],Products[Packaging Cost])*(Crops[[#This Row],[Custom Yield Per Bed]]/_xlfn.XLOOKUP(Crops[[#This Row],[ProductIndex]],Products[ID],Products[Units Per Pack]))</f>
        <v>86.857142857142847</v>
      </c>
      <c r="DH293" s="36"/>
      <c r="DI293" s="36"/>
      <c r="DJ293" s="36"/>
      <c r="DK293" s="36"/>
      <c r="DL293" s="36"/>
      <c r="DM293" s="33">
        <f>IFERROR(Crops[[#This Row],[Custom Yield Per Bed]]*Crops[[#This Row],[Direct Price]],"")</f>
        <v>2057.1428571428569</v>
      </c>
      <c r="DN293" s="36">
        <f>Crops[[#This Row],[Direct Time]]*LaborRate</f>
        <v>760.65819149925596</v>
      </c>
      <c r="DO293" s="36">
        <f>SUM(Crops[[#This Row],[Irrigation Cost]])</f>
        <v>0</v>
      </c>
      <c r="DP293" s="36">
        <f>Crops[[#This Row],[Direct Labor Cost]]+Crops[[#This Row],[Direct Non-Labor Cost]]</f>
        <v>760.65819149925596</v>
      </c>
      <c r="DQ293" s="36">
        <f>Crops[[#This Row],[Direct Revenue Per Bed2]]-Crops[[#This Row],[Direct Total Cost]]</f>
        <v>1296.4846656436009</v>
      </c>
      <c r="DR293" s="36">
        <f>Crops[[#This Row],[Direct Profit]]*BedsPerAcre</f>
        <v>207437.54650297615</v>
      </c>
      <c r="DS293" s="36">
        <f>Crops[[#This Row],[Direct Profit]]*BedsPerAcre*GrowingDays/Crops[[#This Row],[Days In Field]]</f>
        <v>140371.27206968312</v>
      </c>
      <c r="DT293" s="36">
        <f>Crops[[#This Row],[Direct Profit]]/MIN(Crops[[#This Row],[Days In Field]],GrowingDays)</f>
        <v>7.2026925869088938</v>
      </c>
      <c r="DU293" s="36">
        <f>Crops[[#This Row],[Direct Time]] * BedsPerAcre</f>
        <v>4868.2124255952385</v>
      </c>
      <c r="DV293" s="36">
        <f>(Crops[[#This Row],[Direct Revenue Per Bed2]]-Crops[[#This Row],[Direct Non-Labor Cost]])/Crops[[#This Row],[Direct Time]]</f>
        <v>67.610619333771709</v>
      </c>
      <c r="DW293" s="33">
        <f>IFERROR(Crops[[#This Row],[Custom Yield Per Bed]]*Crops[[#This Row],[Rough Wholesale Price]],"")</f>
        <v>1234.285714285714</v>
      </c>
      <c r="DX293" s="36">
        <f>Crops[[#This Row],[Wholesale Time]]*LaborRate</f>
        <v>664.22962007068463</v>
      </c>
      <c r="DY293" s="36">
        <f>SUM(Crops[[#This Row],[Packaging Costs]:[Irrigation Cost]])</f>
        <v>86.857142857142847</v>
      </c>
      <c r="DZ293" s="36">
        <f>Crops[[#This Row],[Wholesale Labor Cost]]+Crops[[#This Row],[Wholesale Non-Labor Cost]]</f>
        <v>751.08676292782752</v>
      </c>
      <c r="EA293" s="36">
        <f>Crops[[#This Row],[Wholesale Revenue Per Bed]]-Crops[[#This Row],[Wholesale Total Cost]]</f>
        <v>483.19895135788647</v>
      </c>
      <c r="EB293" s="36">
        <f>Crops[[#This Row],[Wholesale Profit]]*BedsPerAcre</f>
        <v>77311.832217261835</v>
      </c>
      <c r="EC293" s="36">
        <f>Crops[[#This Row],[Wholesale Profit]]*BedsPerAcre*GrowingDays/Crops[[#This Row],[Days In Field]]</f>
        <v>52316.277440252372</v>
      </c>
      <c r="ED293" s="36">
        <f>Crops[[#This Row],[Wholesale Time]] * BedsPerAcre</f>
        <v>4251.0695684523816</v>
      </c>
      <c r="EE293" s="36">
        <f>Crops[[#This Row],[Wholesale Profit]]/MIN(Crops[[#This Row],[Days In Field]],GrowingDays)</f>
        <v>2.6844386186549247</v>
      </c>
      <c r="EF293" s="36">
        <f>(Crops[[#This Row],[Wholesale Revenue Per Bed]]-Crops[[#This Row],[Wholesale Non-Labor Cost]])/Crops[[#This Row],[Direct Time]]</f>
        <v>37.711701006170436</v>
      </c>
      <c r="EG293" s="174">
        <f>Crops[[#This Row],[Packaging Costs]]/Crops[[#This Row],[Wholesale Revenue Per Bed]]</f>
        <v>7.0370370370370375E-2</v>
      </c>
      <c r="EH293" s="36" t="str">
        <f>Crops[[#This Row],[Crop]]&amp;Crops[[#This Row],[Product]]&amp;Crops[[#This Row],[Unit]]</f>
        <v>SorrelMature LeafBunch</v>
      </c>
      <c r="EI293" s="36" t="b">
        <f>_xlfn.XLOOKUP(Crops[[#This Row],[ProductIndex]],Products[ID],Products[Target])</f>
        <v>1</v>
      </c>
      <c r="EJ293" s="36">
        <f>Crops[[#This Row],[Custom Yield Per Bed]]</f>
        <v>685.71428571428567</v>
      </c>
      <c r="EK293" s="210">
        <f>Crops[[#This Row],[Units Per Harvest]]/Crops[[#This Row],[Days Between Harvest]]*7</f>
        <v>21.428571428571427</v>
      </c>
      <c r="EL293" s="210" t="e">
        <f>Crops[[#This Row],[Custom Yield Per Bed]]/_xlfn.XLOOKUP(Crops[[#This Row],[ProductIndex]],Products[ID],Products[CSA Portion])</f>
        <v>#DIV/0!</v>
      </c>
      <c r="EM293" s="210" t="e">
        <f>Crops[[#This Row],[Units Per Harvest]]/Crops[[#This Row],[Days Between Harvest]]*7/_xlfn.XLOOKUP(Crops[[#This Row],[ProductIndex]],Products[ID],Products[CSA Portion])</f>
        <v>#DIV/0!</v>
      </c>
      <c r="EN293" s="210" t="e">
        <f>Crops[[#This Row],[CSA Portions Per Week]]/CSAMembers</f>
        <v>#DIV/0!</v>
      </c>
      <c r="EO293" s="210"/>
      <c r="EP293" s="210"/>
      <c r="EQ293" s="36"/>
      <c r="ER293" s="36">
        <f>Crops[[#This Row],[Harvests]]*Crops[[#This Row],[Days Between Harvest]]/7</f>
        <v>32</v>
      </c>
      <c r="ES293" s="208">
        <f>_xlfn.XLOOKUP(Crops[[#This Row],[ProductIndex]],Products[ID],Products[CSA Need])</f>
        <v>0</v>
      </c>
      <c r="ET293" s="208">
        <f>_xlfn.XLOOKUP(Crops[[#This Row],[ProductIndex]],Products[ID],Products[CSA Times])</f>
        <v>0</v>
      </c>
      <c r="EU293" s="208" t="e">
        <f>Crops[[#This Row],[Custom Yield Per Bed]]/(Crops[[#This Row],[CSA Need]]*(_xlfn.XLOOKUP(Crops[[#This Row],[ProductIndex]],Products[ID],Products[CSA Portion])*CSAMembers))</f>
        <v>#DIV/0!</v>
      </c>
      <c r="EV293" s="208">
        <f>_xlfn.XLOOKUP(Crops[[#This Row],[ProductIndex]],Products[ID],Products[CSA Portion])*CSAMembers*Crops[[#This Row],[CSA Need]]/Crops[[#This Row],[Custom Yield Per Bed]]</f>
        <v>0</v>
      </c>
      <c r="EW293" s="208">
        <f>IFERROR(Crops[[#This Row],[Days In Field]]*Crops[[#This Row],[CSA Beds]],"")</f>
        <v>0</v>
      </c>
      <c r="EX293" s="208" t="e">
        <f>Crops[[#This Row],[CSA Bed Days]]*#REF!</f>
        <v>#REF!</v>
      </c>
      <c r="EY293" t="s">
        <v>1538</v>
      </c>
    </row>
    <row r="294" spans="1:155" ht="15.75" customHeight="1">
      <c r="A294"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Sorrel - Mature Leaf X | Field DS Ow</v>
      </c>
      <c r="B294" s="186"/>
      <c r="C294" s="1"/>
      <c r="D294" s="1"/>
      <c r="E294" s="1" t="b">
        <v>0</v>
      </c>
      <c r="F294" s="1" t="b">
        <f>IFERROR(IF(ISNUMBER(MATCH(Crops[[#This Row],[Identifier]],BedPlan[Crop], 0)), TRUE, FALSE), FALSE)</f>
        <v>0</v>
      </c>
      <c r="G294" s="1" t="b">
        <f>IFERROR(IF(ISNUMBER(MATCH(Crops[[#This Row],[Identifier]],BedPlan[Crop], 0)), TRUE, FALSE), FALSE)</f>
        <v>0</v>
      </c>
      <c r="H294" s="1"/>
      <c r="I294" t="s">
        <v>122</v>
      </c>
      <c r="J294" t="s">
        <v>145</v>
      </c>
      <c r="K294" t="s">
        <v>179</v>
      </c>
      <c r="N294" t="str">
        <f>Crops[[#This Row],[Crop]]</f>
        <v>Sorrel</v>
      </c>
      <c r="O294" t="s">
        <v>210</v>
      </c>
      <c r="P294" t="str">
        <f>IF(OR(Crops[[#This Row],[Days in Cells]]="",Crops[[#This Row],[Days in Cells]]=0), "DS","TP")</f>
        <v>DS</v>
      </c>
      <c r="U294" t="s">
        <v>144</v>
      </c>
      <c r="V294" t="str">
        <f xml:space="preserve"> IF(Crops[[#This Row],[Sp]], "Sp", "") &amp; IF(Crops[[#This Row],[Su]], "Su", "") &amp; IF(Crops[[#This Row],[Fa]], "Fa", "") &amp; IF(Crops[[#This Row],[Wi]], "Wi", "") &amp; IF(Crops[[#This Row],[OW]], "Ow","")</f>
        <v>Ow</v>
      </c>
      <c r="X294">
        <v>3</v>
      </c>
      <c r="Y294">
        <v>12</v>
      </c>
      <c r="AD294" s="32">
        <f>IFERROR(12/Crops[[#This Row],[Spacing]]*Crops[[#This Row],[Rows]]*BedLength,"")</f>
        <v>150</v>
      </c>
      <c r="AG294">
        <f>IF(Crops[[#This Row],[Custom Safety Factor]]="",PlantingSafetyFactor,Crops[[#This Row],[Custom Safety Factor]])</f>
        <v>1.3</v>
      </c>
      <c r="AH294">
        <f>1</f>
        <v>1</v>
      </c>
      <c r="AI294" s="33">
        <f>IFERROR(Crops[[#This Row],[Plantings Per Bed]]*Crops[[#This Row],[Seeds Per Planting]]*Crops[[#This Row],[Safety Factor]]*Crops[[#This Row],[Seeding Factor]],"")</f>
        <v>0</v>
      </c>
      <c r="AL294">
        <f>_xlfn.FLOOR.MATH(IFERROR(AVERAGE(Crops[[#This Row],[DTG Lower]:[DTG Upper]]),0))</f>
        <v>0</v>
      </c>
      <c r="AM294">
        <f>SUM(Crops[[#This Row],[Tray 1 Days]],Crops[[#This Row],[Tray 2 Days]],Crops[[#This Row],[Tray 3 Days]])</f>
        <v>0</v>
      </c>
      <c r="AP294">
        <v>150</v>
      </c>
      <c r="AQ294">
        <f>IFERROR(_xlfn.FLOOR.MATH(AVERAGE(Crops[[#This Row],[DTM Lower]:[DTM Upper]])),"")</f>
        <v>150</v>
      </c>
      <c r="AR294" cm="1">
        <f t="array" ref="AR294">_xlfn.SWITCH(Crops[[#This Row],[Normal Method]],"DS",Crops[[#This Row],[Days to Germination]]+Crops[[#This Row],[DTM]] + IF(Crops[[#This Row],[Days in Cells]]&gt;0,15,0), "TP",Crops[[#This Row],[DTM]]+Crops[[#This Row],[Days in Cells]] + IF(Crops[[#This Row],[Days in Cells]]&lt;=0,20,0), "X", Crops[[#This Row],[DTM]])</f>
        <v>150</v>
      </c>
      <c r="AS294" t="s">
        <v>347</v>
      </c>
      <c r="AT294">
        <f>(Crops[[#This Row],[Harvests]]-1)*Crops[[#This Row],[Days Between Harvest]]+7</f>
        <v>252</v>
      </c>
      <c r="AU294">
        <f>Crops[[#This Row],[STH]]-Crops[[#This Row],[Days in Cells]]+Crops[[#This Row],[Harvest window]]</f>
        <v>402</v>
      </c>
      <c r="AW294">
        <v>128</v>
      </c>
      <c r="AZ294" t="str">
        <f>IFERROR(IF(Crops[[#This Row],[Tray 1 Days]]=0,"",Crops[[#This Row],[Plantings Per Bed]]/Crops[[#This Row],[Tray 1 Size]]*Crops[[#This Row],[Safety Factor]]),"")</f>
        <v/>
      </c>
      <c r="BC294" t="str">
        <f>IFERROR(IF(Crops[[#This Row],[Tray 2 Days]]=0,"",Crops[[#This Row],[Plantings Per Bed]]/Crops[[#This Row],[Tray 2 Size]]*Crops[[#This Row],[Safety Factor]]),"")</f>
        <v/>
      </c>
      <c r="BE294" s="32" t="str">
        <f>IF(NOT(ISBLANK(Crops[[#This Row],[Tray 3 Size]])), Crops[[#This Row],[Days in Cells Old]]-SUM(Crops[[#This Row],[Tray 1 Days]],Crops[[#This Row],[Tray 2 Days]]), "")</f>
        <v/>
      </c>
      <c r="BF294" t="str">
        <f>IFERROR(IF(Crops[[#This Row],[Tray 3 Days]]=0,"",Crops[[#This Row],[Plantings Per Bed]]/Crops[[#This Row],[Tray 3 Size]]*Crops[[#This Row],[Safety Factor]]),"")</f>
        <v/>
      </c>
      <c r="BG294" s="33">
        <f>Crops[[#This Row],[Plantings Per Bed]]/7</f>
        <v>21.428571428571427</v>
      </c>
      <c r="BH294" s="33">
        <v>36</v>
      </c>
      <c r="BI294" s="33">
        <v>7</v>
      </c>
      <c r="BJ294" s="33">
        <f>_xlfn.XLOOKUP(Crops[[#This Row],[ProductIndex]],Products[ID],Products[Holding Period])</f>
        <v>0</v>
      </c>
      <c r="BK294" s="33"/>
      <c r="BL294" s="33">
        <f>Crops[[#This Row],[Units Per Harvest]]*Crops[[#This Row],[Harvests]]</f>
        <v>771.42857142857133</v>
      </c>
      <c r="BM294" s="35">
        <v>3</v>
      </c>
      <c r="BN294" s="35">
        <f>Crops[[#This Row],[Direct Price]]*0.6</f>
        <v>1.7999999999999998</v>
      </c>
      <c r="BO294" s="35"/>
      <c r="BP294" t="s">
        <v>215</v>
      </c>
      <c r="BQ294">
        <f>Crops[[#This Row],[Custom Yield Per Bed]]*Crops[[#This Row],[Direct Price]]</f>
        <v>2314.2857142857138</v>
      </c>
      <c r="BS294" t="b">
        <f>Crops[[#This Row],[Harvests]]&gt;1</f>
        <v>1</v>
      </c>
      <c r="BT294" s="36">
        <f>IFERROR(Crops[[#This Row],[Direct Revenue Per Bed]]/Crops[[#This Row],[Days In Field]],-1)</f>
        <v>5.7569296375266514</v>
      </c>
      <c r="BU294" s="36">
        <f>IFERROR(Crops[[#This Row],[Direct Revenue Per Bed Day]]*GrowingDays*BedsPerAcre,"")</f>
        <v>165799.57356076757</v>
      </c>
      <c r="BV294" s="38">
        <f>LastFrostDate-5*Crops[[#This Row],[Sewing Rel Last Frost]]</f>
        <v>45893</v>
      </c>
      <c r="BW294" s="38">
        <f>Crops[[#This Row],[Target Sewing Date]]+Crops[[#This Row],[Days in Cells]]</f>
        <v>45893</v>
      </c>
      <c r="BX294" s="38">
        <f>Crops[[#This Row],[Target Sewing Date]]+Crops[[#This Row],[STH]]</f>
        <v>46043</v>
      </c>
      <c r="BY294" s="38">
        <f>Crops[[#This Row],[Target Harvest Data]]+Crops[[#This Row],[Harvest window]]</f>
        <v>46295</v>
      </c>
      <c r="BZ294">
        <v>-29</v>
      </c>
      <c r="CA294" t="s">
        <v>373</v>
      </c>
      <c r="CB294">
        <f>1</f>
        <v>1</v>
      </c>
      <c r="CC294">
        <f>IF(Crops[[#This Row],[Transplanting]]&gt;0, 2, 3)*BedLength/StandardBedLength</f>
        <v>1.5</v>
      </c>
      <c r="CD294" s="173">
        <f>IF(Crops[[#This Row],[Days in Cells]]&lt;=0,0,Crops[[#This Row],[Plantings Per Bed]]/StartsPerHourSeeding+Crops[[#This Row],[Tray 1 Count]]*5/60)</f>
        <v>0</v>
      </c>
      <c r="CE294" s="173">
        <f>IF(ISBLANK(Crops[[#This Row],[Tray 2 Days]]),0,Crops[[#This Row],[Plantings Per Bed]]/UpPottingPerHour)+IF(Crops[[#This Row],[Tray 3 Days]]="",0,Crops[[#This Row],[Plantings Per Bed]]/UpPottingPerHour)</f>
        <v>0</v>
      </c>
      <c r="CF294" s="173">
        <f>IFERROR(Crops[[#This Row],[Tray 1 Count]]/HomeStartFlatIrrigationPerHour,0)*Crops[[#This Row],[Days in Cells]]/DaysBetweenStartIrrigation</f>
        <v>0</v>
      </c>
      <c r="CG294" s="173">
        <f>0.5/16*MAX(Crops[[#This Row],[Tray 1 Count]],Crops[[#This Row],[Tray 2 Count]],Crops[[#This Row],[Tray 3 Count]])</f>
        <v>0</v>
      </c>
      <c r="CH294" s="173">
        <f>IF(Crops[[#This Row],[Days in Cells]]&gt;0,IF(IF(Crops[[#This Row],[Tray 3 Size]]&gt;0,Crops[[#This Row],[Tray 3 Size]],IF(Crops[[#This Row],[Tray 2 Size]]&gt;0,Crops[[#This Row],[Tray 2 Size]],Crops[[#This Row],[Tray 1 Size]]))&lt;=18,LargeTransplantTime,SmallTransplantTime)*Crops[[#This Row],[Plantings Per Bed]],0)</f>
        <v>0</v>
      </c>
      <c r="CI294" s="173"/>
      <c r="CJ294" s="173">
        <f>_xlfn.XLOOKUP(Crops[[#This Row],[Trellis Type]],TrellisMethods[Trellis Type],TrellisMethods[Hours],0,0)</f>
        <v>0</v>
      </c>
      <c r="CK294">
        <f>IF(Crops[[#This Row],[Days in Cells]]&lt;=0,Crops[[#This Row],[Rows]]*1/10,0)*BedLength/50</f>
        <v>0.3</v>
      </c>
      <c r="CL294" cm="1">
        <f t="array" ref="CL294">_xlfn.SWITCH(Crops[[#This Row],[Irrigation]],"DR", 0.5, "OH", 0.25,0)*BedLength/50</f>
        <v>0</v>
      </c>
      <c r="CM294">
        <f>IF(OR(ISBLANK(Crops[[#This Row],[Row Cover]]),Crops[[#This Row],[Row Cover]]="None"),0,1)*BedLength/50</f>
        <v>0</v>
      </c>
      <c r="CN294" s="173">
        <f>HoursPerWeedingPass*Crops[[#This Row],[Days In Field]]/14*Crops[[#This Row],[Rows]]+1*BedLength/50</f>
        <v>15.357142857142858</v>
      </c>
      <c r="CQ294" s="37">
        <f>_xlfn.XLOOKUP(Crops[[#This Row],[Crop]]&amp;Crops[[#This Row],[Product]]&amp;Crops[[#This Row],[Unit]],Products[ID],Products[Marketing (hr)])*Crops[[#This Row],[Direct Revenue Per Bed]]/2000</f>
        <v>5.7857142857142847</v>
      </c>
      <c r="CR294" s="37">
        <f>_xlfn.XLOOKUP(Crops[[#This Row],[Crop]]&amp;Crops[[#This Row],[Product]]&amp;Crops[[#This Row],[Unit]],Products[ID],Products[Harvest (s)])*Crops[[#This Row],[Custom Yield Per Bed]]/3600</f>
        <v>2.1428571428571428</v>
      </c>
      <c r="CS294" s="37">
        <f>_xlfn.XLOOKUP(Crops[[#This Row],[Crop]]&amp;Crops[[#This Row],[Product]]&amp;Crops[[#This Row],[Unit]],Products[ID],Products[Bunch (s)])*Crops[[#This Row],[Custom Yield Per Bed]]/3600</f>
        <v>2.1428571428571428</v>
      </c>
      <c r="CT294" s="37">
        <f>_xlfn.XLOOKUP(Crops[[#This Row],[Crop]]&amp;Crops[[#This Row],[Product]]&amp;Crops[[#This Row],[Unit]],Products[ID],Products[Haul (s)])*Crops[[#This Row],[Custom Yield Per Bed]]/3600</f>
        <v>0.64285714285714268</v>
      </c>
      <c r="CU294" s="37">
        <f>_xlfn.XLOOKUP(Crops[[#This Row],[Crop]]&amp;Crops[[#This Row],[Product]]&amp;Crops[[#This Row],[Unit]],Products[ID],Products[Wash (s)])*Crops[[#This Row],[Custom Yield Per Bed]]/3600</f>
        <v>0</v>
      </c>
      <c r="CV294" s="37">
        <f>_xlfn.XLOOKUP(Crops[[#This Row],[Crop]]&amp;Crops[[#This Row],[Product]]&amp;Crops[[#This Row],[Unit]],Products[ID],Products[Condition (s)])*Crops[[#This Row],[Custom Yield Per Bed]]/3600</f>
        <v>2.1428571428571428</v>
      </c>
      <c r="CW294" s="37">
        <f>_xlfn.XLOOKUP(Crops[[#This Row],[Crop]]&amp;Crops[[#This Row],[Product]]&amp;Crops[[#This Row],[Unit]],Products[ID],Products[Trim (s)])*Crops[[#This Row],[Custom Yield Per Bed]]/3600</f>
        <v>4.2857142857142856</v>
      </c>
      <c r="CX294" s="37">
        <f>_xlfn.XLOOKUP(Crops[[#This Row],[Crop]]&amp;Crops[[#This Row],[Product]]&amp;Crops[[#This Row],[Unit]],Products[ID],Products[Pack (s)])*Crops[[#This Row],[Custom Yield Per Bed]]/3600</f>
        <v>0.64285714285714268</v>
      </c>
      <c r="CY294" s="37">
        <f>_xlfn.XLOOKUP(Crops[[#This Row],[Crop]]&amp;Crops[[#This Row],[Product]]&amp;Crops[[#This Row],[Unit]],Products[ID],Products[Clean (s)])*Crops[[#This Row],[Custom Yield Per Bed]]/3600</f>
        <v>0</v>
      </c>
      <c r="CZ294" s="37">
        <f>_xlfn.XLOOKUP(Crops[[#This Row],[Crop]]&amp;Crops[[#This Row],[Product]]&amp;Crops[[#This Row],[Unit]],Products[ID],Products[Rehandle (s)])*Crops[[#This Row],[Custom Yield Per Bed]]/3600</f>
        <v>0</v>
      </c>
      <c r="DA294" s="37">
        <f>_xlfn.XLOOKUP(Crops[[#This Row],[Crop]]&amp;Crops[[#This Row],[Product]]&amp;Crops[[#This Row],[Unit]],Products[ID],Products[Market Transport (s)])*Crops[[#This Row],[Custom Yield Per Bed]]/3600</f>
        <v>1.607142857142857</v>
      </c>
      <c r="DC294" s="37">
        <f>Crops[[#This Row],[Direct Revenue Per Bed2]]</f>
        <v>2314.2857142857138</v>
      </c>
      <c r="DD294" s="173">
        <f>_xlfn.AGGREGATE(9,6,Crops[[#This Row],[Bed Prep]:[Remove Crop Residue]])</f>
        <v>36.549999999999997</v>
      </c>
      <c r="DE294" s="173">
        <f>_xlfn.AGGREGATE(9,6,Crops[[#This Row],[Bed Prep]:[Remove Crop Residue]])-0.75*Crops[[#This Row],[Market &amp; Sell]]</f>
        <v>32.210714285714282</v>
      </c>
      <c r="DF294" s="36">
        <f>Crops[[#This Row],[Direct Revenue Per Bed2]]/Crops[[#This Row],[Direct Time]]</f>
        <v>63.318350596052362</v>
      </c>
      <c r="DG294" s="36">
        <f>_xlfn.XLOOKUP(Crops[[#This Row],[ProductIndex]],Products[ID],Products[Packaging Cost])*(Crops[[#This Row],[Custom Yield Per Bed]]/_xlfn.XLOOKUP(Crops[[#This Row],[ProductIndex]],Products[ID],Products[Units Per Pack]))</f>
        <v>97.714285714285694</v>
      </c>
      <c r="DH294" s="36"/>
      <c r="DI294" s="36"/>
      <c r="DJ294" s="36"/>
      <c r="DK294" s="36"/>
      <c r="DL294" s="36"/>
      <c r="DM294" s="33">
        <f>IFERROR(Crops[[#This Row],[Custom Yield Per Bed]]*Crops[[#This Row],[Direct Price]],"")</f>
        <v>2314.2857142857138</v>
      </c>
      <c r="DN294" s="36">
        <f>Crops[[#This Row],[Direct Time]]*LaborRate</f>
        <v>913.74999999999989</v>
      </c>
      <c r="DO294" s="36">
        <f>SUM(Crops[[#This Row],[Irrigation Cost]])</f>
        <v>0</v>
      </c>
      <c r="DP294" s="36">
        <f>Crops[[#This Row],[Direct Labor Cost]]+Crops[[#This Row],[Direct Non-Labor Cost]]</f>
        <v>913.74999999999989</v>
      </c>
      <c r="DQ294" s="36">
        <f>Crops[[#This Row],[Direct Revenue Per Bed2]]-Crops[[#This Row],[Direct Total Cost]]</f>
        <v>1400.5357142857138</v>
      </c>
      <c r="DR294" s="36">
        <f>Crops[[#This Row],[Direct Profit]]*BedsPerAcre</f>
        <v>224085.7142857142</v>
      </c>
      <c r="DS294" s="36">
        <f>Crops[[#This Row],[Direct Profit]]*BedsPerAcre*GrowingDays/Crops[[#This Row],[Days In Field]]</f>
        <v>100336.88699360339</v>
      </c>
      <c r="DT294" s="36">
        <f>Crops[[#This Row],[Direct Profit]]/MIN(Crops[[#This Row],[Days In Field]],GrowingDays)</f>
        <v>7.7807539682539657</v>
      </c>
      <c r="DU294" s="36">
        <f>Crops[[#This Row],[Direct Time]] * BedsPerAcre</f>
        <v>5848</v>
      </c>
      <c r="DV294" s="36">
        <f>(Crops[[#This Row],[Direct Revenue Per Bed2]]-Crops[[#This Row],[Direct Non-Labor Cost]])/Crops[[#This Row],[Direct Time]]</f>
        <v>63.318350596052362</v>
      </c>
      <c r="DW294" s="33">
        <f>IFERROR(Crops[[#This Row],[Custom Yield Per Bed]]*Crops[[#This Row],[Rough Wholesale Price]],"")</f>
        <v>1388.5714285714282</v>
      </c>
      <c r="DX294" s="36">
        <f>Crops[[#This Row],[Wholesale Time]]*LaborRate</f>
        <v>805.267857142857</v>
      </c>
      <c r="DY294" s="36">
        <f>SUM(Crops[[#This Row],[Packaging Costs]:[Irrigation Cost]])</f>
        <v>97.714285714285694</v>
      </c>
      <c r="DZ294" s="36">
        <f>Crops[[#This Row],[Wholesale Labor Cost]]+Crops[[#This Row],[Wholesale Non-Labor Cost]]</f>
        <v>902.98214285714266</v>
      </c>
      <c r="EA294" s="36">
        <f>Crops[[#This Row],[Wholesale Revenue Per Bed]]-Crops[[#This Row],[Wholesale Total Cost]]</f>
        <v>485.58928571428555</v>
      </c>
      <c r="EB294" s="36">
        <f>Crops[[#This Row],[Wholesale Profit]]*BedsPerAcre</f>
        <v>77694.285714285681</v>
      </c>
      <c r="EC294" s="36">
        <f>Crops[[#This Row],[Wholesale Profit]]*BedsPerAcre*GrowingDays/Crops[[#This Row],[Days In Field]]</f>
        <v>34788.486140724926</v>
      </c>
      <c r="ED294" s="36">
        <f>Crops[[#This Row],[Wholesale Time]] * BedsPerAcre</f>
        <v>5153.7142857142853</v>
      </c>
      <c r="EE294" s="36">
        <f>Crops[[#This Row],[Wholesale Profit]]/MIN(Crops[[#This Row],[Days In Field]],GrowingDays)</f>
        <v>2.6977182539682532</v>
      </c>
      <c r="EF294" s="36">
        <f>(Crops[[#This Row],[Wholesale Revenue Per Bed]]-Crops[[#This Row],[Wholesale Non-Labor Cost]])/Crops[[#This Row],[Direct Time]]</f>
        <v>35.317568888020318</v>
      </c>
      <c r="EG294" s="174">
        <f>Crops[[#This Row],[Packaging Costs]]/Crops[[#This Row],[Wholesale Revenue Per Bed]]</f>
        <v>7.0370370370370375E-2</v>
      </c>
      <c r="EH294" s="36" t="str">
        <f>Crops[[#This Row],[Crop]]&amp;Crops[[#This Row],[Product]]&amp;Crops[[#This Row],[Unit]]</f>
        <v>SorrelMature LeafBunch</v>
      </c>
      <c r="EI294" s="36" t="b">
        <f>_xlfn.XLOOKUP(Crops[[#This Row],[ProductIndex]],Products[ID],Products[Target])</f>
        <v>1</v>
      </c>
      <c r="EJ294" s="36">
        <f>Crops[[#This Row],[Custom Yield Per Bed]]</f>
        <v>771.42857142857133</v>
      </c>
      <c r="EK294" s="210">
        <f>Crops[[#This Row],[Units Per Harvest]]/Crops[[#This Row],[Days Between Harvest]]*7</f>
        <v>21.428571428571427</v>
      </c>
      <c r="EL294" s="210" t="e">
        <f>Crops[[#This Row],[Custom Yield Per Bed]]/_xlfn.XLOOKUP(Crops[[#This Row],[ProductIndex]],Products[ID],Products[CSA Portion])</f>
        <v>#DIV/0!</v>
      </c>
      <c r="EM294" s="210" t="e">
        <f>Crops[[#This Row],[Units Per Harvest]]/Crops[[#This Row],[Days Between Harvest]]*7/_xlfn.XLOOKUP(Crops[[#This Row],[ProductIndex]],Products[ID],Products[CSA Portion])</f>
        <v>#DIV/0!</v>
      </c>
      <c r="EN294" s="210" t="e">
        <f>Crops[[#This Row],[CSA Portions Per Week]]/CSAMembers</f>
        <v>#DIV/0!</v>
      </c>
      <c r="EO294" s="210"/>
      <c r="EP294" s="210"/>
      <c r="EQ294" s="36"/>
      <c r="ER294" s="36">
        <f>Crops[[#This Row],[Harvests]]*Crops[[#This Row],[Days Between Harvest]]/7</f>
        <v>36</v>
      </c>
      <c r="ES294" s="208">
        <f>_xlfn.XLOOKUP(Crops[[#This Row],[ProductIndex]],Products[ID],Products[CSA Need])</f>
        <v>0</v>
      </c>
      <c r="ET294" s="208">
        <f>_xlfn.XLOOKUP(Crops[[#This Row],[ProductIndex]],Products[ID],Products[CSA Times])</f>
        <v>0</v>
      </c>
      <c r="EU294" s="208" t="e">
        <f>Crops[[#This Row],[Custom Yield Per Bed]]/(Crops[[#This Row],[CSA Need]]*(_xlfn.XLOOKUP(Crops[[#This Row],[ProductIndex]],Products[ID],Products[CSA Portion])*CSAMembers))</f>
        <v>#DIV/0!</v>
      </c>
      <c r="EV294" s="208">
        <f>_xlfn.XLOOKUP(Crops[[#This Row],[ProductIndex]],Products[ID],Products[CSA Portion])*CSAMembers*Crops[[#This Row],[CSA Need]]/Crops[[#This Row],[Custom Yield Per Bed]]</f>
        <v>0</v>
      </c>
      <c r="EW294" s="208">
        <f>IFERROR(Crops[[#This Row],[Days In Field]]*Crops[[#This Row],[CSA Beds]],"")</f>
        <v>0</v>
      </c>
      <c r="EX294" s="208" t="e">
        <f>Crops[[#This Row],[CSA Bed Days]]*#REF!</f>
        <v>#REF!</v>
      </c>
      <c r="EY294" t="s">
        <v>1538</v>
      </c>
    </row>
    <row r="295" spans="1:155">
      <c r="A295"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Sorrel - Mature Leaf X | Field TP Ow</v>
      </c>
      <c r="B295" s="186"/>
      <c r="C295" s="1"/>
      <c r="D295" s="1"/>
      <c r="E295" s="1" t="b">
        <v>0</v>
      </c>
      <c r="F295" s="1" t="b">
        <f>IFERROR(IF(ISNUMBER(MATCH(Crops[[#This Row],[Identifier]],BedPlan[Crop], 0)), TRUE, FALSE), FALSE)</f>
        <v>0</v>
      </c>
      <c r="G295" s="1" t="b">
        <f>IFERROR(IF(ISNUMBER(MATCH(Crops[[#This Row],[Identifier]],BedPlan[Crop], 0)), TRUE, FALSE), FALSE)</f>
        <v>0</v>
      </c>
      <c r="H295" s="1"/>
      <c r="I295" t="s">
        <v>122</v>
      </c>
      <c r="J295" t="s">
        <v>145</v>
      </c>
      <c r="K295" t="s">
        <v>179</v>
      </c>
      <c r="N295" t="str">
        <f>Crops[[#This Row],[Crop]]</f>
        <v>Sorrel</v>
      </c>
      <c r="O295" t="s">
        <v>210</v>
      </c>
      <c r="P295" t="str">
        <f>IF(OR(Crops[[#This Row],[Days in Cells]]="",Crops[[#This Row],[Days in Cells]]=0), "DS","TP")</f>
        <v>TP</v>
      </c>
      <c r="U295" t="s">
        <v>144</v>
      </c>
      <c r="V295" t="str">
        <f xml:space="preserve"> IF(Crops[[#This Row],[Sp]], "Sp", "") &amp; IF(Crops[[#This Row],[Su]], "Su", "") &amp; IF(Crops[[#This Row],[Fa]], "Fa", "") &amp; IF(Crops[[#This Row],[Wi]], "Wi", "") &amp; IF(Crops[[#This Row],[OW]], "Ow","")</f>
        <v>Ow</v>
      </c>
      <c r="X295">
        <v>3</v>
      </c>
      <c r="Y295">
        <v>12</v>
      </c>
      <c r="AD295" s="32">
        <f>IFERROR(12/Crops[[#This Row],[Spacing]]*Crops[[#This Row],[Rows]]*BedLength,"")</f>
        <v>150</v>
      </c>
      <c r="AG295">
        <f>IF(Crops[[#This Row],[Custom Safety Factor]]="",PlantingSafetyFactor,Crops[[#This Row],[Custom Safety Factor]])</f>
        <v>1.3</v>
      </c>
      <c r="AH295">
        <f>1</f>
        <v>1</v>
      </c>
      <c r="AI295" s="33">
        <f>IFERROR(Crops[[#This Row],[Plantings Per Bed]]*Crops[[#This Row],[Seeds Per Planting]]*Crops[[#This Row],[Safety Factor]]*Crops[[#This Row],[Seeding Factor]],"")</f>
        <v>0</v>
      </c>
      <c r="AL295">
        <f>_xlfn.FLOOR.MATH(IFERROR(AVERAGE(Crops[[#This Row],[DTG Lower]:[DTG Upper]]),0))</f>
        <v>0</v>
      </c>
      <c r="AM295">
        <f>SUM(Crops[[#This Row],[Tray 1 Days]],Crops[[#This Row],[Tray 2 Days]],Crops[[#This Row],[Tray 3 Days]])</f>
        <v>28</v>
      </c>
      <c r="AP295">
        <v>150</v>
      </c>
      <c r="AQ295">
        <f>IFERROR(_xlfn.FLOOR.MATH(AVERAGE(Crops[[#This Row],[DTM Lower]:[DTM Upper]])),"")</f>
        <v>150</v>
      </c>
      <c r="AR295" cm="1">
        <f t="array" ref="AR295">_xlfn.SWITCH(Crops[[#This Row],[Normal Method]],"DS",Crops[[#This Row],[Days to Germination]]+Crops[[#This Row],[DTM]] + IF(Crops[[#This Row],[Days in Cells]]&gt;0,15,0), "TP",Crops[[#This Row],[DTM]]+Crops[[#This Row],[Days in Cells]] + IF(Crops[[#This Row],[Days in Cells]]&lt;=0,20,0), "X", Crops[[#This Row],[DTM]])</f>
        <v>150</v>
      </c>
      <c r="AS295" t="s">
        <v>347</v>
      </c>
      <c r="AT295">
        <f>(Crops[[#This Row],[Harvests]]-1)*Crops[[#This Row],[Days Between Harvest]]+7</f>
        <v>252</v>
      </c>
      <c r="AU295">
        <f>Crops[[#This Row],[STH]]-Crops[[#This Row],[Days in Cells]]+Crops[[#This Row],[Harvest window]]</f>
        <v>374</v>
      </c>
      <c r="AW295">
        <v>128</v>
      </c>
      <c r="AX295">
        <v>128</v>
      </c>
      <c r="AY295">
        <v>28</v>
      </c>
      <c r="AZ295">
        <f>IFERROR(IF(Crops[[#This Row],[Tray 1 Days]]=0,"",Crops[[#This Row],[Plantings Per Bed]]/Crops[[#This Row],[Tray 1 Size]]*Crops[[#This Row],[Safety Factor]]),"")</f>
        <v>1.5234375</v>
      </c>
      <c r="BC295" t="str">
        <f>IFERROR(IF(Crops[[#This Row],[Tray 2 Days]]=0,"",Crops[[#This Row],[Plantings Per Bed]]/Crops[[#This Row],[Tray 2 Size]]*Crops[[#This Row],[Safety Factor]]),"")</f>
        <v/>
      </c>
      <c r="BE295" s="32" t="str">
        <f>IF(NOT(ISBLANK(Crops[[#This Row],[Tray 3 Size]])), Crops[[#This Row],[Days in Cells Old]]-SUM(Crops[[#This Row],[Tray 1 Days]],Crops[[#This Row],[Tray 2 Days]]), "")</f>
        <v/>
      </c>
      <c r="BF295" t="str">
        <f>IFERROR(IF(Crops[[#This Row],[Tray 3 Days]]=0,"",Crops[[#This Row],[Plantings Per Bed]]/Crops[[#This Row],[Tray 3 Size]]*Crops[[#This Row],[Safety Factor]]),"")</f>
        <v/>
      </c>
      <c r="BG295" s="33">
        <f>Crops[[#This Row],[Plantings Per Bed]]/7</f>
        <v>21.428571428571427</v>
      </c>
      <c r="BH295" s="33">
        <v>36</v>
      </c>
      <c r="BI295" s="33">
        <v>7</v>
      </c>
      <c r="BJ295" s="33">
        <f>_xlfn.XLOOKUP(Crops[[#This Row],[ProductIndex]],Products[ID],Products[Holding Period])</f>
        <v>0</v>
      </c>
      <c r="BK295" s="33"/>
      <c r="BL295" s="33">
        <f>Crops[[#This Row],[Units Per Harvest]]*Crops[[#This Row],[Harvests]]</f>
        <v>771.42857142857133</v>
      </c>
      <c r="BM295" s="35">
        <v>3</v>
      </c>
      <c r="BN295" s="35">
        <f>Crops[[#This Row],[Direct Price]]*0.6</f>
        <v>1.7999999999999998</v>
      </c>
      <c r="BO295" s="35"/>
      <c r="BP295" t="s">
        <v>215</v>
      </c>
      <c r="BQ295">
        <f>Crops[[#This Row],[Custom Yield Per Bed]]*Crops[[#This Row],[Direct Price]]</f>
        <v>2314.2857142857138</v>
      </c>
      <c r="BS295" t="b">
        <f>Crops[[#This Row],[Harvests]]&gt;1</f>
        <v>1</v>
      </c>
      <c r="BT295" s="36">
        <f>IFERROR(Crops[[#This Row],[Direct Revenue Per Bed]]/Crops[[#This Row],[Days In Field]],-1)</f>
        <v>6.1879297173414809</v>
      </c>
      <c r="BU295" s="36">
        <f>IFERROR(Crops[[#This Row],[Direct Revenue Per Bed Day]]*GrowingDays*BedsPerAcre,"")</f>
        <v>178212.37585943466</v>
      </c>
      <c r="BV295" s="38">
        <f>LastFrostDate-5*Crops[[#This Row],[Sewing Rel Last Frost]]</f>
        <v>45893</v>
      </c>
      <c r="BW295" s="38">
        <f>Crops[[#This Row],[Target Sewing Date]]+Crops[[#This Row],[Days in Cells]]</f>
        <v>45921</v>
      </c>
      <c r="BX295" s="38">
        <f>Crops[[#This Row],[Target Sewing Date]]+Crops[[#This Row],[STH]]</f>
        <v>46043</v>
      </c>
      <c r="BY295" s="38">
        <f>Crops[[#This Row],[Target Harvest Data]]+Crops[[#This Row],[Harvest window]]</f>
        <v>46295</v>
      </c>
      <c r="BZ295">
        <v>-29</v>
      </c>
      <c r="CA295" t="s">
        <v>373</v>
      </c>
      <c r="CB295">
        <f>1</f>
        <v>1</v>
      </c>
      <c r="CC295">
        <f>IF(Crops[[#This Row],[Transplanting]]&gt;0, 2, 3)*BedLength/StandardBedLength</f>
        <v>1</v>
      </c>
      <c r="CD295" s="173">
        <f>IF(Crops[[#This Row],[Days in Cells]]&lt;=0,0,Crops[[#This Row],[Plantings Per Bed]]/StartsPerHourSeeding+Crops[[#This Row],[Tray 1 Count]]*5/60)</f>
        <v>0.712890625</v>
      </c>
      <c r="CE295" s="173">
        <f>IF(ISBLANK(Crops[[#This Row],[Tray 2 Days]]),0,Crops[[#This Row],[Plantings Per Bed]]/UpPottingPerHour)+IF(Crops[[#This Row],[Tray 3 Days]]="",0,Crops[[#This Row],[Plantings Per Bed]]/UpPottingPerHour)</f>
        <v>0</v>
      </c>
      <c r="CF295" s="173">
        <f>IFERROR(Crops[[#This Row],[Tray 1 Count]]/HomeStartFlatIrrigationPerHour,0)*Crops[[#This Row],[Days in Cells]]/DaysBetweenStartIrrigation</f>
        <v>0.177734375</v>
      </c>
      <c r="CG295" s="173">
        <f>0.5/16*MAX(Crops[[#This Row],[Tray 1 Count]],Crops[[#This Row],[Tray 2 Count]],Crops[[#This Row],[Tray 3 Count]])</f>
        <v>4.7607421875E-2</v>
      </c>
      <c r="CH295" s="173">
        <f>IF(Crops[[#This Row],[Days in Cells]]&gt;0,IF(IF(Crops[[#This Row],[Tray 3 Size]]&gt;0,Crops[[#This Row],[Tray 3 Size]],IF(Crops[[#This Row],[Tray 2 Size]]&gt;0,Crops[[#This Row],[Tray 2 Size]],Crops[[#This Row],[Tray 1 Size]]))&lt;=18,LargeTransplantTime,SmallTransplantTime)*Crops[[#This Row],[Plantings Per Bed]],0)</f>
        <v>0.75</v>
      </c>
      <c r="CI295" s="173"/>
      <c r="CJ295" s="173">
        <f>_xlfn.XLOOKUP(Crops[[#This Row],[Trellis Type]],TrellisMethods[Trellis Type],TrellisMethods[Hours],0,0)</f>
        <v>0</v>
      </c>
      <c r="CK295">
        <f>IF(Crops[[#This Row],[Days in Cells]]&lt;=0,Crops[[#This Row],[Rows]]*1/10,0)*BedLength/50</f>
        <v>0</v>
      </c>
      <c r="CL295" cm="1">
        <f t="array" ref="CL295">_xlfn.SWITCH(Crops[[#This Row],[Irrigation]],"DR", 0.5, "OH", 0.25,0)*BedLength/50</f>
        <v>0</v>
      </c>
      <c r="CM295">
        <f>IF(OR(ISBLANK(Crops[[#This Row],[Row Cover]]),Crops[[#This Row],[Row Cover]]="None"),0,1)*BedLength/50</f>
        <v>0</v>
      </c>
      <c r="CN295" s="173">
        <f>HoursPerWeedingPass*Crops[[#This Row],[Days In Field]]/14*Crops[[#This Row],[Rows]]+1*BedLength/50</f>
        <v>14.357142857142854</v>
      </c>
      <c r="CQ295" s="37">
        <f>_xlfn.XLOOKUP(Crops[[#This Row],[Crop]]&amp;Crops[[#This Row],[Product]]&amp;Crops[[#This Row],[Unit]],Products[ID],Products[Marketing (hr)])*Crops[[#This Row],[Direct Revenue Per Bed]]/2000</f>
        <v>5.7857142857142847</v>
      </c>
      <c r="CR295" s="37">
        <f>_xlfn.XLOOKUP(Crops[[#This Row],[Crop]]&amp;Crops[[#This Row],[Product]]&amp;Crops[[#This Row],[Unit]],Products[ID],Products[Harvest (s)])*Crops[[#This Row],[Custom Yield Per Bed]]/3600</f>
        <v>2.1428571428571428</v>
      </c>
      <c r="CS295" s="37">
        <f>_xlfn.XLOOKUP(Crops[[#This Row],[Crop]]&amp;Crops[[#This Row],[Product]]&amp;Crops[[#This Row],[Unit]],Products[ID],Products[Bunch (s)])*Crops[[#This Row],[Custom Yield Per Bed]]/3600</f>
        <v>2.1428571428571428</v>
      </c>
      <c r="CT295" s="37">
        <f>_xlfn.XLOOKUP(Crops[[#This Row],[Crop]]&amp;Crops[[#This Row],[Product]]&amp;Crops[[#This Row],[Unit]],Products[ID],Products[Haul (s)])*Crops[[#This Row],[Custom Yield Per Bed]]/3600</f>
        <v>0.64285714285714268</v>
      </c>
      <c r="CU295" s="37">
        <f>_xlfn.XLOOKUP(Crops[[#This Row],[Crop]]&amp;Crops[[#This Row],[Product]]&amp;Crops[[#This Row],[Unit]],Products[ID],Products[Wash (s)])*Crops[[#This Row],[Custom Yield Per Bed]]/3600</f>
        <v>0</v>
      </c>
      <c r="CV295" s="37">
        <f>_xlfn.XLOOKUP(Crops[[#This Row],[Crop]]&amp;Crops[[#This Row],[Product]]&amp;Crops[[#This Row],[Unit]],Products[ID],Products[Condition (s)])*Crops[[#This Row],[Custom Yield Per Bed]]/3600</f>
        <v>2.1428571428571428</v>
      </c>
      <c r="CW295" s="37">
        <f>_xlfn.XLOOKUP(Crops[[#This Row],[Crop]]&amp;Crops[[#This Row],[Product]]&amp;Crops[[#This Row],[Unit]],Products[ID],Products[Trim (s)])*Crops[[#This Row],[Custom Yield Per Bed]]/3600</f>
        <v>4.2857142857142856</v>
      </c>
      <c r="CX295" s="37">
        <f>_xlfn.XLOOKUP(Crops[[#This Row],[Crop]]&amp;Crops[[#This Row],[Product]]&amp;Crops[[#This Row],[Unit]],Products[ID],Products[Pack (s)])*Crops[[#This Row],[Custom Yield Per Bed]]/3600</f>
        <v>0.64285714285714268</v>
      </c>
      <c r="CY295" s="37">
        <f>_xlfn.XLOOKUP(Crops[[#This Row],[Crop]]&amp;Crops[[#This Row],[Product]]&amp;Crops[[#This Row],[Unit]],Products[ID],Products[Clean (s)])*Crops[[#This Row],[Custom Yield Per Bed]]/3600</f>
        <v>0</v>
      </c>
      <c r="CZ295" s="37">
        <f>_xlfn.XLOOKUP(Crops[[#This Row],[Crop]]&amp;Crops[[#This Row],[Product]]&amp;Crops[[#This Row],[Unit]],Products[ID],Products[Rehandle (s)])*Crops[[#This Row],[Custom Yield Per Bed]]/3600</f>
        <v>0</v>
      </c>
      <c r="DA295" s="37">
        <f>_xlfn.XLOOKUP(Crops[[#This Row],[Crop]]&amp;Crops[[#This Row],[Product]]&amp;Crops[[#This Row],[Unit]],Products[ID],Products[Market Transport (s)])*Crops[[#This Row],[Custom Yield Per Bed]]/3600</f>
        <v>1.607142857142857</v>
      </c>
      <c r="DC295" s="37">
        <f>Crops[[#This Row],[Direct Revenue Per Bed2]]</f>
        <v>2314.2857142857138</v>
      </c>
      <c r="DD295" s="173">
        <f>_xlfn.AGGREGATE(9,6,Crops[[#This Row],[Bed Prep]:[Remove Crop Residue]])</f>
        <v>36.438232421874993</v>
      </c>
      <c r="DE295" s="173">
        <f>_xlfn.AGGREGATE(9,6,Crops[[#This Row],[Bed Prep]:[Remove Crop Residue]])-0.75*Crops[[#This Row],[Market &amp; Sell]]</f>
        <v>32.098946707589278</v>
      </c>
      <c r="DF295" s="36">
        <f>Crops[[#This Row],[Direct Revenue Per Bed2]]/Crops[[#This Row],[Direct Time]]</f>
        <v>63.512567994280005</v>
      </c>
      <c r="DG295" s="36">
        <f>_xlfn.XLOOKUP(Crops[[#This Row],[ProductIndex]],Products[ID],Products[Packaging Cost])*(Crops[[#This Row],[Custom Yield Per Bed]]/_xlfn.XLOOKUP(Crops[[#This Row],[ProductIndex]],Products[ID],Products[Units Per Pack]))</f>
        <v>97.714285714285694</v>
      </c>
      <c r="DH295" s="36"/>
      <c r="DI295" s="36"/>
      <c r="DJ295" s="36"/>
      <c r="DK295" s="36"/>
      <c r="DL295" s="36"/>
      <c r="DM295" s="33">
        <f>IFERROR(Crops[[#This Row],[Custom Yield Per Bed]]*Crops[[#This Row],[Direct Price]],"")</f>
        <v>2314.2857142857138</v>
      </c>
      <c r="DN295" s="36">
        <f>Crops[[#This Row],[Direct Time]]*LaborRate</f>
        <v>910.95581054687477</v>
      </c>
      <c r="DO295" s="36">
        <f>SUM(Crops[[#This Row],[Irrigation Cost]])</f>
        <v>0</v>
      </c>
      <c r="DP295" s="36">
        <f>Crops[[#This Row],[Direct Labor Cost]]+Crops[[#This Row],[Direct Non-Labor Cost]]</f>
        <v>910.95581054687477</v>
      </c>
      <c r="DQ295" s="36">
        <f>Crops[[#This Row],[Direct Revenue Per Bed2]]-Crops[[#This Row],[Direct Total Cost]]</f>
        <v>1403.329903738839</v>
      </c>
      <c r="DR295" s="36">
        <f>Crops[[#This Row],[Direct Profit]]*BedsPerAcre</f>
        <v>224532.78459821423</v>
      </c>
      <c r="DS295" s="36">
        <f>Crops[[#This Row],[Direct Profit]]*BedsPerAcre*GrowingDays/Crops[[#This Row],[Days In Field]]</f>
        <v>108063.90702587851</v>
      </c>
      <c r="DT295" s="36">
        <f>Crops[[#This Row],[Direct Profit]]/MIN(Crops[[#This Row],[Days In Field]],GrowingDays)</f>
        <v>7.7962772429935496</v>
      </c>
      <c r="DU295" s="36">
        <f>Crops[[#This Row],[Direct Time]] * BedsPerAcre</f>
        <v>5830.1171874999991</v>
      </c>
      <c r="DV295" s="36">
        <f>(Crops[[#This Row],[Direct Revenue Per Bed2]]-Crops[[#This Row],[Direct Non-Labor Cost]])/Crops[[#This Row],[Direct Time]]</f>
        <v>63.512567994280005</v>
      </c>
      <c r="DW295" s="33">
        <f>IFERROR(Crops[[#This Row],[Custom Yield Per Bed]]*Crops[[#This Row],[Rough Wholesale Price]],"")</f>
        <v>1388.5714285714282</v>
      </c>
      <c r="DX295" s="36">
        <f>Crops[[#This Row],[Wholesale Time]]*LaborRate</f>
        <v>802.47366768973188</v>
      </c>
      <c r="DY295" s="36">
        <f>SUM(Crops[[#This Row],[Packaging Costs]:[Irrigation Cost]])</f>
        <v>97.714285714285694</v>
      </c>
      <c r="DZ295" s="36">
        <f>Crops[[#This Row],[Wholesale Labor Cost]]+Crops[[#This Row],[Wholesale Non-Labor Cost]]</f>
        <v>900.18795340401755</v>
      </c>
      <c r="EA295" s="36">
        <f>Crops[[#This Row],[Wholesale Revenue Per Bed]]-Crops[[#This Row],[Wholesale Total Cost]]</f>
        <v>488.38347516741067</v>
      </c>
      <c r="EB295" s="36">
        <f>Crops[[#This Row],[Wholesale Profit]]*BedsPerAcre</f>
        <v>78141.35602678571</v>
      </c>
      <c r="EC295" s="36">
        <f>Crops[[#This Row],[Wholesale Profit]]*BedsPerAcre*GrowingDays/Crops[[#This Row],[Days In Field]]</f>
        <v>37608.139264228412</v>
      </c>
      <c r="ED295" s="36">
        <f>Crops[[#This Row],[Wholesale Time]] * BedsPerAcre</f>
        <v>5135.8314732142844</v>
      </c>
      <c r="EE295" s="36">
        <f>Crops[[#This Row],[Wholesale Profit]]/MIN(Crops[[#This Row],[Days In Field]],GrowingDays)</f>
        <v>2.7132415287078371</v>
      </c>
      <c r="EF295" s="36">
        <f>(Crops[[#This Row],[Wholesale Revenue Per Bed]]-Crops[[#This Row],[Wholesale Non-Labor Cost]])/Crops[[#This Row],[Direct Time]]</f>
        <v>35.425899036809511</v>
      </c>
      <c r="EG295" s="174">
        <f>Crops[[#This Row],[Packaging Costs]]/Crops[[#This Row],[Wholesale Revenue Per Bed]]</f>
        <v>7.0370370370370375E-2</v>
      </c>
      <c r="EH295" s="36" t="str">
        <f>Crops[[#This Row],[Crop]]&amp;Crops[[#This Row],[Product]]&amp;Crops[[#This Row],[Unit]]</f>
        <v>SorrelMature LeafBunch</v>
      </c>
      <c r="EI295" s="36" t="b">
        <f>_xlfn.XLOOKUP(Crops[[#This Row],[ProductIndex]],Products[ID],Products[Target])</f>
        <v>1</v>
      </c>
      <c r="EJ295" s="36">
        <f>Crops[[#This Row],[Custom Yield Per Bed]]</f>
        <v>771.42857142857133</v>
      </c>
      <c r="EK295" s="210">
        <f>Crops[[#This Row],[Units Per Harvest]]/Crops[[#This Row],[Days Between Harvest]]*7</f>
        <v>21.428571428571427</v>
      </c>
      <c r="EL295" s="210" t="e">
        <f>Crops[[#This Row],[Custom Yield Per Bed]]/_xlfn.XLOOKUP(Crops[[#This Row],[ProductIndex]],Products[ID],Products[CSA Portion])</f>
        <v>#DIV/0!</v>
      </c>
      <c r="EM295" s="210" t="e">
        <f>Crops[[#This Row],[Units Per Harvest]]/Crops[[#This Row],[Days Between Harvest]]*7/_xlfn.XLOOKUP(Crops[[#This Row],[ProductIndex]],Products[ID],Products[CSA Portion])</f>
        <v>#DIV/0!</v>
      </c>
      <c r="EN295" s="210" t="e">
        <f>Crops[[#This Row],[CSA Portions Per Week]]/CSAMembers</f>
        <v>#DIV/0!</v>
      </c>
      <c r="EO295" s="210"/>
      <c r="EP295" s="210"/>
      <c r="EQ295" s="36"/>
      <c r="ER295" s="36">
        <f>Crops[[#This Row],[Harvests]]*Crops[[#This Row],[Days Between Harvest]]/7</f>
        <v>36</v>
      </c>
      <c r="ES295" s="208">
        <f>_xlfn.XLOOKUP(Crops[[#This Row],[ProductIndex]],Products[ID],Products[CSA Need])</f>
        <v>0</v>
      </c>
      <c r="ET295" s="208">
        <f>_xlfn.XLOOKUP(Crops[[#This Row],[ProductIndex]],Products[ID],Products[CSA Times])</f>
        <v>0</v>
      </c>
      <c r="EU295" s="208" t="e">
        <f>Crops[[#This Row],[Custom Yield Per Bed]]/(Crops[[#This Row],[CSA Need]]*(_xlfn.XLOOKUP(Crops[[#This Row],[ProductIndex]],Products[ID],Products[CSA Portion])*CSAMembers))</f>
        <v>#DIV/0!</v>
      </c>
      <c r="EV295" s="208">
        <f>_xlfn.XLOOKUP(Crops[[#This Row],[ProductIndex]],Products[ID],Products[CSA Portion])*CSAMembers*Crops[[#This Row],[CSA Need]]/Crops[[#This Row],[Custom Yield Per Bed]]</f>
        <v>0</v>
      </c>
      <c r="EW295" s="208">
        <f>IFERROR(Crops[[#This Row],[Days In Field]]*Crops[[#This Row],[CSA Beds]],"")</f>
        <v>0</v>
      </c>
      <c r="EX295" s="208" t="e">
        <f>Crops[[#This Row],[CSA Bed Days]]*#REF!</f>
        <v>#REF!</v>
      </c>
      <c r="EY295" t="s">
        <v>1538</v>
      </c>
    </row>
    <row r="296" spans="1:155">
      <c r="A29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Spinach - Baby Leaf 1X | Field DS </v>
      </c>
      <c r="B296" s="179"/>
      <c r="C296" s="1"/>
      <c r="D296" s="1"/>
      <c r="E296" s="1" t="b">
        <v>0</v>
      </c>
      <c r="F296" s="1" t="b">
        <f>IFERROR(IF(ISNUMBER(MATCH(Crops[[#This Row],[Identifier]],BedPlan[Crop], 0)), TRUE, FALSE), FALSE)</f>
        <v>0</v>
      </c>
      <c r="G296" s="1" t="b">
        <f>IFERROR(IF(ISNUMBER(MATCH(Crops[[#This Row],[Identifier]],BedPlan[Crop], 0)), TRUE, FALSE), FALSE)</f>
        <v>0</v>
      </c>
      <c r="H296" s="1" t="b">
        <v>1</v>
      </c>
      <c r="I296" t="s">
        <v>123</v>
      </c>
      <c r="J296" t="s">
        <v>145</v>
      </c>
      <c r="K296" t="s">
        <v>182</v>
      </c>
      <c r="N296" t="str">
        <f>Crops[[#This Row],[Crop]]</f>
        <v>Spinach</v>
      </c>
      <c r="O296" t="s">
        <v>210</v>
      </c>
      <c r="P296" t="str">
        <f>IF(OR(Crops[[#This Row],[Days in Cells]]="",Crops[[#This Row],[Days in Cells]]=0), "DS","TP")</f>
        <v>DS</v>
      </c>
      <c r="V296" t="str">
        <f xml:space="preserve"> IF(Crops[[#This Row],[Sp]], "Sp", "") &amp; IF(Crops[[#This Row],[Su]], "Su", "") &amp; IF(Crops[[#This Row],[Fa]], "Fa", "") &amp; IF(Crops[[#This Row],[Wi]], "Wi", "") &amp; IF(Crops[[#This Row],[OW]], "Ow","")</f>
        <v/>
      </c>
      <c r="W296" t="s">
        <v>144</v>
      </c>
      <c r="X296">
        <v>4</v>
      </c>
      <c r="Y296">
        <v>2.5</v>
      </c>
      <c r="AD296" s="32">
        <f>IFERROR(12/Crops[[#This Row],[Spacing]]*Crops[[#This Row],[Rows]]*BedLength,"")</f>
        <v>960</v>
      </c>
      <c r="AE296">
        <v>1</v>
      </c>
      <c r="AG296">
        <f>IF(Crops[[#This Row],[Custom Safety Factor]]="",PlantingSafetyFactor,Crops[[#This Row],[Custom Safety Factor]])</f>
        <v>1.3</v>
      </c>
      <c r="AH296">
        <f>1</f>
        <v>1</v>
      </c>
      <c r="AI296" s="33">
        <f>IFERROR(Crops[[#This Row],[Plantings Per Bed]]*Crops[[#This Row],[Seeds Per Planting]]*Crops[[#This Row],[Safety Factor]]*Crops[[#This Row],[Seeding Factor]],"")</f>
        <v>1248</v>
      </c>
      <c r="AL296">
        <f>_xlfn.FLOOR.MATH(IFERROR(AVERAGE(Crops[[#This Row],[DTG Lower]:[DTG Upper]]),0))</f>
        <v>0</v>
      </c>
      <c r="AM296">
        <f>SUM(Crops[[#This Row],[Tray 1 Days]],Crops[[#This Row],[Tray 2 Days]],Crops[[#This Row],[Tray 3 Days]])</f>
        <v>0</v>
      </c>
      <c r="AP296">
        <v>35</v>
      </c>
      <c r="AQ296">
        <f>IFERROR(_xlfn.FLOOR.MATH(AVERAGE(Crops[[#This Row],[DTM Lower]:[DTM Upper]])),"")</f>
        <v>35</v>
      </c>
      <c r="AR296" cm="1">
        <f t="array" ref="AR296">_xlfn.SWITCH(Crops[[#This Row],[Normal Method]],"DS",Crops[[#This Row],[Days to Germination]]+Crops[[#This Row],[DTM]] + IF(Crops[[#This Row],[Days in Cells]]&gt;0,15,0), "TP",Crops[[#This Row],[DTM]]+Crops[[#This Row],[Days in Cells]] + IF(Crops[[#This Row],[Days in Cells]]&lt;=0,20,0), "X", Crops[[#This Row],[DTM]])</f>
        <v>35</v>
      </c>
      <c r="AS296" t="s">
        <v>338</v>
      </c>
      <c r="AT296">
        <f>(Crops[[#This Row],[Harvests]]-1)*Crops[[#This Row],[Days Between Harvest]]+7</f>
        <v>27</v>
      </c>
      <c r="AU296">
        <f>Crops[[#This Row],[STH]]-Crops[[#This Row],[Days in Cells]]+Crops[[#This Row],[Harvest window]]</f>
        <v>62</v>
      </c>
      <c r="AW296" t="s">
        <v>212</v>
      </c>
      <c r="AZ296" t="str">
        <f>IFERROR(IF(Crops[[#This Row],[Tray 1 Days]]=0,"",Crops[[#This Row],[Plantings Per Bed]]/Crops[[#This Row],[Tray 1 Size]]*Crops[[#This Row],[Safety Factor]]),"")</f>
        <v/>
      </c>
      <c r="BC296" t="str">
        <f>IFERROR(IF(Crops[[#This Row],[Tray 2 Days]]=0,"",Crops[[#This Row],[Plantings Per Bed]]/Crops[[#This Row],[Tray 2 Size]]*Crops[[#This Row],[Safety Factor]]),"")</f>
        <v/>
      </c>
      <c r="BE296" s="32" t="str">
        <f>IF(NOT(ISBLANK(Crops[[#This Row],[Tray 3 Size]])), Crops[[#This Row],[Days in Cells Old]]-SUM(Crops[[#This Row],[Tray 1 Days]],Crops[[#This Row],[Tray 2 Days]]), "")</f>
        <v/>
      </c>
      <c r="BF296" t="str">
        <f>IFERROR(IF(Crops[[#This Row],[Tray 3 Days]]=0,"",Crops[[#This Row],[Plantings Per Bed]]/Crops[[#This Row],[Tray 3 Size]]*Crops[[#This Row],[Safety Factor]]),"")</f>
        <v/>
      </c>
      <c r="BG296" s="33">
        <f>20*BedLength/StandardBedLength</f>
        <v>10</v>
      </c>
      <c r="BH296" s="33">
        <v>3</v>
      </c>
      <c r="BI296" s="33">
        <v>10</v>
      </c>
      <c r="BJ296" s="33">
        <f>_xlfn.XLOOKUP(Crops[[#This Row],[ProductIndex]],Products[ID],Products[Holding Period])</f>
        <v>0</v>
      </c>
      <c r="BK296" s="33"/>
      <c r="BL296" s="33">
        <f>Crops[[#This Row],[Units Per Harvest]]*Crops[[#This Row],[Harvests]]</f>
        <v>30</v>
      </c>
      <c r="BM296" s="35">
        <v>10</v>
      </c>
      <c r="BN296" s="35">
        <f>Crops[[#This Row],[Direct Price]]*0.6</f>
        <v>6</v>
      </c>
      <c r="BO296" s="35"/>
      <c r="BP296" t="s">
        <v>383</v>
      </c>
      <c r="BQ296" s="193">
        <f>Crops[[#This Row],[Custom Yield Per Bed]]*Crops[[#This Row],[Direct Price]]</f>
        <v>300</v>
      </c>
      <c r="BR296" s="193" t="b">
        <v>0</v>
      </c>
      <c r="BS296" t="b">
        <f>Crops[[#This Row],[Harvests]]&gt;1</f>
        <v>1</v>
      </c>
      <c r="BT296" s="36">
        <f>IFERROR(Crops[[#This Row],[Direct Revenue Per Bed]]/Crops[[#This Row],[Days In Field]],-1)</f>
        <v>4.838709677419355</v>
      </c>
      <c r="BU296" s="36">
        <f>IFERROR(Crops[[#This Row],[Direct Revenue Per Bed Day]]*GrowingDays*BedsPerAcre,"")</f>
        <v>139354.83870967742</v>
      </c>
      <c r="BV296" s="38">
        <f>LastFrostDate-5*Crops[[#This Row],[Sewing Rel Last Frost]]</f>
        <v>45748</v>
      </c>
      <c r="BW296" s="38">
        <f>Crops[[#This Row],[Target Sewing Date]]+Crops[[#This Row],[Days in Cells]]</f>
        <v>45748</v>
      </c>
      <c r="BX296" s="38">
        <f>Crops[[#This Row],[Target Sewing Date]]+Crops[[#This Row],[STH]]</f>
        <v>45783</v>
      </c>
      <c r="BY296" s="38">
        <f>Crops[[#This Row],[Target Harvest Data]]+Crops[[#This Row],[Harvest window]]</f>
        <v>45810</v>
      </c>
      <c r="CB296">
        <f>1</f>
        <v>1</v>
      </c>
      <c r="CC296">
        <f>IF(Crops[[#This Row],[Transplanting]]&gt;0, 2, 3)*BedLength/StandardBedLength</f>
        <v>1.5</v>
      </c>
      <c r="CD296" s="173">
        <f>IF(Crops[[#This Row],[Days in Cells]]&lt;=0,0,Crops[[#This Row],[Plantings Per Bed]]/StartsPerHourSeeding+Crops[[#This Row],[Tray 1 Count]]*5/60)</f>
        <v>0</v>
      </c>
      <c r="CE296" s="173">
        <f>IF(ISBLANK(Crops[[#This Row],[Tray 2 Days]]),0,Crops[[#This Row],[Plantings Per Bed]]/UpPottingPerHour)+IF(Crops[[#This Row],[Tray 3 Days]]="",0,Crops[[#This Row],[Plantings Per Bed]]/UpPottingPerHour)</f>
        <v>0</v>
      </c>
      <c r="CF296" s="173">
        <f>IFERROR(Crops[[#This Row],[Tray 1 Count]]/HomeStartFlatIrrigationPerHour,0)*Crops[[#This Row],[Days in Cells]]/DaysBetweenStartIrrigation</f>
        <v>0</v>
      </c>
      <c r="CG296" s="173">
        <f>0.5/16*MAX(Crops[[#This Row],[Tray 1 Count]],Crops[[#This Row],[Tray 2 Count]],Crops[[#This Row],[Tray 3 Count]])</f>
        <v>0</v>
      </c>
      <c r="CH296" s="173">
        <f>IF(Crops[[#This Row],[Days in Cells]]&gt;0,IF(IF(Crops[[#This Row],[Tray 3 Size]]&gt;0,Crops[[#This Row],[Tray 3 Size]],IF(Crops[[#This Row],[Tray 2 Size]]&gt;0,Crops[[#This Row],[Tray 2 Size]],Crops[[#This Row],[Tray 1 Size]]))&lt;=18,LargeTransplantTime,SmallTransplantTime)*Crops[[#This Row],[Plantings Per Bed]],0)</f>
        <v>0</v>
      </c>
      <c r="CI296" s="173"/>
      <c r="CJ296" s="173">
        <f>_xlfn.XLOOKUP(Crops[[#This Row],[Trellis Type]],TrellisMethods[Trellis Type],TrellisMethods[Hours],0,0)</f>
        <v>0</v>
      </c>
      <c r="CK296">
        <f>IF(Crops[[#This Row],[Days in Cells]]&lt;=0,Crops[[#This Row],[Rows]]*1/10,0)*BedLength/50</f>
        <v>0.4</v>
      </c>
      <c r="CL296" cm="1">
        <f t="array" ref="CL296">_xlfn.SWITCH(Crops[[#This Row],[Irrigation]],"DR", 0.5, "OH", 0.25,0)*BedLength/50</f>
        <v>0</v>
      </c>
      <c r="CM296">
        <f>IF(OR(ISBLANK(Crops[[#This Row],[Row Cover]]),Crops[[#This Row],[Row Cover]]="None"),0,1)*BedLength/50</f>
        <v>0</v>
      </c>
      <c r="CN296" s="173">
        <f>HoursPerWeedingPass*Crops[[#This Row],[Days In Field]]/14*Crops[[#This Row],[Rows]]+1*BedLength/50</f>
        <v>3.9523809523809521</v>
      </c>
      <c r="CQ296" s="37">
        <f>_xlfn.XLOOKUP(Crops[[#This Row],[Crop]]&amp;Crops[[#This Row],[Product]]&amp;Crops[[#This Row],[Unit]],Products[ID],Products[Marketing (hr)])*Crops[[#This Row],[Direct Revenue Per Bed]]/2000</f>
        <v>0.3</v>
      </c>
      <c r="CR296" s="37">
        <f>_xlfn.XLOOKUP(Crops[[#This Row],[Crop]]&amp;Crops[[#This Row],[Product]]&amp;Crops[[#This Row],[Unit]],Products[ID],Products[Harvest (s)])*Crops[[#This Row],[Custom Yield Per Bed]]/3600</f>
        <v>2.5</v>
      </c>
      <c r="CS296" s="37">
        <f>_xlfn.XLOOKUP(Crops[[#This Row],[Crop]]&amp;Crops[[#This Row],[Product]]&amp;Crops[[#This Row],[Unit]],Products[ID],Products[Bunch (s)])*Crops[[#This Row],[Custom Yield Per Bed]]/3600</f>
        <v>0</v>
      </c>
      <c r="CT296" s="37">
        <f>_xlfn.XLOOKUP(Crops[[#This Row],[Crop]]&amp;Crops[[#This Row],[Product]]&amp;Crops[[#This Row],[Unit]],Products[ID],Products[Haul (s)])*Crops[[#This Row],[Custom Yield Per Bed]]/3600</f>
        <v>7.4999999999999997E-2</v>
      </c>
      <c r="CU296" s="37">
        <f>_xlfn.XLOOKUP(Crops[[#This Row],[Crop]]&amp;Crops[[#This Row],[Product]]&amp;Crops[[#This Row],[Unit]],Products[ID],Products[Wash (s)])*Crops[[#This Row],[Custom Yield Per Bed]]/3600</f>
        <v>0</v>
      </c>
      <c r="CV296" s="37">
        <f>_xlfn.XLOOKUP(Crops[[#This Row],[Crop]]&amp;Crops[[#This Row],[Product]]&amp;Crops[[#This Row],[Unit]],Products[ID],Products[Condition (s)])*Crops[[#This Row],[Custom Yield Per Bed]]/3600</f>
        <v>0</v>
      </c>
      <c r="CW296" s="37">
        <f>_xlfn.XLOOKUP(Crops[[#This Row],[Crop]]&amp;Crops[[#This Row],[Product]]&amp;Crops[[#This Row],[Unit]],Products[ID],Products[Trim (s)])*Crops[[#This Row],[Custom Yield Per Bed]]/3600</f>
        <v>0</v>
      </c>
      <c r="CX296" s="37">
        <f>_xlfn.XLOOKUP(Crops[[#This Row],[Crop]]&amp;Crops[[#This Row],[Product]]&amp;Crops[[#This Row],[Unit]],Products[ID],Products[Pack (s)])*Crops[[#This Row],[Custom Yield Per Bed]]/3600</f>
        <v>2.5000000000000001E-2</v>
      </c>
      <c r="CY296" s="37">
        <f>_xlfn.XLOOKUP(Crops[[#This Row],[Crop]]&amp;Crops[[#This Row],[Product]]&amp;Crops[[#This Row],[Unit]],Products[ID],Products[Clean (s)])*Crops[[#This Row],[Custom Yield Per Bed]]/3600</f>
        <v>0</v>
      </c>
      <c r="CZ296" s="37">
        <f>_xlfn.XLOOKUP(Crops[[#This Row],[Crop]]&amp;Crops[[#This Row],[Product]]&amp;Crops[[#This Row],[Unit]],Products[ID],Products[Rehandle (s)])*Crops[[#This Row],[Custom Yield Per Bed]]/3600</f>
        <v>0</v>
      </c>
      <c r="DA296" s="37">
        <f>_xlfn.XLOOKUP(Crops[[#This Row],[Crop]]&amp;Crops[[#This Row],[Product]]&amp;Crops[[#This Row],[Unit]],Products[ID],Products[Market Transport (s)])*Crops[[#This Row],[Custom Yield Per Bed]]/3600</f>
        <v>0.1875</v>
      </c>
      <c r="DC296" s="37">
        <f>Crops[[#This Row],[Direct Revenue Per Bed2]]</f>
        <v>300</v>
      </c>
      <c r="DD296" s="173">
        <f>_xlfn.AGGREGATE(9,6,Crops[[#This Row],[Bed Prep]:[Remove Crop Residue]])</f>
        <v>8.9398809523809515</v>
      </c>
      <c r="DE296" s="173">
        <f>_xlfn.AGGREGATE(9,6,Crops[[#This Row],[Bed Prep]:[Remove Crop Residue]])-0.75*Crops[[#This Row],[Market &amp; Sell]]</f>
        <v>8.7148809523809518</v>
      </c>
      <c r="DF296" s="36">
        <f>Crops[[#This Row],[Direct Revenue Per Bed2]]/Crops[[#This Row],[Direct Time]]</f>
        <v>33.557493841134566</v>
      </c>
      <c r="DG296" s="36">
        <f>_xlfn.XLOOKUP(Crops[[#This Row],[ProductIndex]],Products[ID],Products[Packaging Cost])*(Crops[[#This Row],[Custom Yield Per Bed]]/_xlfn.XLOOKUP(Crops[[#This Row],[ProductIndex]],Products[ID],Products[Units Per Pack]))</f>
        <v>11.399999999999999</v>
      </c>
      <c r="DH296" s="36"/>
      <c r="DI296" s="36"/>
      <c r="DJ296" s="36"/>
      <c r="DK296" s="36"/>
      <c r="DL296" s="36"/>
      <c r="DM296" s="33">
        <f>IFERROR(Crops[[#This Row],[Custom Yield Per Bed]]*Crops[[#This Row],[Direct Price]],"")</f>
        <v>300</v>
      </c>
      <c r="DN296" s="36">
        <f>Crops[[#This Row],[Direct Time]]*LaborRate</f>
        <v>223.4970238095238</v>
      </c>
      <c r="DO296" s="36">
        <f>SUM(Crops[[#This Row],[Irrigation Cost]])</f>
        <v>0</v>
      </c>
      <c r="DP296" s="36">
        <f>Crops[[#This Row],[Direct Labor Cost]]+Crops[[#This Row],[Direct Non-Labor Cost]]</f>
        <v>223.4970238095238</v>
      </c>
      <c r="DQ296" s="36">
        <f>Crops[[#This Row],[Direct Revenue Per Bed2]]-Crops[[#This Row],[Direct Total Cost]]</f>
        <v>76.502976190476204</v>
      </c>
      <c r="DR296" s="36">
        <f>Crops[[#This Row],[Direct Profit]]*BedsPerAcre</f>
        <v>12240.476190476193</v>
      </c>
      <c r="DS296" s="36">
        <f>Crops[[#This Row],[Direct Profit]]*BedsPerAcre*GrowingDays/Crops[[#This Row],[Days In Field]]</f>
        <v>35536.866359447005</v>
      </c>
      <c r="DT296" s="36">
        <f>Crops[[#This Row],[Direct Profit]]/MIN(Crops[[#This Row],[Days In Field]],GrowingDays)</f>
        <v>1.2339189708141323</v>
      </c>
      <c r="DU296" s="36">
        <f>Crops[[#This Row],[Direct Time]] * BedsPerAcre</f>
        <v>1430.3809523809523</v>
      </c>
      <c r="DV296" s="36">
        <f>(Crops[[#This Row],[Direct Revenue Per Bed2]]-Crops[[#This Row],[Direct Non-Labor Cost]])/Crops[[#This Row],[Direct Time]]</f>
        <v>33.557493841134566</v>
      </c>
      <c r="DW296" s="33">
        <f>IFERROR(Crops[[#This Row],[Custom Yield Per Bed]]*Crops[[#This Row],[Rough Wholesale Price]],"")</f>
        <v>180</v>
      </c>
      <c r="DX296" s="36">
        <f>Crops[[#This Row],[Wholesale Time]]*LaborRate</f>
        <v>217.8720238095238</v>
      </c>
      <c r="DY296" s="36">
        <f>SUM(Crops[[#This Row],[Packaging Costs]:[Irrigation Cost]])</f>
        <v>11.399999999999999</v>
      </c>
      <c r="DZ296" s="36">
        <f>Crops[[#This Row],[Wholesale Labor Cost]]+Crops[[#This Row],[Wholesale Non-Labor Cost]]</f>
        <v>229.2720238095238</v>
      </c>
      <c r="EA296" s="36">
        <f>Crops[[#This Row],[Wholesale Revenue Per Bed]]-Crops[[#This Row],[Wholesale Total Cost]]</f>
        <v>-49.272023809523802</v>
      </c>
      <c r="EB296" s="36">
        <f>Crops[[#This Row],[Wholesale Profit]]*BedsPerAcre</f>
        <v>-7883.5238095238083</v>
      </c>
      <c r="EC296" s="36">
        <f>Crops[[#This Row],[Wholesale Profit]]*BedsPerAcre*GrowingDays/Crops[[#This Row],[Days In Field]]</f>
        <v>-22887.649769585249</v>
      </c>
      <c r="ED296" s="36">
        <f>Crops[[#This Row],[Wholesale Time]] * BedsPerAcre</f>
        <v>1394.3809523809523</v>
      </c>
      <c r="EE296" s="36">
        <f>Crops[[#This Row],[Wholesale Profit]]/MIN(Crops[[#This Row],[Days In Field]],GrowingDays)</f>
        <v>-0.7947100614439323</v>
      </c>
      <c r="EF296" s="36">
        <f>(Crops[[#This Row],[Wholesale Revenue Per Bed]]-Crops[[#This Row],[Wholesale Non-Labor Cost]])/Crops[[#This Row],[Direct Time]]</f>
        <v>18.859311538717627</v>
      </c>
      <c r="EG296" s="174">
        <f>Crops[[#This Row],[Packaging Costs]]/Crops[[#This Row],[Wholesale Revenue Per Bed]]</f>
        <v>6.3333333333333325E-2</v>
      </c>
      <c r="EH296" s="36" t="str">
        <f>Crops[[#This Row],[Crop]]&amp;Crops[[#This Row],[Product]]&amp;Crops[[#This Row],[Unit]]</f>
        <v>SpinachBaby LeafLb</v>
      </c>
      <c r="EI296" s="36" t="b">
        <f>_xlfn.XLOOKUP(Crops[[#This Row],[ProductIndex]],Products[ID],Products[Target])</f>
        <v>1</v>
      </c>
      <c r="EJ296" s="36">
        <f>Crops[[#This Row],[Custom Yield Per Bed]]</f>
        <v>30</v>
      </c>
      <c r="EK296" s="210">
        <f>Crops[[#This Row],[Units Per Harvest]]/Crops[[#This Row],[Days Between Harvest]]*7</f>
        <v>7</v>
      </c>
      <c r="EL296" s="210" t="e">
        <f>Crops[[#This Row],[Custom Yield Per Bed]]/_xlfn.XLOOKUP(Crops[[#This Row],[ProductIndex]],Products[ID],Products[CSA Portion])</f>
        <v>#DIV/0!</v>
      </c>
      <c r="EM296" s="210" t="e">
        <f>Crops[[#This Row],[Units Per Harvest]]/Crops[[#This Row],[Days Between Harvest]]*7/_xlfn.XLOOKUP(Crops[[#This Row],[ProductIndex]],Products[ID],Products[CSA Portion])</f>
        <v>#DIV/0!</v>
      </c>
      <c r="EN296" s="210" t="e">
        <f>Crops[[#This Row],[CSA Portions Per Week]]/CSAMembers</f>
        <v>#DIV/0!</v>
      </c>
      <c r="EO296" s="210"/>
      <c r="EP296" s="210"/>
      <c r="EQ296" s="36"/>
      <c r="ER296" s="36">
        <f>Crops[[#This Row],[Harvests]]*Crops[[#This Row],[Days Between Harvest]]/7</f>
        <v>4.2857142857142856</v>
      </c>
      <c r="ES296" s="208">
        <f>_xlfn.XLOOKUP(Crops[[#This Row],[ProductIndex]],Products[ID],Products[CSA Need])</f>
        <v>0</v>
      </c>
      <c r="ET296" s="208">
        <f>_xlfn.XLOOKUP(Crops[[#This Row],[ProductIndex]],Products[ID],Products[CSA Times])</f>
        <v>0</v>
      </c>
      <c r="EU296" s="208" t="e">
        <f>Crops[[#This Row],[Custom Yield Per Bed]]/(Crops[[#This Row],[CSA Need]]*(_xlfn.XLOOKUP(Crops[[#This Row],[ProductIndex]],Products[ID],Products[CSA Portion])*CSAMembers))</f>
        <v>#DIV/0!</v>
      </c>
      <c r="EV296" s="208">
        <f>_xlfn.XLOOKUP(Crops[[#This Row],[ProductIndex]],Products[ID],Products[CSA Portion])*CSAMembers*Crops[[#This Row],[CSA Need]]/Crops[[#This Row],[Custom Yield Per Bed]]</f>
        <v>0</v>
      </c>
      <c r="EW296" s="208">
        <f>IFERROR(Crops[[#This Row],[Days In Field]]*Crops[[#This Row],[CSA Beds]],"")</f>
        <v>0</v>
      </c>
      <c r="EX296" s="208" t="e">
        <f>Crops[[#This Row],[CSA Bed Days]]*#REF!</f>
        <v>#REF!</v>
      </c>
      <c r="EY296" t="s">
        <v>1729</v>
      </c>
    </row>
    <row r="297" spans="1:155" ht="15.75" customHeight="1">
      <c r="A29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 Mature Leaf 1X | Field DS FaOw</v>
      </c>
      <c r="B297" s="179"/>
      <c r="C297" s="1" t="b">
        <v>1</v>
      </c>
      <c r="D297" s="1"/>
      <c r="E297" s="1" t="b">
        <v>0</v>
      </c>
      <c r="F297" s="1" t="b">
        <f>IFERROR(IF(ISNUMBER(MATCH(Crops[[#This Row],[Identifier]],BedPlan[Crop], 0)), TRUE, FALSE), FALSE)</f>
        <v>0</v>
      </c>
      <c r="G297" s="1" t="b">
        <f>IFERROR(IF(ISNUMBER(MATCH(Crops[[#This Row],[Identifier]],BedPlan[Crop], 0)), TRUE, FALSE), FALSE)</f>
        <v>0</v>
      </c>
      <c r="H297" s="1"/>
      <c r="I297" t="s">
        <v>123</v>
      </c>
      <c r="J297" t="s">
        <v>145</v>
      </c>
      <c r="K297" t="s">
        <v>179</v>
      </c>
      <c r="M297" t="s">
        <v>441</v>
      </c>
      <c r="N297" t="str">
        <f>Crops[[#This Row],[Crop]]</f>
        <v>Spinach</v>
      </c>
      <c r="O297" t="s">
        <v>210</v>
      </c>
      <c r="P297" t="str">
        <f>IF(OR(Crops[[#This Row],[Days in Cells]]="",Crops[[#This Row],[Days in Cells]]=0), "DS","TP")</f>
        <v>DS</v>
      </c>
      <c r="S297" t="b">
        <v>1</v>
      </c>
      <c r="U297" t="s">
        <v>144</v>
      </c>
      <c r="V297" t="str">
        <f xml:space="preserve"> IF(Crops[[#This Row],[Sp]], "Sp", "") &amp; IF(Crops[[#This Row],[Su]], "Su", "") &amp; IF(Crops[[#This Row],[Fa]], "Fa", "") &amp; IF(Crops[[#This Row],[Wi]], "Wi", "") &amp; IF(Crops[[#This Row],[OW]], "Ow","")</f>
        <v>FaOw</v>
      </c>
      <c r="W297" t="b">
        <v>1</v>
      </c>
      <c r="X297">
        <v>3</v>
      </c>
      <c r="Y297">
        <v>1</v>
      </c>
      <c r="AA297" t="s">
        <v>474</v>
      </c>
      <c r="AB297" t="b">
        <v>1</v>
      </c>
      <c r="AC297">
        <v>1</v>
      </c>
      <c r="AD297" s="32">
        <f>IFERROR(12/Crops[[#This Row],[Spacing]]*Crops[[#This Row],[Rows]]*BedLength,"")</f>
        <v>1800</v>
      </c>
      <c r="AE297">
        <v>1</v>
      </c>
      <c r="AG297">
        <v>1.3</v>
      </c>
      <c r="AH297">
        <f>1</f>
        <v>1</v>
      </c>
      <c r="AI297" s="33">
        <f>IFERROR(Crops[[#This Row],[Plantings Per Bed]]*Crops[[#This Row],[Seeds Per Planting]]*Crops[[#This Row],[Safety Factor]]*Crops[[#This Row],[Seeding Factor]],"")</f>
        <v>2340</v>
      </c>
      <c r="AL297">
        <f>_xlfn.FLOOR.MATH(IFERROR(AVERAGE(Crops[[#This Row],[DTG Lower]:[DTG Upper]]),0))</f>
        <v>0</v>
      </c>
      <c r="AM297">
        <f>SUM(Crops[[#This Row],[Tray 1 Days]],Crops[[#This Row],[Tray 2 Days]],Crops[[#This Row],[Tray 3 Days]])</f>
        <v>0</v>
      </c>
      <c r="AN297" s="32">
        <v>21</v>
      </c>
      <c r="AP297">
        <v>55</v>
      </c>
      <c r="AQ297">
        <f>IFERROR(_xlfn.FLOOR.MATH(AVERAGE(Crops[[#This Row],[DTM Lower]:[DTM Upper]])),"")</f>
        <v>55</v>
      </c>
      <c r="AR297" cm="1">
        <f t="array" ref="AR297">_xlfn.SWITCH(Crops[[#This Row],[Normal Method]],"DS",Crops[[#This Row],[Days to Germination]]+Crops[[#This Row],[DTM]] + IF(Crops[[#This Row],[Days in Cells]]&gt;0,15,0), "TP",Crops[[#This Row],[DTM]]+Crops[[#This Row],[Days in Cells]] + IF(Crops[[#This Row],[Days in Cells]]&lt;=0,20,0), "X", Crops[[#This Row],[DTM]])</f>
        <v>55</v>
      </c>
      <c r="AS297" t="s">
        <v>347</v>
      </c>
      <c r="AT297">
        <f>(Crops[[#This Row],[Harvests]]-1)*Crops[[#This Row],[Days Between Harvest]]+7</f>
        <v>197</v>
      </c>
      <c r="AU297">
        <f>Crops[[#This Row],[STH]]-Crops[[#This Row],[Days in Cells]]+Crops[[#This Row],[Harvest window]]</f>
        <v>252</v>
      </c>
      <c r="AW297">
        <v>128</v>
      </c>
      <c r="AZ297" s="49"/>
      <c r="BC297" t="str">
        <f>IFERROR(IF(Crops[[#This Row],[Tray 2 Days]]=0,"",Crops[[#This Row],[Plantings Per Bed]]/Crops[[#This Row],[Tray 2 Size]]*Crops[[#This Row],[Safety Factor]]),"")</f>
        <v/>
      </c>
      <c r="BE297" s="32" t="str">
        <f>IF(NOT(ISBLANK(Crops[[#This Row],[Tray 3 Size]])), Crops[[#This Row],[Days in Cells Old]]-SUM(Crops[[#This Row],[Tray 1 Days]],Crops[[#This Row],[Tray 2 Days]]), "")</f>
        <v/>
      </c>
      <c r="BF297" s="49" t="str">
        <f>IFERROR(IF(Crops[[#This Row],[Tray 3 Days]]=0,"",Crops[[#This Row],[Plantings Per Bed]]/Crops[[#This Row],[Tray 3 Size]]*Crops[[#This Row],[Safety Factor]]),"")</f>
        <v/>
      </c>
      <c r="BG297" s="33">
        <f>80*BedLength/StandardBedLength</f>
        <v>40</v>
      </c>
      <c r="BH297" s="33">
        <v>2</v>
      </c>
      <c r="BI297" s="33">
        <v>190</v>
      </c>
      <c r="BJ297" s="33">
        <f>_xlfn.XLOOKUP(Crops[[#This Row],[ProductIndex]],Products[ID],Products[Holding Period])</f>
        <v>0</v>
      </c>
      <c r="BK297" s="33"/>
      <c r="BL297" s="33">
        <f>Crops[[#This Row],[Units Per Harvest]]*Crops[[#This Row],[Harvests]]</f>
        <v>80</v>
      </c>
      <c r="BM297" s="35">
        <v>8</v>
      </c>
      <c r="BN297" s="35">
        <f>Crops[[#This Row],[Direct Price]]*0.6</f>
        <v>4.8</v>
      </c>
      <c r="BO297" s="35"/>
      <c r="BP297" t="s">
        <v>383</v>
      </c>
      <c r="BQ297" s="193">
        <f>Crops[[#This Row],[Custom Yield Per Bed]]*Crops[[#This Row],[Direct Price]]</f>
        <v>640</v>
      </c>
      <c r="BR297" s="193" t="b">
        <v>0</v>
      </c>
      <c r="BS297" t="b">
        <f>Crops[[#This Row],[Harvests]]&gt;1</f>
        <v>1</v>
      </c>
      <c r="BT297" s="36">
        <f>IFERROR(Crops[[#This Row],[Direct Revenue Per Bed]]/Crops[[#This Row],[Days In Field]],-1)</f>
        <v>2.5396825396825395</v>
      </c>
      <c r="BU297" s="36">
        <f>IFERROR(Crops[[#This Row],[Direct Revenue Per Bed Day]]*GrowingDays*BedsPerAcre,"")</f>
        <v>73142.85714285713</v>
      </c>
      <c r="BV297" s="38">
        <f>LastFrostDate-5*Crops[[#This Row],[Sewing Rel Last Frost]]</f>
        <v>45828</v>
      </c>
      <c r="BW297" s="38">
        <f>Crops[[#This Row],[Target Sewing Date]]+Crops[[#This Row],[Days in Cells]]</f>
        <v>45828</v>
      </c>
      <c r="BX297" s="38">
        <f>Crops[[#This Row],[Target Sewing Date]]+Crops[[#This Row],[STH]]</f>
        <v>45883</v>
      </c>
      <c r="BY297" s="38">
        <f>Crops[[#This Row],[Target Harvest Data]]+Crops[[#This Row],[Harvest window]]</f>
        <v>46080</v>
      </c>
      <c r="BZ297">
        <v>-16</v>
      </c>
      <c r="CA297" t="s">
        <v>373</v>
      </c>
      <c r="CB297">
        <f>1</f>
        <v>1</v>
      </c>
      <c r="CC297">
        <f>IF(Crops[[#This Row],[Transplanting]]&gt;0, 2, 3)*BedLength/StandardBedLength</f>
        <v>1.5</v>
      </c>
      <c r="CD297" s="173">
        <f>IF(Crops[[#This Row],[Days in Cells]]&lt;=0,0,Crops[[#This Row],[Plantings Per Bed]]/StartsPerHourSeeding+Crops[[#This Row],[Tray 1 Count]]*5/60)</f>
        <v>0</v>
      </c>
      <c r="CE297" s="173">
        <f>IF(ISBLANK(Crops[[#This Row],[Tray 2 Days]]),0,Crops[[#This Row],[Plantings Per Bed]]/UpPottingPerHour)+IF(Crops[[#This Row],[Tray 3 Days]]="",0,Crops[[#This Row],[Plantings Per Bed]]/UpPottingPerHour)</f>
        <v>0</v>
      </c>
      <c r="CF297" s="173">
        <f>IFERROR(Crops[[#This Row],[Tray 1 Count]]/HomeStartFlatIrrigationPerHour,0)*Crops[[#This Row],[Days in Cells]]/DaysBetweenStartIrrigation</f>
        <v>0</v>
      </c>
      <c r="CG297" s="173">
        <f>0.5/16*MAX(Crops[[#This Row],[Tray 1 Count]],Crops[[#This Row],[Tray 2 Count]],Crops[[#This Row],[Tray 3 Count]])</f>
        <v>0</v>
      </c>
      <c r="CH297" s="173">
        <f>IF(Crops[[#This Row],[Days in Cells]]&gt;0,IF(IF(Crops[[#This Row],[Tray 3 Size]]&gt;0,Crops[[#This Row],[Tray 3 Size]],IF(Crops[[#This Row],[Tray 2 Size]]&gt;0,Crops[[#This Row],[Tray 2 Size]],Crops[[#This Row],[Tray 1 Size]]))&lt;=18,LargeTransplantTime,SmallTransplantTime)*Crops[[#This Row],[Plantings Per Bed]],0)</f>
        <v>0</v>
      </c>
      <c r="CI297" s="173"/>
      <c r="CJ297" s="173">
        <f>_xlfn.XLOOKUP(Crops[[#This Row],[Trellis Type]],TrellisMethods[Trellis Type],TrellisMethods[Hours],0,0)</f>
        <v>0</v>
      </c>
      <c r="CK297">
        <f>IF(Crops[[#This Row],[Days in Cells]]&lt;=0,Crops[[#This Row],[Rows]]*1/10,0)*BedLength/50</f>
        <v>0.3</v>
      </c>
      <c r="CL297" cm="1">
        <f t="array" ref="CL297">_xlfn.SWITCH(Crops[[#This Row],[Irrigation]],"DR", 0.5, "OH", 0.25,0)*BedLength/50</f>
        <v>0</v>
      </c>
      <c r="CM297">
        <f>IF(OR(ISBLANK(Crops[[#This Row],[Row Cover]]),Crops[[#This Row],[Row Cover]]="None"),0,1)*BedLength/50</f>
        <v>0</v>
      </c>
      <c r="CN297" s="173">
        <f>HoursPerWeedingPass*Crops[[#This Row],[Days In Field]]/14*Crops[[#This Row],[Rows]]+1*BedLength/50</f>
        <v>10</v>
      </c>
      <c r="CQ297" s="37">
        <f>_xlfn.XLOOKUP(Crops[[#This Row],[Crop]]&amp;Crops[[#This Row],[Product]]&amp;Crops[[#This Row],[Unit]],Products[ID],Products[Marketing (hr)])*Crops[[#This Row],[Direct Revenue Per Bed]]/2000</f>
        <v>0.64</v>
      </c>
      <c r="CR297" s="37">
        <f>_xlfn.XLOOKUP(Crops[[#This Row],[Crop]]&amp;Crops[[#This Row],[Product]]&amp;Crops[[#This Row],[Unit]],Products[ID],Products[Harvest (s)])*Crops[[#This Row],[Custom Yield Per Bed]]/3600</f>
        <v>1.6</v>
      </c>
      <c r="CS297" s="37">
        <f>_xlfn.XLOOKUP(Crops[[#This Row],[Crop]]&amp;Crops[[#This Row],[Product]]&amp;Crops[[#This Row],[Unit]],Products[ID],Products[Bunch (s)])*Crops[[#This Row],[Custom Yield Per Bed]]/3600</f>
        <v>0</v>
      </c>
      <c r="CT297" s="37">
        <f>_xlfn.XLOOKUP(Crops[[#This Row],[Crop]]&amp;Crops[[#This Row],[Product]]&amp;Crops[[#This Row],[Unit]],Products[ID],Products[Haul (s)])*Crops[[#This Row],[Custom Yield Per Bed]]/3600</f>
        <v>0.13333333333333333</v>
      </c>
      <c r="CU297" s="37">
        <f>_xlfn.XLOOKUP(Crops[[#This Row],[Crop]]&amp;Crops[[#This Row],[Product]]&amp;Crops[[#This Row],[Unit]],Products[ID],Products[Wash (s)])*Crops[[#This Row],[Custom Yield Per Bed]]/3600</f>
        <v>0</v>
      </c>
      <c r="CV297" s="37">
        <f>_xlfn.XLOOKUP(Crops[[#This Row],[Crop]]&amp;Crops[[#This Row],[Product]]&amp;Crops[[#This Row],[Unit]],Products[ID],Products[Condition (s)])*Crops[[#This Row],[Custom Yield Per Bed]]/3600</f>
        <v>0</v>
      </c>
      <c r="CW297" s="37">
        <f>_xlfn.XLOOKUP(Crops[[#This Row],[Crop]]&amp;Crops[[#This Row],[Product]]&amp;Crops[[#This Row],[Unit]],Products[ID],Products[Trim (s)])*Crops[[#This Row],[Custom Yield Per Bed]]/3600</f>
        <v>0</v>
      </c>
      <c r="CX297" s="37">
        <f>_xlfn.XLOOKUP(Crops[[#This Row],[Crop]]&amp;Crops[[#This Row],[Product]]&amp;Crops[[#This Row],[Unit]],Products[ID],Products[Pack (s)])*Crops[[#This Row],[Custom Yield Per Bed]]/3600</f>
        <v>6.6666666666666666E-2</v>
      </c>
      <c r="CY297" s="37">
        <f>_xlfn.XLOOKUP(Crops[[#This Row],[Crop]]&amp;Crops[[#This Row],[Product]]&amp;Crops[[#This Row],[Unit]],Products[ID],Products[Clean (s)])*Crops[[#This Row],[Custom Yield Per Bed]]/3600</f>
        <v>0</v>
      </c>
      <c r="CZ297" s="37">
        <f>_xlfn.XLOOKUP(Crops[[#This Row],[Crop]]&amp;Crops[[#This Row],[Product]]&amp;Crops[[#This Row],[Unit]],Products[ID],Products[Rehandle (s)])*Crops[[#This Row],[Custom Yield Per Bed]]/3600</f>
        <v>0</v>
      </c>
      <c r="DA297" s="37">
        <f>_xlfn.XLOOKUP(Crops[[#This Row],[Crop]]&amp;Crops[[#This Row],[Product]]&amp;Crops[[#This Row],[Unit]],Products[ID],Products[Market Transport (s)])*Crops[[#This Row],[Custom Yield Per Bed]]/3600</f>
        <v>0.33333333333333331</v>
      </c>
      <c r="DC297" s="37">
        <f>Crops[[#This Row],[Direct Revenue Per Bed2]]</f>
        <v>640</v>
      </c>
      <c r="DD297" s="173">
        <f>_xlfn.AGGREGATE(9,6,Crops[[#This Row],[Bed Prep]:[Remove Crop Residue]])</f>
        <v>14.573333333333334</v>
      </c>
      <c r="DE297" s="173">
        <f>_xlfn.AGGREGATE(9,6,Crops[[#This Row],[Bed Prep]:[Remove Crop Residue]])-0.75*Crops[[#This Row],[Market &amp; Sell]]</f>
        <v>14.093333333333334</v>
      </c>
      <c r="DF297" s="36">
        <f>Crops[[#This Row],[Direct Revenue Per Bed2]]/Crops[[#This Row],[Direct Time]]</f>
        <v>43.915827996340347</v>
      </c>
      <c r="DG297" s="36">
        <f>_xlfn.XLOOKUP(Crops[[#This Row],[ProductIndex]],Products[ID],Products[Packaging Cost])*(Crops[[#This Row],[Custom Yield Per Bed]]/_xlfn.XLOOKUP(Crops[[#This Row],[ProductIndex]],Products[ID],Products[Units Per Pack]))</f>
        <v>20.266666666666666</v>
      </c>
      <c r="DH297" s="36"/>
      <c r="DI297" s="36"/>
      <c r="DJ297" s="36"/>
      <c r="DK297" s="36"/>
      <c r="DL297" s="36"/>
      <c r="DM297" s="33">
        <f>IFERROR(Crops[[#This Row],[Custom Yield Per Bed]]*Crops[[#This Row],[Direct Price]],"")</f>
        <v>640</v>
      </c>
      <c r="DN297" s="36">
        <f>Crops[[#This Row],[Direct Time]]*LaborRate</f>
        <v>364.33333333333337</v>
      </c>
      <c r="DO297" s="36">
        <f>SUM(Crops[[#This Row],[Irrigation Cost]])</f>
        <v>0</v>
      </c>
      <c r="DP297" s="36">
        <f>Crops[[#This Row],[Direct Labor Cost]]+Crops[[#This Row],[Direct Non-Labor Cost]]</f>
        <v>364.33333333333337</v>
      </c>
      <c r="DQ297" s="36">
        <f>Crops[[#This Row],[Direct Revenue Per Bed2]]-Crops[[#This Row],[Direct Total Cost]]</f>
        <v>275.66666666666663</v>
      </c>
      <c r="DR297" s="36">
        <f>Crops[[#This Row],[Direct Profit]]*BedsPerAcre</f>
        <v>44106.666666666657</v>
      </c>
      <c r="DS297" s="36">
        <f>Crops[[#This Row],[Direct Profit]]*BedsPerAcre*GrowingDays/Crops[[#This Row],[Days In Field]]</f>
        <v>31504.761904761897</v>
      </c>
      <c r="DT297" s="36">
        <f>Crops[[#This Row],[Direct Profit]]/MIN(Crops[[#This Row],[Days In Field]],GrowingDays)</f>
        <v>1.5314814814814812</v>
      </c>
      <c r="DU297" s="36">
        <f>Crops[[#This Row],[Direct Time]] * BedsPerAcre</f>
        <v>2331.7333333333336</v>
      </c>
      <c r="DV297" s="36">
        <f>(Crops[[#This Row],[Direct Revenue Per Bed2]]-Crops[[#This Row],[Direct Non-Labor Cost]])/Crops[[#This Row],[Direct Time]]</f>
        <v>43.915827996340347</v>
      </c>
      <c r="DW297" s="33">
        <f>IFERROR(Crops[[#This Row],[Custom Yield Per Bed]]*Crops[[#This Row],[Rough Wholesale Price]],"")</f>
        <v>384</v>
      </c>
      <c r="DX297" s="36">
        <f>Crops[[#This Row],[Wholesale Time]]*LaborRate</f>
        <v>352.33333333333337</v>
      </c>
      <c r="DY297" s="36">
        <f>SUM(Crops[[#This Row],[Packaging Costs]:[Irrigation Cost]])</f>
        <v>20.266666666666666</v>
      </c>
      <c r="DZ297" s="36">
        <f>Crops[[#This Row],[Wholesale Labor Cost]]+Crops[[#This Row],[Wholesale Non-Labor Cost]]</f>
        <v>372.6</v>
      </c>
      <c r="EA297" s="36">
        <f>Crops[[#This Row],[Wholesale Revenue Per Bed]]-Crops[[#This Row],[Wholesale Total Cost]]</f>
        <v>11.399999999999977</v>
      </c>
      <c r="EB297" s="36">
        <f>Crops[[#This Row],[Wholesale Profit]]*BedsPerAcre</f>
        <v>1823.9999999999964</v>
      </c>
      <c r="EC297" s="36">
        <f>Crops[[#This Row],[Wholesale Profit]]*BedsPerAcre*GrowingDays/Crops[[#This Row],[Days In Field]]</f>
        <v>1302.8571428571404</v>
      </c>
      <c r="ED297" s="36">
        <f>Crops[[#This Row],[Wholesale Time]] * BedsPerAcre</f>
        <v>2254.9333333333334</v>
      </c>
      <c r="EE297" s="36">
        <f>Crops[[#This Row],[Wholesale Profit]]/MIN(Crops[[#This Row],[Days In Field]],GrowingDays)</f>
        <v>6.3333333333333214E-2</v>
      </c>
      <c r="EF297" s="36">
        <f>(Crops[[#This Row],[Wholesale Revenue Per Bed]]-Crops[[#This Row],[Wholesale Non-Labor Cost]])/Crops[[#This Row],[Direct Time]]</f>
        <v>24.958828911253431</v>
      </c>
      <c r="EG297" s="174">
        <f>Crops[[#This Row],[Packaging Costs]]/Crops[[#This Row],[Wholesale Revenue Per Bed]]</f>
        <v>5.2777777777777778E-2</v>
      </c>
      <c r="EH297" s="36" t="str">
        <f>Crops[[#This Row],[Crop]]&amp;Crops[[#This Row],[Product]]&amp;Crops[[#This Row],[Unit]]</f>
        <v>SpinachMature LeafLb</v>
      </c>
      <c r="EI297" s="36" t="b">
        <f>_xlfn.XLOOKUP(Crops[[#This Row],[ProductIndex]],Products[ID],Products[Target])</f>
        <v>1</v>
      </c>
      <c r="EJ297" s="36">
        <f>Crops[[#This Row],[Custom Yield Per Bed]]</f>
        <v>80</v>
      </c>
      <c r="EK297" s="210">
        <f>Crops[[#This Row],[Units Per Harvest]]/Crops[[#This Row],[Days Between Harvest]]*7</f>
        <v>1.4736842105263157</v>
      </c>
      <c r="EL297" s="210" t="e">
        <f>Crops[[#This Row],[Custom Yield Per Bed]]/_xlfn.XLOOKUP(Crops[[#This Row],[ProductIndex]],Products[ID],Products[CSA Portion])</f>
        <v>#DIV/0!</v>
      </c>
      <c r="EM297" s="210" t="e">
        <f>Crops[[#This Row],[Units Per Harvest]]/Crops[[#This Row],[Days Between Harvest]]*7/_xlfn.XLOOKUP(Crops[[#This Row],[ProductIndex]],Products[ID],Products[CSA Portion])</f>
        <v>#DIV/0!</v>
      </c>
      <c r="EN297" s="210" t="e">
        <f>Crops[[#This Row],[CSA Portions Per Week]]/CSAMembers</f>
        <v>#DIV/0!</v>
      </c>
      <c r="EO297" s="210"/>
      <c r="EP297" s="210"/>
      <c r="EQ297" s="36"/>
      <c r="ER297" s="36">
        <f>Crops[[#This Row],[Harvests]]*Crops[[#This Row],[Days Between Harvest]]/7</f>
        <v>54.285714285714285</v>
      </c>
      <c r="ES297" s="208">
        <f>_xlfn.XLOOKUP(Crops[[#This Row],[ProductIndex]],Products[ID],Products[CSA Need])</f>
        <v>0</v>
      </c>
      <c r="ET297" s="208">
        <f>_xlfn.XLOOKUP(Crops[[#This Row],[ProductIndex]],Products[ID],Products[CSA Times])</f>
        <v>0</v>
      </c>
      <c r="EU297" s="208" t="e">
        <f>Crops[[#This Row],[Custom Yield Per Bed]]/(Crops[[#This Row],[CSA Need]]*(_xlfn.XLOOKUP(Crops[[#This Row],[ProductIndex]],Products[ID],Products[CSA Portion])*CSAMembers))</f>
        <v>#DIV/0!</v>
      </c>
      <c r="EV297" s="208">
        <f>_xlfn.XLOOKUP(Crops[[#This Row],[ProductIndex]],Products[ID],Products[CSA Portion])*CSAMembers*Crops[[#This Row],[CSA Need]]/Crops[[#This Row],[Custom Yield Per Bed]]</f>
        <v>0</v>
      </c>
      <c r="EW297" s="208">
        <f>IFERROR(Crops[[#This Row],[Days In Field]]*Crops[[#This Row],[CSA Beds]],"")</f>
        <v>0</v>
      </c>
      <c r="EX297" s="208" t="e">
        <f>Crops[[#This Row],[CSA Bed Days]]*#REF!</f>
        <v>#REF!</v>
      </c>
      <c r="EY297" t="s">
        <v>1732</v>
      </c>
    </row>
    <row r="298" spans="1:155">
      <c r="A29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(3r) - Mature Leaf 1X | Field TP FaOw</v>
      </c>
      <c r="B298" s="179"/>
      <c r="C298" s="1"/>
      <c r="D298" s="1"/>
      <c r="E298" s="1" t="b">
        <v>0</v>
      </c>
      <c r="F298" s="1" t="b">
        <f>IFERROR(IF(ISNUMBER(MATCH(Crops[[#This Row],[Identifier]],BedPlan[Crop], 0)), TRUE, FALSE), FALSE)</f>
        <v>0</v>
      </c>
      <c r="G298" s="1" t="b">
        <f>IFERROR(IF(ISNUMBER(MATCH(Crops[[#This Row],[Identifier]],BedPlan[Crop], 0)), TRUE, FALSE), FALSE)</f>
        <v>0</v>
      </c>
      <c r="H298" s="1"/>
      <c r="I298" t="s">
        <v>123</v>
      </c>
      <c r="J298" t="s">
        <v>3286</v>
      </c>
      <c r="K298" t="s">
        <v>179</v>
      </c>
      <c r="M298" t="s">
        <v>441</v>
      </c>
      <c r="N298" t="str">
        <f>Crops[[#This Row],[Crop]]</f>
        <v>Spinach</v>
      </c>
      <c r="O298" t="s">
        <v>210</v>
      </c>
      <c r="P298" t="str">
        <f>IF(OR(Crops[[#This Row],[Days in Cells]]="",Crops[[#This Row],[Days in Cells]]=0), "DS","TP")</f>
        <v>TP</v>
      </c>
      <c r="S298" t="b">
        <v>1</v>
      </c>
      <c r="U298" t="s">
        <v>144</v>
      </c>
      <c r="V298" t="str">
        <f xml:space="preserve"> IF(Crops[[#This Row],[Sp]], "Sp", "") &amp; IF(Crops[[#This Row],[Su]], "Su", "") &amp; IF(Crops[[#This Row],[Fa]], "Fa", "") &amp; IF(Crops[[#This Row],[Wi]], "Wi", "") &amp; IF(Crops[[#This Row],[OW]], "Ow","")</f>
        <v>FaOw</v>
      </c>
      <c r="W298" t="b">
        <v>1</v>
      </c>
      <c r="X298">
        <v>3</v>
      </c>
      <c r="Y298">
        <v>12</v>
      </c>
      <c r="AA298" t="s">
        <v>474</v>
      </c>
      <c r="AB298" t="b">
        <v>1</v>
      </c>
      <c r="AC298">
        <v>1</v>
      </c>
      <c r="AD298" s="32">
        <f>IFERROR(12/Crops[[#This Row],[Spacing]]*Crops[[#This Row],[Rows]]*BedLength,"")</f>
        <v>150</v>
      </c>
      <c r="AE298">
        <v>1</v>
      </c>
      <c r="AG298">
        <f>IF(Crops[[#This Row],[Custom Safety Factor]]="",PlantingSafetyFactor,Crops[[#This Row],[Custom Safety Factor]])</f>
        <v>1.3</v>
      </c>
      <c r="AH298">
        <f>1</f>
        <v>1</v>
      </c>
      <c r="AI298" s="33">
        <f>IFERROR(Crops[[#This Row],[Plantings Per Bed]]*Crops[[#This Row],[Seeds Per Planting]]*Crops[[#This Row],[Safety Factor]]*Crops[[#This Row],[Seeding Factor]],"")</f>
        <v>195</v>
      </c>
      <c r="AL298">
        <f>_xlfn.FLOOR.MATH(IFERROR(AVERAGE(Crops[[#This Row],[DTG Lower]:[DTG Upper]]),0))</f>
        <v>0</v>
      </c>
      <c r="AM298">
        <f>SUM(Crops[[#This Row],[Tray 1 Days]],Crops[[#This Row],[Tray 2 Days]],Crops[[#This Row],[Tray 3 Days]])</f>
        <v>21</v>
      </c>
      <c r="AN298" s="32">
        <v>21</v>
      </c>
      <c r="AP298">
        <v>55</v>
      </c>
      <c r="AQ298">
        <f>IFERROR(_xlfn.FLOOR.MATH(AVERAGE(Crops[[#This Row],[DTM Lower]:[DTM Upper]])),"")</f>
        <v>55</v>
      </c>
      <c r="AR298" cm="1">
        <f t="array" ref="AR298">_xlfn.SWITCH(Crops[[#This Row],[Normal Method]],"DS",Crops[[#This Row],[Days to Germination]]+Crops[[#This Row],[DTM]] + IF(Crops[[#This Row],[Days in Cells]]&gt;0,15,0), "TP",Crops[[#This Row],[DTM]]+Crops[[#This Row],[Days in Cells]] + IF(Crops[[#This Row],[Days in Cells]]&lt;=0,20,0), "X", Crops[[#This Row],[DTM]])</f>
        <v>55</v>
      </c>
      <c r="AS298" t="s">
        <v>347</v>
      </c>
      <c r="AT298">
        <f>(Crops[[#This Row],[Harvests]]-1)*Crops[[#This Row],[Days Between Harvest]]+7</f>
        <v>197</v>
      </c>
      <c r="AU298">
        <f>Crops[[#This Row],[STH]]-Crops[[#This Row],[Days in Cells]]+Crops[[#This Row],[Harvest window]]</f>
        <v>231</v>
      </c>
      <c r="AW298">
        <v>128</v>
      </c>
      <c r="AX298">
        <v>128</v>
      </c>
      <c r="AY298">
        <v>21</v>
      </c>
      <c r="AZ298" s="49">
        <f>IFERROR(IF(Crops[[#This Row],[Tray 1 Days]]=0,"",Crops[[#This Row],[Plantings Per Bed]]/Crops[[#This Row],[Tray 1 Size]]*Crops[[#This Row],[Safety Factor]]),"")</f>
        <v>1.5234375</v>
      </c>
      <c r="BC298" t="str">
        <f>IFERROR(IF(Crops[[#This Row],[Tray 2 Days]]=0,"",Crops[[#This Row],[Plantings Per Bed]]/Crops[[#This Row],[Tray 2 Size]]*Crops[[#This Row],[Safety Factor]]),"")</f>
        <v/>
      </c>
      <c r="BE298" s="32" t="str">
        <f>IF(NOT(ISBLANK(Crops[[#This Row],[Tray 3 Size]])), Crops[[#This Row],[Days in Cells Old]]-SUM(Crops[[#This Row],[Tray 1 Days]],Crops[[#This Row],[Tray 2 Days]]), "")</f>
        <v/>
      </c>
      <c r="BF298" s="49" t="str">
        <f>IFERROR(IF(Crops[[#This Row],[Tray 3 Days]]=0,"",Crops[[#This Row],[Plantings Per Bed]]/Crops[[#This Row],[Tray 3 Size]]*Crops[[#This Row],[Safety Factor]]),"")</f>
        <v/>
      </c>
      <c r="BG298" s="33">
        <f>80*BedLength/StandardBedLength</f>
        <v>40</v>
      </c>
      <c r="BH298" s="33">
        <v>2</v>
      </c>
      <c r="BI298" s="33">
        <v>190</v>
      </c>
      <c r="BJ298" s="33">
        <f>_xlfn.XLOOKUP(Crops[[#This Row],[ProductIndex]],Products[ID],Products[Holding Period])</f>
        <v>0</v>
      </c>
      <c r="BK298" s="33"/>
      <c r="BL298" s="33">
        <f>Crops[[#This Row],[Units Per Harvest]]*Crops[[#This Row],[Harvests]]</f>
        <v>80</v>
      </c>
      <c r="BM298" s="35">
        <v>8</v>
      </c>
      <c r="BN298" s="35">
        <f>Crops[[#This Row],[Direct Price]]*0.6</f>
        <v>4.8</v>
      </c>
      <c r="BO298" s="35"/>
      <c r="BP298" t="s">
        <v>383</v>
      </c>
      <c r="BQ298" s="193">
        <f>Crops[[#This Row],[Custom Yield Per Bed]]*Crops[[#This Row],[Direct Price]]</f>
        <v>640</v>
      </c>
      <c r="BR298" s="193" t="b">
        <v>0</v>
      </c>
      <c r="BS298" t="b">
        <f>Crops[[#This Row],[Harvests]]&gt;1</f>
        <v>1</v>
      </c>
      <c r="BT298" s="36">
        <f>IFERROR(Crops[[#This Row],[Direct Revenue Per Bed]]/Crops[[#This Row],[Days In Field]],-1)</f>
        <v>2.7705627705627704</v>
      </c>
      <c r="BU298" s="36">
        <f>IFERROR(Crops[[#This Row],[Direct Revenue Per Bed Day]]*GrowingDays*BedsPerAcre,"")</f>
        <v>79792.207792207788</v>
      </c>
      <c r="BV298" s="38">
        <f>LastFrostDate-5*Crops[[#This Row],[Sewing Rel Last Frost]]</f>
        <v>45828</v>
      </c>
      <c r="BW298" s="38">
        <f>Crops[[#This Row],[Target Sewing Date]]+Crops[[#This Row],[Days in Cells]]</f>
        <v>45849</v>
      </c>
      <c r="BX298" s="38">
        <f>Crops[[#This Row],[Target Sewing Date]]+Crops[[#This Row],[STH]]</f>
        <v>45883</v>
      </c>
      <c r="BY298" s="38">
        <f>Crops[[#This Row],[Target Harvest Data]]+Crops[[#This Row],[Harvest window]]</f>
        <v>46080</v>
      </c>
      <c r="BZ298">
        <v>-16</v>
      </c>
      <c r="CA298" t="s">
        <v>373</v>
      </c>
      <c r="CB298">
        <f>1</f>
        <v>1</v>
      </c>
      <c r="CC298">
        <f>IF(Crops[[#This Row],[Transplanting]]&gt;0, 2, 3)*BedLength/StandardBedLength</f>
        <v>1</v>
      </c>
      <c r="CD298" s="173">
        <f>IF(Crops[[#This Row],[Days in Cells]]&lt;=0,0,Crops[[#This Row],[Plantings Per Bed]]/StartsPerHourSeeding+Crops[[#This Row],[Tray 1 Count]]*5/60)</f>
        <v>0.712890625</v>
      </c>
      <c r="CE298" s="173">
        <f>IF(ISBLANK(Crops[[#This Row],[Tray 2 Days]]),0,Crops[[#This Row],[Plantings Per Bed]]/UpPottingPerHour)+IF(Crops[[#This Row],[Tray 3 Days]]="",0,Crops[[#This Row],[Plantings Per Bed]]/UpPottingPerHour)</f>
        <v>0</v>
      </c>
      <c r="CF298" s="173">
        <f>IFERROR(Crops[[#This Row],[Tray 1 Count]]/HomeStartFlatIrrigationPerHour,0)*Crops[[#This Row],[Days in Cells]]/DaysBetweenStartIrrigation</f>
        <v>0.13330078125</v>
      </c>
      <c r="CG298" s="173">
        <f>0.5/16*MAX(Crops[[#This Row],[Tray 1 Count]],Crops[[#This Row],[Tray 2 Count]],Crops[[#This Row],[Tray 3 Count]])</f>
        <v>4.7607421875E-2</v>
      </c>
      <c r="CH298" s="173">
        <f>IF(Crops[[#This Row],[Days in Cells]]&gt;0,IF(IF(Crops[[#This Row],[Tray 3 Size]]&gt;0,Crops[[#This Row],[Tray 3 Size]],IF(Crops[[#This Row],[Tray 2 Size]]&gt;0,Crops[[#This Row],[Tray 2 Size]],Crops[[#This Row],[Tray 1 Size]]))&lt;=18,LargeTransplantTime,SmallTransplantTime)*Crops[[#This Row],[Plantings Per Bed]],0)</f>
        <v>0.75</v>
      </c>
      <c r="CI298" s="173"/>
      <c r="CJ298" s="173">
        <f>_xlfn.XLOOKUP(Crops[[#This Row],[Trellis Type]],TrellisMethods[Trellis Type],TrellisMethods[Hours],0,0)</f>
        <v>0</v>
      </c>
      <c r="CK298">
        <f>IF(Crops[[#This Row],[Days in Cells]]&lt;=0,Crops[[#This Row],[Rows]]*1/10,0)*BedLength/50</f>
        <v>0</v>
      </c>
      <c r="CL298" cm="1">
        <f t="array" ref="CL298">_xlfn.SWITCH(Crops[[#This Row],[Irrigation]],"DR", 0.5, "OH", 0.25,0)*BedLength/50</f>
        <v>0</v>
      </c>
      <c r="CM298">
        <f>IF(OR(ISBLANK(Crops[[#This Row],[Row Cover]]),Crops[[#This Row],[Row Cover]]="None"),0,1)*BedLength/50</f>
        <v>0</v>
      </c>
      <c r="CN298" s="173">
        <f>HoursPerWeedingPass*Crops[[#This Row],[Days In Field]]/14*Crops[[#This Row],[Rows]]+1*BedLength/50</f>
        <v>9.25</v>
      </c>
      <c r="CQ298" s="37">
        <f>_xlfn.XLOOKUP(Crops[[#This Row],[Crop]]&amp;Crops[[#This Row],[Product]]&amp;Crops[[#This Row],[Unit]],Products[ID],Products[Marketing (hr)])*Crops[[#This Row],[Direct Revenue Per Bed]]/2000</f>
        <v>0.64</v>
      </c>
      <c r="CR298" s="37">
        <f>_xlfn.XLOOKUP(Crops[[#This Row],[Crop]]&amp;Crops[[#This Row],[Product]]&amp;Crops[[#This Row],[Unit]],Products[ID],Products[Harvest (s)])*Crops[[#This Row],[Custom Yield Per Bed]]/3600</f>
        <v>1.6</v>
      </c>
      <c r="CS298" s="37">
        <f>_xlfn.XLOOKUP(Crops[[#This Row],[Crop]]&amp;Crops[[#This Row],[Product]]&amp;Crops[[#This Row],[Unit]],Products[ID],Products[Bunch (s)])*Crops[[#This Row],[Custom Yield Per Bed]]/3600</f>
        <v>0</v>
      </c>
      <c r="CT298" s="37">
        <f>_xlfn.XLOOKUP(Crops[[#This Row],[Crop]]&amp;Crops[[#This Row],[Product]]&amp;Crops[[#This Row],[Unit]],Products[ID],Products[Haul (s)])*Crops[[#This Row],[Custom Yield Per Bed]]/3600</f>
        <v>0.13333333333333333</v>
      </c>
      <c r="CU298" s="37">
        <f>_xlfn.XLOOKUP(Crops[[#This Row],[Crop]]&amp;Crops[[#This Row],[Product]]&amp;Crops[[#This Row],[Unit]],Products[ID],Products[Wash (s)])*Crops[[#This Row],[Custom Yield Per Bed]]/3600</f>
        <v>0</v>
      </c>
      <c r="CV298" s="37">
        <f>_xlfn.XLOOKUP(Crops[[#This Row],[Crop]]&amp;Crops[[#This Row],[Product]]&amp;Crops[[#This Row],[Unit]],Products[ID],Products[Condition (s)])*Crops[[#This Row],[Custom Yield Per Bed]]/3600</f>
        <v>0</v>
      </c>
      <c r="CW298" s="37">
        <f>_xlfn.XLOOKUP(Crops[[#This Row],[Crop]]&amp;Crops[[#This Row],[Product]]&amp;Crops[[#This Row],[Unit]],Products[ID],Products[Trim (s)])*Crops[[#This Row],[Custom Yield Per Bed]]/3600</f>
        <v>0</v>
      </c>
      <c r="CX298" s="37">
        <f>_xlfn.XLOOKUP(Crops[[#This Row],[Crop]]&amp;Crops[[#This Row],[Product]]&amp;Crops[[#This Row],[Unit]],Products[ID],Products[Pack (s)])*Crops[[#This Row],[Custom Yield Per Bed]]/3600</f>
        <v>6.6666666666666666E-2</v>
      </c>
      <c r="CY298" s="37">
        <f>_xlfn.XLOOKUP(Crops[[#This Row],[Crop]]&amp;Crops[[#This Row],[Product]]&amp;Crops[[#This Row],[Unit]],Products[ID],Products[Clean (s)])*Crops[[#This Row],[Custom Yield Per Bed]]/3600</f>
        <v>0</v>
      </c>
      <c r="CZ298" s="37">
        <f>_xlfn.XLOOKUP(Crops[[#This Row],[Crop]]&amp;Crops[[#This Row],[Product]]&amp;Crops[[#This Row],[Unit]],Products[ID],Products[Rehandle (s)])*Crops[[#This Row],[Custom Yield Per Bed]]/3600</f>
        <v>0</v>
      </c>
      <c r="DA298" s="37">
        <f>_xlfn.XLOOKUP(Crops[[#This Row],[Crop]]&amp;Crops[[#This Row],[Product]]&amp;Crops[[#This Row],[Unit]],Products[ID],Products[Market Transport (s)])*Crops[[#This Row],[Custom Yield Per Bed]]/3600</f>
        <v>0.33333333333333331</v>
      </c>
      <c r="DC298" s="37">
        <f>Crops[[#This Row],[Direct Revenue Per Bed2]]</f>
        <v>640</v>
      </c>
      <c r="DD298" s="173">
        <f>_xlfn.AGGREGATE(9,6,Crops[[#This Row],[Bed Prep]:[Remove Crop Residue]])</f>
        <v>14.667132161458333</v>
      </c>
      <c r="DE298" s="173">
        <f>_xlfn.AGGREGATE(9,6,Crops[[#This Row],[Bed Prep]:[Remove Crop Residue]])-0.75*Crops[[#This Row],[Market &amp; Sell]]</f>
        <v>14.187132161458333</v>
      </c>
      <c r="DF298" s="36">
        <f>Crops[[#This Row],[Direct Revenue Per Bed2]]/Crops[[#This Row],[Direct Time]]</f>
        <v>43.634978737136137</v>
      </c>
      <c r="DG298" s="36">
        <f>_xlfn.XLOOKUP(Crops[[#This Row],[ProductIndex]],Products[ID],Products[Packaging Cost])*(Crops[[#This Row],[Custom Yield Per Bed]]/_xlfn.XLOOKUP(Crops[[#This Row],[ProductIndex]],Products[ID],Products[Units Per Pack]))</f>
        <v>20.266666666666666</v>
      </c>
      <c r="DH298" s="36"/>
      <c r="DI298" s="36"/>
      <c r="DJ298" s="36"/>
      <c r="DK298" s="36"/>
      <c r="DL298" s="36"/>
      <c r="DM298" s="33">
        <f>IFERROR(Crops[[#This Row],[Custom Yield Per Bed]]*Crops[[#This Row],[Direct Price]],"")</f>
        <v>640</v>
      </c>
      <c r="DN298" s="36">
        <f>Crops[[#This Row],[Direct Time]]*LaborRate</f>
        <v>366.67830403645831</v>
      </c>
      <c r="DO298" s="36">
        <f>SUM(Crops[[#This Row],[Irrigation Cost]])</f>
        <v>0</v>
      </c>
      <c r="DP298" s="36">
        <f>Crops[[#This Row],[Direct Labor Cost]]+Crops[[#This Row],[Direct Non-Labor Cost]]</f>
        <v>366.67830403645831</v>
      </c>
      <c r="DQ298" s="36">
        <f>Crops[[#This Row],[Direct Revenue Per Bed2]]-Crops[[#This Row],[Direct Total Cost]]</f>
        <v>273.32169596354169</v>
      </c>
      <c r="DR298" s="36">
        <f>Crops[[#This Row],[Direct Profit]]*BedsPerAcre</f>
        <v>43731.471354166672</v>
      </c>
      <c r="DS298" s="36">
        <f>Crops[[#This Row],[Direct Profit]]*BedsPerAcre*GrowingDays/Crops[[#This Row],[Days In Field]]</f>
        <v>34076.47118506494</v>
      </c>
      <c r="DT298" s="36">
        <f>Crops[[#This Row],[Direct Profit]]/MIN(Crops[[#This Row],[Days In Field]],GrowingDays)</f>
        <v>1.5184538664641205</v>
      </c>
      <c r="DU298" s="36">
        <f>Crops[[#This Row],[Direct Time]] * BedsPerAcre</f>
        <v>2346.7411458333336</v>
      </c>
      <c r="DV298" s="36">
        <f>(Crops[[#This Row],[Direct Revenue Per Bed2]]-Crops[[#This Row],[Direct Non-Labor Cost]])/Crops[[#This Row],[Direct Time]]</f>
        <v>43.634978737136137</v>
      </c>
      <c r="DW298" s="33">
        <f>IFERROR(Crops[[#This Row],[Custom Yield Per Bed]]*Crops[[#This Row],[Rough Wholesale Price]],"")</f>
        <v>384</v>
      </c>
      <c r="DX298" s="36">
        <f>Crops[[#This Row],[Wholesale Time]]*LaborRate</f>
        <v>354.67830403645831</v>
      </c>
      <c r="DY298" s="36">
        <f>SUM(Crops[[#This Row],[Packaging Costs]:[Irrigation Cost]])</f>
        <v>20.266666666666666</v>
      </c>
      <c r="DZ298" s="36">
        <f>Crops[[#This Row],[Wholesale Labor Cost]]+Crops[[#This Row],[Wholesale Non-Labor Cost]]</f>
        <v>374.94497070312497</v>
      </c>
      <c r="EA298" s="36">
        <f>Crops[[#This Row],[Wholesale Revenue Per Bed]]-Crops[[#This Row],[Wholesale Total Cost]]</f>
        <v>9.0550292968750341</v>
      </c>
      <c r="EB298" s="36">
        <f>Crops[[#This Row],[Wholesale Profit]]*BedsPerAcre</f>
        <v>1448.8046875000055</v>
      </c>
      <c r="EC298" s="36">
        <f>Crops[[#This Row],[Wholesale Profit]]*BedsPerAcre*GrowingDays/Crops[[#This Row],[Days In Field]]</f>
        <v>1128.9387175324719</v>
      </c>
      <c r="ED298" s="36">
        <f>Crops[[#This Row],[Wholesale Time]] * BedsPerAcre</f>
        <v>2269.9411458333334</v>
      </c>
      <c r="EE298" s="36">
        <f>Crops[[#This Row],[Wholesale Profit]]/MIN(Crops[[#This Row],[Days In Field]],GrowingDays)</f>
        <v>5.0305718315972414E-2</v>
      </c>
      <c r="EF298" s="36">
        <f>(Crops[[#This Row],[Wholesale Revenue Per Bed]]-Crops[[#This Row],[Wholesale Non-Labor Cost]])/Crops[[#This Row],[Direct Time]]</f>
        <v>24.799212915605708</v>
      </c>
      <c r="EG298" s="174">
        <f>Crops[[#This Row],[Packaging Costs]]/Crops[[#This Row],[Wholesale Revenue Per Bed]]</f>
        <v>5.2777777777777778E-2</v>
      </c>
      <c r="EH298" s="36" t="str">
        <f>Crops[[#This Row],[Crop]]&amp;Crops[[#This Row],[Product]]&amp;Crops[[#This Row],[Unit]]</f>
        <v>SpinachMature LeafLb</v>
      </c>
      <c r="EI298" s="36" t="b">
        <f>_xlfn.XLOOKUP(Crops[[#This Row],[ProductIndex]],Products[ID],Products[Target])</f>
        <v>1</v>
      </c>
      <c r="EJ298" s="36">
        <f>Crops[[#This Row],[Custom Yield Per Bed]]</f>
        <v>80</v>
      </c>
      <c r="EK298" s="210">
        <f>Crops[[#This Row],[Units Per Harvest]]/Crops[[#This Row],[Days Between Harvest]]*7</f>
        <v>1.4736842105263157</v>
      </c>
      <c r="EL298" s="210" t="e">
        <f>Crops[[#This Row],[Custom Yield Per Bed]]/_xlfn.XLOOKUP(Crops[[#This Row],[ProductIndex]],Products[ID],Products[CSA Portion])</f>
        <v>#DIV/0!</v>
      </c>
      <c r="EM298" s="210" t="e">
        <f>Crops[[#This Row],[Units Per Harvest]]/Crops[[#This Row],[Days Between Harvest]]*7/_xlfn.XLOOKUP(Crops[[#This Row],[ProductIndex]],Products[ID],Products[CSA Portion])</f>
        <v>#DIV/0!</v>
      </c>
      <c r="EN298" s="210" t="e">
        <f>Crops[[#This Row],[CSA Portions Per Week]]/CSAMembers</f>
        <v>#DIV/0!</v>
      </c>
      <c r="EO298" s="210"/>
      <c r="EP298" s="210"/>
      <c r="EQ298" s="36"/>
      <c r="ER298" s="36">
        <f>Crops[[#This Row],[Harvests]]*Crops[[#This Row],[Days Between Harvest]]/7</f>
        <v>54.285714285714285</v>
      </c>
      <c r="ES298" s="208">
        <f>_xlfn.XLOOKUP(Crops[[#This Row],[ProductIndex]],Products[ID],Products[CSA Need])</f>
        <v>0</v>
      </c>
      <c r="ET298" s="208">
        <f>_xlfn.XLOOKUP(Crops[[#This Row],[ProductIndex]],Products[ID],Products[CSA Times])</f>
        <v>0</v>
      </c>
      <c r="EU298" s="208" t="e">
        <f>Crops[[#This Row],[Custom Yield Per Bed]]/(Crops[[#This Row],[CSA Need]]*(_xlfn.XLOOKUP(Crops[[#This Row],[ProductIndex]],Products[ID],Products[CSA Portion])*CSAMembers))</f>
        <v>#DIV/0!</v>
      </c>
      <c r="EV298" s="208">
        <f>_xlfn.XLOOKUP(Crops[[#This Row],[ProductIndex]],Products[ID],Products[CSA Portion])*CSAMembers*Crops[[#This Row],[CSA Need]]/Crops[[#This Row],[Custom Yield Per Bed]]</f>
        <v>0</v>
      </c>
      <c r="EW298" s="208">
        <f>IFERROR(Crops[[#This Row],[Days In Field]]*Crops[[#This Row],[CSA Beds]],"")</f>
        <v>0</v>
      </c>
      <c r="EX298" s="208" t="e">
        <f>Crops[[#This Row],[CSA Bed Days]]*#REF!</f>
        <v>#REF!</v>
      </c>
      <c r="EY298" t="s">
        <v>340</v>
      </c>
    </row>
    <row r="299" spans="1:155">
      <c r="A29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(4r) - Mature Leaf 1X | Field TP FaOw</v>
      </c>
      <c r="B299" s="179"/>
      <c r="C299" s="1"/>
      <c r="D299" s="1"/>
      <c r="E299" s="1" t="b">
        <v>0</v>
      </c>
      <c r="F299" s="1" t="b">
        <f>IFERROR(IF(ISNUMBER(MATCH(Crops[[#This Row],[Identifier]],BedPlan[Crop], 0)), TRUE, FALSE), FALSE)</f>
        <v>0</v>
      </c>
      <c r="G299" s="1" t="b">
        <f>IFERROR(IF(ISNUMBER(MATCH(Crops[[#This Row],[Identifier]],BedPlan[Crop], 0)), TRUE, FALSE), FALSE)</f>
        <v>0</v>
      </c>
      <c r="H299" s="1"/>
      <c r="I299" t="s">
        <v>123</v>
      </c>
      <c r="J299" t="s">
        <v>2949</v>
      </c>
      <c r="K299" t="s">
        <v>179</v>
      </c>
      <c r="M299" t="s">
        <v>441</v>
      </c>
      <c r="N299" t="str">
        <f>Crops[[#This Row],[Crop]]</f>
        <v>Spinach</v>
      </c>
      <c r="O299" t="s">
        <v>210</v>
      </c>
      <c r="P299" t="str">
        <f>IF(OR(Crops[[#This Row],[Days in Cells]]="",Crops[[#This Row],[Days in Cells]]=0), "DS","TP")</f>
        <v>TP</v>
      </c>
      <c r="S299" t="b">
        <v>1</v>
      </c>
      <c r="U299" t="s">
        <v>144</v>
      </c>
      <c r="V299" t="str">
        <f xml:space="preserve"> IF(Crops[[#This Row],[Sp]], "Sp", "") &amp; IF(Crops[[#This Row],[Su]], "Su", "") &amp; IF(Crops[[#This Row],[Fa]], "Fa", "") &amp; IF(Crops[[#This Row],[Wi]], "Wi", "") &amp; IF(Crops[[#This Row],[OW]], "Ow","")</f>
        <v>FaOw</v>
      </c>
      <c r="W299" t="b">
        <v>1</v>
      </c>
      <c r="X299">
        <v>4</v>
      </c>
      <c r="Y299">
        <v>9</v>
      </c>
      <c r="AA299" t="s">
        <v>474</v>
      </c>
      <c r="AB299" t="b">
        <v>1</v>
      </c>
      <c r="AC299">
        <v>1</v>
      </c>
      <c r="AD299" s="32">
        <f>IFERROR(12/Crops[[#This Row],[Spacing]]*Crops[[#This Row],[Rows]]*BedLength,"")</f>
        <v>266.66666666666663</v>
      </c>
      <c r="AE299">
        <v>1</v>
      </c>
      <c r="AG299">
        <f>IF(Crops[[#This Row],[Custom Safety Factor]]="",PlantingSafetyFactor,Crops[[#This Row],[Custom Safety Factor]])</f>
        <v>1.3</v>
      </c>
      <c r="AH299">
        <f>1</f>
        <v>1</v>
      </c>
      <c r="AI299" s="33">
        <f>IFERROR(Crops[[#This Row],[Plantings Per Bed]]*Crops[[#This Row],[Seeds Per Planting]]*Crops[[#This Row],[Safety Factor]]*Crops[[#This Row],[Seeding Factor]],"")</f>
        <v>346.66666666666663</v>
      </c>
      <c r="AL299">
        <f>_xlfn.FLOOR.MATH(IFERROR(AVERAGE(Crops[[#This Row],[DTG Lower]:[DTG Upper]]),0))</f>
        <v>0</v>
      </c>
      <c r="AM299">
        <f>SUM(Crops[[#This Row],[Tray 1 Days]],Crops[[#This Row],[Tray 2 Days]],Crops[[#This Row],[Tray 3 Days]])</f>
        <v>21</v>
      </c>
      <c r="AN299" s="32">
        <v>21</v>
      </c>
      <c r="AP299">
        <v>55</v>
      </c>
      <c r="AQ299">
        <f>IFERROR(_xlfn.FLOOR.MATH(AVERAGE(Crops[[#This Row],[DTM Lower]:[DTM Upper]])),"")</f>
        <v>55</v>
      </c>
      <c r="AR299" cm="1">
        <f t="array" ref="AR299">_xlfn.SWITCH(Crops[[#This Row],[Normal Method]],"DS",Crops[[#This Row],[Days to Germination]]+Crops[[#This Row],[DTM]] + IF(Crops[[#This Row],[Days in Cells]]&gt;0,15,0), "TP",Crops[[#This Row],[DTM]]+Crops[[#This Row],[Days in Cells]] + IF(Crops[[#This Row],[Days in Cells]]&lt;=0,20,0), "X", Crops[[#This Row],[DTM]])</f>
        <v>55</v>
      </c>
      <c r="AS299" t="s">
        <v>347</v>
      </c>
      <c r="AT299">
        <f>(Crops[[#This Row],[Harvests]]-1)*Crops[[#This Row],[Days Between Harvest]]+7</f>
        <v>197</v>
      </c>
      <c r="AU299">
        <f>Crops[[#This Row],[STH]]-Crops[[#This Row],[Days in Cells]]+Crops[[#This Row],[Harvest window]]</f>
        <v>231</v>
      </c>
      <c r="AW299">
        <v>128</v>
      </c>
      <c r="AX299">
        <v>128</v>
      </c>
      <c r="AY299">
        <v>21</v>
      </c>
      <c r="AZ299" s="49">
        <f>IFERROR(IF(Crops[[#This Row],[Tray 1 Days]]=0,"",Crops[[#This Row],[Plantings Per Bed]]/Crops[[#This Row],[Tray 1 Size]]*Crops[[#This Row],[Safety Factor]]),"")</f>
        <v>2.708333333333333</v>
      </c>
      <c r="BC299" t="str">
        <f>IFERROR(IF(Crops[[#This Row],[Tray 2 Days]]=0,"",Crops[[#This Row],[Plantings Per Bed]]/Crops[[#This Row],[Tray 2 Size]]*Crops[[#This Row],[Safety Factor]]),"")</f>
        <v/>
      </c>
      <c r="BE299" s="32" t="str">
        <f>IF(NOT(ISBLANK(Crops[[#This Row],[Tray 3 Size]])), Crops[[#This Row],[Days in Cells Old]]-SUM(Crops[[#This Row],[Tray 1 Days]],Crops[[#This Row],[Tray 2 Days]]), "")</f>
        <v/>
      </c>
      <c r="BF299" s="49" t="str">
        <f>IFERROR(IF(Crops[[#This Row],[Tray 3 Days]]=0,"",Crops[[#This Row],[Plantings Per Bed]]/Crops[[#This Row],[Tray 3 Size]]*Crops[[#This Row],[Safety Factor]]),"")</f>
        <v/>
      </c>
      <c r="BG299" s="33">
        <f>80*BedLength/StandardBedLength</f>
        <v>40</v>
      </c>
      <c r="BH299" s="33">
        <v>2</v>
      </c>
      <c r="BI299" s="33">
        <v>190</v>
      </c>
      <c r="BJ299" s="33">
        <f>_xlfn.XLOOKUP(Crops[[#This Row],[ProductIndex]],Products[ID],Products[Holding Period])</f>
        <v>0</v>
      </c>
      <c r="BK299" s="33"/>
      <c r="BL299" s="33">
        <f>Crops[[#This Row],[Units Per Harvest]]*Crops[[#This Row],[Harvests]]</f>
        <v>80</v>
      </c>
      <c r="BM299" s="35">
        <v>8</v>
      </c>
      <c r="BN299" s="35">
        <f>Crops[[#This Row],[Direct Price]]*0.6</f>
        <v>4.8</v>
      </c>
      <c r="BO299" s="35"/>
      <c r="BP299" t="s">
        <v>383</v>
      </c>
      <c r="BQ299" s="193">
        <f>Crops[[#This Row],[Custom Yield Per Bed]]*Crops[[#This Row],[Direct Price]]</f>
        <v>640</v>
      </c>
      <c r="BR299" s="193" t="b">
        <v>0</v>
      </c>
      <c r="BS299" t="b">
        <f>Crops[[#This Row],[Harvests]]&gt;1</f>
        <v>1</v>
      </c>
      <c r="BT299" s="36">
        <f>IFERROR(Crops[[#This Row],[Direct Revenue Per Bed]]/Crops[[#This Row],[Days In Field]],-1)</f>
        <v>2.7705627705627704</v>
      </c>
      <c r="BU299" s="36">
        <f>IFERROR(Crops[[#This Row],[Direct Revenue Per Bed Day]]*GrowingDays*BedsPerAcre,"")</f>
        <v>79792.207792207788</v>
      </c>
      <c r="BV299" s="38">
        <f>LastFrostDate-5*Crops[[#This Row],[Sewing Rel Last Frost]]</f>
        <v>45828</v>
      </c>
      <c r="BW299" s="38">
        <f>Crops[[#This Row],[Target Sewing Date]]+Crops[[#This Row],[Days in Cells]]</f>
        <v>45849</v>
      </c>
      <c r="BX299" s="38">
        <f>Crops[[#This Row],[Target Sewing Date]]+Crops[[#This Row],[STH]]</f>
        <v>45883</v>
      </c>
      <c r="BY299" s="38">
        <f>Crops[[#This Row],[Target Harvest Data]]+Crops[[#This Row],[Harvest window]]</f>
        <v>46080</v>
      </c>
      <c r="BZ299">
        <v>-16</v>
      </c>
      <c r="CA299" t="s">
        <v>373</v>
      </c>
      <c r="CB299">
        <f>1</f>
        <v>1</v>
      </c>
      <c r="CC299">
        <f>IF(Crops[[#This Row],[Transplanting]]&gt;0, 2, 3)*BedLength/StandardBedLength</f>
        <v>1</v>
      </c>
      <c r="CD299" s="173">
        <f>IF(Crops[[#This Row],[Days in Cells]]&lt;=0,0,Crops[[#This Row],[Plantings Per Bed]]/StartsPerHourSeeding+Crops[[#This Row],[Tray 1 Count]]*5/60)</f>
        <v>1.2673611111111109</v>
      </c>
      <c r="CE299" s="173">
        <f>IF(ISBLANK(Crops[[#This Row],[Tray 2 Days]]),0,Crops[[#This Row],[Plantings Per Bed]]/UpPottingPerHour)+IF(Crops[[#This Row],[Tray 3 Days]]="",0,Crops[[#This Row],[Plantings Per Bed]]/UpPottingPerHour)</f>
        <v>0</v>
      </c>
      <c r="CF299" s="173">
        <f>IFERROR(Crops[[#This Row],[Tray 1 Count]]/HomeStartFlatIrrigationPerHour,0)*Crops[[#This Row],[Days in Cells]]/DaysBetweenStartIrrigation</f>
        <v>0.23697916666666663</v>
      </c>
      <c r="CG299" s="173">
        <f>0.5/16*MAX(Crops[[#This Row],[Tray 1 Count]],Crops[[#This Row],[Tray 2 Count]],Crops[[#This Row],[Tray 3 Count]])</f>
        <v>8.4635416666666657E-2</v>
      </c>
      <c r="CH299" s="173">
        <f>IF(Crops[[#This Row],[Days in Cells]]&gt;0,IF(IF(Crops[[#This Row],[Tray 3 Size]]&gt;0,Crops[[#This Row],[Tray 3 Size]],IF(Crops[[#This Row],[Tray 2 Size]]&gt;0,Crops[[#This Row],[Tray 2 Size]],Crops[[#This Row],[Tray 1 Size]]))&lt;=18,LargeTransplantTime,SmallTransplantTime)*Crops[[#This Row],[Plantings Per Bed]],0)</f>
        <v>1.3333333333333333</v>
      </c>
      <c r="CI299" s="173"/>
      <c r="CJ299" s="173">
        <f>_xlfn.XLOOKUP(Crops[[#This Row],[Trellis Type]],TrellisMethods[Trellis Type],TrellisMethods[Hours],0,0)</f>
        <v>0</v>
      </c>
      <c r="CK299">
        <f>IF(Crops[[#This Row],[Days in Cells]]&lt;=0,Crops[[#This Row],[Rows]]*1/10,0)*BedLength/50</f>
        <v>0</v>
      </c>
      <c r="CL299" cm="1">
        <f t="array" ref="CL299">_xlfn.SWITCH(Crops[[#This Row],[Irrigation]],"DR", 0.5, "OH", 0.25,0)*BedLength/50</f>
        <v>0</v>
      </c>
      <c r="CM299">
        <f>IF(OR(ISBLANK(Crops[[#This Row],[Row Cover]]),Crops[[#This Row],[Row Cover]]="None"),0,1)*BedLength/50</f>
        <v>0</v>
      </c>
      <c r="CN299" s="173">
        <f>HoursPerWeedingPass*Crops[[#This Row],[Days In Field]]/14*Crops[[#This Row],[Rows]]+1*BedLength/50</f>
        <v>12</v>
      </c>
      <c r="CQ299" s="37">
        <f>_xlfn.XLOOKUP(Crops[[#This Row],[Crop]]&amp;Crops[[#This Row],[Product]]&amp;Crops[[#This Row],[Unit]],Products[ID],Products[Marketing (hr)])*Crops[[#This Row],[Direct Revenue Per Bed]]/2000</f>
        <v>0.64</v>
      </c>
      <c r="CR299" s="37">
        <f>_xlfn.XLOOKUP(Crops[[#This Row],[Crop]]&amp;Crops[[#This Row],[Product]]&amp;Crops[[#This Row],[Unit]],Products[ID],Products[Harvest (s)])*Crops[[#This Row],[Custom Yield Per Bed]]/3600</f>
        <v>1.6</v>
      </c>
      <c r="CS299" s="37">
        <f>_xlfn.XLOOKUP(Crops[[#This Row],[Crop]]&amp;Crops[[#This Row],[Product]]&amp;Crops[[#This Row],[Unit]],Products[ID],Products[Bunch (s)])*Crops[[#This Row],[Custom Yield Per Bed]]/3600</f>
        <v>0</v>
      </c>
      <c r="CT299" s="37">
        <f>_xlfn.XLOOKUP(Crops[[#This Row],[Crop]]&amp;Crops[[#This Row],[Product]]&amp;Crops[[#This Row],[Unit]],Products[ID],Products[Haul (s)])*Crops[[#This Row],[Custom Yield Per Bed]]/3600</f>
        <v>0.13333333333333333</v>
      </c>
      <c r="CU299" s="37">
        <f>_xlfn.XLOOKUP(Crops[[#This Row],[Crop]]&amp;Crops[[#This Row],[Product]]&amp;Crops[[#This Row],[Unit]],Products[ID],Products[Wash (s)])*Crops[[#This Row],[Custom Yield Per Bed]]/3600</f>
        <v>0</v>
      </c>
      <c r="CV299" s="37">
        <f>_xlfn.XLOOKUP(Crops[[#This Row],[Crop]]&amp;Crops[[#This Row],[Product]]&amp;Crops[[#This Row],[Unit]],Products[ID],Products[Condition (s)])*Crops[[#This Row],[Custom Yield Per Bed]]/3600</f>
        <v>0</v>
      </c>
      <c r="CW299" s="37">
        <f>_xlfn.XLOOKUP(Crops[[#This Row],[Crop]]&amp;Crops[[#This Row],[Product]]&amp;Crops[[#This Row],[Unit]],Products[ID],Products[Trim (s)])*Crops[[#This Row],[Custom Yield Per Bed]]/3600</f>
        <v>0</v>
      </c>
      <c r="CX299" s="37">
        <f>_xlfn.XLOOKUP(Crops[[#This Row],[Crop]]&amp;Crops[[#This Row],[Product]]&amp;Crops[[#This Row],[Unit]],Products[ID],Products[Pack (s)])*Crops[[#This Row],[Custom Yield Per Bed]]/3600</f>
        <v>6.6666666666666666E-2</v>
      </c>
      <c r="CY299" s="37">
        <f>_xlfn.XLOOKUP(Crops[[#This Row],[Crop]]&amp;Crops[[#This Row],[Product]]&amp;Crops[[#This Row],[Unit]],Products[ID],Products[Clean (s)])*Crops[[#This Row],[Custom Yield Per Bed]]/3600</f>
        <v>0</v>
      </c>
      <c r="CZ299" s="37">
        <f>_xlfn.XLOOKUP(Crops[[#This Row],[Crop]]&amp;Crops[[#This Row],[Product]]&amp;Crops[[#This Row],[Unit]],Products[ID],Products[Rehandle (s)])*Crops[[#This Row],[Custom Yield Per Bed]]/3600</f>
        <v>0</v>
      </c>
      <c r="DA299" s="37">
        <f>_xlfn.XLOOKUP(Crops[[#This Row],[Crop]]&amp;Crops[[#This Row],[Product]]&amp;Crops[[#This Row],[Unit]],Products[ID],Products[Market Transport (s)])*Crops[[#This Row],[Custom Yield Per Bed]]/3600</f>
        <v>0.33333333333333331</v>
      </c>
      <c r="DC299" s="37">
        <f>Crops[[#This Row],[Direct Revenue Per Bed2]]</f>
        <v>640</v>
      </c>
      <c r="DD299" s="173">
        <f>_xlfn.AGGREGATE(9,6,Crops[[#This Row],[Bed Prep]:[Remove Crop Residue]])</f>
        <v>18.695642361111108</v>
      </c>
      <c r="DE299" s="173">
        <f>_xlfn.AGGREGATE(9,6,Crops[[#This Row],[Bed Prep]:[Remove Crop Residue]])-0.75*Crops[[#This Row],[Market &amp; Sell]]</f>
        <v>18.215642361111108</v>
      </c>
      <c r="DF299" s="36">
        <f>Crops[[#This Row],[Direct Revenue Per Bed2]]/Crops[[#This Row],[Direct Time]]</f>
        <v>34.232576107214534</v>
      </c>
      <c r="DG299" s="36">
        <f>_xlfn.XLOOKUP(Crops[[#This Row],[ProductIndex]],Products[ID],Products[Packaging Cost])*(Crops[[#This Row],[Custom Yield Per Bed]]/_xlfn.XLOOKUP(Crops[[#This Row],[ProductIndex]],Products[ID],Products[Units Per Pack]))</f>
        <v>20.266666666666666</v>
      </c>
      <c r="DH299" s="36"/>
      <c r="DI299" s="36"/>
      <c r="DJ299" s="36"/>
      <c r="DK299" s="36"/>
      <c r="DL299" s="36"/>
      <c r="DM299" s="33">
        <f>IFERROR(Crops[[#This Row],[Custom Yield Per Bed]]*Crops[[#This Row],[Direct Price]],"")</f>
        <v>640</v>
      </c>
      <c r="DN299" s="36">
        <f>Crops[[#This Row],[Direct Time]]*LaborRate</f>
        <v>467.39105902777771</v>
      </c>
      <c r="DO299" s="36">
        <f>SUM(Crops[[#This Row],[Irrigation Cost]])</f>
        <v>0</v>
      </c>
      <c r="DP299" s="36">
        <f>Crops[[#This Row],[Direct Labor Cost]]+Crops[[#This Row],[Direct Non-Labor Cost]]</f>
        <v>467.39105902777771</v>
      </c>
      <c r="DQ299" s="36">
        <f>Crops[[#This Row],[Direct Revenue Per Bed2]]-Crops[[#This Row],[Direct Total Cost]]</f>
        <v>172.60894097222229</v>
      </c>
      <c r="DR299" s="36">
        <f>Crops[[#This Row],[Direct Profit]]*BedsPerAcre</f>
        <v>27617.430555555566</v>
      </c>
      <c r="DS299" s="36">
        <f>Crops[[#This Row],[Direct Profit]]*BedsPerAcre*GrowingDays/Crops[[#This Row],[Days In Field]]</f>
        <v>21520.075757575767</v>
      </c>
      <c r="DT299" s="36">
        <f>Crops[[#This Row],[Direct Profit]]/MIN(Crops[[#This Row],[Days In Field]],GrowingDays)</f>
        <v>0.95893856095679042</v>
      </c>
      <c r="DU299" s="36">
        <f>Crops[[#This Row],[Direct Time]] * BedsPerAcre</f>
        <v>2991.3027777777775</v>
      </c>
      <c r="DV299" s="36">
        <f>(Crops[[#This Row],[Direct Revenue Per Bed2]]-Crops[[#This Row],[Direct Non-Labor Cost]])/Crops[[#This Row],[Direct Time]]</f>
        <v>34.232576107214534</v>
      </c>
      <c r="DW299" s="33">
        <f>IFERROR(Crops[[#This Row],[Custom Yield Per Bed]]*Crops[[#This Row],[Rough Wholesale Price]],"")</f>
        <v>384</v>
      </c>
      <c r="DX299" s="36">
        <f>Crops[[#This Row],[Wholesale Time]]*LaborRate</f>
        <v>455.39105902777771</v>
      </c>
      <c r="DY299" s="36">
        <f>SUM(Crops[[#This Row],[Packaging Costs]:[Irrigation Cost]])</f>
        <v>20.266666666666666</v>
      </c>
      <c r="DZ299" s="36">
        <f>Crops[[#This Row],[Wholesale Labor Cost]]+Crops[[#This Row],[Wholesale Non-Labor Cost]]</f>
        <v>475.65772569444437</v>
      </c>
      <c r="EA299" s="36">
        <f>Crops[[#This Row],[Wholesale Revenue Per Bed]]-Crops[[#This Row],[Wholesale Total Cost]]</f>
        <v>-91.657725694444366</v>
      </c>
      <c r="EB299" s="36">
        <f>Crops[[#This Row],[Wholesale Profit]]*BedsPerAcre</f>
        <v>-14665.236111111099</v>
      </c>
      <c r="EC299" s="36">
        <f>Crops[[#This Row],[Wholesale Profit]]*BedsPerAcre*GrowingDays/Crops[[#This Row],[Days In Field]]</f>
        <v>-11427.456709956699</v>
      </c>
      <c r="ED299" s="36">
        <f>Crops[[#This Row],[Wholesale Time]] * BedsPerAcre</f>
        <v>2914.5027777777773</v>
      </c>
      <c r="EE299" s="36">
        <f>Crops[[#This Row],[Wholesale Profit]]/MIN(Crops[[#This Row],[Days In Field]],GrowingDays)</f>
        <v>-0.50920958719135756</v>
      </c>
      <c r="EF299" s="36">
        <f>(Crops[[#This Row],[Wholesale Revenue Per Bed]]-Crops[[#This Row],[Wholesale Non-Labor Cost]])/Crops[[#This Row],[Direct Time]]</f>
        <v>19.45551408760026</v>
      </c>
      <c r="EG299" s="174">
        <f>Crops[[#This Row],[Packaging Costs]]/Crops[[#This Row],[Wholesale Revenue Per Bed]]</f>
        <v>5.2777777777777778E-2</v>
      </c>
      <c r="EH299" s="36" t="str">
        <f>Crops[[#This Row],[Crop]]&amp;Crops[[#This Row],[Product]]&amp;Crops[[#This Row],[Unit]]</f>
        <v>SpinachMature LeafLb</v>
      </c>
      <c r="EI299" s="36" t="b">
        <f>_xlfn.XLOOKUP(Crops[[#This Row],[ProductIndex]],Products[ID],Products[Target])</f>
        <v>1</v>
      </c>
      <c r="EJ299" s="36">
        <f>Crops[[#This Row],[Custom Yield Per Bed]]</f>
        <v>80</v>
      </c>
      <c r="EK299" s="210">
        <f>Crops[[#This Row],[Units Per Harvest]]/Crops[[#This Row],[Days Between Harvest]]*7</f>
        <v>1.4736842105263157</v>
      </c>
      <c r="EL299" s="210" t="e">
        <f>Crops[[#This Row],[Custom Yield Per Bed]]/_xlfn.XLOOKUP(Crops[[#This Row],[ProductIndex]],Products[ID],Products[CSA Portion])</f>
        <v>#DIV/0!</v>
      </c>
      <c r="EM299" s="210" t="e">
        <f>Crops[[#This Row],[Units Per Harvest]]/Crops[[#This Row],[Days Between Harvest]]*7/_xlfn.XLOOKUP(Crops[[#This Row],[ProductIndex]],Products[ID],Products[CSA Portion])</f>
        <v>#DIV/0!</v>
      </c>
      <c r="EN299" s="210" t="e">
        <f>Crops[[#This Row],[CSA Portions Per Week]]/CSAMembers</f>
        <v>#DIV/0!</v>
      </c>
      <c r="EO299" s="210"/>
      <c r="EP299" s="210"/>
      <c r="EQ299" s="36"/>
      <c r="ER299" s="36">
        <f>Crops[[#This Row],[Harvests]]*Crops[[#This Row],[Days Between Harvest]]/7</f>
        <v>54.285714285714285</v>
      </c>
      <c r="ES299" s="208">
        <f>_xlfn.XLOOKUP(Crops[[#This Row],[ProductIndex]],Products[ID],Products[CSA Need])</f>
        <v>0</v>
      </c>
      <c r="ET299" s="208">
        <f>_xlfn.XLOOKUP(Crops[[#This Row],[ProductIndex]],Products[ID],Products[CSA Times])</f>
        <v>0</v>
      </c>
      <c r="EU299" s="208" t="e">
        <f>Crops[[#This Row],[Custom Yield Per Bed]]/(Crops[[#This Row],[CSA Need]]*(_xlfn.XLOOKUP(Crops[[#This Row],[ProductIndex]],Products[ID],Products[CSA Portion])*CSAMembers))</f>
        <v>#DIV/0!</v>
      </c>
      <c r="EV299" s="208">
        <f>_xlfn.XLOOKUP(Crops[[#This Row],[ProductIndex]],Products[ID],Products[CSA Portion])*CSAMembers*Crops[[#This Row],[CSA Need]]/Crops[[#This Row],[Custom Yield Per Bed]]</f>
        <v>0</v>
      </c>
      <c r="EW299" s="208">
        <f>IFERROR(Crops[[#This Row],[Days In Field]]*Crops[[#This Row],[CSA Beds]],"")</f>
        <v>0</v>
      </c>
      <c r="EX299" s="208" t="e">
        <f>Crops[[#This Row],[CSA Bed Days]]*#REF!</f>
        <v>#REF!</v>
      </c>
      <c r="EY299" t="s">
        <v>340</v>
      </c>
    </row>
    <row r="300" spans="1:155">
      <c r="A30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 Mature Leaf 1X | Field TP Sp</v>
      </c>
      <c r="B300" s="179"/>
      <c r="C300" s="1"/>
      <c r="D300" s="1"/>
      <c r="E300" s="1" t="b">
        <v>0</v>
      </c>
      <c r="F300" s="1" t="b">
        <f>IFERROR(IF(ISNUMBER(MATCH(Crops[[#This Row],[Identifier]],BedPlan[Crop], 0)), TRUE, FALSE), FALSE)</f>
        <v>0</v>
      </c>
      <c r="G300" s="1" t="b">
        <f>IFERROR(IF(ISNUMBER(MATCH(Crops[[#This Row],[Identifier]],BedPlan[Crop], 0)), TRUE, FALSE), FALSE)</f>
        <v>0</v>
      </c>
      <c r="H300" s="1"/>
      <c r="I300" t="s">
        <v>123</v>
      </c>
      <c r="J300" t="s">
        <v>145</v>
      </c>
      <c r="K300" t="s">
        <v>179</v>
      </c>
      <c r="M300" t="s">
        <v>441</v>
      </c>
      <c r="N300" t="str">
        <f>Crops[[#This Row],[Crop]]</f>
        <v>Spinach</v>
      </c>
      <c r="O300" t="s">
        <v>210</v>
      </c>
      <c r="P300" t="str">
        <f>IF(OR(Crops[[#This Row],[Days in Cells]]="",Crops[[#This Row],[Days in Cells]]=0), "DS","TP")</f>
        <v>TP</v>
      </c>
      <c r="Q300" t="b">
        <v>1</v>
      </c>
      <c r="V300" t="str">
        <f xml:space="preserve"> IF(Crops[[#This Row],[Sp]], "Sp", "") &amp; IF(Crops[[#This Row],[Su]], "Su", "") &amp; IF(Crops[[#This Row],[Fa]], "Fa", "") &amp; IF(Crops[[#This Row],[Wi]], "Wi", "") &amp; IF(Crops[[#This Row],[OW]], "Ow","")</f>
        <v>Sp</v>
      </c>
      <c r="W300" t="s">
        <v>144</v>
      </c>
      <c r="X300">
        <v>3</v>
      </c>
      <c r="Y300">
        <v>9</v>
      </c>
      <c r="AA300" t="s">
        <v>474</v>
      </c>
      <c r="AB300" t="b">
        <v>1</v>
      </c>
      <c r="AC300">
        <v>1</v>
      </c>
      <c r="AD300" s="32">
        <f>IFERROR(12/Crops[[#This Row],[Spacing]]*Crops[[#This Row],[Rows]]*BedLength,"")</f>
        <v>200</v>
      </c>
      <c r="AE300">
        <v>1</v>
      </c>
      <c r="AG300">
        <f>IF(Crops[[#This Row],[Custom Safety Factor]]="",PlantingSafetyFactor,Crops[[#This Row],[Custom Safety Factor]])</f>
        <v>1.3</v>
      </c>
      <c r="AH300">
        <f>1</f>
        <v>1</v>
      </c>
      <c r="AI300" s="33">
        <f>IFERROR(Crops[[#This Row],[Plantings Per Bed]]*Crops[[#This Row],[Seeds Per Planting]]*Crops[[#This Row],[Safety Factor]]*Crops[[#This Row],[Seeding Factor]],"")</f>
        <v>260</v>
      </c>
      <c r="AL300">
        <f>_xlfn.FLOOR.MATH(IFERROR(AVERAGE(Crops[[#This Row],[DTG Lower]:[DTG Upper]]),0))</f>
        <v>0</v>
      </c>
      <c r="AM300">
        <f>SUM(Crops[[#This Row],[Tray 1 Days]],Crops[[#This Row],[Tray 2 Days]],Crops[[#This Row],[Tray 3 Days]])</f>
        <v>21</v>
      </c>
      <c r="AN300" s="32">
        <v>21</v>
      </c>
      <c r="AP300">
        <v>55</v>
      </c>
      <c r="AQ300">
        <f>IFERROR(_xlfn.FLOOR.MATH(AVERAGE(Crops[[#This Row],[DTM Lower]:[DTM Upper]])),"")</f>
        <v>55</v>
      </c>
      <c r="AR300" cm="1">
        <f t="array" ref="AR300">_xlfn.SWITCH(Crops[[#This Row],[Normal Method]],"DS",Crops[[#This Row],[Days to Germination]]+Crops[[#This Row],[DTM]] + IF(Crops[[#This Row],[Days in Cells]]&gt;0,15,0), "TP",Crops[[#This Row],[DTM]]+Crops[[#This Row],[Days in Cells]] + IF(Crops[[#This Row],[Days in Cells]]&lt;=0,20,0), "X", Crops[[#This Row],[DTM]])</f>
        <v>55</v>
      </c>
      <c r="AS300" t="s">
        <v>347</v>
      </c>
      <c r="AT300">
        <f>(Crops[[#This Row],[Harvests]]-1)*Crops[[#This Row],[Days Between Harvest]]+7</f>
        <v>27</v>
      </c>
      <c r="AU300">
        <f>Crops[[#This Row],[STH]]-Crops[[#This Row],[Days in Cells]]+Crops[[#This Row],[Harvest window]]</f>
        <v>61</v>
      </c>
      <c r="AW300">
        <v>128</v>
      </c>
      <c r="AX300">
        <v>128</v>
      </c>
      <c r="AY300">
        <v>21</v>
      </c>
      <c r="AZ300" s="49">
        <f>IFERROR(IF(Crops[[#This Row],[Tray 1 Days]]=0,"",Crops[[#This Row],[Plantings Per Bed]]/Crops[[#This Row],[Tray 1 Size]]*Crops[[#This Row],[Safety Factor]]),"")</f>
        <v>2.03125</v>
      </c>
      <c r="BC300" t="str">
        <f>IFERROR(IF(Crops[[#This Row],[Tray 2 Days]]=0,"",Crops[[#This Row],[Plantings Per Bed]]/Crops[[#This Row],[Tray 2 Size]]*Crops[[#This Row],[Safety Factor]]),"")</f>
        <v/>
      </c>
      <c r="BE300" s="32" t="str">
        <f>IF(NOT(ISBLANK(Crops[[#This Row],[Tray 3 Size]])), Crops[[#This Row],[Days in Cells Old]]-SUM(Crops[[#This Row],[Tray 1 Days]],Crops[[#This Row],[Tray 2 Days]]), "")</f>
        <v/>
      </c>
      <c r="BF300" s="49" t="str">
        <f>IFERROR(IF(Crops[[#This Row],[Tray 3 Days]]=0,"",Crops[[#This Row],[Plantings Per Bed]]/Crops[[#This Row],[Tray 3 Size]]*Crops[[#This Row],[Safety Factor]]),"")</f>
        <v/>
      </c>
      <c r="BG300" s="33">
        <f>20*BedLength/StandardBedLength</f>
        <v>10</v>
      </c>
      <c r="BH300" s="33">
        <v>3</v>
      </c>
      <c r="BI300" s="33">
        <v>10</v>
      </c>
      <c r="BJ300" s="33">
        <f>_xlfn.XLOOKUP(Crops[[#This Row],[ProductIndex]],Products[ID],Products[Holding Period])</f>
        <v>0</v>
      </c>
      <c r="BK300" s="33"/>
      <c r="BL300" s="33">
        <f>Crops[[#This Row],[Units Per Harvest]]*Crops[[#This Row],[Harvests]]</f>
        <v>30</v>
      </c>
      <c r="BM300" s="35">
        <v>10</v>
      </c>
      <c r="BN300" s="35">
        <f>Crops[[#This Row],[Direct Price]]*0.6</f>
        <v>6</v>
      </c>
      <c r="BO300" s="35"/>
      <c r="BP300" t="s">
        <v>383</v>
      </c>
      <c r="BQ300" s="193">
        <f>Crops[[#This Row],[Custom Yield Per Bed]]*Crops[[#This Row],[Direct Price]]</f>
        <v>300</v>
      </c>
      <c r="BR300" s="193" t="b">
        <v>0</v>
      </c>
      <c r="BS300" t="b">
        <f>Crops[[#This Row],[Harvests]]&gt;1</f>
        <v>1</v>
      </c>
      <c r="BT300" s="36">
        <f>IFERROR(Crops[[#This Row],[Direct Revenue Per Bed]]/Crops[[#This Row],[Days In Field]],-1)</f>
        <v>4.918032786885246</v>
      </c>
      <c r="BU300" s="36">
        <f>IFERROR(Crops[[#This Row],[Direct Revenue Per Bed Day]]*GrowingDays*BedsPerAcre,"")</f>
        <v>141639.34426229508</v>
      </c>
      <c r="BV300" s="38">
        <f>LastFrostDate-5*Crops[[#This Row],[Sewing Rel Last Frost]]</f>
        <v>45688</v>
      </c>
      <c r="BW300" s="38">
        <f>Crops[[#This Row],[Target Sewing Date]]+Crops[[#This Row],[Days in Cells]]</f>
        <v>45709</v>
      </c>
      <c r="BX300" s="38">
        <f>Crops[[#This Row],[Target Sewing Date]]+Crops[[#This Row],[STH]]</f>
        <v>45743</v>
      </c>
      <c r="BY300" s="38">
        <f>Crops[[#This Row],[Target Harvest Data]]+Crops[[#This Row],[Harvest window]]</f>
        <v>45770</v>
      </c>
      <c r="BZ300">
        <v>12</v>
      </c>
      <c r="CA300" t="s">
        <v>373</v>
      </c>
      <c r="CB300">
        <f>1</f>
        <v>1</v>
      </c>
      <c r="CC300">
        <f>IF(Crops[[#This Row],[Transplanting]]&gt;0, 2, 3)*BedLength/StandardBedLength</f>
        <v>1</v>
      </c>
      <c r="CD300" s="173">
        <f>IF(Crops[[#This Row],[Days in Cells]]&lt;=0,0,Crops[[#This Row],[Plantings Per Bed]]/StartsPerHourSeeding+Crops[[#This Row],[Tray 1 Count]]*5/60)</f>
        <v>0.95052083333333337</v>
      </c>
      <c r="CE300" s="173">
        <f>IF(ISBLANK(Crops[[#This Row],[Tray 2 Days]]),0,Crops[[#This Row],[Plantings Per Bed]]/UpPottingPerHour)+IF(Crops[[#This Row],[Tray 3 Days]]="",0,Crops[[#This Row],[Plantings Per Bed]]/UpPottingPerHour)</f>
        <v>0</v>
      </c>
      <c r="CF300" s="173">
        <f>IFERROR(Crops[[#This Row],[Tray 1 Count]]/HomeStartFlatIrrigationPerHour,0)*Crops[[#This Row],[Days in Cells]]/DaysBetweenStartIrrigation</f>
        <v>0.177734375</v>
      </c>
      <c r="CG300" s="173">
        <f>0.5/16*MAX(Crops[[#This Row],[Tray 1 Count]],Crops[[#This Row],[Tray 2 Count]],Crops[[#This Row],[Tray 3 Count]])</f>
        <v>6.34765625E-2</v>
      </c>
      <c r="CH300" s="173">
        <f>IF(Crops[[#This Row],[Days in Cells]]&gt;0,IF(IF(Crops[[#This Row],[Tray 3 Size]]&gt;0,Crops[[#This Row],[Tray 3 Size]],IF(Crops[[#This Row],[Tray 2 Size]]&gt;0,Crops[[#This Row],[Tray 2 Size]],Crops[[#This Row],[Tray 1 Size]]))&lt;=18,LargeTransplantTime,SmallTransplantTime)*Crops[[#This Row],[Plantings Per Bed]],0)</f>
        <v>1</v>
      </c>
      <c r="CI300" s="173"/>
      <c r="CJ300" s="173">
        <f>_xlfn.XLOOKUP(Crops[[#This Row],[Trellis Type]],TrellisMethods[Trellis Type],TrellisMethods[Hours],0,0)</f>
        <v>0</v>
      </c>
      <c r="CK300">
        <f>IF(Crops[[#This Row],[Days in Cells]]&lt;=0,Crops[[#This Row],[Rows]]*1/10,0)*BedLength/50</f>
        <v>0</v>
      </c>
      <c r="CL300" cm="1">
        <f t="array" ref="CL300">_xlfn.SWITCH(Crops[[#This Row],[Irrigation]],"DR", 0.5, "OH", 0.25,0)*BedLength/50</f>
        <v>0</v>
      </c>
      <c r="CM300">
        <f>IF(OR(ISBLANK(Crops[[#This Row],[Row Cover]]),Crops[[#This Row],[Row Cover]]="None"),0,1)*BedLength/50</f>
        <v>0</v>
      </c>
      <c r="CN300" s="173">
        <f>HoursPerWeedingPass*Crops[[#This Row],[Days In Field]]/14*Crops[[#This Row],[Rows]]+1*BedLength/50</f>
        <v>3.1785714285714284</v>
      </c>
      <c r="CQ300" s="37">
        <f>_xlfn.XLOOKUP(Crops[[#This Row],[Crop]]&amp;Crops[[#This Row],[Product]]&amp;Crops[[#This Row],[Unit]],Products[ID],Products[Marketing (hr)])*Crops[[#This Row],[Direct Revenue Per Bed]]/2000</f>
        <v>0.3</v>
      </c>
      <c r="CR300" s="37">
        <f>_xlfn.XLOOKUP(Crops[[#This Row],[Crop]]&amp;Crops[[#This Row],[Product]]&amp;Crops[[#This Row],[Unit]],Products[ID],Products[Harvest (s)])*Crops[[#This Row],[Custom Yield Per Bed]]/3600</f>
        <v>0.6</v>
      </c>
      <c r="CS300" s="37">
        <f>_xlfn.XLOOKUP(Crops[[#This Row],[Crop]]&amp;Crops[[#This Row],[Product]]&amp;Crops[[#This Row],[Unit]],Products[ID],Products[Bunch (s)])*Crops[[#This Row],[Custom Yield Per Bed]]/3600</f>
        <v>0</v>
      </c>
      <c r="CT300" s="37">
        <f>_xlfn.XLOOKUP(Crops[[#This Row],[Crop]]&amp;Crops[[#This Row],[Product]]&amp;Crops[[#This Row],[Unit]],Products[ID],Products[Haul (s)])*Crops[[#This Row],[Custom Yield Per Bed]]/3600</f>
        <v>0.05</v>
      </c>
      <c r="CU300" s="37">
        <f>_xlfn.XLOOKUP(Crops[[#This Row],[Crop]]&amp;Crops[[#This Row],[Product]]&amp;Crops[[#This Row],[Unit]],Products[ID],Products[Wash (s)])*Crops[[#This Row],[Custom Yield Per Bed]]/3600</f>
        <v>0</v>
      </c>
      <c r="CV300" s="37">
        <f>_xlfn.XLOOKUP(Crops[[#This Row],[Crop]]&amp;Crops[[#This Row],[Product]]&amp;Crops[[#This Row],[Unit]],Products[ID],Products[Condition (s)])*Crops[[#This Row],[Custom Yield Per Bed]]/3600</f>
        <v>0</v>
      </c>
      <c r="CW300" s="37">
        <f>_xlfn.XLOOKUP(Crops[[#This Row],[Crop]]&amp;Crops[[#This Row],[Product]]&amp;Crops[[#This Row],[Unit]],Products[ID],Products[Trim (s)])*Crops[[#This Row],[Custom Yield Per Bed]]/3600</f>
        <v>0</v>
      </c>
      <c r="CX300" s="37">
        <f>_xlfn.XLOOKUP(Crops[[#This Row],[Crop]]&amp;Crops[[#This Row],[Product]]&amp;Crops[[#This Row],[Unit]],Products[ID],Products[Pack (s)])*Crops[[#This Row],[Custom Yield Per Bed]]/3600</f>
        <v>2.5000000000000001E-2</v>
      </c>
      <c r="CY300" s="37">
        <f>_xlfn.XLOOKUP(Crops[[#This Row],[Crop]]&amp;Crops[[#This Row],[Product]]&amp;Crops[[#This Row],[Unit]],Products[ID],Products[Clean (s)])*Crops[[#This Row],[Custom Yield Per Bed]]/3600</f>
        <v>0</v>
      </c>
      <c r="CZ300" s="37">
        <f>_xlfn.XLOOKUP(Crops[[#This Row],[Crop]]&amp;Crops[[#This Row],[Product]]&amp;Crops[[#This Row],[Unit]],Products[ID],Products[Rehandle (s)])*Crops[[#This Row],[Custom Yield Per Bed]]/3600</f>
        <v>0</v>
      </c>
      <c r="DA300" s="37">
        <f>_xlfn.XLOOKUP(Crops[[#This Row],[Crop]]&amp;Crops[[#This Row],[Product]]&amp;Crops[[#This Row],[Unit]],Products[ID],Products[Market Transport (s)])*Crops[[#This Row],[Custom Yield Per Bed]]/3600</f>
        <v>0.125</v>
      </c>
      <c r="DC300" s="37">
        <f>Crops[[#This Row],[Direct Revenue Per Bed2]]</f>
        <v>300</v>
      </c>
      <c r="DD300" s="173">
        <f>_xlfn.AGGREGATE(9,6,Crops[[#This Row],[Bed Prep]:[Remove Crop Residue]])</f>
        <v>7.4703031994047615</v>
      </c>
      <c r="DE300" s="173">
        <f>_xlfn.AGGREGATE(9,6,Crops[[#This Row],[Bed Prep]:[Remove Crop Residue]])-0.75*Crops[[#This Row],[Market &amp; Sell]]</f>
        <v>7.2453031994047619</v>
      </c>
      <c r="DF300" s="36">
        <f>Crops[[#This Row],[Direct Revenue Per Bed2]]/Crops[[#This Row],[Direct Time]]</f>
        <v>40.159012558406488</v>
      </c>
      <c r="DG300" s="36">
        <f>_xlfn.XLOOKUP(Crops[[#This Row],[ProductIndex]],Products[ID],Products[Packaging Cost])*(Crops[[#This Row],[Custom Yield Per Bed]]/_xlfn.XLOOKUP(Crops[[#This Row],[ProductIndex]],Products[ID],Products[Units Per Pack]))</f>
        <v>7.6</v>
      </c>
      <c r="DH300" s="36"/>
      <c r="DI300" s="36"/>
      <c r="DJ300" s="36"/>
      <c r="DK300" s="36"/>
      <c r="DL300" s="36"/>
      <c r="DM300" s="33">
        <f>IFERROR(Crops[[#This Row],[Custom Yield Per Bed]]*Crops[[#This Row],[Direct Price]],"")</f>
        <v>300</v>
      </c>
      <c r="DN300" s="36">
        <f>Crops[[#This Row],[Direct Time]]*LaborRate</f>
        <v>186.75757998511904</v>
      </c>
      <c r="DO300" s="36">
        <f>SUM(Crops[[#This Row],[Irrigation Cost]])</f>
        <v>0</v>
      </c>
      <c r="DP300" s="36">
        <f>Crops[[#This Row],[Direct Labor Cost]]+Crops[[#This Row],[Direct Non-Labor Cost]]</f>
        <v>186.75757998511904</v>
      </c>
      <c r="DQ300" s="36">
        <f>Crops[[#This Row],[Direct Revenue Per Bed2]]-Crops[[#This Row],[Direct Total Cost]]</f>
        <v>113.24242001488096</v>
      </c>
      <c r="DR300" s="36">
        <f>Crops[[#This Row],[Direct Profit]]*BedsPerAcre</f>
        <v>18118.787202380954</v>
      </c>
      <c r="DS300" s="36">
        <f>Crops[[#This Row],[Direct Profit]]*BedsPerAcre*GrowingDays/Crops[[#This Row],[Days In Field]]</f>
        <v>53465.273711943802</v>
      </c>
      <c r="DT300" s="36">
        <f>Crops[[#This Row],[Direct Profit]]/MIN(Crops[[#This Row],[Days In Field]],GrowingDays)</f>
        <v>1.8564331149980486</v>
      </c>
      <c r="DU300" s="36">
        <f>Crops[[#This Row],[Direct Time]] * BedsPerAcre</f>
        <v>1195.2485119047619</v>
      </c>
      <c r="DV300" s="36">
        <f>(Crops[[#This Row],[Direct Revenue Per Bed2]]-Crops[[#This Row],[Direct Non-Labor Cost]])/Crops[[#This Row],[Direct Time]]</f>
        <v>40.159012558406488</v>
      </c>
      <c r="DW300" s="33">
        <f>IFERROR(Crops[[#This Row],[Custom Yield Per Bed]]*Crops[[#This Row],[Rough Wholesale Price]],"")</f>
        <v>180</v>
      </c>
      <c r="DX300" s="36">
        <f>Crops[[#This Row],[Wholesale Time]]*LaborRate</f>
        <v>181.13257998511904</v>
      </c>
      <c r="DY300" s="36">
        <f>SUM(Crops[[#This Row],[Packaging Costs]:[Irrigation Cost]])</f>
        <v>7.6</v>
      </c>
      <c r="DZ300" s="36">
        <f>Crops[[#This Row],[Wholesale Labor Cost]]+Crops[[#This Row],[Wholesale Non-Labor Cost]]</f>
        <v>188.73257998511903</v>
      </c>
      <c r="EA300" s="36">
        <f>Crops[[#This Row],[Wholesale Revenue Per Bed]]-Crops[[#This Row],[Wholesale Total Cost]]</f>
        <v>-8.7325799851190311</v>
      </c>
      <c r="EB300" s="36">
        <f>Crops[[#This Row],[Wholesale Profit]]*BedsPerAcre</f>
        <v>-1397.212797619045</v>
      </c>
      <c r="EC300" s="36">
        <f>Crops[[#This Row],[Wholesale Profit]]*BedsPerAcre*GrowingDays/Crops[[#This Row],[Days In Field]]</f>
        <v>-4122.9230093676733</v>
      </c>
      <c r="ED300" s="36">
        <f>Crops[[#This Row],[Wholesale Time]] * BedsPerAcre</f>
        <v>1159.2485119047619</v>
      </c>
      <c r="EE300" s="36">
        <f>Crops[[#This Row],[Wholesale Profit]]/MIN(Crops[[#This Row],[Days In Field]],GrowingDays)</f>
        <v>-0.14315704893637757</v>
      </c>
      <c r="EF300" s="36">
        <f>(Crops[[#This Row],[Wholesale Revenue Per Bed]]-Crops[[#This Row],[Wholesale Non-Labor Cost]])/Crops[[#This Row],[Direct Time]]</f>
        <v>23.078045883564265</v>
      </c>
      <c r="EG300" s="174">
        <f>Crops[[#This Row],[Packaging Costs]]/Crops[[#This Row],[Wholesale Revenue Per Bed]]</f>
        <v>4.2222222222222223E-2</v>
      </c>
      <c r="EH300" s="36" t="str">
        <f>Crops[[#This Row],[Crop]]&amp;Crops[[#This Row],[Product]]&amp;Crops[[#This Row],[Unit]]</f>
        <v>SpinachMature LeafLb</v>
      </c>
      <c r="EI300" s="36" t="b">
        <f>_xlfn.XLOOKUP(Crops[[#This Row],[ProductIndex]],Products[ID],Products[Target])</f>
        <v>1</v>
      </c>
      <c r="EJ300" s="36">
        <f>Crops[[#This Row],[Custom Yield Per Bed]]</f>
        <v>30</v>
      </c>
      <c r="EK300" s="210">
        <f>Crops[[#This Row],[Units Per Harvest]]/Crops[[#This Row],[Days Between Harvest]]*7</f>
        <v>7</v>
      </c>
      <c r="EL300" s="210" t="e">
        <f>Crops[[#This Row],[Custom Yield Per Bed]]/_xlfn.XLOOKUP(Crops[[#This Row],[ProductIndex]],Products[ID],Products[CSA Portion])</f>
        <v>#DIV/0!</v>
      </c>
      <c r="EM300" s="210" t="e">
        <f>Crops[[#This Row],[Units Per Harvest]]/Crops[[#This Row],[Days Between Harvest]]*7/_xlfn.XLOOKUP(Crops[[#This Row],[ProductIndex]],Products[ID],Products[CSA Portion])</f>
        <v>#DIV/0!</v>
      </c>
      <c r="EN300" s="210" t="e">
        <f>Crops[[#This Row],[CSA Portions Per Week]]/CSAMembers</f>
        <v>#DIV/0!</v>
      </c>
      <c r="EO300" s="210"/>
      <c r="EP300" s="210"/>
      <c r="EQ300" s="36"/>
      <c r="ER300" s="36">
        <f>Crops[[#This Row],[Harvests]]*Crops[[#This Row],[Days Between Harvest]]/7</f>
        <v>4.2857142857142856</v>
      </c>
      <c r="ES300" s="208">
        <f>_xlfn.XLOOKUP(Crops[[#This Row],[ProductIndex]],Products[ID],Products[CSA Need])</f>
        <v>0</v>
      </c>
      <c r="ET300" s="208">
        <f>_xlfn.XLOOKUP(Crops[[#This Row],[ProductIndex]],Products[ID],Products[CSA Times])</f>
        <v>0</v>
      </c>
      <c r="EU300" s="208" t="e">
        <f>Crops[[#This Row],[Custom Yield Per Bed]]/(Crops[[#This Row],[CSA Need]]*(_xlfn.XLOOKUP(Crops[[#This Row],[ProductIndex]],Products[ID],Products[CSA Portion])*CSAMembers))</f>
        <v>#DIV/0!</v>
      </c>
      <c r="EV300" s="208">
        <f>_xlfn.XLOOKUP(Crops[[#This Row],[ProductIndex]],Products[ID],Products[CSA Portion])*CSAMembers*Crops[[#This Row],[CSA Need]]/Crops[[#This Row],[Custom Yield Per Bed]]</f>
        <v>0</v>
      </c>
      <c r="EW300" s="208">
        <f>IFERROR(Crops[[#This Row],[Days In Field]]*Crops[[#This Row],[CSA Beds]],"")</f>
        <v>0</v>
      </c>
      <c r="EX300" s="208" t="e">
        <f>Crops[[#This Row],[CSA Bed Days]]*#REF!</f>
        <v>#REF!</v>
      </c>
      <c r="EY300" t="s">
        <v>1730</v>
      </c>
    </row>
    <row r="301" spans="1:155">
      <c r="A301"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Squash (Butternut) - Storage 1X | Field TP </v>
      </c>
      <c r="B301" s="187"/>
      <c r="C301" s="1" t="b">
        <v>1</v>
      </c>
      <c r="D301" s="1"/>
      <c r="E301" s="1" t="b">
        <v>0</v>
      </c>
      <c r="F301" s="1" t="b">
        <f>IFERROR(IF(ISNUMBER(MATCH(Crops[[#This Row],[Identifier]],BedPlan[Crop], 0)), TRUE, FALSE), FALSE)</f>
        <v>0</v>
      </c>
      <c r="G301" s="1" t="b">
        <f>IFERROR(IF(ISNUMBER(MATCH(Crops[[#This Row],[Identifier]],BedPlan[Crop], 0)), TRUE, FALSE), FALSE)</f>
        <v>0</v>
      </c>
      <c r="H301" s="1"/>
      <c r="I301" t="s">
        <v>124</v>
      </c>
      <c r="J301" t="s">
        <v>1135</v>
      </c>
      <c r="K301" t="s">
        <v>208</v>
      </c>
      <c r="M301" t="s">
        <v>1309</v>
      </c>
      <c r="N301" t="str">
        <f>Crops[[#This Row],[Crop]]</f>
        <v>Squash</v>
      </c>
      <c r="O301" t="s">
        <v>210</v>
      </c>
      <c r="P301" t="str">
        <f>IF(OR(Crops[[#This Row],[Days in Cells]]="",Crops[[#This Row],[Days in Cells]]=0), "DS","TP")</f>
        <v>TP</v>
      </c>
      <c r="V301" t="str">
        <f xml:space="preserve"> IF(Crops[[#This Row],[Sp]], "Sp", "") &amp; IF(Crops[[#This Row],[Su]], "Su", "") &amp; IF(Crops[[#This Row],[Fa]], "Fa", "") &amp; IF(Crops[[#This Row],[Wi]], "Wi", "") &amp; IF(Crops[[#This Row],[OW]], "Ow","")</f>
        <v/>
      </c>
      <c r="W301" t="s">
        <v>144</v>
      </c>
      <c r="X301">
        <v>1</v>
      </c>
      <c r="Y301">
        <v>36</v>
      </c>
      <c r="AA301" t="s">
        <v>474</v>
      </c>
      <c r="AB301" t="b">
        <v>0</v>
      </c>
      <c r="AC301">
        <v>3</v>
      </c>
      <c r="AD301" s="32">
        <f>IFERROR(12/Crops[[#This Row],[Spacing]]*Crops[[#This Row],[Rows]]*BedLength,"")</f>
        <v>16.666666666666664</v>
      </c>
      <c r="AE301">
        <v>1</v>
      </c>
      <c r="AG301">
        <f>IF(Crops[[#This Row],[Custom Safety Factor]]="",PlantingSafetyFactor,Crops[[#This Row],[Custom Safety Factor]])</f>
        <v>1.3</v>
      </c>
      <c r="AH301">
        <f>1</f>
        <v>1</v>
      </c>
      <c r="AI301" s="33">
        <f>IFERROR(Crops[[#This Row],[Plantings Per Bed]]*Crops[[#This Row],[Seeds Per Planting]]*Crops[[#This Row],[Safety Factor]]*Crops[[#This Row],[Seeding Factor]],"")</f>
        <v>21.666666666666664</v>
      </c>
      <c r="AL301">
        <f>_xlfn.FLOOR.MATH(IFERROR(AVERAGE(Crops[[#This Row],[DTG Lower]:[DTG Upper]]),0))</f>
        <v>0</v>
      </c>
      <c r="AM301">
        <f>SUM(Crops[[#This Row],[Tray 1 Days]],Crops[[#This Row],[Tray 2 Days]],Crops[[#This Row],[Tray 3 Days]])</f>
        <v>28</v>
      </c>
      <c r="AN301" s="32">
        <f>4*7</f>
        <v>28</v>
      </c>
      <c r="AP301">
        <v>100</v>
      </c>
      <c r="AQ301">
        <f>IFERROR(_xlfn.FLOOR.MATH(AVERAGE(Crops[[#This Row],[DTM Lower]:[DTM Upper]])),"")</f>
        <v>100</v>
      </c>
      <c r="AR301" cm="1">
        <f t="array" ref="AR301">_xlfn.SWITCH(Crops[[#This Row],[Normal Method]],"DS",Crops[[#This Row],[Days to Germination]]+Crops[[#This Row],[DTM]] + IF(Crops[[#This Row],[Days in Cells]]&gt;0,15,0), "TP",Crops[[#This Row],[DTM]]+Crops[[#This Row],[Days in Cells]] + IF(Crops[[#This Row],[Days in Cells]]&lt;=0,20,0), "X", Crops[[#This Row],[DTM]])</f>
        <v>128</v>
      </c>
      <c r="AS301" t="s">
        <v>346</v>
      </c>
      <c r="AT301">
        <f>(Crops[[#This Row],[Harvests]]-1)*Crops[[#This Row],[Days Between Harvest]]+7</f>
        <v>7</v>
      </c>
      <c r="AU301">
        <f>Crops[[#This Row],[STH]]-Crops[[#This Row],[Days in Cells]]+Crops[[#This Row],[Harvest window]]</f>
        <v>107</v>
      </c>
      <c r="AX301">
        <v>50</v>
      </c>
      <c r="AY301">
        <v>28</v>
      </c>
      <c r="AZ301" s="49">
        <f>IFERROR(IF(Crops[[#This Row],[Tray 1 Days]]=0,"",Crops[[#This Row],[Plantings Per Bed]]/Crops[[#This Row],[Tray 1 Size]]*Crops[[#This Row],[Safety Factor]]),"")</f>
        <v>0.43333333333333324</v>
      </c>
      <c r="BC301" t="str">
        <f>IFERROR(IF(Crops[[#This Row],[Tray 2 Days]]=0,"",Crops[[#This Row],[Plantings Per Bed]]/Crops[[#This Row],[Tray 2 Size]]*Crops[[#This Row],[Safety Factor]]),"")</f>
        <v/>
      </c>
      <c r="BE301" s="32" t="str">
        <f>IF(NOT(ISBLANK(Crops[[#This Row],[Tray 3 Size]])), Crops[[#This Row],[Days in Cells Old]]-SUM(Crops[[#This Row],[Tray 1 Days]],Crops[[#This Row],[Tray 2 Days]]), "")</f>
        <v/>
      </c>
      <c r="BF301" s="49" t="str">
        <f>IFERROR(IF(Crops[[#This Row],[Tray 3 Days]]=0,"",Crops[[#This Row],[Plantings Per Bed]]/Crops[[#This Row],[Tray 3 Size]]*Crops[[#This Row],[Safety Factor]]),"")</f>
        <v/>
      </c>
      <c r="BG301" s="33">
        <f>Crops[[#This Row],[Plantings Per Bed]]*3*3/Crops[[#This Row],[Harvests]]</f>
        <v>149.99999999999997</v>
      </c>
      <c r="BH301" s="33">
        <v>1</v>
      </c>
      <c r="BI301" s="33">
        <v>7</v>
      </c>
      <c r="BJ301" s="33">
        <f>_xlfn.XLOOKUP(Crops[[#This Row],[ProductIndex]],Products[ID],Products[Holding Period])</f>
        <v>7</v>
      </c>
      <c r="BK301" s="33"/>
      <c r="BL301" s="33">
        <f>Crops[[#This Row],[Units Per Harvest]]*Crops[[#This Row],[Harvests]]</f>
        <v>149.99999999999997</v>
      </c>
      <c r="BM301" s="35">
        <v>2.25</v>
      </c>
      <c r="BN301" s="35">
        <f>Crops[[#This Row],[Direct Price]]*0.6</f>
        <v>1.3499999999999999</v>
      </c>
      <c r="BO301" s="35"/>
      <c r="BP301" t="s">
        <v>383</v>
      </c>
      <c r="BQ301">
        <f>Crops[[#This Row],[Custom Yield Per Bed]]*Crops[[#This Row],[Direct Price]]</f>
        <v>337.49999999999994</v>
      </c>
      <c r="BS301" t="b">
        <f>Crops[[#This Row],[Harvests]]&gt;1</f>
        <v>0</v>
      </c>
      <c r="BT301" s="36">
        <f>IFERROR(Crops[[#This Row],[Direct Revenue Per Bed]]/Crops[[#This Row],[Days In Field]],-1)</f>
        <v>3.1542056074766349</v>
      </c>
      <c r="BU301" s="36">
        <f>IFERROR(Crops[[#This Row],[Direct Revenue Per Bed Day]]*GrowingDays*BedsPerAcre,"")</f>
        <v>90841.121495327083</v>
      </c>
      <c r="BV301" s="38">
        <f>LastFrostDate-5*Crops[[#This Row],[Sewing Rel Last Frost]]</f>
        <v>45758</v>
      </c>
      <c r="BW301" s="38">
        <f>Crops[[#This Row],[Target Sewing Date]]+Crops[[#This Row],[Days in Cells]]</f>
        <v>45786</v>
      </c>
      <c r="BX301" s="38">
        <f>Crops[[#This Row],[Target Sewing Date]]+Crops[[#This Row],[STH]]</f>
        <v>45886</v>
      </c>
      <c r="BY301" s="38">
        <f>Crops[[#This Row],[Target Harvest Data]]+Crops[[#This Row],[Harvest window]]</f>
        <v>45893</v>
      </c>
      <c r="BZ301">
        <v>-2</v>
      </c>
      <c r="CB301">
        <f>1</f>
        <v>1</v>
      </c>
      <c r="CC301">
        <f>IF(Crops[[#This Row],[Transplanting]]&gt;0, 2, 3)*BedLength/StandardBedLength</f>
        <v>1</v>
      </c>
      <c r="CD301" s="173">
        <f>IF(Crops[[#This Row],[Days in Cells]]&lt;=0,0,Crops[[#This Row],[Plantings Per Bed]]/StartsPerHourSeeding+Crops[[#This Row],[Tray 1 Count]]*5/60)</f>
        <v>0.10121527777777775</v>
      </c>
      <c r="CE301" s="173">
        <f>IF(ISBLANK(Crops[[#This Row],[Tray 2 Days]]),0,Crops[[#This Row],[Plantings Per Bed]]/UpPottingPerHour)+IF(Crops[[#This Row],[Tray 3 Days]]="",0,Crops[[#This Row],[Plantings Per Bed]]/UpPottingPerHour)</f>
        <v>0</v>
      </c>
      <c r="CF301" s="173">
        <f>IFERROR(Crops[[#This Row],[Tray 1 Count]]/HomeStartFlatIrrigationPerHour,0)*Crops[[#This Row],[Days in Cells]]/DaysBetweenStartIrrigation</f>
        <v>5.0555555555555548E-2</v>
      </c>
      <c r="CG301" s="173">
        <f>0.5/16*MAX(Crops[[#This Row],[Tray 1 Count]],Crops[[#This Row],[Tray 2 Count]],Crops[[#This Row],[Tray 3 Count]])</f>
        <v>1.3541666666666664E-2</v>
      </c>
      <c r="CH301" s="173">
        <f>IF(Crops[[#This Row],[Days in Cells]]&gt;0,IF(IF(Crops[[#This Row],[Tray 3 Size]]&gt;0,Crops[[#This Row],[Tray 3 Size]],IF(Crops[[#This Row],[Tray 2 Size]]&gt;0,Crops[[#This Row],[Tray 2 Size]],Crops[[#This Row],[Tray 1 Size]]))&lt;=18,LargeTransplantTime,SmallTransplantTime)*Crops[[#This Row],[Plantings Per Bed]],0)</f>
        <v>8.3333333333333329E-2</v>
      </c>
      <c r="CI301" s="173"/>
      <c r="CJ301" s="173">
        <f>_xlfn.XLOOKUP(Crops[[#This Row],[Trellis Type]],TrellisMethods[Trellis Type],TrellisMethods[Hours],0,0)</f>
        <v>0</v>
      </c>
      <c r="CK301">
        <f>IF(Crops[[#This Row],[Days in Cells]]&lt;=0,Crops[[#This Row],[Rows]]*1/10,0)*BedLength/50</f>
        <v>0</v>
      </c>
      <c r="CL301" cm="1">
        <f t="array" ref="CL301">_xlfn.SWITCH(Crops[[#This Row],[Irrigation]],"DR", 0.5, "OH", 0.25,0)*BedLength/50</f>
        <v>0</v>
      </c>
      <c r="CM301">
        <f>IF(OR(ISBLANK(Crops[[#This Row],[Row Cover]]),Crops[[#This Row],[Row Cover]]="None"),0,1)*BedLength/50</f>
        <v>0</v>
      </c>
      <c r="CN301" s="173">
        <f>HoursPerWeedingPass*Crops[[#This Row],[Days In Field]]/14*Crops[[#This Row],[Rows]]+1*BedLength/50</f>
        <v>2.2738095238095237</v>
      </c>
      <c r="CO301" s="49"/>
      <c r="CQ301" s="37">
        <f>_xlfn.XLOOKUP(Crops[[#This Row],[Crop]]&amp;Crops[[#This Row],[Product]]&amp;Crops[[#This Row],[Unit]],Products[ID],Products[Marketing (hr)])*Crops[[#This Row],[Direct Revenue Per Bed]]/2000</f>
        <v>0.33749999999999997</v>
      </c>
      <c r="CR301" s="37">
        <f>_xlfn.XLOOKUP(Crops[[#This Row],[Crop]]&amp;Crops[[#This Row],[Product]]&amp;Crops[[#This Row],[Unit]],Products[ID],Products[Harvest (s)])*Crops[[#This Row],[Custom Yield Per Bed]]/3600</f>
        <v>0.41666666666666663</v>
      </c>
      <c r="CS301" s="37">
        <f>_xlfn.XLOOKUP(Crops[[#This Row],[Crop]]&amp;Crops[[#This Row],[Product]]&amp;Crops[[#This Row],[Unit]],Products[ID],Products[Bunch (s)])*Crops[[#This Row],[Custom Yield Per Bed]]/3600</f>
        <v>0</v>
      </c>
      <c r="CT301" s="37">
        <f>_xlfn.XLOOKUP(Crops[[#This Row],[Crop]]&amp;Crops[[#This Row],[Product]]&amp;Crops[[#This Row],[Unit]],Products[ID],Products[Haul (s)])*Crops[[#This Row],[Custom Yield Per Bed]]/3600</f>
        <v>9.3749999999999986E-2</v>
      </c>
      <c r="CU301" s="37">
        <f>_xlfn.XLOOKUP(Crops[[#This Row],[Crop]]&amp;Crops[[#This Row],[Product]]&amp;Crops[[#This Row],[Unit]],Products[ID],Products[Wash (s)])*Crops[[#This Row],[Custom Yield Per Bed]]/3600</f>
        <v>0</v>
      </c>
      <c r="CV301" s="37">
        <f>_xlfn.XLOOKUP(Crops[[#This Row],[Crop]]&amp;Crops[[#This Row],[Product]]&amp;Crops[[#This Row],[Unit]],Products[ID],Products[Condition (s)])*Crops[[#This Row],[Custom Yield Per Bed]]/3600</f>
        <v>0</v>
      </c>
      <c r="CW301" s="37">
        <f>_xlfn.XLOOKUP(Crops[[#This Row],[Crop]]&amp;Crops[[#This Row],[Product]]&amp;Crops[[#This Row],[Unit]],Products[ID],Products[Trim (s)])*Crops[[#This Row],[Custom Yield Per Bed]]/3600</f>
        <v>0</v>
      </c>
      <c r="CX301" s="37">
        <f>_xlfn.XLOOKUP(Crops[[#This Row],[Crop]]&amp;Crops[[#This Row],[Product]]&amp;Crops[[#This Row],[Unit]],Products[ID],Products[Pack (s)])*Crops[[#This Row],[Custom Yield Per Bed]]/3600</f>
        <v>0.12499999999999997</v>
      </c>
      <c r="CY301" s="37">
        <f>_xlfn.XLOOKUP(Crops[[#This Row],[Crop]]&amp;Crops[[#This Row],[Product]]&amp;Crops[[#This Row],[Unit]],Products[ID],Products[Clean (s)])*Crops[[#This Row],[Custom Yield Per Bed]]/3600</f>
        <v>0</v>
      </c>
      <c r="CZ301" s="37">
        <f>_xlfn.XLOOKUP(Crops[[#This Row],[Crop]]&amp;Crops[[#This Row],[Product]]&amp;Crops[[#This Row],[Unit]],Products[ID],Products[Rehandle (s)])*Crops[[#This Row],[Custom Yield Per Bed]]/3600</f>
        <v>0</v>
      </c>
      <c r="DA301" s="37">
        <f>_xlfn.XLOOKUP(Crops[[#This Row],[Crop]]&amp;Crops[[#This Row],[Product]]&amp;Crops[[#This Row],[Unit]],Products[ID],Products[Market Transport (s)])*Crops[[#This Row],[Custom Yield Per Bed]]/3600</f>
        <v>0.23437499999999997</v>
      </c>
      <c r="DC301" s="37">
        <f>Crops[[#This Row],[Direct Revenue Per Bed2]]</f>
        <v>337.49999999999994</v>
      </c>
      <c r="DD301" s="173">
        <f>_xlfn.AGGREGATE(9,6,Crops[[#This Row],[Bed Prep]:[Remove Crop Residue]])</f>
        <v>4.7297470238095229</v>
      </c>
      <c r="DE301" s="173">
        <f>_xlfn.AGGREGATE(9,6,Crops[[#This Row],[Bed Prep]:[Remove Crop Residue]])-0.75*Crops[[#This Row],[Market &amp; Sell]]</f>
        <v>4.4766220238095231</v>
      </c>
      <c r="DF301" s="36">
        <f>Crops[[#This Row],[Direct Revenue Per Bed2]]/Crops[[#This Row],[Direct Time]]</f>
        <v>71.35688194337385</v>
      </c>
      <c r="DG301" s="36">
        <f>_xlfn.XLOOKUP(Crops[[#This Row],[ProductIndex]],Products[ID],Products[Packaging Cost])*(Crops[[#This Row],[Custom Yield Per Bed]]/_xlfn.XLOOKUP(Crops[[#This Row],[ProductIndex]],Products[ID],Products[Units Per Pack]))</f>
        <v>22.799999999999997</v>
      </c>
      <c r="DH301" s="36"/>
      <c r="DI301" s="36"/>
      <c r="DJ301" s="36"/>
      <c r="DK301" s="36"/>
      <c r="DL301" s="36"/>
      <c r="DM301" s="33">
        <f>IFERROR(Crops[[#This Row],[Custom Yield Per Bed]]*Crops[[#This Row],[Direct Price]],"")</f>
        <v>337.49999999999994</v>
      </c>
      <c r="DN301" s="36">
        <f>Crops[[#This Row],[Direct Time]]*LaborRate</f>
        <v>118.24367559523807</v>
      </c>
      <c r="DO301" s="36">
        <f>SUM(Crops[[#This Row],[Irrigation Cost]])</f>
        <v>0</v>
      </c>
      <c r="DP301" s="36">
        <f>Crops[[#This Row],[Direct Labor Cost]]+Crops[[#This Row],[Direct Non-Labor Cost]]</f>
        <v>118.24367559523807</v>
      </c>
      <c r="DQ301" s="36">
        <f>Crops[[#This Row],[Direct Revenue Per Bed2]]-Crops[[#This Row],[Direct Total Cost]]</f>
        <v>219.25632440476187</v>
      </c>
      <c r="DR301" s="36">
        <f>Crops[[#This Row],[Direct Profit]]*BedsPerAcre</f>
        <v>35081.011904761901</v>
      </c>
      <c r="DS301" s="36">
        <f>Crops[[#This Row],[Direct Profit]]*BedsPerAcre*GrowingDays/Crops[[#This Row],[Days In Field]]</f>
        <v>59014.786381842445</v>
      </c>
      <c r="DT301" s="36">
        <f>Crops[[#This Row],[Direct Profit]]/MIN(Crops[[#This Row],[Days In Field]],GrowingDays)</f>
        <v>2.0491245271473071</v>
      </c>
      <c r="DU301" s="33">
        <f>Crops[[#This Row],[Direct Time]] * BedsPerAcre</f>
        <v>756.75952380952367</v>
      </c>
      <c r="DV301" s="36">
        <f>(Crops[[#This Row],[Direct Revenue Per Bed2]]-Crops[[#This Row],[Direct Non-Labor Cost]])/Crops[[#This Row],[Direct Time]]</f>
        <v>71.35688194337385</v>
      </c>
      <c r="DW301" s="33">
        <f>IFERROR(Crops[[#This Row],[Custom Yield Per Bed]]*Crops[[#This Row],[Rough Wholesale Price]],"")</f>
        <v>202.49999999999994</v>
      </c>
      <c r="DX301" s="36">
        <f>Crops[[#This Row],[Wholesale Time]]*LaborRate</f>
        <v>111.91555059523807</v>
      </c>
      <c r="DY301" s="36">
        <f>SUM(Crops[[#This Row],[Packaging Costs]:[Irrigation Cost]])</f>
        <v>22.799999999999997</v>
      </c>
      <c r="DZ301" s="36">
        <f>Crops[[#This Row],[Wholesale Labor Cost]]+Crops[[#This Row],[Wholesale Non-Labor Cost]]</f>
        <v>134.71555059523808</v>
      </c>
      <c r="EA301" s="36">
        <f>Crops[[#This Row],[Wholesale Revenue Per Bed]]-Crops[[#This Row],[Wholesale Total Cost]]</f>
        <v>67.784449404761858</v>
      </c>
      <c r="EB301" s="36">
        <f>Crops[[#This Row],[Wholesale Profit]]*BedsPerAcre</f>
        <v>10845.511904761897</v>
      </c>
      <c r="EC301" s="36">
        <f>Crops[[#This Row],[Wholesale Profit]]*BedsPerAcre*GrowingDays/Crops[[#This Row],[Days In Field]]</f>
        <v>18244.786381842445</v>
      </c>
      <c r="ED301" s="33">
        <f>Crops[[#This Row],[Wholesale Time]] * BedsPerAcre</f>
        <v>716.25952380952367</v>
      </c>
      <c r="EE301" s="221">
        <f>Crops[[#This Row],[Wholesale Profit]]/MIN(Crops[[#This Row],[Days In Field]],GrowingDays)</f>
        <v>0.63349952714730706</v>
      </c>
      <c r="EF301" s="36">
        <f>(Crops[[#This Row],[Wholesale Revenue Per Bed]]-Crops[[#This Row],[Wholesale Non-Labor Cost]])/Crops[[#This Row],[Direct Time]]</f>
        <v>37.993575363627492</v>
      </c>
      <c r="EG301" s="174">
        <f>Crops[[#This Row],[Packaging Costs]]/Crops[[#This Row],[Wholesale Revenue Per Bed]]</f>
        <v>0.11259259259259261</v>
      </c>
      <c r="EH301" s="36" t="str">
        <f>Crops[[#This Row],[Crop]]&amp;Crops[[#This Row],[Product]]&amp;Crops[[#This Row],[Unit]]</f>
        <v>SquashStorageLb</v>
      </c>
      <c r="EI301" s="36" t="b">
        <f>_xlfn.XLOOKUP(Crops[[#This Row],[ProductIndex]],Products[ID],Products[Target])</f>
        <v>1</v>
      </c>
      <c r="EJ301" s="33">
        <f>Crops[[#This Row],[Custom Yield Per Bed]]</f>
        <v>149.99999999999997</v>
      </c>
      <c r="EK301" s="210">
        <f>Crops[[#This Row],[Units Per Harvest]]/Crops[[#This Row],[Days Between Harvest]]*7</f>
        <v>149.99999999999997</v>
      </c>
      <c r="EL301" s="210">
        <f>Crops[[#This Row],[Custom Yield Per Bed]]/_xlfn.XLOOKUP(Crops[[#This Row],[ProductIndex]],Products[ID],Products[CSA Portion])</f>
        <v>49.999999999999993</v>
      </c>
      <c r="EM301" s="210">
        <f>Crops[[#This Row],[Units Per Harvest]]/Crops[[#This Row],[Days Between Harvest]]*7/_xlfn.XLOOKUP(Crops[[#This Row],[ProductIndex]],Products[ID],Products[CSA Portion])</f>
        <v>49.999999999999993</v>
      </c>
      <c r="EN301" s="210">
        <f>Crops[[#This Row],[CSA Portions Per Week]]/CSAMembers</f>
        <v>0.99999999999999989</v>
      </c>
      <c r="EO301" s="216"/>
      <c r="EP301" s="216"/>
      <c r="EQ301" s="210"/>
      <c r="ER301" s="210">
        <f>Crops[[#This Row],[Harvests]]*Crops[[#This Row],[Days Between Harvest]]/7</f>
        <v>1</v>
      </c>
      <c r="ES301" s="217">
        <f>_xlfn.XLOOKUP(Crops[[#This Row],[ProductIndex]],Products[ID],Products[CSA Need])</f>
        <v>3</v>
      </c>
      <c r="ET301" s="217">
        <f>_xlfn.XLOOKUP(Crops[[#This Row],[ProductIndex]],Products[ID],Products[CSA Times])</f>
        <v>1</v>
      </c>
      <c r="EU301" s="208">
        <f>Crops[[#This Row],[Custom Yield Per Bed]]/(Crops[[#This Row],[CSA Need]]*(_xlfn.XLOOKUP(Crops[[#This Row],[ProductIndex]],Products[ID],Products[CSA Portion])*CSAMembers))</f>
        <v>0.33333333333333326</v>
      </c>
      <c r="EV301" s="208">
        <f>_xlfn.XLOOKUP(Crops[[#This Row],[ProductIndex]],Products[ID],Products[CSA Portion])*CSAMembers*Crops[[#This Row],[CSA Need]]/Crops[[#This Row],[Custom Yield Per Bed]]</f>
        <v>3.0000000000000004</v>
      </c>
      <c r="EW301" s="208">
        <f>IFERROR(Crops[[#This Row],[Days In Field]]*Crops[[#This Row],[CSA Beds]],"")</f>
        <v>321.00000000000006</v>
      </c>
      <c r="EX301" s="208" t="e">
        <f>Crops[[#This Row],[CSA Bed Days]]*#REF!</f>
        <v>#REF!</v>
      </c>
      <c r="EY301" t="s">
        <v>1731</v>
      </c>
    </row>
    <row r="302" spans="1:155">
      <c r="A302"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Squash (Delicata) - Storage 1X | Field TP </v>
      </c>
      <c r="B302" s="187"/>
      <c r="C302" s="1" t="b">
        <v>1</v>
      </c>
      <c r="D302" s="1"/>
      <c r="E302" s="1" t="b">
        <v>0</v>
      </c>
      <c r="F302" s="1" t="b">
        <f>IFERROR(IF(ISNUMBER(MATCH(Crops[[#This Row],[Identifier]],BedPlan[Crop], 0)), TRUE, FALSE), FALSE)</f>
        <v>1</v>
      </c>
      <c r="G302" s="1" t="b">
        <f>IFERROR(IF(ISNUMBER(MATCH(Crops[[#This Row],[Identifier]],BedPlan[Crop], 0)), TRUE, FALSE), FALSE)</f>
        <v>1</v>
      </c>
      <c r="H302" s="1"/>
      <c r="I302" t="s">
        <v>124</v>
      </c>
      <c r="J302" t="s">
        <v>1738</v>
      </c>
      <c r="K302" t="s">
        <v>208</v>
      </c>
      <c r="M302" t="s">
        <v>1309</v>
      </c>
      <c r="N302" t="str">
        <f>Crops[[#This Row],[Crop]]</f>
        <v>Squash</v>
      </c>
      <c r="O302" t="s">
        <v>210</v>
      </c>
      <c r="P302" t="str">
        <f>IF(OR(Crops[[#This Row],[Days in Cells]]="",Crops[[#This Row],[Days in Cells]]=0), "DS","TP")</f>
        <v>TP</v>
      </c>
      <c r="V302" t="str">
        <f xml:space="preserve"> IF(Crops[[#This Row],[Sp]], "Sp", "") &amp; IF(Crops[[#This Row],[Su]], "Su", "") &amp; IF(Crops[[#This Row],[Fa]], "Fa", "") &amp; IF(Crops[[#This Row],[Wi]], "Wi", "") &amp; IF(Crops[[#This Row],[OW]], "Ow","")</f>
        <v/>
      </c>
      <c r="W302" t="s">
        <v>144</v>
      </c>
      <c r="X302">
        <v>1</v>
      </c>
      <c r="Y302">
        <v>36</v>
      </c>
      <c r="AA302" t="s">
        <v>474</v>
      </c>
      <c r="AB302" t="b">
        <v>0</v>
      </c>
      <c r="AC302">
        <v>3</v>
      </c>
      <c r="AD302" s="32">
        <f>IFERROR(12/Crops[[#This Row],[Spacing]]*Crops[[#This Row],[Rows]]*BedLength,"")</f>
        <v>16.666666666666664</v>
      </c>
      <c r="AE302">
        <v>1</v>
      </c>
      <c r="AG302">
        <f>IF(Crops[[#This Row],[Custom Safety Factor]]="",PlantingSafetyFactor,Crops[[#This Row],[Custom Safety Factor]])</f>
        <v>1.3</v>
      </c>
      <c r="AH302">
        <f>1</f>
        <v>1</v>
      </c>
      <c r="AI302" s="33">
        <f>IFERROR(Crops[[#This Row],[Plantings Per Bed]]*Crops[[#This Row],[Seeds Per Planting]]*Crops[[#This Row],[Safety Factor]]*Crops[[#This Row],[Seeding Factor]],"")</f>
        <v>21.666666666666664</v>
      </c>
      <c r="AL302">
        <f>_xlfn.FLOOR.MATH(IFERROR(AVERAGE(Crops[[#This Row],[DTG Lower]:[DTG Upper]]),0))</f>
        <v>0</v>
      </c>
      <c r="AM302">
        <f>SUM(Crops[[#This Row],[Tray 1 Days]],Crops[[#This Row],[Tray 2 Days]],Crops[[#This Row],[Tray 3 Days]])</f>
        <v>28</v>
      </c>
      <c r="AN302" s="32">
        <f>4*7</f>
        <v>28</v>
      </c>
      <c r="AP302">
        <v>100</v>
      </c>
      <c r="AQ302">
        <f>IFERROR(_xlfn.FLOOR.MATH(AVERAGE(Crops[[#This Row],[DTM Lower]:[DTM Upper]])),"")</f>
        <v>100</v>
      </c>
      <c r="AR302" cm="1">
        <f t="array" ref="AR302">_xlfn.SWITCH(Crops[[#This Row],[Normal Method]],"DS",Crops[[#This Row],[Days to Germination]]+Crops[[#This Row],[DTM]] + IF(Crops[[#This Row],[Days in Cells]]&gt;0,15,0), "TP",Crops[[#This Row],[DTM]]+Crops[[#This Row],[Days in Cells]] + IF(Crops[[#This Row],[Days in Cells]]&lt;=0,20,0), "X", Crops[[#This Row],[DTM]])</f>
        <v>128</v>
      </c>
      <c r="AS302" t="s">
        <v>346</v>
      </c>
      <c r="AT302">
        <f>(Crops[[#This Row],[Harvests]]-1)*Crops[[#This Row],[Days Between Harvest]]+7</f>
        <v>7</v>
      </c>
      <c r="AU302">
        <f>Crops[[#This Row],[STH]]-Crops[[#This Row],[Days in Cells]]+Crops[[#This Row],[Harvest window]]</f>
        <v>107</v>
      </c>
      <c r="AX302">
        <v>50</v>
      </c>
      <c r="AY302">
        <v>28</v>
      </c>
      <c r="AZ302" s="49">
        <f>IFERROR(IF(Crops[[#This Row],[Tray 1 Days]]=0,"",Crops[[#This Row],[Plantings Per Bed]]/Crops[[#This Row],[Tray 1 Size]]*Crops[[#This Row],[Safety Factor]]),"")</f>
        <v>0.43333333333333324</v>
      </c>
      <c r="BC302" t="str">
        <f>IFERROR(IF(Crops[[#This Row],[Tray 2 Days]]=0,"",Crops[[#This Row],[Plantings Per Bed]]/Crops[[#This Row],[Tray 2 Size]]*Crops[[#This Row],[Safety Factor]]),"")</f>
        <v/>
      </c>
      <c r="BE302" s="32" t="str">
        <f>IF(NOT(ISBLANK(Crops[[#This Row],[Tray 3 Size]])), Crops[[#This Row],[Days in Cells Old]]-SUM(Crops[[#This Row],[Tray 1 Days]],Crops[[#This Row],[Tray 2 Days]]), "")</f>
        <v/>
      </c>
      <c r="BF302" s="49" t="str">
        <f>IFERROR(IF(Crops[[#This Row],[Tray 3 Days]]=0,"",Crops[[#This Row],[Plantings Per Bed]]/Crops[[#This Row],[Tray 3 Size]]*Crops[[#This Row],[Safety Factor]]),"")</f>
        <v/>
      </c>
      <c r="BG302" s="33">
        <f>200*BedLength/StandardBedLength/Crops[[#This Row],[Harvests]]</f>
        <v>100</v>
      </c>
      <c r="BH302" s="33">
        <v>1</v>
      </c>
      <c r="BI302" s="33">
        <v>7</v>
      </c>
      <c r="BJ302" s="33">
        <f>_xlfn.XLOOKUP(Crops[[#This Row],[ProductIndex]],Products[ID],Products[Holding Period])</f>
        <v>7</v>
      </c>
      <c r="BK302" s="33"/>
      <c r="BL302" s="33">
        <f>Crops[[#This Row],[Units Per Harvest]]*Crops[[#This Row],[Harvests]]</f>
        <v>100</v>
      </c>
      <c r="BM302" s="35">
        <v>2.25</v>
      </c>
      <c r="BN302" s="212">
        <f>Crops[[#This Row],[Direct Price]]*0.6</f>
        <v>1.3499999999999999</v>
      </c>
      <c r="BO302" s="212"/>
      <c r="BP302" t="s">
        <v>383</v>
      </c>
      <c r="BQ302">
        <f>Crops[[#This Row],[Custom Yield Per Bed]]*Crops[[#This Row],[Direct Price]]</f>
        <v>225</v>
      </c>
      <c r="BS302" t="b">
        <f>Crops[[#This Row],[Harvests]]&gt;1</f>
        <v>0</v>
      </c>
      <c r="BT302" s="36">
        <f>IFERROR(Crops[[#This Row],[Direct Revenue Per Bed]]/Crops[[#This Row],[Days In Field]],-1)</f>
        <v>2.1028037383177569</v>
      </c>
      <c r="BU302" s="36">
        <f>IFERROR(Crops[[#This Row],[Direct Revenue Per Bed Day]]*GrowingDays*BedsPerAcre,"")</f>
        <v>60560.747663551403</v>
      </c>
      <c r="BV302" s="38">
        <f>LastFrostDate-5*Crops[[#This Row],[Sewing Rel Last Frost]]</f>
        <v>45758</v>
      </c>
      <c r="BW302" s="38">
        <f>Crops[[#This Row],[Target Sewing Date]]+Crops[[#This Row],[Days in Cells]]</f>
        <v>45786</v>
      </c>
      <c r="BX302" s="38">
        <f>Crops[[#This Row],[Target Sewing Date]]+Crops[[#This Row],[STH]]</f>
        <v>45886</v>
      </c>
      <c r="BY302" s="38">
        <f>Crops[[#This Row],[Target Harvest Data]]+Crops[[#This Row],[Harvest window]]</f>
        <v>45893</v>
      </c>
      <c r="BZ302">
        <v>-2</v>
      </c>
      <c r="CB302">
        <f>1</f>
        <v>1</v>
      </c>
      <c r="CC302">
        <f>IF(Crops[[#This Row],[Transplanting]]&gt;0, 2, 3)*BedLength/StandardBedLength</f>
        <v>1</v>
      </c>
      <c r="CD302" s="173">
        <f>IF(Crops[[#This Row],[Days in Cells]]&lt;=0,0,Crops[[#This Row],[Plantings Per Bed]]/StartsPerHourSeeding+Crops[[#This Row],[Tray 1 Count]]*5/60)</f>
        <v>0.10121527777777775</v>
      </c>
      <c r="CE302" s="173">
        <f>IF(ISBLANK(Crops[[#This Row],[Tray 2 Days]]),0,Crops[[#This Row],[Plantings Per Bed]]/UpPottingPerHour)+IF(Crops[[#This Row],[Tray 3 Days]]="",0,Crops[[#This Row],[Plantings Per Bed]]/UpPottingPerHour)</f>
        <v>0</v>
      </c>
      <c r="CF302" s="173">
        <f>IFERROR(Crops[[#This Row],[Tray 1 Count]]/HomeStartFlatIrrigationPerHour,0)*Crops[[#This Row],[Days in Cells]]/DaysBetweenStartIrrigation</f>
        <v>5.0555555555555548E-2</v>
      </c>
      <c r="CG302" s="173">
        <f>0.5/16*MAX(Crops[[#This Row],[Tray 1 Count]],Crops[[#This Row],[Tray 2 Count]],Crops[[#This Row],[Tray 3 Count]])</f>
        <v>1.3541666666666664E-2</v>
      </c>
      <c r="CH302" s="173">
        <f>IF(Crops[[#This Row],[Days in Cells]]&gt;0,IF(IF(Crops[[#This Row],[Tray 3 Size]]&gt;0,Crops[[#This Row],[Tray 3 Size]],IF(Crops[[#This Row],[Tray 2 Size]]&gt;0,Crops[[#This Row],[Tray 2 Size]],Crops[[#This Row],[Tray 1 Size]]))&lt;=18,LargeTransplantTime,SmallTransplantTime)*Crops[[#This Row],[Plantings Per Bed]],0)</f>
        <v>8.3333333333333329E-2</v>
      </c>
      <c r="CI302" s="173"/>
      <c r="CJ302" s="173">
        <f>_xlfn.XLOOKUP(Crops[[#This Row],[Trellis Type]],TrellisMethods[Trellis Type],TrellisMethods[Hours],0,0)</f>
        <v>0</v>
      </c>
      <c r="CK302">
        <f>IF(Crops[[#This Row],[Days in Cells]]&lt;=0,Crops[[#This Row],[Rows]]*1/10,0)*BedLength/50</f>
        <v>0</v>
      </c>
      <c r="CL302" cm="1">
        <f t="array" ref="CL302">_xlfn.SWITCH(Crops[[#This Row],[Irrigation]],"DR", 0.5, "OH", 0.25,0)*BedLength/50</f>
        <v>0</v>
      </c>
      <c r="CM302">
        <f>IF(OR(ISBLANK(Crops[[#This Row],[Row Cover]]),Crops[[#This Row],[Row Cover]]="None"),0,1)*BedLength/50</f>
        <v>0</v>
      </c>
      <c r="CN302" s="173">
        <f>HoursPerWeedingPass*Crops[[#This Row],[Days In Field]]/14*Crops[[#This Row],[Rows]]+1*BedLength/50</f>
        <v>2.2738095238095237</v>
      </c>
      <c r="CO302" s="49"/>
      <c r="CQ302" s="37">
        <f>_xlfn.XLOOKUP(Crops[[#This Row],[Crop]]&amp;Crops[[#This Row],[Product]]&amp;Crops[[#This Row],[Unit]],Products[ID],Products[Marketing (hr)])*Crops[[#This Row],[Direct Revenue Per Bed]]/2000</f>
        <v>0.22500000000000001</v>
      </c>
      <c r="CR302" s="37">
        <f>_xlfn.XLOOKUP(Crops[[#This Row],[Crop]]&amp;Crops[[#This Row],[Product]]&amp;Crops[[#This Row],[Unit]],Products[ID],Products[Harvest (s)])*Crops[[#This Row],[Custom Yield Per Bed]]/3600</f>
        <v>0.27777777777777779</v>
      </c>
      <c r="CS302" s="37">
        <f>_xlfn.XLOOKUP(Crops[[#This Row],[Crop]]&amp;Crops[[#This Row],[Product]]&amp;Crops[[#This Row],[Unit]],Products[ID],Products[Bunch (s)])*Crops[[#This Row],[Custom Yield Per Bed]]/3600</f>
        <v>0</v>
      </c>
      <c r="CT302" s="37">
        <f>_xlfn.XLOOKUP(Crops[[#This Row],[Crop]]&amp;Crops[[#This Row],[Product]]&amp;Crops[[#This Row],[Unit]],Products[ID],Products[Haul (s)])*Crops[[#This Row],[Custom Yield Per Bed]]/3600</f>
        <v>6.25E-2</v>
      </c>
      <c r="CU302" s="37">
        <f>_xlfn.XLOOKUP(Crops[[#This Row],[Crop]]&amp;Crops[[#This Row],[Product]]&amp;Crops[[#This Row],[Unit]],Products[ID],Products[Wash (s)])*Crops[[#This Row],[Custom Yield Per Bed]]/3600</f>
        <v>0</v>
      </c>
      <c r="CV302" s="37">
        <f>_xlfn.XLOOKUP(Crops[[#This Row],[Crop]]&amp;Crops[[#This Row],[Product]]&amp;Crops[[#This Row],[Unit]],Products[ID],Products[Condition (s)])*Crops[[#This Row],[Custom Yield Per Bed]]/3600</f>
        <v>0</v>
      </c>
      <c r="CW302" s="37">
        <f>_xlfn.XLOOKUP(Crops[[#This Row],[Crop]]&amp;Crops[[#This Row],[Product]]&amp;Crops[[#This Row],[Unit]],Products[ID],Products[Trim (s)])*Crops[[#This Row],[Custom Yield Per Bed]]/3600</f>
        <v>0</v>
      </c>
      <c r="CX302" s="37">
        <f>_xlfn.XLOOKUP(Crops[[#This Row],[Crop]]&amp;Crops[[#This Row],[Product]]&amp;Crops[[#This Row],[Unit]],Products[ID],Products[Pack (s)])*Crops[[#This Row],[Custom Yield Per Bed]]/3600</f>
        <v>8.3333333333333329E-2</v>
      </c>
      <c r="CY302" s="37">
        <f>_xlfn.XLOOKUP(Crops[[#This Row],[Crop]]&amp;Crops[[#This Row],[Product]]&amp;Crops[[#This Row],[Unit]],Products[ID],Products[Clean (s)])*Crops[[#This Row],[Custom Yield Per Bed]]/3600</f>
        <v>0</v>
      </c>
      <c r="CZ302" s="37">
        <f>_xlfn.XLOOKUP(Crops[[#This Row],[Crop]]&amp;Crops[[#This Row],[Product]]&amp;Crops[[#This Row],[Unit]],Products[ID],Products[Rehandle (s)])*Crops[[#This Row],[Custom Yield Per Bed]]/3600</f>
        <v>0</v>
      </c>
      <c r="DA302" s="37">
        <f>_xlfn.XLOOKUP(Crops[[#This Row],[Crop]]&amp;Crops[[#This Row],[Product]]&amp;Crops[[#This Row],[Unit]],Products[ID],Products[Market Transport (s)])*Crops[[#This Row],[Custom Yield Per Bed]]/3600</f>
        <v>0.15625</v>
      </c>
      <c r="DC302" s="37">
        <f>Crops[[#This Row],[Direct Revenue Per Bed2]]</f>
        <v>225</v>
      </c>
      <c r="DD302" s="173">
        <f>_xlfn.AGGREGATE(9,6,Crops[[#This Row],[Bed Prep]:[Remove Crop Residue]])</f>
        <v>4.3273164682539678</v>
      </c>
      <c r="DE302" s="173">
        <f>_xlfn.AGGREGATE(9,6,Crops[[#This Row],[Bed Prep]:[Remove Crop Residue]])-0.75*Crops[[#This Row],[Market &amp; Sell]]</f>
        <v>4.1585664682539676</v>
      </c>
      <c r="DF302" s="36">
        <f>Crops[[#This Row],[Direct Revenue Per Bed2]]/Crops[[#This Row],[Direct Time]]</f>
        <v>51.995272740194437</v>
      </c>
      <c r="DG302" s="36">
        <f>_xlfn.XLOOKUP(Crops[[#This Row],[ProductIndex]],Products[ID],Products[Packaging Cost])*(Crops[[#This Row],[Custom Yield Per Bed]]/_xlfn.XLOOKUP(Crops[[#This Row],[ProductIndex]],Products[ID],Products[Units Per Pack]))</f>
        <v>15.2</v>
      </c>
      <c r="DH302" s="36"/>
      <c r="DI302" s="36"/>
      <c r="DJ302" s="36"/>
      <c r="DK302" s="36"/>
      <c r="DL302" s="36"/>
      <c r="DM302" s="33">
        <f>IFERROR(Crops[[#This Row],[Custom Yield Per Bed]]*Crops[[#This Row],[Direct Price]],"")</f>
        <v>225</v>
      </c>
      <c r="DN302" s="36">
        <f>Crops[[#This Row],[Direct Time]]*LaborRate</f>
        <v>108.18291170634919</v>
      </c>
      <c r="DO302" s="36">
        <f>SUM(Crops[[#This Row],[Irrigation Cost]])</f>
        <v>0</v>
      </c>
      <c r="DP302" s="36">
        <f>Crops[[#This Row],[Direct Labor Cost]]+Crops[[#This Row],[Direct Non-Labor Cost]]</f>
        <v>108.18291170634919</v>
      </c>
      <c r="DQ302" s="36">
        <f>Crops[[#This Row],[Direct Revenue Per Bed2]]-Crops[[#This Row],[Direct Total Cost]]</f>
        <v>116.81708829365081</v>
      </c>
      <c r="DR302" s="36">
        <f>Crops[[#This Row],[Direct Profit]]*BedsPerAcre</f>
        <v>18690.734126984131</v>
      </c>
      <c r="DS302" s="36">
        <f>Crops[[#This Row],[Direct Profit]]*BedsPerAcre*GrowingDays/Crops[[#This Row],[Days In Field]]</f>
        <v>31442.356475300407</v>
      </c>
      <c r="DT302" s="36">
        <f>Crops[[#This Row],[Direct Profit]]/MIN(Crops[[#This Row],[Days In Field]],GrowingDays)</f>
        <v>1.0917484887257085</v>
      </c>
      <c r="DU302" s="33">
        <f>Crops[[#This Row],[Direct Time]] * BedsPerAcre</f>
        <v>692.37063492063487</v>
      </c>
      <c r="DV302" s="36">
        <f>(Crops[[#This Row],[Direct Revenue Per Bed2]]-Crops[[#This Row],[Direct Non-Labor Cost]])/Crops[[#This Row],[Direct Time]]</f>
        <v>51.995272740194437</v>
      </c>
      <c r="DW302" s="33">
        <f>IFERROR(Crops[[#This Row],[Custom Yield Per Bed]]*Crops[[#This Row],[Rough Wholesale Price]],"")</f>
        <v>135</v>
      </c>
      <c r="DX302" s="36">
        <f>Crops[[#This Row],[Wholesale Time]]*LaborRate</f>
        <v>103.96416170634919</v>
      </c>
      <c r="DY302" s="36">
        <f>SUM(Crops[[#This Row],[Packaging Costs]:[Irrigation Cost]])</f>
        <v>15.2</v>
      </c>
      <c r="DZ302" s="36">
        <f>Crops[[#This Row],[Wholesale Labor Cost]]+Crops[[#This Row],[Wholesale Non-Labor Cost]]</f>
        <v>119.16416170634919</v>
      </c>
      <c r="EA302" s="36">
        <f>Crops[[#This Row],[Wholesale Revenue Per Bed]]-Crops[[#This Row],[Wholesale Total Cost]]</f>
        <v>15.835838293650809</v>
      </c>
      <c r="EB302" s="36">
        <f>Crops[[#This Row],[Wholesale Profit]]*BedsPerAcre</f>
        <v>2533.7341269841295</v>
      </c>
      <c r="EC302" s="36">
        <f>Crops[[#This Row],[Wholesale Profit]]*BedsPerAcre*GrowingDays/Crops[[#This Row],[Days In Field]]</f>
        <v>4262.3564753004048</v>
      </c>
      <c r="ED302" s="33">
        <f>Crops[[#This Row],[Wholesale Time]] * BedsPerAcre</f>
        <v>665.37063492063476</v>
      </c>
      <c r="EE302" s="221">
        <f>Crops[[#This Row],[Wholesale Profit]]/MIN(Crops[[#This Row],[Days In Field]],GrowingDays)</f>
        <v>0.1479984887257085</v>
      </c>
      <c r="EF302" s="36">
        <f>(Crops[[#This Row],[Wholesale Revenue Per Bed]]-Crops[[#This Row],[Wholesale Non-Labor Cost]])/Crops[[#This Row],[Direct Time]]</f>
        <v>27.684594107890195</v>
      </c>
      <c r="EG302" s="174">
        <f>Crops[[#This Row],[Packaging Costs]]/Crops[[#This Row],[Wholesale Revenue Per Bed]]</f>
        <v>0.11259259259259259</v>
      </c>
      <c r="EH302" s="36" t="str">
        <f>Crops[[#This Row],[Crop]]&amp;Crops[[#This Row],[Product]]&amp;Crops[[#This Row],[Unit]]</f>
        <v>SquashStorageLb</v>
      </c>
      <c r="EI302" s="36" t="b">
        <f>_xlfn.XLOOKUP(Crops[[#This Row],[ProductIndex]],Products[ID],Products[Target])</f>
        <v>1</v>
      </c>
      <c r="EJ302" s="33">
        <f>Crops[[#This Row],[Custom Yield Per Bed]]</f>
        <v>100</v>
      </c>
      <c r="EK302" s="210">
        <f>Crops[[#This Row],[Units Per Harvest]]/Crops[[#This Row],[Days Between Harvest]]*7</f>
        <v>100</v>
      </c>
      <c r="EL302" s="210">
        <f>Crops[[#This Row],[Custom Yield Per Bed]]/_xlfn.XLOOKUP(Crops[[#This Row],[ProductIndex]],Products[ID],Products[CSA Portion])</f>
        <v>33.333333333333336</v>
      </c>
      <c r="EM302" s="210">
        <f>Crops[[#This Row],[Units Per Harvest]]/Crops[[#This Row],[Days Between Harvest]]*7/_xlfn.XLOOKUP(Crops[[#This Row],[ProductIndex]],Products[ID],Products[CSA Portion])</f>
        <v>33.333333333333336</v>
      </c>
      <c r="EN302" s="210">
        <f>Crops[[#This Row],[CSA Portions Per Week]]/CSAMembers</f>
        <v>0.66666666666666674</v>
      </c>
      <c r="EO302" s="216"/>
      <c r="EP302" s="216"/>
      <c r="EQ302" s="210"/>
      <c r="ER302" s="210">
        <f>Crops[[#This Row],[Harvests]]*Crops[[#This Row],[Days Between Harvest]]/7</f>
        <v>1</v>
      </c>
      <c r="ES302" s="217">
        <f>_xlfn.XLOOKUP(Crops[[#This Row],[ProductIndex]],Products[ID],Products[CSA Need])</f>
        <v>3</v>
      </c>
      <c r="ET302" s="217">
        <f>_xlfn.XLOOKUP(Crops[[#This Row],[ProductIndex]],Products[ID],Products[CSA Times])</f>
        <v>1</v>
      </c>
      <c r="EU302" s="208">
        <f>Crops[[#This Row],[Custom Yield Per Bed]]/(Crops[[#This Row],[CSA Need]]*(_xlfn.XLOOKUP(Crops[[#This Row],[ProductIndex]],Products[ID],Products[CSA Portion])*CSAMembers))</f>
        <v>0.22222222222222221</v>
      </c>
      <c r="EV302" s="208">
        <f>_xlfn.XLOOKUP(Crops[[#This Row],[ProductIndex]],Products[ID],Products[CSA Portion])*CSAMembers*Crops[[#This Row],[CSA Need]]/Crops[[#This Row],[Custom Yield Per Bed]]</f>
        <v>4.5</v>
      </c>
      <c r="EW302" s="208">
        <f>IFERROR(Crops[[#This Row],[Days In Field]]*Crops[[#This Row],[CSA Beds]],"")</f>
        <v>481.5</v>
      </c>
      <c r="EX302" s="208" t="e">
        <f>Crops[[#This Row],[CSA Bed Days]]*#REF!</f>
        <v>#REF!</v>
      </c>
      <c r="EY302" t="s">
        <v>1731</v>
      </c>
    </row>
    <row r="303" spans="1:155" ht="14.25" customHeight="1">
      <c r="A303"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Squash (Kuri) - Storage 1X | Field TP </v>
      </c>
      <c r="B303" s="187"/>
      <c r="C303" s="1" t="b">
        <v>1</v>
      </c>
      <c r="D303" s="1"/>
      <c r="E303" s="1" t="b">
        <v>0</v>
      </c>
      <c r="F303" s="1" t="b">
        <f>IFERROR(IF(ISNUMBER(MATCH(Crops[[#This Row],[Identifier]],BedPlan[Crop], 0)), TRUE, FALSE), FALSE)</f>
        <v>1</v>
      </c>
      <c r="G303" s="1" t="b">
        <f>IFERROR(IF(ISNUMBER(MATCH(Crops[[#This Row],[Identifier]],BedPlan[Crop], 0)), TRUE, FALSE), FALSE)</f>
        <v>1</v>
      </c>
      <c r="H303" s="1"/>
      <c r="I303" t="s">
        <v>124</v>
      </c>
      <c r="J303" t="s">
        <v>1739</v>
      </c>
      <c r="K303" t="s">
        <v>208</v>
      </c>
      <c r="M303" t="s">
        <v>1309</v>
      </c>
      <c r="N303" t="str">
        <f>Crops[[#This Row],[Crop]]</f>
        <v>Squash</v>
      </c>
      <c r="O303" t="s">
        <v>210</v>
      </c>
      <c r="P303" t="str">
        <f>IF(OR(Crops[[#This Row],[Days in Cells]]="",Crops[[#This Row],[Days in Cells]]=0), "DS","TP")</f>
        <v>TP</v>
      </c>
      <c r="V303" t="str">
        <f xml:space="preserve"> IF(Crops[[#This Row],[Sp]], "Sp", "") &amp; IF(Crops[[#This Row],[Su]], "Su", "") &amp; IF(Crops[[#This Row],[Fa]], "Fa", "") &amp; IF(Crops[[#This Row],[Wi]], "Wi", "") &amp; IF(Crops[[#This Row],[OW]], "Ow","")</f>
        <v/>
      </c>
      <c r="W303" t="s">
        <v>144</v>
      </c>
      <c r="X303">
        <v>1</v>
      </c>
      <c r="Y303">
        <v>36</v>
      </c>
      <c r="AA303" t="s">
        <v>474</v>
      </c>
      <c r="AB303" t="b">
        <v>0</v>
      </c>
      <c r="AC303">
        <v>3</v>
      </c>
      <c r="AD303" s="32">
        <f>IFERROR(12/Crops[[#This Row],[Spacing]]*Crops[[#This Row],[Rows]]*BedLength,"")</f>
        <v>16.666666666666664</v>
      </c>
      <c r="AE303">
        <v>1</v>
      </c>
      <c r="AG303">
        <f>IF(Crops[[#This Row],[Custom Safety Factor]]="",PlantingSafetyFactor,Crops[[#This Row],[Custom Safety Factor]])</f>
        <v>1.3</v>
      </c>
      <c r="AH303">
        <f>1</f>
        <v>1</v>
      </c>
      <c r="AI303" s="33">
        <f>IFERROR(Crops[[#This Row],[Plantings Per Bed]]*Crops[[#This Row],[Seeds Per Planting]]*Crops[[#This Row],[Safety Factor]]*Crops[[#This Row],[Seeding Factor]],"")</f>
        <v>21.666666666666664</v>
      </c>
      <c r="AL303">
        <f>_xlfn.FLOOR.MATH(IFERROR(AVERAGE(Crops[[#This Row],[DTG Lower]:[DTG Upper]]),0))</f>
        <v>0</v>
      </c>
      <c r="AM303">
        <f>SUM(Crops[[#This Row],[Tray 1 Days]],Crops[[#This Row],[Tray 2 Days]],Crops[[#This Row],[Tray 3 Days]])</f>
        <v>28</v>
      </c>
      <c r="AN303" s="32">
        <f>4*7</f>
        <v>28</v>
      </c>
      <c r="AP303">
        <v>100</v>
      </c>
      <c r="AQ303">
        <f>IFERROR(_xlfn.FLOOR.MATH(AVERAGE(Crops[[#This Row],[DTM Lower]:[DTM Upper]])),"")</f>
        <v>100</v>
      </c>
      <c r="AR303" cm="1">
        <f t="array" ref="AR303">_xlfn.SWITCH(Crops[[#This Row],[Normal Method]],"DS",Crops[[#This Row],[Days to Germination]]+Crops[[#This Row],[DTM]] + IF(Crops[[#This Row],[Days in Cells]]&gt;0,15,0), "TP",Crops[[#This Row],[DTM]]+Crops[[#This Row],[Days in Cells]] + IF(Crops[[#This Row],[Days in Cells]]&lt;=0,20,0), "X", Crops[[#This Row],[DTM]])</f>
        <v>128</v>
      </c>
      <c r="AS303" t="s">
        <v>346</v>
      </c>
      <c r="AT303">
        <f>(Crops[[#This Row],[Harvests]]-1)*Crops[[#This Row],[Days Between Harvest]]+7</f>
        <v>7</v>
      </c>
      <c r="AU303">
        <f>Crops[[#This Row],[STH]]-Crops[[#This Row],[Days in Cells]]+Crops[[#This Row],[Harvest window]]</f>
        <v>107</v>
      </c>
      <c r="AX303">
        <v>50</v>
      </c>
      <c r="AY303">
        <v>28</v>
      </c>
      <c r="AZ303" s="49">
        <f>IFERROR(IF(Crops[[#This Row],[Tray 1 Days]]=0,"",Crops[[#This Row],[Plantings Per Bed]]/Crops[[#This Row],[Tray 1 Size]]*Crops[[#This Row],[Safety Factor]]),"")</f>
        <v>0.43333333333333324</v>
      </c>
      <c r="BC303" t="str">
        <f>IFERROR(IF(Crops[[#This Row],[Tray 2 Days]]=0,"",Crops[[#This Row],[Plantings Per Bed]]/Crops[[#This Row],[Tray 2 Size]]*Crops[[#This Row],[Safety Factor]]),"")</f>
        <v/>
      </c>
      <c r="BE303" s="32" t="str">
        <f>IF(NOT(ISBLANK(Crops[[#This Row],[Tray 3 Size]])), Crops[[#This Row],[Days in Cells Old]]-SUM(Crops[[#This Row],[Tray 1 Days]],Crops[[#This Row],[Tray 2 Days]]), "")</f>
        <v/>
      </c>
      <c r="BF303" s="49" t="str">
        <f>IFERROR(IF(Crops[[#This Row],[Tray 3 Days]]=0,"",Crops[[#This Row],[Plantings Per Bed]]/Crops[[#This Row],[Tray 3 Size]]*Crops[[#This Row],[Safety Factor]]),"")</f>
        <v/>
      </c>
      <c r="BG303" s="33">
        <f>Crops[[#This Row],[Plantings Per Bed]]*3*3/Crops[[#This Row],[Harvests]]</f>
        <v>149.99999999999997</v>
      </c>
      <c r="BH303" s="33">
        <v>1</v>
      </c>
      <c r="BI303" s="33">
        <v>7</v>
      </c>
      <c r="BJ303" s="33">
        <f>_xlfn.XLOOKUP(Crops[[#This Row],[ProductIndex]],Products[ID],Products[Holding Period])</f>
        <v>7</v>
      </c>
      <c r="BK303" s="33"/>
      <c r="BL303" s="33">
        <f>Crops[[#This Row],[Units Per Harvest]]*Crops[[#This Row],[Harvests]]</f>
        <v>149.99999999999997</v>
      </c>
      <c r="BM303" s="35">
        <v>2.25</v>
      </c>
      <c r="BN303" s="35">
        <f>Crops[[#This Row],[Direct Price]]*0.6</f>
        <v>1.3499999999999999</v>
      </c>
      <c r="BO303" s="35"/>
      <c r="BP303" t="s">
        <v>383</v>
      </c>
      <c r="BQ303">
        <f>Crops[[#This Row],[Custom Yield Per Bed]]*Crops[[#This Row],[Direct Price]]</f>
        <v>337.49999999999994</v>
      </c>
      <c r="BS303" t="b">
        <f>Crops[[#This Row],[Harvests]]&gt;1</f>
        <v>0</v>
      </c>
      <c r="BT303" s="36">
        <f>IFERROR(Crops[[#This Row],[Direct Revenue Per Bed]]/Crops[[#This Row],[Days In Field]],-1)</f>
        <v>3.1542056074766349</v>
      </c>
      <c r="BU303" s="36">
        <f>IFERROR(Crops[[#This Row],[Direct Revenue Per Bed Day]]*GrowingDays*BedsPerAcre,"")</f>
        <v>90841.121495327083</v>
      </c>
      <c r="BV303" s="38">
        <f>LastFrostDate-5*Crops[[#This Row],[Sewing Rel Last Frost]]</f>
        <v>45758</v>
      </c>
      <c r="BW303" s="38">
        <f>Crops[[#This Row],[Target Sewing Date]]+Crops[[#This Row],[Days in Cells]]</f>
        <v>45786</v>
      </c>
      <c r="BX303" s="38">
        <f>Crops[[#This Row],[Target Sewing Date]]+Crops[[#This Row],[STH]]</f>
        <v>45886</v>
      </c>
      <c r="BY303" s="38">
        <f>Crops[[#This Row],[Target Harvest Data]]+Crops[[#This Row],[Harvest window]]</f>
        <v>45893</v>
      </c>
      <c r="BZ303">
        <v>-2</v>
      </c>
      <c r="CB303">
        <f>1</f>
        <v>1</v>
      </c>
      <c r="CC303">
        <f>IF(Crops[[#This Row],[Transplanting]]&gt;0, 2, 3)*BedLength/StandardBedLength</f>
        <v>1</v>
      </c>
      <c r="CD303" s="173">
        <f>IF(Crops[[#This Row],[Days in Cells]]&lt;=0,0,Crops[[#This Row],[Plantings Per Bed]]/StartsPerHourSeeding+Crops[[#This Row],[Tray 1 Count]]*5/60)</f>
        <v>0.10121527777777775</v>
      </c>
      <c r="CE303" s="173">
        <f>IF(ISBLANK(Crops[[#This Row],[Tray 2 Days]]),0,Crops[[#This Row],[Plantings Per Bed]]/UpPottingPerHour)+IF(Crops[[#This Row],[Tray 3 Days]]="",0,Crops[[#This Row],[Plantings Per Bed]]/UpPottingPerHour)</f>
        <v>0</v>
      </c>
      <c r="CF303" s="173">
        <f>IFERROR(Crops[[#This Row],[Tray 1 Count]]/HomeStartFlatIrrigationPerHour,0)*Crops[[#This Row],[Days in Cells]]/DaysBetweenStartIrrigation</f>
        <v>5.0555555555555548E-2</v>
      </c>
      <c r="CG303" s="173">
        <f>0.5/16*MAX(Crops[[#This Row],[Tray 1 Count]],Crops[[#This Row],[Tray 2 Count]],Crops[[#This Row],[Tray 3 Count]])</f>
        <v>1.3541666666666664E-2</v>
      </c>
      <c r="CH303" s="173">
        <f>IF(Crops[[#This Row],[Days in Cells]]&gt;0,IF(IF(Crops[[#This Row],[Tray 3 Size]]&gt;0,Crops[[#This Row],[Tray 3 Size]],IF(Crops[[#This Row],[Tray 2 Size]]&gt;0,Crops[[#This Row],[Tray 2 Size]],Crops[[#This Row],[Tray 1 Size]]))&lt;=18,LargeTransplantTime,SmallTransplantTime)*Crops[[#This Row],[Plantings Per Bed]],0)</f>
        <v>8.3333333333333329E-2</v>
      </c>
      <c r="CI303" s="173"/>
      <c r="CJ303" s="173">
        <f>_xlfn.XLOOKUP(Crops[[#This Row],[Trellis Type]],TrellisMethods[Trellis Type],TrellisMethods[Hours],0,0)</f>
        <v>0</v>
      </c>
      <c r="CK303">
        <f>IF(Crops[[#This Row],[Days in Cells]]&lt;=0,Crops[[#This Row],[Rows]]*1/10,0)*BedLength/50</f>
        <v>0</v>
      </c>
      <c r="CL303" cm="1">
        <f t="array" ref="CL303">_xlfn.SWITCH(Crops[[#This Row],[Irrigation]],"DR", 0.5, "OH", 0.25,0)*BedLength/50</f>
        <v>0</v>
      </c>
      <c r="CM303">
        <f>IF(OR(ISBLANK(Crops[[#This Row],[Row Cover]]),Crops[[#This Row],[Row Cover]]="None"),0,1)*BedLength/50</f>
        <v>0</v>
      </c>
      <c r="CN303" s="173">
        <f>HoursPerWeedingPass*Crops[[#This Row],[Days In Field]]/14*Crops[[#This Row],[Rows]]+1*BedLength/50</f>
        <v>2.2738095238095237</v>
      </c>
      <c r="CO303" s="49"/>
      <c r="CQ303" s="37">
        <f>_xlfn.XLOOKUP(Crops[[#This Row],[Crop]]&amp;Crops[[#This Row],[Product]]&amp;Crops[[#This Row],[Unit]],Products[ID],Products[Marketing (hr)])*Crops[[#This Row],[Direct Revenue Per Bed]]/2000</f>
        <v>0.33749999999999997</v>
      </c>
      <c r="CR303" s="37">
        <f>_xlfn.XLOOKUP(Crops[[#This Row],[Crop]]&amp;Crops[[#This Row],[Product]]&amp;Crops[[#This Row],[Unit]],Products[ID],Products[Harvest (s)])*Crops[[#This Row],[Custom Yield Per Bed]]/3600</f>
        <v>0.41666666666666663</v>
      </c>
      <c r="CS303" s="37">
        <f>_xlfn.XLOOKUP(Crops[[#This Row],[Crop]]&amp;Crops[[#This Row],[Product]]&amp;Crops[[#This Row],[Unit]],Products[ID],Products[Bunch (s)])*Crops[[#This Row],[Custom Yield Per Bed]]/3600</f>
        <v>0</v>
      </c>
      <c r="CT303" s="37">
        <f>_xlfn.XLOOKUP(Crops[[#This Row],[Crop]]&amp;Crops[[#This Row],[Product]]&amp;Crops[[#This Row],[Unit]],Products[ID],Products[Haul (s)])*Crops[[#This Row],[Custom Yield Per Bed]]/3600</f>
        <v>9.3749999999999986E-2</v>
      </c>
      <c r="CU303" s="37">
        <f>_xlfn.XLOOKUP(Crops[[#This Row],[Crop]]&amp;Crops[[#This Row],[Product]]&amp;Crops[[#This Row],[Unit]],Products[ID],Products[Wash (s)])*Crops[[#This Row],[Custom Yield Per Bed]]/3600</f>
        <v>0</v>
      </c>
      <c r="CV303" s="37">
        <f>_xlfn.XLOOKUP(Crops[[#This Row],[Crop]]&amp;Crops[[#This Row],[Product]]&amp;Crops[[#This Row],[Unit]],Products[ID],Products[Condition (s)])*Crops[[#This Row],[Custom Yield Per Bed]]/3600</f>
        <v>0</v>
      </c>
      <c r="CW303" s="37">
        <f>_xlfn.XLOOKUP(Crops[[#This Row],[Crop]]&amp;Crops[[#This Row],[Product]]&amp;Crops[[#This Row],[Unit]],Products[ID],Products[Trim (s)])*Crops[[#This Row],[Custom Yield Per Bed]]/3600</f>
        <v>0</v>
      </c>
      <c r="CX303" s="37">
        <f>_xlfn.XLOOKUP(Crops[[#This Row],[Crop]]&amp;Crops[[#This Row],[Product]]&amp;Crops[[#This Row],[Unit]],Products[ID],Products[Pack (s)])*Crops[[#This Row],[Custom Yield Per Bed]]/3600</f>
        <v>0.12499999999999997</v>
      </c>
      <c r="CY303" s="37">
        <f>_xlfn.XLOOKUP(Crops[[#This Row],[Crop]]&amp;Crops[[#This Row],[Product]]&amp;Crops[[#This Row],[Unit]],Products[ID],Products[Clean (s)])*Crops[[#This Row],[Custom Yield Per Bed]]/3600</f>
        <v>0</v>
      </c>
      <c r="CZ303" s="37">
        <f>_xlfn.XLOOKUP(Crops[[#This Row],[Crop]]&amp;Crops[[#This Row],[Product]]&amp;Crops[[#This Row],[Unit]],Products[ID],Products[Rehandle (s)])*Crops[[#This Row],[Custom Yield Per Bed]]/3600</f>
        <v>0</v>
      </c>
      <c r="DA303" s="37">
        <f>_xlfn.XLOOKUP(Crops[[#This Row],[Crop]]&amp;Crops[[#This Row],[Product]]&amp;Crops[[#This Row],[Unit]],Products[ID],Products[Market Transport (s)])*Crops[[#This Row],[Custom Yield Per Bed]]/3600</f>
        <v>0.23437499999999997</v>
      </c>
      <c r="DC303" s="37">
        <f>Crops[[#This Row],[Direct Revenue Per Bed2]]</f>
        <v>337.49999999999994</v>
      </c>
      <c r="DD303" s="173">
        <f>_xlfn.AGGREGATE(9,6,Crops[[#This Row],[Bed Prep]:[Remove Crop Residue]])</f>
        <v>4.7297470238095229</v>
      </c>
      <c r="DE303" s="173">
        <f>_xlfn.AGGREGATE(9,6,Crops[[#This Row],[Bed Prep]:[Remove Crop Residue]])-0.75*Crops[[#This Row],[Market &amp; Sell]]</f>
        <v>4.4766220238095231</v>
      </c>
      <c r="DF303" s="36">
        <f>Crops[[#This Row],[Direct Revenue Per Bed2]]/Crops[[#This Row],[Direct Time]]</f>
        <v>71.35688194337385</v>
      </c>
      <c r="DG303" s="36">
        <f>_xlfn.XLOOKUP(Crops[[#This Row],[ProductIndex]],Products[ID],Products[Packaging Cost])*(Crops[[#This Row],[Custom Yield Per Bed]]/_xlfn.XLOOKUP(Crops[[#This Row],[ProductIndex]],Products[ID],Products[Units Per Pack]))</f>
        <v>22.799999999999997</v>
      </c>
      <c r="DH303" s="36"/>
      <c r="DI303" s="36"/>
      <c r="DJ303" s="36"/>
      <c r="DK303" s="36"/>
      <c r="DL303" s="36"/>
      <c r="DM303" s="33">
        <f>IFERROR(Crops[[#This Row],[Custom Yield Per Bed]]*Crops[[#This Row],[Direct Price]],"")</f>
        <v>337.49999999999994</v>
      </c>
      <c r="DN303" s="36">
        <f>Crops[[#This Row],[Direct Time]]*LaborRate</f>
        <v>118.24367559523807</v>
      </c>
      <c r="DO303" s="36">
        <f>SUM(Crops[[#This Row],[Irrigation Cost]])</f>
        <v>0</v>
      </c>
      <c r="DP303" s="36">
        <f>Crops[[#This Row],[Direct Labor Cost]]+Crops[[#This Row],[Direct Non-Labor Cost]]</f>
        <v>118.24367559523807</v>
      </c>
      <c r="DQ303" s="36">
        <f>Crops[[#This Row],[Direct Revenue Per Bed2]]-Crops[[#This Row],[Direct Total Cost]]</f>
        <v>219.25632440476187</v>
      </c>
      <c r="DR303" s="36">
        <f>Crops[[#This Row],[Direct Profit]]*BedsPerAcre</f>
        <v>35081.011904761901</v>
      </c>
      <c r="DS303" s="36">
        <f>Crops[[#This Row],[Direct Profit]]*BedsPerAcre*GrowingDays/Crops[[#This Row],[Days In Field]]</f>
        <v>59014.786381842445</v>
      </c>
      <c r="DT303" s="36">
        <f>Crops[[#This Row],[Direct Profit]]/MIN(Crops[[#This Row],[Days In Field]],GrowingDays)</f>
        <v>2.0491245271473071</v>
      </c>
      <c r="DU303" s="33">
        <f>Crops[[#This Row],[Direct Time]] * BedsPerAcre</f>
        <v>756.75952380952367</v>
      </c>
      <c r="DV303" s="36">
        <f>(Crops[[#This Row],[Direct Revenue Per Bed2]]-Crops[[#This Row],[Direct Non-Labor Cost]])/Crops[[#This Row],[Direct Time]]</f>
        <v>71.35688194337385</v>
      </c>
      <c r="DW303" s="33">
        <f>IFERROR(Crops[[#This Row],[Custom Yield Per Bed]]*Crops[[#This Row],[Rough Wholesale Price]],"")</f>
        <v>202.49999999999994</v>
      </c>
      <c r="DX303" s="36">
        <f>Crops[[#This Row],[Wholesale Time]]*LaborRate</f>
        <v>111.91555059523807</v>
      </c>
      <c r="DY303" s="36">
        <f>SUM(Crops[[#This Row],[Packaging Costs]:[Irrigation Cost]])</f>
        <v>22.799999999999997</v>
      </c>
      <c r="DZ303" s="36">
        <f>Crops[[#This Row],[Wholesale Labor Cost]]+Crops[[#This Row],[Wholesale Non-Labor Cost]]</f>
        <v>134.71555059523808</v>
      </c>
      <c r="EA303" s="36">
        <f>Crops[[#This Row],[Wholesale Revenue Per Bed]]-Crops[[#This Row],[Wholesale Total Cost]]</f>
        <v>67.784449404761858</v>
      </c>
      <c r="EB303" s="36">
        <f>Crops[[#This Row],[Wholesale Profit]]*BedsPerAcre</f>
        <v>10845.511904761897</v>
      </c>
      <c r="EC303" s="36">
        <f>Crops[[#This Row],[Wholesale Profit]]*BedsPerAcre*GrowingDays/Crops[[#This Row],[Days In Field]]</f>
        <v>18244.786381842445</v>
      </c>
      <c r="ED303" s="33">
        <f>Crops[[#This Row],[Wholesale Time]] * BedsPerAcre</f>
        <v>716.25952380952367</v>
      </c>
      <c r="EE303" s="221">
        <f>Crops[[#This Row],[Wholesale Profit]]/MIN(Crops[[#This Row],[Days In Field]],GrowingDays)</f>
        <v>0.63349952714730706</v>
      </c>
      <c r="EF303" s="36">
        <f>(Crops[[#This Row],[Wholesale Revenue Per Bed]]-Crops[[#This Row],[Wholesale Non-Labor Cost]])/Crops[[#This Row],[Direct Time]]</f>
        <v>37.993575363627492</v>
      </c>
      <c r="EG303" s="174">
        <f>Crops[[#This Row],[Packaging Costs]]/Crops[[#This Row],[Wholesale Revenue Per Bed]]</f>
        <v>0.11259259259259261</v>
      </c>
      <c r="EH303" s="36" t="str">
        <f>Crops[[#This Row],[Crop]]&amp;Crops[[#This Row],[Product]]&amp;Crops[[#This Row],[Unit]]</f>
        <v>SquashStorageLb</v>
      </c>
      <c r="EI303" s="36" t="b">
        <f>_xlfn.XLOOKUP(Crops[[#This Row],[ProductIndex]],Products[ID],Products[Target])</f>
        <v>1</v>
      </c>
      <c r="EJ303" s="33">
        <f>Crops[[#This Row],[Custom Yield Per Bed]]</f>
        <v>149.99999999999997</v>
      </c>
      <c r="EK303" s="210">
        <f>Crops[[#This Row],[Units Per Harvest]]/Crops[[#This Row],[Days Between Harvest]]*7</f>
        <v>149.99999999999997</v>
      </c>
      <c r="EL303" s="210">
        <f>Crops[[#This Row],[Custom Yield Per Bed]]/_xlfn.XLOOKUP(Crops[[#This Row],[ProductIndex]],Products[ID],Products[CSA Portion])</f>
        <v>49.999999999999993</v>
      </c>
      <c r="EM303" s="210">
        <f>Crops[[#This Row],[Units Per Harvest]]/Crops[[#This Row],[Days Between Harvest]]*7/_xlfn.XLOOKUP(Crops[[#This Row],[ProductIndex]],Products[ID],Products[CSA Portion])</f>
        <v>49.999999999999993</v>
      </c>
      <c r="EN303" s="210">
        <f>Crops[[#This Row],[CSA Portions Per Week]]/CSAMembers</f>
        <v>0.99999999999999989</v>
      </c>
      <c r="EO303" s="216">
        <v>1</v>
      </c>
      <c r="EP303" s="216">
        <v>1</v>
      </c>
      <c r="EQ303" s="210"/>
      <c r="ER303" s="210">
        <f>Crops[[#This Row],[Harvests]]*Crops[[#This Row],[Days Between Harvest]]/7</f>
        <v>1</v>
      </c>
      <c r="ES303" s="217">
        <f>_xlfn.XLOOKUP(Crops[[#This Row],[ProductIndex]],Products[ID],Products[CSA Need])</f>
        <v>3</v>
      </c>
      <c r="ET303" s="217">
        <f>_xlfn.XLOOKUP(Crops[[#This Row],[ProductIndex]],Products[ID],Products[CSA Times])</f>
        <v>1</v>
      </c>
      <c r="EU303" s="208">
        <f>Crops[[#This Row],[Custom Yield Per Bed]]/(Crops[[#This Row],[CSA Need]]*(_xlfn.XLOOKUP(Crops[[#This Row],[ProductIndex]],Products[ID],Products[CSA Portion])*CSAMembers))</f>
        <v>0.33333333333333326</v>
      </c>
      <c r="EV303" s="208">
        <f>_xlfn.XLOOKUP(Crops[[#This Row],[ProductIndex]],Products[ID],Products[CSA Portion])*CSAMembers*Crops[[#This Row],[CSA Need]]/Crops[[#This Row],[Custom Yield Per Bed]]</f>
        <v>3.0000000000000004</v>
      </c>
      <c r="EW303" s="208">
        <f>IFERROR(Crops[[#This Row],[Days In Field]]*Crops[[#This Row],[CSA Beds]],"")</f>
        <v>321.00000000000006</v>
      </c>
      <c r="EX303" s="208" t="e">
        <f>Crops[[#This Row],[CSA Bed Days]]*#REF!</f>
        <v>#REF!</v>
      </c>
      <c r="EY303" t="s">
        <v>1731</v>
      </c>
    </row>
    <row r="304" spans="1:155">
      <c r="A30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Stock (Antique Pink) - Mature Stem 1X | Field TP </v>
      </c>
      <c r="B304" s="191"/>
      <c r="C304" s="1"/>
      <c r="D304" s="1"/>
      <c r="E304" s="1" t="b">
        <v>0</v>
      </c>
      <c r="F304" s="1" t="b">
        <f>IFERROR(IF(ISNUMBER(MATCH(Crops[[#This Row],[Identifier]],BedPlan[Crop], 0)), TRUE, FALSE), FALSE)</f>
        <v>0</v>
      </c>
      <c r="G304" s="1" t="b">
        <f>IFERROR(IF(ISNUMBER(MATCH(Crops[[#This Row],[Identifier]],BedPlan[Crop], 0)), TRUE, FALSE), FALSE)</f>
        <v>0</v>
      </c>
      <c r="H304" s="1"/>
      <c r="I304" t="s">
        <v>125</v>
      </c>
      <c r="J304" t="s">
        <v>174</v>
      </c>
      <c r="K304" t="s">
        <v>181</v>
      </c>
      <c r="M304" t="s">
        <v>406</v>
      </c>
      <c r="N304" t="str">
        <f>Crops[[#This Row],[Crop]]</f>
        <v>Stock</v>
      </c>
      <c r="O304" t="s">
        <v>210</v>
      </c>
      <c r="P304" t="str">
        <f>IF(OR(Crops[[#This Row],[Days in Cells]]="",Crops[[#This Row],[Days in Cells]]=0), "DS","TP")</f>
        <v>TP</v>
      </c>
      <c r="V304" t="str">
        <f xml:space="preserve"> IF(Crops[[#This Row],[Sp]], "Sp", "") &amp; IF(Crops[[#This Row],[Su]], "Su", "") &amp; IF(Crops[[#This Row],[Fa]], "Fa", "") &amp; IF(Crops[[#This Row],[Wi]], "Wi", "") &amp; IF(Crops[[#This Row],[OW]], "Ow","")</f>
        <v/>
      </c>
      <c r="W304" t="s">
        <v>144</v>
      </c>
      <c r="X304">
        <v>5</v>
      </c>
      <c r="Y304">
        <v>6</v>
      </c>
      <c r="AA304" t="s">
        <v>476</v>
      </c>
      <c r="AB304" t="b">
        <v>0</v>
      </c>
      <c r="AC304">
        <v>3</v>
      </c>
      <c r="AD304" s="32">
        <f>IFERROR(12/Crops[[#This Row],[Spacing]]*Crops[[#This Row],[Rows]]*BedLength,"")</f>
        <v>500</v>
      </c>
      <c r="AE304">
        <v>1</v>
      </c>
      <c r="AG304">
        <f>IF(Crops[[#This Row],[Custom Safety Factor]]="",PlantingSafetyFactor,Crops[[#This Row],[Custom Safety Factor]])</f>
        <v>1.3</v>
      </c>
      <c r="AH304">
        <f>1</f>
        <v>1</v>
      </c>
      <c r="AI304" s="33">
        <f>IFERROR(Crops[[#This Row],[Plantings Per Bed]]*Crops[[#This Row],[Seeds Per Planting]]*Crops[[#This Row],[Safety Factor]]*Crops[[#This Row],[Seeding Factor]],"")</f>
        <v>650</v>
      </c>
      <c r="AJ304">
        <v>7</v>
      </c>
      <c r="AK304">
        <v>14</v>
      </c>
      <c r="AL304">
        <f>_xlfn.FLOOR.MATH(IFERROR(AVERAGE(Crops[[#This Row],[DTG Lower]:[DTG Upper]]),0))</f>
        <v>10</v>
      </c>
      <c r="AM304">
        <f>SUM(Crops[[#This Row],[Tray 1 Days]],Crops[[#This Row],[Tray 2 Days]],Crops[[#This Row],[Tray 3 Days]])</f>
        <v>38</v>
      </c>
      <c r="AN304" s="32">
        <v>35</v>
      </c>
      <c r="AO304">
        <v>90</v>
      </c>
      <c r="AP304">
        <v>105</v>
      </c>
      <c r="AQ304">
        <f>IFERROR(_xlfn.FLOOR.MATH(AVERAGE(Crops[[#This Row],[DTM Lower]:[DTM Upper]])),"")</f>
        <v>97</v>
      </c>
      <c r="AR304" cm="1">
        <f t="array" ref="AR304">_xlfn.SWITCH(Crops[[#This Row],[Normal Method]],"DS",Crops[[#This Row],[Days to Germination]]+Crops[[#This Row],[DTM]] + IF(Crops[[#This Row],[Days in Cells]]&gt;0,15,0), "TP",Crops[[#This Row],[DTM]]+Crops[[#This Row],[Days in Cells]] + IF(Crops[[#This Row],[Days in Cells]]&lt;=0,20,0), "X", Crops[[#This Row],[DTM]])</f>
        <v>135</v>
      </c>
      <c r="AS304" t="s">
        <v>346</v>
      </c>
      <c r="AT304">
        <f>(Crops[[#This Row],[Harvests]]-1)*Crops[[#This Row],[Days Between Harvest]]+7</f>
        <v>14</v>
      </c>
      <c r="AU304">
        <f>Crops[[#This Row],[STH]]-Crops[[#This Row],[Days in Cells]]+Crops[[#This Row],[Harvest window]]</f>
        <v>111</v>
      </c>
      <c r="AW304">
        <v>128</v>
      </c>
      <c r="AX304">
        <v>128</v>
      </c>
      <c r="AY304">
        <v>38</v>
      </c>
      <c r="AZ304" s="49">
        <f>IFERROR(IF(Crops[[#This Row],[Tray 1 Days]]=0,"",Crops[[#This Row],[Plantings Per Bed]]/Crops[[#This Row],[Tray 1 Size]]*Crops[[#This Row],[Safety Factor]]),"")</f>
        <v>5.078125</v>
      </c>
      <c r="BC304" t="str">
        <f>IFERROR(IF(Crops[[#This Row],[Tray 2 Days]]=0,"",Crops[[#This Row],[Plantings Per Bed]]/Crops[[#This Row],[Tray 2 Size]]*Crops[[#This Row],[Safety Factor]]),"")</f>
        <v/>
      </c>
      <c r="BE304" s="32" t="str">
        <f>IF(NOT(ISBLANK(Crops[[#This Row],[Tray 3 Size]])), Crops[[#This Row],[Days in Cells Old]]-SUM(Crops[[#This Row],[Tray 1 Days]],Crops[[#This Row],[Tray 2 Days]]), "")</f>
        <v/>
      </c>
      <c r="BF304" s="49" t="str">
        <f>IFERROR(IF(Crops[[#This Row],[Tray 3 Days]]=0,"",Crops[[#This Row],[Plantings Per Bed]]/Crops[[#This Row],[Tray 3 Size]]*Crops[[#This Row],[Safety Factor]]),"")</f>
        <v/>
      </c>
      <c r="BG304" s="33">
        <f>Crops[[#This Row],[Plantings Per Bed]]/Crops[[#This Row],[Harvests]]</f>
        <v>250</v>
      </c>
      <c r="BH304" s="33">
        <v>2</v>
      </c>
      <c r="BI304" s="33">
        <v>7</v>
      </c>
      <c r="BJ304" s="33">
        <f>_xlfn.XLOOKUP(Crops[[#This Row],[ProductIndex]],Products[ID],Products[Holding Period])</f>
        <v>0</v>
      </c>
      <c r="BK304" s="33"/>
      <c r="BL304" s="33">
        <f>Crops[[#This Row],[Units Per Harvest]]*Crops[[#This Row],[Harvests]]</f>
        <v>500</v>
      </c>
      <c r="BM304" s="35">
        <v>1</v>
      </c>
      <c r="BN304" s="35">
        <f>Crops[[#This Row],[Direct Price]]*0.6</f>
        <v>0.6</v>
      </c>
      <c r="BO304" s="35"/>
      <c r="BP304" t="s">
        <v>213</v>
      </c>
      <c r="BQ304" s="193">
        <f>Crops[[#This Row],[Custom Yield Per Bed]]*Crops[[#This Row],[Direct Price]]</f>
        <v>500</v>
      </c>
      <c r="BR304" s="193" t="b">
        <v>0</v>
      </c>
      <c r="BS304" t="b">
        <f>Crops[[#This Row],[Harvests]]&gt;1</f>
        <v>1</v>
      </c>
      <c r="BT304" s="36">
        <f>IFERROR(Crops[[#This Row],[Direct Revenue Per Bed]]/Crops[[#This Row],[Days In Field]],-1)</f>
        <v>4.5045045045045047</v>
      </c>
      <c r="BU304" s="36">
        <f>IFERROR(Crops[[#This Row],[Direct Revenue Per Bed Day]]*GrowingDays*BedsPerAcre,"")</f>
        <v>129729.72972972973</v>
      </c>
      <c r="BV304" s="38">
        <f>LastFrostDate-5*Crops[[#This Row],[Sewing Rel Last Frost]]</f>
        <v>45723</v>
      </c>
      <c r="BW304" s="38">
        <f>Crops[[#This Row],[Target Sewing Date]]+Crops[[#This Row],[Days in Cells]]</f>
        <v>45761</v>
      </c>
      <c r="BX304" s="38">
        <f>Crops[[#This Row],[Target Sewing Date]]+Crops[[#This Row],[STH]]</f>
        <v>45858</v>
      </c>
      <c r="BY304" s="38">
        <f>Crops[[#This Row],[Target Harvest Data]]+Crops[[#This Row],[Harvest window]]</f>
        <v>45872</v>
      </c>
      <c r="BZ304">
        <v>5</v>
      </c>
      <c r="CB304">
        <f>1</f>
        <v>1</v>
      </c>
      <c r="CC304">
        <f>IF(Crops[[#This Row],[Transplanting]]&gt;0, 2, 3)*BedLength/StandardBedLength</f>
        <v>1</v>
      </c>
      <c r="CD304" s="173">
        <f>IF(Crops[[#This Row],[Days in Cells]]&lt;=0,0,Crops[[#This Row],[Plantings Per Bed]]/StartsPerHourSeeding+Crops[[#This Row],[Tray 1 Count]]*5/60)</f>
        <v>2.3763020833333335</v>
      </c>
      <c r="CE304" s="173">
        <f>IF(ISBLANK(Crops[[#This Row],[Tray 2 Days]]),0,Crops[[#This Row],[Plantings Per Bed]]/UpPottingPerHour)+IF(Crops[[#This Row],[Tray 3 Days]]="",0,Crops[[#This Row],[Plantings Per Bed]]/UpPottingPerHour)</f>
        <v>0</v>
      </c>
      <c r="CF304" s="173">
        <f>IFERROR(Crops[[#This Row],[Tray 1 Count]]/HomeStartFlatIrrigationPerHour,0)*Crops[[#This Row],[Days in Cells]]/DaysBetweenStartIrrigation</f>
        <v>0.80403645833333337</v>
      </c>
      <c r="CG304" s="173">
        <f>0.5/16*MAX(Crops[[#This Row],[Tray 1 Count]],Crops[[#This Row],[Tray 2 Count]],Crops[[#This Row],[Tray 3 Count]])</f>
        <v>0.15869140625</v>
      </c>
      <c r="CH304" s="173">
        <f>IF(Crops[[#This Row],[Days in Cells]]&gt;0,IF(IF(Crops[[#This Row],[Tray 3 Size]]&gt;0,Crops[[#This Row],[Tray 3 Size]],IF(Crops[[#This Row],[Tray 2 Size]]&gt;0,Crops[[#This Row],[Tray 2 Size]],Crops[[#This Row],[Tray 1 Size]]))&lt;=18,LargeTransplantTime,SmallTransplantTime)*Crops[[#This Row],[Plantings Per Bed]],0)</f>
        <v>2.5</v>
      </c>
      <c r="CI304" s="173"/>
      <c r="CJ304" s="173">
        <f>_xlfn.XLOOKUP(Crops[[#This Row],[Trellis Type]],TrellisMethods[Trellis Type],TrellisMethods[Hours],0,0)</f>
        <v>0</v>
      </c>
      <c r="CK304">
        <f>IF(Crops[[#This Row],[Days in Cells]]&lt;=0,Crops[[#This Row],[Rows]]*1/10,0)*BedLength/50</f>
        <v>0</v>
      </c>
      <c r="CL304" cm="1">
        <f t="array" ref="CL304">_xlfn.SWITCH(Crops[[#This Row],[Irrigation]],"DR", 0.5, "OH", 0.25,0)*BedLength/50</f>
        <v>0</v>
      </c>
      <c r="CM304">
        <f>IF(OR(ISBLANK(Crops[[#This Row],[Row Cover]]),Crops[[#This Row],[Row Cover]]="None"),0,1)*BedLength/50</f>
        <v>1</v>
      </c>
      <c r="CN304" s="173">
        <f>HoursPerWeedingPass*Crops[[#This Row],[Days In Field]]/14*Crops[[#This Row],[Rows]]+1*BedLength/50</f>
        <v>7.6071428571428568</v>
      </c>
      <c r="CQ304" s="37">
        <f>_xlfn.XLOOKUP(Crops[[#This Row],[Crop]]&amp;Crops[[#This Row],[Product]]&amp;Crops[[#This Row],[Unit]],Products[ID],Products[Marketing (hr)])*Crops[[#This Row],[Direct Revenue Per Bed]]/2000</f>
        <v>1.5</v>
      </c>
      <c r="CR304" s="37">
        <f>_xlfn.XLOOKUP(Crops[[#This Row],[Crop]]&amp;Crops[[#This Row],[Product]]&amp;Crops[[#This Row],[Unit]],Products[ID],Products[Harvest (s)])*Crops[[#This Row],[Custom Yield Per Bed]]/3600</f>
        <v>1.3888888888888888</v>
      </c>
      <c r="CS304" s="37">
        <f>_xlfn.XLOOKUP(Crops[[#This Row],[Crop]]&amp;Crops[[#This Row],[Product]]&amp;Crops[[#This Row],[Unit]],Products[ID],Products[Bunch (s)])*Crops[[#This Row],[Custom Yield Per Bed]]/3600</f>
        <v>0</v>
      </c>
      <c r="CT304" s="37">
        <f>_xlfn.XLOOKUP(Crops[[#This Row],[Crop]]&amp;Crops[[#This Row],[Product]]&amp;Crops[[#This Row],[Unit]],Products[ID],Products[Haul (s)])*Crops[[#This Row],[Custom Yield Per Bed]]/3600</f>
        <v>0.15625</v>
      </c>
      <c r="CU304" s="37">
        <f>_xlfn.XLOOKUP(Crops[[#This Row],[Crop]]&amp;Crops[[#This Row],[Product]]&amp;Crops[[#This Row],[Unit]],Products[ID],Products[Wash (s)])*Crops[[#This Row],[Custom Yield Per Bed]]/3600</f>
        <v>0</v>
      </c>
      <c r="CV304" s="37">
        <f>_xlfn.XLOOKUP(Crops[[#This Row],[Crop]]&amp;Crops[[#This Row],[Product]]&amp;Crops[[#This Row],[Unit]],Products[ID],Products[Condition (s)])*Crops[[#This Row],[Custom Yield Per Bed]]/3600</f>
        <v>0</v>
      </c>
      <c r="CW304" s="37">
        <f>_xlfn.XLOOKUP(Crops[[#This Row],[Crop]]&amp;Crops[[#This Row],[Product]]&amp;Crops[[#This Row],[Unit]],Products[ID],Products[Trim (s)])*Crops[[#This Row],[Custom Yield Per Bed]]/3600</f>
        <v>0.41666666666666669</v>
      </c>
      <c r="CX304" s="37">
        <f>_xlfn.XLOOKUP(Crops[[#This Row],[Crop]]&amp;Crops[[#This Row],[Product]]&amp;Crops[[#This Row],[Unit]],Products[ID],Products[Pack (s)])*Crops[[#This Row],[Custom Yield Per Bed]]/3600</f>
        <v>0.41666666666666669</v>
      </c>
      <c r="CY304" s="37">
        <f>_xlfn.XLOOKUP(Crops[[#This Row],[Crop]]&amp;Crops[[#This Row],[Product]]&amp;Crops[[#This Row],[Unit]],Products[ID],Products[Clean (s)])*Crops[[#This Row],[Custom Yield Per Bed]]/3600</f>
        <v>0</v>
      </c>
      <c r="CZ304" s="37">
        <f>_xlfn.XLOOKUP(Crops[[#This Row],[Crop]]&amp;Crops[[#This Row],[Product]]&amp;Crops[[#This Row],[Unit]],Products[ID],Products[Rehandle (s)])*Crops[[#This Row],[Custom Yield Per Bed]]/3600</f>
        <v>0</v>
      </c>
      <c r="DA304" s="37">
        <f>_xlfn.XLOOKUP(Crops[[#This Row],[Crop]]&amp;Crops[[#This Row],[Product]]&amp;Crops[[#This Row],[Unit]],Products[ID],Products[Market Transport (s)])*Crops[[#This Row],[Custom Yield Per Bed]]/3600</f>
        <v>0.390625</v>
      </c>
      <c r="DC304" s="37">
        <f>Crops[[#This Row],[Direct Revenue Per Bed2]]</f>
        <v>500</v>
      </c>
      <c r="DD304" s="173">
        <f>_xlfn.AGGREGATE(9,6,Crops[[#This Row],[Bed Prep]:[Remove Crop Residue]])</f>
        <v>19.71527002728175</v>
      </c>
      <c r="DE304" s="173">
        <f>_xlfn.AGGREGATE(9,6,Crops[[#This Row],[Bed Prep]:[Remove Crop Residue]])-0.75*Crops[[#This Row],[Market &amp; Sell]]</f>
        <v>18.59027002728175</v>
      </c>
      <c r="DF304" s="36">
        <f>Crops[[#This Row],[Direct Revenue Per Bed2]]/Crops[[#This Row],[Direct Time]]</f>
        <v>25.361052590611546</v>
      </c>
      <c r="DG304" s="36">
        <f>_xlfn.XLOOKUP(Crops[[#This Row],[ProductIndex]],Products[ID],Products[Packaging Cost])*(Crops[[#This Row],[Custom Yield Per Bed]]/_xlfn.XLOOKUP(Crops[[#This Row],[ProductIndex]],Products[ID],Products[Units Per Pack]))</f>
        <v>25</v>
      </c>
      <c r="DH304" s="36"/>
      <c r="DI304" s="36"/>
      <c r="DJ304" s="36"/>
      <c r="DK304" s="36"/>
      <c r="DL304" s="36"/>
      <c r="DM304" s="33">
        <f>IFERROR(Crops[[#This Row],[Custom Yield Per Bed]]*Crops[[#This Row],[Direct Price]],"")</f>
        <v>500</v>
      </c>
      <c r="DN304" s="36">
        <f>Crops[[#This Row],[Direct Time]]*LaborRate</f>
        <v>492.88175068204379</v>
      </c>
      <c r="DO304" s="36">
        <f>SUM(Crops[[#This Row],[Irrigation Cost]])</f>
        <v>0</v>
      </c>
      <c r="DP304" s="36">
        <f>Crops[[#This Row],[Direct Labor Cost]]+Crops[[#This Row],[Direct Non-Labor Cost]]</f>
        <v>492.88175068204379</v>
      </c>
      <c r="DQ304" s="36">
        <f>Crops[[#This Row],[Direct Revenue Per Bed2]]-Crops[[#This Row],[Direct Total Cost]]</f>
        <v>7.118249317956213</v>
      </c>
      <c r="DR304" s="36">
        <f>Crops[[#This Row],[Direct Profit]]*BedsPerAcre</f>
        <v>1138.9198908729941</v>
      </c>
      <c r="DS304" s="36">
        <f>Crops[[#This Row],[Direct Profit]]*BedsPerAcre*GrowingDays/Crops[[#This Row],[Days In Field]]</f>
        <v>1846.897120334585</v>
      </c>
      <c r="DT304" s="36">
        <f>Crops[[#This Row],[Direct Profit]]/MIN(Crops[[#This Row],[Days In Field]],GrowingDays)</f>
        <v>6.4128372233839756E-2</v>
      </c>
      <c r="DU304" s="36">
        <f>Crops[[#This Row],[Direct Time]] * BedsPerAcre</f>
        <v>3154.44320436508</v>
      </c>
      <c r="DV304" s="36">
        <f>(Crops[[#This Row],[Direct Revenue Per Bed2]]-Crops[[#This Row],[Direct Non-Labor Cost]])/Crops[[#This Row],[Direct Time]]</f>
        <v>25.361052590611546</v>
      </c>
      <c r="DW304" s="33">
        <f>IFERROR(Crops[[#This Row],[Custom Yield Per Bed]]*Crops[[#This Row],[Rough Wholesale Price]],"")</f>
        <v>300</v>
      </c>
      <c r="DX304" s="36">
        <f>Crops[[#This Row],[Wholesale Time]]*LaborRate</f>
        <v>464.75675068204379</v>
      </c>
      <c r="DY304" s="36">
        <f>SUM(Crops[[#This Row],[Packaging Costs]:[Irrigation Cost]])</f>
        <v>25</v>
      </c>
      <c r="DZ304" s="36">
        <f>Crops[[#This Row],[Wholesale Labor Cost]]+Crops[[#This Row],[Wholesale Non-Labor Cost]]</f>
        <v>489.75675068204379</v>
      </c>
      <c r="EA304" s="36">
        <f>Crops[[#This Row],[Wholesale Revenue Per Bed]]-Crops[[#This Row],[Wholesale Total Cost]]</f>
        <v>-189.75675068204379</v>
      </c>
      <c r="EB304" s="36">
        <f>Crops[[#This Row],[Wholesale Profit]]*BedsPerAcre</f>
        <v>-30361.080109127004</v>
      </c>
      <c r="EC304" s="36">
        <f>Crops[[#This Row],[Wholesale Profit]]*BedsPerAcre*GrowingDays/Crops[[#This Row],[Days In Field]]</f>
        <v>-49234.183960746494</v>
      </c>
      <c r="ED304" s="36">
        <f>Crops[[#This Row],[Wholesale Time]] * BedsPerAcre</f>
        <v>2974.44320436508</v>
      </c>
      <c r="EE304" s="36">
        <f>Crops[[#This Row],[Wholesale Profit]]/MIN(Crops[[#This Row],[Days In Field]],GrowingDays)</f>
        <v>-1.709520276414809</v>
      </c>
      <c r="EF304" s="36">
        <f>(Crops[[#This Row],[Wholesale Revenue Per Bed]]-Crops[[#This Row],[Wholesale Non-Labor Cost]])/Crops[[#This Row],[Direct Time]]</f>
        <v>13.948578924836351</v>
      </c>
      <c r="EG304" s="174">
        <f>Crops[[#This Row],[Packaging Costs]]/Crops[[#This Row],[Wholesale Revenue Per Bed]]</f>
        <v>8.3333333333333329E-2</v>
      </c>
      <c r="EH304" s="36" t="str">
        <f>Crops[[#This Row],[Crop]]&amp;Crops[[#This Row],[Product]]&amp;Crops[[#This Row],[Unit]]</f>
        <v>StockMature StemStem</v>
      </c>
      <c r="EI304" s="36" t="b">
        <f>_xlfn.XLOOKUP(Crops[[#This Row],[ProductIndex]],Products[ID],Products[Target])</f>
        <v>1</v>
      </c>
      <c r="EJ304" s="36">
        <f>Crops[[#This Row],[Custom Yield Per Bed]]</f>
        <v>500</v>
      </c>
      <c r="EK304" s="210">
        <f>Crops[[#This Row],[Units Per Harvest]]/Crops[[#This Row],[Days Between Harvest]]*7</f>
        <v>250</v>
      </c>
      <c r="EL304" s="210" t="e">
        <f>Crops[[#This Row],[Custom Yield Per Bed]]/_xlfn.XLOOKUP(Crops[[#This Row],[ProductIndex]],Products[ID],Products[CSA Portion])</f>
        <v>#DIV/0!</v>
      </c>
      <c r="EM304" s="210" t="e">
        <f>Crops[[#This Row],[Units Per Harvest]]/Crops[[#This Row],[Days Between Harvest]]*7/_xlfn.XLOOKUP(Crops[[#This Row],[ProductIndex]],Products[ID],Products[CSA Portion])</f>
        <v>#DIV/0!</v>
      </c>
      <c r="EN304" s="210" t="e">
        <f>Crops[[#This Row],[CSA Portions Per Week]]/CSAMembers</f>
        <v>#DIV/0!</v>
      </c>
      <c r="EO304" s="210"/>
      <c r="EP304" s="210"/>
      <c r="EQ304" s="36"/>
      <c r="ER304" s="36">
        <f>Crops[[#This Row],[Harvests]]*Crops[[#This Row],[Days Between Harvest]]/7</f>
        <v>2</v>
      </c>
      <c r="ES304" s="208">
        <f>_xlfn.XLOOKUP(Crops[[#This Row],[ProductIndex]],Products[ID],Products[CSA Need])</f>
        <v>0</v>
      </c>
      <c r="ET304" s="208">
        <f>_xlfn.XLOOKUP(Crops[[#This Row],[ProductIndex]],Products[ID],Products[CSA Times])</f>
        <v>0</v>
      </c>
      <c r="EU304" s="208" t="e">
        <f>Crops[[#This Row],[Custom Yield Per Bed]]/(Crops[[#This Row],[CSA Need]]*(_xlfn.XLOOKUP(Crops[[#This Row],[ProductIndex]],Products[ID],Products[CSA Portion])*CSAMembers))</f>
        <v>#DIV/0!</v>
      </c>
      <c r="EV304" s="208">
        <f>_xlfn.XLOOKUP(Crops[[#This Row],[ProductIndex]],Products[ID],Products[CSA Portion])*CSAMembers*Crops[[#This Row],[CSA Need]]/Crops[[#This Row],[Custom Yield Per Bed]]</f>
        <v>0</v>
      </c>
      <c r="EW304" s="208">
        <f>IFERROR(Crops[[#This Row],[Days In Field]]*Crops[[#This Row],[CSA Beds]],"")</f>
        <v>0</v>
      </c>
      <c r="EX304" s="208" t="e">
        <f>Crops[[#This Row],[CSA Bed Days]]*#REF!</f>
        <v>#REF!</v>
      </c>
      <c r="EY304" t="s">
        <v>301</v>
      </c>
    </row>
    <row r="305" spans="1:155">
      <c r="A30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Strawberry (Annual) - Ripe Fruit 1X | Field DS Su</v>
      </c>
      <c r="C305" s="1" t="b">
        <v>1</v>
      </c>
      <c r="D305" s="1"/>
      <c r="E305" s="1" t="b">
        <v>0</v>
      </c>
      <c r="F305" s="1" t="b">
        <f>IFERROR(IF(ISNUMBER(MATCH(Crops[[#This Row],[Identifier]],BedPlan[Crop], 0)), TRUE, FALSE), FALSE)</f>
        <v>0</v>
      </c>
      <c r="G305" s="1" t="b">
        <f>IFERROR(IF(ISNUMBER(MATCH(Crops[[#This Row],[Identifier]],BedPlan[Crop], 0)), TRUE, FALSE), FALSE)</f>
        <v>0</v>
      </c>
      <c r="H305" s="1" t="b">
        <v>1</v>
      </c>
      <c r="I305" t="s">
        <v>126</v>
      </c>
      <c r="J305" t="s">
        <v>1522</v>
      </c>
      <c r="K305" t="s">
        <v>191</v>
      </c>
      <c r="N305" t="str">
        <f>Crops[[#This Row],[Crop]]</f>
        <v>Strawberry</v>
      </c>
      <c r="O305" t="s">
        <v>210</v>
      </c>
      <c r="P305" t="str">
        <f>IF(OR(Crops[[#This Row],[Days in Cells]]="",Crops[[#This Row],[Days in Cells]]=0), "DS","TP")</f>
        <v>DS</v>
      </c>
      <c r="R305" t="b">
        <v>1</v>
      </c>
      <c r="V305" t="str">
        <f xml:space="preserve"> IF(Crops[[#This Row],[Sp]], "Sp", "") &amp; IF(Crops[[#This Row],[Su]], "Su", "") &amp; IF(Crops[[#This Row],[Fa]], "Fa", "") &amp; IF(Crops[[#This Row],[Wi]], "Wi", "") &amp; IF(Crops[[#This Row],[OW]], "Ow","")</f>
        <v>Su</v>
      </c>
      <c r="W305" t="s">
        <v>144</v>
      </c>
      <c r="X305">
        <v>2</v>
      </c>
      <c r="Y305">
        <v>12</v>
      </c>
      <c r="AA305" t="s">
        <v>475</v>
      </c>
      <c r="AB305" t="b">
        <v>0</v>
      </c>
      <c r="AC305">
        <v>1</v>
      </c>
      <c r="AD305" s="32">
        <f>IFERROR(12/Crops[[#This Row],[Spacing]]*Crops[[#This Row],[Rows]]*BedLength,"")</f>
        <v>100</v>
      </c>
      <c r="AE305">
        <v>1</v>
      </c>
      <c r="AF305">
        <v>1.1000000000000001</v>
      </c>
      <c r="AG305">
        <f>IF(Crops[[#This Row],[Custom Safety Factor]]="",PlantingSafetyFactor,Crops[[#This Row],[Custom Safety Factor]])</f>
        <v>1.1000000000000001</v>
      </c>
      <c r="AH305">
        <f>1</f>
        <v>1</v>
      </c>
      <c r="AI305" s="33">
        <f>IFERROR(Crops[[#This Row],[Plantings Per Bed]]*Crops[[#This Row],[Seeds Per Planting]]*Crops[[#This Row],[Safety Factor]]*Crops[[#This Row],[Seeding Factor]],"")</f>
        <v>110.00000000000001</v>
      </c>
      <c r="AJ305">
        <v>0</v>
      </c>
      <c r="AK305">
        <v>0</v>
      </c>
      <c r="AL305">
        <f>_xlfn.FLOOR.MATH(IFERROR(AVERAGE(Crops[[#This Row],[DTG Lower]:[DTG Upper]]),0))</f>
        <v>0</v>
      </c>
      <c r="AM305">
        <f>SUM(Crops[[#This Row],[Tray 1 Days]],Crops[[#This Row],[Tray 2 Days]],Crops[[#This Row],[Tray 3 Days]])</f>
        <v>0</v>
      </c>
      <c r="AO305">
        <v>70</v>
      </c>
      <c r="AP305">
        <v>90</v>
      </c>
      <c r="AQ305">
        <f>IFERROR(_xlfn.FLOOR.MATH(AVERAGE(Crops[[#This Row],[DTM Lower]:[DTM Upper]])),"")</f>
        <v>80</v>
      </c>
      <c r="AR305" cm="1">
        <f t="array" ref="AR305">_xlfn.SWITCH(Crops[[#This Row],[Normal Method]],"DS",Crops[[#This Row],[Days to Germination]]+Crops[[#This Row],[DTM]] + IF(Crops[[#This Row],[Days in Cells]]&gt;0,15,0), "TP",Crops[[#This Row],[DTM]]+Crops[[#This Row],[Days in Cells]] + IF(Crops[[#This Row],[Days in Cells]]&lt;=0,20,0), "X", Crops[[#This Row],[DTM]])</f>
        <v>80</v>
      </c>
      <c r="AS305" t="s">
        <v>347</v>
      </c>
      <c r="AT305">
        <f>(Crops[[#This Row],[Harvests]]-1)*Crops[[#This Row],[Days Between Harvest]]+7</f>
        <v>34</v>
      </c>
      <c r="AU305">
        <f>Crops[[#This Row],[STH]]-Crops[[#This Row],[Days in Cells]]+Crops[[#This Row],[Harvest window]]</f>
        <v>114</v>
      </c>
      <c r="AW305" t="s">
        <v>212</v>
      </c>
      <c r="AZ305" t="str">
        <f>IFERROR(IF(Crops[[#This Row],[Tray 1 Days]]=0,"",Crops[[#This Row],[Plantings Per Bed]]/Crops[[#This Row],[Tray 1 Size]]*Crops[[#This Row],[Safety Factor]]),"")</f>
        <v/>
      </c>
      <c r="BC305" t="str">
        <f>IFERROR(IF(Crops[[#This Row],[Tray 2 Days]]=0,"",Crops[[#This Row],[Plantings Per Bed]]/Crops[[#This Row],[Tray 2 Size]]*Crops[[#This Row],[Safety Factor]]),"")</f>
        <v/>
      </c>
      <c r="BE305" s="32" t="str">
        <f>IF(NOT(ISBLANK(Crops[[#This Row],[Tray 3 Size]])), Crops[[#This Row],[Days in Cells Old]]-SUM(Crops[[#This Row],[Tray 1 Days]],Crops[[#This Row],[Tray 2 Days]]), "")</f>
        <v/>
      </c>
      <c r="BF305" t="str">
        <f>IFERROR(IF(Crops[[#This Row],[Tray 3 Days]]=0,"",Crops[[#This Row],[Plantings Per Bed]]/Crops[[#This Row],[Tray 3 Size]]*Crops[[#This Row],[Safety Factor]]),"")</f>
        <v/>
      </c>
      <c r="BG305" s="33">
        <f>Crops[[#This Row],[Plantings Per Bed]]*0.7/Crops[[#This Row],[Harvests]]</f>
        <v>7</v>
      </c>
      <c r="BH305" s="33">
        <v>10</v>
      </c>
      <c r="BI305" s="33">
        <v>3</v>
      </c>
      <c r="BJ305" s="33">
        <f>_xlfn.XLOOKUP(Crops[[#This Row],[ProductIndex]],Products[ID],Products[Holding Period])</f>
        <v>0</v>
      </c>
      <c r="BK305" s="33"/>
      <c r="BL305" s="33">
        <f>Crops[[#This Row],[Units Per Harvest]]*Crops[[#This Row],[Harvests]]</f>
        <v>70</v>
      </c>
      <c r="BM305" s="35">
        <f>6/0.75</f>
        <v>8</v>
      </c>
      <c r="BN305" s="35">
        <f>Crops[[#This Row],[Direct Price]]*0.6</f>
        <v>4.8</v>
      </c>
      <c r="BO305" s="35"/>
      <c r="BP305" t="s">
        <v>383</v>
      </c>
      <c r="BQ305">
        <f>Crops[[#This Row],[Custom Yield Per Bed]]*Crops[[#This Row],[Direct Price]]</f>
        <v>560</v>
      </c>
      <c r="BS305" t="b">
        <f>Crops[[#This Row],[Harvests]]&gt;1</f>
        <v>1</v>
      </c>
      <c r="BT305" s="36">
        <f>IFERROR(Crops[[#This Row],[Direct Revenue Per Bed]]/Crops[[#This Row],[Days In Field]],-1)</f>
        <v>4.9122807017543861</v>
      </c>
      <c r="BU305" s="36">
        <f>IFERROR(Crops[[#This Row],[Direct Revenue Per Bed Day]]*GrowingDays*BedsPerAcre,"")</f>
        <v>141473.68421052632</v>
      </c>
      <c r="BV305" s="38">
        <f>LastFrostDate-5*Crops[[#This Row],[Sewing Rel Last Frost]]</f>
        <v>45758</v>
      </c>
      <c r="BW305" s="38">
        <f>Crops[[#This Row],[Target Sewing Date]]+Crops[[#This Row],[Days in Cells]]</f>
        <v>45758</v>
      </c>
      <c r="BX305" s="38">
        <f>Crops[[#This Row],[Target Sewing Date]]+Crops[[#This Row],[STH]]</f>
        <v>45838</v>
      </c>
      <c r="BY305" s="38">
        <f>Crops[[#This Row],[Target Harvest Data]]+Crops[[#This Row],[Harvest window]]</f>
        <v>45872</v>
      </c>
      <c r="BZ305">
        <v>-2</v>
      </c>
      <c r="CA305" t="s">
        <v>2546</v>
      </c>
      <c r="CB305">
        <f>1</f>
        <v>1</v>
      </c>
      <c r="CC305">
        <f>IF(Crops[[#This Row],[Transplanting]]&gt;0, 2, 3)*BedLength/StandardBedLength</f>
        <v>1.5</v>
      </c>
      <c r="CD305" s="173">
        <f>IF(Crops[[#This Row],[Days in Cells]]&lt;=0,0,Crops[[#This Row],[Plantings Per Bed]]/StartsPerHourSeeding+Crops[[#This Row],[Tray 1 Count]]*5/60)</f>
        <v>0</v>
      </c>
      <c r="CE305" s="173">
        <f>IF(ISBLANK(Crops[[#This Row],[Tray 2 Days]]),0,Crops[[#This Row],[Plantings Per Bed]]/UpPottingPerHour)+IF(Crops[[#This Row],[Tray 3 Days]]="",0,Crops[[#This Row],[Plantings Per Bed]]/UpPottingPerHour)</f>
        <v>0</v>
      </c>
      <c r="CF305" s="173">
        <f>IFERROR(Crops[[#This Row],[Tray 1 Count]]/HomeStartFlatIrrigationPerHour,0)*Crops[[#This Row],[Days in Cells]]/DaysBetweenStartIrrigation</f>
        <v>0</v>
      </c>
      <c r="CG305" s="173">
        <f>0.5/16*MAX(Crops[[#This Row],[Tray 1 Count]],Crops[[#This Row],[Tray 2 Count]],Crops[[#This Row],[Tray 3 Count]])</f>
        <v>0</v>
      </c>
      <c r="CH305" s="173">
        <f>IF(Crops[[#This Row],[Days in Cells]]&gt;0,IF(IF(Crops[[#This Row],[Tray 3 Size]]&gt;0,Crops[[#This Row],[Tray 3 Size]],IF(Crops[[#This Row],[Tray 2 Size]]&gt;0,Crops[[#This Row],[Tray 2 Size]],Crops[[#This Row],[Tray 1 Size]]))&lt;=18,LargeTransplantTime,SmallTransplantTime)*Crops[[#This Row],[Plantings Per Bed]],0)</f>
        <v>0</v>
      </c>
      <c r="CI305" s="173"/>
      <c r="CJ305" s="173">
        <f>_xlfn.XLOOKUP(Crops[[#This Row],[Trellis Type]],TrellisMethods[Trellis Type],TrellisMethods[Hours],0,0)</f>
        <v>0</v>
      </c>
      <c r="CK305">
        <f>IF(Crops[[#This Row],[Days in Cells]]&lt;=0,Crops[[#This Row],[Rows]]*1/10,0)*BedLength/50</f>
        <v>0.2</v>
      </c>
      <c r="CL305" cm="1">
        <f t="array" ref="CL305">_xlfn.SWITCH(Crops[[#This Row],[Irrigation]],"DR", 0.5, "OH", 0.25,0)*BedLength/50</f>
        <v>0</v>
      </c>
      <c r="CM305">
        <f>IF(OR(ISBLANK(Crops[[#This Row],[Row Cover]]),Crops[[#This Row],[Row Cover]]="None"),0,1)*BedLength/50</f>
        <v>1</v>
      </c>
      <c r="CN305" s="173">
        <f>HoursPerWeedingPass*Crops[[#This Row],[Days In Field]]/14*Crops[[#This Row],[Rows]]+1*BedLength/50</f>
        <v>3.7142857142857144</v>
      </c>
      <c r="CO305" s="49">
        <f>4*BedLength/100</f>
        <v>2</v>
      </c>
      <c r="CQ305" s="37">
        <f>_xlfn.XLOOKUP(Crops[[#This Row],[Crop]]&amp;Crops[[#This Row],[Product]]&amp;Crops[[#This Row],[Unit]],Products[ID],Products[Marketing (hr)])*Crops[[#This Row],[Direct Revenue Per Bed]]/2000</f>
        <v>0.28000000000000003</v>
      </c>
      <c r="CR305" s="37">
        <f>_xlfn.XLOOKUP(Crops[[#This Row],[Crop]]&amp;Crops[[#This Row],[Product]]&amp;Crops[[#This Row],[Unit]],Products[ID],Products[Harvest (s)])*Crops[[#This Row],[Custom Yield Per Bed]]/3600</f>
        <v>1.9444444444444444</v>
      </c>
      <c r="CS305" s="37">
        <f>_xlfn.XLOOKUP(Crops[[#This Row],[Crop]]&amp;Crops[[#This Row],[Product]]&amp;Crops[[#This Row],[Unit]],Products[ID],Products[Bunch (s)])*Crops[[#This Row],[Custom Yield Per Bed]]/3600</f>
        <v>0</v>
      </c>
      <c r="CT305" s="37">
        <f>_xlfn.XLOOKUP(Crops[[#This Row],[Crop]]&amp;Crops[[#This Row],[Product]]&amp;Crops[[#This Row],[Unit]],Products[ID],Products[Haul (s)])*Crops[[#This Row],[Custom Yield Per Bed]]/3600</f>
        <v>4.3749999999999997E-2</v>
      </c>
      <c r="CU305" s="37">
        <f>_xlfn.XLOOKUP(Crops[[#This Row],[Crop]]&amp;Crops[[#This Row],[Product]]&amp;Crops[[#This Row],[Unit]],Products[ID],Products[Wash (s)])*Crops[[#This Row],[Custom Yield Per Bed]]/3600</f>
        <v>0</v>
      </c>
      <c r="CV305" s="37">
        <f>_xlfn.XLOOKUP(Crops[[#This Row],[Crop]]&amp;Crops[[#This Row],[Product]]&amp;Crops[[#This Row],[Unit]],Products[ID],Products[Condition (s)])*Crops[[#This Row],[Custom Yield Per Bed]]/3600</f>
        <v>0</v>
      </c>
      <c r="CW305" s="37">
        <f>_xlfn.XLOOKUP(Crops[[#This Row],[Crop]]&amp;Crops[[#This Row],[Product]]&amp;Crops[[#This Row],[Unit]],Products[ID],Products[Trim (s)])*Crops[[#This Row],[Custom Yield Per Bed]]/3600</f>
        <v>0</v>
      </c>
      <c r="CX305" s="37">
        <f>_xlfn.XLOOKUP(Crops[[#This Row],[Crop]]&amp;Crops[[#This Row],[Product]]&amp;Crops[[#This Row],[Unit]],Products[ID],Products[Pack (s)])*Crops[[#This Row],[Custom Yield Per Bed]]/3600</f>
        <v>5.8333333333333334E-2</v>
      </c>
      <c r="CY305" s="37">
        <f>_xlfn.XLOOKUP(Crops[[#This Row],[Crop]]&amp;Crops[[#This Row],[Product]]&amp;Crops[[#This Row],[Unit]],Products[ID],Products[Clean (s)])*Crops[[#This Row],[Custom Yield Per Bed]]/3600</f>
        <v>0</v>
      </c>
      <c r="CZ305" s="37">
        <f>_xlfn.XLOOKUP(Crops[[#This Row],[Crop]]&amp;Crops[[#This Row],[Product]]&amp;Crops[[#This Row],[Unit]],Products[ID],Products[Rehandle (s)])*Crops[[#This Row],[Custom Yield Per Bed]]/3600</f>
        <v>0</v>
      </c>
      <c r="DA305" s="37">
        <f>_xlfn.XLOOKUP(Crops[[#This Row],[Crop]]&amp;Crops[[#This Row],[Product]]&amp;Crops[[#This Row],[Unit]],Products[ID],Products[Market Transport (s)])*Crops[[#This Row],[Custom Yield Per Bed]]/3600</f>
        <v>0.109375</v>
      </c>
      <c r="DC305" s="37">
        <f>Crops[[#This Row],[Direct Revenue Per Bed2]]</f>
        <v>560</v>
      </c>
      <c r="DD305" s="173">
        <f>_xlfn.AGGREGATE(9,6,Crops[[#This Row],[Bed Prep]:[Remove Crop Residue]])</f>
        <v>10.850188492063491</v>
      </c>
      <c r="DE305" s="173">
        <f>_xlfn.AGGREGATE(9,6,Crops[[#This Row],[Bed Prep]:[Remove Crop Residue]])-0.75*Crops[[#This Row],[Market &amp; Sell]]</f>
        <v>10.640188492063491</v>
      </c>
      <c r="DF305" s="36">
        <f>Crops[[#This Row],[Direct Revenue Per Bed2]]/Crops[[#This Row],[Direct Time]]</f>
        <v>51.612006594136048</v>
      </c>
      <c r="DG305" s="36">
        <f>_xlfn.XLOOKUP(Crops[[#This Row],[ProductIndex]],Products[ID],Products[Packaging Cost])*(Crops[[#This Row],[Custom Yield Per Bed]]/_xlfn.XLOOKUP(Crops[[#This Row],[ProductIndex]],Products[ID],Products[Units Per Pack]))</f>
        <v>33.6</v>
      </c>
      <c r="DH305" s="36"/>
      <c r="DI305" s="36"/>
      <c r="DJ305" s="36"/>
      <c r="DK305" s="36"/>
      <c r="DL305" s="36"/>
      <c r="DM305" s="33">
        <f>IFERROR(Crops[[#This Row],[Custom Yield Per Bed]]*Crops[[#This Row],[Direct Price]],"")</f>
        <v>560</v>
      </c>
      <c r="DN305" s="36">
        <f>Crops[[#This Row],[Direct Time]]*LaborRate</f>
        <v>271.25471230158729</v>
      </c>
      <c r="DO305" s="36">
        <f>SUM(Crops[[#This Row],[Irrigation Cost]])</f>
        <v>0</v>
      </c>
      <c r="DP305" s="36">
        <f>Crops[[#This Row],[Direct Labor Cost]]+Crops[[#This Row],[Direct Non-Labor Cost]]</f>
        <v>271.25471230158729</v>
      </c>
      <c r="DQ305" s="36">
        <f>Crops[[#This Row],[Direct Revenue Per Bed2]]-Crops[[#This Row],[Direct Total Cost]]</f>
        <v>288.74528769841271</v>
      </c>
      <c r="DR305" s="36">
        <f>Crops[[#This Row],[Direct Profit]]*BedsPerAcre</f>
        <v>46199.246031746035</v>
      </c>
      <c r="DS305" s="36">
        <f>Crops[[#This Row],[Direct Profit]]*BedsPerAcre*GrowingDays/Crops[[#This Row],[Days In Field]]</f>
        <v>72946.177944862167</v>
      </c>
      <c r="DT305" s="36">
        <f>Crops[[#This Row],[Direct Profit]]/MIN(Crops[[#This Row],[Days In Field]],GrowingDays)</f>
        <v>2.5328534008632695</v>
      </c>
      <c r="DU305" s="36">
        <f>Crops[[#This Row],[Direct Time]] * BedsPerAcre</f>
        <v>1736.0301587301587</v>
      </c>
      <c r="DV305" s="36">
        <f>(Crops[[#This Row],[Direct Revenue Per Bed2]]-Crops[[#This Row],[Direct Non-Labor Cost]])/Crops[[#This Row],[Direct Time]]</f>
        <v>51.612006594136048</v>
      </c>
      <c r="DW305" s="33">
        <f>IFERROR(Crops[[#This Row],[Custom Yield Per Bed]]*Crops[[#This Row],[Rough Wholesale Price]],"")</f>
        <v>336</v>
      </c>
      <c r="DX305" s="36">
        <f>Crops[[#This Row],[Wholesale Time]]*LaborRate</f>
        <v>266.00471230158729</v>
      </c>
      <c r="DY305" s="36">
        <f>SUM(Crops[[#This Row],[Packaging Costs]:[Irrigation Cost]])</f>
        <v>33.6</v>
      </c>
      <c r="DZ305" s="36">
        <f>Crops[[#This Row],[Wholesale Labor Cost]]+Crops[[#This Row],[Wholesale Non-Labor Cost]]</f>
        <v>299.60471230158731</v>
      </c>
      <c r="EA305" s="36">
        <f>Crops[[#This Row],[Wholesale Revenue Per Bed]]-Crops[[#This Row],[Wholesale Total Cost]]</f>
        <v>36.395287698412687</v>
      </c>
      <c r="EB305" s="36">
        <f>Crops[[#This Row],[Wholesale Profit]]*BedsPerAcre</f>
        <v>5823.24603174603</v>
      </c>
      <c r="EC305" s="36">
        <f>Crops[[#This Row],[Wholesale Profit]]*BedsPerAcre*GrowingDays/Crops[[#This Row],[Days In Field]]</f>
        <v>9194.5989974937329</v>
      </c>
      <c r="ED305" s="36">
        <f>Crops[[#This Row],[Wholesale Time]] * BedsPerAcre</f>
        <v>1702.4301587301584</v>
      </c>
      <c r="EE305" s="221">
        <f>Crops[[#This Row],[Wholesale Profit]]/MIN(Crops[[#This Row],[Days In Field]],GrowingDays)</f>
        <v>0.31925690963519904</v>
      </c>
      <c r="EF305" s="36">
        <f>(Crops[[#This Row],[Wholesale Revenue Per Bed]]-Crops[[#This Row],[Wholesale Non-Labor Cost]])/Crops[[#This Row],[Direct Time]]</f>
        <v>27.870483560833463</v>
      </c>
      <c r="EG305" s="174">
        <f>Crops[[#This Row],[Packaging Costs]]/Crops[[#This Row],[Wholesale Revenue Per Bed]]</f>
        <v>0.1</v>
      </c>
      <c r="EH305" s="36" t="str">
        <f>Crops[[#This Row],[Crop]]&amp;Crops[[#This Row],[Product]]&amp;Crops[[#This Row],[Unit]]</f>
        <v>StrawberryRipe FruitLb</v>
      </c>
      <c r="EI305" s="36" t="b">
        <f>_xlfn.XLOOKUP(Crops[[#This Row],[ProductIndex]],Products[ID],Products[Target])</f>
        <v>1</v>
      </c>
      <c r="EJ305" s="33">
        <f>Crops[[#This Row],[Custom Yield Per Bed]]</f>
        <v>70</v>
      </c>
      <c r="EK305" s="210">
        <f>Crops[[#This Row],[Units Per Harvest]]/Crops[[#This Row],[Days Between Harvest]]*7</f>
        <v>16.333333333333336</v>
      </c>
      <c r="EL305" s="210">
        <f>Crops[[#This Row],[Custom Yield Per Bed]]/_xlfn.XLOOKUP(Crops[[#This Row],[ProductIndex]],Products[ID],Products[CSA Portion])</f>
        <v>93.333333333333329</v>
      </c>
      <c r="EM305" s="210">
        <f>Crops[[#This Row],[Units Per Harvest]]/Crops[[#This Row],[Days Between Harvest]]*7/_xlfn.XLOOKUP(Crops[[#This Row],[ProductIndex]],Products[ID],Products[CSA Portion])</f>
        <v>21.777777777777782</v>
      </c>
      <c r="EN305" s="210">
        <f>Crops[[#This Row],[CSA Portions Per Week]]/CSAMembers</f>
        <v>0.43555555555555564</v>
      </c>
      <c r="EO305" s="216"/>
      <c r="EP305" s="216"/>
      <c r="EQ305" s="36"/>
      <c r="ER305" s="36">
        <f>Crops[[#This Row],[Harvests]]*Crops[[#This Row],[Days Between Harvest]]/7</f>
        <v>4.2857142857142856</v>
      </c>
      <c r="ES305" s="208">
        <f>_xlfn.XLOOKUP(Crops[[#This Row],[ProductIndex]],Products[ID],Products[CSA Need])</f>
        <v>0.75</v>
      </c>
      <c r="ET305" s="208">
        <f>_xlfn.XLOOKUP(Crops[[#This Row],[ProductIndex]],Products[ID],Products[CSA Times])</f>
        <v>1</v>
      </c>
      <c r="EU305" s="208">
        <f>Crops[[#This Row],[Custom Yield Per Bed]]/(Crops[[#This Row],[CSA Need]]*(_xlfn.XLOOKUP(Crops[[#This Row],[ProductIndex]],Products[ID],Products[CSA Portion])*CSAMembers))</f>
        <v>2.4888888888888889</v>
      </c>
      <c r="EV305" s="208">
        <f>_xlfn.XLOOKUP(Crops[[#This Row],[ProductIndex]],Products[ID],Products[CSA Portion])*CSAMembers*Crops[[#This Row],[CSA Need]]/Crops[[#This Row],[Custom Yield Per Bed]]</f>
        <v>0.4017857142857143</v>
      </c>
      <c r="EW305" s="208">
        <f>IFERROR(Crops[[#This Row],[Days In Field]]*Crops[[#This Row],[CSA Beds]],"")</f>
        <v>45.803571428571431</v>
      </c>
      <c r="EX305" s="208" t="e">
        <f>Crops[[#This Row],[CSA Bed Days]]*#REF!</f>
        <v>#REF!</v>
      </c>
      <c r="EY305" t="s">
        <v>2544</v>
      </c>
    </row>
    <row r="306" spans="1:155">
      <c r="A30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Strawberry (Perrenial) - Ripe Fruit 1X | Field DS Su</v>
      </c>
      <c r="C306" s="1" t="s">
        <v>2588</v>
      </c>
      <c r="D306" s="1"/>
      <c r="E306" s="1" t="b">
        <v>0</v>
      </c>
      <c r="F306" s="1" t="b">
        <f>IFERROR(IF(ISNUMBER(MATCH(Crops[[#This Row],[Identifier]],BedPlan[Crop], 0)), TRUE, FALSE), FALSE)</f>
        <v>0</v>
      </c>
      <c r="G306" s="1" t="b">
        <f>IFERROR(IF(ISNUMBER(MATCH(Crops[[#This Row],[Identifier]],BedPlan[Crop], 0)), TRUE, FALSE), FALSE)</f>
        <v>0</v>
      </c>
      <c r="H306" s="1" t="b">
        <v>1</v>
      </c>
      <c r="I306" t="s">
        <v>126</v>
      </c>
      <c r="J306" t="s">
        <v>2543</v>
      </c>
      <c r="K306" t="s">
        <v>191</v>
      </c>
      <c r="N306" t="str">
        <f>Crops[[#This Row],[Crop]]</f>
        <v>Strawberry</v>
      </c>
      <c r="O306" t="s">
        <v>210</v>
      </c>
      <c r="P306" t="str">
        <f>IF(OR(Crops[[#This Row],[Days in Cells]]="",Crops[[#This Row],[Days in Cells]]=0), "DS","TP")</f>
        <v>DS</v>
      </c>
      <c r="R306" t="b">
        <v>1</v>
      </c>
      <c r="V306" t="str">
        <f xml:space="preserve"> IF(Crops[[#This Row],[Sp]], "Sp", "") &amp; IF(Crops[[#This Row],[Su]], "Su", "") &amp; IF(Crops[[#This Row],[Fa]], "Fa", "") &amp; IF(Crops[[#This Row],[Wi]], "Wi", "") &amp; IF(Crops[[#This Row],[OW]], "Ow","")</f>
        <v>Su</v>
      </c>
      <c r="W306" t="s">
        <v>144</v>
      </c>
      <c r="X306">
        <v>2</v>
      </c>
      <c r="Y306">
        <v>12</v>
      </c>
      <c r="AA306" t="s">
        <v>475</v>
      </c>
      <c r="AB306" t="b">
        <v>0</v>
      </c>
      <c r="AC306">
        <v>1</v>
      </c>
      <c r="AD306" s="32">
        <f>IFERROR(12/Crops[[#This Row],[Spacing]]*Crops[[#This Row],[Rows]]*BedLength,"")</f>
        <v>100</v>
      </c>
      <c r="AE306">
        <v>1</v>
      </c>
      <c r="AF306">
        <v>1.1000000000000001</v>
      </c>
      <c r="AG306">
        <f>IF(Crops[[#This Row],[Custom Safety Factor]]="",PlantingSafetyFactor,Crops[[#This Row],[Custom Safety Factor]])</f>
        <v>1.1000000000000001</v>
      </c>
      <c r="AH306">
        <f>1</f>
        <v>1</v>
      </c>
      <c r="AI306" s="33">
        <f>IFERROR(Crops[[#This Row],[Plantings Per Bed]]*Crops[[#This Row],[Seeds Per Planting]]*Crops[[#This Row],[Safety Factor]]*Crops[[#This Row],[Seeding Factor]],"")</f>
        <v>110.00000000000001</v>
      </c>
      <c r="AJ306">
        <v>0</v>
      </c>
      <c r="AK306">
        <v>0</v>
      </c>
      <c r="AL306">
        <f>_xlfn.FLOOR.MATH(IFERROR(AVERAGE(Crops[[#This Row],[DTG Lower]:[DTG Upper]]),0))</f>
        <v>0</v>
      </c>
      <c r="AM306">
        <f>SUM(Crops[[#This Row],[Tray 1 Days]],Crops[[#This Row],[Tray 2 Days]],Crops[[#This Row],[Tray 3 Days]])</f>
        <v>0</v>
      </c>
      <c r="AO306">
        <f>22*7</f>
        <v>154</v>
      </c>
      <c r="AP306">
        <f>22*7</f>
        <v>154</v>
      </c>
      <c r="AQ306">
        <f>IFERROR(_xlfn.FLOOR.MATH(AVERAGE(Crops[[#This Row],[DTM Lower]:[DTM Upper]])),"")</f>
        <v>154</v>
      </c>
      <c r="AR306" cm="1">
        <f t="array" ref="AR306">_xlfn.SWITCH(Crops[[#This Row],[Normal Method]],"DS",Crops[[#This Row],[Days to Germination]]+Crops[[#This Row],[DTM]] + IF(Crops[[#This Row],[Days in Cells]]&gt;0,15,0), "TP",Crops[[#This Row],[DTM]]+Crops[[#This Row],[Days in Cells]] + IF(Crops[[#This Row],[Days in Cells]]&lt;=0,20,0), "X", Crops[[#This Row],[DTM]])</f>
        <v>154</v>
      </c>
      <c r="AS306" t="s">
        <v>347</v>
      </c>
      <c r="AT306">
        <f>(Crops[[#This Row],[Harvests]]-1)*Crops[[#This Row],[Days Between Harvest]]+7</f>
        <v>34</v>
      </c>
      <c r="AU306">
        <v>365</v>
      </c>
      <c r="AW306" t="s">
        <v>212</v>
      </c>
      <c r="AZ306" t="str">
        <f>IFERROR(IF(Crops[[#This Row],[Tray 1 Days]]=0,"",Crops[[#This Row],[Plantings Per Bed]]/Crops[[#This Row],[Tray 1 Size]]*Crops[[#This Row],[Safety Factor]]),"")</f>
        <v/>
      </c>
      <c r="BC306" t="str">
        <f>IFERROR(IF(Crops[[#This Row],[Tray 2 Days]]=0,"",Crops[[#This Row],[Plantings Per Bed]]/Crops[[#This Row],[Tray 2 Size]]*Crops[[#This Row],[Safety Factor]]),"")</f>
        <v/>
      </c>
      <c r="BE306" s="32" t="str">
        <f>IF(NOT(ISBLANK(Crops[[#This Row],[Tray 3 Size]])), Crops[[#This Row],[Days in Cells Old]]-SUM(Crops[[#This Row],[Tray 1 Days]],Crops[[#This Row],[Tray 2 Days]]), "")</f>
        <v/>
      </c>
      <c r="BF306" t="str">
        <f>IFERROR(IF(Crops[[#This Row],[Tray 3 Days]]=0,"",Crops[[#This Row],[Plantings Per Bed]]/Crops[[#This Row],[Tray 3 Size]]*Crops[[#This Row],[Safety Factor]]),"")</f>
        <v/>
      </c>
      <c r="BG306" s="33">
        <f>Crops[[#This Row],[Plantings Per Bed]]/Crops[[#This Row],[Harvests]]</f>
        <v>10</v>
      </c>
      <c r="BH306" s="33">
        <v>10</v>
      </c>
      <c r="BI306" s="33">
        <v>3</v>
      </c>
      <c r="BJ306" s="33">
        <f>_xlfn.XLOOKUP(Crops[[#This Row],[ProductIndex]],Products[ID],Products[Holding Period])</f>
        <v>0</v>
      </c>
      <c r="BK306" s="33"/>
      <c r="BL306" s="33">
        <f>Crops[[#This Row],[Units Per Harvest]]*Crops[[#This Row],[Harvests]]</f>
        <v>100</v>
      </c>
      <c r="BM306" s="35">
        <f>6/0.75</f>
        <v>8</v>
      </c>
      <c r="BN306" s="35">
        <f>Crops[[#This Row],[Direct Price]]*0.6</f>
        <v>4.8</v>
      </c>
      <c r="BO306" s="35"/>
      <c r="BP306" t="s">
        <v>383</v>
      </c>
      <c r="BQ306">
        <f>Crops[[#This Row],[Custom Yield Per Bed]]*Crops[[#This Row],[Direct Price]]</f>
        <v>800</v>
      </c>
      <c r="BS306" t="b">
        <f>Crops[[#This Row],[Harvests]]&gt;1</f>
        <v>1</v>
      </c>
      <c r="BT306" s="36">
        <f>IFERROR(Crops[[#This Row],[Direct Revenue Per Bed]]/Crops[[#This Row],[Days In Field]],-1)</f>
        <v>2.1917808219178081</v>
      </c>
      <c r="BU306" s="36">
        <f>IFERROR(Crops[[#This Row],[Direct Revenue Per Bed Day]]*GrowingDays*BedsPerAcre,"")</f>
        <v>63123.287671232873</v>
      </c>
      <c r="BV306" s="38">
        <f>LastFrostDate-5*Crops[[#This Row],[Sewing Rel Last Frost]]</f>
        <v>45758</v>
      </c>
      <c r="BW306" s="38">
        <f>Crops[[#This Row],[Target Sewing Date]]+Crops[[#This Row],[Days in Cells]]</f>
        <v>45758</v>
      </c>
      <c r="BX306" s="38">
        <f>Crops[[#This Row],[Target Sewing Date]]+Crops[[#This Row],[STH]]</f>
        <v>45912</v>
      </c>
      <c r="BY306" s="38">
        <f>Crops[[#This Row],[Target Harvest Data]]+Crops[[#This Row],[Harvest window]]</f>
        <v>45946</v>
      </c>
      <c r="BZ306">
        <v>-2</v>
      </c>
      <c r="CA306" t="s">
        <v>2546</v>
      </c>
      <c r="CB306">
        <f>1</f>
        <v>1</v>
      </c>
      <c r="CC306">
        <f>IF(Crops[[#This Row],[Transplanting]]&gt;0, 2, 3)*BedLength/StandardBedLength</f>
        <v>1.5</v>
      </c>
      <c r="CD306" s="173">
        <f>IF(Crops[[#This Row],[Days in Cells]]&lt;=0,0,Crops[[#This Row],[Plantings Per Bed]]/StartsPerHourSeeding+Crops[[#This Row],[Tray 1 Count]]*5/60)</f>
        <v>0</v>
      </c>
      <c r="CE306" s="173">
        <f>IF(ISBLANK(Crops[[#This Row],[Tray 2 Days]]),0,Crops[[#This Row],[Plantings Per Bed]]/UpPottingPerHour)+IF(Crops[[#This Row],[Tray 3 Days]]="",0,Crops[[#This Row],[Plantings Per Bed]]/UpPottingPerHour)</f>
        <v>0</v>
      </c>
      <c r="CF306" s="173">
        <f>IFERROR(Crops[[#This Row],[Tray 1 Count]]/HomeStartFlatIrrigationPerHour,0)*Crops[[#This Row],[Days in Cells]]/DaysBetweenStartIrrigation</f>
        <v>0</v>
      </c>
      <c r="CG306" s="173">
        <f>0.5/16*MAX(Crops[[#This Row],[Tray 1 Count]],Crops[[#This Row],[Tray 2 Count]],Crops[[#This Row],[Tray 3 Count]])</f>
        <v>0</v>
      </c>
      <c r="CH306" s="173">
        <f>IF(Crops[[#This Row],[Days in Cells]]&gt;0,IF(IF(Crops[[#This Row],[Tray 3 Size]]&gt;0,Crops[[#This Row],[Tray 3 Size]],IF(Crops[[#This Row],[Tray 2 Size]]&gt;0,Crops[[#This Row],[Tray 2 Size]],Crops[[#This Row],[Tray 1 Size]]))&lt;=18,LargeTransplantTime,SmallTransplantTime)*Crops[[#This Row],[Plantings Per Bed]],0)</f>
        <v>0</v>
      </c>
      <c r="CI306" s="173"/>
      <c r="CJ306" s="173">
        <f>_xlfn.XLOOKUP(Crops[[#This Row],[Trellis Type]],TrellisMethods[Trellis Type],TrellisMethods[Hours],0,0)</f>
        <v>0</v>
      </c>
      <c r="CK306">
        <f>IF(Crops[[#This Row],[Days in Cells]]&lt;=0,Crops[[#This Row],[Rows]]*1/10,0)*BedLength/50</f>
        <v>0.2</v>
      </c>
      <c r="CL306" cm="1">
        <f t="array" ref="CL306">_xlfn.SWITCH(Crops[[#This Row],[Irrigation]],"DR", 0.5, "OH", 0.25,0)*BedLength/50</f>
        <v>0</v>
      </c>
      <c r="CM306">
        <f>IF(OR(ISBLANK(Crops[[#This Row],[Row Cover]]),Crops[[#This Row],[Row Cover]]="None"),0,1)*BedLength/50</f>
        <v>1</v>
      </c>
      <c r="CN306" s="173">
        <f>HoursPerWeedingPass*Crops[[#This Row],[Days In Field]]/14*Crops[[#This Row],[Rows]]+1*BedLength/50</f>
        <v>9.6904761904761898</v>
      </c>
      <c r="CO306" s="49">
        <f>8*BedLength/100</f>
        <v>4</v>
      </c>
      <c r="CQ306" s="37">
        <f>_xlfn.XLOOKUP(Crops[[#This Row],[Crop]]&amp;Crops[[#This Row],[Product]]&amp;Crops[[#This Row],[Unit]],Products[ID],Products[Marketing (hr)])*Crops[[#This Row],[Direct Revenue Per Bed]]/2000</f>
        <v>0.4</v>
      </c>
      <c r="CR306" s="37">
        <f>_xlfn.XLOOKUP(Crops[[#This Row],[Crop]]&amp;Crops[[#This Row],[Product]]&amp;Crops[[#This Row],[Unit]],Products[ID],Products[Harvest (s)])*Crops[[#This Row],[Custom Yield Per Bed]]/3600</f>
        <v>2.7777777777777777</v>
      </c>
      <c r="CS306" s="37">
        <f>_xlfn.XLOOKUP(Crops[[#This Row],[Crop]]&amp;Crops[[#This Row],[Product]]&amp;Crops[[#This Row],[Unit]],Products[ID],Products[Bunch (s)])*Crops[[#This Row],[Custom Yield Per Bed]]/3600</f>
        <v>0</v>
      </c>
      <c r="CT306" s="37">
        <f>_xlfn.XLOOKUP(Crops[[#This Row],[Crop]]&amp;Crops[[#This Row],[Product]]&amp;Crops[[#This Row],[Unit]],Products[ID],Products[Haul (s)])*Crops[[#This Row],[Custom Yield Per Bed]]/3600</f>
        <v>6.25E-2</v>
      </c>
      <c r="CU306" s="37">
        <f>_xlfn.XLOOKUP(Crops[[#This Row],[Crop]]&amp;Crops[[#This Row],[Product]]&amp;Crops[[#This Row],[Unit]],Products[ID],Products[Wash (s)])*Crops[[#This Row],[Custom Yield Per Bed]]/3600</f>
        <v>0</v>
      </c>
      <c r="CV306" s="37">
        <f>_xlfn.XLOOKUP(Crops[[#This Row],[Crop]]&amp;Crops[[#This Row],[Product]]&amp;Crops[[#This Row],[Unit]],Products[ID],Products[Condition (s)])*Crops[[#This Row],[Custom Yield Per Bed]]/3600</f>
        <v>0</v>
      </c>
      <c r="CW306" s="37">
        <f>_xlfn.XLOOKUP(Crops[[#This Row],[Crop]]&amp;Crops[[#This Row],[Product]]&amp;Crops[[#This Row],[Unit]],Products[ID],Products[Trim (s)])*Crops[[#This Row],[Custom Yield Per Bed]]/3600</f>
        <v>0</v>
      </c>
      <c r="CX306" s="37">
        <f>_xlfn.XLOOKUP(Crops[[#This Row],[Crop]]&amp;Crops[[#This Row],[Product]]&amp;Crops[[#This Row],[Unit]],Products[ID],Products[Pack (s)])*Crops[[#This Row],[Custom Yield Per Bed]]/3600</f>
        <v>8.3333333333333329E-2</v>
      </c>
      <c r="CY306" s="37">
        <f>_xlfn.XLOOKUP(Crops[[#This Row],[Crop]]&amp;Crops[[#This Row],[Product]]&amp;Crops[[#This Row],[Unit]],Products[ID],Products[Clean (s)])*Crops[[#This Row],[Custom Yield Per Bed]]/3600</f>
        <v>0</v>
      </c>
      <c r="CZ306" s="37">
        <f>_xlfn.XLOOKUP(Crops[[#This Row],[Crop]]&amp;Crops[[#This Row],[Product]]&amp;Crops[[#This Row],[Unit]],Products[ID],Products[Rehandle (s)])*Crops[[#This Row],[Custom Yield Per Bed]]/3600</f>
        <v>0</v>
      </c>
      <c r="DA306" s="37">
        <f>_xlfn.XLOOKUP(Crops[[#This Row],[Crop]]&amp;Crops[[#This Row],[Product]]&amp;Crops[[#This Row],[Unit]],Products[ID],Products[Market Transport (s)])*Crops[[#This Row],[Custom Yield Per Bed]]/3600</f>
        <v>0.15625</v>
      </c>
      <c r="DC306" s="37">
        <f>Crops[[#This Row],[Direct Revenue Per Bed2]]</f>
        <v>800</v>
      </c>
      <c r="DD306" s="173">
        <f>_xlfn.AGGREGATE(9,6,Crops[[#This Row],[Bed Prep]:[Remove Crop Residue]])</f>
        <v>19.870337301587298</v>
      </c>
      <c r="DE306" s="173">
        <f>_xlfn.AGGREGATE(9,6,Crops[[#This Row],[Bed Prep]:[Remove Crop Residue]])-0.75*Crops[[#This Row],[Market &amp; Sell]]</f>
        <v>19.570337301587298</v>
      </c>
      <c r="DF306" s="36">
        <f>Crops[[#This Row],[Direct Revenue Per Bed2]]/Crops[[#This Row],[Direct Time]]</f>
        <v>40.261017609202526</v>
      </c>
      <c r="DG306" s="36">
        <f>_xlfn.XLOOKUP(Crops[[#This Row],[ProductIndex]],Products[ID],Products[Packaging Cost])*(Crops[[#This Row],[Custom Yield Per Bed]]/_xlfn.XLOOKUP(Crops[[#This Row],[ProductIndex]],Products[ID],Products[Units Per Pack]))</f>
        <v>48</v>
      </c>
      <c r="DH306" s="36"/>
      <c r="DI306" s="36"/>
      <c r="DJ306" s="36"/>
      <c r="DK306" s="36"/>
      <c r="DL306" s="36"/>
      <c r="DM306" s="33">
        <f>IFERROR(Crops[[#This Row],[Custom Yield Per Bed]]*Crops[[#This Row],[Direct Price]],"")</f>
        <v>800</v>
      </c>
      <c r="DN306" s="36">
        <f>Crops[[#This Row],[Direct Time]]*LaborRate</f>
        <v>496.75843253968247</v>
      </c>
      <c r="DO306" s="36">
        <f>SUM(Crops[[#This Row],[Irrigation Cost]])</f>
        <v>0</v>
      </c>
      <c r="DP306" s="36">
        <f>Crops[[#This Row],[Direct Labor Cost]]+Crops[[#This Row],[Direct Non-Labor Cost]]</f>
        <v>496.75843253968247</v>
      </c>
      <c r="DQ306" s="36">
        <f>Crops[[#This Row],[Direct Revenue Per Bed2]]-Crops[[#This Row],[Direct Total Cost]]</f>
        <v>303.24156746031753</v>
      </c>
      <c r="DR306" s="36">
        <f>Crops[[#This Row],[Direct Profit]]*BedsPerAcre</f>
        <v>48518.650793650806</v>
      </c>
      <c r="DS306" s="36">
        <f>Crops[[#This Row],[Direct Profit]]*BedsPerAcre*GrowingDays/Crops[[#This Row],[Days In Field]]</f>
        <v>23927.005870841494</v>
      </c>
      <c r="DT306" s="36">
        <f>Crops[[#This Row],[Direct Profit]]/MIN(Crops[[#This Row],[Days In Field]],GrowingDays)</f>
        <v>1.6846753747795418</v>
      </c>
      <c r="DU306" s="36">
        <f>Crops[[#This Row],[Direct Time]] * BedsPerAcre</f>
        <v>3179.2539682539677</v>
      </c>
      <c r="DV306" s="36">
        <f>(Crops[[#This Row],[Direct Revenue Per Bed2]]-Crops[[#This Row],[Direct Non-Labor Cost]])/Crops[[#This Row],[Direct Time]]</f>
        <v>40.261017609202526</v>
      </c>
      <c r="DW306" s="33">
        <f>IFERROR(Crops[[#This Row],[Custom Yield Per Bed]]*Crops[[#This Row],[Rough Wholesale Price]],"")</f>
        <v>480</v>
      </c>
      <c r="DX306" s="36">
        <f>Crops[[#This Row],[Wholesale Time]]*LaborRate</f>
        <v>489.25843253968242</v>
      </c>
      <c r="DY306" s="36">
        <f>SUM(Crops[[#This Row],[Packaging Costs]:[Irrigation Cost]])</f>
        <v>48</v>
      </c>
      <c r="DZ306" s="36">
        <f>Crops[[#This Row],[Wholesale Labor Cost]]+Crops[[#This Row],[Wholesale Non-Labor Cost]]</f>
        <v>537.25843253968242</v>
      </c>
      <c r="EA306" s="36">
        <f>Crops[[#This Row],[Wholesale Revenue Per Bed]]-Crops[[#This Row],[Wholesale Total Cost]]</f>
        <v>-57.258432539682417</v>
      </c>
      <c r="EB306" s="36">
        <f>Crops[[#This Row],[Wholesale Profit]]*BedsPerAcre</f>
        <v>-9161.3492063491867</v>
      </c>
      <c r="EC306" s="36">
        <f>Crops[[#This Row],[Wholesale Profit]]*BedsPerAcre*GrowingDays/Crops[[#This Row],[Days In Field]]</f>
        <v>-4517.925636007818</v>
      </c>
      <c r="ED306" s="36">
        <f>Crops[[#This Row],[Wholesale Time]] * BedsPerAcre</f>
        <v>3131.2539682539677</v>
      </c>
      <c r="EE306" s="221">
        <f>Crops[[#This Row],[Wholesale Profit]]/MIN(Crops[[#This Row],[Days In Field]],GrowingDays)</f>
        <v>-0.31810240299823567</v>
      </c>
      <c r="EF306" s="36">
        <f>(Crops[[#This Row],[Wholesale Revenue Per Bed]]-Crops[[#This Row],[Wholesale Non-Labor Cost]])/Crops[[#This Row],[Direct Time]]</f>
        <v>21.740949508969365</v>
      </c>
      <c r="EG306" s="174">
        <f>Crops[[#This Row],[Packaging Costs]]/Crops[[#This Row],[Wholesale Revenue Per Bed]]</f>
        <v>0.1</v>
      </c>
      <c r="EH306" s="36" t="str">
        <f>Crops[[#This Row],[Crop]]&amp;Crops[[#This Row],[Product]]&amp;Crops[[#This Row],[Unit]]</f>
        <v>StrawberryRipe FruitLb</v>
      </c>
      <c r="EI306" s="36" t="b">
        <f>_xlfn.XLOOKUP(Crops[[#This Row],[ProductIndex]],Products[ID],Products[Target])</f>
        <v>1</v>
      </c>
      <c r="EJ306" s="33">
        <f>Crops[[#This Row],[Custom Yield Per Bed]]</f>
        <v>100</v>
      </c>
      <c r="EK306" s="210">
        <f>Crops[[#This Row],[Units Per Harvest]]/Crops[[#This Row],[Days Between Harvest]]*7</f>
        <v>23.333333333333336</v>
      </c>
      <c r="EL306" s="210">
        <f>Crops[[#This Row],[Custom Yield Per Bed]]/_xlfn.XLOOKUP(Crops[[#This Row],[ProductIndex]],Products[ID],Products[CSA Portion])</f>
        <v>133.33333333333334</v>
      </c>
      <c r="EM306" s="210">
        <f>Crops[[#This Row],[Units Per Harvest]]/Crops[[#This Row],[Days Between Harvest]]*7/_xlfn.XLOOKUP(Crops[[#This Row],[ProductIndex]],Products[ID],Products[CSA Portion])</f>
        <v>31.111111111111114</v>
      </c>
      <c r="EN306" s="210">
        <f>Crops[[#This Row],[CSA Portions Per Week]]/CSAMembers</f>
        <v>0.62222222222222223</v>
      </c>
      <c r="EO306" s="216"/>
      <c r="EP306" s="216"/>
      <c r="EQ306" s="36"/>
      <c r="ER306" s="36">
        <f>Crops[[#This Row],[Harvests]]*Crops[[#This Row],[Days Between Harvest]]/7</f>
        <v>4.2857142857142856</v>
      </c>
      <c r="ES306" s="208">
        <f>_xlfn.XLOOKUP(Crops[[#This Row],[ProductIndex]],Products[ID],Products[CSA Need])</f>
        <v>0.75</v>
      </c>
      <c r="ET306" s="208">
        <f>_xlfn.XLOOKUP(Crops[[#This Row],[ProductIndex]],Products[ID],Products[CSA Times])</f>
        <v>1</v>
      </c>
      <c r="EU306" s="208">
        <f>Crops[[#This Row],[Custom Yield Per Bed]]/(Crops[[#This Row],[CSA Need]]*(_xlfn.XLOOKUP(Crops[[#This Row],[ProductIndex]],Products[ID],Products[CSA Portion])*CSAMembers))</f>
        <v>3.5555555555555554</v>
      </c>
      <c r="EV306" s="208">
        <f>_xlfn.XLOOKUP(Crops[[#This Row],[ProductIndex]],Products[ID],Products[CSA Portion])*CSAMembers*Crops[[#This Row],[CSA Need]]/Crops[[#This Row],[Custom Yield Per Bed]]</f>
        <v>0.28125</v>
      </c>
      <c r="EW306" s="208">
        <f>IFERROR(Crops[[#This Row],[Days In Field]]*Crops[[#This Row],[CSA Beds]],"")</f>
        <v>102.65625</v>
      </c>
      <c r="EX306" s="208" t="e">
        <f>Crops[[#This Row],[CSA Bed Days]]*#REF!</f>
        <v>#REF!</v>
      </c>
      <c r="EY306" t="s">
        <v>2545</v>
      </c>
    </row>
    <row r="307" spans="1:155">
      <c r="A30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Strawberry Spinach - Mature Leaf 1X | Field DS SpSuFa</v>
      </c>
      <c r="C307" s="1"/>
      <c r="D307" s="1"/>
      <c r="E307" s="1" t="b">
        <v>0</v>
      </c>
      <c r="F307" s="1" t="b">
        <f>IFERROR(IF(ISNUMBER(MATCH(Crops[[#This Row],[Identifier]],BedPlan[Crop], 0)), TRUE, FALSE), FALSE)</f>
        <v>0</v>
      </c>
      <c r="G307" s="1" t="b">
        <f>IFERROR(IF(ISNUMBER(MATCH(Crops[[#This Row],[Identifier]],BedPlan[Crop], 0)), TRUE, FALSE), FALSE)</f>
        <v>0</v>
      </c>
      <c r="H307" s="1" t="b">
        <v>1</v>
      </c>
      <c r="I307" t="s">
        <v>127</v>
      </c>
      <c r="J307" t="s">
        <v>145</v>
      </c>
      <c r="K307" t="s">
        <v>179</v>
      </c>
      <c r="N307" t="str">
        <f>Crops[[#This Row],[Crop]]</f>
        <v>Strawberry Spinach</v>
      </c>
      <c r="O307" t="s">
        <v>210</v>
      </c>
      <c r="P307" t="str">
        <f>IF(OR(Crops[[#This Row],[Days in Cells]]="",Crops[[#This Row],[Days in Cells]]=0), "DS","TP")</f>
        <v>DS</v>
      </c>
      <c r="Q307" t="s">
        <v>144</v>
      </c>
      <c r="R307" t="s">
        <v>144</v>
      </c>
      <c r="S307" t="s">
        <v>144</v>
      </c>
      <c r="V307" t="str">
        <f xml:space="preserve"> IF(Crops[[#This Row],[Sp]], "Sp", "") &amp; IF(Crops[[#This Row],[Su]], "Su", "") &amp; IF(Crops[[#This Row],[Fa]], "Fa", "") &amp; IF(Crops[[#This Row],[Wi]], "Wi", "") &amp; IF(Crops[[#This Row],[OW]], "Ow","")</f>
        <v>SpSuFa</v>
      </c>
      <c r="W307" t="b">
        <v>1</v>
      </c>
      <c r="X307">
        <v>2</v>
      </c>
      <c r="Y307">
        <v>12</v>
      </c>
      <c r="AD307" s="32">
        <f>IFERROR(12/Crops[[#This Row],[Spacing]]*Crops[[#This Row],[Rows]]*BedLength,"")</f>
        <v>100</v>
      </c>
      <c r="AE307">
        <v>1</v>
      </c>
      <c r="AG307">
        <f>IF(Crops[[#This Row],[Custom Safety Factor]]="",PlantingSafetyFactor,Crops[[#This Row],[Custom Safety Factor]])</f>
        <v>1.3</v>
      </c>
      <c r="AH307">
        <f>1</f>
        <v>1</v>
      </c>
      <c r="AI307" s="33">
        <f>IFERROR(Crops[[#This Row],[Plantings Per Bed]]*Crops[[#This Row],[Seeds Per Planting]]*Crops[[#This Row],[Safety Factor]]*Crops[[#This Row],[Seeding Factor]],"")</f>
        <v>130</v>
      </c>
      <c r="AL307">
        <f>_xlfn.FLOOR.MATH(IFERROR(AVERAGE(Crops[[#This Row],[DTG Lower]:[DTG Upper]]),0))</f>
        <v>0</v>
      </c>
      <c r="AM307">
        <f>SUM(Crops[[#This Row],[Tray 1 Days]],Crops[[#This Row],[Tray 2 Days]],Crops[[#This Row],[Tray 3 Days]])</f>
        <v>0</v>
      </c>
      <c r="AN307">
        <v>21</v>
      </c>
      <c r="AP307">
        <v>50</v>
      </c>
      <c r="AQ307">
        <f>IFERROR(_xlfn.FLOOR.MATH(AVERAGE(Crops[[#This Row],[DTM Lower]:[DTM Upper]])),"")</f>
        <v>50</v>
      </c>
      <c r="AR307" cm="1">
        <f t="array" ref="AR307">_xlfn.SWITCH(Crops[[#This Row],[Normal Method]],"DS",Crops[[#This Row],[Days to Germination]]+Crops[[#This Row],[DTM]] + IF(Crops[[#This Row],[Days in Cells]]&gt;0,15,0), "TP",Crops[[#This Row],[DTM]]+Crops[[#This Row],[Days in Cells]] + IF(Crops[[#This Row],[Days in Cells]]&lt;=0,20,0), "X", Crops[[#This Row],[DTM]])</f>
        <v>50</v>
      </c>
      <c r="AS307" t="s">
        <v>347</v>
      </c>
      <c r="AT307">
        <f>(Crops[[#This Row],[Harvests]]-1)*Crops[[#This Row],[Days Between Harvest]]+7</f>
        <v>7</v>
      </c>
      <c r="AU307">
        <f>Crops[[#This Row],[STH]]-Crops[[#This Row],[Days in Cells]]+Crops[[#This Row],[Harvest window]]</f>
        <v>57</v>
      </c>
      <c r="AW307" t="e">
        <v>#N/A</v>
      </c>
      <c r="AZ307" t="str">
        <f>IFERROR(IF(Crops[[#This Row],[Tray 1 Days]]=0,"",Crops[[#This Row],[Plantings Per Bed]]/Crops[[#This Row],[Tray 1 Size]]*Crops[[#This Row],[Safety Factor]]),"")</f>
        <v/>
      </c>
      <c r="BC307" t="str">
        <f>IFERROR(IF(Crops[[#This Row],[Tray 2 Days]]=0,"",Crops[[#This Row],[Plantings Per Bed]]/Crops[[#This Row],[Tray 2 Size]]*Crops[[#This Row],[Safety Factor]]),"")</f>
        <v/>
      </c>
      <c r="BE307" s="32" t="str">
        <f>IF(NOT(ISBLANK(Crops[[#This Row],[Tray 3 Size]])), Crops[[#This Row],[Days in Cells Old]]-SUM(Crops[[#This Row],[Tray 1 Days]],Crops[[#This Row],[Tray 2 Days]]), "")</f>
        <v/>
      </c>
      <c r="BF307" t="str">
        <f>IFERROR(IF(Crops[[#This Row],[Tray 3 Days]]=0,"",Crops[[#This Row],[Plantings Per Bed]]/Crops[[#This Row],[Tray 3 Size]]*Crops[[#This Row],[Safety Factor]]),"")</f>
        <v/>
      </c>
      <c r="BG307" s="33"/>
      <c r="BH307" s="33"/>
      <c r="BI307" s="33"/>
      <c r="BJ307" s="33">
        <f>_xlfn.XLOOKUP(Crops[[#This Row],[ProductIndex]],Products[ID],Products[Holding Period])</f>
        <v>0</v>
      </c>
      <c r="BK307" s="33"/>
      <c r="BL307" s="33">
        <f>Crops[[#This Row],[Units Per Harvest]]*Crops[[#This Row],[Harvests]]</f>
        <v>0</v>
      </c>
      <c r="BM307" s="35">
        <v>12</v>
      </c>
      <c r="BN307" s="35">
        <f>Crops[[#This Row],[Direct Price]]*0.6</f>
        <v>7.1999999999999993</v>
      </c>
      <c r="BO307" s="35"/>
      <c r="BP307" t="s">
        <v>383</v>
      </c>
      <c r="BQ307">
        <f>Crops[[#This Row],[Custom Yield Per Bed]]*Crops[[#This Row],[Direct Price]]</f>
        <v>0</v>
      </c>
      <c r="BS307" t="b">
        <f>Crops[[#This Row],[Harvests]]&gt;1</f>
        <v>0</v>
      </c>
      <c r="BT307" s="36">
        <f>IFERROR(Crops[[#This Row],[Direct Revenue Per Bed]]/Crops[[#This Row],[Days In Field]],-1)</f>
        <v>0</v>
      </c>
      <c r="BU307" s="36">
        <f>IFERROR(Crops[[#This Row],[Direct Revenue Per Bed Day]]*GrowingDays*BedsPerAcre,"")</f>
        <v>0</v>
      </c>
      <c r="BV307" s="38">
        <f>LastFrostDate-5*Crops[[#This Row],[Sewing Rel Last Frost]]</f>
        <v>45748</v>
      </c>
      <c r="BW307" s="38">
        <f>Crops[[#This Row],[Target Sewing Date]]+Crops[[#This Row],[Days in Cells]]</f>
        <v>45748</v>
      </c>
      <c r="BX307" s="38">
        <f>Crops[[#This Row],[Target Sewing Date]]+Crops[[#This Row],[STH]]</f>
        <v>45798</v>
      </c>
      <c r="BY307" s="38">
        <f>Crops[[#This Row],[Target Harvest Data]]+Crops[[#This Row],[Harvest window]]</f>
        <v>45805</v>
      </c>
      <c r="CB307">
        <f>1</f>
        <v>1</v>
      </c>
      <c r="CC307">
        <f>IF(Crops[[#This Row],[Transplanting]]&gt;0, 2, 3)*BedLength/StandardBedLength</f>
        <v>1.5</v>
      </c>
      <c r="CD307" s="173">
        <f>IF(Crops[[#This Row],[Days in Cells]]&lt;=0,0,Crops[[#This Row],[Plantings Per Bed]]/StartsPerHourSeeding+Crops[[#This Row],[Tray 1 Count]]*5/60)</f>
        <v>0</v>
      </c>
      <c r="CE307" s="173">
        <f>IF(ISBLANK(Crops[[#This Row],[Tray 2 Days]]),0,Crops[[#This Row],[Plantings Per Bed]]/UpPottingPerHour)+IF(Crops[[#This Row],[Tray 3 Days]]="",0,Crops[[#This Row],[Plantings Per Bed]]/UpPottingPerHour)</f>
        <v>0</v>
      </c>
      <c r="CF307" s="173">
        <f>IFERROR(Crops[[#This Row],[Tray 1 Count]]/HomeStartFlatIrrigationPerHour,0)*Crops[[#This Row],[Days in Cells]]/DaysBetweenStartIrrigation</f>
        <v>0</v>
      </c>
      <c r="CG307" s="173">
        <f>0.5/16*MAX(Crops[[#This Row],[Tray 1 Count]],Crops[[#This Row],[Tray 2 Count]],Crops[[#This Row],[Tray 3 Count]])</f>
        <v>0</v>
      </c>
      <c r="CH307" s="173">
        <f>IF(Crops[[#This Row],[Days in Cells]]&gt;0,IF(IF(Crops[[#This Row],[Tray 3 Size]]&gt;0,Crops[[#This Row],[Tray 3 Size]],IF(Crops[[#This Row],[Tray 2 Size]]&gt;0,Crops[[#This Row],[Tray 2 Size]],Crops[[#This Row],[Tray 1 Size]]))&lt;=18,LargeTransplantTime,SmallTransplantTime)*Crops[[#This Row],[Plantings Per Bed]],0)</f>
        <v>0</v>
      </c>
      <c r="CI307" s="173"/>
      <c r="CJ307" s="173">
        <f>_xlfn.XLOOKUP(Crops[[#This Row],[Trellis Type]],TrellisMethods[Trellis Type],TrellisMethods[Hours],0,0)</f>
        <v>0</v>
      </c>
      <c r="CK307">
        <f>IF(Crops[[#This Row],[Days in Cells]]&lt;=0,Crops[[#This Row],[Rows]]*1/10,0)*BedLength/50</f>
        <v>0.2</v>
      </c>
      <c r="CL307" cm="1">
        <f t="array" ref="CL307">_xlfn.SWITCH(Crops[[#This Row],[Irrigation]],"DR", 0.5, "OH", 0.25,0)*BedLength/50</f>
        <v>0</v>
      </c>
      <c r="CM307">
        <f>IF(OR(ISBLANK(Crops[[#This Row],[Row Cover]]),Crops[[#This Row],[Row Cover]]="None"),0,1)*BedLength/50</f>
        <v>0</v>
      </c>
      <c r="CN307" s="173">
        <f>HoursPerWeedingPass*Crops[[#This Row],[Days In Field]]/14*Crops[[#This Row],[Rows]]+1*BedLength/50</f>
        <v>2.3571428571428572</v>
      </c>
      <c r="CQ307" s="37">
        <f>_xlfn.XLOOKUP(Crops[[#This Row],[Crop]]&amp;Crops[[#This Row],[Product]]&amp;Crops[[#This Row],[Unit]],Products[ID],Products[Marketing (hr)])*Crops[[#This Row],[Direct Revenue Per Bed]]/2000</f>
        <v>0</v>
      </c>
      <c r="CR307" s="37">
        <f>_xlfn.XLOOKUP(Crops[[#This Row],[Crop]]&amp;Crops[[#This Row],[Product]]&amp;Crops[[#This Row],[Unit]],Products[ID],Products[Harvest (s)])*Crops[[#This Row],[Custom Yield Per Bed]]/3600</f>
        <v>0</v>
      </c>
      <c r="CS307" s="37">
        <f>_xlfn.XLOOKUP(Crops[[#This Row],[Crop]]&amp;Crops[[#This Row],[Product]]&amp;Crops[[#This Row],[Unit]],Products[ID],Products[Bunch (s)])*Crops[[#This Row],[Custom Yield Per Bed]]/3600</f>
        <v>0</v>
      </c>
      <c r="CT307" s="37">
        <f>_xlfn.XLOOKUP(Crops[[#This Row],[Crop]]&amp;Crops[[#This Row],[Product]]&amp;Crops[[#This Row],[Unit]],Products[ID],Products[Haul (s)])*Crops[[#This Row],[Custom Yield Per Bed]]/3600</f>
        <v>0</v>
      </c>
      <c r="CU307" s="37">
        <f>_xlfn.XLOOKUP(Crops[[#This Row],[Crop]]&amp;Crops[[#This Row],[Product]]&amp;Crops[[#This Row],[Unit]],Products[ID],Products[Wash (s)])*Crops[[#This Row],[Custom Yield Per Bed]]/3600</f>
        <v>0</v>
      </c>
      <c r="CV307" s="37">
        <f>_xlfn.XLOOKUP(Crops[[#This Row],[Crop]]&amp;Crops[[#This Row],[Product]]&amp;Crops[[#This Row],[Unit]],Products[ID],Products[Condition (s)])*Crops[[#This Row],[Custom Yield Per Bed]]/3600</f>
        <v>0</v>
      </c>
      <c r="CW307" s="37">
        <f>_xlfn.XLOOKUP(Crops[[#This Row],[Crop]]&amp;Crops[[#This Row],[Product]]&amp;Crops[[#This Row],[Unit]],Products[ID],Products[Trim (s)])*Crops[[#This Row],[Custom Yield Per Bed]]/3600</f>
        <v>0</v>
      </c>
      <c r="CX307" s="37">
        <f>_xlfn.XLOOKUP(Crops[[#This Row],[Crop]]&amp;Crops[[#This Row],[Product]]&amp;Crops[[#This Row],[Unit]],Products[ID],Products[Pack (s)])*Crops[[#This Row],[Custom Yield Per Bed]]/3600</f>
        <v>0</v>
      </c>
      <c r="CY307" s="37">
        <f>_xlfn.XLOOKUP(Crops[[#This Row],[Crop]]&amp;Crops[[#This Row],[Product]]&amp;Crops[[#This Row],[Unit]],Products[ID],Products[Clean (s)])*Crops[[#This Row],[Custom Yield Per Bed]]/3600</f>
        <v>0</v>
      </c>
      <c r="CZ307" s="37">
        <f>_xlfn.XLOOKUP(Crops[[#This Row],[Crop]]&amp;Crops[[#This Row],[Product]]&amp;Crops[[#This Row],[Unit]],Products[ID],Products[Rehandle (s)])*Crops[[#This Row],[Custom Yield Per Bed]]/3600</f>
        <v>0</v>
      </c>
      <c r="DA307" s="37">
        <f>_xlfn.XLOOKUP(Crops[[#This Row],[Crop]]&amp;Crops[[#This Row],[Product]]&amp;Crops[[#This Row],[Unit]],Products[ID],Products[Market Transport (s)])*Crops[[#This Row],[Custom Yield Per Bed]]/3600</f>
        <v>0</v>
      </c>
      <c r="DC307" s="37">
        <f>Crops[[#This Row],[Direct Revenue Per Bed2]]</f>
        <v>0</v>
      </c>
      <c r="DD307" s="173">
        <f>_xlfn.AGGREGATE(9,6,Crops[[#This Row],[Bed Prep]:[Remove Crop Residue]])</f>
        <v>4.0571428571428569</v>
      </c>
      <c r="DE307" s="173">
        <f>_xlfn.AGGREGATE(9,6,Crops[[#This Row],[Bed Prep]:[Remove Crop Residue]])-0.75*Crops[[#This Row],[Market &amp; Sell]]</f>
        <v>4.0571428571428569</v>
      </c>
      <c r="DF307" s="36">
        <f>Crops[[#This Row],[Direct Revenue Per Bed2]]/Crops[[#This Row],[Direct Time]]</f>
        <v>0</v>
      </c>
      <c r="DG307" s="36">
        <f>_xlfn.XLOOKUP(Crops[[#This Row],[ProductIndex]],Products[ID],Products[Packaging Cost])*(Crops[[#This Row],[Custom Yield Per Bed]]/_xlfn.XLOOKUP(Crops[[#This Row],[ProductIndex]],Products[ID],Products[Units Per Pack]))</f>
        <v>0</v>
      </c>
      <c r="DH307" s="36"/>
      <c r="DI307" s="36"/>
      <c r="DJ307" s="36"/>
      <c r="DK307" s="36"/>
      <c r="DL307" s="36"/>
      <c r="DM307" s="33">
        <f>IFERROR(Crops[[#This Row],[Custom Yield Per Bed]]*Crops[[#This Row],[Direct Price]],"")</f>
        <v>0</v>
      </c>
      <c r="DN307" s="36">
        <f>Crops[[#This Row],[Direct Time]]*LaborRate</f>
        <v>101.42857142857142</v>
      </c>
      <c r="DO307" s="36">
        <f>SUM(Crops[[#This Row],[Irrigation Cost]])</f>
        <v>0</v>
      </c>
      <c r="DP307" s="36">
        <f>Crops[[#This Row],[Direct Labor Cost]]+Crops[[#This Row],[Direct Non-Labor Cost]]</f>
        <v>101.42857142857142</v>
      </c>
      <c r="DQ307" s="36">
        <f>Crops[[#This Row],[Direct Revenue Per Bed2]]-Crops[[#This Row],[Direct Total Cost]]</f>
        <v>-101.42857142857142</v>
      </c>
      <c r="DR307" s="36">
        <f>Crops[[#This Row],[Direct Profit]]*BedsPerAcre</f>
        <v>-16228.571428571428</v>
      </c>
      <c r="DS307" s="36">
        <f>Crops[[#This Row],[Direct Profit]]*BedsPerAcre*GrowingDays/Crops[[#This Row],[Days In Field]]</f>
        <v>-51248.120300751871</v>
      </c>
      <c r="DT307" s="36">
        <f>Crops[[#This Row],[Direct Profit]]/MIN(Crops[[#This Row],[Days In Field]],GrowingDays)</f>
        <v>-1.7794486215538845</v>
      </c>
      <c r="DU307" s="36">
        <f>Crops[[#This Row],[Direct Time]] * BedsPerAcre</f>
        <v>649.14285714285711</v>
      </c>
      <c r="DV307" s="36">
        <f>(Crops[[#This Row],[Direct Revenue Per Bed2]]-Crops[[#This Row],[Direct Non-Labor Cost]])/Crops[[#This Row],[Direct Time]]</f>
        <v>0</v>
      </c>
      <c r="DW307" s="33">
        <f>IFERROR(Crops[[#This Row],[Custom Yield Per Bed]]*Crops[[#This Row],[Rough Wholesale Price]],"")</f>
        <v>0</v>
      </c>
      <c r="DX307" s="36">
        <f>Crops[[#This Row],[Wholesale Time]]*LaborRate</f>
        <v>101.42857142857142</v>
      </c>
      <c r="DY307" s="36">
        <f>SUM(Crops[[#This Row],[Packaging Costs]:[Irrigation Cost]])</f>
        <v>0</v>
      </c>
      <c r="DZ307" s="36">
        <f>Crops[[#This Row],[Wholesale Labor Cost]]+Crops[[#This Row],[Wholesale Non-Labor Cost]]</f>
        <v>101.42857142857142</v>
      </c>
      <c r="EA307" s="36">
        <f>Crops[[#This Row],[Wholesale Revenue Per Bed]]-Crops[[#This Row],[Wholesale Total Cost]]</f>
        <v>-101.42857142857142</v>
      </c>
      <c r="EB307" s="36">
        <f>Crops[[#This Row],[Wholesale Profit]]*BedsPerAcre</f>
        <v>-16228.571428571428</v>
      </c>
      <c r="EC307" s="36">
        <f>Crops[[#This Row],[Wholesale Profit]]*BedsPerAcre*GrowingDays/Crops[[#This Row],[Days In Field]]</f>
        <v>-51248.120300751871</v>
      </c>
      <c r="ED307" s="36">
        <f>Crops[[#This Row],[Wholesale Time]] * BedsPerAcre</f>
        <v>649.14285714285711</v>
      </c>
      <c r="EE307" s="36">
        <f>Crops[[#This Row],[Wholesale Profit]]/MIN(Crops[[#This Row],[Days In Field]],GrowingDays)</f>
        <v>-1.7794486215538845</v>
      </c>
      <c r="EF307" s="36">
        <f>(Crops[[#This Row],[Wholesale Revenue Per Bed]]-Crops[[#This Row],[Wholesale Non-Labor Cost]])/Crops[[#This Row],[Direct Time]]</f>
        <v>0</v>
      </c>
      <c r="EG307" s="174" t="e">
        <f>Crops[[#This Row],[Packaging Costs]]/Crops[[#This Row],[Wholesale Revenue Per Bed]]</f>
        <v>#DIV/0!</v>
      </c>
      <c r="EH307" s="36" t="str">
        <f>Crops[[#This Row],[Crop]]&amp;Crops[[#This Row],[Product]]&amp;Crops[[#This Row],[Unit]]</f>
        <v>Strawberry SpinachMature LeafLb</v>
      </c>
      <c r="EI307" s="36" t="b">
        <f>_xlfn.XLOOKUP(Crops[[#This Row],[ProductIndex]],Products[ID],Products[Target])</f>
        <v>0</v>
      </c>
      <c r="EJ307" s="36">
        <f>Crops[[#This Row],[Custom Yield Per Bed]]</f>
        <v>0</v>
      </c>
      <c r="EK307" s="210" t="e">
        <f>Crops[[#This Row],[Units Per Harvest]]/Crops[[#This Row],[Days Between Harvest]]*7</f>
        <v>#DIV/0!</v>
      </c>
      <c r="EL307" s="210" t="e">
        <f>Crops[[#This Row],[Custom Yield Per Bed]]/_xlfn.XLOOKUP(Crops[[#This Row],[ProductIndex]],Products[ID],Products[CSA Portion])</f>
        <v>#DIV/0!</v>
      </c>
      <c r="EM307" s="210" t="e">
        <f>Crops[[#This Row],[Units Per Harvest]]/Crops[[#This Row],[Days Between Harvest]]*7/_xlfn.XLOOKUP(Crops[[#This Row],[ProductIndex]],Products[ID],Products[CSA Portion])</f>
        <v>#DIV/0!</v>
      </c>
      <c r="EN307" s="210" t="e">
        <f>Crops[[#This Row],[CSA Portions Per Week]]/CSAMembers</f>
        <v>#DIV/0!</v>
      </c>
      <c r="EO307" s="210"/>
      <c r="EP307" s="210"/>
      <c r="EQ307" s="36"/>
      <c r="ER307" s="36">
        <f>Crops[[#This Row],[Harvests]]*Crops[[#This Row],[Days Between Harvest]]/7</f>
        <v>0</v>
      </c>
      <c r="ES307" s="208">
        <f>_xlfn.XLOOKUP(Crops[[#This Row],[ProductIndex]],Products[ID],Products[CSA Need])</f>
        <v>0</v>
      </c>
      <c r="ET307" s="208">
        <f>_xlfn.XLOOKUP(Crops[[#This Row],[ProductIndex]],Products[ID],Products[CSA Times])</f>
        <v>0</v>
      </c>
      <c r="EU307" s="208" t="e">
        <f>Crops[[#This Row],[Custom Yield Per Bed]]/(Crops[[#This Row],[CSA Need]]*(_xlfn.XLOOKUP(Crops[[#This Row],[ProductIndex]],Products[ID],Products[CSA Portion])*CSAMembers))</f>
        <v>#DIV/0!</v>
      </c>
      <c r="EV307" s="208" t="e">
        <f>_xlfn.XLOOKUP(Crops[[#This Row],[ProductIndex]],Products[ID],Products[CSA Portion])*CSAMembers*Crops[[#This Row],[CSA Need]]/Crops[[#This Row],[Custom Yield Per Bed]]</f>
        <v>#DIV/0!</v>
      </c>
      <c r="EW307" s="208" t="str">
        <f>IFERROR(Crops[[#This Row],[Days In Field]]*Crops[[#This Row],[CSA Beds]],"")</f>
        <v/>
      </c>
      <c r="EX307" s="208" t="e">
        <f>Crops[[#This Row],[CSA Bed Days]]*#REF!</f>
        <v>#VALUE!</v>
      </c>
      <c r="EY307" t="s">
        <v>302</v>
      </c>
    </row>
    <row r="308" spans="1:155">
      <c r="A308" s="189" t="s">
        <v>1695</v>
      </c>
      <c r="B308" s="189"/>
      <c r="C308" s="1" t="b">
        <v>1</v>
      </c>
      <c r="D308" s="1"/>
      <c r="E308" s="1" t="b">
        <v>0</v>
      </c>
      <c r="F308" s="1" t="b">
        <f>IFERROR(IF(ISNUMBER(MATCH(Crops[[#This Row],[Identifier]],BedPlan[Crop], 0)), TRUE, FALSE), FALSE)</f>
        <v>0</v>
      </c>
      <c r="G308" s="1" t="b">
        <f>IFERROR(IF(ISNUMBER(MATCH(Crops[[#This Row],[Identifier]],BedPlan[Crop], 0)), TRUE, FALSE), FALSE)</f>
        <v>0</v>
      </c>
      <c r="H308" s="1"/>
      <c r="I308" t="s">
        <v>1695</v>
      </c>
      <c r="J308" t="s">
        <v>145</v>
      </c>
      <c r="K308" t="s">
        <v>181</v>
      </c>
      <c r="M308" t="s">
        <v>406</v>
      </c>
      <c r="N308" t="str">
        <f>Crops[[#This Row],[Crop]]</f>
        <v>Strawflower</v>
      </c>
      <c r="O308" t="s">
        <v>210</v>
      </c>
      <c r="P308" t="str">
        <f>IF(OR(Crops[[#This Row],[Days in Cells]]="",Crops[[#This Row],[Days in Cells]]=0), "DS","TP")</f>
        <v>TP</v>
      </c>
      <c r="Q308" t="b">
        <v>1</v>
      </c>
      <c r="R308" t="b">
        <v>1</v>
      </c>
      <c r="S308" t="b">
        <v>1</v>
      </c>
      <c r="V308" t="str">
        <f xml:space="preserve"> IF(Crops[[#This Row],[Sp]], "Sp", "") &amp; IF(Crops[[#This Row],[Su]], "Su", "") &amp; IF(Crops[[#This Row],[Fa]], "Fa", "") &amp; IF(Crops[[#This Row],[Wi]], "Wi", "") &amp; IF(Crops[[#This Row],[OW]], "Ow","")</f>
        <v>SpSuFa</v>
      </c>
      <c r="X308">
        <v>3</v>
      </c>
      <c r="Y308">
        <v>12</v>
      </c>
      <c r="AC308">
        <v>3</v>
      </c>
      <c r="AD308" s="32">
        <f>IFERROR(12/Crops[[#This Row],[Spacing]]*Crops[[#This Row],[Rows]]*BedLength,"")</f>
        <v>150</v>
      </c>
      <c r="AE308">
        <v>1</v>
      </c>
      <c r="AG308">
        <f>IF(Crops[[#This Row],[Custom Safety Factor]]="",PlantingSafetyFactor,Crops[[#This Row],[Custom Safety Factor]])</f>
        <v>1.3</v>
      </c>
      <c r="AH308">
        <f>1</f>
        <v>1</v>
      </c>
      <c r="AI308" s="33">
        <f>IFERROR(Crops[[#This Row],[Plantings Per Bed]]*Crops[[#This Row],[Seeds Per Planting]]*Crops[[#This Row],[Safety Factor]]*Crops[[#This Row],[Seeding Factor]],"")</f>
        <v>195</v>
      </c>
      <c r="AJ308">
        <v>7</v>
      </c>
      <c r="AK308">
        <v>10</v>
      </c>
      <c r="AL308">
        <f>_xlfn.FLOOR.MATH(IFERROR(AVERAGE(Crops[[#This Row],[DTG Lower]:[DTG Upper]]),0))</f>
        <v>8</v>
      </c>
      <c r="AM308">
        <f>SUM(Crops[[#This Row],[Tray 1 Days]],Crops[[#This Row],[Tray 2 Days]],Crops[[#This Row],[Tray 3 Days]])</f>
        <v>35</v>
      </c>
      <c r="AO308">
        <v>75</v>
      </c>
      <c r="AP308">
        <v>85</v>
      </c>
      <c r="AQ308">
        <f>IFERROR(_xlfn.FLOOR.MATH(AVERAGE(Crops[[#This Row],[DTM Lower]:[DTM Upper]])),"")</f>
        <v>80</v>
      </c>
      <c r="AR308" cm="1">
        <f t="array" ref="AR308">_xlfn.SWITCH(Crops[[#This Row],[Normal Method]],"DS",Crops[[#This Row],[Days to Germination]]+Crops[[#This Row],[DTM]] + IF(Crops[[#This Row],[Days in Cells]]&gt;0,15,0), "TP",Crops[[#This Row],[DTM]]+Crops[[#This Row],[Days in Cells]] + IF(Crops[[#This Row],[Days in Cells]]&lt;=0,20,0), "X", Crops[[#This Row],[DTM]])</f>
        <v>103</v>
      </c>
      <c r="AS308" t="s">
        <v>338</v>
      </c>
      <c r="AT308">
        <f>(Crops[[#This Row],[Harvests]]-1)*Crops[[#This Row],[Days Between Harvest]]+7</f>
        <v>84</v>
      </c>
      <c r="AU308">
        <f>Crops[[#This Row],[STH]]-Crops[[#This Row],[Days in Cells]]+Crops[[#This Row],[Harvest window]]</f>
        <v>152</v>
      </c>
      <c r="AW308">
        <v>72</v>
      </c>
      <c r="AX308">
        <v>72</v>
      </c>
      <c r="AY308">
        <v>35</v>
      </c>
      <c r="AZ308">
        <f>IFERROR(IF(Crops[[#This Row],[Tray 1 Days]]=0,"",Crops[[#This Row],[Plantings Per Bed]]/Crops[[#This Row],[Tray 1 Size]]*Crops[[#This Row],[Safety Factor]]),"")</f>
        <v>2.7083333333333335</v>
      </c>
      <c r="BC308" t="str">
        <f>IFERROR(IF(Crops[[#This Row],[Tray 2 Days]]=0,"",Crops[[#This Row],[Plantings Per Bed]]/Crops[[#This Row],[Tray 2 Size]]*Crops[[#This Row],[Safety Factor]]),"")</f>
        <v/>
      </c>
      <c r="BE308" s="32" t="str">
        <f>IF(NOT(ISBLANK(Crops[[#This Row],[Tray 3 Size]])), Crops[[#This Row],[Days in Cells Old]]-SUM(Crops[[#This Row],[Tray 1 Days]],Crops[[#This Row],[Tray 2 Days]]), "")</f>
        <v/>
      </c>
      <c r="BF308" t="str">
        <f>IFERROR(IF(Crops[[#This Row],[Tray 3 Days]]=0,"",Crops[[#This Row],[Plantings Per Bed]]/Crops[[#This Row],[Tray 3 Size]]*Crops[[#This Row],[Safety Factor]]),"")</f>
        <v/>
      </c>
      <c r="BG308" s="33">
        <f>Crops[[#This Row],[Plantings Per Bed]]*15/Crops[[#This Row],[Harvests]]</f>
        <v>187.5</v>
      </c>
      <c r="BH308" s="33">
        <v>12</v>
      </c>
      <c r="BI308" s="33">
        <v>7</v>
      </c>
      <c r="BJ308" s="33">
        <f>_xlfn.XLOOKUP(Crops[[#This Row],[ProductIndex]],Products[ID],Products[Holding Period])</f>
        <v>0</v>
      </c>
      <c r="BK308" s="33"/>
      <c r="BL308" s="33">
        <f>Crops[[#This Row],[Units Per Harvest]]*Crops[[#This Row],[Harvests]]</f>
        <v>2250</v>
      </c>
      <c r="BM308" s="35">
        <v>0.5</v>
      </c>
      <c r="BN308" s="35">
        <f>Crops[[#This Row],[Direct Price]]*0.6</f>
        <v>0.3</v>
      </c>
      <c r="BO308" s="35"/>
      <c r="BP308" t="s">
        <v>213</v>
      </c>
      <c r="BQ308">
        <f>Crops[[#This Row],[Custom Yield Per Bed]]*Crops[[#This Row],[Direct Price]]</f>
        <v>1125</v>
      </c>
      <c r="BR308" t="b">
        <v>0</v>
      </c>
      <c r="BS308" t="b">
        <f>Crops[[#This Row],[Harvests]]&gt;1</f>
        <v>1</v>
      </c>
      <c r="BT308" s="36">
        <f>IFERROR(Crops[[#This Row],[Direct Revenue Per Bed]]/Crops[[#This Row],[Days In Field]],-1)</f>
        <v>7.4013157894736841</v>
      </c>
      <c r="BU308" s="33">
        <f>IFERROR(Crops[[#This Row],[Direct Revenue Per Bed Day]]*GrowingDays*BedsPerAcre,"")</f>
        <v>213157.89473684211</v>
      </c>
      <c r="BV308" s="38">
        <f>LastFrostDate-5*Crops[[#This Row],[Sewing Rel Last Frost]]</f>
        <v>45748</v>
      </c>
      <c r="BW308" s="38">
        <f>Crops[[#This Row],[Target Sewing Date]]+Crops[[#This Row],[Days in Cells]]</f>
        <v>45783</v>
      </c>
      <c r="BX308" s="38">
        <f>Crops[[#This Row],[Target Sewing Date]]+Crops[[#This Row],[STH]]</f>
        <v>45851</v>
      </c>
      <c r="BY308" s="38">
        <f>Crops[[#This Row],[Target Harvest Data]]+Crops[[#This Row],[Harvest window]]</f>
        <v>45935</v>
      </c>
      <c r="CA308" t="s">
        <v>490</v>
      </c>
      <c r="CB308">
        <f>1</f>
        <v>1</v>
      </c>
      <c r="CC308">
        <f>IF(Crops[[#This Row],[Transplanting]]&gt;0, 2, 3)*BedLength/StandardBedLength</f>
        <v>1</v>
      </c>
      <c r="CD308" s="173">
        <f>IF(Crops[[#This Row],[Days in Cells]]&lt;=0,0,Crops[[#This Row],[Plantings Per Bed]]/StartsPerHourSeeding+Crops[[#This Row],[Tray 1 Count]]*5/60)</f>
        <v>0.81163194444444442</v>
      </c>
      <c r="CE308" s="173">
        <f>IF(ISBLANK(Crops[[#This Row],[Tray 2 Days]]),0,Crops[[#This Row],[Plantings Per Bed]]/UpPottingPerHour)+IF(Crops[[#This Row],[Tray 3 Days]]="",0,Crops[[#This Row],[Plantings Per Bed]]/UpPottingPerHour)</f>
        <v>0</v>
      </c>
      <c r="CF308" s="173">
        <f>IFERROR(Crops[[#This Row],[Tray 1 Count]]/HomeStartFlatIrrigationPerHour,0)*Crops[[#This Row],[Days in Cells]]/DaysBetweenStartIrrigation</f>
        <v>0.39496527777777779</v>
      </c>
      <c r="CG308" s="173">
        <f>0.5/16*MAX(Crops[[#This Row],[Tray 1 Count]],Crops[[#This Row],[Tray 2 Count]],Crops[[#This Row],[Tray 3 Count]])</f>
        <v>8.4635416666666671E-2</v>
      </c>
      <c r="CH308" s="173">
        <f>IF(Crops[[#This Row],[Days in Cells]]&gt;0,IF(IF(Crops[[#This Row],[Tray 3 Size]]&gt;0,Crops[[#This Row],[Tray 3 Size]],IF(Crops[[#This Row],[Tray 2 Size]]&gt;0,Crops[[#This Row],[Tray 2 Size]],Crops[[#This Row],[Tray 1 Size]]))&lt;=18,LargeTransplantTime,SmallTransplantTime)*Crops[[#This Row],[Plantings Per Bed]],0)</f>
        <v>0.75</v>
      </c>
      <c r="CI308" s="173"/>
      <c r="CJ308" s="173">
        <f>_xlfn.XLOOKUP(Crops[[#This Row],[Trellis Type]],TrellisMethods[Trellis Type],TrellisMethods[Hours],0,0)</f>
        <v>0</v>
      </c>
      <c r="CK308">
        <f>IF(Crops[[#This Row],[Days in Cells]]&lt;=0,Crops[[#This Row],[Rows]]*1/10,0)*BedLength/50</f>
        <v>0</v>
      </c>
      <c r="CL308" cm="1">
        <f t="array" ref="CL308">_xlfn.SWITCH(Crops[[#This Row],[Irrigation]],"DR", 0.5, "OH", 0.25,0)*BedLength/50</f>
        <v>0</v>
      </c>
      <c r="CM308">
        <f>IF(OR(ISBLANK(Crops[[#This Row],[Row Cover]]),Crops[[#This Row],[Row Cover]]="None"),0,1)*BedLength/50</f>
        <v>0</v>
      </c>
      <c r="CN308" s="173">
        <f>HoursPerWeedingPass*Crops[[#This Row],[Days In Field]]/14*Crops[[#This Row],[Rows]]+1*BedLength/50</f>
        <v>6.4285714285714288</v>
      </c>
      <c r="CQ308" s="37">
        <f>_xlfn.XLOOKUP(Crops[[#This Row],[Crop]]&amp;Crops[[#This Row],[Product]]&amp;Crops[[#This Row],[Unit]],Products[ID],Products[Marketing (hr)])*Crops[[#This Row],[Direct Revenue Per Bed]]/2000</f>
        <v>3.375</v>
      </c>
      <c r="CR308" s="37">
        <f>_xlfn.XLOOKUP(Crops[[#This Row],[Crop]]&amp;Crops[[#This Row],[Product]]&amp;Crops[[#This Row],[Unit]],Products[ID],Products[Harvest (s)])*Crops[[#This Row],[Custom Yield Per Bed]]/3600</f>
        <v>3.125</v>
      </c>
      <c r="CS308" s="37">
        <f>_xlfn.XLOOKUP(Crops[[#This Row],[Crop]]&amp;Crops[[#This Row],[Product]]&amp;Crops[[#This Row],[Unit]],Products[ID],Products[Bunch (s)])*Crops[[#This Row],[Custom Yield Per Bed]]/3600</f>
        <v>0</v>
      </c>
      <c r="CT308" s="37">
        <f>_xlfn.XLOOKUP(Crops[[#This Row],[Crop]]&amp;Crops[[#This Row],[Product]]&amp;Crops[[#This Row],[Unit]],Products[ID],Products[Haul (s)])*Crops[[#This Row],[Custom Yield Per Bed]]/3600</f>
        <v>1.125</v>
      </c>
      <c r="CU308" s="37">
        <f>_xlfn.XLOOKUP(Crops[[#This Row],[Crop]]&amp;Crops[[#This Row],[Product]]&amp;Crops[[#This Row],[Unit]],Products[ID],Products[Wash (s)])*Crops[[#This Row],[Custom Yield Per Bed]]/3600</f>
        <v>0</v>
      </c>
      <c r="CV308" s="37">
        <f>_xlfn.XLOOKUP(Crops[[#This Row],[Crop]]&amp;Crops[[#This Row],[Product]]&amp;Crops[[#This Row],[Unit]],Products[ID],Products[Condition (s)])*Crops[[#This Row],[Custom Yield Per Bed]]/3600</f>
        <v>0</v>
      </c>
      <c r="CW308" s="37">
        <f>_xlfn.XLOOKUP(Crops[[#This Row],[Crop]]&amp;Crops[[#This Row],[Product]]&amp;Crops[[#This Row],[Unit]],Products[ID],Products[Trim (s)])*Crops[[#This Row],[Custom Yield Per Bed]]/3600</f>
        <v>1.875</v>
      </c>
      <c r="CX308" s="37">
        <f>_xlfn.XLOOKUP(Crops[[#This Row],[Crop]]&amp;Crops[[#This Row],[Product]]&amp;Crops[[#This Row],[Unit]],Products[ID],Products[Pack (s)])*Crops[[#This Row],[Custom Yield Per Bed]]/3600</f>
        <v>1.875</v>
      </c>
      <c r="CY308" s="37">
        <f>_xlfn.XLOOKUP(Crops[[#This Row],[Crop]]&amp;Crops[[#This Row],[Product]]&amp;Crops[[#This Row],[Unit]],Products[ID],Products[Clean (s)])*Crops[[#This Row],[Custom Yield Per Bed]]/3600</f>
        <v>0</v>
      </c>
      <c r="CZ308" s="37">
        <f>_xlfn.XLOOKUP(Crops[[#This Row],[Crop]]&amp;Crops[[#This Row],[Product]]&amp;Crops[[#This Row],[Unit]],Products[ID],Products[Rehandle (s)])*Crops[[#This Row],[Custom Yield Per Bed]]/3600</f>
        <v>0</v>
      </c>
      <c r="DA308" s="37">
        <f>_xlfn.XLOOKUP(Crops[[#This Row],[Crop]]&amp;Crops[[#This Row],[Product]]&amp;Crops[[#This Row],[Unit]],Products[ID],Products[Market Transport (s)])*Crops[[#This Row],[Custom Yield Per Bed]]/3600</f>
        <v>2.8125</v>
      </c>
      <c r="DC308" s="37">
        <f>Crops[[#This Row],[Direct Revenue Per Bed2]]</f>
        <v>1125</v>
      </c>
      <c r="DD308" s="173">
        <f>_xlfn.AGGREGATE(9,6,Crops[[#This Row],[Bed Prep]:[Remove Crop Residue]])</f>
        <v>23.657304067460316</v>
      </c>
      <c r="DE308" s="173">
        <f>_xlfn.AGGREGATE(9,6,Crops[[#This Row],[Bed Prep]:[Remove Crop Residue]])-0.75*Crops[[#This Row],[Market &amp; Sell]]</f>
        <v>21.126054067460316</v>
      </c>
      <c r="DF308" s="36">
        <f>Crops[[#This Row],[Direct Revenue Per Bed2]]/Crops[[#This Row],[Direct Time]]</f>
        <v>47.554023771770041</v>
      </c>
      <c r="DG308" s="36">
        <f>_xlfn.XLOOKUP(Crops[[#This Row],[ProductIndex]],Products[ID],Products[Packaging Cost])*(Crops[[#This Row],[Custom Yield Per Bed]]/_xlfn.XLOOKUP(Crops[[#This Row],[ProductIndex]],Products[ID],Products[Units Per Pack]))</f>
        <v>180</v>
      </c>
      <c r="DH308" s="36"/>
      <c r="DI308" s="36"/>
      <c r="DJ308" s="36"/>
      <c r="DK308" s="36"/>
      <c r="DL308" s="36"/>
      <c r="DM308" s="33">
        <f>IFERROR(Crops[[#This Row],[Custom Yield Per Bed]]*Crops[[#This Row],[Direct Price]],"")</f>
        <v>1125</v>
      </c>
      <c r="DN308" s="36">
        <f>Crops[[#This Row],[Direct Time]]*LaborRate</f>
        <v>591.43260168650795</v>
      </c>
      <c r="DO308" s="36">
        <f>SUM(Crops[[#This Row],[Irrigation Cost]])</f>
        <v>0</v>
      </c>
      <c r="DP308" s="36">
        <f>Crops[[#This Row],[Direct Labor Cost]]+Crops[[#This Row],[Direct Non-Labor Cost]]</f>
        <v>591.43260168650795</v>
      </c>
      <c r="DQ308" s="36">
        <f>Crops[[#This Row],[Direct Revenue Per Bed2]]-Crops[[#This Row],[Direct Total Cost]]</f>
        <v>533.56739831349205</v>
      </c>
      <c r="DR308" s="36">
        <f>Crops[[#This Row],[Direct Profit]]*BedsPerAcre</f>
        <v>85370.783730158728</v>
      </c>
      <c r="DS308" s="36">
        <f>Crops[[#This Row],[Direct Profit]]*BedsPerAcre*GrowingDays/Crops[[#This Row],[Days In Field]]</f>
        <v>101096.9807330827</v>
      </c>
      <c r="DT308" s="36">
        <f>Crops[[#This Row],[Direct Profit]]/MIN(Crops[[#This Row],[Days In Field]],GrowingDays)</f>
        <v>3.5103118310098163</v>
      </c>
      <c r="DU308" s="36">
        <f>Crops[[#This Row],[Direct Time]] * BedsPerAcre</f>
        <v>3785.1686507936506</v>
      </c>
      <c r="DV308" s="36">
        <f>(Crops[[#This Row],[Direct Revenue Per Bed2]]-Crops[[#This Row],[Direct Non-Labor Cost]])/Crops[[#This Row],[Direct Time]]</f>
        <v>47.554023771770041</v>
      </c>
      <c r="DW308" s="33">
        <f>IFERROR(Crops[[#This Row],[Custom Yield Per Bed]]*Crops[[#This Row],[Rough Wholesale Price]],"")</f>
        <v>675</v>
      </c>
      <c r="DX308" s="36">
        <f>Crops[[#This Row],[Wholesale Time]]*LaborRate</f>
        <v>528.15135168650795</v>
      </c>
      <c r="DY308" s="36">
        <f>SUM(Crops[[#This Row],[Packaging Costs]:[Irrigation Cost]])</f>
        <v>180</v>
      </c>
      <c r="DZ308" s="36">
        <f>Crops[[#This Row],[Wholesale Labor Cost]]+Crops[[#This Row],[Wholesale Non-Labor Cost]]</f>
        <v>708.15135168650795</v>
      </c>
      <c r="EA308" s="36">
        <f>Crops[[#This Row],[Wholesale Revenue Per Bed]]-Crops[[#This Row],[Wholesale Total Cost]]</f>
        <v>-33.151351686507951</v>
      </c>
      <c r="EB308" s="36">
        <f>Crops[[#This Row],[Wholesale Profit]]*BedsPerAcre</f>
        <v>-5304.2162698412722</v>
      </c>
      <c r="EC308" s="36">
        <f>Crops[[#This Row],[Wholesale Profit]]*BedsPerAcre*GrowingDays/Crops[[#This Row],[Days In Field]]</f>
        <v>-6281.3087406015065</v>
      </c>
      <c r="ED308" s="36">
        <f>Crops[[#This Row],[Wholesale Time]] * BedsPerAcre</f>
        <v>3380.1686507936506</v>
      </c>
      <c r="EE308" s="36">
        <f>Crops[[#This Row],[Wholesale Profit]]/MIN(Crops[[#This Row],[Days In Field]],GrowingDays)</f>
        <v>-0.2181009979375523</v>
      </c>
      <c r="EF308" s="36">
        <f>(Crops[[#This Row],[Wholesale Revenue Per Bed]]-Crops[[#This Row],[Wholesale Non-Labor Cost]])/Crops[[#This Row],[Direct Time]]</f>
        <v>20.923770459578819</v>
      </c>
      <c r="EG308" s="174">
        <f>Crops[[#This Row],[Packaging Costs]]/Crops[[#This Row],[Wholesale Revenue Per Bed]]</f>
        <v>0.26666666666666666</v>
      </c>
      <c r="EH308" s="36" t="str">
        <f>Crops[[#This Row],[Crop]]&amp;Crops[[#This Row],[Product]]&amp;Crops[[#This Row],[Unit]]</f>
        <v>StrawflowerMature StemStem</v>
      </c>
      <c r="EI308" s="36" t="b">
        <f>_xlfn.XLOOKUP(Crops[[#This Row],[ProductIndex]],Products[ID],Products[Target])</f>
        <v>1</v>
      </c>
      <c r="EJ308" s="36">
        <f>Crops[[#This Row],[Custom Yield Per Bed]]</f>
        <v>2250</v>
      </c>
      <c r="EK308" s="210">
        <f>Crops[[#This Row],[Units Per Harvest]]/Crops[[#This Row],[Days Between Harvest]]*7</f>
        <v>187.5</v>
      </c>
      <c r="EL308" s="210" t="e">
        <f>Crops[[#This Row],[Custom Yield Per Bed]]/_xlfn.XLOOKUP(Crops[[#This Row],[ProductIndex]],Products[ID],Products[CSA Portion])</f>
        <v>#DIV/0!</v>
      </c>
      <c r="EM308" s="210" t="e">
        <f>Crops[[#This Row],[Units Per Harvest]]/Crops[[#This Row],[Days Between Harvest]]*7/_xlfn.XLOOKUP(Crops[[#This Row],[ProductIndex]],Products[ID],Products[CSA Portion])</f>
        <v>#DIV/0!</v>
      </c>
      <c r="EN308" s="210" t="e">
        <f>Crops[[#This Row],[CSA Portions Per Week]]/CSAMembers</f>
        <v>#DIV/0!</v>
      </c>
      <c r="EO308" s="210"/>
      <c r="EP308" s="210"/>
      <c r="EQ308" s="36"/>
      <c r="ER308" s="36">
        <f>Crops[[#This Row],[Harvests]]*Crops[[#This Row],[Days Between Harvest]]/7</f>
        <v>12</v>
      </c>
      <c r="ES308" s="208">
        <f>_xlfn.XLOOKUP(Crops[[#This Row],[ProductIndex]],Products[ID],Products[CSA Need])</f>
        <v>0</v>
      </c>
      <c r="ET308" s="208">
        <f>_xlfn.XLOOKUP(Crops[[#This Row],[ProductIndex]],Products[ID],Products[CSA Times])</f>
        <v>0</v>
      </c>
      <c r="EU308" s="208" t="e">
        <f>Crops[[#This Row],[Custom Yield Per Bed]]/(Crops[[#This Row],[CSA Need]]*(_xlfn.XLOOKUP(Crops[[#This Row],[ProductIndex]],Products[ID],Products[CSA Portion])*CSAMembers))</f>
        <v>#DIV/0!</v>
      </c>
      <c r="EV308" s="208">
        <f>_xlfn.XLOOKUP(Crops[[#This Row],[ProductIndex]],Products[ID],Products[CSA Portion])*CSAMembers*Crops[[#This Row],[CSA Need]]/Crops[[#This Row],[Custom Yield Per Bed]]</f>
        <v>0</v>
      </c>
      <c r="EW308" s="208">
        <f>IFERROR(Crops[[#This Row],[Days In Field]]*Crops[[#This Row],[CSA Beds]],"")</f>
        <v>0</v>
      </c>
      <c r="EX308" s="208" t="e">
        <f>Crops[[#This Row],[CSA Bed Days]]*#REF!</f>
        <v>#REF!</v>
      </c>
      <c r="EY308" t="s">
        <v>1696</v>
      </c>
    </row>
    <row r="309" spans="1:155">
      <c r="A309"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Sudangrass - None 1X | Field DS Su</v>
      </c>
      <c r="B309" s="186"/>
      <c r="C309" s="1"/>
      <c r="D309" s="1"/>
      <c r="E309" s="1"/>
      <c r="F309" s="1" t="b">
        <f>IFERROR(IF(ISNUMBER(MATCH(Crops[[#This Row],[Identifier]],BedPlan[Crop], 0)), TRUE, FALSE), FALSE)</f>
        <v>0</v>
      </c>
      <c r="G309" s="1" t="b">
        <f>IFERROR(IF(ISNUMBER(MATCH(Crops[[#This Row],[Identifier]],BedPlan[Crop], 0)), TRUE, FALSE), FALSE)</f>
        <v>0</v>
      </c>
      <c r="H309" s="1"/>
      <c r="I309" t="s">
        <v>3275</v>
      </c>
      <c r="J309" t="s">
        <v>145</v>
      </c>
      <c r="K309" t="s">
        <v>474</v>
      </c>
      <c r="M309" t="s">
        <v>3276</v>
      </c>
      <c r="N309" t="s">
        <v>3277</v>
      </c>
      <c r="O309" t="s">
        <v>210</v>
      </c>
      <c r="P309" t="str">
        <f>IF(OR(Crops[[#This Row],[Days in Cells]]="",Crops[[#This Row],[Days in Cells]]=0), "DS","TP")</f>
        <v>DS</v>
      </c>
      <c r="R309" t="b">
        <v>1</v>
      </c>
      <c r="V309" t="str">
        <f xml:space="preserve"> IF(Crops[[#This Row],[Sp]], "Sp", "") &amp; IF(Crops[[#This Row],[Su]], "Su", "") &amp; IF(Crops[[#This Row],[Fa]], "Fa", "") &amp; IF(Crops[[#This Row],[Wi]], "Wi", "") &amp; IF(Crops[[#This Row],[OW]], "Ow","")</f>
        <v>Su</v>
      </c>
      <c r="W309" t="b">
        <v>0</v>
      </c>
      <c r="X309">
        <v>4</v>
      </c>
      <c r="Y309">
        <v>0.5</v>
      </c>
      <c r="AA309" t="s">
        <v>474</v>
      </c>
      <c r="AB309" t="b">
        <v>0</v>
      </c>
      <c r="AC309">
        <v>7</v>
      </c>
      <c r="AD309" s="32">
        <f>IFERROR(12/Crops[[#This Row],[Spacing]]*Crops[[#This Row],[Rows]]*BedLength,"")</f>
        <v>4800</v>
      </c>
      <c r="AE309">
        <v>1</v>
      </c>
      <c r="AG309">
        <f>IF(Crops[[#This Row],[Custom Safety Factor]]="",PlantingSafetyFactor,Crops[[#This Row],[Custom Safety Factor]])</f>
        <v>1.3</v>
      </c>
      <c r="AH309">
        <f>1</f>
        <v>1</v>
      </c>
      <c r="AI309" s="33">
        <f>IFERROR(Crops[[#This Row],[Plantings Per Bed]]*Crops[[#This Row],[Seeds Per Planting]]*Crops[[#This Row],[Safety Factor]]*Crops[[#This Row],[Seeding Factor]],"")</f>
        <v>6240</v>
      </c>
      <c r="AJ309">
        <v>7</v>
      </c>
      <c r="AK309">
        <v>14</v>
      </c>
      <c r="AL309">
        <f>_xlfn.FLOOR.MATH(IFERROR(AVERAGE(Crops[[#This Row],[DTG Lower]:[DTG Upper]]),0))</f>
        <v>10</v>
      </c>
      <c r="AM309">
        <f>SUM(Crops[[#This Row],[Tray 1 Days]],Crops[[#This Row],[Tray 2 Days]],Crops[[#This Row],[Tray 3 Days]])</f>
        <v>0</v>
      </c>
      <c r="AO309">
        <v>80</v>
      </c>
      <c r="AP309">
        <v>100</v>
      </c>
      <c r="AQ309">
        <f>IFERROR(_xlfn.FLOOR.MATH(AVERAGE(Crops[[#This Row],[DTM Lower]:[DTM Upper]])),"")</f>
        <v>90</v>
      </c>
      <c r="AR309" cm="1">
        <f t="array" ref="AR309">_xlfn.SWITCH(Crops[[#This Row],[Normal Method]],"DS",Crops[[#This Row],[Days to Germination]]+Crops[[#This Row],[DTM]] + IF(Crops[[#This Row],[Days in Cells]]&gt;0,15,0), "TP",Crops[[#This Row],[DTM]]+Crops[[#This Row],[Days in Cells]] + IF(Crops[[#This Row],[Days in Cells]]&lt;=0,20,0), "X", Crops[[#This Row],[DTM]])</f>
        <v>100</v>
      </c>
      <c r="AS309" t="s">
        <v>338</v>
      </c>
      <c r="AT309">
        <f>(Crops[[#This Row],[Harvests]]-1)*Crops[[#This Row],[Days Between Harvest]]+7</f>
        <v>7</v>
      </c>
      <c r="AU309">
        <f>Crops[[#This Row],[STH]]-Crops[[#This Row],[Days in Cells]]+Crops[[#This Row],[Harvest window]]</f>
        <v>107</v>
      </c>
      <c r="AZ309" t="str">
        <f>IFERROR(IF(Crops[[#This Row],[Tray 1 Days]]=0,"",Crops[[#This Row],[Plantings Per Bed]]/Crops[[#This Row],[Tray 1 Size]]*Crops[[#This Row],[Safety Factor]]),"")</f>
        <v/>
      </c>
      <c r="BC309" t="str">
        <f>IFERROR(IF(Crops[[#This Row],[Tray 2 Days]]=0,"",Crops[[#This Row],[Plantings Per Bed]]/Crops[[#This Row],[Tray 2 Size]]*Crops[[#This Row],[Safety Factor]]),"")</f>
        <v/>
      </c>
      <c r="BE309" s="32" t="str">
        <f>IF(NOT(ISBLANK(Crops[[#This Row],[Tray 3 Size]])), Crops[[#This Row],[Days in Cells Old]]-SUM(Crops[[#This Row],[Tray 1 Days]],Crops[[#This Row],[Tray 2 Days]]), "")</f>
        <v/>
      </c>
      <c r="BF309" t="str">
        <f>IFERROR(IF(Crops[[#This Row],[Tray 3 Days]]=0,"",Crops[[#This Row],[Plantings Per Bed]]/Crops[[#This Row],[Tray 3 Size]]*Crops[[#This Row],[Safety Factor]]),"")</f>
        <v/>
      </c>
      <c r="BG309" s="39"/>
      <c r="BH309" s="33"/>
      <c r="BI309" s="33"/>
      <c r="BJ309" s="33" t="e">
        <f>_xlfn.XLOOKUP(Crops[[#This Row],[ProductIndex]],Products[ID],Products[Holding Period])</f>
        <v>#N/A</v>
      </c>
      <c r="BK309" s="33"/>
      <c r="BL309" s="33">
        <f>Crops[[#This Row],[Units Per Harvest]]*Crops[[#This Row],[Harvests]]</f>
        <v>0</v>
      </c>
      <c r="BM309" s="35"/>
      <c r="BN309" s="35">
        <f>Crops[[#This Row],[Direct Price]]*0.6</f>
        <v>0</v>
      </c>
      <c r="BO309" s="35"/>
      <c r="BQ309">
        <f>Crops[[#This Row],[Custom Yield Per Bed]]*Crops[[#This Row],[Direct Price]]</f>
        <v>0</v>
      </c>
      <c r="BS309" t="b">
        <f>Crops[[#This Row],[Harvests]]&gt;1</f>
        <v>0</v>
      </c>
      <c r="BT309" s="36">
        <f>IFERROR(Crops[[#This Row],[Direct Revenue Per Bed]]/Crops[[#This Row],[Days In Field]],-1)</f>
        <v>0</v>
      </c>
      <c r="BU309" s="33">
        <f>IFERROR(Crops[[#This Row],[Direct Revenue Per Bed Day]]*GrowingDays*BedsPerAcre,"")</f>
        <v>0</v>
      </c>
      <c r="BV309" s="38">
        <f>LastFrostDate-5*Crops[[#This Row],[Sewing Rel Last Frost]]</f>
        <v>45818</v>
      </c>
      <c r="BW309" s="38">
        <f>Crops[[#This Row],[Target Sewing Date]]+Crops[[#This Row],[Days in Cells]]</f>
        <v>45818</v>
      </c>
      <c r="BX309" s="38">
        <f>Crops[[#This Row],[Target Sewing Date]]+Crops[[#This Row],[STH]]</f>
        <v>45918</v>
      </c>
      <c r="BY309" s="38">
        <f>Crops[[#This Row],[Target Harvest Data]]+Crops[[#This Row],[Harvest window]]</f>
        <v>45925</v>
      </c>
      <c r="BZ309">
        <v>-14</v>
      </c>
      <c r="CB309">
        <f>1</f>
        <v>1</v>
      </c>
      <c r="CC309">
        <f>IF(Crops[[#This Row],[Transplanting]]&gt;0, 2, 3)*BedLength/StandardBedLength</f>
        <v>1.5</v>
      </c>
      <c r="CD309" s="173">
        <f>IF(Crops[[#This Row],[Days in Cells]]&lt;=0,0,Crops[[#This Row],[Plantings Per Bed]]/StartsPerHourSeeding+Crops[[#This Row],[Tray 1 Count]]*5/60)</f>
        <v>0</v>
      </c>
      <c r="CE309" s="173">
        <f>IF(ISBLANK(Crops[[#This Row],[Tray 2 Days]]),0,Crops[[#This Row],[Plantings Per Bed]]/UpPottingPerHour)+IF(Crops[[#This Row],[Tray 3 Days]]="",0,Crops[[#This Row],[Plantings Per Bed]]/UpPottingPerHour)</f>
        <v>0</v>
      </c>
      <c r="CF309" s="173">
        <f>IFERROR(Crops[[#This Row],[Tray 1 Count]]/HomeStartFlatIrrigationPerHour,0)*Crops[[#This Row],[Days in Cells]]/DaysBetweenStartIrrigation</f>
        <v>0</v>
      </c>
      <c r="CG309">
        <f>0.5/16*MAX(Crops[[#This Row],[Tray 1 Count]],Crops[[#This Row],[Tray 2 Count]],Crops[[#This Row],[Tray 3 Count]])</f>
        <v>0</v>
      </c>
      <c r="CH309">
        <f>IF(Crops[[#This Row],[Days in Cells]]&gt;0,IF(IF(Crops[[#This Row],[Tray 3 Size]]&gt;0,Crops[[#This Row],[Tray 3 Size]],IF(Crops[[#This Row],[Tray 2 Size]]&gt;0,Crops[[#This Row],[Tray 2 Size]],Crops[[#This Row],[Tray 1 Size]]))&lt;=18,LargeTransplantTime,SmallTransplantTime)*Crops[[#This Row],[Plantings Per Bed]],0)</f>
        <v>0</v>
      </c>
      <c r="CI309" s="173"/>
      <c r="CJ309" s="173">
        <f>_xlfn.XLOOKUP(Crops[[#This Row],[Trellis Type]],TrellisMethods[Trellis Type],TrellisMethods[Hours],0,0)</f>
        <v>0</v>
      </c>
      <c r="CK309">
        <f>IF(Crops[[#This Row],[Days in Cells]]&lt;=0,Crops[[#This Row],[Rows]]*1/10,0)*BedLength/50</f>
        <v>0.4</v>
      </c>
      <c r="CL309" cm="1">
        <f t="array" ref="CL309">_xlfn.SWITCH(Crops[[#This Row],[Irrigation]],"DR", 0.5, "OH", 0.25,0)*BedLength/50</f>
        <v>0</v>
      </c>
      <c r="CM309">
        <f>IF(OR(ISBLANK(Crops[[#This Row],[Row Cover]]),Crops[[#This Row],[Row Cover]]="None"),0,1)*BedLength/50</f>
        <v>0</v>
      </c>
      <c r="CN309" s="173">
        <f>HoursPerWeedingPass*Crops[[#This Row],[Days In Field]]/14*Crops[[#This Row],[Rows]]+1*BedLength/50</f>
        <v>6.0952380952380949</v>
      </c>
      <c r="CQ309" s="37" t="e">
        <f>_xlfn.XLOOKUP(Crops[[#This Row],[Crop]]&amp;Crops[[#This Row],[Product]]&amp;Crops[[#This Row],[Unit]],Products[ID],Products[Marketing (hr)])*Crops[[#This Row],[Direct Revenue Per Bed]]/2000</f>
        <v>#N/A</v>
      </c>
      <c r="CR309" s="37" t="e">
        <f>_xlfn.XLOOKUP(Crops[[#This Row],[Crop]]&amp;Crops[[#This Row],[Product]]&amp;Crops[[#This Row],[Unit]],Products[ID],Products[Harvest (s)])*Crops[[#This Row],[Custom Yield Per Bed]]/3600</f>
        <v>#N/A</v>
      </c>
      <c r="CS309" s="37" t="e">
        <f>_xlfn.XLOOKUP(Crops[[#This Row],[Crop]]&amp;Crops[[#This Row],[Product]]&amp;Crops[[#This Row],[Unit]],Products[ID],Products[Bunch (s)])*Crops[[#This Row],[Custom Yield Per Bed]]/3600</f>
        <v>#N/A</v>
      </c>
      <c r="CT309" s="37" t="e">
        <f>_xlfn.XLOOKUP(Crops[[#This Row],[Crop]]&amp;Crops[[#This Row],[Product]]&amp;Crops[[#This Row],[Unit]],Products[ID],Products[Haul (s)])*Crops[[#This Row],[Custom Yield Per Bed]]/3600</f>
        <v>#N/A</v>
      </c>
      <c r="CU309" s="37" t="e">
        <f>_xlfn.XLOOKUP(Crops[[#This Row],[Crop]]&amp;Crops[[#This Row],[Product]]&amp;Crops[[#This Row],[Unit]],Products[ID],Products[Wash (s)])*Crops[[#This Row],[Custom Yield Per Bed]]/3600</f>
        <v>#N/A</v>
      </c>
      <c r="CV309" s="37" t="e">
        <f>_xlfn.XLOOKUP(Crops[[#This Row],[Crop]]&amp;Crops[[#This Row],[Product]]&amp;Crops[[#This Row],[Unit]],Products[ID],Products[Condition (s)])*Crops[[#This Row],[Custom Yield Per Bed]]/3600</f>
        <v>#N/A</v>
      </c>
      <c r="CW309" s="37" t="e">
        <f>_xlfn.XLOOKUP(Crops[[#This Row],[Crop]]&amp;Crops[[#This Row],[Product]]&amp;Crops[[#This Row],[Unit]],Products[ID],Products[Trim (s)])*Crops[[#This Row],[Custom Yield Per Bed]]/3600</f>
        <v>#N/A</v>
      </c>
      <c r="CX309" s="37" t="e">
        <f>_xlfn.XLOOKUP(Crops[[#This Row],[Crop]]&amp;Crops[[#This Row],[Product]]&amp;Crops[[#This Row],[Unit]],Products[ID],Products[Pack (s)])*Crops[[#This Row],[Custom Yield Per Bed]]/3600</f>
        <v>#N/A</v>
      </c>
      <c r="CY309" s="37" t="e">
        <f>_xlfn.XLOOKUP(Crops[[#This Row],[Crop]]&amp;Crops[[#This Row],[Product]]&amp;Crops[[#This Row],[Unit]],Products[ID],Products[Clean (s)])*Crops[[#This Row],[Custom Yield Per Bed]]/3600</f>
        <v>#N/A</v>
      </c>
      <c r="CZ309" s="37" t="e">
        <f>_xlfn.XLOOKUP(Crops[[#This Row],[Crop]]&amp;Crops[[#This Row],[Product]]&amp;Crops[[#This Row],[Unit]],Products[ID],Products[Rehandle (s)])*Crops[[#This Row],[Custom Yield Per Bed]]/3600</f>
        <v>#N/A</v>
      </c>
      <c r="DA309" s="37" t="e">
        <f>_xlfn.XLOOKUP(Crops[[#This Row],[Crop]]&amp;Crops[[#This Row],[Product]]&amp;Crops[[#This Row],[Unit]],Products[ID],Products[Market Transport (s)])*Crops[[#This Row],[Custom Yield Per Bed]]/3600</f>
        <v>#N/A</v>
      </c>
      <c r="DC309" s="37">
        <f>Crops[[#This Row],[Direct Revenue Per Bed2]]</f>
        <v>0</v>
      </c>
      <c r="DD309" s="173">
        <f>_xlfn.AGGREGATE(9,6,Crops[[#This Row],[Bed Prep]:[Remove Crop Residue]])</f>
        <v>7.9952380952380953</v>
      </c>
      <c r="DE309" s="173" t="e">
        <f>_xlfn.AGGREGATE(9,6,Crops[[#This Row],[Bed Prep]:[Remove Crop Residue]])-0.75*Crops[[#This Row],[Market &amp; Sell]]</f>
        <v>#N/A</v>
      </c>
      <c r="DF309" s="36">
        <f>Crops[[#This Row],[Direct Revenue Per Bed2]]/Crops[[#This Row],[Direct Time]]</f>
        <v>0</v>
      </c>
      <c r="DG309" s="36" t="e">
        <f>_xlfn.XLOOKUP(Crops[[#This Row],[ProductIndex]],Products[ID],Products[Packaging Cost])*(Crops[[#This Row],[Custom Yield Per Bed]]/_xlfn.XLOOKUP(Crops[[#This Row],[ProductIndex]],Products[ID],Products[Units Per Pack]))</f>
        <v>#N/A</v>
      </c>
      <c r="DH309" s="36"/>
      <c r="DI309" s="36"/>
      <c r="DJ309" s="36"/>
      <c r="DK309" s="36"/>
      <c r="DL309" s="36"/>
      <c r="DM309" s="33"/>
      <c r="DN309" s="36">
        <f>Crops[[#This Row],[Direct Time]]*LaborRate</f>
        <v>199.88095238095238</v>
      </c>
      <c r="DO309" s="36">
        <f>SUM(Crops[[#This Row],[Irrigation Cost]])</f>
        <v>0</v>
      </c>
      <c r="DP309" s="36">
        <f>Crops[[#This Row],[Direct Labor Cost]]+Crops[[#This Row],[Direct Non-Labor Cost]]</f>
        <v>199.88095238095238</v>
      </c>
      <c r="DQ309" s="36">
        <f>Crops[[#This Row],[Direct Revenue Per Bed2]]-Crops[[#This Row],[Direct Total Cost]]</f>
        <v>-199.88095238095238</v>
      </c>
      <c r="DR309" s="36">
        <f>Crops[[#This Row],[Direct Profit]]*BedsPerAcre</f>
        <v>-31980.952380952382</v>
      </c>
      <c r="DS309" s="36">
        <f>Crops[[#This Row],[Direct Profit]]*BedsPerAcre*GrowingDays/Crops[[#This Row],[Days In Field]]</f>
        <v>-53799.732977303072</v>
      </c>
      <c r="DT309" s="36">
        <f>Crops[[#This Row],[Direct Profit]]/MIN(Crops[[#This Row],[Days In Field]],GrowingDays)</f>
        <v>-1.8680462839341343</v>
      </c>
      <c r="DU309" s="36">
        <f>Crops[[#This Row],[Direct Time]] * BedsPerAcre</f>
        <v>1279.2380952380952</v>
      </c>
      <c r="DV309" s="36">
        <f>(Crops[[#This Row],[Direct Revenue Per Bed2]]-Crops[[#This Row],[Direct Non-Labor Cost]])/Crops[[#This Row],[Direct Time]]</f>
        <v>0</v>
      </c>
      <c r="DW309" s="33">
        <f>IFERROR(Crops[[#This Row],[Custom Yield Per Bed]]*Crops[[#This Row],[Rough Wholesale Price]],"")</f>
        <v>0</v>
      </c>
      <c r="DX309" s="36" t="e">
        <f>Crops[[#This Row],[Wholesale Time]]*LaborRate</f>
        <v>#N/A</v>
      </c>
      <c r="DY309" s="36" t="e">
        <f>SUM(Crops[[#This Row],[Packaging Costs]:[Irrigation Cost]])</f>
        <v>#N/A</v>
      </c>
      <c r="DZ309" s="36" t="e">
        <f>Crops[[#This Row],[Wholesale Labor Cost]]+Crops[[#This Row],[Wholesale Non-Labor Cost]]</f>
        <v>#N/A</v>
      </c>
      <c r="EA309" s="36" t="e">
        <f>Crops[[#This Row],[Wholesale Revenue Per Bed]]-Crops[[#This Row],[Wholesale Total Cost]]</f>
        <v>#N/A</v>
      </c>
      <c r="EB309" s="36" t="e">
        <f>Crops[[#This Row],[Wholesale Profit]]*BedsPerAcre</f>
        <v>#N/A</v>
      </c>
      <c r="EC309" s="36" t="e">
        <f>Crops[[#This Row],[Wholesale Profit]]*BedsPerAcre*GrowingDays/Crops[[#This Row],[Days In Field]]</f>
        <v>#N/A</v>
      </c>
      <c r="ED309" s="214" t="e">
        <f>Crops[[#This Row],[Wholesale Time]] * BedsPerAcre</f>
        <v>#N/A</v>
      </c>
      <c r="EE309" s="36" t="e">
        <f>Crops[[#This Row],[Wholesale Profit]]/MIN(Crops[[#This Row],[Days In Field]],GrowingDays)</f>
        <v>#N/A</v>
      </c>
      <c r="EF309" s="36" t="e">
        <f>(Crops[[#This Row],[Wholesale Revenue Per Bed]]-Crops[[#This Row],[Wholesale Non-Labor Cost]])/Crops[[#This Row],[Direct Time]]</f>
        <v>#N/A</v>
      </c>
      <c r="EG309" s="174" t="e">
        <f>Crops[[#This Row],[Packaging Costs]]/Crops[[#This Row],[Wholesale Revenue Per Bed]]</f>
        <v>#N/A</v>
      </c>
      <c r="EH309" s="36" t="str">
        <f>Crops[[#This Row],[Crop]]&amp;Crops[[#This Row],[Product]]&amp;Crops[[#This Row],[Unit]]</f>
        <v>SudangrassNone</v>
      </c>
      <c r="EI309" s="213" t="e">
        <f>_xlfn.XLOOKUP(Crops[[#This Row],[ProductIndex]],Products[ID],Products[Target])</f>
        <v>#N/A</v>
      </c>
      <c r="EJ309" s="36">
        <f>Crops[[#This Row],[Custom Yield Per Bed]]</f>
        <v>0</v>
      </c>
      <c r="EK309" s="215" t="e">
        <f>Crops[[#This Row],[Units Per Harvest]]/Crops[[#This Row],[Days Between Harvest]]*7</f>
        <v>#DIV/0!</v>
      </c>
      <c r="EL309" s="216" t="e">
        <f>Crops[[#This Row],[Custom Yield Per Bed]]/_xlfn.XLOOKUP(Crops[[#This Row],[ProductIndex]],Products[ID],Products[CSA Portion])</f>
        <v>#N/A</v>
      </c>
      <c r="EM309" s="210" t="e">
        <f>Crops[[#This Row],[Units Per Harvest]]/Crops[[#This Row],[Days Between Harvest]]*7/_xlfn.XLOOKUP(Crops[[#This Row],[ProductIndex]],Products[ID],Products[CSA Portion])</f>
        <v>#DIV/0!</v>
      </c>
      <c r="EN309" s="210" t="e">
        <f>Crops[[#This Row],[CSA Portions Per Week]]/CSAMembers</f>
        <v>#DIV/0!</v>
      </c>
      <c r="EO309" s="210"/>
      <c r="EP309" s="210"/>
      <c r="EQ309" s="36"/>
      <c r="ER309" s="215">
        <f>Crops[[#This Row],[Harvests]]*Crops[[#This Row],[Days Between Harvest]]/7</f>
        <v>0</v>
      </c>
      <c r="ES309" s="208" t="e">
        <f>_xlfn.XLOOKUP(Crops[[#This Row],[ProductIndex]],Products[ID],Products[CSA Need])</f>
        <v>#N/A</v>
      </c>
      <c r="ET309" s="208" t="e">
        <f>_xlfn.XLOOKUP(Crops[[#This Row],[ProductIndex]],Products[ID],Products[CSA Times])</f>
        <v>#N/A</v>
      </c>
      <c r="EU309" s="208" t="e">
        <f>Crops[[#This Row],[Custom Yield Per Bed]]/(Crops[[#This Row],[CSA Need]]*(_xlfn.XLOOKUP(Crops[[#This Row],[ProductIndex]],Products[ID],Products[CSA Portion])*CSAMembers))</f>
        <v>#N/A</v>
      </c>
      <c r="EV309" s="208" t="e">
        <f>_xlfn.XLOOKUP(Crops[[#This Row],[ProductIndex]],Products[ID],Products[CSA Portion])*CSAMembers*Crops[[#This Row],[CSA Need]]/Crops[[#This Row],[Custom Yield Per Bed]]</f>
        <v>#N/A</v>
      </c>
      <c r="EW309" s="208" t="str">
        <f>IFERROR(Crops[[#This Row],[Days In Field]]*Crops[[#This Row],[CSA Beds]],"")</f>
        <v/>
      </c>
      <c r="EX309" s="208" t="e">
        <f>Crops[[#This Row],[CSA Bed Days]]*#REF!</f>
        <v>#VALUE!</v>
      </c>
    </row>
    <row r="310" spans="1:155">
      <c r="A310"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(Long Season) - Ripe Fruit 1X | Field DS Su</v>
      </c>
      <c r="B310" s="187"/>
      <c r="C310" s="1"/>
      <c r="D310" s="1"/>
      <c r="E310" s="1" t="b">
        <v>0</v>
      </c>
      <c r="F310" s="1" t="b">
        <f>IFERROR(IF(ISNUMBER(MATCH(Crops[[#This Row],[Identifier]],BedPlan[Crop], 0)), TRUE, FALSE), FALSE)</f>
        <v>0</v>
      </c>
      <c r="G310" s="1" t="b">
        <f>IFERROR(IF(ISNUMBER(MATCH(Crops[[#This Row],[Identifier]],BedPlan[Crop], 0)), TRUE, FALSE), FALSE)</f>
        <v>0</v>
      </c>
      <c r="H310" s="1"/>
      <c r="I310" t="s">
        <v>128</v>
      </c>
      <c r="J310" t="s">
        <v>1718</v>
      </c>
      <c r="K310" t="s">
        <v>191</v>
      </c>
      <c r="M310" t="s">
        <v>128</v>
      </c>
      <c r="N310" t="str">
        <f>Crops[[#This Row],[Crop]]</f>
        <v>Summer Squash</v>
      </c>
      <c r="O310" t="s">
        <v>210</v>
      </c>
      <c r="P310" t="str">
        <f>IF(OR(Crops[[#This Row],[Days in Cells]]="",Crops[[#This Row],[Days in Cells]]=0), "DS","TP")</f>
        <v>DS</v>
      </c>
      <c r="R310" t="s">
        <v>144</v>
      </c>
      <c r="V310" t="str">
        <f xml:space="preserve"> IF(Crops[[#This Row],[Sp]], "Sp", "") &amp; IF(Crops[[#This Row],[Su]], "Su", "") &amp; IF(Crops[[#This Row],[Fa]], "Fa", "") &amp; IF(Crops[[#This Row],[Wi]], "Wi", "") &amp; IF(Crops[[#This Row],[OW]], "Ow","")</f>
        <v>Su</v>
      </c>
      <c r="W310" t="s">
        <v>144</v>
      </c>
      <c r="X310">
        <v>1</v>
      </c>
      <c r="Y310">
        <v>24</v>
      </c>
      <c r="AA310" t="s">
        <v>474</v>
      </c>
      <c r="AB310" t="b">
        <v>0</v>
      </c>
      <c r="AC310">
        <v>3</v>
      </c>
      <c r="AD310" s="32">
        <f>IFERROR(12/Crops[[#This Row],[Spacing]]*Crops[[#This Row],[Rows]]*BedLength,"")</f>
        <v>25</v>
      </c>
      <c r="AE310">
        <v>1</v>
      </c>
      <c r="AG310">
        <f>IF(Crops[[#This Row],[Custom Safety Factor]]="",PlantingSafetyFactor,Crops[[#This Row],[Custom Safety Factor]])</f>
        <v>1.3</v>
      </c>
      <c r="AH310">
        <f>1</f>
        <v>1</v>
      </c>
      <c r="AI310" s="33">
        <f>IFERROR(Crops[[#This Row],[Plantings Per Bed]]*Crops[[#This Row],[Seeds Per Planting]]*Crops[[#This Row],[Safety Factor]]*Crops[[#This Row],[Seeding Factor]],"")</f>
        <v>32.5</v>
      </c>
      <c r="AL310">
        <f>_xlfn.FLOOR.MATH(IFERROR(AVERAGE(Crops[[#This Row],[DTG Lower]:[DTG Upper]]),0))</f>
        <v>0</v>
      </c>
      <c r="AM310">
        <f>SUM(Crops[[#This Row],[Tray 1 Days]],Crops[[#This Row],[Tray 2 Days]],Crops[[#This Row],[Tray 3 Days]])</f>
        <v>0</v>
      </c>
      <c r="AN310" s="32">
        <v>28</v>
      </c>
      <c r="AP310">
        <v>55</v>
      </c>
      <c r="AQ310">
        <f>IFERROR(_xlfn.FLOOR.MATH(AVERAGE(Crops[[#This Row],[DTM Lower]:[DTM Upper]])),"")</f>
        <v>55</v>
      </c>
      <c r="AR310" cm="1">
        <f t="array" ref="AR310">_xlfn.SWITCH(Crops[[#This Row],[Normal Method]],"DS",Crops[[#This Row],[Days to Germination]]+Crops[[#This Row],[DTM]] + IF(Crops[[#This Row],[Days in Cells]]&gt;0,15,0), "TP",Crops[[#This Row],[DTM]]+Crops[[#This Row],[Days in Cells]] + IF(Crops[[#This Row],[Days in Cells]]&lt;=0,20,0), "X", Crops[[#This Row],[DTM]])</f>
        <v>55</v>
      </c>
      <c r="AS310" t="s">
        <v>347</v>
      </c>
      <c r="AT310">
        <f>(Crops[[#This Row],[Harvests]]-1)*Crops[[#This Row],[Days Between Harvest]]+7</f>
        <v>95</v>
      </c>
      <c r="AU310">
        <f>Crops[[#This Row],[STH]]-Crops[[#This Row],[Days in Cells]]+Crops[[#This Row],[Harvest window]]</f>
        <v>150</v>
      </c>
      <c r="AV310">
        <v>72</v>
      </c>
      <c r="AW310">
        <v>50</v>
      </c>
      <c r="AZ310" s="49"/>
      <c r="BC310" t="str">
        <f>IFERROR(IF(Crops[[#This Row],[Tray 2 Days]]=0,"",Crops[[#This Row],[Plantings Per Bed]]/Crops[[#This Row],[Tray 2 Size]]*Crops[[#This Row],[Safety Factor]]),"")</f>
        <v/>
      </c>
      <c r="BE310" s="32" t="str">
        <f>IF(NOT(ISBLANK(Crops[[#This Row],[Tray 3 Size]])), Crops[[#This Row],[Days in Cells Old]]-SUM(Crops[[#This Row],[Tray 1 Days]],Crops[[#This Row],[Tray 2 Days]]), "")</f>
        <v/>
      </c>
      <c r="BF310" s="49" t="str">
        <f>IFERROR(IF(Crops[[#This Row],[Tray 3 Days]]=0,"",Crops[[#This Row],[Plantings Per Bed]]/Crops[[#This Row],[Tray 3 Size]]*Crops[[#This Row],[Safety Factor]]),"")</f>
        <v/>
      </c>
      <c r="BG310" s="33">
        <f>Crops[[#This Row],[Plantings Per Bed]]*Crops[[#This Row],[Days Between Harvest]]/7</f>
        <v>7.1428571428571432</v>
      </c>
      <c r="BH310" s="33">
        <v>45</v>
      </c>
      <c r="BI310" s="33">
        <v>2</v>
      </c>
      <c r="BJ310" s="33">
        <f>_xlfn.XLOOKUP(Crops[[#This Row],[ProductIndex]],Products[ID],Products[Holding Period])</f>
        <v>7</v>
      </c>
      <c r="BK310" s="33"/>
      <c r="BL310" s="33">
        <f>Crops[[#This Row],[Units Per Harvest]]*Crops[[#This Row],[Harvests]]</f>
        <v>321.42857142857144</v>
      </c>
      <c r="BM310" s="35">
        <v>2</v>
      </c>
      <c r="BN310" s="35">
        <v>1.5</v>
      </c>
      <c r="BO310" s="35"/>
      <c r="BP310" t="s">
        <v>383</v>
      </c>
      <c r="BQ310">
        <f>Crops[[#This Row],[Custom Yield Per Bed]]*Crops[[#This Row],[Direct Price]]</f>
        <v>642.85714285714289</v>
      </c>
      <c r="BS310" t="b">
        <f>Crops[[#This Row],[Harvests]]&gt;1</f>
        <v>1</v>
      </c>
      <c r="BT310" s="36">
        <f>IFERROR(Crops[[#This Row],[Direct Revenue Per Bed]]/Crops[[#This Row],[Days In Field]],-1)</f>
        <v>4.2857142857142856</v>
      </c>
      <c r="BU310" s="36">
        <f>IFERROR(Crops[[#This Row],[Direct Revenue Per Bed Day]]*GrowingDays*BedsPerAcre,"")</f>
        <v>123428.57142857143</v>
      </c>
      <c r="BV310" s="38">
        <f>LastFrostDate-5*Crops[[#This Row],[Sewing Rel Last Frost]]</f>
        <v>45768</v>
      </c>
      <c r="BW310" s="38">
        <f>Crops[[#This Row],[Target Sewing Date]]+Crops[[#This Row],[Days in Cells]]</f>
        <v>45768</v>
      </c>
      <c r="BX310" s="38">
        <f>Crops[[#This Row],[Target Sewing Date]]+Crops[[#This Row],[STH]]</f>
        <v>45823</v>
      </c>
      <c r="BY310" s="38">
        <f>Crops[[#This Row],[Target Harvest Data]]+Crops[[#This Row],[Harvest window]]</f>
        <v>45918</v>
      </c>
      <c r="BZ310">
        <v>-4</v>
      </c>
      <c r="CA310" t="s">
        <v>376</v>
      </c>
      <c r="CB310">
        <f>1</f>
        <v>1</v>
      </c>
      <c r="CC310">
        <f>IF(Crops[[#This Row],[Transplanting]]&gt;0, 2, 3)*BedLength/StandardBedLength</f>
        <v>1.5</v>
      </c>
      <c r="CD310" s="173">
        <f>IF(Crops[[#This Row],[Days in Cells]]&lt;=0,0,Crops[[#This Row],[Plantings Per Bed]]/StartsPerHourSeeding+Crops[[#This Row],[Tray 1 Count]]*5/60)</f>
        <v>0</v>
      </c>
      <c r="CE310" s="173">
        <f>IF(ISBLANK(Crops[[#This Row],[Tray 2 Days]]),0,Crops[[#This Row],[Plantings Per Bed]]/UpPottingPerHour)+IF(Crops[[#This Row],[Tray 3 Days]]="",0,Crops[[#This Row],[Plantings Per Bed]]/UpPottingPerHour)</f>
        <v>0</v>
      </c>
      <c r="CF310" s="173">
        <f>IFERROR(Crops[[#This Row],[Tray 1 Count]]/HomeStartFlatIrrigationPerHour,0)*Crops[[#This Row],[Days in Cells]]/DaysBetweenStartIrrigation</f>
        <v>0</v>
      </c>
      <c r="CG310" s="173">
        <f>0.5/16*MAX(Crops[[#This Row],[Tray 1 Count]],Crops[[#This Row],[Tray 2 Count]],Crops[[#This Row],[Tray 3 Count]])</f>
        <v>0</v>
      </c>
      <c r="CH310" s="173">
        <f>IF(Crops[[#This Row],[Days in Cells]]&gt;0,IF(IF(Crops[[#This Row],[Tray 3 Size]]&gt;0,Crops[[#This Row],[Tray 3 Size]],IF(Crops[[#This Row],[Tray 2 Size]]&gt;0,Crops[[#This Row],[Tray 2 Size]],Crops[[#This Row],[Tray 1 Size]]))&lt;=18,LargeTransplantTime,SmallTransplantTime)*Crops[[#This Row],[Plantings Per Bed]],0)</f>
        <v>0</v>
      </c>
      <c r="CI310" s="173"/>
      <c r="CJ310" s="173">
        <f>_xlfn.XLOOKUP(Crops[[#This Row],[Trellis Type]],TrellisMethods[Trellis Type],TrellisMethods[Hours],0,0)</f>
        <v>0</v>
      </c>
      <c r="CK310">
        <f>IF(Crops[[#This Row],[Days in Cells]]&lt;=0,Crops[[#This Row],[Rows]]*1/10,0)*BedLength/50</f>
        <v>0.1</v>
      </c>
      <c r="CL310" cm="1">
        <f t="array" ref="CL310">_xlfn.SWITCH(Crops[[#This Row],[Irrigation]],"DR", 0.5, "OH", 0.25,0)*BedLength/50</f>
        <v>0</v>
      </c>
      <c r="CM310">
        <f>IF(OR(ISBLANK(Crops[[#This Row],[Row Cover]]),Crops[[#This Row],[Row Cover]]="None"),0,1)*BedLength/50</f>
        <v>0</v>
      </c>
      <c r="CN310" s="173">
        <f>HoursPerWeedingPass*Crops[[#This Row],[Days In Field]]/14*Crops[[#This Row],[Rows]]+1*BedLength/50</f>
        <v>2.7857142857142856</v>
      </c>
      <c r="CO310" s="49">
        <f>4*BedLength/100</f>
        <v>2</v>
      </c>
      <c r="CQ310" s="37">
        <f>_xlfn.XLOOKUP(Crops[[#This Row],[Crop]]&amp;Crops[[#This Row],[Product]]&amp;Crops[[#This Row],[Unit]],Products[ID],Products[Marketing (hr)])*Crops[[#This Row],[Direct Revenue Per Bed]]/2000</f>
        <v>0.9642857142857143</v>
      </c>
      <c r="CR310" s="37">
        <f>_xlfn.XLOOKUP(Crops[[#This Row],[Crop]]&amp;Crops[[#This Row],[Product]]&amp;Crops[[#This Row],[Unit]],Products[ID],Products[Harvest (s)])*Crops[[#This Row],[Custom Yield Per Bed]]/3600</f>
        <v>0.89285714285714302</v>
      </c>
      <c r="CS310" s="37">
        <f>_xlfn.XLOOKUP(Crops[[#This Row],[Crop]]&amp;Crops[[#This Row],[Product]]&amp;Crops[[#This Row],[Unit]],Products[ID],Products[Bunch (s)])*Crops[[#This Row],[Custom Yield Per Bed]]/3600</f>
        <v>0</v>
      </c>
      <c r="CT310" s="37">
        <f>_xlfn.XLOOKUP(Crops[[#This Row],[Crop]]&amp;Crops[[#This Row],[Product]]&amp;Crops[[#This Row],[Unit]],Products[ID],Products[Haul (s)])*Crops[[#This Row],[Custom Yield Per Bed]]/3600</f>
        <v>0.20089285714285715</v>
      </c>
      <c r="CU310" s="37">
        <f>_xlfn.XLOOKUP(Crops[[#This Row],[Crop]]&amp;Crops[[#This Row],[Product]]&amp;Crops[[#This Row],[Unit]],Products[ID],Products[Wash (s)])*Crops[[#This Row],[Custom Yield Per Bed]]/3600</f>
        <v>0</v>
      </c>
      <c r="CV310" s="37">
        <f>_xlfn.XLOOKUP(Crops[[#This Row],[Crop]]&amp;Crops[[#This Row],[Product]]&amp;Crops[[#This Row],[Unit]],Products[ID],Products[Condition (s)])*Crops[[#This Row],[Custom Yield Per Bed]]/3600</f>
        <v>0</v>
      </c>
      <c r="CW310" s="37">
        <f>_xlfn.XLOOKUP(Crops[[#This Row],[Crop]]&amp;Crops[[#This Row],[Product]]&amp;Crops[[#This Row],[Unit]],Products[ID],Products[Trim (s)])*Crops[[#This Row],[Custom Yield Per Bed]]/3600</f>
        <v>0</v>
      </c>
      <c r="CX310" s="37">
        <f>_xlfn.XLOOKUP(Crops[[#This Row],[Crop]]&amp;Crops[[#This Row],[Product]]&amp;Crops[[#This Row],[Unit]],Products[ID],Products[Pack (s)])*Crops[[#This Row],[Custom Yield Per Bed]]/3600</f>
        <v>0.26785714285714285</v>
      </c>
      <c r="CY310" s="37">
        <f>_xlfn.XLOOKUP(Crops[[#This Row],[Crop]]&amp;Crops[[#This Row],[Product]]&amp;Crops[[#This Row],[Unit]],Products[ID],Products[Clean (s)])*Crops[[#This Row],[Custom Yield Per Bed]]/3600</f>
        <v>0</v>
      </c>
      <c r="CZ310" s="37">
        <f>_xlfn.XLOOKUP(Crops[[#This Row],[Crop]]&amp;Crops[[#This Row],[Product]]&amp;Crops[[#This Row],[Unit]],Products[ID],Products[Rehandle (s)])*Crops[[#This Row],[Custom Yield Per Bed]]/3600</f>
        <v>0</v>
      </c>
      <c r="DA310" s="37">
        <f>_xlfn.XLOOKUP(Crops[[#This Row],[Crop]]&amp;Crops[[#This Row],[Product]]&amp;Crops[[#This Row],[Unit]],Products[ID],Products[Market Transport (s)])*Crops[[#This Row],[Custom Yield Per Bed]]/3600</f>
        <v>0.5022321428571429</v>
      </c>
      <c r="DC310" s="37">
        <f>Crops[[#This Row],[Direct Revenue Per Bed2]]</f>
        <v>642.85714285714289</v>
      </c>
      <c r="DD310" s="173">
        <f>_xlfn.AGGREGATE(9,6,Crops[[#This Row],[Bed Prep]:[Remove Crop Residue]])</f>
        <v>9.2138392857142861</v>
      </c>
      <c r="DE310" s="173">
        <f>_xlfn.AGGREGATE(9,6,Crops[[#This Row],[Bed Prep]:[Remove Crop Residue]])-0.75*Crops[[#This Row],[Market &amp; Sell]]</f>
        <v>8.4906249999999996</v>
      </c>
      <c r="DF310" s="36">
        <f>Crops[[#This Row],[Direct Revenue Per Bed2]]/Crops[[#This Row],[Direct Time]]</f>
        <v>69.77082222975919</v>
      </c>
      <c r="DG310" s="36">
        <f>_xlfn.XLOOKUP(Crops[[#This Row],[ProductIndex]],Products[ID],Products[Packaging Cost])*(Crops[[#This Row],[Custom Yield Per Bed]]/_xlfn.XLOOKUP(Crops[[#This Row],[ProductIndex]],Products[ID],Products[Units Per Pack]))</f>
        <v>48.857142857142854</v>
      </c>
      <c r="DH310" s="36"/>
      <c r="DI310" s="36"/>
      <c r="DJ310" s="36"/>
      <c r="DK310" s="36"/>
      <c r="DL310" s="36"/>
      <c r="DM310" s="33">
        <f>IFERROR(Crops[[#This Row],[Custom Yield Per Bed]]*Crops[[#This Row],[Direct Price]],"")</f>
        <v>642.85714285714289</v>
      </c>
      <c r="DN310" s="36">
        <f>Crops[[#This Row],[Direct Time]]*LaborRate</f>
        <v>230.34598214285717</v>
      </c>
      <c r="DO310" s="36">
        <f>SUM(Crops[[#This Row],[Irrigation Cost]])</f>
        <v>0</v>
      </c>
      <c r="DP310" s="36">
        <f>Crops[[#This Row],[Direct Labor Cost]]+Crops[[#This Row],[Direct Non-Labor Cost]]</f>
        <v>230.34598214285717</v>
      </c>
      <c r="DQ310" s="36">
        <f>Crops[[#This Row],[Direct Revenue Per Bed2]]-Crops[[#This Row],[Direct Total Cost]]</f>
        <v>412.51116071428572</v>
      </c>
      <c r="DR310" s="36">
        <f>Crops[[#This Row],[Direct Profit]]*BedsPerAcre</f>
        <v>66001.78571428571</v>
      </c>
      <c r="DS310" s="36">
        <f>Crops[[#This Row],[Direct Profit]]*BedsPerAcre*GrowingDays/Crops[[#This Row],[Days In Field]]</f>
        <v>79202.142857142855</v>
      </c>
      <c r="DT310" s="36">
        <f>Crops[[#This Row],[Direct Profit]]/MIN(Crops[[#This Row],[Days In Field]],GrowingDays)</f>
        <v>2.750074404761905</v>
      </c>
      <c r="DU310" s="33">
        <f>Crops[[#This Row],[Direct Time]] * BedsPerAcre</f>
        <v>1474.2142857142858</v>
      </c>
      <c r="DV310" s="36">
        <f>(Crops[[#This Row],[Direct Revenue Per Bed2]]-Crops[[#This Row],[Direct Non-Labor Cost]])/Crops[[#This Row],[Direct Time]]</f>
        <v>69.77082222975919</v>
      </c>
      <c r="DW310" s="33">
        <f>IFERROR(Crops[[#This Row],[Custom Yield Per Bed]]*Crops[[#This Row],[Rough Wholesale Price]],"")</f>
        <v>482.14285714285717</v>
      </c>
      <c r="DX310" s="36">
        <f>Crops[[#This Row],[Wholesale Time]]*LaborRate</f>
        <v>212.265625</v>
      </c>
      <c r="DY310" s="36">
        <f>SUM(Crops[[#This Row],[Packaging Costs]:[Irrigation Cost]])</f>
        <v>48.857142857142854</v>
      </c>
      <c r="DZ310" s="36">
        <f>Crops[[#This Row],[Wholesale Labor Cost]]+Crops[[#This Row],[Wholesale Non-Labor Cost]]</f>
        <v>261.12276785714283</v>
      </c>
      <c r="EA310" s="36">
        <f>Crops[[#This Row],[Wholesale Revenue Per Bed]]-Crops[[#This Row],[Wholesale Total Cost]]</f>
        <v>221.02008928571433</v>
      </c>
      <c r="EB310" s="36">
        <f>Crops[[#This Row],[Wholesale Profit]]*BedsPerAcre</f>
        <v>35363.21428571429</v>
      </c>
      <c r="EC310" s="36">
        <f>Crops[[#This Row],[Wholesale Profit]]*BedsPerAcre*GrowingDays/Crops[[#This Row],[Days In Field]]</f>
        <v>42435.857142857145</v>
      </c>
      <c r="ED310" s="33">
        <f>Crops[[#This Row],[Wholesale Time]] * BedsPerAcre</f>
        <v>1358.5</v>
      </c>
      <c r="EE310" s="221">
        <f>Crops[[#This Row],[Wholesale Profit]]/MIN(Crops[[#This Row],[Days In Field]],GrowingDays)</f>
        <v>1.4734672619047622</v>
      </c>
      <c r="EF310" s="36">
        <f>(Crops[[#This Row],[Wholesale Revenue Per Bed]]-Crops[[#This Row],[Wholesale Non-Labor Cost]])/Crops[[#This Row],[Direct Time]]</f>
        <v>47.025534182857697</v>
      </c>
      <c r="EG310" s="174">
        <f>Crops[[#This Row],[Packaging Costs]]/Crops[[#This Row],[Wholesale Revenue Per Bed]]</f>
        <v>0.10133333333333332</v>
      </c>
      <c r="EH310" s="36" t="str">
        <f>Crops[[#This Row],[Crop]]&amp;Crops[[#This Row],[Product]]&amp;Crops[[#This Row],[Unit]]</f>
        <v>Summer SquashRipe FruitLb</v>
      </c>
      <c r="EI310" s="36" t="b">
        <f>_xlfn.XLOOKUP(Crops[[#This Row],[ProductIndex]],Products[ID],Products[Target])</f>
        <v>1</v>
      </c>
      <c r="EJ310" s="36">
        <f>Crops[[#This Row],[Custom Yield Per Bed]]</f>
        <v>321.42857142857144</v>
      </c>
      <c r="EK310" s="210">
        <f>Crops[[#This Row],[Units Per Harvest]]/Crops[[#This Row],[Days Between Harvest]]*7</f>
        <v>25</v>
      </c>
      <c r="EL310" s="210">
        <f>Crops[[#This Row],[Custom Yield Per Bed]]/_xlfn.XLOOKUP(Crops[[#This Row],[ProductIndex]],Products[ID],Products[CSA Portion])</f>
        <v>321.42857142857144</v>
      </c>
      <c r="EM310" s="210">
        <f>Crops[[#This Row],[Units Per Harvest]]/Crops[[#This Row],[Days Between Harvest]]*7/_xlfn.XLOOKUP(Crops[[#This Row],[ProductIndex]],Products[ID],Products[CSA Portion])</f>
        <v>25</v>
      </c>
      <c r="EN310" s="210">
        <f>Crops[[#This Row],[CSA Portions Per Week]]/CSAMembers</f>
        <v>0.5</v>
      </c>
      <c r="EO310" s="210"/>
      <c r="EP310" s="210"/>
      <c r="EQ310" s="210"/>
      <c r="ER310" s="210">
        <f>Crops[[#This Row],[Harvests]]*Crops[[#This Row],[Days Between Harvest]]/7</f>
        <v>12.857142857142858</v>
      </c>
      <c r="ES310" s="217">
        <f>_xlfn.XLOOKUP(Crops[[#This Row],[ProductIndex]],Products[ID],Products[CSA Need])</f>
        <v>4</v>
      </c>
      <c r="ET310" s="217">
        <f>_xlfn.XLOOKUP(Crops[[#This Row],[ProductIndex]],Products[ID],Products[CSA Times])</f>
        <v>4</v>
      </c>
      <c r="EU310" s="208">
        <f>Crops[[#This Row],[Custom Yield Per Bed]]/(Crops[[#This Row],[CSA Need]]*(_xlfn.XLOOKUP(Crops[[#This Row],[ProductIndex]],Products[ID],Products[CSA Portion])*CSAMembers))</f>
        <v>1.6071428571428572</v>
      </c>
      <c r="EV310" s="208">
        <f>_xlfn.XLOOKUP(Crops[[#This Row],[ProductIndex]],Products[ID],Products[CSA Portion])*CSAMembers*Crops[[#This Row],[CSA Need]]/Crops[[#This Row],[Custom Yield Per Bed]]</f>
        <v>0.62222222222222223</v>
      </c>
      <c r="EW310" s="208">
        <f>IFERROR(Crops[[#This Row],[Days In Field]]*Crops[[#This Row],[CSA Beds]],"")</f>
        <v>93.333333333333329</v>
      </c>
      <c r="EX310" s="208" t="e">
        <f>Crops[[#This Row],[CSA Bed Days]]*#REF!</f>
        <v>#REF!</v>
      </c>
      <c r="EY310" t="s">
        <v>1719</v>
      </c>
    </row>
    <row r="311" spans="1:155">
      <c r="A311"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(Long Season) - Ripe Fruit 1X | Field TP Su</v>
      </c>
      <c r="B311" s="187"/>
      <c r="C311" s="1" t="b">
        <v>1</v>
      </c>
      <c r="D311" s="1"/>
      <c r="E311" s="1" t="b">
        <v>0</v>
      </c>
      <c r="F311" s="1" t="b">
        <f>IFERROR(IF(ISNUMBER(MATCH(Crops[[#This Row],[Identifier]],BedPlan[Crop], 0)), TRUE, FALSE), FALSE)</f>
        <v>1</v>
      </c>
      <c r="G311" s="1" t="b">
        <f>IFERROR(IF(ISNUMBER(MATCH(Crops[[#This Row],[Identifier]],BedPlan[Crop], 0)), TRUE, FALSE), FALSE)</f>
        <v>1</v>
      </c>
      <c r="H311" s="1"/>
      <c r="I311" t="s">
        <v>128</v>
      </c>
      <c r="J311" t="s">
        <v>1718</v>
      </c>
      <c r="K311" t="s">
        <v>191</v>
      </c>
      <c r="M311" t="s">
        <v>128</v>
      </c>
      <c r="N311" t="str">
        <f>Crops[[#This Row],[Crop]]</f>
        <v>Summer Squash</v>
      </c>
      <c r="O311" t="s">
        <v>210</v>
      </c>
      <c r="P311" t="str">
        <f>IF(OR(Crops[[#This Row],[Days in Cells]]="",Crops[[#This Row],[Days in Cells]]=0), "DS","TP")</f>
        <v>TP</v>
      </c>
      <c r="R311" t="s">
        <v>144</v>
      </c>
      <c r="V311" t="str">
        <f xml:space="preserve"> IF(Crops[[#This Row],[Sp]], "Sp", "") &amp; IF(Crops[[#This Row],[Su]], "Su", "") &amp; IF(Crops[[#This Row],[Fa]], "Fa", "") &amp; IF(Crops[[#This Row],[Wi]], "Wi", "") &amp; IF(Crops[[#This Row],[OW]], "Ow","")</f>
        <v>Su</v>
      </c>
      <c r="W311" t="s">
        <v>144</v>
      </c>
      <c r="X311">
        <v>1</v>
      </c>
      <c r="Y311">
        <v>24</v>
      </c>
      <c r="AA311" t="s">
        <v>474</v>
      </c>
      <c r="AB311" t="b">
        <v>0</v>
      </c>
      <c r="AC311">
        <v>3</v>
      </c>
      <c r="AD311" s="32">
        <f>IFERROR(12/Crops[[#This Row],[Spacing]]*Crops[[#This Row],[Rows]]*BedLength,"")</f>
        <v>25</v>
      </c>
      <c r="AE311">
        <v>1</v>
      </c>
      <c r="AG311">
        <f>IF(Crops[[#This Row],[Custom Safety Factor]]="",PlantingSafetyFactor,Crops[[#This Row],[Custom Safety Factor]])</f>
        <v>1.3</v>
      </c>
      <c r="AH311">
        <f>1</f>
        <v>1</v>
      </c>
      <c r="AI311" s="33">
        <f>IFERROR(Crops[[#This Row],[Plantings Per Bed]]*Crops[[#This Row],[Seeds Per Planting]]*Crops[[#This Row],[Safety Factor]]*Crops[[#This Row],[Seeding Factor]],"")</f>
        <v>32.5</v>
      </c>
      <c r="AL311">
        <f>_xlfn.FLOOR.MATH(IFERROR(AVERAGE(Crops[[#This Row],[DTG Lower]:[DTG Upper]]),0))</f>
        <v>0</v>
      </c>
      <c r="AM311">
        <f>SUM(Crops[[#This Row],[Tray 1 Days]],Crops[[#This Row],[Tray 2 Days]],Crops[[#This Row],[Tray 3 Days]])</f>
        <v>28</v>
      </c>
      <c r="AN311" s="32">
        <v>28</v>
      </c>
      <c r="AP311">
        <v>60</v>
      </c>
      <c r="AQ311">
        <f>IFERROR(_xlfn.FLOOR.MATH(AVERAGE(Crops[[#This Row],[DTM Lower]:[DTM Upper]])),"")</f>
        <v>60</v>
      </c>
      <c r="AR311" cm="1">
        <f t="array" ref="AR311">_xlfn.SWITCH(Crops[[#This Row],[Normal Method]],"DS",Crops[[#This Row],[Days to Germination]]+Crops[[#This Row],[DTM]] + IF(Crops[[#This Row],[Days in Cells]]&gt;0,15,0), "TP",Crops[[#This Row],[DTM]]+Crops[[#This Row],[Days in Cells]] + IF(Crops[[#This Row],[Days in Cells]]&lt;=0,20,0), "X", Crops[[#This Row],[DTM]])</f>
        <v>60</v>
      </c>
      <c r="AS311" t="s">
        <v>347</v>
      </c>
      <c r="AT311">
        <f>(Crops[[#This Row],[Harvests]]-1)*Crops[[#This Row],[Days Between Harvest]]+7</f>
        <v>95</v>
      </c>
      <c r="AU311">
        <f>Crops[[#This Row],[STH]]-Crops[[#This Row],[Days in Cells]]+Crops[[#This Row],[Harvest window]]</f>
        <v>127</v>
      </c>
      <c r="AX311">
        <v>50</v>
      </c>
      <c r="AY311">
        <v>28</v>
      </c>
      <c r="AZ311" s="49">
        <f>IFERROR(IF(Crops[[#This Row],[Tray 1 Days]]=0,"",Crops[[#This Row],[Plantings Per Bed]]/Crops[[#This Row],[Tray 1 Size]]*Crops[[#This Row],[Safety Factor]]),"")</f>
        <v>0.65</v>
      </c>
      <c r="BC311" t="str">
        <f>IFERROR(IF(Crops[[#This Row],[Tray 2 Days]]=0,"",Crops[[#This Row],[Plantings Per Bed]]/Crops[[#This Row],[Tray 2 Size]]*Crops[[#This Row],[Safety Factor]]),"")</f>
        <v/>
      </c>
      <c r="BE311" s="32" t="str">
        <f>IF(NOT(ISBLANK(Crops[[#This Row],[Tray 3 Size]])), Crops[[#This Row],[Days in Cells Old]]-SUM(Crops[[#This Row],[Tray 1 Days]],Crops[[#This Row],[Tray 2 Days]]), "")</f>
        <v/>
      </c>
      <c r="BF311" s="49" t="str">
        <f>IFERROR(IF(Crops[[#This Row],[Tray 3 Days]]=0,"",Crops[[#This Row],[Plantings Per Bed]]/Crops[[#This Row],[Tray 3 Size]]*Crops[[#This Row],[Safety Factor]]),"")</f>
        <v/>
      </c>
      <c r="BG311" s="33">
        <f>Crops[[#This Row],[Plantings Per Bed]]*Crops[[#This Row],[Days Between Harvest]]/7</f>
        <v>7.1428571428571432</v>
      </c>
      <c r="BH311" s="33">
        <v>45</v>
      </c>
      <c r="BI311" s="33">
        <v>2</v>
      </c>
      <c r="BJ311" s="33">
        <f>_xlfn.XLOOKUP(Crops[[#This Row],[ProductIndex]],Products[ID],Products[Holding Period])</f>
        <v>7</v>
      </c>
      <c r="BK311" s="33"/>
      <c r="BL311" s="33">
        <f>Crops[[#This Row],[Units Per Harvest]]*Crops[[#This Row],[Harvests]]</f>
        <v>321.42857142857144</v>
      </c>
      <c r="BM311" s="35">
        <v>2</v>
      </c>
      <c r="BN311" s="35">
        <v>1.5</v>
      </c>
      <c r="BO311" s="35"/>
      <c r="BP311" t="s">
        <v>383</v>
      </c>
      <c r="BQ311">
        <f>Crops[[#This Row],[Custom Yield Per Bed]]*Crops[[#This Row],[Direct Price]]</f>
        <v>642.85714285714289</v>
      </c>
      <c r="BS311" t="b">
        <f>Crops[[#This Row],[Harvests]]&gt;1</f>
        <v>1</v>
      </c>
      <c r="BT311" s="36">
        <f>IFERROR(Crops[[#This Row],[Direct Revenue Per Bed]]/Crops[[#This Row],[Days In Field]],-1)</f>
        <v>5.0618672665916762</v>
      </c>
      <c r="BU311" s="36">
        <f>IFERROR(Crops[[#This Row],[Direct Revenue Per Bed Day]]*GrowingDays*BedsPerAcre,"")</f>
        <v>145781.77727784027</v>
      </c>
      <c r="BV311" s="38">
        <f>LastFrostDate-5*Crops[[#This Row],[Sewing Rel Last Frost]]</f>
        <v>45748</v>
      </c>
      <c r="BW311" s="38">
        <f>Crops[[#This Row],[Target Sewing Date]]+Crops[[#This Row],[Days in Cells]]</f>
        <v>45776</v>
      </c>
      <c r="BX311" s="38">
        <f>Crops[[#This Row],[Target Sewing Date]]+Crops[[#This Row],[STH]]</f>
        <v>45808</v>
      </c>
      <c r="BY311" s="38">
        <f>Crops[[#This Row],[Target Harvest Data]]+Crops[[#This Row],[Harvest window]]</f>
        <v>45903</v>
      </c>
      <c r="BZ311">
        <v>0</v>
      </c>
      <c r="CA311" t="s">
        <v>376</v>
      </c>
      <c r="CB311">
        <f>1</f>
        <v>1</v>
      </c>
      <c r="CC311">
        <f>IF(Crops[[#This Row],[Transplanting]]&gt;0, 2, 3)*BedLength/StandardBedLength</f>
        <v>1</v>
      </c>
      <c r="CD311" s="173">
        <f>IF(Crops[[#This Row],[Days in Cells]]&lt;=0,0,Crops[[#This Row],[Plantings Per Bed]]/StartsPerHourSeeding+Crops[[#This Row],[Tray 1 Count]]*5/60)</f>
        <v>0.15182291666666667</v>
      </c>
      <c r="CE311" s="173">
        <f>IF(ISBLANK(Crops[[#This Row],[Tray 2 Days]]),0,Crops[[#This Row],[Plantings Per Bed]]/UpPottingPerHour)+IF(Crops[[#This Row],[Tray 3 Days]]="",0,Crops[[#This Row],[Plantings Per Bed]]/UpPottingPerHour)</f>
        <v>0</v>
      </c>
      <c r="CF311" s="173">
        <f>IFERROR(Crops[[#This Row],[Tray 1 Count]]/HomeStartFlatIrrigationPerHour,0)*Crops[[#This Row],[Days in Cells]]/DaysBetweenStartIrrigation</f>
        <v>7.5833333333333336E-2</v>
      </c>
      <c r="CG311" s="173">
        <f>0.5/16*MAX(Crops[[#This Row],[Tray 1 Count]],Crops[[#This Row],[Tray 2 Count]],Crops[[#This Row],[Tray 3 Count]])</f>
        <v>2.0312500000000001E-2</v>
      </c>
      <c r="CH311" s="173">
        <f>IF(Crops[[#This Row],[Days in Cells]]&gt;0,IF(IF(Crops[[#This Row],[Tray 3 Size]]&gt;0,Crops[[#This Row],[Tray 3 Size]],IF(Crops[[#This Row],[Tray 2 Size]]&gt;0,Crops[[#This Row],[Tray 2 Size]],Crops[[#This Row],[Tray 1 Size]]))&lt;=18,LargeTransplantTime,SmallTransplantTime)*Crops[[#This Row],[Plantings Per Bed]],0)</f>
        <v>0.125</v>
      </c>
      <c r="CI311" s="173"/>
      <c r="CJ311" s="173">
        <f>_xlfn.XLOOKUP(Crops[[#This Row],[Trellis Type]],TrellisMethods[Trellis Type],TrellisMethods[Hours],0,0)</f>
        <v>0</v>
      </c>
      <c r="CK311">
        <f>IF(Crops[[#This Row],[Days in Cells]]&lt;=0,Crops[[#This Row],[Rows]]*1/10,0)*BedLength/50</f>
        <v>0</v>
      </c>
      <c r="CL311" cm="1">
        <f t="array" ref="CL311">_xlfn.SWITCH(Crops[[#This Row],[Irrigation]],"DR", 0.5, "OH", 0.25,0)*BedLength/50</f>
        <v>0</v>
      </c>
      <c r="CM311">
        <f>IF(OR(ISBLANK(Crops[[#This Row],[Row Cover]]),Crops[[#This Row],[Row Cover]]="None"),0,1)*BedLength/50</f>
        <v>0</v>
      </c>
      <c r="CN311" s="173">
        <f>HoursPerWeedingPass*Crops[[#This Row],[Days In Field]]/14*Crops[[#This Row],[Rows]]+1*BedLength/50</f>
        <v>2.5119047619047619</v>
      </c>
      <c r="CO311" s="49">
        <f>4*BedLength/100</f>
        <v>2</v>
      </c>
      <c r="CQ311" s="37">
        <f>_xlfn.XLOOKUP(Crops[[#This Row],[Crop]]&amp;Crops[[#This Row],[Product]]&amp;Crops[[#This Row],[Unit]],Products[ID],Products[Marketing (hr)])*Crops[[#This Row],[Direct Revenue Per Bed]]/2000</f>
        <v>0.9642857142857143</v>
      </c>
      <c r="CR311" s="37">
        <f>_xlfn.XLOOKUP(Crops[[#This Row],[Crop]]&amp;Crops[[#This Row],[Product]]&amp;Crops[[#This Row],[Unit]],Products[ID],Products[Harvest (s)])*Crops[[#This Row],[Custom Yield Per Bed]]/3600</f>
        <v>0.89285714285714302</v>
      </c>
      <c r="CS311" s="37">
        <f>_xlfn.XLOOKUP(Crops[[#This Row],[Crop]]&amp;Crops[[#This Row],[Product]]&amp;Crops[[#This Row],[Unit]],Products[ID],Products[Bunch (s)])*Crops[[#This Row],[Custom Yield Per Bed]]/3600</f>
        <v>0</v>
      </c>
      <c r="CT311" s="37">
        <f>_xlfn.XLOOKUP(Crops[[#This Row],[Crop]]&amp;Crops[[#This Row],[Product]]&amp;Crops[[#This Row],[Unit]],Products[ID],Products[Haul (s)])*Crops[[#This Row],[Custom Yield Per Bed]]/3600</f>
        <v>0.20089285714285715</v>
      </c>
      <c r="CU311" s="37">
        <f>_xlfn.XLOOKUP(Crops[[#This Row],[Crop]]&amp;Crops[[#This Row],[Product]]&amp;Crops[[#This Row],[Unit]],Products[ID],Products[Wash (s)])*Crops[[#This Row],[Custom Yield Per Bed]]/3600</f>
        <v>0</v>
      </c>
      <c r="CV311" s="37">
        <f>_xlfn.XLOOKUP(Crops[[#This Row],[Crop]]&amp;Crops[[#This Row],[Product]]&amp;Crops[[#This Row],[Unit]],Products[ID],Products[Condition (s)])*Crops[[#This Row],[Custom Yield Per Bed]]/3600</f>
        <v>0</v>
      </c>
      <c r="CW311" s="37">
        <f>_xlfn.XLOOKUP(Crops[[#This Row],[Crop]]&amp;Crops[[#This Row],[Product]]&amp;Crops[[#This Row],[Unit]],Products[ID],Products[Trim (s)])*Crops[[#This Row],[Custom Yield Per Bed]]/3600</f>
        <v>0</v>
      </c>
      <c r="CX311" s="37">
        <f>_xlfn.XLOOKUP(Crops[[#This Row],[Crop]]&amp;Crops[[#This Row],[Product]]&amp;Crops[[#This Row],[Unit]],Products[ID],Products[Pack (s)])*Crops[[#This Row],[Custom Yield Per Bed]]/3600</f>
        <v>0.26785714285714285</v>
      </c>
      <c r="CY311" s="37">
        <f>_xlfn.XLOOKUP(Crops[[#This Row],[Crop]]&amp;Crops[[#This Row],[Product]]&amp;Crops[[#This Row],[Unit]],Products[ID],Products[Clean (s)])*Crops[[#This Row],[Custom Yield Per Bed]]/3600</f>
        <v>0</v>
      </c>
      <c r="CZ311" s="37">
        <f>_xlfn.XLOOKUP(Crops[[#This Row],[Crop]]&amp;Crops[[#This Row],[Product]]&amp;Crops[[#This Row],[Unit]],Products[ID],Products[Rehandle (s)])*Crops[[#This Row],[Custom Yield Per Bed]]/3600</f>
        <v>0</v>
      </c>
      <c r="DA311" s="37">
        <f>_xlfn.XLOOKUP(Crops[[#This Row],[Crop]]&amp;Crops[[#This Row],[Product]]&amp;Crops[[#This Row],[Unit]],Products[ID],Products[Market Transport (s)])*Crops[[#This Row],[Custom Yield Per Bed]]/3600</f>
        <v>0.5022321428571429</v>
      </c>
      <c r="DC311" s="37">
        <f>Crops[[#This Row],[Direct Revenue Per Bed2]]</f>
        <v>642.85714285714289</v>
      </c>
      <c r="DD311" s="173">
        <f>_xlfn.AGGREGATE(9,6,Crops[[#This Row],[Bed Prep]:[Remove Crop Residue]])</f>
        <v>8.712998511904761</v>
      </c>
      <c r="DE311" s="173">
        <f>_xlfn.AGGREGATE(9,6,Crops[[#This Row],[Bed Prep]:[Remove Crop Residue]])-0.75*Crops[[#This Row],[Market &amp; Sell]]</f>
        <v>7.9897842261904755</v>
      </c>
      <c r="DF311" s="36">
        <f>Crops[[#This Row],[Direct Revenue Per Bed2]]/Crops[[#This Row],[Direct Time]]</f>
        <v>73.781390181439036</v>
      </c>
      <c r="DG311" s="36">
        <f>_xlfn.XLOOKUP(Crops[[#This Row],[ProductIndex]],Products[ID],Products[Packaging Cost])*(Crops[[#This Row],[Custom Yield Per Bed]]/_xlfn.XLOOKUP(Crops[[#This Row],[ProductIndex]],Products[ID],Products[Units Per Pack]))</f>
        <v>48.857142857142854</v>
      </c>
      <c r="DH311" s="36"/>
      <c r="DI311" s="36"/>
      <c r="DJ311" s="36"/>
      <c r="DK311" s="36"/>
      <c r="DL311" s="36"/>
      <c r="DM311" s="33">
        <f>IFERROR(Crops[[#This Row],[Custom Yield Per Bed]]*Crops[[#This Row],[Direct Price]],"")</f>
        <v>642.85714285714289</v>
      </c>
      <c r="DN311" s="36">
        <f>Crops[[#This Row],[Direct Time]]*LaborRate</f>
        <v>217.82496279761904</v>
      </c>
      <c r="DO311" s="36">
        <f>SUM(Crops[[#This Row],[Irrigation Cost]])</f>
        <v>0</v>
      </c>
      <c r="DP311" s="36">
        <f>Crops[[#This Row],[Direct Labor Cost]]+Crops[[#This Row],[Direct Non-Labor Cost]]</f>
        <v>217.82496279761904</v>
      </c>
      <c r="DQ311" s="36">
        <f>Crops[[#This Row],[Direct Revenue Per Bed2]]-Crops[[#This Row],[Direct Total Cost]]</f>
        <v>425.03218005952385</v>
      </c>
      <c r="DR311" s="36">
        <f>Crops[[#This Row],[Direct Profit]]*BedsPerAcre</f>
        <v>68005.148809523816</v>
      </c>
      <c r="DS311" s="36">
        <f>Crops[[#This Row],[Direct Profit]]*BedsPerAcre*GrowingDays/Crops[[#This Row],[Days In Field]]</f>
        <v>96385.25028121486</v>
      </c>
      <c r="DT311" s="36">
        <f>Crops[[#This Row],[Direct Profit]]/MIN(Crops[[#This Row],[Days In Field]],GrowingDays)</f>
        <v>3.3467100792088491</v>
      </c>
      <c r="DU311" s="33">
        <f>Crops[[#This Row],[Direct Time]] * BedsPerAcre</f>
        <v>1394.0797619047617</v>
      </c>
      <c r="DV311" s="36">
        <f>(Crops[[#This Row],[Direct Revenue Per Bed2]]-Crops[[#This Row],[Direct Non-Labor Cost]])/Crops[[#This Row],[Direct Time]]</f>
        <v>73.781390181439036</v>
      </c>
      <c r="DW311" s="33">
        <f>IFERROR(Crops[[#This Row],[Custom Yield Per Bed]]*Crops[[#This Row],[Rough Wholesale Price]],"")</f>
        <v>482.14285714285717</v>
      </c>
      <c r="DX311" s="36">
        <f>Crops[[#This Row],[Wholesale Time]]*LaborRate</f>
        <v>199.7446056547619</v>
      </c>
      <c r="DY311" s="36">
        <f>SUM(Crops[[#This Row],[Packaging Costs]:[Irrigation Cost]])</f>
        <v>48.857142857142854</v>
      </c>
      <c r="DZ311" s="36">
        <f>Crops[[#This Row],[Wholesale Labor Cost]]+Crops[[#This Row],[Wholesale Non-Labor Cost]]</f>
        <v>248.60174851190476</v>
      </c>
      <c r="EA311" s="36">
        <f>Crops[[#This Row],[Wholesale Revenue Per Bed]]-Crops[[#This Row],[Wholesale Total Cost]]</f>
        <v>233.54110863095241</v>
      </c>
      <c r="EB311" s="36">
        <f>Crops[[#This Row],[Wholesale Profit]]*BedsPerAcre</f>
        <v>37366.577380952382</v>
      </c>
      <c r="EC311" s="36">
        <f>Crops[[#This Row],[Wholesale Profit]]*BedsPerAcre*GrowingDays/Crops[[#This Row],[Days In Field]]</f>
        <v>52960.503374578184</v>
      </c>
      <c r="ED311" s="33">
        <f>Crops[[#This Row],[Wholesale Time]] * BedsPerAcre</f>
        <v>1278.3654761904761</v>
      </c>
      <c r="EE311" s="221">
        <f>Crops[[#This Row],[Wholesale Profit]]/MIN(Crops[[#This Row],[Days In Field]],GrowingDays)</f>
        <v>1.8389063671728536</v>
      </c>
      <c r="EF311" s="36">
        <f>(Crops[[#This Row],[Wholesale Revenue Per Bed]]-Crops[[#This Row],[Wholesale Non-Labor Cost]])/Crops[[#This Row],[Direct Time]]</f>
        <v>49.728656982289912</v>
      </c>
      <c r="EG311" s="174">
        <f>Crops[[#This Row],[Packaging Costs]]/Crops[[#This Row],[Wholesale Revenue Per Bed]]</f>
        <v>0.10133333333333332</v>
      </c>
      <c r="EH311" s="36" t="str">
        <f>Crops[[#This Row],[Crop]]&amp;Crops[[#This Row],[Product]]&amp;Crops[[#This Row],[Unit]]</f>
        <v>Summer SquashRipe FruitLb</v>
      </c>
      <c r="EI311" s="36" t="b">
        <f>_xlfn.XLOOKUP(Crops[[#This Row],[ProductIndex]],Products[ID],Products[Target])</f>
        <v>1</v>
      </c>
      <c r="EJ311" s="33">
        <f>Crops[[#This Row],[Custom Yield Per Bed]]</f>
        <v>321.42857142857144</v>
      </c>
      <c r="EK311" s="210">
        <f>Crops[[#This Row],[Units Per Harvest]]/Crops[[#This Row],[Days Between Harvest]]*7</f>
        <v>25</v>
      </c>
      <c r="EL311" s="210">
        <f>Crops[[#This Row],[Custom Yield Per Bed]]/_xlfn.XLOOKUP(Crops[[#This Row],[ProductIndex]],Products[ID],Products[CSA Portion])</f>
        <v>321.42857142857144</v>
      </c>
      <c r="EM311" s="210">
        <f>Crops[[#This Row],[Units Per Harvest]]/Crops[[#This Row],[Days Between Harvest]]*7/_xlfn.XLOOKUP(Crops[[#This Row],[ProductIndex]],Products[ID],Products[CSA Portion])</f>
        <v>25</v>
      </c>
      <c r="EN311" s="210">
        <f>Crops[[#This Row],[CSA Portions Per Week]]/CSAMembers</f>
        <v>0.5</v>
      </c>
      <c r="EO311" s="216">
        <v>2</v>
      </c>
      <c r="EP311" s="216">
        <v>1</v>
      </c>
      <c r="EQ311" s="210"/>
      <c r="ER311" s="210">
        <f>Crops[[#This Row],[Harvests]]*Crops[[#This Row],[Days Between Harvest]]/7</f>
        <v>12.857142857142858</v>
      </c>
      <c r="ES311" s="217">
        <f>_xlfn.XLOOKUP(Crops[[#This Row],[ProductIndex]],Products[ID],Products[CSA Need])</f>
        <v>4</v>
      </c>
      <c r="ET311" s="217">
        <f>_xlfn.XLOOKUP(Crops[[#This Row],[ProductIndex]],Products[ID],Products[CSA Times])</f>
        <v>4</v>
      </c>
      <c r="EU311" s="208">
        <f>Crops[[#This Row],[Custom Yield Per Bed]]/(Crops[[#This Row],[CSA Need]]*(_xlfn.XLOOKUP(Crops[[#This Row],[ProductIndex]],Products[ID],Products[CSA Portion])*CSAMembers))</f>
        <v>1.6071428571428572</v>
      </c>
      <c r="EV311" s="208">
        <f>_xlfn.XLOOKUP(Crops[[#This Row],[ProductIndex]],Products[ID],Products[CSA Portion])*CSAMembers*Crops[[#This Row],[CSA Need]]/Crops[[#This Row],[Custom Yield Per Bed]]</f>
        <v>0.62222222222222223</v>
      </c>
      <c r="EW311" s="208">
        <f>IFERROR(Crops[[#This Row],[Days In Field]]*Crops[[#This Row],[CSA Beds]],"")</f>
        <v>79.022222222222226</v>
      </c>
      <c r="EX311" s="208" t="e">
        <f>Crops[[#This Row],[CSA Bed Days]]*#REF!</f>
        <v>#REF!</v>
      </c>
      <c r="EY311" t="s">
        <v>1719</v>
      </c>
    </row>
    <row r="312" spans="1:155" ht="15.75" customHeight="1">
      <c r="A312"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(Short Season) - Ripe Fruit 1X | Field DS Su</v>
      </c>
      <c r="B312" s="187"/>
      <c r="C312" s="1"/>
      <c r="D312" s="1"/>
      <c r="E312" s="1" t="b">
        <v>0</v>
      </c>
      <c r="F312" s="1" t="b">
        <f>IFERROR(IF(ISNUMBER(MATCH(Crops[[#This Row],[Identifier]],BedPlan[Crop], 0)), TRUE, FALSE), FALSE)</f>
        <v>0</v>
      </c>
      <c r="G312" s="1" t="b">
        <f>IFERROR(IF(ISNUMBER(MATCH(Crops[[#This Row],[Identifier]],BedPlan[Crop], 0)), TRUE, FALSE), FALSE)</f>
        <v>0</v>
      </c>
      <c r="H312" s="1"/>
      <c r="I312" t="s">
        <v>128</v>
      </c>
      <c r="J312" t="s">
        <v>1717</v>
      </c>
      <c r="K312" t="s">
        <v>191</v>
      </c>
      <c r="M312" t="s">
        <v>128</v>
      </c>
      <c r="N312" t="str">
        <f>Crops[[#This Row],[Crop]]</f>
        <v>Summer Squash</v>
      </c>
      <c r="O312" t="s">
        <v>210</v>
      </c>
      <c r="P312" t="str">
        <f>IF(OR(Crops[[#This Row],[Days in Cells]]="",Crops[[#This Row],[Days in Cells]]=0), "DS","TP")</f>
        <v>DS</v>
      </c>
      <c r="R312" t="s">
        <v>144</v>
      </c>
      <c r="V312" t="str">
        <f xml:space="preserve"> IF(Crops[[#This Row],[Sp]], "Sp", "") &amp; IF(Crops[[#This Row],[Su]], "Su", "") &amp; IF(Crops[[#This Row],[Fa]], "Fa", "") &amp; IF(Crops[[#This Row],[Wi]], "Wi", "") &amp; IF(Crops[[#This Row],[OW]], "Ow","")</f>
        <v>Su</v>
      </c>
      <c r="W312" t="s">
        <v>144</v>
      </c>
      <c r="X312">
        <v>1</v>
      </c>
      <c r="Y312">
        <v>24</v>
      </c>
      <c r="AA312" t="s">
        <v>474</v>
      </c>
      <c r="AB312" t="b">
        <v>0</v>
      </c>
      <c r="AC312">
        <v>3</v>
      </c>
      <c r="AD312" s="32">
        <f>IFERROR(12/Crops[[#This Row],[Spacing]]*Crops[[#This Row],[Rows]]*BedLength,"")</f>
        <v>25</v>
      </c>
      <c r="AE312">
        <v>1</v>
      </c>
      <c r="AG312">
        <f>IF(Crops[[#This Row],[Custom Safety Factor]]="",PlantingSafetyFactor,Crops[[#This Row],[Custom Safety Factor]])</f>
        <v>1.3</v>
      </c>
      <c r="AH312">
        <f>1</f>
        <v>1</v>
      </c>
      <c r="AI312" s="33">
        <f>IFERROR(Crops[[#This Row],[Plantings Per Bed]]*Crops[[#This Row],[Seeds Per Planting]]*Crops[[#This Row],[Safety Factor]]*Crops[[#This Row],[Seeding Factor]],"")</f>
        <v>32.5</v>
      </c>
      <c r="AL312">
        <f>_xlfn.FLOOR.MATH(IFERROR(AVERAGE(Crops[[#This Row],[DTG Lower]:[DTG Upper]]),0))</f>
        <v>0</v>
      </c>
      <c r="AM312">
        <f>SUM(Crops[[#This Row],[Tray 1 Days]],Crops[[#This Row],[Tray 2 Days]],Crops[[#This Row],[Tray 3 Days]])</f>
        <v>0</v>
      </c>
      <c r="AN312" s="32">
        <v>28</v>
      </c>
      <c r="AP312">
        <v>55</v>
      </c>
      <c r="AQ312">
        <f>IFERROR(_xlfn.FLOOR.MATH(AVERAGE(Crops[[#This Row],[DTM Lower]:[DTM Upper]])),"")</f>
        <v>55</v>
      </c>
      <c r="AR312" cm="1">
        <f t="array" ref="AR312">_xlfn.SWITCH(Crops[[#This Row],[Normal Method]],"DS",Crops[[#This Row],[Days to Germination]]+Crops[[#This Row],[DTM]] + IF(Crops[[#This Row],[Days in Cells]]&gt;0,15,0), "TP",Crops[[#This Row],[DTM]]+Crops[[#This Row],[Days in Cells]] + IF(Crops[[#This Row],[Days in Cells]]&lt;=0,20,0), "X", Crops[[#This Row],[DTM]])</f>
        <v>55</v>
      </c>
      <c r="AS312" t="s">
        <v>347</v>
      </c>
      <c r="AT312">
        <f>(Crops[[#This Row],[Harvests]]-1)*Crops[[#This Row],[Days Between Harvest]]+7</f>
        <v>48</v>
      </c>
      <c r="AU312">
        <f>Crops[[#This Row],[STH]]-Crops[[#This Row],[Days in Cells]]+Crops[[#This Row],[Harvest window]]</f>
        <v>103</v>
      </c>
      <c r="AV312">
        <v>72</v>
      </c>
      <c r="AW312">
        <v>50</v>
      </c>
      <c r="AZ312" s="49"/>
      <c r="BC312" t="str">
        <f>IFERROR(IF(Crops[[#This Row],[Tray 2 Days]]=0,"",Crops[[#This Row],[Plantings Per Bed]]/Crops[[#This Row],[Tray 2 Size]]*Crops[[#This Row],[Safety Factor]]),"")</f>
        <v/>
      </c>
      <c r="BE312" s="32" t="str">
        <f>IF(NOT(ISBLANK(Crops[[#This Row],[Tray 3 Size]])), Crops[[#This Row],[Days in Cells Old]]-SUM(Crops[[#This Row],[Tray 1 Days]],Crops[[#This Row],[Tray 2 Days]]), "")</f>
        <v/>
      </c>
      <c r="BF312" s="49" t="str">
        <f>IFERROR(IF(Crops[[#This Row],[Tray 3 Days]]=0,"",Crops[[#This Row],[Plantings Per Bed]]/Crops[[#This Row],[Tray 3 Size]]*Crops[[#This Row],[Safety Factor]]),"")</f>
        <v/>
      </c>
      <c r="BG312" s="33">
        <f>10*BedLength/StandardBedLength</f>
        <v>5</v>
      </c>
      <c r="BH312" s="33">
        <f>42/Crops[[#This Row],[Days Between Harvest]]</f>
        <v>42</v>
      </c>
      <c r="BI312" s="33">
        <v>1</v>
      </c>
      <c r="BJ312" s="33">
        <f>_xlfn.XLOOKUP(Crops[[#This Row],[ProductIndex]],Products[ID],Products[Holding Period])</f>
        <v>7</v>
      </c>
      <c r="BK312" s="33"/>
      <c r="BL312" s="33">
        <f>Crops[[#This Row],[Units Per Harvest]]*Crops[[#This Row],[Harvests]]</f>
        <v>210</v>
      </c>
      <c r="BM312" s="35">
        <v>2</v>
      </c>
      <c r="BN312" s="35">
        <v>1.5</v>
      </c>
      <c r="BO312" s="35"/>
      <c r="BP312" t="s">
        <v>383</v>
      </c>
      <c r="BQ312">
        <f>Crops[[#This Row],[Custom Yield Per Bed]]*Crops[[#This Row],[Direct Price]]</f>
        <v>420</v>
      </c>
      <c r="BS312" t="b">
        <f>Crops[[#This Row],[Harvests]]&gt;1</f>
        <v>1</v>
      </c>
      <c r="BT312" s="36">
        <f>IFERROR(Crops[[#This Row],[Direct Revenue Per Bed]]/Crops[[#This Row],[Days In Field]],-1)</f>
        <v>4.0776699029126213</v>
      </c>
      <c r="BU312" s="36">
        <f>IFERROR(Crops[[#This Row],[Direct Revenue Per Bed Day]]*GrowingDays*BedsPerAcre,"")</f>
        <v>117436.8932038835</v>
      </c>
      <c r="BV312" s="38">
        <f>LastFrostDate-5*Crops[[#This Row],[Sewing Rel Last Frost]]</f>
        <v>45768</v>
      </c>
      <c r="BW312" s="38">
        <f>Crops[[#This Row],[Target Sewing Date]]+Crops[[#This Row],[Days in Cells]]</f>
        <v>45768</v>
      </c>
      <c r="BX312" s="38">
        <f>Crops[[#This Row],[Target Sewing Date]]+Crops[[#This Row],[STH]]</f>
        <v>45823</v>
      </c>
      <c r="BY312" s="38">
        <f>Crops[[#This Row],[Target Harvest Data]]+Crops[[#This Row],[Harvest window]]</f>
        <v>45871</v>
      </c>
      <c r="BZ312">
        <v>-4</v>
      </c>
      <c r="CA312" t="s">
        <v>376</v>
      </c>
      <c r="CB312">
        <f>1</f>
        <v>1</v>
      </c>
      <c r="CC312">
        <f>IF(Crops[[#This Row],[Transplanting]]&gt;0, 2, 3)*BedLength/StandardBedLength</f>
        <v>1.5</v>
      </c>
      <c r="CD312" s="173">
        <f>IF(Crops[[#This Row],[Days in Cells]]&lt;=0,0,Crops[[#This Row],[Plantings Per Bed]]/StartsPerHourSeeding+Crops[[#This Row],[Tray 1 Count]]*5/60)</f>
        <v>0</v>
      </c>
      <c r="CE312" s="173">
        <f>IF(ISBLANK(Crops[[#This Row],[Tray 2 Days]]),0,Crops[[#This Row],[Plantings Per Bed]]/UpPottingPerHour)+IF(Crops[[#This Row],[Tray 3 Days]]="",0,Crops[[#This Row],[Plantings Per Bed]]/UpPottingPerHour)</f>
        <v>0</v>
      </c>
      <c r="CF312" s="173">
        <f>IFERROR(Crops[[#This Row],[Tray 1 Count]]/HomeStartFlatIrrigationPerHour,0)*Crops[[#This Row],[Days in Cells]]/DaysBetweenStartIrrigation</f>
        <v>0</v>
      </c>
      <c r="CG312" s="173">
        <f>0.5/16*MAX(Crops[[#This Row],[Tray 1 Count]],Crops[[#This Row],[Tray 2 Count]],Crops[[#This Row],[Tray 3 Count]])</f>
        <v>0</v>
      </c>
      <c r="CH312" s="173">
        <f>IF(Crops[[#This Row],[Days in Cells]]&gt;0,IF(IF(Crops[[#This Row],[Tray 3 Size]]&gt;0,Crops[[#This Row],[Tray 3 Size]],IF(Crops[[#This Row],[Tray 2 Size]]&gt;0,Crops[[#This Row],[Tray 2 Size]],Crops[[#This Row],[Tray 1 Size]]))&lt;=18,LargeTransplantTime,SmallTransplantTime)*Crops[[#This Row],[Plantings Per Bed]],0)</f>
        <v>0</v>
      </c>
      <c r="CI312" s="173"/>
      <c r="CJ312" s="173">
        <f>_xlfn.XLOOKUP(Crops[[#This Row],[Trellis Type]],TrellisMethods[Trellis Type],TrellisMethods[Hours],0,0)</f>
        <v>0</v>
      </c>
      <c r="CK312">
        <f>IF(Crops[[#This Row],[Days in Cells]]&lt;=0,Crops[[#This Row],[Rows]]*1/10,0)*BedLength/50</f>
        <v>0.1</v>
      </c>
      <c r="CL312" cm="1">
        <f t="array" ref="CL312">_xlfn.SWITCH(Crops[[#This Row],[Irrigation]],"DR", 0.5, "OH", 0.25,0)*BedLength/50</f>
        <v>0</v>
      </c>
      <c r="CM312">
        <f>IF(OR(ISBLANK(Crops[[#This Row],[Row Cover]]),Crops[[#This Row],[Row Cover]]="None"),0,1)*BedLength/50</f>
        <v>0</v>
      </c>
      <c r="CN312" s="173">
        <f>HoursPerWeedingPass*Crops[[#This Row],[Days In Field]]/14*Crops[[#This Row],[Rows]]+1*BedLength/50</f>
        <v>2.2261904761904763</v>
      </c>
      <c r="CO312" s="49">
        <f>4*BedLength/100</f>
        <v>2</v>
      </c>
      <c r="CQ312" s="37">
        <f>_xlfn.XLOOKUP(Crops[[#This Row],[Crop]]&amp;Crops[[#This Row],[Product]]&amp;Crops[[#This Row],[Unit]],Products[ID],Products[Marketing (hr)])*Crops[[#This Row],[Direct Revenue Per Bed]]/2000</f>
        <v>0.63</v>
      </c>
      <c r="CR312" s="37">
        <f>_xlfn.XLOOKUP(Crops[[#This Row],[Crop]]&amp;Crops[[#This Row],[Product]]&amp;Crops[[#This Row],[Unit]],Products[ID],Products[Harvest (s)])*Crops[[#This Row],[Custom Yield Per Bed]]/3600</f>
        <v>0.58333333333333337</v>
      </c>
      <c r="CS312" s="37">
        <f>_xlfn.XLOOKUP(Crops[[#This Row],[Crop]]&amp;Crops[[#This Row],[Product]]&amp;Crops[[#This Row],[Unit]],Products[ID],Products[Bunch (s)])*Crops[[#This Row],[Custom Yield Per Bed]]/3600</f>
        <v>0</v>
      </c>
      <c r="CT312" s="37">
        <f>_xlfn.XLOOKUP(Crops[[#This Row],[Crop]]&amp;Crops[[#This Row],[Product]]&amp;Crops[[#This Row],[Unit]],Products[ID],Products[Haul (s)])*Crops[[#This Row],[Custom Yield Per Bed]]/3600</f>
        <v>0.13125000000000001</v>
      </c>
      <c r="CU312" s="37">
        <f>_xlfn.XLOOKUP(Crops[[#This Row],[Crop]]&amp;Crops[[#This Row],[Product]]&amp;Crops[[#This Row],[Unit]],Products[ID],Products[Wash (s)])*Crops[[#This Row],[Custom Yield Per Bed]]/3600</f>
        <v>0</v>
      </c>
      <c r="CV312" s="37">
        <f>_xlfn.XLOOKUP(Crops[[#This Row],[Crop]]&amp;Crops[[#This Row],[Product]]&amp;Crops[[#This Row],[Unit]],Products[ID],Products[Condition (s)])*Crops[[#This Row],[Custom Yield Per Bed]]/3600</f>
        <v>0</v>
      </c>
      <c r="CW312" s="37">
        <f>_xlfn.XLOOKUP(Crops[[#This Row],[Crop]]&amp;Crops[[#This Row],[Product]]&amp;Crops[[#This Row],[Unit]],Products[ID],Products[Trim (s)])*Crops[[#This Row],[Custom Yield Per Bed]]/3600</f>
        <v>0</v>
      </c>
      <c r="CX312" s="37">
        <f>_xlfn.XLOOKUP(Crops[[#This Row],[Crop]]&amp;Crops[[#This Row],[Product]]&amp;Crops[[#This Row],[Unit]],Products[ID],Products[Pack (s)])*Crops[[#This Row],[Custom Yield Per Bed]]/3600</f>
        <v>0.17499999999999999</v>
      </c>
      <c r="CY312" s="37">
        <f>_xlfn.XLOOKUP(Crops[[#This Row],[Crop]]&amp;Crops[[#This Row],[Product]]&amp;Crops[[#This Row],[Unit]],Products[ID],Products[Clean (s)])*Crops[[#This Row],[Custom Yield Per Bed]]/3600</f>
        <v>0</v>
      </c>
      <c r="CZ312" s="37">
        <f>_xlfn.XLOOKUP(Crops[[#This Row],[Crop]]&amp;Crops[[#This Row],[Product]]&amp;Crops[[#This Row],[Unit]],Products[ID],Products[Rehandle (s)])*Crops[[#This Row],[Custom Yield Per Bed]]/3600</f>
        <v>0</v>
      </c>
      <c r="DA312" s="37">
        <f>_xlfn.XLOOKUP(Crops[[#This Row],[Crop]]&amp;Crops[[#This Row],[Product]]&amp;Crops[[#This Row],[Unit]],Products[ID],Products[Market Transport (s)])*Crops[[#This Row],[Custom Yield Per Bed]]/3600</f>
        <v>0.328125</v>
      </c>
      <c r="DC312" s="37">
        <f>Crops[[#This Row],[Direct Revenue Per Bed2]]</f>
        <v>420</v>
      </c>
      <c r="DD312" s="173">
        <f>_xlfn.AGGREGATE(9,6,Crops[[#This Row],[Bed Prep]:[Remove Crop Residue]])</f>
        <v>7.6738988095238083</v>
      </c>
      <c r="DE312" s="173">
        <f>_xlfn.AGGREGATE(9,6,Crops[[#This Row],[Bed Prep]:[Remove Crop Residue]])-0.75*Crops[[#This Row],[Market &amp; Sell]]</f>
        <v>7.2013988095238082</v>
      </c>
      <c r="DF312" s="36">
        <f>Crops[[#This Row],[Direct Revenue Per Bed2]]/Crops[[#This Row],[Direct Time]]</f>
        <v>54.730979704704033</v>
      </c>
      <c r="DG312" s="36">
        <f>_xlfn.XLOOKUP(Crops[[#This Row],[ProductIndex]],Products[ID],Products[Packaging Cost])*(Crops[[#This Row],[Custom Yield Per Bed]]/_xlfn.XLOOKUP(Crops[[#This Row],[ProductIndex]],Products[ID],Products[Units Per Pack]))</f>
        <v>31.919999999999998</v>
      </c>
      <c r="DH312" s="36"/>
      <c r="DI312" s="36"/>
      <c r="DJ312" s="36"/>
      <c r="DK312" s="36"/>
      <c r="DL312" s="36"/>
      <c r="DM312" s="33">
        <f>IFERROR(Crops[[#This Row],[Custom Yield Per Bed]]*Crops[[#This Row],[Direct Price]],"")</f>
        <v>420</v>
      </c>
      <c r="DN312" s="36">
        <f>Crops[[#This Row],[Direct Time]]*LaborRate</f>
        <v>191.84747023809521</v>
      </c>
      <c r="DO312" s="36">
        <f>SUM(Crops[[#This Row],[Irrigation Cost]])</f>
        <v>0</v>
      </c>
      <c r="DP312" s="36">
        <f>Crops[[#This Row],[Direct Labor Cost]]+Crops[[#This Row],[Direct Non-Labor Cost]]</f>
        <v>191.84747023809521</v>
      </c>
      <c r="DQ312" s="36">
        <f>Crops[[#This Row],[Direct Revenue Per Bed2]]-Crops[[#This Row],[Direct Total Cost]]</f>
        <v>228.15252976190479</v>
      </c>
      <c r="DR312" s="36">
        <f>Crops[[#This Row],[Direct Profit]]*BedsPerAcre</f>
        <v>36504.404761904763</v>
      </c>
      <c r="DS312" s="36">
        <f>Crops[[#This Row],[Direct Profit]]*BedsPerAcre*GrowingDays/Crops[[#This Row],[Days In Field]]</f>
        <v>63794.105409153955</v>
      </c>
      <c r="DT312" s="36">
        <f>Crops[[#This Row],[Direct Profit]]/MIN(Crops[[#This Row],[Days In Field]],GrowingDays)</f>
        <v>2.2150731044845124</v>
      </c>
      <c r="DU312" s="33">
        <f>Crops[[#This Row],[Direct Time]] * BedsPerAcre</f>
        <v>1227.8238095238094</v>
      </c>
      <c r="DV312" s="36">
        <f>(Crops[[#This Row],[Direct Revenue Per Bed2]]-Crops[[#This Row],[Direct Non-Labor Cost]])/Crops[[#This Row],[Direct Time]]</f>
        <v>54.730979704704033</v>
      </c>
      <c r="DW312" s="33">
        <f>IFERROR(Crops[[#This Row],[Custom Yield Per Bed]]*Crops[[#This Row],[Rough Wholesale Price]],"")</f>
        <v>315</v>
      </c>
      <c r="DX312" s="36">
        <f>Crops[[#This Row],[Wholesale Time]]*LaborRate</f>
        <v>180.03497023809521</v>
      </c>
      <c r="DY312" s="36">
        <f>SUM(Crops[[#This Row],[Packaging Costs]:[Irrigation Cost]])</f>
        <v>31.919999999999998</v>
      </c>
      <c r="DZ312" s="36">
        <f>Crops[[#This Row],[Wholesale Labor Cost]]+Crops[[#This Row],[Wholesale Non-Labor Cost]]</f>
        <v>211.9549702380952</v>
      </c>
      <c r="EA312" s="36">
        <f>Crops[[#This Row],[Wholesale Revenue Per Bed]]-Crops[[#This Row],[Wholesale Total Cost]]</f>
        <v>103.0450297619048</v>
      </c>
      <c r="EB312" s="36">
        <f>Crops[[#This Row],[Wholesale Profit]]*BedsPerAcre</f>
        <v>16487.204761904766</v>
      </c>
      <c r="EC312" s="36">
        <f>Crops[[#This Row],[Wholesale Profit]]*BedsPerAcre*GrowingDays/Crops[[#This Row],[Days In Field]]</f>
        <v>28812.590846047162</v>
      </c>
      <c r="ED312" s="33">
        <f>Crops[[#This Row],[Wholesale Time]] * BedsPerAcre</f>
        <v>1152.2238095238092</v>
      </c>
      <c r="EE312" s="221">
        <f>Crops[[#This Row],[Wholesale Profit]]/MIN(Crops[[#This Row],[Days In Field]],GrowingDays)</f>
        <v>1.0004371821544156</v>
      </c>
      <c r="EF312" s="36">
        <f>(Crops[[#This Row],[Wholesale Revenue Per Bed]]-Crops[[#This Row],[Wholesale Non-Labor Cost]])/Crops[[#This Row],[Direct Time]]</f>
        <v>36.888680320970515</v>
      </c>
      <c r="EG312" s="174">
        <f>Crops[[#This Row],[Packaging Costs]]/Crops[[#This Row],[Wholesale Revenue Per Bed]]</f>
        <v>0.10133333333333333</v>
      </c>
      <c r="EH312" s="36" t="str">
        <f>Crops[[#This Row],[Crop]]&amp;Crops[[#This Row],[Product]]&amp;Crops[[#This Row],[Unit]]</f>
        <v>Summer SquashRipe FruitLb</v>
      </c>
      <c r="EI312" s="36" t="b">
        <f>_xlfn.XLOOKUP(Crops[[#This Row],[ProductIndex]],Products[ID],Products[Target])</f>
        <v>1</v>
      </c>
      <c r="EJ312" s="36">
        <f>Crops[[#This Row],[Custom Yield Per Bed]]</f>
        <v>210</v>
      </c>
      <c r="EK312" s="210">
        <f>Crops[[#This Row],[Units Per Harvest]]/Crops[[#This Row],[Days Between Harvest]]*7</f>
        <v>35</v>
      </c>
      <c r="EL312" s="210">
        <f>Crops[[#This Row],[Custom Yield Per Bed]]/_xlfn.XLOOKUP(Crops[[#This Row],[ProductIndex]],Products[ID],Products[CSA Portion])</f>
        <v>210</v>
      </c>
      <c r="EM312" s="210">
        <f>Crops[[#This Row],[Units Per Harvest]]/Crops[[#This Row],[Days Between Harvest]]*7/_xlfn.XLOOKUP(Crops[[#This Row],[ProductIndex]],Products[ID],Products[CSA Portion])</f>
        <v>35</v>
      </c>
      <c r="EN312" s="210">
        <f>Crops[[#This Row],[CSA Portions Per Week]]/CSAMembers</f>
        <v>0.7</v>
      </c>
      <c r="EO312" s="210"/>
      <c r="EP312" s="210"/>
      <c r="EQ312" s="210"/>
      <c r="ER312" s="210">
        <f>Crops[[#This Row],[Harvests]]*Crops[[#This Row],[Days Between Harvest]]/7</f>
        <v>6</v>
      </c>
      <c r="ES312" s="217">
        <f>_xlfn.XLOOKUP(Crops[[#This Row],[ProductIndex]],Products[ID],Products[CSA Need])</f>
        <v>4</v>
      </c>
      <c r="ET312" s="217">
        <f>_xlfn.XLOOKUP(Crops[[#This Row],[ProductIndex]],Products[ID],Products[CSA Times])</f>
        <v>4</v>
      </c>
      <c r="EU312" s="208">
        <f>Crops[[#This Row],[Custom Yield Per Bed]]/(Crops[[#This Row],[CSA Need]]*(_xlfn.XLOOKUP(Crops[[#This Row],[ProductIndex]],Products[ID],Products[CSA Portion])*CSAMembers))</f>
        <v>1.05</v>
      </c>
      <c r="EV312" s="208">
        <f>_xlfn.XLOOKUP(Crops[[#This Row],[ProductIndex]],Products[ID],Products[CSA Portion])*CSAMembers*Crops[[#This Row],[CSA Need]]/Crops[[#This Row],[Custom Yield Per Bed]]</f>
        <v>0.95238095238095233</v>
      </c>
      <c r="EW312" s="208">
        <f>IFERROR(Crops[[#This Row],[Days In Field]]*Crops[[#This Row],[CSA Beds]],"")</f>
        <v>98.095238095238088</v>
      </c>
      <c r="EX312" s="208" t="e">
        <f>Crops[[#This Row],[CSA Bed Days]]*#REF!</f>
        <v>#REF!</v>
      </c>
      <c r="EY312" t="s">
        <v>1719</v>
      </c>
    </row>
    <row r="313" spans="1:155">
      <c r="A313"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(Short Season) - Ripe Fruit 1X | Field TP Su</v>
      </c>
      <c r="B313" s="187"/>
      <c r="C313" s="1" t="b">
        <v>1</v>
      </c>
      <c r="D313" s="1"/>
      <c r="E313" s="1" t="b">
        <v>0</v>
      </c>
      <c r="F313" s="1" t="b">
        <f>IFERROR(IF(ISNUMBER(MATCH(Crops[[#This Row],[Identifier]],BedPlan[Crop], 0)), TRUE, FALSE), FALSE)</f>
        <v>1</v>
      </c>
      <c r="G313" s="1" t="b">
        <f>IFERROR(IF(ISNUMBER(MATCH(Crops[[#This Row],[Identifier]],BedPlan[Crop], 0)), TRUE, FALSE), FALSE)</f>
        <v>1</v>
      </c>
      <c r="H313" s="1"/>
      <c r="I313" t="s">
        <v>128</v>
      </c>
      <c r="J313" t="s">
        <v>1717</v>
      </c>
      <c r="K313" t="s">
        <v>191</v>
      </c>
      <c r="M313" t="s">
        <v>128</v>
      </c>
      <c r="N313" t="str">
        <f>Crops[[#This Row],[Crop]]</f>
        <v>Summer Squash</v>
      </c>
      <c r="O313" t="s">
        <v>210</v>
      </c>
      <c r="P313" t="str">
        <f>IF(OR(Crops[[#This Row],[Days in Cells]]="",Crops[[#This Row],[Days in Cells]]=0), "DS","TP")</f>
        <v>TP</v>
      </c>
      <c r="R313" t="s">
        <v>144</v>
      </c>
      <c r="V313" t="str">
        <f xml:space="preserve"> IF(Crops[[#This Row],[Sp]], "Sp", "") &amp; IF(Crops[[#This Row],[Su]], "Su", "") &amp; IF(Crops[[#This Row],[Fa]], "Fa", "") &amp; IF(Crops[[#This Row],[Wi]], "Wi", "") &amp; IF(Crops[[#This Row],[OW]], "Ow","")</f>
        <v>Su</v>
      </c>
      <c r="W313" t="s">
        <v>144</v>
      </c>
      <c r="X313">
        <v>1</v>
      </c>
      <c r="Y313">
        <v>24</v>
      </c>
      <c r="AA313" t="s">
        <v>474</v>
      </c>
      <c r="AB313" t="b">
        <v>0</v>
      </c>
      <c r="AC313">
        <v>3</v>
      </c>
      <c r="AD313" s="32">
        <f>IFERROR(12/Crops[[#This Row],[Spacing]]*Crops[[#This Row],[Rows]]*BedLength,"")</f>
        <v>25</v>
      </c>
      <c r="AE313">
        <v>1</v>
      </c>
      <c r="AG313">
        <f>IF(Crops[[#This Row],[Custom Safety Factor]]="",PlantingSafetyFactor,Crops[[#This Row],[Custom Safety Factor]])</f>
        <v>1.3</v>
      </c>
      <c r="AH313">
        <f>1</f>
        <v>1</v>
      </c>
      <c r="AI313" s="33">
        <f>IFERROR(Crops[[#This Row],[Plantings Per Bed]]*Crops[[#This Row],[Seeds Per Planting]]*Crops[[#This Row],[Safety Factor]]*Crops[[#This Row],[Seeding Factor]],"")</f>
        <v>32.5</v>
      </c>
      <c r="AL313">
        <f>_xlfn.FLOOR.MATH(IFERROR(AVERAGE(Crops[[#This Row],[DTG Lower]:[DTG Upper]]),0))</f>
        <v>0</v>
      </c>
      <c r="AM313">
        <f>SUM(Crops[[#This Row],[Tray 1 Days]],Crops[[#This Row],[Tray 2 Days]],Crops[[#This Row],[Tray 3 Days]])</f>
        <v>28</v>
      </c>
      <c r="AN313" s="32">
        <v>28</v>
      </c>
      <c r="AP313">
        <v>60</v>
      </c>
      <c r="AQ313">
        <f>IFERROR(_xlfn.FLOOR.MATH(AVERAGE(Crops[[#This Row],[DTM Lower]:[DTM Upper]])),"")</f>
        <v>60</v>
      </c>
      <c r="AR313" cm="1">
        <f t="array" ref="AR313">_xlfn.SWITCH(Crops[[#This Row],[Normal Method]],"DS",Crops[[#This Row],[Days to Germination]]+Crops[[#This Row],[DTM]] + IF(Crops[[#This Row],[Days in Cells]]&gt;0,15,0), "TP",Crops[[#This Row],[DTM]]+Crops[[#This Row],[Days in Cells]] + IF(Crops[[#This Row],[Days in Cells]]&lt;=0,20,0), "X", Crops[[#This Row],[DTM]])</f>
        <v>60</v>
      </c>
      <c r="AS313" t="s">
        <v>347</v>
      </c>
      <c r="AT313">
        <f>(Crops[[#This Row],[Harvests]]-1)*Crops[[#This Row],[Days Between Harvest]]+7</f>
        <v>47</v>
      </c>
      <c r="AU313">
        <f>Crops[[#This Row],[STH]]-Crops[[#This Row],[Days in Cells]]+Crops[[#This Row],[Harvest window]]</f>
        <v>79</v>
      </c>
      <c r="AX313">
        <v>50</v>
      </c>
      <c r="AY313">
        <v>28</v>
      </c>
      <c r="AZ313" s="49">
        <f>IFERROR(IF(Crops[[#This Row],[Tray 1 Days]]=0,"",Crops[[#This Row],[Plantings Per Bed]]/Crops[[#This Row],[Tray 1 Size]]*Crops[[#This Row],[Safety Factor]]),"")</f>
        <v>0.65</v>
      </c>
      <c r="BC313" t="str">
        <f>IFERROR(IF(Crops[[#This Row],[Tray 2 Days]]=0,"",Crops[[#This Row],[Plantings Per Bed]]/Crops[[#This Row],[Tray 2 Size]]*Crops[[#This Row],[Safety Factor]]),"")</f>
        <v/>
      </c>
      <c r="BE313" s="32" t="str">
        <f>IF(NOT(ISBLANK(Crops[[#This Row],[Tray 3 Size]])), Crops[[#This Row],[Days in Cells Old]]-SUM(Crops[[#This Row],[Tray 1 Days]],Crops[[#This Row],[Tray 2 Days]]), "")</f>
        <v/>
      </c>
      <c r="BF313" s="49" t="str">
        <f>IFERROR(IF(Crops[[#This Row],[Tray 3 Days]]=0,"",Crops[[#This Row],[Plantings Per Bed]]/Crops[[#This Row],[Tray 3 Size]]*Crops[[#This Row],[Safety Factor]]),"")</f>
        <v/>
      </c>
      <c r="BG313" s="33">
        <f>Crops[[#This Row],[Plantings Per Bed]]*1.25*Crops[[#This Row],[Days Between Harvest]]/7</f>
        <v>8.9285714285714288</v>
      </c>
      <c r="BH313" s="33">
        <f>42/Crops[[#This Row],[Days Between Harvest]]</f>
        <v>21</v>
      </c>
      <c r="BI313" s="33">
        <v>2</v>
      </c>
      <c r="BJ313" s="33">
        <f>_xlfn.XLOOKUP(Crops[[#This Row],[ProductIndex]],Products[ID],Products[Holding Period])</f>
        <v>7</v>
      </c>
      <c r="BK313" s="33"/>
      <c r="BL313" s="33">
        <f>Crops[[#This Row],[Units Per Harvest]]*Crops[[#This Row],[Harvests]]</f>
        <v>187.5</v>
      </c>
      <c r="BM313" s="35">
        <v>2</v>
      </c>
      <c r="BN313" s="35">
        <v>1.5</v>
      </c>
      <c r="BO313" s="35"/>
      <c r="BP313" t="s">
        <v>383</v>
      </c>
      <c r="BQ313">
        <f>Crops[[#This Row],[Custom Yield Per Bed]]*Crops[[#This Row],[Direct Price]]</f>
        <v>375</v>
      </c>
      <c r="BS313" t="b">
        <f>Crops[[#This Row],[Harvests]]&gt;1</f>
        <v>1</v>
      </c>
      <c r="BT313" s="36">
        <f>IFERROR(Crops[[#This Row],[Direct Revenue Per Bed]]/Crops[[#This Row],[Days In Field]],-1)</f>
        <v>4.7468354430379751</v>
      </c>
      <c r="BU313" s="36">
        <f>IFERROR(Crops[[#This Row],[Direct Revenue Per Bed Day]]*GrowingDays*BedsPerAcre,"")</f>
        <v>136708.86075949369</v>
      </c>
      <c r="BV313" s="38">
        <f>LastFrostDate-5*Crops[[#This Row],[Sewing Rel Last Frost]]</f>
        <v>45748</v>
      </c>
      <c r="BW313" s="38">
        <f>Crops[[#This Row],[Target Sewing Date]]+Crops[[#This Row],[Days in Cells]]</f>
        <v>45776</v>
      </c>
      <c r="BX313" s="38">
        <f>Crops[[#This Row],[Target Sewing Date]]+Crops[[#This Row],[STH]]</f>
        <v>45808</v>
      </c>
      <c r="BY313" s="38">
        <f>Crops[[#This Row],[Target Harvest Data]]+Crops[[#This Row],[Harvest window]]</f>
        <v>45855</v>
      </c>
      <c r="BZ313">
        <v>0</v>
      </c>
      <c r="CA313" t="s">
        <v>376</v>
      </c>
      <c r="CB313">
        <f>1</f>
        <v>1</v>
      </c>
      <c r="CC313">
        <f>IF(Crops[[#This Row],[Transplanting]]&gt;0, 2, 3)*BedLength/StandardBedLength</f>
        <v>1</v>
      </c>
      <c r="CD313" s="173">
        <f>IF(Crops[[#This Row],[Days in Cells]]&lt;=0,0,Crops[[#This Row],[Plantings Per Bed]]/StartsPerHourSeeding+Crops[[#This Row],[Tray 1 Count]]*5/60)</f>
        <v>0.15182291666666667</v>
      </c>
      <c r="CE313" s="173">
        <f>IF(ISBLANK(Crops[[#This Row],[Tray 2 Days]]),0,Crops[[#This Row],[Plantings Per Bed]]/UpPottingPerHour)+IF(Crops[[#This Row],[Tray 3 Days]]="",0,Crops[[#This Row],[Plantings Per Bed]]/UpPottingPerHour)</f>
        <v>0</v>
      </c>
      <c r="CF313" s="173">
        <f>IFERROR(Crops[[#This Row],[Tray 1 Count]]/HomeStartFlatIrrigationPerHour,0)*Crops[[#This Row],[Days in Cells]]/DaysBetweenStartIrrigation</f>
        <v>7.5833333333333336E-2</v>
      </c>
      <c r="CG313" s="173">
        <f>0.5/16*MAX(Crops[[#This Row],[Tray 1 Count]],Crops[[#This Row],[Tray 2 Count]],Crops[[#This Row],[Tray 3 Count]])</f>
        <v>2.0312500000000001E-2</v>
      </c>
      <c r="CH313" s="173">
        <f>IF(Crops[[#This Row],[Days in Cells]]&gt;0,IF(IF(Crops[[#This Row],[Tray 3 Size]]&gt;0,Crops[[#This Row],[Tray 3 Size]],IF(Crops[[#This Row],[Tray 2 Size]]&gt;0,Crops[[#This Row],[Tray 2 Size]],Crops[[#This Row],[Tray 1 Size]]))&lt;=18,LargeTransplantTime,SmallTransplantTime)*Crops[[#This Row],[Plantings Per Bed]],0)</f>
        <v>0.125</v>
      </c>
      <c r="CI313" s="173"/>
      <c r="CJ313" s="173">
        <f>_xlfn.XLOOKUP(Crops[[#This Row],[Trellis Type]],TrellisMethods[Trellis Type],TrellisMethods[Hours],0,0)</f>
        <v>0</v>
      </c>
      <c r="CK313">
        <f>IF(Crops[[#This Row],[Days in Cells]]&lt;=0,Crops[[#This Row],[Rows]]*1/10,0)*BedLength/50</f>
        <v>0</v>
      </c>
      <c r="CL313" cm="1">
        <f t="array" ref="CL313">_xlfn.SWITCH(Crops[[#This Row],[Irrigation]],"DR", 0.5, "OH", 0.25,0)*BedLength/50</f>
        <v>0</v>
      </c>
      <c r="CM313">
        <f>IF(OR(ISBLANK(Crops[[#This Row],[Row Cover]]),Crops[[#This Row],[Row Cover]]="None"),0,1)*BedLength/50</f>
        <v>0</v>
      </c>
      <c r="CN313" s="173">
        <f>HoursPerWeedingPass*Crops[[#This Row],[Days In Field]]/14*Crops[[#This Row],[Rows]]+1*BedLength/50</f>
        <v>1.9404761904761905</v>
      </c>
      <c r="CO313" s="49">
        <v>2</v>
      </c>
      <c r="CQ313" s="37">
        <f>_xlfn.XLOOKUP(Crops[[#This Row],[Crop]]&amp;Crops[[#This Row],[Product]]&amp;Crops[[#This Row],[Unit]],Products[ID],Products[Marketing (hr)])*Crops[[#This Row],[Direct Revenue Per Bed]]/2000</f>
        <v>0.5625</v>
      </c>
      <c r="CR313" s="37">
        <f>_xlfn.XLOOKUP(Crops[[#This Row],[Crop]]&amp;Crops[[#This Row],[Product]]&amp;Crops[[#This Row],[Unit]],Products[ID],Products[Harvest (s)])*Crops[[#This Row],[Custom Yield Per Bed]]/3600</f>
        <v>0.52083333333333337</v>
      </c>
      <c r="CS313" s="37">
        <f>_xlfn.XLOOKUP(Crops[[#This Row],[Crop]]&amp;Crops[[#This Row],[Product]]&amp;Crops[[#This Row],[Unit]],Products[ID],Products[Bunch (s)])*Crops[[#This Row],[Custom Yield Per Bed]]/3600</f>
        <v>0</v>
      </c>
      <c r="CT313" s="37">
        <f>_xlfn.XLOOKUP(Crops[[#This Row],[Crop]]&amp;Crops[[#This Row],[Product]]&amp;Crops[[#This Row],[Unit]],Products[ID],Products[Haul (s)])*Crops[[#This Row],[Custom Yield Per Bed]]/3600</f>
        <v>0.1171875</v>
      </c>
      <c r="CU313" s="37">
        <f>_xlfn.XLOOKUP(Crops[[#This Row],[Crop]]&amp;Crops[[#This Row],[Product]]&amp;Crops[[#This Row],[Unit]],Products[ID],Products[Wash (s)])*Crops[[#This Row],[Custom Yield Per Bed]]/3600</f>
        <v>0</v>
      </c>
      <c r="CV313" s="37">
        <f>_xlfn.XLOOKUP(Crops[[#This Row],[Crop]]&amp;Crops[[#This Row],[Product]]&amp;Crops[[#This Row],[Unit]],Products[ID],Products[Condition (s)])*Crops[[#This Row],[Custom Yield Per Bed]]/3600</f>
        <v>0</v>
      </c>
      <c r="CW313" s="37">
        <f>_xlfn.XLOOKUP(Crops[[#This Row],[Crop]]&amp;Crops[[#This Row],[Product]]&amp;Crops[[#This Row],[Unit]],Products[ID],Products[Trim (s)])*Crops[[#This Row],[Custom Yield Per Bed]]/3600</f>
        <v>0</v>
      </c>
      <c r="CX313" s="37">
        <f>_xlfn.XLOOKUP(Crops[[#This Row],[Crop]]&amp;Crops[[#This Row],[Product]]&amp;Crops[[#This Row],[Unit]],Products[ID],Products[Pack (s)])*Crops[[#This Row],[Custom Yield Per Bed]]/3600</f>
        <v>0.15625</v>
      </c>
      <c r="CY313" s="37">
        <f>_xlfn.XLOOKUP(Crops[[#This Row],[Crop]]&amp;Crops[[#This Row],[Product]]&amp;Crops[[#This Row],[Unit]],Products[ID],Products[Clean (s)])*Crops[[#This Row],[Custom Yield Per Bed]]/3600</f>
        <v>0</v>
      </c>
      <c r="CZ313" s="37">
        <f>_xlfn.XLOOKUP(Crops[[#This Row],[Crop]]&amp;Crops[[#This Row],[Product]]&amp;Crops[[#This Row],[Unit]],Products[ID],Products[Rehandle (s)])*Crops[[#This Row],[Custom Yield Per Bed]]/3600</f>
        <v>0</v>
      </c>
      <c r="DA313" s="37">
        <f>_xlfn.XLOOKUP(Crops[[#This Row],[Crop]]&amp;Crops[[#This Row],[Product]]&amp;Crops[[#This Row],[Unit]],Products[ID],Products[Market Transport (s)])*Crops[[#This Row],[Custom Yield Per Bed]]/3600</f>
        <v>0.29296875</v>
      </c>
      <c r="DC313" s="37">
        <f>Crops[[#This Row],[Direct Revenue Per Bed2]]</f>
        <v>375</v>
      </c>
      <c r="DD313" s="173">
        <f>_xlfn.AGGREGATE(9,6,Crops[[#This Row],[Bed Prep]:[Remove Crop Residue]])</f>
        <v>6.9631845238095238</v>
      </c>
      <c r="DE313" s="173">
        <f>_xlfn.AGGREGATE(9,6,Crops[[#This Row],[Bed Prep]:[Remove Crop Residue]])-0.75*Crops[[#This Row],[Market &amp; Sell]]</f>
        <v>6.5413095238095238</v>
      </c>
      <c r="DF313" s="36">
        <f>Crops[[#This Row],[Direct Revenue Per Bed2]]/Crops[[#This Row],[Direct Time]]</f>
        <v>53.854669328056147</v>
      </c>
      <c r="DG313" s="36">
        <f>_xlfn.XLOOKUP(Crops[[#This Row],[ProductIndex]],Products[ID],Products[Packaging Cost])*(Crops[[#This Row],[Custom Yield Per Bed]]/_xlfn.XLOOKUP(Crops[[#This Row],[ProductIndex]],Products[ID],Products[Units Per Pack]))</f>
        <v>28.5</v>
      </c>
      <c r="DH313" s="36"/>
      <c r="DI313" s="36"/>
      <c r="DJ313" s="36"/>
      <c r="DK313" s="36"/>
      <c r="DL313" s="36"/>
      <c r="DM313" s="33">
        <f>IFERROR(Crops[[#This Row],[Custom Yield Per Bed]]*Crops[[#This Row],[Direct Price]],"")</f>
        <v>375</v>
      </c>
      <c r="DN313" s="36">
        <f>Crops[[#This Row],[Direct Time]]*LaborRate</f>
        <v>174.0796130952381</v>
      </c>
      <c r="DO313" s="36">
        <f>SUM(Crops[[#This Row],[Irrigation Cost]])</f>
        <v>0</v>
      </c>
      <c r="DP313" s="36">
        <f>Crops[[#This Row],[Direct Labor Cost]]+Crops[[#This Row],[Direct Non-Labor Cost]]</f>
        <v>174.0796130952381</v>
      </c>
      <c r="DQ313" s="36">
        <f>Crops[[#This Row],[Direct Revenue Per Bed2]]-Crops[[#This Row],[Direct Total Cost]]</f>
        <v>200.9203869047619</v>
      </c>
      <c r="DR313" s="36">
        <f>Crops[[#This Row],[Direct Profit]]*BedsPerAcre</f>
        <v>32147.261904761905</v>
      </c>
      <c r="DS313" s="36">
        <f>Crops[[#This Row],[Direct Profit]]*BedsPerAcre*GrowingDays/Crops[[#This Row],[Days In Field]]</f>
        <v>73246.925858951174</v>
      </c>
      <c r="DT313" s="36">
        <f>Crops[[#This Row],[Direct Profit]]/MIN(Crops[[#This Row],[Days In Field]],GrowingDays)</f>
        <v>2.5432960367691377</v>
      </c>
      <c r="DU313" s="33">
        <f>Crops[[#This Row],[Direct Time]] * BedsPerAcre</f>
        <v>1114.1095238095238</v>
      </c>
      <c r="DV313" s="36">
        <f>(Crops[[#This Row],[Direct Revenue Per Bed2]]-Crops[[#This Row],[Direct Non-Labor Cost]])/Crops[[#This Row],[Direct Time]]</f>
        <v>53.854669328056147</v>
      </c>
      <c r="DW313" s="33">
        <f>IFERROR(Crops[[#This Row],[Custom Yield Per Bed]]*Crops[[#This Row],[Rough Wholesale Price]],"")</f>
        <v>281.25</v>
      </c>
      <c r="DX313" s="36">
        <f>Crops[[#This Row],[Wholesale Time]]*LaborRate</f>
        <v>163.5327380952381</v>
      </c>
      <c r="DY313" s="36">
        <f>SUM(Crops[[#This Row],[Packaging Costs]:[Irrigation Cost]])</f>
        <v>28.5</v>
      </c>
      <c r="DZ313" s="36">
        <f>Crops[[#This Row],[Wholesale Labor Cost]]+Crops[[#This Row],[Wholesale Non-Labor Cost]]</f>
        <v>192.0327380952381</v>
      </c>
      <c r="EA313" s="36">
        <f>Crops[[#This Row],[Wholesale Revenue Per Bed]]-Crops[[#This Row],[Wholesale Total Cost]]</f>
        <v>89.217261904761898</v>
      </c>
      <c r="EB313" s="36">
        <f>Crops[[#This Row],[Wholesale Profit]]*BedsPerAcre</f>
        <v>14274.761904761905</v>
      </c>
      <c r="EC313" s="36">
        <f>Crops[[#This Row],[Wholesale Profit]]*BedsPerAcre*GrowingDays/Crops[[#This Row],[Days In Field]]</f>
        <v>32524.773960216997</v>
      </c>
      <c r="ED313" s="33">
        <f>Crops[[#This Row],[Wholesale Time]] * BedsPerAcre</f>
        <v>1046.6095238095238</v>
      </c>
      <c r="EE313" s="221">
        <f>Crops[[#This Row],[Wholesale Profit]]/MIN(Crops[[#This Row],[Days In Field]],GrowingDays)</f>
        <v>1.1293324291742013</v>
      </c>
      <c r="EF313" s="36">
        <f>(Crops[[#This Row],[Wholesale Revenue Per Bed]]-Crops[[#This Row],[Wholesale Non-Labor Cost]])/Crops[[#This Row],[Direct Time]]</f>
        <v>36.298047127109839</v>
      </c>
      <c r="EG313" s="174">
        <f>Crops[[#This Row],[Packaging Costs]]/Crops[[#This Row],[Wholesale Revenue Per Bed]]</f>
        <v>0.10133333333333333</v>
      </c>
      <c r="EH313" s="36" t="str">
        <f>Crops[[#This Row],[Crop]]&amp;Crops[[#This Row],[Product]]&amp;Crops[[#This Row],[Unit]]</f>
        <v>Summer SquashRipe FruitLb</v>
      </c>
      <c r="EI313" s="36" t="b">
        <f>_xlfn.XLOOKUP(Crops[[#This Row],[ProductIndex]],Products[ID],Products[Target])</f>
        <v>1</v>
      </c>
      <c r="EJ313" s="33">
        <f>Crops[[#This Row],[Custom Yield Per Bed]]</f>
        <v>187.5</v>
      </c>
      <c r="EK313" s="210">
        <f>Crops[[#This Row],[Units Per Harvest]]/Crops[[#This Row],[Days Between Harvest]]*7</f>
        <v>31.25</v>
      </c>
      <c r="EL313" s="210">
        <f>Crops[[#This Row],[Custom Yield Per Bed]]/_xlfn.XLOOKUP(Crops[[#This Row],[ProductIndex]],Products[ID],Products[CSA Portion])</f>
        <v>187.5</v>
      </c>
      <c r="EM313" s="210">
        <f>Crops[[#This Row],[Units Per Harvest]]/Crops[[#This Row],[Days Between Harvest]]*7/_xlfn.XLOOKUP(Crops[[#This Row],[ProductIndex]],Products[ID],Products[CSA Portion])</f>
        <v>31.25</v>
      </c>
      <c r="EN313" s="210">
        <f>Crops[[#This Row],[CSA Portions Per Week]]/CSAMembers</f>
        <v>0.625</v>
      </c>
      <c r="EO313" s="216">
        <v>1</v>
      </c>
      <c r="EP313" s="216">
        <v>1</v>
      </c>
      <c r="EQ313" s="210"/>
      <c r="ER313" s="210">
        <f>Crops[[#This Row],[Harvests]]*Crops[[#This Row],[Days Between Harvest]]/7</f>
        <v>6</v>
      </c>
      <c r="ES313" s="217">
        <f>_xlfn.XLOOKUP(Crops[[#This Row],[ProductIndex]],Products[ID],Products[CSA Need])</f>
        <v>4</v>
      </c>
      <c r="ET313" s="217">
        <f>_xlfn.XLOOKUP(Crops[[#This Row],[ProductIndex]],Products[ID],Products[CSA Times])</f>
        <v>4</v>
      </c>
      <c r="EU313" s="208">
        <f>Crops[[#This Row],[Custom Yield Per Bed]]/(Crops[[#This Row],[CSA Need]]*(_xlfn.XLOOKUP(Crops[[#This Row],[ProductIndex]],Products[ID],Products[CSA Portion])*CSAMembers))</f>
        <v>0.9375</v>
      </c>
      <c r="EV313" s="208">
        <f>_xlfn.XLOOKUP(Crops[[#This Row],[ProductIndex]],Products[ID],Products[CSA Portion])*CSAMembers*Crops[[#This Row],[CSA Need]]/Crops[[#This Row],[Custom Yield Per Bed]]</f>
        <v>1.0666666666666667</v>
      </c>
      <c r="EW313" s="208">
        <f>IFERROR(Crops[[#This Row],[Days In Field]]*Crops[[#This Row],[CSA Beds]],"")</f>
        <v>84.266666666666666</v>
      </c>
      <c r="EX313" s="208" t="e">
        <f>Crops[[#This Row],[CSA Bed Days]]*#REF!</f>
        <v>#REF!</v>
      </c>
      <c r="EY313" t="s">
        <v>1719</v>
      </c>
    </row>
    <row r="314" spans="1:155">
      <c r="A314"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Sunchoke - Mature Root 1X | Field DS SuFa</v>
      </c>
      <c r="C314" s="1"/>
      <c r="D314" s="1"/>
      <c r="E314" s="1" t="b">
        <v>0</v>
      </c>
      <c r="F314" s="1" t="b">
        <f>IFERROR(IF(ISNUMBER(MATCH(Crops[[#This Row],[Identifier]],BedPlan[Crop], 0)), TRUE, FALSE), FALSE)</f>
        <v>0</v>
      </c>
      <c r="G314" s="1" t="b">
        <f>IFERROR(IF(ISNUMBER(MATCH(Crops[[#This Row],[Identifier]],BedPlan[Crop], 0)), TRUE, FALSE), FALSE)</f>
        <v>0</v>
      </c>
      <c r="H314" s="1"/>
      <c r="I314" t="s">
        <v>1317</v>
      </c>
      <c r="J314" t="s">
        <v>145</v>
      </c>
      <c r="K314" t="s">
        <v>185</v>
      </c>
      <c r="M314" t="s">
        <v>1317</v>
      </c>
      <c r="N314" t="str">
        <f>Crops[[#This Row],[Crop]]</f>
        <v>Sunchoke</v>
      </c>
      <c r="O314" t="s">
        <v>210</v>
      </c>
      <c r="P314" t="str">
        <f>IF(OR(Crops[[#This Row],[Days in Cells]]="",Crops[[#This Row],[Days in Cells]]=0), "DS","TP")</f>
        <v>DS</v>
      </c>
      <c r="R314" t="b">
        <v>1</v>
      </c>
      <c r="S314" t="b">
        <v>1</v>
      </c>
      <c r="V314" t="str">
        <f xml:space="preserve"> IF(Crops[[#This Row],[Sp]], "Sp", "") &amp; IF(Crops[[#This Row],[Su]], "Su", "") &amp; IF(Crops[[#This Row],[Fa]], "Fa", "") &amp; IF(Crops[[#This Row],[Wi]], "Wi", "") &amp; IF(Crops[[#This Row],[OW]], "Ow","")</f>
        <v>SuFa</v>
      </c>
      <c r="W314" t="b">
        <v>1</v>
      </c>
      <c r="X314">
        <v>4</v>
      </c>
      <c r="Y314">
        <v>12</v>
      </c>
      <c r="AA314" t="s">
        <v>474</v>
      </c>
      <c r="AB314" t="b">
        <v>0</v>
      </c>
      <c r="AC314">
        <v>8</v>
      </c>
      <c r="AD314" s="32">
        <f>IFERROR(12/Crops[[#This Row],[Spacing]]*Crops[[#This Row],[Rows]]*BedLength,"")</f>
        <v>200</v>
      </c>
      <c r="AE314">
        <v>1</v>
      </c>
      <c r="AG314">
        <f>IF(Crops[[#This Row],[Custom Safety Factor]]="",PlantingSafetyFactor,Crops[[#This Row],[Custom Safety Factor]])</f>
        <v>1.3</v>
      </c>
      <c r="AH314">
        <f>1</f>
        <v>1</v>
      </c>
      <c r="AI314" s="37">
        <f>IFERROR(Crops[[#This Row],[Plantings Per Bed]]*Crops[[#This Row],[Seeds Per Planting]]*Crops[[#This Row],[Safety Factor]]*Crops[[#This Row],[Seeding Factor]],"")</f>
        <v>260</v>
      </c>
      <c r="AL314">
        <f>_xlfn.FLOOR.MATH(IFERROR(AVERAGE(Crops[[#This Row],[DTG Lower]:[DTG Upper]]),0))</f>
        <v>0</v>
      </c>
      <c r="AM314">
        <f>SUM(Crops[[#This Row],[Tray 1 Days]],Crops[[#This Row],[Tray 2 Days]],Crops[[#This Row],[Tray 3 Days]])</f>
        <v>0</v>
      </c>
      <c r="AN314">
        <v>0</v>
      </c>
      <c r="AP314">
        <v>365</v>
      </c>
      <c r="AQ314">
        <f>IFERROR(_xlfn.FLOOR.MATH(AVERAGE(Crops[[#This Row],[DTM Lower]:[DTM Upper]])),"")</f>
        <v>365</v>
      </c>
      <c r="AR314" cm="1">
        <f t="array" ref="AR314">_xlfn.SWITCH(Crops[[#This Row],[Normal Method]],"DS",Crops[[#This Row],[Days to Germination]]+Crops[[#This Row],[DTM]] + IF(Crops[[#This Row],[Days in Cells]]&gt;0,15,0), "TP",Crops[[#This Row],[DTM]]+Crops[[#This Row],[Days in Cells]] + IF(Crops[[#This Row],[Days in Cells]]&lt;=0,20,0), "X", Crops[[#This Row],[DTM]])</f>
        <v>365</v>
      </c>
      <c r="AS314" t="s">
        <v>347</v>
      </c>
      <c r="AT314">
        <f>(Crops[[#This Row],[Harvests]]-1)*Crops[[#This Row],[Days Between Harvest]]+7</f>
        <v>14</v>
      </c>
      <c r="AU314">
        <f>Crops[[#This Row],[STH]]-Crops[[#This Row],[Days in Cells]]+Crops[[#This Row],[Harvest window]]</f>
        <v>379</v>
      </c>
      <c r="AZ314" t="str">
        <f>IFERROR(IF(Crops[[#This Row],[Tray 1 Days]]=0,"",Crops[[#This Row],[Plantings Per Bed]]/Crops[[#This Row],[Tray 1 Size]]*Crops[[#This Row],[Safety Factor]]),"")</f>
        <v/>
      </c>
      <c r="BC314" t="str">
        <f>IFERROR(IF(Crops[[#This Row],[Tray 2 Days]]=0,"",Crops[[#This Row],[Plantings Per Bed]]/Crops[[#This Row],[Tray 2 Size]]*Crops[[#This Row],[Safety Factor]]),"")</f>
        <v/>
      </c>
      <c r="BE314" s="32" t="str">
        <f>IF(NOT(ISBLANK(Crops[[#This Row],[Tray 3 Size]])), Crops[[#This Row],[Days in Cells Old]]-SUM(Crops[[#This Row],[Tray 1 Days]],Crops[[#This Row],[Tray 2 Days]]), "")</f>
        <v/>
      </c>
      <c r="BF314" t="str">
        <f>IFERROR(IF(Crops[[#This Row],[Tray 3 Days]]=0,"",Crops[[#This Row],[Plantings Per Bed]]/Crops[[#This Row],[Tray 3 Size]]*Crops[[#This Row],[Safety Factor]]),"")</f>
        <v/>
      </c>
      <c r="BG314" s="32">
        <f>400*BedLength/StandardBedLength/27*2.2*10/Crops[[#This Row],[Harvests]]</f>
        <v>81.481481481481495</v>
      </c>
      <c r="BH314">
        <v>2</v>
      </c>
      <c r="BI314">
        <v>7</v>
      </c>
      <c r="BJ314" s="37">
        <f>_xlfn.XLOOKUP(Crops[[#This Row],[ProductIndex]],Products[ID],Products[Holding Period])</f>
        <v>0</v>
      </c>
      <c r="BK314" s="33"/>
      <c r="BL314" s="32">
        <f>Crops[[#This Row],[Units Per Harvest]]*Crops[[#This Row],[Harvests]]</f>
        <v>162.96296296296299</v>
      </c>
      <c r="BM314" s="35">
        <v>7</v>
      </c>
      <c r="BN314" s="35">
        <f>Crops[[#This Row],[Direct Price]]*0.6</f>
        <v>4.2</v>
      </c>
      <c r="BO314" s="35"/>
      <c r="BP314" t="s">
        <v>383</v>
      </c>
      <c r="BQ314">
        <f>Crops[[#This Row],[Custom Yield Per Bed]]*Crops[[#This Row],[Direct Price]]</f>
        <v>1140.7407407407409</v>
      </c>
      <c r="BS314" t="b">
        <f>Crops[[#This Row],[Harvests]]&gt;1</f>
        <v>1</v>
      </c>
      <c r="BT314" s="36">
        <f>IFERROR(Crops[[#This Row],[Direct Revenue Per Bed]]/Crops[[#This Row],[Days In Field]],-1)</f>
        <v>3.0098700283396855</v>
      </c>
      <c r="BU314" s="36">
        <f>IFERROR(Crops[[#This Row],[Direct Revenue Per Bed Day]]*GrowingDays*BedsPerAcre,"")</f>
        <v>86684.256816182955</v>
      </c>
      <c r="BV314" s="38">
        <f>LastFrostDate-5*Crops[[#This Row],[Sewing Rel Last Frost]]</f>
        <v>45748</v>
      </c>
      <c r="BW314" s="38">
        <f>Crops[[#This Row],[Target Sewing Date]]+Crops[[#This Row],[Days in Cells]]</f>
        <v>45748</v>
      </c>
      <c r="BX314" s="38">
        <f>Crops[[#This Row],[Target Sewing Date]]+Crops[[#This Row],[STH]]</f>
        <v>46113</v>
      </c>
      <c r="BY314" s="38">
        <f>Crops[[#This Row],[Target Harvest Data]]+Crops[[#This Row],[Harvest window]]</f>
        <v>46127</v>
      </c>
      <c r="CB314">
        <f>1</f>
        <v>1</v>
      </c>
      <c r="CC314">
        <f>IF(Crops[[#This Row],[Transplanting]]&gt;0, 2, 3)*BedLength/StandardBedLength</f>
        <v>1.5</v>
      </c>
      <c r="CD314" s="173">
        <f>IF(Crops[[#This Row],[Days in Cells]]&lt;=0,0,Crops[[#This Row],[Plantings Per Bed]]/StartsPerHourSeeding+Crops[[#This Row],[Tray 1 Count]]*5/60)</f>
        <v>0</v>
      </c>
      <c r="CE314" s="173">
        <f>IF(ISBLANK(Crops[[#This Row],[Tray 2 Days]]),0,Crops[[#This Row],[Plantings Per Bed]]/UpPottingPerHour)+IF(Crops[[#This Row],[Tray 3 Days]]="",0,Crops[[#This Row],[Plantings Per Bed]]/UpPottingPerHour)</f>
        <v>0</v>
      </c>
      <c r="CF314" s="173">
        <f>IFERROR(Crops[[#This Row],[Tray 1 Count]]/HomeStartFlatIrrigationPerHour,0)*Crops[[#This Row],[Days in Cells]]/DaysBetweenStartIrrigation</f>
        <v>0</v>
      </c>
      <c r="CG314" s="173">
        <f>0.5/16*MAX(Crops[[#This Row],[Tray 1 Count]],Crops[[#This Row],[Tray 2 Count]],Crops[[#This Row],[Tray 3 Count]])</f>
        <v>0</v>
      </c>
      <c r="CH314" s="173">
        <f>IF(Crops[[#This Row],[Days in Cells]]&gt;0,IF(IF(Crops[[#This Row],[Tray 3 Size]]&gt;0,Crops[[#This Row],[Tray 3 Size]],IF(Crops[[#This Row],[Tray 2 Size]]&gt;0,Crops[[#This Row],[Tray 2 Size]],Crops[[#This Row],[Tray 1 Size]]))&lt;=18,LargeTransplantTime,SmallTransplantTime)*Crops[[#This Row],[Plantings Per Bed]],0)</f>
        <v>0</v>
      </c>
      <c r="CI314" s="173"/>
      <c r="CJ314" s="173">
        <f>_xlfn.XLOOKUP(Crops[[#This Row],[Trellis Type]],TrellisMethods[Trellis Type],TrellisMethods[Hours],0,0)</f>
        <v>0</v>
      </c>
      <c r="CK314">
        <f>IF(Crops[[#This Row],[Days in Cells]]&lt;=0,Crops[[#This Row],[Rows]]*1/10,0)*BedLength/50</f>
        <v>0.4</v>
      </c>
      <c r="CL314" cm="1">
        <f t="array" ref="CL314">_xlfn.SWITCH(Crops[[#This Row],[Irrigation]],"DR", 0.5, "OH", 0.25,0)*BedLength/50</f>
        <v>0</v>
      </c>
      <c r="CM314">
        <f>IF(OR(ISBLANK(Crops[[#This Row],[Row Cover]]),Crops[[#This Row],[Row Cover]]="None"),0,1)*BedLength/50</f>
        <v>0</v>
      </c>
      <c r="CN314" s="173">
        <f>HoursPerWeedingPass*Crops[[#This Row],[Days In Field]]/14*Crops[[#This Row],[Rows]]+1*BedLength/50</f>
        <v>19.047619047619047</v>
      </c>
      <c r="CQ314" s="37">
        <f>_xlfn.XLOOKUP(Crops[[#This Row],[Crop]]&amp;Crops[[#This Row],[Product]]&amp;Crops[[#This Row],[Unit]],Products[ID],Products[Marketing (hr)])*Crops[[#This Row],[Direct Revenue Per Bed]]/2000</f>
        <v>2.2814814814814817</v>
      </c>
      <c r="CR314" s="37">
        <f>_xlfn.XLOOKUP(Crops[[#This Row],[Crop]]&amp;Crops[[#This Row],[Product]]&amp;Crops[[#This Row],[Unit]],Products[ID],Products[Harvest (s)])*Crops[[#This Row],[Custom Yield Per Bed]]/3600</f>
        <v>5.4320987654320998</v>
      </c>
      <c r="CS314" s="37">
        <f>_xlfn.XLOOKUP(Crops[[#This Row],[Crop]]&amp;Crops[[#This Row],[Product]]&amp;Crops[[#This Row],[Unit]],Products[ID],Products[Bunch (s)])*Crops[[#This Row],[Custom Yield Per Bed]]/3600</f>
        <v>0</v>
      </c>
      <c r="CT314" s="37">
        <f>_xlfn.XLOOKUP(Crops[[#This Row],[Crop]]&amp;Crops[[#This Row],[Product]]&amp;Crops[[#This Row],[Unit]],Products[ID],Products[Haul (s)])*Crops[[#This Row],[Custom Yield Per Bed]]/3600</f>
        <v>0.10185185185185187</v>
      </c>
      <c r="CU314" s="37">
        <f>_xlfn.XLOOKUP(Crops[[#This Row],[Crop]]&amp;Crops[[#This Row],[Product]]&amp;Crops[[#This Row],[Unit]],Products[ID],Products[Wash (s)])*Crops[[#This Row],[Custom Yield Per Bed]]/3600</f>
        <v>1.8106995884773667</v>
      </c>
      <c r="CV314" s="37">
        <f>_xlfn.XLOOKUP(Crops[[#This Row],[Crop]]&amp;Crops[[#This Row],[Product]]&amp;Crops[[#This Row],[Unit]],Products[ID],Products[Condition (s)])*Crops[[#This Row],[Custom Yield Per Bed]]/3600</f>
        <v>0</v>
      </c>
      <c r="CW314" s="37">
        <f>_xlfn.XLOOKUP(Crops[[#This Row],[Crop]]&amp;Crops[[#This Row],[Product]]&amp;Crops[[#This Row],[Unit]],Products[ID],Products[Trim (s)])*Crops[[#This Row],[Custom Yield Per Bed]]/3600</f>
        <v>0</v>
      </c>
      <c r="CX314" s="37">
        <f>_xlfn.XLOOKUP(Crops[[#This Row],[Crop]]&amp;Crops[[#This Row],[Product]]&amp;Crops[[#This Row],[Unit]],Products[ID],Products[Pack (s)])*Crops[[#This Row],[Custom Yield Per Bed]]/3600</f>
        <v>0.13580246913580249</v>
      </c>
      <c r="CY314" s="37">
        <f>_xlfn.XLOOKUP(Crops[[#This Row],[Crop]]&amp;Crops[[#This Row],[Product]]&amp;Crops[[#This Row],[Unit]],Products[ID],Products[Clean (s)])*Crops[[#This Row],[Custom Yield Per Bed]]/3600</f>
        <v>0</v>
      </c>
      <c r="CZ314" s="37">
        <f>_xlfn.XLOOKUP(Crops[[#This Row],[Crop]]&amp;Crops[[#This Row],[Product]]&amp;Crops[[#This Row],[Unit]],Products[ID],Products[Rehandle (s)])*Crops[[#This Row],[Custom Yield Per Bed]]/3600</f>
        <v>0</v>
      </c>
      <c r="DA314" s="37">
        <f>_xlfn.XLOOKUP(Crops[[#This Row],[Crop]]&amp;Crops[[#This Row],[Product]]&amp;Crops[[#This Row],[Unit]],Products[ID],Products[Market Transport (s)])*Crops[[#This Row],[Custom Yield Per Bed]]/3600</f>
        <v>0.25462962962962971</v>
      </c>
      <c r="DC314" s="37">
        <f>Crops[[#This Row],[Direct Revenue Per Bed2]]</f>
        <v>1140.7407407407409</v>
      </c>
      <c r="DD314" s="173">
        <f>_xlfn.AGGREGATE(9,6,Crops[[#This Row],[Bed Prep]:[Remove Crop Residue]])</f>
        <v>30.96418283362728</v>
      </c>
      <c r="DE314" s="173">
        <f>_xlfn.AGGREGATE(9,6,Crops[[#This Row],[Bed Prep]:[Remove Crop Residue]])-0.75*Crops[[#This Row],[Market &amp; Sell]]</f>
        <v>29.253071722516168</v>
      </c>
      <c r="DF314" s="36">
        <f>Crops[[#This Row],[Direct Revenue Per Bed2]]/Crops[[#This Row],[Direct Time]]</f>
        <v>36.840653824776211</v>
      </c>
      <c r="DG314" s="36">
        <f>_xlfn.XLOOKUP(Crops[[#This Row],[ProductIndex]],Products[ID],Products[Packaging Cost])*(Crops[[#This Row],[Custom Yield Per Bed]]/_xlfn.XLOOKUP(Crops[[#This Row],[ProductIndex]],Products[ID],Products[Units Per Pack]))</f>
        <v>24.770370370370376</v>
      </c>
      <c r="DH314" s="36"/>
      <c r="DI314" s="36"/>
      <c r="DJ314" s="36"/>
      <c r="DK314" s="36"/>
      <c r="DL314" s="36"/>
      <c r="DM314" s="37">
        <f>IFERROR(Crops[[#This Row],[Custom Yield Per Bed]]*Crops[[#This Row],[Direct Price]],"")</f>
        <v>1140.7407407407409</v>
      </c>
      <c r="DN314" s="36">
        <f>Crops[[#This Row],[Direct Time]]*LaborRate</f>
        <v>774.10457084068196</v>
      </c>
      <c r="DO314" s="36">
        <f>SUM(Crops[[#This Row],[Irrigation Cost]])</f>
        <v>0</v>
      </c>
      <c r="DP314" s="36">
        <f>Crops[[#This Row],[Direct Labor Cost]]+Crops[[#This Row],[Direct Non-Labor Cost]]</f>
        <v>774.10457084068196</v>
      </c>
      <c r="DQ314" s="36">
        <f>Crops[[#This Row],[Direct Revenue Per Bed2]]-Crops[[#This Row],[Direct Total Cost]]</f>
        <v>366.63616990005892</v>
      </c>
      <c r="DR314" s="36">
        <f>Crops[[#This Row],[Direct Profit]]*BedsPerAcre</f>
        <v>58661.78718400943</v>
      </c>
      <c r="DS314" s="36">
        <f>Crops[[#This Row],[Direct Profit]]*BedsPerAcre*GrowingDays/Crops[[#This Row],[Days In Field]]</f>
        <v>27860.479401376509</v>
      </c>
      <c r="DT314" s="36">
        <f>Crops[[#This Row],[Direct Profit]]/MIN(Crops[[#This Row],[Days In Field]],GrowingDays)</f>
        <v>2.0368676105558827</v>
      </c>
      <c r="DU314" s="36">
        <f>Crops[[#This Row],[Direct Time]] * BedsPerAcre</f>
        <v>4954.2692533803647</v>
      </c>
      <c r="DV314" s="36">
        <f>(Crops[[#This Row],[Direct Revenue Per Bed2]]-Crops[[#This Row],[Direct Non-Labor Cost]])/Crops[[#This Row],[Direct Time]]</f>
        <v>36.840653824776211</v>
      </c>
      <c r="DW314" s="37">
        <f>IFERROR(Crops[[#This Row],[Custom Yield Per Bed]]*Crops[[#This Row],[Rough Wholesale Price]],"")</f>
        <v>684.44444444444457</v>
      </c>
      <c r="DX314" s="36">
        <f>Crops[[#This Row],[Wholesale Time]]*LaborRate</f>
        <v>731.32679306290424</v>
      </c>
      <c r="DY314" s="36">
        <f>SUM(Crops[[#This Row],[Packaging Costs]:[Irrigation Cost]])</f>
        <v>24.770370370370376</v>
      </c>
      <c r="DZ314" s="36">
        <f>Crops[[#This Row],[Wholesale Labor Cost]]+Crops[[#This Row],[Wholesale Non-Labor Cost]]</f>
        <v>756.09716343327466</v>
      </c>
      <c r="EA314" s="36">
        <f>Crops[[#This Row],[Wholesale Revenue Per Bed]]-Crops[[#This Row],[Wholesale Total Cost]]</f>
        <v>-71.652718988830088</v>
      </c>
      <c r="EB314" s="36">
        <f>Crops[[#This Row],[Wholesale Profit]]*BedsPerAcre</f>
        <v>-11464.435038212814</v>
      </c>
      <c r="EC314" s="36">
        <f>Crops[[#This Row],[Wholesale Profit]]*BedsPerAcre*GrowingDays/Crops[[#This Row],[Days In Field]]</f>
        <v>-5444.8504139269298</v>
      </c>
      <c r="ED314" s="36">
        <f>Crops[[#This Row],[Wholesale Time]] * BedsPerAcre</f>
        <v>4680.4914756025864</v>
      </c>
      <c r="EE314" s="36">
        <f>Crops[[#This Row],[Wholesale Profit]]/MIN(Crops[[#This Row],[Days In Field]],GrowingDays)</f>
        <v>-0.39807066104905603</v>
      </c>
      <c r="EF314" s="36">
        <f>(Crops[[#This Row],[Wholesale Revenue Per Bed]]-Crops[[#This Row],[Wholesale Non-Labor Cost]])/Crops[[#This Row],[Direct Time]]</f>
        <v>21.304423811813447</v>
      </c>
      <c r="EG314" s="174">
        <f>Crops[[#This Row],[Packaging Costs]]/Crops[[#This Row],[Wholesale Revenue Per Bed]]</f>
        <v>3.619047619047619E-2</v>
      </c>
      <c r="EH314" s="36" t="str">
        <f>Crops[[#This Row],[Crop]]&amp;Crops[[#This Row],[Product]]&amp;Crops[[#This Row],[Unit]]</f>
        <v>SunchokeMature RootLb</v>
      </c>
      <c r="EI314" s="36" t="b">
        <f>_xlfn.XLOOKUP(Crops[[#This Row],[ProductIndex]],Products[ID],Products[Target])</f>
        <v>0</v>
      </c>
      <c r="EJ314" s="36">
        <f>Crops[[#This Row],[Custom Yield Per Bed]]</f>
        <v>162.96296296296299</v>
      </c>
      <c r="EK314" s="210">
        <f>Crops[[#This Row],[Units Per Harvest]]/Crops[[#This Row],[Days Between Harvest]]*7</f>
        <v>81.481481481481495</v>
      </c>
      <c r="EL314" s="210" t="e">
        <f>Crops[[#This Row],[Custom Yield Per Bed]]/_xlfn.XLOOKUP(Crops[[#This Row],[ProductIndex]],Products[ID],Products[CSA Portion])</f>
        <v>#DIV/0!</v>
      </c>
      <c r="EM314" s="210" t="e">
        <f>Crops[[#This Row],[Units Per Harvest]]/Crops[[#This Row],[Days Between Harvest]]*7/_xlfn.XLOOKUP(Crops[[#This Row],[ProductIndex]],Products[ID],Products[CSA Portion])</f>
        <v>#DIV/0!</v>
      </c>
      <c r="EN314" s="210" t="e">
        <f>Crops[[#This Row],[CSA Portions Per Week]]/CSAMembers</f>
        <v>#DIV/0!</v>
      </c>
      <c r="EO314" s="210"/>
      <c r="EP314" s="210"/>
      <c r="EQ314" s="36"/>
      <c r="ER314" s="36">
        <f>Crops[[#This Row],[Harvests]]*Crops[[#This Row],[Days Between Harvest]]/7</f>
        <v>2</v>
      </c>
      <c r="ES314" s="208">
        <f>_xlfn.XLOOKUP(Crops[[#This Row],[ProductIndex]],Products[ID],Products[CSA Need])</f>
        <v>0</v>
      </c>
      <c r="ET314" s="208">
        <f>_xlfn.XLOOKUP(Crops[[#This Row],[ProductIndex]],Products[ID],Products[CSA Times])</f>
        <v>0</v>
      </c>
      <c r="EU314" s="208" t="e">
        <f>Crops[[#This Row],[Custom Yield Per Bed]]/(Crops[[#This Row],[CSA Need]]*(_xlfn.XLOOKUP(Crops[[#This Row],[ProductIndex]],Products[ID],Products[CSA Portion])*CSAMembers))</f>
        <v>#DIV/0!</v>
      </c>
      <c r="EV314" s="208">
        <f>_xlfn.XLOOKUP(Crops[[#This Row],[ProductIndex]],Products[ID],Products[CSA Portion])*CSAMembers*Crops[[#This Row],[CSA Need]]/Crops[[#This Row],[Custom Yield Per Bed]]</f>
        <v>0</v>
      </c>
      <c r="EW314" s="208">
        <f>IFERROR(Crops[[#This Row],[Days In Field]]*Crops[[#This Row],[CSA Beds]],"")</f>
        <v>0</v>
      </c>
      <c r="EX314" s="208" t="e">
        <f>Crops[[#This Row],[CSA Bed Days]]*#REF!</f>
        <v>#REF!</v>
      </c>
    </row>
    <row r="315" spans="1:155">
      <c r="A3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Sunflower - Mature Stem 1X | Field DS SpSuFa</v>
      </c>
      <c r="B315" s="189"/>
      <c r="C315" s="1" t="b">
        <v>1</v>
      </c>
      <c r="D315" s="1"/>
      <c r="E315" s="1" t="b">
        <v>0</v>
      </c>
      <c r="F315" s="1" t="b">
        <f>IFERROR(IF(ISNUMBER(MATCH(Crops[[#This Row],[Identifier]],BedPlan[Crop], 0)), TRUE, FALSE), FALSE)</f>
        <v>0</v>
      </c>
      <c r="G315" s="1" t="b">
        <f>IFERROR(IF(ISNUMBER(MATCH(Crops[[#This Row],[Identifier]],BedPlan[Crop], 0)), TRUE, FALSE), FALSE)</f>
        <v>0</v>
      </c>
      <c r="H315" s="1" t="b">
        <v>1</v>
      </c>
      <c r="I315" t="s">
        <v>129</v>
      </c>
      <c r="J315" t="s">
        <v>145</v>
      </c>
      <c r="K315" t="s">
        <v>181</v>
      </c>
      <c r="N315" t="str">
        <f>Crops[[#This Row],[Crop]]</f>
        <v>Sunflower</v>
      </c>
      <c r="O315" t="s">
        <v>210</v>
      </c>
      <c r="P315" t="str">
        <f>IF(OR(Crops[[#This Row],[Days in Cells]]="",Crops[[#This Row],[Days in Cells]]=0), "DS","TP")</f>
        <v>DS</v>
      </c>
      <c r="Q315" t="s">
        <v>144</v>
      </c>
      <c r="R315" t="s">
        <v>144</v>
      </c>
      <c r="S315" t="s">
        <v>144</v>
      </c>
      <c r="V315" t="str">
        <f xml:space="preserve"> IF(Crops[[#This Row],[Sp]], "Sp", "") &amp; IF(Crops[[#This Row],[Su]], "Su", "") &amp; IF(Crops[[#This Row],[Fa]], "Fa", "") &amp; IF(Crops[[#This Row],[Wi]], "Wi", "") &amp; IF(Crops[[#This Row],[OW]], "Ow","")</f>
        <v>SpSuFa</v>
      </c>
      <c r="X315">
        <v>2</v>
      </c>
      <c r="Y315">
        <v>6</v>
      </c>
      <c r="AD315" s="32">
        <f>IFERROR(12/Crops[[#This Row],[Spacing]]*Crops[[#This Row],[Rows]]*BedLength,"")</f>
        <v>200</v>
      </c>
      <c r="AE315">
        <v>1</v>
      </c>
      <c r="AG315">
        <f>IF(Crops[[#This Row],[Custom Safety Factor]]="",PlantingSafetyFactor,Crops[[#This Row],[Custom Safety Factor]])</f>
        <v>1.3</v>
      </c>
      <c r="AH315">
        <f>1</f>
        <v>1</v>
      </c>
      <c r="AI315" s="33">
        <f>IFERROR(Crops[[#This Row],[Plantings Per Bed]]*Crops[[#This Row],[Seeds Per Planting]]*Crops[[#This Row],[Safety Factor]]*Crops[[#This Row],[Seeding Factor]],"")</f>
        <v>260</v>
      </c>
      <c r="AL315">
        <f>_xlfn.FLOOR.MATH(IFERROR(AVERAGE(Crops[[#This Row],[DTG Lower]:[DTG Upper]]),0))</f>
        <v>0</v>
      </c>
      <c r="AM315">
        <f>SUM(Crops[[#This Row],[Tray 1 Days]],Crops[[#This Row],[Tray 2 Days]],Crops[[#This Row],[Tray 3 Days]])</f>
        <v>0</v>
      </c>
      <c r="AP315">
        <v>100</v>
      </c>
      <c r="AQ315">
        <f>IFERROR(_xlfn.FLOOR.MATH(AVERAGE(Crops[[#This Row],[DTM Lower]:[DTM Upper]])),"")</f>
        <v>100</v>
      </c>
      <c r="AR315" cm="1">
        <f t="array" ref="AR315">_xlfn.SWITCH(Crops[[#This Row],[Normal Method]],"DS",Crops[[#This Row],[Days to Germination]]+Crops[[#This Row],[DTM]] + IF(Crops[[#This Row],[Days in Cells]]&gt;0,15,0), "TP",Crops[[#This Row],[DTM]]+Crops[[#This Row],[Days in Cells]] + IF(Crops[[#This Row],[Days in Cells]]&lt;=0,20,0), "X", Crops[[#This Row],[DTM]])</f>
        <v>100</v>
      </c>
      <c r="AS315" t="s">
        <v>338</v>
      </c>
      <c r="AT315">
        <f>(Crops[[#This Row],[Harvests]]-1)*Crops[[#This Row],[Days Between Harvest]]+7</f>
        <v>7</v>
      </c>
      <c r="AU315">
        <f>Crops[[#This Row],[STH]]-Crops[[#This Row],[Days in Cells]]+Crops[[#This Row],[Harvest window]]</f>
        <v>107</v>
      </c>
      <c r="AW315" t="s">
        <v>212</v>
      </c>
      <c r="AZ315" t="str">
        <f>IFERROR(IF(Crops[[#This Row],[Tray 1 Days]]=0,"",Crops[[#This Row],[Plantings Per Bed]]/Crops[[#This Row],[Tray 1 Size]]*Crops[[#This Row],[Safety Factor]]),"")</f>
        <v/>
      </c>
      <c r="BC315" t="str">
        <f>IFERROR(IF(Crops[[#This Row],[Tray 2 Days]]=0,"",Crops[[#This Row],[Plantings Per Bed]]/Crops[[#This Row],[Tray 2 Size]]*Crops[[#This Row],[Safety Factor]]),"")</f>
        <v/>
      </c>
      <c r="BE315" s="32" t="str">
        <f>IF(NOT(ISBLANK(Crops[[#This Row],[Tray 3 Size]])), Crops[[#This Row],[Days in Cells Old]]-SUM(Crops[[#This Row],[Tray 1 Days]],Crops[[#This Row],[Tray 2 Days]]), "")</f>
        <v/>
      </c>
      <c r="BF315" t="str">
        <f>IFERROR(IF(Crops[[#This Row],[Tray 3 Days]]=0,"",Crops[[#This Row],[Plantings Per Bed]]/Crops[[#This Row],[Tray 3 Size]]*Crops[[#This Row],[Safety Factor]]),"")</f>
        <v/>
      </c>
      <c r="BG315" s="33"/>
      <c r="BH315" s="33"/>
      <c r="BI315" s="33"/>
      <c r="BJ315" s="33">
        <f>_xlfn.XLOOKUP(Crops[[#This Row],[ProductIndex]],Products[ID],Products[Holding Period])</f>
        <v>0</v>
      </c>
      <c r="BK315" s="33"/>
      <c r="BL315" s="33">
        <f>Crops[[#This Row],[Units Per Harvest]]*Crops[[#This Row],[Harvests]]</f>
        <v>0</v>
      </c>
      <c r="BM315" s="35">
        <v>1.2</v>
      </c>
      <c r="BN315" s="35">
        <f>Crops[[#This Row],[Direct Price]]*0.6</f>
        <v>0.72</v>
      </c>
      <c r="BO315" s="35"/>
      <c r="BP315" t="s">
        <v>213</v>
      </c>
      <c r="BQ315">
        <f>Crops[[#This Row],[Custom Yield Per Bed]]*Crops[[#This Row],[Direct Price]]</f>
        <v>0</v>
      </c>
      <c r="BR315" t="b">
        <v>0</v>
      </c>
      <c r="BS315" t="b">
        <f>Crops[[#This Row],[Harvests]]&gt;1</f>
        <v>0</v>
      </c>
      <c r="BT315" s="36">
        <f>IFERROR(Crops[[#This Row],[Direct Revenue Per Bed]]/Crops[[#This Row],[Days In Field]],-1)</f>
        <v>0</v>
      </c>
      <c r="BU315" s="36">
        <f>IFERROR(Crops[[#This Row],[Direct Revenue Per Bed Day]]*GrowingDays*BedsPerAcre,"")</f>
        <v>0</v>
      </c>
      <c r="BV315" s="38">
        <f>LastFrostDate-5*Crops[[#This Row],[Sewing Rel Last Frost]]</f>
        <v>45748</v>
      </c>
      <c r="BW315" s="38">
        <f>Crops[[#This Row],[Target Sewing Date]]+Crops[[#This Row],[Days in Cells]]</f>
        <v>45748</v>
      </c>
      <c r="BX315" s="38">
        <f>Crops[[#This Row],[Target Sewing Date]]+Crops[[#This Row],[STH]]</f>
        <v>45848</v>
      </c>
      <c r="BY315" s="38">
        <f>Crops[[#This Row],[Target Harvest Data]]+Crops[[#This Row],[Harvest window]]</f>
        <v>45855</v>
      </c>
      <c r="CB315">
        <f>1</f>
        <v>1</v>
      </c>
      <c r="CC315">
        <f>IF(Crops[[#This Row],[Transplanting]]&gt;0, 2, 3)*BedLength/StandardBedLength</f>
        <v>1.5</v>
      </c>
      <c r="CD315" s="173">
        <f>IF(Crops[[#This Row],[Days in Cells]]&lt;=0,0,Crops[[#This Row],[Plantings Per Bed]]/StartsPerHourSeeding+Crops[[#This Row],[Tray 1 Count]]*5/60)</f>
        <v>0</v>
      </c>
      <c r="CE315" s="173">
        <f>IF(ISBLANK(Crops[[#This Row],[Tray 2 Days]]),0,Crops[[#This Row],[Plantings Per Bed]]/UpPottingPerHour)+IF(Crops[[#This Row],[Tray 3 Days]]="",0,Crops[[#This Row],[Plantings Per Bed]]/UpPottingPerHour)</f>
        <v>0</v>
      </c>
      <c r="CF315" s="173">
        <f>IFERROR(Crops[[#This Row],[Tray 1 Count]]/HomeStartFlatIrrigationPerHour,0)*Crops[[#This Row],[Days in Cells]]/DaysBetweenStartIrrigation</f>
        <v>0</v>
      </c>
      <c r="CG315" s="173">
        <f>0.5/16*MAX(Crops[[#This Row],[Tray 1 Count]],Crops[[#This Row],[Tray 2 Count]],Crops[[#This Row],[Tray 3 Count]])</f>
        <v>0</v>
      </c>
      <c r="CH315" s="173">
        <f>IF(Crops[[#This Row],[Days in Cells]]&gt;0,IF(IF(Crops[[#This Row],[Tray 3 Size]]&gt;0,Crops[[#This Row],[Tray 3 Size]],IF(Crops[[#This Row],[Tray 2 Size]]&gt;0,Crops[[#This Row],[Tray 2 Size]],Crops[[#This Row],[Tray 1 Size]]))&lt;=18,LargeTransplantTime,SmallTransplantTime)*Crops[[#This Row],[Plantings Per Bed]],0)</f>
        <v>0</v>
      </c>
      <c r="CI315" s="173"/>
      <c r="CJ315" s="173">
        <f>_xlfn.XLOOKUP(Crops[[#This Row],[Trellis Type]],TrellisMethods[Trellis Type],TrellisMethods[Hours],0,0)</f>
        <v>0</v>
      </c>
      <c r="CK315">
        <f>IF(Crops[[#This Row],[Days in Cells]]&lt;=0,Crops[[#This Row],[Rows]]*1/10,0)*BedLength/50</f>
        <v>0.2</v>
      </c>
      <c r="CL315" cm="1">
        <f t="array" ref="CL315">_xlfn.SWITCH(Crops[[#This Row],[Irrigation]],"DR", 0.5, "OH", 0.25,0)*BedLength/50</f>
        <v>0</v>
      </c>
      <c r="CM315">
        <f>IF(OR(ISBLANK(Crops[[#This Row],[Row Cover]]),Crops[[#This Row],[Row Cover]]="None"),0,1)*BedLength/50</f>
        <v>0</v>
      </c>
      <c r="CN315" s="173">
        <f>HoursPerWeedingPass*Crops[[#This Row],[Days In Field]]/14*Crops[[#This Row],[Rows]]+1*BedLength/50</f>
        <v>3.5476190476190474</v>
      </c>
      <c r="CQ315" s="37">
        <f>_xlfn.XLOOKUP(Crops[[#This Row],[Crop]]&amp;Crops[[#This Row],[Product]]&amp;Crops[[#This Row],[Unit]],Products[ID],Products[Marketing (hr)])*Crops[[#This Row],[Direct Revenue Per Bed]]/2000</f>
        <v>0</v>
      </c>
      <c r="CR315" s="37">
        <f>_xlfn.XLOOKUP(Crops[[#This Row],[Crop]]&amp;Crops[[#This Row],[Product]]&amp;Crops[[#This Row],[Unit]],Products[ID],Products[Harvest (s)])*Crops[[#This Row],[Custom Yield Per Bed]]/3600</f>
        <v>0</v>
      </c>
      <c r="CS315" s="37">
        <f>_xlfn.XLOOKUP(Crops[[#This Row],[Crop]]&amp;Crops[[#This Row],[Product]]&amp;Crops[[#This Row],[Unit]],Products[ID],Products[Bunch (s)])*Crops[[#This Row],[Custom Yield Per Bed]]/3600</f>
        <v>0</v>
      </c>
      <c r="CT315" s="37">
        <f>_xlfn.XLOOKUP(Crops[[#This Row],[Crop]]&amp;Crops[[#This Row],[Product]]&amp;Crops[[#This Row],[Unit]],Products[ID],Products[Haul (s)])*Crops[[#This Row],[Custom Yield Per Bed]]/3600</f>
        <v>0</v>
      </c>
      <c r="CU315" s="37">
        <f>_xlfn.XLOOKUP(Crops[[#This Row],[Crop]]&amp;Crops[[#This Row],[Product]]&amp;Crops[[#This Row],[Unit]],Products[ID],Products[Wash (s)])*Crops[[#This Row],[Custom Yield Per Bed]]/3600</f>
        <v>0</v>
      </c>
      <c r="CV315" s="37">
        <f>_xlfn.XLOOKUP(Crops[[#This Row],[Crop]]&amp;Crops[[#This Row],[Product]]&amp;Crops[[#This Row],[Unit]],Products[ID],Products[Condition (s)])*Crops[[#This Row],[Custom Yield Per Bed]]/3600</f>
        <v>0</v>
      </c>
      <c r="CW315" s="37">
        <f>_xlfn.XLOOKUP(Crops[[#This Row],[Crop]]&amp;Crops[[#This Row],[Product]]&amp;Crops[[#This Row],[Unit]],Products[ID],Products[Trim (s)])*Crops[[#This Row],[Custom Yield Per Bed]]/3600</f>
        <v>0</v>
      </c>
      <c r="CX315" s="37">
        <f>_xlfn.XLOOKUP(Crops[[#This Row],[Crop]]&amp;Crops[[#This Row],[Product]]&amp;Crops[[#This Row],[Unit]],Products[ID],Products[Pack (s)])*Crops[[#This Row],[Custom Yield Per Bed]]/3600</f>
        <v>0</v>
      </c>
      <c r="CY315" s="37">
        <f>_xlfn.XLOOKUP(Crops[[#This Row],[Crop]]&amp;Crops[[#This Row],[Product]]&amp;Crops[[#This Row],[Unit]],Products[ID],Products[Clean (s)])*Crops[[#This Row],[Custom Yield Per Bed]]/3600</f>
        <v>0</v>
      </c>
      <c r="CZ315" s="37">
        <f>_xlfn.XLOOKUP(Crops[[#This Row],[Crop]]&amp;Crops[[#This Row],[Product]]&amp;Crops[[#This Row],[Unit]],Products[ID],Products[Rehandle (s)])*Crops[[#This Row],[Custom Yield Per Bed]]/3600</f>
        <v>0</v>
      </c>
      <c r="DA315" s="37">
        <f>_xlfn.XLOOKUP(Crops[[#This Row],[Crop]]&amp;Crops[[#This Row],[Product]]&amp;Crops[[#This Row],[Unit]],Products[ID],Products[Market Transport (s)])*Crops[[#This Row],[Custom Yield Per Bed]]/3600</f>
        <v>0</v>
      </c>
      <c r="DC315" s="37">
        <f>Crops[[#This Row],[Direct Revenue Per Bed2]]</f>
        <v>0</v>
      </c>
      <c r="DD315" s="173">
        <f>_xlfn.AGGREGATE(9,6,Crops[[#This Row],[Bed Prep]:[Remove Crop Residue]])</f>
        <v>5.2476190476190476</v>
      </c>
      <c r="DE315" s="173">
        <f>_xlfn.AGGREGATE(9,6,Crops[[#This Row],[Bed Prep]:[Remove Crop Residue]])-0.75*Crops[[#This Row],[Market &amp; Sell]]</f>
        <v>5.2476190476190476</v>
      </c>
      <c r="DF315" s="36">
        <f>Crops[[#This Row],[Direct Revenue Per Bed2]]/Crops[[#This Row],[Direct Time]]</f>
        <v>0</v>
      </c>
      <c r="DG315" s="36">
        <f>_xlfn.XLOOKUP(Crops[[#This Row],[ProductIndex]],Products[ID],Products[Packaging Cost])*(Crops[[#This Row],[Custom Yield Per Bed]]/_xlfn.XLOOKUP(Crops[[#This Row],[ProductIndex]],Products[ID],Products[Units Per Pack]))</f>
        <v>0</v>
      </c>
      <c r="DH315" s="36"/>
      <c r="DI315" s="36"/>
      <c r="DJ315" s="36"/>
      <c r="DK315" s="36"/>
      <c r="DL315" s="36"/>
      <c r="DM315" s="33">
        <f>IFERROR(Crops[[#This Row],[Custom Yield Per Bed]]*Crops[[#This Row],[Direct Price]],"")</f>
        <v>0</v>
      </c>
      <c r="DN315" s="36">
        <f>Crops[[#This Row],[Direct Time]]*LaborRate</f>
        <v>131.1904761904762</v>
      </c>
      <c r="DO315" s="36">
        <f>SUM(Crops[[#This Row],[Irrigation Cost]])</f>
        <v>0</v>
      </c>
      <c r="DP315" s="36">
        <f>Crops[[#This Row],[Direct Labor Cost]]+Crops[[#This Row],[Direct Non-Labor Cost]]</f>
        <v>131.1904761904762</v>
      </c>
      <c r="DQ315" s="36">
        <f>Crops[[#This Row],[Direct Revenue Per Bed2]]-Crops[[#This Row],[Direct Total Cost]]</f>
        <v>-131.1904761904762</v>
      </c>
      <c r="DR315" s="36">
        <f>Crops[[#This Row],[Direct Profit]]*BedsPerAcre</f>
        <v>-20990.476190476191</v>
      </c>
      <c r="DS315" s="36">
        <f>Crops[[#This Row],[Direct Profit]]*BedsPerAcre*GrowingDays/Crops[[#This Row],[Days In Field]]</f>
        <v>-35311.081441922564</v>
      </c>
      <c r="DT315" s="36">
        <f>Crops[[#This Row],[Direct Profit]]/MIN(Crops[[#This Row],[Days In Field]],GrowingDays)</f>
        <v>-1.2260792167334225</v>
      </c>
      <c r="DU315" s="36">
        <f>Crops[[#This Row],[Direct Time]] * BedsPerAcre</f>
        <v>839.61904761904759</v>
      </c>
      <c r="DV315" s="36">
        <f>(Crops[[#This Row],[Direct Revenue Per Bed2]]-Crops[[#This Row],[Direct Non-Labor Cost]])/Crops[[#This Row],[Direct Time]]</f>
        <v>0</v>
      </c>
      <c r="DW315" s="33">
        <f>IFERROR(Crops[[#This Row],[Custom Yield Per Bed]]*Crops[[#This Row],[Rough Wholesale Price]],"")</f>
        <v>0</v>
      </c>
      <c r="DX315" s="36">
        <f>Crops[[#This Row],[Wholesale Time]]*LaborRate</f>
        <v>131.1904761904762</v>
      </c>
      <c r="DY315" s="36">
        <f>SUM(Crops[[#This Row],[Packaging Costs]:[Irrigation Cost]])</f>
        <v>0</v>
      </c>
      <c r="DZ315" s="36">
        <f>Crops[[#This Row],[Wholesale Labor Cost]]+Crops[[#This Row],[Wholesale Non-Labor Cost]]</f>
        <v>131.1904761904762</v>
      </c>
      <c r="EA315" s="36">
        <f>Crops[[#This Row],[Wholesale Revenue Per Bed]]-Crops[[#This Row],[Wholesale Total Cost]]</f>
        <v>-131.1904761904762</v>
      </c>
      <c r="EB315" s="36">
        <f>Crops[[#This Row],[Wholesale Profit]]*BedsPerAcre</f>
        <v>-20990.476190476191</v>
      </c>
      <c r="EC315" s="36">
        <f>Crops[[#This Row],[Wholesale Profit]]*BedsPerAcre*GrowingDays/Crops[[#This Row],[Days In Field]]</f>
        <v>-35311.081441922564</v>
      </c>
      <c r="ED315" s="36">
        <f>Crops[[#This Row],[Wholesale Time]] * BedsPerAcre</f>
        <v>839.61904761904759</v>
      </c>
      <c r="EE315" s="36">
        <f>Crops[[#This Row],[Wholesale Profit]]/MIN(Crops[[#This Row],[Days In Field]],GrowingDays)</f>
        <v>-1.2260792167334225</v>
      </c>
      <c r="EF315" s="36">
        <f>(Crops[[#This Row],[Wholesale Revenue Per Bed]]-Crops[[#This Row],[Wholesale Non-Labor Cost]])/Crops[[#This Row],[Direct Time]]</f>
        <v>0</v>
      </c>
      <c r="EG315" s="174" t="e">
        <f>Crops[[#This Row],[Packaging Costs]]/Crops[[#This Row],[Wholesale Revenue Per Bed]]</f>
        <v>#DIV/0!</v>
      </c>
      <c r="EH315" s="36" t="str">
        <f>Crops[[#This Row],[Crop]]&amp;Crops[[#This Row],[Product]]&amp;Crops[[#This Row],[Unit]]</f>
        <v>SunflowerMature StemStem</v>
      </c>
      <c r="EI315" s="36" t="b">
        <f>_xlfn.XLOOKUP(Crops[[#This Row],[ProductIndex]],Products[ID],Products[Target])</f>
        <v>1</v>
      </c>
      <c r="EJ315" s="36">
        <f>Crops[[#This Row],[Custom Yield Per Bed]]</f>
        <v>0</v>
      </c>
      <c r="EK315" s="210" t="e">
        <f>Crops[[#This Row],[Units Per Harvest]]/Crops[[#This Row],[Days Between Harvest]]*7</f>
        <v>#DIV/0!</v>
      </c>
      <c r="EL315" s="210" t="e">
        <f>Crops[[#This Row],[Custom Yield Per Bed]]/_xlfn.XLOOKUP(Crops[[#This Row],[ProductIndex]],Products[ID],Products[CSA Portion])</f>
        <v>#DIV/0!</v>
      </c>
      <c r="EM315" s="210" t="e">
        <f>Crops[[#This Row],[Units Per Harvest]]/Crops[[#This Row],[Days Between Harvest]]*7/_xlfn.XLOOKUP(Crops[[#This Row],[ProductIndex]],Products[ID],Products[CSA Portion])</f>
        <v>#DIV/0!</v>
      </c>
      <c r="EN315" s="210" t="e">
        <f>Crops[[#This Row],[CSA Portions Per Week]]/CSAMembers</f>
        <v>#DIV/0!</v>
      </c>
      <c r="EO315" s="210"/>
      <c r="EP315" s="210"/>
      <c r="EQ315" s="36"/>
      <c r="ER315" s="36">
        <f>Crops[[#This Row],[Harvests]]*Crops[[#This Row],[Days Between Harvest]]/7</f>
        <v>0</v>
      </c>
      <c r="ES315" s="208">
        <f>_xlfn.XLOOKUP(Crops[[#This Row],[ProductIndex]],Products[ID],Products[CSA Need])</f>
        <v>0</v>
      </c>
      <c r="ET315" s="208">
        <f>_xlfn.XLOOKUP(Crops[[#This Row],[ProductIndex]],Products[ID],Products[CSA Times])</f>
        <v>0</v>
      </c>
      <c r="EU315" s="208" t="e">
        <f>Crops[[#This Row],[Custom Yield Per Bed]]/(Crops[[#This Row],[CSA Need]]*(_xlfn.XLOOKUP(Crops[[#This Row],[ProductIndex]],Products[ID],Products[CSA Portion])*CSAMembers))</f>
        <v>#DIV/0!</v>
      </c>
      <c r="EV315" s="208" t="e">
        <f>_xlfn.XLOOKUP(Crops[[#This Row],[ProductIndex]],Products[ID],Products[CSA Portion])*CSAMembers*Crops[[#This Row],[CSA Need]]/Crops[[#This Row],[Custom Yield Per Bed]]</f>
        <v>#DIV/0!</v>
      </c>
      <c r="EW315" s="208" t="str">
        <f>IFERROR(Crops[[#This Row],[Days In Field]]*Crops[[#This Row],[CSA Beds]],"")</f>
        <v/>
      </c>
      <c r="EX315" s="208" t="e">
        <f>Crops[[#This Row],[CSA Bed Days]]*#REF!</f>
        <v>#VALUE!</v>
      </c>
      <c r="EY315">
        <v>0</v>
      </c>
    </row>
    <row r="316" spans="1:155">
      <c r="A31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Sunflower - Mature Stem 2X | Field DS </v>
      </c>
      <c r="B316" s="189"/>
      <c r="C316" s="1" t="b">
        <v>1</v>
      </c>
      <c r="D316" s="1"/>
      <c r="E316" s="1" t="b">
        <v>0</v>
      </c>
      <c r="F316" s="1" t="b">
        <f>IFERROR(IF(ISNUMBER(MATCH(Crops[[#This Row],[Identifier]],BedPlan[Crop], 0)), TRUE, FALSE), FALSE)</f>
        <v>0</v>
      </c>
      <c r="G316" s="1" t="b">
        <f>IFERROR(IF(ISNUMBER(MATCH(Crops[[#This Row],[Identifier]],BedPlan[Crop], 0)), TRUE, FALSE), FALSE)</f>
        <v>0</v>
      </c>
      <c r="H316" s="1" t="b">
        <v>1</v>
      </c>
      <c r="I316" t="s">
        <v>129</v>
      </c>
      <c r="J316" t="s">
        <v>145</v>
      </c>
      <c r="K316" t="s">
        <v>181</v>
      </c>
      <c r="N316" t="str">
        <f>Crops[[#This Row],[Crop]]</f>
        <v>Sunflower</v>
      </c>
      <c r="O316" t="s">
        <v>210</v>
      </c>
      <c r="P316" t="str">
        <f>IF(OR(Crops[[#This Row],[Days in Cells]]="",Crops[[#This Row],[Days in Cells]]=0), "DS","TP")</f>
        <v>DS</v>
      </c>
      <c r="V316" t="str">
        <f xml:space="preserve"> IF(Crops[[#This Row],[Sp]], "Sp", "") &amp; IF(Crops[[#This Row],[Su]], "Su", "") &amp; IF(Crops[[#This Row],[Fa]], "Fa", "") &amp; IF(Crops[[#This Row],[Wi]], "Wi", "") &amp; IF(Crops[[#This Row],[OW]], "Ow","")</f>
        <v/>
      </c>
      <c r="W316" t="s">
        <v>144</v>
      </c>
      <c r="X316">
        <v>2</v>
      </c>
      <c r="Y316">
        <v>12</v>
      </c>
      <c r="AD316" s="32">
        <f>IFERROR(12/Crops[[#This Row],[Spacing]]*Crops[[#This Row],[Rows]]*BedLength,"")</f>
        <v>100</v>
      </c>
      <c r="AE316">
        <v>2</v>
      </c>
      <c r="AG316">
        <f>IF(Crops[[#This Row],[Custom Safety Factor]]="",PlantingSafetyFactor,Crops[[#This Row],[Custom Safety Factor]])</f>
        <v>1.3</v>
      </c>
      <c r="AH316">
        <f>1</f>
        <v>1</v>
      </c>
      <c r="AI316" s="33">
        <f>IFERROR(Crops[[#This Row],[Plantings Per Bed]]*Crops[[#This Row],[Seeds Per Planting]]*Crops[[#This Row],[Safety Factor]]*Crops[[#This Row],[Seeding Factor]],"")</f>
        <v>260</v>
      </c>
      <c r="AJ316">
        <v>7</v>
      </c>
      <c r="AK316">
        <v>14</v>
      </c>
      <c r="AL316">
        <f>_xlfn.FLOOR.MATH(IFERROR(AVERAGE(Crops[[#This Row],[DTG Lower]:[DTG Upper]]),0))</f>
        <v>10</v>
      </c>
      <c r="AM316">
        <f>SUM(Crops[[#This Row],[Tray 1 Days]],Crops[[#This Row],[Tray 2 Days]],Crops[[#This Row],[Tray 3 Days]])</f>
        <v>0</v>
      </c>
      <c r="AO316">
        <v>60</v>
      </c>
      <c r="AP316">
        <v>75</v>
      </c>
      <c r="AQ316">
        <f>IFERROR(_xlfn.FLOOR.MATH(AVERAGE(Crops[[#This Row],[DTM Lower]:[DTM Upper]])),"")</f>
        <v>67</v>
      </c>
      <c r="AR316" cm="1">
        <f t="array" ref="AR316">_xlfn.SWITCH(Crops[[#This Row],[Normal Method]],"DS",Crops[[#This Row],[Days to Germination]]+Crops[[#This Row],[DTM]] + IF(Crops[[#This Row],[Days in Cells]]&gt;0,15,0), "TP",Crops[[#This Row],[DTM]]+Crops[[#This Row],[Days in Cells]] + IF(Crops[[#This Row],[Days in Cells]]&lt;=0,20,0), "X", Crops[[#This Row],[DTM]])</f>
        <v>77</v>
      </c>
      <c r="AS316" t="s">
        <v>338</v>
      </c>
      <c r="AT316">
        <f>(Crops[[#This Row],[Harvests]]-1)*Crops[[#This Row],[Days Between Harvest]]+7</f>
        <v>28</v>
      </c>
      <c r="AU316">
        <f>Crops[[#This Row],[STH]]-Crops[[#This Row],[Days in Cells]]+Crops[[#This Row],[Harvest window]]</f>
        <v>105</v>
      </c>
      <c r="AZ316" t="str">
        <f>IFERROR(IF(Crops[[#This Row],[Tray 1 Days]]=0,"",Crops[[#This Row],[Plantings Per Bed]]/Crops[[#This Row],[Tray 1 Size]]*Crops[[#This Row],[Safety Factor]]),"")</f>
        <v/>
      </c>
      <c r="BC316" t="str">
        <f>IFERROR(IF(Crops[[#This Row],[Tray 2 Days]]=0,"",Crops[[#This Row],[Plantings Per Bed]]/Crops[[#This Row],[Tray 2 Size]]*Crops[[#This Row],[Safety Factor]]),"")</f>
        <v/>
      </c>
      <c r="BE316" s="32" t="str">
        <f>IF(NOT(ISBLANK(Crops[[#This Row],[Tray 3 Size]])), Crops[[#This Row],[Days in Cells Old]]-SUM(Crops[[#This Row],[Tray 1 Days]],Crops[[#This Row],[Tray 2 Days]]), "")</f>
        <v/>
      </c>
      <c r="BF316" t="str">
        <f>IFERROR(IF(Crops[[#This Row],[Tray 3 Days]]=0,"",Crops[[#This Row],[Plantings Per Bed]]/Crops[[#This Row],[Tray 3 Size]]*Crops[[#This Row],[Safety Factor]]),"")</f>
        <v/>
      </c>
      <c r="BG316" s="33">
        <f>Crops[[#This Row],[Plantings Per Bed]]</f>
        <v>100</v>
      </c>
      <c r="BH316" s="33">
        <v>4</v>
      </c>
      <c r="BI316" s="33">
        <v>7</v>
      </c>
      <c r="BJ316" s="33">
        <f>_xlfn.XLOOKUP(Crops[[#This Row],[ProductIndex]],Products[ID],Products[Holding Period])</f>
        <v>0</v>
      </c>
      <c r="BK316" s="33"/>
      <c r="BL316" s="33">
        <f>Crops[[#This Row],[Units Per Harvest]]*Crops[[#This Row],[Harvests]]</f>
        <v>400</v>
      </c>
      <c r="BM316" s="35">
        <v>1.5</v>
      </c>
      <c r="BN316" s="35">
        <f>Crops[[#This Row],[Direct Price]]*0.6</f>
        <v>0.89999999999999991</v>
      </c>
      <c r="BO316" s="35"/>
      <c r="BP316" t="s">
        <v>213</v>
      </c>
      <c r="BQ316">
        <f>Crops[[#This Row],[Custom Yield Per Bed]]*Crops[[#This Row],[Direct Price]]</f>
        <v>600</v>
      </c>
      <c r="BR316" t="b">
        <v>0</v>
      </c>
      <c r="BS316" t="b">
        <f>Crops[[#This Row],[Harvests]]&gt;1</f>
        <v>1</v>
      </c>
      <c r="BT316" s="36">
        <f>IFERROR(Crops[[#This Row],[Direct Revenue Per Bed]]/Crops[[#This Row],[Days In Field]],-1)</f>
        <v>5.7142857142857144</v>
      </c>
      <c r="BU316" s="36">
        <f>IFERROR(Crops[[#This Row],[Direct Revenue Per Bed Day]]*GrowingDays*BedsPerAcre,"")</f>
        <v>164571.42857142858</v>
      </c>
      <c r="BV316" s="38">
        <f>LastFrostDate-5*Crops[[#This Row],[Sewing Rel Last Frost]]</f>
        <v>45748</v>
      </c>
      <c r="BW316" s="38">
        <f>Crops[[#This Row],[Target Sewing Date]]+Crops[[#This Row],[Days in Cells]]</f>
        <v>45748</v>
      </c>
      <c r="BX316" s="38">
        <f>Crops[[#This Row],[Target Sewing Date]]+Crops[[#This Row],[STH]]</f>
        <v>45825</v>
      </c>
      <c r="BY316" s="38">
        <f>Crops[[#This Row],[Target Harvest Data]]+Crops[[#This Row],[Harvest window]]</f>
        <v>45853</v>
      </c>
      <c r="CB316">
        <f>1</f>
        <v>1</v>
      </c>
      <c r="CC316">
        <f>IF(Crops[[#This Row],[Transplanting]]&gt;0, 2, 3)*BedLength/StandardBedLength</f>
        <v>1.5</v>
      </c>
      <c r="CD316" s="173">
        <f>IF(Crops[[#This Row],[Days in Cells]]&lt;=0,0,Crops[[#This Row],[Plantings Per Bed]]/StartsPerHourSeeding+Crops[[#This Row],[Tray 1 Count]]*5/60)</f>
        <v>0</v>
      </c>
      <c r="CE316" s="173">
        <f>IF(ISBLANK(Crops[[#This Row],[Tray 2 Days]]),0,Crops[[#This Row],[Plantings Per Bed]]/UpPottingPerHour)+IF(Crops[[#This Row],[Tray 3 Days]]="",0,Crops[[#This Row],[Plantings Per Bed]]/UpPottingPerHour)</f>
        <v>0</v>
      </c>
      <c r="CF316" s="173">
        <f>IFERROR(Crops[[#This Row],[Tray 1 Count]]/HomeStartFlatIrrigationPerHour,0)*Crops[[#This Row],[Days in Cells]]/DaysBetweenStartIrrigation</f>
        <v>0</v>
      </c>
      <c r="CG316" s="173">
        <f>0.5/16*MAX(Crops[[#This Row],[Tray 1 Count]],Crops[[#This Row],[Tray 2 Count]],Crops[[#This Row],[Tray 3 Count]])</f>
        <v>0</v>
      </c>
      <c r="CH316" s="173">
        <f>IF(Crops[[#This Row],[Days in Cells]]&gt;0,IF(IF(Crops[[#This Row],[Tray 3 Size]]&gt;0,Crops[[#This Row],[Tray 3 Size]],IF(Crops[[#This Row],[Tray 2 Size]]&gt;0,Crops[[#This Row],[Tray 2 Size]],Crops[[#This Row],[Tray 1 Size]]))&lt;=18,LargeTransplantTime,SmallTransplantTime)*Crops[[#This Row],[Plantings Per Bed]],0)</f>
        <v>0</v>
      </c>
      <c r="CI316" s="173"/>
      <c r="CJ316" s="173">
        <f>_xlfn.XLOOKUP(Crops[[#This Row],[Trellis Type]],TrellisMethods[Trellis Type],TrellisMethods[Hours],0,0)</f>
        <v>0</v>
      </c>
      <c r="CK316">
        <f>IF(Crops[[#This Row],[Days in Cells]]&lt;=0,Crops[[#This Row],[Rows]]*1/10,0)*BedLength/50</f>
        <v>0.2</v>
      </c>
      <c r="CL316" cm="1">
        <f t="array" ref="CL316">_xlfn.SWITCH(Crops[[#This Row],[Irrigation]],"DR", 0.5, "OH", 0.25,0)*BedLength/50</f>
        <v>0</v>
      </c>
      <c r="CM316">
        <f>IF(OR(ISBLANK(Crops[[#This Row],[Row Cover]]),Crops[[#This Row],[Row Cover]]="None"),0,1)*BedLength/50</f>
        <v>0</v>
      </c>
      <c r="CN316" s="173">
        <f>HoursPerWeedingPass*Crops[[#This Row],[Days In Field]]/14*Crops[[#This Row],[Rows]]+1*BedLength/50</f>
        <v>3.5</v>
      </c>
      <c r="CQ316" s="37">
        <f>_xlfn.XLOOKUP(Crops[[#This Row],[Crop]]&amp;Crops[[#This Row],[Product]]&amp;Crops[[#This Row],[Unit]],Products[ID],Products[Marketing (hr)])*Crops[[#This Row],[Direct Revenue Per Bed]]/2000</f>
        <v>1.8</v>
      </c>
      <c r="CR316" s="37">
        <f>_xlfn.XLOOKUP(Crops[[#This Row],[Crop]]&amp;Crops[[#This Row],[Product]]&amp;Crops[[#This Row],[Unit]],Products[ID],Products[Harvest (s)])*Crops[[#This Row],[Custom Yield Per Bed]]/3600</f>
        <v>1.1111111111111112</v>
      </c>
      <c r="CS316" s="37">
        <f>_xlfn.XLOOKUP(Crops[[#This Row],[Crop]]&amp;Crops[[#This Row],[Product]]&amp;Crops[[#This Row],[Unit]],Products[ID],Products[Bunch (s)])*Crops[[#This Row],[Custom Yield Per Bed]]/3600</f>
        <v>0</v>
      </c>
      <c r="CT316" s="37">
        <f>_xlfn.XLOOKUP(Crops[[#This Row],[Crop]]&amp;Crops[[#This Row],[Product]]&amp;Crops[[#This Row],[Unit]],Products[ID],Products[Haul (s)])*Crops[[#This Row],[Custom Yield Per Bed]]/3600</f>
        <v>0.33333333333333331</v>
      </c>
      <c r="CU316" s="37">
        <f>_xlfn.XLOOKUP(Crops[[#This Row],[Crop]]&amp;Crops[[#This Row],[Product]]&amp;Crops[[#This Row],[Unit]],Products[ID],Products[Wash (s)])*Crops[[#This Row],[Custom Yield Per Bed]]/3600</f>
        <v>0</v>
      </c>
      <c r="CV316" s="37">
        <f>_xlfn.XLOOKUP(Crops[[#This Row],[Crop]]&amp;Crops[[#This Row],[Product]]&amp;Crops[[#This Row],[Unit]],Products[ID],Products[Condition (s)])*Crops[[#This Row],[Custom Yield Per Bed]]/3600</f>
        <v>0</v>
      </c>
      <c r="CW316" s="37">
        <f>_xlfn.XLOOKUP(Crops[[#This Row],[Crop]]&amp;Crops[[#This Row],[Product]]&amp;Crops[[#This Row],[Unit]],Products[ID],Products[Trim (s)])*Crops[[#This Row],[Custom Yield Per Bed]]/3600</f>
        <v>1.6666666666666667</v>
      </c>
      <c r="CX316" s="37">
        <f>_xlfn.XLOOKUP(Crops[[#This Row],[Crop]]&amp;Crops[[#This Row],[Product]]&amp;Crops[[#This Row],[Unit]],Products[ID],Products[Pack (s)])*Crops[[#This Row],[Custom Yield Per Bed]]/3600</f>
        <v>0.33333333333333331</v>
      </c>
      <c r="CY316" s="37">
        <f>_xlfn.XLOOKUP(Crops[[#This Row],[Crop]]&amp;Crops[[#This Row],[Product]]&amp;Crops[[#This Row],[Unit]],Products[ID],Products[Clean (s)])*Crops[[#This Row],[Custom Yield Per Bed]]/3600</f>
        <v>0</v>
      </c>
      <c r="CZ316" s="37">
        <f>_xlfn.XLOOKUP(Crops[[#This Row],[Crop]]&amp;Crops[[#This Row],[Product]]&amp;Crops[[#This Row],[Unit]],Products[ID],Products[Rehandle (s)])*Crops[[#This Row],[Custom Yield Per Bed]]/3600</f>
        <v>0</v>
      </c>
      <c r="DA316" s="37">
        <f>_xlfn.XLOOKUP(Crops[[#This Row],[Crop]]&amp;Crops[[#This Row],[Product]]&amp;Crops[[#This Row],[Unit]],Products[ID],Products[Market Transport (s)])*Crops[[#This Row],[Custom Yield Per Bed]]/3600</f>
        <v>0.83333333333333337</v>
      </c>
      <c r="DC316" s="37">
        <f>Crops[[#This Row],[Direct Revenue Per Bed2]]</f>
        <v>600</v>
      </c>
      <c r="DD316" s="173">
        <f>_xlfn.AGGREGATE(9,6,Crops[[#This Row],[Bed Prep]:[Remove Crop Residue]])</f>
        <v>11.277777777777779</v>
      </c>
      <c r="DE316" s="173">
        <f>_xlfn.AGGREGATE(9,6,Crops[[#This Row],[Bed Prep]:[Remove Crop Residue]])-0.75*Crops[[#This Row],[Market &amp; Sell]]</f>
        <v>9.9277777777777789</v>
      </c>
      <c r="DF316" s="36">
        <f>Crops[[#This Row],[Direct Revenue Per Bed2]]/Crops[[#This Row],[Direct Time]]</f>
        <v>53.201970443349751</v>
      </c>
      <c r="DG316" s="36">
        <f>_xlfn.XLOOKUP(Crops[[#This Row],[ProductIndex]],Products[ID],Products[Packaging Cost])*(Crops[[#This Row],[Custom Yield Per Bed]]/_xlfn.XLOOKUP(Crops[[#This Row],[ProductIndex]],Products[ID],Products[Units Per Pack]))</f>
        <v>53.333333333333336</v>
      </c>
      <c r="DH316" s="36"/>
      <c r="DI316" s="36"/>
      <c r="DJ316" s="36"/>
      <c r="DK316" s="36"/>
      <c r="DL316" s="36"/>
      <c r="DM316" s="33">
        <f>IFERROR(Crops[[#This Row],[Custom Yield Per Bed]]*Crops[[#This Row],[Direct Price]],"")</f>
        <v>600</v>
      </c>
      <c r="DN316" s="36">
        <f>Crops[[#This Row],[Direct Time]]*LaborRate</f>
        <v>281.94444444444446</v>
      </c>
      <c r="DO316" s="36">
        <f>SUM(Crops[[#This Row],[Irrigation Cost]])</f>
        <v>0</v>
      </c>
      <c r="DP316" s="36">
        <f>Crops[[#This Row],[Direct Labor Cost]]+Crops[[#This Row],[Direct Non-Labor Cost]]</f>
        <v>281.94444444444446</v>
      </c>
      <c r="DQ316" s="36">
        <f>Crops[[#This Row],[Direct Revenue Per Bed2]]-Crops[[#This Row],[Direct Total Cost]]</f>
        <v>318.05555555555554</v>
      </c>
      <c r="DR316" s="36">
        <f>Crops[[#This Row],[Direct Profit]]*BedsPerAcre</f>
        <v>50888.888888888891</v>
      </c>
      <c r="DS316" s="36">
        <f>Crops[[#This Row],[Direct Profit]]*BedsPerAcre*GrowingDays/Crops[[#This Row],[Days In Field]]</f>
        <v>87238.095238095237</v>
      </c>
      <c r="DT316" s="36">
        <f>Crops[[#This Row],[Direct Profit]]/MIN(Crops[[#This Row],[Days In Field]],GrowingDays)</f>
        <v>3.0291005291005288</v>
      </c>
      <c r="DU316" s="36">
        <f>Crops[[#This Row],[Direct Time]] * BedsPerAcre</f>
        <v>1804.4444444444446</v>
      </c>
      <c r="DV316" s="36">
        <f>(Crops[[#This Row],[Direct Revenue Per Bed2]]-Crops[[#This Row],[Direct Non-Labor Cost]])/Crops[[#This Row],[Direct Time]]</f>
        <v>53.201970443349751</v>
      </c>
      <c r="DW316" s="33">
        <f>IFERROR(Crops[[#This Row],[Custom Yield Per Bed]]*Crops[[#This Row],[Rough Wholesale Price]],"")</f>
        <v>359.99999999999994</v>
      </c>
      <c r="DX316" s="36">
        <f>Crops[[#This Row],[Wholesale Time]]*LaborRate</f>
        <v>248.19444444444449</v>
      </c>
      <c r="DY316" s="36">
        <f>SUM(Crops[[#This Row],[Packaging Costs]:[Irrigation Cost]])</f>
        <v>53.333333333333336</v>
      </c>
      <c r="DZ316" s="36">
        <f>Crops[[#This Row],[Wholesale Labor Cost]]+Crops[[#This Row],[Wholesale Non-Labor Cost]]</f>
        <v>301.52777777777783</v>
      </c>
      <c r="EA316" s="36">
        <f>Crops[[#This Row],[Wholesale Revenue Per Bed]]-Crops[[#This Row],[Wholesale Total Cost]]</f>
        <v>58.472222222222115</v>
      </c>
      <c r="EB316" s="36">
        <f>Crops[[#This Row],[Wholesale Profit]]*BedsPerAcre</f>
        <v>9355.5555555555384</v>
      </c>
      <c r="EC316" s="36">
        <f>Crops[[#This Row],[Wholesale Profit]]*BedsPerAcre*GrowingDays/Crops[[#This Row],[Days In Field]]</f>
        <v>16038.095238095209</v>
      </c>
      <c r="ED316" s="36">
        <f>Crops[[#This Row],[Wholesale Time]] * BedsPerAcre</f>
        <v>1588.4444444444446</v>
      </c>
      <c r="EE316" s="36">
        <f>Crops[[#This Row],[Wholesale Profit]]/MIN(Crops[[#This Row],[Days In Field]],GrowingDays)</f>
        <v>0.55687830687830586</v>
      </c>
      <c r="EF316" s="36">
        <f>(Crops[[#This Row],[Wholesale Revenue Per Bed]]-Crops[[#This Row],[Wholesale Non-Labor Cost]])/Crops[[#This Row],[Direct Time]]</f>
        <v>27.192118226600979</v>
      </c>
      <c r="EG316" s="174">
        <f>Crops[[#This Row],[Packaging Costs]]/Crops[[#This Row],[Wholesale Revenue Per Bed]]</f>
        <v>0.14814814814814817</v>
      </c>
      <c r="EH316" s="36" t="str">
        <f>Crops[[#This Row],[Crop]]&amp;Crops[[#This Row],[Product]]&amp;Crops[[#This Row],[Unit]]</f>
        <v>SunflowerMature StemStem</v>
      </c>
      <c r="EI316" s="36" t="b">
        <f>_xlfn.XLOOKUP(Crops[[#This Row],[ProductIndex]],Products[ID],Products[Target])</f>
        <v>1</v>
      </c>
      <c r="EJ316" s="36">
        <f>Crops[[#This Row],[Custom Yield Per Bed]]</f>
        <v>400</v>
      </c>
      <c r="EK316" s="210">
        <f>Crops[[#This Row],[Units Per Harvest]]/Crops[[#This Row],[Days Between Harvest]]*7</f>
        <v>100</v>
      </c>
      <c r="EL316" s="210" t="e">
        <f>Crops[[#This Row],[Custom Yield Per Bed]]/_xlfn.XLOOKUP(Crops[[#This Row],[ProductIndex]],Products[ID],Products[CSA Portion])</f>
        <v>#DIV/0!</v>
      </c>
      <c r="EM316" s="210" t="e">
        <f>Crops[[#This Row],[Units Per Harvest]]/Crops[[#This Row],[Days Between Harvest]]*7/_xlfn.XLOOKUP(Crops[[#This Row],[ProductIndex]],Products[ID],Products[CSA Portion])</f>
        <v>#DIV/0!</v>
      </c>
      <c r="EN316" s="210" t="e">
        <f>Crops[[#This Row],[CSA Portions Per Week]]/CSAMembers</f>
        <v>#DIV/0!</v>
      </c>
      <c r="EO316" s="210"/>
      <c r="EP316" s="210"/>
      <c r="EQ316" s="36"/>
      <c r="ER316" s="36">
        <f>Crops[[#This Row],[Harvests]]*Crops[[#This Row],[Days Between Harvest]]/7</f>
        <v>4</v>
      </c>
      <c r="ES316" s="208">
        <f>_xlfn.XLOOKUP(Crops[[#This Row],[ProductIndex]],Products[ID],Products[CSA Need])</f>
        <v>0</v>
      </c>
      <c r="ET316" s="208">
        <f>_xlfn.XLOOKUP(Crops[[#This Row],[ProductIndex]],Products[ID],Products[CSA Times])</f>
        <v>0</v>
      </c>
      <c r="EU316" s="208" t="e">
        <f>Crops[[#This Row],[Custom Yield Per Bed]]/(Crops[[#This Row],[CSA Need]]*(_xlfn.XLOOKUP(Crops[[#This Row],[ProductIndex]],Products[ID],Products[CSA Portion])*CSAMembers))</f>
        <v>#DIV/0!</v>
      </c>
      <c r="EV316" s="208">
        <f>_xlfn.XLOOKUP(Crops[[#This Row],[ProductIndex]],Products[ID],Products[CSA Portion])*CSAMembers*Crops[[#This Row],[CSA Need]]/Crops[[#This Row],[Custom Yield Per Bed]]</f>
        <v>0</v>
      </c>
      <c r="EW316" s="208">
        <f>IFERROR(Crops[[#This Row],[Days In Field]]*Crops[[#This Row],[CSA Beds]],"")</f>
        <v>0</v>
      </c>
      <c r="EX316" s="208" t="e">
        <f>Crops[[#This Row],[CSA Bed Days]]*#REF!</f>
        <v>#REF!</v>
      </c>
      <c r="EY316" t="s">
        <v>303</v>
      </c>
    </row>
    <row r="317" spans="1:155">
      <c r="A31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Sunflower (Anarchy Mix) - Mature Stem 2X | Field DS </v>
      </c>
      <c r="B317" s="189"/>
      <c r="C317" s="1" t="b">
        <v>1</v>
      </c>
      <c r="D317" s="1"/>
      <c r="E317" s="1" t="b">
        <v>0</v>
      </c>
      <c r="F317" s="1" t="b">
        <f>IFERROR(IF(ISNUMBER(MATCH(Crops[[#This Row],[Identifier]],BedPlan[Crop], 0)), TRUE, FALSE), FALSE)</f>
        <v>0</v>
      </c>
      <c r="G317" s="1" t="b">
        <f>IFERROR(IF(ISNUMBER(MATCH(Crops[[#This Row],[Identifier]],BedPlan[Crop], 0)), TRUE, FALSE), FALSE)</f>
        <v>0</v>
      </c>
      <c r="H317" s="1"/>
      <c r="I317" t="s">
        <v>129</v>
      </c>
      <c r="J317" t="s">
        <v>177</v>
      </c>
      <c r="K317" t="s">
        <v>181</v>
      </c>
      <c r="M317" t="s">
        <v>406</v>
      </c>
      <c r="N317" t="str">
        <f>Crops[[#This Row],[Crop]]</f>
        <v>Sunflower</v>
      </c>
      <c r="O317" t="s">
        <v>210</v>
      </c>
      <c r="P317" t="str">
        <f>IF(OR(Crops[[#This Row],[Days in Cells]]="",Crops[[#This Row],[Days in Cells]]=0), "DS","TP")</f>
        <v>DS</v>
      </c>
      <c r="V317" t="str">
        <f xml:space="preserve"> IF(Crops[[#This Row],[Sp]], "Sp", "") &amp; IF(Crops[[#This Row],[Su]], "Su", "") &amp; IF(Crops[[#This Row],[Fa]], "Fa", "") &amp; IF(Crops[[#This Row],[Wi]], "Wi", "") &amp; IF(Crops[[#This Row],[OW]], "Ow","")</f>
        <v/>
      </c>
      <c r="W317" t="s">
        <v>144</v>
      </c>
      <c r="X317">
        <v>2</v>
      </c>
      <c r="Y317">
        <v>12</v>
      </c>
      <c r="AA317" t="s">
        <v>474</v>
      </c>
      <c r="AB317" t="b">
        <v>0</v>
      </c>
      <c r="AC317">
        <v>8</v>
      </c>
      <c r="AD317" s="32">
        <f>IFERROR(12/Crops[[#This Row],[Spacing]]*Crops[[#This Row],[Rows]]*BedLength,"")</f>
        <v>100</v>
      </c>
      <c r="AE317">
        <v>2</v>
      </c>
      <c r="AG317">
        <f>IF(Crops[[#This Row],[Custom Safety Factor]]="",PlantingSafetyFactor,Crops[[#This Row],[Custom Safety Factor]])</f>
        <v>1.3</v>
      </c>
      <c r="AH317">
        <f>1</f>
        <v>1</v>
      </c>
      <c r="AI317" s="33">
        <f>IFERROR(Crops[[#This Row],[Plantings Per Bed]]*Crops[[#This Row],[Seeds Per Planting]]*Crops[[#This Row],[Safety Factor]]*Crops[[#This Row],[Seeding Factor]],"")</f>
        <v>260</v>
      </c>
      <c r="AJ317">
        <v>7</v>
      </c>
      <c r="AK317">
        <v>10</v>
      </c>
      <c r="AL317">
        <f>_xlfn.FLOOR.MATH(IFERROR(AVERAGE(Crops[[#This Row],[DTG Lower]:[DTG Upper]]),0))</f>
        <v>8</v>
      </c>
      <c r="AM317">
        <f>SUM(Crops[[#This Row],[Tray 1 Days]],Crops[[#This Row],[Tray 2 Days]],Crops[[#This Row],[Tray 3 Days]])</f>
        <v>0</v>
      </c>
      <c r="AN317" s="32"/>
      <c r="AO317">
        <v>65</v>
      </c>
      <c r="AP317">
        <v>75</v>
      </c>
      <c r="AQ317">
        <f>IFERROR(_xlfn.FLOOR.MATH(AVERAGE(Crops[[#This Row],[DTM Lower]:[DTM Upper]])),"")</f>
        <v>70</v>
      </c>
      <c r="AR317" cm="1">
        <f t="array" ref="AR317">_xlfn.SWITCH(Crops[[#This Row],[Normal Method]],"DS",Crops[[#This Row],[Days to Germination]]+Crops[[#This Row],[DTM]] + IF(Crops[[#This Row],[Days in Cells]]&gt;0,15,0), "TP",Crops[[#This Row],[DTM]]+Crops[[#This Row],[Days in Cells]] + IF(Crops[[#This Row],[Days in Cells]]&lt;=0,20,0), "X", Crops[[#This Row],[DTM]])</f>
        <v>78</v>
      </c>
      <c r="AS317" t="s">
        <v>338</v>
      </c>
      <c r="AT317">
        <f>(Crops[[#This Row],[Harvests]]-1)*Crops[[#This Row],[Days Between Harvest]]+7</f>
        <v>42</v>
      </c>
      <c r="AU317">
        <f>Crops[[#This Row],[STH]]-Crops[[#This Row],[Days in Cells]]+Crops[[#This Row],[Harvest window]]</f>
        <v>120</v>
      </c>
      <c r="AW317">
        <v>128</v>
      </c>
      <c r="AZ317" t="str">
        <f>IFERROR(IF(Crops[[#This Row],[Tray 1 Days]]=0,"",Crops[[#This Row],[Plantings Per Bed]]/Crops[[#This Row],[Tray 1 Size]]*Crops[[#This Row],[Safety Factor]]),"")</f>
        <v/>
      </c>
      <c r="BC317" t="str">
        <f>IFERROR(IF(Crops[[#This Row],[Tray 2 Days]]=0,"",Crops[[#This Row],[Plantings Per Bed]]/Crops[[#This Row],[Tray 2 Size]]*Crops[[#This Row],[Safety Factor]]),"")</f>
        <v/>
      </c>
      <c r="BE317" s="32" t="str">
        <f>IF(NOT(ISBLANK(Crops[[#This Row],[Tray 3 Size]])), Crops[[#This Row],[Days in Cells Old]]-SUM(Crops[[#This Row],[Tray 1 Days]],Crops[[#This Row],[Tray 2 Days]]), "")</f>
        <v/>
      </c>
      <c r="BF317" t="str">
        <f>IFERROR(IF(Crops[[#This Row],[Tray 3 Days]]=0,"",Crops[[#This Row],[Plantings Per Bed]]/Crops[[#This Row],[Tray 3 Size]]*Crops[[#This Row],[Safety Factor]]),"")</f>
        <v/>
      </c>
      <c r="BG317" s="33">
        <f>Crops[[#This Row],[Plantings Per Bed]]*2</f>
        <v>200</v>
      </c>
      <c r="BH317" s="33">
        <v>6</v>
      </c>
      <c r="BI317" s="33">
        <v>7</v>
      </c>
      <c r="BJ317" s="33">
        <f>_xlfn.XLOOKUP(Crops[[#This Row],[ProductIndex]],Products[ID],Products[Holding Period])</f>
        <v>0</v>
      </c>
      <c r="BK317" s="33"/>
      <c r="BL317" s="33">
        <f>Crops[[#This Row],[Units Per Harvest]]*Crops[[#This Row],[Harvests]]</f>
        <v>1200</v>
      </c>
      <c r="BM317" s="35">
        <v>1.5</v>
      </c>
      <c r="BN317" s="35">
        <f>Crops[[#This Row],[Direct Price]]*0.6</f>
        <v>0.89999999999999991</v>
      </c>
      <c r="BO317" s="35"/>
      <c r="BP317" t="s">
        <v>213</v>
      </c>
      <c r="BQ317">
        <f>Crops[[#This Row],[Custom Yield Per Bed]]*Crops[[#This Row],[Direct Price]]</f>
        <v>1800</v>
      </c>
      <c r="BR317" t="b">
        <v>0</v>
      </c>
      <c r="BS317" t="b">
        <f>Crops[[#This Row],[Harvests]]&gt;1</f>
        <v>1</v>
      </c>
      <c r="BT317" s="36">
        <f>IFERROR(Crops[[#This Row],[Direct Revenue Per Bed]]/Crops[[#This Row],[Days In Field]],-1)</f>
        <v>15</v>
      </c>
      <c r="BU317" s="36">
        <f>IFERROR(Crops[[#This Row],[Direct Revenue Per Bed Day]]*GrowingDays*BedsPerAcre,"")</f>
        <v>432000</v>
      </c>
      <c r="BV317" s="38">
        <f>LastFrostDate-5*Crops[[#This Row],[Sewing Rel Last Frost]]</f>
        <v>45748</v>
      </c>
      <c r="BW317" s="38">
        <f>Crops[[#This Row],[Target Sewing Date]]+Crops[[#This Row],[Days in Cells]]</f>
        <v>45748</v>
      </c>
      <c r="BX317" s="38">
        <f>Crops[[#This Row],[Target Sewing Date]]+Crops[[#This Row],[STH]]</f>
        <v>45826</v>
      </c>
      <c r="BY317" s="38">
        <f>Crops[[#This Row],[Target Harvest Data]]+Crops[[#This Row],[Harvest window]]</f>
        <v>45868</v>
      </c>
      <c r="BZ317">
        <v>0</v>
      </c>
      <c r="CB317">
        <f>1</f>
        <v>1</v>
      </c>
      <c r="CC317">
        <f>IF(Crops[[#This Row],[Transplanting]]&gt;0, 2, 3)*BedLength/StandardBedLength</f>
        <v>1.5</v>
      </c>
      <c r="CD317" s="173">
        <f>IF(Crops[[#This Row],[Days in Cells]]&lt;=0,0,Crops[[#This Row],[Plantings Per Bed]]/StartsPerHourSeeding+Crops[[#This Row],[Tray 1 Count]]*5/60)</f>
        <v>0</v>
      </c>
      <c r="CE317" s="173">
        <f>IF(ISBLANK(Crops[[#This Row],[Tray 2 Days]]),0,Crops[[#This Row],[Plantings Per Bed]]/UpPottingPerHour)+IF(Crops[[#This Row],[Tray 3 Days]]="",0,Crops[[#This Row],[Plantings Per Bed]]/UpPottingPerHour)</f>
        <v>0</v>
      </c>
      <c r="CF317" s="173">
        <f>IFERROR(Crops[[#This Row],[Tray 1 Count]]/HomeStartFlatIrrigationPerHour,0)*Crops[[#This Row],[Days in Cells]]/DaysBetweenStartIrrigation</f>
        <v>0</v>
      </c>
      <c r="CG317" s="173">
        <f>0.5/16*MAX(Crops[[#This Row],[Tray 1 Count]],Crops[[#This Row],[Tray 2 Count]],Crops[[#This Row],[Tray 3 Count]])</f>
        <v>0</v>
      </c>
      <c r="CH317" s="173">
        <f>IF(Crops[[#This Row],[Days in Cells]]&gt;0,IF(IF(Crops[[#This Row],[Tray 3 Size]]&gt;0,Crops[[#This Row],[Tray 3 Size]],IF(Crops[[#This Row],[Tray 2 Size]]&gt;0,Crops[[#This Row],[Tray 2 Size]],Crops[[#This Row],[Tray 1 Size]]))&lt;=18,LargeTransplantTime,SmallTransplantTime)*Crops[[#This Row],[Plantings Per Bed]],0)</f>
        <v>0</v>
      </c>
      <c r="CI317" s="173"/>
      <c r="CJ317" s="173">
        <f>_xlfn.XLOOKUP(Crops[[#This Row],[Trellis Type]],TrellisMethods[Trellis Type],TrellisMethods[Hours],0,0)</f>
        <v>0</v>
      </c>
      <c r="CK317">
        <f>IF(Crops[[#This Row],[Days in Cells]]&lt;=0,Crops[[#This Row],[Rows]]*1/10,0)*BedLength/50</f>
        <v>0.2</v>
      </c>
      <c r="CL317" cm="1">
        <f t="array" ref="CL317">_xlfn.SWITCH(Crops[[#This Row],[Irrigation]],"DR", 0.5, "OH", 0.25,0)*BedLength/50</f>
        <v>0</v>
      </c>
      <c r="CM317">
        <f>IF(OR(ISBLANK(Crops[[#This Row],[Row Cover]]),Crops[[#This Row],[Row Cover]]="None"),0,1)*BedLength/50</f>
        <v>0</v>
      </c>
      <c r="CN317" s="173">
        <f>HoursPerWeedingPass*Crops[[#This Row],[Days In Field]]/14*Crops[[#This Row],[Rows]]+1*BedLength/50</f>
        <v>3.8571428571428572</v>
      </c>
      <c r="CQ317" s="37">
        <f>_xlfn.XLOOKUP(Crops[[#This Row],[Crop]]&amp;Crops[[#This Row],[Product]]&amp;Crops[[#This Row],[Unit]],Products[ID],Products[Marketing (hr)])*Crops[[#This Row],[Direct Revenue Per Bed]]/2000</f>
        <v>5.4</v>
      </c>
      <c r="CR317" s="37">
        <f>_xlfn.XLOOKUP(Crops[[#This Row],[Crop]]&amp;Crops[[#This Row],[Product]]&amp;Crops[[#This Row],[Unit]],Products[ID],Products[Harvest (s)])*Crops[[#This Row],[Custom Yield Per Bed]]/3600</f>
        <v>3.3333333333333335</v>
      </c>
      <c r="CS317" s="37">
        <f>_xlfn.XLOOKUP(Crops[[#This Row],[Crop]]&amp;Crops[[#This Row],[Product]]&amp;Crops[[#This Row],[Unit]],Products[ID],Products[Bunch (s)])*Crops[[#This Row],[Custom Yield Per Bed]]/3600</f>
        <v>0</v>
      </c>
      <c r="CT317" s="37">
        <f>_xlfn.XLOOKUP(Crops[[#This Row],[Crop]]&amp;Crops[[#This Row],[Product]]&amp;Crops[[#This Row],[Unit]],Products[ID],Products[Haul (s)])*Crops[[#This Row],[Custom Yield Per Bed]]/3600</f>
        <v>1</v>
      </c>
      <c r="CU317" s="37">
        <f>_xlfn.XLOOKUP(Crops[[#This Row],[Crop]]&amp;Crops[[#This Row],[Product]]&amp;Crops[[#This Row],[Unit]],Products[ID],Products[Wash (s)])*Crops[[#This Row],[Custom Yield Per Bed]]/3600</f>
        <v>0</v>
      </c>
      <c r="CV317" s="37">
        <f>_xlfn.XLOOKUP(Crops[[#This Row],[Crop]]&amp;Crops[[#This Row],[Product]]&amp;Crops[[#This Row],[Unit]],Products[ID],Products[Condition (s)])*Crops[[#This Row],[Custom Yield Per Bed]]/3600</f>
        <v>0</v>
      </c>
      <c r="CW317" s="37">
        <f>_xlfn.XLOOKUP(Crops[[#This Row],[Crop]]&amp;Crops[[#This Row],[Product]]&amp;Crops[[#This Row],[Unit]],Products[ID],Products[Trim (s)])*Crops[[#This Row],[Custom Yield Per Bed]]/3600</f>
        <v>5</v>
      </c>
      <c r="CX317" s="37">
        <f>_xlfn.XLOOKUP(Crops[[#This Row],[Crop]]&amp;Crops[[#This Row],[Product]]&amp;Crops[[#This Row],[Unit]],Products[ID],Products[Pack (s)])*Crops[[#This Row],[Custom Yield Per Bed]]/3600</f>
        <v>1</v>
      </c>
      <c r="CY317" s="37">
        <f>_xlfn.XLOOKUP(Crops[[#This Row],[Crop]]&amp;Crops[[#This Row],[Product]]&amp;Crops[[#This Row],[Unit]],Products[ID],Products[Clean (s)])*Crops[[#This Row],[Custom Yield Per Bed]]/3600</f>
        <v>0</v>
      </c>
      <c r="CZ317" s="37">
        <f>_xlfn.XLOOKUP(Crops[[#This Row],[Crop]]&amp;Crops[[#This Row],[Product]]&amp;Crops[[#This Row],[Unit]],Products[ID],Products[Rehandle (s)])*Crops[[#This Row],[Custom Yield Per Bed]]/3600</f>
        <v>0</v>
      </c>
      <c r="DA317" s="37">
        <f>_xlfn.XLOOKUP(Crops[[#This Row],[Crop]]&amp;Crops[[#This Row],[Product]]&amp;Crops[[#This Row],[Unit]],Products[ID],Products[Market Transport (s)])*Crops[[#This Row],[Custom Yield Per Bed]]/3600</f>
        <v>2.5</v>
      </c>
      <c r="DC317" s="37">
        <f>Crops[[#This Row],[Direct Revenue Per Bed2]]</f>
        <v>1800</v>
      </c>
      <c r="DD317" s="173">
        <f>_xlfn.AGGREGATE(9,6,Crops[[#This Row],[Bed Prep]:[Remove Crop Residue]])</f>
        <v>23.790476190476191</v>
      </c>
      <c r="DE317" s="173">
        <f>_xlfn.AGGREGATE(9,6,Crops[[#This Row],[Bed Prep]:[Remove Crop Residue]])-0.75*Crops[[#This Row],[Market &amp; Sell]]</f>
        <v>19.740476190476191</v>
      </c>
      <c r="DF317" s="36">
        <f>Crops[[#This Row],[Direct Revenue Per Bed2]]/Crops[[#This Row],[Direct Time]]</f>
        <v>75.660528422738182</v>
      </c>
      <c r="DG317" s="36">
        <f>_xlfn.XLOOKUP(Crops[[#This Row],[ProductIndex]],Products[ID],Products[Packaging Cost])*(Crops[[#This Row],[Custom Yield Per Bed]]/_xlfn.XLOOKUP(Crops[[#This Row],[ProductIndex]],Products[ID],Products[Units Per Pack]))</f>
        <v>160</v>
      </c>
      <c r="DH317" s="36"/>
      <c r="DI317" s="36"/>
      <c r="DJ317" s="36"/>
      <c r="DK317" s="36"/>
      <c r="DL317" s="36"/>
      <c r="DM317" s="33">
        <f>IFERROR(Crops[[#This Row],[Custom Yield Per Bed]]*Crops[[#This Row],[Direct Price]],"")</f>
        <v>1800</v>
      </c>
      <c r="DN317" s="36">
        <f>Crops[[#This Row],[Direct Time]]*LaborRate</f>
        <v>594.76190476190482</v>
      </c>
      <c r="DO317" s="36">
        <f>SUM(Crops[[#This Row],[Irrigation Cost]])</f>
        <v>0</v>
      </c>
      <c r="DP317" s="36">
        <f>Crops[[#This Row],[Direct Labor Cost]]+Crops[[#This Row],[Direct Non-Labor Cost]]</f>
        <v>594.76190476190482</v>
      </c>
      <c r="DQ317" s="36">
        <f>Crops[[#This Row],[Direct Revenue Per Bed2]]-Crops[[#This Row],[Direct Total Cost]]</f>
        <v>1205.2380952380952</v>
      </c>
      <c r="DR317" s="36">
        <f>Crops[[#This Row],[Direct Profit]]*BedsPerAcre</f>
        <v>192838.09523809524</v>
      </c>
      <c r="DS317" s="36">
        <f>Crops[[#This Row],[Direct Profit]]*BedsPerAcre*GrowingDays/Crops[[#This Row],[Days In Field]]</f>
        <v>289257.14285714284</v>
      </c>
      <c r="DT317" s="36">
        <f>Crops[[#This Row],[Direct Profit]]/MIN(Crops[[#This Row],[Days In Field]],GrowingDays)</f>
        <v>10.043650793650793</v>
      </c>
      <c r="DU317" s="36">
        <f>Crops[[#This Row],[Direct Time]] * BedsPerAcre</f>
        <v>3806.4761904761908</v>
      </c>
      <c r="DV317" s="36">
        <f>(Crops[[#This Row],[Direct Revenue Per Bed2]]-Crops[[#This Row],[Direct Non-Labor Cost]])/Crops[[#This Row],[Direct Time]]</f>
        <v>75.660528422738182</v>
      </c>
      <c r="DW317" s="33">
        <f>IFERROR(Crops[[#This Row],[Custom Yield Per Bed]]*Crops[[#This Row],[Rough Wholesale Price]],"")</f>
        <v>1080</v>
      </c>
      <c r="DX317" s="36">
        <f>Crops[[#This Row],[Wholesale Time]]*LaborRate</f>
        <v>493.51190476190476</v>
      </c>
      <c r="DY317" s="36">
        <f>SUM(Crops[[#This Row],[Packaging Costs]:[Irrigation Cost]])</f>
        <v>160</v>
      </c>
      <c r="DZ317" s="36">
        <f>Crops[[#This Row],[Wholesale Labor Cost]]+Crops[[#This Row],[Wholesale Non-Labor Cost]]</f>
        <v>653.51190476190482</v>
      </c>
      <c r="EA317" s="36">
        <f>Crops[[#This Row],[Wholesale Revenue Per Bed]]-Crops[[#This Row],[Wholesale Total Cost]]</f>
        <v>426.48809523809518</v>
      </c>
      <c r="EB317" s="36">
        <f>Crops[[#This Row],[Wholesale Profit]]*BedsPerAcre</f>
        <v>68238.095238095237</v>
      </c>
      <c r="EC317" s="36">
        <f>Crops[[#This Row],[Wholesale Profit]]*BedsPerAcre*GrowingDays/Crops[[#This Row],[Days In Field]]</f>
        <v>102357.14285714286</v>
      </c>
      <c r="ED317" s="36">
        <f>Crops[[#This Row],[Wholesale Time]] * BedsPerAcre</f>
        <v>3158.4761904761904</v>
      </c>
      <c r="EE317" s="36">
        <f>Crops[[#This Row],[Wholesale Profit]]/MIN(Crops[[#This Row],[Days In Field]],GrowingDays)</f>
        <v>3.55406746031746</v>
      </c>
      <c r="EF317" s="36">
        <f>(Crops[[#This Row],[Wholesale Revenue Per Bed]]-Crops[[#This Row],[Wholesale Non-Labor Cost]])/Crops[[#This Row],[Direct Time]]</f>
        <v>38.670936749399516</v>
      </c>
      <c r="EG317" s="174">
        <f>Crops[[#This Row],[Packaging Costs]]/Crops[[#This Row],[Wholesale Revenue Per Bed]]</f>
        <v>0.14814814814814814</v>
      </c>
      <c r="EH317" s="36" t="str">
        <f>Crops[[#This Row],[Crop]]&amp;Crops[[#This Row],[Product]]&amp;Crops[[#This Row],[Unit]]</f>
        <v>SunflowerMature StemStem</v>
      </c>
      <c r="EI317" s="36" t="b">
        <f>_xlfn.XLOOKUP(Crops[[#This Row],[ProductIndex]],Products[ID],Products[Target])</f>
        <v>1</v>
      </c>
      <c r="EJ317" s="36">
        <f>Crops[[#This Row],[Custom Yield Per Bed]]</f>
        <v>1200</v>
      </c>
      <c r="EK317" s="210">
        <f>Crops[[#This Row],[Units Per Harvest]]/Crops[[#This Row],[Days Between Harvest]]*7</f>
        <v>200</v>
      </c>
      <c r="EL317" s="210" t="e">
        <f>Crops[[#This Row],[Custom Yield Per Bed]]/_xlfn.XLOOKUP(Crops[[#This Row],[ProductIndex]],Products[ID],Products[CSA Portion])</f>
        <v>#DIV/0!</v>
      </c>
      <c r="EM317" s="210" t="e">
        <f>Crops[[#This Row],[Units Per Harvest]]/Crops[[#This Row],[Days Between Harvest]]*7/_xlfn.XLOOKUP(Crops[[#This Row],[ProductIndex]],Products[ID],Products[CSA Portion])</f>
        <v>#DIV/0!</v>
      </c>
      <c r="EN317" s="210" t="e">
        <f>Crops[[#This Row],[CSA Portions Per Week]]/CSAMembers</f>
        <v>#DIV/0!</v>
      </c>
      <c r="EO317" s="210"/>
      <c r="EP317" s="210"/>
      <c r="EQ317" s="36"/>
      <c r="ER317" s="36">
        <f>Crops[[#This Row],[Harvests]]*Crops[[#This Row],[Days Between Harvest]]/7</f>
        <v>6</v>
      </c>
      <c r="ES317" s="208">
        <f>_xlfn.XLOOKUP(Crops[[#This Row],[ProductIndex]],Products[ID],Products[CSA Need])</f>
        <v>0</v>
      </c>
      <c r="ET317" s="208">
        <f>_xlfn.XLOOKUP(Crops[[#This Row],[ProductIndex]],Products[ID],Products[CSA Times])</f>
        <v>0</v>
      </c>
      <c r="EU317" s="208" t="e">
        <f>Crops[[#This Row],[Custom Yield Per Bed]]/(Crops[[#This Row],[CSA Need]]*(_xlfn.XLOOKUP(Crops[[#This Row],[ProductIndex]],Products[ID],Products[CSA Portion])*CSAMembers))</f>
        <v>#DIV/0!</v>
      </c>
      <c r="EV317" s="208">
        <f>_xlfn.XLOOKUP(Crops[[#This Row],[ProductIndex]],Products[ID],Products[CSA Portion])*CSAMembers*Crops[[#This Row],[CSA Need]]/Crops[[#This Row],[Custom Yield Per Bed]]</f>
        <v>0</v>
      </c>
      <c r="EW317" s="208">
        <f>IFERROR(Crops[[#This Row],[Days In Field]]*Crops[[#This Row],[CSA Beds]],"")</f>
        <v>0</v>
      </c>
      <c r="EX317" s="208" t="e">
        <f>Crops[[#This Row],[CSA Bed Days]]*#REF!</f>
        <v>#REF!</v>
      </c>
      <c r="EY317" t="s">
        <v>272</v>
      </c>
    </row>
    <row r="318" spans="1:155">
      <c r="A31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Sunflower (Procut) - Mature Stem 1X | Field DS SpSuFa</v>
      </c>
      <c r="B318" s="189"/>
      <c r="C318" s="1" t="b">
        <v>1</v>
      </c>
      <c r="D318" s="1"/>
      <c r="E318" s="1" t="b">
        <v>0</v>
      </c>
      <c r="F318" s="1" t="b">
        <f>IFERROR(IF(ISNUMBER(MATCH(Crops[[#This Row],[Identifier]],BedPlan[Crop], 0)), TRUE, FALSE), FALSE)</f>
        <v>0</v>
      </c>
      <c r="G318" s="1" t="b">
        <f>IFERROR(IF(ISNUMBER(MATCH(Crops[[#This Row],[Identifier]],BedPlan[Crop], 0)), TRUE, FALSE), FALSE)</f>
        <v>0</v>
      </c>
      <c r="H318" s="1" t="b">
        <v>1</v>
      </c>
      <c r="I318" t="s">
        <v>129</v>
      </c>
      <c r="J318" t="s">
        <v>175</v>
      </c>
      <c r="K318" t="s">
        <v>181</v>
      </c>
      <c r="N318" t="str">
        <f>Crops[[#This Row],[Crop]]</f>
        <v>Sunflower</v>
      </c>
      <c r="O318" t="s">
        <v>210</v>
      </c>
      <c r="P318" t="str">
        <f>IF(OR(Crops[[#This Row],[Days in Cells]]="",Crops[[#This Row],[Days in Cells]]=0), "DS","TP")</f>
        <v>DS</v>
      </c>
      <c r="Q318" t="s">
        <v>144</v>
      </c>
      <c r="R318" t="s">
        <v>144</v>
      </c>
      <c r="S318" t="s">
        <v>144</v>
      </c>
      <c r="V318" t="str">
        <f xml:space="preserve"> IF(Crops[[#This Row],[Sp]], "Sp", "") &amp; IF(Crops[[#This Row],[Su]], "Su", "") &amp; IF(Crops[[#This Row],[Fa]], "Fa", "") &amp; IF(Crops[[#This Row],[Wi]], "Wi", "") &amp; IF(Crops[[#This Row],[OW]], "Ow","")</f>
        <v>SpSuFa</v>
      </c>
      <c r="W318" t="s">
        <v>144</v>
      </c>
      <c r="X318">
        <v>6</v>
      </c>
      <c r="Y318">
        <v>4</v>
      </c>
      <c r="AD318" s="32">
        <f>IFERROR(12/Crops[[#This Row],[Spacing]]*Crops[[#This Row],[Rows]]*BedLength,"")</f>
        <v>900</v>
      </c>
      <c r="AE318">
        <v>1</v>
      </c>
      <c r="AG318">
        <f>IF(Crops[[#This Row],[Custom Safety Factor]]="",PlantingSafetyFactor,Crops[[#This Row],[Custom Safety Factor]])</f>
        <v>1.3</v>
      </c>
      <c r="AH318">
        <f>1</f>
        <v>1</v>
      </c>
      <c r="AI318" s="33">
        <f>IFERROR(Crops[[#This Row],[Plantings Per Bed]]*Crops[[#This Row],[Seeds Per Planting]]*Crops[[#This Row],[Safety Factor]]*Crops[[#This Row],[Seeding Factor]],"")</f>
        <v>1170</v>
      </c>
      <c r="AL318">
        <f>_xlfn.FLOOR.MATH(IFERROR(AVERAGE(Crops[[#This Row],[DTG Lower]:[DTG Upper]]),0))</f>
        <v>0</v>
      </c>
      <c r="AM318">
        <f>SUM(Crops[[#This Row],[Tray 1 Days]],Crops[[#This Row],[Tray 2 Days]],Crops[[#This Row],[Tray 3 Days]])</f>
        <v>0</v>
      </c>
      <c r="AP318">
        <v>0</v>
      </c>
      <c r="AQ318">
        <f>IFERROR(_xlfn.FLOOR.MATH(AVERAGE(Crops[[#This Row],[DTM Lower]:[DTM Upper]])),"")</f>
        <v>0</v>
      </c>
      <c r="AR318" cm="1">
        <f t="array" ref="AR318">_xlfn.SWITCH(Crops[[#This Row],[Normal Method]],"DS",Crops[[#This Row],[Days to Germination]]+Crops[[#This Row],[DTM]] + IF(Crops[[#This Row],[Days in Cells]]&gt;0,15,0), "TP",Crops[[#This Row],[DTM]]+Crops[[#This Row],[Days in Cells]] + IF(Crops[[#This Row],[Days in Cells]]&lt;=0,20,0), "X", Crops[[#This Row],[DTM]])</f>
        <v>0</v>
      </c>
      <c r="AS318" t="s">
        <v>338</v>
      </c>
      <c r="AT318">
        <f>(Crops[[#This Row],[Harvests]]-1)*Crops[[#This Row],[Days Between Harvest]]+7</f>
        <v>21</v>
      </c>
      <c r="AU318">
        <f>Crops[[#This Row],[STH]]-Crops[[#This Row],[Days in Cells]]+Crops[[#This Row],[Harvest window]]</f>
        <v>21</v>
      </c>
      <c r="AW318" t="s">
        <v>212</v>
      </c>
      <c r="AZ318" t="str">
        <f>IFERROR(IF(Crops[[#This Row],[Tray 1 Days]]=0,"",Crops[[#This Row],[Plantings Per Bed]]/Crops[[#This Row],[Tray 1 Size]]*Crops[[#This Row],[Safety Factor]]),"")</f>
        <v/>
      </c>
      <c r="BC318" t="str">
        <f>IFERROR(IF(Crops[[#This Row],[Tray 2 Days]]=0,"",Crops[[#This Row],[Plantings Per Bed]]/Crops[[#This Row],[Tray 2 Size]]*Crops[[#This Row],[Safety Factor]]),"")</f>
        <v/>
      </c>
      <c r="BE318" s="32" t="str">
        <f>IF(NOT(ISBLANK(Crops[[#This Row],[Tray 3 Size]])), Crops[[#This Row],[Days in Cells Old]]-SUM(Crops[[#This Row],[Tray 1 Days]],Crops[[#This Row],[Tray 2 Days]]), "")</f>
        <v/>
      </c>
      <c r="BF318" t="str">
        <f>IFERROR(IF(Crops[[#This Row],[Tray 3 Days]]=0,"",Crops[[#This Row],[Plantings Per Bed]]/Crops[[#This Row],[Tray 3 Size]]*Crops[[#This Row],[Safety Factor]]),"")</f>
        <v/>
      </c>
      <c r="BG318" s="33">
        <f>Crops[[#This Row],[Plantings Per Bed]]/Crops[[#This Row],[Harvests]]</f>
        <v>450</v>
      </c>
      <c r="BH318" s="33">
        <v>2</v>
      </c>
      <c r="BI318" s="33">
        <v>14</v>
      </c>
      <c r="BJ318" s="33">
        <f>_xlfn.XLOOKUP(Crops[[#This Row],[ProductIndex]],Products[ID],Products[Holding Period])</f>
        <v>0</v>
      </c>
      <c r="BK318" s="33"/>
      <c r="BL318" s="33">
        <f>Crops[[#This Row],[Units Per Harvest]]*Crops[[#This Row],[Harvests]]</f>
        <v>900</v>
      </c>
      <c r="BM318" s="35">
        <v>1.2</v>
      </c>
      <c r="BN318" s="35">
        <f>Crops[[#This Row],[Direct Price]]*0.6</f>
        <v>0.72</v>
      </c>
      <c r="BO318" s="35"/>
      <c r="BP318" t="s">
        <v>213</v>
      </c>
      <c r="BQ318">
        <f>Crops[[#This Row],[Custom Yield Per Bed]]*Crops[[#This Row],[Direct Price]]</f>
        <v>1080</v>
      </c>
      <c r="BR318" t="b">
        <v>0</v>
      </c>
      <c r="BS318" t="b">
        <f>Crops[[#This Row],[Harvests]]&gt;1</f>
        <v>1</v>
      </c>
      <c r="BT318" s="36">
        <f>IFERROR(Crops[[#This Row],[Direct Revenue Per Bed]]/Crops[[#This Row],[Days In Field]],-1)</f>
        <v>51.428571428571431</v>
      </c>
      <c r="BU318" s="36">
        <f>IFERROR(Crops[[#This Row],[Direct Revenue Per Bed Day]]*GrowingDays*BedsPerAcre,"")</f>
        <v>1481142.857142857</v>
      </c>
      <c r="BV318" s="38">
        <f>LastFrostDate-5*Crops[[#This Row],[Sewing Rel Last Frost]]</f>
        <v>45748</v>
      </c>
      <c r="BW318" s="38">
        <f>Crops[[#This Row],[Target Sewing Date]]+Crops[[#This Row],[Days in Cells]]</f>
        <v>45748</v>
      </c>
      <c r="BX318" s="38">
        <f>Crops[[#This Row],[Target Sewing Date]]+Crops[[#This Row],[STH]]</f>
        <v>45748</v>
      </c>
      <c r="BY318" s="38">
        <f>Crops[[#This Row],[Target Harvest Data]]+Crops[[#This Row],[Harvest window]]</f>
        <v>45769</v>
      </c>
      <c r="CB318">
        <f>1</f>
        <v>1</v>
      </c>
      <c r="CC318">
        <f>IF(Crops[[#This Row],[Transplanting]]&gt;0, 2, 3)*BedLength/StandardBedLength</f>
        <v>1.5</v>
      </c>
      <c r="CD318" s="173">
        <f>IF(Crops[[#This Row],[Days in Cells]]&lt;=0,0,Crops[[#This Row],[Plantings Per Bed]]/StartsPerHourSeeding+Crops[[#This Row],[Tray 1 Count]]*5/60)</f>
        <v>0</v>
      </c>
      <c r="CE318" s="173">
        <f>IF(ISBLANK(Crops[[#This Row],[Tray 2 Days]]),0,Crops[[#This Row],[Plantings Per Bed]]/UpPottingPerHour)+IF(Crops[[#This Row],[Tray 3 Days]]="",0,Crops[[#This Row],[Plantings Per Bed]]/UpPottingPerHour)</f>
        <v>0</v>
      </c>
      <c r="CF318" s="173">
        <f>IFERROR(Crops[[#This Row],[Tray 1 Count]]/HomeStartFlatIrrigationPerHour,0)*Crops[[#This Row],[Days in Cells]]/DaysBetweenStartIrrigation</f>
        <v>0</v>
      </c>
      <c r="CG318" s="173">
        <f>0.5/16*MAX(Crops[[#This Row],[Tray 1 Count]],Crops[[#This Row],[Tray 2 Count]],Crops[[#This Row],[Tray 3 Count]])</f>
        <v>0</v>
      </c>
      <c r="CH318" s="173">
        <f>IF(Crops[[#This Row],[Days in Cells]]&gt;0,IF(IF(Crops[[#This Row],[Tray 3 Size]]&gt;0,Crops[[#This Row],[Tray 3 Size]],IF(Crops[[#This Row],[Tray 2 Size]]&gt;0,Crops[[#This Row],[Tray 2 Size]],Crops[[#This Row],[Tray 1 Size]]))&lt;=18,LargeTransplantTime,SmallTransplantTime)*Crops[[#This Row],[Plantings Per Bed]],0)</f>
        <v>0</v>
      </c>
      <c r="CI318" s="173"/>
      <c r="CJ318" s="173">
        <f>_xlfn.XLOOKUP(Crops[[#This Row],[Trellis Type]],TrellisMethods[Trellis Type],TrellisMethods[Hours],0,0)</f>
        <v>0</v>
      </c>
      <c r="CK318">
        <f>IF(Crops[[#This Row],[Days in Cells]]&lt;=0,Crops[[#This Row],[Rows]]*1/10,0)*BedLength/50</f>
        <v>0.6</v>
      </c>
      <c r="CL318" cm="1">
        <f t="array" ref="CL318">_xlfn.SWITCH(Crops[[#This Row],[Irrigation]],"DR", 0.5, "OH", 0.25,0)*BedLength/50</f>
        <v>0</v>
      </c>
      <c r="CM318">
        <f>IF(OR(ISBLANK(Crops[[#This Row],[Row Cover]]),Crops[[#This Row],[Row Cover]]="None"),0,1)*BedLength/50</f>
        <v>0</v>
      </c>
      <c r="CN318" s="173">
        <f>HoursPerWeedingPass*Crops[[#This Row],[Days In Field]]/14*Crops[[#This Row],[Rows]]+1*BedLength/50</f>
        <v>2.5</v>
      </c>
      <c r="CQ318" s="37">
        <f>_xlfn.XLOOKUP(Crops[[#This Row],[Crop]]&amp;Crops[[#This Row],[Product]]&amp;Crops[[#This Row],[Unit]],Products[ID],Products[Marketing (hr)])*Crops[[#This Row],[Direct Revenue Per Bed]]/2000</f>
        <v>3.24</v>
      </c>
      <c r="CR318" s="37">
        <f>_xlfn.XLOOKUP(Crops[[#This Row],[Crop]]&amp;Crops[[#This Row],[Product]]&amp;Crops[[#This Row],[Unit]],Products[ID],Products[Harvest (s)])*Crops[[#This Row],[Custom Yield Per Bed]]/3600</f>
        <v>2.5</v>
      </c>
      <c r="CS318" s="37">
        <f>_xlfn.XLOOKUP(Crops[[#This Row],[Crop]]&amp;Crops[[#This Row],[Product]]&amp;Crops[[#This Row],[Unit]],Products[ID],Products[Bunch (s)])*Crops[[#This Row],[Custom Yield Per Bed]]/3600</f>
        <v>0</v>
      </c>
      <c r="CT318" s="37">
        <f>_xlfn.XLOOKUP(Crops[[#This Row],[Crop]]&amp;Crops[[#This Row],[Product]]&amp;Crops[[#This Row],[Unit]],Products[ID],Products[Haul (s)])*Crops[[#This Row],[Custom Yield Per Bed]]/3600</f>
        <v>0.75</v>
      </c>
      <c r="CU318" s="37">
        <f>_xlfn.XLOOKUP(Crops[[#This Row],[Crop]]&amp;Crops[[#This Row],[Product]]&amp;Crops[[#This Row],[Unit]],Products[ID],Products[Wash (s)])*Crops[[#This Row],[Custom Yield Per Bed]]/3600</f>
        <v>0</v>
      </c>
      <c r="CV318" s="37">
        <f>_xlfn.XLOOKUP(Crops[[#This Row],[Crop]]&amp;Crops[[#This Row],[Product]]&amp;Crops[[#This Row],[Unit]],Products[ID],Products[Condition (s)])*Crops[[#This Row],[Custom Yield Per Bed]]/3600</f>
        <v>0</v>
      </c>
      <c r="CW318" s="37">
        <f>_xlfn.XLOOKUP(Crops[[#This Row],[Crop]]&amp;Crops[[#This Row],[Product]]&amp;Crops[[#This Row],[Unit]],Products[ID],Products[Trim (s)])*Crops[[#This Row],[Custom Yield Per Bed]]/3600</f>
        <v>3.75</v>
      </c>
      <c r="CX318" s="37">
        <f>_xlfn.XLOOKUP(Crops[[#This Row],[Crop]]&amp;Crops[[#This Row],[Product]]&amp;Crops[[#This Row],[Unit]],Products[ID],Products[Pack (s)])*Crops[[#This Row],[Custom Yield Per Bed]]/3600</f>
        <v>0.75</v>
      </c>
      <c r="CY318" s="37">
        <f>_xlfn.XLOOKUP(Crops[[#This Row],[Crop]]&amp;Crops[[#This Row],[Product]]&amp;Crops[[#This Row],[Unit]],Products[ID],Products[Clean (s)])*Crops[[#This Row],[Custom Yield Per Bed]]/3600</f>
        <v>0</v>
      </c>
      <c r="CZ318" s="37">
        <f>_xlfn.XLOOKUP(Crops[[#This Row],[Crop]]&amp;Crops[[#This Row],[Product]]&amp;Crops[[#This Row],[Unit]],Products[ID],Products[Rehandle (s)])*Crops[[#This Row],[Custom Yield Per Bed]]/3600</f>
        <v>0</v>
      </c>
      <c r="DA318" s="37">
        <f>_xlfn.XLOOKUP(Crops[[#This Row],[Crop]]&amp;Crops[[#This Row],[Product]]&amp;Crops[[#This Row],[Unit]],Products[ID],Products[Market Transport (s)])*Crops[[#This Row],[Custom Yield Per Bed]]/3600</f>
        <v>1.875</v>
      </c>
      <c r="DC318" s="37">
        <f>Crops[[#This Row],[Direct Revenue Per Bed2]]</f>
        <v>1080</v>
      </c>
      <c r="DD318" s="173">
        <f>_xlfn.AGGREGATE(9,6,Crops[[#This Row],[Bed Prep]:[Remove Crop Residue]])</f>
        <v>17.465</v>
      </c>
      <c r="DE318" s="173">
        <f>_xlfn.AGGREGATE(9,6,Crops[[#This Row],[Bed Prep]:[Remove Crop Residue]])-0.75*Crops[[#This Row],[Market &amp; Sell]]</f>
        <v>15.035</v>
      </c>
      <c r="DF318" s="36">
        <f>Crops[[#This Row],[Direct Revenue Per Bed2]]/Crops[[#This Row],[Direct Time]]</f>
        <v>61.837961637560838</v>
      </c>
      <c r="DG318" s="36">
        <f>_xlfn.XLOOKUP(Crops[[#This Row],[ProductIndex]],Products[ID],Products[Packaging Cost])*(Crops[[#This Row],[Custom Yield Per Bed]]/_xlfn.XLOOKUP(Crops[[#This Row],[ProductIndex]],Products[ID],Products[Units Per Pack]))</f>
        <v>120</v>
      </c>
      <c r="DH318" s="36"/>
      <c r="DI318" s="36"/>
      <c r="DJ318" s="36"/>
      <c r="DK318" s="36"/>
      <c r="DL318" s="36"/>
      <c r="DM318" s="33">
        <f>IFERROR(Crops[[#This Row],[Custom Yield Per Bed]]*Crops[[#This Row],[Direct Price]],"")</f>
        <v>1080</v>
      </c>
      <c r="DN318" s="36">
        <f>Crops[[#This Row],[Direct Time]]*LaborRate</f>
        <v>436.625</v>
      </c>
      <c r="DO318" s="36">
        <f>SUM(Crops[[#This Row],[Irrigation Cost]])</f>
        <v>0</v>
      </c>
      <c r="DP318" s="36">
        <f>Crops[[#This Row],[Direct Labor Cost]]+Crops[[#This Row],[Direct Non-Labor Cost]]</f>
        <v>436.625</v>
      </c>
      <c r="DQ318" s="36">
        <f>Crops[[#This Row],[Direct Revenue Per Bed2]]-Crops[[#This Row],[Direct Total Cost]]</f>
        <v>643.375</v>
      </c>
      <c r="DR318" s="36">
        <f>Crops[[#This Row],[Direct Profit]]*BedsPerAcre</f>
        <v>102940</v>
      </c>
      <c r="DS318" s="36">
        <f>Crops[[#This Row],[Direct Profit]]*BedsPerAcre*GrowingDays/Crops[[#This Row],[Days In Field]]</f>
        <v>882342.85714285716</v>
      </c>
      <c r="DT318" s="36">
        <f>Crops[[#This Row],[Direct Profit]]/MIN(Crops[[#This Row],[Days In Field]],GrowingDays)</f>
        <v>30.636904761904763</v>
      </c>
      <c r="DU318" s="36">
        <f>Crops[[#This Row],[Direct Time]] * BedsPerAcre</f>
        <v>2794.4</v>
      </c>
      <c r="DV318" s="36">
        <f>(Crops[[#This Row],[Direct Revenue Per Bed2]]-Crops[[#This Row],[Direct Non-Labor Cost]])/Crops[[#This Row],[Direct Time]]</f>
        <v>61.837961637560838</v>
      </c>
      <c r="DW318" s="33">
        <f>IFERROR(Crops[[#This Row],[Custom Yield Per Bed]]*Crops[[#This Row],[Rough Wholesale Price]],"")</f>
        <v>648</v>
      </c>
      <c r="DX318" s="36">
        <f>Crops[[#This Row],[Wholesale Time]]*LaborRate</f>
        <v>375.875</v>
      </c>
      <c r="DY318" s="36">
        <f>SUM(Crops[[#This Row],[Packaging Costs]:[Irrigation Cost]])</f>
        <v>120</v>
      </c>
      <c r="DZ318" s="36">
        <f>Crops[[#This Row],[Wholesale Labor Cost]]+Crops[[#This Row],[Wholesale Non-Labor Cost]]</f>
        <v>495.875</v>
      </c>
      <c r="EA318" s="36">
        <f>Crops[[#This Row],[Wholesale Revenue Per Bed]]-Crops[[#This Row],[Wholesale Total Cost]]</f>
        <v>152.125</v>
      </c>
      <c r="EB318" s="36">
        <f>Crops[[#This Row],[Wholesale Profit]]*BedsPerAcre</f>
        <v>24340</v>
      </c>
      <c r="EC318" s="36">
        <f>Crops[[#This Row],[Wholesale Profit]]*BedsPerAcre*GrowingDays/Crops[[#This Row],[Days In Field]]</f>
        <v>208628.57142857142</v>
      </c>
      <c r="ED318" s="36">
        <f>Crops[[#This Row],[Wholesale Time]] * BedsPerAcre</f>
        <v>2405.6</v>
      </c>
      <c r="EE318" s="36">
        <f>Crops[[#This Row],[Wholesale Profit]]/MIN(Crops[[#This Row],[Days In Field]],GrowingDays)</f>
        <v>7.2440476190476186</v>
      </c>
      <c r="EF318" s="36">
        <f>(Crops[[#This Row],[Wholesale Revenue Per Bed]]-Crops[[#This Row],[Wholesale Non-Labor Cost]])/Crops[[#This Row],[Direct Time]]</f>
        <v>30.231892356140854</v>
      </c>
      <c r="EG318" s="174">
        <f>Crops[[#This Row],[Packaging Costs]]/Crops[[#This Row],[Wholesale Revenue Per Bed]]</f>
        <v>0.18518518518518517</v>
      </c>
      <c r="EH318" s="36" t="str">
        <f>Crops[[#This Row],[Crop]]&amp;Crops[[#This Row],[Product]]&amp;Crops[[#This Row],[Unit]]</f>
        <v>SunflowerMature StemStem</v>
      </c>
      <c r="EI318" s="36" t="b">
        <f>_xlfn.XLOOKUP(Crops[[#This Row],[ProductIndex]],Products[ID],Products[Target])</f>
        <v>1</v>
      </c>
      <c r="EJ318" s="36">
        <f>Crops[[#This Row],[Custom Yield Per Bed]]</f>
        <v>900</v>
      </c>
      <c r="EK318" s="210">
        <f>Crops[[#This Row],[Units Per Harvest]]/Crops[[#This Row],[Days Between Harvest]]*7</f>
        <v>225.00000000000003</v>
      </c>
      <c r="EL318" s="210" t="e">
        <f>Crops[[#This Row],[Custom Yield Per Bed]]/_xlfn.XLOOKUP(Crops[[#This Row],[ProductIndex]],Products[ID],Products[CSA Portion])</f>
        <v>#DIV/0!</v>
      </c>
      <c r="EM318" s="210" t="e">
        <f>Crops[[#This Row],[Units Per Harvest]]/Crops[[#This Row],[Days Between Harvest]]*7/_xlfn.XLOOKUP(Crops[[#This Row],[ProductIndex]],Products[ID],Products[CSA Portion])</f>
        <v>#DIV/0!</v>
      </c>
      <c r="EN318" s="210" t="e">
        <f>Crops[[#This Row],[CSA Portions Per Week]]/CSAMembers</f>
        <v>#DIV/0!</v>
      </c>
      <c r="EO318" s="210"/>
      <c r="EP318" s="210"/>
      <c r="EQ318" s="36"/>
      <c r="ER318" s="36">
        <f>Crops[[#This Row],[Harvests]]*Crops[[#This Row],[Days Between Harvest]]/7</f>
        <v>4</v>
      </c>
      <c r="ES318" s="208">
        <f>_xlfn.XLOOKUP(Crops[[#This Row],[ProductIndex]],Products[ID],Products[CSA Need])</f>
        <v>0</v>
      </c>
      <c r="ET318" s="208">
        <f>_xlfn.XLOOKUP(Crops[[#This Row],[ProductIndex]],Products[ID],Products[CSA Times])</f>
        <v>0</v>
      </c>
      <c r="EU318" s="208" t="e">
        <f>Crops[[#This Row],[Custom Yield Per Bed]]/(Crops[[#This Row],[CSA Need]]*(_xlfn.XLOOKUP(Crops[[#This Row],[ProductIndex]],Products[ID],Products[CSA Portion])*CSAMembers))</f>
        <v>#DIV/0!</v>
      </c>
      <c r="EV318" s="208">
        <f>_xlfn.XLOOKUP(Crops[[#This Row],[ProductIndex]],Products[ID],Products[CSA Portion])*CSAMembers*Crops[[#This Row],[CSA Need]]/Crops[[#This Row],[Custom Yield Per Bed]]</f>
        <v>0</v>
      </c>
      <c r="EW318" s="208">
        <f>IFERROR(Crops[[#This Row],[Days In Field]]*Crops[[#This Row],[CSA Beds]],"")</f>
        <v>0</v>
      </c>
      <c r="EX318" s="208" t="e">
        <f>Crops[[#This Row],[CSA Bed Days]]*#REF!</f>
        <v>#REF!</v>
      </c>
      <c r="EY318">
        <v>0</v>
      </c>
    </row>
    <row r="319" spans="1:155">
      <c r="A319"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Swiss Chard - Mature Leaf 1X | Field TP Ow</v>
      </c>
      <c r="B319" s="183"/>
      <c r="C319" s="1" t="b">
        <v>1</v>
      </c>
      <c r="D319" s="1"/>
      <c r="E319" s="1" t="b">
        <v>0</v>
      </c>
      <c r="F319" s="1" t="b">
        <f>IFERROR(IF(ISNUMBER(MATCH(Crops[[#This Row],[Identifier]],BedPlan[Crop], 0)), TRUE, FALSE), FALSE)</f>
        <v>0</v>
      </c>
      <c r="G319" s="1" t="b">
        <f>IFERROR(IF(ISNUMBER(MATCH(Crops[[#This Row],[Identifier]],BedPlan[Crop], 0)), TRUE, FALSE), FALSE)</f>
        <v>0</v>
      </c>
      <c r="H319" s="1"/>
      <c r="I319" t="s">
        <v>131</v>
      </c>
      <c r="J319" t="s">
        <v>145</v>
      </c>
      <c r="K319" t="s">
        <v>179</v>
      </c>
      <c r="M319" t="s">
        <v>441</v>
      </c>
      <c r="N319" t="str">
        <f>Crops[[#This Row],[Crop]]</f>
        <v>Swiss Chard</v>
      </c>
      <c r="O319" t="s">
        <v>210</v>
      </c>
      <c r="P319" t="str">
        <f>IF(OR(Crops[[#This Row],[Days in Cells]]="",Crops[[#This Row],[Days in Cells]]=0), "DS","TP")</f>
        <v>TP</v>
      </c>
      <c r="U319" t="s">
        <v>144</v>
      </c>
      <c r="V319" t="str">
        <f xml:space="preserve"> IF(Crops[[#This Row],[Sp]], "Sp", "") &amp; IF(Crops[[#This Row],[Su]], "Su", "") &amp; IF(Crops[[#This Row],[Fa]], "Fa", "") &amp; IF(Crops[[#This Row],[Wi]], "Wi", "") &amp; IF(Crops[[#This Row],[OW]], "Ow","")</f>
        <v>Ow</v>
      </c>
      <c r="X319">
        <v>2</v>
      </c>
      <c r="Y319">
        <v>18</v>
      </c>
      <c r="AB319" t="b">
        <v>1</v>
      </c>
      <c r="AC319">
        <v>2.5</v>
      </c>
      <c r="AD319" s="32">
        <f>IFERROR(12/Crops[[#This Row],[Spacing]]*Crops[[#This Row],[Rows]]*BedLength,"")</f>
        <v>66.666666666666657</v>
      </c>
      <c r="AE319">
        <v>1</v>
      </c>
      <c r="AG319">
        <f>IF(Crops[[#This Row],[Custom Safety Factor]]="",PlantingSafetyFactor,Crops[[#This Row],[Custom Safety Factor]])</f>
        <v>1.3</v>
      </c>
      <c r="AH319">
        <f>1</f>
        <v>1</v>
      </c>
      <c r="AI319" s="33">
        <f>IFERROR(Crops[[#This Row],[Plantings Per Bed]]*Crops[[#This Row],[Seeds Per Planting]]*Crops[[#This Row],[Safety Factor]]*Crops[[#This Row],[Seeding Factor]],"")</f>
        <v>86.666666666666657</v>
      </c>
      <c r="AL319">
        <f>_xlfn.FLOOR.MATH(IFERROR(AVERAGE(Crops[[#This Row],[DTG Lower]:[DTG Upper]]),0))</f>
        <v>0</v>
      </c>
      <c r="AM319">
        <f>SUM(Crops[[#This Row],[Tray 1 Days]],Crops[[#This Row],[Tray 2 Days]],Crops[[#This Row],[Tray 3 Days]])</f>
        <v>24</v>
      </c>
      <c r="AN319">
        <v>30</v>
      </c>
      <c r="AO319">
        <f>7*7</f>
        <v>49</v>
      </c>
      <c r="AP319">
        <f>10*7</f>
        <v>70</v>
      </c>
      <c r="AQ319">
        <f>IFERROR(_xlfn.FLOOR.MATH(AVERAGE(Crops[[#This Row],[DTM Lower]:[DTM Upper]])),"")</f>
        <v>59</v>
      </c>
      <c r="AR319" cm="1">
        <f t="array" ref="AR319">_xlfn.SWITCH(Crops[[#This Row],[Normal Method]],"DS",Crops[[#This Row],[Days to Germination]]+Crops[[#This Row],[DTM]] + IF(Crops[[#This Row],[Days in Cells]]&gt;0,15,0), "TP",Crops[[#This Row],[DTM]]+Crops[[#This Row],[Days in Cells]] + IF(Crops[[#This Row],[Days in Cells]]&lt;=0,20,0), "X", Crops[[#This Row],[DTM]])</f>
        <v>59</v>
      </c>
      <c r="AS319" t="s">
        <v>347</v>
      </c>
      <c r="AT319">
        <f>(Crops[[#This Row],[Harvests]]-1)*Crops[[#This Row],[Days Between Harvest]]+7</f>
        <v>205</v>
      </c>
      <c r="AU319">
        <f>Crops[[#This Row],[STH]]-Crops[[#This Row],[Days in Cells]]+Crops[[#This Row],[Harvest window]]</f>
        <v>240</v>
      </c>
      <c r="AV319">
        <v>128</v>
      </c>
      <c r="AW319">
        <v>128</v>
      </c>
      <c r="AX319">
        <v>128</v>
      </c>
      <c r="AY319">
        <v>24</v>
      </c>
      <c r="AZ319">
        <f>IFERROR(IF(Crops[[#This Row],[Tray 1 Days]]=0,"",Crops[[#This Row],[Plantings Per Bed]]/Crops[[#This Row],[Tray 1 Size]]*Crops[[#This Row],[Safety Factor]]),"")</f>
        <v>0.67708333333333326</v>
      </c>
      <c r="BC319" t="str">
        <f>IFERROR(IF(Crops[[#This Row],[Tray 2 Days]]=0,"",Crops[[#This Row],[Plantings Per Bed]]/Crops[[#This Row],[Tray 2 Size]]*Crops[[#This Row],[Safety Factor]]),"")</f>
        <v/>
      </c>
      <c r="BE319" s="32" t="str">
        <f>IF(NOT(ISBLANK(Crops[[#This Row],[Tray 3 Size]])), Crops[[#This Row],[Days in Cells Old]]-SUM(Crops[[#This Row],[Tray 1 Days]],Crops[[#This Row],[Tray 2 Days]]), "")</f>
        <v/>
      </c>
      <c r="BF319" t="str">
        <f>IFERROR(IF(Crops[[#This Row],[Tray 3 Days]]=0,"",Crops[[#This Row],[Plantings Per Bed]]/Crops[[#This Row],[Tray 3 Size]]*Crops[[#This Row],[Safety Factor]]),"")</f>
        <v/>
      </c>
      <c r="BG319" s="33">
        <f>Crops[[#This Row],[Plantings Per Bed]]/4</f>
        <v>16.666666666666664</v>
      </c>
      <c r="BH319" s="33">
        <v>7</v>
      </c>
      <c r="BI319" s="33">
        <v>33</v>
      </c>
      <c r="BJ319" s="33">
        <f>_xlfn.XLOOKUP(Crops[[#This Row],[ProductIndex]],Products[ID],Products[Holding Period])</f>
        <v>7</v>
      </c>
      <c r="BK319" s="33"/>
      <c r="BL319" s="33">
        <f>Crops[[#This Row],[Units Per Harvest]]*Crops[[#This Row],[Harvests]]</f>
        <v>116.66666666666666</v>
      </c>
      <c r="BM319" s="35">
        <v>3</v>
      </c>
      <c r="BN319" s="35">
        <v>1.75</v>
      </c>
      <c r="BO319" s="35"/>
      <c r="BP319" t="s">
        <v>215</v>
      </c>
      <c r="BQ319">
        <f>Crops[[#This Row],[Custom Yield Per Bed]]*Crops[[#This Row],[Direct Price]]</f>
        <v>350</v>
      </c>
      <c r="BS319" t="b">
        <f>Crops[[#This Row],[Harvests]]&gt;1</f>
        <v>1</v>
      </c>
      <c r="BT319" s="36">
        <f>IFERROR(Crops[[#This Row],[Direct Revenue Per Bed]]/Crops[[#This Row],[Days In Field]],-1)</f>
        <v>1.4583333333333333</v>
      </c>
      <c r="BU319" s="36">
        <f>IFERROR(Crops[[#This Row],[Direct Revenue Per Bed Day]]*GrowingDays*BedsPerAcre,"")</f>
        <v>42000</v>
      </c>
      <c r="BV319" s="38">
        <f>LastFrostDate-5*Crops[[#This Row],[Sewing Rel Last Frost]]</f>
        <v>45823</v>
      </c>
      <c r="BW319" s="38">
        <f>Crops[[#This Row],[Target Sewing Date]]+Crops[[#This Row],[Days in Cells]]</f>
        <v>45847</v>
      </c>
      <c r="BX319" s="38">
        <f>Crops[[#This Row],[Target Sewing Date]]+Crops[[#This Row],[STH]]</f>
        <v>45882</v>
      </c>
      <c r="BY319" s="38">
        <f>Crops[[#This Row],[Target Harvest Data]]+Crops[[#This Row],[Harvest window]]</f>
        <v>46087</v>
      </c>
      <c r="BZ319">
        <v>-15</v>
      </c>
      <c r="CA319" t="s">
        <v>373</v>
      </c>
      <c r="CB319">
        <f>1</f>
        <v>1</v>
      </c>
      <c r="CC319">
        <f>IF(Crops[[#This Row],[Transplanting]]&gt;0, 2, 3)*BedLength/StandardBedLength</f>
        <v>1</v>
      </c>
      <c r="CD319" s="173">
        <f>IF(Crops[[#This Row],[Days in Cells]]&lt;=0,0,Crops[[#This Row],[Plantings Per Bed]]/StartsPerHourSeeding+Crops[[#This Row],[Tray 1 Count]]*5/60)</f>
        <v>0.31684027777777773</v>
      </c>
      <c r="CE319" s="173">
        <f>IF(ISBLANK(Crops[[#This Row],[Tray 2 Days]]),0,Crops[[#This Row],[Plantings Per Bed]]/UpPottingPerHour)+IF(Crops[[#This Row],[Tray 3 Days]]="",0,Crops[[#This Row],[Plantings Per Bed]]/UpPottingPerHour)</f>
        <v>0</v>
      </c>
      <c r="CF319" s="173">
        <f>IFERROR(Crops[[#This Row],[Tray 1 Count]]/HomeStartFlatIrrigationPerHour,0)*Crops[[#This Row],[Days in Cells]]/DaysBetweenStartIrrigation</f>
        <v>6.7708333333333315E-2</v>
      </c>
      <c r="CG319" s="173">
        <f>0.5/16*MAX(Crops[[#This Row],[Tray 1 Count]],Crops[[#This Row],[Tray 2 Count]],Crops[[#This Row],[Tray 3 Count]])</f>
        <v>2.1158854166666664E-2</v>
      </c>
      <c r="CH319" s="173">
        <f>IF(Crops[[#This Row],[Days in Cells]]&gt;0,IF(IF(Crops[[#This Row],[Tray 3 Size]]&gt;0,Crops[[#This Row],[Tray 3 Size]],IF(Crops[[#This Row],[Tray 2 Size]]&gt;0,Crops[[#This Row],[Tray 2 Size]],Crops[[#This Row],[Tray 1 Size]]))&lt;=18,LargeTransplantTime,SmallTransplantTime)*Crops[[#This Row],[Plantings Per Bed]],0)</f>
        <v>0.33333333333333331</v>
      </c>
      <c r="CI319" s="173"/>
      <c r="CJ319" s="173">
        <f>_xlfn.XLOOKUP(Crops[[#This Row],[Trellis Type]],TrellisMethods[Trellis Type],TrellisMethods[Hours],0,0)</f>
        <v>0</v>
      </c>
      <c r="CK319">
        <f>IF(Crops[[#This Row],[Days in Cells]]&lt;=0,Crops[[#This Row],[Rows]]*1/10,0)*BedLength/50</f>
        <v>0</v>
      </c>
      <c r="CL319" cm="1">
        <f t="array" ref="CL319">_xlfn.SWITCH(Crops[[#This Row],[Irrigation]],"DR", 0.5, "OH", 0.25,0)*BedLength/50</f>
        <v>0</v>
      </c>
      <c r="CM319">
        <f>IF(OR(ISBLANK(Crops[[#This Row],[Row Cover]]),Crops[[#This Row],[Row Cover]]="None"),0,1)*BedLength/50</f>
        <v>0</v>
      </c>
      <c r="CN319" s="173">
        <f>HoursPerWeedingPass*Crops[[#This Row],[Days In Field]]/14*Crops[[#This Row],[Rows]]+1*BedLength/50</f>
        <v>6.7142857142857144</v>
      </c>
      <c r="CO319" s="49"/>
      <c r="CQ319" s="37">
        <f>_xlfn.XLOOKUP(Crops[[#This Row],[Crop]]&amp;Crops[[#This Row],[Product]]&amp;Crops[[#This Row],[Unit]],Products[ID],Products[Marketing (hr)])*Crops[[#This Row],[Direct Revenue Per Bed]]/2000</f>
        <v>0.52500000000000002</v>
      </c>
      <c r="CR319" s="37">
        <f>_xlfn.XLOOKUP(Crops[[#This Row],[Crop]]&amp;Crops[[#This Row],[Product]]&amp;Crops[[#This Row],[Unit]],Products[ID],Products[Harvest (s)])*Crops[[#This Row],[Custom Yield Per Bed]]/3600</f>
        <v>0.9722222222222221</v>
      </c>
      <c r="CS319" s="37">
        <f>_xlfn.XLOOKUP(Crops[[#This Row],[Crop]]&amp;Crops[[#This Row],[Product]]&amp;Crops[[#This Row],[Unit]],Products[ID],Products[Bunch (s)])*Crops[[#This Row],[Custom Yield Per Bed]]/3600</f>
        <v>0.32407407407407401</v>
      </c>
      <c r="CT319" s="37">
        <f>_xlfn.XLOOKUP(Crops[[#This Row],[Crop]]&amp;Crops[[#This Row],[Product]]&amp;Crops[[#This Row],[Unit]],Products[ID],Products[Haul (s)])*Crops[[#This Row],[Custom Yield Per Bed]]/3600</f>
        <v>0.12152777777777776</v>
      </c>
      <c r="CU319" s="37">
        <f>_xlfn.XLOOKUP(Crops[[#This Row],[Crop]]&amp;Crops[[#This Row],[Product]]&amp;Crops[[#This Row],[Unit]],Products[ID],Products[Wash (s)])*Crops[[#This Row],[Custom Yield Per Bed]]/3600</f>
        <v>0</v>
      </c>
      <c r="CV319" s="37">
        <f>_xlfn.XLOOKUP(Crops[[#This Row],[Crop]]&amp;Crops[[#This Row],[Product]]&amp;Crops[[#This Row],[Unit]],Products[ID],Products[Condition (s)])*Crops[[#This Row],[Custom Yield Per Bed]]/3600</f>
        <v>0.32407407407407401</v>
      </c>
      <c r="CW319" s="37">
        <f>_xlfn.XLOOKUP(Crops[[#This Row],[Crop]]&amp;Crops[[#This Row],[Product]]&amp;Crops[[#This Row],[Unit]],Products[ID],Products[Trim (s)])*Crops[[#This Row],[Custom Yield Per Bed]]/3600</f>
        <v>0.32407407407407401</v>
      </c>
      <c r="CX319" s="37">
        <f>_xlfn.XLOOKUP(Crops[[#This Row],[Crop]]&amp;Crops[[#This Row],[Product]]&amp;Crops[[#This Row],[Unit]],Products[ID],Products[Pack (s)])*Crops[[#This Row],[Custom Yield Per Bed]]/3600</f>
        <v>9.7222222222222224E-2</v>
      </c>
      <c r="CY319" s="37">
        <f>_xlfn.XLOOKUP(Crops[[#This Row],[Crop]]&amp;Crops[[#This Row],[Product]]&amp;Crops[[#This Row],[Unit]],Products[ID],Products[Clean (s)])*Crops[[#This Row],[Custom Yield Per Bed]]/3600</f>
        <v>0</v>
      </c>
      <c r="CZ319" s="37">
        <f>_xlfn.XLOOKUP(Crops[[#This Row],[Crop]]&amp;Crops[[#This Row],[Product]]&amp;Crops[[#This Row],[Unit]],Products[ID],Products[Rehandle (s)])*Crops[[#This Row],[Custom Yield Per Bed]]/3600</f>
        <v>0</v>
      </c>
      <c r="DA319" s="37">
        <f>_xlfn.XLOOKUP(Crops[[#This Row],[Crop]]&amp;Crops[[#This Row],[Product]]&amp;Crops[[#This Row],[Unit]],Products[ID],Products[Market Transport (s)])*Crops[[#This Row],[Custom Yield Per Bed]]/3600</f>
        <v>0.30381944444444442</v>
      </c>
      <c r="DC319" s="37">
        <f>Crops[[#This Row],[Direct Revenue Per Bed2]]</f>
        <v>350</v>
      </c>
      <c r="DD319" s="173">
        <f>_xlfn.AGGREGATE(9,6,Crops[[#This Row],[Bed Prep]:[Remove Crop Residue]])</f>
        <v>11.445340401785716</v>
      </c>
      <c r="DE319" s="173">
        <f>_xlfn.AGGREGATE(9,6,Crops[[#This Row],[Bed Prep]:[Remove Crop Residue]])-0.75*Crops[[#This Row],[Market &amp; Sell]]</f>
        <v>11.051590401785715</v>
      </c>
      <c r="DF319" s="36">
        <f>Crops[[#This Row],[Direct Revenue Per Bed2]]/Crops[[#This Row],[Direct Time]]</f>
        <v>30.580130228839028</v>
      </c>
      <c r="DG319" s="36">
        <f>_xlfn.XLOOKUP(Crops[[#This Row],[ProductIndex]],Products[ID],Products[Packaging Cost])*(Crops[[#This Row],[Custom Yield Per Bed]]/_xlfn.XLOOKUP(Crops[[#This Row],[ProductIndex]],Products[ID],Products[Units Per Pack]))</f>
        <v>18.472222222222221</v>
      </c>
      <c r="DH319" s="36"/>
      <c r="DI319" s="36"/>
      <c r="DJ319" s="36"/>
      <c r="DK319" s="36"/>
      <c r="DL319" s="36"/>
      <c r="DM319" s="33">
        <f>IFERROR(Crops[[#This Row],[Custom Yield Per Bed]]*Crops[[#This Row],[Direct Price]],"")</f>
        <v>350</v>
      </c>
      <c r="DN319" s="36">
        <f>Crops[[#This Row],[Direct Time]]*LaborRate</f>
        <v>286.13351004464289</v>
      </c>
      <c r="DO319" s="36">
        <f>SUM(Crops[[#This Row],[Irrigation Cost]])</f>
        <v>0</v>
      </c>
      <c r="DP319" s="36">
        <f>Crops[[#This Row],[Direct Labor Cost]]+Crops[[#This Row],[Direct Non-Labor Cost]]</f>
        <v>286.13351004464289</v>
      </c>
      <c r="DQ319" s="36">
        <f>Crops[[#This Row],[Direct Revenue Per Bed2]]-Crops[[#This Row],[Direct Total Cost]]</f>
        <v>63.86648995535711</v>
      </c>
      <c r="DR319" s="36">
        <f>Crops[[#This Row],[Direct Profit]]*BedsPerAcre</f>
        <v>10218.638392857138</v>
      </c>
      <c r="DS319" s="36">
        <f>Crops[[#This Row],[Direct Profit]]*BedsPerAcre*GrowingDays/Crops[[#This Row],[Days In Field]]</f>
        <v>7663.9787946428532</v>
      </c>
      <c r="DT319" s="36">
        <f>Crops[[#This Row],[Direct Profit]]/MIN(Crops[[#This Row],[Days In Field]],GrowingDays)</f>
        <v>0.35481383308531728</v>
      </c>
      <c r="DU319" s="33">
        <f>Crops[[#This Row],[Direct Time]] * BedsPerAcre</f>
        <v>1831.2544642857144</v>
      </c>
      <c r="DV319" s="36">
        <f>(Crops[[#This Row],[Direct Revenue Per Bed2]]-Crops[[#This Row],[Direct Non-Labor Cost]])/Crops[[#This Row],[Direct Time]]</f>
        <v>30.580130228839028</v>
      </c>
      <c r="DW319" s="33">
        <f>IFERROR(Crops[[#This Row],[Custom Yield Per Bed]]*Crops[[#This Row],[Rough Wholesale Price]],"")</f>
        <v>204.16666666666666</v>
      </c>
      <c r="DX319" s="36">
        <f>Crops[[#This Row],[Wholesale Time]]*LaborRate</f>
        <v>276.28976004464289</v>
      </c>
      <c r="DY319" s="36">
        <f>SUM(Crops[[#This Row],[Packaging Costs]:[Irrigation Cost]])</f>
        <v>18.472222222222221</v>
      </c>
      <c r="DZ319" s="36">
        <f>Crops[[#This Row],[Wholesale Labor Cost]]+Crops[[#This Row],[Wholesale Non-Labor Cost]]</f>
        <v>294.76198226686512</v>
      </c>
      <c r="EA319" s="36">
        <f>Crops[[#This Row],[Wholesale Revenue Per Bed]]-Crops[[#This Row],[Wholesale Total Cost]]</f>
        <v>-90.595315600198461</v>
      </c>
      <c r="EB319" s="36">
        <f>Crops[[#This Row],[Wholesale Profit]]*BedsPerAcre</f>
        <v>-14495.250496031753</v>
      </c>
      <c r="EC319" s="36">
        <f>Crops[[#This Row],[Wholesale Profit]]*BedsPerAcre*GrowingDays/Crops[[#This Row],[Days In Field]]</f>
        <v>-10871.437872023815</v>
      </c>
      <c r="ED319" s="33">
        <f>Crops[[#This Row],[Wholesale Time]] * BedsPerAcre</f>
        <v>1768.2544642857144</v>
      </c>
      <c r="EE319" s="221">
        <f>Crops[[#This Row],[Wholesale Profit]]/MIN(Crops[[#This Row],[Days In Field]],GrowingDays)</f>
        <v>-0.50330730888999142</v>
      </c>
      <c r="EF319" s="36">
        <f>(Crops[[#This Row],[Wholesale Revenue Per Bed]]-Crops[[#This Row],[Wholesale Non-Labor Cost]])/Crops[[#This Row],[Direct Time]]</f>
        <v>16.224457982522928</v>
      </c>
      <c r="EG319" s="174">
        <f>Crops[[#This Row],[Packaging Costs]]/Crops[[#This Row],[Wholesale Revenue Per Bed]]</f>
        <v>9.0476190476190474E-2</v>
      </c>
      <c r="EH319" s="36" t="str">
        <f>Crops[[#This Row],[Crop]]&amp;Crops[[#This Row],[Product]]&amp;Crops[[#This Row],[Unit]]</f>
        <v>Swiss ChardMature LeafBunch</v>
      </c>
      <c r="EI319" s="36" t="b">
        <f>_xlfn.XLOOKUP(Crops[[#This Row],[ProductIndex]],Products[ID],Products[Target])</f>
        <v>1</v>
      </c>
      <c r="EJ319" s="33">
        <f>Crops[[#This Row],[Custom Yield Per Bed]]</f>
        <v>116.66666666666666</v>
      </c>
      <c r="EK319" s="210">
        <f>Crops[[#This Row],[Units Per Harvest]]/Crops[[#This Row],[Days Between Harvest]]*7</f>
        <v>3.5353535353535346</v>
      </c>
      <c r="EL319" s="210">
        <f>Crops[[#This Row],[Custom Yield Per Bed]]/_xlfn.XLOOKUP(Crops[[#This Row],[ProductIndex]],Products[ID],Products[CSA Portion])</f>
        <v>116.66666666666666</v>
      </c>
      <c r="EM319" s="210">
        <f>Crops[[#This Row],[Units Per Harvest]]/Crops[[#This Row],[Days Between Harvest]]*7/_xlfn.XLOOKUP(Crops[[#This Row],[ProductIndex]],Products[ID],Products[CSA Portion])</f>
        <v>3.5353535353535346</v>
      </c>
      <c r="EN319" s="210">
        <f>Crops[[#This Row],[CSA Portions Per Week]]/CSAMembers</f>
        <v>7.0707070707070691E-2</v>
      </c>
      <c r="EO319" s="216"/>
      <c r="EP319" s="216"/>
      <c r="EQ319" s="210"/>
      <c r="ER319" s="210">
        <f>Crops[[#This Row],[Harvests]]*Crops[[#This Row],[Days Between Harvest]]/7</f>
        <v>33</v>
      </c>
      <c r="ES319" s="217">
        <f>_xlfn.XLOOKUP(Crops[[#This Row],[ProductIndex]],Products[ID],Products[CSA Need])</f>
        <v>2</v>
      </c>
      <c r="ET319" s="217">
        <f>_xlfn.XLOOKUP(Crops[[#This Row],[ProductIndex]],Products[ID],Products[CSA Times])</f>
        <v>2</v>
      </c>
      <c r="EU319" s="208">
        <f>Crops[[#This Row],[Custom Yield Per Bed]]/(Crops[[#This Row],[CSA Need]]*(_xlfn.XLOOKUP(Crops[[#This Row],[ProductIndex]],Products[ID],Products[CSA Portion])*CSAMembers))</f>
        <v>1.1666666666666665</v>
      </c>
      <c r="EV319" s="208">
        <f>_xlfn.XLOOKUP(Crops[[#This Row],[ProductIndex]],Products[ID],Products[CSA Portion])*CSAMembers*Crops[[#This Row],[CSA Need]]/Crops[[#This Row],[Custom Yield Per Bed]]</f>
        <v>0.85714285714285721</v>
      </c>
      <c r="EW319" s="208">
        <f>IFERROR(Crops[[#This Row],[Days In Field]]*Crops[[#This Row],[CSA Beds]],"")</f>
        <v>205.71428571428572</v>
      </c>
      <c r="EX319" s="208" t="e">
        <f>Crops[[#This Row],[CSA Bed Days]]*#REF!</f>
        <v>#REF!</v>
      </c>
      <c r="EY319" t="s">
        <v>1691</v>
      </c>
    </row>
    <row r="320" spans="1:155">
      <c r="A320"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Swiss Chard - Mature Leaf 1X | Field TP SpSuFa</v>
      </c>
      <c r="B320" s="183"/>
      <c r="C320" s="1" t="b">
        <v>1</v>
      </c>
      <c r="D320" s="1"/>
      <c r="E320" s="1" t="b">
        <v>0</v>
      </c>
      <c r="F320" s="1" t="b">
        <f>IFERROR(IF(ISNUMBER(MATCH(Crops[[#This Row],[Identifier]],BedPlan[Crop], 0)), TRUE, FALSE), FALSE)</f>
        <v>1</v>
      </c>
      <c r="G320" s="1" t="b">
        <f>IFERROR(IF(ISNUMBER(MATCH(Crops[[#This Row],[Identifier]],BedPlan[Crop], 0)), TRUE, FALSE), FALSE)</f>
        <v>1</v>
      </c>
      <c r="H320" s="1"/>
      <c r="I320" t="s">
        <v>131</v>
      </c>
      <c r="J320" t="s">
        <v>145</v>
      </c>
      <c r="K320" t="s">
        <v>179</v>
      </c>
      <c r="M320" t="s">
        <v>441</v>
      </c>
      <c r="N320" t="str">
        <f>Crops[[#This Row],[Crop]]</f>
        <v>Swiss Chard</v>
      </c>
      <c r="O320" t="s">
        <v>210</v>
      </c>
      <c r="P320" t="str">
        <f>IF(OR(Crops[[#This Row],[Days in Cells]]="",Crops[[#This Row],[Days in Cells]]=0), "DS","TP")</f>
        <v>TP</v>
      </c>
      <c r="Q320" t="s">
        <v>144</v>
      </c>
      <c r="R320" t="s">
        <v>144</v>
      </c>
      <c r="S320" t="s">
        <v>144</v>
      </c>
      <c r="V320" t="str">
        <f xml:space="preserve"> IF(Crops[[#This Row],[Sp]], "Sp", "") &amp; IF(Crops[[#This Row],[Su]], "Su", "") &amp; IF(Crops[[#This Row],[Fa]], "Fa", "") &amp; IF(Crops[[#This Row],[Wi]], "Wi", "") &amp; IF(Crops[[#This Row],[OW]], "Ow","")</f>
        <v>SpSuFa</v>
      </c>
      <c r="W320" t="s">
        <v>144</v>
      </c>
      <c r="X320">
        <v>2</v>
      </c>
      <c r="Y320">
        <v>18</v>
      </c>
      <c r="AB320" t="b">
        <v>1</v>
      </c>
      <c r="AC320">
        <v>2.5</v>
      </c>
      <c r="AD320" s="32">
        <f>IFERROR(12/Crops[[#This Row],[Spacing]]*Crops[[#This Row],[Rows]]*BedLength,"")</f>
        <v>66.666666666666657</v>
      </c>
      <c r="AE320">
        <v>1</v>
      </c>
      <c r="AG320">
        <v>1.1000000000000001</v>
      </c>
      <c r="AH320">
        <f>1</f>
        <v>1</v>
      </c>
      <c r="AI320" s="33">
        <f>IFERROR(Crops[[#This Row],[Plantings Per Bed]]*Crops[[#This Row],[Seeds Per Planting]]*Crops[[#This Row],[Safety Factor]]*Crops[[#This Row],[Seeding Factor]],"")</f>
        <v>73.333333333333329</v>
      </c>
      <c r="AL320">
        <f>_xlfn.FLOOR.MATH(IFERROR(AVERAGE(Crops[[#This Row],[DTG Lower]:[DTG Upper]]),0))</f>
        <v>0</v>
      </c>
      <c r="AM320">
        <f>SUM(Crops[[#This Row],[Tray 1 Days]],Crops[[#This Row],[Tray 2 Days]],Crops[[#This Row],[Tray 3 Days]])</f>
        <v>24</v>
      </c>
      <c r="AN320">
        <v>30</v>
      </c>
      <c r="AO320">
        <f>7*7</f>
        <v>49</v>
      </c>
      <c r="AP320">
        <f>10*7</f>
        <v>70</v>
      </c>
      <c r="AQ320">
        <f>9*7</f>
        <v>63</v>
      </c>
      <c r="AR320" cm="1">
        <f t="array" ref="AR320">_xlfn.SWITCH(Crops[[#This Row],[Normal Method]],"DS",Crops[[#This Row],[Days to Germination]]+Crops[[#This Row],[DTM]] + IF(Crops[[#This Row],[Days in Cells]]&gt;0,15,0), "TP",Crops[[#This Row],[DTM]]+Crops[[#This Row],[Days in Cells]] + IF(Crops[[#This Row],[Days in Cells]]&lt;=0,20,0), "X", Crops[[#This Row],[DTM]])</f>
        <v>63</v>
      </c>
      <c r="AS320" t="s">
        <v>347</v>
      </c>
      <c r="AT320">
        <f>(Crops[[#This Row],[Harvests]]-1)*Crops[[#This Row],[Days Between Harvest]]+7</f>
        <v>87</v>
      </c>
      <c r="AU320">
        <f>Crops[[#This Row],[STH]]-Crops[[#This Row],[Days in Cells]]+Crops[[#This Row],[Harvest window]]</f>
        <v>126</v>
      </c>
      <c r="AX320">
        <v>128</v>
      </c>
      <c r="AY320">
        <v>24</v>
      </c>
      <c r="AZ320">
        <f>IFERROR(IF(Crops[[#This Row],[Tray 1 Days]]=0,"",Crops[[#This Row],[Plantings Per Bed]]/Crops[[#This Row],[Tray 1 Size]]*Crops[[#This Row],[Safety Factor]]),"")</f>
        <v>0.57291666666666663</v>
      </c>
      <c r="BC320" t="str">
        <f>IFERROR(IF(Crops[[#This Row],[Tray 2 Days]]=0,"",Crops[[#This Row],[Plantings Per Bed]]/Crops[[#This Row],[Tray 2 Size]]*Crops[[#This Row],[Safety Factor]]),"")</f>
        <v/>
      </c>
      <c r="BE320" s="32" t="str">
        <f>IF(NOT(ISBLANK(Crops[[#This Row],[Tray 3 Size]])), Crops[[#This Row],[Days in Cells Old]]-SUM(Crops[[#This Row],[Tray 1 Days]],Crops[[#This Row],[Tray 2 Days]]), "")</f>
        <v/>
      </c>
      <c r="BF320" t="str">
        <f>IFERROR(IF(Crops[[#This Row],[Tray 3 Days]]=0,"",Crops[[#This Row],[Plantings Per Bed]]/Crops[[#This Row],[Tray 3 Size]]*Crops[[#This Row],[Safety Factor]]),"")</f>
        <v/>
      </c>
      <c r="BG320" s="33">
        <f>Crops[[#This Row],[Plantings Per Bed]]/4</f>
        <v>16.666666666666664</v>
      </c>
      <c r="BH320" s="33">
        <f>84/Crops[[#This Row],[Days Between Harvest]]</f>
        <v>21</v>
      </c>
      <c r="BI320" s="33">
        <v>4</v>
      </c>
      <c r="BJ320" s="33">
        <f>_xlfn.XLOOKUP(Crops[[#This Row],[ProductIndex]],Products[ID],Products[Holding Period])</f>
        <v>7</v>
      </c>
      <c r="BK320" s="33"/>
      <c r="BL320" s="33">
        <f>Crops[[#This Row],[Units Per Harvest]]*Crops[[#This Row],[Harvests]]</f>
        <v>349.99999999999994</v>
      </c>
      <c r="BM320" s="35">
        <v>3</v>
      </c>
      <c r="BN320" s="35">
        <v>1.75</v>
      </c>
      <c r="BO320" s="35"/>
      <c r="BP320" t="s">
        <v>215</v>
      </c>
      <c r="BQ320">
        <f>Crops[[#This Row],[Custom Yield Per Bed]]*Crops[[#This Row],[Direct Price]]</f>
        <v>1049.9999999999998</v>
      </c>
      <c r="BS320" t="b">
        <f>Crops[[#This Row],[Harvests]]&gt;1</f>
        <v>1</v>
      </c>
      <c r="BT320" s="36">
        <f>IFERROR(Crops[[#This Row],[Direct Revenue Per Bed]]/Crops[[#This Row],[Days In Field]],-1)</f>
        <v>8.3333333333333321</v>
      </c>
      <c r="BU320" s="36">
        <f>IFERROR(Crops[[#This Row],[Direct Revenue Per Bed Day]]*GrowingDays*BedsPerAcre,"")</f>
        <v>239999.99999999997</v>
      </c>
      <c r="BV320" s="38">
        <f>LastFrostDate-5*Crops[[#This Row],[Sewing Rel Last Frost]]</f>
        <v>45768</v>
      </c>
      <c r="BW320" s="38">
        <f>Crops[[#This Row],[Target Sewing Date]]+Crops[[#This Row],[Days in Cells]]</f>
        <v>45792</v>
      </c>
      <c r="BX320" s="38">
        <f>Crops[[#This Row],[Target Sewing Date]]+Crops[[#This Row],[STH]]</f>
        <v>45831</v>
      </c>
      <c r="BY320" s="38">
        <f>Crops[[#This Row],[Target Harvest Data]]+Crops[[#This Row],[Harvest window]]</f>
        <v>45918</v>
      </c>
      <c r="BZ320">
        <v>-4</v>
      </c>
      <c r="CA320" t="s">
        <v>373</v>
      </c>
      <c r="CB320">
        <f>1</f>
        <v>1</v>
      </c>
      <c r="CC320">
        <f>IF(Crops[[#This Row],[Transplanting]]&gt;0, 2, 3)*BedLength/StandardBedLength</f>
        <v>1</v>
      </c>
      <c r="CD320" s="173">
        <f>IF(Crops[[#This Row],[Days in Cells]]&lt;=0,0,Crops[[#This Row],[Plantings Per Bed]]/StartsPerHourSeeding+Crops[[#This Row],[Tray 1 Count]]*5/60)</f>
        <v>0.30815972222222221</v>
      </c>
      <c r="CE320" s="173">
        <f>IF(ISBLANK(Crops[[#This Row],[Tray 2 Days]]),0,Crops[[#This Row],[Plantings Per Bed]]/UpPottingPerHour)+IF(Crops[[#This Row],[Tray 3 Days]]="",0,Crops[[#This Row],[Plantings Per Bed]]/UpPottingPerHour)</f>
        <v>0</v>
      </c>
      <c r="CF320" s="173">
        <f>IFERROR(Crops[[#This Row],[Tray 1 Count]]/HomeStartFlatIrrigationPerHour,0)*Crops[[#This Row],[Days in Cells]]/DaysBetweenStartIrrigation</f>
        <v>5.7291666666666657E-2</v>
      </c>
      <c r="CG320" s="173">
        <f>0.5/16*MAX(Crops[[#This Row],[Tray 1 Count]],Crops[[#This Row],[Tray 2 Count]],Crops[[#This Row],[Tray 3 Count]])</f>
        <v>1.7903645833333332E-2</v>
      </c>
      <c r="CH320" s="173">
        <f>IF(Crops[[#This Row],[Days in Cells]]&gt;0,IF(IF(Crops[[#This Row],[Tray 3 Size]]&gt;0,Crops[[#This Row],[Tray 3 Size]],IF(Crops[[#This Row],[Tray 2 Size]]&gt;0,Crops[[#This Row],[Tray 2 Size]],Crops[[#This Row],[Tray 1 Size]]))&lt;=18,LargeTransplantTime,SmallTransplantTime)*Crops[[#This Row],[Plantings Per Bed]],0)</f>
        <v>0.33333333333333331</v>
      </c>
      <c r="CI320" s="173"/>
      <c r="CJ320" s="173">
        <f>_xlfn.XLOOKUP(Crops[[#This Row],[Trellis Type]],TrellisMethods[Trellis Type],TrellisMethods[Hours],0,0)</f>
        <v>0</v>
      </c>
      <c r="CK320">
        <f>IF(Crops[[#This Row],[Days in Cells]]&lt;=0,Crops[[#This Row],[Rows]]*1/10,0)*BedLength/50</f>
        <v>0</v>
      </c>
      <c r="CL320" cm="1">
        <f t="array" ref="CL320">_xlfn.SWITCH(Crops[[#This Row],[Irrigation]],"DR", 0.5, "OH", 0.25,0)*BedLength/50</f>
        <v>0</v>
      </c>
      <c r="CM320">
        <f>IF(OR(ISBLANK(Crops[[#This Row],[Row Cover]]),Crops[[#This Row],[Row Cover]]="None"),0,1)*BedLength/50</f>
        <v>0</v>
      </c>
      <c r="CN320" s="173">
        <f>HoursPerWeedingPass*Crops[[#This Row],[Days In Field]]/14*Crops[[#This Row],[Rows]]+1*BedLength/50</f>
        <v>4</v>
      </c>
      <c r="CO320" s="49"/>
      <c r="CQ320" s="37">
        <f>_xlfn.XLOOKUP(Crops[[#This Row],[Crop]]&amp;Crops[[#This Row],[Product]]&amp;Crops[[#This Row],[Unit]],Products[ID],Products[Marketing (hr)])*Crops[[#This Row],[Direct Revenue Per Bed]]/2000</f>
        <v>1.5749999999999995</v>
      </c>
      <c r="CR320" s="37">
        <f>_xlfn.XLOOKUP(Crops[[#This Row],[Crop]]&amp;Crops[[#This Row],[Product]]&amp;Crops[[#This Row],[Unit]],Products[ID],Products[Harvest (s)])*Crops[[#This Row],[Custom Yield Per Bed]]/3600</f>
        <v>2.9166666666666661</v>
      </c>
      <c r="CS320" s="37">
        <f>_xlfn.XLOOKUP(Crops[[#This Row],[Crop]]&amp;Crops[[#This Row],[Product]]&amp;Crops[[#This Row],[Unit]],Products[ID],Products[Bunch (s)])*Crops[[#This Row],[Custom Yield Per Bed]]/3600</f>
        <v>0.9722222222222221</v>
      </c>
      <c r="CT320" s="37">
        <f>_xlfn.XLOOKUP(Crops[[#This Row],[Crop]]&amp;Crops[[#This Row],[Product]]&amp;Crops[[#This Row],[Unit]],Products[ID],Products[Haul (s)])*Crops[[#This Row],[Custom Yield Per Bed]]/3600</f>
        <v>0.36458333333333326</v>
      </c>
      <c r="CU320" s="37">
        <f>_xlfn.XLOOKUP(Crops[[#This Row],[Crop]]&amp;Crops[[#This Row],[Product]]&amp;Crops[[#This Row],[Unit]],Products[ID],Products[Wash (s)])*Crops[[#This Row],[Custom Yield Per Bed]]/3600</f>
        <v>0</v>
      </c>
      <c r="CV320" s="37">
        <f>_xlfn.XLOOKUP(Crops[[#This Row],[Crop]]&amp;Crops[[#This Row],[Product]]&amp;Crops[[#This Row],[Unit]],Products[ID],Products[Condition (s)])*Crops[[#This Row],[Custom Yield Per Bed]]/3600</f>
        <v>0.9722222222222221</v>
      </c>
      <c r="CW320" s="37">
        <f>_xlfn.XLOOKUP(Crops[[#This Row],[Crop]]&amp;Crops[[#This Row],[Product]]&amp;Crops[[#This Row],[Unit]],Products[ID],Products[Trim (s)])*Crops[[#This Row],[Custom Yield Per Bed]]/3600</f>
        <v>0.9722222222222221</v>
      </c>
      <c r="CX320" s="37">
        <f>_xlfn.XLOOKUP(Crops[[#This Row],[Crop]]&amp;Crops[[#This Row],[Product]]&amp;Crops[[#This Row],[Unit]],Products[ID],Products[Pack (s)])*Crops[[#This Row],[Custom Yield Per Bed]]/3600</f>
        <v>0.29166666666666663</v>
      </c>
      <c r="CY320" s="37">
        <f>_xlfn.XLOOKUP(Crops[[#This Row],[Crop]]&amp;Crops[[#This Row],[Product]]&amp;Crops[[#This Row],[Unit]],Products[ID],Products[Clean (s)])*Crops[[#This Row],[Custom Yield Per Bed]]/3600</f>
        <v>0</v>
      </c>
      <c r="CZ320" s="37">
        <f>_xlfn.XLOOKUP(Crops[[#This Row],[Crop]]&amp;Crops[[#This Row],[Product]]&amp;Crops[[#This Row],[Unit]],Products[ID],Products[Rehandle (s)])*Crops[[#This Row],[Custom Yield Per Bed]]/3600</f>
        <v>0</v>
      </c>
      <c r="DA320" s="37">
        <f>_xlfn.XLOOKUP(Crops[[#This Row],[Crop]]&amp;Crops[[#This Row],[Product]]&amp;Crops[[#This Row],[Unit]],Products[ID],Products[Market Transport (s)])*Crops[[#This Row],[Custom Yield Per Bed]]/3600</f>
        <v>0.91145833333333326</v>
      </c>
      <c r="DC320" s="37">
        <f>Crops[[#This Row],[Direct Revenue Per Bed2]]</f>
        <v>1049.9999999999998</v>
      </c>
      <c r="DD320" s="173">
        <f>_xlfn.AGGREGATE(9,6,Crops[[#This Row],[Bed Prep]:[Remove Crop Residue]])</f>
        <v>14.692730034722219</v>
      </c>
      <c r="DE320" s="173">
        <f>_xlfn.AGGREGATE(9,6,Crops[[#This Row],[Bed Prep]:[Remove Crop Residue]])-0.75*Crops[[#This Row],[Market &amp; Sell]]</f>
        <v>13.511480034722219</v>
      </c>
      <c r="DF320" s="36">
        <f>Crops[[#This Row],[Direct Revenue Per Bed2]]/Crops[[#This Row],[Direct Time]]</f>
        <v>71.463914297657013</v>
      </c>
      <c r="DG320" s="36">
        <f>_xlfn.XLOOKUP(Crops[[#This Row],[ProductIndex]],Products[ID],Products[Packaging Cost])*(Crops[[#This Row],[Custom Yield Per Bed]]/_xlfn.XLOOKUP(Crops[[#This Row],[ProductIndex]],Products[ID],Products[Units Per Pack]))</f>
        <v>55.41666666666665</v>
      </c>
      <c r="DH320" s="36"/>
      <c r="DI320" s="36"/>
      <c r="DJ320" s="36"/>
      <c r="DK320" s="36"/>
      <c r="DL320" s="36"/>
      <c r="DM320" s="33">
        <f>IFERROR(Crops[[#This Row],[Custom Yield Per Bed]]*Crops[[#This Row],[Direct Price]],"")</f>
        <v>1049.9999999999998</v>
      </c>
      <c r="DN320" s="36">
        <f>Crops[[#This Row],[Direct Time]]*LaborRate</f>
        <v>367.31825086805549</v>
      </c>
      <c r="DO320" s="36">
        <f>SUM(Crops[[#This Row],[Irrigation Cost]])</f>
        <v>0</v>
      </c>
      <c r="DP320" s="36">
        <f>Crops[[#This Row],[Direct Labor Cost]]+Crops[[#This Row],[Direct Non-Labor Cost]]</f>
        <v>367.31825086805549</v>
      </c>
      <c r="DQ320" s="36">
        <f>Crops[[#This Row],[Direct Revenue Per Bed2]]-Crops[[#This Row],[Direct Total Cost]]</f>
        <v>682.68174913194434</v>
      </c>
      <c r="DR320" s="36">
        <f>Crops[[#This Row],[Direct Profit]]*BedsPerAcre</f>
        <v>109229.07986111109</v>
      </c>
      <c r="DS320" s="36">
        <f>Crops[[#This Row],[Direct Profit]]*BedsPerAcre*GrowingDays/Crops[[#This Row],[Days In Field]]</f>
        <v>156041.54265873012</v>
      </c>
      <c r="DT320" s="36">
        <f>Crops[[#This Row],[Direct Profit]]/MIN(Crops[[#This Row],[Days In Field]],GrowingDays)</f>
        <v>5.4181091200947966</v>
      </c>
      <c r="DU320" s="33">
        <f>Crops[[#This Row],[Direct Time]] * BedsPerAcre</f>
        <v>2350.8368055555552</v>
      </c>
      <c r="DV320" s="36">
        <f>(Crops[[#This Row],[Direct Revenue Per Bed2]]-Crops[[#This Row],[Direct Non-Labor Cost]])/Crops[[#This Row],[Direct Time]]</f>
        <v>71.463914297657013</v>
      </c>
      <c r="DW320" s="33">
        <f>IFERROR(Crops[[#This Row],[Custom Yield Per Bed]]*Crops[[#This Row],[Rough Wholesale Price]],"")</f>
        <v>612.49999999999989</v>
      </c>
      <c r="DX320" s="36">
        <f>Crops[[#This Row],[Wholesale Time]]*LaborRate</f>
        <v>337.78700086805549</v>
      </c>
      <c r="DY320" s="36">
        <f>SUM(Crops[[#This Row],[Packaging Costs]:[Irrigation Cost]])</f>
        <v>55.41666666666665</v>
      </c>
      <c r="DZ320" s="36">
        <f>Crops[[#This Row],[Wholesale Labor Cost]]+Crops[[#This Row],[Wholesale Non-Labor Cost]]</f>
        <v>393.20366753472211</v>
      </c>
      <c r="EA320" s="36">
        <f>Crops[[#This Row],[Wholesale Revenue Per Bed]]-Crops[[#This Row],[Wholesale Total Cost]]</f>
        <v>219.29633246527777</v>
      </c>
      <c r="EB320" s="36">
        <f>Crops[[#This Row],[Wholesale Profit]]*BedsPerAcre</f>
        <v>35087.413194444445</v>
      </c>
      <c r="EC320" s="36">
        <f>Crops[[#This Row],[Wholesale Profit]]*BedsPerAcre*GrowingDays/Crops[[#This Row],[Days In Field]]</f>
        <v>50124.875992063491</v>
      </c>
      <c r="ED320" s="33">
        <f>Crops[[#This Row],[Wholesale Time]] * BedsPerAcre</f>
        <v>2161.8368055555547</v>
      </c>
      <c r="EE320" s="221">
        <f>Crops[[#This Row],[Wholesale Profit]]/MIN(Crops[[#This Row],[Days In Field]],GrowingDays)</f>
        <v>1.7404470830577601</v>
      </c>
      <c r="EF320" s="36">
        <f>(Crops[[#This Row],[Wholesale Revenue Per Bed]]-Crops[[#This Row],[Wholesale Non-Labor Cost]])/Crops[[#This Row],[Direct Time]]</f>
        <v>37.915576752368025</v>
      </c>
      <c r="EG320" s="174">
        <f>Crops[[#This Row],[Packaging Costs]]/Crops[[#This Row],[Wholesale Revenue Per Bed]]</f>
        <v>9.047619047619046E-2</v>
      </c>
      <c r="EH320" s="36" t="str">
        <f>Crops[[#This Row],[Crop]]&amp;Crops[[#This Row],[Product]]&amp;Crops[[#This Row],[Unit]]</f>
        <v>Swiss ChardMature LeafBunch</v>
      </c>
      <c r="EI320" s="36" t="b">
        <f>_xlfn.XLOOKUP(Crops[[#This Row],[ProductIndex]],Products[ID],Products[Target])</f>
        <v>1</v>
      </c>
      <c r="EJ320" s="33">
        <f>Crops[[#This Row],[Custom Yield Per Bed]]</f>
        <v>349.99999999999994</v>
      </c>
      <c r="EK320" s="210">
        <f>Crops[[#This Row],[Units Per Harvest]]/Crops[[#This Row],[Days Between Harvest]]*7</f>
        <v>29.166666666666664</v>
      </c>
      <c r="EL320" s="210">
        <f>Crops[[#This Row],[Custom Yield Per Bed]]/_xlfn.XLOOKUP(Crops[[#This Row],[ProductIndex]],Products[ID],Products[CSA Portion])</f>
        <v>349.99999999999994</v>
      </c>
      <c r="EM320" s="210">
        <f>Crops[[#This Row],[Units Per Harvest]]/Crops[[#This Row],[Days Between Harvest]]*7/_xlfn.XLOOKUP(Crops[[#This Row],[ProductIndex]],Products[ID],Products[CSA Portion])</f>
        <v>29.166666666666664</v>
      </c>
      <c r="EN320" s="210">
        <f>Crops[[#This Row],[CSA Portions Per Week]]/CSAMembers</f>
        <v>0.58333333333333326</v>
      </c>
      <c r="EO320" s="216">
        <v>1</v>
      </c>
      <c r="EP320" s="216">
        <v>1</v>
      </c>
      <c r="EQ320" s="210"/>
      <c r="ER320" s="210">
        <f>Crops[[#This Row],[Harvests]]*Crops[[#This Row],[Days Between Harvest]]/7</f>
        <v>12</v>
      </c>
      <c r="ES320" s="217">
        <f>_xlfn.XLOOKUP(Crops[[#This Row],[ProductIndex]],Products[ID],Products[CSA Need])</f>
        <v>2</v>
      </c>
      <c r="ET320" s="217">
        <f>_xlfn.XLOOKUP(Crops[[#This Row],[ProductIndex]],Products[ID],Products[CSA Times])</f>
        <v>2</v>
      </c>
      <c r="EU320" s="208">
        <f>Crops[[#This Row],[Custom Yield Per Bed]]/(Crops[[#This Row],[CSA Need]]*(_xlfn.XLOOKUP(Crops[[#This Row],[ProductIndex]],Products[ID],Products[CSA Portion])*CSAMembers))</f>
        <v>3.4999999999999996</v>
      </c>
      <c r="EV320" s="208">
        <f>_xlfn.XLOOKUP(Crops[[#This Row],[ProductIndex]],Products[ID],Products[CSA Portion])*CSAMembers*Crops[[#This Row],[CSA Need]]/Crops[[#This Row],[Custom Yield Per Bed]]</f>
        <v>0.28571428571428575</v>
      </c>
      <c r="EW320" s="208">
        <f>IFERROR(Crops[[#This Row],[Days In Field]]*Crops[[#This Row],[CSA Beds]],"")</f>
        <v>36.000000000000007</v>
      </c>
      <c r="EX320" s="208" t="e">
        <f>Crops[[#This Row],[CSA Bed Days]]*#REF!</f>
        <v>#REF!</v>
      </c>
      <c r="EY320" t="s">
        <v>1690</v>
      </c>
    </row>
    <row r="321" spans="1:155">
      <c r="A32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Talinum - Mature Stem 1X | Field TP SpSu</v>
      </c>
      <c r="B321" s="189"/>
      <c r="C321" s="1" t="b">
        <v>0</v>
      </c>
      <c r="D321" s="1"/>
      <c r="E321" s="1" t="b">
        <v>0</v>
      </c>
      <c r="F321" s="1" t="b">
        <f>IFERROR(IF(ISNUMBER(MATCH(Crops[[#This Row],[Identifier]],BedPlan[Crop], 0)), TRUE, FALSE), FALSE)</f>
        <v>0</v>
      </c>
      <c r="G321" s="1" t="b">
        <f>IFERROR(IF(ISNUMBER(MATCH(Crops[[#This Row],[Identifier]],BedPlan[Crop], 0)), TRUE, FALSE), FALSE)</f>
        <v>0</v>
      </c>
      <c r="H321" s="1"/>
      <c r="I321" t="s">
        <v>1791</v>
      </c>
      <c r="J321" t="s">
        <v>145</v>
      </c>
      <c r="K321" t="s">
        <v>181</v>
      </c>
      <c r="M321" t="s">
        <v>406</v>
      </c>
      <c r="N321" t="str">
        <f>Crops[[#This Row],[Crop]]</f>
        <v>Talinum</v>
      </c>
      <c r="O321" t="s">
        <v>210</v>
      </c>
      <c r="P321" t="str">
        <f>IF(OR(Crops[[#This Row],[Days in Cells]]="",Crops[[#This Row],[Days in Cells]]=0), "DS","TP")</f>
        <v>TP</v>
      </c>
      <c r="Q321" t="b">
        <v>1</v>
      </c>
      <c r="R321" t="b">
        <v>1</v>
      </c>
      <c r="V321" t="str">
        <f xml:space="preserve"> IF(Crops[[#This Row],[Sp]], "Sp", "") &amp; IF(Crops[[#This Row],[Su]], "Su", "") &amp; IF(Crops[[#This Row],[Fa]], "Fa", "") &amp; IF(Crops[[#This Row],[Wi]], "Wi", "") &amp; IF(Crops[[#This Row],[OW]], "Ow","")</f>
        <v>SpSu</v>
      </c>
      <c r="X321">
        <v>2</v>
      </c>
      <c r="Y321">
        <v>12</v>
      </c>
      <c r="AC321">
        <v>3</v>
      </c>
      <c r="AD321" s="32">
        <f>IFERROR(12/Crops[[#This Row],[Spacing]]*Crops[[#This Row],[Rows]]*BedLength,"")</f>
        <v>100</v>
      </c>
      <c r="AE321">
        <v>1</v>
      </c>
      <c r="AG321">
        <f>IF(Crops[[#This Row],[Custom Safety Factor]]="",PlantingSafetyFactor,Crops[[#This Row],[Custom Safety Factor]])</f>
        <v>1.3</v>
      </c>
      <c r="AH321">
        <f>1</f>
        <v>1</v>
      </c>
      <c r="AI321" s="33">
        <f>IFERROR(Crops[[#This Row],[Plantings Per Bed]]*Crops[[#This Row],[Seeds Per Planting]]*Crops[[#This Row],[Safety Factor]]*Crops[[#This Row],[Seeding Factor]],"")</f>
        <v>130</v>
      </c>
      <c r="AJ321">
        <v>4</v>
      </c>
      <c r="AK321">
        <v>7</v>
      </c>
      <c r="AL321">
        <f>_xlfn.FLOOR.MATH(IFERROR(AVERAGE(Crops[[#This Row],[DTG Lower]:[DTG Upper]]),0))</f>
        <v>5</v>
      </c>
      <c r="AM321">
        <f>SUM(Crops[[#This Row],[Tray 1 Days]],Crops[[#This Row],[Tray 2 Days]],Crops[[#This Row],[Tray 3 Days]])</f>
        <v>38</v>
      </c>
      <c r="AO321">
        <v>90</v>
      </c>
      <c r="AP321">
        <v>100</v>
      </c>
      <c r="AQ321">
        <f>IFERROR(_xlfn.FLOOR.MATH(AVERAGE(Crops[[#This Row],[DTM Lower]:[DTM Upper]])),"")</f>
        <v>95</v>
      </c>
      <c r="AR321" cm="1">
        <f t="array" ref="AR321">_xlfn.SWITCH(Crops[[#This Row],[Normal Method]],"DS",Crops[[#This Row],[Days to Germination]]+Crops[[#This Row],[DTM]] + IF(Crops[[#This Row],[Days in Cells]]&gt;0,15,0), "TP",Crops[[#This Row],[DTM]]+Crops[[#This Row],[Days in Cells]] + IF(Crops[[#This Row],[Days in Cells]]&lt;=0,20,0), "X", Crops[[#This Row],[DTM]])</f>
        <v>115</v>
      </c>
      <c r="AS321" t="s">
        <v>338</v>
      </c>
      <c r="AT321">
        <f>(Crops[[#This Row],[Harvests]]-1)*Crops[[#This Row],[Days Between Harvest]]+7</f>
        <v>14</v>
      </c>
      <c r="AU321">
        <f>Crops[[#This Row],[STH]]-Crops[[#This Row],[Days in Cells]]+Crops[[#This Row],[Harvest window]]</f>
        <v>91</v>
      </c>
      <c r="AX321">
        <v>72</v>
      </c>
      <c r="AY321">
        <v>38</v>
      </c>
      <c r="AZ321">
        <f>IFERROR(IF(Crops[[#This Row],[Tray 1 Days]]=0,"",Crops[[#This Row],[Plantings Per Bed]]/Crops[[#This Row],[Tray 1 Size]]*Crops[[#This Row],[Safety Factor]]),"")</f>
        <v>1.8055555555555556</v>
      </c>
      <c r="BC321" t="str">
        <f>IFERROR(IF(Crops[[#This Row],[Tray 2 Days]]=0,"",Crops[[#This Row],[Plantings Per Bed]]/Crops[[#This Row],[Tray 2 Size]]*Crops[[#This Row],[Safety Factor]]),"")</f>
        <v/>
      </c>
      <c r="BE321" s="32" t="str">
        <f>IF(NOT(ISBLANK(Crops[[#This Row],[Tray 3 Size]])), Crops[[#This Row],[Days in Cells Old]]-SUM(Crops[[#This Row],[Tray 1 Days]],Crops[[#This Row],[Tray 2 Days]]), "")</f>
        <v/>
      </c>
      <c r="BF321" t="str">
        <f>IFERROR(IF(Crops[[#This Row],[Tray 3 Days]]=0,"",Crops[[#This Row],[Plantings Per Bed]]/Crops[[#This Row],[Tray 3 Size]]*Crops[[#This Row],[Safety Factor]]),"")</f>
        <v/>
      </c>
      <c r="BG321" s="33">
        <f>Crops[[#This Row],[Plantings Per Bed]]*7/Crops[[#This Row],[Harvests]]</f>
        <v>350</v>
      </c>
      <c r="BH321" s="33">
        <v>2</v>
      </c>
      <c r="BI321" s="33">
        <v>7</v>
      </c>
      <c r="BJ321" s="33">
        <f>_xlfn.XLOOKUP(Crops[[#This Row],[ProductIndex]],Products[ID],Products[Holding Period])</f>
        <v>0</v>
      </c>
      <c r="BK321" s="33"/>
      <c r="BL321" s="33">
        <f>Crops[[#This Row],[Units Per Harvest]]*Crops[[#This Row],[Harvests]]</f>
        <v>700</v>
      </c>
      <c r="BM321" s="35">
        <v>1</v>
      </c>
      <c r="BN321" s="35">
        <f>Crops[[#This Row],[Direct Price]]*0.6</f>
        <v>0.6</v>
      </c>
      <c r="BO321" s="35"/>
      <c r="BP321" t="s">
        <v>213</v>
      </c>
      <c r="BQ321">
        <f>Crops[[#This Row],[Custom Yield Per Bed]]*Crops[[#This Row],[Direct Price]]</f>
        <v>700</v>
      </c>
      <c r="BR321" t="b">
        <v>0</v>
      </c>
      <c r="BS321" t="b">
        <f>Crops[[#This Row],[Harvests]]&gt;1</f>
        <v>1</v>
      </c>
      <c r="BT321" s="36">
        <f>IFERROR(Crops[[#This Row],[Direct Revenue Per Bed]]/Crops[[#This Row],[Days In Field]],-1)</f>
        <v>7.6923076923076925</v>
      </c>
      <c r="BU321" s="33">
        <f>IFERROR(Crops[[#This Row],[Direct Revenue Per Bed Day]]*GrowingDays*BedsPerAcre,"")</f>
        <v>221538.46153846156</v>
      </c>
      <c r="BV321" s="38">
        <f>LastFrostDate-5*Crops[[#This Row],[Sewing Rel Last Frost]]</f>
        <v>45768</v>
      </c>
      <c r="BW321" s="38">
        <f>Crops[[#This Row],[Target Sewing Date]]+Crops[[#This Row],[Days in Cells]]</f>
        <v>45806</v>
      </c>
      <c r="BX321" s="38">
        <f>Crops[[#This Row],[Target Sewing Date]]+Crops[[#This Row],[STH]]</f>
        <v>45883</v>
      </c>
      <c r="BY321" s="38">
        <f>Crops[[#This Row],[Target Harvest Data]]+Crops[[#This Row],[Harvest window]]</f>
        <v>45897</v>
      </c>
      <c r="BZ321">
        <v>-4</v>
      </c>
      <c r="CB321">
        <f>1</f>
        <v>1</v>
      </c>
      <c r="CC321">
        <f>IF(Crops[[#This Row],[Transplanting]]&gt;0, 2, 3)*BedLength/StandardBedLength</f>
        <v>1</v>
      </c>
      <c r="CD321" s="173">
        <f>IF(Crops[[#This Row],[Days in Cells]]&lt;=0,0,Crops[[#This Row],[Plantings Per Bed]]/StartsPerHourSeeding+Crops[[#This Row],[Tray 1 Count]]*5/60)</f>
        <v>0.54108796296296302</v>
      </c>
      <c r="CE321" s="173">
        <f>IF(ISBLANK(Crops[[#This Row],[Tray 2 Days]]),0,Crops[[#This Row],[Plantings Per Bed]]/UpPottingPerHour)+IF(Crops[[#This Row],[Tray 3 Days]]="",0,Crops[[#This Row],[Plantings Per Bed]]/UpPottingPerHour)</f>
        <v>0</v>
      </c>
      <c r="CF321" s="173">
        <f>IFERROR(Crops[[#This Row],[Tray 1 Count]]/HomeStartFlatIrrigationPerHour,0)*Crops[[#This Row],[Days in Cells]]/DaysBetweenStartIrrigation</f>
        <v>0.28587962962962965</v>
      </c>
      <c r="CG321" s="173">
        <f>0.5/16*MAX(Crops[[#This Row],[Tray 1 Count]],Crops[[#This Row],[Tray 2 Count]],Crops[[#This Row],[Tray 3 Count]])</f>
        <v>5.6423611111111112E-2</v>
      </c>
      <c r="CH321" s="173">
        <f>IF(Crops[[#This Row],[Days in Cells]]&gt;0,IF(IF(Crops[[#This Row],[Tray 3 Size]]&gt;0,Crops[[#This Row],[Tray 3 Size]],IF(Crops[[#This Row],[Tray 2 Size]]&gt;0,Crops[[#This Row],[Tray 2 Size]],Crops[[#This Row],[Tray 1 Size]]))&lt;=18,LargeTransplantTime,SmallTransplantTime)*Crops[[#This Row],[Plantings Per Bed]],0)</f>
        <v>0.5</v>
      </c>
      <c r="CI321" s="173"/>
      <c r="CJ321" s="173">
        <f>_xlfn.XLOOKUP(Crops[[#This Row],[Trellis Type]],TrellisMethods[Trellis Type],TrellisMethods[Hours],0,0)</f>
        <v>0</v>
      </c>
      <c r="CK321">
        <f>IF(Crops[[#This Row],[Days in Cells]]&lt;=0,Crops[[#This Row],[Rows]]*1/10,0)*BedLength/50</f>
        <v>0</v>
      </c>
      <c r="CL321" cm="1">
        <f t="array" ref="CL321">_xlfn.SWITCH(Crops[[#This Row],[Irrigation]],"DR", 0.5, "OH", 0.25,0)*BedLength/50</f>
        <v>0</v>
      </c>
      <c r="CM321">
        <f>IF(OR(ISBLANK(Crops[[#This Row],[Row Cover]]),Crops[[#This Row],[Row Cover]]="None"),0,1)*BedLength/50</f>
        <v>0</v>
      </c>
      <c r="CN321" s="173">
        <f>HoursPerWeedingPass*Crops[[#This Row],[Days In Field]]/14*Crops[[#This Row],[Rows]]+1*BedLength/50</f>
        <v>3.1666666666666665</v>
      </c>
      <c r="CQ321" s="37">
        <f>_xlfn.XLOOKUP(Crops[[#This Row],[Crop]]&amp;Crops[[#This Row],[Product]]&amp;Crops[[#This Row],[Unit]],Products[ID],Products[Marketing (hr)])*Crops[[#This Row],[Direct Revenue Per Bed]]/2000</f>
        <v>2.1</v>
      </c>
      <c r="CR321" s="37">
        <f>_xlfn.XLOOKUP(Crops[[#This Row],[Crop]]&amp;Crops[[#This Row],[Product]]&amp;Crops[[#This Row],[Unit]],Products[ID],Products[Harvest (s)])*Crops[[#This Row],[Custom Yield Per Bed]]/3600</f>
        <v>0.97222222222222221</v>
      </c>
      <c r="CS321" s="37">
        <f>_xlfn.XLOOKUP(Crops[[#This Row],[Crop]]&amp;Crops[[#This Row],[Product]]&amp;Crops[[#This Row],[Unit]],Products[ID],Products[Bunch (s)])*Crops[[#This Row],[Custom Yield Per Bed]]/3600</f>
        <v>0</v>
      </c>
      <c r="CT321" s="37">
        <f>_xlfn.XLOOKUP(Crops[[#This Row],[Crop]]&amp;Crops[[#This Row],[Product]]&amp;Crops[[#This Row],[Unit]],Products[ID],Products[Haul (s)])*Crops[[#This Row],[Custom Yield Per Bed]]/3600</f>
        <v>0.35</v>
      </c>
      <c r="CU321" s="37">
        <f>_xlfn.XLOOKUP(Crops[[#This Row],[Crop]]&amp;Crops[[#This Row],[Product]]&amp;Crops[[#This Row],[Unit]],Products[ID],Products[Wash (s)])*Crops[[#This Row],[Custom Yield Per Bed]]/3600</f>
        <v>0</v>
      </c>
      <c r="CV321" s="37">
        <f>_xlfn.XLOOKUP(Crops[[#This Row],[Crop]]&amp;Crops[[#This Row],[Product]]&amp;Crops[[#This Row],[Unit]],Products[ID],Products[Condition (s)])*Crops[[#This Row],[Custom Yield Per Bed]]/3600</f>
        <v>0</v>
      </c>
      <c r="CW321" s="37">
        <f>_xlfn.XLOOKUP(Crops[[#This Row],[Crop]]&amp;Crops[[#This Row],[Product]]&amp;Crops[[#This Row],[Unit]],Products[ID],Products[Trim (s)])*Crops[[#This Row],[Custom Yield Per Bed]]/3600</f>
        <v>0.58333333333333337</v>
      </c>
      <c r="CX321" s="37">
        <f>_xlfn.XLOOKUP(Crops[[#This Row],[Crop]]&amp;Crops[[#This Row],[Product]]&amp;Crops[[#This Row],[Unit]],Products[ID],Products[Pack (s)])*Crops[[#This Row],[Custom Yield Per Bed]]/3600</f>
        <v>0.58333333333333337</v>
      </c>
      <c r="CY321" s="37">
        <f>_xlfn.XLOOKUP(Crops[[#This Row],[Crop]]&amp;Crops[[#This Row],[Product]]&amp;Crops[[#This Row],[Unit]],Products[ID],Products[Clean (s)])*Crops[[#This Row],[Custom Yield Per Bed]]/3600</f>
        <v>0</v>
      </c>
      <c r="CZ321" s="37">
        <f>_xlfn.XLOOKUP(Crops[[#This Row],[Crop]]&amp;Crops[[#This Row],[Product]]&amp;Crops[[#This Row],[Unit]],Products[ID],Products[Rehandle (s)])*Crops[[#This Row],[Custom Yield Per Bed]]/3600</f>
        <v>0</v>
      </c>
      <c r="DA321" s="37">
        <f>_xlfn.XLOOKUP(Crops[[#This Row],[Crop]]&amp;Crops[[#This Row],[Product]]&amp;Crops[[#This Row],[Unit]],Products[ID],Products[Market Transport (s)])*Crops[[#This Row],[Custom Yield Per Bed]]/3600</f>
        <v>0.875</v>
      </c>
      <c r="DC321" s="37">
        <f>Crops[[#This Row],[Direct Revenue Per Bed2]]</f>
        <v>700</v>
      </c>
      <c r="DD321" s="173">
        <f>_xlfn.AGGREGATE(9,6,Crops[[#This Row],[Bed Prep]:[Remove Crop Residue]])</f>
        <v>11.013946759259259</v>
      </c>
      <c r="DE321" s="173">
        <f>_xlfn.AGGREGATE(9,6,Crops[[#This Row],[Bed Prep]:[Remove Crop Residue]])-0.75*Crops[[#This Row],[Market &amp; Sell]]</f>
        <v>9.4389467592592595</v>
      </c>
      <c r="DF321" s="36">
        <f>Crops[[#This Row],[Direct Revenue Per Bed2]]/Crops[[#This Row],[Direct Time]]</f>
        <v>63.555782073444341</v>
      </c>
      <c r="DG321" s="36">
        <f>_xlfn.XLOOKUP(Crops[[#This Row],[ProductIndex]],Products[ID],Products[Packaging Cost])*(Crops[[#This Row],[Custom Yield Per Bed]]/_xlfn.XLOOKUP(Crops[[#This Row],[ProductIndex]],Products[ID],Products[Units Per Pack]))</f>
        <v>56</v>
      </c>
      <c r="DH321" s="36"/>
      <c r="DI321" s="36"/>
      <c r="DJ321" s="36"/>
      <c r="DK321" s="36"/>
      <c r="DL321" s="36"/>
      <c r="DM321" s="33">
        <f>IFERROR(Crops[[#This Row],[Custom Yield Per Bed]]*Crops[[#This Row],[Direct Price]],"")</f>
        <v>700</v>
      </c>
      <c r="DN321" s="36">
        <f>Crops[[#This Row],[Direct Time]]*LaborRate</f>
        <v>275.34866898148147</v>
      </c>
      <c r="DO321" s="36">
        <f>SUM(Crops[[#This Row],[Irrigation Cost]])</f>
        <v>0</v>
      </c>
      <c r="DP321" s="36">
        <f>Crops[[#This Row],[Direct Labor Cost]]+Crops[[#This Row],[Direct Non-Labor Cost]]</f>
        <v>275.34866898148147</v>
      </c>
      <c r="DQ321" s="36">
        <f>Crops[[#This Row],[Direct Revenue Per Bed2]]-Crops[[#This Row],[Direct Total Cost]]</f>
        <v>424.65133101851853</v>
      </c>
      <c r="DR321" s="36">
        <f>Crops[[#This Row],[Direct Profit]]*BedsPerAcre</f>
        <v>67944.212962962964</v>
      </c>
      <c r="DS321" s="36">
        <f>Crops[[#This Row],[Direct Profit]]*BedsPerAcre*GrowingDays/Crops[[#This Row],[Days In Field]]</f>
        <v>134395.14652014652</v>
      </c>
      <c r="DT321" s="36">
        <f>Crops[[#This Row],[Direct Profit]]/MIN(Crops[[#This Row],[Days In Field]],GrowingDays)</f>
        <v>4.6664981430606431</v>
      </c>
      <c r="DU321" s="36">
        <f>Crops[[#This Row],[Direct Time]] * BedsPerAcre</f>
        <v>1762.2314814814813</v>
      </c>
      <c r="DV321" s="36">
        <f>(Crops[[#This Row],[Direct Revenue Per Bed2]]-Crops[[#This Row],[Direct Non-Labor Cost]])/Crops[[#This Row],[Direct Time]]</f>
        <v>63.555782073444341</v>
      </c>
      <c r="DW321" s="33">
        <f>IFERROR(Crops[[#This Row],[Custom Yield Per Bed]]*Crops[[#This Row],[Rough Wholesale Price]],"")</f>
        <v>420</v>
      </c>
      <c r="DX321" s="36">
        <f>Crops[[#This Row],[Wholesale Time]]*LaborRate</f>
        <v>235.9736689814815</v>
      </c>
      <c r="DY321" s="36">
        <f>SUM(Crops[[#This Row],[Packaging Costs]:[Irrigation Cost]])</f>
        <v>56</v>
      </c>
      <c r="DZ321" s="36">
        <f>Crops[[#This Row],[Wholesale Labor Cost]]+Crops[[#This Row],[Wholesale Non-Labor Cost]]</f>
        <v>291.97366898148152</v>
      </c>
      <c r="EA321" s="36">
        <f>Crops[[#This Row],[Wholesale Revenue Per Bed]]-Crops[[#This Row],[Wholesale Total Cost]]</f>
        <v>128.02633101851848</v>
      </c>
      <c r="EB321" s="36">
        <f>Crops[[#This Row],[Wholesale Profit]]*BedsPerAcre</f>
        <v>20484.212962962956</v>
      </c>
      <c r="EC321" s="36">
        <f>Crops[[#This Row],[Wholesale Profit]]*BedsPerAcre*GrowingDays/Crops[[#This Row],[Days In Field]]</f>
        <v>40518.223443223433</v>
      </c>
      <c r="ED321" s="36">
        <f>Crops[[#This Row],[Wholesale Time]] * BedsPerAcre</f>
        <v>1510.2314814814815</v>
      </c>
      <c r="EE321" s="36">
        <f>Crops[[#This Row],[Wholesale Profit]]/MIN(Crops[[#This Row],[Days In Field]],GrowingDays)</f>
        <v>1.4068827584452579</v>
      </c>
      <c r="EF321" s="36">
        <f>(Crops[[#This Row],[Wholesale Revenue Per Bed]]-Crops[[#This Row],[Wholesale Non-Labor Cost]])/Crops[[#This Row],[Direct Time]]</f>
        <v>33.049006678191056</v>
      </c>
      <c r="EG321" s="174">
        <f>Crops[[#This Row],[Packaging Costs]]/Crops[[#This Row],[Wholesale Revenue Per Bed]]</f>
        <v>0.13333333333333333</v>
      </c>
      <c r="EH321" s="36" t="str">
        <f>Crops[[#This Row],[Crop]]&amp;Crops[[#This Row],[Product]]&amp;Crops[[#This Row],[Unit]]</f>
        <v>TalinumMature StemStem</v>
      </c>
      <c r="EI321" s="36" t="b">
        <f>_xlfn.XLOOKUP(Crops[[#This Row],[ProductIndex]],Products[ID],Products[Target])</f>
        <v>0</v>
      </c>
      <c r="EJ321" s="36">
        <f>Crops[[#This Row],[Custom Yield Per Bed]]</f>
        <v>700</v>
      </c>
      <c r="EK321" s="210">
        <f>Crops[[#This Row],[Units Per Harvest]]/Crops[[#This Row],[Days Between Harvest]]*7</f>
        <v>350</v>
      </c>
      <c r="EL321" s="210" t="e">
        <f>Crops[[#This Row],[Custom Yield Per Bed]]/_xlfn.XLOOKUP(Crops[[#This Row],[ProductIndex]],Products[ID],Products[CSA Portion])</f>
        <v>#DIV/0!</v>
      </c>
      <c r="EM321" s="210" t="e">
        <f>Crops[[#This Row],[Units Per Harvest]]/Crops[[#This Row],[Days Between Harvest]]*7/_xlfn.XLOOKUP(Crops[[#This Row],[ProductIndex]],Products[ID],Products[CSA Portion])</f>
        <v>#DIV/0!</v>
      </c>
      <c r="EN321" s="210" t="e">
        <f>Crops[[#This Row],[CSA Portions Per Week]]/CSAMembers</f>
        <v>#DIV/0!</v>
      </c>
      <c r="EO321" s="210"/>
      <c r="EP321" s="210"/>
      <c r="EQ321" s="36"/>
      <c r="ER321" s="36">
        <f>Crops[[#This Row],[Harvests]]*Crops[[#This Row],[Days Between Harvest]]/7</f>
        <v>2</v>
      </c>
      <c r="ES321" s="208">
        <f>_xlfn.XLOOKUP(Crops[[#This Row],[ProductIndex]],Products[ID],Products[CSA Need])</f>
        <v>0</v>
      </c>
      <c r="ET321" s="208">
        <f>_xlfn.XLOOKUP(Crops[[#This Row],[ProductIndex]],Products[ID],Products[CSA Times])</f>
        <v>0</v>
      </c>
      <c r="EU321" s="208" t="e">
        <f>Crops[[#This Row],[Custom Yield Per Bed]]/(Crops[[#This Row],[CSA Need]]*(_xlfn.XLOOKUP(Crops[[#This Row],[ProductIndex]],Products[ID],Products[CSA Portion])*CSAMembers))</f>
        <v>#DIV/0!</v>
      </c>
      <c r="EV321" s="208">
        <f>_xlfn.XLOOKUP(Crops[[#This Row],[ProductIndex]],Products[ID],Products[CSA Portion])*CSAMembers*Crops[[#This Row],[CSA Need]]/Crops[[#This Row],[Custom Yield Per Bed]]</f>
        <v>0</v>
      </c>
      <c r="EW321" s="208">
        <f>IFERROR(Crops[[#This Row],[Days In Field]]*Crops[[#This Row],[CSA Beds]],"")</f>
        <v>0</v>
      </c>
      <c r="EX321" s="208" t="e">
        <f>Crops[[#This Row],[CSA Bed Days]]*#REF!</f>
        <v>#REF!</v>
      </c>
      <c r="EY321" t="s">
        <v>1792</v>
      </c>
    </row>
    <row r="322" spans="1:155">
      <c r="A322" s="18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Tarp - Clear Ground 0X | Field DS SpSuFaWi</v>
      </c>
      <c r="B322" s="188"/>
      <c r="C322" s="1" t="b">
        <v>1</v>
      </c>
      <c r="D322" s="1"/>
      <c r="E322" s="1" t="b">
        <v>0</v>
      </c>
      <c r="F322" s="1" t="b">
        <f>IFERROR(IF(ISNUMBER(MATCH(Crops[[#This Row],[Identifier]],BedPlan[Crop], 0)), TRUE, FALSE), FALSE)</f>
        <v>0</v>
      </c>
      <c r="G322" s="1" t="b">
        <f>IFERROR(IF(ISNUMBER(MATCH(Crops[[#This Row],[Identifier]],BedPlan[Crop], 0)), TRUE, FALSE), FALSE)</f>
        <v>0</v>
      </c>
      <c r="H322" s="1"/>
      <c r="I322" t="s">
        <v>132</v>
      </c>
      <c r="J322" t="s">
        <v>145</v>
      </c>
      <c r="K322" t="s">
        <v>209</v>
      </c>
      <c r="M322" t="s">
        <v>132</v>
      </c>
      <c r="N322" t="str">
        <f>Crops[[#This Row],[Crop]]</f>
        <v>Tarp</v>
      </c>
      <c r="O322" t="s">
        <v>210</v>
      </c>
      <c r="P322" t="str">
        <f>IF(OR(Crops[[#This Row],[Days in Cells]]="",Crops[[#This Row],[Days in Cells]]=0), "DS","TP")</f>
        <v>DS</v>
      </c>
      <c r="Q322" t="s">
        <v>144</v>
      </c>
      <c r="R322" t="s">
        <v>144</v>
      </c>
      <c r="S322" t="s">
        <v>144</v>
      </c>
      <c r="T322" t="s">
        <v>144</v>
      </c>
      <c r="V322" t="str">
        <f xml:space="preserve"> IF(Crops[[#This Row],[Sp]], "Sp", "") &amp; IF(Crops[[#This Row],[Su]], "Su", "") &amp; IF(Crops[[#This Row],[Fa]], "Fa", "") &amp; IF(Crops[[#This Row],[Wi]], "Wi", "") &amp; IF(Crops[[#This Row],[OW]], "Ow","")</f>
        <v>SpSuFaWi</v>
      </c>
      <c r="W322" t="s">
        <v>144</v>
      </c>
      <c r="X322">
        <v>1</v>
      </c>
      <c r="Y322">
        <v>1200</v>
      </c>
      <c r="AA322" t="s">
        <v>474</v>
      </c>
      <c r="AD322" s="32">
        <f>IFERROR(12/Crops[[#This Row],[Spacing]]*Crops[[#This Row],[Rows]]*BedLength,"")</f>
        <v>0.5</v>
      </c>
      <c r="AE322">
        <v>0</v>
      </c>
      <c r="AG322">
        <f>IF(Crops[[#This Row],[Custom Safety Factor]]="",PlantingSafetyFactor,Crops[[#This Row],[Custom Safety Factor]])</f>
        <v>1.3</v>
      </c>
      <c r="AH322">
        <f>1</f>
        <v>1</v>
      </c>
      <c r="AI322" s="33">
        <f>IFERROR(Crops[[#This Row],[Plantings Per Bed]]*Crops[[#This Row],[Seeds Per Planting]]*Crops[[#This Row],[Safety Factor]]*Crops[[#This Row],[Seeding Factor]],"")</f>
        <v>0</v>
      </c>
      <c r="AL322">
        <f>_xlfn.FLOOR.MATH(IFERROR(AVERAGE(Crops[[#This Row],[DTG Lower]:[DTG Upper]]),0))</f>
        <v>0</v>
      </c>
      <c r="AM322">
        <f>SUM(Crops[[#This Row],[Tray 1 Days]],Crops[[#This Row],[Tray 2 Days]],Crops[[#This Row],[Tray 3 Days]])</f>
        <v>0</v>
      </c>
      <c r="AN322" s="32"/>
      <c r="AP322">
        <v>0</v>
      </c>
      <c r="AQ322">
        <f>IFERROR(_xlfn.FLOOR.MATH(AVERAGE(Crops[[#This Row],[DTM Lower]:[DTM Upper]])),"")</f>
        <v>0</v>
      </c>
      <c r="AR322" cm="1">
        <f t="array" ref="AR322">_xlfn.SWITCH(Crops[[#This Row],[Normal Method]],"DS",Crops[[#This Row],[Days to Germination]]+Crops[[#This Row],[DTM]] + IF(Crops[[#This Row],[Days in Cells]]&gt;0,15,0), "TP",Crops[[#This Row],[DTM]]+Crops[[#This Row],[Days in Cells]] + IF(Crops[[#This Row],[Days in Cells]]&lt;=0,20,0), "X", Crops[[#This Row],[DTM]])</f>
        <v>0</v>
      </c>
      <c r="AS322" t="s">
        <v>338</v>
      </c>
      <c r="AT322">
        <f>(Crops[[#This Row],[Harvests]]-1)*Crops[[#This Row],[Days Between Harvest]]+7</f>
        <v>7</v>
      </c>
      <c r="AU322">
        <f>Crops[[#This Row],[STH]]-Crops[[#This Row],[Days in Cells]]+Crops[[#This Row],[Harvest window]]</f>
        <v>7</v>
      </c>
      <c r="AW322" t="s">
        <v>212</v>
      </c>
      <c r="AZ322" t="str">
        <f>IFERROR(IF(Crops[[#This Row],[Tray 1 Days]]=0,"",Crops[[#This Row],[Plantings Per Bed]]/Crops[[#This Row],[Tray 1 Size]]*Crops[[#This Row],[Safety Factor]]),"")</f>
        <v/>
      </c>
      <c r="BC322" t="str">
        <f>IFERROR(IF(Crops[[#This Row],[Tray 2 Days]]=0,"",Crops[[#This Row],[Plantings Per Bed]]/Crops[[#This Row],[Tray 2 Size]]*Crops[[#This Row],[Safety Factor]]),"")</f>
        <v/>
      </c>
      <c r="BE322" s="32" t="str">
        <f>IF(NOT(ISBLANK(Crops[[#This Row],[Tray 3 Size]])), Crops[[#This Row],[Days in Cells Old]]-SUM(Crops[[#This Row],[Tray 1 Days]],Crops[[#This Row],[Tray 2 Days]]), "")</f>
        <v/>
      </c>
      <c r="BF322" t="str">
        <f>IFERROR(IF(Crops[[#This Row],[Tray 3 Days]]=0,"",Crops[[#This Row],[Plantings Per Bed]]/Crops[[#This Row],[Tray 3 Size]]*Crops[[#This Row],[Safety Factor]]),"")</f>
        <v/>
      </c>
      <c r="BG322" s="33"/>
      <c r="BH322" s="33"/>
      <c r="BI322" s="33"/>
      <c r="BJ322" s="33" t="e">
        <f>_xlfn.XLOOKUP(Crops[[#This Row],[ProductIndex]],Products[ID],Products[Holding Period])</f>
        <v>#N/A</v>
      </c>
      <c r="BK322" s="33"/>
      <c r="BL322" s="33">
        <f>Crops[[#This Row],[Units Per Harvest]]*Crops[[#This Row],[Harvests]]</f>
        <v>0</v>
      </c>
      <c r="BM322" s="35">
        <v>0</v>
      </c>
      <c r="BN322" s="35">
        <f>Crops[[#This Row],[Direct Price]]*0.6</f>
        <v>0</v>
      </c>
      <c r="BO322" s="35"/>
      <c r="BP322" t="s">
        <v>474</v>
      </c>
      <c r="BQ322">
        <f>Crops[[#This Row],[Custom Yield Per Bed]]*Crops[[#This Row],[Direct Price]]</f>
        <v>0</v>
      </c>
      <c r="BS322" t="b">
        <f>Crops[[#This Row],[Harvests]]&gt;1</f>
        <v>0</v>
      </c>
      <c r="BT322" s="36">
        <f>IFERROR(Crops[[#This Row],[Direct Revenue Per Bed]]/Crops[[#This Row],[Days In Field]],-1)</f>
        <v>0</v>
      </c>
      <c r="BU322" s="36">
        <f>IFERROR(Crops[[#This Row],[Direct Revenue Per Bed Day]]*GrowingDays*BedsPerAcre,"")</f>
        <v>0</v>
      </c>
      <c r="BV322" s="38">
        <f>LastFrostDate-5*Crops[[#This Row],[Sewing Rel Last Frost]]</f>
        <v>45688</v>
      </c>
      <c r="BW322" s="38">
        <f>Crops[[#This Row],[Target Sewing Date]]+Crops[[#This Row],[Days in Cells]]</f>
        <v>45688</v>
      </c>
      <c r="BX322" s="38">
        <f>Crops[[#This Row],[Target Sewing Date]]+Crops[[#This Row],[STH]]</f>
        <v>45688</v>
      </c>
      <c r="BY322" s="38">
        <f>Crops[[#This Row],[Target Harvest Data]]+Crops[[#This Row],[Harvest window]]</f>
        <v>45695</v>
      </c>
      <c r="BZ322">
        <v>12</v>
      </c>
      <c r="CB322">
        <f>1</f>
        <v>1</v>
      </c>
      <c r="CC322">
        <f>IF(Crops[[#This Row],[Transplanting]]&gt;0, 2, 3)*BedLength/StandardBedLength</f>
        <v>1.5</v>
      </c>
      <c r="CD322" s="173">
        <f>IF(Crops[[#This Row],[Days in Cells]]&lt;=0,0,Crops[[#This Row],[Plantings Per Bed]]/StartsPerHourSeeding+Crops[[#This Row],[Tray 1 Count]]*5/60)</f>
        <v>0</v>
      </c>
      <c r="CE322" s="173">
        <f>IF(ISBLANK(Crops[[#This Row],[Tray 2 Days]]),0,Crops[[#This Row],[Plantings Per Bed]]/UpPottingPerHour)+IF(Crops[[#This Row],[Tray 3 Days]]="",0,Crops[[#This Row],[Plantings Per Bed]]/UpPottingPerHour)</f>
        <v>0</v>
      </c>
      <c r="CF322" s="173">
        <f>IFERROR(Crops[[#This Row],[Tray 1 Count]]/HomeStartFlatIrrigationPerHour,0)*Crops[[#This Row],[Days in Cells]]/DaysBetweenStartIrrigation</f>
        <v>0</v>
      </c>
      <c r="CG322" s="173">
        <f>0.5/16*MAX(Crops[[#This Row],[Tray 1 Count]],Crops[[#This Row],[Tray 2 Count]],Crops[[#This Row],[Tray 3 Count]])</f>
        <v>0</v>
      </c>
      <c r="CH322" s="173">
        <f>IF(Crops[[#This Row],[Days in Cells]]&gt;0,IF(IF(Crops[[#This Row],[Tray 3 Size]]&gt;0,Crops[[#This Row],[Tray 3 Size]],IF(Crops[[#This Row],[Tray 2 Size]]&gt;0,Crops[[#This Row],[Tray 2 Size]],Crops[[#This Row],[Tray 1 Size]]))&lt;=18,LargeTransplantTime,SmallTransplantTime)*Crops[[#This Row],[Plantings Per Bed]],0)</f>
        <v>0</v>
      </c>
      <c r="CI322" s="173"/>
      <c r="CJ322" s="173">
        <f>_xlfn.XLOOKUP(Crops[[#This Row],[Trellis Type]],TrellisMethods[Trellis Type],TrellisMethods[Hours],0,0)</f>
        <v>0</v>
      </c>
      <c r="CK322">
        <f>IF(Crops[[#This Row],[Days in Cells]]&lt;=0,Crops[[#This Row],[Rows]]*1/10,0)*BedLength/50</f>
        <v>0.1</v>
      </c>
      <c r="CL322" cm="1">
        <f t="array" ref="CL322">_xlfn.SWITCH(Crops[[#This Row],[Irrigation]],"DR", 0.5, "OH", 0.25,0)*BedLength/50</f>
        <v>0</v>
      </c>
      <c r="CM322">
        <f>IF(OR(ISBLANK(Crops[[#This Row],[Row Cover]]),Crops[[#This Row],[Row Cover]]="None"),0,1)*BedLength/50</f>
        <v>0</v>
      </c>
      <c r="CN322" s="173">
        <f>HoursPerWeedingPass*Crops[[#This Row],[Days In Field]]/14*Crops[[#This Row],[Rows]]+1*BedLength/50</f>
        <v>1.0833333333333333</v>
      </c>
      <c r="CQ322" s="37" t="e">
        <f>_xlfn.XLOOKUP(Crops[[#This Row],[Crop]]&amp;Crops[[#This Row],[Product]]&amp;Crops[[#This Row],[Unit]],Products[ID],Products[Marketing (hr)])*Crops[[#This Row],[Direct Revenue Per Bed]]/2000</f>
        <v>#N/A</v>
      </c>
      <c r="CR322" s="37" t="e">
        <f>_xlfn.XLOOKUP(Crops[[#This Row],[Crop]]&amp;Crops[[#This Row],[Product]]&amp;Crops[[#This Row],[Unit]],Products[ID],Products[Harvest (s)])*Crops[[#This Row],[Custom Yield Per Bed]]/3600</f>
        <v>#N/A</v>
      </c>
      <c r="CS322" s="37" t="e">
        <f>_xlfn.XLOOKUP(Crops[[#This Row],[Crop]]&amp;Crops[[#This Row],[Product]]&amp;Crops[[#This Row],[Unit]],Products[ID],Products[Bunch (s)])*Crops[[#This Row],[Custom Yield Per Bed]]/3600</f>
        <v>#N/A</v>
      </c>
      <c r="CT322" s="37" t="e">
        <f>_xlfn.XLOOKUP(Crops[[#This Row],[Crop]]&amp;Crops[[#This Row],[Product]]&amp;Crops[[#This Row],[Unit]],Products[ID],Products[Haul (s)])*Crops[[#This Row],[Custom Yield Per Bed]]/3600</f>
        <v>#N/A</v>
      </c>
      <c r="CU322" s="37" t="e">
        <f>_xlfn.XLOOKUP(Crops[[#This Row],[Crop]]&amp;Crops[[#This Row],[Product]]&amp;Crops[[#This Row],[Unit]],Products[ID],Products[Wash (s)])*Crops[[#This Row],[Custom Yield Per Bed]]/3600</f>
        <v>#N/A</v>
      </c>
      <c r="CV322" s="37" t="e">
        <f>_xlfn.XLOOKUP(Crops[[#This Row],[Crop]]&amp;Crops[[#This Row],[Product]]&amp;Crops[[#This Row],[Unit]],Products[ID],Products[Condition (s)])*Crops[[#This Row],[Custom Yield Per Bed]]/3600</f>
        <v>#N/A</v>
      </c>
      <c r="CW322" s="37" t="e">
        <f>_xlfn.XLOOKUP(Crops[[#This Row],[Crop]]&amp;Crops[[#This Row],[Product]]&amp;Crops[[#This Row],[Unit]],Products[ID],Products[Trim (s)])*Crops[[#This Row],[Custom Yield Per Bed]]/3600</f>
        <v>#N/A</v>
      </c>
      <c r="CX322" s="37" t="e">
        <f>_xlfn.XLOOKUP(Crops[[#This Row],[Crop]]&amp;Crops[[#This Row],[Product]]&amp;Crops[[#This Row],[Unit]],Products[ID],Products[Pack (s)])*Crops[[#This Row],[Custom Yield Per Bed]]/3600</f>
        <v>#N/A</v>
      </c>
      <c r="CY322" s="37" t="e">
        <f>_xlfn.XLOOKUP(Crops[[#This Row],[Crop]]&amp;Crops[[#This Row],[Product]]&amp;Crops[[#This Row],[Unit]],Products[ID],Products[Clean (s)])*Crops[[#This Row],[Custom Yield Per Bed]]/3600</f>
        <v>#N/A</v>
      </c>
      <c r="CZ322" s="37" t="e">
        <f>_xlfn.XLOOKUP(Crops[[#This Row],[Crop]]&amp;Crops[[#This Row],[Product]]&amp;Crops[[#This Row],[Unit]],Products[ID],Products[Rehandle (s)])*Crops[[#This Row],[Custom Yield Per Bed]]/3600</f>
        <v>#N/A</v>
      </c>
      <c r="DA322" s="37" t="e">
        <f>_xlfn.XLOOKUP(Crops[[#This Row],[Crop]]&amp;Crops[[#This Row],[Product]]&amp;Crops[[#This Row],[Unit]],Products[ID],Products[Market Transport (s)])*Crops[[#This Row],[Custom Yield Per Bed]]/3600</f>
        <v>#N/A</v>
      </c>
      <c r="DC322" s="37">
        <f>Crops[[#This Row],[Direct Revenue Per Bed2]]</f>
        <v>0</v>
      </c>
      <c r="DD322" s="173">
        <f>_xlfn.AGGREGATE(9,6,Crops[[#This Row],[Bed Prep]:[Remove Crop Residue]])</f>
        <v>2.6833333333333336</v>
      </c>
      <c r="DE322" s="173" t="e">
        <f>_xlfn.AGGREGATE(9,6,Crops[[#This Row],[Bed Prep]:[Remove Crop Residue]])-0.75*Crops[[#This Row],[Market &amp; Sell]]</f>
        <v>#N/A</v>
      </c>
      <c r="DF322" s="36">
        <f>Crops[[#This Row],[Direct Revenue Per Bed2]]/Crops[[#This Row],[Direct Time]]</f>
        <v>0</v>
      </c>
      <c r="DG322" s="36" t="e">
        <f>_xlfn.XLOOKUP(Crops[[#This Row],[ProductIndex]],Products[ID],Products[Packaging Cost])*(Crops[[#This Row],[Custom Yield Per Bed]]/_xlfn.XLOOKUP(Crops[[#This Row],[ProductIndex]],Products[ID],Products[Units Per Pack]))</f>
        <v>#N/A</v>
      </c>
      <c r="DH322" s="36"/>
      <c r="DI322" s="36"/>
      <c r="DJ322" s="36"/>
      <c r="DK322" s="36"/>
      <c r="DL322" s="36"/>
      <c r="DM322" s="33">
        <f>IFERROR(Crops[[#This Row],[Custom Yield Per Bed]]*Crops[[#This Row],[Direct Price]],"")</f>
        <v>0</v>
      </c>
      <c r="DN322" s="36">
        <f>Crops[[#This Row],[Direct Time]]*LaborRate</f>
        <v>67.083333333333343</v>
      </c>
      <c r="DO322" s="36">
        <f>SUM(Crops[[#This Row],[Irrigation Cost]])</f>
        <v>0</v>
      </c>
      <c r="DP322" s="36">
        <f>Crops[[#This Row],[Direct Labor Cost]]+Crops[[#This Row],[Direct Non-Labor Cost]]</f>
        <v>67.083333333333343</v>
      </c>
      <c r="DQ322" s="36">
        <f>Crops[[#This Row],[Direct Revenue Per Bed2]]-Crops[[#This Row],[Direct Total Cost]]</f>
        <v>-67.083333333333343</v>
      </c>
      <c r="DR322" s="36">
        <f>Crops[[#This Row],[Direct Profit]]*BedsPerAcre</f>
        <v>-10733.333333333336</v>
      </c>
      <c r="DS322" s="36">
        <f>Crops[[#This Row],[Direct Profit]]*BedsPerAcre*GrowingDays/Crops[[#This Row],[Days In Field]]</f>
        <v>-276000.00000000006</v>
      </c>
      <c r="DT322" s="36">
        <f>Crops[[#This Row],[Direct Profit]]/MIN(Crops[[#This Row],[Days In Field]],GrowingDays)</f>
        <v>-9.5833333333333339</v>
      </c>
      <c r="DU322" s="36">
        <f>Crops[[#This Row],[Direct Time]] * BedsPerAcre</f>
        <v>429.33333333333337</v>
      </c>
      <c r="DV322" s="36">
        <f>(Crops[[#This Row],[Direct Revenue Per Bed2]]-Crops[[#This Row],[Direct Non-Labor Cost]])/Crops[[#This Row],[Direct Time]]</f>
        <v>0</v>
      </c>
      <c r="DW322" s="33">
        <f>IFERROR(Crops[[#This Row],[Custom Yield Per Bed]]*Crops[[#This Row],[Rough Wholesale Price]],"")</f>
        <v>0</v>
      </c>
      <c r="DX322" s="36" t="e">
        <f>Crops[[#This Row],[Wholesale Time]]*LaborRate</f>
        <v>#N/A</v>
      </c>
      <c r="DY322" s="36" t="e">
        <f>SUM(Crops[[#This Row],[Packaging Costs]:[Irrigation Cost]])</f>
        <v>#N/A</v>
      </c>
      <c r="DZ322" s="36" t="e">
        <f>Crops[[#This Row],[Wholesale Labor Cost]]+Crops[[#This Row],[Wholesale Non-Labor Cost]]</f>
        <v>#N/A</v>
      </c>
      <c r="EA322" s="36" t="e">
        <f>Crops[[#This Row],[Wholesale Revenue Per Bed]]-Crops[[#This Row],[Wholesale Total Cost]]</f>
        <v>#N/A</v>
      </c>
      <c r="EB322" s="36" t="e">
        <f>Crops[[#This Row],[Wholesale Profit]]*BedsPerAcre</f>
        <v>#N/A</v>
      </c>
      <c r="EC322" s="36" t="e">
        <f>Crops[[#This Row],[Wholesale Profit]]*BedsPerAcre*GrowingDays/Crops[[#This Row],[Days In Field]]</f>
        <v>#N/A</v>
      </c>
      <c r="ED322" s="36" t="e">
        <f>Crops[[#This Row],[Wholesale Time]] * BedsPerAcre</f>
        <v>#N/A</v>
      </c>
      <c r="EE322" s="36" t="e">
        <f>Crops[[#This Row],[Wholesale Profit]]/MIN(Crops[[#This Row],[Days In Field]],GrowingDays)</f>
        <v>#N/A</v>
      </c>
      <c r="EF322" s="36" t="e">
        <f>(Crops[[#This Row],[Wholesale Revenue Per Bed]]-Crops[[#This Row],[Wholesale Non-Labor Cost]])/Crops[[#This Row],[Direct Time]]</f>
        <v>#N/A</v>
      </c>
      <c r="EG322" s="174" t="e">
        <f>Crops[[#This Row],[Packaging Costs]]/Crops[[#This Row],[Wholesale Revenue Per Bed]]</f>
        <v>#N/A</v>
      </c>
      <c r="EH322" s="36" t="str">
        <f>Crops[[#This Row],[Crop]]&amp;Crops[[#This Row],[Product]]&amp;Crops[[#This Row],[Unit]]</f>
        <v>TarpClear GroundNone</v>
      </c>
      <c r="EI322" s="36" t="e">
        <f>_xlfn.XLOOKUP(Crops[[#This Row],[ProductIndex]],Products[ID],Products[Target])</f>
        <v>#N/A</v>
      </c>
      <c r="EJ322" s="36">
        <f>Crops[[#This Row],[Custom Yield Per Bed]]</f>
        <v>0</v>
      </c>
      <c r="EK322" s="210" t="e">
        <f>Crops[[#This Row],[Units Per Harvest]]/Crops[[#This Row],[Days Between Harvest]]*7</f>
        <v>#DIV/0!</v>
      </c>
      <c r="EL322" s="210" t="e">
        <f>Crops[[#This Row],[Custom Yield Per Bed]]/_xlfn.XLOOKUP(Crops[[#This Row],[ProductIndex]],Products[ID],Products[CSA Portion])</f>
        <v>#N/A</v>
      </c>
      <c r="EM322" s="210" t="e">
        <f>Crops[[#This Row],[Units Per Harvest]]/Crops[[#This Row],[Days Between Harvest]]*7/_xlfn.XLOOKUP(Crops[[#This Row],[ProductIndex]],Products[ID],Products[CSA Portion])</f>
        <v>#DIV/0!</v>
      </c>
      <c r="EN322" s="210" t="e">
        <f>Crops[[#This Row],[CSA Portions Per Week]]/CSAMembers</f>
        <v>#DIV/0!</v>
      </c>
      <c r="EO322" s="210"/>
      <c r="EP322" s="210"/>
      <c r="EQ322" s="36"/>
      <c r="ER322" s="36">
        <f>Crops[[#This Row],[Harvests]]*Crops[[#This Row],[Days Between Harvest]]/7</f>
        <v>0</v>
      </c>
      <c r="ES322" s="208" t="e">
        <f>_xlfn.XLOOKUP(Crops[[#This Row],[ProductIndex]],Products[ID],Products[CSA Need])</f>
        <v>#N/A</v>
      </c>
      <c r="ET322" s="208" t="e">
        <f>_xlfn.XLOOKUP(Crops[[#This Row],[ProductIndex]],Products[ID],Products[CSA Times])</f>
        <v>#N/A</v>
      </c>
      <c r="EU322" s="208" t="e">
        <f>Crops[[#This Row],[Custom Yield Per Bed]]/(Crops[[#This Row],[CSA Need]]*(_xlfn.XLOOKUP(Crops[[#This Row],[ProductIndex]],Products[ID],Products[CSA Portion])*CSAMembers))</f>
        <v>#N/A</v>
      </c>
      <c r="EV322" s="208" t="e">
        <f>_xlfn.XLOOKUP(Crops[[#This Row],[ProductIndex]],Products[ID],Products[CSA Portion])*CSAMembers*Crops[[#This Row],[CSA Need]]/Crops[[#This Row],[Custom Yield Per Bed]]</f>
        <v>#N/A</v>
      </c>
      <c r="EW322" s="208" t="str">
        <f>IFERROR(Crops[[#This Row],[Days In Field]]*Crops[[#This Row],[CSA Beds]],"")</f>
        <v/>
      </c>
      <c r="EX322" s="208" t="e">
        <f>Crops[[#This Row],[CSA Bed Days]]*#REF!</f>
        <v>#VALUE!</v>
      </c>
      <c r="EY322" t="s">
        <v>344</v>
      </c>
    </row>
    <row r="323" spans="1:155">
      <c r="A323"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Thyme - Mature Sprigs 4X | Pot TP </v>
      </c>
      <c r="B323" s="29"/>
      <c r="C323" s="1" t="b">
        <v>1</v>
      </c>
      <c r="D323" s="1"/>
      <c r="E323" s="1" t="b">
        <v>0</v>
      </c>
      <c r="F323" s="1" t="b">
        <f>IFERROR(IF(ISNUMBER(MATCH(Crops[[#This Row],[Identifier]],BedPlan[Crop], 0)), TRUE, FALSE), FALSE)</f>
        <v>0</v>
      </c>
      <c r="G323" s="1" t="b">
        <f>IFERROR(IF(ISNUMBER(MATCH(Crops[[#This Row],[Identifier]],BedPlan[Crop], 0)), TRUE, FALSE), FALSE)</f>
        <v>0</v>
      </c>
      <c r="H323" s="1"/>
      <c r="I323" t="s">
        <v>1699</v>
      </c>
      <c r="J323" t="s">
        <v>145</v>
      </c>
      <c r="K323" t="s">
        <v>1700</v>
      </c>
      <c r="M323" t="s">
        <v>442</v>
      </c>
      <c r="N323" t="str">
        <f>Crops[[#This Row],[Crop]]</f>
        <v>Thyme</v>
      </c>
      <c r="O323" t="s">
        <v>1701</v>
      </c>
      <c r="P323" t="str">
        <f>IF(OR(Crops[[#This Row],[Days in Cells]]="",Crops[[#This Row],[Days in Cells]]=0), "DS","TP")</f>
        <v>TP</v>
      </c>
      <c r="V323" t="str">
        <f xml:space="preserve"> IF(Crops[[#This Row],[Sp]], "Sp", "") &amp; IF(Crops[[#This Row],[Su]], "Su", "") &amp; IF(Crops[[#This Row],[Fa]], "Fa", "") &amp; IF(Crops[[#This Row],[Wi]], "Wi", "") &amp; IF(Crops[[#This Row],[OW]], "Ow","")</f>
        <v/>
      </c>
      <c r="X323">
        <v>2</v>
      </c>
      <c r="Y323">
        <v>9</v>
      </c>
      <c r="AD323" s="32">
        <f>IFERROR(12/Crops[[#This Row],[Spacing]]*Crops[[#This Row],[Rows]]*BedLength,"")</f>
        <v>133.33333333333331</v>
      </c>
      <c r="AE323">
        <v>4</v>
      </c>
      <c r="AG323">
        <f>IF(Crops[[#This Row],[Custom Safety Factor]]="",PlantingSafetyFactor,Crops[[#This Row],[Custom Safety Factor]])</f>
        <v>1.3</v>
      </c>
      <c r="AH323">
        <f>1</f>
        <v>1</v>
      </c>
      <c r="AI323" s="37">
        <f>IFERROR(Crops[[#This Row],[Plantings Per Bed]]*Crops[[#This Row],[Seeds Per Planting]]*Crops[[#This Row],[Safety Factor]]*Crops[[#This Row],[Seeding Factor]],"")</f>
        <v>693.33333333333326</v>
      </c>
      <c r="AJ323">
        <v>14</v>
      </c>
      <c r="AK323">
        <v>21</v>
      </c>
      <c r="AL323">
        <f>_xlfn.FLOOR.MATH(IFERROR(AVERAGE(Crops[[#This Row],[DTG Lower]:[DTG Upper]]),0))</f>
        <v>17</v>
      </c>
      <c r="AM323">
        <f>SUM(Crops[[#This Row],[Tray 1 Days]],Crops[[#This Row],[Tray 2 Days]],Crops[[#This Row],[Tray 3 Days]])</f>
        <v>56</v>
      </c>
      <c r="AO323">
        <v>90</v>
      </c>
      <c r="AP323">
        <v>95</v>
      </c>
      <c r="AQ323">
        <f>IFERROR(_xlfn.FLOOR.MATH(AVERAGE(Crops[[#This Row],[DTM Lower]:[DTM Upper]])),"")</f>
        <v>92</v>
      </c>
      <c r="AR323" cm="1">
        <f t="array" ref="AR323">_xlfn.SWITCH(Crops[[#This Row],[Normal Method]],"DS",Crops[[#This Row],[Days to Germination]]+Crops[[#This Row],[DTM]] + IF(Crops[[#This Row],[Days in Cells]]&gt;0,15,0), "TP",Crops[[#This Row],[DTM]]+Crops[[#This Row],[Days in Cells]] + IF(Crops[[#This Row],[Days in Cells]]&lt;=0,20,0), "X", Crops[[#This Row],[DTM]])</f>
        <v>148</v>
      </c>
      <c r="AS323" t="s">
        <v>346</v>
      </c>
      <c r="AT323">
        <f>(Crops[[#This Row],[Harvests]]-1)*Crops[[#This Row],[Days Between Harvest]]+7</f>
        <v>7</v>
      </c>
      <c r="AU323">
        <f>Crops[[#This Row],[STH]]-Crops[[#This Row],[Days in Cells]]+Crops[[#This Row],[Harvest window]]</f>
        <v>99</v>
      </c>
      <c r="AW323">
        <v>50</v>
      </c>
      <c r="AX323">
        <v>18</v>
      </c>
      <c r="AY323">
        <f>8*7</f>
        <v>56</v>
      </c>
      <c r="AZ323">
        <f>IFERROR(IF(Crops[[#This Row],[Tray 1 Days]]=0,"",Crops[[#This Row],[Plantings Per Bed]]/Crops[[#This Row],[Tray 1 Size]]*Crops[[#This Row],[Safety Factor]]),"")</f>
        <v>9.629629629629628</v>
      </c>
      <c r="BC323" t="str">
        <f>IFERROR(IF(Crops[[#This Row],[Tray 2 Days]]=0,"",Crops[[#This Row],[Plantings Per Bed]]/Crops[[#This Row],[Tray 2 Size]]*Crops[[#This Row],[Safety Factor]]),"")</f>
        <v/>
      </c>
      <c r="BE323" s="32" t="str">
        <f>IF(NOT(ISBLANK(Crops[[#This Row],[Tray 3 Size]])), Crops[[#This Row],[Days in Cells Old]]-SUM(Crops[[#This Row],[Tray 1 Days]],Crops[[#This Row],[Tray 2 Days]]), "")</f>
        <v/>
      </c>
      <c r="BF323" t="str">
        <f>IFERROR(IF(Crops[[#This Row],[Tray 3 Days]]=0,"",Crops[[#This Row],[Plantings Per Bed]]/Crops[[#This Row],[Tray 3 Size]]*Crops[[#This Row],[Safety Factor]]),"")</f>
        <v/>
      </c>
      <c r="BJ323" s="37" t="e">
        <f>_xlfn.XLOOKUP(Crops[[#This Row],[ProductIndex]],Products[ID],Products[Holding Period])</f>
        <v>#N/A</v>
      </c>
      <c r="BK323" s="33"/>
      <c r="BL323" s="37">
        <f>Crops[[#This Row],[Units Per Harvest]]*Crops[[#This Row],[Harvests]]</f>
        <v>0</v>
      </c>
      <c r="BN323" s="211">
        <f>Crops[[#This Row],[Direct Price]]*0.6</f>
        <v>0</v>
      </c>
      <c r="BO323" s="211"/>
      <c r="BP323" t="s">
        <v>215</v>
      </c>
      <c r="BQ323">
        <f>Crops[[#This Row],[Custom Yield Per Bed]]*Crops[[#This Row],[Direct Price]]</f>
        <v>0</v>
      </c>
      <c r="BS323" t="b">
        <f>Crops[[#This Row],[Harvests]]&gt;1</f>
        <v>0</v>
      </c>
      <c r="BT323" s="36">
        <f>IFERROR(Crops[[#This Row],[Direct Revenue Per Bed]]/Crops[[#This Row],[Days In Field]],-1)</f>
        <v>0</v>
      </c>
      <c r="BU323" s="36">
        <f>IFERROR(Crops[[#This Row],[Direct Revenue Per Bed Day]]*GrowingDays*BedsPerAcre,"")</f>
        <v>0</v>
      </c>
      <c r="BV323" s="38">
        <f>LastFrostDate-5*Crops[[#This Row],[Sewing Rel Last Frost]]</f>
        <v>45698</v>
      </c>
      <c r="BW323" s="38">
        <f>Crops[[#This Row],[Target Sewing Date]]+Crops[[#This Row],[Days in Cells]]</f>
        <v>45754</v>
      </c>
      <c r="BX323" s="38">
        <f>Crops[[#This Row],[Target Sewing Date]]+Crops[[#This Row],[STH]]</f>
        <v>45846</v>
      </c>
      <c r="BY323" s="38">
        <f>Crops[[#This Row],[Target Harvest Data]]+Crops[[#This Row],[Harvest window]]</f>
        <v>45853</v>
      </c>
      <c r="BZ323">
        <v>10</v>
      </c>
      <c r="CB323">
        <f>1</f>
        <v>1</v>
      </c>
      <c r="CC323">
        <f>IF(Crops[[#This Row],[Transplanting]]&gt;0, 2, 3)*BedLength/StandardBedLength</f>
        <v>1</v>
      </c>
      <c r="CD323" s="173">
        <f>IF(Crops[[#This Row],[Days in Cells]]&lt;=0,0,Crops[[#This Row],[Plantings Per Bed]]/StartsPerHourSeeding+Crops[[#This Row],[Tray 1 Count]]*5/60)</f>
        <v>1.3233024691358022</v>
      </c>
      <c r="CE323" s="173">
        <f>IF(ISBLANK(Crops[[#This Row],[Tray 2 Days]]),0,Crops[[#This Row],[Plantings Per Bed]]/UpPottingPerHour)+IF(Crops[[#This Row],[Tray 3 Days]]="",0,Crops[[#This Row],[Plantings Per Bed]]/UpPottingPerHour)</f>
        <v>0</v>
      </c>
      <c r="CF323" s="173">
        <f>IFERROR(Crops[[#This Row],[Tray 1 Count]]/HomeStartFlatIrrigationPerHour,0)*Crops[[#This Row],[Days in Cells]]/DaysBetweenStartIrrigation</f>
        <v>2.2469135802469129</v>
      </c>
      <c r="CG323" s="173">
        <f>0.5/16*MAX(Crops[[#This Row],[Tray 1 Count]],Crops[[#This Row],[Tray 2 Count]],Crops[[#This Row],[Tray 3 Count]])</f>
        <v>0.30092592592592587</v>
      </c>
      <c r="CH323" s="173">
        <f>IF(Crops[[#This Row],[Days in Cells]]&gt;0,IF(IF(Crops[[#This Row],[Tray 3 Size]]&gt;0,Crops[[#This Row],[Tray 3 Size]],IF(Crops[[#This Row],[Tray 2 Size]]&gt;0,Crops[[#This Row],[Tray 2 Size]],Crops[[#This Row],[Tray 1 Size]]))&lt;=18,LargeTransplantTime,SmallTransplantTime)*Crops[[#This Row],[Plantings Per Bed]],0)</f>
        <v>5.5555555555555545</v>
      </c>
      <c r="CI323" s="173"/>
      <c r="CJ323" s="173">
        <f>_xlfn.XLOOKUP(Crops[[#This Row],[Trellis Type]],TrellisMethods[Trellis Type],TrellisMethods[Hours],0,0)</f>
        <v>0</v>
      </c>
      <c r="CK323">
        <f>IF(Crops[[#This Row],[Days in Cells]]&lt;=0,Crops[[#This Row],[Rows]]*1/10,0)*BedLength/50</f>
        <v>0</v>
      </c>
      <c r="CL323" cm="1">
        <f t="array" ref="CL323">_xlfn.SWITCH(Crops[[#This Row],[Irrigation]],"DR", 0.5, "OH", 0.25,0)*BedLength/50</f>
        <v>0</v>
      </c>
      <c r="CM323">
        <f>IF(OR(ISBLANK(Crops[[#This Row],[Row Cover]]),Crops[[#This Row],[Row Cover]]="None"),0,1)*BedLength/50</f>
        <v>0</v>
      </c>
      <c r="CN323" s="173">
        <f>HoursPerWeedingPass*Crops[[#This Row],[Days In Field]]/14*Crops[[#This Row],[Rows]]+1*BedLength/50</f>
        <v>3.3571428571428572</v>
      </c>
      <c r="CQ323" s="37" t="e">
        <f>_xlfn.XLOOKUP(Crops[[#This Row],[Crop]]&amp;Crops[[#This Row],[Product]]&amp;Crops[[#This Row],[Unit]],Products[ID],Products[Marketing (hr)])*Crops[[#This Row],[Direct Revenue Per Bed]]/2000</f>
        <v>#N/A</v>
      </c>
      <c r="CR323" s="37" t="e">
        <f>_xlfn.XLOOKUP(Crops[[#This Row],[Crop]]&amp;Crops[[#This Row],[Product]]&amp;Crops[[#This Row],[Unit]],Products[ID],Products[Harvest (s)])*Crops[[#This Row],[Custom Yield Per Bed]]/3600</f>
        <v>#N/A</v>
      </c>
      <c r="CS323" s="37" t="e">
        <f>_xlfn.XLOOKUP(Crops[[#This Row],[Crop]]&amp;Crops[[#This Row],[Product]]&amp;Crops[[#This Row],[Unit]],Products[ID],Products[Bunch (s)])*Crops[[#This Row],[Custom Yield Per Bed]]/3600</f>
        <v>#N/A</v>
      </c>
      <c r="CT323" s="37" t="e">
        <f>_xlfn.XLOOKUP(Crops[[#This Row],[Crop]]&amp;Crops[[#This Row],[Product]]&amp;Crops[[#This Row],[Unit]],Products[ID],Products[Haul (s)])*Crops[[#This Row],[Custom Yield Per Bed]]/3600</f>
        <v>#N/A</v>
      </c>
      <c r="CU323" s="37" t="e">
        <f>_xlfn.XLOOKUP(Crops[[#This Row],[Crop]]&amp;Crops[[#This Row],[Product]]&amp;Crops[[#This Row],[Unit]],Products[ID],Products[Wash (s)])*Crops[[#This Row],[Custom Yield Per Bed]]/3600</f>
        <v>#N/A</v>
      </c>
      <c r="CV323" s="37" t="e">
        <f>_xlfn.XLOOKUP(Crops[[#This Row],[Crop]]&amp;Crops[[#This Row],[Product]]&amp;Crops[[#This Row],[Unit]],Products[ID],Products[Condition (s)])*Crops[[#This Row],[Custom Yield Per Bed]]/3600</f>
        <v>#N/A</v>
      </c>
      <c r="CW323" s="37" t="e">
        <f>_xlfn.XLOOKUP(Crops[[#This Row],[Crop]]&amp;Crops[[#This Row],[Product]]&amp;Crops[[#This Row],[Unit]],Products[ID],Products[Trim (s)])*Crops[[#This Row],[Custom Yield Per Bed]]/3600</f>
        <v>#N/A</v>
      </c>
      <c r="CX323" s="37" t="e">
        <f>_xlfn.XLOOKUP(Crops[[#This Row],[Crop]]&amp;Crops[[#This Row],[Product]]&amp;Crops[[#This Row],[Unit]],Products[ID],Products[Pack (s)])*Crops[[#This Row],[Custom Yield Per Bed]]/3600</f>
        <v>#N/A</v>
      </c>
      <c r="CY323" s="37" t="e">
        <f>_xlfn.XLOOKUP(Crops[[#This Row],[Crop]]&amp;Crops[[#This Row],[Product]]&amp;Crops[[#This Row],[Unit]],Products[ID],Products[Clean (s)])*Crops[[#This Row],[Custom Yield Per Bed]]/3600</f>
        <v>#N/A</v>
      </c>
      <c r="CZ323" s="37" t="e">
        <f>_xlfn.XLOOKUP(Crops[[#This Row],[Crop]]&amp;Crops[[#This Row],[Product]]&amp;Crops[[#This Row],[Unit]],Products[ID],Products[Rehandle (s)])*Crops[[#This Row],[Custom Yield Per Bed]]/3600</f>
        <v>#N/A</v>
      </c>
      <c r="DA323" s="37" t="e">
        <f>_xlfn.XLOOKUP(Crops[[#This Row],[Crop]]&amp;Crops[[#This Row],[Product]]&amp;Crops[[#This Row],[Unit]],Products[ID],Products[Market Transport (s)])*Crops[[#This Row],[Custom Yield Per Bed]]/3600</f>
        <v>#N/A</v>
      </c>
      <c r="DC323" s="37">
        <f>Crops[[#This Row],[Direct Revenue Per Bed2]]</f>
        <v>0</v>
      </c>
      <c r="DD323" s="173">
        <f>_xlfn.AGGREGATE(9,6,Crops[[#This Row],[Bed Prep]:[Remove Crop Residue]])</f>
        <v>13.783840388007054</v>
      </c>
      <c r="DE323" s="173" t="e">
        <f>_xlfn.AGGREGATE(9,6,Crops[[#This Row],[Bed Prep]:[Remove Crop Residue]])-0.75*Crops[[#This Row],[Market &amp; Sell]]</f>
        <v>#N/A</v>
      </c>
      <c r="DF323" s="36">
        <f>Crops[[#This Row],[Direct Revenue Per Bed2]]/Crops[[#This Row],[Direct Time]]</f>
        <v>0</v>
      </c>
      <c r="DG323" s="36" t="e">
        <f>_xlfn.XLOOKUP(Crops[[#This Row],[ProductIndex]],Products[ID],Products[Packaging Cost])*(Crops[[#This Row],[Custom Yield Per Bed]]/_xlfn.XLOOKUP(Crops[[#This Row],[ProductIndex]],Products[ID],Products[Units Per Pack]))</f>
        <v>#N/A</v>
      </c>
      <c r="DH323" s="36"/>
      <c r="DI323" s="36"/>
      <c r="DJ323" s="36"/>
      <c r="DK323" s="36"/>
      <c r="DL323" s="36"/>
      <c r="DM323" s="37">
        <f>IFERROR(Crops[[#This Row],[Custom Yield Per Bed]]*Crops[[#This Row],[Direct Price]],"")</f>
        <v>0</v>
      </c>
      <c r="DN323" s="36">
        <f>Crops[[#This Row],[Direct Time]]*LaborRate</f>
        <v>344.59600970017635</v>
      </c>
      <c r="DO323" s="36">
        <f>SUM(Crops[[#This Row],[Irrigation Cost]])</f>
        <v>0</v>
      </c>
      <c r="DP323" s="36">
        <f>Crops[[#This Row],[Direct Labor Cost]]+Crops[[#This Row],[Direct Non-Labor Cost]]</f>
        <v>344.59600970017635</v>
      </c>
      <c r="DQ323" s="36">
        <f>Crops[[#This Row],[Direct Revenue Per Bed2]]-Crops[[#This Row],[Direct Total Cost]]</f>
        <v>-344.59600970017635</v>
      </c>
      <c r="DR323" s="36">
        <f>Crops[[#This Row],[Direct Profit]]*BedsPerAcre</f>
        <v>-55135.361552028218</v>
      </c>
      <c r="DS323" s="36">
        <f>Crops[[#This Row],[Direct Profit]]*BedsPerAcre*GrowingDays/Crops[[#This Row],[Days In Field]]</f>
        <v>-100246.11191277856</v>
      </c>
      <c r="DT323" s="36">
        <f>Crops[[#This Row],[Direct Profit]]/MIN(Crops[[#This Row],[Days In Field]],GrowingDays)</f>
        <v>-3.480767774749256</v>
      </c>
      <c r="DU323" s="36">
        <f>Crops[[#This Row],[Direct Time]] * BedsPerAcre</f>
        <v>2205.4144620811285</v>
      </c>
      <c r="DV323" s="36">
        <f>(Crops[[#This Row],[Direct Revenue Per Bed2]]-Crops[[#This Row],[Direct Non-Labor Cost]])/Crops[[#This Row],[Direct Time]]</f>
        <v>0</v>
      </c>
      <c r="DW323" s="37">
        <f>IFERROR(Crops[[#This Row],[Custom Yield Per Bed]]*Crops[[#This Row],[Rough Wholesale Price]],"")</f>
        <v>0</v>
      </c>
      <c r="DX323" s="36" t="e">
        <f>Crops[[#This Row],[Wholesale Time]]*LaborRate</f>
        <v>#N/A</v>
      </c>
      <c r="DY323" s="36" t="e">
        <f>SUM(Crops[[#This Row],[Packaging Costs]:[Irrigation Cost]])</f>
        <v>#N/A</v>
      </c>
      <c r="DZ323" s="36" t="e">
        <f>Crops[[#This Row],[Wholesale Labor Cost]]+Crops[[#This Row],[Wholesale Non-Labor Cost]]</f>
        <v>#N/A</v>
      </c>
      <c r="EA323" s="36" t="e">
        <f>Crops[[#This Row],[Wholesale Revenue Per Bed]]-Crops[[#This Row],[Wholesale Total Cost]]</f>
        <v>#N/A</v>
      </c>
      <c r="EB323" s="36" t="e">
        <f>Crops[[#This Row],[Wholesale Profit]]*BedsPerAcre</f>
        <v>#N/A</v>
      </c>
      <c r="EC323" s="36" t="e">
        <f>Crops[[#This Row],[Wholesale Profit]]*BedsPerAcre*GrowingDays/Crops[[#This Row],[Days In Field]]</f>
        <v>#N/A</v>
      </c>
      <c r="ED323" s="36" t="e">
        <f>Crops[[#This Row],[Wholesale Time]] * BedsPerAcre</f>
        <v>#N/A</v>
      </c>
      <c r="EE323" s="36" t="e">
        <f>Crops[[#This Row],[Wholesale Profit]]/MIN(Crops[[#This Row],[Days In Field]],GrowingDays)</f>
        <v>#N/A</v>
      </c>
      <c r="EF323" s="36" t="e">
        <f>(Crops[[#This Row],[Wholesale Revenue Per Bed]]-Crops[[#This Row],[Wholesale Non-Labor Cost]])/Crops[[#This Row],[Direct Time]]</f>
        <v>#N/A</v>
      </c>
      <c r="EG323" s="174" t="e">
        <f>Crops[[#This Row],[Packaging Costs]]/Crops[[#This Row],[Wholesale Revenue Per Bed]]</f>
        <v>#N/A</v>
      </c>
      <c r="EH323" s="36" t="str">
        <f>Crops[[#This Row],[Crop]]&amp;Crops[[#This Row],[Product]]&amp;Crops[[#This Row],[Unit]]</f>
        <v>ThymeMature SprigsBunch</v>
      </c>
      <c r="EI323" s="36" t="e">
        <f>_xlfn.XLOOKUP(Crops[[#This Row],[ProductIndex]],Products[ID],Products[Target])</f>
        <v>#N/A</v>
      </c>
      <c r="EJ323" s="36">
        <f>Crops[[#This Row],[Custom Yield Per Bed]]</f>
        <v>0</v>
      </c>
      <c r="EK323" s="210" t="e">
        <f>Crops[[#This Row],[Units Per Harvest]]/Crops[[#This Row],[Days Between Harvest]]*7</f>
        <v>#DIV/0!</v>
      </c>
      <c r="EL323" s="210" t="e">
        <f>Crops[[#This Row],[Custom Yield Per Bed]]/_xlfn.XLOOKUP(Crops[[#This Row],[ProductIndex]],Products[ID],Products[CSA Portion])</f>
        <v>#N/A</v>
      </c>
      <c r="EM323" s="210" t="e">
        <f>Crops[[#This Row],[Units Per Harvest]]/Crops[[#This Row],[Days Between Harvest]]*7/_xlfn.XLOOKUP(Crops[[#This Row],[ProductIndex]],Products[ID],Products[CSA Portion])</f>
        <v>#DIV/0!</v>
      </c>
      <c r="EN323" s="210" t="e">
        <f>Crops[[#This Row],[CSA Portions Per Week]]/CSAMembers</f>
        <v>#DIV/0!</v>
      </c>
      <c r="EO323" s="210"/>
      <c r="EP323" s="210"/>
      <c r="EQ323" s="36"/>
      <c r="ER323" s="36">
        <f>Crops[[#This Row],[Harvests]]*Crops[[#This Row],[Days Between Harvest]]/7</f>
        <v>0</v>
      </c>
      <c r="ES323" s="208" t="e">
        <f>_xlfn.XLOOKUP(Crops[[#This Row],[ProductIndex]],Products[ID],Products[CSA Need])</f>
        <v>#N/A</v>
      </c>
      <c r="ET323" s="208" t="e">
        <f>_xlfn.XLOOKUP(Crops[[#This Row],[ProductIndex]],Products[ID],Products[CSA Times])</f>
        <v>#N/A</v>
      </c>
      <c r="EU323" s="208" t="e">
        <f>Crops[[#This Row],[Custom Yield Per Bed]]/(Crops[[#This Row],[CSA Need]]*(_xlfn.XLOOKUP(Crops[[#This Row],[ProductIndex]],Products[ID],Products[CSA Portion])*CSAMembers))</f>
        <v>#N/A</v>
      </c>
      <c r="EV323" s="208" t="e">
        <f>_xlfn.XLOOKUP(Crops[[#This Row],[ProductIndex]],Products[ID],Products[CSA Portion])*CSAMembers*Crops[[#This Row],[CSA Need]]/Crops[[#This Row],[Custom Yield Per Bed]]</f>
        <v>#N/A</v>
      </c>
      <c r="EW323" s="208" t="str">
        <f>IFERROR(Crops[[#This Row],[Days In Field]]*Crops[[#This Row],[CSA Beds]],"")</f>
        <v/>
      </c>
      <c r="EX323" s="208" t="e">
        <f>Crops[[#This Row],[CSA Bed Days]]*#REF!</f>
        <v>#VALUE!</v>
      </c>
    </row>
    <row r="324" spans="1:155">
      <c r="A32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Tomatillo - Ripe Fruit 1X | Field TP </v>
      </c>
      <c r="B324" s="190"/>
      <c r="C324" s="1" t="s">
        <v>2588</v>
      </c>
      <c r="D324" s="1" t="s">
        <v>2573</v>
      </c>
      <c r="E324" s="1" t="b">
        <v>0</v>
      </c>
      <c r="F324" s="1" t="b">
        <f>IFERROR(IF(ISNUMBER(MATCH(Crops[[#This Row],[Identifier]],BedPlan[Crop], 0)), TRUE, FALSE), FALSE)</f>
        <v>1</v>
      </c>
      <c r="G324" s="1" t="b">
        <f>IFERROR(IF(ISNUMBER(MATCH(Crops[[#This Row],[Identifier]],BedPlan[Crop], 0)), TRUE, FALSE), FALSE)</f>
        <v>1</v>
      </c>
      <c r="H324" s="1"/>
      <c r="I324" t="s">
        <v>135</v>
      </c>
      <c r="J324" t="s">
        <v>145</v>
      </c>
      <c r="K324" t="s">
        <v>191</v>
      </c>
      <c r="M324" t="s">
        <v>136</v>
      </c>
      <c r="N324" t="str">
        <f>Crops[[#This Row],[Crop]]</f>
        <v>Tomatillo</v>
      </c>
      <c r="O324" t="s">
        <v>210</v>
      </c>
      <c r="P324" t="str">
        <f>IF(OR(Crops[[#This Row],[Days in Cells]]="",Crops[[#This Row],[Days in Cells]]=0), "DS","TP")</f>
        <v>TP</v>
      </c>
      <c r="V324" t="str">
        <f xml:space="preserve"> IF(Crops[[#This Row],[Sp]], "Sp", "") &amp; IF(Crops[[#This Row],[Su]], "Su", "") &amp; IF(Crops[[#This Row],[Fa]], "Fa", "") &amp; IF(Crops[[#This Row],[Wi]], "Wi", "") &amp; IF(Crops[[#This Row],[OW]], "Ow","")</f>
        <v/>
      </c>
      <c r="W324" t="s">
        <v>144</v>
      </c>
      <c r="X324">
        <v>1</v>
      </c>
      <c r="Y324">
        <v>18</v>
      </c>
      <c r="Z324" t="s">
        <v>432</v>
      </c>
      <c r="AA324" t="s">
        <v>476</v>
      </c>
      <c r="AB324" t="b">
        <v>0</v>
      </c>
      <c r="AC324">
        <v>5</v>
      </c>
      <c r="AD324" s="32">
        <f>IFERROR(12/Crops[[#This Row],[Spacing]]*Crops[[#This Row],[Rows]]*BedLength,"")</f>
        <v>33.333333333333329</v>
      </c>
      <c r="AE324">
        <v>1</v>
      </c>
      <c r="AG324">
        <f>IF(Crops[[#This Row],[Custom Safety Factor]]="",PlantingSafetyFactor,Crops[[#This Row],[Custom Safety Factor]])</f>
        <v>1.3</v>
      </c>
      <c r="AH324">
        <f>1</f>
        <v>1</v>
      </c>
      <c r="AI324" s="33">
        <f>IFERROR(Crops[[#This Row],[Plantings Per Bed]]*Crops[[#This Row],[Seeds Per Planting]]*Crops[[#This Row],[Safety Factor]]*Crops[[#This Row],[Seeding Factor]],"")</f>
        <v>43.333333333333329</v>
      </c>
      <c r="AJ324">
        <v>7</v>
      </c>
      <c r="AK324">
        <v>14</v>
      </c>
      <c r="AL324">
        <f>_xlfn.FLOOR.MATH(IFERROR(AVERAGE(Crops[[#This Row],[DTG Lower]:[DTG Upper]]),0))</f>
        <v>10</v>
      </c>
      <c r="AM324">
        <f>SUM(Crops[[#This Row],[Tray 1 Days]],Crops[[#This Row],[Tray 2 Days]],Crops[[#This Row],[Tray 3 Days]])</f>
        <v>56</v>
      </c>
      <c r="AN324" s="32">
        <v>55</v>
      </c>
      <c r="AP324">
        <v>90</v>
      </c>
      <c r="AQ324">
        <f>IFERROR(_xlfn.FLOOR.MATH(AVERAGE(Crops[[#This Row],[DTM Lower]:[DTM Upper]])),"")</f>
        <v>90</v>
      </c>
      <c r="AR324" cm="1">
        <f t="array" ref="AR324">_xlfn.SWITCH(Crops[[#This Row],[Normal Method]],"DS",Crops[[#This Row],[Days to Germination]]+Crops[[#This Row],[DTM]] + IF(Crops[[#This Row],[Days in Cells]]&gt;0,15,0), "TP",Crops[[#This Row],[DTM]]+Crops[[#This Row],[Days in Cells]] + IF(Crops[[#This Row],[Days in Cells]]&lt;=0,20,0), "X", Crops[[#This Row],[DTM]])</f>
        <v>90</v>
      </c>
      <c r="AS324" t="s">
        <v>347</v>
      </c>
      <c r="AT324">
        <f>(Crops[[#This Row],[Harvests]]-1)*Crops[[#This Row],[Days Between Harvest]]+7</f>
        <v>70</v>
      </c>
      <c r="AU324">
        <f>Crops[[#This Row],[STH]]-Crops[[#This Row],[Days in Cells]]+Crops[[#This Row],[Harvest window]]</f>
        <v>104</v>
      </c>
      <c r="AX324">
        <v>72</v>
      </c>
      <c r="AY324">
        <v>21</v>
      </c>
      <c r="AZ324" s="49">
        <f>IFERROR(IF(Crops[[#This Row],[Tray 1 Days]]=0,"",Crops[[#This Row],[Plantings Per Bed]]/Crops[[#This Row],[Tray 1 Size]]*Crops[[#This Row],[Safety Factor]]),"")</f>
        <v>0.60185185185185175</v>
      </c>
      <c r="BA324">
        <v>18</v>
      </c>
      <c r="BB324">
        <v>21</v>
      </c>
      <c r="BC324">
        <f>IFERROR(IF(Crops[[#This Row],[Tray 2 Days]]=0,"",Crops[[#This Row],[Plantings Per Bed]]/Crops[[#This Row],[Tray 2 Size]]*Crops[[#This Row],[Safety Factor]]),"")</f>
        <v>2.407407407407407</v>
      </c>
      <c r="BD324">
        <v>9</v>
      </c>
      <c r="BE324" s="32">
        <v>14</v>
      </c>
      <c r="BF324" s="49">
        <f>IFERROR(IF(Crops[[#This Row],[Tray 3 Days]]=0,"",Crops[[#This Row],[Plantings Per Bed]]/Crops[[#This Row],[Tray 3 Size]]*Crops[[#This Row],[Safety Factor]]),"")</f>
        <v>4.814814814814814</v>
      </c>
      <c r="BG324" s="33">
        <f>Crops[[#This Row],[Plantings Per Bed]]*8/Crops[[#This Row],[Harvests]]</f>
        <v>33.333333333333329</v>
      </c>
      <c r="BH324" s="33">
        <v>8</v>
      </c>
      <c r="BI324" s="33">
        <v>9</v>
      </c>
      <c r="BJ324" s="33">
        <f>_xlfn.XLOOKUP(Crops[[#This Row],[ProductIndex]],Products[ID],Products[Holding Period])</f>
        <v>14</v>
      </c>
      <c r="BK324" s="33"/>
      <c r="BL324" s="33">
        <f>Crops[[#This Row],[Units Per Harvest]]*Crops[[#This Row],[Harvests]]</f>
        <v>266.66666666666663</v>
      </c>
      <c r="BM324" s="35">
        <v>6</v>
      </c>
      <c r="BN324" s="35">
        <v>3.54</v>
      </c>
      <c r="BO324" s="35"/>
      <c r="BP324" t="s">
        <v>383</v>
      </c>
      <c r="BQ324">
        <f>Crops[[#This Row],[Custom Yield Per Bed]]*Crops[[#This Row],[Direct Price]]</f>
        <v>1599.9999999999998</v>
      </c>
      <c r="BS324" t="b">
        <f>Crops[[#This Row],[Harvests]]&gt;1</f>
        <v>1</v>
      </c>
      <c r="BT324" s="36">
        <f>IFERROR(Crops[[#This Row],[Direct Revenue Per Bed]]/Crops[[#This Row],[Days In Field]],-1)</f>
        <v>15.384615384615383</v>
      </c>
      <c r="BU324" s="36">
        <f>IFERROR(Crops[[#This Row],[Direct Revenue Per Bed Day]]*GrowingDays*BedsPerAcre,"")</f>
        <v>443076.92307692306</v>
      </c>
      <c r="BV324" s="38">
        <f>LastFrostDate-5*Crops[[#This Row],[Sewing Rel Last Frost]]</f>
        <v>45738</v>
      </c>
      <c r="BW324" s="38">
        <f>Crops[[#This Row],[Target Sewing Date]]+Crops[[#This Row],[Days in Cells]]</f>
        <v>45794</v>
      </c>
      <c r="BX324" s="38">
        <f>Crops[[#This Row],[Target Sewing Date]]+Crops[[#This Row],[STH]]</f>
        <v>45828</v>
      </c>
      <c r="BY324" s="38">
        <f>Crops[[#This Row],[Target Harvest Data]]+Crops[[#This Row],[Harvest window]]</f>
        <v>45898</v>
      </c>
      <c r="BZ324">
        <v>2</v>
      </c>
      <c r="CB324">
        <f>1</f>
        <v>1</v>
      </c>
      <c r="CC324">
        <f>IF(Crops[[#This Row],[Transplanting]]&gt;0, 2, 3)*BedLength/StandardBedLength</f>
        <v>1</v>
      </c>
      <c r="CD324" s="173">
        <f>IF(Crops[[#This Row],[Days in Cells]]&lt;=0,0,Crops[[#This Row],[Plantings Per Bed]]/StartsPerHourSeeding+Crops[[#This Row],[Tray 1 Count]]*5/60)</f>
        <v>0.18036265432098764</v>
      </c>
      <c r="CE324" s="173">
        <f>IF(ISBLANK(Crops[[#This Row],[Tray 2 Days]]),0,Crops[[#This Row],[Plantings Per Bed]]/UpPottingPerHour)+IF(Crops[[#This Row],[Tray 3 Days]]="",0,Crops[[#This Row],[Plantings Per Bed]]/UpPottingPerHour)</f>
        <v>0.55555555555555547</v>
      </c>
      <c r="CF324" s="173">
        <f>IFERROR(Crops[[#This Row],[Tray 1 Count]]/HomeStartFlatIrrigationPerHour,0)*Crops[[#This Row],[Days in Cells]]/DaysBetweenStartIrrigation</f>
        <v>0.14043209876543206</v>
      </c>
      <c r="CG324" s="173">
        <f>0.5/16*MAX(Crops[[#This Row],[Tray 1 Count]],Crops[[#This Row],[Tray 2 Count]],Crops[[#This Row],[Tray 3 Count]])</f>
        <v>0.15046296296296294</v>
      </c>
      <c r="CH324" s="173">
        <f>IF(Crops[[#This Row],[Days in Cells]]&gt;0,IF(IF(Crops[[#This Row],[Tray 3 Size]]&gt;0,Crops[[#This Row],[Tray 3 Size]],IF(Crops[[#This Row],[Tray 2 Size]]&gt;0,Crops[[#This Row],[Tray 2 Size]],Crops[[#This Row],[Tray 1 Size]]))&lt;=18,LargeTransplantTime,SmallTransplantTime)*Crops[[#This Row],[Plantings Per Bed]],0)</f>
        <v>1.3888888888888886</v>
      </c>
      <c r="CI324" s="173"/>
      <c r="CJ324" s="173">
        <f>_xlfn.XLOOKUP(Crops[[#This Row],[Trellis Type]],TrellisMethods[Trellis Type],TrellisMethods[Hours],0,0)</f>
        <v>0</v>
      </c>
      <c r="CK324">
        <f>IF(Crops[[#This Row],[Days in Cells]]&lt;=0,Crops[[#This Row],[Rows]]*1/10,0)*BedLength/50</f>
        <v>0</v>
      </c>
      <c r="CL324" cm="1">
        <f t="array" ref="CL324">_xlfn.SWITCH(Crops[[#This Row],[Irrigation]],"DR", 0.5, "OH", 0.25,0)*BedLength/50</f>
        <v>0.5</v>
      </c>
      <c r="CM324">
        <f>IF(OR(ISBLANK(Crops[[#This Row],[Row Cover]]),Crops[[#This Row],[Row Cover]]="None"),0,1)*BedLength/50</f>
        <v>1</v>
      </c>
      <c r="CN324" s="173">
        <f>HoursPerWeedingPass*Crops[[#This Row],[Days In Field]]/14*Crops[[#This Row],[Rows]]+1*BedLength/50</f>
        <v>2.2380952380952381</v>
      </c>
      <c r="CO324" s="49">
        <f>0.15*Crops[[#This Row],[Days In Field]]/7</f>
        <v>2.2285714285714286</v>
      </c>
      <c r="CQ324" s="37">
        <f>_xlfn.XLOOKUP(Crops[[#This Row],[Crop]]&amp;Crops[[#This Row],[Product]]&amp;Crops[[#This Row],[Unit]],Products[ID],Products[Marketing (hr)])*Crops[[#This Row],[Direct Revenue Per Bed]]/2000</f>
        <v>3.1999999999999997</v>
      </c>
      <c r="CR324" s="37">
        <f>_xlfn.XLOOKUP(Crops[[#This Row],[Crop]]&amp;Crops[[#This Row],[Product]]&amp;Crops[[#This Row],[Unit]],Products[ID],Products[Harvest (s)])*Crops[[#This Row],[Custom Yield Per Bed]]/3600</f>
        <v>5.9259259259259247</v>
      </c>
      <c r="CS324" s="37">
        <f>_xlfn.XLOOKUP(Crops[[#This Row],[Crop]]&amp;Crops[[#This Row],[Product]]&amp;Crops[[#This Row],[Unit]],Products[ID],Products[Bunch (s)])*Crops[[#This Row],[Custom Yield Per Bed]]/3600</f>
        <v>0</v>
      </c>
      <c r="CT324" s="37">
        <f>_xlfn.XLOOKUP(Crops[[#This Row],[Crop]]&amp;Crops[[#This Row],[Product]]&amp;Crops[[#This Row],[Unit]],Products[ID],Products[Haul (s)])*Crops[[#This Row],[Custom Yield Per Bed]]/3600</f>
        <v>0.16666666666666663</v>
      </c>
      <c r="CU324" s="37">
        <f>_xlfn.XLOOKUP(Crops[[#This Row],[Crop]]&amp;Crops[[#This Row],[Product]]&amp;Crops[[#This Row],[Unit]],Products[ID],Products[Wash (s)])*Crops[[#This Row],[Custom Yield Per Bed]]/3600</f>
        <v>0</v>
      </c>
      <c r="CV324" s="37">
        <f>_xlfn.XLOOKUP(Crops[[#This Row],[Crop]]&amp;Crops[[#This Row],[Product]]&amp;Crops[[#This Row],[Unit]],Products[ID],Products[Condition (s)])*Crops[[#This Row],[Custom Yield Per Bed]]/3600</f>
        <v>0</v>
      </c>
      <c r="CW324" s="37">
        <f>_xlfn.XLOOKUP(Crops[[#This Row],[Crop]]&amp;Crops[[#This Row],[Product]]&amp;Crops[[#This Row],[Unit]],Products[ID],Products[Trim (s)])*Crops[[#This Row],[Custom Yield Per Bed]]/3600</f>
        <v>0</v>
      </c>
      <c r="CX324" s="37">
        <f>_xlfn.XLOOKUP(Crops[[#This Row],[Crop]]&amp;Crops[[#This Row],[Product]]&amp;Crops[[#This Row],[Unit]],Products[ID],Products[Pack (s)])*Crops[[#This Row],[Custom Yield Per Bed]]/3600</f>
        <v>0.22222222222222218</v>
      </c>
      <c r="CY324" s="37">
        <f>_xlfn.XLOOKUP(Crops[[#This Row],[Crop]]&amp;Crops[[#This Row],[Product]]&amp;Crops[[#This Row],[Unit]],Products[ID],Products[Clean (s)])*Crops[[#This Row],[Custom Yield Per Bed]]/3600</f>
        <v>0</v>
      </c>
      <c r="CZ324" s="37">
        <f>_xlfn.XLOOKUP(Crops[[#This Row],[Crop]]&amp;Crops[[#This Row],[Product]]&amp;Crops[[#This Row],[Unit]],Products[ID],Products[Rehandle (s)])*Crops[[#This Row],[Custom Yield Per Bed]]/3600</f>
        <v>0</v>
      </c>
      <c r="DA324" s="37">
        <f>_xlfn.XLOOKUP(Crops[[#This Row],[Crop]]&amp;Crops[[#This Row],[Product]]&amp;Crops[[#This Row],[Unit]],Products[ID],Products[Market Transport (s)])*Crops[[#This Row],[Custom Yield Per Bed]]/3600</f>
        <v>0.41666666666666663</v>
      </c>
      <c r="DC324" s="37">
        <f>Crops[[#This Row],[Direct Revenue Per Bed2]]</f>
        <v>1599.9999999999998</v>
      </c>
      <c r="DD324" s="173">
        <f>_xlfn.AGGREGATE(9,6,Crops[[#This Row],[Bed Prep]:[Remove Crop Residue]])</f>
        <v>19.313850308641975</v>
      </c>
      <c r="DE324" s="173">
        <f>_xlfn.AGGREGATE(9,6,Crops[[#This Row],[Bed Prep]:[Remove Crop Residue]])-0.75*Crops[[#This Row],[Market &amp; Sell]]</f>
        <v>16.913850308641976</v>
      </c>
      <c r="DF324" s="36">
        <f>Crops[[#This Row],[Direct Revenue Per Bed2]]/Crops[[#This Row],[Direct Time]]</f>
        <v>82.842104211819446</v>
      </c>
      <c r="DG324" s="36">
        <f>_xlfn.XLOOKUP(Crops[[#This Row],[ProductIndex]],Products[ID],Products[Packaging Cost])*(Crops[[#This Row],[Custom Yield Per Bed]]/_xlfn.XLOOKUP(Crops[[#This Row],[ProductIndex]],Products[ID],Products[Units Per Pack]))</f>
        <v>115.2</v>
      </c>
      <c r="DH324" s="36"/>
      <c r="DI324" s="36"/>
      <c r="DJ324" s="36"/>
      <c r="DK324" s="36"/>
      <c r="DL324" s="36"/>
      <c r="DM324" s="33">
        <f>IFERROR(Crops[[#This Row],[Custom Yield Per Bed]]*Crops[[#This Row],[Direct Price]],"")</f>
        <v>1599.9999999999998</v>
      </c>
      <c r="DN324" s="36">
        <f>Crops[[#This Row],[Direct Time]]*LaborRate</f>
        <v>482.84625771604937</v>
      </c>
      <c r="DO324" s="36">
        <f>SUM(Crops[[#This Row],[Irrigation Cost]])</f>
        <v>0</v>
      </c>
      <c r="DP324" s="36">
        <f>Crops[[#This Row],[Direct Labor Cost]]+Crops[[#This Row],[Direct Non-Labor Cost]]</f>
        <v>482.84625771604937</v>
      </c>
      <c r="DQ324" s="36">
        <f>Crops[[#This Row],[Direct Revenue Per Bed2]]-Crops[[#This Row],[Direct Total Cost]]</f>
        <v>1117.1537422839504</v>
      </c>
      <c r="DR324" s="36">
        <f>Crops[[#This Row],[Direct Profit]]*BedsPerAcre</f>
        <v>178744.59876543205</v>
      </c>
      <c r="DS324" s="36">
        <f>Crops[[#This Row],[Direct Profit]]*BedsPerAcre*GrowingDays/Crops[[#This Row],[Days In Field]]</f>
        <v>309365.65170940163</v>
      </c>
      <c r="DT324" s="36">
        <f>Crops[[#This Row],[Direct Profit]]/MIN(Crops[[#This Row],[Days In Field]],GrowingDays)</f>
        <v>10.741862906576445</v>
      </c>
      <c r="DU324" s="33">
        <f>Crops[[#This Row],[Direct Time]] * BedsPerAcre</f>
        <v>3090.2160493827159</v>
      </c>
      <c r="DV324" s="36">
        <f>(Crops[[#This Row],[Direct Revenue Per Bed2]]-Crops[[#This Row],[Direct Non-Labor Cost]])/Crops[[#This Row],[Direct Time]]</f>
        <v>82.842104211819446</v>
      </c>
      <c r="DW324" s="33">
        <f>IFERROR(Crops[[#This Row],[Custom Yield Per Bed]]*Crops[[#This Row],[Rough Wholesale Price]],"")</f>
        <v>943.99999999999989</v>
      </c>
      <c r="DX324" s="36">
        <f>Crops[[#This Row],[Wholesale Time]]*LaborRate</f>
        <v>422.84625771604942</v>
      </c>
      <c r="DY324" s="36">
        <f>SUM(Crops[[#This Row],[Packaging Costs]:[Irrigation Cost]])</f>
        <v>115.2</v>
      </c>
      <c r="DZ324" s="36">
        <f>Crops[[#This Row],[Wholesale Labor Cost]]+Crops[[#This Row],[Wholesale Non-Labor Cost]]</f>
        <v>538.04625771604947</v>
      </c>
      <c r="EA324" s="36">
        <f>Crops[[#This Row],[Wholesale Revenue Per Bed]]-Crops[[#This Row],[Wholesale Total Cost]]</f>
        <v>405.95374228395042</v>
      </c>
      <c r="EB324" s="36">
        <f>Crops[[#This Row],[Wholesale Profit]]*BedsPerAcre</f>
        <v>64952.598765432063</v>
      </c>
      <c r="EC324" s="36">
        <f>Crops[[#This Row],[Wholesale Profit]]*BedsPerAcre*GrowingDays/Crops[[#This Row],[Days In Field]]</f>
        <v>112417.95940170933</v>
      </c>
      <c r="ED324" s="33">
        <f>Crops[[#This Row],[Wholesale Time]] * BedsPerAcre</f>
        <v>2706.2160493827159</v>
      </c>
      <c r="EE324" s="221">
        <f>Crops[[#This Row],[Wholesale Profit]]/MIN(Crops[[#This Row],[Days In Field]],GrowingDays)</f>
        <v>3.903401368114908</v>
      </c>
      <c r="EF324" s="36">
        <f>(Crops[[#This Row],[Wholesale Revenue Per Bed]]-Crops[[#This Row],[Wholesale Non-Labor Cost]])/Crops[[#This Row],[Direct Time]]</f>
        <v>42.912209981722476</v>
      </c>
      <c r="EG324" s="174">
        <f>Crops[[#This Row],[Packaging Costs]]/Crops[[#This Row],[Wholesale Revenue Per Bed]]</f>
        <v>0.12203389830508476</v>
      </c>
      <c r="EH324" s="36" t="str">
        <f>Crops[[#This Row],[Crop]]&amp;Crops[[#This Row],[Product]]&amp;Crops[[#This Row],[Unit]]</f>
        <v>TomatilloRipe FruitLb</v>
      </c>
      <c r="EI324" s="36" t="b">
        <f>_xlfn.XLOOKUP(Crops[[#This Row],[ProductIndex]],Products[ID],Products[Target])</f>
        <v>1</v>
      </c>
      <c r="EJ324" s="33">
        <f>Crops[[#This Row],[Custom Yield Per Bed]]</f>
        <v>266.66666666666663</v>
      </c>
      <c r="EK324" s="210">
        <f>Crops[[#This Row],[Units Per Harvest]]/Crops[[#This Row],[Days Between Harvest]]*7</f>
        <v>25.925925925925924</v>
      </c>
      <c r="EL324" s="210">
        <f>Crops[[#This Row],[Custom Yield Per Bed]]/_xlfn.XLOOKUP(Crops[[#This Row],[ProductIndex]],Products[ID],Products[CSA Portion])</f>
        <v>355.55555555555549</v>
      </c>
      <c r="EM324" s="210">
        <f>Crops[[#This Row],[Units Per Harvest]]/Crops[[#This Row],[Days Between Harvest]]*7/_xlfn.XLOOKUP(Crops[[#This Row],[ProductIndex]],Products[ID],Products[CSA Portion])</f>
        <v>34.567901234567898</v>
      </c>
      <c r="EN324" s="210">
        <f>Crops[[#This Row],[CSA Portions Per Week]]/CSAMembers</f>
        <v>0.69135802469135799</v>
      </c>
      <c r="EO324" s="216">
        <v>1</v>
      </c>
      <c r="EP324" s="216">
        <v>1</v>
      </c>
      <c r="EQ324" s="210"/>
      <c r="ER324" s="210">
        <f>Crops[[#This Row],[Harvests]]*Crops[[#This Row],[Days Between Harvest]]/7</f>
        <v>10.285714285714286</v>
      </c>
      <c r="ES324" s="217">
        <f>_xlfn.XLOOKUP(Crops[[#This Row],[ProductIndex]],Products[ID],Products[CSA Need])</f>
        <v>1.5</v>
      </c>
      <c r="ET324" s="217">
        <f>_xlfn.XLOOKUP(Crops[[#This Row],[ProductIndex]],Products[ID],Products[CSA Times])</f>
        <v>2</v>
      </c>
      <c r="EU324" s="208">
        <f>Crops[[#This Row],[Custom Yield Per Bed]]/(Crops[[#This Row],[CSA Need]]*(_xlfn.XLOOKUP(Crops[[#This Row],[ProductIndex]],Products[ID],Products[CSA Portion])*CSAMembers))</f>
        <v>4.7407407407407405</v>
      </c>
      <c r="EV324" s="208">
        <f>_xlfn.XLOOKUP(Crops[[#This Row],[ProductIndex]],Products[ID],Products[CSA Portion])*CSAMembers*Crops[[#This Row],[CSA Need]]/Crops[[#This Row],[Custom Yield Per Bed]]</f>
        <v>0.21093750000000003</v>
      </c>
      <c r="EW324" s="208">
        <f>IFERROR(Crops[[#This Row],[Days In Field]]*Crops[[#This Row],[CSA Beds]],"")</f>
        <v>21.937500000000004</v>
      </c>
      <c r="EX324" s="208" t="e">
        <f>Crops[[#This Row],[CSA Bed Days]]*#REF!</f>
        <v>#REF!</v>
      </c>
      <c r="EY324" t="s">
        <v>423</v>
      </c>
    </row>
    <row r="325" spans="1:155">
      <c r="A325"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Det) - Ripe Fruit Large 1X | Field TP Su</v>
      </c>
      <c r="B325" s="190"/>
      <c r="C325" s="1" t="b">
        <v>1</v>
      </c>
      <c r="D325" s="1"/>
      <c r="E325" s="1" t="b">
        <v>0</v>
      </c>
      <c r="F325" s="1" t="b">
        <f>IFERROR(IF(ISNUMBER(MATCH(Crops[[#This Row],[Identifier]],BedPlan[Crop], 0)), TRUE, FALSE), FALSE)</f>
        <v>1</v>
      </c>
      <c r="G325" s="1" t="b">
        <f>IFERROR(IF(ISNUMBER(MATCH(Crops[[#This Row],[Identifier]],BedPlan[Crop], 0)), TRUE, FALSE), FALSE)</f>
        <v>1</v>
      </c>
      <c r="H325" s="1"/>
      <c r="I325" t="s">
        <v>136</v>
      </c>
      <c r="J325" t="s">
        <v>3045</v>
      </c>
      <c r="K325" t="s">
        <v>2380</v>
      </c>
      <c r="M325" t="s">
        <v>136</v>
      </c>
      <c r="N325" t="str">
        <f>Crops[[#This Row],[Crop]]</f>
        <v>Tomato</v>
      </c>
      <c r="O325" t="s">
        <v>210</v>
      </c>
      <c r="P325" t="str">
        <f>IF(OR(Crops[[#This Row],[Days in Cells]]="",Crops[[#This Row],[Days in Cells]]=0), "DS","TP")</f>
        <v>TP</v>
      </c>
      <c r="R325" t="s">
        <v>144</v>
      </c>
      <c r="V325" t="str">
        <f xml:space="preserve"> IF(Crops[[#This Row],[Sp]], "Sp", "") &amp; IF(Crops[[#This Row],[Su]], "Su", "") &amp; IF(Crops[[#This Row],[Fa]], "Fa", "") &amp; IF(Crops[[#This Row],[Wi]], "Wi", "") &amp; IF(Crops[[#This Row],[OW]], "Ow","")</f>
        <v>Su</v>
      </c>
      <c r="W325" t="s">
        <v>144</v>
      </c>
      <c r="X325">
        <v>1</v>
      </c>
      <c r="Y325">
        <v>24</v>
      </c>
      <c r="Z325" t="s">
        <v>432</v>
      </c>
      <c r="AA325" t="s">
        <v>476</v>
      </c>
      <c r="AB325" t="b">
        <v>0</v>
      </c>
      <c r="AC325">
        <v>7</v>
      </c>
      <c r="AD325" s="32">
        <f>IFERROR(12/Crops[[#This Row],[Spacing]]*Crops[[#This Row],[Rows]]*BedLength,"")</f>
        <v>25</v>
      </c>
      <c r="AE325">
        <v>1</v>
      </c>
      <c r="AG325">
        <f>IF(Crops[[#This Row],[Custom Safety Factor]]="",PlantingSafetyFactor,Crops[[#This Row],[Custom Safety Factor]])</f>
        <v>1.3</v>
      </c>
      <c r="AH325">
        <f>1</f>
        <v>1</v>
      </c>
      <c r="AI325" s="33">
        <f>IFERROR(Crops[[#This Row],[Plantings Per Bed]]*Crops[[#This Row],[Seeds Per Planting]]*Crops[[#This Row],[Safety Factor]]*Crops[[#This Row],[Seeding Factor]],"")</f>
        <v>32.5</v>
      </c>
      <c r="AL325">
        <f>_xlfn.FLOOR.MATH(IFERROR(AVERAGE(Crops[[#This Row],[DTG Lower]:[DTG Upper]]),0))</f>
        <v>0</v>
      </c>
      <c r="AM325">
        <f>SUM(Crops[[#This Row],[Tray 1 Days]],Crops[[#This Row],[Tray 2 Days]],Crops[[#This Row],[Tray 3 Days]])</f>
        <v>56</v>
      </c>
      <c r="AN325" s="32">
        <v>55</v>
      </c>
      <c r="AP325">
        <v>55</v>
      </c>
      <c r="AQ325">
        <f>IFERROR(_xlfn.FLOOR.MATH(AVERAGE(Crops[[#This Row],[DTM Lower]:[DTM Upper]])),"")</f>
        <v>55</v>
      </c>
      <c r="AR325" cm="1">
        <f t="array" ref="AR325">_xlfn.SWITCH(Crops[[#This Row],[Normal Method]],"DS",Crops[[#This Row],[Days to Germination]]+Crops[[#This Row],[DTM]] + IF(Crops[[#This Row],[Days in Cells]]&gt;0,15,0), "TP",Crops[[#This Row],[DTM]]+Crops[[#This Row],[Days in Cells]] + IF(Crops[[#This Row],[Days in Cells]]&lt;=0,20,0), "X", Crops[[#This Row],[DTM]])</f>
        <v>111</v>
      </c>
      <c r="AS325" t="s">
        <v>346</v>
      </c>
      <c r="AT325">
        <f>(Crops[[#This Row],[Harvests]]-1)*Crops[[#This Row],[Days Between Harvest]]+7</f>
        <v>63</v>
      </c>
      <c r="AU325">
        <f>Crops[[#This Row],[STH]]-Crops[[#This Row],[Days in Cells]]+Crops[[#This Row],[Harvest window]]</f>
        <v>118</v>
      </c>
      <c r="AX325">
        <v>72</v>
      </c>
      <c r="AY325">
        <v>21</v>
      </c>
      <c r="AZ325" s="49">
        <f>IFERROR(IF(Crops[[#This Row],[Tray 1 Days]]=0,"",Crops[[#This Row],[Plantings Per Bed]]/Crops[[#This Row],[Tray 1 Size]]*Crops[[#This Row],[Safety Factor]]),"")</f>
        <v>0.4513888888888889</v>
      </c>
      <c r="BA325">
        <v>18</v>
      </c>
      <c r="BB325">
        <v>21</v>
      </c>
      <c r="BC325">
        <f>IFERROR(IF(Crops[[#This Row],[Tray 2 Days]]=0,"",Crops[[#This Row],[Plantings Per Bed]]/Crops[[#This Row],[Tray 2 Size]]*Crops[[#This Row],[Safety Factor]]),"")</f>
        <v>1.8055555555555556</v>
      </c>
      <c r="BD325">
        <v>9</v>
      </c>
      <c r="BE325" s="32">
        <v>14</v>
      </c>
      <c r="BF325" s="49">
        <f>IFERROR(IF(Crops[[#This Row],[Tray 3 Days]]=0,"",Crops[[#This Row],[Plantings Per Bed]]/Crops[[#This Row],[Tray 3 Size]]*Crops[[#This Row],[Safety Factor]]),"")</f>
        <v>3.6111111111111112</v>
      </c>
      <c r="BG325" s="33">
        <f>500*BedLength/StandardBedLength*(Crops[[#This Row],[Harvests]]*Crops[[#This Row],[Days Between Harvest]])/42/Crops[[#This Row],[Harvests]]</f>
        <v>41.666666666666664</v>
      </c>
      <c r="BH325" s="33">
        <v>9</v>
      </c>
      <c r="BI325" s="33">
        <v>7</v>
      </c>
      <c r="BJ325" s="33">
        <f>_xlfn.XLOOKUP(Crops[[#This Row],[ProductIndex]],Products[ID],Products[Holding Period])</f>
        <v>10</v>
      </c>
      <c r="BK325" s="33"/>
      <c r="BL325" s="33">
        <f>Crops[[#This Row],[Units Per Harvest]]*Crops[[#This Row],[Harvests]]</f>
        <v>375</v>
      </c>
      <c r="BM325" s="35">
        <v>5</v>
      </c>
      <c r="BN325" s="35">
        <v>3.83</v>
      </c>
      <c r="BO325" s="35"/>
      <c r="BP325" t="s">
        <v>383</v>
      </c>
      <c r="BQ325">
        <f>Crops[[#This Row],[Custom Yield Per Bed]]*Crops[[#This Row],[Direct Price]]</f>
        <v>1875</v>
      </c>
      <c r="BS325" t="b">
        <f>Crops[[#This Row],[Harvests]]&gt;1</f>
        <v>1</v>
      </c>
      <c r="BT325" s="36">
        <f>IFERROR(Crops[[#This Row],[Direct Revenue Per Bed]]/Crops[[#This Row],[Days In Field]],-1)</f>
        <v>15.889830508474576</v>
      </c>
      <c r="BU325" s="36">
        <f>IFERROR(Crops[[#This Row],[Direct Revenue Per Bed Day]]*GrowingDays*BedsPerAcre,"")</f>
        <v>457627.11864406778</v>
      </c>
      <c r="BV325" s="38">
        <f>LastFrostDate-5*Crops[[#This Row],[Sewing Rel Last Frost]]</f>
        <v>45733</v>
      </c>
      <c r="BW325" s="38">
        <f>Crops[[#This Row],[Target Sewing Date]]+Crops[[#This Row],[Days in Cells]]</f>
        <v>45789</v>
      </c>
      <c r="BX325" s="38">
        <f>Crops[[#This Row],[Target Sewing Date]]+Crops[[#This Row],[STH]]</f>
        <v>45844</v>
      </c>
      <c r="BY325" s="38">
        <f>Crops[[#This Row],[Target Harvest Data]]+Crops[[#This Row],[Harvest window]]</f>
        <v>45907</v>
      </c>
      <c r="BZ325">
        <v>3</v>
      </c>
      <c r="CA325" t="s">
        <v>373</v>
      </c>
      <c r="CB325">
        <f>1</f>
        <v>1</v>
      </c>
      <c r="CC325">
        <f>IF(Crops[[#This Row],[Transplanting]]&gt;0, 2, 3)*BedLength/StandardBedLength</f>
        <v>1</v>
      </c>
      <c r="CD325" s="173">
        <f>IF(Crops[[#This Row],[Days in Cells]]&lt;=0,0,Crops[[#This Row],[Plantings Per Bed]]/StartsPerHourSeeding+Crops[[#This Row],[Tray 1 Count]]*5/60)</f>
        <v>0.13527199074074076</v>
      </c>
      <c r="CE325" s="173">
        <f>IF(ISBLANK(Crops[[#This Row],[Tray 2 Days]]),0,Crops[[#This Row],[Plantings Per Bed]]/UpPottingPerHour)+IF(Crops[[#This Row],[Tray 3 Days]]="",0,Crops[[#This Row],[Plantings Per Bed]]/UpPottingPerHour)</f>
        <v>0.41666666666666669</v>
      </c>
      <c r="CF325" s="173">
        <f>IFERROR(Crops[[#This Row],[Tray 1 Count]]/HomeStartFlatIrrigationPerHour,0)*Crops[[#This Row],[Days in Cells]]/DaysBetweenStartIrrigation</f>
        <v>0.10532407407407408</v>
      </c>
      <c r="CG325" s="173">
        <f>0.5/16*MAX(Crops[[#This Row],[Tray 1 Count]],Crops[[#This Row],[Tray 2 Count]],Crops[[#This Row],[Tray 3 Count]])</f>
        <v>0.11284722222222222</v>
      </c>
      <c r="CH325" s="173">
        <f>IF(Crops[[#This Row],[Days in Cells]]&gt;0,IF(IF(Crops[[#This Row],[Tray 3 Size]]&gt;0,Crops[[#This Row],[Tray 3 Size]],IF(Crops[[#This Row],[Tray 2 Size]]&gt;0,Crops[[#This Row],[Tray 2 Size]],Crops[[#This Row],[Tray 1 Size]]))&lt;=18,LargeTransplantTime,SmallTransplantTime)*Crops[[#This Row],[Plantings Per Bed]],0)</f>
        <v>1.0416666666666665</v>
      </c>
      <c r="CI325" s="173"/>
      <c r="CJ325" s="173">
        <f>_xlfn.XLOOKUP(Crops[[#This Row],[Trellis Type]],TrellisMethods[Trellis Type],TrellisMethods[Hours],0,0)</f>
        <v>0</v>
      </c>
      <c r="CK325">
        <f>IF(Crops[[#This Row],[Days in Cells]]&lt;=0,Crops[[#This Row],[Rows]]*1/10,0)*BedLength/50</f>
        <v>0</v>
      </c>
      <c r="CL325" cm="1">
        <f t="array" ref="CL325">_xlfn.SWITCH(Crops[[#This Row],[Irrigation]],"DR", 0.5, "OH", 0.25,0)*BedLength/50</f>
        <v>0.5</v>
      </c>
      <c r="CM325">
        <f>IF(OR(ISBLANK(Crops[[#This Row],[Row Cover]]),Crops[[#This Row],[Row Cover]]="None"),0,1)*BedLength/50</f>
        <v>1</v>
      </c>
      <c r="CN325" s="173">
        <f>HoursPerWeedingPass*Crops[[#This Row],[Days In Field]]/14*Crops[[#This Row],[Rows]]+1*BedLength/50</f>
        <v>2.4047619047619047</v>
      </c>
      <c r="CO325" s="49">
        <f>1*Crops[[#This Row],[Days In Field]]/7</f>
        <v>16.857142857142858</v>
      </c>
      <c r="CQ325" s="37">
        <f>_xlfn.XLOOKUP(Crops[[#This Row],[Crop]]&amp;Crops[[#This Row],[Product]]&amp;Crops[[#This Row],[Unit]],Products[ID],Products[Marketing (hr)])*Crops[[#This Row],[Direct Revenue Per Bed]]/2000</f>
        <v>0.9375</v>
      </c>
      <c r="CR325" s="37">
        <f>_xlfn.XLOOKUP(Crops[[#This Row],[Crop]]&amp;Crops[[#This Row],[Product]]&amp;Crops[[#This Row],[Unit]],Products[ID],Products[Harvest (s)])*Crops[[#This Row],[Custom Yield Per Bed]]/3600</f>
        <v>1.6666666666666667</v>
      </c>
      <c r="CS325" s="37">
        <f>_xlfn.XLOOKUP(Crops[[#This Row],[Crop]]&amp;Crops[[#This Row],[Product]]&amp;Crops[[#This Row],[Unit]],Products[ID],Products[Bunch (s)])*Crops[[#This Row],[Custom Yield Per Bed]]/3600</f>
        <v>0</v>
      </c>
      <c r="CT325" s="37">
        <f>_xlfn.XLOOKUP(Crops[[#This Row],[Crop]]&amp;Crops[[#This Row],[Product]]&amp;Crops[[#This Row],[Unit]],Products[ID],Products[Haul (s)])*Crops[[#This Row],[Custom Yield Per Bed]]/3600</f>
        <v>0.234375</v>
      </c>
      <c r="CU325" s="37">
        <f>_xlfn.XLOOKUP(Crops[[#This Row],[Crop]]&amp;Crops[[#This Row],[Product]]&amp;Crops[[#This Row],[Unit]],Products[ID],Products[Wash (s)])*Crops[[#This Row],[Custom Yield Per Bed]]/3600</f>
        <v>0</v>
      </c>
      <c r="CV325" s="37">
        <f>_xlfn.XLOOKUP(Crops[[#This Row],[Crop]]&amp;Crops[[#This Row],[Product]]&amp;Crops[[#This Row],[Unit]],Products[ID],Products[Condition (s)])*Crops[[#This Row],[Custom Yield Per Bed]]/3600</f>
        <v>0</v>
      </c>
      <c r="CW325" s="37">
        <f>_xlfn.XLOOKUP(Crops[[#This Row],[Crop]]&amp;Crops[[#This Row],[Product]]&amp;Crops[[#This Row],[Unit]],Products[ID],Products[Trim (s)])*Crops[[#This Row],[Custom Yield Per Bed]]/3600</f>
        <v>0</v>
      </c>
      <c r="CX325" s="37">
        <f>_xlfn.XLOOKUP(Crops[[#This Row],[Crop]]&amp;Crops[[#This Row],[Product]]&amp;Crops[[#This Row],[Unit]],Products[ID],Products[Pack (s)])*Crops[[#This Row],[Custom Yield Per Bed]]/3600</f>
        <v>0.3125</v>
      </c>
      <c r="CY325" s="37">
        <f>_xlfn.XLOOKUP(Crops[[#This Row],[Crop]]&amp;Crops[[#This Row],[Product]]&amp;Crops[[#This Row],[Unit]],Products[ID],Products[Clean (s)])*Crops[[#This Row],[Custom Yield Per Bed]]/3600</f>
        <v>0</v>
      </c>
      <c r="CZ325" s="37">
        <f>_xlfn.XLOOKUP(Crops[[#This Row],[Crop]]&amp;Crops[[#This Row],[Product]]&amp;Crops[[#This Row],[Unit]],Products[ID],Products[Rehandle (s)])*Crops[[#This Row],[Custom Yield Per Bed]]/3600</f>
        <v>0</v>
      </c>
      <c r="DA325" s="37">
        <f>_xlfn.XLOOKUP(Crops[[#This Row],[Crop]]&amp;Crops[[#This Row],[Product]]&amp;Crops[[#This Row],[Unit]],Products[ID],Products[Market Transport (s)])*Crops[[#This Row],[Custom Yield Per Bed]]/3600</f>
        <v>0.5859375</v>
      </c>
      <c r="DC325" s="37">
        <f>Crops[[#This Row],[Direct Revenue Per Bed2]]</f>
        <v>1875</v>
      </c>
      <c r="DD325" s="173">
        <f>_xlfn.AGGREGATE(9,6,Crops[[#This Row],[Bed Prep]:[Remove Crop Residue]])</f>
        <v>27.310660548941801</v>
      </c>
      <c r="DE325" s="173">
        <f>_xlfn.AGGREGATE(9,6,Crops[[#This Row],[Bed Prep]:[Remove Crop Residue]])-0.75*Crops[[#This Row],[Market &amp; Sell]]</f>
        <v>26.607535548941801</v>
      </c>
      <c r="DF325" s="36">
        <f>Crops[[#This Row],[Direct Revenue Per Bed2]]/Crops[[#This Row],[Direct Time]]</f>
        <v>68.65450934956057</v>
      </c>
      <c r="DG325" s="36">
        <f>_xlfn.XLOOKUP(Crops[[#This Row],[ProductIndex]],Products[ID],Products[Packaging Cost])*(Crops[[#This Row],[Custom Yield Per Bed]]/_xlfn.XLOOKUP(Crops[[#This Row],[ProductIndex]],Products[ID],Products[Units Per Pack]))</f>
        <v>162</v>
      </c>
      <c r="DH325" s="36"/>
      <c r="DI325" s="36"/>
      <c r="DJ325" s="36"/>
      <c r="DK325" s="36"/>
      <c r="DL325" s="36"/>
      <c r="DM325" s="33">
        <f>IFERROR(Crops[[#This Row],[Custom Yield Per Bed]]*Crops[[#This Row],[Direct Price]],"")</f>
        <v>1875</v>
      </c>
      <c r="DN325" s="36">
        <f>Crops[[#This Row],[Direct Time]]*LaborRate</f>
        <v>682.76651372354502</v>
      </c>
      <c r="DO325" s="36">
        <f>SUM(Crops[[#This Row],[Irrigation Cost]])</f>
        <v>0</v>
      </c>
      <c r="DP325" s="36">
        <f>Crops[[#This Row],[Direct Labor Cost]]+Crops[[#This Row],[Direct Non-Labor Cost]]</f>
        <v>682.76651372354502</v>
      </c>
      <c r="DQ325" s="36">
        <f>Crops[[#This Row],[Direct Revenue Per Bed2]]-Crops[[#This Row],[Direct Total Cost]]</f>
        <v>1192.2334862764551</v>
      </c>
      <c r="DR325" s="36">
        <f>Crops[[#This Row],[Direct Profit]]*BedsPerAcre</f>
        <v>190757.3578042328</v>
      </c>
      <c r="DS325" s="36">
        <f>Crops[[#This Row],[Direct Profit]]*BedsPerAcre*GrowingDays/Crops[[#This Row],[Days In Field]]</f>
        <v>290985.80004035513</v>
      </c>
      <c r="DT325" s="36">
        <f>Crops[[#This Row],[Direct Profit]]/MIN(Crops[[#This Row],[Days In Field]],GrowingDays)</f>
        <v>10.103673612512331</v>
      </c>
      <c r="DU325" s="33">
        <f>Crops[[#This Row],[Direct Time]] * BedsPerAcre</f>
        <v>4369.7056878306885</v>
      </c>
      <c r="DV325" s="36">
        <f>(Crops[[#This Row],[Direct Revenue Per Bed2]]-Crops[[#This Row],[Direct Non-Labor Cost]])/Crops[[#This Row],[Direct Time]]</f>
        <v>68.65450934956057</v>
      </c>
      <c r="DW325" s="33">
        <f>IFERROR(Crops[[#This Row],[Custom Yield Per Bed]]*Crops[[#This Row],[Rough Wholesale Price]],"")</f>
        <v>1436.25</v>
      </c>
      <c r="DX325" s="36">
        <f>Crops[[#This Row],[Wholesale Time]]*LaborRate</f>
        <v>665.18838872354502</v>
      </c>
      <c r="DY325" s="36">
        <f>SUM(Crops[[#This Row],[Packaging Costs]:[Irrigation Cost]])</f>
        <v>162</v>
      </c>
      <c r="DZ325" s="36">
        <f>Crops[[#This Row],[Wholesale Labor Cost]]+Crops[[#This Row],[Wholesale Non-Labor Cost]]</f>
        <v>827.18838872354502</v>
      </c>
      <c r="EA325" s="36">
        <f>Crops[[#This Row],[Wholesale Revenue Per Bed]]-Crops[[#This Row],[Wholesale Total Cost]]</f>
        <v>609.06161127645498</v>
      </c>
      <c r="EB325" s="36">
        <f>Crops[[#This Row],[Wholesale Profit]]*BedsPerAcre</f>
        <v>97449.857804232801</v>
      </c>
      <c r="EC325" s="36">
        <f>Crops[[#This Row],[Wholesale Profit]]*BedsPerAcre*GrowingDays/Crops[[#This Row],[Days In Field]]</f>
        <v>148652.32546408393</v>
      </c>
      <c r="ED325" s="33">
        <f>Crops[[#This Row],[Wholesale Time]] * BedsPerAcre</f>
        <v>4257.2056878306885</v>
      </c>
      <c r="EE325" s="221">
        <f>Crops[[#This Row],[Wholesale Profit]]/MIN(Crops[[#This Row],[Days In Field]],GrowingDays)</f>
        <v>5.1615390786140249</v>
      </c>
      <c r="EF325" s="36">
        <f>(Crops[[#This Row],[Wholesale Revenue Per Bed]]-Crops[[#This Row],[Wholesale Non-Labor Cost]])/Crops[[#This Row],[Direct Time]]</f>
        <v>46.657604553961363</v>
      </c>
      <c r="EG325" s="174">
        <f>Crops[[#This Row],[Packaging Costs]]/Crops[[#This Row],[Wholesale Revenue Per Bed]]</f>
        <v>0.11279373368146214</v>
      </c>
      <c r="EH325" s="36" t="str">
        <f>Crops[[#This Row],[Crop]]&amp;Crops[[#This Row],[Product]]&amp;Crops[[#This Row],[Unit]]</f>
        <v>TomatoRipe Fruit LargeLb</v>
      </c>
      <c r="EI325" s="36" t="b">
        <f>_xlfn.XLOOKUP(Crops[[#This Row],[ProductIndex]],Products[ID],Products[Target])</f>
        <v>1</v>
      </c>
      <c r="EJ325" s="33">
        <f>Crops[[#This Row],[Custom Yield Per Bed]]</f>
        <v>375</v>
      </c>
      <c r="EK325" s="210">
        <f>Crops[[#This Row],[Units Per Harvest]]/Crops[[#This Row],[Days Between Harvest]]*7</f>
        <v>41.666666666666664</v>
      </c>
      <c r="EL325" s="210">
        <f>Crops[[#This Row],[Custom Yield Per Bed]]/_xlfn.XLOOKUP(Crops[[#This Row],[ProductIndex]],Products[ID],Products[CSA Portion])</f>
        <v>375</v>
      </c>
      <c r="EM325" s="210">
        <f>Crops[[#This Row],[Units Per Harvest]]/Crops[[#This Row],[Days Between Harvest]]*7/_xlfn.XLOOKUP(Crops[[#This Row],[ProductIndex]],Products[ID],Products[CSA Portion])</f>
        <v>41.666666666666664</v>
      </c>
      <c r="EN325" s="210">
        <f>Crops[[#This Row],[CSA Portions Per Week]]/CSAMembers</f>
        <v>0.83333333333333326</v>
      </c>
      <c r="EO325" s="216">
        <v>1.5</v>
      </c>
      <c r="EP325" s="216">
        <v>1</v>
      </c>
      <c r="EQ325" s="210"/>
      <c r="ER325" s="210">
        <f>Crops[[#This Row],[Harvests]]*Crops[[#This Row],[Days Between Harvest]]/7</f>
        <v>9</v>
      </c>
      <c r="ES325" s="217">
        <f>_xlfn.XLOOKUP(Crops[[#This Row],[ProductIndex]],Products[ID],Products[CSA Need])</f>
        <v>3</v>
      </c>
      <c r="ET325" s="217">
        <f>_xlfn.XLOOKUP(Crops[[#This Row],[ProductIndex]],Products[ID],Products[CSA Times])</f>
        <v>3</v>
      </c>
      <c r="EU325" s="208">
        <f>Crops[[#This Row],[Custom Yield Per Bed]]/(Crops[[#This Row],[CSA Need]]*(_xlfn.XLOOKUP(Crops[[#This Row],[ProductIndex]],Products[ID],Products[CSA Portion])*CSAMembers))</f>
        <v>2.5</v>
      </c>
      <c r="EV325" s="208">
        <f>_xlfn.XLOOKUP(Crops[[#This Row],[ProductIndex]],Products[ID],Products[CSA Portion])*CSAMembers*Crops[[#This Row],[CSA Need]]/Crops[[#This Row],[Custom Yield Per Bed]]</f>
        <v>0.4</v>
      </c>
      <c r="EW325" s="208">
        <f>IFERROR(Crops[[#This Row],[Days In Field]]*Crops[[#This Row],[CSA Beds]],"")</f>
        <v>47.2</v>
      </c>
      <c r="EX325" s="208" t="e">
        <f>Crops[[#This Row],[CSA Bed Days]]*#REF!</f>
        <v>#REF!</v>
      </c>
      <c r="EY325" t="s">
        <v>425</v>
      </c>
    </row>
    <row r="326" spans="1:155">
      <c r="A326"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 Ripe Fruit Large 1X | Field TP Su</v>
      </c>
      <c r="B326" s="190"/>
      <c r="C326" s="1" t="b">
        <v>1</v>
      </c>
      <c r="D326" s="1"/>
      <c r="E326" s="1" t="b">
        <v>0</v>
      </c>
      <c r="F326" s="1" t="b">
        <f>IFERROR(IF(ISNUMBER(MATCH(Crops[[#This Row],[Identifier]],BedPlan[Crop], 0)), TRUE, FALSE), FALSE)</f>
        <v>1</v>
      </c>
      <c r="G326" s="1" t="b">
        <f>IFERROR(IF(ISNUMBER(MATCH(Crops[[#This Row],[Identifier]],BedPlan[Crop], 0)), TRUE, FALSE), FALSE)</f>
        <v>1</v>
      </c>
      <c r="H326" s="1"/>
      <c r="I326" t="s">
        <v>136</v>
      </c>
      <c r="J326" t="s">
        <v>427</v>
      </c>
      <c r="K326" t="s">
        <v>2380</v>
      </c>
      <c r="M326" t="s">
        <v>136</v>
      </c>
      <c r="N326" t="str">
        <f>Crops[[#This Row],[Crop]]</f>
        <v>Tomato</v>
      </c>
      <c r="O326" t="s">
        <v>210</v>
      </c>
      <c r="P326" t="str">
        <f>IF(OR(Crops[[#This Row],[Days in Cells]]="",Crops[[#This Row],[Days in Cells]]=0), "DS","TP")</f>
        <v>TP</v>
      </c>
      <c r="R326" t="s">
        <v>144</v>
      </c>
      <c r="V326" t="str">
        <f xml:space="preserve"> IF(Crops[[#This Row],[Sp]], "Sp", "") &amp; IF(Crops[[#This Row],[Su]], "Su", "") &amp; IF(Crops[[#This Row],[Fa]], "Fa", "") &amp; IF(Crops[[#This Row],[Wi]], "Wi", "") &amp; IF(Crops[[#This Row],[OW]], "Ow","")</f>
        <v>Su</v>
      </c>
      <c r="W326" t="s">
        <v>144</v>
      </c>
      <c r="X326">
        <v>1</v>
      </c>
      <c r="Y326">
        <v>18</v>
      </c>
      <c r="Z326" t="s">
        <v>432</v>
      </c>
      <c r="AA326" t="s">
        <v>476</v>
      </c>
      <c r="AB326" t="b">
        <v>0</v>
      </c>
      <c r="AC326">
        <v>7</v>
      </c>
      <c r="AD326" s="32">
        <f>IFERROR(12/Crops[[#This Row],[Spacing]]*Crops[[#This Row],[Rows]]*BedLength,"")</f>
        <v>33.333333333333329</v>
      </c>
      <c r="AE326">
        <v>1</v>
      </c>
      <c r="AG326">
        <f>IF(Crops[[#This Row],[Custom Safety Factor]]="",PlantingSafetyFactor,Crops[[#This Row],[Custom Safety Factor]])</f>
        <v>1.3</v>
      </c>
      <c r="AH326">
        <f>1</f>
        <v>1</v>
      </c>
      <c r="AI326" s="33">
        <f>IFERROR(Crops[[#This Row],[Plantings Per Bed]]*Crops[[#This Row],[Seeds Per Planting]]*Crops[[#This Row],[Safety Factor]]*Crops[[#This Row],[Seeding Factor]],"")</f>
        <v>43.333333333333329</v>
      </c>
      <c r="AL326">
        <f>_xlfn.FLOOR.MATH(IFERROR(AVERAGE(Crops[[#This Row],[DTG Lower]:[DTG Upper]]),0))</f>
        <v>0</v>
      </c>
      <c r="AM326">
        <f>SUM(Crops[[#This Row],[Tray 1 Days]],Crops[[#This Row],[Tray 2 Days]],Crops[[#This Row],[Tray 3 Days]])</f>
        <v>56</v>
      </c>
      <c r="AN326" s="32">
        <v>55</v>
      </c>
      <c r="AP326">
        <v>135</v>
      </c>
      <c r="AQ326">
        <f>IFERROR(_xlfn.FLOOR.MATH(AVERAGE(Crops[[#This Row],[DTM Lower]:[DTM Upper]])),"")</f>
        <v>135</v>
      </c>
      <c r="AR326" cm="1">
        <f t="array" ref="AR326">_xlfn.SWITCH(Crops[[#This Row],[Normal Method]],"DS",Crops[[#This Row],[Days to Germination]]+Crops[[#This Row],[DTM]] + IF(Crops[[#This Row],[Days in Cells]]&gt;0,15,0), "TP",Crops[[#This Row],[DTM]]+Crops[[#This Row],[Days in Cells]] + IF(Crops[[#This Row],[Days in Cells]]&lt;=0,20,0), "X", Crops[[#This Row],[DTM]])</f>
        <v>135</v>
      </c>
      <c r="AS326" t="s">
        <v>347</v>
      </c>
      <c r="AT326">
        <f>(Crops[[#This Row],[Harvests]]-1)*Crops[[#This Row],[Days Between Harvest]]+7</f>
        <v>63</v>
      </c>
      <c r="AU326">
        <f>Crops[[#This Row],[STH]]-Crops[[#This Row],[Days in Cells]]+Crops[[#This Row],[Harvest window]]</f>
        <v>142</v>
      </c>
      <c r="AX326">
        <v>72</v>
      </c>
      <c r="AY326">
        <v>21</v>
      </c>
      <c r="AZ326" s="49">
        <f>IFERROR(IF(Crops[[#This Row],[Tray 1 Days]]=0,"",Crops[[#This Row],[Plantings Per Bed]]/Crops[[#This Row],[Tray 1 Size]]*Crops[[#This Row],[Safety Factor]]),"")</f>
        <v>0.60185185185185175</v>
      </c>
      <c r="BA326">
        <v>18</v>
      </c>
      <c r="BB326">
        <v>21</v>
      </c>
      <c r="BC326">
        <f>IFERROR(IF(Crops[[#This Row],[Tray 2 Days]]=0,"",Crops[[#This Row],[Plantings Per Bed]]/Crops[[#This Row],[Tray 2 Size]]*Crops[[#This Row],[Safety Factor]]),"")</f>
        <v>2.407407407407407</v>
      </c>
      <c r="BD326">
        <v>9</v>
      </c>
      <c r="BE326" s="32">
        <v>14</v>
      </c>
      <c r="BF326" s="49">
        <f>IFERROR(IF(Crops[[#This Row],[Tray 3 Days]]=0,"",Crops[[#This Row],[Plantings Per Bed]]/Crops[[#This Row],[Tray 3 Size]]*Crops[[#This Row],[Safety Factor]]),"")</f>
        <v>4.814814814814814</v>
      </c>
      <c r="BG326" s="33">
        <f>500*BedLength/StandardBedLength*(Crops[[#This Row],[Harvests]]*Crops[[#This Row],[Days Between Harvest]])/42/Crops[[#This Row],[Harvests]]</f>
        <v>41.666666666666664</v>
      </c>
      <c r="BH326" s="33">
        <v>9</v>
      </c>
      <c r="BI326" s="33">
        <v>7</v>
      </c>
      <c r="BJ326" s="33">
        <f>_xlfn.XLOOKUP(Crops[[#This Row],[ProductIndex]],Products[ID],Products[Holding Period])</f>
        <v>10</v>
      </c>
      <c r="BK326" s="33"/>
      <c r="BL326" s="33">
        <f>Crops[[#This Row],[Units Per Harvest]]*Crops[[#This Row],[Harvests]]</f>
        <v>375</v>
      </c>
      <c r="BM326" s="35">
        <v>5</v>
      </c>
      <c r="BN326" s="35">
        <v>3.83</v>
      </c>
      <c r="BO326" s="35"/>
      <c r="BP326" t="s">
        <v>383</v>
      </c>
      <c r="BQ326">
        <f>Crops[[#This Row],[Custom Yield Per Bed]]*Crops[[#This Row],[Direct Price]]</f>
        <v>1875</v>
      </c>
      <c r="BS326" t="b">
        <f>Crops[[#This Row],[Harvests]]&gt;1</f>
        <v>1</v>
      </c>
      <c r="BT326" s="36">
        <f>IFERROR(Crops[[#This Row],[Direct Revenue Per Bed]]/Crops[[#This Row],[Days In Field]],-1)</f>
        <v>13.204225352112676</v>
      </c>
      <c r="BU326" s="36">
        <f>IFERROR(Crops[[#This Row],[Direct Revenue Per Bed Day]]*GrowingDays*BedsPerAcre,"")</f>
        <v>380281.69014084508</v>
      </c>
      <c r="BV326" s="38">
        <f>LastFrostDate-5*Crops[[#This Row],[Sewing Rel Last Frost]]</f>
        <v>45733</v>
      </c>
      <c r="BW326" s="38">
        <f>Crops[[#This Row],[Target Sewing Date]]+Crops[[#This Row],[Days in Cells]]</f>
        <v>45789</v>
      </c>
      <c r="BX326" s="38">
        <f>Crops[[#This Row],[Target Sewing Date]]+Crops[[#This Row],[STH]]</f>
        <v>45868</v>
      </c>
      <c r="BY326" s="38">
        <f>Crops[[#This Row],[Target Harvest Data]]+Crops[[#This Row],[Harvest window]]</f>
        <v>45931</v>
      </c>
      <c r="BZ326">
        <v>3</v>
      </c>
      <c r="CA326" t="s">
        <v>373</v>
      </c>
      <c r="CB326">
        <f>1</f>
        <v>1</v>
      </c>
      <c r="CC326">
        <f>IF(Crops[[#This Row],[Transplanting]]&gt;0, 2, 3)*BedLength/StandardBedLength</f>
        <v>1</v>
      </c>
      <c r="CD326" s="173">
        <f>IF(Crops[[#This Row],[Days in Cells]]&lt;=0,0,Crops[[#This Row],[Plantings Per Bed]]/StartsPerHourSeeding+Crops[[#This Row],[Tray 1 Count]]*5/60)</f>
        <v>0.18036265432098764</v>
      </c>
      <c r="CE326" s="173">
        <f>IF(ISBLANK(Crops[[#This Row],[Tray 2 Days]]),0,Crops[[#This Row],[Plantings Per Bed]]/UpPottingPerHour)+IF(Crops[[#This Row],[Tray 3 Days]]="",0,Crops[[#This Row],[Plantings Per Bed]]/UpPottingPerHour)</f>
        <v>0.55555555555555547</v>
      </c>
      <c r="CF326" s="173">
        <f>IFERROR(Crops[[#This Row],[Tray 1 Count]]/HomeStartFlatIrrigationPerHour,0)*Crops[[#This Row],[Days in Cells]]/DaysBetweenStartIrrigation</f>
        <v>0.14043209876543206</v>
      </c>
      <c r="CG326" s="173">
        <f>0.5/16*MAX(Crops[[#This Row],[Tray 1 Count]],Crops[[#This Row],[Tray 2 Count]],Crops[[#This Row],[Tray 3 Count]])</f>
        <v>0.15046296296296294</v>
      </c>
      <c r="CH326" s="173">
        <f>IF(Crops[[#This Row],[Days in Cells]]&gt;0,IF(IF(Crops[[#This Row],[Tray 3 Size]]&gt;0,Crops[[#This Row],[Tray 3 Size]],IF(Crops[[#This Row],[Tray 2 Size]]&gt;0,Crops[[#This Row],[Tray 2 Size]],Crops[[#This Row],[Tray 1 Size]]))&lt;=18,LargeTransplantTime,SmallTransplantTime)*Crops[[#This Row],[Plantings Per Bed]],0)</f>
        <v>1.3888888888888886</v>
      </c>
      <c r="CI326" s="173"/>
      <c r="CJ326" s="173">
        <f>_xlfn.XLOOKUP(Crops[[#This Row],[Trellis Type]],TrellisMethods[Trellis Type],TrellisMethods[Hours],0,0)</f>
        <v>0</v>
      </c>
      <c r="CK326">
        <f>IF(Crops[[#This Row],[Days in Cells]]&lt;=0,Crops[[#This Row],[Rows]]*1/10,0)*BedLength/50</f>
        <v>0</v>
      </c>
      <c r="CL326" cm="1">
        <f t="array" ref="CL326">_xlfn.SWITCH(Crops[[#This Row],[Irrigation]],"DR", 0.5, "OH", 0.25,0)*BedLength/50</f>
        <v>0.5</v>
      </c>
      <c r="CM326">
        <f>IF(OR(ISBLANK(Crops[[#This Row],[Row Cover]]),Crops[[#This Row],[Row Cover]]="None"),0,1)*BedLength/50</f>
        <v>1</v>
      </c>
      <c r="CN326" s="173">
        <f>HoursPerWeedingPass*Crops[[#This Row],[Days In Field]]/14*Crops[[#This Row],[Rows]]+1*BedLength/50</f>
        <v>2.6904761904761902</v>
      </c>
      <c r="CO326" s="49">
        <f>1*Crops[[#This Row],[Days In Field]]/7</f>
        <v>20.285714285714285</v>
      </c>
      <c r="CQ326" s="37">
        <f>_xlfn.XLOOKUP(Crops[[#This Row],[Crop]]&amp;Crops[[#This Row],[Product]]&amp;Crops[[#This Row],[Unit]],Products[ID],Products[Marketing (hr)])*Crops[[#This Row],[Direct Revenue Per Bed]]/2000</f>
        <v>0.9375</v>
      </c>
      <c r="CR326" s="37">
        <f>_xlfn.XLOOKUP(Crops[[#This Row],[Crop]]&amp;Crops[[#This Row],[Product]]&amp;Crops[[#This Row],[Unit]],Products[ID],Products[Harvest (s)])*Crops[[#This Row],[Custom Yield Per Bed]]/3600</f>
        <v>1.6666666666666667</v>
      </c>
      <c r="CS326" s="37">
        <f>_xlfn.XLOOKUP(Crops[[#This Row],[Crop]]&amp;Crops[[#This Row],[Product]]&amp;Crops[[#This Row],[Unit]],Products[ID],Products[Bunch (s)])*Crops[[#This Row],[Custom Yield Per Bed]]/3600</f>
        <v>0</v>
      </c>
      <c r="CT326" s="37">
        <f>_xlfn.XLOOKUP(Crops[[#This Row],[Crop]]&amp;Crops[[#This Row],[Product]]&amp;Crops[[#This Row],[Unit]],Products[ID],Products[Haul (s)])*Crops[[#This Row],[Custom Yield Per Bed]]/3600</f>
        <v>0.234375</v>
      </c>
      <c r="CU326" s="37">
        <f>_xlfn.XLOOKUP(Crops[[#This Row],[Crop]]&amp;Crops[[#This Row],[Product]]&amp;Crops[[#This Row],[Unit]],Products[ID],Products[Wash (s)])*Crops[[#This Row],[Custom Yield Per Bed]]/3600</f>
        <v>0</v>
      </c>
      <c r="CV326" s="37">
        <f>_xlfn.XLOOKUP(Crops[[#This Row],[Crop]]&amp;Crops[[#This Row],[Product]]&amp;Crops[[#This Row],[Unit]],Products[ID],Products[Condition (s)])*Crops[[#This Row],[Custom Yield Per Bed]]/3600</f>
        <v>0</v>
      </c>
      <c r="CW326" s="37">
        <f>_xlfn.XLOOKUP(Crops[[#This Row],[Crop]]&amp;Crops[[#This Row],[Product]]&amp;Crops[[#This Row],[Unit]],Products[ID],Products[Trim (s)])*Crops[[#This Row],[Custom Yield Per Bed]]/3600</f>
        <v>0</v>
      </c>
      <c r="CX326" s="37">
        <f>_xlfn.XLOOKUP(Crops[[#This Row],[Crop]]&amp;Crops[[#This Row],[Product]]&amp;Crops[[#This Row],[Unit]],Products[ID],Products[Pack (s)])*Crops[[#This Row],[Custom Yield Per Bed]]/3600</f>
        <v>0.3125</v>
      </c>
      <c r="CY326" s="37">
        <f>_xlfn.XLOOKUP(Crops[[#This Row],[Crop]]&amp;Crops[[#This Row],[Product]]&amp;Crops[[#This Row],[Unit]],Products[ID],Products[Clean (s)])*Crops[[#This Row],[Custom Yield Per Bed]]/3600</f>
        <v>0</v>
      </c>
      <c r="CZ326" s="37">
        <f>_xlfn.XLOOKUP(Crops[[#This Row],[Crop]]&amp;Crops[[#This Row],[Product]]&amp;Crops[[#This Row],[Unit]],Products[ID],Products[Rehandle (s)])*Crops[[#This Row],[Custom Yield Per Bed]]/3600</f>
        <v>0</v>
      </c>
      <c r="DA326" s="37">
        <f>_xlfn.XLOOKUP(Crops[[#This Row],[Crop]]&amp;Crops[[#This Row],[Product]]&amp;Crops[[#This Row],[Unit]],Products[ID],Products[Market Transport (s)])*Crops[[#This Row],[Custom Yield Per Bed]]/3600</f>
        <v>0.5859375</v>
      </c>
      <c r="DC326" s="37">
        <f>Crops[[#This Row],[Direct Revenue Per Bed2]]</f>
        <v>1875</v>
      </c>
      <c r="DD326" s="173">
        <f>_xlfn.AGGREGATE(9,6,Crops[[#This Row],[Bed Prep]:[Remove Crop Residue]])</f>
        <v>31.628871803350972</v>
      </c>
      <c r="DE326" s="173">
        <f>_xlfn.AGGREGATE(9,6,Crops[[#This Row],[Bed Prep]:[Remove Crop Residue]])-0.75*Crops[[#This Row],[Market &amp; Sell]]</f>
        <v>30.925746803350972</v>
      </c>
      <c r="DF326" s="36">
        <f>Crops[[#This Row],[Direct Revenue Per Bed2]]/Crops[[#This Row],[Direct Time]]</f>
        <v>59.281279827418636</v>
      </c>
      <c r="DG326" s="36">
        <f>_xlfn.XLOOKUP(Crops[[#This Row],[ProductIndex]],Products[ID],Products[Packaging Cost])*(Crops[[#This Row],[Custom Yield Per Bed]]/_xlfn.XLOOKUP(Crops[[#This Row],[ProductIndex]],Products[ID],Products[Units Per Pack]))</f>
        <v>162</v>
      </c>
      <c r="DH326" s="36"/>
      <c r="DI326" s="36"/>
      <c r="DJ326" s="36"/>
      <c r="DK326" s="36"/>
      <c r="DL326" s="36"/>
      <c r="DM326" s="33">
        <f>IFERROR(Crops[[#This Row],[Custom Yield Per Bed]]*Crops[[#This Row],[Direct Price]],"")</f>
        <v>1875</v>
      </c>
      <c r="DN326" s="36">
        <f>Crops[[#This Row],[Direct Time]]*LaborRate</f>
        <v>790.72179508377428</v>
      </c>
      <c r="DO326" s="36">
        <f>SUM(Crops[[#This Row],[Irrigation Cost]])</f>
        <v>0</v>
      </c>
      <c r="DP326" s="36">
        <f>Crops[[#This Row],[Direct Labor Cost]]+Crops[[#This Row],[Direct Non-Labor Cost]]</f>
        <v>790.72179508377428</v>
      </c>
      <c r="DQ326" s="36">
        <f>Crops[[#This Row],[Direct Revenue Per Bed2]]-Crops[[#This Row],[Direct Total Cost]]</f>
        <v>1084.2782049162256</v>
      </c>
      <c r="DR326" s="36">
        <f>Crops[[#This Row],[Direct Profit]]*BedsPerAcre</f>
        <v>173484.51278659608</v>
      </c>
      <c r="DS326" s="36">
        <f>Crops[[#This Row],[Direct Profit]]*BedsPerAcre*GrowingDays/Crops[[#This Row],[Days In Field]]</f>
        <v>219909.94578582601</v>
      </c>
      <c r="DT326" s="36">
        <f>Crops[[#This Row],[Direct Profit]]/MIN(Crops[[#This Row],[Days In Field]],GrowingDays)</f>
        <v>7.6357620064522926</v>
      </c>
      <c r="DU326" s="33">
        <f>Crops[[#This Row],[Direct Time]] * BedsPerAcre</f>
        <v>5060.6194885361556</v>
      </c>
      <c r="DV326" s="36">
        <f>(Crops[[#This Row],[Direct Revenue Per Bed2]]-Crops[[#This Row],[Direct Non-Labor Cost]])/Crops[[#This Row],[Direct Time]]</f>
        <v>59.281279827418636</v>
      </c>
      <c r="DW326" s="33">
        <f>IFERROR(Crops[[#This Row],[Custom Yield Per Bed]]*Crops[[#This Row],[Rough Wholesale Price]],"")</f>
        <v>1436.25</v>
      </c>
      <c r="DX326" s="36">
        <f>Crops[[#This Row],[Wholesale Time]]*LaborRate</f>
        <v>773.14367008377428</v>
      </c>
      <c r="DY326" s="36">
        <f>SUM(Crops[[#This Row],[Packaging Costs]:[Irrigation Cost]])</f>
        <v>162</v>
      </c>
      <c r="DZ326" s="36">
        <f>Crops[[#This Row],[Wholesale Labor Cost]]+Crops[[#This Row],[Wholesale Non-Labor Cost]]</f>
        <v>935.14367008377428</v>
      </c>
      <c r="EA326" s="36">
        <f>Crops[[#This Row],[Wholesale Revenue Per Bed]]-Crops[[#This Row],[Wholesale Total Cost]]</f>
        <v>501.10632991622572</v>
      </c>
      <c r="EB326" s="36">
        <f>Crops[[#This Row],[Wholesale Profit]]*BedsPerAcre</f>
        <v>80177.012786596111</v>
      </c>
      <c r="EC326" s="36">
        <f>Crops[[#This Row],[Wholesale Profit]]*BedsPerAcre*GrowingDays/Crops[[#This Row],[Days In Field]]</f>
        <v>101632.83310976972</v>
      </c>
      <c r="ED326" s="33">
        <f>Crops[[#This Row],[Wholesale Time]] * BedsPerAcre</f>
        <v>4948.1194885361556</v>
      </c>
      <c r="EE326" s="221">
        <f>Crops[[#This Row],[Wholesale Profit]]/MIN(Crops[[#This Row],[Days In Field]],GrowingDays)</f>
        <v>3.5289178163114485</v>
      </c>
      <c r="EF326" s="36">
        <f>(Crops[[#This Row],[Wholesale Revenue Per Bed]]-Crops[[#This Row],[Wholesale Non-Labor Cost]])/Crops[[#This Row],[Direct Time]]</f>
        <v>40.287557770713704</v>
      </c>
      <c r="EG326" s="174">
        <f>Crops[[#This Row],[Packaging Costs]]/Crops[[#This Row],[Wholesale Revenue Per Bed]]</f>
        <v>0.11279373368146214</v>
      </c>
      <c r="EH326" s="36" t="str">
        <f>Crops[[#This Row],[Crop]]&amp;Crops[[#This Row],[Product]]&amp;Crops[[#This Row],[Unit]]</f>
        <v>TomatoRipe Fruit LargeLb</v>
      </c>
      <c r="EI326" s="36" t="b">
        <f>_xlfn.XLOOKUP(Crops[[#This Row],[ProductIndex]],Products[ID],Products[Target])</f>
        <v>1</v>
      </c>
      <c r="EJ326" s="33">
        <f>Crops[[#This Row],[Custom Yield Per Bed]]</f>
        <v>375</v>
      </c>
      <c r="EK326" s="210">
        <f>Crops[[#This Row],[Units Per Harvest]]/Crops[[#This Row],[Days Between Harvest]]*7</f>
        <v>41.666666666666664</v>
      </c>
      <c r="EL326" s="210">
        <f>Crops[[#This Row],[Custom Yield Per Bed]]/_xlfn.XLOOKUP(Crops[[#This Row],[ProductIndex]],Products[ID],Products[CSA Portion])</f>
        <v>375</v>
      </c>
      <c r="EM326" s="210">
        <f>Crops[[#This Row],[Units Per Harvest]]/Crops[[#This Row],[Days Between Harvest]]*7/_xlfn.XLOOKUP(Crops[[#This Row],[ProductIndex]],Products[ID],Products[CSA Portion])</f>
        <v>41.666666666666664</v>
      </c>
      <c r="EN326" s="210">
        <f>Crops[[#This Row],[CSA Portions Per Week]]/CSAMembers</f>
        <v>0.83333333333333326</v>
      </c>
      <c r="EO326" s="216">
        <v>1.5</v>
      </c>
      <c r="EP326" s="216">
        <v>1</v>
      </c>
      <c r="EQ326" s="210"/>
      <c r="ER326" s="210">
        <f>Crops[[#This Row],[Harvests]]*Crops[[#This Row],[Days Between Harvest]]/7</f>
        <v>9</v>
      </c>
      <c r="ES326" s="217">
        <f>_xlfn.XLOOKUP(Crops[[#This Row],[ProductIndex]],Products[ID],Products[CSA Need])</f>
        <v>3</v>
      </c>
      <c r="ET326" s="217">
        <f>_xlfn.XLOOKUP(Crops[[#This Row],[ProductIndex]],Products[ID],Products[CSA Times])</f>
        <v>3</v>
      </c>
      <c r="EU326" s="208">
        <f>Crops[[#This Row],[Custom Yield Per Bed]]/(Crops[[#This Row],[CSA Need]]*(_xlfn.XLOOKUP(Crops[[#This Row],[ProductIndex]],Products[ID],Products[CSA Portion])*CSAMembers))</f>
        <v>2.5</v>
      </c>
      <c r="EV326" s="208">
        <f>_xlfn.XLOOKUP(Crops[[#This Row],[ProductIndex]],Products[ID],Products[CSA Portion])*CSAMembers*Crops[[#This Row],[CSA Need]]/Crops[[#This Row],[Custom Yield Per Bed]]</f>
        <v>0.4</v>
      </c>
      <c r="EW326" s="208">
        <f>IFERROR(Crops[[#This Row],[Days In Field]]*Crops[[#This Row],[CSA Beds]],"")</f>
        <v>56.800000000000004</v>
      </c>
      <c r="EX326" s="208" t="e">
        <f>Crops[[#This Row],[CSA Bed Days]]*#REF!</f>
        <v>#REF!</v>
      </c>
      <c r="EY326" t="s">
        <v>425</v>
      </c>
    </row>
    <row r="327" spans="1:155">
      <c r="A327"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 Ripe Fruit Large 1X | Greenhouse TP Su</v>
      </c>
      <c r="B327" s="190"/>
      <c r="C327" s="1" t="b">
        <v>1</v>
      </c>
      <c r="D327" s="1"/>
      <c r="E327" s="1" t="b">
        <v>0</v>
      </c>
      <c r="F327" s="1" t="b">
        <f>IFERROR(IF(ISNUMBER(MATCH(Crops[[#This Row],[Identifier]],BedPlan[Crop], 0)), TRUE, FALSE), FALSE)</f>
        <v>1</v>
      </c>
      <c r="G327" s="1" t="b">
        <f>IFERROR(IF(ISNUMBER(MATCH(Crops[[#This Row],[Identifier]],BedPlan[Crop], 0)), TRUE, FALSE), FALSE)</f>
        <v>1</v>
      </c>
      <c r="H327" s="1"/>
      <c r="I327" t="s">
        <v>136</v>
      </c>
      <c r="J327" t="s">
        <v>427</v>
      </c>
      <c r="K327" t="s">
        <v>2380</v>
      </c>
      <c r="M327" t="s">
        <v>136</v>
      </c>
      <c r="N327" t="str">
        <f>Crops[[#This Row],[Crop]]</f>
        <v>Tomato</v>
      </c>
      <c r="O327" t="s">
        <v>211</v>
      </c>
      <c r="P327" t="str">
        <f>IF(OR(Crops[[#This Row],[Days in Cells]]="",Crops[[#This Row],[Days in Cells]]=0), "DS","TP")</f>
        <v>TP</v>
      </c>
      <c r="R327" t="s">
        <v>144</v>
      </c>
      <c r="V327" t="str">
        <f xml:space="preserve"> IF(Crops[[#This Row],[Sp]], "Sp", "") &amp; IF(Crops[[#This Row],[Su]], "Su", "") &amp; IF(Crops[[#This Row],[Fa]], "Fa", "") &amp; IF(Crops[[#This Row],[Wi]], "Wi", "") &amp; IF(Crops[[#This Row],[OW]], "Ow","")</f>
        <v>Su</v>
      </c>
      <c r="W327" t="s">
        <v>144</v>
      </c>
      <c r="X327">
        <v>1</v>
      </c>
      <c r="Y327">
        <v>18</v>
      </c>
      <c r="Z327" t="s">
        <v>432</v>
      </c>
      <c r="AA327" t="s">
        <v>476</v>
      </c>
      <c r="AB327" t="b">
        <v>0</v>
      </c>
      <c r="AC327">
        <v>7</v>
      </c>
      <c r="AD327" s="32">
        <f>IFERROR(12/Crops[[#This Row],[Spacing]]*Crops[[#This Row],[Rows]]*BedLength,"")</f>
        <v>33.333333333333329</v>
      </c>
      <c r="AE327">
        <v>1</v>
      </c>
      <c r="AG327">
        <f>IF(Crops[[#This Row],[Custom Safety Factor]]="",PlantingSafetyFactor,Crops[[#This Row],[Custom Safety Factor]])</f>
        <v>1.3</v>
      </c>
      <c r="AH327">
        <f>1</f>
        <v>1</v>
      </c>
      <c r="AI327" s="33">
        <f>IFERROR(Crops[[#This Row],[Plantings Per Bed]]*Crops[[#This Row],[Seeds Per Planting]]*Crops[[#This Row],[Safety Factor]]*Crops[[#This Row],[Seeding Factor]],"")</f>
        <v>43.333333333333329</v>
      </c>
      <c r="AL327">
        <f>_xlfn.FLOOR.MATH(IFERROR(AVERAGE(Crops[[#This Row],[DTG Lower]:[DTG Upper]]),0))</f>
        <v>0</v>
      </c>
      <c r="AM327">
        <f>SUM(Crops[[#This Row],[Tray 1 Days]],Crops[[#This Row],[Tray 2 Days]],Crops[[#This Row],[Tray 3 Days]])</f>
        <v>56</v>
      </c>
      <c r="AN327" s="32">
        <v>55</v>
      </c>
      <c r="AP327">
        <v>120</v>
      </c>
      <c r="AQ327">
        <f>IFERROR(_xlfn.FLOOR.MATH(AVERAGE(Crops[[#This Row],[DTM Lower]:[DTM Upper]])),"")</f>
        <v>120</v>
      </c>
      <c r="AR327" cm="1">
        <f t="array" ref="AR327">_xlfn.SWITCH(Crops[[#This Row],[Normal Method]],"DS",Crops[[#This Row],[Days to Germination]]+Crops[[#This Row],[DTM]] + IF(Crops[[#This Row],[Days in Cells]]&gt;0,15,0), "TP",Crops[[#This Row],[DTM]]+Crops[[#This Row],[Days in Cells]] + IF(Crops[[#This Row],[Days in Cells]]&lt;=0,20,0), "X", Crops[[#This Row],[DTM]])</f>
        <v>120</v>
      </c>
      <c r="AS327" t="s">
        <v>347</v>
      </c>
      <c r="AT327">
        <f>(Crops[[#This Row],[Harvests]]-1)*Crops[[#This Row],[Days Between Harvest]]+7</f>
        <v>84</v>
      </c>
      <c r="AU327">
        <f>Crops[[#This Row],[STH]]-Crops[[#This Row],[Days in Cells]]+Crops[[#This Row],[Harvest window]]</f>
        <v>148</v>
      </c>
      <c r="AX327">
        <v>72</v>
      </c>
      <c r="AY327">
        <v>21</v>
      </c>
      <c r="AZ327" s="49">
        <f>IFERROR(IF(Crops[[#This Row],[Tray 1 Days]]=0,"",Crops[[#This Row],[Plantings Per Bed]]/Crops[[#This Row],[Tray 1 Size]]*Crops[[#This Row],[Safety Factor]]),"")</f>
        <v>0.60185185185185175</v>
      </c>
      <c r="BA327">
        <v>18</v>
      </c>
      <c r="BB327">
        <v>21</v>
      </c>
      <c r="BC327">
        <f>IFERROR(IF(Crops[[#This Row],[Tray 2 Days]]=0,"",Crops[[#This Row],[Plantings Per Bed]]/Crops[[#This Row],[Tray 2 Size]]*Crops[[#This Row],[Safety Factor]]),"")</f>
        <v>2.407407407407407</v>
      </c>
      <c r="BD327">
        <v>9</v>
      </c>
      <c r="BE327" s="32">
        <v>14</v>
      </c>
      <c r="BF327" s="49">
        <f>IFERROR(IF(Crops[[#This Row],[Tray 3 Days]]=0,"",Crops[[#This Row],[Plantings Per Bed]]/Crops[[#This Row],[Tray 3 Size]]*Crops[[#This Row],[Safety Factor]]),"")</f>
        <v>4.814814814814814</v>
      </c>
      <c r="BG327" s="33">
        <f>500*BedLength/StandardBedLength*(Crops[[#This Row],[Harvests]]*Crops[[#This Row],[Days Between Harvest]])/42/Crops[[#This Row],[Harvests]]</f>
        <v>41.666666666666664</v>
      </c>
      <c r="BH327" s="33">
        <v>12</v>
      </c>
      <c r="BI327" s="33">
        <v>7</v>
      </c>
      <c r="BJ327" s="33">
        <f>_xlfn.XLOOKUP(Crops[[#This Row],[ProductIndex]],Products[ID],Products[Holding Period])</f>
        <v>10</v>
      </c>
      <c r="BK327" s="33"/>
      <c r="BL327" s="33">
        <f>Crops[[#This Row],[Units Per Harvest]]*Crops[[#This Row],[Harvests]]</f>
        <v>500</v>
      </c>
      <c r="BM327" s="35">
        <v>5</v>
      </c>
      <c r="BN327" s="35">
        <v>3.83</v>
      </c>
      <c r="BO327" s="35"/>
      <c r="BP327" t="s">
        <v>383</v>
      </c>
      <c r="BQ327">
        <f>Crops[[#This Row],[Custom Yield Per Bed]]*Crops[[#This Row],[Direct Price]]</f>
        <v>2500</v>
      </c>
      <c r="BS327" t="b">
        <f>Crops[[#This Row],[Harvests]]&gt;1</f>
        <v>1</v>
      </c>
      <c r="BT327" s="36">
        <f>IFERROR(Crops[[#This Row],[Direct Revenue Per Bed]]/Crops[[#This Row],[Days In Field]],-1)</f>
        <v>16.891891891891891</v>
      </c>
      <c r="BU327" s="36">
        <f>IFERROR(Crops[[#This Row],[Direct Revenue Per Bed Day]]*GrowingDays*BedsPerAcre,"")</f>
        <v>486486.48648648645</v>
      </c>
      <c r="BV327" s="38">
        <f>LastFrostDate-5*Crops[[#This Row],[Sewing Rel Last Frost]]</f>
        <v>45723</v>
      </c>
      <c r="BW327" s="38">
        <f>Crops[[#This Row],[Target Sewing Date]]+Crops[[#This Row],[Days in Cells]]</f>
        <v>45779</v>
      </c>
      <c r="BX327" s="38">
        <f>Crops[[#This Row],[Target Sewing Date]]+Crops[[#This Row],[STH]]</f>
        <v>45843</v>
      </c>
      <c r="BY327" s="38">
        <f>Crops[[#This Row],[Target Harvest Data]]+Crops[[#This Row],[Harvest window]]</f>
        <v>45927</v>
      </c>
      <c r="BZ327">
        <v>5</v>
      </c>
      <c r="CA327" t="s">
        <v>373</v>
      </c>
      <c r="CB327">
        <f>1</f>
        <v>1</v>
      </c>
      <c r="CC327">
        <f>IF(Crops[[#This Row],[Transplanting]]&gt;0, 2, 3)*BedLength/StandardBedLength</f>
        <v>1</v>
      </c>
      <c r="CD327" s="173">
        <f>IF(Crops[[#This Row],[Days in Cells]]&lt;=0,0,Crops[[#This Row],[Plantings Per Bed]]/StartsPerHourSeeding+Crops[[#This Row],[Tray 1 Count]]*5/60)</f>
        <v>0.18036265432098764</v>
      </c>
      <c r="CE327" s="173">
        <f>IF(ISBLANK(Crops[[#This Row],[Tray 2 Days]]),0,Crops[[#This Row],[Plantings Per Bed]]/UpPottingPerHour)+IF(Crops[[#This Row],[Tray 3 Days]]="",0,Crops[[#This Row],[Plantings Per Bed]]/UpPottingPerHour)</f>
        <v>0.55555555555555547</v>
      </c>
      <c r="CF327" s="173">
        <f>IFERROR(Crops[[#This Row],[Tray 1 Count]]/HomeStartFlatIrrigationPerHour,0)*Crops[[#This Row],[Days in Cells]]/DaysBetweenStartIrrigation</f>
        <v>0.14043209876543206</v>
      </c>
      <c r="CG327" s="173">
        <f>0.5/16*MAX(Crops[[#This Row],[Tray 1 Count]],Crops[[#This Row],[Tray 2 Count]],Crops[[#This Row],[Tray 3 Count]])</f>
        <v>0.15046296296296294</v>
      </c>
      <c r="CH327" s="173">
        <f>IF(Crops[[#This Row],[Days in Cells]]&gt;0,IF(IF(Crops[[#This Row],[Tray 3 Size]]&gt;0,Crops[[#This Row],[Tray 3 Size]],IF(Crops[[#This Row],[Tray 2 Size]]&gt;0,Crops[[#This Row],[Tray 2 Size]],Crops[[#This Row],[Tray 1 Size]]))&lt;=18,LargeTransplantTime,SmallTransplantTime)*Crops[[#This Row],[Plantings Per Bed]],0)</f>
        <v>1.3888888888888886</v>
      </c>
      <c r="CI327" s="173"/>
      <c r="CJ327" s="173">
        <f>_xlfn.XLOOKUP(Crops[[#This Row],[Trellis Type]],TrellisMethods[Trellis Type],TrellisMethods[Hours],0,0)</f>
        <v>0</v>
      </c>
      <c r="CK327">
        <f>IF(Crops[[#This Row],[Days in Cells]]&lt;=0,Crops[[#This Row],[Rows]]*1/10,0)*BedLength/50</f>
        <v>0</v>
      </c>
      <c r="CL327" cm="1">
        <f t="array" ref="CL327">_xlfn.SWITCH(Crops[[#This Row],[Irrigation]],"DR", 0.5, "OH", 0.25,0)*BedLength/50</f>
        <v>0.5</v>
      </c>
      <c r="CM327">
        <f>IF(OR(ISBLANK(Crops[[#This Row],[Row Cover]]),Crops[[#This Row],[Row Cover]]="None"),0,1)*BedLength/50</f>
        <v>1</v>
      </c>
      <c r="CN327" s="173">
        <f>HoursPerWeedingPass*Crops[[#This Row],[Days In Field]]/14*Crops[[#This Row],[Rows]]+1*BedLength/50</f>
        <v>2.7619047619047619</v>
      </c>
      <c r="CO327" s="49">
        <f>1*Crops[[#This Row],[Days In Field]]/7*BedLength/50</f>
        <v>21.142857142857142</v>
      </c>
      <c r="CQ327" s="37">
        <f>_xlfn.XLOOKUP(Crops[[#This Row],[Crop]]&amp;Crops[[#This Row],[Product]]&amp;Crops[[#This Row],[Unit]],Products[ID],Products[Marketing (hr)])*Crops[[#This Row],[Direct Revenue Per Bed]]/2000</f>
        <v>1.25</v>
      </c>
      <c r="CR327" s="37">
        <f>_xlfn.XLOOKUP(Crops[[#This Row],[Crop]]&amp;Crops[[#This Row],[Product]]&amp;Crops[[#This Row],[Unit]],Products[ID],Products[Harvest (s)])*Crops[[#This Row],[Custom Yield Per Bed]]/3600</f>
        <v>2.2222222222222223</v>
      </c>
      <c r="CS327" s="37">
        <f>_xlfn.XLOOKUP(Crops[[#This Row],[Crop]]&amp;Crops[[#This Row],[Product]]&amp;Crops[[#This Row],[Unit]],Products[ID],Products[Bunch (s)])*Crops[[#This Row],[Custom Yield Per Bed]]/3600</f>
        <v>0</v>
      </c>
      <c r="CT327" s="37">
        <f>_xlfn.XLOOKUP(Crops[[#This Row],[Crop]]&amp;Crops[[#This Row],[Product]]&amp;Crops[[#This Row],[Unit]],Products[ID],Products[Haul (s)])*Crops[[#This Row],[Custom Yield Per Bed]]/3600</f>
        <v>0.3125</v>
      </c>
      <c r="CU327" s="37">
        <f>_xlfn.XLOOKUP(Crops[[#This Row],[Crop]]&amp;Crops[[#This Row],[Product]]&amp;Crops[[#This Row],[Unit]],Products[ID],Products[Wash (s)])*Crops[[#This Row],[Custom Yield Per Bed]]/3600</f>
        <v>0</v>
      </c>
      <c r="CV327" s="37">
        <f>_xlfn.XLOOKUP(Crops[[#This Row],[Crop]]&amp;Crops[[#This Row],[Product]]&amp;Crops[[#This Row],[Unit]],Products[ID],Products[Condition (s)])*Crops[[#This Row],[Custom Yield Per Bed]]/3600</f>
        <v>0</v>
      </c>
      <c r="CW327" s="37">
        <f>_xlfn.XLOOKUP(Crops[[#This Row],[Crop]]&amp;Crops[[#This Row],[Product]]&amp;Crops[[#This Row],[Unit]],Products[ID],Products[Trim (s)])*Crops[[#This Row],[Custom Yield Per Bed]]/3600</f>
        <v>0</v>
      </c>
      <c r="CX327" s="37">
        <f>_xlfn.XLOOKUP(Crops[[#This Row],[Crop]]&amp;Crops[[#This Row],[Product]]&amp;Crops[[#This Row],[Unit]],Products[ID],Products[Pack (s)])*Crops[[#This Row],[Custom Yield Per Bed]]/3600</f>
        <v>0.41666666666666669</v>
      </c>
      <c r="CY327" s="37">
        <f>_xlfn.XLOOKUP(Crops[[#This Row],[Crop]]&amp;Crops[[#This Row],[Product]]&amp;Crops[[#This Row],[Unit]],Products[ID],Products[Clean (s)])*Crops[[#This Row],[Custom Yield Per Bed]]/3600</f>
        <v>0</v>
      </c>
      <c r="CZ327" s="37">
        <f>_xlfn.XLOOKUP(Crops[[#This Row],[Crop]]&amp;Crops[[#This Row],[Product]]&amp;Crops[[#This Row],[Unit]],Products[ID],Products[Rehandle (s)])*Crops[[#This Row],[Custom Yield Per Bed]]/3600</f>
        <v>0</v>
      </c>
      <c r="DA327" s="37">
        <f>_xlfn.XLOOKUP(Crops[[#This Row],[Crop]]&amp;Crops[[#This Row],[Product]]&amp;Crops[[#This Row],[Unit]],Products[ID],Products[Market Transport (s)])*Crops[[#This Row],[Custom Yield Per Bed]]/3600</f>
        <v>0.78125</v>
      </c>
      <c r="DC327" s="37">
        <f>Crops[[#This Row],[Direct Revenue Per Bed2]]</f>
        <v>2500</v>
      </c>
      <c r="DD327" s="173">
        <f>_xlfn.AGGREGATE(9,6,Crops[[#This Row],[Bed Prep]:[Remove Crop Residue]])</f>
        <v>33.80310295414462</v>
      </c>
      <c r="DE327" s="173">
        <f>_xlfn.AGGREGATE(9,6,Crops[[#This Row],[Bed Prep]:[Remove Crop Residue]])-0.75*Crops[[#This Row],[Market &amp; Sell]]</f>
        <v>32.86560295414462</v>
      </c>
      <c r="DF327" s="36">
        <f>Crops[[#This Row],[Direct Revenue Per Bed2]]/Crops[[#This Row],[Direct Time]]</f>
        <v>73.9577074741144</v>
      </c>
      <c r="DG327" s="36">
        <f>_xlfn.XLOOKUP(Crops[[#This Row],[ProductIndex]],Products[ID],Products[Packaging Cost])*(Crops[[#This Row],[Custom Yield Per Bed]]/_xlfn.XLOOKUP(Crops[[#This Row],[ProductIndex]],Products[ID],Products[Units Per Pack]))</f>
        <v>216</v>
      </c>
      <c r="DH327" s="36"/>
      <c r="DI327" s="36"/>
      <c r="DJ327" s="36"/>
      <c r="DK327" s="36"/>
      <c r="DL327" s="36"/>
      <c r="DM327" s="33">
        <f>IFERROR(Crops[[#This Row],[Custom Yield Per Bed]]*Crops[[#This Row],[Direct Price]],"")</f>
        <v>2500</v>
      </c>
      <c r="DN327" s="36">
        <f>Crops[[#This Row],[Direct Time]]*LaborRate</f>
        <v>845.07757385361549</v>
      </c>
      <c r="DO327" s="36">
        <f>SUM(Crops[[#This Row],[Irrigation Cost]])</f>
        <v>0</v>
      </c>
      <c r="DP327" s="36">
        <f>Crops[[#This Row],[Direct Labor Cost]]+Crops[[#This Row],[Direct Non-Labor Cost]]</f>
        <v>845.07757385361549</v>
      </c>
      <c r="DQ327" s="36">
        <f>Crops[[#This Row],[Direct Revenue Per Bed2]]-Crops[[#This Row],[Direct Total Cost]]</f>
        <v>1654.9224261463846</v>
      </c>
      <c r="DR327" s="36">
        <f>Crops[[#This Row],[Direct Profit]]*BedsPerAcre</f>
        <v>264787.58818342153</v>
      </c>
      <c r="DS327" s="36">
        <f>Crops[[#This Row],[Direct Profit]]*BedsPerAcre*GrowingDays/Crops[[#This Row],[Days In Field]]</f>
        <v>322038.95860145858</v>
      </c>
      <c r="DT327" s="36">
        <f>Crops[[#This Row],[Direct Profit]]/MIN(Crops[[#This Row],[Days In Field]],GrowingDays)</f>
        <v>11.181908284772868</v>
      </c>
      <c r="DU327" s="33">
        <f>Crops[[#This Row],[Direct Time]] * BedsPerAcre</f>
        <v>5408.4964726631388</v>
      </c>
      <c r="DV327" s="36">
        <f>(Crops[[#This Row],[Direct Revenue Per Bed2]]-Crops[[#This Row],[Direct Non-Labor Cost]])/Crops[[#This Row],[Direct Time]]</f>
        <v>73.9577074741144</v>
      </c>
      <c r="DW327" s="33">
        <f>IFERROR(Crops[[#This Row],[Custom Yield Per Bed]]*Crops[[#This Row],[Rough Wholesale Price]],"")</f>
        <v>1915</v>
      </c>
      <c r="DX327" s="36">
        <f>Crops[[#This Row],[Wholesale Time]]*LaborRate</f>
        <v>821.64007385361549</v>
      </c>
      <c r="DY327" s="36">
        <f>SUM(Crops[[#This Row],[Packaging Costs]:[Irrigation Cost]])</f>
        <v>216</v>
      </c>
      <c r="DZ327" s="36">
        <f>Crops[[#This Row],[Wholesale Labor Cost]]+Crops[[#This Row],[Wholesale Non-Labor Cost]]</f>
        <v>1037.6400738536154</v>
      </c>
      <c r="EA327" s="36">
        <f>Crops[[#This Row],[Wholesale Revenue Per Bed]]-Crops[[#This Row],[Wholesale Total Cost]]</f>
        <v>877.35992614638462</v>
      </c>
      <c r="EB327" s="36">
        <f>Crops[[#This Row],[Wholesale Profit]]*BedsPerAcre</f>
        <v>140377.58818342153</v>
      </c>
      <c r="EC327" s="36">
        <f>Crops[[#This Row],[Wholesale Profit]]*BedsPerAcre*GrowingDays/Crops[[#This Row],[Days In Field]]</f>
        <v>170729.49914199914</v>
      </c>
      <c r="ED327" s="33">
        <f>Crops[[#This Row],[Wholesale Time]] * BedsPerAcre</f>
        <v>5258.4964726631388</v>
      </c>
      <c r="EE327" s="221">
        <f>Crops[[#This Row],[Wholesale Profit]]/MIN(Crops[[#This Row],[Days In Field]],GrowingDays)</f>
        <v>5.9281076090971938</v>
      </c>
      <c r="EF327" s="36">
        <f>(Crops[[#This Row],[Wholesale Revenue Per Bed]]-Crops[[#This Row],[Wholesale Non-Labor Cost]])/Crops[[#This Row],[Direct Time]]</f>
        <v>50.261657999408143</v>
      </c>
      <c r="EG327" s="174">
        <f>Crops[[#This Row],[Packaging Costs]]/Crops[[#This Row],[Wholesale Revenue Per Bed]]</f>
        <v>0.11279373368146214</v>
      </c>
      <c r="EH327" s="36" t="str">
        <f>Crops[[#This Row],[Crop]]&amp;Crops[[#This Row],[Product]]&amp;Crops[[#This Row],[Unit]]</f>
        <v>TomatoRipe Fruit LargeLb</v>
      </c>
      <c r="EI327" s="36" t="b">
        <f>_xlfn.XLOOKUP(Crops[[#This Row],[ProductIndex]],Products[ID],Products[Target])</f>
        <v>1</v>
      </c>
      <c r="EJ327" s="33">
        <f>Crops[[#This Row],[Custom Yield Per Bed]]</f>
        <v>500</v>
      </c>
      <c r="EK327" s="210">
        <f>Crops[[#This Row],[Units Per Harvest]]/Crops[[#This Row],[Days Between Harvest]]*7</f>
        <v>41.666666666666664</v>
      </c>
      <c r="EL327" s="210">
        <f>Crops[[#This Row],[Custom Yield Per Bed]]/_xlfn.XLOOKUP(Crops[[#This Row],[ProductIndex]],Products[ID],Products[CSA Portion])</f>
        <v>500</v>
      </c>
      <c r="EM327" s="210">
        <f>Crops[[#This Row],[Units Per Harvest]]/Crops[[#This Row],[Days Between Harvest]]*7/_xlfn.XLOOKUP(Crops[[#This Row],[ProductIndex]],Products[ID],Products[CSA Portion])</f>
        <v>41.666666666666664</v>
      </c>
      <c r="EN327" s="210">
        <f>Crops[[#This Row],[CSA Portions Per Week]]/CSAMembers</f>
        <v>0.83333333333333326</v>
      </c>
      <c r="EO327" s="216"/>
      <c r="EP327" s="216"/>
      <c r="EQ327" s="210"/>
      <c r="ER327" s="210">
        <f>Crops[[#This Row],[Harvests]]*Crops[[#This Row],[Days Between Harvest]]/7</f>
        <v>12</v>
      </c>
      <c r="ES327" s="217">
        <f>_xlfn.XLOOKUP(Crops[[#This Row],[ProductIndex]],Products[ID],Products[CSA Need])</f>
        <v>3</v>
      </c>
      <c r="ET327" s="217">
        <f>_xlfn.XLOOKUP(Crops[[#This Row],[ProductIndex]],Products[ID],Products[CSA Times])</f>
        <v>3</v>
      </c>
      <c r="EU327" s="208">
        <f>Crops[[#This Row],[Custom Yield Per Bed]]/(Crops[[#This Row],[CSA Need]]*(_xlfn.XLOOKUP(Crops[[#This Row],[ProductIndex]],Products[ID],Products[CSA Portion])*CSAMembers))</f>
        <v>3.3333333333333335</v>
      </c>
      <c r="EV327" s="208">
        <f>_xlfn.XLOOKUP(Crops[[#This Row],[ProductIndex]],Products[ID],Products[CSA Portion])*CSAMembers*Crops[[#This Row],[CSA Need]]/Crops[[#This Row],[Custom Yield Per Bed]]</f>
        <v>0.3</v>
      </c>
      <c r="EW327" s="208">
        <f>IFERROR(Crops[[#This Row],[Days In Field]]*Crops[[#This Row],[CSA Beds]],"")</f>
        <v>44.4</v>
      </c>
      <c r="EX327" s="208" t="e">
        <f>Crops[[#This Row],[CSA Bed Days]]*#REF!</f>
        <v>#REF!</v>
      </c>
      <c r="EY327" t="s">
        <v>425</v>
      </c>
    </row>
    <row r="328" spans="1:155">
      <c r="A328"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 Ripe Fruit Large 1X | Large Tunnel TP Su</v>
      </c>
      <c r="B328" s="190"/>
      <c r="C328" s="1" t="b">
        <v>1</v>
      </c>
      <c r="D328" s="1"/>
      <c r="E328" s="1" t="b">
        <v>0</v>
      </c>
      <c r="F328" s="1" t="b">
        <f>IFERROR(IF(ISNUMBER(MATCH(Crops[[#This Row],[Identifier]],BedPlan[Crop], 0)), TRUE, FALSE), FALSE)</f>
        <v>0</v>
      </c>
      <c r="G328" s="1" t="b">
        <f>IFERROR(IF(ISNUMBER(MATCH(Crops[[#This Row],[Identifier]],BedPlan[Crop], 0)), TRUE, FALSE), FALSE)</f>
        <v>0</v>
      </c>
      <c r="H328" s="1"/>
      <c r="I328" t="s">
        <v>136</v>
      </c>
      <c r="J328" t="s">
        <v>427</v>
      </c>
      <c r="K328" t="s">
        <v>2380</v>
      </c>
      <c r="M328" t="s">
        <v>136</v>
      </c>
      <c r="N328" t="str">
        <f>Crops[[#This Row],[Crop]]</f>
        <v>Tomato</v>
      </c>
      <c r="O328" t="s">
        <v>3051</v>
      </c>
      <c r="P328" t="str">
        <f>IF(OR(Crops[[#This Row],[Days in Cells]]="",Crops[[#This Row],[Days in Cells]]=0), "DS","TP")</f>
        <v>TP</v>
      </c>
      <c r="R328" t="s">
        <v>144</v>
      </c>
      <c r="V328" t="str">
        <f xml:space="preserve"> IF(Crops[[#This Row],[Sp]], "Sp", "") &amp; IF(Crops[[#This Row],[Su]], "Su", "") &amp; IF(Crops[[#This Row],[Fa]], "Fa", "") &amp; IF(Crops[[#This Row],[Wi]], "Wi", "") &amp; IF(Crops[[#This Row],[OW]], "Ow","")</f>
        <v>Su</v>
      </c>
      <c r="W328" t="s">
        <v>144</v>
      </c>
      <c r="X328">
        <v>1</v>
      </c>
      <c r="Y328">
        <v>18</v>
      </c>
      <c r="Z328" t="s">
        <v>432</v>
      </c>
      <c r="AA328" t="s">
        <v>476</v>
      </c>
      <c r="AB328" t="b">
        <v>0</v>
      </c>
      <c r="AC328">
        <v>7</v>
      </c>
      <c r="AD328" s="32">
        <f>IFERROR(12/Crops[[#This Row],[Spacing]]*Crops[[#This Row],[Rows]]*BedLength,"")</f>
        <v>33.333333333333329</v>
      </c>
      <c r="AE328">
        <v>1</v>
      </c>
      <c r="AG328">
        <f>IF(Crops[[#This Row],[Custom Safety Factor]]="",PlantingSafetyFactor,Crops[[#This Row],[Custom Safety Factor]])</f>
        <v>1.3</v>
      </c>
      <c r="AH328">
        <f>1</f>
        <v>1</v>
      </c>
      <c r="AI328" s="33">
        <f>IFERROR(Crops[[#This Row],[Plantings Per Bed]]*Crops[[#This Row],[Seeds Per Planting]]*Crops[[#This Row],[Safety Factor]]*Crops[[#This Row],[Seeding Factor]],"")</f>
        <v>43.333333333333329</v>
      </c>
      <c r="AL328">
        <f>_xlfn.FLOOR.MATH(IFERROR(AVERAGE(Crops[[#This Row],[DTG Lower]:[DTG Upper]]),0))</f>
        <v>0</v>
      </c>
      <c r="AM328">
        <f>SUM(Crops[[#This Row],[Tray 1 Days]],Crops[[#This Row],[Tray 2 Days]],Crops[[#This Row],[Tray 3 Days]])</f>
        <v>56</v>
      </c>
      <c r="AN328" s="32">
        <v>55</v>
      </c>
      <c r="AP328">
        <v>120</v>
      </c>
      <c r="AQ328">
        <f>IFERROR(_xlfn.FLOOR.MATH(AVERAGE(Crops[[#This Row],[DTM Lower]:[DTM Upper]])),"")</f>
        <v>120</v>
      </c>
      <c r="AR328" cm="1">
        <f t="array" ref="AR328">_xlfn.SWITCH(Crops[[#This Row],[Normal Method]],"DS",Crops[[#This Row],[Days to Germination]]+Crops[[#This Row],[DTM]] + IF(Crops[[#This Row],[Days in Cells]]&gt;0,15,0), "TP",Crops[[#This Row],[DTM]]+Crops[[#This Row],[Days in Cells]] + IF(Crops[[#This Row],[Days in Cells]]&lt;=0,20,0), "X", Crops[[#This Row],[DTM]])</f>
        <v>120</v>
      </c>
      <c r="AS328" t="s">
        <v>347</v>
      </c>
      <c r="AT328">
        <f>(Crops[[#This Row],[Harvests]]-1)*Crops[[#This Row],[Days Between Harvest]]+7</f>
        <v>84</v>
      </c>
      <c r="AU328">
        <f>Crops[[#This Row],[STH]]-Crops[[#This Row],[Days in Cells]]+Crops[[#This Row],[Harvest window]]</f>
        <v>148</v>
      </c>
      <c r="AX328">
        <v>72</v>
      </c>
      <c r="AY328">
        <v>21</v>
      </c>
      <c r="AZ328" s="49">
        <f>IFERROR(IF(Crops[[#This Row],[Tray 1 Days]]=0,"",Crops[[#This Row],[Plantings Per Bed]]/Crops[[#This Row],[Tray 1 Size]]*Crops[[#This Row],[Safety Factor]]),"")</f>
        <v>0.60185185185185175</v>
      </c>
      <c r="BA328">
        <v>18</v>
      </c>
      <c r="BB328">
        <v>21</v>
      </c>
      <c r="BC328">
        <f>IFERROR(IF(Crops[[#This Row],[Tray 2 Days]]=0,"",Crops[[#This Row],[Plantings Per Bed]]/Crops[[#This Row],[Tray 2 Size]]*Crops[[#This Row],[Safety Factor]]),"")</f>
        <v>2.407407407407407</v>
      </c>
      <c r="BD328">
        <v>9</v>
      </c>
      <c r="BE328" s="32">
        <v>14</v>
      </c>
      <c r="BF328" s="49">
        <f>IFERROR(IF(Crops[[#This Row],[Tray 3 Days]]=0,"",Crops[[#This Row],[Plantings Per Bed]]/Crops[[#This Row],[Tray 3 Size]]*Crops[[#This Row],[Safety Factor]]),"")</f>
        <v>4.814814814814814</v>
      </c>
      <c r="BG328" s="33">
        <f>500*BedLength/StandardBedLength*(Crops[[#This Row],[Harvests]]*Crops[[#This Row],[Days Between Harvest]])/42/Crops[[#This Row],[Harvests]]</f>
        <v>41.666666666666664</v>
      </c>
      <c r="BH328" s="33">
        <v>12</v>
      </c>
      <c r="BI328" s="33">
        <v>7</v>
      </c>
      <c r="BJ328" s="33">
        <f>_xlfn.XLOOKUP(Crops[[#This Row],[ProductIndex]],Products[ID],Products[Holding Period])</f>
        <v>10</v>
      </c>
      <c r="BK328" s="33"/>
      <c r="BL328" s="33">
        <f>Crops[[#This Row],[Units Per Harvest]]*Crops[[#This Row],[Harvests]]</f>
        <v>500</v>
      </c>
      <c r="BM328" s="35">
        <v>5</v>
      </c>
      <c r="BN328" s="35">
        <v>3.83</v>
      </c>
      <c r="BO328" s="35"/>
      <c r="BP328" t="s">
        <v>383</v>
      </c>
      <c r="BQ328">
        <f>Crops[[#This Row],[Custom Yield Per Bed]]*Crops[[#This Row],[Direct Price]]</f>
        <v>2500</v>
      </c>
      <c r="BS328" t="b">
        <f>Crops[[#This Row],[Harvests]]&gt;1</f>
        <v>1</v>
      </c>
      <c r="BT328" s="36">
        <f>IFERROR(Crops[[#This Row],[Direct Revenue Per Bed]]/Crops[[#This Row],[Days In Field]],-1)</f>
        <v>16.891891891891891</v>
      </c>
      <c r="BU328" s="36">
        <f>IFERROR(Crops[[#This Row],[Direct Revenue Per Bed Day]]*GrowingDays*BedsPerAcre,"")</f>
        <v>486486.48648648645</v>
      </c>
      <c r="BV328" s="38">
        <f>LastFrostDate-5*Crops[[#This Row],[Sewing Rel Last Frost]]</f>
        <v>45723</v>
      </c>
      <c r="BW328" s="38">
        <f>Crops[[#This Row],[Target Sewing Date]]+Crops[[#This Row],[Days in Cells]]</f>
        <v>45779</v>
      </c>
      <c r="BX328" s="38">
        <f>Crops[[#This Row],[Target Sewing Date]]+Crops[[#This Row],[STH]]</f>
        <v>45843</v>
      </c>
      <c r="BY328" s="38">
        <f>Crops[[#This Row],[Target Harvest Data]]+Crops[[#This Row],[Harvest window]]</f>
        <v>45927</v>
      </c>
      <c r="BZ328">
        <v>5</v>
      </c>
      <c r="CA328" t="s">
        <v>373</v>
      </c>
      <c r="CB328">
        <f>1</f>
        <v>1</v>
      </c>
      <c r="CC328">
        <f>IF(Crops[[#This Row],[Transplanting]]&gt;0, 2, 3)*BedLength/StandardBedLength</f>
        <v>1</v>
      </c>
      <c r="CD328" s="173">
        <f>IF(Crops[[#This Row],[Days in Cells]]&lt;=0,0,Crops[[#This Row],[Plantings Per Bed]]/StartsPerHourSeeding+Crops[[#This Row],[Tray 1 Count]]*5/60)</f>
        <v>0.18036265432098764</v>
      </c>
      <c r="CE328" s="173">
        <f>IF(ISBLANK(Crops[[#This Row],[Tray 2 Days]]),0,Crops[[#This Row],[Plantings Per Bed]]/UpPottingPerHour)+IF(Crops[[#This Row],[Tray 3 Days]]="",0,Crops[[#This Row],[Plantings Per Bed]]/UpPottingPerHour)</f>
        <v>0.55555555555555547</v>
      </c>
      <c r="CF328" s="173">
        <f>IFERROR(Crops[[#This Row],[Tray 1 Count]]/HomeStartFlatIrrigationPerHour,0)*Crops[[#This Row],[Days in Cells]]/DaysBetweenStartIrrigation</f>
        <v>0.14043209876543206</v>
      </c>
      <c r="CG328" s="173">
        <f>0.5/16*MAX(Crops[[#This Row],[Tray 1 Count]],Crops[[#This Row],[Tray 2 Count]],Crops[[#This Row],[Tray 3 Count]])</f>
        <v>0.15046296296296294</v>
      </c>
      <c r="CH328" s="173">
        <f>IF(Crops[[#This Row],[Days in Cells]]&gt;0,IF(IF(Crops[[#This Row],[Tray 3 Size]]&gt;0,Crops[[#This Row],[Tray 3 Size]],IF(Crops[[#This Row],[Tray 2 Size]]&gt;0,Crops[[#This Row],[Tray 2 Size]],Crops[[#This Row],[Tray 1 Size]]))&lt;=18,LargeTransplantTime,SmallTransplantTime)*Crops[[#This Row],[Plantings Per Bed]],0)</f>
        <v>1.3888888888888886</v>
      </c>
      <c r="CI328" s="173"/>
      <c r="CJ328" s="173">
        <f>_xlfn.XLOOKUP(Crops[[#This Row],[Trellis Type]],TrellisMethods[Trellis Type],TrellisMethods[Hours],0,0)</f>
        <v>0</v>
      </c>
      <c r="CK328">
        <f>IF(Crops[[#This Row],[Days in Cells]]&lt;=0,Crops[[#This Row],[Rows]]*1/10,0)*BedLength/50</f>
        <v>0</v>
      </c>
      <c r="CL328" cm="1">
        <f t="array" ref="CL328">_xlfn.SWITCH(Crops[[#This Row],[Irrigation]],"DR", 0.5, "OH", 0.25,0)*BedLength/50</f>
        <v>0.5</v>
      </c>
      <c r="CM328">
        <f>IF(OR(ISBLANK(Crops[[#This Row],[Row Cover]]),Crops[[#This Row],[Row Cover]]="None"),0,1)*BedLength/50</f>
        <v>1</v>
      </c>
      <c r="CN328" s="173">
        <f>HoursPerWeedingPass*Crops[[#This Row],[Days In Field]]/14*Crops[[#This Row],[Rows]]+1*BedLength/50</f>
        <v>2.7619047619047619</v>
      </c>
      <c r="CO328" s="49">
        <f>1*Crops[[#This Row],[Days In Field]]/7*BedLength/50</f>
        <v>21.142857142857142</v>
      </c>
      <c r="CQ328" s="37">
        <f>_xlfn.XLOOKUP(Crops[[#This Row],[Crop]]&amp;Crops[[#This Row],[Product]]&amp;Crops[[#This Row],[Unit]],Products[ID],Products[Marketing (hr)])*Crops[[#This Row],[Direct Revenue Per Bed]]/2000</f>
        <v>1.25</v>
      </c>
      <c r="CR328" s="37">
        <f>_xlfn.XLOOKUP(Crops[[#This Row],[Crop]]&amp;Crops[[#This Row],[Product]]&amp;Crops[[#This Row],[Unit]],Products[ID],Products[Harvest (s)])*Crops[[#This Row],[Custom Yield Per Bed]]/3600</f>
        <v>2.2222222222222223</v>
      </c>
      <c r="CS328" s="37">
        <f>_xlfn.XLOOKUP(Crops[[#This Row],[Crop]]&amp;Crops[[#This Row],[Product]]&amp;Crops[[#This Row],[Unit]],Products[ID],Products[Bunch (s)])*Crops[[#This Row],[Custom Yield Per Bed]]/3600</f>
        <v>0</v>
      </c>
      <c r="CT328" s="37">
        <f>_xlfn.XLOOKUP(Crops[[#This Row],[Crop]]&amp;Crops[[#This Row],[Product]]&amp;Crops[[#This Row],[Unit]],Products[ID],Products[Haul (s)])*Crops[[#This Row],[Custom Yield Per Bed]]/3600</f>
        <v>0.3125</v>
      </c>
      <c r="CU328" s="37">
        <f>_xlfn.XLOOKUP(Crops[[#This Row],[Crop]]&amp;Crops[[#This Row],[Product]]&amp;Crops[[#This Row],[Unit]],Products[ID],Products[Wash (s)])*Crops[[#This Row],[Custom Yield Per Bed]]/3600</f>
        <v>0</v>
      </c>
      <c r="CV328" s="37">
        <f>_xlfn.XLOOKUP(Crops[[#This Row],[Crop]]&amp;Crops[[#This Row],[Product]]&amp;Crops[[#This Row],[Unit]],Products[ID],Products[Condition (s)])*Crops[[#This Row],[Custom Yield Per Bed]]/3600</f>
        <v>0</v>
      </c>
      <c r="CW328" s="37">
        <f>_xlfn.XLOOKUP(Crops[[#This Row],[Crop]]&amp;Crops[[#This Row],[Product]]&amp;Crops[[#This Row],[Unit]],Products[ID],Products[Trim (s)])*Crops[[#This Row],[Custom Yield Per Bed]]/3600</f>
        <v>0</v>
      </c>
      <c r="CX328" s="37">
        <f>_xlfn.XLOOKUP(Crops[[#This Row],[Crop]]&amp;Crops[[#This Row],[Product]]&amp;Crops[[#This Row],[Unit]],Products[ID],Products[Pack (s)])*Crops[[#This Row],[Custom Yield Per Bed]]/3600</f>
        <v>0.41666666666666669</v>
      </c>
      <c r="CY328" s="37">
        <f>_xlfn.XLOOKUP(Crops[[#This Row],[Crop]]&amp;Crops[[#This Row],[Product]]&amp;Crops[[#This Row],[Unit]],Products[ID],Products[Clean (s)])*Crops[[#This Row],[Custom Yield Per Bed]]/3600</f>
        <v>0</v>
      </c>
      <c r="CZ328" s="37">
        <f>_xlfn.XLOOKUP(Crops[[#This Row],[Crop]]&amp;Crops[[#This Row],[Product]]&amp;Crops[[#This Row],[Unit]],Products[ID],Products[Rehandle (s)])*Crops[[#This Row],[Custom Yield Per Bed]]/3600</f>
        <v>0</v>
      </c>
      <c r="DA328" s="37">
        <f>_xlfn.XLOOKUP(Crops[[#This Row],[Crop]]&amp;Crops[[#This Row],[Product]]&amp;Crops[[#This Row],[Unit]],Products[ID],Products[Market Transport (s)])*Crops[[#This Row],[Custom Yield Per Bed]]/3600</f>
        <v>0.78125</v>
      </c>
      <c r="DC328" s="37">
        <f>Crops[[#This Row],[Direct Revenue Per Bed2]]</f>
        <v>2500</v>
      </c>
      <c r="DD328" s="173">
        <f>_xlfn.AGGREGATE(9,6,Crops[[#This Row],[Bed Prep]:[Remove Crop Residue]])</f>
        <v>33.80310295414462</v>
      </c>
      <c r="DE328" s="173">
        <f>_xlfn.AGGREGATE(9,6,Crops[[#This Row],[Bed Prep]:[Remove Crop Residue]])-0.75*Crops[[#This Row],[Market &amp; Sell]]</f>
        <v>32.86560295414462</v>
      </c>
      <c r="DF328" s="36">
        <f>Crops[[#This Row],[Direct Revenue Per Bed2]]/Crops[[#This Row],[Direct Time]]</f>
        <v>73.9577074741144</v>
      </c>
      <c r="DG328" s="36">
        <f>_xlfn.XLOOKUP(Crops[[#This Row],[ProductIndex]],Products[ID],Products[Packaging Cost])*(Crops[[#This Row],[Custom Yield Per Bed]]/_xlfn.XLOOKUP(Crops[[#This Row],[ProductIndex]],Products[ID],Products[Units Per Pack]))</f>
        <v>216</v>
      </c>
      <c r="DH328" s="36"/>
      <c r="DI328" s="36"/>
      <c r="DJ328" s="36"/>
      <c r="DK328" s="36"/>
      <c r="DL328" s="36"/>
      <c r="DM328" s="33">
        <f>IFERROR(Crops[[#This Row],[Custom Yield Per Bed]]*Crops[[#This Row],[Direct Price]],"")</f>
        <v>2500</v>
      </c>
      <c r="DN328" s="36">
        <f>Crops[[#This Row],[Direct Time]]*LaborRate</f>
        <v>845.07757385361549</v>
      </c>
      <c r="DO328" s="36">
        <f>SUM(Crops[[#This Row],[Irrigation Cost]])</f>
        <v>0</v>
      </c>
      <c r="DP328" s="36">
        <f>Crops[[#This Row],[Direct Labor Cost]]+Crops[[#This Row],[Direct Non-Labor Cost]]</f>
        <v>845.07757385361549</v>
      </c>
      <c r="DQ328" s="36">
        <f>Crops[[#This Row],[Direct Revenue Per Bed2]]-Crops[[#This Row],[Direct Total Cost]]</f>
        <v>1654.9224261463846</v>
      </c>
      <c r="DR328" s="36">
        <f>Crops[[#This Row],[Direct Profit]]*BedsPerAcre</f>
        <v>264787.58818342153</v>
      </c>
      <c r="DS328" s="36">
        <f>Crops[[#This Row],[Direct Profit]]*BedsPerAcre*GrowingDays/Crops[[#This Row],[Days In Field]]</f>
        <v>322038.95860145858</v>
      </c>
      <c r="DT328" s="36">
        <f>Crops[[#This Row],[Direct Profit]]/MIN(Crops[[#This Row],[Days In Field]],GrowingDays)</f>
        <v>11.181908284772868</v>
      </c>
      <c r="DU328" s="33">
        <f>Crops[[#This Row],[Direct Time]] * BedsPerAcre</f>
        <v>5408.4964726631388</v>
      </c>
      <c r="DV328" s="36">
        <f>(Crops[[#This Row],[Direct Revenue Per Bed2]]-Crops[[#This Row],[Direct Non-Labor Cost]])/Crops[[#This Row],[Direct Time]]</f>
        <v>73.9577074741144</v>
      </c>
      <c r="DW328" s="33">
        <f>IFERROR(Crops[[#This Row],[Custom Yield Per Bed]]*Crops[[#This Row],[Rough Wholesale Price]],"")</f>
        <v>1915</v>
      </c>
      <c r="DX328" s="36">
        <f>Crops[[#This Row],[Wholesale Time]]*LaborRate</f>
        <v>821.64007385361549</v>
      </c>
      <c r="DY328" s="36">
        <f>SUM(Crops[[#This Row],[Packaging Costs]:[Irrigation Cost]])</f>
        <v>216</v>
      </c>
      <c r="DZ328" s="36">
        <f>Crops[[#This Row],[Wholesale Labor Cost]]+Crops[[#This Row],[Wholesale Non-Labor Cost]]</f>
        <v>1037.6400738536154</v>
      </c>
      <c r="EA328" s="36">
        <f>Crops[[#This Row],[Wholesale Revenue Per Bed]]-Crops[[#This Row],[Wholesale Total Cost]]</f>
        <v>877.35992614638462</v>
      </c>
      <c r="EB328" s="36">
        <f>Crops[[#This Row],[Wholesale Profit]]*BedsPerAcre</f>
        <v>140377.58818342153</v>
      </c>
      <c r="EC328" s="36">
        <f>Crops[[#This Row],[Wholesale Profit]]*BedsPerAcre*GrowingDays/Crops[[#This Row],[Days In Field]]</f>
        <v>170729.49914199914</v>
      </c>
      <c r="ED328" s="33">
        <f>Crops[[#This Row],[Wholesale Time]] * BedsPerAcre</f>
        <v>5258.4964726631388</v>
      </c>
      <c r="EE328" s="221">
        <f>Crops[[#This Row],[Wholesale Profit]]/MIN(Crops[[#This Row],[Days In Field]],GrowingDays)</f>
        <v>5.9281076090971938</v>
      </c>
      <c r="EF328" s="36">
        <f>(Crops[[#This Row],[Wholesale Revenue Per Bed]]-Crops[[#This Row],[Wholesale Non-Labor Cost]])/Crops[[#This Row],[Direct Time]]</f>
        <v>50.261657999408143</v>
      </c>
      <c r="EG328" s="174">
        <f>Crops[[#This Row],[Packaging Costs]]/Crops[[#This Row],[Wholesale Revenue Per Bed]]</f>
        <v>0.11279373368146214</v>
      </c>
      <c r="EH328" s="36" t="str">
        <f>Crops[[#This Row],[Crop]]&amp;Crops[[#This Row],[Product]]&amp;Crops[[#This Row],[Unit]]</f>
        <v>TomatoRipe Fruit LargeLb</v>
      </c>
      <c r="EI328" s="36" t="b">
        <f>_xlfn.XLOOKUP(Crops[[#This Row],[ProductIndex]],Products[ID],Products[Target])</f>
        <v>1</v>
      </c>
      <c r="EJ328" s="33">
        <f>Crops[[#This Row],[Custom Yield Per Bed]]</f>
        <v>500</v>
      </c>
      <c r="EK328" s="210">
        <f>Crops[[#This Row],[Units Per Harvest]]/Crops[[#This Row],[Days Between Harvest]]*7</f>
        <v>41.666666666666664</v>
      </c>
      <c r="EL328" s="210">
        <f>Crops[[#This Row],[Custom Yield Per Bed]]/_xlfn.XLOOKUP(Crops[[#This Row],[ProductIndex]],Products[ID],Products[CSA Portion])</f>
        <v>500</v>
      </c>
      <c r="EM328" s="210">
        <f>Crops[[#This Row],[Units Per Harvest]]/Crops[[#This Row],[Days Between Harvest]]*7/_xlfn.XLOOKUP(Crops[[#This Row],[ProductIndex]],Products[ID],Products[CSA Portion])</f>
        <v>41.666666666666664</v>
      </c>
      <c r="EN328" s="210">
        <f>Crops[[#This Row],[CSA Portions Per Week]]/CSAMembers</f>
        <v>0.83333333333333326</v>
      </c>
      <c r="EO328" s="216"/>
      <c r="EP328" s="216"/>
      <c r="EQ328" s="210"/>
      <c r="ER328" s="210">
        <f>Crops[[#This Row],[Harvests]]*Crops[[#This Row],[Days Between Harvest]]/7</f>
        <v>12</v>
      </c>
      <c r="ES328" s="217">
        <f>_xlfn.XLOOKUP(Crops[[#This Row],[ProductIndex]],Products[ID],Products[CSA Need])</f>
        <v>3</v>
      </c>
      <c r="ET328" s="217">
        <f>_xlfn.XLOOKUP(Crops[[#This Row],[ProductIndex]],Products[ID],Products[CSA Times])</f>
        <v>3</v>
      </c>
      <c r="EU328" s="208">
        <f>Crops[[#This Row],[Custom Yield Per Bed]]/(Crops[[#This Row],[CSA Need]]*(_xlfn.XLOOKUP(Crops[[#This Row],[ProductIndex]],Products[ID],Products[CSA Portion])*CSAMembers))</f>
        <v>3.3333333333333335</v>
      </c>
      <c r="EV328" s="208">
        <f>_xlfn.XLOOKUP(Crops[[#This Row],[ProductIndex]],Products[ID],Products[CSA Portion])*CSAMembers*Crops[[#This Row],[CSA Need]]/Crops[[#This Row],[Custom Yield Per Bed]]</f>
        <v>0.3</v>
      </c>
      <c r="EW328" s="208">
        <f>IFERROR(Crops[[#This Row],[Days In Field]]*Crops[[#This Row],[CSA Beds]],"")</f>
        <v>44.4</v>
      </c>
      <c r="EX328" s="208" t="e">
        <f>Crops[[#This Row],[CSA Bed Days]]*#REF!</f>
        <v>#REF!</v>
      </c>
      <c r="EY328" t="s">
        <v>425</v>
      </c>
    </row>
    <row r="329" spans="1:155">
      <c r="A329"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(Cherry Det) - Ripe Fruit Small 1X | Field TP Su</v>
      </c>
      <c r="B329" s="190"/>
      <c r="C329" s="1" t="b">
        <v>1</v>
      </c>
      <c r="D329" s="1"/>
      <c r="E329" s="1" t="b">
        <v>0</v>
      </c>
      <c r="F329" s="1" t="b">
        <f>IFERROR(IF(ISNUMBER(MATCH(Crops[[#This Row],[Identifier]],BedPlan[Crop], 0)), TRUE, FALSE), FALSE)</f>
        <v>1</v>
      </c>
      <c r="G329" s="1" t="b">
        <f>IFERROR(IF(ISNUMBER(MATCH(Crops[[#This Row],[Identifier]],BedPlan[Crop], 0)), TRUE, FALSE), FALSE)</f>
        <v>1</v>
      </c>
      <c r="H329" s="1"/>
      <c r="I329" t="s">
        <v>136</v>
      </c>
      <c r="J329" t="s">
        <v>3046</v>
      </c>
      <c r="K329" t="s">
        <v>2381</v>
      </c>
      <c r="M329" t="s">
        <v>136</v>
      </c>
      <c r="N329" t="str">
        <f>Crops[[#This Row],[Crop]]</f>
        <v>Tomato</v>
      </c>
      <c r="O329" t="s">
        <v>210</v>
      </c>
      <c r="P329" t="str">
        <f>IF(OR(Crops[[#This Row],[Days in Cells]]="",Crops[[#This Row],[Days in Cells]]=0), "DS","TP")</f>
        <v>TP</v>
      </c>
      <c r="R329" t="s">
        <v>144</v>
      </c>
      <c r="V329" t="str">
        <f xml:space="preserve"> IF(Crops[[#This Row],[Sp]], "Sp", "") &amp; IF(Crops[[#This Row],[Su]], "Su", "") &amp; IF(Crops[[#This Row],[Fa]], "Fa", "") &amp; IF(Crops[[#This Row],[Wi]], "Wi", "") &amp; IF(Crops[[#This Row],[OW]], "Ow","")</f>
        <v>Su</v>
      </c>
      <c r="W329" t="s">
        <v>144</v>
      </c>
      <c r="X329">
        <v>1</v>
      </c>
      <c r="Y329">
        <v>24</v>
      </c>
      <c r="Z329" t="s">
        <v>432</v>
      </c>
      <c r="AA329" t="s">
        <v>476</v>
      </c>
      <c r="AB329" t="b">
        <v>0</v>
      </c>
      <c r="AC329">
        <v>5</v>
      </c>
      <c r="AD329" s="32">
        <f>IFERROR(12/Crops[[#This Row],[Spacing]]*Crops[[#This Row],[Rows]]*BedLength,"")</f>
        <v>25</v>
      </c>
      <c r="AE329">
        <v>1</v>
      </c>
      <c r="AG329">
        <f>IF(Crops[[#This Row],[Custom Safety Factor]]="",PlantingSafetyFactor,Crops[[#This Row],[Custom Safety Factor]])</f>
        <v>1.3</v>
      </c>
      <c r="AH329">
        <f>1</f>
        <v>1</v>
      </c>
      <c r="AI329" s="33">
        <f>IFERROR(Crops[[#This Row],[Plantings Per Bed]]*Crops[[#This Row],[Seeds Per Planting]]*Crops[[#This Row],[Safety Factor]]*Crops[[#This Row],[Seeding Factor]],"")</f>
        <v>32.5</v>
      </c>
      <c r="AL329">
        <f>_xlfn.FLOOR.MATH(IFERROR(AVERAGE(Crops[[#This Row],[DTG Lower]:[DTG Upper]]),0))</f>
        <v>0</v>
      </c>
      <c r="AM329">
        <f>SUM(Crops[[#This Row],[Tray 1 Days]],Crops[[#This Row],[Tray 2 Days]],Crops[[#This Row],[Tray 3 Days]])</f>
        <v>56</v>
      </c>
      <c r="AN329" s="32">
        <v>55</v>
      </c>
      <c r="AP329">
        <v>70</v>
      </c>
      <c r="AQ329">
        <f>IFERROR(_xlfn.FLOOR.MATH(AVERAGE(Crops[[#This Row],[DTM Lower]:[DTM Upper]])),"")</f>
        <v>70</v>
      </c>
      <c r="AR329" cm="1">
        <f t="array" ref="AR329">_xlfn.SWITCH(Crops[[#This Row],[Normal Method]],"DS",Crops[[#This Row],[Days to Germination]]+Crops[[#This Row],[DTM]] + IF(Crops[[#This Row],[Days in Cells]]&gt;0,15,0), "TP",Crops[[#This Row],[DTM]]+Crops[[#This Row],[Days in Cells]] + IF(Crops[[#This Row],[Days in Cells]]&lt;=0,20,0), "X", Crops[[#This Row],[DTM]])</f>
        <v>126</v>
      </c>
      <c r="AS329" t="s">
        <v>346</v>
      </c>
      <c r="AT329">
        <f>(Crops[[#This Row],[Harvests]]-1)*Crops[[#This Row],[Days Between Harvest]]+7</f>
        <v>98</v>
      </c>
      <c r="AU329">
        <f>Crops[[#This Row],[STH]]-Crops[[#This Row],[Days in Cells]]+Crops[[#This Row],[Harvest window]]</f>
        <v>168</v>
      </c>
      <c r="AX329">
        <v>72</v>
      </c>
      <c r="AY329">
        <v>21</v>
      </c>
      <c r="AZ329" s="49">
        <f>IFERROR(IF(Crops[[#This Row],[Tray 1 Days]]=0,"",Crops[[#This Row],[Plantings Per Bed]]/Crops[[#This Row],[Tray 1 Size]]*Crops[[#This Row],[Safety Factor]]),"")</f>
        <v>0.4513888888888889</v>
      </c>
      <c r="BA329">
        <v>18</v>
      </c>
      <c r="BB329">
        <v>21</v>
      </c>
      <c r="BC329">
        <f>IFERROR(IF(Crops[[#This Row],[Tray 2 Days]]=0,"",Crops[[#This Row],[Plantings Per Bed]]/Crops[[#This Row],[Tray 2 Size]]*Crops[[#This Row],[Safety Factor]]),"")</f>
        <v>1.8055555555555556</v>
      </c>
      <c r="BD329">
        <v>9</v>
      </c>
      <c r="BE329" s="32">
        <v>14</v>
      </c>
      <c r="BF329" s="49">
        <f>IFERROR(IF(Crops[[#This Row],[Tray 3 Days]]=0,"",Crops[[#This Row],[Plantings Per Bed]]/Crops[[#This Row],[Tray 3 Size]]*Crops[[#This Row],[Safety Factor]]),"")</f>
        <v>3.6111111111111112</v>
      </c>
      <c r="BG329" s="33">
        <f>500*BedLength/StandardBedLength*(Crops[[#This Row],[Harvests]]*Crops[[#This Row],[Days Between Harvest]])/42/Crops[[#This Row],[Harvests]]*0.5</f>
        <v>20.833333333333336</v>
      </c>
      <c r="BH329" s="33">
        <v>14</v>
      </c>
      <c r="BI329" s="33">
        <v>7</v>
      </c>
      <c r="BJ329" s="33">
        <f>_xlfn.XLOOKUP(Crops[[#This Row],[ProductIndex]],Products[ID],Products[Holding Period])</f>
        <v>4</v>
      </c>
      <c r="BK329" s="33"/>
      <c r="BL329" s="33">
        <f>Crops[[#This Row],[Units Per Harvest]]*Crops[[#This Row],[Harvests]]</f>
        <v>291.66666666666669</v>
      </c>
      <c r="BM329" s="35">
        <v>7</v>
      </c>
      <c r="BN329" s="35">
        <f t="shared" ref="BN329:BN334" si="1">3.37/0.75</f>
        <v>4.4933333333333332</v>
      </c>
      <c r="BO329" s="35"/>
      <c r="BP329" t="s">
        <v>383</v>
      </c>
      <c r="BQ329">
        <f>Crops[[#This Row],[Custom Yield Per Bed]]*Crops[[#This Row],[Direct Price]]</f>
        <v>2041.6666666666667</v>
      </c>
      <c r="BS329" t="b">
        <f>Crops[[#This Row],[Harvests]]&gt;1</f>
        <v>1</v>
      </c>
      <c r="BT329" s="36">
        <f>IFERROR(Crops[[#This Row],[Direct Revenue Per Bed]]/Crops[[#This Row],[Days In Field]],-1)</f>
        <v>12.152777777777779</v>
      </c>
      <c r="BU329" s="36">
        <f>IFERROR(Crops[[#This Row],[Direct Revenue Per Bed Day]]*GrowingDays*BedsPerAcre,"")</f>
        <v>350000</v>
      </c>
      <c r="BV329" s="38">
        <f>LastFrostDate-5*Crops[[#This Row],[Sewing Rel Last Frost]]</f>
        <v>45733</v>
      </c>
      <c r="BW329" s="38">
        <f>Crops[[#This Row],[Target Sewing Date]]+Crops[[#This Row],[Days in Cells]]</f>
        <v>45789</v>
      </c>
      <c r="BX329" s="38">
        <f>Crops[[#This Row],[Target Sewing Date]]+Crops[[#This Row],[STH]]</f>
        <v>45859</v>
      </c>
      <c r="BY329" s="38">
        <f>Crops[[#This Row],[Target Harvest Data]]+Crops[[#This Row],[Harvest window]]</f>
        <v>45957</v>
      </c>
      <c r="BZ329">
        <v>3</v>
      </c>
      <c r="CA329" t="s">
        <v>373</v>
      </c>
      <c r="CB329">
        <f>1</f>
        <v>1</v>
      </c>
      <c r="CC329">
        <f>IF(Crops[[#This Row],[Transplanting]]&gt;0, 2, 3)*BedLength/StandardBedLength</f>
        <v>1</v>
      </c>
      <c r="CD329" s="173">
        <f>IF(Crops[[#This Row],[Days in Cells]]&lt;=0,0,Crops[[#This Row],[Plantings Per Bed]]/StartsPerHourSeeding+Crops[[#This Row],[Tray 1 Count]]*5/60)</f>
        <v>0.13527199074074076</v>
      </c>
      <c r="CE329" s="173">
        <f>IF(ISBLANK(Crops[[#This Row],[Tray 2 Days]]),0,Crops[[#This Row],[Plantings Per Bed]]/UpPottingPerHour)+IF(Crops[[#This Row],[Tray 3 Days]]="",0,Crops[[#This Row],[Plantings Per Bed]]/UpPottingPerHour)</f>
        <v>0.41666666666666669</v>
      </c>
      <c r="CF329" s="173">
        <f>IFERROR(Crops[[#This Row],[Tray 1 Count]]/HomeStartFlatIrrigationPerHour,0)*Crops[[#This Row],[Days in Cells]]/DaysBetweenStartIrrigation</f>
        <v>0.10532407407407408</v>
      </c>
      <c r="CG329" s="173">
        <f>0.5/16*MAX(Crops[[#This Row],[Tray 1 Count]],Crops[[#This Row],[Tray 2 Count]],Crops[[#This Row],[Tray 3 Count]])</f>
        <v>0.11284722222222222</v>
      </c>
      <c r="CH329" s="173">
        <f>IF(Crops[[#This Row],[Days in Cells]]&gt;0,IF(IF(Crops[[#This Row],[Tray 3 Size]]&gt;0,Crops[[#This Row],[Tray 3 Size]],IF(Crops[[#This Row],[Tray 2 Size]]&gt;0,Crops[[#This Row],[Tray 2 Size]],Crops[[#This Row],[Tray 1 Size]]))&lt;=18,LargeTransplantTime,SmallTransplantTime)*Crops[[#This Row],[Plantings Per Bed]],0)</f>
        <v>1.0416666666666665</v>
      </c>
      <c r="CI329" s="173"/>
      <c r="CJ329" s="173">
        <f>_xlfn.XLOOKUP(Crops[[#This Row],[Trellis Type]],TrellisMethods[Trellis Type],TrellisMethods[Hours],0,0)</f>
        <v>0</v>
      </c>
      <c r="CK329">
        <f>IF(Crops[[#This Row],[Days in Cells]]&lt;=0,Crops[[#This Row],[Rows]]*1/10,0)*BedLength/50</f>
        <v>0</v>
      </c>
      <c r="CL329" cm="1">
        <f t="array" ref="CL329">_xlfn.SWITCH(Crops[[#This Row],[Irrigation]],"DR", 0.5, "OH", 0.25,0)*BedLength/50</f>
        <v>0.5</v>
      </c>
      <c r="CM329">
        <f>IF(OR(ISBLANK(Crops[[#This Row],[Row Cover]]),Crops[[#This Row],[Row Cover]]="None"),0,1)*BedLength/50</f>
        <v>1</v>
      </c>
      <c r="CN329" s="173">
        <f>HoursPerWeedingPass*Crops[[#This Row],[Days In Field]]/14*Crops[[#This Row],[Rows]]+1*BedLength/50</f>
        <v>3</v>
      </c>
      <c r="CO329" s="49">
        <f>1*Crops[[#This Row],[Days In Field]]/7</f>
        <v>24</v>
      </c>
      <c r="CQ329" s="37">
        <f>_xlfn.XLOOKUP(Crops[[#This Row],[Crop]]&amp;Crops[[#This Row],[Product]]&amp;Crops[[#This Row],[Unit]],Products[ID],Products[Marketing (hr)])*Crops[[#This Row],[Direct Revenue Per Bed]]/2000</f>
        <v>1.0208333333333335</v>
      </c>
      <c r="CR329" s="37">
        <f>_xlfn.XLOOKUP(Crops[[#This Row],[Crop]]&amp;Crops[[#This Row],[Product]]&amp;Crops[[#This Row],[Unit]],Products[ID],Products[Harvest (s)])*Crops[[#This Row],[Custom Yield Per Bed]]/3600</f>
        <v>16.203703703703706</v>
      </c>
      <c r="CS329" s="37">
        <f>_xlfn.XLOOKUP(Crops[[#This Row],[Crop]]&amp;Crops[[#This Row],[Product]]&amp;Crops[[#This Row],[Unit]],Products[ID],Products[Bunch (s)])*Crops[[#This Row],[Custom Yield Per Bed]]/3600</f>
        <v>0</v>
      </c>
      <c r="CT329" s="37">
        <f>_xlfn.XLOOKUP(Crops[[#This Row],[Crop]]&amp;Crops[[#This Row],[Product]]&amp;Crops[[#This Row],[Unit]],Products[ID],Products[Haul (s)])*Crops[[#This Row],[Custom Yield Per Bed]]/3600</f>
        <v>0.18229166666666666</v>
      </c>
      <c r="CU329" s="37">
        <f>_xlfn.XLOOKUP(Crops[[#This Row],[Crop]]&amp;Crops[[#This Row],[Product]]&amp;Crops[[#This Row],[Unit]],Products[ID],Products[Wash (s)])*Crops[[#This Row],[Custom Yield Per Bed]]/3600</f>
        <v>0</v>
      </c>
      <c r="CV329" s="37">
        <f>_xlfn.XLOOKUP(Crops[[#This Row],[Crop]]&amp;Crops[[#This Row],[Product]]&amp;Crops[[#This Row],[Unit]],Products[ID],Products[Condition (s)])*Crops[[#This Row],[Custom Yield Per Bed]]/3600</f>
        <v>0</v>
      </c>
      <c r="CW329" s="37">
        <f>_xlfn.XLOOKUP(Crops[[#This Row],[Crop]]&amp;Crops[[#This Row],[Product]]&amp;Crops[[#This Row],[Unit]],Products[ID],Products[Trim (s)])*Crops[[#This Row],[Custom Yield Per Bed]]/3600</f>
        <v>0</v>
      </c>
      <c r="CX329" s="37">
        <f>_xlfn.XLOOKUP(Crops[[#This Row],[Crop]]&amp;Crops[[#This Row],[Product]]&amp;Crops[[#This Row],[Unit]],Products[ID],Products[Pack (s)])*Crops[[#This Row],[Custom Yield Per Bed]]/3600</f>
        <v>0.24305555555555555</v>
      </c>
      <c r="CY329" s="37">
        <f>_xlfn.XLOOKUP(Crops[[#This Row],[Crop]]&amp;Crops[[#This Row],[Product]]&amp;Crops[[#This Row],[Unit]],Products[ID],Products[Clean (s)])*Crops[[#This Row],[Custom Yield Per Bed]]/3600</f>
        <v>0</v>
      </c>
      <c r="CZ329" s="37">
        <f>_xlfn.XLOOKUP(Crops[[#This Row],[Crop]]&amp;Crops[[#This Row],[Product]]&amp;Crops[[#This Row],[Unit]],Products[ID],Products[Rehandle (s)])*Crops[[#This Row],[Custom Yield Per Bed]]/3600</f>
        <v>0</v>
      </c>
      <c r="DA329" s="37">
        <f>_xlfn.XLOOKUP(Crops[[#This Row],[Crop]]&amp;Crops[[#This Row],[Product]]&amp;Crops[[#This Row],[Unit]],Products[ID],Products[Market Transport (s)])*Crops[[#This Row],[Custom Yield Per Bed]]/3600</f>
        <v>0.45572916666666669</v>
      </c>
      <c r="DC329" s="37">
        <f>Crops[[#This Row],[Direct Revenue Per Bed2]]</f>
        <v>2041.6666666666667</v>
      </c>
      <c r="DD329" s="173">
        <f>_xlfn.AGGREGATE(9,6,Crops[[#This Row],[Bed Prep]:[Remove Crop Residue]])</f>
        <v>49.417390046296291</v>
      </c>
      <c r="DE329" s="173">
        <f>_xlfn.AGGREGATE(9,6,Crops[[#This Row],[Bed Prep]:[Remove Crop Residue]])-0.75*Crops[[#This Row],[Market &amp; Sell]]</f>
        <v>48.651765046296291</v>
      </c>
      <c r="DF329" s="36">
        <f>Crops[[#This Row],[Direct Revenue Per Bed2]]/Crops[[#This Row],[Direct Time]]</f>
        <v>41.314740919217861</v>
      </c>
      <c r="DG329" s="36">
        <f>_xlfn.XLOOKUP(Crops[[#This Row],[ProductIndex]],Products[ID],Products[Packaging Cost])*(Crops[[#This Row],[Custom Yield Per Bed]]/_xlfn.XLOOKUP(Crops[[#This Row],[ProductIndex]],Products[ID],Products[Units Per Pack]))</f>
        <v>126.00000000000001</v>
      </c>
      <c r="DH329" s="36"/>
      <c r="DI329" s="36"/>
      <c r="DJ329" s="36"/>
      <c r="DK329" s="36"/>
      <c r="DL329" s="36"/>
      <c r="DM329" s="33">
        <f>IFERROR(Crops[[#This Row],[Custom Yield Per Bed]]*Crops[[#This Row],[Direct Price]],"")</f>
        <v>2041.6666666666667</v>
      </c>
      <c r="DN329" s="36">
        <f>Crops[[#This Row],[Direct Time]]*LaborRate</f>
        <v>1235.4347511574072</v>
      </c>
      <c r="DO329" s="36">
        <f>SUM(Crops[[#This Row],[Irrigation Cost]])</f>
        <v>0</v>
      </c>
      <c r="DP329" s="36">
        <f>Crops[[#This Row],[Direct Labor Cost]]+Crops[[#This Row],[Direct Non-Labor Cost]]</f>
        <v>1235.4347511574072</v>
      </c>
      <c r="DQ329" s="36">
        <f>Crops[[#This Row],[Direct Revenue Per Bed2]]-Crops[[#This Row],[Direct Total Cost]]</f>
        <v>806.23191550925958</v>
      </c>
      <c r="DR329" s="36">
        <f>Crops[[#This Row],[Direct Profit]]*BedsPerAcre</f>
        <v>128997.10648148153</v>
      </c>
      <c r="DS329" s="36">
        <f>Crops[[#This Row],[Direct Profit]]*BedsPerAcre*GrowingDays/Crops[[#This Row],[Days In Field]]</f>
        <v>138211.18551587308</v>
      </c>
      <c r="DT329" s="36">
        <f>Crops[[#This Row],[Direct Profit]]/MIN(Crops[[#This Row],[Days In Field]],GrowingDays)</f>
        <v>4.7989994970789258</v>
      </c>
      <c r="DU329" s="33">
        <f>Crops[[#This Row],[Direct Time]] * BedsPerAcre</f>
        <v>7906.7824074074069</v>
      </c>
      <c r="DV329" s="36">
        <f>(Crops[[#This Row],[Direct Revenue Per Bed2]]-Crops[[#This Row],[Direct Non-Labor Cost]])/Crops[[#This Row],[Direct Time]]</f>
        <v>41.314740919217861</v>
      </c>
      <c r="DW329" s="33">
        <f>IFERROR(Crops[[#This Row],[Custom Yield Per Bed]]*Crops[[#This Row],[Rough Wholesale Price]],"")</f>
        <v>1310.5555555555557</v>
      </c>
      <c r="DX329" s="36">
        <f>Crops[[#This Row],[Wholesale Time]]*LaborRate</f>
        <v>1216.2941261574072</v>
      </c>
      <c r="DY329" s="36">
        <f>SUM(Crops[[#This Row],[Packaging Costs]:[Irrigation Cost]])</f>
        <v>126.00000000000001</v>
      </c>
      <c r="DZ329" s="36">
        <f>Crops[[#This Row],[Wholesale Labor Cost]]+Crops[[#This Row],[Wholesale Non-Labor Cost]]</f>
        <v>1342.2941261574072</v>
      </c>
      <c r="EA329" s="36">
        <f>Crops[[#This Row],[Wholesale Revenue Per Bed]]-Crops[[#This Row],[Wholesale Total Cost]]</f>
        <v>-31.738570601851507</v>
      </c>
      <c r="EB329" s="36">
        <f>Crops[[#This Row],[Wholesale Profit]]*BedsPerAcre</f>
        <v>-5078.1712962962411</v>
      </c>
      <c r="EC329" s="36">
        <f>Crops[[#This Row],[Wholesale Profit]]*BedsPerAcre*GrowingDays/Crops[[#This Row],[Days In Field]]</f>
        <v>-5440.897817460258</v>
      </c>
      <c r="ED329" s="33">
        <f>Crops[[#This Row],[Wholesale Time]] * BedsPerAcre</f>
        <v>7784.2824074074069</v>
      </c>
      <c r="EE329" s="221">
        <f>Crops[[#This Row],[Wholesale Profit]]/MIN(Crops[[#This Row],[Days In Field]],GrowingDays)</f>
        <v>-0.18892006310625897</v>
      </c>
      <c r="EF329" s="36">
        <f>(Crops[[#This Row],[Wholesale Revenue Per Bed]]-Crops[[#This Row],[Wholesale Non-Labor Cost]])/Crops[[#This Row],[Direct Time]]</f>
        <v>23.970419207607165</v>
      </c>
      <c r="EG329" s="174">
        <f>Crops[[#This Row],[Packaging Costs]]/Crops[[#This Row],[Wholesale Revenue Per Bed]]</f>
        <v>9.6142433234421371E-2</v>
      </c>
      <c r="EH329" s="36" t="str">
        <f>Crops[[#This Row],[Crop]]&amp;Crops[[#This Row],[Product]]&amp;Crops[[#This Row],[Unit]]</f>
        <v>TomatoRipe Fruit SmallLb</v>
      </c>
      <c r="EI329" s="36" t="b">
        <f>_xlfn.XLOOKUP(Crops[[#This Row],[ProductIndex]],Products[ID],Products[Target])</f>
        <v>1</v>
      </c>
      <c r="EJ329" s="36">
        <f>Crops[[#This Row],[Custom Yield Per Bed]]</f>
        <v>291.66666666666669</v>
      </c>
      <c r="EK329" s="210">
        <f>Crops[[#This Row],[Units Per Harvest]]/Crops[[#This Row],[Days Between Harvest]]*7</f>
        <v>20.833333333333336</v>
      </c>
      <c r="EL329" s="210">
        <f>Crops[[#This Row],[Custom Yield Per Bed]]/_xlfn.XLOOKUP(Crops[[#This Row],[ProductIndex]],Products[ID],Products[CSA Portion])</f>
        <v>388.88888888888891</v>
      </c>
      <c r="EM329" s="210">
        <f>Crops[[#This Row],[Units Per Harvest]]/Crops[[#This Row],[Days Between Harvest]]*7/_xlfn.XLOOKUP(Crops[[#This Row],[ProductIndex]],Products[ID],Products[CSA Portion])</f>
        <v>27.777777777777782</v>
      </c>
      <c r="EN329" s="210">
        <f>Crops[[#This Row],[CSA Portions Per Week]]/CSAMembers</f>
        <v>0.55555555555555569</v>
      </c>
      <c r="EO329" s="210"/>
      <c r="EP329" s="210"/>
      <c r="EQ329" s="210"/>
      <c r="ER329" s="210">
        <f>Crops[[#This Row],[Harvests]]*Crops[[#This Row],[Days Between Harvest]]/7</f>
        <v>14</v>
      </c>
      <c r="ES329" s="217">
        <f>_xlfn.XLOOKUP(Crops[[#This Row],[ProductIndex]],Products[ID],Products[CSA Need])</f>
        <v>1.5</v>
      </c>
      <c r="ET329" s="217">
        <f>_xlfn.XLOOKUP(Crops[[#This Row],[ProductIndex]],Products[ID],Products[CSA Times])</f>
        <v>2</v>
      </c>
      <c r="EU329" s="208">
        <f>Crops[[#This Row],[Custom Yield Per Bed]]/(Crops[[#This Row],[CSA Need]]*(_xlfn.XLOOKUP(Crops[[#This Row],[ProductIndex]],Products[ID],Products[CSA Portion])*CSAMembers))</f>
        <v>5.1851851851851851</v>
      </c>
      <c r="EV329" s="208">
        <f>_xlfn.XLOOKUP(Crops[[#This Row],[ProductIndex]],Products[ID],Products[CSA Portion])*CSAMembers*Crops[[#This Row],[CSA Need]]/Crops[[#This Row],[Custom Yield Per Bed]]</f>
        <v>0.19285714285714284</v>
      </c>
      <c r="EW329" s="208">
        <f>IFERROR(Crops[[#This Row],[Days In Field]]*Crops[[#This Row],[CSA Beds]],"")</f>
        <v>32.4</v>
      </c>
      <c r="EX329" s="208" t="e">
        <f>Crops[[#This Row],[CSA Bed Days]]*#REF!</f>
        <v>#REF!</v>
      </c>
      <c r="EY329" t="s">
        <v>428</v>
      </c>
    </row>
    <row r="330" spans="1:155">
      <c r="A330"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(Cherry) - Ripe Fruit Small 1X | Field TP Su</v>
      </c>
      <c r="B330" s="190"/>
      <c r="C330" s="1"/>
      <c r="D330" s="1"/>
      <c r="E330" s="1" t="b">
        <v>0</v>
      </c>
      <c r="F330" s="1" t="b">
        <f>IFERROR(IF(ISNUMBER(MATCH(Crops[[#This Row],[Identifier]],BedPlan[Crop], 0)), TRUE, FALSE), FALSE)</f>
        <v>0</v>
      </c>
      <c r="G330" s="1" t="b">
        <f>IFERROR(IF(ISNUMBER(MATCH(Crops[[#This Row],[Identifier]],BedPlan[Crop], 0)), TRUE, FALSE), FALSE)</f>
        <v>0</v>
      </c>
      <c r="H330" s="1"/>
      <c r="I330" t="s">
        <v>136</v>
      </c>
      <c r="J330" t="s">
        <v>178</v>
      </c>
      <c r="K330" t="s">
        <v>2381</v>
      </c>
      <c r="M330" t="s">
        <v>136</v>
      </c>
      <c r="N330" t="str">
        <f>Crops[[#This Row],[Crop]]</f>
        <v>Tomato</v>
      </c>
      <c r="O330" t="s">
        <v>210</v>
      </c>
      <c r="P330" t="str">
        <f>IF(OR(Crops[[#This Row],[Days in Cells]]="",Crops[[#This Row],[Days in Cells]]=0), "DS","TP")</f>
        <v>TP</v>
      </c>
      <c r="R330" t="s">
        <v>144</v>
      </c>
      <c r="V330" t="str">
        <f xml:space="preserve"> IF(Crops[[#This Row],[Sp]], "Sp", "") &amp; IF(Crops[[#This Row],[Su]], "Su", "") &amp; IF(Crops[[#This Row],[Fa]], "Fa", "") &amp; IF(Crops[[#This Row],[Wi]], "Wi", "") &amp; IF(Crops[[#This Row],[OW]], "Ow","")</f>
        <v>Su</v>
      </c>
      <c r="W330" t="s">
        <v>144</v>
      </c>
      <c r="X330">
        <v>1</v>
      </c>
      <c r="Y330">
        <v>18</v>
      </c>
      <c r="Z330" t="s">
        <v>432</v>
      </c>
      <c r="AA330" t="s">
        <v>476</v>
      </c>
      <c r="AB330" t="b">
        <v>0</v>
      </c>
      <c r="AC330">
        <v>5</v>
      </c>
      <c r="AD330" s="32">
        <f>IFERROR(12/Crops[[#This Row],[Spacing]]*Crops[[#This Row],[Rows]]*BedLength,"")</f>
        <v>33.333333333333329</v>
      </c>
      <c r="AE330">
        <v>1</v>
      </c>
      <c r="AG330">
        <f>IF(Crops[[#This Row],[Custom Safety Factor]]="",PlantingSafetyFactor,Crops[[#This Row],[Custom Safety Factor]])</f>
        <v>1.3</v>
      </c>
      <c r="AH330">
        <f>1</f>
        <v>1</v>
      </c>
      <c r="AI330" s="33">
        <f>IFERROR(Crops[[#This Row],[Plantings Per Bed]]*Crops[[#This Row],[Seeds Per Planting]]*Crops[[#This Row],[Safety Factor]]*Crops[[#This Row],[Seeding Factor]],"")</f>
        <v>43.333333333333329</v>
      </c>
      <c r="AL330">
        <f>_xlfn.FLOOR.MATH(IFERROR(AVERAGE(Crops[[#This Row],[DTG Lower]:[DTG Upper]]),0))</f>
        <v>0</v>
      </c>
      <c r="AM330">
        <f>SUM(Crops[[#This Row],[Tray 1 Days]],Crops[[#This Row],[Tray 2 Days]],Crops[[#This Row],[Tray 3 Days]])</f>
        <v>56</v>
      </c>
      <c r="AN330" s="32">
        <v>55</v>
      </c>
      <c r="AP330">
        <v>100</v>
      </c>
      <c r="AQ330">
        <f>IFERROR(_xlfn.FLOOR.MATH(AVERAGE(Crops[[#This Row],[DTM Lower]:[DTM Upper]])),"")</f>
        <v>100</v>
      </c>
      <c r="AR330" cm="1">
        <f t="array" ref="AR330">_xlfn.SWITCH(Crops[[#This Row],[Normal Method]],"DS",Crops[[#This Row],[Days to Germination]]+Crops[[#This Row],[DTM]] + IF(Crops[[#This Row],[Days in Cells]]&gt;0,15,0), "TP",Crops[[#This Row],[DTM]]+Crops[[#This Row],[Days in Cells]] + IF(Crops[[#This Row],[Days in Cells]]&lt;=0,20,0), "X", Crops[[#This Row],[DTM]])</f>
        <v>100</v>
      </c>
      <c r="AS330" t="s">
        <v>347</v>
      </c>
      <c r="AT330">
        <f>(Crops[[#This Row],[Harvests]]-1)*Crops[[#This Row],[Days Between Harvest]]+7</f>
        <v>98</v>
      </c>
      <c r="AU330">
        <f>Crops[[#This Row],[STH]]-Crops[[#This Row],[Days in Cells]]+Crops[[#This Row],[Harvest window]]</f>
        <v>142</v>
      </c>
      <c r="AX330">
        <v>72</v>
      </c>
      <c r="AY330">
        <v>21</v>
      </c>
      <c r="AZ330" s="49">
        <f>IFERROR(IF(Crops[[#This Row],[Tray 1 Days]]=0,"",Crops[[#This Row],[Plantings Per Bed]]/Crops[[#This Row],[Tray 1 Size]]*Crops[[#This Row],[Safety Factor]]),"")</f>
        <v>0.60185185185185175</v>
      </c>
      <c r="BA330">
        <v>18</v>
      </c>
      <c r="BB330">
        <v>21</v>
      </c>
      <c r="BC330">
        <f>IFERROR(IF(Crops[[#This Row],[Tray 2 Days]]=0,"",Crops[[#This Row],[Plantings Per Bed]]/Crops[[#This Row],[Tray 2 Size]]*Crops[[#This Row],[Safety Factor]]),"")</f>
        <v>2.407407407407407</v>
      </c>
      <c r="BD330">
        <v>9</v>
      </c>
      <c r="BE330" s="32">
        <v>14</v>
      </c>
      <c r="BF330" s="49">
        <f>IFERROR(IF(Crops[[#This Row],[Tray 3 Days]]=0,"",Crops[[#This Row],[Plantings Per Bed]]/Crops[[#This Row],[Tray 3 Size]]*Crops[[#This Row],[Safety Factor]]),"")</f>
        <v>4.814814814814814</v>
      </c>
      <c r="BG330" s="33">
        <f>500*BedLength/StandardBedLength*(Crops[[#This Row],[Harvests]]*Crops[[#This Row],[Days Between Harvest]])/42/Crops[[#This Row],[Harvests]]*0.5</f>
        <v>20.833333333333336</v>
      </c>
      <c r="BH330" s="33">
        <v>14</v>
      </c>
      <c r="BI330" s="33">
        <v>7</v>
      </c>
      <c r="BJ330" s="33">
        <f>_xlfn.XLOOKUP(Crops[[#This Row],[ProductIndex]],Products[ID],Products[Holding Period])</f>
        <v>4</v>
      </c>
      <c r="BK330" s="33"/>
      <c r="BL330" s="33">
        <f>Crops[[#This Row],[Units Per Harvest]]*Crops[[#This Row],[Harvests]]</f>
        <v>291.66666666666669</v>
      </c>
      <c r="BM330" s="35">
        <v>7</v>
      </c>
      <c r="BN330" s="35">
        <f t="shared" si="1"/>
        <v>4.4933333333333332</v>
      </c>
      <c r="BO330" s="35"/>
      <c r="BP330" t="s">
        <v>383</v>
      </c>
      <c r="BQ330">
        <f>Crops[[#This Row],[Custom Yield Per Bed]]*Crops[[#This Row],[Direct Price]]</f>
        <v>2041.6666666666667</v>
      </c>
      <c r="BS330" t="b">
        <f>Crops[[#This Row],[Harvests]]&gt;1</f>
        <v>1</v>
      </c>
      <c r="BT330" s="36">
        <f>IFERROR(Crops[[#This Row],[Direct Revenue Per Bed]]/Crops[[#This Row],[Days In Field]],-1)</f>
        <v>14.37793427230047</v>
      </c>
      <c r="BU330" s="36">
        <f>IFERROR(Crops[[#This Row],[Direct Revenue Per Bed Day]]*GrowingDays*BedsPerAcre,"")</f>
        <v>414084.50704225351</v>
      </c>
      <c r="BV330" s="38">
        <f>LastFrostDate-5*Crops[[#This Row],[Sewing Rel Last Frost]]</f>
        <v>45733</v>
      </c>
      <c r="BW330" s="38">
        <f>Crops[[#This Row],[Target Sewing Date]]+Crops[[#This Row],[Days in Cells]]</f>
        <v>45789</v>
      </c>
      <c r="BX330" s="38">
        <f>Crops[[#This Row],[Target Sewing Date]]+Crops[[#This Row],[STH]]</f>
        <v>45833</v>
      </c>
      <c r="BY330" s="38">
        <f>Crops[[#This Row],[Target Harvest Data]]+Crops[[#This Row],[Harvest window]]</f>
        <v>45931</v>
      </c>
      <c r="BZ330">
        <v>3</v>
      </c>
      <c r="CA330" t="s">
        <v>373</v>
      </c>
      <c r="CB330">
        <f>1</f>
        <v>1</v>
      </c>
      <c r="CC330">
        <f>IF(Crops[[#This Row],[Transplanting]]&gt;0, 2, 3)*BedLength/StandardBedLength</f>
        <v>1</v>
      </c>
      <c r="CD330" s="173">
        <f>IF(Crops[[#This Row],[Days in Cells]]&lt;=0,0,Crops[[#This Row],[Plantings Per Bed]]/StartsPerHourSeeding+Crops[[#This Row],[Tray 1 Count]]*5/60)</f>
        <v>0.18036265432098764</v>
      </c>
      <c r="CE330" s="173">
        <f>IF(ISBLANK(Crops[[#This Row],[Tray 2 Days]]),0,Crops[[#This Row],[Plantings Per Bed]]/UpPottingPerHour)+IF(Crops[[#This Row],[Tray 3 Days]]="",0,Crops[[#This Row],[Plantings Per Bed]]/UpPottingPerHour)</f>
        <v>0.55555555555555547</v>
      </c>
      <c r="CF330" s="173">
        <f>IFERROR(Crops[[#This Row],[Tray 1 Count]]/HomeStartFlatIrrigationPerHour,0)*Crops[[#This Row],[Days in Cells]]/DaysBetweenStartIrrigation</f>
        <v>0.14043209876543206</v>
      </c>
      <c r="CG330" s="173">
        <f>0.5/16*MAX(Crops[[#This Row],[Tray 1 Count]],Crops[[#This Row],[Tray 2 Count]],Crops[[#This Row],[Tray 3 Count]])</f>
        <v>0.15046296296296294</v>
      </c>
      <c r="CH330" s="173">
        <f>IF(Crops[[#This Row],[Days in Cells]]&gt;0,IF(IF(Crops[[#This Row],[Tray 3 Size]]&gt;0,Crops[[#This Row],[Tray 3 Size]],IF(Crops[[#This Row],[Tray 2 Size]]&gt;0,Crops[[#This Row],[Tray 2 Size]],Crops[[#This Row],[Tray 1 Size]]))&lt;=18,LargeTransplantTime,SmallTransplantTime)*Crops[[#This Row],[Plantings Per Bed]],0)</f>
        <v>1.3888888888888886</v>
      </c>
      <c r="CI330" s="173"/>
      <c r="CJ330" s="173">
        <f>_xlfn.XLOOKUP(Crops[[#This Row],[Trellis Type]],TrellisMethods[Trellis Type],TrellisMethods[Hours],0,0)</f>
        <v>0</v>
      </c>
      <c r="CK330">
        <f>IF(Crops[[#This Row],[Days in Cells]]&lt;=0,Crops[[#This Row],[Rows]]*1/10,0)*BedLength/50</f>
        <v>0</v>
      </c>
      <c r="CL330" cm="1">
        <f t="array" ref="CL330">_xlfn.SWITCH(Crops[[#This Row],[Irrigation]],"DR", 0.5, "OH", 0.25,0)*BedLength/50</f>
        <v>0.5</v>
      </c>
      <c r="CM330">
        <f>IF(OR(ISBLANK(Crops[[#This Row],[Row Cover]]),Crops[[#This Row],[Row Cover]]="None"),0,1)*BedLength/50</f>
        <v>1</v>
      </c>
      <c r="CN330" s="173">
        <f>HoursPerWeedingPass*Crops[[#This Row],[Days In Field]]/14*Crops[[#This Row],[Rows]]+1*BedLength/50</f>
        <v>2.6904761904761902</v>
      </c>
      <c r="CO330" s="49">
        <f>1*Crops[[#This Row],[Days In Field]]/7</f>
        <v>20.285714285714285</v>
      </c>
      <c r="CQ330" s="37">
        <f>_xlfn.XLOOKUP(Crops[[#This Row],[Crop]]&amp;Crops[[#This Row],[Product]]&amp;Crops[[#This Row],[Unit]],Products[ID],Products[Marketing (hr)])*Crops[[#This Row],[Direct Revenue Per Bed]]/2000</f>
        <v>1.0208333333333335</v>
      </c>
      <c r="CR330" s="37">
        <f>_xlfn.XLOOKUP(Crops[[#This Row],[Crop]]&amp;Crops[[#This Row],[Product]]&amp;Crops[[#This Row],[Unit]],Products[ID],Products[Harvest (s)])*Crops[[#This Row],[Custom Yield Per Bed]]/3600</f>
        <v>16.203703703703706</v>
      </c>
      <c r="CS330" s="37">
        <f>_xlfn.XLOOKUP(Crops[[#This Row],[Crop]]&amp;Crops[[#This Row],[Product]]&amp;Crops[[#This Row],[Unit]],Products[ID],Products[Bunch (s)])*Crops[[#This Row],[Custom Yield Per Bed]]/3600</f>
        <v>0</v>
      </c>
      <c r="CT330" s="37">
        <f>_xlfn.XLOOKUP(Crops[[#This Row],[Crop]]&amp;Crops[[#This Row],[Product]]&amp;Crops[[#This Row],[Unit]],Products[ID],Products[Haul (s)])*Crops[[#This Row],[Custom Yield Per Bed]]/3600</f>
        <v>0.18229166666666666</v>
      </c>
      <c r="CU330" s="37">
        <f>_xlfn.XLOOKUP(Crops[[#This Row],[Crop]]&amp;Crops[[#This Row],[Product]]&amp;Crops[[#This Row],[Unit]],Products[ID],Products[Wash (s)])*Crops[[#This Row],[Custom Yield Per Bed]]/3600</f>
        <v>0</v>
      </c>
      <c r="CV330" s="37">
        <f>_xlfn.XLOOKUP(Crops[[#This Row],[Crop]]&amp;Crops[[#This Row],[Product]]&amp;Crops[[#This Row],[Unit]],Products[ID],Products[Condition (s)])*Crops[[#This Row],[Custom Yield Per Bed]]/3600</f>
        <v>0</v>
      </c>
      <c r="CW330" s="37">
        <f>_xlfn.XLOOKUP(Crops[[#This Row],[Crop]]&amp;Crops[[#This Row],[Product]]&amp;Crops[[#This Row],[Unit]],Products[ID],Products[Trim (s)])*Crops[[#This Row],[Custom Yield Per Bed]]/3600</f>
        <v>0</v>
      </c>
      <c r="CX330" s="37">
        <f>_xlfn.XLOOKUP(Crops[[#This Row],[Crop]]&amp;Crops[[#This Row],[Product]]&amp;Crops[[#This Row],[Unit]],Products[ID],Products[Pack (s)])*Crops[[#This Row],[Custom Yield Per Bed]]/3600</f>
        <v>0.24305555555555555</v>
      </c>
      <c r="CY330" s="37">
        <f>_xlfn.XLOOKUP(Crops[[#This Row],[Crop]]&amp;Crops[[#This Row],[Product]]&amp;Crops[[#This Row],[Unit]],Products[ID],Products[Clean (s)])*Crops[[#This Row],[Custom Yield Per Bed]]/3600</f>
        <v>0</v>
      </c>
      <c r="CZ330" s="37">
        <f>_xlfn.XLOOKUP(Crops[[#This Row],[Crop]]&amp;Crops[[#This Row],[Product]]&amp;Crops[[#This Row],[Unit]],Products[ID],Products[Rehandle (s)])*Crops[[#This Row],[Custom Yield Per Bed]]/3600</f>
        <v>0</v>
      </c>
      <c r="DA330" s="37">
        <f>_xlfn.XLOOKUP(Crops[[#This Row],[Crop]]&amp;Crops[[#This Row],[Product]]&amp;Crops[[#This Row],[Unit]],Products[ID],Products[Market Transport (s)])*Crops[[#This Row],[Custom Yield Per Bed]]/3600</f>
        <v>0.45572916666666669</v>
      </c>
      <c r="DC330" s="37">
        <f>Crops[[#This Row],[Direct Revenue Per Bed2]]</f>
        <v>2041.6666666666667</v>
      </c>
      <c r="DD330" s="173">
        <f>_xlfn.AGGREGATE(9,6,Crops[[#This Row],[Bed Prep]:[Remove Crop Residue]])</f>
        <v>45.997506062610228</v>
      </c>
      <c r="DE330" s="173">
        <f>_xlfn.AGGREGATE(9,6,Crops[[#This Row],[Bed Prep]:[Remove Crop Residue]])-0.75*Crops[[#This Row],[Market &amp; Sell]]</f>
        <v>45.231881062610228</v>
      </c>
      <c r="DF330" s="36">
        <f>Crops[[#This Row],[Direct Revenue Per Bed2]]/Crops[[#This Row],[Direct Time]]</f>
        <v>44.386464428910998</v>
      </c>
      <c r="DG330" s="36">
        <f>_xlfn.XLOOKUP(Crops[[#This Row],[ProductIndex]],Products[ID],Products[Packaging Cost])*(Crops[[#This Row],[Custom Yield Per Bed]]/_xlfn.XLOOKUP(Crops[[#This Row],[ProductIndex]],Products[ID],Products[Units Per Pack]))</f>
        <v>126.00000000000001</v>
      </c>
      <c r="DH330" s="36"/>
      <c r="DI330" s="36"/>
      <c r="DJ330" s="36"/>
      <c r="DK330" s="36"/>
      <c r="DL330" s="36"/>
      <c r="DM330" s="33">
        <f>IFERROR(Crops[[#This Row],[Custom Yield Per Bed]]*Crops[[#This Row],[Direct Price]],"")</f>
        <v>2041.6666666666667</v>
      </c>
      <c r="DN330" s="36">
        <f>Crops[[#This Row],[Direct Time]]*LaborRate</f>
        <v>1149.9376515652557</v>
      </c>
      <c r="DO330" s="36">
        <f>SUM(Crops[[#This Row],[Irrigation Cost]])</f>
        <v>0</v>
      </c>
      <c r="DP330" s="36">
        <f>Crops[[#This Row],[Direct Labor Cost]]+Crops[[#This Row],[Direct Non-Labor Cost]]</f>
        <v>1149.9376515652557</v>
      </c>
      <c r="DQ330" s="36">
        <f>Crops[[#This Row],[Direct Revenue Per Bed2]]-Crops[[#This Row],[Direct Total Cost]]</f>
        <v>891.72901510141105</v>
      </c>
      <c r="DR330" s="36">
        <f>Crops[[#This Row],[Direct Profit]]*BedsPerAcre</f>
        <v>142676.64241622578</v>
      </c>
      <c r="DS330" s="36">
        <f>Crops[[#This Row],[Direct Profit]]*BedsPerAcre*GrowingDays/Crops[[#This Row],[Days In Field]]</f>
        <v>180857.71573887774</v>
      </c>
      <c r="DT330" s="36">
        <f>Crops[[#This Row],[Direct Profit]]/MIN(Crops[[#This Row],[Days In Field]],GrowingDays)</f>
        <v>6.2797817964888099</v>
      </c>
      <c r="DU330" s="33">
        <f>Crops[[#This Row],[Direct Time]] * BedsPerAcre</f>
        <v>7359.6009700176364</v>
      </c>
      <c r="DV330" s="36">
        <f>(Crops[[#This Row],[Direct Revenue Per Bed2]]-Crops[[#This Row],[Direct Non-Labor Cost]])/Crops[[#This Row],[Direct Time]]</f>
        <v>44.386464428910998</v>
      </c>
      <c r="DW330" s="33">
        <f>IFERROR(Crops[[#This Row],[Custom Yield Per Bed]]*Crops[[#This Row],[Rough Wholesale Price]],"")</f>
        <v>1310.5555555555557</v>
      </c>
      <c r="DX330" s="36">
        <f>Crops[[#This Row],[Wholesale Time]]*LaborRate</f>
        <v>1130.7970265652557</v>
      </c>
      <c r="DY330" s="36">
        <f>SUM(Crops[[#This Row],[Packaging Costs]:[Irrigation Cost]])</f>
        <v>126.00000000000001</v>
      </c>
      <c r="DZ330" s="36">
        <f>Crops[[#This Row],[Wholesale Labor Cost]]+Crops[[#This Row],[Wholesale Non-Labor Cost]]</f>
        <v>1256.7970265652557</v>
      </c>
      <c r="EA330" s="36">
        <f>Crops[[#This Row],[Wholesale Revenue Per Bed]]-Crops[[#This Row],[Wholesale Total Cost]]</f>
        <v>53.758528990299965</v>
      </c>
      <c r="EB330" s="36">
        <f>Crops[[#This Row],[Wholesale Profit]]*BedsPerAcre</f>
        <v>8601.3646384479944</v>
      </c>
      <c r="EC330" s="36">
        <f>Crops[[#This Row],[Wholesale Profit]]*BedsPerAcre*GrowingDays/Crops[[#This Row],[Days In Field]]</f>
        <v>10903.138274089008</v>
      </c>
      <c r="ED330" s="33">
        <f>Crops[[#This Row],[Wholesale Time]] * BedsPerAcre</f>
        <v>7237.1009700176364</v>
      </c>
      <c r="EE330" s="221">
        <f>Crops[[#This Row],[Wholesale Profit]]/MIN(Crops[[#This Row],[Days In Field]],GrowingDays)</f>
        <v>0.37858119007253499</v>
      </c>
      <c r="EF330" s="36">
        <f>(Crops[[#This Row],[Wholesale Revenue Per Bed]]-Crops[[#This Row],[Wholesale Non-Labor Cost]])/Crops[[#This Row],[Direct Time]]</f>
        <v>25.752603933421504</v>
      </c>
      <c r="EG330" s="174">
        <f>Crops[[#This Row],[Packaging Costs]]/Crops[[#This Row],[Wholesale Revenue Per Bed]]</f>
        <v>9.6142433234421371E-2</v>
      </c>
      <c r="EH330" s="36" t="str">
        <f>Crops[[#This Row],[Crop]]&amp;Crops[[#This Row],[Product]]&amp;Crops[[#This Row],[Unit]]</f>
        <v>TomatoRipe Fruit SmallLb</v>
      </c>
      <c r="EI330" s="36" t="b">
        <f>_xlfn.XLOOKUP(Crops[[#This Row],[ProductIndex]],Products[ID],Products[Target])</f>
        <v>1</v>
      </c>
      <c r="EJ330" s="36">
        <f>Crops[[#This Row],[Custom Yield Per Bed]]</f>
        <v>291.66666666666669</v>
      </c>
      <c r="EK330" s="210">
        <f>Crops[[#This Row],[Units Per Harvest]]/Crops[[#This Row],[Days Between Harvest]]*7</f>
        <v>20.833333333333336</v>
      </c>
      <c r="EL330" s="210">
        <f>Crops[[#This Row],[Custom Yield Per Bed]]/_xlfn.XLOOKUP(Crops[[#This Row],[ProductIndex]],Products[ID],Products[CSA Portion])</f>
        <v>388.88888888888891</v>
      </c>
      <c r="EM330" s="210">
        <f>Crops[[#This Row],[Units Per Harvest]]/Crops[[#This Row],[Days Between Harvest]]*7/_xlfn.XLOOKUP(Crops[[#This Row],[ProductIndex]],Products[ID],Products[CSA Portion])</f>
        <v>27.777777777777782</v>
      </c>
      <c r="EN330" s="210">
        <f>Crops[[#This Row],[CSA Portions Per Week]]/CSAMembers</f>
        <v>0.55555555555555569</v>
      </c>
      <c r="EO330" s="210"/>
      <c r="EP330" s="210"/>
      <c r="EQ330" s="210"/>
      <c r="ER330" s="210">
        <f>Crops[[#This Row],[Harvests]]*Crops[[#This Row],[Days Between Harvest]]/7</f>
        <v>14</v>
      </c>
      <c r="ES330" s="217">
        <f>_xlfn.XLOOKUP(Crops[[#This Row],[ProductIndex]],Products[ID],Products[CSA Need])</f>
        <v>1.5</v>
      </c>
      <c r="ET330" s="217">
        <f>_xlfn.XLOOKUP(Crops[[#This Row],[ProductIndex]],Products[ID],Products[CSA Times])</f>
        <v>2</v>
      </c>
      <c r="EU330" s="208">
        <f>Crops[[#This Row],[Custom Yield Per Bed]]/(Crops[[#This Row],[CSA Need]]*(_xlfn.XLOOKUP(Crops[[#This Row],[ProductIndex]],Products[ID],Products[CSA Portion])*CSAMembers))</f>
        <v>5.1851851851851851</v>
      </c>
      <c r="EV330" s="208">
        <f>_xlfn.XLOOKUP(Crops[[#This Row],[ProductIndex]],Products[ID],Products[CSA Portion])*CSAMembers*Crops[[#This Row],[CSA Need]]/Crops[[#This Row],[Custom Yield Per Bed]]</f>
        <v>0.19285714285714284</v>
      </c>
      <c r="EW330" s="208">
        <f>IFERROR(Crops[[#This Row],[Days In Field]]*Crops[[#This Row],[CSA Beds]],"")</f>
        <v>27.385714285714283</v>
      </c>
      <c r="EX330" s="208" t="e">
        <f>Crops[[#This Row],[CSA Bed Days]]*#REF!</f>
        <v>#REF!</v>
      </c>
      <c r="EY330" t="s">
        <v>428</v>
      </c>
    </row>
    <row r="331" spans="1:155">
      <c r="A331"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(Cherry) - Ripe Fruit Small 1X | Greenhouse TP Su</v>
      </c>
      <c r="B331" s="190"/>
      <c r="C331" s="1" t="b">
        <v>1</v>
      </c>
      <c r="D331" s="1"/>
      <c r="E331" s="1" t="b">
        <v>0</v>
      </c>
      <c r="F331" s="1" t="b">
        <f>IFERROR(IF(ISNUMBER(MATCH(Crops[[#This Row],[Identifier]],BedPlan[Crop], 0)), TRUE, FALSE), FALSE)</f>
        <v>1</v>
      </c>
      <c r="G331" s="1" t="b">
        <f>IFERROR(IF(ISNUMBER(MATCH(Crops[[#This Row],[Identifier]],BedPlan[Crop], 0)), TRUE, FALSE), FALSE)</f>
        <v>1</v>
      </c>
      <c r="H331" s="1"/>
      <c r="I331" t="s">
        <v>136</v>
      </c>
      <c r="J331" t="s">
        <v>178</v>
      </c>
      <c r="K331" t="s">
        <v>2381</v>
      </c>
      <c r="M331" t="s">
        <v>136</v>
      </c>
      <c r="N331" t="str">
        <f>Crops[[#This Row],[Crop]]</f>
        <v>Tomato</v>
      </c>
      <c r="O331" t="s">
        <v>211</v>
      </c>
      <c r="P331" t="str">
        <f>IF(OR(Crops[[#This Row],[Days in Cells]]="",Crops[[#This Row],[Days in Cells]]=0), "DS","TP")</f>
        <v>TP</v>
      </c>
      <c r="R331" t="s">
        <v>144</v>
      </c>
      <c r="V331" t="str">
        <f xml:space="preserve"> IF(Crops[[#This Row],[Sp]], "Sp", "") &amp; IF(Crops[[#This Row],[Su]], "Su", "") &amp; IF(Crops[[#This Row],[Fa]], "Fa", "") &amp; IF(Crops[[#This Row],[Wi]], "Wi", "") &amp; IF(Crops[[#This Row],[OW]], "Ow","")</f>
        <v>Su</v>
      </c>
      <c r="W331" t="s">
        <v>144</v>
      </c>
      <c r="X331">
        <v>1</v>
      </c>
      <c r="Y331">
        <v>18</v>
      </c>
      <c r="Z331" t="s">
        <v>432</v>
      </c>
      <c r="AA331" t="s">
        <v>476</v>
      </c>
      <c r="AB331" t="b">
        <v>0</v>
      </c>
      <c r="AC331">
        <v>7</v>
      </c>
      <c r="AD331" s="32">
        <f>IFERROR(12/Crops[[#This Row],[Spacing]]*Crops[[#This Row],[Rows]]*BedLength,"")</f>
        <v>33.333333333333329</v>
      </c>
      <c r="AE331">
        <v>1</v>
      </c>
      <c r="AG331">
        <f>IF(Crops[[#This Row],[Custom Safety Factor]]="",PlantingSafetyFactor,Crops[[#This Row],[Custom Safety Factor]])</f>
        <v>1.3</v>
      </c>
      <c r="AH331">
        <f>1</f>
        <v>1</v>
      </c>
      <c r="AI331" s="33">
        <f>IFERROR(Crops[[#This Row],[Plantings Per Bed]]*Crops[[#This Row],[Seeds Per Planting]]*Crops[[#This Row],[Safety Factor]]*Crops[[#This Row],[Seeding Factor]],"")</f>
        <v>43.333333333333329</v>
      </c>
      <c r="AL331">
        <f>_xlfn.FLOOR.MATH(IFERROR(AVERAGE(Crops[[#This Row],[DTG Lower]:[DTG Upper]]),0))</f>
        <v>0</v>
      </c>
      <c r="AM331">
        <f>SUM(Crops[[#This Row],[Tray 1 Days]],Crops[[#This Row],[Tray 2 Days]],Crops[[#This Row],[Tray 3 Days]])</f>
        <v>56</v>
      </c>
      <c r="AN331" s="32">
        <v>55</v>
      </c>
      <c r="AP331">
        <v>90</v>
      </c>
      <c r="AQ331">
        <f>IFERROR(_xlfn.FLOOR.MATH(AVERAGE(Crops[[#This Row],[DTM Lower]:[DTM Upper]])),"")</f>
        <v>90</v>
      </c>
      <c r="AR331" cm="1">
        <f t="array" ref="AR331">_xlfn.SWITCH(Crops[[#This Row],[Normal Method]],"DS",Crops[[#This Row],[Days to Germination]]+Crops[[#This Row],[DTM]] + IF(Crops[[#This Row],[Days in Cells]]&gt;0,15,0), "TP",Crops[[#This Row],[DTM]]+Crops[[#This Row],[Days in Cells]] + IF(Crops[[#This Row],[Days in Cells]]&lt;=0,20,0), "X", Crops[[#This Row],[DTM]])</f>
        <v>90</v>
      </c>
      <c r="AS331" t="s">
        <v>347</v>
      </c>
      <c r="AT331">
        <f>(Crops[[#This Row],[Harvests]]-1)*Crops[[#This Row],[Days Between Harvest]]+7</f>
        <v>112</v>
      </c>
      <c r="AU331">
        <f>Crops[[#This Row],[STH]]-Crops[[#This Row],[Days in Cells]]+Crops[[#This Row],[Harvest window]]</f>
        <v>146</v>
      </c>
      <c r="AX331">
        <v>72</v>
      </c>
      <c r="AY331">
        <v>21</v>
      </c>
      <c r="AZ331" s="49">
        <f>IFERROR(IF(Crops[[#This Row],[Tray 1 Days]]=0,"",Crops[[#This Row],[Plantings Per Bed]]/Crops[[#This Row],[Tray 1 Size]]*Crops[[#This Row],[Safety Factor]]),"")</f>
        <v>0.60185185185185175</v>
      </c>
      <c r="BA331">
        <v>18</v>
      </c>
      <c r="BB331">
        <v>21</v>
      </c>
      <c r="BC331">
        <f>IFERROR(IF(Crops[[#This Row],[Tray 2 Days]]=0,"",Crops[[#This Row],[Plantings Per Bed]]/Crops[[#This Row],[Tray 2 Size]]*Crops[[#This Row],[Safety Factor]]),"")</f>
        <v>2.407407407407407</v>
      </c>
      <c r="BD331">
        <v>9</v>
      </c>
      <c r="BE331" s="32">
        <v>14</v>
      </c>
      <c r="BF331" s="49">
        <f>IFERROR(IF(Crops[[#This Row],[Tray 3 Days]]=0,"",Crops[[#This Row],[Plantings Per Bed]]/Crops[[#This Row],[Tray 3 Size]]*Crops[[#This Row],[Safety Factor]]),"")</f>
        <v>4.814814814814814</v>
      </c>
      <c r="BG331" s="33">
        <f>500*BedLength/StandardBedLength*(Crops[[#This Row],[Harvests]]*Crops[[#This Row],[Days Between Harvest]])/42/Crops[[#This Row],[Harvests]]*0.5</f>
        <v>20.833333333333332</v>
      </c>
      <c r="BH331" s="33">
        <v>16</v>
      </c>
      <c r="BI331" s="33">
        <v>7</v>
      </c>
      <c r="BJ331" s="33">
        <f>_xlfn.XLOOKUP(Crops[[#This Row],[ProductIndex]],Products[ID],Products[Holding Period])</f>
        <v>4</v>
      </c>
      <c r="BK331" s="33"/>
      <c r="BL331" s="33">
        <f>Crops[[#This Row],[Units Per Harvest]]*Crops[[#This Row],[Harvests]]</f>
        <v>333.33333333333331</v>
      </c>
      <c r="BM331" s="35">
        <v>7</v>
      </c>
      <c r="BN331" s="35">
        <f t="shared" si="1"/>
        <v>4.4933333333333332</v>
      </c>
      <c r="BO331" s="35"/>
      <c r="BP331" t="s">
        <v>383</v>
      </c>
      <c r="BQ331">
        <f>Crops[[#This Row],[Custom Yield Per Bed]]*Crops[[#This Row],[Direct Price]]</f>
        <v>2333.333333333333</v>
      </c>
      <c r="BS331" t="b">
        <f>Crops[[#This Row],[Harvests]]&gt;1</f>
        <v>1</v>
      </c>
      <c r="BT331" s="36">
        <f>IFERROR(Crops[[#This Row],[Direct Revenue Per Bed]]/Crops[[#This Row],[Days In Field]],-1)</f>
        <v>15.981735159817349</v>
      </c>
      <c r="BU331" s="36">
        <f>IFERROR(Crops[[#This Row],[Direct Revenue Per Bed Day]]*GrowingDays*BedsPerAcre,"")</f>
        <v>460273.9726027397</v>
      </c>
      <c r="BV331" s="38">
        <f>LastFrostDate-5*Crops[[#This Row],[Sewing Rel Last Frost]]</f>
        <v>45723</v>
      </c>
      <c r="BW331" s="38">
        <f>Crops[[#This Row],[Target Sewing Date]]+Crops[[#This Row],[Days in Cells]]</f>
        <v>45779</v>
      </c>
      <c r="BX331" s="38">
        <f>Crops[[#This Row],[Target Sewing Date]]+Crops[[#This Row],[STH]]</f>
        <v>45813</v>
      </c>
      <c r="BY331" s="38">
        <f>Crops[[#This Row],[Target Harvest Data]]+Crops[[#This Row],[Harvest window]]</f>
        <v>45925</v>
      </c>
      <c r="BZ331">
        <v>5</v>
      </c>
      <c r="CA331" t="s">
        <v>373</v>
      </c>
      <c r="CB331">
        <f>1</f>
        <v>1</v>
      </c>
      <c r="CC331">
        <f>IF(Crops[[#This Row],[Transplanting]]&gt;0, 2, 3)*BedLength/StandardBedLength</f>
        <v>1</v>
      </c>
      <c r="CD331" s="173">
        <f>IF(Crops[[#This Row],[Days in Cells]]&lt;=0,0,Crops[[#This Row],[Plantings Per Bed]]/StartsPerHourSeeding+Crops[[#This Row],[Tray 1 Count]]*5/60)</f>
        <v>0.18036265432098764</v>
      </c>
      <c r="CE331" s="173">
        <f>IF(ISBLANK(Crops[[#This Row],[Tray 2 Days]]),0,Crops[[#This Row],[Plantings Per Bed]]/UpPottingPerHour)+IF(Crops[[#This Row],[Tray 3 Days]]="",0,Crops[[#This Row],[Plantings Per Bed]]/UpPottingPerHour)</f>
        <v>0.55555555555555547</v>
      </c>
      <c r="CF331" s="173">
        <f>IFERROR(Crops[[#This Row],[Tray 1 Count]]/HomeStartFlatIrrigationPerHour,0)*Crops[[#This Row],[Days in Cells]]/DaysBetweenStartIrrigation</f>
        <v>0.14043209876543206</v>
      </c>
      <c r="CG331" s="173">
        <f>0.5/16*MAX(Crops[[#This Row],[Tray 1 Count]],Crops[[#This Row],[Tray 2 Count]],Crops[[#This Row],[Tray 3 Count]])</f>
        <v>0.15046296296296294</v>
      </c>
      <c r="CH331" s="173">
        <f>IF(Crops[[#This Row],[Days in Cells]]&gt;0,IF(IF(Crops[[#This Row],[Tray 3 Size]]&gt;0,Crops[[#This Row],[Tray 3 Size]],IF(Crops[[#This Row],[Tray 2 Size]]&gt;0,Crops[[#This Row],[Tray 2 Size]],Crops[[#This Row],[Tray 1 Size]]))&lt;=18,LargeTransplantTime,SmallTransplantTime)*Crops[[#This Row],[Plantings Per Bed]],0)</f>
        <v>1.3888888888888886</v>
      </c>
      <c r="CI331" s="173"/>
      <c r="CJ331" s="173">
        <f>_xlfn.XLOOKUP(Crops[[#This Row],[Trellis Type]],TrellisMethods[Trellis Type],TrellisMethods[Hours],0,0)</f>
        <v>0</v>
      </c>
      <c r="CK331">
        <f>IF(Crops[[#This Row],[Days in Cells]]&lt;=0,Crops[[#This Row],[Rows]]*1/10,0)*BedLength/50</f>
        <v>0</v>
      </c>
      <c r="CL331" cm="1">
        <f t="array" ref="CL331">_xlfn.SWITCH(Crops[[#This Row],[Irrigation]],"DR", 0.5, "OH", 0.25,0)*BedLength/50</f>
        <v>0.5</v>
      </c>
      <c r="CM331">
        <f>IF(OR(ISBLANK(Crops[[#This Row],[Row Cover]]),Crops[[#This Row],[Row Cover]]="None"),0,1)*BedLength/50</f>
        <v>1</v>
      </c>
      <c r="CN331" s="173">
        <f>HoursPerWeedingPass*Crops[[#This Row],[Days In Field]]/14*Crops[[#This Row],[Rows]]+1*BedLength/50</f>
        <v>2.7380952380952381</v>
      </c>
      <c r="CO331" s="49">
        <f>1*Crops[[#This Row],[Days In Field]]/7*BedLength/50</f>
        <v>20.857142857142858</v>
      </c>
      <c r="CQ331" s="37">
        <f>_xlfn.XLOOKUP(Crops[[#This Row],[Crop]]&amp;Crops[[#This Row],[Product]]&amp;Crops[[#This Row],[Unit]],Products[ID],Products[Marketing (hr)])*Crops[[#This Row],[Direct Revenue Per Bed]]/2000</f>
        <v>1.1666666666666665</v>
      </c>
      <c r="CR331" s="37">
        <f>_xlfn.XLOOKUP(Crops[[#This Row],[Crop]]&amp;Crops[[#This Row],[Product]]&amp;Crops[[#This Row],[Unit]],Products[ID],Products[Harvest (s)])*Crops[[#This Row],[Custom Yield Per Bed]]/3600</f>
        <v>18.518518518518515</v>
      </c>
      <c r="CS331" s="37">
        <f>_xlfn.XLOOKUP(Crops[[#This Row],[Crop]]&amp;Crops[[#This Row],[Product]]&amp;Crops[[#This Row],[Unit]],Products[ID],Products[Bunch (s)])*Crops[[#This Row],[Custom Yield Per Bed]]/3600</f>
        <v>0</v>
      </c>
      <c r="CT331" s="37">
        <f>_xlfn.XLOOKUP(Crops[[#This Row],[Crop]]&amp;Crops[[#This Row],[Product]]&amp;Crops[[#This Row],[Unit]],Products[ID],Products[Haul (s)])*Crops[[#This Row],[Custom Yield Per Bed]]/3600</f>
        <v>0.20833333333333334</v>
      </c>
      <c r="CU331" s="37">
        <f>_xlfn.XLOOKUP(Crops[[#This Row],[Crop]]&amp;Crops[[#This Row],[Product]]&amp;Crops[[#This Row],[Unit]],Products[ID],Products[Wash (s)])*Crops[[#This Row],[Custom Yield Per Bed]]/3600</f>
        <v>0</v>
      </c>
      <c r="CV331" s="37">
        <f>_xlfn.XLOOKUP(Crops[[#This Row],[Crop]]&amp;Crops[[#This Row],[Product]]&amp;Crops[[#This Row],[Unit]],Products[ID],Products[Condition (s)])*Crops[[#This Row],[Custom Yield Per Bed]]/3600</f>
        <v>0</v>
      </c>
      <c r="CW331" s="37">
        <f>_xlfn.XLOOKUP(Crops[[#This Row],[Crop]]&amp;Crops[[#This Row],[Product]]&amp;Crops[[#This Row],[Unit]],Products[ID],Products[Trim (s)])*Crops[[#This Row],[Custom Yield Per Bed]]/3600</f>
        <v>0</v>
      </c>
      <c r="CX331" s="37">
        <f>_xlfn.XLOOKUP(Crops[[#This Row],[Crop]]&amp;Crops[[#This Row],[Product]]&amp;Crops[[#This Row],[Unit]],Products[ID],Products[Pack (s)])*Crops[[#This Row],[Custom Yield Per Bed]]/3600</f>
        <v>0.27777777777777779</v>
      </c>
      <c r="CY331" s="37">
        <f>_xlfn.XLOOKUP(Crops[[#This Row],[Crop]]&amp;Crops[[#This Row],[Product]]&amp;Crops[[#This Row],[Unit]],Products[ID],Products[Clean (s)])*Crops[[#This Row],[Custom Yield Per Bed]]/3600</f>
        <v>0</v>
      </c>
      <c r="CZ331" s="37">
        <f>_xlfn.XLOOKUP(Crops[[#This Row],[Crop]]&amp;Crops[[#This Row],[Product]]&amp;Crops[[#This Row],[Unit]],Products[ID],Products[Rehandle (s)])*Crops[[#This Row],[Custom Yield Per Bed]]/3600</f>
        <v>0</v>
      </c>
      <c r="DA331" s="37">
        <f>_xlfn.XLOOKUP(Crops[[#This Row],[Crop]]&amp;Crops[[#This Row],[Product]]&amp;Crops[[#This Row],[Unit]],Products[ID],Products[Market Transport (s)])*Crops[[#This Row],[Custom Yield Per Bed]]/3600</f>
        <v>0.52083333333333337</v>
      </c>
      <c r="DC331" s="37">
        <f>Crops[[#This Row],[Direct Revenue Per Bed2]]</f>
        <v>2333.333333333333</v>
      </c>
      <c r="DD331" s="173">
        <f>_xlfn.AGGREGATE(9,6,Crops[[#This Row],[Bed Prep]:[Remove Crop Residue]])</f>
        <v>49.203069885361558</v>
      </c>
      <c r="DE331" s="173">
        <f>_xlfn.AGGREGATE(9,6,Crops[[#This Row],[Bed Prep]:[Remove Crop Residue]])-0.75*Crops[[#This Row],[Market &amp; Sell]]</f>
        <v>48.328069885361558</v>
      </c>
      <c r="DF331" s="36">
        <f>Crops[[#This Row],[Direct Revenue Per Bed2]]/Crops[[#This Row],[Direct Time]]</f>
        <v>47.422515277395824</v>
      </c>
      <c r="DG331" s="36">
        <f>_xlfn.XLOOKUP(Crops[[#This Row],[ProductIndex]],Products[ID],Products[Packaging Cost])*(Crops[[#This Row],[Custom Yield Per Bed]]/_xlfn.XLOOKUP(Crops[[#This Row],[ProductIndex]],Products[ID],Products[Units Per Pack]))</f>
        <v>144</v>
      </c>
      <c r="DH331" s="36"/>
      <c r="DI331" s="36"/>
      <c r="DJ331" s="36"/>
      <c r="DK331" s="36"/>
      <c r="DL331" s="36"/>
      <c r="DM331" s="33">
        <f>IFERROR(Crops[[#This Row],[Custom Yield Per Bed]]*Crops[[#This Row],[Direct Price]],"")</f>
        <v>2333.333333333333</v>
      </c>
      <c r="DN331" s="36">
        <f>Crops[[#This Row],[Direct Time]]*LaborRate</f>
        <v>1230.0767471340389</v>
      </c>
      <c r="DO331" s="36">
        <f>SUM(Crops[[#This Row],[Irrigation Cost]])</f>
        <v>0</v>
      </c>
      <c r="DP331" s="36">
        <f>Crops[[#This Row],[Direct Labor Cost]]+Crops[[#This Row],[Direct Non-Labor Cost]]</f>
        <v>1230.0767471340389</v>
      </c>
      <c r="DQ331" s="36">
        <f>Crops[[#This Row],[Direct Revenue Per Bed2]]-Crops[[#This Row],[Direct Total Cost]]</f>
        <v>1103.2565861992941</v>
      </c>
      <c r="DR331" s="36">
        <f>Crops[[#This Row],[Direct Profit]]*BedsPerAcre</f>
        <v>176521.05379188707</v>
      </c>
      <c r="DS331" s="36">
        <f>Crops[[#This Row],[Direct Profit]]*BedsPerAcre*GrowingDays/Crops[[#This Row],[Days In Field]]</f>
        <v>217628.69645575117</v>
      </c>
      <c r="DT331" s="36">
        <f>Crops[[#This Row],[Direct Profit]]/MIN(Crops[[#This Row],[Days In Field]],GrowingDays)</f>
        <v>7.5565519602691378</v>
      </c>
      <c r="DU331" s="33">
        <f>Crops[[#This Row],[Direct Time]] * BedsPerAcre</f>
        <v>7872.4911816578497</v>
      </c>
      <c r="DV331" s="36">
        <f>(Crops[[#This Row],[Direct Revenue Per Bed2]]-Crops[[#This Row],[Direct Non-Labor Cost]])/Crops[[#This Row],[Direct Time]]</f>
        <v>47.422515277395824</v>
      </c>
      <c r="DW331" s="33">
        <f>IFERROR(Crops[[#This Row],[Custom Yield Per Bed]]*Crops[[#This Row],[Rough Wholesale Price]],"")</f>
        <v>1497.7777777777776</v>
      </c>
      <c r="DX331" s="36">
        <f>Crops[[#This Row],[Wholesale Time]]*LaborRate</f>
        <v>1208.2017471340389</v>
      </c>
      <c r="DY331" s="36">
        <f>SUM(Crops[[#This Row],[Packaging Costs]:[Irrigation Cost]])</f>
        <v>144</v>
      </c>
      <c r="DZ331" s="36">
        <f>Crops[[#This Row],[Wholesale Labor Cost]]+Crops[[#This Row],[Wholesale Non-Labor Cost]]</f>
        <v>1352.2017471340389</v>
      </c>
      <c r="EA331" s="36">
        <f>Crops[[#This Row],[Wholesale Revenue Per Bed]]-Crops[[#This Row],[Wholesale Total Cost]]</f>
        <v>145.5760306437387</v>
      </c>
      <c r="EB331" s="36">
        <f>Crops[[#This Row],[Wholesale Profit]]*BedsPerAcre</f>
        <v>23292.164902998193</v>
      </c>
      <c r="EC331" s="36">
        <f>Crops[[#This Row],[Wholesale Profit]]*BedsPerAcre*GrowingDays/Crops[[#This Row],[Days In Field]]</f>
        <v>28716.367688627906</v>
      </c>
      <c r="ED331" s="33">
        <f>Crops[[#This Row],[Wholesale Time]] * BedsPerAcre</f>
        <v>7732.4911816578497</v>
      </c>
      <c r="EE331" s="221">
        <f>Crops[[#This Row],[Wholesale Profit]]/MIN(Crops[[#This Row],[Days In Field]],GrowingDays)</f>
        <v>0.99709610029958018</v>
      </c>
      <c r="EF331" s="36">
        <f>(Crops[[#This Row],[Wholesale Revenue Per Bed]]-Crops[[#This Row],[Wholesale Non-Labor Cost]])/Crops[[#This Row],[Direct Time]]</f>
        <v>27.514091720942417</v>
      </c>
      <c r="EG331" s="174">
        <f>Crops[[#This Row],[Packaging Costs]]/Crops[[#This Row],[Wholesale Revenue Per Bed]]</f>
        <v>9.6142433234421371E-2</v>
      </c>
      <c r="EH331" s="36" t="str">
        <f>Crops[[#This Row],[Crop]]&amp;Crops[[#This Row],[Product]]&amp;Crops[[#This Row],[Unit]]</f>
        <v>TomatoRipe Fruit SmallLb</v>
      </c>
      <c r="EI331" s="36" t="b">
        <f>_xlfn.XLOOKUP(Crops[[#This Row],[ProductIndex]],Products[ID],Products[Target])</f>
        <v>1</v>
      </c>
      <c r="EJ331" s="33">
        <f>Crops[[#This Row],[Custom Yield Per Bed]]</f>
        <v>333.33333333333331</v>
      </c>
      <c r="EK331" s="210">
        <f>Crops[[#This Row],[Units Per Harvest]]/Crops[[#This Row],[Days Between Harvest]]*7</f>
        <v>20.833333333333332</v>
      </c>
      <c r="EL331" s="210">
        <f>Crops[[#This Row],[Custom Yield Per Bed]]/_xlfn.XLOOKUP(Crops[[#This Row],[ProductIndex]],Products[ID],Products[CSA Portion])</f>
        <v>444.4444444444444</v>
      </c>
      <c r="EM331" s="210">
        <f>Crops[[#This Row],[Units Per Harvest]]/Crops[[#This Row],[Days Between Harvest]]*7/_xlfn.XLOOKUP(Crops[[#This Row],[ProductIndex]],Products[ID],Products[CSA Portion])</f>
        <v>27.777777777777775</v>
      </c>
      <c r="EN331" s="210">
        <f>Crops[[#This Row],[CSA Portions Per Week]]/CSAMembers</f>
        <v>0.55555555555555547</v>
      </c>
      <c r="EO331" s="216">
        <v>2</v>
      </c>
      <c r="EP331" s="216">
        <v>1</v>
      </c>
      <c r="EQ331" s="210"/>
      <c r="ER331" s="210">
        <f>Crops[[#This Row],[Harvests]]*Crops[[#This Row],[Days Between Harvest]]/7</f>
        <v>16</v>
      </c>
      <c r="ES331" s="217">
        <f>_xlfn.XLOOKUP(Crops[[#This Row],[ProductIndex]],Products[ID],Products[CSA Need])</f>
        <v>1.5</v>
      </c>
      <c r="ET331" s="217">
        <f>_xlfn.XLOOKUP(Crops[[#This Row],[ProductIndex]],Products[ID],Products[CSA Times])</f>
        <v>2</v>
      </c>
      <c r="EU331" s="208">
        <f>Crops[[#This Row],[Custom Yield Per Bed]]/(Crops[[#This Row],[CSA Need]]*(_xlfn.XLOOKUP(Crops[[#This Row],[ProductIndex]],Products[ID],Products[CSA Portion])*CSAMembers))</f>
        <v>5.9259259259259256</v>
      </c>
      <c r="EV331" s="208">
        <f>_xlfn.XLOOKUP(Crops[[#This Row],[ProductIndex]],Products[ID],Products[CSA Portion])*CSAMembers*Crops[[#This Row],[CSA Need]]/Crops[[#This Row],[Custom Yield Per Bed]]</f>
        <v>0.16875000000000001</v>
      </c>
      <c r="EW331" s="208">
        <f>IFERROR(Crops[[#This Row],[Days In Field]]*Crops[[#This Row],[CSA Beds]],"")</f>
        <v>24.637500000000003</v>
      </c>
      <c r="EX331" s="208" t="e">
        <f>Crops[[#This Row],[CSA Bed Days]]*#REF!</f>
        <v>#REF!</v>
      </c>
      <c r="EY331" t="s">
        <v>425</v>
      </c>
    </row>
    <row r="332" spans="1:155">
      <c r="A332"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(Medium Det) - Ripe Fruit Medium 1X | Field TP Su</v>
      </c>
      <c r="B332" s="190"/>
      <c r="C332" s="1" t="b">
        <v>1</v>
      </c>
      <c r="D332" s="1"/>
      <c r="E332" s="1" t="b">
        <v>0</v>
      </c>
      <c r="F332" s="1" t="b">
        <f>IFERROR(IF(ISNUMBER(MATCH(Crops[[#This Row],[Identifier]],BedPlan[Crop], 0)), TRUE, FALSE), FALSE)</f>
        <v>1</v>
      </c>
      <c r="G332" s="1" t="b">
        <f>IFERROR(IF(ISNUMBER(MATCH(Crops[[#This Row],[Identifier]],BedPlan[Crop], 0)), TRUE, FALSE), FALSE)</f>
        <v>1</v>
      </c>
      <c r="H332" s="1"/>
      <c r="I332" t="s">
        <v>136</v>
      </c>
      <c r="J332" t="s">
        <v>3047</v>
      </c>
      <c r="K332" t="s">
        <v>2407</v>
      </c>
      <c r="M332" t="s">
        <v>136</v>
      </c>
      <c r="N332" t="str">
        <f>Crops[[#This Row],[Crop]]</f>
        <v>Tomato</v>
      </c>
      <c r="O332" t="s">
        <v>210</v>
      </c>
      <c r="P332" t="str">
        <f>IF(OR(Crops[[#This Row],[Days in Cells]]="",Crops[[#This Row],[Days in Cells]]=0), "DS","TP")</f>
        <v>TP</v>
      </c>
      <c r="R332" t="s">
        <v>144</v>
      </c>
      <c r="V332" t="str">
        <f xml:space="preserve"> IF(Crops[[#This Row],[Sp]], "Sp", "") &amp; IF(Crops[[#This Row],[Su]], "Su", "") &amp; IF(Crops[[#This Row],[Fa]], "Fa", "") &amp; IF(Crops[[#This Row],[Wi]], "Wi", "") &amp; IF(Crops[[#This Row],[OW]], "Ow","")</f>
        <v>Su</v>
      </c>
      <c r="W332" t="s">
        <v>144</v>
      </c>
      <c r="X332">
        <v>1</v>
      </c>
      <c r="Y332">
        <v>24</v>
      </c>
      <c r="Z332" t="s">
        <v>432</v>
      </c>
      <c r="AA332" t="s">
        <v>476</v>
      </c>
      <c r="AB332" t="b">
        <v>0</v>
      </c>
      <c r="AC332">
        <v>5</v>
      </c>
      <c r="AD332" s="32">
        <f>IFERROR(12/Crops[[#This Row],[Spacing]]*Crops[[#This Row],[Rows]]*BedLength,"")</f>
        <v>25</v>
      </c>
      <c r="AE332">
        <v>1</v>
      </c>
      <c r="AG332">
        <f>IF(Crops[[#This Row],[Custom Safety Factor]]="",PlantingSafetyFactor,Crops[[#This Row],[Custom Safety Factor]])</f>
        <v>1.3</v>
      </c>
      <c r="AH332">
        <f>1</f>
        <v>1</v>
      </c>
      <c r="AI332" s="33">
        <f>IFERROR(Crops[[#This Row],[Plantings Per Bed]]*Crops[[#This Row],[Seeds Per Planting]]*Crops[[#This Row],[Safety Factor]]*Crops[[#This Row],[Seeding Factor]],"")</f>
        <v>32.5</v>
      </c>
      <c r="AL332">
        <f>_xlfn.FLOOR.MATH(IFERROR(AVERAGE(Crops[[#This Row],[DTG Lower]:[DTG Upper]]),0))</f>
        <v>0</v>
      </c>
      <c r="AM332">
        <f>SUM(Crops[[#This Row],[Tray 1 Days]],Crops[[#This Row],[Tray 2 Days]],Crops[[#This Row],[Tray 3 Days]])</f>
        <v>56</v>
      </c>
      <c r="AN332" s="32">
        <v>55</v>
      </c>
      <c r="AP332">
        <v>90</v>
      </c>
      <c r="AQ332">
        <f>IFERROR(_xlfn.FLOOR.MATH(AVERAGE(Crops[[#This Row],[DTM Lower]:[DTM Upper]])),"")</f>
        <v>90</v>
      </c>
      <c r="AR332" cm="1">
        <f t="array" ref="AR332">_xlfn.SWITCH(Crops[[#This Row],[Normal Method]],"DS",Crops[[#This Row],[Days to Germination]]+Crops[[#This Row],[DTM]] + IF(Crops[[#This Row],[Days in Cells]]&gt;0,15,0), "TP",Crops[[#This Row],[DTM]]+Crops[[#This Row],[Days in Cells]] + IF(Crops[[#This Row],[Days in Cells]]&lt;=0,20,0), "X", Crops[[#This Row],[DTM]])</f>
        <v>146</v>
      </c>
      <c r="AS332" t="s">
        <v>346</v>
      </c>
      <c r="AT332">
        <f>(Crops[[#This Row],[Harvests]]-1)*Crops[[#This Row],[Days Between Harvest]]+7</f>
        <v>63</v>
      </c>
      <c r="AU332">
        <f>Crops[[#This Row],[STH]]-Crops[[#This Row],[Days in Cells]]+Crops[[#This Row],[Harvest window]]</f>
        <v>153</v>
      </c>
      <c r="AX332">
        <v>72</v>
      </c>
      <c r="AY332">
        <v>21</v>
      </c>
      <c r="AZ332" s="49">
        <f>IFERROR(IF(Crops[[#This Row],[Tray 1 Days]]=0,"",Crops[[#This Row],[Plantings Per Bed]]/Crops[[#This Row],[Tray 1 Size]]*Crops[[#This Row],[Safety Factor]]),"")</f>
        <v>0.4513888888888889</v>
      </c>
      <c r="BA332">
        <v>18</v>
      </c>
      <c r="BB332">
        <v>21</v>
      </c>
      <c r="BC332">
        <f>IFERROR(IF(Crops[[#This Row],[Tray 2 Days]]=0,"",Crops[[#This Row],[Plantings Per Bed]]/Crops[[#This Row],[Tray 2 Size]]*Crops[[#This Row],[Safety Factor]]),"")</f>
        <v>1.8055555555555556</v>
      </c>
      <c r="BD332">
        <v>9</v>
      </c>
      <c r="BE332" s="32">
        <v>14</v>
      </c>
      <c r="BF332" s="49">
        <f>IFERROR(IF(Crops[[#This Row],[Tray 3 Days]]=0,"",Crops[[#This Row],[Plantings Per Bed]]/Crops[[#This Row],[Tray 3 Size]]*Crops[[#This Row],[Safety Factor]]),"")</f>
        <v>3.6111111111111112</v>
      </c>
      <c r="BG332" s="33">
        <f>500*BedLength/StandardBedLength*(Crops[[#This Row],[Harvests]]*Crops[[#This Row],[Days Between Harvest]])/42/Crops[[#This Row],[Harvests]]*0.8</f>
        <v>33.333333333333336</v>
      </c>
      <c r="BH332" s="33">
        <v>9</v>
      </c>
      <c r="BI332" s="33">
        <v>7</v>
      </c>
      <c r="BJ332" s="33">
        <f>_xlfn.XLOOKUP(Crops[[#This Row],[ProductIndex]],Products[ID],Products[Holding Period])</f>
        <v>7</v>
      </c>
      <c r="BK332" s="33"/>
      <c r="BL332" s="33">
        <f>Crops[[#This Row],[Units Per Harvest]]*Crops[[#This Row],[Harvests]]</f>
        <v>300</v>
      </c>
      <c r="BM332" s="35">
        <v>7</v>
      </c>
      <c r="BN332" s="35">
        <f t="shared" si="1"/>
        <v>4.4933333333333332</v>
      </c>
      <c r="BO332" s="35"/>
      <c r="BP332" t="s">
        <v>383</v>
      </c>
      <c r="BQ332">
        <f>Crops[[#This Row],[Custom Yield Per Bed]]*Crops[[#This Row],[Direct Price]]</f>
        <v>2100</v>
      </c>
      <c r="BS332" t="b">
        <f>Crops[[#This Row],[Harvests]]&gt;1</f>
        <v>1</v>
      </c>
      <c r="BT332" s="36">
        <f>IFERROR(Crops[[#This Row],[Direct Revenue Per Bed]]/Crops[[#This Row],[Days In Field]],-1)</f>
        <v>13.725490196078431</v>
      </c>
      <c r="BU332" s="36">
        <f>IFERROR(Crops[[#This Row],[Direct Revenue Per Bed Day]]*GrowingDays*BedsPerAcre,"")</f>
        <v>395294.1176470588</v>
      </c>
      <c r="BV332" s="38">
        <f>LastFrostDate-5*Crops[[#This Row],[Sewing Rel Last Frost]]</f>
        <v>45733</v>
      </c>
      <c r="BW332" s="38">
        <f>Crops[[#This Row],[Target Sewing Date]]+Crops[[#This Row],[Days in Cells]]</f>
        <v>45789</v>
      </c>
      <c r="BX332" s="38">
        <f>Crops[[#This Row],[Target Sewing Date]]+Crops[[#This Row],[STH]]</f>
        <v>45879</v>
      </c>
      <c r="BY332" s="38">
        <f>Crops[[#This Row],[Target Harvest Data]]+Crops[[#This Row],[Harvest window]]</f>
        <v>45942</v>
      </c>
      <c r="BZ332">
        <v>3</v>
      </c>
      <c r="CA332" t="s">
        <v>373</v>
      </c>
      <c r="CB332">
        <f>1</f>
        <v>1</v>
      </c>
      <c r="CC332">
        <f>IF(Crops[[#This Row],[Transplanting]]&gt;0, 2, 3)*BedLength/StandardBedLength</f>
        <v>1</v>
      </c>
      <c r="CD332" s="173">
        <f>IF(Crops[[#This Row],[Days in Cells]]&lt;=0,0,Crops[[#This Row],[Plantings Per Bed]]/StartsPerHourSeeding+Crops[[#This Row],[Tray 1 Count]]*5/60)</f>
        <v>0.13527199074074076</v>
      </c>
      <c r="CE332" s="173">
        <f>IF(ISBLANK(Crops[[#This Row],[Tray 2 Days]]),0,Crops[[#This Row],[Plantings Per Bed]]/UpPottingPerHour)+IF(Crops[[#This Row],[Tray 3 Days]]="",0,Crops[[#This Row],[Plantings Per Bed]]/UpPottingPerHour)</f>
        <v>0.41666666666666669</v>
      </c>
      <c r="CF332" s="173">
        <f>IFERROR(Crops[[#This Row],[Tray 1 Count]]/HomeStartFlatIrrigationPerHour,0)*Crops[[#This Row],[Days in Cells]]/DaysBetweenStartIrrigation</f>
        <v>0.10532407407407408</v>
      </c>
      <c r="CG332" s="173">
        <f>0.5/16*MAX(Crops[[#This Row],[Tray 1 Count]],Crops[[#This Row],[Tray 2 Count]],Crops[[#This Row],[Tray 3 Count]])</f>
        <v>0.11284722222222222</v>
      </c>
      <c r="CH332" s="173">
        <f>IF(Crops[[#This Row],[Days in Cells]]&gt;0,IF(IF(Crops[[#This Row],[Tray 3 Size]]&gt;0,Crops[[#This Row],[Tray 3 Size]],IF(Crops[[#This Row],[Tray 2 Size]]&gt;0,Crops[[#This Row],[Tray 2 Size]],Crops[[#This Row],[Tray 1 Size]]))&lt;=18,LargeTransplantTime,SmallTransplantTime)*Crops[[#This Row],[Plantings Per Bed]],0)</f>
        <v>1.0416666666666665</v>
      </c>
      <c r="CI332" s="173"/>
      <c r="CJ332" s="173">
        <f>_xlfn.XLOOKUP(Crops[[#This Row],[Trellis Type]],TrellisMethods[Trellis Type],TrellisMethods[Hours],0,0)</f>
        <v>0</v>
      </c>
      <c r="CK332">
        <f>IF(Crops[[#This Row],[Days in Cells]]&lt;=0,Crops[[#This Row],[Rows]]*1/10,0)*BedLength/50</f>
        <v>0</v>
      </c>
      <c r="CL332" cm="1">
        <f t="array" ref="CL332">_xlfn.SWITCH(Crops[[#This Row],[Irrigation]],"DR", 0.5, "OH", 0.25,0)*BedLength/50</f>
        <v>0.5</v>
      </c>
      <c r="CM332">
        <f>IF(OR(ISBLANK(Crops[[#This Row],[Row Cover]]),Crops[[#This Row],[Row Cover]]="None"),0,1)*BedLength/50</f>
        <v>1</v>
      </c>
      <c r="CN332" s="173">
        <f>HoursPerWeedingPass*Crops[[#This Row],[Days In Field]]/14*Crops[[#This Row],[Rows]]+1*BedLength/50</f>
        <v>2.8214285714285712</v>
      </c>
      <c r="CO332" s="49">
        <f>1*Crops[[#This Row],[Days In Field]]/7</f>
        <v>21.857142857142858</v>
      </c>
      <c r="CQ332" s="37">
        <f>_xlfn.XLOOKUP(Crops[[#This Row],[Crop]]&amp;Crops[[#This Row],[Product]]&amp;Crops[[#This Row],[Unit]],Products[ID],Products[Marketing (hr)])*Crops[[#This Row],[Direct Revenue Per Bed]]/2000</f>
        <v>1.05</v>
      </c>
      <c r="CR332" s="37">
        <f>_xlfn.XLOOKUP(Crops[[#This Row],[Crop]]&amp;Crops[[#This Row],[Product]]&amp;Crops[[#This Row],[Unit]],Products[ID],Products[Harvest (s)])*Crops[[#This Row],[Custom Yield Per Bed]]/3600</f>
        <v>8.3333333333333339</v>
      </c>
      <c r="CS332" s="37">
        <f>_xlfn.XLOOKUP(Crops[[#This Row],[Crop]]&amp;Crops[[#This Row],[Product]]&amp;Crops[[#This Row],[Unit]],Products[ID],Products[Bunch (s)])*Crops[[#This Row],[Custom Yield Per Bed]]/3600</f>
        <v>0</v>
      </c>
      <c r="CT332" s="37">
        <f>_xlfn.XLOOKUP(Crops[[#This Row],[Crop]]&amp;Crops[[#This Row],[Product]]&amp;Crops[[#This Row],[Unit]],Products[ID],Products[Haul (s)])*Crops[[#This Row],[Custom Yield Per Bed]]/3600</f>
        <v>0.1875</v>
      </c>
      <c r="CU332" s="37">
        <f>_xlfn.XLOOKUP(Crops[[#This Row],[Crop]]&amp;Crops[[#This Row],[Product]]&amp;Crops[[#This Row],[Unit]],Products[ID],Products[Wash (s)])*Crops[[#This Row],[Custom Yield Per Bed]]/3600</f>
        <v>0</v>
      </c>
      <c r="CV332" s="37">
        <f>_xlfn.XLOOKUP(Crops[[#This Row],[Crop]]&amp;Crops[[#This Row],[Product]]&amp;Crops[[#This Row],[Unit]],Products[ID],Products[Condition (s)])*Crops[[#This Row],[Custom Yield Per Bed]]/3600</f>
        <v>0</v>
      </c>
      <c r="CW332" s="37">
        <f>_xlfn.XLOOKUP(Crops[[#This Row],[Crop]]&amp;Crops[[#This Row],[Product]]&amp;Crops[[#This Row],[Unit]],Products[ID],Products[Trim (s)])*Crops[[#This Row],[Custom Yield Per Bed]]/3600</f>
        <v>0</v>
      </c>
      <c r="CX332" s="37">
        <f>_xlfn.XLOOKUP(Crops[[#This Row],[Crop]]&amp;Crops[[#This Row],[Product]]&amp;Crops[[#This Row],[Unit]],Products[ID],Products[Pack (s)])*Crops[[#This Row],[Custom Yield Per Bed]]/3600</f>
        <v>0.25</v>
      </c>
      <c r="CY332" s="37">
        <f>_xlfn.XLOOKUP(Crops[[#This Row],[Crop]]&amp;Crops[[#This Row],[Product]]&amp;Crops[[#This Row],[Unit]],Products[ID],Products[Clean (s)])*Crops[[#This Row],[Custom Yield Per Bed]]/3600</f>
        <v>0</v>
      </c>
      <c r="CZ332" s="37">
        <f>_xlfn.XLOOKUP(Crops[[#This Row],[Crop]]&amp;Crops[[#This Row],[Product]]&amp;Crops[[#This Row],[Unit]],Products[ID],Products[Rehandle (s)])*Crops[[#This Row],[Custom Yield Per Bed]]/3600</f>
        <v>0</v>
      </c>
      <c r="DA332" s="37">
        <f>_xlfn.XLOOKUP(Crops[[#This Row],[Crop]]&amp;Crops[[#This Row],[Product]]&amp;Crops[[#This Row],[Unit]],Products[ID],Products[Market Transport (s)])*Crops[[#This Row],[Custom Yield Per Bed]]/3600</f>
        <v>0.46875</v>
      </c>
      <c r="DC332" s="37">
        <f>Crops[[#This Row],[Direct Revenue Per Bed2]]</f>
        <v>2100</v>
      </c>
      <c r="DD332" s="173">
        <f>_xlfn.AGGREGATE(9,6,Crops[[#This Row],[Bed Prep]:[Remove Crop Residue]])</f>
        <v>39.27993138227513</v>
      </c>
      <c r="DE332" s="173">
        <f>_xlfn.AGGREGATE(9,6,Crops[[#This Row],[Bed Prep]:[Remove Crop Residue]])-0.75*Crops[[#This Row],[Market &amp; Sell]]</f>
        <v>38.492431382275129</v>
      </c>
      <c r="DF332" s="36">
        <f>Crops[[#This Row],[Direct Revenue Per Bed2]]/Crops[[#This Row],[Direct Time]]</f>
        <v>53.462415185063549</v>
      </c>
      <c r="DG332" s="36">
        <f>_xlfn.XLOOKUP(Crops[[#This Row],[ProductIndex]],Products[ID],Products[Packaging Cost])*(Crops[[#This Row],[Custom Yield Per Bed]]/_xlfn.XLOOKUP(Crops[[#This Row],[ProductIndex]],Products[ID],Products[Units Per Pack]))</f>
        <v>129.60000000000002</v>
      </c>
      <c r="DH332" s="36"/>
      <c r="DI332" s="36"/>
      <c r="DJ332" s="36"/>
      <c r="DK332" s="36"/>
      <c r="DL332" s="36"/>
      <c r="DM332" s="33">
        <f>IFERROR(Crops[[#This Row],[Custom Yield Per Bed]]*Crops[[#This Row],[Direct Price]],"")</f>
        <v>2100</v>
      </c>
      <c r="DN332" s="36">
        <f>Crops[[#This Row],[Direct Time]]*LaborRate</f>
        <v>981.99828455687827</v>
      </c>
      <c r="DO332" s="36">
        <f>SUM(Crops[[#This Row],[Irrigation Cost]])</f>
        <v>0</v>
      </c>
      <c r="DP332" s="36">
        <f>Crops[[#This Row],[Direct Labor Cost]]+Crops[[#This Row],[Direct Non-Labor Cost]]</f>
        <v>981.99828455687827</v>
      </c>
      <c r="DQ332" s="36">
        <f>Crops[[#This Row],[Direct Revenue Per Bed2]]-Crops[[#This Row],[Direct Total Cost]]</f>
        <v>1118.0017154431216</v>
      </c>
      <c r="DR332" s="36">
        <f>Crops[[#This Row],[Direct Profit]]*BedsPerAcre</f>
        <v>178880.27447089946</v>
      </c>
      <c r="DS332" s="36">
        <f>Crops[[#This Row],[Direct Profit]]*BedsPerAcre*GrowingDays/Crops[[#This Row],[Days In Field]]</f>
        <v>210447.38173046996</v>
      </c>
      <c r="DT332" s="36">
        <f>Crops[[#This Row],[Direct Profit]]/MIN(Crops[[#This Row],[Days In Field]],GrowingDays)</f>
        <v>7.3072007545302062</v>
      </c>
      <c r="DU332" s="33">
        <f>Crops[[#This Row],[Direct Time]] * BedsPerAcre</f>
        <v>6284.7890211640206</v>
      </c>
      <c r="DV332" s="36">
        <f>(Crops[[#This Row],[Direct Revenue Per Bed2]]-Crops[[#This Row],[Direct Non-Labor Cost]])/Crops[[#This Row],[Direct Time]]</f>
        <v>53.462415185063549</v>
      </c>
      <c r="DW332" s="33">
        <f>IFERROR(Crops[[#This Row],[Custom Yield Per Bed]]*Crops[[#This Row],[Rough Wholesale Price]],"")</f>
        <v>1348</v>
      </c>
      <c r="DX332" s="36">
        <f>Crops[[#This Row],[Wholesale Time]]*LaborRate</f>
        <v>962.31078455687816</v>
      </c>
      <c r="DY332" s="36">
        <f>SUM(Crops[[#This Row],[Packaging Costs]:[Irrigation Cost]])</f>
        <v>129.60000000000002</v>
      </c>
      <c r="DZ332" s="36">
        <f>Crops[[#This Row],[Wholesale Labor Cost]]+Crops[[#This Row],[Wholesale Non-Labor Cost]]</f>
        <v>1091.9107845568783</v>
      </c>
      <c r="EA332" s="36">
        <f>Crops[[#This Row],[Wholesale Revenue Per Bed]]-Crops[[#This Row],[Wholesale Total Cost]]</f>
        <v>256.0892154431217</v>
      </c>
      <c r="EB332" s="36">
        <f>Crops[[#This Row],[Wholesale Profit]]*BedsPerAcre</f>
        <v>40974.274470899472</v>
      </c>
      <c r="EC332" s="36">
        <f>Crops[[#This Row],[Wholesale Profit]]*BedsPerAcre*GrowingDays/Crops[[#This Row],[Days In Field]]</f>
        <v>48205.028789293494</v>
      </c>
      <c r="ED332" s="33">
        <f>Crops[[#This Row],[Wholesale Time]] * BedsPerAcre</f>
        <v>6158.7890211640206</v>
      </c>
      <c r="EE332" s="221">
        <f>Crops[[#This Row],[Wholesale Profit]]/MIN(Crops[[#This Row],[Days In Field]],GrowingDays)</f>
        <v>1.6737857218504686</v>
      </c>
      <c r="EF332" s="36">
        <f>(Crops[[#This Row],[Wholesale Revenue Per Bed]]-Crops[[#This Row],[Wholesale Non-Labor Cost]])/Crops[[#This Row],[Direct Time]]</f>
        <v>31.018384124514967</v>
      </c>
      <c r="EG332" s="174">
        <f>Crops[[#This Row],[Packaging Costs]]/Crops[[#This Row],[Wholesale Revenue Per Bed]]</f>
        <v>9.6142433234421384E-2</v>
      </c>
      <c r="EH332" s="36" t="str">
        <f>Crops[[#This Row],[Crop]]&amp;Crops[[#This Row],[Product]]&amp;Crops[[#This Row],[Unit]]</f>
        <v>TomatoRipe Fruit MediumLb</v>
      </c>
      <c r="EI332" s="36" t="b">
        <f>_xlfn.XLOOKUP(Crops[[#This Row],[ProductIndex]],Products[ID],Products[Target])</f>
        <v>1</v>
      </c>
      <c r="EJ332" s="33">
        <f>Crops[[#This Row],[Custom Yield Per Bed]]</f>
        <v>300</v>
      </c>
      <c r="EK332" s="210">
        <f>Crops[[#This Row],[Units Per Harvest]]/Crops[[#This Row],[Days Between Harvest]]*7</f>
        <v>33.333333333333336</v>
      </c>
      <c r="EL332" s="210">
        <f>Crops[[#This Row],[Custom Yield Per Bed]]/_xlfn.XLOOKUP(Crops[[#This Row],[ProductIndex]],Products[ID],Products[CSA Portion])</f>
        <v>400</v>
      </c>
      <c r="EM332" s="210">
        <f>Crops[[#This Row],[Units Per Harvest]]/Crops[[#This Row],[Days Between Harvest]]*7/_xlfn.XLOOKUP(Crops[[#This Row],[ProductIndex]],Products[ID],Products[CSA Portion])</f>
        <v>44.44444444444445</v>
      </c>
      <c r="EN332" s="210">
        <f>Crops[[#This Row],[CSA Portions Per Week]]/CSAMembers</f>
        <v>0.88888888888888895</v>
      </c>
      <c r="EO332" s="216">
        <v>1.5</v>
      </c>
      <c r="EP332" s="216">
        <v>1</v>
      </c>
      <c r="EQ332" s="210"/>
      <c r="ER332" s="210">
        <f>Crops[[#This Row],[Harvests]]*Crops[[#This Row],[Days Between Harvest]]/7</f>
        <v>9</v>
      </c>
      <c r="ES332" s="217">
        <f>_xlfn.XLOOKUP(Crops[[#This Row],[ProductIndex]],Products[ID],Products[CSA Need])</f>
        <v>3</v>
      </c>
      <c r="ET332" s="217">
        <f>_xlfn.XLOOKUP(Crops[[#This Row],[ProductIndex]],Products[ID],Products[CSA Times])</f>
        <v>4</v>
      </c>
      <c r="EU332" s="208">
        <f>Crops[[#This Row],[Custom Yield Per Bed]]/(Crops[[#This Row],[CSA Need]]*(_xlfn.XLOOKUP(Crops[[#This Row],[ProductIndex]],Products[ID],Products[CSA Portion])*CSAMembers))</f>
        <v>2.6666666666666665</v>
      </c>
      <c r="EV332" s="208">
        <f>_xlfn.XLOOKUP(Crops[[#This Row],[ProductIndex]],Products[ID],Products[CSA Portion])*CSAMembers*Crops[[#This Row],[CSA Need]]/Crops[[#This Row],[Custom Yield Per Bed]]</f>
        <v>0.375</v>
      </c>
      <c r="EW332" s="208">
        <f>IFERROR(Crops[[#This Row],[Days In Field]]*Crops[[#This Row],[CSA Beds]],"")</f>
        <v>57.375</v>
      </c>
      <c r="EX332" s="208" t="e">
        <f>Crops[[#This Row],[CSA Bed Days]]*#REF!</f>
        <v>#REF!</v>
      </c>
      <c r="EY332" t="s">
        <v>424</v>
      </c>
    </row>
    <row r="333" spans="1:155">
      <c r="A333"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(Medium) - Ripe Fruit Medium 1X | Field TP Su</v>
      </c>
      <c r="B333" s="190"/>
      <c r="C333" s="1" t="b">
        <v>1</v>
      </c>
      <c r="D333" s="1"/>
      <c r="E333" s="1" t="b">
        <v>0</v>
      </c>
      <c r="F333" s="1" t="b">
        <f>IFERROR(IF(ISNUMBER(MATCH(Crops[[#This Row],[Identifier]],BedPlan[Crop], 0)), TRUE, FALSE), FALSE)</f>
        <v>1</v>
      </c>
      <c r="G333" s="1" t="b">
        <f>IFERROR(IF(ISNUMBER(MATCH(Crops[[#This Row],[Identifier]],BedPlan[Crop], 0)), TRUE, FALSE), FALSE)</f>
        <v>1</v>
      </c>
      <c r="H333" s="1"/>
      <c r="I333" t="s">
        <v>136</v>
      </c>
      <c r="J333" t="s">
        <v>405</v>
      </c>
      <c r="K333" t="s">
        <v>2407</v>
      </c>
      <c r="M333" t="s">
        <v>136</v>
      </c>
      <c r="N333" t="str">
        <f>Crops[[#This Row],[Crop]]</f>
        <v>Tomato</v>
      </c>
      <c r="O333" t="s">
        <v>210</v>
      </c>
      <c r="P333" t="str">
        <f>IF(OR(Crops[[#This Row],[Days in Cells]]="",Crops[[#This Row],[Days in Cells]]=0), "DS","TP")</f>
        <v>TP</v>
      </c>
      <c r="R333" t="s">
        <v>144</v>
      </c>
      <c r="V333" t="str">
        <f xml:space="preserve"> IF(Crops[[#This Row],[Sp]], "Sp", "") &amp; IF(Crops[[#This Row],[Su]], "Su", "") &amp; IF(Crops[[#This Row],[Fa]], "Fa", "") &amp; IF(Crops[[#This Row],[Wi]], "Wi", "") &amp; IF(Crops[[#This Row],[OW]], "Ow","")</f>
        <v>Su</v>
      </c>
      <c r="W333" t="s">
        <v>144</v>
      </c>
      <c r="X333">
        <v>1</v>
      </c>
      <c r="Y333">
        <v>18</v>
      </c>
      <c r="Z333" t="s">
        <v>432</v>
      </c>
      <c r="AA333" t="s">
        <v>476</v>
      </c>
      <c r="AB333" t="b">
        <v>0</v>
      </c>
      <c r="AC333">
        <v>5</v>
      </c>
      <c r="AD333" s="32">
        <f>IFERROR(12/Crops[[#This Row],[Spacing]]*Crops[[#This Row],[Rows]]*BedLength,"")</f>
        <v>33.333333333333329</v>
      </c>
      <c r="AE333">
        <v>1</v>
      </c>
      <c r="AG333">
        <f>IF(Crops[[#This Row],[Custom Safety Factor]]="",PlantingSafetyFactor,Crops[[#This Row],[Custom Safety Factor]])</f>
        <v>1.3</v>
      </c>
      <c r="AH333">
        <f>1</f>
        <v>1</v>
      </c>
      <c r="AI333" s="33">
        <f>IFERROR(Crops[[#This Row],[Plantings Per Bed]]*Crops[[#This Row],[Seeds Per Planting]]*Crops[[#This Row],[Safety Factor]]*Crops[[#This Row],[Seeding Factor]],"")</f>
        <v>43.333333333333329</v>
      </c>
      <c r="AL333">
        <f>_xlfn.FLOOR.MATH(IFERROR(AVERAGE(Crops[[#This Row],[DTG Lower]:[DTG Upper]]),0))</f>
        <v>0</v>
      </c>
      <c r="AM333">
        <f>SUM(Crops[[#This Row],[Tray 1 Days]],Crops[[#This Row],[Tray 2 Days]],Crops[[#This Row],[Tray 3 Days]])</f>
        <v>56</v>
      </c>
      <c r="AN333" s="32">
        <v>55</v>
      </c>
      <c r="AP333">
        <v>135</v>
      </c>
      <c r="AQ333">
        <f>IFERROR(_xlfn.FLOOR.MATH(AVERAGE(Crops[[#This Row],[DTM Lower]:[DTM Upper]])),"")</f>
        <v>135</v>
      </c>
      <c r="AR333" cm="1">
        <f t="array" ref="AR333">_xlfn.SWITCH(Crops[[#This Row],[Normal Method]],"DS",Crops[[#This Row],[Days to Germination]]+Crops[[#This Row],[DTM]] + IF(Crops[[#This Row],[Days in Cells]]&gt;0,15,0), "TP",Crops[[#This Row],[DTM]]+Crops[[#This Row],[Days in Cells]] + IF(Crops[[#This Row],[Days in Cells]]&lt;=0,20,0), "X", Crops[[#This Row],[DTM]])</f>
        <v>135</v>
      </c>
      <c r="AS333" t="s">
        <v>347</v>
      </c>
      <c r="AT333">
        <f>(Crops[[#This Row],[Harvests]]-1)*Crops[[#This Row],[Days Between Harvest]]+7</f>
        <v>63</v>
      </c>
      <c r="AU333">
        <f>Crops[[#This Row],[STH]]-Crops[[#This Row],[Days in Cells]]+Crops[[#This Row],[Harvest window]]</f>
        <v>142</v>
      </c>
      <c r="AX333">
        <v>72</v>
      </c>
      <c r="AY333">
        <v>21</v>
      </c>
      <c r="AZ333" s="49">
        <f>IFERROR(IF(Crops[[#This Row],[Tray 1 Days]]=0,"",Crops[[#This Row],[Plantings Per Bed]]/Crops[[#This Row],[Tray 1 Size]]*Crops[[#This Row],[Safety Factor]]),"")</f>
        <v>0.60185185185185175</v>
      </c>
      <c r="BA333">
        <v>18</v>
      </c>
      <c r="BB333">
        <v>21</v>
      </c>
      <c r="BC333">
        <f>IFERROR(IF(Crops[[#This Row],[Tray 2 Days]]=0,"",Crops[[#This Row],[Plantings Per Bed]]/Crops[[#This Row],[Tray 2 Size]]*Crops[[#This Row],[Safety Factor]]),"")</f>
        <v>2.407407407407407</v>
      </c>
      <c r="BD333">
        <v>9</v>
      </c>
      <c r="BE333" s="32">
        <v>14</v>
      </c>
      <c r="BF333" s="49">
        <f>IFERROR(IF(Crops[[#This Row],[Tray 3 Days]]=0,"",Crops[[#This Row],[Plantings Per Bed]]/Crops[[#This Row],[Tray 3 Size]]*Crops[[#This Row],[Safety Factor]]),"")</f>
        <v>4.814814814814814</v>
      </c>
      <c r="BG333" s="33">
        <f>500*BedLength/StandardBedLength*(Crops[[#This Row],[Harvests]]*Crops[[#This Row],[Days Between Harvest]])/42/Crops[[#This Row],[Harvests]]*0.8</f>
        <v>33.333333333333336</v>
      </c>
      <c r="BH333" s="33">
        <v>9</v>
      </c>
      <c r="BI333" s="33">
        <v>7</v>
      </c>
      <c r="BJ333" s="33">
        <f>_xlfn.XLOOKUP(Crops[[#This Row],[ProductIndex]],Products[ID],Products[Holding Period])</f>
        <v>7</v>
      </c>
      <c r="BK333" s="33"/>
      <c r="BL333" s="33">
        <f>Crops[[#This Row],[Units Per Harvest]]*Crops[[#This Row],[Harvests]]</f>
        <v>300</v>
      </c>
      <c r="BM333" s="35">
        <v>7</v>
      </c>
      <c r="BN333" s="35">
        <f t="shared" si="1"/>
        <v>4.4933333333333332</v>
      </c>
      <c r="BO333" s="35"/>
      <c r="BP333" t="s">
        <v>383</v>
      </c>
      <c r="BQ333">
        <f>Crops[[#This Row],[Custom Yield Per Bed]]*Crops[[#This Row],[Direct Price]]</f>
        <v>2100</v>
      </c>
      <c r="BS333" t="b">
        <f>Crops[[#This Row],[Harvests]]&gt;1</f>
        <v>1</v>
      </c>
      <c r="BT333" s="36">
        <f>IFERROR(Crops[[#This Row],[Direct Revenue Per Bed]]/Crops[[#This Row],[Days In Field]],-1)</f>
        <v>14.788732394366198</v>
      </c>
      <c r="BU333" s="36">
        <f>IFERROR(Crops[[#This Row],[Direct Revenue Per Bed Day]]*GrowingDays*BedsPerAcre,"")</f>
        <v>425915.49295774649</v>
      </c>
      <c r="BV333" s="38">
        <f>LastFrostDate-5*Crops[[#This Row],[Sewing Rel Last Frost]]</f>
        <v>45733</v>
      </c>
      <c r="BW333" s="38">
        <f>Crops[[#This Row],[Target Sewing Date]]+Crops[[#This Row],[Days in Cells]]</f>
        <v>45789</v>
      </c>
      <c r="BX333" s="38">
        <f>Crops[[#This Row],[Target Sewing Date]]+Crops[[#This Row],[STH]]</f>
        <v>45868</v>
      </c>
      <c r="BY333" s="38">
        <f>Crops[[#This Row],[Target Harvest Data]]+Crops[[#This Row],[Harvest window]]</f>
        <v>45931</v>
      </c>
      <c r="BZ333">
        <v>3</v>
      </c>
      <c r="CA333" t="s">
        <v>373</v>
      </c>
      <c r="CB333">
        <f>1</f>
        <v>1</v>
      </c>
      <c r="CC333">
        <f>IF(Crops[[#This Row],[Transplanting]]&gt;0, 2, 3)*BedLength/StandardBedLength</f>
        <v>1</v>
      </c>
      <c r="CD333" s="173">
        <f>IF(Crops[[#This Row],[Days in Cells]]&lt;=0,0,Crops[[#This Row],[Plantings Per Bed]]/StartsPerHourSeeding+Crops[[#This Row],[Tray 1 Count]]*5/60)</f>
        <v>0.18036265432098764</v>
      </c>
      <c r="CE333" s="173">
        <f>IF(ISBLANK(Crops[[#This Row],[Tray 2 Days]]),0,Crops[[#This Row],[Plantings Per Bed]]/UpPottingPerHour)+IF(Crops[[#This Row],[Tray 3 Days]]="",0,Crops[[#This Row],[Plantings Per Bed]]/UpPottingPerHour)</f>
        <v>0.55555555555555547</v>
      </c>
      <c r="CF333" s="173">
        <f>IFERROR(Crops[[#This Row],[Tray 1 Count]]/HomeStartFlatIrrigationPerHour,0)*Crops[[#This Row],[Days in Cells]]/DaysBetweenStartIrrigation</f>
        <v>0.14043209876543206</v>
      </c>
      <c r="CG333" s="173">
        <f>0.5/16*MAX(Crops[[#This Row],[Tray 1 Count]],Crops[[#This Row],[Tray 2 Count]],Crops[[#This Row],[Tray 3 Count]])</f>
        <v>0.15046296296296294</v>
      </c>
      <c r="CH333" s="173">
        <f>IF(Crops[[#This Row],[Days in Cells]]&gt;0,IF(IF(Crops[[#This Row],[Tray 3 Size]]&gt;0,Crops[[#This Row],[Tray 3 Size]],IF(Crops[[#This Row],[Tray 2 Size]]&gt;0,Crops[[#This Row],[Tray 2 Size]],Crops[[#This Row],[Tray 1 Size]]))&lt;=18,LargeTransplantTime,SmallTransplantTime)*Crops[[#This Row],[Plantings Per Bed]],0)</f>
        <v>1.3888888888888886</v>
      </c>
      <c r="CI333" s="173"/>
      <c r="CJ333" s="173">
        <f>_xlfn.XLOOKUP(Crops[[#This Row],[Trellis Type]],TrellisMethods[Trellis Type],TrellisMethods[Hours],0,0)</f>
        <v>0</v>
      </c>
      <c r="CK333">
        <f>IF(Crops[[#This Row],[Days in Cells]]&lt;=0,Crops[[#This Row],[Rows]]*1/10,0)*BedLength/50</f>
        <v>0</v>
      </c>
      <c r="CL333" cm="1">
        <f t="array" ref="CL333">_xlfn.SWITCH(Crops[[#This Row],[Irrigation]],"DR", 0.5, "OH", 0.25,0)*BedLength/50</f>
        <v>0.5</v>
      </c>
      <c r="CM333">
        <f>IF(OR(ISBLANK(Crops[[#This Row],[Row Cover]]),Crops[[#This Row],[Row Cover]]="None"),0,1)*BedLength/50</f>
        <v>1</v>
      </c>
      <c r="CN333" s="173">
        <f>HoursPerWeedingPass*Crops[[#This Row],[Days In Field]]/14*Crops[[#This Row],[Rows]]+1*BedLength/50</f>
        <v>2.6904761904761902</v>
      </c>
      <c r="CO333" s="49">
        <f>1*Crops[[#This Row],[Days In Field]]/7</f>
        <v>20.285714285714285</v>
      </c>
      <c r="CQ333" s="37">
        <f>_xlfn.XLOOKUP(Crops[[#This Row],[Crop]]&amp;Crops[[#This Row],[Product]]&amp;Crops[[#This Row],[Unit]],Products[ID],Products[Marketing (hr)])*Crops[[#This Row],[Direct Revenue Per Bed]]/2000</f>
        <v>1.05</v>
      </c>
      <c r="CR333" s="37">
        <f>_xlfn.XLOOKUP(Crops[[#This Row],[Crop]]&amp;Crops[[#This Row],[Product]]&amp;Crops[[#This Row],[Unit]],Products[ID],Products[Harvest (s)])*Crops[[#This Row],[Custom Yield Per Bed]]/3600</f>
        <v>8.3333333333333339</v>
      </c>
      <c r="CS333" s="37">
        <f>_xlfn.XLOOKUP(Crops[[#This Row],[Crop]]&amp;Crops[[#This Row],[Product]]&amp;Crops[[#This Row],[Unit]],Products[ID],Products[Bunch (s)])*Crops[[#This Row],[Custom Yield Per Bed]]/3600</f>
        <v>0</v>
      </c>
      <c r="CT333" s="37">
        <f>_xlfn.XLOOKUP(Crops[[#This Row],[Crop]]&amp;Crops[[#This Row],[Product]]&amp;Crops[[#This Row],[Unit]],Products[ID],Products[Haul (s)])*Crops[[#This Row],[Custom Yield Per Bed]]/3600</f>
        <v>0.1875</v>
      </c>
      <c r="CU333" s="37">
        <f>_xlfn.XLOOKUP(Crops[[#This Row],[Crop]]&amp;Crops[[#This Row],[Product]]&amp;Crops[[#This Row],[Unit]],Products[ID],Products[Wash (s)])*Crops[[#This Row],[Custom Yield Per Bed]]/3600</f>
        <v>0</v>
      </c>
      <c r="CV333" s="37">
        <f>_xlfn.XLOOKUP(Crops[[#This Row],[Crop]]&amp;Crops[[#This Row],[Product]]&amp;Crops[[#This Row],[Unit]],Products[ID],Products[Condition (s)])*Crops[[#This Row],[Custom Yield Per Bed]]/3600</f>
        <v>0</v>
      </c>
      <c r="CW333" s="37">
        <f>_xlfn.XLOOKUP(Crops[[#This Row],[Crop]]&amp;Crops[[#This Row],[Product]]&amp;Crops[[#This Row],[Unit]],Products[ID],Products[Trim (s)])*Crops[[#This Row],[Custom Yield Per Bed]]/3600</f>
        <v>0</v>
      </c>
      <c r="CX333" s="37">
        <f>_xlfn.XLOOKUP(Crops[[#This Row],[Crop]]&amp;Crops[[#This Row],[Product]]&amp;Crops[[#This Row],[Unit]],Products[ID],Products[Pack (s)])*Crops[[#This Row],[Custom Yield Per Bed]]/3600</f>
        <v>0.25</v>
      </c>
      <c r="CY333" s="37">
        <f>_xlfn.XLOOKUP(Crops[[#This Row],[Crop]]&amp;Crops[[#This Row],[Product]]&amp;Crops[[#This Row],[Unit]],Products[ID],Products[Clean (s)])*Crops[[#This Row],[Custom Yield Per Bed]]/3600</f>
        <v>0</v>
      </c>
      <c r="CZ333" s="37">
        <f>_xlfn.XLOOKUP(Crops[[#This Row],[Crop]]&amp;Crops[[#This Row],[Product]]&amp;Crops[[#This Row],[Unit]],Products[ID],Products[Rehandle (s)])*Crops[[#This Row],[Custom Yield Per Bed]]/3600</f>
        <v>0</v>
      </c>
      <c r="DA333" s="37">
        <f>_xlfn.XLOOKUP(Crops[[#This Row],[Crop]]&amp;Crops[[#This Row],[Product]]&amp;Crops[[#This Row],[Unit]],Products[ID],Products[Market Transport (s)])*Crops[[#This Row],[Custom Yield Per Bed]]/3600</f>
        <v>0.46875</v>
      </c>
      <c r="DC333" s="37">
        <f>Crops[[#This Row],[Direct Revenue Per Bed2]]</f>
        <v>2100</v>
      </c>
      <c r="DD333" s="173">
        <f>_xlfn.AGGREGATE(9,6,Crops[[#This Row],[Bed Prep]:[Remove Crop Residue]])</f>
        <v>38.181475970017637</v>
      </c>
      <c r="DE333" s="173">
        <f>_xlfn.AGGREGATE(9,6,Crops[[#This Row],[Bed Prep]:[Remove Crop Residue]])-0.75*Crops[[#This Row],[Market &amp; Sell]]</f>
        <v>37.393975970017635</v>
      </c>
      <c r="DF333" s="36">
        <f>Crops[[#This Row],[Direct Revenue Per Bed2]]/Crops[[#This Row],[Direct Time]]</f>
        <v>55.000492952368965</v>
      </c>
      <c r="DG333" s="36">
        <f>_xlfn.XLOOKUP(Crops[[#This Row],[ProductIndex]],Products[ID],Products[Packaging Cost])*(Crops[[#This Row],[Custom Yield Per Bed]]/_xlfn.XLOOKUP(Crops[[#This Row],[ProductIndex]],Products[ID],Products[Units Per Pack]))</f>
        <v>129.60000000000002</v>
      </c>
      <c r="DH333" s="36"/>
      <c r="DI333" s="36"/>
      <c r="DJ333" s="36"/>
      <c r="DK333" s="36"/>
      <c r="DL333" s="36"/>
      <c r="DM333" s="33">
        <f>IFERROR(Crops[[#This Row],[Custom Yield Per Bed]]*Crops[[#This Row],[Direct Price]],"")</f>
        <v>2100</v>
      </c>
      <c r="DN333" s="36">
        <f>Crops[[#This Row],[Direct Time]]*LaborRate</f>
        <v>954.53689925044091</v>
      </c>
      <c r="DO333" s="36">
        <f>SUM(Crops[[#This Row],[Irrigation Cost]])</f>
        <v>0</v>
      </c>
      <c r="DP333" s="36">
        <f>Crops[[#This Row],[Direct Labor Cost]]+Crops[[#This Row],[Direct Non-Labor Cost]]</f>
        <v>954.53689925044091</v>
      </c>
      <c r="DQ333" s="36">
        <f>Crops[[#This Row],[Direct Revenue Per Bed2]]-Crops[[#This Row],[Direct Total Cost]]</f>
        <v>1145.4631007495591</v>
      </c>
      <c r="DR333" s="36">
        <f>Crops[[#This Row],[Direct Profit]]*BedsPerAcre</f>
        <v>183274.09611992945</v>
      </c>
      <c r="DS333" s="36">
        <f>Crops[[#This Row],[Direct Profit]]*BedsPerAcre*GrowingDays/Crops[[#This Row],[Days In Field]]</f>
        <v>232319.27677174157</v>
      </c>
      <c r="DT333" s="36">
        <f>Crops[[#This Row],[Direct Profit]]/MIN(Crops[[#This Row],[Days In Field]],GrowingDays)</f>
        <v>8.0666415545743604</v>
      </c>
      <c r="DU333" s="33">
        <f>Crops[[#This Row],[Direct Time]] * BedsPerAcre</f>
        <v>6109.0361552028216</v>
      </c>
      <c r="DV333" s="36">
        <f>(Crops[[#This Row],[Direct Revenue Per Bed2]]-Crops[[#This Row],[Direct Non-Labor Cost]])/Crops[[#This Row],[Direct Time]]</f>
        <v>55.000492952368965</v>
      </c>
      <c r="DW333" s="33">
        <f>IFERROR(Crops[[#This Row],[Custom Yield Per Bed]]*Crops[[#This Row],[Rough Wholesale Price]],"")</f>
        <v>1348</v>
      </c>
      <c r="DX333" s="36">
        <f>Crops[[#This Row],[Wholesale Time]]*LaborRate</f>
        <v>934.84939925044091</v>
      </c>
      <c r="DY333" s="36">
        <f>SUM(Crops[[#This Row],[Packaging Costs]:[Irrigation Cost]])</f>
        <v>129.60000000000002</v>
      </c>
      <c r="DZ333" s="36">
        <f>Crops[[#This Row],[Wholesale Labor Cost]]+Crops[[#This Row],[Wholesale Non-Labor Cost]]</f>
        <v>1064.4493992504408</v>
      </c>
      <c r="EA333" s="36">
        <f>Crops[[#This Row],[Wholesale Revenue Per Bed]]-Crops[[#This Row],[Wholesale Total Cost]]</f>
        <v>283.55060074955918</v>
      </c>
      <c r="EB333" s="36">
        <f>Crops[[#This Row],[Wholesale Profit]]*BedsPerAcre</f>
        <v>45368.096119929469</v>
      </c>
      <c r="EC333" s="36">
        <f>Crops[[#This Row],[Wholesale Profit]]*BedsPerAcre*GrowingDays/Crops[[#This Row],[Days In Field]]</f>
        <v>57508.854236530307</v>
      </c>
      <c r="ED333" s="33">
        <f>Crops[[#This Row],[Wholesale Time]] * BedsPerAcre</f>
        <v>5983.0361552028216</v>
      </c>
      <c r="EE333" s="221">
        <f>Crops[[#This Row],[Wholesale Profit]]/MIN(Crops[[#This Row],[Days In Field]],GrowingDays)</f>
        <v>1.9968352165461913</v>
      </c>
      <c r="EF333" s="36">
        <f>(Crops[[#This Row],[Wholesale Revenue Per Bed]]-Crops[[#This Row],[Wholesale Non-Labor Cost]])/Crops[[#This Row],[Direct Time]]</f>
        <v>31.910762196745882</v>
      </c>
      <c r="EG333" s="174">
        <f>Crops[[#This Row],[Packaging Costs]]/Crops[[#This Row],[Wholesale Revenue Per Bed]]</f>
        <v>9.6142433234421384E-2</v>
      </c>
      <c r="EH333" s="36" t="str">
        <f>Crops[[#This Row],[Crop]]&amp;Crops[[#This Row],[Product]]&amp;Crops[[#This Row],[Unit]]</f>
        <v>TomatoRipe Fruit MediumLb</v>
      </c>
      <c r="EI333" s="36" t="b">
        <f>_xlfn.XLOOKUP(Crops[[#This Row],[ProductIndex]],Products[ID],Products[Target])</f>
        <v>1</v>
      </c>
      <c r="EJ333" s="33">
        <f>Crops[[#This Row],[Custom Yield Per Bed]]</f>
        <v>300</v>
      </c>
      <c r="EK333" s="210">
        <f>Crops[[#This Row],[Units Per Harvest]]/Crops[[#This Row],[Days Between Harvest]]*7</f>
        <v>33.333333333333336</v>
      </c>
      <c r="EL333" s="210">
        <f>Crops[[#This Row],[Custom Yield Per Bed]]/_xlfn.XLOOKUP(Crops[[#This Row],[ProductIndex]],Products[ID],Products[CSA Portion])</f>
        <v>400</v>
      </c>
      <c r="EM333" s="210">
        <f>Crops[[#This Row],[Units Per Harvest]]/Crops[[#This Row],[Days Between Harvest]]*7/_xlfn.XLOOKUP(Crops[[#This Row],[ProductIndex]],Products[ID],Products[CSA Portion])</f>
        <v>44.44444444444445</v>
      </c>
      <c r="EN333" s="210">
        <f>Crops[[#This Row],[CSA Portions Per Week]]/CSAMembers</f>
        <v>0.88888888888888895</v>
      </c>
      <c r="EO333" s="216">
        <v>1.5</v>
      </c>
      <c r="EP333" s="216">
        <v>1</v>
      </c>
      <c r="EQ333" s="210"/>
      <c r="ER333" s="210">
        <f>Crops[[#This Row],[Harvests]]*Crops[[#This Row],[Days Between Harvest]]/7</f>
        <v>9</v>
      </c>
      <c r="ES333" s="217">
        <f>_xlfn.XLOOKUP(Crops[[#This Row],[ProductIndex]],Products[ID],Products[CSA Need])</f>
        <v>3</v>
      </c>
      <c r="ET333" s="217">
        <f>_xlfn.XLOOKUP(Crops[[#This Row],[ProductIndex]],Products[ID],Products[CSA Times])</f>
        <v>4</v>
      </c>
      <c r="EU333" s="208">
        <f>Crops[[#This Row],[Custom Yield Per Bed]]/(Crops[[#This Row],[CSA Need]]*(_xlfn.XLOOKUP(Crops[[#This Row],[ProductIndex]],Products[ID],Products[CSA Portion])*CSAMembers))</f>
        <v>2.6666666666666665</v>
      </c>
      <c r="EV333" s="208">
        <f>_xlfn.XLOOKUP(Crops[[#This Row],[ProductIndex]],Products[ID],Products[CSA Portion])*CSAMembers*Crops[[#This Row],[CSA Need]]/Crops[[#This Row],[Custom Yield Per Bed]]</f>
        <v>0.375</v>
      </c>
      <c r="EW333" s="208">
        <f>IFERROR(Crops[[#This Row],[Days In Field]]*Crops[[#This Row],[CSA Beds]],"")</f>
        <v>53.25</v>
      </c>
      <c r="EX333" s="208" t="e">
        <f>Crops[[#This Row],[CSA Bed Days]]*#REF!</f>
        <v>#REF!</v>
      </c>
      <c r="EY333" t="s">
        <v>424</v>
      </c>
    </row>
    <row r="334" spans="1:155">
      <c r="A33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(Medium) - Ripe Fruit Medium 1X | Greenhouse TP Su</v>
      </c>
      <c r="B334" s="190"/>
      <c r="C334" s="1" t="b">
        <v>1</v>
      </c>
      <c r="D334" s="1"/>
      <c r="E334" s="1" t="b">
        <v>0</v>
      </c>
      <c r="F334" s="1" t="b">
        <f>IFERROR(IF(ISNUMBER(MATCH(Crops[[#This Row],[Identifier]],BedPlan[Crop], 0)), TRUE, FALSE), FALSE)</f>
        <v>0</v>
      </c>
      <c r="G334" s="1" t="b">
        <f>IFERROR(IF(ISNUMBER(MATCH(Crops[[#This Row],[Identifier]],BedPlan[Crop], 0)), TRUE, FALSE), FALSE)</f>
        <v>0</v>
      </c>
      <c r="H334" s="1"/>
      <c r="I334" t="s">
        <v>136</v>
      </c>
      <c r="J334" t="s">
        <v>405</v>
      </c>
      <c r="K334" t="s">
        <v>2407</v>
      </c>
      <c r="M334" t="s">
        <v>136</v>
      </c>
      <c r="N334" t="str">
        <f>Crops[[#This Row],[Crop]]</f>
        <v>Tomato</v>
      </c>
      <c r="O334" t="s">
        <v>211</v>
      </c>
      <c r="P334" t="str">
        <f>IF(OR(Crops[[#This Row],[Days in Cells]]="",Crops[[#This Row],[Days in Cells]]=0), "DS","TP")</f>
        <v>TP</v>
      </c>
      <c r="R334" t="s">
        <v>144</v>
      </c>
      <c r="V334" t="str">
        <f xml:space="preserve"> IF(Crops[[#This Row],[Sp]], "Sp", "") &amp; IF(Crops[[#This Row],[Su]], "Su", "") &amp; IF(Crops[[#This Row],[Fa]], "Fa", "") &amp; IF(Crops[[#This Row],[Wi]], "Wi", "") &amp; IF(Crops[[#This Row],[OW]], "Ow","")</f>
        <v>Su</v>
      </c>
      <c r="W334" t="s">
        <v>144</v>
      </c>
      <c r="X334">
        <v>1</v>
      </c>
      <c r="Y334">
        <v>18</v>
      </c>
      <c r="Z334" t="s">
        <v>432</v>
      </c>
      <c r="AA334" t="s">
        <v>476</v>
      </c>
      <c r="AB334" t="b">
        <v>0</v>
      </c>
      <c r="AC334">
        <v>7</v>
      </c>
      <c r="AD334" s="32">
        <f>IFERROR(12/Crops[[#This Row],[Spacing]]*Crops[[#This Row],[Rows]]*BedLength,"")</f>
        <v>33.333333333333329</v>
      </c>
      <c r="AE334">
        <v>1</v>
      </c>
      <c r="AG334">
        <f>IF(Crops[[#This Row],[Custom Safety Factor]]="",PlantingSafetyFactor,Crops[[#This Row],[Custom Safety Factor]])</f>
        <v>1.3</v>
      </c>
      <c r="AH334">
        <f>1</f>
        <v>1</v>
      </c>
      <c r="AI334" s="33">
        <f>IFERROR(Crops[[#This Row],[Plantings Per Bed]]*Crops[[#This Row],[Seeds Per Planting]]*Crops[[#This Row],[Safety Factor]]*Crops[[#This Row],[Seeding Factor]],"")</f>
        <v>43.333333333333329</v>
      </c>
      <c r="AL334">
        <f>_xlfn.FLOOR.MATH(IFERROR(AVERAGE(Crops[[#This Row],[DTG Lower]:[DTG Upper]]),0))</f>
        <v>0</v>
      </c>
      <c r="AM334">
        <f>SUM(Crops[[#This Row],[Tray 1 Days]],Crops[[#This Row],[Tray 2 Days]],Crops[[#This Row],[Tray 3 Days]])</f>
        <v>56</v>
      </c>
      <c r="AN334" s="32">
        <v>55</v>
      </c>
      <c r="AP334">
        <v>120</v>
      </c>
      <c r="AQ334">
        <f>IFERROR(_xlfn.FLOOR.MATH(AVERAGE(Crops[[#This Row],[DTM Lower]:[DTM Upper]])),"")</f>
        <v>120</v>
      </c>
      <c r="AR334" cm="1">
        <f t="array" ref="AR334">_xlfn.SWITCH(Crops[[#This Row],[Normal Method]],"DS",Crops[[#This Row],[Days to Germination]]+Crops[[#This Row],[DTM]] + IF(Crops[[#This Row],[Days in Cells]]&gt;0,15,0), "TP",Crops[[#This Row],[DTM]]+Crops[[#This Row],[Days in Cells]] + IF(Crops[[#This Row],[Days in Cells]]&lt;=0,20,0), "X", Crops[[#This Row],[DTM]])</f>
        <v>120</v>
      </c>
      <c r="AS334" t="s">
        <v>347</v>
      </c>
      <c r="AT334">
        <f>(Crops[[#This Row],[Harvests]]-1)*Crops[[#This Row],[Days Between Harvest]]+7</f>
        <v>84</v>
      </c>
      <c r="AU334">
        <f>Crops[[#This Row],[STH]]-Crops[[#This Row],[Days in Cells]]+Crops[[#This Row],[Harvest window]]</f>
        <v>148</v>
      </c>
      <c r="AX334">
        <v>72</v>
      </c>
      <c r="AY334">
        <v>21</v>
      </c>
      <c r="AZ334" s="49">
        <f>IFERROR(IF(Crops[[#This Row],[Tray 1 Days]]=0,"",Crops[[#This Row],[Plantings Per Bed]]/Crops[[#This Row],[Tray 1 Size]]*Crops[[#This Row],[Safety Factor]]),"")</f>
        <v>0.60185185185185175</v>
      </c>
      <c r="BA334">
        <v>18</v>
      </c>
      <c r="BB334">
        <v>21</v>
      </c>
      <c r="BC334">
        <f>IFERROR(IF(Crops[[#This Row],[Tray 2 Days]]=0,"",Crops[[#This Row],[Plantings Per Bed]]/Crops[[#This Row],[Tray 2 Size]]*Crops[[#This Row],[Safety Factor]]),"")</f>
        <v>2.407407407407407</v>
      </c>
      <c r="BD334">
        <v>9</v>
      </c>
      <c r="BE334" s="32">
        <v>14</v>
      </c>
      <c r="BF334" s="49">
        <f>IFERROR(IF(Crops[[#This Row],[Tray 3 Days]]=0,"",Crops[[#This Row],[Plantings Per Bed]]/Crops[[#This Row],[Tray 3 Size]]*Crops[[#This Row],[Safety Factor]]),"")</f>
        <v>4.814814814814814</v>
      </c>
      <c r="BG334" s="33">
        <f>500*BedLength/StandardBedLength*(Crops[[#This Row],[Harvests]]*Crops[[#This Row],[Days Between Harvest]])/42/Crops[[#This Row],[Harvests]]*0.8</f>
        <v>33.333333333333336</v>
      </c>
      <c r="BH334" s="33">
        <v>12</v>
      </c>
      <c r="BI334" s="33">
        <v>7</v>
      </c>
      <c r="BJ334" s="33">
        <f>_xlfn.XLOOKUP(Crops[[#This Row],[ProductIndex]],Products[ID],Products[Holding Period])</f>
        <v>7</v>
      </c>
      <c r="BK334" s="33"/>
      <c r="BL334" s="33">
        <f>Crops[[#This Row],[Units Per Harvest]]*Crops[[#This Row],[Harvests]]</f>
        <v>400</v>
      </c>
      <c r="BM334" s="35">
        <v>7</v>
      </c>
      <c r="BN334" s="35">
        <f t="shared" si="1"/>
        <v>4.4933333333333332</v>
      </c>
      <c r="BO334" s="35"/>
      <c r="BP334" t="s">
        <v>383</v>
      </c>
      <c r="BQ334">
        <f>Crops[[#This Row],[Custom Yield Per Bed]]*Crops[[#This Row],[Direct Price]]</f>
        <v>2800</v>
      </c>
      <c r="BS334" t="b">
        <f>Crops[[#This Row],[Harvests]]&gt;1</f>
        <v>1</v>
      </c>
      <c r="BT334" s="36">
        <f>IFERROR(Crops[[#This Row],[Direct Revenue Per Bed]]/Crops[[#This Row],[Days In Field]],-1)</f>
        <v>18.918918918918919</v>
      </c>
      <c r="BU334" s="36">
        <f>IFERROR(Crops[[#This Row],[Direct Revenue Per Bed Day]]*GrowingDays*BedsPerAcre,"")</f>
        <v>544864.86486486485</v>
      </c>
      <c r="BV334" s="38">
        <f>LastFrostDate-5*Crops[[#This Row],[Sewing Rel Last Frost]]</f>
        <v>45723</v>
      </c>
      <c r="BW334" s="38">
        <f>Crops[[#This Row],[Target Sewing Date]]+Crops[[#This Row],[Days in Cells]]</f>
        <v>45779</v>
      </c>
      <c r="BX334" s="38">
        <f>Crops[[#This Row],[Target Sewing Date]]+Crops[[#This Row],[STH]]</f>
        <v>45843</v>
      </c>
      <c r="BY334" s="38">
        <f>Crops[[#This Row],[Target Harvest Data]]+Crops[[#This Row],[Harvest window]]</f>
        <v>45927</v>
      </c>
      <c r="BZ334">
        <v>5</v>
      </c>
      <c r="CA334" t="s">
        <v>373</v>
      </c>
      <c r="CB334">
        <f>1</f>
        <v>1</v>
      </c>
      <c r="CC334">
        <f>IF(Crops[[#This Row],[Transplanting]]&gt;0, 2, 3)*BedLength/StandardBedLength</f>
        <v>1</v>
      </c>
      <c r="CD334" s="173">
        <f>IF(Crops[[#This Row],[Days in Cells]]&lt;=0,0,Crops[[#This Row],[Plantings Per Bed]]/StartsPerHourSeeding+Crops[[#This Row],[Tray 1 Count]]*5/60)</f>
        <v>0.18036265432098764</v>
      </c>
      <c r="CE334" s="173">
        <f>IF(ISBLANK(Crops[[#This Row],[Tray 2 Days]]),0,Crops[[#This Row],[Plantings Per Bed]]/UpPottingPerHour)+IF(Crops[[#This Row],[Tray 3 Days]]="",0,Crops[[#This Row],[Plantings Per Bed]]/UpPottingPerHour)</f>
        <v>0.55555555555555547</v>
      </c>
      <c r="CF334" s="173">
        <f>IFERROR(Crops[[#This Row],[Tray 1 Count]]/HomeStartFlatIrrigationPerHour,0)*Crops[[#This Row],[Days in Cells]]/DaysBetweenStartIrrigation</f>
        <v>0.14043209876543206</v>
      </c>
      <c r="CG334" s="173">
        <f>0.5/16*MAX(Crops[[#This Row],[Tray 1 Count]],Crops[[#This Row],[Tray 2 Count]],Crops[[#This Row],[Tray 3 Count]])</f>
        <v>0.15046296296296294</v>
      </c>
      <c r="CH334" s="173">
        <f>IF(Crops[[#This Row],[Days in Cells]]&gt;0,IF(IF(Crops[[#This Row],[Tray 3 Size]]&gt;0,Crops[[#This Row],[Tray 3 Size]],IF(Crops[[#This Row],[Tray 2 Size]]&gt;0,Crops[[#This Row],[Tray 2 Size]],Crops[[#This Row],[Tray 1 Size]]))&lt;=18,LargeTransplantTime,SmallTransplantTime)*Crops[[#This Row],[Plantings Per Bed]],0)</f>
        <v>1.3888888888888886</v>
      </c>
      <c r="CI334" s="173"/>
      <c r="CJ334" s="173">
        <f>_xlfn.XLOOKUP(Crops[[#This Row],[Trellis Type]],TrellisMethods[Trellis Type],TrellisMethods[Hours],0,0)</f>
        <v>0</v>
      </c>
      <c r="CK334">
        <f>IF(Crops[[#This Row],[Days in Cells]]&lt;=0,Crops[[#This Row],[Rows]]*1/10,0)*BedLength/50</f>
        <v>0</v>
      </c>
      <c r="CL334" cm="1">
        <f t="array" ref="CL334">_xlfn.SWITCH(Crops[[#This Row],[Irrigation]],"DR", 0.5, "OH", 0.25,0)*BedLength/50</f>
        <v>0.5</v>
      </c>
      <c r="CM334">
        <f>IF(OR(ISBLANK(Crops[[#This Row],[Row Cover]]),Crops[[#This Row],[Row Cover]]="None"),0,1)*BedLength/50</f>
        <v>1</v>
      </c>
      <c r="CN334" s="173">
        <f>HoursPerWeedingPass*Crops[[#This Row],[Days In Field]]/14*Crops[[#This Row],[Rows]]+1*BedLength/50</f>
        <v>2.7619047619047619</v>
      </c>
      <c r="CO334" s="49">
        <f>1*Crops[[#This Row],[Days In Field]]/7*BedLength/50</f>
        <v>21.142857142857142</v>
      </c>
      <c r="CQ334" s="37">
        <f>_xlfn.XLOOKUP(Crops[[#This Row],[Crop]]&amp;Crops[[#This Row],[Product]]&amp;Crops[[#This Row],[Unit]],Products[ID],Products[Marketing (hr)])*Crops[[#This Row],[Direct Revenue Per Bed]]/2000</f>
        <v>1.4</v>
      </c>
      <c r="CR334" s="37">
        <f>_xlfn.XLOOKUP(Crops[[#This Row],[Crop]]&amp;Crops[[#This Row],[Product]]&amp;Crops[[#This Row],[Unit]],Products[ID],Products[Harvest (s)])*Crops[[#This Row],[Custom Yield Per Bed]]/3600</f>
        <v>11.111111111111111</v>
      </c>
      <c r="CS334" s="37">
        <f>_xlfn.XLOOKUP(Crops[[#This Row],[Crop]]&amp;Crops[[#This Row],[Product]]&amp;Crops[[#This Row],[Unit]],Products[ID],Products[Bunch (s)])*Crops[[#This Row],[Custom Yield Per Bed]]/3600</f>
        <v>0</v>
      </c>
      <c r="CT334" s="37">
        <f>_xlfn.XLOOKUP(Crops[[#This Row],[Crop]]&amp;Crops[[#This Row],[Product]]&amp;Crops[[#This Row],[Unit]],Products[ID],Products[Haul (s)])*Crops[[#This Row],[Custom Yield Per Bed]]/3600</f>
        <v>0.25</v>
      </c>
      <c r="CU334" s="37">
        <f>_xlfn.XLOOKUP(Crops[[#This Row],[Crop]]&amp;Crops[[#This Row],[Product]]&amp;Crops[[#This Row],[Unit]],Products[ID],Products[Wash (s)])*Crops[[#This Row],[Custom Yield Per Bed]]/3600</f>
        <v>0</v>
      </c>
      <c r="CV334" s="37">
        <f>_xlfn.XLOOKUP(Crops[[#This Row],[Crop]]&amp;Crops[[#This Row],[Product]]&amp;Crops[[#This Row],[Unit]],Products[ID],Products[Condition (s)])*Crops[[#This Row],[Custom Yield Per Bed]]/3600</f>
        <v>0</v>
      </c>
      <c r="CW334" s="37">
        <f>_xlfn.XLOOKUP(Crops[[#This Row],[Crop]]&amp;Crops[[#This Row],[Product]]&amp;Crops[[#This Row],[Unit]],Products[ID],Products[Trim (s)])*Crops[[#This Row],[Custom Yield Per Bed]]/3600</f>
        <v>0</v>
      </c>
      <c r="CX334" s="37">
        <f>_xlfn.XLOOKUP(Crops[[#This Row],[Crop]]&amp;Crops[[#This Row],[Product]]&amp;Crops[[#This Row],[Unit]],Products[ID],Products[Pack (s)])*Crops[[#This Row],[Custom Yield Per Bed]]/3600</f>
        <v>0.33333333333333331</v>
      </c>
      <c r="CY334" s="37">
        <f>_xlfn.XLOOKUP(Crops[[#This Row],[Crop]]&amp;Crops[[#This Row],[Product]]&amp;Crops[[#This Row],[Unit]],Products[ID],Products[Clean (s)])*Crops[[#This Row],[Custom Yield Per Bed]]/3600</f>
        <v>0</v>
      </c>
      <c r="CZ334" s="37">
        <f>_xlfn.XLOOKUP(Crops[[#This Row],[Crop]]&amp;Crops[[#This Row],[Product]]&amp;Crops[[#This Row],[Unit]],Products[ID],Products[Rehandle (s)])*Crops[[#This Row],[Custom Yield Per Bed]]/3600</f>
        <v>0</v>
      </c>
      <c r="DA334" s="37">
        <f>_xlfn.XLOOKUP(Crops[[#This Row],[Crop]]&amp;Crops[[#This Row],[Product]]&amp;Crops[[#This Row],[Unit]],Products[ID],Products[Market Transport (s)])*Crops[[#This Row],[Custom Yield Per Bed]]/3600</f>
        <v>0.625</v>
      </c>
      <c r="DC334" s="37">
        <f>Crops[[#This Row],[Direct Revenue Per Bed2]]</f>
        <v>2800</v>
      </c>
      <c r="DD334" s="173">
        <f>_xlfn.AGGREGATE(9,6,Crops[[#This Row],[Bed Prep]:[Remove Crop Residue]])</f>
        <v>42.539908509700176</v>
      </c>
      <c r="DE334" s="173">
        <f>_xlfn.AGGREGATE(9,6,Crops[[#This Row],[Bed Prep]:[Remove Crop Residue]])-0.75*Crops[[#This Row],[Market &amp; Sell]]</f>
        <v>41.489908509700179</v>
      </c>
      <c r="DF334" s="36">
        <f>Crops[[#This Row],[Direct Revenue Per Bed2]]/Crops[[#This Row],[Direct Time]]</f>
        <v>65.820545884849025</v>
      </c>
      <c r="DG334" s="36">
        <f>_xlfn.XLOOKUP(Crops[[#This Row],[ProductIndex]],Products[ID],Products[Packaging Cost])*(Crops[[#This Row],[Custom Yield Per Bed]]/_xlfn.XLOOKUP(Crops[[#This Row],[ProductIndex]],Products[ID],Products[Units Per Pack]))</f>
        <v>172.8</v>
      </c>
      <c r="DH334" s="36"/>
      <c r="DI334" s="36"/>
      <c r="DJ334" s="36"/>
      <c r="DK334" s="36"/>
      <c r="DL334" s="36"/>
      <c r="DM334" s="33">
        <f>IFERROR(Crops[[#This Row],[Custom Yield Per Bed]]*Crops[[#This Row],[Direct Price]],"")</f>
        <v>2800</v>
      </c>
      <c r="DN334" s="36">
        <f>Crops[[#This Row],[Direct Time]]*LaborRate</f>
        <v>1063.4977127425043</v>
      </c>
      <c r="DO334" s="36">
        <f>SUM(Crops[[#This Row],[Irrigation Cost]])</f>
        <v>0</v>
      </c>
      <c r="DP334" s="36">
        <f>Crops[[#This Row],[Direct Labor Cost]]+Crops[[#This Row],[Direct Non-Labor Cost]]</f>
        <v>1063.4977127425043</v>
      </c>
      <c r="DQ334" s="36">
        <f>Crops[[#This Row],[Direct Revenue Per Bed2]]-Crops[[#This Row],[Direct Total Cost]]</f>
        <v>1736.5022872574957</v>
      </c>
      <c r="DR334" s="36">
        <f>Crops[[#This Row],[Direct Profit]]*BedsPerAcre</f>
        <v>277840.36596119934</v>
      </c>
      <c r="DS334" s="36">
        <f>Crops[[#This Row],[Direct Profit]]*BedsPerAcre*GrowingDays/Crops[[#This Row],[Days In Field]]</f>
        <v>337913.95860145864</v>
      </c>
      <c r="DT334" s="36">
        <f>Crops[[#This Row],[Direct Profit]]/MIN(Crops[[#This Row],[Days In Field]],GrowingDays)</f>
        <v>11.733123562550647</v>
      </c>
      <c r="DU334" s="33">
        <f>Crops[[#This Row],[Direct Time]] * BedsPerAcre</f>
        <v>6806.3853615520284</v>
      </c>
      <c r="DV334" s="36">
        <f>(Crops[[#This Row],[Direct Revenue Per Bed2]]-Crops[[#This Row],[Direct Non-Labor Cost]])/Crops[[#This Row],[Direct Time]]</f>
        <v>65.820545884849025</v>
      </c>
      <c r="DW334" s="33">
        <f>IFERROR(Crops[[#This Row],[Custom Yield Per Bed]]*Crops[[#This Row],[Rough Wholesale Price]],"")</f>
        <v>1797.3333333333333</v>
      </c>
      <c r="DX334" s="36">
        <f>Crops[[#This Row],[Wholesale Time]]*LaborRate</f>
        <v>1037.2477127425045</v>
      </c>
      <c r="DY334" s="36">
        <f>SUM(Crops[[#This Row],[Packaging Costs]:[Irrigation Cost]])</f>
        <v>172.8</v>
      </c>
      <c r="DZ334" s="36">
        <f>Crops[[#This Row],[Wholesale Labor Cost]]+Crops[[#This Row],[Wholesale Non-Labor Cost]]</f>
        <v>1210.0477127425045</v>
      </c>
      <c r="EA334" s="36">
        <f>Crops[[#This Row],[Wholesale Revenue Per Bed]]-Crops[[#This Row],[Wholesale Total Cost]]</f>
        <v>587.28562059082878</v>
      </c>
      <c r="EB334" s="36">
        <f>Crops[[#This Row],[Wholesale Profit]]*BedsPerAcre</f>
        <v>93965.699294532606</v>
      </c>
      <c r="EC334" s="36">
        <f>Crops[[#This Row],[Wholesale Profit]]*BedsPerAcre*GrowingDays/Crops[[#This Row],[Days In Field]]</f>
        <v>114282.60725010722</v>
      </c>
      <c r="ED334" s="33">
        <f>Crops[[#This Row],[Wholesale Time]] * BedsPerAcre</f>
        <v>6638.3853615520284</v>
      </c>
      <c r="EE334" s="221">
        <f>Crops[[#This Row],[Wholesale Profit]]/MIN(Crops[[#This Row],[Days In Field]],GrowingDays)</f>
        <v>3.9681460850731676</v>
      </c>
      <c r="EF334" s="36">
        <f>(Crops[[#This Row],[Wholesale Revenue Per Bed]]-Crops[[#This Row],[Wholesale Non-Labor Cost]])/Crops[[#This Row],[Direct Time]]</f>
        <v>38.188453860047645</v>
      </c>
      <c r="EG334" s="174">
        <f>Crops[[#This Row],[Packaging Costs]]/Crops[[#This Row],[Wholesale Revenue Per Bed]]</f>
        <v>9.6142433234421371E-2</v>
      </c>
      <c r="EH334" s="36" t="str">
        <f>Crops[[#This Row],[Crop]]&amp;Crops[[#This Row],[Product]]&amp;Crops[[#This Row],[Unit]]</f>
        <v>TomatoRipe Fruit MediumLb</v>
      </c>
      <c r="EI334" s="36" t="b">
        <f>_xlfn.XLOOKUP(Crops[[#This Row],[ProductIndex]],Products[ID],Products[Target])</f>
        <v>1</v>
      </c>
      <c r="EJ334" s="33">
        <f>Crops[[#This Row],[Custom Yield Per Bed]]</f>
        <v>400</v>
      </c>
      <c r="EK334" s="210">
        <f>Crops[[#This Row],[Units Per Harvest]]/Crops[[#This Row],[Days Between Harvest]]*7</f>
        <v>33.333333333333336</v>
      </c>
      <c r="EL334" s="210">
        <f>Crops[[#This Row],[Custom Yield Per Bed]]/_xlfn.XLOOKUP(Crops[[#This Row],[ProductIndex]],Products[ID],Products[CSA Portion])</f>
        <v>533.33333333333337</v>
      </c>
      <c r="EM334" s="210">
        <f>Crops[[#This Row],[Units Per Harvest]]/Crops[[#This Row],[Days Between Harvest]]*7/_xlfn.XLOOKUP(Crops[[#This Row],[ProductIndex]],Products[ID],Products[CSA Portion])</f>
        <v>44.44444444444445</v>
      </c>
      <c r="EN334" s="210">
        <f>Crops[[#This Row],[CSA Portions Per Week]]/CSAMembers</f>
        <v>0.88888888888888895</v>
      </c>
      <c r="EO334" s="216"/>
      <c r="EP334" s="216"/>
      <c r="EQ334" s="210"/>
      <c r="ER334" s="210">
        <f>Crops[[#This Row],[Harvests]]*Crops[[#This Row],[Days Between Harvest]]/7</f>
        <v>12</v>
      </c>
      <c r="ES334" s="217">
        <f>_xlfn.XLOOKUP(Crops[[#This Row],[ProductIndex]],Products[ID],Products[CSA Need])</f>
        <v>3</v>
      </c>
      <c r="ET334" s="217">
        <f>_xlfn.XLOOKUP(Crops[[#This Row],[ProductIndex]],Products[ID],Products[CSA Times])</f>
        <v>4</v>
      </c>
      <c r="EU334" s="208">
        <f>Crops[[#This Row],[Custom Yield Per Bed]]/(Crops[[#This Row],[CSA Need]]*(_xlfn.XLOOKUP(Crops[[#This Row],[ProductIndex]],Products[ID],Products[CSA Portion])*CSAMembers))</f>
        <v>3.5555555555555554</v>
      </c>
      <c r="EV334" s="208">
        <f>_xlfn.XLOOKUP(Crops[[#This Row],[ProductIndex]],Products[ID],Products[CSA Portion])*CSAMembers*Crops[[#This Row],[CSA Need]]/Crops[[#This Row],[Custom Yield Per Bed]]</f>
        <v>0.28125</v>
      </c>
      <c r="EW334" s="208">
        <f>IFERROR(Crops[[#This Row],[Days In Field]]*Crops[[#This Row],[CSA Beds]],"")</f>
        <v>41.625</v>
      </c>
      <c r="EX334" s="208" t="e">
        <f>Crops[[#This Row],[CSA Bed Days]]*#REF!</f>
        <v>#REF!</v>
      </c>
      <c r="EY334" t="s">
        <v>425</v>
      </c>
    </row>
    <row r="335" spans="1:155">
      <c r="A33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Turnip (Storage) - Mature Root 6X | Field TP </v>
      </c>
      <c r="B335" s="191"/>
      <c r="C335" s="1"/>
      <c r="D335" s="1"/>
      <c r="E335" s="1" t="b">
        <v>0</v>
      </c>
      <c r="F335" s="1" t="b">
        <f>IFERROR(IF(ISNUMBER(MATCH(Crops[[#This Row],[Identifier]],BedPlan[Crop], 0)), TRUE, FALSE), FALSE)</f>
        <v>0</v>
      </c>
      <c r="G335" s="1" t="b">
        <f>IFERROR(IF(ISNUMBER(MATCH(Crops[[#This Row],[Identifier]],BedPlan[Crop], 0)), TRUE, FALSE), FALSE)</f>
        <v>0</v>
      </c>
      <c r="H335" s="1"/>
      <c r="I335" t="s">
        <v>137</v>
      </c>
      <c r="J335" t="s">
        <v>208</v>
      </c>
      <c r="K335" t="s">
        <v>185</v>
      </c>
      <c r="M335" t="s">
        <v>443</v>
      </c>
      <c r="N335" t="str">
        <f>Crops[[#This Row],[Crop]]</f>
        <v>Turnip</v>
      </c>
      <c r="O335" t="s">
        <v>210</v>
      </c>
      <c r="P335" t="str">
        <f>IF(OR(Crops[[#This Row],[Days in Cells]]="",Crops[[#This Row],[Days in Cells]]=0), "DS","TP")</f>
        <v>TP</v>
      </c>
      <c r="V335" t="str">
        <f xml:space="preserve"> IF(Crops[[#This Row],[Sp]], "Sp", "") &amp; IF(Crops[[#This Row],[Su]], "Su", "") &amp; IF(Crops[[#This Row],[Fa]], "Fa", "") &amp; IF(Crops[[#This Row],[Wi]], "Wi", "") &amp; IF(Crops[[#This Row],[OW]], "Ow","")</f>
        <v/>
      </c>
      <c r="W335" t="s">
        <v>144</v>
      </c>
      <c r="X335">
        <v>3</v>
      </c>
      <c r="Y335">
        <v>9</v>
      </c>
      <c r="AA335" t="s">
        <v>475</v>
      </c>
      <c r="AB335" t="b">
        <v>1</v>
      </c>
      <c r="AC335">
        <v>1.5</v>
      </c>
      <c r="AD335" s="32">
        <f>IFERROR(12/Crops[[#This Row],[Spacing]]*Crops[[#This Row],[Rows]]*BedLength,"")</f>
        <v>200</v>
      </c>
      <c r="AE335">
        <v>6</v>
      </c>
      <c r="AG335">
        <f>IF(Crops[[#This Row],[Custom Safety Factor]]="",PlantingSafetyFactor,Crops[[#This Row],[Custom Safety Factor]])</f>
        <v>1.3</v>
      </c>
      <c r="AH335">
        <f>1</f>
        <v>1</v>
      </c>
      <c r="AI335" s="33">
        <f>IFERROR(Crops[[#This Row],[Plantings Per Bed]]*Crops[[#This Row],[Seeds Per Planting]]*Crops[[#This Row],[Safety Factor]]*Crops[[#This Row],[Seeding Factor]],"")</f>
        <v>1560</v>
      </c>
      <c r="AL335">
        <f>_xlfn.FLOOR.MATH(IFERROR(AVERAGE(Crops[[#This Row],[DTG Lower]:[DTG Upper]]),0))</f>
        <v>0</v>
      </c>
      <c r="AM335">
        <f>SUM(Crops[[#This Row],[Tray 1 Days]],Crops[[#This Row],[Tray 2 Days]],Crops[[#This Row],[Tray 3 Days]])</f>
        <v>21</v>
      </c>
      <c r="AN335" s="32">
        <v>28</v>
      </c>
      <c r="AP335">
        <v>60</v>
      </c>
      <c r="AQ335">
        <f>IFERROR(_xlfn.FLOOR.MATH(AVERAGE(Crops[[#This Row],[DTM Lower]:[DTM Upper]])),"")</f>
        <v>60</v>
      </c>
      <c r="AR335" cm="1">
        <f t="array" ref="AR335">_xlfn.SWITCH(Crops[[#This Row],[Normal Method]],"DS",Crops[[#This Row],[Days to Germination]]+Crops[[#This Row],[DTM]] + IF(Crops[[#This Row],[Days in Cells]]&gt;0,15,0), "TP",Crops[[#This Row],[DTM]]+Crops[[#This Row],[Days in Cells]] + IF(Crops[[#This Row],[Days in Cells]]&lt;=0,20,0), "X", Crops[[#This Row],[DTM]])</f>
        <v>60</v>
      </c>
      <c r="AS335" t="s">
        <v>347</v>
      </c>
      <c r="AT335">
        <f>(Crops[[#This Row],[Harvests]]-1)*Crops[[#This Row],[Days Between Harvest]]+7</f>
        <v>21</v>
      </c>
      <c r="AU335">
        <f>Crops[[#This Row],[STH]]-Crops[[#This Row],[Days in Cells]]+Crops[[#This Row],[Harvest window]]</f>
        <v>60</v>
      </c>
      <c r="AW335">
        <v>128</v>
      </c>
      <c r="AX335">
        <v>128</v>
      </c>
      <c r="AY335">
        <v>21</v>
      </c>
      <c r="AZ335" s="49">
        <f>IFERROR(IF(Crops[[#This Row],[Tray 1 Days]]=0,"",Crops[[#This Row],[Plantings Per Bed]]/Crops[[#This Row],[Tray 1 Size]]*Crops[[#This Row],[Safety Factor]]),"")</f>
        <v>2.03125</v>
      </c>
      <c r="BC335" t="str">
        <f>IFERROR(IF(Crops[[#This Row],[Tray 2 Days]]=0,"",Crops[[#This Row],[Plantings Per Bed]]/Crops[[#This Row],[Tray 2 Size]]*Crops[[#This Row],[Safety Factor]]),"")</f>
        <v/>
      </c>
      <c r="BE335" s="32" t="str">
        <f>IF(NOT(ISBLANK(Crops[[#This Row],[Tray 3 Size]])), Crops[[#This Row],[Days in Cells Old]]-SUM(Crops[[#This Row],[Tray 1 Days]],Crops[[#This Row],[Tray 2 Days]]), "")</f>
        <v/>
      </c>
      <c r="BF335" s="49" t="str">
        <f>IFERROR(IF(Crops[[#This Row],[Tray 3 Days]]=0,"",Crops[[#This Row],[Plantings Per Bed]]/Crops[[#This Row],[Tray 3 Size]]*Crops[[#This Row],[Safety Factor]]),"")</f>
        <v/>
      </c>
      <c r="BG335" s="33">
        <f>Crops[[#This Row],[Plantings Per Bed]]*4/8/Crops[[#This Row],[Harvests]]</f>
        <v>50</v>
      </c>
      <c r="BH335" s="33">
        <v>2</v>
      </c>
      <c r="BI335" s="33">
        <v>14</v>
      </c>
      <c r="BJ335" s="33">
        <f>_xlfn.XLOOKUP(Crops[[#This Row],[ProductIndex]],Products[ID],Products[Holding Period])</f>
        <v>7</v>
      </c>
      <c r="BK335" s="33"/>
      <c r="BL335" s="33">
        <f>Crops[[#This Row],[Units Per Harvest]]*Crops[[#This Row],[Harvests]]</f>
        <v>100</v>
      </c>
      <c r="BM335" s="35">
        <v>2.75</v>
      </c>
      <c r="BN335" s="35">
        <v>1.77</v>
      </c>
      <c r="BO335" s="35"/>
      <c r="BP335" t="s">
        <v>215</v>
      </c>
      <c r="BQ335">
        <f>Crops[[#This Row],[Custom Yield Per Bed]]*Crops[[#This Row],[Direct Price]]</f>
        <v>275</v>
      </c>
      <c r="BS335" t="b">
        <f>Crops[[#This Row],[Harvests]]&gt;1</f>
        <v>1</v>
      </c>
      <c r="BT335" s="36">
        <f>IFERROR(Crops[[#This Row],[Direct Revenue Per Bed]]/Crops[[#This Row],[Days In Field]],-1)</f>
        <v>4.583333333333333</v>
      </c>
      <c r="BU335" s="36">
        <f>IFERROR(Crops[[#This Row],[Direct Revenue Per Bed Day]]*GrowingDays*BedsPerAcre,"")</f>
        <v>132000</v>
      </c>
      <c r="BV335" s="38">
        <f>LastFrostDate-5*Crops[[#This Row],[Sewing Rel Last Frost]]</f>
        <v>45718</v>
      </c>
      <c r="BW335" s="38">
        <f>Crops[[#This Row],[Target Sewing Date]]+Crops[[#This Row],[Days in Cells]]</f>
        <v>45739</v>
      </c>
      <c r="BX335" s="38">
        <f>Crops[[#This Row],[Target Sewing Date]]+Crops[[#This Row],[STH]]</f>
        <v>45778</v>
      </c>
      <c r="BY335" s="38">
        <f>Crops[[#This Row],[Target Harvest Data]]+Crops[[#This Row],[Harvest window]]</f>
        <v>45799</v>
      </c>
      <c r="BZ335">
        <v>6</v>
      </c>
      <c r="CA335" t="s">
        <v>373</v>
      </c>
      <c r="CB335">
        <f>1</f>
        <v>1</v>
      </c>
      <c r="CC335">
        <f>IF(Crops[[#This Row],[Transplanting]]&gt;0, 2, 3)*BedLength/StandardBedLength</f>
        <v>1</v>
      </c>
      <c r="CD335" s="173">
        <f>IF(Crops[[#This Row],[Days in Cells]]&lt;=0,0,Crops[[#This Row],[Plantings Per Bed]]/StartsPerHourSeeding+Crops[[#This Row],[Tray 1 Count]]*5/60)</f>
        <v>0.95052083333333337</v>
      </c>
      <c r="CE335" s="173">
        <f>IF(ISBLANK(Crops[[#This Row],[Tray 2 Days]]),0,Crops[[#This Row],[Plantings Per Bed]]/UpPottingPerHour)+IF(Crops[[#This Row],[Tray 3 Days]]="",0,Crops[[#This Row],[Plantings Per Bed]]/UpPottingPerHour)</f>
        <v>0</v>
      </c>
      <c r="CF335" s="173">
        <f>IFERROR(Crops[[#This Row],[Tray 1 Count]]/HomeStartFlatIrrigationPerHour,0)*Crops[[#This Row],[Days in Cells]]/DaysBetweenStartIrrigation</f>
        <v>0.177734375</v>
      </c>
      <c r="CG335" s="173">
        <f>0.5/16*MAX(Crops[[#This Row],[Tray 1 Count]],Crops[[#This Row],[Tray 2 Count]],Crops[[#This Row],[Tray 3 Count]])</f>
        <v>6.34765625E-2</v>
      </c>
      <c r="CH335" s="173">
        <f>IF(Crops[[#This Row],[Days in Cells]]&gt;0,IF(IF(Crops[[#This Row],[Tray 3 Size]]&gt;0,Crops[[#This Row],[Tray 3 Size]],IF(Crops[[#This Row],[Tray 2 Size]]&gt;0,Crops[[#This Row],[Tray 2 Size]],Crops[[#This Row],[Tray 1 Size]]))&lt;=18,LargeTransplantTime,SmallTransplantTime)*Crops[[#This Row],[Plantings Per Bed]],0)</f>
        <v>1</v>
      </c>
      <c r="CI335" s="173"/>
      <c r="CJ335" s="173">
        <f>_xlfn.XLOOKUP(Crops[[#This Row],[Trellis Type]],TrellisMethods[Trellis Type],TrellisMethods[Hours],0,0)</f>
        <v>0</v>
      </c>
      <c r="CK335">
        <f>IF(Crops[[#This Row],[Days in Cells]]&lt;=0,Crops[[#This Row],[Rows]]*1/10,0)*BedLength/50</f>
        <v>0</v>
      </c>
      <c r="CL335" cm="1">
        <f t="array" ref="CL335">_xlfn.SWITCH(Crops[[#This Row],[Irrigation]],"DR", 0.5, "OH", 0.25,0)*BedLength/50</f>
        <v>0</v>
      </c>
      <c r="CM335">
        <f>IF(OR(ISBLANK(Crops[[#This Row],[Row Cover]]),Crops[[#This Row],[Row Cover]]="None"),0,1)*BedLength/50</f>
        <v>1</v>
      </c>
      <c r="CN335" s="173">
        <f>HoursPerWeedingPass*Crops[[#This Row],[Days In Field]]/14*Crops[[#This Row],[Rows]]+1*BedLength/50</f>
        <v>3.1428571428571428</v>
      </c>
      <c r="CO335" s="49"/>
      <c r="CQ335" s="37">
        <f>_xlfn.XLOOKUP(Crops[[#This Row],[Crop]]&amp;Crops[[#This Row],[Product]]&amp;Crops[[#This Row],[Unit]],Products[ID],Products[Marketing (hr)])*Crops[[#This Row],[Direct Revenue Per Bed]]/2000</f>
        <v>0.27500000000000002</v>
      </c>
      <c r="CR335" s="37">
        <f>_xlfn.XLOOKUP(Crops[[#This Row],[Crop]]&amp;Crops[[#This Row],[Product]]&amp;Crops[[#This Row],[Unit]],Products[ID],Products[Harvest (s)])*Crops[[#This Row],[Custom Yield Per Bed]]/3600</f>
        <v>0.66666666666666663</v>
      </c>
      <c r="CS335" s="37">
        <f>_xlfn.XLOOKUP(Crops[[#This Row],[Crop]]&amp;Crops[[#This Row],[Product]]&amp;Crops[[#This Row],[Unit]],Products[ID],Products[Bunch (s)])*Crops[[#This Row],[Custom Yield Per Bed]]/3600</f>
        <v>0.27777777777777779</v>
      </c>
      <c r="CT335" s="37">
        <f>_xlfn.XLOOKUP(Crops[[#This Row],[Crop]]&amp;Crops[[#This Row],[Product]]&amp;Crops[[#This Row],[Unit]],Products[ID],Products[Haul (s)])*Crops[[#This Row],[Custom Yield Per Bed]]/3600</f>
        <v>0.10416666666666667</v>
      </c>
      <c r="CU335" s="37">
        <f>_xlfn.XLOOKUP(Crops[[#This Row],[Crop]]&amp;Crops[[#This Row],[Product]]&amp;Crops[[#This Row],[Unit]],Products[ID],Products[Wash (s)])*Crops[[#This Row],[Custom Yield Per Bed]]/3600</f>
        <v>0.69444444444444442</v>
      </c>
      <c r="CV335" s="37">
        <f>_xlfn.XLOOKUP(Crops[[#This Row],[Crop]]&amp;Crops[[#This Row],[Product]]&amp;Crops[[#This Row],[Unit]],Products[ID],Products[Condition (s)])*Crops[[#This Row],[Custom Yield Per Bed]]/3600</f>
        <v>0</v>
      </c>
      <c r="CW335" s="37">
        <f>_xlfn.XLOOKUP(Crops[[#This Row],[Crop]]&amp;Crops[[#This Row],[Product]]&amp;Crops[[#This Row],[Unit]],Products[ID],Products[Trim (s)])*Crops[[#This Row],[Custom Yield Per Bed]]/3600</f>
        <v>0.41666666666666669</v>
      </c>
      <c r="CX335" s="37">
        <f>_xlfn.XLOOKUP(Crops[[#This Row],[Crop]]&amp;Crops[[#This Row],[Product]]&amp;Crops[[#This Row],[Unit]],Products[ID],Products[Pack (s)])*Crops[[#This Row],[Custom Yield Per Bed]]/3600</f>
        <v>8.3333333333333329E-2</v>
      </c>
      <c r="CY335" s="37">
        <f>_xlfn.XLOOKUP(Crops[[#This Row],[Crop]]&amp;Crops[[#This Row],[Product]]&amp;Crops[[#This Row],[Unit]],Products[ID],Products[Clean (s)])*Crops[[#This Row],[Custom Yield Per Bed]]/3600</f>
        <v>0</v>
      </c>
      <c r="CZ335" s="37">
        <f>_xlfn.XLOOKUP(Crops[[#This Row],[Crop]]&amp;Crops[[#This Row],[Product]]&amp;Crops[[#This Row],[Unit]],Products[ID],Products[Rehandle (s)])*Crops[[#This Row],[Custom Yield Per Bed]]/3600</f>
        <v>0</v>
      </c>
      <c r="DA335" s="37">
        <f>_xlfn.XLOOKUP(Crops[[#This Row],[Crop]]&amp;Crops[[#This Row],[Product]]&amp;Crops[[#This Row],[Unit]],Products[ID],Products[Market Transport (s)])*Crops[[#This Row],[Custom Yield Per Bed]]/3600</f>
        <v>0.26041666666666669</v>
      </c>
      <c r="DC335" s="37">
        <f>Crops[[#This Row],[Direct Revenue Per Bed2]]</f>
        <v>275</v>
      </c>
      <c r="DD335" s="173">
        <f>_xlfn.AGGREGATE(9,6,Crops[[#This Row],[Bed Prep]:[Remove Crop Residue]])</f>
        <v>10.113061135912698</v>
      </c>
      <c r="DE335" s="173">
        <f>_xlfn.AGGREGATE(9,6,Crops[[#This Row],[Bed Prep]:[Remove Crop Residue]])-0.75*Crops[[#This Row],[Market &amp; Sell]]</f>
        <v>9.9068111359126974</v>
      </c>
      <c r="DF335" s="36">
        <f>Crops[[#This Row],[Direct Revenue Per Bed2]]/Crops[[#This Row],[Direct Time]]</f>
        <v>27.192557852087127</v>
      </c>
      <c r="DG335" s="36">
        <f>_xlfn.XLOOKUP(Crops[[#This Row],[ProductIndex]],Products[ID],Products[Packaging Cost])*(Crops[[#This Row],[Custom Yield Per Bed]]/_xlfn.XLOOKUP(Crops[[#This Row],[ProductIndex]],Products[ID],Products[Units Per Pack]))</f>
        <v>15.833333333333334</v>
      </c>
      <c r="DH335" s="36"/>
      <c r="DI335" s="36"/>
      <c r="DJ335" s="36"/>
      <c r="DK335" s="36"/>
      <c r="DL335" s="36"/>
      <c r="DM335" s="33">
        <f>IFERROR(Crops[[#This Row],[Custom Yield Per Bed]]*Crops[[#This Row],[Direct Price]],"")</f>
        <v>275</v>
      </c>
      <c r="DN335" s="36">
        <f>Crops[[#This Row],[Direct Time]]*LaborRate</f>
        <v>252.82652839781744</v>
      </c>
      <c r="DO335" s="36">
        <f>SUM(Crops[[#This Row],[Irrigation Cost]])</f>
        <v>0</v>
      </c>
      <c r="DP335" s="36">
        <f>Crops[[#This Row],[Direct Labor Cost]]+Crops[[#This Row],[Direct Non-Labor Cost]]</f>
        <v>252.82652839781744</v>
      </c>
      <c r="DQ335" s="36">
        <f>Crops[[#This Row],[Direct Revenue Per Bed2]]-Crops[[#This Row],[Direct Total Cost]]</f>
        <v>22.173471602182559</v>
      </c>
      <c r="DR335" s="36">
        <f>Crops[[#This Row],[Direct Profit]]*BedsPerAcre</f>
        <v>3547.7554563492095</v>
      </c>
      <c r="DS335" s="36">
        <f>Crops[[#This Row],[Direct Profit]]*BedsPerAcre*GrowingDays/Crops[[#This Row],[Days In Field]]</f>
        <v>10643.266369047629</v>
      </c>
      <c r="DT335" s="36">
        <f>Crops[[#This Row],[Direct Profit]]/MIN(Crops[[#This Row],[Days In Field]],GrowingDays)</f>
        <v>0.36955786003637597</v>
      </c>
      <c r="DU335" s="33">
        <f>Crops[[#This Row],[Direct Time]] * BedsPerAcre</f>
        <v>1618.0897817460318</v>
      </c>
      <c r="DV335" s="36">
        <f>(Crops[[#This Row],[Direct Revenue Per Bed2]]-Crops[[#This Row],[Direct Non-Labor Cost]])/Crops[[#This Row],[Direct Time]]</f>
        <v>27.192557852087127</v>
      </c>
      <c r="DW335" s="33">
        <f>IFERROR(Crops[[#This Row],[Custom Yield Per Bed]]*Crops[[#This Row],[Rough Wholesale Price]],"")</f>
        <v>177</v>
      </c>
      <c r="DX335" s="36">
        <f>Crops[[#This Row],[Wholesale Time]]*LaborRate</f>
        <v>247.67027839781744</v>
      </c>
      <c r="DY335" s="36">
        <f>SUM(Crops[[#This Row],[Packaging Costs]:[Irrigation Cost]])</f>
        <v>15.833333333333334</v>
      </c>
      <c r="DZ335" s="36">
        <f>Crops[[#This Row],[Wholesale Labor Cost]]+Crops[[#This Row],[Wholesale Non-Labor Cost]]</f>
        <v>263.50361173115078</v>
      </c>
      <c r="EA335" s="36">
        <f>Crops[[#This Row],[Wholesale Revenue Per Bed]]-Crops[[#This Row],[Wholesale Total Cost]]</f>
        <v>-86.503611731150784</v>
      </c>
      <c r="EB335" s="36">
        <f>Crops[[#This Row],[Wholesale Profit]]*BedsPerAcre</f>
        <v>-13840.577876984125</v>
      </c>
      <c r="EC335" s="36">
        <f>Crops[[#This Row],[Wholesale Profit]]*BedsPerAcre*GrowingDays/Crops[[#This Row],[Days In Field]]</f>
        <v>-41521.733630952382</v>
      </c>
      <c r="ED335" s="33">
        <f>Crops[[#This Row],[Wholesale Time]] * BedsPerAcre</f>
        <v>1585.0897817460316</v>
      </c>
      <c r="EE335" s="221">
        <f>Crops[[#This Row],[Wholesale Profit]]/MIN(Crops[[#This Row],[Days In Field]],GrowingDays)</f>
        <v>-1.4417268621858463</v>
      </c>
      <c r="EF335" s="36">
        <f>(Crops[[#This Row],[Wholesale Revenue Per Bed]]-Crops[[#This Row],[Wholesale Non-Labor Cost]])/Crops[[#This Row],[Direct Time]]</f>
        <v>15.936486935132272</v>
      </c>
      <c r="EG335" s="174">
        <f>Crops[[#This Row],[Packaging Costs]]/Crops[[#This Row],[Wholesale Revenue Per Bed]]</f>
        <v>8.9453860640301322E-2</v>
      </c>
      <c r="EH335" s="36" t="str">
        <f>Crops[[#This Row],[Crop]]&amp;Crops[[#This Row],[Product]]&amp;Crops[[#This Row],[Unit]]</f>
        <v>TurnipMature RootBunch</v>
      </c>
      <c r="EI335" s="36" t="b">
        <f>_xlfn.XLOOKUP(Crops[[#This Row],[ProductIndex]],Products[ID],Products[Target])</f>
        <v>1</v>
      </c>
      <c r="EJ335" s="36">
        <f>Crops[[#This Row],[Custom Yield Per Bed]]</f>
        <v>100</v>
      </c>
      <c r="EK335" s="210">
        <f>Crops[[#This Row],[Units Per Harvest]]/Crops[[#This Row],[Days Between Harvest]]*7</f>
        <v>25</v>
      </c>
      <c r="EL335" s="210">
        <f>Crops[[#This Row],[Custom Yield Per Bed]]/_xlfn.XLOOKUP(Crops[[#This Row],[ProductIndex]],Products[ID],Products[CSA Portion])</f>
        <v>100</v>
      </c>
      <c r="EM335" s="210">
        <f>Crops[[#This Row],[Units Per Harvest]]/Crops[[#This Row],[Days Between Harvest]]*7/_xlfn.XLOOKUP(Crops[[#This Row],[ProductIndex]],Products[ID],Products[CSA Portion])</f>
        <v>25</v>
      </c>
      <c r="EN335" s="210">
        <f>Crops[[#This Row],[CSA Portions Per Week]]/CSAMembers</f>
        <v>0.5</v>
      </c>
      <c r="EO335" s="210"/>
      <c r="EP335" s="210"/>
      <c r="EQ335" s="210"/>
      <c r="ER335" s="210">
        <f>Crops[[#This Row],[Harvests]]*Crops[[#This Row],[Days Between Harvest]]/7</f>
        <v>4</v>
      </c>
      <c r="ES335" s="217">
        <f>_xlfn.XLOOKUP(Crops[[#This Row],[ProductIndex]],Products[ID],Products[CSA Need])</f>
        <v>4</v>
      </c>
      <c r="ET335" s="217">
        <f>_xlfn.XLOOKUP(Crops[[#This Row],[ProductIndex]],Products[ID],Products[CSA Times])</f>
        <v>4</v>
      </c>
      <c r="EU335" s="208">
        <f>Crops[[#This Row],[Custom Yield Per Bed]]/(Crops[[#This Row],[CSA Need]]*(_xlfn.XLOOKUP(Crops[[#This Row],[ProductIndex]],Products[ID],Products[CSA Portion])*CSAMembers))</f>
        <v>0.5</v>
      </c>
      <c r="EV335" s="208">
        <f>_xlfn.XLOOKUP(Crops[[#This Row],[ProductIndex]],Products[ID],Products[CSA Portion])*CSAMembers*Crops[[#This Row],[CSA Need]]/Crops[[#This Row],[Custom Yield Per Bed]]</f>
        <v>2</v>
      </c>
      <c r="EW335" s="208">
        <f>IFERROR(Crops[[#This Row],[Days In Field]]*Crops[[#This Row],[CSA Beds]],"")</f>
        <v>120</v>
      </c>
      <c r="EX335" s="208" t="e">
        <f>Crops[[#This Row],[CSA Bed Days]]*#REF!</f>
        <v>#REF!</v>
      </c>
      <c r="EY335" t="s">
        <v>331</v>
      </c>
    </row>
    <row r="336" spans="1:155">
      <c r="A33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Turnip (Tokyo) - Mature Root 1X | Field DS </v>
      </c>
      <c r="B336" s="191"/>
      <c r="C336" s="1"/>
      <c r="D336" s="1"/>
      <c r="E336" s="1" t="b">
        <v>0</v>
      </c>
      <c r="F336" s="1" t="b">
        <f>IFERROR(IF(ISNUMBER(MATCH(Crops[[#This Row],[Identifier]],BedPlan[Crop], 0)), TRUE, FALSE), FALSE)</f>
        <v>0</v>
      </c>
      <c r="G336" s="1" t="b">
        <f>IFERROR(IF(ISNUMBER(MATCH(Crops[[#This Row],[Identifier]],BedPlan[Crop], 0)), TRUE, FALSE), FALSE)</f>
        <v>0</v>
      </c>
      <c r="H336" s="1"/>
      <c r="I336" t="s">
        <v>137</v>
      </c>
      <c r="J336" t="s">
        <v>2749</v>
      </c>
      <c r="K336" t="s">
        <v>185</v>
      </c>
      <c r="N336" t="str">
        <f>Crops[[#This Row],[Crop]]</f>
        <v>Turnip</v>
      </c>
      <c r="O336" t="s">
        <v>210</v>
      </c>
      <c r="P336" t="str">
        <f>IF(OR(Crops[[#This Row],[Days in Cells]]="",Crops[[#This Row],[Days in Cells]]=0), "DS","TP")</f>
        <v>DS</v>
      </c>
      <c r="V336" t="str">
        <f xml:space="preserve"> IF(Crops[[#This Row],[Sp]], "Sp", "") &amp; IF(Crops[[#This Row],[Su]], "Su", "") &amp; IF(Crops[[#This Row],[Fa]], "Fa", "") &amp; IF(Crops[[#This Row],[Wi]], "Wi", "") &amp; IF(Crops[[#This Row],[OW]], "Ow","")</f>
        <v/>
      </c>
      <c r="W336" t="s">
        <v>144</v>
      </c>
      <c r="X336">
        <v>6</v>
      </c>
      <c r="Y336">
        <v>1.5</v>
      </c>
      <c r="AD336" s="32">
        <f>IFERROR(12/Crops[[#This Row],[Spacing]]*Crops[[#This Row],[Rows]]*BedLength,"")</f>
        <v>2400</v>
      </c>
      <c r="AE336">
        <v>1</v>
      </c>
      <c r="AG336">
        <f>IF(Crops[[#This Row],[Custom Safety Factor]]="",PlantingSafetyFactor,Crops[[#This Row],[Custom Safety Factor]])</f>
        <v>1.3</v>
      </c>
      <c r="AH336">
        <f>1</f>
        <v>1</v>
      </c>
      <c r="AI336" s="33">
        <f>IFERROR(Crops[[#This Row],[Plantings Per Bed]]*Crops[[#This Row],[Seeds Per Planting]]*Crops[[#This Row],[Safety Factor]]*Crops[[#This Row],[Seeding Factor]],"")</f>
        <v>3120</v>
      </c>
      <c r="AL336">
        <f>_xlfn.FLOOR.MATH(IFERROR(AVERAGE(Crops[[#This Row],[DTG Lower]:[DTG Upper]]),0))</f>
        <v>0</v>
      </c>
      <c r="AM336">
        <f>SUM(Crops[[#This Row],[Tray 1 Days]],Crops[[#This Row],[Tray 2 Days]],Crops[[#This Row],[Tray 3 Days]])</f>
        <v>0</v>
      </c>
      <c r="AN336" s="32"/>
      <c r="AP336">
        <v>35</v>
      </c>
      <c r="AQ336">
        <f>IFERROR(_xlfn.FLOOR.MATH(AVERAGE(Crops[[#This Row],[DTM Lower]:[DTM Upper]])),"")</f>
        <v>35</v>
      </c>
      <c r="AR336" cm="1">
        <f t="array" ref="AR336">_xlfn.SWITCH(Crops[[#This Row],[Normal Method]],"DS",Crops[[#This Row],[Days to Germination]]+Crops[[#This Row],[DTM]] + IF(Crops[[#This Row],[Days in Cells]]&gt;0,15,0), "TP",Crops[[#This Row],[DTM]]+Crops[[#This Row],[Days in Cells]] + IF(Crops[[#This Row],[Days in Cells]]&lt;=0,20,0), "X", Crops[[#This Row],[DTM]])</f>
        <v>35</v>
      </c>
      <c r="AS336" t="s">
        <v>347</v>
      </c>
      <c r="AT336">
        <f>(Crops[[#This Row],[Harvests]]-1)*Crops[[#This Row],[Days Between Harvest]]+7</f>
        <v>21</v>
      </c>
      <c r="AU336">
        <f>Crops[[#This Row],[STH]]-Crops[[#This Row],[Days in Cells]]+Crops[[#This Row],[Harvest window]]</f>
        <v>56</v>
      </c>
      <c r="AW336" t="s">
        <v>212</v>
      </c>
      <c r="AZ336" t="str">
        <f>IFERROR(IF(Crops[[#This Row],[Tray 1 Days]]=0,"",Crops[[#This Row],[Plantings Per Bed]]/Crops[[#This Row],[Tray 1 Size]]*Crops[[#This Row],[Safety Factor]]),"")</f>
        <v/>
      </c>
      <c r="BC336" t="str">
        <f>IFERROR(IF(Crops[[#This Row],[Tray 2 Days]]=0,"",Crops[[#This Row],[Plantings Per Bed]]/Crops[[#This Row],[Tray 2 Size]]*Crops[[#This Row],[Safety Factor]]),"")</f>
        <v/>
      </c>
      <c r="BE336" s="32" t="str">
        <f>IF(NOT(ISBLANK(Crops[[#This Row],[Tray 3 Size]])), Crops[[#This Row],[Days in Cells Old]]-SUM(Crops[[#This Row],[Tray 1 Days]],Crops[[#This Row],[Tray 2 Days]]), "")</f>
        <v/>
      </c>
      <c r="BF336" t="str">
        <f>IFERROR(IF(Crops[[#This Row],[Tray 3 Days]]=0,"",Crops[[#This Row],[Plantings Per Bed]]/Crops[[#This Row],[Tray 3 Size]]*Crops[[#This Row],[Safety Factor]]),"")</f>
        <v/>
      </c>
      <c r="BG336" s="33">
        <f>Crops[[#This Row],[Plantings Per Bed]]/8/2/2</f>
        <v>75</v>
      </c>
      <c r="BH336" s="33">
        <v>2</v>
      </c>
      <c r="BI336" s="33">
        <v>14</v>
      </c>
      <c r="BJ336" s="33">
        <f>_xlfn.XLOOKUP(Crops[[#This Row],[ProductIndex]],Products[ID],Products[Holding Period])</f>
        <v>7</v>
      </c>
      <c r="BK336" s="33"/>
      <c r="BL336" s="33">
        <f>Crops[[#This Row],[Units Per Harvest]]*Crops[[#This Row],[Harvests]]</f>
        <v>150</v>
      </c>
      <c r="BM336" s="35">
        <v>2.75</v>
      </c>
      <c r="BN336" s="212">
        <v>1.77</v>
      </c>
      <c r="BO336" s="212"/>
      <c r="BP336" t="s">
        <v>215</v>
      </c>
      <c r="BQ336">
        <f>Crops[[#This Row],[Custom Yield Per Bed]]*Crops[[#This Row],[Direct Price]]</f>
        <v>412.5</v>
      </c>
      <c r="BS336" t="b">
        <f>Crops[[#This Row],[Harvests]]&gt;1</f>
        <v>1</v>
      </c>
      <c r="BT336" s="36">
        <f>IFERROR(Crops[[#This Row],[Direct Revenue Per Bed]]/Crops[[#This Row],[Days In Field]],-1)</f>
        <v>7.3660714285714288</v>
      </c>
      <c r="BU336" s="36">
        <f>IFERROR(Crops[[#This Row],[Direct Revenue Per Bed Day]]*GrowingDays*BedsPerAcre,"")</f>
        <v>212142.85714285713</v>
      </c>
      <c r="BV336" s="38">
        <f>LastFrostDate-5*Crops[[#This Row],[Sewing Rel Last Frost]]</f>
        <v>45748</v>
      </c>
      <c r="BW336" s="38">
        <f>Crops[[#This Row],[Target Sewing Date]]+Crops[[#This Row],[Days in Cells]]</f>
        <v>45748</v>
      </c>
      <c r="BX336" s="38">
        <f>Crops[[#This Row],[Target Sewing Date]]+Crops[[#This Row],[STH]]</f>
        <v>45783</v>
      </c>
      <c r="BY336" s="38">
        <f>Crops[[#This Row],[Target Harvest Data]]+Crops[[#This Row],[Harvest window]]</f>
        <v>45804</v>
      </c>
      <c r="BZ336">
        <v>0</v>
      </c>
      <c r="CA336" t="s">
        <v>376</v>
      </c>
      <c r="CB336">
        <f>1</f>
        <v>1</v>
      </c>
      <c r="CC336">
        <f>IF(Crops[[#This Row],[Transplanting]]&gt;0, 2, 3)*BedLength/StandardBedLength</f>
        <v>1.5</v>
      </c>
      <c r="CD336" s="173">
        <f>IF(Crops[[#This Row],[Days in Cells]]&lt;=0,0,Crops[[#This Row],[Plantings Per Bed]]/StartsPerHourSeeding+Crops[[#This Row],[Tray 1 Count]]*5/60)</f>
        <v>0</v>
      </c>
      <c r="CE336" s="173">
        <f>IF(ISBLANK(Crops[[#This Row],[Tray 2 Days]]),0,Crops[[#This Row],[Plantings Per Bed]]/UpPottingPerHour)+IF(Crops[[#This Row],[Tray 3 Days]]="",0,Crops[[#This Row],[Plantings Per Bed]]/UpPottingPerHour)</f>
        <v>0</v>
      </c>
      <c r="CF336" s="173">
        <f>IFERROR(Crops[[#This Row],[Tray 1 Count]]/HomeStartFlatIrrigationPerHour,0)*Crops[[#This Row],[Days in Cells]]/DaysBetweenStartIrrigation</f>
        <v>0</v>
      </c>
      <c r="CG336" s="173">
        <f>0.5/16*MAX(Crops[[#This Row],[Tray 1 Count]],Crops[[#This Row],[Tray 2 Count]],Crops[[#This Row],[Tray 3 Count]])</f>
        <v>0</v>
      </c>
      <c r="CH336" s="173">
        <f>IF(Crops[[#This Row],[Days in Cells]]&gt;0,IF(IF(Crops[[#This Row],[Tray 3 Size]]&gt;0,Crops[[#This Row],[Tray 3 Size]],IF(Crops[[#This Row],[Tray 2 Size]]&gt;0,Crops[[#This Row],[Tray 2 Size]],Crops[[#This Row],[Tray 1 Size]]))&lt;=18,LargeTransplantTime,SmallTransplantTime)*Crops[[#This Row],[Plantings Per Bed]],0)</f>
        <v>0</v>
      </c>
      <c r="CI336" s="173"/>
      <c r="CJ336" s="173">
        <f>_xlfn.XLOOKUP(Crops[[#This Row],[Trellis Type]],TrellisMethods[Trellis Type],TrellisMethods[Hours],0,0)</f>
        <v>0</v>
      </c>
      <c r="CK336">
        <f>IF(Crops[[#This Row],[Days in Cells]]&lt;=0,Crops[[#This Row],[Rows]]*1/10,0)*BedLength/50</f>
        <v>0.6</v>
      </c>
      <c r="CL336" cm="1">
        <f t="array" ref="CL336">_xlfn.SWITCH(Crops[[#This Row],[Irrigation]],"DR", 0.5, "OH", 0.25,0)*BedLength/50</f>
        <v>0</v>
      </c>
      <c r="CM336">
        <f>IF(OR(ISBLANK(Crops[[#This Row],[Row Cover]]),Crops[[#This Row],[Row Cover]]="None"),0,1)*BedLength/50</f>
        <v>0</v>
      </c>
      <c r="CN336" s="173">
        <f>HoursPerWeedingPass*Crops[[#This Row],[Days In Field]]/14*Crops[[#This Row],[Rows]]+1*BedLength/50</f>
        <v>5</v>
      </c>
      <c r="CO336" s="49"/>
      <c r="CQ336" s="37">
        <f>_xlfn.XLOOKUP(Crops[[#This Row],[Crop]]&amp;Crops[[#This Row],[Product]]&amp;Crops[[#This Row],[Unit]],Products[ID],Products[Marketing (hr)])*Crops[[#This Row],[Direct Revenue Per Bed]]/2000</f>
        <v>0.41249999999999998</v>
      </c>
      <c r="CR336" s="37">
        <f>_xlfn.XLOOKUP(Crops[[#This Row],[Crop]]&amp;Crops[[#This Row],[Product]]&amp;Crops[[#This Row],[Unit]],Products[ID],Products[Harvest (s)])*Crops[[#This Row],[Custom Yield Per Bed]]/3600</f>
        <v>1</v>
      </c>
      <c r="CS336" s="37">
        <f>_xlfn.XLOOKUP(Crops[[#This Row],[Crop]]&amp;Crops[[#This Row],[Product]]&amp;Crops[[#This Row],[Unit]],Products[ID],Products[Bunch (s)])*Crops[[#This Row],[Custom Yield Per Bed]]/3600</f>
        <v>0.41666666666666669</v>
      </c>
      <c r="CT336" s="37">
        <f>_xlfn.XLOOKUP(Crops[[#This Row],[Crop]]&amp;Crops[[#This Row],[Product]]&amp;Crops[[#This Row],[Unit]],Products[ID],Products[Haul (s)])*Crops[[#This Row],[Custom Yield Per Bed]]/3600</f>
        <v>0.15625</v>
      </c>
      <c r="CU336" s="37">
        <f>_xlfn.XLOOKUP(Crops[[#This Row],[Crop]]&amp;Crops[[#This Row],[Product]]&amp;Crops[[#This Row],[Unit]],Products[ID],Products[Wash (s)])*Crops[[#This Row],[Custom Yield Per Bed]]/3600</f>
        <v>1.0416666666666667</v>
      </c>
      <c r="CV336" s="37">
        <f>_xlfn.XLOOKUP(Crops[[#This Row],[Crop]]&amp;Crops[[#This Row],[Product]]&amp;Crops[[#This Row],[Unit]],Products[ID],Products[Condition (s)])*Crops[[#This Row],[Custom Yield Per Bed]]/3600</f>
        <v>0</v>
      </c>
      <c r="CW336" s="37">
        <f>_xlfn.XLOOKUP(Crops[[#This Row],[Crop]]&amp;Crops[[#This Row],[Product]]&amp;Crops[[#This Row],[Unit]],Products[ID],Products[Trim (s)])*Crops[[#This Row],[Custom Yield Per Bed]]/3600</f>
        <v>0.625</v>
      </c>
      <c r="CX336" s="37">
        <f>_xlfn.XLOOKUP(Crops[[#This Row],[Crop]]&amp;Crops[[#This Row],[Product]]&amp;Crops[[#This Row],[Unit]],Products[ID],Products[Pack (s)])*Crops[[#This Row],[Custom Yield Per Bed]]/3600</f>
        <v>0.125</v>
      </c>
      <c r="CY336" s="37">
        <f>_xlfn.XLOOKUP(Crops[[#This Row],[Crop]]&amp;Crops[[#This Row],[Product]]&amp;Crops[[#This Row],[Unit]],Products[ID],Products[Clean (s)])*Crops[[#This Row],[Custom Yield Per Bed]]/3600</f>
        <v>0</v>
      </c>
      <c r="CZ336" s="37">
        <f>_xlfn.XLOOKUP(Crops[[#This Row],[Crop]]&amp;Crops[[#This Row],[Product]]&amp;Crops[[#This Row],[Unit]],Products[ID],Products[Rehandle (s)])*Crops[[#This Row],[Custom Yield Per Bed]]/3600</f>
        <v>0</v>
      </c>
      <c r="DA336" s="37">
        <f>_xlfn.XLOOKUP(Crops[[#This Row],[Crop]]&amp;Crops[[#This Row],[Product]]&amp;Crops[[#This Row],[Unit]],Products[ID],Products[Market Transport (s)])*Crops[[#This Row],[Custom Yield Per Bed]]/3600</f>
        <v>0.390625</v>
      </c>
      <c r="DC336" s="37">
        <f>Crops[[#This Row],[Direct Revenue Per Bed2]]</f>
        <v>412.5</v>
      </c>
      <c r="DD336" s="173">
        <f>_xlfn.AGGREGATE(9,6,Crops[[#This Row],[Bed Prep]:[Remove Crop Residue]])</f>
        <v>11.267708333333331</v>
      </c>
      <c r="DE336" s="173">
        <f>_xlfn.AGGREGATE(9,6,Crops[[#This Row],[Bed Prep]:[Remove Crop Residue]])-0.75*Crops[[#This Row],[Market &amp; Sell]]</f>
        <v>10.958333333333332</v>
      </c>
      <c r="DF336" s="36">
        <f>Crops[[#This Row],[Direct Revenue Per Bed2]]/Crops[[#This Row],[Direct Time]]</f>
        <v>36.609041323842106</v>
      </c>
      <c r="DG336" s="36">
        <f>_xlfn.XLOOKUP(Crops[[#This Row],[ProductIndex]],Products[ID],Products[Packaging Cost])*(Crops[[#This Row],[Custom Yield Per Bed]]/_xlfn.XLOOKUP(Crops[[#This Row],[ProductIndex]],Products[ID],Products[Units Per Pack]))</f>
        <v>23.75</v>
      </c>
      <c r="DH336" s="36"/>
      <c r="DI336" s="36"/>
      <c r="DJ336" s="36"/>
      <c r="DK336" s="36"/>
      <c r="DL336" s="36"/>
      <c r="DM336" s="33">
        <f>IFERROR(Crops[[#This Row],[Custom Yield Per Bed]]*Crops[[#This Row],[Direct Price]],"")</f>
        <v>412.5</v>
      </c>
      <c r="DN336" s="36">
        <f>Crops[[#This Row],[Direct Time]]*LaborRate</f>
        <v>281.69270833333326</v>
      </c>
      <c r="DO336" s="36">
        <f>SUM(Crops[[#This Row],[Irrigation Cost]])</f>
        <v>0</v>
      </c>
      <c r="DP336" s="36">
        <f>Crops[[#This Row],[Direct Labor Cost]]+Crops[[#This Row],[Direct Non-Labor Cost]]</f>
        <v>281.69270833333326</v>
      </c>
      <c r="DQ336" s="36">
        <f>Crops[[#This Row],[Direct Revenue Per Bed2]]-Crops[[#This Row],[Direct Total Cost]]</f>
        <v>130.80729166666674</v>
      </c>
      <c r="DR336" s="36">
        <f>Crops[[#This Row],[Direct Profit]]*BedsPerAcre</f>
        <v>20929.166666666679</v>
      </c>
      <c r="DS336" s="36">
        <f>Crops[[#This Row],[Direct Profit]]*BedsPerAcre*GrowingDays/Crops[[#This Row],[Days In Field]]</f>
        <v>67272.321428571464</v>
      </c>
      <c r="DT336" s="36">
        <f>Crops[[#This Row],[Direct Profit]]/MIN(Crops[[#This Row],[Days In Field]],GrowingDays)</f>
        <v>2.3358444940476204</v>
      </c>
      <c r="DU336" s="33">
        <f>Crops[[#This Row],[Direct Time]] * BedsPerAcre</f>
        <v>1802.833333333333</v>
      </c>
      <c r="DV336" s="36">
        <f>(Crops[[#This Row],[Direct Revenue Per Bed2]]-Crops[[#This Row],[Direct Non-Labor Cost]])/Crops[[#This Row],[Direct Time]]</f>
        <v>36.609041323842106</v>
      </c>
      <c r="DW336" s="33">
        <f>IFERROR(Crops[[#This Row],[Custom Yield Per Bed]]*Crops[[#This Row],[Rough Wholesale Price]],"")</f>
        <v>265.5</v>
      </c>
      <c r="DX336" s="36">
        <f>Crops[[#This Row],[Wholesale Time]]*LaborRate</f>
        <v>273.95833333333331</v>
      </c>
      <c r="DY336" s="36">
        <f>SUM(Crops[[#This Row],[Packaging Costs]:[Irrigation Cost]])</f>
        <v>23.75</v>
      </c>
      <c r="DZ336" s="36">
        <f>Crops[[#This Row],[Wholesale Labor Cost]]+Crops[[#This Row],[Wholesale Non-Labor Cost]]</f>
        <v>297.70833333333331</v>
      </c>
      <c r="EA336" s="36">
        <f>Crops[[#This Row],[Wholesale Revenue Per Bed]]-Crops[[#This Row],[Wholesale Total Cost]]</f>
        <v>-32.208333333333314</v>
      </c>
      <c r="EB336" s="36">
        <f>Crops[[#This Row],[Wholesale Profit]]*BedsPerAcre</f>
        <v>-5153.3333333333303</v>
      </c>
      <c r="EC336" s="36">
        <f>Crops[[#This Row],[Wholesale Profit]]*BedsPerAcre*GrowingDays/Crops[[#This Row],[Days In Field]]</f>
        <v>-16564.285714285703</v>
      </c>
      <c r="ED336" s="33">
        <f>Crops[[#This Row],[Wholesale Time]] * BedsPerAcre</f>
        <v>1753.333333333333</v>
      </c>
      <c r="EE336" s="221">
        <f>Crops[[#This Row],[Wholesale Profit]]/MIN(Crops[[#This Row],[Days In Field]],GrowingDays)</f>
        <v>-0.5751488095238092</v>
      </c>
      <c r="EF336" s="36">
        <f>(Crops[[#This Row],[Wholesale Revenue Per Bed]]-Crops[[#This Row],[Wholesale Non-Labor Cost]])/Crops[[#This Row],[Direct Time]]</f>
        <v>21.455116945548678</v>
      </c>
      <c r="EG336" s="174">
        <f>Crops[[#This Row],[Packaging Costs]]/Crops[[#This Row],[Wholesale Revenue Per Bed]]</f>
        <v>8.9453860640301322E-2</v>
      </c>
      <c r="EH336" s="36" t="str">
        <f>Crops[[#This Row],[Crop]]&amp;Crops[[#This Row],[Product]]&amp;Crops[[#This Row],[Unit]]</f>
        <v>TurnipMature RootBunch</v>
      </c>
      <c r="EI336" s="36" t="b">
        <f>_xlfn.XLOOKUP(Crops[[#This Row],[ProductIndex]],Products[ID],Products[Target])</f>
        <v>1</v>
      </c>
      <c r="EJ336" s="36">
        <f>Crops[[#This Row],[Custom Yield Per Bed]]</f>
        <v>150</v>
      </c>
      <c r="EK336" s="210">
        <f>Crops[[#This Row],[Units Per Harvest]]/Crops[[#This Row],[Days Between Harvest]]*7</f>
        <v>37.5</v>
      </c>
      <c r="EL336" s="210">
        <f>Crops[[#This Row],[Custom Yield Per Bed]]/_xlfn.XLOOKUP(Crops[[#This Row],[ProductIndex]],Products[ID],Products[CSA Portion])</f>
        <v>150</v>
      </c>
      <c r="EM336" s="210">
        <f>Crops[[#This Row],[Units Per Harvest]]/Crops[[#This Row],[Days Between Harvest]]*7/_xlfn.XLOOKUP(Crops[[#This Row],[ProductIndex]],Products[ID],Products[CSA Portion])</f>
        <v>37.5</v>
      </c>
      <c r="EN336" s="210">
        <f>Crops[[#This Row],[CSA Portions Per Week]]/CSAMembers</f>
        <v>0.75</v>
      </c>
      <c r="EO336" s="210"/>
      <c r="EP336" s="210"/>
      <c r="EQ336" s="210"/>
      <c r="ER336" s="210">
        <f>Crops[[#This Row],[Harvests]]*Crops[[#This Row],[Days Between Harvest]]/7</f>
        <v>4</v>
      </c>
      <c r="ES336" s="217">
        <f>_xlfn.XLOOKUP(Crops[[#This Row],[ProductIndex]],Products[ID],Products[CSA Need])</f>
        <v>4</v>
      </c>
      <c r="ET336" s="217">
        <f>_xlfn.XLOOKUP(Crops[[#This Row],[ProductIndex]],Products[ID],Products[CSA Times])</f>
        <v>4</v>
      </c>
      <c r="EU336" s="208">
        <f>Crops[[#This Row],[Custom Yield Per Bed]]/(Crops[[#This Row],[CSA Need]]*(_xlfn.XLOOKUP(Crops[[#This Row],[ProductIndex]],Products[ID],Products[CSA Portion])*CSAMembers))</f>
        <v>0.75</v>
      </c>
      <c r="EV336" s="208">
        <f>_xlfn.XLOOKUP(Crops[[#This Row],[ProductIndex]],Products[ID],Products[CSA Portion])*CSAMembers*Crops[[#This Row],[CSA Need]]/Crops[[#This Row],[Custom Yield Per Bed]]</f>
        <v>1.3333333333333333</v>
      </c>
      <c r="EW336" s="208">
        <f>IFERROR(Crops[[#This Row],[Days In Field]]*Crops[[#This Row],[CSA Beds]],"")</f>
        <v>74.666666666666657</v>
      </c>
      <c r="EX336" s="208" t="e">
        <f>Crops[[#This Row],[CSA Bed Days]]*#REF!</f>
        <v>#REF!</v>
      </c>
      <c r="EY336" t="s">
        <v>304</v>
      </c>
    </row>
    <row r="337" spans="1:155">
      <c r="A33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Turnip (Tokyo) - Mature Root 1X | Field DS Sp</v>
      </c>
      <c r="B337" s="191"/>
      <c r="C337" s="1" t="b">
        <v>1</v>
      </c>
      <c r="D337" s="1"/>
      <c r="E337" s="1" t="b">
        <v>0</v>
      </c>
      <c r="F337" s="1" t="b">
        <f>IFERROR(IF(ISNUMBER(MATCH(Crops[[#This Row],[Identifier]],BedPlan[Crop], 0)), TRUE, FALSE), FALSE)</f>
        <v>1</v>
      </c>
      <c r="G337" s="1" t="b">
        <f>IFERROR(IF(ISNUMBER(MATCH(Crops[[#This Row],[Identifier]],BedPlan[Crop], 0)), TRUE, FALSE), FALSE)</f>
        <v>1</v>
      </c>
      <c r="H337" s="1"/>
      <c r="I337" t="s">
        <v>137</v>
      </c>
      <c r="J337" t="s">
        <v>2749</v>
      </c>
      <c r="K337" t="s">
        <v>185</v>
      </c>
      <c r="M337" t="s">
        <v>443</v>
      </c>
      <c r="N337" t="str">
        <f>Crops[[#This Row],[Crop]]</f>
        <v>Turnip</v>
      </c>
      <c r="O337" t="s">
        <v>210</v>
      </c>
      <c r="P337" t="str">
        <f>IF(OR(Crops[[#This Row],[Days in Cells]]="",Crops[[#This Row],[Days in Cells]]=0), "DS","TP")</f>
        <v>DS</v>
      </c>
      <c r="Q337" t="b">
        <v>1</v>
      </c>
      <c r="V337" t="str">
        <f xml:space="preserve"> IF(Crops[[#This Row],[Sp]], "Sp", "") &amp; IF(Crops[[#This Row],[Su]], "Su", "") &amp; IF(Crops[[#This Row],[Fa]], "Fa", "") &amp; IF(Crops[[#This Row],[Wi]], "Wi", "") &amp; IF(Crops[[#This Row],[OW]], "Ow","")</f>
        <v>Sp</v>
      </c>
      <c r="W337" t="s">
        <v>144</v>
      </c>
      <c r="X337">
        <v>4</v>
      </c>
      <c r="Y337">
        <v>1.5</v>
      </c>
      <c r="AC337">
        <v>2</v>
      </c>
      <c r="AD337" s="32">
        <f>IFERROR(12/Crops[[#This Row],[Spacing]]*Crops[[#This Row],[Rows]]*BedLength,"")</f>
        <v>1600</v>
      </c>
      <c r="AE337">
        <v>1</v>
      </c>
      <c r="AG337">
        <f>IF(Crops[[#This Row],[Custom Safety Factor]]="",PlantingSafetyFactor,Crops[[#This Row],[Custom Safety Factor]])</f>
        <v>1.3</v>
      </c>
      <c r="AH337">
        <f>1</f>
        <v>1</v>
      </c>
      <c r="AI337" s="33">
        <f>IFERROR(Crops[[#This Row],[Plantings Per Bed]]*Crops[[#This Row],[Seeds Per Planting]]*Crops[[#This Row],[Safety Factor]]*Crops[[#This Row],[Seeding Factor]],"")</f>
        <v>2080</v>
      </c>
      <c r="AL337">
        <f>_xlfn.FLOOR.MATH(IFERROR(AVERAGE(Crops[[#This Row],[DTG Lower]:[DTG Upper]]),0))</f>
        <v>0</v>
      </c>
      <c r="AM337">
        <f>SUM(Crops[[#This Row],[Tray 1 Days]],Crops[[#This Row],[Tray 2 Days]],Crops[[#This Row],[Tray 3 Days]])</f>
        <v>0</v>
      </c>
      <c r="AN337" s="32"/>
      <c r="AP337">
        <v>40</v>
      </c>
      <c r="AQ337">
        <f>IFERROR(_xlfn.FLOOR.MATH(AVERAGE(Crops[[#This Row],[DTM Lower]:[DTM Upper]])),"")</f>
        <v>40</v>
      </c>
      <c r="AR337" cm="1">
        <f t="array" ref="AR337">_xlfn.SWITCH(Crops[[#This Row],[Normal Method]],"DS",Crops[[#This Row],[Days to Germination]]+Crops[[#This Row],[DTM]] + IF(Crops[[#This Row],[Days in Cells]]&gt;0,15,0), "TP",Crops[[#This Row],[DTM]]+Crops[[#This Row],[Days in Cells]] + IF(Crops[[#This Row],[Days in Cells]]&lt;=0,20,0), "X", Crops[[#This Row],[DTM]])</f>
        <v>40</v>
      </c>
      <c r="AS337" t="s">
        <v>347</v>
      </c>
      <c r="AT337">
        <v>14</v>
      </c>
      <c r="AU337">
        <f>Crops[[#This Row],[STH]]-Crops[[#This Row],[Days in Cells]]+Crops[[#This Row],[Harvest window]]</f>
        <v>54</v>
      </c>
      <c r="AW337" t="s">
        <v>212</v>
      </c>
      <c r="AZ337" t="str">
        <f>IFERROR(IF(Crops[[#This Row],[Tray 1 Days]]=0,"",Crops[[#This Row],[Plantings Per Bed]]/Crops[[#This Row],[Tray 1 Size]]*Crops[[#This Row],[Safety Factor]]),"")</f>
        <v/>
      </c>
      <c r="BC337" t="str">
        <f>IFERROR(IF(Crops[[#This Row],[Tray 2 Days]]=0,"",Crops[[#This Row],[Plantings Per Bed]]/Crops[[#This Row],[Tray 2 Size]]*Crops[[#This Row],[Safety Factor]]),"")</f>
        <v/>
      </c>
      <c r="BE337" s="32" t="str">
        <f>IF(NOT(ISBLANK(Crops[[#This Row],[Tray 3 Size]])), Crops[[#This Row],[Days in Cells Old]]-SUM(Crops[[#This Row],[Tray 1 Days]],Crops[[#This Row],[Tray 2 Days]]), "")</f>
        <v/>
      </c>
      <c r="BF337" t="str">
        <f>IFERROR(IF(Crops[[#This Row],[Tray 3 Days]]=0,"",Crops[[#This Row],[Plantings Per Bed]]/Crops[[#This Row],[Tray 3 Size]]*Crops[[#This Row],[Safety Factor]]),"")</f>
        <v/>
      </c>
      <c r="BG337" s="33">
        <f>Crops[[#This Row],[Plantings Per Bed]]/8/2/2</f>
        <v>50</v>
      </c>
      <c r="BH337" s="33">
        <v>2</v>
      </c>
      <c r="BI337" s="33">
        <v>14</v>
      </c>
      <c r="BJ337" s="33">
        <f>_xlfn.XLOOKUP(Crops[[#This Row],[ProductIndex]],Products[ID],Products[Holding Period])</f>
        <v>7</v>
      </c>
      <c r="BK337" s="33"/>
      <c r="BL337" s="33">
        <f>Crops[[#This Row],[Units Per Harvest]]*Crops[[#This Row],[Harvests]]</f>
        <v>100</v>
      </c>
      <c r="BM337" s="35">
        <v>2.75</v>
      </c>
      <c r="BN337" s="212">
        <v>1.77</v>
      </c>
      <c r="BO337" s="212"/>
      <c r="BP337" t="s">
        <v>215</v>
      </c>
      <c r="BQ337">
        <f>Crops[[#This Row],[Custom Yield Per Bed]]*Crops[[#This Row],[Direct Price]]</f>
        <v>275</v>
      </c>
      <c r="BS337" t="b">
        <f>Crops[[#This Row],[Harvests]]&gt;1</f>
        <v>1</v>
      </c>
      <c r="BT337" s="36">
        <f>IFERROR(Crops[[#This Row],[Direct Revenue Per Bed]]/Crops[[#This Row],[Days In Field]],-1)</f>
        <v>5.0925925925925926</v>
      </c>
      <c r="BU337" s="36">
        <f>IFERROR(Crops[[#This Row],[Direct Revenue Per Bed Day]]*GrowingDays*BedsPerAcre,"")</f>
        <v>146666.66666666666</v>
      </c>
      <c r="BV337" s="38">
        <f>LastFrostDate-5*Crops[[#This Row],[Sewing Rel Last Frost]]</f>
        <v>45748</v>
      </c>
      <c r="BW337" s="38">
        <f>Crops[[#This Row],[Target Sewing Date]]+Crops[[#This Row],[Days in Cells]]</f>
        <v>45748</v>
      </c>
      <c r="BX337" s="38">
        <f>Crops[[#This Row],[Target Sewing Date]]+Crops[[#This Row],[STH]]</f>
        <v>45788</v>
      </c>
      <c r="BY337" s="38">
        <f>Crops[[#This Row],[Target Harvest Data]]+Crops[[#This Row],[Harvest window]]</f>
        <v>45802</v>
      </c>
      <c r="BZ337">
        <v>0</v>
      </c>
      <c r="CB337">
        <f>1</f>
        <v>1</v>
      </c>
      <c r="CC337">
        <f>IF(Crops[[#This Row],[Transplanting]]&gt;0, 2, 3)*BedLength/StandardBedLength</f>
        <v>1.5</v>
      </c>
      <c r="CD337" s="173">
        <f>IF(Crops[[#This Row],[Days in Cells]]&lt;=0,0,Crops[[#This Row],[Plantings Per Bed]]/StartsPerHourSeeding+Crops[[#This Row],[Tray 1 Count]]*5/60)</f>
        <v>0</v>
      </c>
      <c r="CE337" s="173">
        <f>IF(ISBLANK(Crops[[#This Row],[Tray 2 Days]]),0,Crops[[#This Row],[Plantings Per Bed]]/UpPottingPerHour)+IF(Crops[[#This Row],[Tray 3 Days]]="",0,Crops[[#This Row],[Plantings Per Bed]]/UpPottingPerHour)</f>
        <v>0</v>
      </c>
      <c r="CF337" s="173">
        <f>IFERROR(Crops[[#This Row],[Tray 1 Count]]/HomeStartFlatIrrigationPerHour,0)*Crops[[#This Row],[Days in Cells]]/DaysBetweenStartIrrigation</f>
        <v>0</v>
      </c>
      <c r="CG337" s="173">
        <f>0.5/16*MAX(Crops[[#This Row],[Tray 1 Count]],Crops[[#This Row],[Tray 2 Count]],Crops[[#This Row],[Tray 3 Count]])</f>
        <v>0</v>
      </c>
      <c r="CH337" s="173">
        <f>IF(Crops[[#This Row],[Days in Cells]]&gt;0,IF(IF(Crops[[#This Row],[Tray 3 Size]]&gt;0,Crops[[#This Row],[Tray 3 Size]],IF(Crops[[#This Row],[Tray 2 Size]]&gt;0,Crops[[#This Row],[Tray 2 Size]],Crops[[#This Row],[Tray 1 Size]]))&lt;=18,LargeTransplantTime,SmallTransplantTime)*Crops[[#This Row],[Plantings Per Bed]],0)</f>
        <v>0</v>
      </c>
      <c r="CI337" s="173"/>
      <c r="CJ337" s="173">
        <f>_xlfn.XLOOKUP(Crops[[#This Row],[Trellis Type]],TrellisMethods[Trellis Type],TrellisMethods[Hours],0,0)</f>
        <v>0</v>
      </c>
      <c r="CK337">
        <f>IF(Crops[[#This Row],[Days in Cells]]&lt;=0,Crops[[#This Row],[Rows]]*1/10,0)*BedLength/50</f>
        <v>0.4</v>
      </c>
      <c r="CL337" cm="1">
        <f t="array" ref="CL337">_xlfn.SWITCH(Crops[[#This Row],[Irrigation]],"DR", 0.5, "OH", 0.25,0)*BedLength/50</f>
        <v>0</v>
      </c>
      <c r="CM337">
        <f>IF(OR(ISBLANK(Crops[[#This Row],[Row Cover]]),Crops[[#This Row],[Row Cover]]="None"),0,1)*BedLength/50</f>
        <v>0</v>
      </c>
      <c r="CN337" s="173">
        <f>HoursPerWeedingPass*Crops[[#This Row],[Days In Field]]/14*Crops[[#This Row],[Rows]]+1*BedLength/50</f>
        <v>3.5714285714285716</v>
      </c>
      <c r="CO337" s="49"/>
      <c r="CQ337" s="37">
        <f>_xlfn.XLOOKUP(Crops[[#This Row],[Crop]]&amp;Crops[[#This Row],[Product]]&amp;Crops[[#This Row],[Unit]],Products[ID],Products[Marketing (hr)])*Crops[[#This Row],[Direct Revenue Per Bed]]/2000</f>
        <v>0.27500000000000002</v>
      </c>
      <c r="CR337" s="37">
        <f>_xlfn.XLOOKUP(Crops[[#This Row],[Crop]]&amp;Crops[[#This Row],[Product]]&amp;Crops[[#This Row],[Unit]],Products[ID],Products[Harvest (s)])*Crops[[#This Row],[Custom Yield Per Bed]]/3600</f>
        <v>0.66666666666666663</v>
      </c>
      <c r="CS337" s="37">
        <f>_xlfn.XLOOKUP(Crops[[#This Row],[Crop]]&amp;Crops[[#This Row],[Product]]&amp;Crops[[#This Row],[Unit]],Products[ID],Products[Bunch (s)])*Crops[[#This Row],[Custom Yield Per Bed]]/3600</f>
        <v>0.27777777777777779</v>
      </c>
      <c r="CT337" s="37">
        <f>_xlfn.XLOOKUP(Crops[[#This Row],[Crop]]&amp;Crops[[#This Row],[Product]]&amp;Crops[[#This Row],[Unit]],Products[ID],Products[Haul (s)])*Crops[[#This Row],[Custom Yield Per Bed]]/3600</f>
        <v>0.10416666666666667</v>
      </c>
      <c r="CU337" s="37">
        <f>_xlfn.XLOOKUP(Crops[[#This Row],[Crop]]&amp;Crops[[#This Row],[Product]]&amp;Crops[[#This Row],[Unit]],Products[ID],Products[Wash (s)])*Crops[[#This Row],[Custom Yield Per Bed]]/3600</f>
        <v>0.69444444444444442</v>
      </c>
      <c r="CV337" s="37">
        <f>_xlfn.XLOOKUP(Crops[[#This Row],[Crop]]&amp;Crops[[#This Row],[Product]]&amp;Crops[[#This Row],[Unit]],Products[ID],Products[Condition (s)])*Crops[[#This Row],[Custom Yield Per Bed]]/3600</f>
        <v>0</v>
      </c>
      <c r="CW337" s="37">
        <f>_xlfn.XLOOKUP(Crops[[#This Row],[Crop]]&amp;Crops[[#This Row],[Product]]&amp;Crops[[#This Row],[Unit]],Products[ID],Products[Trim (s)])*Crops[[#This Row],[Custom Yield Per Bed]]/3600</f>
        <v>0.41666666666666669</v>
      </c>
      <c r="CX337" s="37">
        <f>_xlfn.XLOOKUP(Crops[[#This Row],[Crop]]&amp;Crops[[#This Row],[Product]]&amp;Crops[[#This Row],[Unit]],Products[ID],Products[Pack (s)])*Crops[[#This Row],[Custom Yield Per Bed]]/3600</f>
        <v>8.3333333333333329E-2</v>
      </c>
      <c r="CY337" s="37">
        <f>_xlfn.XLOOKUP(Crops[[#This Row],[Crop]]&amp;Crops[[#This Row],[Product]]&amp;Crops[[#This Row],[Unit]],Products[ID],Products[Clean (s)])*Crops[[#This Row],[Custom Yield Per Bed]]/3600</f>
        <v>0</v>
      </c>
      <c r="CZ337" s="37">
        <f>_xlfn.XLOOKUP(Crops[[#This Row],[Crop]]&amp;Crops[[#This Row],[Product]]&amp;Crops[[#This Row],[Unit]],Products[ID],Products[Rehandle (s)])*Crops[[#This Row],[Custom Yield Per Bed]]/3600</f>
        <v>0</v>
      </c>
      <c r="DA337" s="37">
        <f>_xlfn.XLOOKUP(Crops[[#This Row],[Crop]]&amp;Crops[[#This Row],[Product]]&amp;Crops[[#This Row],[Unit]],Products[ID],Products[Market Transport (s)])*Crops[[#This Row],[Custom Yield Per Bed]]/3600</f>
        <v>0.26041666666666669</v>
      </c>
      <c r="DC337" s="37">
        <f>Crops[[#This Row],[Direct Revenue Per Bed2]]</f>
        <v>275</v>
      </c>
      <c r="DD337" s="173">
        <f>_xlfn.AGGREGATE(9,6,Crops[[#This Row],[Bed Prep]:[Remove Crop Residue]])</f>
        <v>8.2499007936507951</v>
      </c>
      <c r="DE337" s="173">
        <f>_xlfn.AGGREGATE(9,6,Crops[[#This Row],[Bed Prep]:[Remove Crop Residue]])-0.75*Crops[[#This Row],[Market &amp; Sell]]</f>
        <v>8.0436507936507944</v>
      </c>
      <c r="DF337" s="36">
        <f>Crops[[#This Row],[Direct Revenue Per Bed2]]/Crops[[#This Row],[Direct Time]]</f>
        <v>33.333734171887585</v>
      </c>
      <c r="DG337" s="36">
        <f>_xlfn.XLOOKUP(Crops[[#This Row],[ProductIndex]],Products[ID],Products[Packaging Cost])*(Crops[[#This Row],[Custom Yield Per Bed]]/_xlfn.XLOOKUP(Crops[[#This Row],[ProductIndex]],Products[ID],Products[Units Per Pack]))</f>
        <v>15.833333333333334</v>
      </c>
      <c r="DH337" s="36"/>
      <c r="DI337" s="36"/>
      <c r="DJ337" s="36"/>
      <c r="DK337" s="36"/>
      <c r="DL337" s="36"/>
      <c r="DM337" s="33">
        <f>IFERROR(Crops[[#This Row],[Custom Yield Per Bed]]*Crops[[#This Row],[Direct Price]],"")</f>
        <v>275</v>
      </c>
      <c r="DN337" s="36">
        <f>Crops[[#This Row],[Direct Time]]*LaborRate</f>
        <v>206.24751984126988</v>
      </c>
      <c r="DO337" s="36">
        <f>SUM(Crops[[#This Row],[Irrigation Cost]])</f>
        <v>0</v>
      </c>
      <c r="DP337" s="36">
        <f>Crops[[#This Row],[Direct Labor Cost]]+Crops[[#This Row],[Direct Non-Labor Cost]]</f>
        <v>206.24751984126988</v>
      </c>
      <c r="DQ337" s="36">
        <f>Crops[[#This Row],[Direct Revenue Per Bed2]]-Crops[[#This Row],[Direct Total Cost]]</f>
        <v>68.752480158730123</v>
      </c>
      <c r="DR337" s="36">
        <f>Crops[[#This Row],[Direct Profit]]*BedsPerAcre</f>
        <v>11000.39682539682</v>
      </c>
      <c r="DS337" s="36">
        <f>Crops[[#This Row],[Direct Profit]]*BedsPerAcre*GrowingDays/Crops[[#This Row],[Days In Field]]</f>
        <v>36667.989417989396</v>
      </c>
      <c r="DT337" s="36">
        <f>Crops[[#This Row],[Direct Profit]]/MIN(Crops[[#This Row],[Days In Field]],GrowingDays)</f>
        <v>1.2731940770135208</v>
      </c>
      <c r="DU337" s="33">
        <f>Crops[[#This Row],[Direct Time]] * BedsPerAcre</f>
        <v>1319.9841269841272</v>
      </c>
      <c r="DV337" s="36">
        <f>(Crops[[#This Row],[Direct Revenue Per Bed2]]-Crops[[#This Row],[Direct Non-Labor Cost]])/Crops[[#This Row],[Direct Time]]</f>
        <v>33.333734171887585</v>
      </c>
      <c r="DW337" s="33">
        <f>IFERROR(Crops[[#This Row],[Custom Yield Per Bed]]*Crops[[#This Row],[Rough Wholesale Price]],"")</f>
        <v>177</v>
      </c>
      <c r="DX337" s="36">
        <f>Crops[[#This Row],[Wholesale Time]]*LaborRate</f>
        <v>201.09126984126985</v>
      </c>
      <c r="DY337" s="36">
        <f>SUM(Crops[[#This Row],[Packaging Costs]:[Irrigation Cost]])</f>
        <v>15.833333333333334</v>
      </c>
      <c r="DZ337" s="36">
        <f>Crops[[#This Row],[Wholesale Labor Cost]]+Crops[[#This Row],[Wholesale Non-Labor Cost]]</f>
        <v>216.92460317460319</v>
      </c>
      <c r="EA337" s="36">
        <f>Crops[[#This Row],[Wholesale Revenue Per Bed]]-Crops[[#This Row],[Wholesale Total Cost]]</f>
        <v>-39.924603174603192</v>
      </c>
      <c r="EB337" s="36">
        <f>Crops[[#This Row],[Wholesale Profit]]*BedsPerAcre</f>
        <v>-6387.9365079365107</v>
      </c>
      <c r="EC337" s="36">
        <f>Crops[[#This Row],[Wholesale Profit]]*BedsPerAcre*GrowingDays/Crops[[#This Row],[Days In Field]]</f>
        <v>-21293.121693121702</v>
      </c>
      <c r="ED337" s="33">
        <f>Crops[[#This Row],[Wholesale Time]] * BedsPerAcre</f>
        <v>1286.9841269841272</v>
      </c>
      <c r="EE337" s="221">
        <f>Crops[[#This Row],[Wholesale Profit]]/MIN(Crops[[#This Row],[Days In Field]],GrowingDays)</f>
        <v>-0.7393445032333924</v>
      </c>
      <c r="EF337" s="36">
        <f>(Crops[[#This Row],[Wholesale Revenue Per Bed]]-Crops[[#This Row],[Wholesale Non-Labor Cost]])/Crops[[#This Row],[Direct Time]]</f>
        <v>19.535588451039569</v>
      </c>
      <c r="EG337" s="174">
        <f>Crops[[#This Row],[Packaging Costs]]/Crops[[#This Row],[Wholesale Revenue Per Bed]]</f>
        <v>8.9453860640301322E-2</v>
      </c>
      <c r="EH337" s="36" t="str">
        <f>Crops[[#This Row],[Crop]]&amp;Crops[[#This Row],[Product]]&amp;Crops[[#This Row],[Unit]]</f>
        <v>TurnipMature RootBunch</v>
      </c>
      <c r="EI337" s="36" t="b">
        <f>_xlfn.XLOOKUP(Crops[[#This Row],[ProductIndex]],Products[ID],Products[Target])</f>
        <v>1</v>
      </c>
      <c r="EJ337" s="33">
        <f>Crops[[#This Row],[Custom Yield Per Bed]]</f>
        <v>100</v>
      </c>
      <c r="EK337" s="210">
        <f>Crops[[#This Row],[Units Per Harvest]]/Crops[[#This Row],[Days Between Harvest]]*7</f>
        <v>25</v>
      </c>
      <c r="EL337" s="210">
        <f>Crops[[#This Row],[Custom Yield Per Bed]]/_xlfn.XLOOKUP(Crops[[#This Row],[ProductIndex]],Products[ID],Products[CSA Portion])</f>
        <v>100</v>
      </c>
      <c r="EM337" s="210">
        <f>Crops[[#This Row],[Units Per Harvest]]/Crops[[#This Row],[Days Between Harvest]]*7/_xlfn.XLOOKUP(Crops[[#This Row],[ProductIndex]],Products[ID],Products[CSA Portion])</f>
        <v>25</v>
      </c>
      <c r="EN337" s="210">
        <f>Crops[[#This Row],[CSA Portions Per Week]]/CSAMembers</f>
        <v>0.5</v>
      </c>
      <c r="EO337" s="216">
        <v>1</v>
      </c>
      <c r="EP337" s="216">
        <v>1</v>
      </c>
      <c r="EQ337" s="210"/>
      <c r="ER337" s="210">
        <f>Crops[[#This Row],[Harvests]]*Crops[[#This Row],[Days Between Harvest]]/7</f>
        <v>4</v>
      </c>
      <c r="ES337" s="217">
        <f>_xlfn.XLOOKUP(Crops[[#This Row],[ProductIndex]],Products[ID],Products[CSA Need])</f>
        <v>4</v>
      </c>
      <c r="ET337" s="217">
        <f>_xlfn.XLOOKUP(Crops[[#This Row],[ProductIndex]],Products[ID],Products[CSA Times])</f>
        <v>4</v>
      </c>
      <c r="EU337" s="208">
        <f>Crops[[#This Row],[Custom Yield Per Bed]]/(Crops[[#This Row],[CSA Need]]*(_xlfn.XLOOKUP(Crops[[#This Row],[ProductIndex]],Products[ID],Products[CSA Portion])*CSAMembers))</f>
        <v>0.5</v>
      </c>
      <c r="EV337" s="208">
        <f>_xlfn.XLOOKUP(Crops[[#This Row],[ProductIndex]],Products[ID],Products[CSA Portion])*CSAMembers*Crops[[#This Row],[CSA Need]]/Crops[[#This Row],[Custom Yield Per Bed]]</f>
        <v>2</v>
      </c>
      <c r="EW337" s="208">
        <f>IFERROR(Crops[[#This Row],[Days In Field]]*Crops[[#This Row],[CSA Beds]],"")</f>
        <v>108</v>
      </c>
      <c r="EX337" s="208" t="e">
        <f>Crops[[#This Row],[CSA Bed Days]]*#REF!</f>
        <v>#REF!</v>
      </c>
      <c r="EY337" t="s">
        <v>1727</v>
      </c>
    </row>
    <row r="338" spans="1:155">
      <c r="A33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Turnip (Tokyo) - Mature Root 1X | Field DS Sp</v>
      </c>
      <c r="B338" s="191"/>
      <c r="C338" s="1"/>
      <c r="D338" s="1"/>
      <c r="E338" s="1" t="b">
        <v>0</v>
      </c>
      <c r="F338" s="1" t="b">
        <f>IFERROR(IF(ISNUMBER(MATCH(Crops[[#This Row],[Identifier]],BedPlan[Crop], 0)), TRUE, FALSE), FALSE)</f>
        <v>1</v>
      </c>
      <c r="G338" s="1" t="b">
        <f>IFERROR(IF(ISNUMBER(MATCH(Crops[[#This Row],[Identifier]],BedPlan[Crop], 0)), TRUE, FALSE), FALSE)</f>
        <v>1</v>
      </c>
      <c r="H338" s="1"/>
      <c r="I338" t="s">
        <v>137</v>
      </c>
      <c r="J338" t="s">
        <v>2749</v>
      </c>
      <c r="K338" t="s">
        <v>185</v>
      </c>
      <c r="N338" t="str">
        <f>Crops[[#This Row],[Crop]]</f>
        <v>Turnip</v>
      </c>
      <c r="O338" t="s">
        <v>210</v>
      </c>
      <c r="P338" t="str">
        <f>IF(OR(Crops[[#This Row],[Days in Cells]]="",Crops[[#This Row],[Days in Cells]]=0), "DS","TP")</f>
        <v>DS</v>
      </c>
      <c r="Q338" t="b">
        <v>1</v>
      </c>
      <c r="V338" t="str">
        <f xml:space="preserve"> IF(Crops[[#This Row],[Sp]], "Sp", "") &amp; IF(Crops[[#This Row],[Su]], "Su", "") &amp; IF(Crops[[#This Row],[Fa]], "Fa", "") &amp; IF(Crops[[#This Row],[Wi]], "Wi", "") &amp; IF(Crops[[#This Row],[OW]], "Ow","")</f>
        <v>Sp</v>
      </c>
      <c r="W338" t="s">
        <v>144</v>
      </c>
      <c r="X338">
        <v>4</v>
      </c>
      <c r="Y338">
        <v>1.5</v>
      </c>
      <c r="AD338" s="32">
        <f>IFERROR(12/Crops[[#This Row],[Spacing]]*Crops[[#This Row],[Rows]]*BedLength,"")</f>
        <v>1600</v>
      </c>
      <c r="AE338">
        <v>1</v>
      </c>
      <c r="AG338">
        <f>IF(Crops[[#This Row],[Custom Safety Factor]]="",PlantingSafetyFactor,Crops[[#This Row],[Custom Safety Factor]])</f>
        <v>1.3</v>
      </c>
      <c r="AH338">
        <f>1</f>
        <v>1</v>
      </c>
      <c r="AI338" s="33">
        <f>IFERROR(Crops[[#This Row],[Plantings Per Bed]]*Crops[[#This Row],[Seeds Per Planting]]*Crops[[#This Row],[Safety Factor]]*Crops[[#This Row],[Seeding Factor]],"")</f>
        <v>2080</v>
      </c>
      <c r="AL338">
        <f>_xlfn.FLOOR.MATH(IFERROR(AVERAGE(Crops[[#This Row],[DTG Lower]:[DTG Upper]]),0))</f>
        <v>0</v>
      </c>
      <c r="AM338">
        <f>SUM(Crops[[#This Row],[Tray 1 Days]],Crops[[#This Row],[Tray 2 Days]],Crops[[#This Row],[Tray 3 Days]])</f>
        <v>0</v>
      </c>
      <c r="AN338" s="32"/>
      <c r="AP338">
        <v>50</v>
      </c>
      <c r="AQ338">
        <f>IFERROR(_xlfn.FLOOR.MATH(AVERAGE(Crops[[#This Row],[DTM Lower]:[DTM Upper]])),"")</f>
        <v>50</v>
      </c>
      <c r="AR338" cm="1">
        <f t="array" ref="AR338">_xlfn.SWITCH(Crops[[#This Row],[Normal Method]],"DS",Crops[[#This Row],[Days to Germination]]+Crops[[#This Row],[DTM]] + IF(Crops[[#This Row],[Days in Cells]]&gt;0,15,0), "TP",Crops[[#This Row],[DTM]]+Crops[[#This Row],[Days in Cells]] + IF(Crops[[#This Row],[Days in Cells]]&lt;=0,20,0), "X", Crops[[#This Row],[DTM]])</f>
        <v>50</v>
      </c>
      <c r="AS338" t="s">
        <v>347</v>
      </c>
      <c r="AT338">
        <v>14</v>
      </c>
      <c r="AU338">
        <f>Crops[[#This Row],[STH]]-Crops[[#This Row],[Days in Cells]]+Crops[[#This Row],[Harvest window]]</f>
        <v>64</v>
      </c>
      <c r="AW338" t="s">
        <v>212</v>
      </c>
      <c r="AZ338" t="str">
        <f>IFERROR(IF(Crops[[#This Row],[Tray 1 Days]]=0,"",Crops[[#This Row],[Plantings Per Bed]]/Crops[[#This Row],[Tray 1 Size]]*Crops[[#This Row],[Safety Factor]]),"")</f>
        <v/>
      </c>
      <c r="BC338" t="str">
        <f>IFERROR(IF(Crops[[#This Row],[Tray 2 Days]]=0,"",Crops[[#This Row],[Plantings Per Bed]]/Crops[[#This Row],[Tray 2 Size]]*Crops[[#This Row],[Safety Factor]]),"")</f>
        <v/>
      </c>
      <c r="BE338" s="32" t="str">
        <f>IF(NOT(ISBLANK(Crops[[#This Row],[Tray 3 Size]])), Crops[[#This Row],[Days in Cells Old]]-SUM(Crops[[#This Row],[Tray 1 Days]],Crops[[#This Row],[Tray 2 Days]]), "")</f>
        <v/>
      </c>
      <c r="BF338" t="str">
        <f>IFERROR(IF(Crops[[#This Row],[Tray 3 Days]]=0,"",Crops[[#This Row],[Plantings Per Bed]]/Crops[[#This Row],[Tray 3 Size]]*Crops[[#This Row],[Safety Factor]]),"")</f>
        <v/>
      </c>
      <c r="BG338" s="33">
        <f>Crops[[#This Row],[Plantings Per Bed]]/8/2/2</f>
        <v>50</v>
      </c>
      <c r="BH338" s="33">
        <v>2</v>
      </c>
      <c r="BI338" s="33">
        <v>14</v>
      </c>
      <c r="BJ338" s="33">
        <f>_xlfn.XLOOKUP(Crops[[#This Row],[ProductIndex]],Products[ID],Products[Holding Period])</f>
        <v>7</v>
      </c>
      <c r="BK338" s="33"/>
      <c r="BL338" s="33">
        <f>Crops[[#This Row],[Units Per Harvest]]*Crops[[#This Row],[Harvests]]</f>
        <v>100</v>
      </c>
      <c r="BM338" s="35">
        <v>2.75</v>
      </c>
      <c r="BN338" s="35">
        <v>1.77</v>
      </c>
      <c r="BO338" s="35"/>
      <c r="BP338" t="s">
        <v>215</v>
      </c>
      <c r="BQ338">
        <f>Crops[[#This Row],[Custom Yield Per Bed]]*Crops[[#This Row],[Direct Price]]</f>
        <v>275</v>
      </c>
      <c r="BS338" t="b">
        <f>Crops[[#This Row],[Harvests]]&gt;1</f>
        <v>1</v>
      </c>
      <c r="BT338" s="36">
        <f>IFERROR(Crops[[#This Row],[Direct Revenue Per Bed]]/Crops[[#This Row],[Days In Field]],-1)</f>
        <v>4.296875</v>
      </c>
      <c r="BU338" s="36">
        <f>IFERROR(Crops[[#This Row],[Direct Revenue Per Bed Day]]*GrowingDays*BedsPerAcre,"")</f>
        <v>123750</v>
      </c>
      <c r="BV338" s="38">
        <f>LastFrostDate-5*Crops[[#This Row],[Sewing Rel Last Frost]]</f>
        <v>45748</v>
      </c>
      <c r="BW338" s="38">
        <f>Crops[[#This Row],[Target Sewing Date]]+Crops[[#This Row],[Days in Cells]]</f>
        <v>45748</v>
      </c>
      <c r="BX338" s="38">
        <f>Crops[[#This Row],[Target Sewing Date]]+Crops[[#This Row],[STH]]</f>
        <v>45798</v>
      </c>
      <c r="BY338" s="38">
        <f>Crops[[#This Row],[Target Harvest Data]]+Crops[[#This Row],[Harvest window]]</f>
        <v>45812</v>
      </c>
      <c r="BZ338">
        <v>0</v>
      </c>
      <c r="CB338">
        <f>1</f>
        <v>1</v>
      </c>
      <c r="CC338">
        <f>IF(Crops[[#This Row],[Transplanting]]&gt;0, 2, 3)*BedLength/StandardBedLength</f>
        <v>1.5</v>
      </c>
      <c r="CD338" s="173">
        <f>IF(Crops[[#This Row],[Days in Cells]]&lt;=0,0,Crops[[#This Row],[Plantings Per Bed]]/StartsPerHourSeeding+Crops[[#This Row],[Tray 1 Count]]*5/60)</f>
        <v>0</v>
      </c>
      <c r="CE338" s="173">
        <f>IF(ISBLANK(Crops[[#This Row],[Tray 2 Days]]),0,Crops[[#This Row],[Plantings Per Bed]]/UpPottingPerHour)+IF(Crops[[#This Row],[Tray 3 Days]]="",0,Crops[[#This Row],[Plantings Per Bed]]/UpPottingPerHour)</f>
        <v>0</v>
      </c>
      <c r="CF338" s="173">
        <f>IFERROR(Crops[[#This Row],[Tray 1 Count]]/HomeStartFlatIrrigationPerHour,0)*Crops[[#This Row],[Days in Cells]]/DaysBetweenStartIrrigation</f>
        <v>0</v>
      </c>
      <c r="CG338" s="173">
        <f>0.5/16*MAX(Crops[[#This Row],[Tray 1 Count]],Crops[[#This Row],[Tray 2 Count]],Crops[[#This Row],[Tray 3 Count]])</f>
        <v>0</v>
      </c>
      <c r="CH338" s="173">
        <f>IF(Crops[[#This Row],[Days in Cells]]&gt;0,IF(IF(Crops[[#This Row],[Tray 3 Size]]&gt;0,Crops[[#This Row],[Tray 3 Size]],IF(Crops[[#This Row],[Tray 2 Size]]&gt;0,Crops[[#This Row],[Tray 2 Size]],Crops[[#This Row],[Tray 1 Size]]))&lt;=18,LargeTransplantTime,SmallTransplantTime)*Crops[[#This Row],[Plantings Per Bed]],0)</f>
        <v>0</v>
      </c>
      <c r="CI338" s="173"/>
      <c r="CJ338" s="173">
        <f>_xlfn.XLOOKUP(Crops[[#This Row],[Trellis Type]],TrellisMethods[Trellis Type],TrellisMethods[Hours],0,0)</f>
        <v>0</v>
      </c>
      <c r="CK338">
        <f>IF(Crops[[#This Row],[Days in Cells]]&lt;=0,Crops[[#This Row],[Rows]]*1/10,0)*BedLength/50</f>
        <v>0.4</v>
      </c>
      <c r="CL338" cm="1">
        <f t="array" ref="CL338">_xlfn.SWITCH(Crops[[#This Row],[Irrigation]],"DR", 0.5, "OH", 0.25,0)*BedLength/50</f>
        <v>0</v>
      </c>
      <c r="CM338">
        <f>IF(OR(ISBLANK(Crops[[#This Row],[Row Cover]]),Crops[[#This Row],[Row Cover]]="None"),0,1)*BedLength/50</f>
        <v>0</v>
      </c>
      <c r="CN338" s="173">
        <f>HoursPerWeedingPass*Crops[[#This Row],[Days In Field]]/14*Crops[[#This Row],[Rows]]+1*BedLength/50</f>
        <v>4.0476190476190474</v>
      </c>
      <c r="CO338" s="49"/>
      <c r="CQ338" s="37">
        <f>_xlfn.XLOOKUP(Crops[[#This Row],[Crop]]&amp;Crops[[#This Row],[Product]]&amp;Crops[[#This Row],[Unit]],Products[ID],Products[Marketing (hr)])*Crops[[#This Row],[Direct Revenue Per Bed]]/2000</f>
        <v>0.27500000000000002</v>
      </c>
      <c r="CR338" s="37">
        <f>_xlfn.XLOOKUP(Crops[[#This Row],[Crop]]&amp;Crops[[#This Row],[Product]]&amp;Crops[[#This Row],[Unit]],Products[ID],Products[Harvest (s)])*Crops[[#This Row],[Custom Yield Per Bed]]/3600</f>
        <v>0.66666666666666663</v>
      </c>
      <c r="CS338" s="37">
        <f>_xlfn.XLOOKUP(Crops[[#This Row],[Crop]]&amp;Crops[[#This Row],[Product]]&amp;Crops[[#This Row],[Unit]],Products[ID],Products[Bunch (s)])*Crops[[#This Row],[Custom Yield Per Bed]]/3600</f>
        <v>0.27777777777777779</v>
      </c>
      <c r="CT338" s="37">
        <f>_xlfn.XLOOKUP(Crops[[#This Row],[Crop]]&amp;Crops[[#This Row],[Product]]&amp;Crops[[#This Row],[Unit]],Products[ID],Products[Haul (s)])*Crops[[#This Row],[Custom Yield Per Bed]]/3600</f>
        <v>0.10416666666666667</v>
      </c>
      <c r="CU338" s="37">
        <f>_xlfn.XLOOKUP(Crops[[#This Row],[Crop]]&amp;Crops[[#This Row],[Product]]&amp;Crops[[#This Row],[Unit]],Products[ID],Products[Wash (s)])*Crops[[#This Row],[Custom Yield Per Bed]]/3600</f>
        <v>0.69444444444444442</v>
      </c>
      <c r="CV338" s="37">
        <f>_xlfn.XLOOKUP(Crops[[#This Row],[Crop]]&amp;Crops[[#This Row],[Product]]&amp;Crops[[#This Row],[Unit]],Products[ID],Products[Condition (s)])*Crops[[#This Row],[Custom Yield Per Bed]]/3600</f>
        <v>0</v>
      </c>
      <c r="CW338" s="37">
        <f>_xlfn.XLOOKUP(Crops[[#This Row],[Crop]]&amp;Crops[[#This Row],[Product]]&amp;Crops[[#This Row],[Unit]],Products[ID],Products[Trim (s)])*Crops[[#This Row],[Custom Yield Per Bed]]/3600</f>
        <v>0.41666666666666669</v>
      </c>
      <c r="CX338" s="37">
        <f>_xlfn.XLOOKUP(Crops[[#This Row],[Crop]]&amp;Crops[[#This Row],[Product]]&amp;Crops[[#This Row],[Unit]],Products[ID],Products[Pack (s)])*Crops[[#This Row],[Custom Yield Per Bed]]/3600</f>
        <v>8.3333333333333329E-2</v>
      </c>
      <c r="CY338" s="37">
        <f>_xlfn.XLOOKUP(Crops[[#This Row],[Crop]]&amp;Crops[[#This Row],[Product]]&amp;Crops[[#This Row],[Unit]],Products[ID],Products[Clean (s)])*Crops[[#This Row],[Custom Yield Per Bed]]/3600</f>
        <v>0</v>
      </c>
      <c r="CZ338" s="37">
        <f>_xlfn.XLOOKUP(Crops[[#This Row],[Crop]]&amp;Crops[[#This Row],[Product]]&amp;Crops[[#This Row],[Unit]],Products[ID],Products[Rehandle (s)])*Crops[[#This Row],[Custom Yield Per Bed]]/3600</f>
        <v>0</v>
      </c>
      <c r="DA338" s="37">
        <f>_xlfn.XLOOKUP(Crops[[#This Row],[Crop]]&amp;Crops[[#This Row],[Product]]&amp;Crops[[#This Row],[Unit]],Products[ID],Products[Market Transport (s)])*Crops[[#This Row],[Custom Yield Per Bed]]/3600</f>
        <v>0.26041666666666669</v>
      </c>
      <c r="DC338" s="37">
        <f>Crops[[#This Row],[Direct Revenue Per Bed2]]</f>
        <v>275</v>
      </c>
      <c r="DD338" s="173">
        <f>_xlfn.AGGREGATE(9,6,Crops[[#This Row],[Bed Prep]:[Remove Crop Residue]])</f>
        <v>8.7260912698412714</v>
      </c>
      <c r="DE338" s="173">
        <f>_xlfn.AGGREGATE(9,6,Crops[[#This Row],[Bed Prep]:[Remove Crop Residue]])-0.75*Crops[[#This Row],[Market &amp; Sell]]</f>
        <v>8.5198412698412707</v>
      </c>
      <c r="DF338" s="36">
        <f>Crops[[#This Row],[Direct Revenue Per Bed2]]/Crops[[#This Row],[Direct Time]]</f>
        <v>31.514682977296236</v>
      </c>
      <c r="DG338" s="36">
        <f>_xlfn.XLOOKUP(Crops[[#This Row],[ProductIndex]],Products[ID],Products[Packaging Cost])*(Crops[[#This Row],[Custom Yield Per Bed]]/_xlfn.XLOOKUP(Crops[[#This Row],[ProductIndex]],Products[ID],Products[Units Per Pack]))</f>
        <v>15.833333333333334</v>
      </c>
      <c r="DH338" s="36"/>
      <c r="DI338" s="36"/>
      <c r="DJ338" s="36"/>
      <c r="DK338" s="36"/>
      <c r="DL338" s="36"/>
      <c r="DM338" s="33">
        <f>IFERROR(Crops[[#This Row],[Custom Yield Per Bed]]*Crops[[#This Row],[Direct Price]],"")</f>
        <v>275</v>
      </c>
      <c r="DN338" s="36">
        <f>Crops[[#This Row],[Direct Time]]*LaborRate</f>
        <v>218.15228174603178</v>
      </c>
      <c r="DO338" s="36">
        <f>SUM(Crops[[#This Row],[Irrigation Cost]])</f>
        <v>0</v>
      </c>
      <c r="DP338" s="36">
        <f>Crops[[#This Row],[Direct Labor Cost]]+Crops[[#This Row],[Direct Non-Labor Cost]]</f>
        <v>218.15228174603178</v>
      </c>
      <c r="DQ338" s="36">
        <f>Crops[[#This Row],[Direct Revenue Per Bed2]]-Crops[[#This Row],[Direct Total Cost]]</f>
        <v>56.847718253968225</v>
      </c>
      <c r="DR338" s="36">
        <f>Crops[[#This Row],[Direct Profit]]*BedsPerAcre</f>
        <v>9095.634920634915</v>
      </c>
      <c r="DS338" s="36">
        <f>Crops[[#This Row],[Direct Profit]]*BedsPerAcre*GrowingDays/Crops[[#This Row],[Days In Field]]</f>
        <v>25581.473214285699</v>
      </c>
      <c r="DT338" s="36">
        <f>Crops[[#This Row],[Direct Profit]]/MIN(Crops[[#This Row],[Days In Field]],GrowingDays)</f>
        <v>0.88824559771825351</v>
      </c>
      <c r="DU338" s="33">
        <f>Crops[[#This Row],[Direct Time]] * BedsPerAcre</f>
        <v>1396.1746031746034</v>
      </c>
      <c r="DV338" s="36">
        <f>(Crops[[#This Row],[Direct Revenue Per Bed2]]-Crops[[#This Row],[Direct Non-Labor Cost]])/Crops[[#This Row],[Direct Time]]</f>
        <v>31.514682977296236</v>
      </c>
      <c r="DW338" s="33">
        <f>IFERROR(Crops[[#This Row],[Custom Yield Per Bed]]*Crops[[#This Row],[Rough Wholesale Price]],"")</f>
        <v>177</v>
      </c>
      <c r="DX338" s="36">
        <f>Crops[[#This Row],[Wholesale Time]]*LaborRate</f>
        <v>212.99603174603178</v>
      </c>
      <c r="DY338" s="36">
        <f>SUM(Crops[[#This Row],[Packaging Costs]:[Irrigation Cost]])</f>
        <v>15.833333333333334</v>
      </c>
      <c r="DZ338" s="36">
        <f>Crops[[#This Row],[Wholesale Labor Cost]]+Crops[[#This Row],[Wholesale Non-Labor Cost]]</f>
        <v>228.82936507936512</v>
      </c>
      <c r="EA338" s="36">
        <f>Crops[[#This Row],[Wholesale Revenue Per Bed]]-Crops[[#This Row],[Wholesale Total Cost]]</f>
        <v>-51.829365079365118</v>
      </c>
      <c r="EB338" s="36">
        <f>Crops[[#This Row],[Wholesale Profit]]*BedsPerAcre</f>
        <v>-8292.6984126984189</v>
      </c>
      <c r="EC338" s="36">
        <f>Crops[[#This Row],[Wholesale Profit]]*BedsPerAcre*GrowingDays/Crops[[#This Row],[Days In Field]]</f>
        <v>-23323.214285714304</v>
      </c>
      <c r="ED338" s="33">
        <f>Crops[[#This Row],[Wholesale Time]] * BedsPerAcre</f>
        <v>1363.1746031746034</v>
      </c>
      <c r="EE338" s="221">
        <f>Crops[[#This Row],[Wholesale Profit]]/MIN(Crops[[#This Row],[Days In Field]],GrowingDays)</f>
        <v>-0.80983382936507997</v>
      </c>
      <c r="EF338" s="36">
        <f>(Crops[[#This Row],[Wholesale Revenue Per Bed]]-Crops[[#This Row],[Wholesale Non-Labor Cost]])/Crops[[#This Row],[Direct Time]]</f>
        <v>18.469514205482096</v>
      </c>
      <c r="EG338" s="174">
        <f>Crops[[#This Row],[Packaging Costs]]/Crops[[#This Row],[Wholesale Revenue Per Bed]]</f>
        <v>8.9453860640301322E-2</v>
      </c>
      <c r="EH338" s="36" t="str">
        <f>Crops[[#This Row],[Crop]]&amp;Crops[[#This Row],[Product]]&amp;Crops[[#This Row],[Unit]]</f>
        <v>TurnipMature RootBunch</v>
      </c>
      <c r="EI338" s="36" t="b">
        <f>_xlfn.XLOOKUP(Crops[[#This Row],[ProductIndex]],Products[ID],Products[Target])</f>
        <v>1</v>
      </c>
      <c r="EJ338" s="36">
        <f>Crops[[#This Row],[Custom Yield Per Bed]]</f>
        <v>100</v>
      </c>
      <c r="EK338" s="210">
        <f>Crops[[#This Row],[Units Per Harvest]]/Crops[[#This Row],[Days Between Harvest]]*7</f>
        <v>25</v>
      </c>
      <c r="EL338" s="210">
        <f>Crops[[#This Row],[Custom Yield Per Bed]]/_xlfn.XLOOKUP(Crops[[#This Row],[ProductIndex]],Products[ID],Products[CSA Portion])</f>
        <v>100</v>
      </c>
      <c r="EM338" s="210">
        <f>Crops[[#This Row],[Units Per Harvest]]/Crops[[#This Row],[Days Between Harvest]]*7/_xlfn.XLOOKUP(Crops[[#This Row],[ProductIndex]],Products[ID],Products[CSA Portion])</f>
        <v>25</v>
      </c>
      <c r="EN338" s="210">
        <f>Crops[[#This Row],[CSA Portions Per Week]]/CSAMembers</f>
        <v>0.5</v>
      </c>
      <c r="EO338" s="210"/>
      <c r="EP338" s="210"/>
      <c r="EQ338" s="210"/>
      <c r="ER338" s="210">
        <f>Crops[[#This Row],[Harvests]]*Crops[[#This Row],[Days Between Harvest]]/7</f>
        <v>4</v>
      </c>
      <c r="ES338" s="217">
        <f>_xlfn.XLOOKUP(Crops[[#This Row],[ProductIndex]],Products[ID],Products[CSA Need])</f>
        <v>4</v>
      </c>
      <c r="ET338" s="217">
        <f>_xlfn.XLOOKUP(Crops[[#This Row],[ProductIndex]],Products[ID],Products[CSA Times])</f>
        <v>4</v>
      </c>
      <c r="EU338" s="208">
        <f>Crops[[#This Row],[Custom Yield Per Bed]]/(Crops[[#This Row],[CSA Need]]*(_xlfn.XLOOKUP(Crops[[#This Row],[ProductIndex]],Products[ID],Products[CSA Portion])*CSAMembers))</f>
        <v>0.5</v>
      </c>
      <c r="EV338" s="208">
        <f>_xlfn.XLOOKUP(Crops[[#This Row],[ProductIndex]],Products[ID],Products[CSA Portion])*CSAMembers*Crops[[#This Row],[CSA Need]]/Crops[[#This Row],[Custom Yield Per Bed]]</f>
        <v>2</v>
      </c>
      <c r="EW338" s="208">
        <f>IFERROR(Crops[[#This Row],[Days In Field]]*Crops[[#This Row],[CSA Beds]],"")</f>
        <v>128</v>
      </c>
      <c r="EX338" s="208" t="e">
        <f>Crops[[#This Row],[CSA Bed Days]]*#REF!</f>
        <v>#REF!</v>
      </c>
      <c r="EY338" t="s">
        <v>1727</v>
      </c>
    </row>
    <row r="339" spans="1:155">
      <c r="A33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Turnip (Tokyo) - Mature Root 1X | Field DS SuFa</v>
      </c>
      <c r="B339" s="191"/>
      <c r="C339" s="1" t="b">
        <v>1</v>
      </c>
      <c r="D339" s="1"/>
      <c r="E339" s="1" t="b">
        <v>0</v>
      </c>
      <c r="F339" s="1" t="b">
        <f>IFERROR(IF(ISNUMBER(MATCH(Crops[[#This Row],[Identifier]],BedPlan[Crop], 0)), TRUE, FALSE), FALSE)</f>
        <v>1</v>
      </c>
      <c r="G339" s="1" t="b">
        <f>IFERROR(IF(ISNUMBER(MATCH(Crops[[#This Row],[Identifier]],BedPlan[Crop], 0)), TRUE, FALSE), FALSE)</f>
        <v>1</v>
      </c>
      <c r="H339" s="1"/>
      <c r="I339" t="s">
        <v>137</v>
      </c>
      <c r="J339" t="s">
        <v>2749</v>
      </c>
      <c r="K339" t="s">
        <v>185</v>
      </c>
      <c r="M339" t="s">
        <v>443</v>
      </c>
      <c r="N339" t="str">
        <f>Crops[[#This Row],[Crop]]</f>
        <v>Turnip</v>
      </c>
      <c r="O339" t="s">
        <v>210</v>
      </c>
      <c r="P339" t="str">
        <f>IF(OR(Crops[[#This Row],[Days in Cells]]="",Crops[[#This Row],[Days in Cells]]=0), "DS","TP")</f>
        <v>DS</v>
      </c>
      <c r="R339" t="b">
        <v>1</v>
      </c>
      <c r="S339" t="b">
        <v>1</v>
      </c>
      <c r="V339" t="str">
        <f xml:space="preserve"> IF(Crops[[#This Row],[Sp]], "Sp", "") &amp; IF(Crops[[#This Row],[Su]], "Su", "") &amp; IF(Crops[[#This Row],[Fa]], "Fa", "") &amp; IF(Crops[[#This Row],[Wi]], "Wi", "") &amp; IF(Crops[[#This Row],[OW]], "Ow","")</f>
        <v>SuFa</v>
      </c>
      <c r="W339" t="s">
        <v>144</v>
      </c>
      <c r="X339">
        <v>4</v>
      </c>
      <c r="Y339">
        <v>1.5</v>
      </c>
      <c r="AC339">
        <v>2</v>
      </c>
      <c r="AD339" s="32">
        <f>IFERROR(12/Crops[[#This Row],[Spacing]]*Crops[[#This Row],[Rows]]*BedLength,"")</f>
        <v>1600</v>
      </c>
      <c r="AE339">
        <v>1</v>
      </c>
      <c r="AG339">
        <f>IF(Crops[[#This Row],[Custom Safety Factor]]="",PlantingSafetyFactor,Crops[[#This Row],[Custom Safety Factor]])</f>
        <v>1.3</v>
      </c>
      <c r="AH339">
        <f>1</f>
        <v>1</v>
      </c>
      <c r="AI339" s="33">
        <f>IFERROR(Crops[[#This Row],[Plantings Per Bed]]*Crops[[#This Row],[Seeds Per Planting]]*Crops[[#This Row],[Safety Factor]]*Crops[[#This Row],[Seeding Factor]],"")</f>
        <v>2080</v>
      </c>
      <c r="AL339">
        <f>_xlfn.FLOOR.MATH(IFERROR(AVERAGE(Crops[[#This Row],[DTG Lower]:[DTG Upper]]),0))</f>
        <v>0</v>
      </c>
      <c r="AM339">
        <f>SUM(Crops[[#This Row],[Tray 1 Days]],Crops[[#This Row],[Tray 2 Days]],Crops[[#This Row],[Tray 3 Days]])</f>
        <v>0</v>
      </c>
      <c r="AN339" s="32"/>
      <c r="AP339">
        <v>40</v>
      </c>
      <c r="AQ339">
        <f>IFERROR(_xlfn.FLOOR.MATH(AVERAGE(Crops[[#This Row],[DTM Lower]:[DTM Upper]])),"")</f>
        <v>40</v>
      </c>
      <c r="AR339" cm="1">
        <f t="array" ref="AR339">_xlfn.SWITCH(Crops[[#This Row],[Normal Method]],"DS",Crops[[#This Row],[Days to Germination]]+Crops[[#This Row],[DTM]] + IF(Crops[[#This Row],[Days in Cells]]&gt;0,15,0), "TP",Crops[[#This Row],[DTM]]+Crops[[#This Row],[Days in Cells]] + IF(Crops[[#This Row],[Days in Cells]]&lt;=0,20,0), "X", Crops[[#This Row],[DTM]])</f>
        <v>40</v>
      </c>
      <c r="AS339" t="s">
        <v>347</v>
      </c>
      <c r="AT339">
        <v>14</v>
      </c>
      <c r="AU339">
        <f>Crops[[#This Row],[STH]]-Crops[[#This Row],[Days in Cells]]+Crops[[#This Row],[Harvest window]]</f>
        <v>54</v>
      </c>
      <c r="AW339" t="s">
        <v>212</v>
      </c>
      <c r="AZ339" t="str">
        <f>IFERROR(IF(Crops[[#This Row],[Tray 1 Days]]=0,"",Crops[[#This Row],[Plantings Per Bed]]/Crops[[#This Row],[Tray 1 Size]]*Crops[[#This Row],[Safety Factor]]),"")</f>
        <v/>
      </c>
      <c r="BC339" t="str">
        <f>IFERROR(IF(Crops[[#This Row],[Tray 2 Days]]=0,"",Crops[[#This Row],[Plantings Per Bed]]/Crops[[#This Row],[Tray 2 Size]]*Crops[[#This Row],[Safety Factor]]),"")</f>
        <v/>
      </c>
      <c r="BE339" s="32" t="str">
        <f>IF(NOT(ISBLANK(Crops[[#This Row],[Tray 3 Size]])), Crops[[#This Row],[Days in Cells Old]]-SUM(Crops[[#This Row],[Tray 1 Days]],Crops[[#This Row],[Tray 2 Days]]), "")</f>
        <v/>
      </c>
      <c r="BF339" t="str">
        <f>IFERROR(IF(Crops[[#This Row],[Tray 3 Days]]=0,"",Crops[[#This Row],[Plantings Per Bed]]/Crops[[#This Row],[Tray 3 Size]]*Crops[[#This Row],[Safety Factor]]),"")</f>
        <v/>
      </c>
      <c r="BG339" s="33">
        <f>Crops[[#This Row],[Plantings Per Bed]]/8/2/2</f>
        <v>50</v>
      </c>
      <c r="BH339" s="33">
        <v>2</v>
      </c>
      <c r="BI339" s="33">
        <v>14</v>
      </c>
      <c r="BJ339" s="33">
        <f>_xlfn.XLOOKUP(Crops[[#This Row],[ProductIndex]],Products[ID],Products[Holding Period])</f>
        <v>7</v>
      </c>
      <c r="BK339" s="33"/>
      <c r="BL339" s="33">
        <f>Crops[[#This Row],[Units Per Harvest]]*Crops[[#This Row],[Harvests]]</f>
        <v>100</v>
      </c>
      <c r="BM339" s="35">
        <v>2.75</v>
      </c>
      <c r="BN339" s="35">
        <v>1.77</v>
      </c>
      <c r="BO339" s="35"/>
      <c r="BP339" t="s">
        <v>215</v>
      </c>
      <c r="BQ339">
        <f>Crops[[#This Row],[Custom Yield Per Bed]]*Crops[[#This Row],[Direct Price]]</f>
        <v>275</v>
      </c>
      <c r="BR339" t="b">
        <v>0</v>
      </c>
      <c r="BS339" t="b">
        <f>Crops[[#This Row],[Harvests]]&gt;1</f>
        <v>1</v>
      </c>
      <c r="BT339" s="36">
        <f>IFERROR(Crops[[#This Row],[Direct Revenue Per Bed]]/Crops[[#This Row],[Days In Field]],-1)</f>
        <v>5.0925925925925926</v>
      </c>
      <c r="BU339" s="36">
        <f>IFERROR(Crops[[#This Row],[Direct Revenue Per Bed Day]]*GrowingDays*BedsPerAcre,"")</f>
        <v>146666.66666666666</v>
      </c>
      <c r="BV339" s="38">
        <f>LastFrostDate-5*Crops[[#This Row],[Sewing Rel Last Frost]]</f>
        <v>45843</v>
      </c>
      <c r="BW339" s="38">
        <f>Crops[[#This Row],[Target Sewing Date]]+Crops[[#This Row],[Days in Cells]]</f>
        <v>45843</v>
      </c>
      <c r="BX339" s="38">
        <f>Crops[[#This Row],[Target Sewing Date]]+Crops[[#This Row],[STH]]</f>
        <v>45883</v>
      </c>
      <c r="BY339" s="38">
        <f>Crops[[#This Row],[Target Harvest Data]]+Crops[[#This Row],[Harvest window]]</f>
        <v>45897</v>
      </c>
      <c r="BZ339">
        <v>-19</v>
      </c>
      <c r="CB339">
        <f>1</f>
        <v>1</v>
      </c>
      <c r="CC339">
        <f>IF(Crops[[#This Row],[Transplanting]]&gt;0, 2, 3)*BedLength/StandardBedLength</f>
        <v>1.5</v>
      </c>
      <c r="CD339" s="173">
        <f>IF(Crops[[#This Row],[Days in Cells]]&lt;=0,0,Crops[[#This Row],[Plantings Per Bed]]/StartsPerHourSeeding+Crops[[#This Row],[Tray 1 Count]]*5/60)</f>
        <v>0</v>
      </c>
      <c r="CE339" s="173">
        <f>IF(ISBLANK(Crops[[#This Row],[Tray 2 Days]]),0,Crops[[#This Row],[Plantings Per Bed]]/UpPottingPerHour)+IF(Crops[[#This Row],[Tray 3 Days]]="",0,Crops[[#This Row],[Plantings Per Bed]]/UpPottingPerHour)</f>
        <v>0</v>
      </c>
      <c r="CF339" s="173">
        <f>IFERROR(Crops[[#This Row],[Tray 1 Count]]/HomeStartFlatIrrigationPerHour,0)*Crops[[#This Row],[Days in Cells]]/DaysBetweenStartIrrigation</f>
        <v>0</v>
      </c>
      <c r="CG339" s="173">
        <f>0.5/16*MAX(Crops[[#This Row],[Tray 1 Count]],Crops[[#This Row],[Tray 2 Count]],Crops[[#This Row],[Tray 3 Count]])</f>
        <v>0</v>
      </c>
      <c r="CH339" s="173">
        <f>IF(Crops[[#This Row],[Days in Cells]]&gt;0,IF(IF(Crops[[#This Row],[Tray 3 Size]]&gt;0,Crops[[#This Row],[Tray 3 Size]],IF(Crops[[#This Row],[Tray 2 Size]]&gt;0,Crops[[#This Row],[Tray 2 Size]],Crops[[#This Row],[Tray 1 Size]]))&lt;=18,LargeTransplantTime,SmallTransplantTime)*Crops[[#This Row],[Plantings Per Bed]],0)</f>
        <v>0</v>
      </c>
      <c r="CI339" s="173"/>
      <c r="CJ339" s="173">
        <f>_xlfn.XLOOKUP(Crops[[#This Row],[Trellis Type]],TrellisMethods[Trellis Type],TrellisMethods[Hours],0,0)</f>
        <v>0</v>
      </c>
      <c r="CK339">
        <f>IF(Crops[[#This Row],[Days in Cells]]&lt;=0,Crops[[#This Row],[Rows]]*1/10,0)*BedLength/50</f>
        <v>0.4</v>
      </c>
      <c r="CL339" cm="1">
        <f t="array" ref="CL339">_xlfn.SWITCH(Crops[[#This Row],[Irrigation]],"DR", 0.5, "OH", 0.25,0)*BedLength/50</f>
        <v>0</v>
      </c>
      <c r="CM339">
        <f>IF(OR(ISBLANK(Crops[[#This Row],[Row Cover]]),Crops[[#This Row],[Row Cover]]="None"),0,1)*BedLength/50</f>
        <v>0</v>
      </c>
      <c r="CN339" s="173">
        <f>HoursPerWeedingPass*Crops[[#This Row],[Days In Field]]/14*Crops[[#This Row],[Rows]]+1*BedLength/50</f>
        <v>3.5714285714285716</v>
      </c>
      <c r="CO339" s="49"/>
      <c r="CQ339" s="37">
        <f>_xlfn.XLOOKUP(Crops[[#This Row],[Crop]]&amp;Crops[[#This Row],[Product]]&amp;Crops[[#This Row],[Unit]],Products[ID],Products[Marketing (hr)])*Crops[[#This Row],[Direct Revenue Per Bed]]/2000</f>
        <v>0.27500000000000002</v>
      </c>
      <c r="CR339" s="37">
        <f>_xlfn.XLOOKUP(Crops[[#This Row],[Crop]]&amp;Crops[[#This Row],[Product]]&amp;Crops[[#This Row],[Unit]],Products[ID],Products[Harvest (s)])*Crops[[#This Row],[Custom Yield Per Bed]]/3600</f>
        <v>0.66666666666666663</v>
      </c>
      <c r="CS339" s="37">
        <f>_xlfn.XLOOKUP(Crops[[#This Row],[Crop]]&amp;Crops[[#This Row],[Product]]&amp;Crops[[#This Row],[Unit]],Products[ID],Products[Bunch (s)])*Crops[[#This Row],[Custom Yield Per Bed]]/3600</f>
        <v>0.27777777777777779</v>
      </c>
      <c r="CT339" s="37">
        <f>_xlfn.XLOOKUP(Crops[[#This Row],[Crop]]&amp;Crops[[#This Row],[Product]]&amp;Crops[[#This Row],[Unit]],Products[ID],Products[Haul (s)])*Crops[[#This Row],[Custom Yield Per Bed]]/3600</f>
        <v>0.10416666666666667</v>
      </c>
      <c r="CU339" s="37">
        <f>_xlfn.XLOOKUP(Crops[[#This Row],[Crop]]&amp;Crops[[#This Row],[Product]]&amp;Crops[[#This Row],[Unit]],Products[ID],Products[Wash (s)])*Crops[[#This Row],[Custom Yield Per Bed]]/3600</f>
        <v>0.69444444444444442</v>
      </c>
      <c r="CV339" s="37">
        <f>_xlfn.XLOOKUP(Crops[[#This Row],[Crop]]&amp;Crops[[#This Row],[Product]]&amp;Crops[[#This Row],[Unit]],Products[ID],Products[Condition (s)])*Crops[[#This Row],[Custom Yield Per Bed]]/3600</f>
        <v>0</v>
      </c>
      <c r="CW339" s="37">
        <f>_xlfn.XLOOKUP(Crops[[#This Row],[Crop]]&amp;Crops[[#This Row],[Product]]&amp;Crops[[#This Row],[Unit]],Products[ID],Products[Trim (s)])*Crops[[#This Row],[Custom Yield Per Bed]]/3600</f>
        <v>0.41666666666666669</v>
      </c>
      <c r="CX339" s="37">
        <f>_xlfn.XLOOKUP(Crops[[#This Row],[Crop]]&amp;Crops[[#This Row],[Product]]&amp;Crops[[#This Row],[Unit]],Products[ID],Products[Pack (s)])*Crops[[#This Row],[Custom Yield Per Bed]]/3600</f>
        <v>8.3333333333333329E-2</v>
      </c>
      <c r="CY339" s="37">
        <f>_xlfn.XLOOKUP(Crops[[#This Row],[Crop]]&amp;Crops[[#This Row],[Product]]&amp;Crops[[#This Row],[Unit]],Products[ID],Products[Clean (s)])*Crops[[#This Row],[Custom Yield Per Bed]]/3600</f>
        <v>0</v>
      </c>
      <c r="CZ339" s="37">
        <f>_xlfn.XLOOKUP(Crops[[#This Row],[Crop]]&amp;Crops[[#This Row],[Product]]&amp;Crops[[#This Row],[Unit]],Products[ID],Products[Rehandle (s)])*Crops[[#This Row],[Custom Yield Per Bed]]/3600</f>
        <v>0</v>
      </c>
      <c r="DA339" s="37">
        <f>_xlfn.XLOOKUP(Crops[[#This Row],[Crop]]&amp;Crops[[#This Row],[Product]]&amp;Crops[[#This Row],[Unit]],Products[ID],Products[Market Transport (s)])*Crops[[#This Row],[Custom Yield Per Bed]]/3600</f>
        <v>0.26041666666666669</v>
      </c>
      <c r="DC339" s="37">
        <f>Crops[[#This Row],[Direct Revenue Per Bed2]]</f>
        <v>275</v>
      </c>
      <c r="DD339" s="173">
        <f>_xlfn.AGGREGATE(9,6,Crops[[#This Row],[Bed Prep]:[Remove Crop Residue]])</f>
        <v>8.2499007936507951</v>
      </c>
      <c r="DE339" s="173">
        <f>_xlfn.AGGREGATE(9,6,Crops[[#This Row],[Bed Prep]:[Remove Crop Residue]])-0.75*Crops[[#This Row],[Market &amp; Sell]]</f>
        <v>8.0436507936507944</v>
      </c>
      <c r="DF339" s="36">
        <f>Crops[[#This Row],[Direct Revenue Per Bed2]]/Crops[[#This Row],[Direct Time]]</f>
        <v>33.333734171887585</v>
      </c>
      <c r="DG339" s="36">
        <f>_xlfn.XLOOKUP(Crops[[#This Row],[ProductIndex]],Products[ID],Products[Packaging Cost])*(Crops[[#This Row],[Custom Yield Per Bed]]/_xlfn.XLOOKUP(Crops[[#This Row],[ProductIndex]],Products[ID],Products[Units Per Pack]))</f>
        <v>15.833333333333334</v>
      </c>
      <c r="DH339" s="36"/>
      <c r="DI339" s="36"/>
      <c r="DJ339" s="36"/>
      <c r="DK339" s="36"/>
      <c r="DL339" s="36"/>
      <c r="DM339" s="33">
        <f>IFERROR(Crops[[#This Row],[Custom Yield Per Bed]]*Crops[[#This Row],[Direct Price]],"")</f>
        <v>275</v>
      </c>
      <c r="DN339" s="36">
        <f>Crops[[#This Row],[Direct Time]]*LaborRate</f>
        <v>206.24751984126988</v>
      </c>
      <c r="DO339" s="36">
        <f>SUM(Crops[[#This Row],[Irrigation Cost]])</f>
        <v>0</v>
      </c>
      <c r="DP339" s="36">
        <f>Crops[[#This Row],[Direct Labor Cost]]+Crops[[#This Row],[Direct Non-Labor Cost]]</f>
        <v>206.24751984126988</v>
      </c>
      <c r="DQ339" s="36">
        <f>Crops[[#This Row],[Direct Revenue Per Bed2]]-Crops[[#This Row],[Direct Total Cost]]</f>
        <v>68.752480158730123</v>
      </c>
      <c r="DR339" s="36">
        <f>Crops[[#This Row],[Direct Profit]]*BedsPerAcre</f>
        <v>11000.39682539682</v>
      </c>
      <c r="DS339" s="36">
        <f>Crops[[#This Row],[Direct Profit]]*BedsPerAcre*GrowingDays/Crops[[#This Row],[Days In Field]]</f>
        <v>36667.989417989396</v>
      </c>
      <c r="DT339" s="36">
        <f>Crops[[#This Row],[Direct Profit]]/MIN(Crops[[#This Row],[Days In Field]],GrowingDays)</f>
        <v>1.2731940770135208</v>
      </c>
      <c r="DU339" s="33">
        <f>Crops[[#This Row],[Direct Time]] * BedsPerAcre</f>
        <v>1319.9841269841272</v>
      </c>
      <c r="DV339" s="36">
        <f>(Crops[[#This Row],[Direct Revenue Per Bed2]]-Crops[[#This Row],[Direct Non-Labor Cost]])/Crops[[#This Row],[Direct Time]]</f>
        <v>33.333734171887585</v>
      </c>
      <c r="DW339" s="33">
        <f>IFERROR(Crops[[#This Row],[Custom Yield Per Bed]]*Crops[[#This Row],[Rough Wholesale Price]],"")</f>
        <v>177</v>
      </c>
      <c r="DX339" s="36">
        <f>Crops[[#This Row],[Wholesale Time]]*LaborRate</f>
        <v>201.09126984126985</v>
      </c>
      <c r="DY339" s="36">
        <f>SUM(Crops[[#This Row],[Packaging Costs]:[Irrigation Cost]])</f>
        <v>15.833333333333334</v>
      </c>
      <c r="DZ339" s="36">
        <f>Crops[[#This Row],[Wholesale Labor Cost]]+Crops[[#This Row],[Wholesale Non-Labor Cost]]</f>
        <v>216.92460317460319</v>
      </c>
      <c r="EA339" s="36">
        <f>Crops[[#This Row],[Wholesale Revenue Per Bed]]-Crops[[#This Row],[Wholesale Total Cost]]</f>
        <v>-39.924603174603192</v>
      </c>
      <c r="EB339" s="36">
        <f>Crops[[#This Row],[Wholesale Profit]]*BedsPerAcre</f>
        <v>-6387.9365079365107</v>
      </c>
      <c r="EC339" s="36">
        <f>Crops[[#This Row],[Wholesale Profit]]*BedsPerAcre*GrowingDays/Crops[[#This Row],[Days In Field]]</f>
        <v>-21293.121693121702</v>
      </c>
      <c r="ED339" s="33">
        <f>Crops[[#This Row],[Wholesale Time]] * BedsPerAcre</f>
        <v>1286.9841269841272</v>
      </c>
      <c r="EE339" s="221">
        <f>Crops[[#This Row],[Wholesale Profit]]/MIN(Crops[[#This Row],[Days In Field]],GrowingDays)</f>
        <v>-0.7393445032333924</v>
      </c>
      <c r="EF339" s="36">
        <f>(Crops[[#This Row],[Wholesale Revenue Per Bed]]-Crops[[#This Row],[Wholesale Non-Labor Cost]])/Crops[[#This Row],[Direct Time]]</f>
        <v>19.535588451039569</v>
      </c>
      <c r="EG339" s="174">
        <f>Crops[[#This Row],[Packaging Costs]]/Crops[[#This Row],[Wholesale Revenue Per Bed]]</f>
        <v>8.9453860640301322E-2</v>
      </c>
      <c r="EH339" s="36" t="str">
        <f>Crops[[#This Row],[Crop]]&amp;Crops[[#This Row],[Product]]&amp;Crops[[#This Row],[Unit]]</f>
        <v>TurnipMature RootBunch</v>
      </c>
      <c r="EI339" s="36" t="b">
        <f>_xlfn.XLOOKUP(Crops[[#This Row],[ProductIndex]],Products[ID],Products[Target])</f>
        <v>1</v>
      </c>
      <c r="EJ339" s="33">
        <f>Crops[[#This Row],[Custom Yield Per Bed]]</f>
        <v>100</v>
      </c>
      <c r="EK339" s="210">
        <f>Crops[[#This Row],[Units Per Harvest]]/Crops[[#This Row],[Days Between Harvest]]*7</f>
        <v>25</v>
      </c>
      <c r="EL339" s="210">
        <f>Crops[[#This Row],[Custom Yield Per Bed]]/_xlfn.XLOOKUP(Crops[[#This Row],[ProductIndex]],Products[ID],Products[CSA Portion])</f>
        <v>100</v>
      </c>
      <c r="EM339" s="210">
        <f>Crops[[#This Row],[Units Per Harvest]]/Crops[[#This Row],[Days Between Harvest]]*7/_xlfn.XLOOKUP(Crops[[#This Row],[ProductIndex]],Products[ID],Products[CSA Portion])</f>
        <v>25</v>
      </c>
      <c r="EN339" s="210">
        <f>Crops[[#This Row],[CSA Portions Per Week]]/CSAMembers</f>
        <v>0.5</v>
      </c>
      <c r="EO339" s="216">
        <v>1</v>
      </c>
      <c r="EP339" s="216">
        <v>1</v>
      </c>
      <c r="EQ339" s="210"/>
      <c r="ER339" s="210">
        <f>Crops[[#This Row],[Harvests]]*Crops[[#This Row],[Days Between Harvest]]/7</f>
        <v>4</v>
      </c>
      <c r="ES339" s="217">
        <f>_xlfn.XLOOKUP(Crops[[#This Row],[ProductIndex]],Products[ID],Products[CSA Need])</f>
        <v>4</v>
      </c>
      <c r="ET339" s="217">
        <f>_xlfn.XLOOKUP(Crops[[#This Row],[ProductIndex]],Products[ID],Products[CSA Times])</f>
        <v>4</v>
      </c>
      <c r="EU339" s="208">
        <f>Crops[[#This Row],[Custom Yield Per Bed]]/(Crops[[#This Row],[CSA Need]]*(_xlfn.XLOOKUP(Crops[[#This Row],[ProductIndex]],Products[ID],Products[CSA Portion])*CSAMembers))</f>
        <v>0.5</v>
      </c>
      <c r="EV339" s="208">
        <f>_xlfn.XLOOKUP(Crops[[#This Row],[ProductIndex]],Products[ID],Products[CSA Portion])*CSAMembers*Crops[[#This Row],[CSA Need]]/Crops[[#This Row],[Custom Yield Per Bed]]</f>
        <v>2</v>
      </c>
      <c r="EW339" s="208">
        <f>IFERROR(Crops[[#This Row],[Days In Field]]*Crops[[#This Row],[CSA Beds]],"")</f>
        <v>108</v>
      </c>
      <c r="EX339" s="208" t="e">
        <f>Crops[[#This Row],[CSA Bed Days]]*#REF!</f>
        <v>#REF!</v>
      </c>
      <c r="EY339" t="s">
        <v>1727</v>
      </c>
    </row>
    <row r="340" spans="1:155">
      <c r="A34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Wisteria - Mature Stem 1X | Field DS </v>
      </c>
      <c r="C340" s="1"/>
      <c r="D340" s="1"/>
      <c r="E340" s="1" t="b">
        <v>1</v>
      </c>
      <c r="F340" s="1" t="b">
        <f>IFERROR(IF(ISNUMBER(MATCH(Crops[[#This Row],[Identifier]],BedPlan[Crop], 0)), TRUE, FALSE), FALSE)</f>
        <v>0</v>
      </c>
      <c r="G340" s="1" t="b">
        <f>IFERROR(IF(ISNUMBER(MATCH(Crops[[#This Row],[Identifier]],BedPlan[Crop], 0)), TRUE, FALSE), FALSE)</f>
        <v>0</v>
      </c>
      <c r="H340" s="1" t="b">
        <v>1</v>
      </c>
      <c r="I340" t="s">
        <v>138</v>
      </c>
      <c r="J340" t="s">
        <v>145</v>
      </c>
      <c r="K340" t="s">
        <v>181</v>
      </c>
      <c r="N340" t="str">
        <f>Crops[[#This Row],[Crop]]</f>
        <v>Wisteria</v>
      </c>
      <c r="O340" t="s">
        <v>210</v>
      </c>
      <c r="P340" t="str">
        <f>IF(OR(Crops[[#This Row],[Days in Cells]]="",Crops[[#This Row],[Days in Cells]]=0), "DS","TP")</f>
        <v>DS</v>
      </c>
      <c r="V340" t="str">
        <f xml:space="preserve"> IF(Crops[[#This Row],[Sp]], "Sp", "") &amp; IF(Crops[[#This Row],[Su]], "Su", "") &amp; IF(Crops[[#This Row],[Fa]], "Fa", "") &amp; IF(Crops[[#This Row],[Wi]], "Wi", "") &amp; IF(Crops[[#This Row],[OW]], "Ow","")</f>
        <v/>
      </c>
      <c r="X340">
        <v>1</v>
      </c>
      <c r="Y340">
        <v>48</v>
      </c>
      <c r="AD340" s="32">
        <f>IFERROR(12/Crops[[#This Row],[Spacing]]*Crops[[#This Row],[Rows]]*BedLength,"")</f>
        <v>12.5</v>
      </c>
      <c r="AE340">
        <v>1</v>
      </c>
      <c r="AG340">
        <f>IF(Crops[[#This Row],[Custom Safety Factor]]="",PlantingSafetyFactor,Crops[[#This Row],[Custom Safety Factor]])</f>
        <v>1.3</v>
      </c>
      <c r="AH340">
        <f>1</f>
        <v>1</v>
      </c>
      <c r="AI340" s="33">
        <f>IFERROR(Crops[[#This Row],[Plantings Per Bed]]*Crops[[#This Row],[Seeds Per Planting]]*Crops[[#This Row],[Safety Factor]]*Crops[[#This Row],[Seeding Factor]],"")</f>
        <v>16.25</v>
      </c>
      <c r="AL340">
        <f>_xlfn.FLOOR.MATH(IFERROR(AVERAGE(Crops[[#This Row],[DTG Lower]:[DTG Upper]]),0))</f>
        <v>0</v>
      </c>
      <c r="AM340">
        <f>SUM(Crops[[#This Row],[Tray 1 Days]],Crops[[#This Row],[Tray 2 Days]],Crops[[#This Row],[Tray 3 Days]])</f>
        <v>0</v>
      </c>
      <c r="AN340">
        <v>30</v>
      </c>
      <c r="AP340">
        <v>365</v>
      </c>
      <c r="AQ340">
        <f>IFERROR(_xlfn.FLOOR.MATH(AVERAGE(Crops[[#This Row],[DTM Lower]:[DTM Upper]])),"")</f>
        <v>365</v>
      </c>
      <c r="AR340" cm="1">
        <f t="array" ref="AR340">_xlfn.SWITCH(Crops[[#This Row],[Normal Method]],"DS",Crops[[#This Row],[Days to Germination]]+Crops[[#This Row],[DTM]] + IF(Crops[[#This Row],[Days in Cells]]&gt;0,15,0), "TP",Crops[[#This Row],[DTM]]+Crops[[#This Row],[Days in Cells]] + IF(Crops[[#This Row],[Days in Cells]]&lt;=0,20,0), "X", Crops[[#This Row],[DTM]])</f>
        <v>365</v>
      </c>
      <c r="AS340" t="s">
        <v>347</v>
      </c>
      <c r="AT340">
        <f>(Crops[[#This Row],[Harvests]]-1)*Crops[[#This Row],[Days Between Harvest]]+7</f>
        <v>7</v>
      </c>
      <c r="AU340">
        <f>Crops[[#This Row],[STH]]-Crops[[#This Row],[Days in Cells]]+Crops[[#This Row],[Harvest window]]</f>
        <v>372</v>
      </c>
      <c r="AW340">
        <v>128</v>
      </c>
      <c r="AZ340" t="str">
        <f>IFERROR(IF(Crops[[#This Row],[Tray 1 Days]]=0,"",Crops[[#This Row],[Plantings Per Bed]]/Crops[[#This Row],[Tray 1 Size]]*Crops[[#This Row],[Safety Factor]]),"")</f>
        <v/>
      </c>
      <c r="BC340" t="str">
        <f>IFERROR(IF(Crops[[#This Row],[Tray 2 Days]]=0,"",Crops[[#This Row],[Plantings Per Bed]]/Crops[[#This Row],[Tray 2 Size]]*Crops[[#This Row],[Safety Factor]]),"")</f>
        <v/>
      </c>
      <c r="BE340" s="32" t="str">
        <f>IF(NOT(ISBLANK(Crops[[#This Row],[Tray 3 Size]])), Crops[[#This Row],[Days in Cells Old]]-SUM(Crops[[#This Row],[Tray 1 Days]],Crops[[#This Row],[Tray 2 Days]]), "")</f>
        <v/>
      </c>
      <c r="BF340" t="str">
        <f>IFERROR(IF(Crops[[#This Row],[Tray 3 Days]]=0,"",Crops[[#This Row],[Plantings Per Bed]]/Crops[[#This Row],[Tray 3 Size]]*Crops[[#This Row],[Safety Factor]]),"")</f>
        <v/>
      </c>
      <c r="BG340" s="33"/>
      <c r="BH340" s="33"/>
      <c r="BI340" s="33"/>
      <c r="BJ340" s="33">
        <f>_xlfn.XLOOKUP(Crops[[#This Row],[ProductIndex]],Products[ID],Products[Holding Period])</f>
        <v>0</v>
      </c>
      <c r="BK340" s="33"/>
      <c r="BL340" s="33">
        <f>Crops[[#This Row],[Units Per Harvest]]*Crops[[#This Row],[Harvests]]</f>
        <v>0</v>
      </c>
      <c r="BM340" s="35">
        <v>4.3130000000000006</v>
      </c>
      <c r="BN340" s="35">
        <f>Crops[[#This Row],[Direct Price]]*0.6</f>
        <v>2.5878000000000001</v>
      </c>
      <c r="BO340" s="35"/>
      <c r="BP340" t="s">
        <v>2410</v>
      </c>
      <c r="BQ340" s="193">
        <f>Crops[[#This Row],[Custom Yield Per Bed]]*Crops[[#This Row],[Direct Price]]</f>
        <v>0</v>
      </c>
      <c r="BR340" s="193" t="b">
        <v>0</v>
      </c>
      <c r="BS340" t="b">
        <f>Crops[[#This Row],[Harvests]]&gt;1</f>
        <v>0</v>
      </c>
      <c r="BT340" s="36">
        <f>IFERROR(Crops[[#This Row],[Direct Revenue Per Bed]]/Crops[[#This Row],[Days In Field]],-1)</f>
        <v>0</v>
      </c>
      <c r="BU340" s="36">
        <f>IFERROR(Crops[[#This Row],[Direct Revenue Per Bed Day]]*GrowingDays*BedsPerAcre,"")</f>
        <v>0</v>
      </c>
      <c r="BV340" s="38">
        <f>LastFrostDate-5*Crops[[#This Row],[Sewing Rel Last Frost]]</f>
        <v>45748</v>
      </c>
      <c r="BW340" s="38">
        <f>Crops[[#This Row],[Target Sewing Date]]+Crops[[#This Row],[Days in Cells]]</f>
        <v>45748</v>
      </c>
      <c r="BX340" s="38">
        <f>Crops[[#This Row],[Target Sewing Date]]+Crops[[#This Row],[STH]]</f>
        <v>46113</v>
      </c>
      <c r="BY340" s="38">
        <f>Crops[[#This Row],[Target Harvest Data]]+Crops[[#This Row],[Harvest window]]</f>
        <v>46120</v>
      </c>
      <c r="CB340">
        <f>1</f>
        <v>1</v>
      </c>
      <c r="CC340">
        <f>IF(Crops[[#This Row],[Transplanting]]&gt;0, 2, 3)*BedLength/StandardBedLength</f>
        <v>1.5</v>
      </c>
      <c r="CD340" s="173">
        <f>IF(Crops[[#This Row],[Days in Cells]]&lt;=0,0,Crops[[#This Row],[Plantings Per Bed]]/StartsPerHourSeeding+Crops[[#This Row],[Tray 1 Count]]*5/60)</f>
        <v>0</v>
      </c>
      <c r="CE340" s="173">
        <f>IF(ISBLANK(Crops[[#This Row],[Tray 2 Days]]),0,Crops[[#This Row],[Plantings Per Bed]]/UpPottingPerHour)+IF(Crops[[#This Row],[Tray 3 Days]]="",0,Crops[[#This Row],[Plantings Per Bed]]/UpPottingPerHour)</f>
        <v>0</v>
      </c>
      <c r="CF340" s="173">
        <f>IFERROR(Crops[[#This Row],[Tray 1 Count]]/HomeStartFlatIrrigationPerHour,0)*Crops[[#This Row],[Days in Cells]]/DaysBetweenStartIrrigation</f>
        <v>0</v>
      </c>
      <c r="CG340">
        <f>0.5/16*MAX(Crops[[#This Row],[Tray 1 Count]],Crops[[#This Row],[Tray 2 Count]],Crops[[#This Row],[Tray 3 Count]])</f>
        <v>0</v>
      </c>
      <c r="CH340">
        <f>IF(Crops[[#This Row],[Days in Cells]]&gt;0,IF(IF(Crops[[#This Row],[Tray 3 Size]]&gt;0,Crops[[#This Row],[Tray 3 Size]],IF(Crops[[#This Row],[Tray 2 Size]]&gt;0,Crops[[#This Row],[Tray 2 Size]],Crops[[#This Row],[Tray 1 Size]]))&lt;=18,LargeTransplantTime,SmallTransplantTime)*Crops[[#This Row],[Plantings Per Bed]],0)</f>
        <v>0</v>
      </c>
      <c r="CJ340" s="173">
        <f>_xlfn.XLOOKUP(Crops[[#This Row],[Trellis Type]],TrellisMethods[Trellis Type],TrellisMethods[Hours],0,0)</f>
        <v>0</v>
      </c>
      <c r="CK340">
        <f>IF(Crops[[#This Row],[Days in Cells]]&lt;=0,Crops[[#This Row],[Rows]]*1/10,0)*BedLength/50</f>
        <v>0.1</v>
      </c>
      <c r="CL340" cm="1">
        <f t="array" ref="CL340">_xlfn.SWITCH(Crops[[#This Row],[Irrigation]],"DR", 0.5, "OH", 0.25,0)*BedLength/50</f>
        <v>0</v>
      </c>
      <c r="CM340">
        <f>IF(OR(ISBLANK(Crops[[#This Row],[Row Cover]]),Crops[[#This Row],[Row Cover]]="None"),0,1)*BedLength/50</f>
        <v>0</v>
      </c>
      <c r="CN340" s="173">
        <f>HoursPerWeedingPass*Crops[[#This Row],[Days In Field]]/14*Crops[[#This Row],[Rows]]+1*BedLength/50</f>
        <v>5.4285714285714288</v>
      </c>
      <c r="CQ340" s="37">
        <f>_xlfn.XLOOKUP(Crops[[#This Row],[Crop]]&amp;Crops[[#This Row],[Product]]&amp;Crops[[#This Row],[Unit]],Products[ID],Products[Marketing (hr)])*Crops[[#This Row],[Direct Revenue Per Bed]]/2000</f>
        <v>0</v>
      </c>
      <c r="CR340" s="37">
        <f>_xlfn.XLOOKUP(Crops[[#This Row],[Crop]]&amp;Crops[[#This Row],[Product]]&amp;Crops[[#This Row],[Unit]],Products[ID],Products[Harvest (s)])*Crops[[#This Row],[Custom Yield Per Bed]]/3600</f>
        <v>0</v>
      </c>
      <c r="CS340" s="37">
        <f>_xlfn.XLOOKUP(Crops[[#This Row],[Crop]]&amp;Crops[[#This Row],[Product]]&amp;Crops[[#This Row],[Unit]],Products[ID],Products[Bunch (s)])*Crops[[#This Row],[Custom Yield Per Bed]]/3600</f>
        <v>0</v>
      </c>
      <c r="CT340" s="37">
        <f>_xlfn.XLOOKUP(Crops[[#This Row],[Crop]]&amp;Crops[[#This Row],[Product]]&amp;Crops[[#This Row],[Unit]],Products[ID],Products[Haul (s)])*Crops[[#This Row],[Custom Yield Per Bed]]/3600</f>
        <v>0</v>
      </c>
      <c r="CU340" s="37">
        <f>_xlfn.XLOOKUP(Crops[[#This Row],[Crop]]&amp;Crops[[#This Row],[Product]]&amp;Crops[[#This Row],[Unit]],Products[ID],Products[Wash (s)])*Crops[[#This Row],[Custom Yield Per Bed]]/3600</f>
        <v>0</v>
      </c>
      <c r="CV340" s="37">
        <f>_xlfn.XLOOKUP(Crops[[#This Row],[Crop]]&amp;Crops[[#This Row],[Product]]&amp;Crops[[#This Row],[Unit]],Products[ID],Products[Condition (s)])*Crops[[#This Row],[Custom Yield Per Bed]]/3600</f>
        <v>0</v>
      </c>
      <c r="CW340" s="37">
        <f>_xlfn.XLOOKUP(Crops[[#This Row],[Crop]]&amp;Crops[[#This Row],[Product]]&amp;Crops[[#This Row],[Unit]],Products[ID],Products[Trim (s)])*Crops[[#This Row],[Custom Yield Per Bed]]/3600</f>
        <v>0</v>
      </c>
      <c r="CX340" s="37">
        <f>_xlfn.XLOOKUP(Crops[[#This Row],[Crop]]&amp;Crops[[#This Row],[Product]]&amp;Crops[[#This Row],[Unit]],Products[ID],Products[Pack (s)])*Crops[[#This Row],[Custom Yield Per Bed]]/3600</f>
        <v>0</v>
      </c>
      <c r="CY340" s="37">
        <f>_xlfn.XLOOKUP(Crops[[#This Row],[Crop]]&amp;Crops[[#This Row],[Product]]&amp;Crops[[#This Row],[Unit]],Products[ID],Products[Clean (s)])*Crops[[#This Row],[Custom Yield Per Bed]]/3600</f>
        <v>0</v>
      </c>
      <c r="CZ340" s="37">
        <f>_xlfn.XLOOKUP(Crops[[#This Row],[Crop]]&amp;Crops[[#This Row],[Product]]&amp;Crops[[#This Row],[Unit]],Products[ID],Products[Rehandle (s)])*Crops[[#This Row],[Custom Yield Per Bed]]/3600</f>
        <v>0</v>
      </c>
      <c r="DA340" s="37">
        <f>_xlfn.XLOOKUP(Crops[[#This Row],[Crop]]&amp;Crops[[#This Row],[Product]]&amp;Crops[[#This Row],[Unit]],Products[ID],Products[Market Transport (s)])*Crops[[#This Row],[Custom Yield Per Bed]]/3600</f>
        <v>0</v>
      </c>
      <c r="DC340" s="37">
        <f>Crops[[#This Row],[Direct Revenue Per Bed2]]</f>
        <v>0</v>
      </c>
      <c r="DD340" s="173">
        <f>_xlfn.AGGREGATE(9,6,Crops[[#This Row],[Bed Prep]:[Remove Crop Residue]])</f>
        <v>7.0285714285714285</v>
      </c>
      <c r="DE340" s="173">
        <f>_xlfn.AGGREGATE(9,6,Crops[[#This Row],[Bed Prep]:[Remove Crop Residue]])-0.75*Crops[[#This Row],[Market &amp; Sell]]</f>
        <v>7.0285714285714285</v>
      </c>
      <c r="DF340" s="36">
        <f>Crops[[#This Row],[Direct Revenue Per Bed2]]/Crops[[#This Row],[Direct Time]]</f>
        <v>0</v>
      </c>
      <c r="DG340" s="36">
        <f>_xlfn.XLOOKUP(Crops[[#This Row],[ProductIndex]],Products[ID],Products[Packaging Cost])*(Crops[[#This Row],[Custom Yield Per Bed]]/_xlfn.XLOOKUP(Crops[[#This Row],[ProductIndex]],Products[ID],Products[Units Per Pack]))</f>
        <v>0</v>
      </c>
      <c r="DH340" s="36"/>
      <c r="DI340" s="36"/>
      <c r="DJ340" s="36"/>
      <c r="DK340" s="36"/>
      <c r="DL340" s="36"/>
      <c r="DM340" s="33">
        <f>IFERROR(Crops[[#This Row],[Custom Yield Per Bed]]*Crops[[#This Row],[Direct Price]],"")</f>
        <v>0</v>
      </c>
      <c r="DN340" s="36">
        <f>Crops[[#This Row],[Direct Time]]*LaborRate</f>
        <v>175.71428571428572</v>
      </c>
      <c r="DO340" s="36">
        <f>SUM(Crops[[#This Row],[Irrigation Cost]])</f>
        <v>0</v>
      </c>
      <c r="DP340" s="36">
        <f>Crops[[#This Row],[Direct Labor Cost]]+Crops[[#This Row],[Direct Non-Labor Cost]]</f>
        <v>175.71428571428572</v>
      </c>
      <c r="DQ340" s="36">
        <f>Crops[[#This Row],[Direct Revenue Per Bed2]]-Crops[[#This Row],[Direct Total Cost]]</f>
        <v>-175.71428571428572</v>
      </c>
      <c r="DR340" s="36">
        <f>Crops[[#This Row],[Direct Profit]]*BedsPerAcre</f>
        <v>-28114.285714285717</v>
      </c>
      <c r="DS340" s="36">
        <f>Crops[[#This Row],[Direct Profit]]*BedsPerAcre*GrowingDays/Crops[[#This Row],[Days In Field]]</f>
        <v>-13603.686635944701</v>
      </c>
      <c r="DT340" s="36">
        <f>Crops[[#This Row],[Direct Profit]]/MIN(Crops[[#This Row],[Days In Field]],GrowingDays)</f>
        <v>-0.97619047619047628</v>
      </c>
      <c r="DU340" s="36">
        <f>Crops[[#This Row],[Direct Time]] * BedsPerAcre</f>
        <v>1124.5714285714284</v>
      </c>
      <c r="DV340" s="36">
        <f>(Crops[[#This Row],[Direct Revenue Per Bed2]]-Crops[[#This Row],[Direct Non-Labor Cost]])/Crops[[#This Row],[Direct Time]]</f>
        <v>0</v>
      </c>
      <c r="DW340" s="33">
        <f>IFERROR(Crops[[#This Row],[Custom Yield Per Bed]]*Crops[[#This Row],[Rough Wholesale Price]],"")</f>
        <v>0</v>
      </c>
      <c r="DX340" s="36">
        <f>Crops[[#This Row],[Wholesale Time]]*LaborRate</f>
        <v>175.71428571428572</v>
      </c>
      <c r="DY340" s="36">
        <f>SUM(Crops[[#This Row],[Packaging Costs]:[Irrigation Cost]])</f>
        <v>0</v>
      </c>
      <c r="DZ340" s="36">
        <f>Crops[[#This Row],[Wholesale Labor Cost]]+Crops[[#This Row],[Wholesale Non-Labor Cost]]</f>
        <v>175.71428571428572</v>
      </c>
      <c r="EA340" s="36">
        <f>Crops[[#This Row],[Wholesale Revenue Per Bed]]-Crops[[#This Row],[Wholesale Total Cost]]</f>
        <v>-175.71428571428572</v>
      </c>
      <c r="EB340" s="36">
        <f>Crops[[#This Row],[Wholesale Profit]]*BedsPerAcre</f>
        <v>-28114.285714285717</v>
      </c>
      <c r="EC340" s="36">
        <f>Crops[[#This Row],[Wholesale Profit]]*BedsPerAcre*GrowingDays/Crops[[#This Row],[Days In Field]]</f>
        <v>-13603.686635944701</v>
      </c>
      <c r="ED340" s="36">
        <f>Crops[[#This Row],[Wholesale Time]] * BedsPerAcre</f>
        <v>1124.5714285714284</v>
      </c>
      <c r="EE340" s="36">
        <f>Crops[[#This Row],[Wholesale Profit]]/MIN(Crops[[#This Row],[Days In Field]],GrowingDays)</f>
        <v>-0.97619047619047628</v>
      </c>
      <c r="EF340" s="36">
        <f>(Crops[[#This Row],[Wholesale Revenue Per Bed]]-Crops[[#This Row],[Wholesale Non-Labor Cost]])/Crops[[#This Row],[Direct Time]]</f>
        <v>0</v>
      </c>
      <c r="EG340" s="174" t="e">
        <f>Crops[[#This Row],[Packaging Costs]]/Crops[[#This Row],[Wholesale Revenue Per Bed]]</f>
        <v>#DIV/0!</v>
      </c>
      <c r="EH340" s="173" t="str">
        <f>Crops[[#This Row],[Crop]]&amp;Crops[[#This Row],[Product]]&amp;Crops[[#This Row],[Unit]]</f>
        <v>WisteriaMature Stemstem</v>
      </c>
      <c r="EI340" s="173" t="b">
        <f>_xlfn.XLOOKUP(Crops[[#This Row],[ProductIndex]],Products[ID],Products[Target])</f>
        <v>0</v>
      </c>
      <c r="EJ340" s="173">
        <f>Crops[[#This Row],[Custom Yield Per Bed]]</f>
        <v>0</v>
      </c>
      <c r="EK340" s="173" t="e">
        <f>Crops[[#This Row],[Units Per Harvest]]/Crops[[#This Row],[Days Between Harvest]]*7</f>
        <v>#DIV/0!</v>
      </c>
      <c r="EL340" s="173" t="e">
        <f>Crops[[#This Row],[Custom Yield Per Bed]]/_xlfn.XLOOKUP(Crops[[#This Row],[ProductIndex]],Products[ID],Products[CSA Portion])</f>
        <v>#DIV/0!</v>
      </c>
      <c r="EM340" s="173" t="e">
        <f>Crops[[#This Row],[Units Per Harvest]]/Crops[[#This Row],[Days Between Harvest]]*7/_xlfn.XLOOKUP(Crops[[#This Row],[ProductIndex]],Products[ID],Products[CSA Portion])</f>
        <v>#DIV/0!</v>
      </c>
      <c r="EN340" s="173" t="e">
        <f>Crops[[#This Row],[CSA Portions Per Week]]/CSAMembers</f>
        <v>#DIV/0!</v>
      </c>
      <c r="EO340" s="173"/>
      <c r="EP340" s="173"/>
      <c r="EQ340" s="173"/>
      <c r="ER340" s="173">
        <f>Crops[[#This Row],[Harvests]]*Crops[[#This Row],[Days Between Harvest]]/7</f>
        <v>0</v>
      </c>
      <c r="ES340" s="49">
        <f>_xlfn.XLOOKUP(Crops[[#This Row],[ProductIndex]],Products[ID],Products[CSA Need])</f>
        <v>0</v>
      </c>
      <c r="ET340" s="49">
        <f>_xlfn.XLOOKUP(Crops[[#This Row],[ProductIndex]],Products[ID],Products[CSA Times])</f>
        <v>0</v>
      </c>
      <c r="EU340" s="49" t="e">
        <f>Crops[[#This Row],[Custom Yield Per Bed]]/(Crops[[#This Row],[CSA Need]]*(_xlfn.XLOOKUP(Crops[[#This Row],[ProductIndex]],Products[ID],Products[CSA Portion])*CSAMembers))</f>
        <v>#DIV/0!</v>
      </c>
      <c r="EV340" s="49" t="e">
        <f>_xlfn.XLOOKUP(Crops[[#This Row],[ProductIndex]],Products[ID],Products[CSA Portion])*CSAMembers*Crops[[#This Row],[CSA Need]]/Crops[[#This Row],[Custom Yield Per Bed]]</f>
        <v>#DIV/0!</v>
      </c>
      <c r="EW340" s="49" t="str">
        <f>IFERROR(Crops[[#This Row],[Days In Field]]*Crops[[#This Row],[CSA Beds]],"")</f>
        <v/>
      </c>
      <c r="EX340" s="49" t="e">
        <f>Crops[[#This Row],[CSA Bed Days]]*#REF!</f>
        <v>#VALUE!</v>
      </c>
      <c r="EY340">
        <v>0</v>
      </c>
    </row>
    <row r="341" spans="1:155">
      <c r="A34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Yarrow - Mature Stem 1X | Field TP </v>
      </c>
      <c r="B341" s="189"/>
      <c r="C341" s="1" t="b">
        <v>1</v>
      </c>
      <c r="D341" s="1"/>
      <c r="E341" s="1" t="b">
        <v>0</v>
      </c>
      <c r="F341" s="1" t="b">
        <f>IFERROR(IF(ISNUMBER(MATCH(Crops[[#This Row],[Identifier]],BedPlan[Crop], 0)), TRUE, FALSE), FALSE)</f>
        <v>0</v>
      </c>
      <c r="G341" s="1" t="b">
        <f>IFERROR(IF(ISNUMBER(MATCH(Crops[[#This Row],[Identifier]],BedPlan[Crop], 0)), TRUE, FALSE), FALSE)</f>
        <v>0</v>
      </c>
      <c r="H341" s="1"/>
      <c r="I341" t="s">
        <v>1767</v>
      </c>
      <c r="J341" t="s">
        <v>145</v>
      </c>
      <c r="K341" t="s">
        <v>181</v>
      </c>
      <c r="M341" t="s">
        <v>406</v>
      </c>
      <c r="N341" t="str">
        <f>Crops[[#This Row],[Crop]]</f>
        <v>Yarrow</v>
      </c>
      <c r="O341" t="s">
        <v>210</v>
      </c>
      <c r="P341" t="str">
        <f>IF(OR(Crops[[#This Row],[Days in Cells]]="",Crops[[#This Row],[Days in Cells]]=0), "DS","TP")</f>
        <v>TP</v>
      </c>
      <c r="V341" t="str">
        <f xml:space="preserve"> IF(Crops[[#This Row],[Sp]], "Sp", "") &amp; IF(Crops[[#This Row],[Su]], "Su", "") &amp; IF(Crops[[#This Row],[Fa]], "Fa", "") &amp; IF(Crops[[#This Row],[Wi]], "Wi", "") &amp; IF(Crops[[#This Row],[OW]], "Ow","")</f>
        <v/>
      </c>
      <c r="X341">
        <v>2</v>
      </c>
      <c r="Y341">
        <v>12</v>
      </c>
      <c r="AC341">
        <v>2.5</v>
      </c>
      <c r="AD341" s="32">
        <f>IFERROR(12/Crops[[#This Row],[Spacing]]*Crops[[#This Row],[Rows]]*BedLength,"")</f>
        <v>100</v>
      </c>
      <c r="AE341">
        <v>1</v>
      </c>
      <c r="AG341">
        <f>IF(Crops[[#This Row],[Custom Safety Factor]]="",PlantingSafetyFactor,Crops[[#This Row],[Custom Safety Factor]])</f>
        <v>1.3</v>
      </c>
      <c r="AH341">
        <f>1</f>
        <v>1</v>
      </c>
      <c r="AI341" s="37">
        <f>IFERROR(Crops[[#This Row],[Plantings Per Bed]]*Crops[[#This Row],[Seeds Per Planting]]*Crops[[#This Row],[Safety Factor]]*Crops[[#This Row],[Seeding Factor]],"")</f>
        <v>130</v>
      </c>
      <c r="AJ341">
        <v>10</v>
      </c>
      <c r="AK341">
        <v>14</v>
      </c>
      <c r="AL341">
        <f>_xlfn.FLOOR.MATH(IFERROR(AVERAGE(Crops[[#This Row],[DTG Lower]:[DTG Upper]]),0))</f>
        <v>12</v>
      </c>
      <c r="AM341">
        <f>SUM(Crops[[#This Row],[Tray 1 Days]],Crops[[#This Row],[Tray 2 Days]],Crops[[#This Row],[Tray 3 Days]])</f>
        <v>63</v>
      </c>
      <c r="AO341">
        <v>120</v>
      </c>
      <c r="AP341">
        <v>130</v>
      </c>
      <c r="AQ341">
        <f>IFERROR(_xlfn.FLOOR.MATH(AVERAGE(Crops[[#This Row],[DTM Lower]:[DTM Upper]])),"")</f>
        <v>125</v>
      </c>
      <c r="AR341" cm="1">
        <f t="array" ref="AR341">_xlfn.SWITCH(Crops[[#This Row],[Normal Method]],"DS",Crops[[#This Row],[Days to Germination]]+Crops[[#This Row],[DTM]] + IF(Crops[[#This Row],[Days in Cells]]&gt;0,15,0), "TP",Crops[[#This Row],[DTM]]+Crops[[#This Row],[Days in Cells]] + IF(Crops[[#This Row],[Days in Cells]]&lt;=0,20,0), "X", Crops[[#This Row],[DTM]])</f>
        <v>152</v>
      </c>
      <c r="AS341" t="s">
        <v>338</v>
      </c>
      <c r="AT341">
        <f>(Crops[[#This Row],[Harvests]]-1)*Crops[[#This Row],[Days Between Harvest]]+7</f>
        <v>77</v>
      </c>
      <c r="AU341">
        <f>Crops[[#This Row],[STH]]-Crops[[#This Row],[Days in Cells]]+Crops[[#This Row],[Harvest window]]</f>
        <v>166</v>
      </c>
      <c r="AX341">
        <v>72</v>
      </c>
      <c r="AY341">
        <f>7*9</f>
        <v>63</v>
      </c>
      <c r="AZ341">
        <f>IFERROR(IF(Crops[[#This Row],[Tray 1 Days]]=0,"",Crops[[#This Row],[Plantings Per Bed]]/Crops[[#This Row],[Tray 1 Size]]*Crops[[#This Row],[Safety Factor]]),"")</f>
        <v>1.8055555555555556</v>
      </c>
      <c r="BC341" t="str">
        <f>IFERROR(IF(Crops[[#This Row],[Tray 2 Days]]=0,"",Crops[[#This Row],[Plantings Per Bed]]/Crops[[#This Row],[Tray 2 Size]]*Crops[[#This Row],[Safety Factor]]),"")</f>
        <v/>
      </c>
      <c r="BE341" s="32" t="str">
        <f>IF(NOT(ISBLANK(Crops[[#This Row],[Tray 3 Size]])), Crops[[#This Row],[Days in Cells Old]]-SUM(Crops[[#This Row],[Tray 1 Days]],Crops[[#This Row],[Tray 2 Days]]), "")</f>
        <v/>
      </c>
      <c r="BF341" t="str">
        <f>IFERROR(IF(Crops[[#This Row],[Tray 3 Days]]=0,"",Crops[[#This Row],[Plantings Per Bed]]/Crops[[#This Row],[Tray 3 Size]]*Crops[[#This Row],[Safety Factor]]),"")</f>
        <v/>
      </c>
      <c r="BG341" s="33">
        <f>Crops[[#This Row],[Plantings Per Bed]]*20/Crops[[#This Row],[Harvests]]</f>
        <v>250</v>
      </c>
      <c r="BH341">
        <v>8</v>
      </c>
      <c r="BI341">
        <v>10</v>
      </c>
      <c r="BJ341" s="37">
        <f>_xlfn.XLOOKUP(Crops[[#This Row],[ProductIndex]],Products[ID],Products[Holding Period])</f>
        <v>0</v>
      </c>
      <c r="BK341" s="33"/>
      <c r="BL341" s="32">
        <f>Crops[[#This Row],[Units Per Harvest]]*Crops[[#This Row],[Harvests]]</f>
        <v>2000</v>
      </c>
      <c r="BM341">
        <v>0.5</v>
      </c>
      <c r="BN341" s="211">
        <f>Crops[[#This Row],[Direct Price]]*0.6</f>
        <v>0.3</v>
      </c>
      <c r="BO341" s="211"/>
      <c r="BP341" t="s">
        <v>213</v>
      </c>
      <c r="BQ341">
        <f>Crops[[#This Row],[Custom Yield Per Bed]]*Crops[[#This Row],[Direct Price]]</f>
        <v>1000</v>
      </c>
      <c r="BR341" t="b">
        <v>0</v>
      </c>
      <c r="BS341" t="b">
        <f>Crops[[#This Row],[Harvests]]&gt;1</f>
        <v>1</v>
      </c>
      <c r="BT341" s="36">
        <f>IFERROR(Crops[[#This Row],[Direct Revenue Per Bed]]/Crops[[#This Row],[Days In Field]],-1)</f>
        <v>6.024096385542169</v>
      </c>
      <c r="BU341" s="33">
        <f>IFERROR(Crops[[#This Row],[Direct Revenue Per Bed Day]]*GrowingDays*BedsPerAcre,"")</f>
        <v>173493.97590361448</v>
      </c>
      <c r="BV341" s="38">
        <f>LastFrostDate-5*Crops[[#This Row],[Sewing Rel Last Frost]]</f>
        <v>45708</v>
      </c>
      <c r="BW341" s="38">
        <f>Crops[[#This Row],[Target Sewing Date]]+Crops[[#This Row],[Days in Cells]]</f>
        <v>45771</v>
      </c>
      <c r="BX341" s="38">
        <f>Crops[[#This Row],[Target Sewing Date]]+Crops[[#This Row],[STH]]</f>
        <v>45860</v>
      </c>
      <c r="BY341" s="38">
        <f>Crops[[#This Row],[Target Harvest Data]]+Crops[[#This Row],[Harvest window]]</f>
        <v>45937</v>
      </c>
      <c r="BZ341">
        <v>8</v>
      </c>
      <c r="CB341">
        <f>1</f>
        <v>1</v>
      </c>
      <c r="CC341">
        <f>IF(Crops[[#This Row],[Transplanting]]&gt;0, 2, 3)*BedLength/StandardBedLength</f>
        <v>1</v>
      </c>
      <c r="CD341" s="173">
        <f>IF(Crops[[#This Row],[Days in Cells]]&lt;=0,0,Crops[[#This Row],[Plantings Per Bed]]/StartsPerHourSeeding+Crops[[#This Row],[Tray 1 Count]]*5/60)</f>
        <v>0.54108796296296302</v>
      </c>
      <c r="CE341" s="173">
        <f>IF(ISBLANK(Crops[[#This Row],[Tray 2 Days]]),0,Crops[[#This Row],[Plantings Per Bed]]/UpPottingPerHour)+IF(Crops[[#This Row],[Tray 3 Days]]="",0,Crops[[#This Row],[Plantings Per Bed]]/UpPottingPerHour)</f>
        <v>0</v>
      </c>
      <c r="CF341" s="173">
        <f>IFERROR(Crops[[#This Row],[Tray 1 Count]]/HomeStartFlatIrrigationPerHour,0)*Crops[[#This Row],[Days in Cells]]/DaysBetweenStartIrrigation</f>
        <v>0.47395833333333337</v>
      </c>
      <c r="CG341" s="173">
        <f>0.5/16*MAX(Crops[[#This Row],[Tray 1 Count]],Crops[[#This Row],[Tray 2 Count]],Crops[[#This Row],[Tray 3 Count]])</f>
        <v>5.6423611111111112E-2</v>
      </c>
      <c r="CH341" s="173">
        <f>IF(Crops[[#This Row],[Days in Cells]]&gt;0,IF(IF(Crops[[#This Row],[Tray 3 Size]]&gt;0,Crops[[#This Row],[Tray 3 Size]],IF(Crops[[#This Row],[Tray 2 Size]]&gt;0,Crops[[#This Row],[Tray 2 Size]],Crops[[#This Row],[Tray 1 Size]]))&lt;=18,LargeTransplantTime,SmallTransplantTime)*Crops[[#This Row],[Plantings Per Bed]],0)</f>
        <v>0.5</v>
      </c>
      <c r="CI341" s="173"/>
      <c r="CJ341" s="173">
        <f>_xlfn.XLOOKUP(Crops[[#This Row],[Trellis Type]],TrellisMethods[Trellis Type],TrellisMethods[Hours],0,0)</f>
        <v>0</v>
      </c>
      <c r="CK341">
        <f>IF(Crops[[#This Row],[Days in Cells]]&lt;=0,Crops[[#This Row],[Rows]]*1/10,0)*BedLength/50</f>
        <v>0</v>
      </c>
      <c r="CL341" cm="1">
        <f t="array" ref="CL341">_xlfn.SWITCH(Crops[[#This Row],[Irrigation]],"DR", 0.5, "OH", 0.25,0)*BedLength/50</f>
        <v>0</v>
      </c>
      <c r="CM341">
        <f>IF(OR(ISBLANK(Crops[[#This Row],[Row Cover]]),Crops[[#This Row],[Row Cover]]="None"),0,1)*BedLength/50</f>
        <v>0</v>
      </c>
      <c r="CN341" s="173">
        <f>HoursPerWeedingPass*Crops[[#This Row],[Days In Field]]/14*Crops[[#This Row],[Rows]]+1*BedLength/50</f>
        <v>4.9523809523809526</v>
      </c>
      <c r="CQ341" s="37">
        <f>_xlfn.XLOOKUP(Crops[[#This Row],[Crop]]&amp;Crops[[#This Row],[Product]]&amp;Crops[[#This Row],[Unit]],Products[ID],Products[Marketing (hr)])*Crops[[#This Row],[Direct Revenue Per Bed]]/2000</f>
        <v>3</v>
      </c>
      <c r="CR341" s="37">
        <f>_xlfn.XLOOKUP(Crops[[#This Row],[Crop]]&amp;Crops[[#This Row],[Product]]&amp;Crops[[#This Row],[Unit]],Products[ID],Products[Harvest (s)])*Crops[[#This Row],[Custom Yield Per Bed]]/3600</f>
        <v>2.7777777777777777</v>
      </c>
      <c r="CS341" s="37">
        <f>_xlfn.XLOOKUP(Crops[[#This Row],[Crop]]&amp;Crops[[#This Row],[Product]]&amp;Crops[[#This Row],[Unit]],Products[ID],Products[Bunch (s)])*Crops[[#This Row],[Custom Yield Per Bed]]/3600</f>
        <v>0</v>
      </c>
      <c r="CT341" s="37">
        <f>_xlfn.XLOOKUP(Crops[[#This Row],[Crop]]&amp;Crops[[#This Row],[Product]]&amp;Crops[[#This Row],[Unit]],Products[ID],Products[Haul (s)])*Crops[[#This Row],[Custom Yield Per Bed]]/3600</f>
        <v>1</v>
      </c>
      <c r="CU341" s="37">
        <f>_xlfn.XLOOKUP(Crops[[#This Row],[Crop]]&amp;Crops[[#This Row],[Product]]&amp;Crops[[#This Row],[Unit]],Products[ID],Products[Wash (s)])*Crops[[#This Row],[Custom Yield Per Bed]]/3600</f>
        <v>0</v>
      </c>
      <c r="CV341" s="37">
        <f>_xlfn.XLOOKUP(Crops[[#This Row],[Crop]]&amp;Crops[[#This Row],[Product]]&amp;Crops[[#This Row],[Unit]],Products[ID],Products[Condition (s)])*Crops[[#This Row],[Custom Yield Per Bed]]/3600</f>
        <v>0</v>
      </c>
      <c r="CW341" s="37">
        <f>_xlfn.XLOOKUP(Crops[[#This Row],[Crop]]&amp;Crops[[#This Row],[Product]]&amp;Crops[[#This Row],[Unit]],Products[ID],Products[Trim (s)])*Crops[[#This Row],[Custom Yield Per Bed]]/3600</f>
        <v>1.6666666666666667</v>
      </c>
      <c r="CX341" s="37">
        <f>_xlfn.XLOOKUP(Crops[[#This Row],[Crop]]&amp;Crops[[#This Row],[Product]]&amp;Crops[[#This Row],[Unit]],Products[ID],Products[Pack (s)])*Crops[[#This Row],[Custom Yield Per Bed]]/3600</f>
        <v>1.6666666666666667</v>
      </c>
      <c r="CY341" s="37">
        <f>_xlfn.XLOOKUP(Crops[[#This Row],[Crop]]&amp;Crops[[#This Row],[Product]]&amp;Crops[[#This Row],[Unit]],Products[ID],Products[Clean (s)])*Crops[[#This Row],[Custom Yield Per Bed]]/3600</f>
        <v>0</v>
      </c>
      <c r="CZ341" s="37">
        <f>_xlfn.XLOOKUP(Crops[[#This Row],[Crop]]&amp;Crops[[#This Row],[Product]]&amp;Crops[[#This Row],[Unit]],Products[ID],Products[Rehandle (s)])*Crops[[#This Row],[Custom Yield Per Bed]]/3600</f>
        <v>0</v>
      </c>
      <c r="DA341" s="37">
        <f>_xlfn.XLOOKUP(Crops[[#This Row],[Crop]]&amp;Crops[[#This Row],[Product]]&amp;Crops[[#This Row],[Unit]],Products[ID],Products[Market Transport (s)])*Crops[[#This Row],[Custom Yield Per Bed]]/3600</f>
        <v>2.5</v>
      </c>
      <c r="DC341" s="37">
        <f>Crops[[#This Row],[Direct Revenue Per Bed2]]</f>
        <v>1000</v>
      </c>
      <c r="DD341" s="173">
        <f>_xlfn.AGGREGATE(9,6,Crops[[#This Row],[Bed Prep]:[Remove Crop Residue]])</f>
        <v>20.134961970899472</v>
      </c>
      <c r="DE341" s="173">
        <f>_xlfn.AGGREGATE(9,6,Crops[[#This Row],[Bed Prep]:[Remove Crop Residue]])-0.75*Crops[[#This Row],[Market &amp; Sell]]</f>
        <v>17.884961970899472</v>
      </c>
      <c r="DF341" s="36">
        <f>Crops[[#This Row],[Direct Revenue Per Bed2]]/Crops[[#This Row],[Direct Time]]</f>
        <v>49.664856653083007</v>
      </c>
      <c r="DG341" s="36">
        <f>_xlfn.XLOOKUP(Crops[[#This Row],[ProductIndex]],Products[ID],Products[Packaging Cost])*(Crops[[#This Row],[Custom Yield Per Bed]]/_xlfn.XLOOKUP(Crops[[#This Row],[ProductIndex]],Products[ID],Products[Units Per Pack]))</f>
        <v>160</v>
      </c>
      <c r="DH341" s="36"/>
      <c r="DI341" s="36"/>
      <c r="DJ341" s="36"/>
      <c r="DK341" s="36"/>
      <c r="DL341" s="36"/>
      <c r="DM341" s="37">
        <f>IFERROR(Crops[[#This Row],[Custom Yield Per Bed]]*Crops[[#This Row],[Direct Price]],"")</f>
        <v>1000</v>
      </c>
      <c r="DN341" s="36">
        <f>Crops[[#This Row],[Direct Time]]*LaborRate</f>
        <v>503.37404927248679</v>
      </c>
      <c r="DO341" s="36">
        <f>SUM(Crops[[#This Row],[Irrigation Cost]])</f>
        <v>0</v>
      </c>
      <c r="DP341" s="36">
        <f>Crops[[#This Row],[Direct Labor Cost]]+Crops[[#This Row],[Direct Non-Labor Cost]]</f>
        <v>503.37404927248679</v>
      </c>
      <c r="DQ341" s="36">
        <f>Crops[[#This Row],[Direct Revenue Per Bed2]]-Crops[[#This Row],[Direct Total Cost]]</f>
        <v>496.62595072751321</v>
      </c>
      <c r="DR341" s="36">
        <f>Crops[[#This Row],[Direct Profit]]*BedsPerAcre</f>
        <v>79460.152116402111</v>
      </c>
      <c r="DS341" s="36">
        <f>Crops[[#This Row],[Direct Profit]]*BedsPerAcre*GrowingDays/Crops[[#This Row],[Days In Field]]</f>
        <v>86161.610728628802</v>
      </c>
      <c r="DT341" s="36">
        <f>Crops[[#This Row],[Direct Profit]]/MIN(Crops[[#This Row],[Days In Field]],GrowingDays)</f>
        <v>2.9917225947440556</v>
      </c>
      <c r="DU341" s="36">
        <f>Crops[[#This Row],[Direct Time]] * BedsPerAcre</f>
        <v>3221.5939153439153</v>
      </c>
      <c r="DV341" s="36">
        <f>(Crops[[#This Row],[Direct Revenue Per Bed2]]-Crops[[#This Row],[Direct Non-Labor Cost]])/Crops[[#This Row],[Direct Time]]</f>
        <v>49.664856653083007</v>
      </c>
      <c r="DW341" s="37">
        <f>IFERROR(Crops[[#This Row],[Custom Yield Per Bed]]*Crops[[#This Row],[Rough Wholesale Price]],"")</f>
        <v>600</v>
      </c>
      <c r="DX341" s="36">
        <f>Crops[[#This Row],[Wholesale Time]]*LaborRate</f>
        <v>447.12404927248679</v>
      </c>
      <c r="DY341" s="36">
        <f>SUM(Crops[[#This Row],[Packaging Costs]:[Irrigation Cost]])</f>
        <v>160</v>
      </c>
      <c r="DZ341" s="36">
        <f>Crops[[#This Row],[Wholesale Labor Cost]]+Crops[[#This Row],[Wholesale Non-Labor Cost]]</f>
        <v>607.12404927248679</v>
      </c>
      <c r="EA341" s="36">
        <f>Crops[[#This Row],[Wholesale Revenue Per Bed]]-Crops[[#This Row],[Wholesale Total Cost]]</f>
        <v>-7.1240492724867863</v>
      </c>
      <c r="EB341" s="36">
        <f>Crops[[#This Row],[Wholesale Profit]]*BedsPerAcre</f>
        <v>-1139.8478835978858</v>
      </c>
      <c r="EC341" s="36">
        <f>Crops[[#This Row],[Wholesale Profit]]*BedsPerAcre*GrowingDays/Crops[[#This Row],[Days In Field]]</f>
        <v>-1235.9796328169848</v>
      </c>
      <c r="ED341" s="36">
        <f>Crops[[#This Row],[Wholesale Time]] * BedsPerAcre</f>
        <v>2861.5939153439153</v>
      </c>
      <c r="EE341" s="36">
        <f>Crops[[#This Row],[Wholesale Profit]]/MIN(Crops[[#This Row],[Days In Field]],GrowingDays)</f>
        <v>-4.2915959472811967E-2</v>
      </c>
      <c r="EF341" s="36">
        <f>(Crops[[#This Row],[Wholesale Revenue Per Bed]]-Crops[[#This Row],[Wholesale Non-Labor Cost]])/Crops[[#This Row],[Direct Time]]</f>
        <v>21.852536927356525</v>
      </c>
      <c r="EG341" s="174">
        <f>Crops[[#This Row],[Packaging Costs]]/Crops[[#This Row],[Wholesale Revenue Per Bed]]</f>
        <v>0.26666666666666666</v>
      </c>
      <c r="EH341" s="36" t="str">
        <f>Crops[[#This Row],[Crop]]&amp;Crops[[#This Row],[Product]]&amp;Crops[[#This Row],[Unit]]</f>
        <v>YarrowMature StemStem</v>
      </c>
      <c r="EI341" s="36" t="b">
        <f>_xlfn.XLOOKUP(Crops[[#This Row],[ProductIndex]],Products[ID],Products[Target])</f>
        <v>1</v>
      </c>
      <c r="EJ341" s="36">
        <f>Crops[[#This Row],[Custom Yield Per Bed]]</f>
        <v>2000</v>
      </c>
      <c r="EK341" s="36">
        <f>Crops[[#This Row],[Units Per Harvest]]/Crops[[#This Row],[Days Between Harvest]]*7</f>
        <v>175</v>
      </c>
      <c r="EL341" s="36" t="e">
        <f>Crops[[#This Row],[Custom Yield Per Bed]]/_xlfn.XLOOKUP(Crops[[#This Row],[ProductIndex]],Products[ID],Products[CSA Portion])</f>
        <v>#DIV/0!</v>
      </c>
      <c r="EM341" s="36" t="e">
        <f>Crops[[#This Row],[Units Per Harvest]]/Crops[[#This Row],[Days Between Harvest]]*7/_xlfn.XLOOKUP(Crops[[#This Row],[ProductIndex]],Products[ID],Products[CSA Portion])</f>
        <v>#DIV/0!</v>
      </c>
      <c r="EN341" s="36" t="e">
        <f>Crops[[#This Row],[CSA Portions Per Week]]/CSAMembers</f>
        <v>#DIV/0!</v>
      </c>
      <c r="EO341" s="36"/>
      <c r="EP341" s="36"/>
      <c r="EQ341" s="36"/>
      <c r="ER341" s="36">
        <f>Crops[[#This Row],[Harvests]]*Crops[[#This Row],[Days Between Harvest]]/7</f>
        <v>11.428571428571429</v>
      </c>
      <c r="ES341" s="208">
        <f>_xlfn.XLOOKUP(Crops[[#This Row],[ProductIndex]],Products[ID],Products[CSA Need])</f>
        <v>0</v>
      </c>
      <c r="ET341" s="208">
        <f>_xlfn.XLOOKUP(Crops[[#This Row],[ProductIndex]],Products[ID],Products[CSA Times])</f>
        <v>0</v>
      </c>
      <c r="EU341" s="208" t="e">
        <f>Crops[[#This Row],[Custom Yield Per Bed]]/(Crops[[#This Row],[CSA Need]]*(_xlfn.XLOOKUP(Crops[[#This Row],[ProductIndex]],Products[ID],Products[CSA Portion])*CSAMembers))</f>
        <v>#DIV/0!</v>
      </c>
      <c r="EV341" s="208">
        <f>_xlfn.XLOOKUP(Crops[[#This Row],[ProductIndex]],Products[ID],Products[CSA Portion])*CSAMembers*Crops[[#This Row],[CSA Need]]/Crops[[#This Row],[Custom Yield Per Bed]]</f>
        <v>0</v>
      </c>
      <c r="EW341" s="208">
        <f>IFERROR(Crops[[#This Row],[Days In Field]]*Crops[[#This Row],[CSA Beds]],"")</f>
        <v>0</v>
      </c>
      <c r="EX341" s="208" t="e">
        <f>Crops[[#This Row],[CSA Bed Days]]*#REF!</f>
        <v>#REF!</v>
      </c>
      <c r="EY341" t="s">
        <v>1782</v>
      </c>
    </row>
    <row r="342" spans="1:155">
      <c r="A342"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Zinnia - Mature Stem 1X | Field DS Su</v>
      </c>
      <c r="B342" s="189"/>
      <c r="C342" s="1" t="b">
        <v>1</v>
      </c>
      <c r="D342" s="1"/>
      <c r="E342" s="1" t="b">
        <v>0</v>
      </c>
      <c r="F342" s="1" t="b">
        <f>IFERROR(IF(ISNUMBER(MATCH(Crops[[#This Row],[Identifier]],BedPlan[Crop], 0)), TRUE, FALSE), FALSE)</f>
        <v>0</v>
      </c>
      <c r="G342" s="1" t="b">
        <f>IFERROR(IF(ISNUMBER(MATCH(Crops[[#This Row],[Identifier]],BedPlan[Crop], 0)), TRUE, FALSE), FALSE)</f>
        <v>0</v>
      </c>
      <c r="H342" s="1" t="b">
        <v>1</v>
      </c>
      <c r="I342" t="s">
        <v>139</v>
      </c>
      <c r="J342" t="s">
        <v>145</v>
      </c>
      <c r="K342" t="s">
        <v>181</v>
      </c>
      <c r="M342" t="s">
        <v>406</v>
      </c>
      <c r="N342" t="str">
        <f>Crops[[#This Row],[Crop]]</f>
        <v>Zinnia</v>
      </c>
      <c r="O342" t="s">
        <v>210</v>
      </c>
      <c r="P342" t="str">
        <f>IF(OR(Crops[[#This Row],[Days in Cells]]="",Crops[[#This Row],[Days in Cells]]=0), "DS","TP")</f>
        <v>DS</v>
      </c>
      <c r="R342" t="b">
        <v>1</v>
      </c>
      <c r="V342" t="str">
        <f xml:space="preserve"> IF(Crops[[#This Row],[Sp]], "Sp", "") &amp; IF(Crops[[#This Row],[Su]], "Su", "") &amp; IF(Crops[[#This Row],[Fa]], "Fa", "") &amp; IF(Crops[[#This Row],[Wi]], "Wi", "") &amp; IF(Crops[[#This Row],[OW]], "Ow","")</f>
        <v>Su</v>
      </c>
      <c r="X342">
        <v>3</v>
      </c>
      <c r="Y342">
        <v>12</v>
      </c>
      <c r="AC342">
        <v>3</v>
      </c>
      <c r="AD342" s="32">
        <f>IFERROR(12/Crops[[#This Row],[Spacing]]*Crops[[#This Row],[Rows]]*BedLength,"")</f>
        <v>150</v>
      </c>
      <c r="AE342">
        <v>1</v>
      </c>
      <c r="AG342">
        <f>IF(Crops[[#This Row],[Custom Safety Factor]]="",PlantingSafetyFactor,Crops[[#This Row],[Custom Safety Factor]])</f>
        <v>1.3</v>
      </c>
      <c r="AH342">
        <f>1</f>
        <v>1</v>
      </c>
      <c r="AI342" s="33">
        <f>IFERROR(Crops[[#This Row],[Plantings Per Bed]]*Crops[[#This Row],[Seeds Per Planting]]*Crops[[#This Row],[Safety Factor]]*Crops[[#This Row],[Seeding Factor]],"")</f>
        <v>195</v>
      </c>
      <c r="AJ342">
        <v>5</v>
      </c>
      <c r="AK342">
        <v>7</v>
      </c>
      <c r="AL342">
        <f>_xlfn.FLOOR.MATH(IFERROR(AVERAGE(Crops[[#This Row],[DTG Lower]:[DTG Upper]]),0))</f>
        <v>6</v>
      </c>
      <c r="AM342">
        <f>SUM(Crops[[#This Row],[Tray 1 Days]],Crops[[#This Row],[Tray 2 Days]],Crops[[#This Row],[Tray 3 Days]])</f>
        <v>0</v>
      </c>
      <c r="AN342">
        <v>30</v>
      </c>
      <c r="AP342">
        <v>85</v>
      </c>
      <c r="AQ342">
        <f>IFERROR(_xlfn.FLOOR.MATH(AVERAGE(Crops[[#This Row],[DTM Lower]:[DTM Upper]])),"")</f>
        <v>85</v>
      </c>
      <c r="AR342" cm="1">
        <f t="array" ref="AR342">_xlfn.SWITCH(Crops[[#This Row],[Normal Method]],"DS",Crops[[#This Row],[Days to Germination]]+Crops[[#This Row],[DTM]] + IF(Crops[[#This Row],[Days in Cells]]&gt;0,15,0), "TP",Crops[[#This Row],[DTM]]+Crops[[#This Row],[Days in Cells]] + IF(Crops[[#This Row],[Days in Cells]]&lt;=0,20,0), "X", Crops[[#This Row],[DTM]])</f>
        <v>91</v>
      </c>
      <c r="AS342" t="s">
        <v>338</v>
      </c>
      <c r="AT342">
        <f>(Crops[[#This Row],[Harvests]]-1)*Crops[[#This Row],[Days Between Harvest]]+7</f>
        <v>49</v>
      </c>
      <c r="AU342">
        <f>Crops[[#This Row],[STH]]-Crops[[#This Row],[Days in Cells]]+Crops[[#This Row],[Harvest window]]</f>
        <v>140</v>
      </c>
      <c r="AW342">
        <v>128</v>
      </c>
      <c r="AZ342" t="str">
        <f>IFERROR(IF(Crops[[#This Row],[Tray 1 Days]]=0,"",Crops[[#This Row],[Plantings Per Bed]]/Crops[[#This Row],[Tray 1 Size]]*Crops[[#This Row],[Safety Factor]]),"")</f>
        <v/>
      </c>
      <c r="BC342" t="str">
        <f>IFERROR(IF(Crops[[#This Row],[Tray 2 Days]]=0,"",Crops[[#This Row],[Plantings Per Bed]]/Crops[[#This Row],[Tray 2 Size]]*Crops[[#This Row],[Safety Factor]]),"")</f>
        <v/>
      </c>
      <c r="BE342" s="32" t="str">
        <f>IF(NOT(ISBLANK(Crops[[#This Row],[Tray 3 Size]])), Crops[[#This Row],[Days in Cells Old]]-SUM(Crops[[#This Row],[Tray 1 Days]],Crops[[#This Row],[Tray 2 Days]]), "")</f>
        <v/>
      </c>
      <c r="BF342" t="str">
        <f>IFERROR(IF(Crops[[#This Row],[Tray 3 Days]]=0,"",Crops[[#This Row],[Plantings Per Bed]]/Crops[[#This Row],[Tray 3 Size]]*Crops[[#This Row],[Safety Factor]]),"")</f>
        <v/>
      </c>
      <c r="BG342" s="33">
        <f>Crops[[#This Row],[Plantings Per Bed]]*8/Crops[[#This Row],[Harvests]]</f>
        <v>171.42857142857142</v>
      </c>
      <c r="BH342" s="33">
        <v>7</v>
      </c>
      <c r="BI342" s="33">
        <v>7</v>
      </c>
      <c r="BJ342" s="33">
        <f>_xlfn.XLOOKUP(Crops[[#This Row],[ProductIndex]],Products[ID],Products[Holding Period])</f>
        <v>0</v>
      </c>
      <c r="BK342" s="33"/>
      <c r="BL342" s="178">
        <f>Crops[[#This Row],[Units Per Harvest]]*Crops[[#This Row],[Harvests]]</f>
        <v>1200</v>
      </c>
      <c r="BM342" s="35">
        <f>8800/17600</f>
        <v>0.5</v>
      </c>
      <c r="BN342" s="35">
        <f>Crops[[#This Row],[Direct Price]]*0.6</f>
        <v>0.3</v>
      </c>
      <c r="BO342" s="35"/>
      <c r="BP342" t="s">
        <v>213</v>
      </c>
      <c r="BQ342">
        <f>Crops[[#This Row],[Custom Yield Per Bed]]*Crops[[#This Row],[Direct Price]]</f>
        <v>600</v>
      </c>
      <c r="BS342" t="b">
        <f>Crops[[#This Row],[Harvests]]&gt;1</f>
        <v>1</v>
      </c>
      <c r="BT342" s="36">
        <f>IFERROR(Crops[[#This Row],[Direct Revenue Per Bed]]/Crops[[#This Row],[Days In Field]],-1)</f>
        <v>4.2857142857142856</v>
      </c>
      <c r="BU342" s="36">
        <f>IFERROR(Crops[[#This Row],[Direct Revenue Per Bed Day]]*GrowingDays*BedsPerAcre,"")</f>
        <v>123428.57142857143</v>
      </c>
      <c r="BV342" s="38">
        <f>LastFrostDate-5*Crops[[#This Row],[Sewing Rel Last Frost]]</f>
        <v>45773</v>
      </c>
      <c r="BW342" s="38">
        <f>Crops[[#This Row],[Target Sewing Date]]+Crops[[#This Row],[Days in Cells]]</f>
        <v>45773</v>
      </c>
      <c r="BX342" s="38">
        <f>Crops[[#This Row],[Target Sewing Date]]+Crops[[#This Row],[STH]]</f>
        <v>45864</v>
      </c>
      <c r="BY342" s="38">
        <f>Crops[[#This Row],[Target Harvest Data]]+Crops[[#This Row],[Harvest window]]</f>
        <v>45913</v>
      </c>
      <c r="BZ342">
        <v>-5</v>
      </c>
      <c r="CB342">
        <f>1</f>
        <v>1</v>
      </c>
      <c r="CC342">
        <f>IF(Crops[[#This Row],[Transplanting]]&gt;0, 2, 3)*BedLength/StandardBedLength</f>
        <v>1.5</v>
      </c>
      <c r="CD342" s="173">
        <f>IF(Crops[[#This Row],[Days in Cells]]&lt;=0,0,Crops[[#This Row],[Plantings Per Bed]]/StartsPerHourSeeding+Crops[[#This Row],[Tray 1 Count]]*5/60)</f>
        <v>0</v>
      </c>
      <c r="CE342" s="173">
        <f>IF(ISBLANK(Crops[[#This Row],[Tray 2 Days]]),0,Crops[[#This Row],[Plantings Per Bed]]/UpPottingPerHour)+IF(Crops[[#This Row],[Tray 3 Days]]="",0,Crops[[#This Row],[Plantings Per Bed]]/UpPottingPerHour)</f>
        <v>0</v>
      </c>
      <c r="CF342" s="173">
        <f>IFERROR(Crops[[#This Row],[Tray 1 Count]]/HomeStartFlatIrrigationPerHour,0)*Crops[[#This Row],[Days in Cells]]/DaysBetweenStartIrrigation</f>
        <v>0</v>
      </c>
      <c r="CG342" s="173">
        <f>0.5/16*MAX(Crops[[#This Row],[Tray 1 Count]],Crops[[#This Row],[Tray 2 Count]],Crops[[#This Row],[Tray 3 Count]])</f>
        <v>0</v>
      </c>
      <c r="CH342" s="173">
        <f>IF(Crops[[#This Row],[Days in Cells]]&gt;0,IF(IF(Crops[[#This Row],[Tray 3 Size]]&gt;0,Crops[[#This Row],[Tray 3 Size]],IF(Crops[[#This Row],[Tray 2 Size]]&gt;0,Crops[[#This Row],[Tray 2 Size]],Crops[[#This Row],[Tray 1 Size]]))&lt;=18,LargeTransplantTime,SmallTransplantTime)*Crops[[#This Row],[Plantings Per Bed]],0)</f>
        <v>0</v>
      </c>
      <c r="CI342" s="173"/>
      <c r="CJ342" s="173">
        <f>_xlfn.XLOOKUP(Crops[[#This Row],[Trellis Type]],TrellisMethods[Trellis Type],TrellisMethods[Hours],0,0)</f>
        <v>0</v>
      </c>
      <c r="CK342">
        <f>IF(Crops[[#This Row],[Days in Cells]]&lt;=0,Crops[[#This Row],[Rows]]*1/10,0)*BedLength/50</f>
        <v>0.3</v>
      </c>
      <c r="CL342" cm="1">
        <f t="array" ref="CL342">_xlfn.SWITCH(Crops[[#This Row],[Irrigation]],"DR", 0.5, "OH", 0.25,0)*BedLength/50</f>
        <v>0</v>
      </c>
      <c r="CM342">
        <f>IF(OR(ISBLANK(Crops[[#This Row],[Row Cover]]),Crops[[#This Row],[Row Cover]]="None"),0,1)*BedLength/50</f>
        <v>0</v>
      </c>
      <c r="CN342" s="173">
        <f>HoursPerWeedingPass*Crops[[#This Row],[Days In Field]]/14*Crops[[#This Row],[Rows]]+1*BedLength/50</f>
        <v>6</v>
      </c>
      <c r="CQ342" s="37">
        <f>_xlfn.XLOOKUP(Crops[[#This Row],[Crop]]&amp;Crops[[#This Row],[Product]]&amp;Crops[[#This Row],[Unit]],Products[ID],Products[Marketing (hr)])*Crops[[#This Row],[Direct Revenue Per Bed]]/2000</f>
        <v>1.8</v>
      </c>
      <c r="CR342" s="37">
        <f>_xlfn.XLOOKUP(Crops[[#This Row],[Crop]]&amp;Crops[[#This Row],[Product]]&amp;Crops[[#This Row],[Unit]],Products[ID],Products[Harvest (s)])*Crops[[#This Row],[Custom Yield Per Bed]]/3600</f>
        <v>1.6666666666666667</v>
      </c>
      <c r="CS342" s="37">
        <f>_xlfn.XLOOKUP(Crops[[#This Row],[Crop]]&amp;Crops[[#This Row],[Product]]&amp;Crops[[#This Row],[Unit]],Products[ID],Products[Bunch (s)])*Crops[[#This Row],[Custom Yield Per Bed]]/3600</f>
        <v>0</v>
      </c>
      <c r="CT342" s="37">
        <f>_xlfn.XLOOKUP(Crops[[#This Row],[Crop]]&amp;Crops[[#This Row],[Product]]&amp;Crops[[#This Row],[Unit]],Products[ID],Products[Haul (s)])*Crops[[#This Row],[Custom Yield Per Bed]]/3600</f>
        <v>0.5</v>
      </c>
      <c r="CU342" s="37">
        <f>_xlfn.XLOOKUP(Crops[[#This Row],[Crop]]&amp;Crops[[#This Row],[Product]]&amp;Crops[[#This Row],[Unit]],Products[ID],Products[Wash (s)])*Crops[[#This Row],[Custom Yield Per Bed]]/3600</f>
        <v>0</v>
      </c>
      <c r="CV342" s="37">
        <f>_xlfn.XLOOKUP(Crops[[#This Row],[Crop]]&amp;Crops[[#This Row],[Product]]&amp;Crops[[#This Row],[Unit]],Products[ID],Products[Condition (s)])*Crops[[#This Row],[Custom Yield Per Bed]]/3600</f>
        <v>0</v>
      </c>
      <c r="CW342" s="37">
        <f>_xlfn.XLOOKUP(Crops[[#This Row],[Crop]]&amp;Crops[[#This Row],[Product]]&amp;Crops[[#This Row],[Unit]],Products[ID],Products[Trim (s)])*Crops[[#This Row],[Custom Yield Per Bed]]/3600</f>
        <v>1</v>
      </c>
      <c r="CX342" s="37">
        <f>_xlfn.XLOOKUP(Crops[[#This Row],[Crop]]&amp;Crops[[#This Row],[Product]]&amp;Crops[[#This Row],[Unit]],Products[ID],Products[Pack (s)])*Crops[[#This Row],[Custom Yield Per Bed]]/3600</f>
        <v>1</v>
      </c>
      <c r="CY342" s="37">
        <f>_xlfn.XLOOKUP(Crops[[#This Row],[Crop]]&amp;Crops[[#This Row],[Product]]&amp;Crops[[#This Row],[Unit]],Products[ID],Products[Clean (s)])*Crops[[#This Row],[Custom Yield Per Bed]]/3600</f>
        <v>0</v>
      </c>
      <c r="CZ342" s="37">
        <f>_xlfn.XLOOKUP(Crops[[#This Row],[Crop]]&amp;Crops[[#This Row],[Product]]&amp;Crops[[#This Row],[Unit]],Products[ID],Products[Rehandle (s)])*Crops[[#This Row],[Custom Yield Per Bed]]/3600</f>
        <v>0</v>
      </c>
      <c r="DA342" s="37">
        <f>_xlfn.XLOOKUP(Crops[[#This Row],[Crop]]&amp;Crops[[#This Row],[Product]]&amp;Crops[[#This Row],[Unit]],Products[ID],Products[Market Transport (s)])*Crops[[#This Row],[Custom Yield Per Bed]]/3600</f>
        <v>1.25</v>
      </c>
      <c r="DC342" s="37">
        <f>Crops[[#This Row],[Direct Revenue Per Bed2]]</f>
        <v>600</v>
      </c>
      <c r="DD342" s="173">
        <f>_xlfn.AGGREGATE(9,6,Crops[[#This Row],[Bed Prep]:[Remove Crop Residue]])</f>
        <v>15.016666666666666</v>
      </c>
      <c r="DE342" s="173">
        <f>_xlfn.AGGREGATE(9,6,Crops[[#This Row],[Bed Prep]:[Remove Crop Residue]])-0.75*Crops[[#This Row],[Market &amp; Sell]]</f>
        <v>13.666666666666666</v>
      </c>
      <c r="DF342" s="36">
        <f>Crops[[#This Row],[Direct Revenue Per Bed2]]/Crops[[#This Row],[Direct Time]]</f>
        <v>39.955604883462819</v>
      </c>
      <c r="DG342" s="36">
        <f>_xlfn.XLOOKUP(Crops[[#This Row],[ProductIndex]],Products[ID],Products[Packaging Cost])*(Crops[[#This Row],[Custom Yield Per Bed]]/_xlfn.XLOOKUP(Crops[[#This Row],[ProductIndex]],Products[ID],Products[Units Per Pack]))</f>
        <v>80</v>
      </c>
      <c r="DH342" s="36"/>
      <c r="DI342" s="36"/>
      <c r="DJ342" s="36"/>
      <c r="DK342" s="36"/>
      <c r="DL342" s="36"/>
      <c r="DM342" s="33">
        <f>IFERROR(Crops[[#This Row],[Custom Yield Per Bed]]*Crops[[#This Row],[Direct Price]],"")</f>
        <v>600</v>
      </c>
      <c r="DN342" s="36">
        <f>Crops[[#This Row],[Direct Time]]*LaborRate</f>
        <v>375.41666666666663</v>
      </c>
      <c r="DO342" s="36">
        <f>SUM(Crops[[#This Row],[Irrigation Cost]])</f>
        <v>0</v>
      </c>
      <c r="DP342" s="36">
        <f>Crops[[#This Row],[Direct Labor Cost]]+Crops[[#This Row],[Direct Non-Labor Cost]]</f>
        <v>375.41666666666663</v>
      </c>
      <c r="DQ342" s="36">
        <f>Crops[[#This Row],[Direct Revenue Per Bed2]]-Crops[[#This Row],[Direct Total Cost]]</f>
        <v>224.58333333333337</v>
      </c>
      <c r="DR342" s="36">
        <f>Crops[[#This Row],[Direct Profit]]*BedsPerAcre</f>
        <v>35933.333333333343</v>
      </c>
      <c r="DS342" s="36">
        <f>Crops[[#This Row],[Direct Profit]]*BedsPerAcre*GrowingDays/Crops[[#This Row],[Days In Field]]</f>
        <v>46200.000000000015</v>
      </c>
      <c r="DT342" s="36">
        <f>Crops[[#This Row],[Direct Profit]]/MIN(Crops[[#This Row],[Days In Field]],GrowingDays)</f>
        <v>1.604166666666667</v>
      </c>
      <c r="DU342" s="36">
        <f>Crops[[#This Row],[Direct Time]] * BedsPerAcre</f>
        <v>2402.6666666666665</v>
      </c>
      <c r="DV342" s="36">
        <f>(Crops[[#This Row],[Direct Revenue Per Bed2]]-Crops[[#This Row],[Direct Non-Labor Cost]])/Crops[[#This Row],[Direct Time]]</f>
        <v>39.955604883462819</v>
      </c>
      <c r="DW342" s="33">
        <f>IFERROR(Crops[[#This Row],[Custom Yield Per Bed]]*Crops[[#This Row],[Rough Wholesale Price]],"")</f>
        <v>360</v>
      </c>
      <c r="DX342" s="36">
        <f>Crops[[#This Row],[Wholesale Time]]*LaborRate</f>
        <v>341.66666666666663</v>
      </c>
      <c r="DY342" s="36">
        <f>SUM(Crops[[#This Row],[Packaging Costs]:[Irrigation Cost]])</f>
        <v>80</v>
      </c>
      <c r="DZ342" s="36">
        <f>Crops[[#This Row],[Wholesale Labor Cost]]+Crops[[#This Row],[Wholesale Non-Labor Cost]]</f>
        <v>421.66666666666663</v>
      </c>
      <c r="EA342" s="36">
        <f>Crops[[#This Row],[Wholesale Revenue Per Bed]]-Crops[[#This Row],[Wholesale Total Cost]]</f>
        <v>-61.666666666666629</v>
      </c>
      <c r="EB342" s="36">
        <f>Crops[[#This Row],[Wholesale Profit]]*BedsPerAcre</f>
        <v>-9866.6666666666606</v>
      </c>
      <c r="EC342" s="36">
        <f>Crops[[#This Row],[Wholesale Profit]]*BedsPerAcre*GrowingDays/Crops[[#This Row],[Days In Field]]</f>
        <v>-12685.714285714277</v>
      </c>
      <c r="ED342" s="36">
        <f>Crops[[#This Row],[Wholesale Time]] * BedsPerAcre</f>
        <v>2186.6666666666665</v>
      </c>
      <c r="EE342" s="36">
        <f>Crops[[#This Row],[Wholesale Profit]]/MIN(Crops[[#This Row],[Days In Field]],GrowingDays)</f>
        <v>-0.44047619047619019</v>
      </c>
      <c r="EF342" s="36">
        <f>(Crops[[#This Row],[Wholesale Revenue Per Bed]]-Crops[[#This Row],[Wholesale Non-Labor Cost]])/Crops[[#This Row],[Direct Time]]</f>
        <v>18.645948945615984</v>
      </c>
      <c r="EG342" s="174">
        <f>Crops[[#This Row],[Packaging Costs]]/Crops[[#This Row],[Wholesale Revenue Per Bed]]</f>
        <v>0.22222222222222221</v>
      </c>
      <c r="EH342" s="36" t="str">
        <f>Crops[[#This Row],[Crop]]&amp;Crops[[#This Row],[Product]]&amp;Crops[[#This Row],[Unit]]</f>
        <v>ZinniaMature StemStem</v>
      </c>
      <c r="EI342" s="36" t="b">
        <f>_xlfn.XLOOKUP(Crops[[#This Row],[ProductIndex]],Products[ID],Products[Target])</f>
        <v>1</v>
      </c>
      <c r="EJ342" s="36">
        <f>Crops[[#This Row],[Custom Yield Per Bed]]</f>
        <v>1200</v>
      </c>
      <c r="EK342" s="36">
        <f>Crops[[#This Row],[Units Per Harvest]]/Crops[[#This Row],[Days Between Harvest]]*7</f>
        <v>171.42857142857142</v>
      </c>
      <c r="EL342" s="36" t="e">
        <f>Crops[[#This Row],[Custom Yield Per Bed]]/_xlfn.XLOOKUP(Crops[[#This Row],[ProductIndex]],Products[ID],Products[CSA Portion])</f>
        <v>#DIV/0!</v>
      </c>
      <c r="EM342" s="36" t="e">
        <f>Crops[[#This Row],[Units Per Harvest]]/Crops[[#This Row],[Days Between Harvest]]*7/_xlfn.XLOOKUP(Crops[[#This Row],[ProductIndex]],Products[ID],Products[CSA Portion])</f>
        <v>#DIV/0!</v>
      </c>
      <c r="EN342" s="36" t="e">
        <f>Crops[[#This Row],[CSA Portions Per Week]]/CSAMembers</f>
        <v>#DIV/0!</v>
      </c>
      <c r="EO342" s="36"/>
      <c r="EP342" s="36"/>
      <c r="EQ342" s="36"/>
      <c r="ER342" s="36">
        <f>Crops[[#This Row],[Harvests]]*Crops[[#This Row],[Days Between Harvest]]/7</f>
        <v>7</v>
      </c>
      <c r="ES342" s="208">
        <f>_xlfn.XLOOKUP(Crops[[#This Row],[ProductIndex]],Products[ID],Products[CSA Need])</f>
        <v>0</v>
      </c>
      <c r="ET342" s="208">
        <f>_xlfn.XLOOKUP(Crops[[#This Row],[ProductIndex]],Products[ID],Products[CSA Times])</f>
        <v>0</v>
      </c>
      <c r="EU342" s="208" t="e">
        <f>Crops[[#This Row],[Custom Yield Per Bed]]/(Crops[[#This Row],[CSA Need]]*(_xlfn.XLOOKUP(Crops[[#This Row],[ProductIndex]],Products[ID],Products[CSA Portion])*CSAMembers))</f>
        <v>#DIV/0!</v>
      </c>
      <c r="EV342" s="208">
        <f>_xlfn.XLOOKUP(Crops[[#This Row],[ProductIndex]],Products[ID],Products[CSA Portion])*CSAMembers*Crops[[#This Row],[CSA Need]]/Crops[[#This Row],[Custom Yield Per Bed]]</f>
        <v>0</v>
      </c>
      <c r="EW342" s="208">
        <f>IFERROR(Crops[[#This Row],[Days In Field]]*Crops[[#This Row],[CSA Beds]],"")</f>
        <v>0</v>
      </c>
      <c r="EX342" s="208" t="e">
        <f>Crops[[#This Row],[CSA Bed Days]]*#REF!</f>
        <v>#REF!</v>
      </c>
      <c r="EY342" t="s">
        <v>305</v>
      </c>
    </row>
  </sheetData>
  <phoneticPr fontId="4" type="noConversion"/>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C673F-53B5-422E-84D7-49AFAC712A83}">
  <sheetPr codeName="Sheet4">
    <pageSetUpPr fitToPage="1"/>
  </sheetPr>
  <dimension ref="A1:EW203"/>
  <sheetViews>
    <sheetView workbookViewId="0">
      <pane xSplit="3" ySplit="5" topLeftCell="W136" activePane="bottomRight" state="frozen"/>
      <selection pane="topRight" activeCell="D1" sqref="D1"/>
      <selection pane="bottomLeft" activeCell="A6" sqref="A6"/>
      <selection pane="bottomRight" activeCell="A5" sqref="A5:AF143"/>
    </sheetView>
  </sheetViews>
  <sheetFormatPr baseColWidth="10" defaultColWidth="8.83203125" defaultRowHeight="15" customHeight="1" outlineLevelRow="1" outlineLevelCol="1"/>
  <cols>
    <col min="1" max="1" width="50.5" customWidth="1"/>
    <col min="2" max="2" width="11.5" customWidth="1"/>
    <col min="4" max="5" width="11" customWidth="1"/>
    <col min="6" max="6" width="11.5" customWidth="1"/>
    <col min="7" max="7" width="10.83203125" customWidth="1"/>
    <col min="8" max="8" width="13.33203125" customWidth="1"/>
    <col min="9" max="9" width="18.33203125" hidden="1" customWidth="1" outlineLevel="1"/>
    <col min="10" max="10" width="17.5" hidden="1" customWidth="1" outlineLevel="1"/>
    <col min="11" max="11" width="42.33203125" hidden="1" customWidth="1" outlineLevel="1"/>
    <col min="12" max="12" width="12" hidden="1" customWidth="1" outlineLevel="1"/>
    <col min="13" max="13" width="11.5" hidden="1" customWidth="1" outlineLevel="1"/>
    <col min="14" max="14" width="9.1640625" customWidth="1" collapsed="1"/>
    <col min="15" max="15" width="9.33203125" customWidth="1"/>
    <col min="16" max="16" width="11.33203125" customWidth="1"/>
    <col min="17" max="17" width="16" customWidth="1"/>
    <col min="18" max="18" width="14.33203125" customWidth="1"/>
    <col min="19" max="19" width="13.83203125" customWidth="1"/>
    <col min="20" max="20" width="11.1640625" customWidth="1"/>
    <col min="21" max="23" width="8.83203125" customWidth="1"/>
    <col min="24" max="25" width="9.1640625" customWidth="1"/>
    <col min="26" max="26" width="8.83203125" customWidth="1"/>
    <col min="27" max="27" width="12" customWidth="1" outlineLevel="1"/>
    <col min="28" max="30" width="10.1640625" customWidth="1" outlineLevel="1"/>
    <col min="31" max="32" width="12.6640625" customWidth="1" outlineLevel="1"/>
    <col min="33" max="33" width="14" customWidth="1" outlineLevel="1"/>
    <col min="34" max="34" width="8.83203125" customWidth="1" outlineLevel="1"/>
    <col min="35" max="35" width="10.1640625" customWidth="1" outlineLevel="1"/>
    <col min="36" max="38" width="8.83203125" customWidth="1" outlineLevel="1"/>
    <col min="39" max="39" width="9" customWidth="1" outlineLevel="1"/>
    <col min="40" max="40" width="10.1640625" customWidth="1" outlineLevel="1"/>
    <col min="41" max="45" width="10.1640625" customWidth="1"/>
    <col min="47" max="47" width="16.33203125" bestFit="1" customWidth="1"/>
    <col min="48" max="48" width="15" bestFit="1" customWidth="1"/>
    <col min="49" max="49" width="27.83203125" customWidth="1" outlineLevel="1"/>
    <col min="50" max="51" width="10.1640625" customWidth="1" outlineLevel="1"/>
    <col min="52" max="52" width="35.1640625" customWidth="1" outlineLevel="1"/>
    <col min="53" max="57" width="10.1640625" customWidth="1" outlineLevel="1"/>
    <col min="58" max="58" width="12" customWidth="1" outlineLevel="1"/>
    <col min="59" max="59" width="16.33203125" customWidth="1" outlineLevel="1"/>
    <col min="60" max="60" width="11" customWidth="1" outlineLevel="1"/>
    <col min="61" max="61" width="11.83203125" customWidth="1" outlineLevel="1"/>
    <col min="62" max="62" width="11" customWidth="1" outlineLevel="1"/>
    <col min="63" max="63" width="8.83203125" customWidth="1" outlineLevel="1"/>
    <col min="64" max="64" width="13.6640625" bestFit="1" customWidth="1" outlineLevel="1"/>
    <col min="65" max="66" width="10.1640625" customWidth="1" outlineLevel="1"/>
    <col min="67" max="67" width="11" customWidth="1" outlineLevel="1"/>
    <col min="68" max="68" width="11.83203125" customWidth="1" outlineLevel="1"/>
    <col min="69" max="69" width="16.33203125" customWidth="1" outlineLevel="1"/>
    <col min="70" max="70" width="10.1640625" customWidth="1" outlineLevel="1"/>
    <col min="71" max="76" width="12.1640625" customWidth="1" outlineLevel="1"/>
    <col min="77" max="77" width="13.1640625" customWidth="1" outlineLevel="1"/>
    <col min="78" max="78" width="12.1640625" customWidth="1" outlineLevel="1"/>
    <col min="92" max="92" width="15.6640625" customWidth="1"/>
    <col min="93" max="96" width="12.6640625" bestFit="1" customWidth="1"/>
    <col min="97" max="97" width="15.33203125" customWidth="1"/>
    <col min="98" max="103" width="12.6640625" bestFit="1" customWidth="1"/>
    <col min="104" max="115" width="11.33203125" customWidth="1"/>
    <col min="142" max="142" width="17.83203125" customWidth="1"/>
    <col min="143" max="143" width="17.83203125" bestFit="1" customWidth="1"/>
    <col min="144" max="144" width="34.1640625" bestFit="1" customWidth="1"/>
  </cols>
  <sheetData>
    <row r="1" spans="1:153" ht="15" customHeight="1">
      <c r="CK1">
        <v>2025</v>
      </c>
    </row>
    <row r="2" spans="1:153" ht="15" customHeight="1">
      <c r="A2" t="s">
        <v>267</v>
      </c>
      <c r="B2" s="26">
        <f ca="1">TODAY()</f>
        <v>45990</v>
      </c>
      <c r="C2" s="26"/>
      <c r="D2" s="26"/>
      <c r="E2" s="26"/>
      <c r="F2" s="26"/>
      <c r="G2" s="26"/>
      <c r="CK2">
        <f>MONTH(CK4)</f>
        <v>1</v>
      </c>
      <c r="DI2" s="257">
        <f>SUM(BedPlan[Revenue January 2025])</f>
        <v>1302.8571428571427</v>
      </c>
      <c r="DJ2" s="257">
        <f>SUM(BedPlan[Revenue February 2025])</f>
        <v>0</v>
      </c>
      <c r="DK2" s="257">
        <f>SUM(BedPlan[Revenue March 2025])</f>
        <v>0</v>
      </c>
      <c r="DL2" s="257">
        <f>SUM(BedPlan[Revenue April 2025])</f>
        <v>39.069976076555022</v>
      </c>
      <c r="DM2" s="257">
        <f>SUM(BedPlan[Revenue May 2025])</f>
        <v>2590.5483585531229</v>
      </c>
      <c r="DN2" s="257">
        <f>SUM(BedPlan[Revenue June 2025])</f>
        <v>13452.285301972375</v>
      </c>
      <c r="DO2" s="257">
        <f>SUM(BedPlan[Revenue July 2025])</f>
        <v>16511.313359285832</v>
      </c>
      <c r="DP2" s="257">
        <f>SUM(BedPlan[Revenue August 2025])</f>
        <v>31241.236559900608</v>
      </c>
      <c r="DQ2" s="257">
        <f>SUM(BedPlan[Revenue September 2025])</f>
        <v>44027.953566276265</v>
      </c>
      <c r="DR2" s="257">
        <f>SUM(BedPlan[Revenue October 2025])</f>
        <v>30982.209538158168</v>
      </c>
      <c r="DS2" s="257">
        <f>SUM(BedPlan[Revenue November 2025])</f>
        <v>11770.038952072689</v>
      </c>
      <c r="DT2" s="257">
        <f>SUM(BedPlan[Revenue December 2025])</f>
        <v>962.35778056152071</v>
      </c>
      <c r="DU2" s="257">
        <f>SUM(BedPlan[Revenue January 2026])</f>
        <v>0</v>
      </c>
      <c r="DV2" s="257">
        <f>SUM(BedPlan[Revenue February 2026])</f>
        <v>0</v>
      </c>
      <c r="DW2" s="257">
        <f>SUM(BedPlan[Revenue March 2026])</f>
        <v>0</v>
      </c>
      <c r="DX2" s="257">
        <f>SUM(BedPlan[Revenue April 2026])</f>
        <v>0</v>
      </c>
      <c r="DY2" s="257">
        <f>SUM(BedPlan[Revenue May 2026])</f>
        <v>0</v>
      </c>
      <c r="DZ2" s="257">
        <f>SUM(BedPlan[Revenue June 2026])</f>
        <v>0</v>
      </c>
      <c r="EA2" s="257">
        <f>SUM(BedPlan[Revenue July 2026])</f>
        <v>0</v>
      </c>
      <c r="EB2" s="257">
        <f>SUM(BedPlan[Revenue August 2026])</f>
        <v>0</v>
      </c>
      <c r="EC2" s="257">
        <f>SUM(BedPlan[Revenue September 2026])</f>
        <v>0</v>
      </c>
      <c r="ED2" s="257">
        <f>SUM(BedPlan[Revenue October 2026])</f>
        <v>0</v>
      </c>
      <c r="EE2" s="257">
        <f>SUM(BedPlan[Revenue November 2026])</f>
        <v>0</v>
      </c>
      <c r="EF2" s="257">
        <f>SUM(BedPlan[Revenue December 2026])</f>
        <v>0</v>
      </c>
    </row>
    <row r="3" spans="1:153" ht="15" customHeight="1" outlineLevel="1">
      <c r="A3" t="s">
        <v>437</v>
      </c>
      <c r="B3" s="26"/>
      <c r="C3" s="26"/>
      <c r="D3" s="26" t="s">
        <v>2592</v>
      </c>
      <c r="E3" s="26" t="s">
        <v>2719</v>
      </c>
      <c r="F3" s="26"/>
      <c r="G3" s="26"/>
      <c r="H3" t="s">
        <v>4</v>
      </c>
      <c r="L3" t="s">
        <v>22</v>
      </c>
      <c r="Q3" s="26"/>
      <c r="R3" s="26"/>
      <c r="BC3" t="s">
        <v>2510</v>
      </c>
      <c r="BD3" t="s">
        <v>2700</v>
      </c>
      <c r="BE3" t="s">
        <v>407</v>
      </c>
      <c r="BG3" t="s">
        <v>265</v>
      </c>
      <c r="BH3" t="s">
        <v>10</v>
      </c>
      <c r="BJ3" t="s">
        <v>250</v>
      </c>
      <c r="BK3" t="s">
        <v>17</v>
      </c>
      <c r="BL3" t="s">
        <v>18</v>
      </c>
      <c r="BM3" t="s">
        <v>20</v>
      </c>
      <c r="BN3" t="s">
        <v>19</v>
      </c>
      <c r="BO3" t="s">
        <v>430</v>
      </c>
      <c r="BQ3" t="s">
        <v>6</v>
      </c>
      <c r="BR3" t="s">
        <v>311</v>
      </c>
      <c r="BU3" t="s">
        <v>440</v>
      </c>
      <c r="BV3" t="s">
        <v>471</v>
      </c>
      <c r="BW3" t="s">
        <v>473</v>
      </c>
      <c r="BX3" t="s">
        <v>1335</v>
      </c>
      <c r="BY3" t="s">
        <v>1329</v>
      </c>
      <c r="BZ3" t="s">
        <v>1330</v>
      </c>
      <c r="CA3" t="s">
        <v>1336</v>
      </c>
      <c r="CB3" t="s">
        <v>1331</v>
      </c>
      <c r="CC3" t="s">
        <v>1332</v>
      </c>
      <c r="CD3" t="s">
        <v>1337</v>
      </c>
      <c r="CE3" t="s">
        <v>1333</v>
      </c>
      <c r="CF3" t="s">
        <v>1334</v>
      </c>
      <c r="CG3" t="s">
        <v>2</v>
      </c>
      <c r="CH3" t="s">
        <v>25</v>
      </c>
      <c r="CI3" t="s">
        <v>9</v>
      </c>
      <c r="CK3" t="str">
        <f>"Harvest Days " &amp;TEXT(CK4, "MMMM")&amp;" " &amp;$CK$1</f>
        <v>Harvest Days January 2025</v>
      </c>
      <c r="CL3" t="str">
        <f t="shared" ref="CL3:CV3" si="0">"Harvest Days " &amp;TEXT(CL4, "MMMM")&amp;" " &amp;$CK$1</f>
        <v>Harvest Days February 2025</v>
      </c>
      <c r="CM3" t="str">
        <f t="shared" si="0"/>
        <v>Harvest Days March 2025</v>
      </c>
      <c r="CN3" t="str">
        <f t="shared" si="0"/>
        <v>Harvest Days April 2025</v>
      </c>
      <c r="CO3" t="str">
        <f t="shared" si="0"/>
        <v>Harvest Days May 2025</v>
      </c>
      <c r="CP3" t="str">
        <f t="shared" si="0"/>
        <v>Harvest Days June 2025</v>
      </c>
      <c r="CQ3" t="str">
        <f t="shared" si="0"/>
        <v>Harvest Days July 2025</v>
      </c>
      <c r="CR3" t="str">
        <f t="shared" si="0"/>
        <v>Harvest Days August 2025</v>
      </c>
      <c r="CS3" t="str">
        <f t="shared" si="0"/>
        <v>Harvest Days September 2025</v>
      </c>
      <c r="CT3" t="str">
        <f t="shared" si="0"/>
        <v>Harvest Days October 2025</v>
      </c>
      <c r="CU3" t="str">
        <f t="shared" si="0"/>
        <v>Harvest Days November 2025</v>
      </c>
      <c r="CV3" t="str">
        <f t="shared" si="0"/>
        <v>Harvest Days December 2025</v>
      </c>
      <c r="CW3" t="str">
        <f>"Harvest Days " &amp;TEXT(CW4, "MMMM")&amp;" " &amp;$CK$1+1</f>
        <v>Harvest Days January 2026</v>
      </c>
      <c r="CX3" t="str">
        <f t="shared" ref="CX3:DH3" si="1">"Harvest Days " &amp;TEXT(CX4, "MMMM")&amp;" " &amp;$CK$1+1</f>
        <v>Harvest Days February 2026</v>
      </c>
      <c r="CY3" t="str">
        <f t="shared" si="1"/>
        <v>Harvest Days March 2026</v>
      </c>
      <c r="CZ3" t="str">
        <f t="shared" si="1"/>
        <v>Harvest Days April 2026</v>
      </c>
      <c r="DA3" t="str">
        <f t="shared" si="1"/>
        <v>Harvest Days May 2026</v>
      </c>
      <c r="DB3" t="str">
        <f t="shared" si="1"/>
        <v>Harvest Days June 2026</v>
      </c>
      <c r="DC3" t="str">
        <f t="shared" si="1"/>
        <v>Harvest Days July 2026</v>
      </c>
      <c r="DD3" t="str">
        <f t="shared" si="1"/>
        <v>Harvest Days August 2026</v>
      </c>
      <c r="DE3" t="str">
        <f t="shared" si="1"/>
        <v>Harvest Days September 2026</v>
      </c>
      <c r="DF3" t="str">
        <f t="shared" si="1"/>
        <v>Harvest Days October 2026</v>
      </c>
      <c r="DG3" t="str">
        <f t="shared" si="1"/>
        <v>Harvest Days November 2026</v>
      </c>
      <c r="DH3" t="str">
        <f t="shared" si="1"/>
        <v>Harvest Days December 2026</v>
      </c>
      <c r="DI3" t="str">
        <f>"Revenue " &amp;TEXT(DI4, "MMMM")&amp;" " &amp;$CK$1</f>
        <v>Revenue January 2025</v>
      </c>
      <c r="DJ3" t="str">
        <f t="shared" ref="DJ3:DT3" si="2">"Revenue " &amp;TEXT(DJ4, "MMMM")&amp;" " &amp;$CK$1</f>
        <v>Revenue February 2025</v>
      </c>
      <c r="DK3" t="str">
        <f t="shared" si="2"/>
        <v>Revenue March 2025</v>
      </c>
      <c r="DL3" t="str">
        <f t="shared" si="2"/>
        <v>Revenue April 2025</v>
      </c>
      <c r="DM3" t="str">
        <f t="shared" si="2"/>
        <v>Revenue May 2025</v>
      </c>
      <c r="DN3" t="str">
        <f t="shared" si="2"/>
        <v>Revenue June 2025</v>
      </c>
      <c r="DO3" t="str">
        <f t="shared" si="2"/>
        <v>Revenue July 2025</v>
      </c>
      <c r="DP3" t="str">
        <f t="shared" si="2"/>
        <v>Revenue August 2025</v>
      </c>
      <c r="DQ3" t="str">
        <f t="shared" si="2"/>
        <v>Revenue September 2025</v>
      </c>
      <c r="DR3" t="str">
        <f t="shared" si="2"/>
        <v>Revenue October 2025</v>
      </c>
      <c r="DS3" t="str">
        <f t="shared" si="2"/>
        <v>Revenue November 2025</v>
      </c>
      <c r="DT3" t="str">
        <f t="shared" si="2"/>
        <v>Revenue December 2025</v>
      </c>
      <c r="DU3" t="str">
        <f t="shared" ref="DU3:EF3" si="3">"Revenue " &amp;TEXT(DU4, "MMMM")&amp;" " &amp;$CK$1+1</f>
        <v>Revenue January 2026</v>
      </c>
      <c r="DV3" t="str">
        <f t="shared" si="3"/>
        <v>Revenue February 2026</v>
      </c>
      <c r="DW3" t="str">
        <f t="shared" si="3"/>
        <v>Revenue March 2026</v>
      </c>
      <c r="DX3" t="str">
        <f t="shared" si="3"/>
        <v>Revenue April 2026</v>
      </c>
      <c r="DY3" t="str">
        <f t="shared" si="3"/>
        <v>Revenue May 2026</v>
      </c>
      <c r="DZ3" t="str">
        <f t="shared" si="3"/>
        <v>Revenue June 2026</v>
      </c>
      <c r="EA3" t="str">
        <f t="shared" si="3"/>
        <v>Revenue July 2026</v>
      </c>
      <c r="EB3" t="str">
        <f t="shared" si="3"/>
        <v>Revenue August 2026</v>
      </c>
      <c r="EC3" t="str">
        <f t="shared" si="3"/>
        <v>Revenue September 2026</v>
      </c>
      <c r="ED3" t="str">
        <f t="shared" si="3"/>
        <v>Revenue October 2026</v>
      </c>
      <c r="EE3" t="str">
        <f t="shared" si="3"/>
        <v>Revenue November 2026</v>
      </c>
      <c r="EF3" t="str">
        <f t="shared" si="3"/>
        <v>Revenue December 2026</v>
      </c>
      <c r="EH3" t="s">
        <v>35</v>
      </c>
      <c r="EI3" t="s">
        <v>36</v>
      </c>
      <c r="EJ3" t="s">
        <v>7</v>
      </c>
      <c r="EL3" t="str">
        <f t="shared" ref="EL3:EW3" si="4">SUBSTITUTE(CK5,"Harvest Days", "Yield")</f>
        <v>Yield January 2025</v>
      </c>
      <c r="EM3" t="str">
        <f t="shared" si="4"/>
        <v>Yield February 2025</v>
      </c>
      <c r="EN3" t="str">
        <f t="shared" si="4"/>
        <v>Yield March 2025</v>
      </c>
      <c r="EO3" t="str">
        <f t="shared" si="4"/>
        <v>Yield April 2025</v>
      </c>
      <c r="EP3" t="str">
        <f t="shared" si="4"/>
        <v>Yield May 2025</v>
      </c>
      <c r="EQ3" t="str">
        <f t="shared" si="4"/>
        <v>Yield June 2025</v>
      </c>
      <c r="ER3" t="str">
        <f t="shared" si="4"/>
        <v>Yield July 2025</v>
      </c>
      <c r="ES3" t="str">
        <f t="shared" si="4"/>
        <v>Yield August 2025</v>
      </c>
      <c r="ET3" t="str">
        <f t="shared" si="4"/>
        <v>Yield September 2025</v>
      </c>
      <c r="EU3" t="str">
        <f t="shared" si="4"/>
        <v>Yield October 2025</v>
      </c>
      <c r="EV3" t="str">
        <f t="shared" si="4"/>
        <v>Yield November 2025</v>
      </c>
      <c r="EW3" t="str">
        <f t="shared" si="4"/>
        <v>Yield December 2025</v>
      </c>
    </row>
    <row r="4" spans="1:153" ht="15" customHeight="1" outlineLevel="1">
      <c r="A4" t="s">
        <v>436</v>
      </c>
      <c r="B4" t="str">
        <f>IF(B3="","",MATCH(B3,Crops[#Headers], 0))</f>
        <v/>
      </c>
      <c r="D4">
        <f>IF(D3="","",MATCH(D3,Crops[#Headers], 0))</f>
        <v>143</v>
      </c>
      <c r="E4">
        <f>IF(E3="","",MATCH(E3,Crops[#Headers], 0))</f>
        <v>142</v>
      </c>
      <c r="G4" t="str">
        <f>IF(G3="","",MATCH(G3,Crops[#Headers], 0))</f>
        <v/>
      </c>
      <c r="H4">
        <f>IF(H3="","",MATCH(H3,Crops[#Headers], 0))</f>
        <v>9</v>
      </c>
      <c r="I4" t="str">
        <f>IF(I3="","",MATCH(I3,Crops[#Headers], 0))</f>
        <v/>
      </c>
      <c r="J4" t="str">
        <f>IF(J3="","",MATCH(J3,Crops[#Headers], 0))</f>
        <v/>
      </c>
      <c r="L4">
        <f>IF(L3="","",MATCH(L3,Crops[#Headers], 0))</f>
        <v>35</v>
      </c>
      <c r="M4" t="str">
        <f>IF(M3="","",MATCH(M3,Crops[#Headers], 0))</f>
        <v/>
      </c>
      <c r="N4" t="str">
        <f>IF(N3="","",MATCH(N3,Crops[#Headers], 0))</f>
        <v/>
      </c>
      <c r="O4" t="str">
        <f>IF(O3="","",MATCH(O3,Crops[#Headers], 0))</f>
        <v/>
      </c>
      <c r="T4" t="str">
        <f>IF(T3="","",MATCH(T3,Crops[#Headers], 0))</f>
        <v/>
      </c>
      <c r="U4" t="str">
        <f>IF(U3="","",MATCH(U3,Crops[#Headers], 0))</f>
        <v/>
      </c>
      <c r="W4" t="str">
        <f>IF(W3="","",MATCH(W3,Crops[#Headers], 0))</f>
        <v/>
      </c>
      <c r="AA4" t="str">
        <f>IF(AA3="","",MATCH(AA3,Crops[#Headers], 0))</f>
        <v/>
      </c>
      <c r="AB4" t="str">
        <f>IF(AB3="","",MATCH(AB3,Crops[#Headers], 0))</f>
        <v/>
      </c>
      <c r="AE4" t="str">
        <f>IF(AE3="","",MATCH(AE3,Crops[#Headers], 0))</f>
        <v/>
      </c>
      <c r="AG4" t="str">
        <f>IF(AG3="","",MATCH(AG3,Crops[#Headers], 0))</f>
        <v/>
      </c>
      <c r="AK4" t="str">
        <f>IF(AK3="","",MATCH(AK3,Crops[#Headers], 0))</f>
        <v/>
      </c>
      <c r="AL4" t="str">
        <f>IF(AL3="","",MATCH(AL3,Crops[#Headers], 0))</f>
        <v/>
      </c>
      <c r="AM4" t="str">
        <f>IF(AM3="","",MATCH(AM3,Crops[#Headers], 0))</f>
        <v/>
      </c>
      <c r="AN4" t="str">
        <f>IF(AN3="","",MATCH(AN3,Crops[#Headers], 0))</f>
        <v/>
      </c>
      <c r="BC4">
        <f>IF(BC3="","",MATCH(BC3,Crops[#Headers], 0))</f>
        <v>69</v>
      </c>
      <c r="BD4">
        <f>IF(BD3="","",MATCH(BD3,Crops[#Headers], 0))</f>
        <v>72</v>
      </c>
      <c r="BE4">
        <f>IF(BE3="","",MATCH(BE3,Crops[#Headers], 0))</f>
        <v>44</v>
      </c>
      <c r="BF4" t="str">
        <f>IF(BF3="","",MATCH(BF3,Crops[#Headers], 0))</f>
        <v/>
      </c>
      <c r="BG4">
        <f>IF(BG3="","",MATCH(BG3,Crops[#Headers], 0))</f>
        <v>46</v>
      </c>
      <c r="BH4">
        <f>IF(BH3="","",MATCH(BH3,Crops[#Headers], 0))</f>
        <v>16</v>
      </c>
      <c r="BI4" t="str">
        <f>IF(BI3="","",MATCH(BI3,Crops[#Headers], 0))</f>
        <v/>
      </c>
      <c r="BJ4">
        <f>IF(BJ3="","",MATCH(BJ3,Crops[#Headers], 0))</f>
        <v>39</v>
      </c>
      <c r="BK4">
        <f>IF(BK3="","",MATCH(BK3,Crops[#Headers], 0))</f>
        <v>24</v>
      </c>
      <c r="BL4">
        <f>IF(BL3="","",MATCH(BL3,Crops[#Headers], 0))</f>
        <v>25</v>
      </c>
      <c r="BM4">
        <f>IF(BM3="","",MATCH(BM3,Crops[#Headers], 0))</f>
        <v>31</v>
      </c>
      <c r="BN4">
        <f>IF(BN3="","",MATCH(BN3,Crops[#Headers], 0))</f>
        <v>30</v>
      </c>
      <c r="BO4">
        <f>IF(BO3="","",MATCH(BO3,Crops[#Headers], 0))</f>
        <v>26</v>
      </c>
      <c r="BP4" t="str">
        <f>IF(BP3="","",MATCH(BP3,Crops[#Headers], 0))</f>
        <v/>
      </c>
      <c r="BQ4">
        <f>IF(BQ3="","",MATCH(BQ3,Crops[#Headers], 0))</f>
        <v>10</v>
      </c>
      <c r="BR4">
        <f>IF(BR3="","",MATCH(BR3,Crops[#Headers], 0))</f>
        <v>22</v>
      </c>
      <c r="BS4" t="str">
        <f>IF(BS3="","",MATCH(BS3,Crops[#Headers], 0))</f>
        <v/>
      </c>
      <c r="BT4" t="str">
        <f>IF(BT3="","",MATCH(BT3,Crops[#Headers], 0))</f>
        <v/>
      </c>
      <c r="BU4">
        <f>IF(BU3="","",MATCH(BU3,Crops[#Headers], 0))</f>
        <v>13</v>
      </c>
      <c r="BV4">
        <f>IF(BV3="","",MATCH(BV3,Crops[#Headers], 0))</f>
        <v>29</v>
      </c>
      <c r="BW4">
        <f>IF(BW3="","",MATCH(BW3,Crops[#Headers], 0))</f>
        <v>27</v>
      </c>
      <c r="BX4">
        <f>IF(BX3="","",MATCH(BX3,Crops[#Headers], 0))</f>
        <v>50</v>
      </c>
      <c r="BY4">
        <f>IF(BY3="","",MATCH(BY3,Crops[#Headers], 0))</f>
        <v>51</v>
      </c>
      <c r="BZ4">
        <f>IF(BZ3="","",MATCH(BZ3,Crops[#Headers], 0))</f>
        <v>52</v>
      </c>
      <c r="CA4">
        <f>IF(CA3="","",MATCH(CA3,Crops[#Headers], 0))</f>
        <v>53</v>
      </c>
      <c r="CB4">
        <f>IF(CB3="","",MATCH(CB3,Crops[#Headers], 0))</f>
        <v>54</v>
      </c>
      <c r="CC4">
        <f>IF(CC3="","",MATCH(CC3,Crops[#Headers], 0))</f>
        <v>55</v>
      </c>
      <c r="CD4">
        <f>IF(CD3="","",MATCH(CD3,Crops[#Headers], 0))</f>
        <v>56</v>
      </c>
      <c r="CE4">
        <f>IF(CE3="","",MATCH(CE3,Crops[#Headers], 0))</f>
        <v>57</v>
      </c>
      <c r="CF4">
        <f>IF(CF3="","",MATCH(CF3,Crops[#Headers], 0))</f>
        <v>58</v>
      </c>
      <c r="CG4">
        <f>IF(CG3="","",MATCH(CG3,Crops[#Headers], 0))</f>
        <v>33</v>
      </c>
      <c r="CH4">
        <f>IF(CH3="","",MATCH(CH3,Crops[#Headers], 0))</f>
        <v>38</v>
      </c>
      <c r="CI4">
        <f>IF(CI3="","",MATCH(CI3,Crops[#Headers], 0))</f>
        <v>15</v>
      </c>
      <c r="CJ4" t="str">
        <f>IF(CJ3="","",MATCH(CJ3,Crops[#Headers], 0))</f>
        <v/>
      </c>
      <c r="CK4" s="26">
        <f>DATE($CK$1,COLUMNS($CK$4:CK4),1)</f>
        <v>45658</v>
      </c>
      <c r="CL4" s="26">
        <f>DATE($CK$1,COLUMNS($CK$4:CL4),1)</f>
        <v>45689</v>
      </c>
      <c r="CM4" s="26">
        <f>DATE($CK$1,COLUMNS($CK$4:CM4),1)</f>
        <v>45717</v>
      </c>
      <c r="CN4" s="26">
        <f>DATE($CK$1,COLUMNS($CK$4:CN4),1)</f>
        <v>45748</v>
      </c>
      <c r="CO4" s="26">
        <f>DATE($CK$1,COLUMNS($CK$4:CO4),1)</f>
        <v>45778</v>
      </c>
      <c r="CP4" s="26">
        <f>DATE($CK$1,COLUMNS($CK$4:CP4),1)</f>
        <v>45809</v>
      </c>
      <c r="CQ4" s="26">
        <f>DATE($CK$1,COLUMNS($CK$4:CQ4),1)</f>
        <v>45839</v>
      </c>
      <c r="CR4" s="26">
        <f>DATE($CK$1,COLUMNS($CK$4:CR4),1)</f>
        <v>45870</v>
      </c>
      <c r="CS4" s="26">
        <f>DATE($CK$1,COLUMNS($CK$4:CS4),1)</f>
        <v>45901</v>
      </c>
      <c r="CT4" s="26">
        <f>DATE($CK$1,COLUMNS($CK$4:CT4),1)</f>
        <v>45931</v>
      </c>
      <c r="CU4" s="26">
        <f>DATE($CK$1,COLUMNS($CK$4:CU4),1)</f>
        <v>45962</v>
      </c>
      <c r="CV4" s="26">
        <f>DATE($CK$1,COLUMNS($CK$4:CV4),1)</f>
        <v>45992</v>
      </c>
      <c r="CW4" s="26">
        <f>DATE($CK$1,COLUMNS($CK$4:CW4),1)</f>
        <v>46023</v>
      </c>
      <c r="CX4" s="26">
        <f>DATE($CK$1,COLUMNS($CK$4:CX4),1)</f>
        <v>46054</v>
      </c>
      <c r="CY4" s="26">
        <f>DATE($CK$1,COLUMNS($CK$4:CY4),1)</f>
        <v>46082</v>
      </c>
      <c r="CZ4" s="26">
        <f>DATE($CK$1,COLUMNS($CK$4:CZ4),1)</f>
        <v>46113</v>
      </c>
      <c r="DA4" s="26">
        <f>DATE($CK$1,COLUMNS($CK$4:DA4),1)</f>
        <v>46143</v>
      </c>
      <c r="DB4" s="26">
        <f>DATE($CK$1,COLUMNS($CK$4:DB4),1)</f>
        <v>46174</v>
      </c>
      <c r="DC4" s="26">
        <f>DATE($CK$1,COLUMNS($CK$4:DC4),1)</f>
        <v>46204</v>
      </c>
      <c r="DD4" s="26">
        <f>DATE($CK$1,COLUMNS($CK$4:DD4),1)</f>
        <v>46235</v>
      </c>
      <c r="DE4" s="26">
        <f>DATE($CK$1,COLUMNS($CK$4:DE4),1)</f>
        <v>46266</v>
      </c>
      <c r="DF4" s="26">
        <f>DATE($CK$1,COLUMNS($CK$4:DF4),1)</f>
        <v>46296</v>
      </c>
      <c r="DG4" s="26">
        <f>DATE($CK$1,COLUMNS($CK$4:DG4),1)</f>
        <v>46327</v>
      </c>
      <c r="DH4" s="26">
        <f>DATE($CK$1,COLUMNS($CK$4:DH4),1)</f>
        <v>46357</v>
      </c>
      <c r="DI4" s="26">
        <f>DATE($CK$1,COLUMNS($CK$4:DI4),1)</f>
        <v>46388</v>
      </c>
      <c r="DJ4" s="26">
        <f>DATE($CK$1,COLUMNS($CK$4:DJ4),1)</f>
        <v>46419</v>
      </c>
      <c r="DK4" s="26">
        <f>DATE($CK$1,COLUMNS($CK$4:DK4),1)</f>
        <v>46447</v>
      </c>
      <c r="DL4" s="26">
        <f>DATE($CK$1,COLUMNS($CK$4:DL4),1)</f>
        <v>46478</v>
      </c>
      <c r="DM4" s="26">
        <f>DATE($CK$1,COLUMNS($CK$4:DM4),1)</f>
        <v>46508</v>
      </c>
      <c r="DN4" s="26">
        <f>DATE($CK$1,COLUMNS($CK$4:DN4),1)</f>
        <v>46539</v>
      </c>
      <c r="DO4" s="26">
        <f>DATE($CK$1,COLUMNS($CK$4:DO4),1)</f>
        <v>46569</v>
      </c>
      <c r="DP4" s="26">
        <f>DATE($CK$1,COLUMNS($CK$4:DP4),1)</f>
        <v>46600</v>
      </c>
      <c r="DQ4" s="26">
        <f>DATE($CK$1,COLUMNS($CK$4:DQ4),1)</f>
        <v>46631</v>
      </c>
      <c r="DR4" s="26">
        <f>DATE($CK$1,COLUMNS($CK$4:DR4),1)</f>
        <v>46661</v>
      </c>
      <c r="DS4" s="26">
        <f>DATE($CK$1,COLUMNS($CK$4:DS4),1)</f>
        <v>46692</v>
      </c>
      <c r="DT4" s="26">
        <f>DATE($CK$1,COLUMNS($CK$4:DT4),1)</f>
        <v>46722</v>
      </c>
      <c r="DU4" s="26">
        <f>DATE($CK$1,COLUMNS($CK$4:DU4),1)</f>
        <v>46753</v>
      </c>
      <c r="DV4" s="26">
        <f>DATE($CK$1,COLUMNS($CK$4:DV4),1)</f>
        <v>46784</v>
      </c>
      <c r="DW4" s="26">
        <f>DATE($CK$1,COLUMNS($CK$4:DW4),1)</f>
        <v>46813</v>
      </c>
      <c r="DX4" s="26">
        <f>DATE($CK$1,COLUMNS($CK$4:DX4),1)</f>
        <v>46844</v>
      </c>
      <c r="DY4" s="26">
        <f>DATE($CK$1,COLUMNS($CK$4:DY4),1)</f>
        <v>46874</v>
      </c>
      <c r="DZ4" s="26">
        <f>DATE($CK$1,COLUMNS($CK$4:DZ4),1)</f>
        <v>46905</v>
      </c>
      <c r="EA4" s="26">
        <f>DATE($CK$1,COLUMNS($CK$4:EA4),1)</f>
        <v>46935</v>
      </c>
      <c r="EB4" s="26">
        <f>DATE($CK$1,COLUMNS($CK$4:EB4),1)</f>
        <v>46966</v>
      </c>
      <c r="EC4" s="26">
        <f>DATE($CK$1,COLUMNS($CK$4:EC4),1)</f>
        <v>46997</v>
      </c>
      <c r="ED4" s="26">
        <f>DATE($CK$1,COLUMNS($CK$4:ED4),1)</f>
        <v>47027</v>
      </c>
      <c r="EE4" s="26">
        <f>DATE($CK$1,COLUMNS($CK$4:EE4),1)</f>
        <v>47058</v>
      </c>
      <c r="EF4" s="26">
        <f>DATE($CK$1,COLUMNS($CK$4:EF4),1)</f>
        <v>47088</v>
      </c>
      <c r="EH4">
        <f>IF(EH3="","",MATCH(EH3,Crops[#Headers], 0))</f>
        <v>64</v>
      </c>
      <c r="EI4">
        <f>IF(EI3="","",MATCH(EI3,Crops[#Headers], 0))</f>
        <v>68</v>
      </c>
      <c r="EJ4">
        <f>IF(EJ3="","",MATCH(EJ3,Crops[#Headers], 0))</f>
        <v>11</v>
      </c>
    </row>
    <row r="5" spans="1:153" ht="39" customHeight="1">
      <c r="A5" s="34" t="s">
        <v>4</v>
      </c>
      <c r="B5" s="34" t="s">
        <v>5</v>
      </c>
      <c r="C5" s="226" t="s">
        <v>1505</v>
      </c>
      <c r="D5" s="226" t="s">
        <v>2592</v>
      </c>
      <c r="E5" s="226" t="s">
        <v>2719</v>
      </c>
      <c r="F5" s="34" t="s">
        <v>249</v>
      </c>
      <c r="G5" s="227" t="s">
        <v>39</v>
      </c>
      <c r="H5" s="34" t="s">
        <v>243</v>
      </c>
      <c r="I5" s="227" t="s">
        <v>6</v>
      </c>
      <c r="J5" s="227" t="s">
        <v>244</v>
      </c>
      <c r="K5" s="34" t="s">
        <v>1348</v>
      </c>
      <c r="L5" s="34" t="s">
        <v>245</v>
      </c>
      <c r="M5" s="227" t="s">
        <v>246</v>
      </c>
      <c r="N5" s="227" t="s">
        <v>247</v>
      </c>
      <c r="O5" s="227" t="s">
        <v>248</v>
      </c>
      <c r="P5" s="34" t="s">
        <v>1508</v>
      </c>
      <c r="Q5" s="34" t="s">
        <v>1509</v>
      </c>
      <c r="R5" s="228" t="s">
        <v>1349</v>
      </c>
      <c r="S5" s="34" t="s">
        <v>251</v>
      </c>
      <c r="T5" s="227" t="s">
        <v>252</v>
      </c>
      <c r="U5" s="227" t="s">
        <v>253</v>
      </c>
      <c r="V5" s="227" t="s">
        <v>1391</v>
      </c>
      <c r="W5" s="34" t="s">
        <v>1375</v>
      </c>
      <c r="X5" s="228" t="s">
        <v>1350</v>
      </c>
      <c r="Y5" s="228" t="s">
        <v>3195</v>
      </c>
      <c r="Z5" s="34" t="s">
        <v>254</v>
      </c>
      <c r="AA5" s="228" t="s">
        <v>263</v>
      </c>
      <c r="AB5" s="34" t="s">
        <v>1402</v>
      </c>
      <c r="AC5" s="228" t="s">
        <v>1393</v>
      </c>
      <c r="AD5" s="34" t="s">
        <v>255</v>
      </c>
      <c r="AE5" s="34" t="s">
        <v>1403</v>
      </c>
      <c r="AF5" s="228" t="s">
        <v>1392</v>
      </c>
      <c r="AG5" s="34" t="s">
        <v>264</v>
      </c>
      <c r="AH5" s="34" t="s">
        <v>2945</v>
      </c>
      <c r="AI5" s="34" t="s">
        <v>1404</v>
      </c>
      <c r="AJ5" s="34" t="s">
        <v>256</v>
      </c>
      <c r="AK5" s="34" t="s">
        <v>257</v>
      </c>
      <c r="AL5" s="34" t="s">
        <v>258</v>
      </c>
      <c r="AM5" s="34" t="s">
        <v>259</v>
      </c>
      <c r="AN5" s="34" t="s">
        <v>260</v>
      </c>
      <c r="AO5" s="34" t="s">
        <v>3203</v>
      </c>
      <c r="AP5" s="34" t="s">
        <v>3200</v>
      </c>
      <c r="AQ5" s="34" t="s">
        <v>3210</v>
      </c>
      <c r="AR5" s="34" t="s">
        <v>473</v>
      </c>
      <c r="AS5" s="34" t="s">
        <v>3199</v>
      </c>
      <c r="AT5" s="34" t="s">
        <v>3201</v>
      </c>
      <c r="AU5" s="34" t="s">
        <v>3211</v>
      </c>
      <c r="AV5" s="34" t="s">
        <v>3202</v>
      </c>
      <c r="AW5" s="34" t="s">
        <v>3204</v>
      </c>
      <c r="AX5" s="34" t="s">
        <v>3207</v>
      </c>
      <c r="AY5" s="34" t="s">
        <v>3205</v>
      </c>
      <c r="AZ5" s="34" t="s">
        <v>3208</v>
      </c>
      <c r="BA5" s="34" t="s">
        <v>3206</v>
      </c>
      <c r="BB5" s="34" t="s">
        <v>3209</v>
      </c>
      <c r="BC5" s="34" t="s">
        <v>261</v>
      </c>
      <c r="BD5" s="34" t="s">
        <v>38</v>
      </c>
      <c r="BE5" s="34" t="s">
        <v>28</v>
      </c>
      <c r="BF5" s="34" t="s">
        <v>262</v>
      </c>
      <c r="BG5" s="34" t="s">
        <v>265</v>
      </c>
      <c r="BH5" s="34" t="s">
        <v>266</v>
      </c>
      <c r="BI5" s="34" t="s">
        <v>2703</v>
      </c>
      <c r="BJ5" s="34" t="s">
        <v>250</v>
      </c>
      <c r="BK5" s="34" t="s">
        <v>17</v>
      </c>
      <c r="BL5" s="34" t="s">
        <v>18</v>
      </c>
      <c r="BM5" s="34" t="s">
        <v>20</v>
      </c>
      <c r="BN5" s="34" t="s">
        <v>1396</v>
      </c>
      <c r="BO5" s="34" t="s">
        <v>430</v>
      </c>
      <c r="BP5" s="34" t="s">
        <v>435</v>
      </c>
      <c r="BQ5" s="34" t="s">
        <v>1709</v>
      </c>
      <c r="BR5" s="34" t="s">
        <v>311</v>
      </c>
      <c r="BS5" s="34" t="s">
        <v>438</v>
      </c>
      <c r="BT5" s="34" t="s">
        <v>439</v>
      </c>
      <c r="BU5" s="34" t="s">
        <v>440</v>
      </c>
      <c r="BV5" s="34" t="s">
        <v>472</v>
      </c>
      <c r="BW5" s="34" t="s">
        <v>477</v>
      </c>
      <c r="BX5" s="34" t="s">
        <v>1335</v>
      </c>
      <c r="BY5" s="34" t="s">
        <v>1329</v>
      </c>
      <c r="BZ5" s="34" t="s">
        <v>1330</v>
      </c>
      <c r="CA5" s="34" t="s">
        <v>1336</v>
      </c>
      <c r="CB5" s="34" t="s">
        <v>1331</v>
      </c>
      <c r="CC5" s="34" t="s">
        <v>1332</v>
      </c>
      <c r="CD5" s="34" t="s">
        <v>1337</v>
      </c>
      <c r="CE5" s="34" t="s">
        <v>1333</v>
      </c>
      <c r="CF5" s="34" t="s">
        <v>1334</v>
      </c>
      <c r="CG5" s="34" t="s">
        <v>2</v>
      </c>
      <c r="CH5" s="34" t="s">
        <v>2285</v>
      </c>
      <c r="CI5" s="34" t="s">
        <v>9</v>
      </c>
      <c r="CJ5" s="34" t="s">
        <v>1376</v>
      </c>
      <c r="CK5" s="256" t="s">
        <v>2952</v>
      </c>
      <c r="CL5" s="256" t="s">
        <v>2953</v>
      </c>
      <c r="CM5" s="256" t="s">
        <v>2954</v>
      </c>
      <c r="CN5" s="256" t="s">
        <v>2955</v>
      </c>
      <c r="CO5" s="256" t="s">
        <v>2956</v>
      </c>
      <c r="CP5" s="256" t="s">
        <v>2957</v>
      </c>
      <c r="CQ5" s="256" t="s">
        <v>2958</v>
      </c>
      <c r="CR5" s="256" t="s">
        <v>2959</v>
      </c>
      <c r="CS5" s="256" t="s">
        <v>2960</v>
      </c>
      <c r="CT5" s="256" t="s">
        <v>2961</v>
      </c>
      <c r="CU5" s="256" t="s">
        <v>2962</v>
      </c>
      <c r="CV5" s="256" t="s">
        <v>2963</v>
      </c>
      <c r="CW5" s="34" t="s">
        <v>2964</v>
      </c>
      <c r="CX5" s="34" t="s">
        <v>2965</v>
      </c>
      <c r="CY5" s="34" t="s">
        <v>2966</v>
      </c>
      <c r="CZ5" s="34" t="s">
        <v>2967</v>
      </c>
      <c r="DA5" s="34" t="s">
        <v>2968</v>
      </c>
      <c r="DB5" s="34" t="s">
        <v>2969</v>
      </c>
      <c r="DC5" s="34" t="s">
        <v>2970</v>
      </c>
      <c r="DD5" s="34" t="s">
        <v>2971</v>
      </c>
      <c r="DE5" s="34" t="s">
        <v>2972</v>
      </c>
      <c r="DF5" s="34" t="s">
        <v>2973</v>
      </c>
      <c r="DG5" s="34" t="s">
        <v>2974</v>
      </c>
      <c r="DH5" s="34" t="s">
        <v>2975</v>
      </c>
      <c r="DI5" s="256" t="s">
        <v>2976</v>
      </c>
      <c r="DJ5" s="256" t="s">
        <v>2977</v>
      </c>
      <c r="DK5" s="256" t="s">
        <v>2978</v>
      </c>
      <c r="DL5" s="256" t="s">
        <v>2979</v>
      </c>
      <c r="DM5" s="256" t="s">
        <v>2980</v>
      </c>
      <c r="DN5" s="256" t="s">
        <v>2981</v>
      </c>
      <c r="DO5" s="256" t="s">
        <v>2982</v>
      </c>
      <c r="DP5" s="256" t="s">
        <v>2983</v>
      </c>
      <c r="DQ5" s="256" t="s">
        <v>2984</v>
      </c>
      <c r="DR5" s="256" t="s">
        <v>2985</v>
      </c>
      <c r="DS5" s="256" t="s">
        <v>2986</v>
      </c>
      <c r="DT5" s="256" t="s">
        <v>2987</v>
      </c>
      <c r="DU5" s="34" t="s">
        <v>2988</v>
      </c>
      <c r="DV5" s="34" t="s">
        <v>2989</v>
      </c>
      <c r="DW5" s="34" t="s">
        <v>2990</v>
      </c>
      <c r="DX5" s="34" t="s">
        <v>2991</v>
      </c>
      <c r="DY5" s="34" t="s">
        <v>2992</v>
      </c>
      <c r="DZ5" s="34" t="s">
        <v>2993</v>
      </c>
      <c r="EA5" s="34" t="s">
        <v>2994</v>
      </c>
      <c r="EB5" s="34" t="s">
        <v>2995</v>
      </c>
      <c r="EC5" s="34" t="s">
        <v>2996</v>
      </c>
      <c r="ED5" s="34" t="s">
        <v>2997</v>
      </c>
      <c r="EE5" s="34" t="s">
        <v>2998</v>
      </c>
      <c r="EF5" s="34" t="s">
        <v>2999</v>
      </c>
      <c r="EG5" s="34" t="s">
        <v>3000</v>
      </c>
      <c r="EH5" s="34" t="s">
        <v>3111</v>
      </c>
      <c r="EI5" s="34" t="s">
        <v>36</v>
      </c>
      <c r="EJ5" s="34" t="s">
        <v>7</v>
      </c>
      <c r="EK5" s="34" t="s">
        <v>3124</v>
      </c>
      <c r="EL5" s="34" t="s">
        <v>3112</v>
      </c>
      <c r="EM5" s="34" t="s">
        <v>3113</v>
      </c>
      <c r="EN5" s="34" t="s">
        <v>3114</v>
      </c>
      <c r="EO5" s="34" t="s">
        <v>3115</v>
      </c>
      <c r="EP5" s="34" t="s">
        <v>3116</v>
      </c>
      <c r="EQ5" s="34" t="s">
        <v>3117</v>
      </c>
      <c r="ER5" s="34" t="s">
        <v>3118</v>
      </c>
      <c r="ES5" s="34" t="s">
        <v>3119</v>
      </c>
      <c r="ET5" s="34" t="s">
        <v>3120</v>
      </c>
      <c r="EU5" s="34" t="s">
        <v>3121</v>
      </c>
      <c r="EV5" s="34" t="s">
        <v>3122</v>
      </c>
      <c r="EW5" s="34" t="s">
        <v>3123</v>
      </c>
    </row>
    <row r="6" spans="1:153" ht="15.75" customHeight="1">
      <c r="A6" s="179" t="s">
        <v>2300</v>
      </c>
      <c r="B6" t="s">
        <v>3110</v>
      </c>
      <c r="C6" t="s">
        <v>1514</v>
      </c>
      <c r="D6" s="132" cm="1">
        <f t="array" ref="D6">INDEX(Crops[],BedPlan[[#This Row],[Chart Index]],D$4,1)*BedPlan[[#This Row],[Full Bed Equivalent]]</f>
        <v>15</v>
      </c>
      <c r="E6" s="132" cm="1">
        <f t="array" ref="E6">INDEX(Crops[],BedPlan[[#This Row],[Chart Index]],E$4,1)*BedPlan[[#This Row],[Full Bed Equivalent]]</f>
        <v>45</v>
      </c>
      <c r="F6" t="str">
        <f>UPPER(LEFT(BedPlan[[#This Row],[Crop]],3))</f>
        <v>ARU</v>
      </c>
      <c r="H6" s="132" t="str" cm="1">
        <f t="array" ref="H6">INDEX(Crops[],BedPlan[[#This Row],[Chart Index]],H$4,1)</f>
        <v>Arugula</v>
      </c>
      <c r="I6" t="s">
        <v>2850</v>
      </c>
      <c r="K6" t="str" cm="1">
        <f t="array" ref="K6">IF(ISNUMBER(MATCH(BedPlan[[#This Row],[Variety]],SeedMixes[Name],)),_xlfn.TEXTJOIN(", ",TRUE,_xlfn._xlws.FILTER(SeedMixes[Variety &amp; Company],SeedMixes[Name]=BedPlan[[#This Row],[Variety]])),"")</f>
        <v>Esmee Johnny's, Astro High Mowing</v>
      </c>
      <c r="L6" s="33" cm="1">
        <f t="array" ref="L6">INDEX(Crops[],BedPlan[[#This Row],[Chart Index]],L$4,1)*BedPlan[[#This Row],[Full Bed Equivalent]]</f>
        <v>9360</v>
      </c>
      <c r="N6">
        <v>0.5</v>
      </c>
      <c r="O6">
        <f>MAX(BedPlan[[#This Row],['# Of Beds]],0.5)</f>
        <v>0.5</v>
      </c>
      <c r="P6" s="31">
        <f>IF(ISNUMBER(BedPlan[[#This Row],[Planned Greenhouse Start Date]]),BedPlan[[#This Row],[Planned Greenhouse Start Date]],BedPlan[[#This Row],[Planned TP or DS Date]])</f>
        <v>45754</v>
      </c>
      <c r="Q6" s="259" t="str">
        <f>IF(BedPlan[[#This Row],[Days in Cells]]=0,"",IFERROR(_xlfn.XLOOKUP(BedPlan[[#This Row],[Follows Crop]],BedPlan[Identifier],BedPlan[Expected End of Harvest]) + 1+BedPlan[[#This Row],[Follow Offset]],BedPlan[[#This Row],[Fixed Field Start Date]])-BedPlan[[#This Row],[Days in Cells]])</f>
        <v/>
      </c>
      <c r="R6" s="259"/>
      <c r="S6" s="259" t="str">
        <f>IF(ISNUMBER(BedPlan[[#This Row],[Actual Greenhouse Date]]),BedPlan[[#This Row],[Actual Greenhouse Date]],BedPlan[[#This Row],[Planned Greenhouse Start Date]])</f>
        <v/>
      </c>
      <c r="T6" s="259">
        <v>45754</v>
      </c>
      <c r="U6" s="260"/>
      <c r="V6" s="260"/>
      <c r="W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6" s="259">
        <v>45754</v>
      </c>
      <c r="Y6" s="271">
        <f>BedPlan[[#This Row],[Actual TP or DS Date]]-BedPlan[[#This Row],[Planned TP or DS Date]]</f>
        <v>0</v>
      </c>
      <c r="Z6" s="259">
        <f>IF(ISNUMBER(BedPlan[[#This Row],[Actual TP or DS Date]]),BedPlan[[#This Row],[Actual TP or DS Date]],BedPlan[[#This Row],[Planned TP or DS Date]])</f>
        <v>45754</v>
      </c>
      <c r="AA6" s="260"/>
      <c r="AB6" s="259">
        <f>IF(ISNUMBER(BedPlan[[#This Row],[Greenhouse Start Date]]),BedPlan[[#This Row],[Greenhouse Start Date]]+BedPlan[[#This Row],[DTM]],BedPlan[[#This Row],[TP or DS Date]]+BedPlan[[#This Row],[DTM]])</f>
        <v>45785</v>
      </c>
      <c r="AC6" s="259"/>
      <c r="AD6" s="259">
        <f>IF(ISNUMBER(BedPlan[[#This Row],[Actual Beginning of Harvest]]),BedPlan[[#This Row],[Actual Beginning of Harvest]],BedPlan[[#This Row],[Expected Beginning of Harvest]])</f>
        <v>45785</v>
      </c>
      <c r="AE6" s="259">
        <f>BedPlan[[#This Row],[Expected Beginning of Harvest]]+BedPlan[[#This Row],[Harvest Window]]+BedPlan[[#This Row],[Additional Days of Harvest]]</f>
        <v>45803</v>
      </c>
      <c r="AF6" s="259"/>
      <c r="AG6" s="259"/>
      <c r="AH6" t="b">
        <f>IF(AND( BedPlan[[#This Row],[Expected End of Harvest]] &gt;= DATE(2025, 8, 1), BedPlan[[#This Row],[Beginning of Harvest]] &lt;= DATE(2025, 8, 31) ), TRUE, FALSE)</f>
        <v>0</v>
      </c>
      <c r="AI6" s="31"/>
      <c r="AJ6" s="31">
        <f>IF(ISNUMBER(BedPlan[[#This Row],[Actual End of Harvest]]),BedPlan[[#This Row],[Actual End of Harvest]],BedPlan[[#This Row],[Expected End of Harvest]])</f>
        <v>45803</v>
      </c>
      <c r="AK6" t="b">
        <f>OR(ISNUMBER(BedPlan[[#This Row],[Actual Greenhouse Date]]),ISNUMBER(BedPlan[[#This Row],[Actual TP or DS Date]]))</f>
        <v>1</v>
      </c>
      <c r="AL6" s="52" t="str">
        <f>IF(ISNUMBER(BedPlan[[#This Row],[Planned Greenhouse Start Date]]),OR(ISNUMBER(BedPlan[[#This Row],[Actual TP or DS Date]]),BedPlan[[#This Row],[Failed]]),"-")</f>
        <v>-</v>
      </c>
      <c r="AM6" t="b">
        <f>OR(ISNUMBER(BedPlan[[#This Row],[Actual End of Harvest]]),BedPlan[[#This Row],[Failed]])</f>
        <v>0</v>
      </c>
      <c r="AN6" t="b">
        <f>OR(BedPlan[[#This Row],[Harvest Done]],BedPlan[[#This Row],[Failed]],BedPlan[[#This Row],[Name]]="Tarp")</f>
        <v>0</v>
      </c>
      <c r="AQ6" t="s">
        <v>3214</v>
      </c>
      <c r="AR6" t="b">
        <v>1</v>
      </c>
      <c r="AS6" s="26" t="str">
        <f>IF(BedPlan[[#This Row],[Broadfork]],BedPlan[[#This Row],[Actual TP or DS Date]],"")</f>
        <v/>
      </c>
      <c r="AT6" s="26" t="str">
        <f>IF(BedPlan[[#This Row],[Tilther]],BedPlan[[#This Row],[Actual TP or DS Date]],"")</f>
        <v/>
      </c>
      <c r="AU6" s="26">
        <f>IF(NOT(ISBLANK(BedPlan[[#This Row],[Amend]])),BedPlan[[#This Row],[Actual TP or DS Date]],"")</f>
        <v>45754</v>
      </c>
      <c r="AV6" s="26">
        <f>IF(BedPlan[[#This Row],[Row Cover]],BedPlan[[#This Row],[Actual TP or DS Date]],"")</f>
        <v>45754</v>
      </c>
      <c r="AX6" s="26"/>
      <c r="AZ6" s="26"/>
      <c r="BB6" s="26"/>
      <c r="BC6" s="231" cm="1">
        <f t="array" ref="BC6">INDEX(Crops[],BedPlan[[#This Row],[Chart Index]],BC$4,1)*BedPlan[[#This Row],[Full Bed Equivalent]]</f>
        <v>112.5</v>
      </c>
      <c r="BD6" s="231" cm="1">
        <f t="array" ref="BD6">INDEX(Crops[],BedPlan[[#This Row],[Chart Index]],BD$4,1)*BedPlan[[#This Row],[Full Bed Equivalent]]</f>
        <v>2.295918367346939</v>
      </c>
      <c r="BE6" cm="1">
        <f t="array" ref="BE6">INDEX(Crops[],BedPlan[[#This Row],[Chart Index]],BE$4,1)+BedPlan[[#This Row],[Additional Days in Cells]]+BedPlan[[#This Row],[Additional Days In Field]]</f>
        <v>31</v>
      </c>
      <c r="BG6" cm="1">
        <f t="array" ref="BG6">INDEX(Crops[],BedPlan[[#This Row],[Chart Index]],BG$4,1)</f>
        <v>18</v>
      </c>
      <c r="BH6" t="str">
        <f>IF(ISNUMBER(BedPlan[[#This Row],[Planned Greenhouse Start Date]]),"TP","DS")</f>
        <v>DS</v>
      </c>
      <c r="BI6">
        <f>BedPlan[[#This Row],['# Of Beds]]</f>
        <v>0.5</v>
      </c>
      <c r="BJ6" cm="1">
        <f t="array" ref="BJ6">INDEX(Crops[],BedPlan[[#This Row],[Chart Index]],BJ$4,1)</f>
        <v>0</v>
      </c>
      <c r="BK6" cm="1">
        <f t="array" ref="BK6">INDEX(Crops[],BedPlan[[#This Row],[Chart Index]],BK$4,1)</f>
        <v>6</v>
      </c>
      <c r="BL6" cm="1">
        <f t="array" ref="BL6">INDEX(Crops[],BedPlan[[#This Row],[Chart Index]],BL$4,1)</f>
        <v>0.25</v>
      </c>
      <c r="BM6" cm="1">
        <f t="array" ref="BM6">INDEX(Crops[],BedPlan[[#This Row],[Chart Index]],BM$4,1)</f>
        <v>1</v>
      </c>
      <c r="BN6" s="32" cm="1">
        <f t="array" ref="BN6">INDEX(Crops[],BedPlan[[#This Row],[Chart Index]],BN$4,1)*BedPlan[[#This Row],[Full Bed Equivalent]]</f>
        <v>7200</v>
      </c>
      <c r="BO6" t="str" cm="1">
        <f t="array" ref="BO6">IF(INDEX(Crops[],BedPlan[[#This Row],[Chart Index]],BO$4,1)=0,"",INDEX(Crops[],BedPlan[[#This Row],[Chart Index]],BO$4,1))</f>
        <v>OH</v>
      </c>
      <c r="BP6">
        <f>MATCH(BedPlan[[#This Row],[Crop]],Crops[Identifier],FALSE)</f>
        <v>6</v>
      </c>
      <c r="BQ6" t="str" cm="1">
        <f t="array" ref="BQ6">INDEX(Crops[],BedPlan[[#This Row],[Chart Index]],BQ$4,1)</f>
        <v>General</v>
      </c>
      <c r="BR6" t="str" cm="1">
        <f t="array" ref="BR6">INDEX(Crops[],BedPlan[[#This Row],[Chart Index]],BR$4,1)</f>
        <v>Sp</v>
      </c>
      <c r="BS6" s="32">
        <f>BedPlan[[#This Row],[Expected Beginning of Harvest]]-DATE(2023,1,1)</f>
        <v>858</v>
      </c>
      <c r="BT6">
        <f>BedPlan[[#This Row],[Expected End of Harvest]]-BedPlan[[#This Row],[Expected Beginning of Harvest]]</f>
        <v>18</v>
      </c>
      <c r="BU6" t="str" cm="1">
        <f t="array" ref="BU6">INDEX(Crops[],BedPlan[[#This Row],[Chart Index]],BU$4,1)</f>
        <v>Green</v>
      </c>
      <c r="BV6" cm="1">
        <f t="array" ref="BV6">INDEX(Crops[],BedPlan[[#This Row],[Chart Index]],BV$4,1)</f>
        <v>1</v>
      </c>
      <c r="BW6" t="str" cm="1">
        <f t="array" ref="BW6">INDEX(Crops[],BedPlan[[#This Row],[Chart Index]],BW$4,1)</f>
        <v>None</v>
      </c>
      <c r="BX6" cm="1">
        <f t="array" ref="BX6">INDEX(Crops[],BedPlan[[#This Row],[Chart Index]],BX$4,1)</f>
        <v>0</v>
      </c>
      <c r="BY6" cm="1">
        <f t="array" ref="BY6">INDEX(Crops[],BedPlan[[#This Row],[Chart Index]],BY$4,1)</f>
        <v>0</v>
      </c>
      <c r="BZ6" s="49" t="str" cm="1">
        <f t="array" ref="BZ6">IFERROR(INDEX(Crops[],BedPlan[[#This Row],[Chart Index]],BZ$4,1)*BedPlan[[#This Row],[Full Bed Equivalent]],"")</f>
        <v/>
      </c>
      <c r="CA6" cm="1">
        <f t="array" ref="CA6">INDEX(Crops[],BedPlan[[#This Row],[Chart Index]],CA$4,1)</f>
        <v>0</v>
      </c>
      <c r="CB6" cm="1">
        <f t="array" ref="CB6">INDEX(Crops[],BedPlan[[#This Row],[Chart Index]],CB$4,1)</f>
        <v>0</v>
      </c>
      <c r="CC6" s="49" t="str" cm="1">
        <f t="array" ref="CC6">IFERROR(INDEX(Crops[],BedPlan[[#This Row],[Chart Index]],CC$4,1)*BedPlan[[#This Row],[Full Bed Equivalent]],"")</f>
        <v/>
      </c>
      <c r="CD6" cm="1">
        <f t="array" ref="CD6">INDEX(Crops[],BedPlan[[#This Row],[Chart Index]],CD$4,1)</f>
        <v>0</v>
      </c>
      <c r="CE6" cm="1">
        <f t="array" ref="CE6">IF(INDEX(Crops[],BedPlan[[#This Row],[Chart Index]],CE$4,1)="",0,INDEX(Crops[],BedPlan[[#This Row],[Chart Index]],CE$4,1))</f>
        <v>0</v>
      </c>
      <c r="CF6" s="49" t="str" cm="1">
        <f t="array" ref="CF6">IFERROR(INDEX(Crops[],BedPlan[[#This Row],[Chart Index]],CF$4,1)*BedPlan[[#This Row],[Full Bed Equivalent]],"")</f>
        <v/>
      </c>
      <c r="CG6" cm="1">
        <f t="array" ref="CG6">IF(INDEX(Crops[],BedPlan[[#This Row],[Chart Index]],CG$4,1)="",0,INDEX(Crops[],BedPlan[[#This Row],[Chart Index]],CG$4,1))</f>
        <v>1.3</v>
      </c>
      <c r="CH6" cm="1">
        <f t="array" ref="CH6">IF(INDEX(Crops[],BedPlan[[#This Row],[Chart Index]],CH$4,1)="",0,INDEX(Crops[],BedPlan[[#This Row],[Chart Index]],CH$4,1))</f>
        <v>6</v>
      </c>
      <c r="CI6" t="str" cm="1">
        <f t="array" ref="CI6">INDEX(Crops[],BedPlan[[#This Row],[Chart Index]],CI$4,1)</f>
        <v>Field</v>
      </c>
      <c r="CJ6" s="30" t="str">
        <f>_xlfn.TEXTJOIN(CHAR(10),FALSE,BedPlan[[#This Row],[Name]],BedPlan[[#This Row],[Variety]],BedPlan[[#This Row],[Company]])</f>
        <v xml:space="preserve">Arugula
Arugala Mix
</v>
      </c>
      <c r="CK6" s="32">
        <f>MAX( 0, MIN(BedPlan[[#This Row],[Expected End of Harvest]], EOMONTH(CK$4, 0)) - MAX(BedPlan[[#This Row],[Beginning of Harvest]], CK$4) + 1 )</f>
        <v>0</v>
      </c>
      <c r="CL6">
        <f>MAX( 0, MIN(BedPlan[[#This Row],[Expected End of Harvest]], EOMONTH(CL$4, 0)) - MAX(BedPlan[[#This Row],[Beginning of Harvest]], CL$4) + 1 )</f>
        <v>0</v>
      </c>
      <c r="CM6">
        <f>MAX( 0, MIN(BedPlan[[#This Row],[Expected End of Harvest]], EOMONTH(CM$4, 0)) - MAX(BedPlan[[#This Row],[Beginning of Harvest]], CM$4) + 1 )</f>
        <v>0</v>
      </c>
      <c r="CN6">
        <f>MAX( 0, MIN(BedPlan[[#This Row],[Expected End of Harvest]], EOMONTH(CN$4, 0)) - MAX(BedPlan[[#This Row],[Beginning of Harvest]], CN$4) + 1 )</f>
        <v>0</v>
      </c>
      <c r="CO6">
        <f>MAX( 0, MIN(BedPlan[[#This Row],[Expected End of Harvest]], EOMONTH(CO$4, 0)) - MAX(BedPlan[[#This Row],[Beginning of Harvest]], CO$4) + 1 )</f>
        <v>19</v>
      </c>
      <c r="CP6">
        <f>MAX( 0, MIN(BedPlan[[#This Row],[Expected End of Harvest]], EOMONTH(CP$4, 0)) - MAX(BedPlan[[#This Row],[Beginning of Harvest]], CP$4) + 1 )</f>
        <v>0</v>
      </c>
      <c r="CQ6">
        <f>MAX( 0, MIN(BedPlan[[#This Row],[Expected End of Harvest]], EOMONTH(CQ$4, 0)) - MAX(BedPlan[[#This Row],[Beginning of Harvest]], CQ$4) + 1 )</f>
        <v>0</v>
      </c>
      <c r="CR6">
        <f>MAX( 0, MIN(BedPlan[[#This Row],[Expected End of Harvest]], EOMONTH(CR$4, 0)) - MAX(BedPlan[[#This Row],[Beginning of Harvest]], CR$4) + 1 )</f>
        <v>0</v>
      </c>
      <c r="CS6">
        <f>MAX( 0, MIN(BedPlan[[#This Row],[Expected End of Harvest]], EOMONTH(CS$4, 0)) - MAX(BedPlan[[#This Row],[Beginning of Harvest]], CS$4) + 1 )</f>
        <v>0</v>
      </c>
      <c r="CT6">
        <f>MAX( 0, MIN(BedPlan[[#This Row],[Expected End of Harvest]], EOMONTH(CT$4, 0)) - MAX(BedPlan[[#This Row],[Beginning of Harvest]], CT$4) + 1 )</f>
        <v>0</v>
      </c>
      <c r="CU6">
        <f>MAX( 0, MIN(BedPlan[[#This Row],[Expected End of Harvest]], EOMONTH(CU$4, 0)) - MAX(BedPlan[[#This Row],[Beginning of Harvest]], CU$4) + 1 )</f>
        <v>0</v>
      </c>
      <c r="CV6">
        <f>MAX( 0, MIN(BedPlan[[#This Row],[Expected End of Harvest]], EOMONTH(CV$4, 0)) - MAX(BedPlan[[#This Row],[Beginning of Harvest]], CV$4) + 1 )</f>
        <v>0</v>
      </c>
      <c r="CW6">
        <f>MAX( 0, MIN(BedPlan[[#This Row],[Expected End of Harvest]], EOMONTH(CW$4, 0)) - MAX(BedPlan[[#This Row],[Beginning of Harvest]], CW$4) + 1 )</f>
        <v>0</v>
      </c>
      <c r="CX6">
        <f>MAX( 0, MIN(BedPlan[[#This Row],[Expected End of Harvest]], EOMONTH(CX$4, 0)) - MAX(BedPlan[[#This Row],[Beginning of Harvest]], CX$4) + 1 )</f>
        <v>0</v>
      </c>
      <c r="CY6">
        <f>MAX( 0, MIN(BedPlan[[#This Row],[Expected End of Harvest]], EOMONTH(CY$4, 0)) - MAX(BedPlan[[#This Row],[Beginning of Harvest]], CY$4) + 1 )</f>
        <v>0</v>
      </c>
      <c r="CZ6">
        <f>MAX( 0, MIN(BedPlan[[#This Row],[Expected End of Harvest]], EOMONTH(CZ$4, 0)) - MAX(BedPlan[[#This Row],[Beginning of Harvest]], CZ$4) + 1 )</f>
        <v>0</v>
      </c>
      <c r="DA6">
        <f>MAX( 0, MIN(BedPlan[[#This Row],[Expected End of Harvest]], EOMONTH(DA$4, 0)) - MAX(BedPlan[[#This Row],[Beginning of Harvest]], DA$4) + 1 )</f>
        <v>0</v>
      </c>
      <c r="DB6">
        <f>MAX( 0, MIN(BedPlan[[#This Row],[Expected End of Harvest]], EOMONTH(DB$4, 0)) - MAX(BedPlan[[#This Row],[Beginning of Harvest]], DB$4) + 1 )</f>
        <v>0</v>
      </c>
      <c r="DC6">
        <f>MAX( 0, MIN(BedPlan[[#This Row],[Expected End of Harvest]], EOMONTH(DC$4, 0)) - MAX(BedPlan[[#This Row],[Beginning of Harvest]], DC$4) + 1 )</f>
        <v>0</v>
      </c>
      <c r="DD6">
        <f>MAX( 0, MIN(BedPlan[[#This Row],[Expected End of Harvest]], EOMONTH(DD$4, 0)) - MAX(BedPlan[[#This Row],[Beginning of Harvest]], DD$4) + 1 )</f>
        <v>0</v>
      </c>
      <c r="DE6">
        <f>MAX( 0, MIN(BedPlan[[#This Row],[Expected End of Harvest]], EOMONTH(DE$4, 0)) - MAX(BedPlan[[#This Row],[Beginning of Harvest]], DE$4) + 1 )</f>
        <v>0</v>
      </c>
      <c r="DF6">
        <f>MAX( 0, MIN(BedPlan[[#This Row],[Expected End of Harvest]], EOMONTH(DF$4, 0)) - MAX(BedPlan[[#This Row],[Beginning of Harvest]], DF$4) + 1 )</f>
        <v>0</v>
      </c>
      <c r="DG6">
        <f>MAX( 0, MIN(BedPlan[[#This Row],[Expected End of Harvest]], EOMONTH(DG$4, 0)) - MAX(BedPlan[[#This Row],[Beginning of Harvest]], DG$4) + 1 )</f>
        <v>0</v>
      </c>
      <c r="DH6">
        <f>MAX( 0, MIN(BedPlan[[#This Row],[Expected End of Harvest]], EOMONTH(DH$4, 0)) - MAX(BedPlan[[#This Row],[Beginning of Harvest]], DH$4) + 1 )</f>
        <v>0</v>
      </c>
      <c r="DI6" s="257" cm="1">
        <f t="array" ref="DI6">BedPlan[[#This Row],[Harvest Days January 2025]]/SUM(BedPlan[[#This Row],[Harvest Days January 2025]:[Harvest Days December 2026]])*BedPlan[[#This Row],[Revenue]:[Revenue]]</f>
        <v>0</v>
      </c>
      <c r="DJ6" s="257" cm="1">
        <f t="array" ref="DJ6">BedPlan[[#This Row],[Harvest Days February 2025]]/SUM(BedPlan[[#This Row],[Harvest Days January 2025]:[Harvest Days December 2026]])*BedPlan[[#This Row],[Revenue]:[Revenue]]</f>
        <v>0</v>
      </c>
      <c r="DK6" s="257" cm="1">
        <f t="array" ref="DK6">BedPlan[[#This Row],[Harvest Days March 2025]]/SUM(BedPlan[[#This Row],[Harvest Days January 2025]:[Harvest Days December 2026]])*BedPlan[[#This Row],[Revenue]:[Revenue]]</f>
        <v>0</v>
      </c>
      <c r="DL6" s="257" cm="1">
        <f t="array" ref="DL6">BedPlan[[#This Row],[Harvest Days April 2025]]/SUM(BedPlan[[#This Row],[Harvest Days January 2025]:[Harvest Days December 2026]])*BedPlan[[#This Row],[Revenue]:[Revenue]]</f>
        <v>0</v>
      </c>
      <c r="DM6" s="257" cm="1">
        <f t="array" ref="DM6">BedPlan[[#This Row],[Harvest Days May 2025]]/SUM(BedPlan[[#This Row],[Harvest Days January 2025]:[Harvest Days December 2026]])*BedPlan[[#This Row],[Revenue]:[Revenue]]</f>
        <v>112.5</v>
      </c>
      <c r="DN6" s="257" cm="1">
        <f t="array" ref="DN6">BedPlan[[#This Row],[Harvest Days June 2025]]/SUM(BedPlan[[#This Row],[Harvest Days January 2025]:[Harvest Days December 2026]])*BedPlan[[#This Row],[Revenue]:[Revenue]]</f>
        <v>0</v>
      </c>
      <c r="DO6" s="257" cm="1">
        <f t="array" ref="DO6">BedPlan[[#This Row],[Harvest Days July 2025]]/SUM(BedPlan[[#This Row],[Harvest Days January 2025]:[Harvest Days December 2026]])*BedPlan[[#This Row],[Revenue]:[Revenue]]</f>
        <v>0</v>
      </c>
      <c r="DP6" s="257" cm="1">
        <f t="array" ref="DP6">BedPlan[[#This Row],[Harvest Days August 2025]]/SUM(BedPlan[[#This Row],[Harvest Days January 2025]:[Harvest Days December 2026]])*BedPlan[[#This Row],[Revenue]:[Revenue]]</f>
        <v>0</v>
      </c>
      <c r="DQ6" s="257" cm="1">
        <f t="array" ref="DQ6">BedPlan[[#This Row],[Harvest Days September 2025]]/SUM(BedPlan[[#This Row],[Harvest Days January 2025]:[Harvest Days December 2026]])*BedPlan[[#This Row],[Revenue]:[Revenue]]</f>
        <v>0</v>
      </c>
      <c r="DR6" s="257" cm="1">
        <f t="array" ref="DR6">BedPlan[[#This Row],[Harvest Days October 2025]]/SUM(BedPlan[[#This Row],[Harvest Days January 2025]:[Harvest Days December 2026]])*BedPlan[[#This Row],[Revenue]:[Revenue]]</f>
        <v>0</v>
      </c>
      <c r="DS6" s="257" cm="1">
        <f t="array" ref="DS6">BedPlan[[#This Row],[Harvest Days November 2025]]/SUM(BedPlan[[#This Row],[Harvest Days January 2025]:[Harvest Days December 2026]])*BedPlan[[#This Row],[Revenue]:[Revenue]]</f>
        <v>0</v>
      </c>
      <c r="DT6" s="257" cm="1">
        <f t="array" ref="DT6">BedPlan[[#This Row],[Harvest Days December 2025]]/SUM(BedPlan[[#This Row],[Harvest Days January 2025]:[Harvest Days December 2026]])*BedPlan[[#This Row],[Revenue]:[Revenue]]</f>
        <v>0</v>
      </c>
      <c r="DU6" s="257" cm="1">
        <f t="array" ref="DU6">BedPlan[[#This Row],[Harvest Days January 2026]]/SUM(BedPlan[[#This Row],[Harvest Days January 2025]:[Harvest Days December 2026]])*BedPlan[[#This Row],[Revenue]:[Revenue]]</f>
        <v>0</v>
      </c>
      <c r="DV6" s="257" cm="1">
        <f t="array" ref="DV6">BedPlan[[#This Row],[Harvest Days February 2026]]/SUM(BedPlan[[#This Row],[Harvest Days January 2025]:[Harvest Days December 2026]])*BedPlan[[#This Row],[Revenue]:[Revenue]]</f>
        <v>0</v>
      </c>
      <c r="DW6" s="257" cm="1">
        <f t="array" ref="DW6">BedPlan[[#This Row],[Harvest Days March 2026]]/SUM(BedPlan[[#This Row],[Harvest Days January 2025]:[Harvest Days December 2026]])*BedPlan[[#This Row],[Revenue]:[Revenue]]</f>
        <v>0</v>
      </c>
      <c r="DX6" s="257" cm="1">
        <f t="array" ref="DX6">BedPlan[[#This Row],[Harvest Days April 2026]]/SUM(BedPlan[[#This Row],[Harvest Days January 2025]:[Harvest Days December 2026]])*BedPlan[[#This Row],[Revenue]:[Revenue]]</f>
        <v>0</v>
      </c>
      <c r="DY6" s="257" cm="1">
        <f t="array" ref="DY6">BedPlan[[#This Row],[Harvest Days May 2026]]/SUM(BedPlan[[#This Row],[Harvest Days January 2025]:[Harvest Days December 2026]])*BedPlan[[#This Row],[Revenue]:[Revenue]]</f>
        <v>0</v>
      </c>
      <c r="DZ6" s="257" cm="1">
        <f t="array" ref="DZ6">BedPlan[[#This Row],[Harvest Days June 2026]]/SUM(BedPlan[[#This Row],[Harvest Days January 2025]:[Harvest Days December 2026]])*BedPlan[[#This Row],[Revenue]:[Revenue]]</f>
        <v>0</v>
      </c>
      <c r="EA6" s="257" cm="1">
        <f t="array" ref="EA6">BedPlan[[#This Row],[Harvest Days July 2026]]/SUM(BedPlan[[#This Row],[Harvest Days January 2025]:[Harvest Days December 2026]])*BedPlan[[#This Row],[Revenue]:[Revenue]]</f>
        <v>0</v>
      </c>
      <c r="EB6" s="257" cm="1">
        <f t="array" ref="EB6">BedPlan[[#This Row],[Harvest Days August 2026]]/SUM(BedPlan[[#This Row],[Harvest Days January 2025]:[Harvest Days December 2026]])*BedPlan[[#This Row],[Revenue]:[Revenue]]</f>
        <v>0</v>
      </c>
      <c r="EC6" s="257" cm="1">
        <f t="array" ref="EC6">BedPlan[[#This Row],[Harvest Days September 2026]]/SUM(BedPlan[[#This Row],[Harvest Days January 2025]:[Harvest Days December 2026]])*BedPlan[[#This Row],[Revenue]:[Revenue]]</f>
        <v>0</v>
      </c>
      <c r="ED6" s="257" cm="1">
        <f t="array" ref="ED6">BedPlan[[#This Row],[Harvest Days October 2026]]/SUM(BedPlan[[#This Row],[Harvest Days January 2025]:[Harvest Days December 2026]])*BedPlan[[#This Row],[Revenue]:[Revenue]]</f>
        <v>0</v>
      </c>
      <c r="EE6" s="257" cm="1">
        <f t="array" ref="EE6">BedPlan[[#This Row],[Harvest Days November 2026]]/SUM(BedPlan[[#This Row],[Harvest Days January 2025]:[Harvest Days December 2026]])*BedPlan[[#This Row],[Revenue]:[Revenue]]</f>
        <v>0</v>
      </c>
      <c r="EF6" s="257" cm="1">
        <f t="array" ref="EF6">BedPlan[[#This Row],[Harvest Days December 2026]]/SUM(BedPlan[[#This Row],[Harvest Days January 2025]:[Harvest Days December 2026]])*BedPlan[[#This Row],[Revenue]:[Revenue]]</f>
        <v>0</v>
      </c>
      <c r="EG6" t="b">
        <f>SUM(BedPlan[[#This Row],[Revenue January 2025]:[Revenue December 2026]])=BedPlan[[#This Row],[Revenue]]</f>
        <v>1</v>
      </c>
      <c r="EH6" s="30" cm="1">
        <f t="array" ref="EH6">INDEX(Crops[],BedPlan[[#This Row],[Chart Index]],EH$4,1)*BedPlan[[#This Row],['# Of Beds]]</f>
        <v>11.25</v>
      </c>
      <c r="EI6" s="30" t="str" cm="1">
        <f t="array" ref="EI6">INDEX(Crops[],BedPlan[[#This Row],[Chart Index]],EI$4,1)</f>
        <v>Lb</v>
      </c>
      <c r="EJ6" s="30" t="str" cm="1">
        <f t="array" ref="EJ6">INDEX(Crops[],BedPlan[[#This Row],[Chart Index]],EJ$4,1)</f>
        <v>Baby Leaf</v>
      </c>
      <c r="EK6" s="30" t="str">
        <f>BedPlan[[#This Row],[Name]]&amp;" "&amp;BedPlan[[#This Row],[Product]]&amp; " - " &amp;BedPlan[[#This Row],[Unit]]</f>
        <v>Arugula Baby Leaf - Lb</v>
      </c>
      <c r="EL6" s="33" cm="1">
        <f t="array" ref="EL6">BedPlan[[#This Row],[Harvest Days January 2025]]/SUM(BedPlan[[#This Row],[Harvest Days January 2025]:[Harvest Days December 2026]])*BedPlan[[#This Row],[Yield]:[Yield]]</f>
        <v>0</v>
      </c>
      <c r="EM6" s="33" cm="1">
        <f t="array" ref="EM6">BedPlan[[#This Row],[Harvest Days February 2025]]/SUM(BedPlan[[#This Row],[Harvest Days January 2025]:[Harvest Days December 2026]])*BedPlan[[#This Row],[Yield]:[Yield]]</f>
        <v>0</v>
      </c>
      <c r="EN6" s="33" cm="1">
        <f t="array" ref="EN6">BedPlan[[#This Row],[Harvest Days March 2025]]/SUM(BedPlan[[#This Row],[Harvest Days January 2025]:[Harvest Days December 2026]])*BedPlan[[#This Row],[Yield]:[Yield]]</f>
        <v>0</v>
      </c>
      <c r="EO6" s="33" cm="1">
        <f t="array" ref="EO6">BedPlan[[#This Row],[Harvest Days April 2025]]/SUM(BedPlan[[#This Row],[Harvest Days January 2025]:[Harvest Days December 2026]])*BedPlan[[#This Row],[Yield]:[Yield]]</f>
        <v>0</v>
      </c>
      <c r="EP6" s="33" cm="1">
        <f t="array" ref="EP6">BedPlan[[#This Row],[Harvest Days May 2025]]/SUM(BedPlan[[#This Row],[Harvest Days January 2025]:[Harvest Days December 2026]])*BedPlan[[#This Row],[Yield]:[Yield]]</f>
        <v>11.25</v>
      </c>
      <c r="EQ6" s="33" cm="1">
        <f t="array" ref="EQ6">BedPlan[[#This Row],[Harvest Days June 2025]]/SUM(BedPlan[[#This Row],[Harvest Days January 2025]:[Harvest Days December 2026]])*BedPlan[[#This Row],[Yield]:[Yield]]</f>
        <v>0</v>
      </c>
      <c r="ER6" s="33" cm="1">
        <f t="array" ref="ER6">BedPlan[[#This Row],[Harvest Days July 2025]]/SUM(BedPlan[[#This Row],[Harvest Days January 2025]:[Harvest Days December 2026]])*BedPlan[[#This Row],[Yield]:[Yield]]</f>
        <v>0</v>
      </c>
      <c r="ES6" s="33" cm="1">
        <f t="array" ref="ES6">BedPlan[[#This Row],[Harvest Days August 2025]]/SUM(BedPlan[[#This Row],[Harvest Days January 2025]:[Harvest Days December 2026]])*BedPlan[[#This Row],[Yield]:[Yield]]</f>
        <v>0</v>
      </c>
      <c r="ET6" s="33" cm="1">
        <f t="array" ref="ET6">BedPlan[[#This Row],[Harvest Days September 2025]]/SUM(BedPlan[[#This Row],[Harvest Days January 2025]:[Harvest Days December 2026]])*BedPlan[[#This Row],[Yield]:[Yield]]</f>
        <v>0</v>
      </c>
      <c r="EU6" s="33" cm="1">
        <f t="array" ref="EU6">BedPlan[[#This Row],[Harvest Days October 2025]]/SUM(BedPlan[[#This Row],[Harvest Days January 2025]:[Harvest Days December 2026]])*BedPlan[[#This Row],[Yield]:[Yield]]</f>
        <v>0</v>
      </c>
      <c r="EV6" s="33" cm="1">
        <f t="array" ref="EV6">BedPlan[[#This Row],[Harvest Days November 2025]]/SUM(BedPlan[[#This Row],[Harvest Days January 2025]:[Harvest Days December 2026]])*BedPlan[[#This Row],[Yield]:[Yield]]</f>
        <v>0</v>
      </c>
      <c r="EW6" s="33" cm="1">
        <f t="array" ref="EW6">BedPlan[[#This Row],[Harvest Days December 2025]]/SUM(BedPlan[[#This Row],[Harvest Days January 2025]:[Harvest Days December 2026]])*BedPlan[[#This Row],[Yield]:[Yield]]</f>
        <v>0</v>
      </c>
    </row>
    <row r="7" spans="1:153" ht="15.75" customHeight="1">
      <c r="A7" s="179" t="s">
        <v>2300</v>
      </c>
      <c r="B7" t="s">
        <v>3191</v>
      </c>
      <c r="C7" t="s">
        <v>1488</v>
      </c>
      <c r="D7" s="132" cm="1">
        <f t="array" ref="D7">INDEX(Crops[],BedPlan[[#This Row],[Chart Index]],D$4,1)*BedPlan[[#This Row],[Full Bed Equivalent]]</f>
        <v>30</v>
      </c>
      <c r="E7" s="132" cm="1">
        <f t="array" ref="E7">INDEX(Crops[],BedPlan[[#This Row],[Chart Index]],E$4,1)*BedPlan[[#This Row],[Full Bed Equivalent]]</f>
        <v>90</v>
      </c>
      <c r="F7" t="str">
        <f>UPPER(LEFT(BedPlan[[#This Row],[Crop]],3))</f>
        <v>ARU</v>
      </c>
      <c r="H7" s="132" t="str" cm="1">
        <f t="array" ref="H7">INDEX(Crops[],BedPlan[[#This Row],[Chart Index]],H$4,1)</f>
        <v>Arugula</v>
      </c>
      <c r="I7" t="s">
        <v>2850</v>
      </c>
      <c r="K7" t="str" cm="1">
        <f t="array" ref="K7">IF(ISNUMBER(MATCH(BedPlan[[#This Row],[Variety]],SeedMixes[Name],)),_xlfn.TEXTJOIN(", ",TRUE,_xlfn._xlws.FILTER(SeedMixes[Variety &amp; Company],SeedMixes[Name]=BedPlan[[#This Row],[Variety]])),"")</f>
        <v>Esmee Johnny's, Astro High Mowing</v>
      </c>
      <c r="L7" s="33" cm="1">
        <f t="array" ref="L7">INDEX(Crops[],BedPlan[[#This Row],[Chart Index]],L$4,1)*BedPlan[[#This Row],[Full Bed Equivalent]]</f>
        <v>18720</v>
      </c>
      <c r="N7">
        <f>1</f>
        <v>1</v>
      </c>
      <c r="O7">
        <f>MAX(BedPlan[[#This Row],['# Of Beds]],0.5)</f>
        <v>1</v>
      </c>
      <c r="P7" s="31">
        <f>IF(ISNUMBER(BedPlan[[#This Row],[Planned Greenhouse Start Date]]),BedPlan[[#This Row],[Planned Greenhouse Start Date]],BedPlan[[#This Row],[Planned TP or DS Date]])</f>
        <v>45754</v>
      </c>
      <c r="Q7" s="259" t="str">
        <f>IF(BedPlan[[#This Row],[Days in Cells]]=0,"",IFERROR(_xlfn.XLOOKUP(BedPlan[[#This Row],[Follows Crop]],BedPlan[Identifier],BedPlan[Expected End of Harvest]) + 1+BedPlan[[#This Row],[Follow Offset]],BedPlan[[#This Row],[Fixed Field Start Date]])-BedPlan[[#This Row],[Days in Cells]])</f>
        <v/>
      </c>
      <c r="R7" s="259"/>
      <c r="S7" s="259" t="str">
        <f>IF(ISNUMBER(BedPlan[[#This Row],[Actual Greenhouse Date]]),BedPlan[[#This Row],[Actual Greenhouse Date]],BedPlan[[#This Row],[Planned Greenhouse Start Date]])</f>
        <v/>
      </c>
      <c r="T7" s="259">
        <v>45754</v>
      </c>
      <c r="U7" s="260"/>
      <c r="V7" s="260"/>
      <c r="W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7" s="259">
        <v>45781</v>
      </c>
      <c r="Y7" s="271">
        <f>BedPlan[[#This Row],[Actual TP or DS Date]]-BedPlan[[#This Row],[Planned TP or DS Date]]</f>
        <v>27</v>
      </c>
      <c r="Z7" s="259">
        <f>IF(ISNUMBER(BedPlan[[#This Row],[Actual TP or DS Date]]),BedPlan[[#This Row],[Actual TP or DS Date]],BedPlan[[#This Row],[Planned TP or DS Date]])</f>
        <v>45781</v>
      </c>
      <c r="AA7" s="260"/>
      <c r="AB7" s="259">
        <f>IF(ISNUMBER(BedPlan[[#This Row],[Greenhouse Start Date]]),BedPlan[[#This Row],[Greenhouse Start Date]]+BedPlan[[#This Row],[DTM]],BedPlan[[#This Row],[TP or DS Date]]+BedPlan[[#This Row],[DTM]])</f>
        <v>45812</v>
      </c>
      <c r="AC7" s="259"/>
      <c r="AD7" s="259">
        <f>IF(ISNUMBER(BedPlan[[#This Row],[Actual Beginning of Harvest]]),BedPlan[[#This Row],[Actual Beginning of Harvest]],BedPlan[[#This Row],[Expected Beginning of Harvest]])</f>
        <v>45812</v>
      </c>
      <c r="AE7" s="259">
        <f>BedPlan[[#This Row],[Expected Beginning of Harvest]]+BedPlan[[#This Row],[Harvest Window]]+BedPlan[[#This Row],[Additional Days of Harvest]]</f>
        <v>45830</v>
      </c>
      <c r="AF7" s="259"/>
      <c r="AG7" s="259"/>
      <c r="AH7" t="b">
        <f>IF(AND( BedPlan[[#This Row],[Expected End of Harvest]] &gt;= DATE(2025, 8, 1), BedPlan[[#This Row],[Beginning of Harvest]] &lt;= DATE(2025, 8, 31) ), TRUE, FALSE)</f>
        <v>0</v>
      </c>
      <c r="AI7" s="31"/>
      <c r="AJ7" s="31">
        <f>IF(ISNUMBER(BedPlan[[#This Row],[Actual End of Harvest]]),BedPlan[[#This Row],[Actual End of Harvest]],BedPlan[[#This Row],[Expected End of Harvest]])</f>
        <v>45830</v>
      </c>
      <c r="AK7" t="b">
        <f>OR(ISNUMBER(BedPlan[[#This Row],[Actual Greenhouse Date]]),ISNUMBER(BedPlan[[#This Row],[Actual TP or DS Date]]))</f>
        <v>1</v>
      </c>
      <c r="AL7" s="52" t="str">
        <f>IF(ISNUMBER(BedPlan[[#This Row],[Planned Greenhouse Start Date]]),OR(ISNUMBER(BedPlan[[#This Row],[Actual TP or DS Date]]),BedPlan[[#This Row],[Failed]]),"-")</f>
        <v>-</v>
      </c>
      <c r="AM7" t="b">
        <f>OR(ISNUMBER(BedPlan[[#This Row],[Actual End of Harvest]]),BedPlan[[#This Row],[Failed]])</f>
        <v>0</v>
      </c>
      <c r="AN7" t="b">
        <f>OR(BedPlan[[#This Row],[Harvest Done]],BedPlan[[#This Row],[Failed]],BedPlan[[#This Row],[Name]]="Tarp")</f>
        <v>0</v>
      </c>
      <c r="AP7" t="b">
        <v>1</v>
      </c>
      <c r="AQ7" t="s">
        <v>3214</v>
      </c>
      <c r="AR7" t="b">
        <v>1</v>
      </c>
      <c r="AS7" s="26" t="str">
        <f>IF(BedPlan[[#This Row],[Broadfork]],BedPlan[[#This Row],[Actual TP or DS Date]],"")</f>
        <v/>
      </c>
      <c r="AT7" s="26">
        <f>IF(BedPlan[[#This Row],[Tilther]],BedPlan[[#This Row],[Actual TP or DS Date]],"")</f>
        <v>45781</v>
      </c>
      <c r="AU7" s="26">
        <f>IF(NOT(ISBLANK(BedPlan[[#This Row],[Amend]])),BedPlan[[#This Row],[Actual TP or DS Date]],"")</f>
        <v>45781</v>
      </c>
      <c r="AV7" s="26">
        <f>IF(BedPlan[[#This Row],[Row Cover]],BedPlan[[#This Row],[Actual TP or DS Date]],"")</f>
        <v>45781</v>
      </c>
      <c r="AX7" s="26"/>
      <c r="AZ7" s="26"/>
      <c r="BB7" s="26"/>
      <c r="BC7" s="231" cm="1">
        <f t="array" ref="BC7">INDEX(Crops[],BedPlan[[#This Row],[Chart Index]],BC$4,1)*BedPlan[[#This Row],[Full Bed Equivalent]]</f>
        <v>225</v>
      </c>
      <c r="BD7" s="231" cm="1">
        <f t="array" ref="BD7">INDEX(Crops[],BedPlan[[#This Row],[Chart Index]],BD$4,1)*BedPlan[[#This Row],[Full Bed Equivalent]]</f>
        <v>4.591836734693878</v>
      </c>
      <c r="BE7" cm="1">
        <f t="array" ref="BE7">INDEX(Crops[],BedPlan[[#This Row],[Chart Index]],BE$4,1)+BedPlan[[#This Row],[Additional Days in Cells]]+BedPlan[[#This Row],[Additional Days In Field]]</f>
        <v>31</v>
      </c>
      <c r="BG7" cm="1">
        <f t="array" ref="BG7">INDEX(Crops[],BedPlan[[#This Row],[Chart Index]],BG$4,1)</f>
        <v>18</v>
      </c>
      <c r="BH7" t="str">
        <f>IF(ISNUMBER(BedPlan[[#This Row],[Planned Greenhouse Start Date]]),"TP","DS")</f>
        <v>DS</v>
      </c>
      <c r="BI7">
        <f>BedPlan[[#This Row],['# Of Beds]]</f>
        <v>1</v>
      </c>
      <c r="BJ7" cm="1">
        <f t="array" ref="BJ7">INDEX(Crops[],BedPlan[[#This Row],[Chart Index]],BJ$4,1)</f>
        <v>0</v>
      </c>
      <c r="BK7" cm="1">
        <f t="array" ref="BK7">INDEX(Crops[],BedPlan[[#This Row],[Chart Index]],BK$4,1)</f>
        <v>6</v>
      </c>
      <c r="BL7" cm="1">
        <f t="array" ref="BL7">INDEX(Crops[],BedPlan[[#This Row],[Chart Index]],BL$4,1)</f>
        <v>0.25</v>
      </c>
      <c r="BM7" cm="1">
        <f t="array" ref="BM7">INDEX(Crops[],BedPlan[[#This Row],[Chart Index]],BM$4,1)</f>
        <v>1</v>
      </c>
      <c r="BN7" s="32" cm="1">
        <f t="array" ref="BN7">INDEX(Crops[],BedPlan[[#This Row],[Chart Index]],BN$4,1)*BedPlan[[#This Row],[Full Bed Equivalent]]</f>
        <v>14400</v>
      </c>
      <c r="BO7" t="str" cm="1">
        <f t="array" ref="BO7">IF(INDEX(Crops[],BedPlan[[#This Row],[Chart Index]],BO$4,1)=0,"",INDEX(Crops[],BedPlan[[#This Row],[Chart Index]],BO$4,1))</f>
        <v>OH</v>
      </c>
      <c r="BP7">
        <f>MATCH(BedPlan[[#This Row],[Crop]],Crops[Identifier],FALSE)</f>
        <v>6</v>
      </c>
      <c r="BQ7" t="str" cm="1">
        <f t="array" ref="BQ7">INDEX(Crops[],BedPlan[[#This Row],[Chart Index]],BQ$4,1)</f>
        <v>General</v>
      </c>
      <c r="BR7" t="str" cm="1">
        <f t="array" ref="BR7">INDEX(Crops[],BedPlan[[#This Row],[Chart Index]],BR$4,1)</f>
        <v>Sp</v>
      </c>
      <c r="BS7" s="32">
        <f>BedPlan[[#This Row],[Expected Beginning of Harvest]]-DATE(2023,1,1)</f>
        <v>885</v>
      </c>
      <c r="BT7">
        <f>BedPlan[[#This Row],[Expected End of Harvest]]-BedPlan[[#This Row],[Expected Beginning of Harvest]]</f>
        <v>18</v>
      </c>
      <c r="BU7" t="str" cm="1">
        <f t="array" ref="BU7">INDEX(Crops[],BedPlan[[#This Row],[Chart Index]],BU$4,1)</f>
        <v>Green</v>
      </c>
      <c r="BV7" cm="1">
        <f t="array" ref="BV7">INDEX(Crops[],BedPlan[[#This Row],[Chart Index]],BV$4,1)</f>
        <v>1</v>
      </c>
      <c r="BW7" t="str" cm="1">
        <f t="array" ref="BW7">INDEX(Crops[],BedPlan[[#This Row],[Chart Index]],BW$4,1)</f>
        <v>None</v>
      </c>
      <c r="BX7" cm="1">
        <f t="array" ref="BX7">INDEX(Crops[],BedPlan[[#This Row],[Chart Index]],BX$4,1)</f>
        <v>0</v>
      </c>
      <c r="BY7" cm="1">
        <f t="array" ref="BY7">INDEX(Crops[],BedPlan[[#This Row],[Chart Index]],BY$4,1)</f>
        <v>0</v>
      </c>
      <c r="BZ7" s="49" t="str" cm="1">
        <f t="array" ref="BZ7">IFERROR(INDEX(Crops[],BedPlan[[#This Row],[Chart Index]],BZ$4,1)*BedPlan[[#This Row],[Full Bed Equivalent]],"")</f>
        <v/>
      </c>
      <c r="CA7" cm="1">
        <f t="array" ref="CA7">INDEX(Crops[],BedPlan[[#This Row],[Chart Index]],CA$4,1)</f>
        <v>0</v>
      </c>
      <c r="CB7" cm="1">
        <f t="array" ref="CB7">INDEX(Crops[],BedPlan[[#This Row],[Chart Index]],CB$4,1)</f>
        <v>0</v>
      </c>
      <c r="CC7" s="49" t="str" cm="1">
        <f t="array" ref="CC7">IFERROR(INDEX(Crops[],BedPlan[[#This Row],[Chart Index]],CC$4,1)*BedPlan[[#This Row],[Full Bed Equivalent]],"")</f>
        <v/>
      </c>
      <c r="CD7" cm="1">
        <f t="array" ref="CD7">INDEX(Crops[],BedPlan[[#This Row],[Chart Index]],CD$4,1)</f>
        <v>0</v>
      </c>
      <c r="CE7" cm="1">
        <f t="array" ref="CE7">IF(INDEX(Crops[],BedPlan[[#This Row],[Chart Index]],CE$4,1)="",0,INDEX(Crops[],BedPlan[[#This Row],[Chart Index]],CE$4,1))</f>
        <v>0</v>
      </c>
      <c r="CF7" s="49" t="str" cm="1">
        <f t="array" ref="CF7">IFERROR(INDEX(Crops[],BedPlan[[#This Row],[Chart Index]],CF$4,1)*BedPlan[[#This Row],[Full Bed Equivalent]],"")</f>
        <v/>
      </c>
      <c r="CG7" cm="1">
        <f t="array" ref="CG7">IF(INDEX(Crops[],BedPlan[[#This Row],[Chart Index]],CG$4,1)="",0,INDEX(Crops[],BedPlan[[#This Row],[Chart Index]],CG$4,1))</f>
        <v>1.3</v>
      </c>
      <c r="CH7" cm="1">
        <f t="array" ref="CH7">IF(INDEX(Crops[],BedPlan[[#This Row],[Chart Index]],CH$4,1)="",0,INDEX(Crops[],BedPlan[[#This Row],[Chart Index]],CH$4,1))</f>
        <v>6</v>
      </c>
      <c r="CI7" t="str" cm="1">
        <f t="array" ref="CI7">INDEX(Crops[],BedPlan[[#This Row],[Chart Index]],CI$4,1)</f>
        <v>Field</v>
      </c>
      <c r="CJ7" s="30" t="str">
        <f>_xlfn.TEXTJOIN(CHAR(10),FALSE,BedPlan[[#This Row],[Name]],BedPlan[[#This Row],[Variety]],BedPlan[[#This Row],[Company]])</f>
        <v xml:space="preserve">Arugula
Arugala Mix
</v>
      </c>
      <c r="CK7" s="32">
        <f>MAX( 0, MIN(BedPlan[[#This Row],[Expected End of Harvest]], EOMONTH(CK$4, 0)) - MAX(BedPlan[[#This Row],[Beginning of Harvest]], CK$4) + 1 )</f>
        <v>0</v>
      </c>
      <c r="CL7">
        <f>MAX( 0, MIN(BedPlan[[#This Row],[Expected End of Harvest]], EOMONTH(CL$4, 0)) - MAX(BedPlan[[#This Row],[Beginning of Harvest]], CL$4) + 1 )</f>
        <v>0</v>
      </c>
      <c r="CM7">
        <f>MAX( 0, MIN(BedPlan[[#This Row],[Expected End of Harvest]], EOMONTH(CM$4, 0)) - MAX(BedPlan[[#This Row],[Beginning of Harvest]], CM$4) + 1 )</f>
        <v>0</v>
      </c>
      <c r="CN7">
        <f>MAX( 0, MIN(BedPlan[[#This Row],[Expected End of Harvest]], EOMONTH(CN$4, 0)) - MAX(BedPlan[[#This Row],[Beginning of Harvest]], CN$4) + 1 )</f>
        <v>0</v>
      </c>
      <c r="CO7">
        <f>MAX( 0, MIN(BedPlan[[#This Row],[Expected End of Harvest]], EOMONTH(CO$4, 0)) - MAX(BedPlan[[#This Row],[Beginning of Harvest]], CO$4) + 1 )</f>
        <v>0</v>
      </c>
      <c r="CP7">
        <f>MAX( 0, MIN(BedPlan[[#This Row],[Expected End of Harvest]], EOMONTH(CP$4, 0)) - MAX(BedPlan[[#This Row],[Beginning of Harvest]], CP$4) + 1 )</f>
        <v>19</v>
      </c>
      <c r="CQ7">
        <f>MAX( 0, MIN(BedPlan[[#This Row],[Expected End of Harvest]], EOMONTH(CQ$4, 0)) - MAX(BedPlan[[#This Row],[Beginning of Harvest]], CQ$4) + 1 )</f>
        <v>0</v>
      </c>
      <c r="CR7">
        <f>MAX( 0, MIN(BedPlan[[#This Row],[Expected End of Harvest]], EOMONTH(CR$4, 0)) - MAX(BedPlan[[#This Row],[Beginning of Harvest]], CR$4) + 1 )</f>
        <v>0</v>
      </c>
      <c r="CS7">
        <f>MAX( 0, MIN(BedPlan[[#This Row],[Expected End of Harvest]], EOMONTH(CS$4, 0)) - MAX(BedPlan[[#This Row],[Beginning of Harvest]], CS$4) + 1 )</f>
        <v>0</v>
      </c>
      <c r="CT7">
        <f>MAX( 0, MIN(BedPlan[[#This Row],[Expected End of Harvest]], EOMONTH(CT$4, 0)) - MAX(BedPlan[[#This Row],[Beginning of Harvest]], CT$4) + 1 )</f>
        <v>0</v>
      </c>
      <c r="CU7">
        <f>MAX( 0, MIN(BedPlan[[#This Row],[Expected End of Harvest]], EOMONTH(CU$4, 0)) - MAX(BedPlan[[#This Row],[Beginning of Harvest]], CU$4) + 1 )</f>
        <v>0</v>
      </c>
      <c r="CV7">
        <f>MAX( 0, MIN(BedPlan[[#This Row],[Expected End of Harvest]], EOMONTH(CV$4, 0)) - MAX(BedPlan[[#This Row],[Beginning of Harvest]], CV$4) + 1 )</f>
        <v>0</v>
      </c>
      <c r="CW7">
        <f>MAX( 0, MIN(BedPlan[[#This Row],[Expected End of Harvest]], EOMONTH(CW$4, 0)) - MAX(BedPlan[[#This Row],[Beginning of Harvest]], CW$4) + 1 )</f>
        <v>0</v>
      </c>
      <c r="CX7">
        <f>MAX( 0, MIN(BedPlan[[#This Row],[Expected End of Harvest]], EOMONTH(CX$4, 0)) - MAX(BedPlan[[#This Row],[Beginning of Harvest]], CX$4) + 1 )</f>
        <v>0</v>
      </c>
      <c r="CY7">
        <f>MAX( 0, MIN(BedPlan[[#This Row],[Expected End of Harvest]], EOMONTH(CY$4, 0)) - MAX(BedPlan[[#This Row],[Beginning of Harvest]], CY$4) + 1 )</f>
        <v>0</v>
      </c>
      <c r="CZ7">
        <f>MAX( 0, MIN(BedPlan[[#This Row],[Expected End of Harvest]], EOMONTH(CZ$4, 0)) - MAX(BedPlan[[#This Row],[Beginning of Harvest]], CZ$4) + 1 )</f>
        <v>0</v>
      </c>
      <c r="DA7">
        <f>MAX( 0, MIN(BedPlan[[#This Row],[Expected End of Harvest]], EOMONTH(DA$4, 0)) - MAX(BedPlan[[#This Row],[Beginning of Harvest]], DA$4) + 1 )</f>
        <v>0</v>
      </c>
      <c r="DB7">
        <f>MAX( 0, MIN(BedPlan[[#This Row],[Expected End of Harvest]], EOMONTH(DB$4, 0)) - MAX(BedPlan[[#This Row],[Beginning of Harvest]], DB$4) + 1 )</f>
        <v>0</v>
      </c>
      <c r="DC7">
        <f>MAX( 0, MIN(BedPlan[[#This Row],[Expected End of Harvest]], EOMONTH(DC$4, 0)) - MAX(BedPlan[[#This Row],[Beginning of Harvest]], DC$4) + 1 )</f>
        <v>0</v>
      </c>
      <c r="DD7">
        <f>MAX( 0, MIN(BedPlan[[#This Row],[Expected End of Harvest]], EOMONTH(DD$4, 0)) - MAX(BedPlan[[#This Row],[Beginning of Harvest]], DD$4) + 1 )</f>
        <v>0</v>
      </c>
      <c r="DE7">
        <f>MAX( 0, MIN(BedPlan[[#This Row],[Expected End of Harvest]], EOMONTH(DE$4, 0)) - MAX(BedPlan[[#This Row],[Beginning of Harvest]], DE$4) + 1 )</f>
        <v>0</v>
      </c>
      <c r="DF7">
        <f>MAX( 0, MIN(BedPlan[[#This Row],[Expected End of Harvest]], EOMONTH(DF$4, 0)) - MAX(BedPlan[[#This Row],[Beginning of Harvest]], DF$4) + 1 )</f>
        <v>0</v>
      </c>
      <c r="DG7">
        <f>MAX( 0, MIN(BedPlan[[#This Row],[Expected End of Harvest]], EOMONTH(DG$4, 0)) - MAX(BedPlan[[#This Row],[Beginning of Harvest]], DG$4) + 1 )</f>
        <v>0</v>
      </c>
      <c r="DH7">
        <f>MAX( 0, MIN(BedPlan[[#This Row],[Expected End of Harvest]], EOMONTH(DH$4, 0)) - MAX(BedPlan[[#This Row],[Beginning of Harvest]], DH$4) + 1 )</f>
        <v>0</v>
      </c>
      <c r="DI7" s="257" cm="1">
        <f t="array" ref="DI7">BedPlan[[#This Row],[Harvest Days January 2025]]/SUM(BedPlan[[#This Row],[Harvest Days January 2025]:[Harvest Days December 2026]])*BedPlan[[#This Row],[Revenue]:[Revenue]]</f>
        <v>0</v>
      </c>
      <c r="DJ7" s="257" cm="1">
        <f t="array" ref="DJ7">BedPlan[[#This Row],[Harvest Days February 2025]]/SUM(BedPlan[[#This Row],[Harvest Days January 2025]:[Harvest Days December 2026]])*BedPlan[[#This Row],[Revenue]:[Revenue]]</f>
        <v>0</v>
      </c>
      <c r="DK7" s="257" cm="1">
        <f t="array" ref="DK7">BedPlan[[#This Row],[Harvest Days March 2025]]/SUM(BedPlan[[#This Row],[Harvest Days January 2025]:[Harvest Days December 2026]])*BedPlan[[#This Row],[Revenue]:[Revenue]]</f>
        <v>0</v>
      </c>
      <c r="DL7" s="257" cm="1">
        <f t="array" ref="DL7">BedPlan[[#This Row],[Harvest Days April 2025]]/SUM(BedPlan[[#This Row],[Harvest Days January 2025]:[Harvest Days December 2026]])*BedPlan[[#This Row],[Revenue]:[Revenue]]</f>
        <v>0</v>
      </c>
      <c r="DM7" s="257" cm="1">
        <f t="array" ref="DM7">BedPlan[[#This Row],[Harvest Days May 2025]]/SUM(BedPlan[[#This Row],[Harvest Days January 2025]:[Harvest Days December 2026]])*BedPlan[[#This Row],[Revenue]:[Revenue]]</f>
        <v>0</v>
      </c>
      <c r="DN7" s="257" cm="1">
        <f t="array" ref="DN7">BedPlan[[#This Row],[Harvest Days June 2025]]/SUM(BedPlan[[#This Row],[Harvest Days January 2025]:[Harvest Days December 2026]])*BedPlan[[#This Row],[Revenue]:[Revenue]]</f>
        <v>225</v>
      </c>
      <c r="DO7" s="257" cm="1">
        <f t="array" ref="DO7">BedPlan[[#This Row],[Harvest Days July 2025]]/SUM(BedPlan[[#This Row],[Harvest Days January 2025]:[Harvest Days December 2026]])*BedPlan[[#This Row],[Revenue]:[Revenue]]</f>
        <v>0</v>
      </c>
      <c r="DP7" s="257" cm="1">
        <f t="array" ref="DP7">BedPlan[[#This Row],[Harvest Days August 2025]]/SUM(BedPlan[[#This Row],[Harvest Days January 2025]:[Harvest Days December 2026]])*BedPlan[[#This Row],[Revenue]:[Revenue]]</f>
        <v>0</v>
      </c>
      <c r="DQ7" s="257" cm="1">
        <f t="array" ref="DQ7">BedPlan[[#This Row],[Harvest Days September 2025]]/SUM(BedPlan[[#This Row],[Harvest Days January 2025]:[Harvest Days December 2026]])*BedPlan[[#This Row],[Revenue]:[Revenue]]</f>
        <v>0</v>
      </c>
      <c r="DR7" s="257" cm="1">
        <f t="array" ref="DR7">BedPlan[[#This Row],[Harvest Days October 2025]]/SUM(BedPlan[[#This Row],[Harvest Days January 2025]:[Harvest Days December 2026]])*BedPlan[[#This Row],[Revenue]:[Revenue]]</f>
        <v>0</v>
      </c>
      <c r="DS7" s="257" cm="1">
        <f t="array" ref="DS7">BedPlan[[#This Row],[Harvest Days November 2025]]/SUM(BedPlan[[#This Row],[Harvest Days January 2025]:[Harvest Days December 2026]])*BedPlan[[#This Row],[Revenue]:[Revenue]]</f>
        <v>0</v>
      </c>
      <c r="DT7" s="257" cm="1">
        <f t="array" ref="DT7">BedPlan[[#This Row],[Harvest Days December 2025]]/SUM(BedPlan[[#This Row],[Harvest Days January 2025]:[Harvest Days December 2026]])*BedPlan[[#This Row],[Revenue]:[Revenue]]</f>
        <v>0</v>
      </c>
      <c r="DU7" s="257" cm="1">
        <f t="array" ref="DU7">BedPlan[[#This Row],[Harvest Days January 2026]]/SUM(BedPlan[[#This Row],[Harvest Days January 2025]:[Harvest Days December 2026]])*BedPlan[[#This Row],[Revenue]:[Revenue]]</f>
        <v>0</v>
      </c>
      <c r="DV7" s="257" cm="1">
        <f t="array" ref="DV7">BedPlan[[#This Row],[Harvest Days February 2026]]/SUM(BedPlan[[#This Row],[Harvest Days January 2025]:[Harvest Days December 2026]])*BedPlan[[#This Row],[Revenue]:[Revenue]]</f>
        <v>0</v>
      </c>
      <c r="DW7" s="257" cm="1">
        <f t="array" ref="DW7">BedPlan[[#This Row],[Harvest Days March 2026]]/SUM(BedPlan[[#This Row],[Harvest Days January 2025]:[Harvest Days December 2026]])*BedPlan[[#This Row],[Revenue]:[Revenue]]</f>
        <v>0</v>
      </c>
      <c r="DX7" s="257" cm="1">
        <f t="array" ref="DX7">BedPlan[[#This Row],[Harvest Days April 2026]]/SUM(BedPlan[[#This Row],[Harvest Days January 2025]:[Harvest Days December 2026]])*BedPlan[[#This Row],[Revenue]:[Revenue]]</f>
        <v>0</v>
      </c>
      <c r="DY7" s="257" cm="1">
        <f t="array" ref="DY7">BedPlan[[#This Row],[Harvest Days May 2026]]/SUM(BedPlan[[#This Row],[Harvest Days January 2025]:[Harvest Days December 2026]])*BedPlan[[#This Row],[Revenue]:[Revenue]]</f>
        <v>0</v>
      </c>
      <c r="DZ7" s="257" cm="1">
        <f t="array" ref="DZ7">BedPlan[[#This Row],[Harvest Days June 2026]]/SUM(BedPlan[[#This Row],[Harvest Days January 2025]:[Harvest Days December 2026]])*BedPlan[[#This Row],[Revenue]:[Revenue]]</f>
        <v>0</v>
      </c>
      <c r="EA7" s="257" cm="1">
        <f t="array" ref="EA7">BedPlan[[#This Row],[Harvest Days July 2026]]/SUM(BedPlan[[#This Row],[Harvest Days January 2025]:[Harvest Days December 2026]])*BedPlan[[#This Row],[Revenue]:[Revenue]]</f>
        <v>0</v>
      </c>
      <c r="EB7" s="257" cm="1">
        <f t="array" ref="EB7">BedPlan[[#This Row],[Harvest Days August 2026]]/SUM(BedPlan[[#This Row],[Harvest Days January 2025]:[Harvest Days December 2026]])*BedPlan[[#This Row],[Revenue]:[Revenue]]</f>
        <v>0</v>
      </c>
      <c r="EC7" s="257" cm="1">
        <f t="array" ref="EC7">BedPlan[[#This Row],[Harvest Days September 2026]]/SUM(BedPlan[[#This Row],[Harvest Days January 2025]:[Harvest Days December 2026]])*BedPlan[[#This Row],[Revenue]:[Revenue]]</f>
        <v>0</v>
      </c>
      <c r="ED7" s="257" cm="1">
        <f t="array" ref="ED7">BedPlan[[#This Row],[Harvest Days October 2026]]/SUM(BedPlan[[#This Row],[Harvest Days January 2025]:[Harvest Days December 2026]])*BedPlan[[#This Row],[Revenue]:[Revenue]]</f>
        <v>0</v>
      </c>
      <c r="EE7" s="257" cm="1">
        <f t="array" ref="EE7">BedPlan[[#This Row],[Harvest Days November 2026]]/SUM(BedPlan[[#This Row],[Harvest Days January 2025]:[Harvest Days December 2026]])*BedPlan[[#This Row],[Revenue]:[Revenue]]</f>
        <v>0</v>
      </c>
      <c r="EF7" s="257" cm="1">
        <f t="array" ref="EF7">BedPlan[[#This Row],[Harvest Days December 2026]]/SUM(BedPlan[[#This Row],[Harvest Days January 2025]:[Harvest Days December 2026]])*BedPlan[[#This Row],[Revenue]:[Revenue]]</f>
        <v>0</v>
      </c>
      <c r="EG7" t="b">
        <f>SUM(BedPlan[[#This Row],[Revenue January 2025]:[Revenue December 2026]])=BedPlan[[#This Row],[Revenue]]</f>
        <v>1</v>
      </c>
      <c r="EH7" s="30" cm="1">
        <f t="array" ref="EH7">INDEX(Crops[],BedPlan[[#This Row],[Chart Index]],EH$4,1)*BedPlan[[#This Row],['# Of Beds]]</f>
        <v>22.5</v>
      </c>
      <c r="EI7" s="30" t="str" cm="1">
        <f t="array" ref="EI7">INDEX(Crops[],BedPlan[[#This Row],[Chart Index]],EI$4,1)</f>
        <v>Lb</v>
      </c>
      <c r="EJ7" s="30" t="str" cm="1">
        <f t="array" ref="EJ7">INDEX(Crops[],BedPlan[[#This Row],[Chart Index]],EJ$4,1)</f>
        <v>Baby Leaf</v>
      </c>
      <c r="EK7" s="30" t="str">
        <f>BedPlan[[#This Row],[Name]]&amp;" "&amp;BedPlan[[#This Row],[Product]]&amp; " - " &amp;BedPlan[[#This Row],[Unit]]</f>
        <v>Arugula Baby Leaf - Lb</v>
      </c>
      <c r="EL7" s="33" cm="1">
        <f t="array" ref="EL7">BedPlan[[#This Row],[Harvest Days January 2025]]/SUM(BedPlan[[#This Row],[Harvest Days January 2025]:[Harvest Days December 2026]])*BedPlan[[#This Row],[Yield]:[Yield]]</f>
        <v>0</v>
      </c>
      <c r="EM7" s="33" cm="1">
        <f t="array" ref="EM7">BedPlan[[#This Row],[Harvest Days February 2025]]/SUM(BedPlan[[#This Row],[Harvest Days January 2025]:[Harvest Days December 2026]])*BedPlan[[#This Row],[Yield]:[Yield]]</f>
        <v>0</v>
      </c>
      <c r="EN7" s="33" cm="1">
        <f t="array" ref="EN7">BedPlan[[#This Row],[Harvest Days March 2025]]/SUM(BedPlan[[#This Row],[Harvest Days January 2025]:[Harvest Days December 2026]])*BedPlan[[#This Row],[Yield]:[Yield]]</f>
        <v>0</v>
      </c>
      <c r="EO7" s="33" cm="1">
        <f t="array" ref="EO7">BedPlan[[#This Row],[Harvest Days April 2025]]/SUM(BedPlan[[#This Row],[Harvest Days January 2025]:[Harvest Days December 2026]])*BedPlan[[#This Row],[Yield]:[Yield]]</f>
        <v>0</v>
      </c>
      <c r="EP7" s="33" cm="1">
        <f t="array" ref="EP7">BedPlan[[#This Row],[Harvest Days May 2025]]/SUM(BedPlan[[#This Row],[Harvest Days January 2025]:[Harvest Days December 2026]])*BedPlan[[#This Row],[Yield]:[Yield]]</f>
        <v>0</v>
      </c>
      <c r="EQ7" s="33" cm="1">
        <f t="array" ref="EQ7">BedPlan[[#This Row],[Harvest Days June 2025]]/SUM(BedPlan[[#This Row],[Harvest Days January 2025]:[Harvest Days December 2026]])*BedPlan[[#This Row],[Yield]:[Yield]]</f>
        <v>22.5</v>
      </c>
      <c r="ER7" s="33" cm="1">
        <f t="array" ref="ER7">BedPlan[[#This Row],[Harvest Days July 2025]]/SUM(BedPlan[[#This Row],[Harvest Days January 2025]:[Harvest Days December 2026]])*BedPlan[[#This Row],[Yield]:[Yield]]</f>
        <v>0</v>
      </c>
      <c r="ES7" s="33" cm="1">
        <f t="array" ref="ES7">BedPlan[[#This Row],[Harvest Days August 2025]]/SUM(BedPlan[[#This Row],[Harvest Days January 2025]:[Harvest Days December 2026]])*BedPlan[[#This Row],[Yield]:[Yield]]</f>
        <v>0</v>
      </c>
      <c r="ET7" s="33" cm="1">
        <f t="array" ref="ET7">BedPlan[[#This Row],[Harvest Days September 2025]]/SUM(BedPlan[[#This Row],[Harvest Days January 2025]:[Harvest Days December 2026]])*BedPlan[[#This Row],[Yield]:[Yield]]</f>
        <v>0</v>
      </c>
      <c r="EU7" s="33" cm="1">
        <f t="array" ref="EU7">BedPlan[[#This Row],[Harvest Days October 2025]]/SUM(BedPlan[[#This Row],[Harvest Days January 2025]:[Harvest Days December 2026]])*BedPlan[[#This Row],[Yield]:[Yield]]</f>
        <v>0</v>
      </c>
      <c r="EV7" s="33" cm="1">
        <f t="array" ref="EV7">BedPlan[[#This Row],[Harvest Days November 2025]]/SUM(BedPlan[[#This Row],[Harvest Days January 2025]:[Harvest Days December 2026]])*BedPlan[[#This Row],[Yield]:[Yield]]</f>
        <v>0</v>
      </c>
      <c r="EW7" s="33" cm="1">
        <f t="array" ref="EW7">BedPlan[[#This Row],[Harvest Days December 2025]]/SUM(BedPlan[[#This Row],[Harvest Days January 2025]:[Harvest Days December 2026]])*BedPlan[[#This Row],[Yield]:[Yield]]</f>
        <v>0</v>
      </c>
    </row>
    <row r="8" spans="1:153" ht="15.75" customHeight="1">
      <c r="A8" s="179" t="s">
        <v>2300</v>
      </c>
      <c r="B8" t="s">
        <v>2621</v>
      </c>
      <c r="C8" t="s">
        <v>1428</v>
      </c>
      <c r="D8" s="132" cm="1">
        <f t="array" ref="D8">INDEX(Crops[],BedPlan[[#This Row],[Chart Index]],D$4,1)*BedPlan[[#This Row],[Full Bed Equivalent]]</f>
        <v>7.5</v>
      </c>
      <c r="E8" s="132" cm="1">
        <f t="array" ref="E8">INDEX(Crops[],BedPlan[[#This Row],[Chart Index]],E$4,1)*BedPlan[[#This Row],[Full Bed Equivalent]]</f>
        <v>22.5</v>
      </c>
      <c r="F8" t="str">
        <f>UPPER(LEFT(BedPlan[[#This Row],[Crop]],3))</f>
        <v>ARU</v>
      </c>
      <c r="H8" s="132" t="str" cm="1">
        <f t="array" ref="H8">INDEX(Crops[],BedPlan[[#This Row],[Chart Index]],H$4,1)</f>
        <v>Arugula</v>
      </c>
      <c r="I8" t="s">
        <v>2850</v>
      </c>
      <c r="K8" t="str" cm="1">
        <f t="array" ref="K8">IF(ISNUMBER(MATCH(BedPlan[[#This Row],[Variety]],SeedMixes[Name],)),_xlfn.TEXTJOIN(", ",TRUE,_xlfn._xlws.FILTER(SeedMixes[Variety &amp; Company],SeedMixes[Name]=BedPlan[[#This Row],[Variety]])),"")</f>
        <v>Esmee Johnny's, Astro High Mowing</v>
      </c>
      <c r="L8" s="33" cm="1">
        <f t="array" ref="L8">INDEX(Crops[],BedPlan[[#This Row],[Chart Index]],L$4,1)*BedPlan[[#This Row],[Full Bed Equivalent]]</f>
        <v>4680</v>
      </c>
      <c r="N8">
        <v>0.25</v>
      </c>
      <c r="O8">
        <f>MAX(BedPlan[[#This Row],['# Of Beds]],0.5)</f>
        <v>0.5</v>
      </c>
      <c r="P8" s="31">
        <f>IF(ISNUMBER(BedPlan[[#This Row],[Planned Greenhouse Start Date]]),BedPlan[[#This Row],[Planned Greenhouse Start Date]],BedPlan[[#This Row],[Planned TP or DS Date]])</f>
        <v>45758</v>
      </c>
      <c r="Q8" s="259" t="str">
        <f>IF(BedPlan[[#This Row],[Days in Cells]]=0,"",IFERROR(_xlfn.XLOOKUP(BedPlan[[#This Row],[Follows Crop]],BedPlan[Identifier],BedPlan[Expected End of Harvest]) + 1+BedPlan[[#This Row],[Follow Offset]],BedPlan[[#This Row],[Fixed Field Start Date]])-BedPlan[[#This Row],[Days in Cells]])</f>
        <v/>
      </c>
      <c r="R8" s="259"/>
      <c r="S8" s="259" t="str">
        <f>IF(ISNUMBER(BedPlan[[#This Row],[Actual Greenhouse Date]]),BedPlan[[#This Row],[Actual Greenhouse Date]],BedPlan[[#This Row],[Planned Greenhouse Start Date]])</f>
        <v/>
      </c>
      <c r="T8" s="259">
        <f>_xlfn.XLOOKUP(BedPlan[[#This Row],[Crop]],Crops[Identifier],Crops[Target Field Date])</f>
        <v>45758</v>
      </c>
      <c r="U8" s="260"/>
      <c r="V8" s="260"/>
      <c r="W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45758</v>
      </c>
      <c r="X8" s="259">
        <v>45741</v>
      </c>
      <c r="Y8" s="271">
        <f>BedPlan[[#This Row],[Actual TP or DS Date]]-BedPlan[[#This Row],[Planned TP or DS Date]]</f>
        <v>-17</v>
      </c>
      <c r="Z8" s="259">
        <f>IF(ISNUMBER(BedPlan[[#This Row],[Actual TP or DS Date]]),BedPlan[[#This Row],[Actual TP or DS Date]],BedPlan[[#This Row],[Planned TP or DS Date]])</f>
        <v>45741</v>
      </c>
      <c r="AA8" s="260"/>
      <c r="AB8" s="259">
        <f>IF(ISNUMBER(BedPlan[[#This Row],[Greenhouse Start Date]]),BedPlan[[#This Row],[Greenhouse Start Date]]+BedPlan[[#This Row],[DTM]],BedPlan[[#This Row],[TP or DS Date]]+BedPlan[[#This Row],[DTM]])</f>
        <v>45772</v>
      </c>
      <c r="AC8" s="259"/>
      <c r="AD8" s="259">
        <f>IF(ISNUMBER(BedPlan[[#This Row],[Actual Beginning of Harvest]]),BedPlan[[#This Row],[Actual Beginning of Harvest]],BedPlan[[#This Row],[Expected Beginning of Harvest]])</f>
        <v>45772</v>
      </c>
      <c r="AE8" s="259">
        <f>BedPlan[[#This Row],[Expected Beginning of Harvest]]+BedPlan[[#This Row],[Harvest Window]]+BedPlan[[#This Row],[Additional Days of Harvest]]</f>
        <v>45790</v>
      </c>
      <c r="AF8" s="259"/>
      <c r="AG8" s="259"/>
      <c r="AH8" t="b">
        <f>IF(AND( BedPlan[[#This Row],[Expected End of Harvest]] &gt;= DATE(2025, 8, 1), BedPlan[[#This Row],[Beginning of Harvest]] &lt;= DATE(2025, 8, 31) ), TRUE, FALSE)</f>
        <v>0</v>
      </c>
      <c r="AI8" s="31"/>
      <c r="AJ8" s="31">
        <f>IF(ISNUMBER(BedPlan[[#This Row],[Actual End of Harvest]]),BedPlan[[#This Row],[Actual End of Harvest]],BedPlan[[#This Row],[Expected End of Harvest]])</f>
        <v>45790</v>
      </c>
      <c r="AK8" t="b">
        <f>OR(ISNUMBER(BedPlan[[#This Row],[Actual Greenhouse Date]]),ISNUMBER(BedPlan[[#This Row],[Actual TP or DS Date]]))</f>
        <v>1</v>
      </c>
      <c r="AL8" s="52" t="str">
        <f>IF(ISNUMBER(BedPlan[[#This Row],[Planned Greenhouse Start Date]]),OR(ISNUMBER(BedPlan[[#This Row],[Actual TP or DS Date]]),BedPlan[[#This Row],[Failed]]),"-")</f>
        <v>-</v>
      </c>
      <c r="AM8" t="b">
        <f>OR(ISNUMBER(BedPlan[[#This Row],[Actual End of Harvest]]),BedPlan[[#This Row],[Failed]])</f>
        <v>0</v>
      </c>
      <c r="AN8" t="b">
        <f>OR(BedPlan[[#This Row],[Harvest Done]],BedPlan[[#This Row],[Failed]],BedPlan[[#This Row],[Name]]="Tarp")</f>
        <v>0</v>
      </c>
      <c r="AO8" t="b">
        <v>1</v>
      </c>
      <c r="AP8" t="b">
        <v>0</v>
      </c>
      <c r="AQ8" t="s">
        <v>3212</v>
      </c>
      <c r="AR8" t="b">
        <v>1</v>
      </c>
      <c r="AS8" s="26">
        <f>IF(BedPlan[[#This Row],[Broadfork]],BedPlan[[#This Row],[Actual TP or DS Date]],"")</f>
        <v>45741</v>
      </c>
      <c r="AT8" s="26" t="str">
        <f>IF(BedPlan[[#This Row],[Tilther]],BedPlan[[#This Row],[Actual TP or DS Date]],"")</f>
        <v/>
      </c>
      <c r="AU8" s="26">
        <f>IF(NOT(ISBLANK(BedPlan[[#This Row],[Amend]])),BedPlan[[#This Row],[Actual TP or DS Date]],"")</f>
        <v>45741</v>
      </c>
      <c r="AV8" s="26">
        <f>IF(BedPlan[[#This Row],[Row Cover]],BedPlan[[#This Row],[Actual TP or DS Date]],"")</f>
        <v>45741</v>
      </c>
      <c r="AW8" t="s">
        <v>3213</v>
      </c>
      <c r="AX8" s="26">
        <v>45791</v>
      </c>
      <c r="AZ8" s="26"/>
      <c r="BB8" s="26"/>
      <c r="BC8" s="231" cm="1">
        <f t="array" ref="BC8">INDEX(Crops[],BedPlan[[#This Row],[Chart Index]],BC$4,1)*BedPlan[[#This Row],[Full Bed Equivalent]]</f>
        <v>56.25</v>
      </c>
      <c r="BD8" s="231" cm="1">
        <f t="array" ref="BD8">INDEX(Crops[],BedPlan[[#This Row],[Chart Index]],BD$4,1)*BedPlan[[#This Row],[Full Bed Equivalent]]</f>
        <v>1.1479591836734695</v>
      </c>
      <c r="BE8" cm="1">
        <f t="array" ref="BE8">INDEX(Crops[],BedPlan[[#This Row],[Chart Index]],BE$4,1)+BedPlan[[#This Row],[Additional Days in Cells]]+BedPlan[[#This Row],[Additional Days In Field]]</f>
        <v>31</v>
      </c>
      <c r="BG8" cm="1">
        <f t="array" ref="BG8">INDEX(Crops[],BedPlan[[#This Row],[Chart Index]],BG$4,1)</f>
        <v>18</v>
      </c>
      <c r="BH8" t="str">
        <f>IF(ISNUMBER(BedPlan[[#This Row],[Planned Greenhouse Start Date]]),"TP","DS")</f>
        <v>DS</v>
      </c>
      <c r="BI8">
        <f>BedPlan[[#This Row],['# Of Beds]]</f>
        <v>0.25</v>
      </c>
      <c r="BJ8" cm="1">
        <f t="array" ref="BJ8">INDEX(Crops[],BedPlan[[#This Row],[Chart Index]],BJ$4,1)</f>
        <v>0</v>
      </c>
      <c r="BK8" cm="1">
        <f t="array" ref="BK8">INDEX(Crops[],BedPlan[[#This Row],[Chart Index]],BK$4,1)</f>
        <v>6</v>
      </c>
      <c r="BL8" cm="1">
        <f t="array" ref="BL8">INDEX(Crops[],BedPlan[[#This Row],[Chart Index]],BL$4,1)</f>
        <v>0.25</v>
      </c>
      <c r="BM8" cm="1">
        <f t="array" ref="BM8">INDEX(Crops[],BedPlan[[#This Row],[Chart Index]],BM$4,1)</f>
        <v>1</v>
      </c>
      <c r="BN8" s="32" cm="1">
        <f t="array" ref="BN8">INDEX(Crops[],BedPlan[[#This Row],[Chart Index]],BN$4,1)*BedPlan[[#This Row],[Full Bed Equivalent]]</f>
        <v>3600</v>
      </c>
      <c r="BO8" t="str" cm="1">
        <f t="array" ref="BO8">IF(INDEX(Crops[],BedPlan[[#This Row],[Chart Index]],BO$4,1)=0,"",INDEX(Crops[],BedPlan[[#This Row],[Chart Index]],BO$4,1))</f>
        <v>OH</v>
      </c>
      <c r="BP8">
        <f>MATCH(BedPlan[[#This Row],[Crop]],Crops[Identifier],FALSE)</f>
        <v>6</v>
      </c>
      <c r="BQ8" t="str" cm="1">
        <f t="array" ref="BQ8">INDEX(Crops[],BedPlan[[#This Row],[Chart Index]],BQ$4,1)</f>
        <v>General</v>
      </c>
      <c r="BR8" t="str" cm="1">
        <f t="array" ref="BR8">INDEX(Crops[],BedPlan[[#This Row],[Chart Index]],BR$4,1)</f>
        <v>Sp</v>
      </c>
      <c r="BS8" s="32">
        <f>BedPlan[[#This Row],[Expected Beginning of Harvest]]-DATE(2023,1,1)</f>
        <v>845</v>
      </c>
      <c r="BT8">
        <f>BedPlan[[#This Row],[Expected End of Harvest]]-BedPlan[[#This Row],[Expected Beginning of Harvest]]</f>
        <v>18</v>
      </c>
      <c r="BU8" t="str" cm="1">
        <f t="array" ref="BU8">INDEX(Crops[],BedPlan[[#This Row],[Chart Index]],BU$4,1)</f>
        <v>Green</v>
      </c>
      <c r="BV8" cm="1">
        <f t="array" ref="BV8">INDEX(Crops[],BedPlan[[#This Row],[Chart Index]],BV$4,1)</f>
        <v>1</v>
      </c>
      <c r="BW8" t="str" cm="1">
        <f t="array" ref="BW8">INDEX(Crops[],BedPlan[[#This Row],[Chart Index]],BW$4,1)</f>
        <v>None</v>
      </c>
      <c r="BX8" cm="1">
        <f t="array" ref="BX8">INDEX(Crops[],BedPlan[[#This Row],[Chart Index]],BX$4,1)</f>
        <v>0</v>
      </c>
      <c r="BY8" cm="1">
        <f t="array" ref="BY8">INDEX(Crops[],BedPlan[[#This Row],[Chart Index]],BY$4,1)</f>
        <v>0</v>
      </c>
      <c r="BZ8" s="49" t="str" cm="1">
        <f t="array" ref="BZ8">IFERROR(INDEX(Crops[],BedPlan[[#This Row],[Chart Index]],BZ$4,1)*BedPlan[[#This Row],[Full Bed Equivalent]],"")</f>
        <v/>
      </c>
      <c r="CA8" cm="1">
        <f t="array" ref="CA8">INDEX(Crops[],BedPlan[[#This Row],[Chart Index]],CA$4,1)</f>
        <v>0</v>
      </c>
      <c r="CB8" cm="1">
        <f t="array" ref="CB8">INDEX(Crops[],BedPlan[[#This Row],[Chart Index]],CB$4,1)</f>
        <v>0</v>
      </c>
      <c r="CC8" s="49" t="str" cm="1">
        <f t="array" ref="CC8">IFERROR(INDEX(Crops[],BedPlan[[#This Row],[Chart Index]],CC$4,1)*BedPlan[[#This Row],[Full Bed Equivalent]],"")</f>
        <v/>
      </c>
      <c r="CD8" cm="1">
        <f t="array" ref="CD8">INDEX(Crops[],BedPlan[[#This Row],[Chart Index]],CD$4,1)</f>
        <v>0</v>
      </c>
      <c r="CE8" cm="1">
        <f t="array" ref="CE8">IF(INDEX(Crops[],BedPlan[[#This Row],[Chart Index]],CE$4,1)="",0,INDEX(Crops[],BedPlan[[#This Row],[Chart Index]],CE$4,1))</f>
        <v>0</v>
      </c>
      <c r="CF8" s="49" t="str" cm="1">
        <f t="array" ref="CF8">IFERROR(INDEX(Crops[],BedPlan[[#This Row],[Chart Index]],CF$4,1)*BedPlan[[#This Row],[Full Bed Equivalent]],"")</f>
        <v/>
      </c>
      <c r="CG8" cm="1">
        <f t="array" ref="CG8">IF(INDEX(Crops[],BedPlan[[#This Row],[Chart Index]],CG$4,1)="",0,INDEX(Crops[],BedPlan[[#This Row],[Chart Index]],CG$4,1))</f>
        <v>1.3</v>
      </c>
      <c r="CH8" cm="1">
        <f t="array" ref="CH8">IF(INDEX(Crops[],BedPlan[[#This Row],[Chart Index]],CH$4,1)="",0,INDEX(Crops[],BedPlan[[#This Row],[Chart Index]],CH$4,1))</f>
        <v>6</v>
      </c>
      <c r="CI8" t="str" cm="1">
        <f t="array" ref="CI8">INDEX(Crops[],BedPlan[[#This Row],[Chart Index]],CI$4,1)</f>
        <v>Field</v>
      </c>
      <c r="CJ8" s="30" t="str">
        <f>_xlfn.TEXTJOIN(CHAR(10),FALSE,BedPlan[[#This Row],[Name]],BedPlan[[#This Row],[Variety]],BedPlan[[#This Row],[Company]])</f>
        <v xml:space="preserve">Arugula
Arugala Mix
</v>
      </c>
      <c r="CK8" s="32">
        <f>MAX( 0, MIN(BedPlan[[#This Row],[Expected End of Harvest]], EOMONTH(CK$4, 0)) - MAX(BedPlan[[#This Row],[Beginning of Harvest]], CK$4) + 1 )</f>
        <v>0</v>
      </c>
      <c r="CL8">
        <f>MAX( 0, MIN(BedPlan[[#This Row],[Expected End of Harvest]], EOMONTH(CL$4, 0)) - MAX(BedPlan[[#This Row],[Beginning of Harvest]], CL$4) + 1 )</f>
        <v>0</v>
      </c>
      <c r="CM8">
        <f>MAX( 0, MIN(BedPlan[[#This Row],[Expected End of Harvest]], EOMONTH(CM$4, 0)) - MAX(BedPlan[[#This Row],[Beginning of Harvest]], CM$4) + 1 )</f>
        <v>0</v>
      </c>
      <c r="CN8">
        <f>MAX( 0, MIN(BedPlan[[#This Row],[Expected End of Harvest]], EOMONTH(CN$4, 0)) - MAX(BedPlan[[#This Row],[Beginning of Harvest]], CN$4) + 1 )</f>
        <v>6</v>
      </c>
      <c r="CO8">
        <f>MAX( 0, MIN(BedPlan[[#This Row],[Expected End of Harvest]], EOMONTH(CO$4, 0)) - MAX(BedPlan[[#This Row],[Beginning of Harvest]], CO$4) + 1 )</f>
        <v>13</v>
      </c>
      <c r="CP8">
        <f>MAX( 0, MIN(BedPlan[[#This Row],[Expected End of Harvest]], EOMONTH(CP$4, 0)) - MAX(BedPlan[[#This Row],[Beginning of Harvest]], CP$4) + 1 )</f>
        <v>0</v>
      </c>
      <c r="CQ8">
        <f>MAX( 0, MIN(BedPlan[[#This Row],[Expected End of Harvest]], EOMONTH(CQ$4, 0)) - MAX(BedPlan[[#This Row],[Beginning of Harvest]], CQ$4) + 1 )</f>
        <v>0</v>
      </c>
      <c r="CR8">
        <f>MAX( 0, MIN(BedPlan[[#This Row],[Expected End of Harvest]], EOMONTH(CR$4, 0)) - MAX(BedPlan[[#This Row],[Beginning of Harvest]], CR$4) + 1 )</f>
        <v>0</v>
      </c>
      <c r="CS8">
        <f>MAX( 0, MIN(BedPlan[[#This Row],[Expected End of Harvest]], EOMONTH(CS$4, 0)) - MAX(BedPlan[[#This Row],[Beginning of Harvest]], CS$4) + 1 )</f>
        <v>0</v>
      </c>
      <c r="CT8">
        <f>MAX( 0, MIN(BedPlan[[#This Row],[Expected End of Harvest]], EOMONTH(CT$4, 0)) - MAX(BedPlan[[#This Row],[Beginning of Harvest]], CT$4) + 1 )</f>
        <v>0</v>
      </c>
      <c r="CU8">
        <f>MAX( 0, MIN(BedPlan[[#This Row],[Expected End of Harvest]], EOMONTH(CU$4, 0)) - MAX(BedPlan[[#This Row],[Beginning of Harvest]], CU$4) + 1 )</f>
        <v>0</v>
      </c>
      <c r="CV8">
        <f>MAX( 0, MIN(BedPlan[[#This Row],[Expected End of Harvest]], EOMONTH(CV$4, 0)) - MAX(BedPlan[[#This Row],[Beginning of Harvest]], CV$4) + 1 )</f>
        <v>0</v>
      </c>
      <c r="CW8">
        <f>MAX( 0, MIN(BedPlan[[#This Row],[Expected End of Harvest]], EOMONTH(CW$4, 0)) - MAX(BedPlan[[#This Row],[Beginning of Harvest]], CW$4) + 1 )</f>
        <v>0</v>
      </c>
      <c r="CX8">
        <f>MAX( 0, MIN(BedPlan[[#This Row],[Expected End of Harvest]], EOMONTH(CX$4, 0)) - MAX(BedPlan[[#This Row],[Beginning of Harvest]], CX$4) + 1 )</f>
        <v>0</v>
      </c>
      <c r="CY8">
        <f>MAX( 0, MIN(BedPlan[[#This Row],[Expected End of Harvest]], EOMONTH(CY$4, 0)) - MAX(BedPlan[[#This Row],[Beginning of Harvest]], CY$4) + 1 )</f>
        <v>0</v>
      </c>
      <c r="CZ8">
        <f>MAX( 0, MIN(BedPlan[[#This Row],[Expected End of Harvest]], EOMONTH(CZ$4, 0)) - MAX(BedPlan[[#This Row],[Beginning of Harvest]], CZ$4) + 1 )</f>
        <v>0</v>
      </c>
      <c r="DA8">
        <f>MAX( 0, MIN(BedPlan[[#This Row],[Expected End of Harvest]], EOMONTH(DA$4, 0)) - MAX(BedPlan[[#This Row],[Beginning of Harvest]], DA$4) + 1 )</f>
        <v>0</v>
      </c>
      <c r="DB8">
        <f>MAX( 0, MIN(BedPlan[[#This Row],[Expected End of Harvest]], EOMONTH(DB$4, 0)) - MAX(BedPlan[[#This Row],[Beginning of Harvest]], DB$4) + 1 )</f>
        <v>0</v>
      </c>
      <c r="DC8">
        <f>MAX( 0, MIN(BedPlan[[#This Row],[Expected End of Harvest]], EOMONTH(DC$4, 0)) - MAX(BedPlan[[#This Row],[Beginning of Harvest]], DC$4) + 1 )</f>
        <v>0</v>
      </c>
      <c r="DD8">
        <f>MAX( 0, MIN(BedPlan[[#This Row],[Expected End of Harvest]], EOMONTH(DD$4, 0)) - MAX(BedPlan[[#This Row],[Beginning of Harvest]], DD$4) + 1 )</f>
        <v>0</v>
      </c>
      <c r="DE8">
        <f>MAX( 0, MIN(BedPlan[[#This Row],[Expected End of Harvest]], EOMONTH(DE$4, 0)) - MAX(BedPlan[[#This Row],[Beginning of Harvest]], DE$4) + 1 )</f>
        <v>0</v>
      </c>
      <c r="DF8">
        <f>MAX( 0, MIN(BedPlan[[#This Row],[Expected End of Harvest]], EOMONTH(DF$4, 0)) - MAX(BedPlan[[#This Row],[Beginning of Harvest]], DF$4) + 1 )</f>
        <v>0</v>
      </c>
      <c r="DG8">
        <f>MAX( 0, MIN(BedPlan[[#This Row],[Expected End of Harvest]], EOMONTH(DG$4, 0)) - MAX(BedPlan[[#This Row],[Beginning of Harvest]], DG$4) + 1 )</f>
        <v>0</v>
      </c>
      <c r="DH8">
        <f>MAX( 0, MIN(BedPlan[[#This Row],[Expected End of Harvest]], EOMONTH(DH$4, 0)) - MAX(BedPlan[[#This Row],[Beginning of Harvest]], DH$4) + 1 )</f>
        <v>0</v>
      </c>
      <c r="DI8" s="257" cm="1">
        <f t="array" ref="DI8">BedPlan[[#This Row],[Harvest Days January 2025]]/SUM(BedPlan[[#This Row],[Harvest Days January 2025]:[Harvest Days December 2026]])*BedPlan[[#This Row],[Revenue]:[Revenue]]</f>
        <v>0</v>
      </c>
      <c r="DJ8" s="257" cm="1">
        <f t="array" ref="DJ8">BedPlan[[#This Row],[Harvest Days February 2025]]/SUM(BedPlan[[#This Row],[Harvest Days January 2025]:[Harvest Days December 2026]])*BedPlan[[#This Row],[Revenue]:[Revenue]]</f>
        <v>0</v>
      </c>
      <c r="DK8" s="257" cm="1">
        <f t="array" ref="DK8">BedPlan[[#This Row],[Harvest Days March 2025]]/SUM(BedPlan[[#This Row],[Harvest Days January 2025]:[Harvest Days December 2026]])*BedPlan[[#This Row],[Revenue]:[Revenue]]</f>
        <v>0</v>
      </c>
      <c r="DL8" s="257" cm="1">
        <f t="array" ref="DL8">BedPlan[[#This Row],[Harvest Days April 2025]]/SUM(BedPlan[[#This Row],[Harvest Days January 2025]:[Harvest Days December 2026]])*BedPlan[[#This Row],[Revenue]:[Revenue]]</f>
        <v>17.763157894736842</v>
      </c>
      <c r="DM8" s="257" cm="1">
        <f t="array" ref="DM8">BedPlan[[#This Row],[Harvest Days May 2025]]/SUM(BedPlan[[#This Row],[Harvest Days January 2025]:[Harvest Days December 2026]])*BedPlan[[#This Row],[Revenue]:[Revenue]]</f>
        <v>38.486842105263158</v>
      </c>
      <c r="DN8" s="257" cm="1">
        <f t="array" ref="DN8">BedPlan[[#This Row],[Harvest Days June 2025]]/SUM(BedPlan[[#This Row],[Harvest Days January 2025]:[Harvest Days December 2026]])*BedPlan[[#This Row],[Revenue]:[Revenue]]</f>
        <v>0</v>
      </c>
      <c r="DO8" s="257" cm="1">
        <f t="array" ref="DO8">BedPlan[[#This Row],[Harvest Days July 2025]]/SUM(BedPlan[[#This Row],[Harvest Days January 2025]:[Harvest Days December 2026]])*BedPlan[[#This Row],[Revenue]:[Revenue]]</f>
        <v>0</v>
      </c>
      <c r="DP8" s="257" cm="1">
        <f t="array" ref="DP8">BedPlan[[#This Row],[Harvest Days August 2025]]/SUM(BedPlan[[#This Row],[Harvest Days January 2025]:[Harvest Days December 2026]])*BedPlan[[#This Row],[Revenue]:[Revenue]]</f>
        <v>0</v>
      </c>
      <c r="DQ8" s="257" cm="1">
        <f t="array" ref="DQ8">BedPlan[[#This Row],[Harvest Days September 2025]]/SUM(BedPlan[[#This Row],[Harvest Days January 2025]:[Harvest Days December 2026]])*BedPlan[[#This Row],[Revenue]:[Revenue]]</f>
        <v>0</v>
      </c>
      <c r="DR8" s="257" cm="1">
        <f t="array" ref="DR8">BedPlan[[#This Row],[Harvest Days October 2025]]/SUM(BedPlan[[#This Row],[Harvest Days January 2025]:[Harvest Days December 2026]])*BedPlan[[#This Row],[Revenue]:[Revenue]]</f>
        <v>0</v>
      </c>
      <c r="DS8" s="257" cm="1">
        <f t="array" ref="DS8">BedPlan[[#This Row],[Harvest Days November 2025]]/SUM(BedPlan[[#This Row],[Harvest Days January 2025]:[Harvest Days December 2026]])*BedPlan[[#This Row],[Revenue]:[Revenue]]</f>
        <v>0</v>
      </c>
      <c r="DT8" s="257" cm="1">
        <f t="array" ref="DT8">BedPlan[[#This Row],[Harvest Days December 2025]]/SUM(BedPlan[[#This Row],[Harvest Days January 2025]:[Harvest Days December 2026]])*BedPlan[[#This Row],[Revenue]:[Revenue]]</f>
        <v>0</v>
      </c>
      <c r="DU8" s="257" cm="1">
        <f t="array" ref="DU8">BedPlan[[#This Row],[Harvest Days January 2026]]/SUM(BedPlan[[#This Row],[Harvest Days January 2025]:[Harvest Days December 2026]])*BedPlan[[#This Row],[Revenue]:[Revenue]]</f>
        <v>0</v>
      </c>
      <c r="DV8" s="257" cm="1">
        <f t="array" ref="DV8">BedPlan[[#This Row],[Harvest Days February 2026]]/SUM(BedPlan[[#This Row],[Harvest Days January 2025]:[Harvest Days December 2026]])*BedPlan[[#This Row],[Revenue]:[Revenue]]</f>
        <v>0</v>
      </c>
      <c r="DW8" s="257" cm="1">
        <f t="array" ref="DW8">BedPlan[[#This Row],[Harvest Days March 2026]]/SUM(BedPlan[[#This Row],[Harvest Days January 2025]:[Harvest Days December 2026]])*BedPlan[[#This Row],[Revenue]:[Revenue]]</f>
        <v>0</v>
      </c>
      <c r="DX8" s="257" cm="1">
        <f t="array" ref="DX8">BedPlan[[#This Row],[Harvest Days April 2026]]/SUM(BedPlan[[#This Row],[Harvest Days January 2025]:[Harvest Days December 2026]])*BedPlan[[#This Row],[Revenue]:[Revenue]]</f>
        <v>0</v>
      </c>
      <c r="DY8" s="257" cm="1">
        <f t="array" ref="DY8">BedPlan[[#This Row],[Harvest Days May 2026]]/SUM(BedPlan[[#This Row],[Harvest Days January 2025]:[Harvest Days December 2026]])*BedPlan[[#This Row],[Revenue]:[Revenue]]</f>
        <v>0</v>
      </c>
      <c r="DZ8" s="257" cm="1">
        <f t="array" ref="DZ8">BedPlan[[#This Row],[Harvest Days June 2026]]/SUM(BedPlan[[#This Row],[Harvest Days January 2025]:[Harvest Days December 2026]])*BedPlan[[#This Row],[Revenue]:[Revenue]]</f>
        <v>0</v>
      </c>
      <c r="EA8" s="257" cm="1">
        <f t="array" ref="EA8">BedPlan[[#This Row],[Harvest Days July 2026]]/SUM(BedPlan[[#This Row],[Harvest Days January 2025]:[Harvest Days December 2026]])*BedPlan[[#This Row],[Revenue]:[Revenue]]</f>
        <v>0</v>
      </c>
      <c r="EB8" s="257" cm="1">
        <f t="array" ref="EB8">BedPlan[[#This Row],[Harvest Days August 2026]]/SUM(BedPlan[[#This Row],[Harvest Days January 2025]:[Harvest Days December 2026]])*BedPlan[[#This Row],[Revenue]:[Revenue]]</f>
        <v>0</v>
      </c>
      <c r="EC8" s="257" cm="1">
        <f t="array" ref="EC8">BedPlan[[#This Row],[Harvest Days September 2026]]/SUM(BedPlan[[#This Row],[Harvest Days January 2025]:[Harvest Days December 2026]])*BedPlan[[#This Row],[Revenue]:[Revenue]]</f>
        <v>0</v>
      </c>
      <c r="ED8" s="257" cm="1">
        <f t="array" ref="ED8">BedPlan[[#This Row],[Harvest Days October 2026]]/SUM(BedPlan[[#This Row],[Harvest Days January 2025]:[Harvest Days December 2026]])*BedPlan[[#This Row],[Revenue]:[Revenue]]</f>
        <v>0</v>
      </c>
      <c r="EE8" s="257" cm="1">
        <f t="array" ref="EE8">BedPlan[[#This Row],[Harvest Days November 2026]]/SUM(BedPlan[[#This Row],[Harvest Days January 2025]:[Harvest Days December 2026]])*BedPlan[[#This Row],[Revenue]:[Revenue]]</f>
        <v>0</v>
      </c>
      <c r="EF8" s="257" cm="1">
        <f t="array" ref="EF8">BedPlan[[#This Row],[Harvest Days December 2026]]/SUM(BedPlan[[#This Row],[Harvest Days January 2025]:[Harvest Days December 2026]])*BedPlan[[#This Row],[Revenue]:[Revenue]]</f>
        <v>0</v>
      </c>
      <c r="EG8" t="b">
        <f>SUM(BedPlan[[#This Row],[Revenue January 2025]:[Revenue December 2026]])=BedPlan[[#This Row],[Revenue]]</f>
        <v>1</v>
      </c>
      <c r="EH8" cm="1">
        <f t="array" ref="EH8">INDEX(Crops[],BedPlan[[#This Row],[Chart Index]],EH$4,1)*BedPlan[[#This Row],['# Of Beds]]</f>
        <v>5.625</v>
      </c>
      <c r="EI8" t="str" cm="1">
        <f t="array" ref="EI8">INDEX(Crops[],BedPlan[[#This Row],[Chart Index]],EI$4,1)</f>
        <v>Lb</v>
      </c>
      <c r="EJ8" t="str" cm="1">
        <f t="array" ref="EJ8">INDEX(Crops[],BedPlan[[#This Row],[Chart Index]],EJ$4,1)</f>
        <v>Baby Leaf</v>
      </c>
      <c r="EK8" t="str">
        <f>BedPlan[[#This Row],[Name]]&amp;" "&amp;BedPlan[[#This Row],[Product]]&amp; " - " &amp;BedPlan[[#This Row],[Unit]]</f>
        <v>Arugula Baby Leaf - Lb</v>
      </c>
      <c r="EL8" s="33" cm="1">
        <f t="array" ref="EL8">BedPlan[[#This Row],[Harvest Days January 2025]]/SUM(BedPlan[[#This Row],[Harvest Days January 2025]:[Harvest Days December 2026]])*BedPlan[[#This Row],[Yield]:[Yield]]</f>
        <v>0</v>
      </c>
      <c r="EM8" s="33" cm="1">
        <f t="array" ref="EM8">BedPlan[[#This Row],[Harvest Days February 2025]]/SUM(BedPlan[[#This Row],[Harvest Days January 2025]:[Harvest Days December 2026]])*BedPlan[[#This Row],[Yield]:[Yield]]</f>
        <v>0</v>
      </c>
      <c r="EN8" s="33" cm="1">
        <f t="array" ref="EN8">BedPlan[[#This Row],[Harvest Days March 2025]]/SUM(BedPlan[[#This Row],[Harvest Days January 2025]:[Harvest Days December 2026]])*BedPlan[[#This Row],[Yield]:[Yield]]</f>
        <v>0</v>
      </c>
      <c r="EO8" s="33" cm="1">
        <f t="array" ref="EO8">BedPlan[[#This Row],[Harvest Days April 2025]]/SUM(BedPlan[[#This Row],[Harvest Days January 2025]:[Harvest Days December 2026]])*BedPlan[[#This Row],[Yield]:[Yield]]</f>
        <v>1.7763157894736841</v>
      </c>
      <c r="EP8" s="33" cm="1">
        <f t="array" ref="EP8">BedPlan[[#This Row],[Harvest Days May 2025]]/SUM(BedPlan[[#This Row],[Harvest Days January 2025]:[Harvest Days December 2026]])*BedPlan[[#This Row],[Yield]:[Yield]]</f>
        <v>3.8486842105263159</v>
      </c>
      <c r="EQ8" s="33" cm="1">
        <f t="array" ref="EQ8">BedPlan[[#This Row],[Harvest Days June 2025]]/SUM(BedPlan[[#This Row],[Harvest Days January 2025]:[Harvest Days December 2026]])*BedPlan[[#This Row],[Yield]:[Yield]]</f>
        <v>0</v>
      </c>
      <c r="ER8" s="33" cm="1">
        <f t="array" ref="ER8">BedPlan[[#This Row],[Harvest Days July 2025]]/SUM(BedPlan[[#This Row],[Harvest Days January 2025]:[Harvest Days December 2026]])*BedPlan[[#This Row],[Yield]:[Yield]]</f>
        <v>0</v>
      </c>
      <c r="ES8" s="33" cm="1">
        <f t="array" ref="ES8">BedPlan[[#This Row],[Harvest Days August 2025]]/SUM(BedPlan[[#This Row],[Harvest Days January 2025]:[Harvest Days December 2026]])*BedPlan[[#This Row],[Yield]:[Yield]]</f>
        <v>0</v>
      </c>
      <c r="ET8" s="33" cm="1">
        <f t="array" ref="ET8">BedPlan[[#This Row],[Harvest Days September 2025]]/SUM(BedPlan[[#This Row],[Harvest Days January 2025]:[Harvest Days December 2026]])*BedPlan[[#This Row],[Yield]:[Yield]]</f>
        <v>0</v>
      </c>
      <c r="EU8" s="33" cm="1">
        <f t="array" ref="EU8">BedPlan[[#This Row],[Harvest Days October 2025]]/SUM(BedPlan[[#This Row],[Harvest Days January 2025]:[Harvest Days December 2026]])*BedPlan[[#This Row],[Yield]:[Yield]]</f>
        <v>0</v>
      </c>
      <c r="EV8" s="33" cm="1">
        <f t="array" ref="EV8">BedPlan[[#This Row],[Harvest Days November 2025]]/SUM(BedPlan[[#This Row],[Harvest Days January 2025]:[Harvest Days December 2026]])*BedPlan[[#This Row],[Yield]:[Yield]]</f>
        <v>0</v>
      </c>
      <c r="EW8" s="33" cm="1">
        <f t="array" ref="EW8">BedPlan[[#This Row],[Harvest Days December 2025]]/SUM(BedPlan[[#This Row],[Harvest Days January 2025]:[Harvest Days December 2026]])*BedPlan[[#This Row],[Yield]:[Yield]]</f>
        <v>0</v>
      </c>
    </row>
    <row r="9" spans="1:153" ht="15.75" customHeight="1">
      <c r="A9" s="179" t="s">
        <v>2300</v>
      </c>
      <c r="B9" t="s">
        <v>3192</v>
      </c>
      <c r="C9" t="s">
        <v>1452</v>
      </c>
      <c r="D9" s="132" cm="1">
        <f t="array" ref="D9">INDEX(Crops[],BedPlan[[#This Row],[Chart Index]],D$4,1)*BedPlan[[#This Row],[Full Bed Equivalent]]</f>
        <v>15</v>
      </c>
      <c r="E9" s="132" cm="1">
        <f t="array" ref="E9">INDEX(Crops[],BedPlan[[#This Row],[Chart Index]],E$4,1)*BedPlan[[#This Row],[Full Bed Equivalent]]</f>
        <v>45</v>
      </c>
      <c r="F9" t="str">
        <f>UPPER(LEFT(BedPlan[[#This Row],[Crop]],3))</f>
        <v>ARU</v>
      </c>
      <c r="H9" s="132" t="str" cm="1">
        <f t="array" ref="H9">INDEX(Crops[],BedPlan[[#This Row],[Chart Index]],H$4,1)</f>
        <v>Arugula</v>
      </c>
      <c r="I9" t="s">
        <v>2850</v>
      </c>
      <c r="K9" t="str" cm="1">
        <f t="array" ref="K9">IF(ISNUMBER(MATCH(BedPlan[[#This Row],[Variety]],SeedMixes[Name],)),_xlfn.TEXTJOIN(", ",TRUE,_xlfn._xlws.FILTER(SeedMixes[Variety &amp; Company],SeedMixes[Name]=BedPlan[[#This Row],[Variety]])),"")</f>
        <v>Esmee Johnny's, Astro High Mowing</v>
      </c>
      <c r="L9" s="33" cm="1">
        <f t="array" ref="L9">INDEX(Crops[],BedPlan[[#This Row],[Chart Index]],L$4,1)*BedPlan[[#This Row],[Full Bed Equivalent]]</f>
        <v>9360</v>
      </c>
      <c r="N9">
        <v>0.5</v>
      </c>
      <c r="O9">
        <f>MAX(BedPlan[[#This Row],['# Of Beds]],0.5)</f>
        <v>0.5</v>
      </c>
      <c r="P9" s="31">
        <f>IF(ISNUMBER(BedPlan[[#This Row],[Planned Greenhouse Start Date]]),BedPlan[[#This Row],[Planned Greenhouse Start Date]],BedPlan[[#This Row],[Planned TP or DS Date]])</f>
        <v>45823</v>
      </c>
      <c r="Q9" s="259" t="str">
        <f>IF(BedPlan[[#This Row],[Days in Cells]]=0,"",IFERROR(_xlfn.XLOOKUP(BedPlan[[#This Row],[Follows Crop]],BedPlan[Identifier],BedPlan[Expected End of Harvest]) + 1+BedPlan[[#This Row],[Follow Offset]],BedPlan[[#This Row],[Fixed Field Start Date]])-BedPlan[[#This Row],[Days in Cells]])</f>
        <v/>
      </c>
      <c r="R9" s="259"/>
      <c r="S9" s="259" t="str">
        <f>IF(ISNUMBER(BedPlan[[#This Row],[Actual Greenhouse Date]]),BedPlan[[#This Row],[Actual Greenhouse Date]],BedPlan[[#This Row],[Planned Greenhouse Start Date]])</f>
        <v/>
      </c>
      <c r="T9" s="259">
        <v>45823</v>
      </c>
      <c r="U9" s="260"/>
      <c r="V9" s="260"/>
      <c r="W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45823</v>
      </c>
      <c r="X9" s="259">
        <v>45838</v>
      </c>
      <c r="Y9" s="271">
        <f>BedPlan[[#This Row],[Actual TP or DS Date]]-BedPlan[[#This Row],[Planned TP or DS Date]]</f>
        <v>15</v>
      </c>
      <c r="Z9" s="259">
        <f>IF(ISNUMBER(BedPlan[[#This Row],[Actual TP or DS Date]]),BedPlan[[#This Row],[Actual TP or DS Date]],BedPlan[[#This Row],[Planned TP or DS Date]])</f>
        <v>45838</v>
      </c>
      <c r="AA9" s="260"/>
      <c r="AB9" s="259">
        <f>IF(ISNUMBER(BedPlan[[#This Row],[Greenhouse Start Date]]),BedPlan[[#This Row],[Greenhouse Start Date]]+BedPlan[[#This Row],[DTM]],BedPlan[[#This Row],[TP or DS Date]]+BedPlan[[#This Row],[DTM]])</f>
        <v>45869</v>
      </c>
      <c r="AC9" s="259"/>
      <c r="AD9" s="259">
        <f>IF(ISNUMBER(BedPlan[[#This Row],[Actual Beginning of Harvest]]),BedPlan[[#This Row],[Actual Beginning of Harvest]],BedPlan[[#This Row],[Expected Beginning of Harvest]])</f>
        <v>45869</v>
      </c>
      <c r="AE9" s="259">
        <f>BedPlan[[#This Row],[Expected Beginning of Harvest]]+BedPlan[[#This Row],[Harvest Window]]+BedPlan[[#This Row],[Additional Days of Harvest]]</f>
        <v>45887</v>
      </c>
      <c r="AF9" s="259"/>
      <c r="AG9" s="259"/>
      <c r="AH9" t="b">
        <f>IF(AND( BedPlan[[#This Row],[Expected End of Harvest]] &gt;= DATE(2025, 8, 1), BedPlan[[#This Row],[Beginning of Harvest]] &lt;= DATE(2025, 8, 31) ), TRUE, FALSE)</f>
        <v>1</v>
      </c>
      <c r="AI9" s="31"/>
      <c r="AJ9" s="31">
        <f>IF(ISNUMBER(BedPlan[[#This Row],[Actual End of Harvest]]),BedPlan[[#This Row],[Actual End of Harvest]],BedPlan[[#This Row],[Expected End of Harvest]])</f>
        <v>45887</v>
      </c>
      <c r="AK9" t="b">
        <f>OR(ISNUMBER(BedPlan[[#This Row],[Actual Greenhouse Date]]),ISNUMBER(BedPlan[[#This Row],[Actual TP or DS Date]]))</f>
        <v>1</v>
      </c>
      <c r="AL9" s="52" t="str">
        <f>IF(ISNUMBER(BedPlan[[#This Row],[Planned Greenhouse Start Date]]),OR(ISNUMBER(BedPlan[[#This Row],[Actual TP or DS Date]]),BedPlan[[#This Row],[Failed]]),"-")</f>
        <v>-</v>
      </c>
      <c r="AM9" t="b">
        <f>OR(ISNUMBER(BedPlan[[#This Row],[Actual End of Harvest]]),BedPlan[[#This Row],[Failed]])</f>
        <v>0</v>
      </c>
      <c r="AN9" t="b">
        <f>OR(BedPlan[[#This Row],[Harvest Done]],BedPlan[[#This Row],[Failed]],BedPlan[[#This Row],[Name]]="Tarp")</f>
        <v>0</v>
      </c>
      <c r="AO9" t="b">
        <v>1</v>
      </c>
      <c r="AP9" t="b">
        <v>1</v>
      </c>
      <c r="AQ9" t="s">
        <v>3257</v>
      </c>
      <c r="AR9" t="b">
        <v>1</v>
      </c>
      <c r="AS9" s="26">
        <f>IF(BedPlan[[#This Row],[Broadfork]],BedPlan[[#This Row],[Actual TP or DS Date]],"")</f>
        <v>45838</v>
      </c>
      <c r="AT9" s="26">
        <f>IF(BedPlan[[#This Row],[Tilther]],BedPlan[[#This Row],[Actual TP or DS Date]],"")</f>
        <v>45838</v>
      </c>
      <c r="AU9" s="26">
        <f>IF(NOT(ISBLANK(BedPlan[[#This Row],[Amend]])),BedPlan[[#This Row],[Actual TP or DS Date]],"")</f>
        <v>45838</v>
      </c>
      <c r="AV9" s="26">
        <f>IF(BedPlan[[#This Row],[Row Cover]],BedPlan[[#This Row],[Actual TP or DS Date]],"")</f>
        <v>45838</v>
      </c>
      <c r="AX9" s="26"/>
      <c r="AZ9" s="26"/>
      <c r="BB9" s="26"/>
      <c r="BC9" s="231" cm="1">
        <f t="array" ref="BC9">INDEX(Crops[],BedPlan[[#This Row],[Chart Index]],BC$4,1)*BedPlan[[#This Row],[Full Bed Equivalent]]</f>
        <v>112.5</v>
      </c>
      <c r="BD9" s="231" cm="1">
        <f t="array" ref="BD9">INDEX(Crops[],BedPlan[[#This Row],[Chart Index]],BD$4,1)*BedPlan[[#This Row],[Full Bed Equivalent]]</f>
        <v>2.295918367346939</v>
      </c>
      <c r="BE9" cm="1">
        <f t="array" ref="BE9">INDEX(Crops[],BedPlan[[#This Row],[Chart Index]],BE$4,1)+BedPlan[[#This Row],[Additional Days in Cells]]+BedPlan[[#This Row],[Additional Days In Field]]</f>
        <v>31</v>
      </c>
      <c r="BG9" cm="1">
        <f t="array" ref="BG9">INDEX(Crops[],BedPlan[[#This Row],[Chart Index]],BG$4,1)</f>
        <v>18</v>
      </c>
      <c r="BH9" t="str">
        <f>IF(ISNUMBER(BedPlan[[#This Row],[Planned Greenhouse Start Date]]),"TP","DS")</f>
        <v>DS</v>
      </c>
      <c r="BI9">
        <f>BedPlan[[#This Row],['# Of Beds]]</f>
        <v>0.5</v>
      </c>
      <c r="BJ9" cm="1">
        <f t="array" ref="BJ9">INDEX(Crops[],BedPlan[[#This Row],[Chart Index]],BJ$4,1)</f>
        <v>0</v>
      </c>
      <c r="BK9" cm="1">
        <f t="array" ref="BK9">INDEX(Crops[],BedPlan[[#This Row],[Chart Index]],BK$4,1)</f>
        <v>6</v>
      </c>
      <c r="BL9" cm="1">
        <f t="array" ref="BL9">INDEX(Crops[],BedPlan[[#This Row],[Chart Index]],BL$4,1)</f>
        <v>0.25</v>
      </c>
      <c r="BM9" cm="1">
        <f t="array" ref="BM9">INDEX(Crops[],BedPlan[[#This Row],[Chart Index]],BM$4,1)</f>
        <v>1</v>
      </c>
      <c r="BN9" s="32" cm="1">
        <f t="array" ref="BN9">INDEX(Crops[],BedPlan[[#This Row],[Chart Index]],BN$4,1)*BedPlan[[#This Row],[Full Bed Equivalent]]</f>
        <v>7200</v>
      </c>
      <c r="BO9" t="str" cm="1">
        <f t="array" ref="BO9">IF(INDEX(Crops[],BedPlan[[#This Row],[Chart Index]],BO$4,1)=0,"",INDEX(Crops[],BedPlan[[#This Row],[Chart Index]],BO$4,1))</f>
        <v>OH</v>
      </c>
      <c r="BP9">
        <f>MATCH(BedPlan[[#This Row],[Crop]],Crops[Identifier],FALSE)</f>
        <v>6</v>
      </c>
      <c r="BQ9" t="str" cm="1">
        <f t="array" ref="BQ9">INDEX(Crops[],BedPlan[[#This Row],[Chart Index]],BQ$4,1)</f>
        <v>General</v>
      </c>
      <c r="BR9" t="str" cm="1">
        <f t="array" ref="BR9">INDEX(Crops[],BedPlan[[#This Row],[Chart Index]],BR$4,1)</f>
        <v>Sp</v>
      </c>
      <c r="BS9" s="32">
        <f>BedPlan[[#This Row],[Expected Beginning of Harvest]]-DATE(2023,1,1)</f>
        <v>942</v>
      </c>
      <c r="BT9">
        <f>BedPlan[[#This Row],[Expected End of Harvest]]-BedPlan[[#This Row],[Expected Beginning of Harvest]]</f>
        <v>18</v>
      </c>
      <c r="BU9" t="str" cm="1">
        <f t="array" ref="BU9">INDEX(Crops[],BedPlan[[#This Row],[Chart Index]],BU$4,1)</f>
        <v>Green</v>
      </c>
      <c r="BV9" cm="1">
        <f t="array" ref="BV9">INDEX(Crops[],BedPlan[[#This Row],[Chart Index]],BV$4,1)</f>
        <v>1</v>
      </c>
      <c r="BW9" t="str" cm="1">
        <f t="array" ref="BW9">INDEX(Crops[],BedPlan[[#This Row],[Chart Index]],BW$4,1)</f>
        <v>None</v>
      </c>
      <c r="BX9" cm="1">
        <f t="array" ref="BX9">INDEX(Crops[],BedPlan[[#This Row],[Chart Index]],BX$4,1)</f>
        <v>0</v>
      </c>
      <c r="BY9" cm="1">
        <f t="array" ref="BY9">INDEX(Crops[],BedPlan[[#This Row],[Chart Index]],BY$4,1)</f>
        <v>0</v>
      </c>
      <c r="BZ9" s="49" t="str" cm="1">
        <f t="array" ref="BZ9">IFERROR(INDEX(Crops[],BedPlan[[#This Row],[Chart Index]],BZ$4,1)*BedPlan[[#This Row],[Full Bed Equivalent]],"")</f>
        <v/>
      </c>
      <c r="CA9" cm="1">
        <f t="array" ref="CA9">INDEX(Crops[],BedPlan[[#This Row],[Chart Index]],CA$4,1)</f>
        <v>0</v>
      </c>
      <c r="CB9" cm="1">
        <f t="array" ref="CB9">INDEX(Crops[],BedPlan[[#This Row],[Chart Index]],CB$4,1)</f>
        <v>0</v>
      </c>
      <c r="CC9" s="49" t="str" cm="1">
        <f t="array" ref="CC9">IFERROR(INDEX(Crops[],BedPlan[[#This Row],[Chart Index]],CC$4,1)*BedPlan[[#This Row],[Full Bed Equivalent]],"")</f>
        <v/>
      </c>
      <c r="CD9" cm="1">
        <f t="array" ref="CD9">INDEX(Crops[],BedPlan[[#This Row],[Chart Index]],CD$4,1)</f>
        <v>0</v>
      </c>
      <c r="CE9" cm="1">
        <f t="array" ref="CE9">IF(INDEX(Crops[],BedPlan[[#This Row],[Chart Index]],CE$4,1)="",0,INDEX(Crops[],BedPlan[[#This Row],[Chart Index]],CE$4,1))</f>
        <v>0</v>
      </c>
      <c r="CF9" s="49" t="str" cm="1">
        <f t="array" ref="CF9">IFERROR(INDEX(Crops[],BedPlan[[#This Row],[Chart Index]],CF$4,1)*BedPlan[[#This Row],[Full Bed Equivalent]],"")</f>
        <v/>
      </c>
      <c r="CG9" cm="1">
        <f t="array" ref="CG9">IF(INDEX(Crops[],BedPlan[[#This Row],[Chart Index]],CG$4,1)="",0,INDEX(Crops[],BedPlan[[#This Row],[Chart Index]],CG$4,1))</f>
        <v>1.3</v>
      </c>
      <c r="CH9" cm="1">
        <f t="array" ref="CH9">IF(INDEX(Crops[],BedPlan[[#This Row],[Chart Index]],CH$4,1)="",0,INDEX(Crops[],BedPlan[[#This Row],[Chart Index]],CH$4,1))</f>
        <v>6</v>
      </c>
      <c r="CI9" t="str" cm="1">
        <f t="array" ref="CI9">INDEX(Crops[],BedPlan[[#This Row],[Chart Index]],CI$4,1)</f>
        <v>Field</v>
      </c>
      <c r="CJ9" s="30" t="str">
        <f>_xlfn.TEXTJOIN(CHAR(10),FALSE,BedPlan[[#This Row],[Name]],BedPlan[[#This Row],[Variety]],BedPlan[[#This Row],[Company]])</f>
        <v xml:space="preserve">Arugula
Arugala Mix
</v>
      </c>
      <c r="CK9" s="32">
        <f>MAX( 0, MIN(BedPlan[[#This Row],[Expected End of Harvest]], EOMONTH(CK$4, 0)) - MAX(BedPlan[[#This Row],[Beginning of Harvest]], CK$4) + 1 )</f>
        <v>0</v>
      </c>
      <c r="CL9">
        <f>MAX( 0, MIN(BedPlan[[#This Row],[Expected End of Harvest]], EOMONTH(CL$4, 0)) - MAX(BedPlan[[#This Row],[Beginning of Harvest]], CL$4) + 1 )</f>
        <v>0</v>
      </c>
      <c r="CM9">
        <f>MAX( 0, MIN(BedPlan[[#This Row],[Expected End of Harvest]], EOMONTH(CM$4, 0)) - MAX(BedPlan[[#This Row],[Beginning of Harvest]], CM$4) + 1 )</f>
        <v>0</v>
      </c>
      <c r="CN9">
        <f>MAX( 0, MIN(BedPlan[[#This Row],[Expected End of Harvest]], EOMONTH(CN$4, 0)) - MAX(BedPlan[[#This Row],[Beginning of Harvest]], CN$4) + 1 )</f>
        <v>0</v>
      </c>
      <c r="CO9">
        <f>MAX( 0, MIN(BedPlan[[#This Row],[Expected End of Harvest]], EOMONTH(CO$4, 0)) - MAX(BedPlan[[#This Row],[Beginning of Harvest]], CO$4) + 1 )</f>
        <v>0</v>
      </c>
      <c r="CP9">
        <f>MAX( 0, MIN(BedPlan[[#This Row],[Expected End of Harvest]], EOMONTH(CP$4, 0)) - MAX(BedPlan[[#This Row],[Beginning of Harvest]], CP$4) + 1 )</f>
        <v>0</v>
      </c>
      <c r="CQ9">
        <f>MAX( 0, MIN(BedPlan[[#This Row],[Expected End of Harvest]], EOMONTH(CQ$4, 0)) - MAX(BedPlan[[#This Row],[Beginning of Harvest]], CQ$4) + 1 )</f>
        <v>1</v>
      </c>
      <c r="CR9">
        <f>MAX( 0, MIN(BedPlan[[#This Row],[Expected End of Harvest]], EOMONTH(CR$4, 0)) - MAX(BedPlan[[#This Row],[Beginning of Harvest]], CR$4) + 1 )</f>
        <v>18</v>
      </c>
      <c r="CS9">
        <f>MAX( 0, MIN(BedPlan[[#This Row],[Expected End of Harvest]], EOMONTH(CS$4, 0)) - MAX(BedPlan[[#This Row],[Beginning of Harvest]], CS$4) + 1 )</f>
        <v>0</v>
      </c>
      <c r="CT9">
        <f>MAX( 0, MIN(BedPlan[[#This Row],[Expected End of Harvest]], EOMONTH(CT$4, 0)) - MAX(BedPlan[[#This Row],[Beginning of Harvest]], CT$4) + 1 )</f>
        <v>0</v>
      </c>
      <c r="CU9">
        <f>MAX( 0, MIN(BedPlan[[#This Row],[Expected End of Harvest]], EOMONTH(CU$4, 0)) - MAX(BedPlan[[#This Row],[Beginning of Harvest]], CU$4) + 1 )</f>
        <v>0</v>
      </c>
      <c r="CV9">
        <f>MAX( 0, MIN(BedPlan[[#This Row],[Expected End of Harvest]], EOMONTH(CV$4, 0)) - MAX(BedPlan[[#This Row],[Beginning of Harvest]], CV$4) + 1 )</f>
        <v>0</v>
      </c>
      <c r="CW9">
        <f>MAX( 0, MIN(BedPlan[[#This Row],[Expected End of Harvest]], EOMONTH(CW$4, 0)) - MAX(BedPlan[[#This Row],[Beginning of Harvest]], CW$4) + 1 )</f>
        <v>0</v>
      </c>
      <c r="CX9">
        <f>MAX( 0, MIN(BedPlan[[#This Row],[Expected End of Harvest]], EOMONTH(CX$4, 0)) - MAX(BedPlan[[#This Row],[Beginning of Harvest]], CX$4) + 1 )</f>
        <v>0</v>
      </c>
      <c r="CY9">
        <f>MAX( 0, MIN(BedPlan[[#This Row],[Expected End of Harvest]], EOMONTH(CY$4, 0)) - MAX(BedPlan[[#This Row],[Beginning of Harvest]], CY$4) + 1 )</f>
        <v>0</v>
      </c>
      <c r="CZ9">
        <f>MAX( 0, MIN(BedPlan[[#This Row],[Expected End of Harvest]], EOMONTH(CZ$4, 0)) - MAX(BedPlan[[#This Row],[Beginning of Harvest]], CZ$4) + 1 )</f>
        <v>0</v>
      </c>
      <c r="DA9">
        <f>MAX( 0, MIN(BedPlan[[#This Row],[Expected End of Harvest]], EOMONTH(DA$4, 0)) - MAX(BedPlan[[#This Row],[Beginning of Harvest]], DA$4) + 1 )</f>
        <v>0</v>
      </c>
      <c r="DB9">
        <f>MAX( 0, MIN(BedPlan[[#This Row],[Expected End of Harvest]], EOMONTH(DB$4, 0)) - MAX(BedPlan[[#This Row],[Beginning of Harvest]], DB$4) + 1 )</f>
        <v>0</v>
      </c>
      <c r="DC9">
        <f>MAX( 0, MIN(BedPlan[[#This Row],[Expected End of Harvest]], EOMONTH(DC$4, 0)) - MAX(BedPlan[[#This Row],[Beginning of Harvest]], DC$4) + 1 )</f>
        <v>0</v>
      </c>
      <c r="DD9">
        <f>MAX( 0, MIN(BedPlan[[#This Row],[Expected End of Harvest]], EOMONTH(DD$4, 0)) - MAX(BedPlan[[#This Row],[Beginning of Harvest]], DD$4) + 1 )</f>
        <v>0</v>
      </c>
      <c r="DE9">
        <f>MAX( 0, MIN(BedPlan[[#This Row],[Expected End of Harvest]], EOMONTH(DE$4, 0)) - MAX(BedPlan[[#This Row],[Beginning of Harvest]], DE$4) + 1 )</f>
        <v>0</v>
      </c>
      <c r="DF9">
        <f>MAX( 0, MIN(BedPlan[[#This Row],[Expected End of Harvest]], EOMONTH(DF$4, 0)) - MAX(BedPlan[[#This Row],[Beginning of Harvest]], DF$4) + 1 )</f>
        <v>0</v>
      </c>
      <c r="DG9">
        <f>MAX( 0, MIN(BedPlan[[#This Row],[Expected End of Harvest]], EOMONTH(DG$4, 0)) - MAX(BedPlan[[#This Row],[Beginning of Harvest]], DG$4) + 1 )</f>
        <v>0</v>
      </c>
      <c r="DH9">
        <f>MAX( 0, MIN(BedPlan[[#This Row],[Expected End of Harvest]], EOMONTH(DH$4, 0)) - MAX(BedPlan[[#This Row],[Beginning of Harvest]], DH$4) + 1 )</f>
        <v>0</v>
      </c>
      <c r="DI9" s="257" cm="1">
        <f t="array" ref="DI9">BedPlan[[#This Row],[Harvest Days January 2025]]/SUM(BedPlan[[#This Row],[Harvest Days January 2025]:[Harvest Days December 2026]])*BedPlan[[#This Row],[Revenue]:[Revenue]]</f>
        <v>0</v>
      </c>
      <c r="DJ9" s="257" cm="1">
        <f t="array" ref="DJ9">BedPlan[[#This Row],[Harvest Days February 2025]]/SUM(BedPlan[[#This Row],[Harvest Days January 2025]:[Harvest Days December 2026]])*BedPlan[[#This Row],[Revenue]:[Revenue]]</f>
        <v>0</v>
      </c>
      <c r="DK9" s="257" cm="1">
        <f t="array" ref="DK9">BedPlan[[#This Row],[Harvest Days March 2025]]/SUM(BedPlan[[#This Row],[Harvest Days January 2025]:[Harvest Days December 2026]])*BedPlan[[#This Row],[Revenue]:[Revenue]]</f>
        <v>0</v>
      </c>
      <c r="DL9" s="257" cm="1">
        <f t="array" ref="DL9">BedPlan[[#This Row],[Harvest Days April 2025]]/SUM(BedPlan[[#This Row],[Harvest Days January 2025]:[Harvest Days December 2026]])*BedPlan[[#This Row],[Revenue]:[Revenue]]</f>
        <v>0</v>
      </c>
      <c r="DM9" s="257" cm="1">
        <f t="array" ref="DM9">BedPlan[[#This Row],[Harvest Days May 2025]]/SUM(BedPlan[[#This Row],[Harvest Days January 2025]:[Harvest Days December 2026]])*BedPlan[[#This Row],[Revenue]:[Revenue]]</f>
        <v>0</v>
      </c>
      <c r="DN9" s="257" cm="1">
        <f t="array" ref="DN9">BedPlan[[#This Row],[Harvest Days June 2025]]/SUM(BedPlan[[#This Row],[Harvest Days January 2025]:[Harvest Days December 2026]])*BedPlan[[#This Row],[Revenue]:[Revenue]]</f>
        <v>0</v>
      </c>
      <c r="DO9" s="257" cm="1">
        <f t="array" ref="DO9">BedPlan[[#This Row],[Harvest Days July 2025]]/SUM(BedPlan[[#This Row],[Harvest Days January 2025]:[Harvest Days December 2026]])*BedPlan[[#This Row],[Revenue]:[Revenue]]</f>
        <v>5.9210526315789469</v>
      </c>
      <c r="DP9" s="257" cm="1">
        <f t="array" ref="DP9">BedPlan[[#This Row],[Harvest Days August 2025]]/SUM(BedPlan[[#This Row],[Harvest Days January 2025]:[Harvest Days December 2026]])*BedPlan[[#This Row],[Revenue]:[Revenue]]</f>
        <v>106.57894736842104</v>
      </c>
      <c r="DQ9" s="257" cm="1">
        <f t="array" ref="DQ9">BedPlan[[#This Row],[Harvest Days September 2025]]/SUM(BedPlan[[#This Row],[Harvest Days January 2025]:[Harvest Days December 2026]])*BedPlan[[#This Row],[Revenue]:[Revenue]]</f>
        <v>0</v>
      </c>
      <c r="DR9" s="257" cm="1">
        <f t="array" ref="DR9">BedPlan[[#This Row],[Harvest Days October 2025]]/SUM(BedPlan[[#This Row],[Harvest Days January 2025]:[Harvest Days December 2026]])*BedPlan[[#This Row],[Revenue]:[Revenue]]</f>
        <v>0</v>
      </c>
      <c r="DS9" s="257" cm="1">
        <f t="array" ref="DS9">BedPlan[[#This Row],[Harvest Days November 2025]]/SUM(BedPlan[[#This Row],[Harvest Days January 2025]:[Harvest Days December 2026]])*BedPlan[[#This Row],[Revenue]:[Revenue]]</f>
        <v>0</v>
      </c>
      <c r="DT9" s="257" cm="1">
        <f t="array" ref="DT9">BedPlan[[#This Row],[Harvest Days December 2025]]/SUM(BedPlan[[#This Row],[Harvest Days January 2025]:[Harvest Days December 2026]])*BedPlan[[#This Row],[Revenue]:[Revenue]]</f>
        <v>0</v>
      </c>
      <c r="DU9" s="257" cm="1">
        <f t="array" ref="DU9">BedPlan[[#This Row],[Harvest Days January 2026]]/SUM(BedPlan[[#This Row],[Harvest Days January 2025]:[Harvest Days December 2026]])*BedPlan[[#This Row],[Revenue]:[Revenue]]</f>
        <v>0</v>
      </c>
      <c r="DV9" s="257" cm="1">
        <f t="array" ref="DV9">BedPlan[[#This Row],[Harvest Days February 2026]]/SUM(BedPlan[[#This Row],[Harvest Days January 2025]:[Harvest Days December 2026]])*BedPlan[[#This Row],[Revenue]:[Revenue]]</f>
        <v>0</v>
      </c>
      <c r="DW9" s="257" cm="1">
        <f t="array" ref="DW9">BedPlan[[#This Row],[Harvest Days March 2026]]/SUM(BedPlan[[#This Row],[Harvest Days January 2025]:[Harvest Days December 2026]])*BedPlan[[#This Row],[Revenue]:[Revenue]]</f>
        <v>0</v>
      </c>
      <c r="DX9" s="257" cm="1">
        <f t="array" ref="DX9">BedPlan[[#This Row],[Harvest Days April 2026]]/SUM(BedPlan[[#This Row],[Harvest Days January 2025]:[Harvest Days December 2026]])*BedPlan[[#This Row],[Revenue]:[Revenue]]</f>
        <v>0</v>
      </c>
      <c r="DY9" s="257" cm="1">
        <f t="array" ref="DY9">BedPlan[[#This Row],[Harvest Days May 2026]]/SUM(BedPlan[[#This Row],[Harvest Days January 2025]:[Harvest Days December 2026]])*BedPlan[[#This Row],[Revenue]:[Revenue]]</f>
        <v>0</v>
      </c>
      <c r="DZ9" s="257" cm="1">
        <f t="array" ref="DZ9">BedPlan[[#This Row],[Harvest Days June 2026]]/SUM(BedPlan[[#This Row],[Harvest Days January 2025]:[Harvest Days December 2026]])*BedPlan[[#This Row],[Revenue]:[Revenue]]</f>
        <v>0</v>
      </c>
      <c r="EA9" s="257" cm="1">
        <f t="array" ref="EA9">BedPlan[[#This Row],[Harvest Days July 2026]]/SUM(BedPlan[[#This Row],[Harvest Days January 2025]:[Harvest Days December 2026]])*BedPlan[[#This Row],[Revenue]:[Revenue]]</f>
        <v>0</v>
      </c>
      <c r="EB9" s="257" cm="1">
        <f t="array" ref="EB9">BedPlan[[#This Row],[Harvest Days August 2026]]/SUM(BedPlan[[#This Row],[Harvest Days January 2025]:[Harvest Days December 2026]])*BedPlan[[#This Row],[Revenue]:[Revenue]]</f>
        <v>0</v>
      </c>
      <c r="EC9" s="257" cm="1">
        <f t="array" ref="EC9">BedPlan[[#This Row],[Harvest Days September 2026]]/SUM(BedPlan[[#This Row],[Harvest Days January 2025]:[Harvest Days December 2026]])*BedPlan[[#This Row],[Revenue]:[Revenue]]</f>
        <v>0</v>
      </c>
      <c r="ED9" s="257" cm="1">
        <f t="array" ref="ED9">BedPlan[[#This Row],[Harvest Days October 2026]]/SUM(BedPlan[[#This Row],[Harvest Days January 2025]:[Harvest Days December 2026]])*BedPlan[[#This Row],[Revenue]:[Revenue]]</f>
        <v>0</v>
      </c>
      <c r="EE9" s="257" cm="1">
        <f t="array" ref="EE9">BedPlan[[#This Row],[Harvest Days November 2026]]/SUM(BedPlan[[#This Row],[Harvest Days January 2025]:[Harvest Days December 2026]])*BedPlan[[#This Row],[Revenue]:[Revenue]]</f>
        <v>0</v>
      </c>
      <c r="EF9" s="257" cm="1">
        <f t="array" ref="EF9">BedPlan[[#This Row],[Harvest Days December 2026]]/SUM(BedPlan[[#This Row],[Harvest Days January 2025]:[Harvest Days December 2026]])*BedPlan[[#This Row],[Revenue]:[Revenue]]</f>
        <v>0</v>
      </c>
      <c r="EG9" t="b">
        <f>SUM(BedPlan[[#This Row],[Revenue January 2025]:[Revenue December 2026]])=BedPlan[[#This Row],[Revenue]]</f>
        <v>1</v>
      </c>
      <c r="EH9" s="30" cm="1">
        <f t="array" ref="EH9">INDEX(Crops[],BedPlan[[#This Row],[Chart Index]],EH$4,1)*BedPlan[[#This Row],['# Of Beds]]</f>
        <v>11.25</v>
      </c>
      <c r="EI9" s="30" t="str" cm="1">
        <f t="array" ref="EI9">INDEX(Crops[],BedPlan[[#This Row],[Chart Index]],EI$4,1)</f>
        <v>Lb</v>
      </c>
      <c r="EJ9" s="30" t="str" cm="1">
        <f t="array" ref="EJ9">INDEX(Crops[],BedPlan[[#This Row],[Chart Index]],EJ$4,1)</f>
        <v>Baby Leaf</v>
      </c>
      <c r="EK9" s="30" t="str">
        <f>BedPlan[[#This Row],[Name]]&amp;" "&amp;BedPlan[[#This Row],[Product]]&amp; " - " &amp;BedPlan[[#This Row],[Unit]]</f>
        <v>Arugula Baby Leaf - Lb</v>
      </c>
      <c r="EL9" s="33" cm="1">
        <f t="array" ref="EL9">BedPlan[[#This Row],[Harvest Days January 2025]]/SUM(BedPlan[[#This Row],[Harvest Days January 2025]:[Harvest Days December 2026]])*BedPlan[[#This Row],[Yield]:[Yield]]</f>
        <v>0</v>
      </c>
      <c r="EM9" s="33" cm="1">
        <f t="array" ref="EM9">BedPlan[[#This Row],[Harvest Days February 2025]]/SUM(BedPlan[[#This Row],[Harvest Days January 2025]:[Harvest Days December 2026]])*BedPlan[[#This Row],[Yield]:[Yield]]</f>
        <v>0</v>
      </c>
      <c r="EN9" s="33" cm="1">
        <f t="array" ref="EN9">BedPlan[[#This Row],[Harvest Days March 2025]]/SUM(BedPlan[[#This Row],[Harvest Days January 2025]:[Harvest Days December 2026]])*BedPlan[[#This Row],[Yield]:[Yield]]</f>
        <v>0</v>
      </c>
      <c r="EO9" s="33" cm="1">
        <f t="array" ref="EO9">BedPlan[[#This Row],[Harvest Days April 2025]]/SUM(BedPlan[[#This Row],[Harvest Days January 2025]:[Harvest Days December 2026]])*BedPlan[[#This Row],[Yield]:[Yield]]</f>
        <v>0</v>
      </c>
      <c r="EP9" s="33" cm="1">
        <f t="array" ref="EP9">BedPlan[[#This Row],[Harvest Days May 2025]]/SUM(BedPlan[[#This Row],[Harvest Days January 2025]:[Harvest Days December 2026]])*BedPlan[[#This Row],[Yield]:[Yield]]</f>
        <v>0</v>
      </c>
      <c r="EQ9" s="33" cm="1">
        <f t="array" ref="EQ9">BedPlan[[#This Row],[Harvest Days June 2025]]/SUM(BedPlan[[#This Row],[Harvest Days January 2025]:[Harvest Days December 2026]])*BedPlan[[#This Row],[Yield]:[Yield]]</f>
        <v>0</v>
      </c>
      <c r="ER9" s="33" cm="1">
        <f t="array" ref="ER9">BedPlan[[#This Row],[Harvest Days July 2025]]/SUM(BedPlan[[#This Row],[Harvest Days January 2025]:[Harvest Days December 2026]])*BedPlan[[#This Row],[Yield]:[Yield]]</f>
        <v>0.59210526315789469</v>
      </c>
      <c r="ES9" s="33" cm="1">
        <f t="array" ref="ES9">BedPlan[[#This Row],[Harvest Days August 2025]]/SUM(BedPlan[[#This Row],[Harvest Days January 2025]:[Harvest Days December 2026]])*BedPlan[[#This Row],[Yield]:[Yield]]</f>
        <v>10.657894736842104</v>
      </c>
      <c r="ET9" s="33" cm="1">
        <f t="array" ref="ET9">BedPlan[[#This Row],[Harvest Days September 2025]]/SUM(BedPlan[[#This Row],[Harvest Days January 2025]:[Harvest Days December 2026]])*BedPlan[[#This Row],[Yield]:[Yield]]</f>
        <v>0</v>
      </c>
      <c r="EU9" s="33" cm="1">
        <f t="array" ref="EU9">BedPlan[[#This Row],[Harvest Days October 2025]]/SUM(BedPlan[[#This Row],[Harvest Days January 2025]:[Harvest Days December 2026]])*BedPlan[[#This Row],[Yield]:[Yield]]</f>
        <v>0</v>
      </c>
      <c r="EV9" s="33" cm="1">
        <f t="array" ref="EV9">BedPlan[[#This Row],[Harvest Days November 2025]]/SUM(BedPlan[[#This Row],[Harvest Days January 2025]:[Harvest Days December 2026]])*BedPlan[[#This Row],[Yield]:[Yield]]</f>
        <v>0</v>
      </c>
      <c r="EW9" s="33" cm="1">
        <f t="array" ref="EW9">BedPlan[[#This Row],[Harvest Days December 2025]]/SUM(BedPlan[[#This Row],[Harvest Days January 2025]:[Harvest Days December 2026]])*BedPlan[[#This Row],[Yield]:[Yield]]</f>
        <v>0</v>
      </c>
    </row>
    <row r="10" spans="1:153" ht="15.75" customHeight="1">
      <c r="A10" s="179" t="s">
        <v>2300</v>
      </c>
      <c r="B10" t="s">
        <v>3287</v>
      </c>
      <c r="C10" t="s">
        <v>1452</v>
      </c>
      <c r="D10" s="132" cm="1">
        <f t="array" ref="D10">INDEX(Crops[],BedPlan[[#This Row],[Chart Index]],D$4,1)*BedPlan[[#This Row],[Full Bed Equivalent]]</f>
        <v>15</v>
      </c>
      <c r="E10" s="132" cm="1">
        <f t="array" ref="E10">INDEX(Crops[],BedPlan[[#This Row],[Chart Index]],E$4,1)*BedPlan[[#This Row],[Full Bed Equivalent]]</f>
        <v>45</v>
      </c>
      <c r="F10" t="str">
        <f>UPPER(LEFT(BedPlan[[#This Row],[Crop]],3))</f>
        <v>ARU</v>
      </c>
      <c r="H10" s="132" t="str" cm="1">
        <f t="array" ref="H10">INDEX(Crops[],BedPlan[[#This Row],[Chart Index]],H$4,1)</f>
        <v>Arugula</v>
      </c>
      <c r="I10" t="s">
        <v>2850</v>
      </c>
      <c r="K10" t="str" cm="1">
        <f t="array" ref="K10">IF(ISNUMBER(MATCH(BedPlan[[#This Row],[Variety]],SeedMixes[Name],)),_xlfn.TEXTJOIN(", ",TRUE,_xlfn._xlws.FILTER(SeedMixes[Variety &amp; Company],SeedMixes[Name]=BedPlan[[#This Row],[Variety]])),"")</f>
        <v>Esmee Johnny's, Astro High Mowing</v>
      </c>
      <c r="L10" s="33" cm="1">
        <f t="array" ref="L10">INDEX(Crops[],BedPlan[[#This Row],[Chart Index]],L$4,1)*BedPlan[[#This Row],[Full Bed Equivalent]]</f>
        <v>9360</v>
      </c>
      <c r="N10">
        <v>0.5</v>
      </c>
      <c r="O10">
        <f>MAX(BedPlan[[#This Row],['# Of Beds]],0.5)</f>
        <v>0.5</v>
      </c>
      <c r="P10" s="31">
        <f>IF(ISNUMBER(BedPlan[[#This Row],[Planned Greenhouse Start Date]]),BedPlan[[#This Row],[Planned Greenhouse Start Date]],BedPlan[[#This Row],[Planned TP or DS Date]])</f>
        <v>45884</v>
      </c>
      <c r="Q10" s="259" t="str">
        <f>IF(BedPlan[[#This Row],[Days in Cells]]=0,"",IFERROR(_xlfn.XLOOKUP(BedPlan[[#This Row],[Follows Crop]],BedPlan[Identifier],BedPlan[Expected End of Harvest]) + 1+BedPlan[[#This Row],[Follow Offset]],BedPlan[[#This Row],[Fixed Field Start Date]])-BedPlan[[#This Row],[Days in Cells]])</f>
        <v/>
      </c>
      <c r="R10" s="259"/>
      <c r="S10" s="259" t="str">
        <f>IF(ISNUMBER(BedPlan[[#This Row],[Actual Greenhouse Date]]),BedPlan[[#This Row],[Actual Greenhouse Date]],BedPlan[[#This Row],[Planned Greenhouse Start Date]])</f>
        <v/>
      </c>
      <c r="T10" s="259">
        <v>45884</v>
      </c>
      <c r="U10" s="260"/>
      <c r="V10" s="260"/>
      <c r="W1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0" s="259"/>
      <c r="Y10" s="271">
        <f>BedPlan[[#This Row],[Actual TP or DS Date]]-BedPlan[[#This Row],[Planned TP or DS Date]]</f>
        <v>-45884</v>
      </c>
      <c r="Z10" s="259">
        <f>IF(ISNUMBER(BedPlan[[#This Row],[Actual TP or DS Date]]),BedPlan[[#This Row],[Actual TP or DS Date]],BedPlan[[#This Row],[Planned TP or DS Date]])</f>
        <v>45884</v>
      </c>
      <c r="AA10" s="260"/>
      <c r="AB10" s="259">
        <f>IF(ISNUMBER(BedPlan[[#This Row],[Greenhouse Start Date]]),BedPlan[[#This Row],[Greenhouse Start Date]]+BedPlan[[#This Row],[DTM]],BedPlan[[#This Row],[TP or DS Date]]+BedPlan[[#This Row],[DTM]])</f>
        <v>45915</v>
      </c>
      <c r="AC10" s="259"/>
      <c r="AD10" s="259">
        <f>IF(ISNUMBER(BedPlan[[#This Row],[Actual Beginning of Harvest]]),BedPlan[[#This Row],[Actual Beginning of Harvest]],BedPlan[[#This Row],[Expected Beginning of Harvest]])</f>
        <v>45915</v>
      </c>
      <c r="AE10" s="259">
        <f>BedPlan[[#This Row],[Expected Beginning of Harvest]]+BedPlan[[#This Row],[Harvest Window]]+BedPlan[[#This Row],[Additional Days of Harvest]]</f>
        <v>45933</v>
      </c>
      <c r="AF10" s="259"/>
      <c r="AG10" s="259"/>
      <c r="AH10" t="b">
        <f>IF(AND( BedPlan[[#This Row],[Expected End of Harvest]] &gt;= DATE(2025, 8, 1), BedPlan[[#This Row],[Beginning of Harvest]] &lt;= DATE(2025, 8, 31) ), TRUE, FALSE)</f>
        <v>0</v>
      </c>
      <c r="AI10" s="31"/>
      <c r="AJ10" s="31">
        <f>IF(ISNUMBER(BedPlan[[#This Row],[Actual End of Harvest]]),BedPlan[[#This Row],[Actual End of Harvest]],BedPlan[[#This Row],[Expected End of Harvest]])</f>
        <v>45933</v>
      </c>
      <c r="AK10" t="b">
        <f>OR(ISNUMBER(BedPlan[[#This Row],[Actual Greenhouse Date]]),ISNUMBER(BedPlan[[#This Row],[Actual TP or DS Date]]))</f>
        <v>0</v>
      </c>
      <c r="AL10" s="52" t="str">
        <f>IF(ISNUMBER(BedPlan[[#This Row],[Planned Greenhouse Start Date]]),OR(ISNUMBER(BedPlan[[#This Row],[Actual TP or DS Date]]),BedPlan[[#This Row],[Failed]]),"-")</f>
        <v>-</v>
      </c>
      <c r="AM10" t="b">
        <f>OR(ISNUMBER(BedPlan[[#This Row],[Actual End of Harvest]]),BedPlan[[#This Row],[Failed]])</f>
        <v>0</v>
      </c>
      <c r="AN10" t="b">
        <f>OR(BedPlan[[#This Row],[Harvest Done]],BedPlan[[#This Row],[Failed]],BedPlan[[#This Row],[Name]]="Tarp")</f>
        <v>0</v>
      </c>
      <c r="AO10" t="b">
        <v>1</v>
      </c>
      <c r="AP10" t="b">
        <v>1</v>
      </c>
      <c r="AQ10" t="s">
        <v>3257</v>
      </c>
      <c r="AR10" t="b">
        <v>1</v>
      </c>
      <c r="AS10" s="26">
        <f>IF(BedPlan[[#This Row],[Broadfork]],BedPlan[[#This Row],[Actual TP or DS Date]],"")</f>
        <v>0</v>
      </c>
      <c r="AT10" s="26">
        <f>IF(BedPlan[[#This Row],[Tilther]],BedPlan[[#This Row],[Actual TP or DS Date]],"")</f>
        <v>0</v>
      </c>
      <c r="AU10" s="26">
        <f>IF(NOT(ISBLANK(BedPlan[[#This Row],[Amend]])),BedPlan[[#This Row],[Actual TP or DS Date]],"")</f>
        <v>0</v>
      </c>
      <c r="AV10" s="26">
        <f>IF(BedPlan[[#This Row],[Row Cover]],BedPlan[[#This Row],[Actual TP or DS Date]],"")</f>
        <v>0</v>
      </c>
      <c r="AX10" s="26"/>
      <c r="AZ10" s="26"/>
      <c r="BB10" s="26"/>
      <c r="BC10" s="231" cm="1">
        <f t="array" ref="BC10">INDEX(Crops[],BedPlan[[#This Row],[Chart Index]],BC$4,1)*BedPlan[[#This Row],[Full Bed Equivalent]]</f>
        <v>112.5</v>
      </c>
      <c r="BD10" s="231" cm="1">
        <f t="array" ref="BD10">INDEX(Crops[],BedPlan[[#This Row],[Chart Index]],BD$4,1)*BedPlan[[#This Row],[Full Bed Equivalent]]</f>
        <v>2.295918367346939</v>
      </c>
      <c r="BE10" cm="1">
        <f t="array" ref="BE10">INDEX(Crops[],BedPlan[[#This Row],[Chart Index]],BE$4,1)+BedPlan[[#This Row],[Additional Days in Cells]]+BedPlan[[#This Row],[Additional Days In Field]]</f>
        <v>31</v>
      </c>
      <c r="BG10" cm="1">
        <f t="array" ref="BG10">INDEX(Crops[],BedPlan[[#This Row],[Chart Index]],BG$4,1)</f>
        <v>18</v>
      </c>
      <c r="BH10" t="str">
        <f>IF(ISNUMBER(BedPlan[[#This Row],[Planned Greenhouse Start Date]]),"TP","DS")</f>
        <v>DS</v>
      </c>
      <c r="BI10">
        <f>BedPlan[[#This Row],['# Of Beds]]</f>
        <v>0.5</v>
      </c>
      <c r="BJ10" cm="1">
        <f t="array" ref="BJ10">INDEX(Crops[],BedPlan[[#This Row],[Chart Index]],BJ$4,1)</f>
        <v>0</v>
      </c>
      <c r="BK10" cm="1">
        <f t="array" ref="BK10">INDEX(Crops[],BedPlan[[#This Row],[Chart Index]],BK$4,1)</f>
        <v>6</v>
      </c>
      <c r="BL10" cm="1">
        <f t="array" ref="BL10">INDEX(Crops[],BedPlan[[#This Row],[Chart Index]],BL$4,1)</f>
        <v>0.25</v>
      </c>
      <c r="BM10" cm="1">
        <f t="array" ref="BM10">INDEX(Crops[],BedPlan[[#This Row],[Chart Index]],BM$4,1)</f>
        <v>1</v>
      </c>
      <c r="BN10" s="32" cm="1">
        <f t="array" ref="BN10">INDEX(Crops[],BedPlan[[#This Row],[Chart Index]],BN$4,1)*BedPlan[[#This Row],[Full Bed Equivalent]]</f>
        <v>7200</v>
      </c>
      <c r="BO10" t="str" cm="1">
        <f t="array" ref="BO10">IF(INDEX(Crops[],BedPlan[[#This Row],[Chart Index]],BO$4,1)=0,"",INDEX(Crops[],BedPlan[[#This Row],[Chart Index]],BO$4,1))</f>
        <v>OH</v>
      </c>
      <c r="BP10">
        <f>MATCH(BedPlan[[#This Row],[Crop]],Crops[Identifier],FALSE)</f>
        <v>6</v>
      </c>
      <c r="BQ10" t="str" cm="1">
        <f t="array" ref="BQ10">INDEX(Crops[],BedPlan[[#This Row],[Chart Index]],BQ$4,1)</f>
        <v>General</v>
      </c>
      <c r="BR10" t="str" cm="1">
        <f t="array" ref="BR10">INDEX(Crops[],BedPlan[[#This Row],[Chart Index]],BR$4,1)</f>
        <v>Sp</v>
      </c>
      <c r="BS10" s="32">
        <f>BedPlan[[#This Row],[Expected Beginning of Harvest]]-DATE(2023,1,1)</f>
        <v>988</v>
      </c>
      <c r="BT10">
        <f>BedPlan[[#This Row],[Expected End of Harvest]]-BedPlan[[#This Row],[Expected Beginning of Harvest]]</f>
        <v>18</v>
      </c>
      <c r="BU10" t="str" cm="1">
        <f t="array" ref="BU10">INDEX(Crops[],BedPlan[[#This Row],[Chart Index]],BU$4,1)</f>
        <v>Green</v>
      </c>
      <c r="BV10" cm="1">
        <f t="array" ref="BV10">INDEX(Crops[],BedPlan[[#This Row],[Chart Index]],BV$4,1)</f>
        <v>1</v>
      </c>
      <c r="BW10" t="str" cm="1">
        <f t="array" ref="BW10">INDEX(Crops[],BedPlan[[#This Row],[Chart Index]],BW$4,1)</f>
        <v>None</v>
      </c>
      <c r="BX10" cm="1">
        <f t="array" ref="BX10">INDEX(Crops[],BedPlan[[#This Row],[Chart Index]],BX$4,1)</f>
        <v>0</v>
      </c>
      <c r="BY10" cm="1">
        <f t="array" ref="BY10">INDEX(Crops[],BedPlan[[#This Row],[Chart Index]],BY$4,1)</f>
        <v>0</v>
      </c>
      <c r="BZ10" s="49" t="str" cm="1">
        <f t="array" ref="BZ10">IFERROR(INDEX(Crops[],BedPlan[[#This Row],[Chart Index]],BZ$4,1)*BedPlan[[#This Row],[Full Bed Equivalent]],"")</f>
        <v/>
      </c>
      <c r="CA10" cm="1">
        <f t="array" ref="CA10">INDEX(Crops[],BedPlan[[#This Row],[Chart Index]],CA$4,1)</f>
        <v>0</v>
      </c>
      <c r="CB10" cm="1">
        <f t="array" ref="CB10">INDEX(Crops[],BedPlan[[#This Row],[Chart Index]],CB$4,1)</f>
        <v>0</v>
      </c>
      <c r="CC10" s="49" t="str" cm="1">
        <f t="array" ref="CC10">IFERROR(INDEX(Crops[],BedPlan[[#This Row],[Chart Index]],CC$4,1)*BedPlan[[#This Row],[Full Bed Equivalent]],"")</f>
        <v/>
      </c>
      <c r="CD10" cm="1">
        <f t="array" ref="CD10">INDEX(Crops[],BedPlan[[#This Row],[Chart Index]],CD$4,1)</f>
        <v>0</v>
      </c>
      <c r="CE10" cm="1">
        <f t="array" ref="CE10">IF(INDEX(Crops[],BedPlan[[#This Row],[Chart Index]],CE$4,1)="",0,INDEX(Crops[],BedPlan[[#This Row],[Chart Index]],CE$4,1))</f>
        <v>0</v>
      </c>
      <c r="CF10" s="49" t="str" cm="1">
        <f t="array" ref="CF10">IFERROR(INDEX(Crops[],BedPlan[[#This Row],[Chart Index]],CF$4,1)*BedPlan[[#This Row],[Full Bed Equivalent]],"")</f>
        <v/>
      </c>
      <c r="CG10" cm="1">
        <f t="array" ref="CG10">IF(INDEX(Crops[],BedPlan[[#This Row],[Chart Index]],CG$4,1)="",0,INDEX(Crops[],BedPlan[[#This Row],[Chart Index]],CG$4,1))</f>
        <v>1.3</v>
      </c>
      <c r="CH10" cm="1">
        <f t="array" ref="CH10">IF(INDEX(Crops[],BedPlan[[#This Row],[Chart Index]],CH$4,1)="",0,INDEX(Crops[],BedPlan[[#This Row],[Chart Index]],CH$4,1))</f>
        <v>6</v>
      </c>
      <c r="CI10" t="str" cm="1">
        <f t="array" ref="CI10">INDEX(Crops[],BedPlan[[#This Row],[Chart Index]],CI$4,1)</f>
        <v>Field</v>
      </c>
      <c r="CJ10" s="30" t="str">
        <f>_xlfn.TEXTJOIN(CHAR(10),FALSE,BedPlan[[#This Row],[Name]],BedPlan[[#This Row],[Variety]],BedPlan[[#This Row],[Company]])</f>
        <v xml:space="preserve">Arugula
Arugala Mix
</v>
      </c>
      <c r="CK10" s="32">
        <f>MAX( 0, MIN(BedPlan[[#This Row],[Expected End of Harvest]], EOMONTH(CK$4, 0)) - MAX(BedPlan[[#This Row],[Beginning of Harvest]], CK$4) + 1 )</f>
        <v>0</v>
      </c>
      <c r="CL10">
        <f>MAX( 0, MIN(BedPlan[[#This Row],[Expected End of Harvest]], EOMONTH(CL$4, 0)) - MAX(BedPlan[[#This Row],[Beginning of Harvest]], CL$4) + 1 )</f>
        <v>0</v>
      </c>
      <c r="CM10">
        <f>MAX( 0, MIN(BedPlan[[#This Row],[Expected End of Harvest]], EOMONTH(CM$4, 0)) - MAX(BedPlan[[#This Row],[Beginning of Harvest]], CM$4) + 1 )</f>
        <v>0</v>
      </c>
      <c r="CN10">
        <f>MAX( 0, MIN(BedPlan[[#This Row],[Expected End of Harvest]], EOMONTH(CN$4, 0)) - MAX(BedPlan[[#This Row],[Beginning of Harvest]], CN$4) + 1 )</f>
        <v>0</v>
      </c>
      <c r="CO10">
        <f>MAX( 0, MIN(BedPlan[[#This Row],[Expected End of Harvest]], EOMONTH(CO$4, 0)) - MAX(BedPlan[[#This Row],[Beginning of Harvest]], CO$4) + 1 )</f>
        <v>0</v>
      </c>
      <c r="CP10">
        <f>MAX( 0, MIN(BedPlan[[#This Row],[Expected End of Harvest]], EOMONTH(CP$4, 0)) - MAX(BedPlan[[#This Row],[Beginning of Harvest]], CP$4) + 1 )</f>
        <v>0</v>
      </c>
      <c r="CQ10">
        <f>MAX( 0, MIN(BedPlan[[#This Row],[Expected End of Harvest]], EOMONTH(CQ$4, 0)) - MAX(BedPlan[[#This Row],[Beginning of Harvest]], CQ$4) + 1 )</f>
        <v>0</v>
      </c>
      <c r="CR10">
        <f>MAX( 0, MIN(BedPlan[[#This Row],[Expected End of Harvest]], EOMONTH(CR$4, 0)) - MAX(BedPlan[[#This Row],[Beginning of Harvest]], CR$4) + 1 )</f>
        <v>0</v>
      </c>
      <c r="CS10">
        <f>MAX( 0, MIN(BedPlan[[#This Row],[Expected End of Harvest]], EOMONTH(CS$4, 0)) - MAX(BedPlan[[#This Row],[Beginning of Harvest]], CS$4) + 1 )</f>
        <v>16</v>
      </c>
      <c r="CT10">
        <f>MAX( 0, MIN(BedPlan[[#This Row],[Expected End of Harvest]], EOMONTH(CT$4, 0)) - MAX(BedPlan[[#This Row],[Beginning of Harvest]], CT$4) + 1 )</f>
        <v>3</v>
      </c>
      <c r="CU10">
        <f>MAX( 0, MIN(BedPlan[[#This Row],[Expected End of Harvest]], EOMONTH(CU$4, 0)) - MAX(BedPlan[[#This Row],[Beginning of Harvest]], CU$4) + 1 )</f>
        <v>0</v>
      </c>
      <c r="CV10">
        <f>MAX( 0, MIN(BedPlan[[#This Row],[Expected End of Harvest]], EOMONTH(CV$4, 0)) - MAX(BedPlan[[#This Row],[Beginning of Harvest]], CV$4) + 1 )</f>
        <v>0</v>
      </c>
      <c r="CW10">
        <f>MAX( 0, MIN(BedPlan[[#This Row],[Expected End of Harvest]], EOMONTH(CW$4, 0)) - MAX(BedPlan[[#This Row],[Beginning of Harvest]], CW$4) + 1 )</f>
        <v>0</v>
      </c>
      <c r="CX10">
        <f>MAX( 0, MIN(BedPlan[[#This Row],[Expected End of Harvest]], EOMONTH(CX$4, 0)) - MAX(BedPlan[[#This Row],[Beginning of Harvest]], CX$4) + 1 )</f>
        <v>0</v>
      </c>
      <c r="CY10">
        <f>MAX( 0, MIN(BedPlan[[#This Row],[Expected End of Harvest]], EOMONTH(CY$4, 0)) - MAX(BedPlan[[#This Row],[Beginning of Harvest]], CY$4) + 1 )</f>
        <v>0</v>
      </c>
      <c r="CZ10">
        <f>MAX( 0, MIN(BedPlan[[#This Row],[Expected End of Harvest]], EOMONTH(CZ$4, 0)) - MAX(BedPlan[[#This Row],[Beginning of Harvest]], CZ$4) + 1 )</f>
        <v>0</v>
      </c>
      <c r="DA10">
        <f>MAX( 0, MIN(BedPlan[[#This Row],[Expected End of Harvest]], EOMONTH(DA$4, 0)) - MAX(BedPlan[[#This Row],[Beginning of Harvest]], DA$4) + 1 )</f>
        <v>0</v>
      </c>
      <c r="DB10">
        <f>MAX( 0, MIN(BedPlan[[#This Row],[Expected End of Harvest]], EOMONTH(DB$4, 0)) - MAX(BedPlan[[#This Row],[Beginning of Harvest]], DB$4) + 1 )</f>
        <v>0</v>
      </c>
      <c r="DC10">
        <f>MAX( 0, MIN(BedPlan[[#This Row],[Expected End of Harvest]], EOMONTH(DC$4, 0)) - MAX(BedPlan[[#This Row],[Beginning of Harvest]], DC$4) + 1 )</f>
        <v>0</v>
      </c>
      <c r="DD10">
        <f>MAX( 0, MIN(BedPlan[[#This Row],[Expected End of Harvest]], EOMONTH(DD$4, 0)) - MAX(BedPlan[[#This Row],[Beginning of Harvest]], DD$4) + 1 )</f>
        <v>0</v>
      </c>
      <c r="DE10">
        <f>MAX( 0, MIN(BedPlan[[#This Row],[Expected End of Harvest]], EOMONTH(DE$4, 0)) - MAX(BedPlan[[#This Row],[Beginning of Harvest]], DE$4) + 1 )</f>
        <v>0</v>
      </c>
      <c r="DF10">
        <f>MAX( 0, MIN(BedPlan[[#This Row],[Expected End of Harvest]], EOMONTH(DF$4, 0)) - MAX(BedPlan[[#This Row],[Beginning of Harvest]], DF$4) + 1 )</f>
        <v>0</v>
      </c>
      <c r="DG10">
        <f>MAX( 0, MIN(BedPlan[[#This Row],[Expected End of Harvest]], EOMONTH(DG$4, 0)) - MAX(BedPlan[[#This Row],[Beginning of Harvest]], DG$4) + 1 )</f>
        <v>0</v>
      </c>
      <c r="DH10">
        <f>MAX( 0, MIN(BedPlan[[#This Row],[Expected End of Harvest]], EOMONTH(DH$4, 0)) - MAX(BedPlan[[#This Row],[Beginning of Harvest]], DH$4) + 1 )</f>
        <v>0</v>
      </c>
      <c r="DI10" s="257" cm="1">
        <f t="array" ref="DI10">BedPlan[[#This Row],[Harvest Days January 2025]]/SUM(BedPlan[[#This Row],[Harvest Days January 2025]:[Harvest Days December 2026]])*BedPlan[[#This Row],[Revenue]:[Revenue]]</f>
        <v>0</v>
      </c>
      <c r="DJ10" s="257" cm="1">
        <f t="array" ref="DJ10">BedPlan[[#This Row],[Harvest Days February 2025]]/SUM(BedPlan[[#This Row],[Harvest Days January 2025]:[Harvest Days December 2026]])*BedPlan[[#This Row],[Revenue]:[Revenue]]</f>
        <v>0</v>
      </c>
      <c r="DK10" s="257" cm="1">
        <f t="array" ref="DK10">BedPlan[[#This Row],[Harvest Days March 2025]]/SUM(BedPlan[[#This Row],[Harvest Days January 2025]:[Harvest Days December 2026]])*BedPlan[[#This Row],[Revenue]:[Revenue]]</f>
        <v>0</v>
      </c>
      <c r="DL10" s="257" cm="1">
        <f t="array" ref="DL10">BedPlan[[#This Row],[Harvest Days April 2025]]/SUM(BedPlan[[#This Row],[Harvest Days January 2025]:[Harvest Days December 2026]])*BedPlan[[#This Row],[Revenue]:[Revenue]]</f>
        <v>0</v>
      </c>
      <c r="DM10" s="257" cm="1">
        <f t="array" ref="DM10">BedPlan[[#This Row],[Harvest Days May 2025]]/SUM(BedPlan[[#This Row],[Harvest Days January 2025]:[Harvest Days December 2026]])*BedPlan[[#This Row],[Revenue]:[Revenue]]</f>
        <v>0</v>
      </c>
      <c r="DN10" s="257" cm="1">
        <f t="array" ref="DN10">BedPlan[[#This Row],[Harvest Days June 2025]]/SUM(BedPlan[[#This Row],[Harvest Days January 2025]:[Harvest Days December 2026]])*BedPlan[[#This Row],[Revenue]:[Revenue]]</f>
        <v>0</v>
      </c>
      <c r="DO10" s="257" cm="1">
        <f t="array" ref="DO10">BedPlan[[#This Row],[Harvest Days July 2025]]/SUM(BedPlan[[#This Row],[Harvest Days January 2025]:[Harvest Days December 2026]])*BedPlan[[#This Row],[Revenue]:[Revenue]]</f>
        <v>0</v>
      </c>
      <c r="DP10" s="257" cm="1">
        <f t="array" ref="DP10">BedPlan[[#This Row],[Harvest Days August 2025]]/SUM(BedPlan[[#This Row],[Harvest Days January 2025]:[Harvest Days December 2026]])*BedPlan[[#This Row],[Revenue]:[Revenue]]</f>
        <v>0</v>
      </c>
      <c r="DQ10" s="257" cm="1">
        <f t="array" ref="DQ10">BedPlan[[#This Row],[Harvest Days September 2025]]/SUM(BedPlan[[#This Row],[Harvest Days January 2025]:[Harvest Days December 2026]])*BedPlan[[#This Row],[Revenue]:[Revenue]]</f>
        <v>94.73684210526315</v>
      </c>
      <c r="DR10" s="257" cm="1">
        <f t="array" ref="DR10">BedPlan[[#This Row],[Harvest Days October 2025]]/SUM(BedPlan[[#This Row],[Harvest Days January 2025]:[Harvest Days December 2026]])*BedPlan[[#This Row],[Revenue]:[Revenue]]</f>
        <v>17.763157894736842</v>
      </c>
      <c r="DS10" s="257" cm="1">
        <f t="array" ref="DS10">BedPlan[[#This Row],[Harvest Days November 2025]]/SUM(BedPlan[[#This Row],[Harvest Days January 2025]:[Harvest Days December 2026]])*BedPlan[[#This Row],[Revenue]:[Revenue]]</f>
        <v>0</v>
      </c>
      <c r="DT10" s="257" cm="1">
        <f t="array" ref="DT10">BedPlan[[#This Row],[Harvest Days December 2025]]/SUM(BedPlan[[#This Row],[Harvest Days January 2025]:[Harvest Days December 2026]])*BedPlan[[#This Row],[Revenue]:[Revenue]]</f>
        <v>0</v>
      </c>
      <c r="DU10" s="257" cm="1">
        <f t="array" ref="DU10">BedPlan[[#This Row],[Harvest Days January 2026]]/SUM(BedPlan[[#This Row],[Harvest Days January 2025]:[Harvest Days December 2026]])*BedPlan[[#This Row],[Revenue]:[Revenue]]</f>
        <v>0</v>
      </c>
      <c r="DV10" s="257" cm="1">
        <f t="array" ref="DV10">BedPlan[[#This Row],[Harvest Days February 2026]]/SUM(BedPlan[[#This Row],[Harvest Days January 2025]:[Harvest Days December 2026]])*BedPlan[[#This Row],[Revenue]:[Revenue]]</f>
        <v>0</v>
      </c>
      <c r="DW10" s="257" cm="1">
        <f t="array" ref="DW10">BedPlan[[#This Row],[Harvest Days March 2026]]/SUM(BedPlan[[#This Row],[Harvest Days January 2025]:[Harvest Days December 2026]])*BedPlan[[#This Row],[Revenue]:[Revenue]]</f>
        <v>0</v>
      </c>
      <c r="DX10" s="257" cm="1">
        <f t="array" ref="DX10">BedPlan[[#This Row],[Harvest Days April 2026]]/SUM(BedPlan[[#This Row],[Harvest Days January 2025]:[Harvest Days December 2026]])*BedPlan[[#This Row],[Revenue]:[Revenue]]</f>
        <v>0</v>
      </c>
      <c r="DY10" s="257" cm="1">
        <f t="array" ref="DY10">BedPlan[[#This Row],[Harvest Days May 2026]]/SUM(BedPlan[[#This Row],[Harvest Days January 2025]:[Harvest Days December 2026]])*BedPlan[[#This Row],[Revenue]:[Revenue]]</f>
        <v>0</v>
      </c>
      <c r="DZ10" s="257" cm="1">
        <f t="array" ref="DZ10">BedPlan[[#This Row],[Harvest Days June 2026]]/SUM(BedPlan[[#This Row],[Harvest Days January 2025]:[Harvest Days December 2026]])*BedPlan[[#This Row],[Revenue]:[Revenue]]</f>
        <v>0</v>
      </c>
      <c r="EA10" s="257" cm="1">
        <f t="array" ref="EA10">BedPlan[[#This Row],[Harvest Days July 2026]]/SUM(BedPlan[[#This Row],[Harvest Days January 2025]:[Harvest Days December 2026]])*BedPlan[[#This Row],[Revenue]:[Revenue]]</f>
        <v>0</v>
      </c>
      <c r="EB10" s="257" cm="1">
        <f t="array" ref="EB10">BedPlan[[#This Row],[Harvest Days August 2026]]/SUM(BedPlan[[#This Row],[Harvest Days January 2025]:[Harvest Days December 2026]])*BedPlan[[#This Row],[Revenue]:[Revenue]]</f>
        <v>0</v>
      </c>
      <c r="EC10" s="257" cm="1">
        <f t="array" ref="EC10">BedPlan[[#This Row],[Harvest Days September 2026]]/SUM(BedPlan[[#This Row],[Harvest Days January 2025]:[Harvest Days December 2026]])*BedPlan[[#This Row],[Revenue]:[Revenue]]</f>
        <v>0</v>
      </c>
      <c r="ED10" s="257" cm="1">
        <f t="array" ref="ED10">BedPlan[[#This Row],[Harvest Days October 2026]]/SUM(BedPlan[[#This Row],[Harvest Days January 2025]:[Harvest Days December 2026]])*BedPlan[[#This Row],[Revenue]:[Revenue]]</f>
        <v>0</v>
      </c>
      <c r="EE10" s="257" cm="1">
        <f t="array" ref="EE10">BedPlan[[#This Row],[Harvest Days November 2026]]/SUM(BedPlan[[#This Row],[Harvest Days January 2025]:[Harvest Days December 2026]])*BedPlan[[#This Row],[Revenue]:[Revenue]]</f>
        <v>0</v>
      </c>
      <c r="EF10" s="257" cm="1">
        <f t="array" ref="EF10">BedPlan[[#This Row],[Harvest Days December 2026]]/SUM(BedPlan[[#This Row],[Harvest Days January 2025]:[Harvest Days December 2026]])*BedPlan[[#This Row],[Revenue]:[Revenue]]</f>
        <v>0</v>
      </c>
      <c r="EG10" t="b">
        <f>SUM(BedPlan[[#This Row],[Revenue January 2025]:[Revenue December 2026]])=BedPlan[[#This Row],[Revenue]]</f>
        <v>1</v>
      </c>
      <c r="EH10" s="30" cm="1">
        <f t="array" ref="EH10">INDEX(Crops[],BedPlan[[#This Row],[Chart Index]],EH$4,1)*BedPlan[[#This Row],['# Of Beds]]</f>
        <v>11.25</v>
      </c>
      <c r="EI10" s="30" t="str" cm="1">
        <f t="array" ref="EI10">INDEX(Crops[],BedPlan[[#This Row],[Chart Index]],EI$4,1)</f>
        <v>Lb</v>
      </c>
      <c r="EJ10" s="30" t="str" cm="1">
        <f t="array" ref="EJ10">INDEX(Crops[],BedPlan[[#This Row],[Chart Index]],EJ$4,1)</f>
        <v>Baby Leaf</v>
      </c>
      <c r="EK10" s="30" t="str">
        <f>BedPlan[[#This Row],[Name]]&amp;" "&amp;BedPlan[[#This Row],[Product]]&amp; " - " &amp;BedPlan[[#This Row],[Unit]]</f>
        <v>Arugula Baby Leaf - Lb</v>
      </c>
      <c r="EL10" s="33" cm="1">
        <f t="array" ref="EL10">BedPlan[[#This Row],[Harvest Days January 2025]]/SUM(BedPlan[[#This Row],[Harvest Days January 2025]:[Harvest Days December 2026]])*BedPlan[[#This Row],[Yield]:[Yield]]</f>
        <v>0</v>
      </c>
      <c r="EM10" s="33" cm="1">
        <f t="array" ref="EM10">BedPlan[[#This Row],[Harvest Days February 2025]]/SUM(BedPlan[[#This Row],[Harvest Days January 2025]:[Harvest Days December 2026]])*BedPlan[[#This Row],[Yield]:[Yield]]</f>
        <v>0</v>
      </c>
      <c r="EN10" s="33" cm="1">
        <f t="array" ref="EN10">BedPlan[[#This Row],[Harvest Days March 2025]]/SUM(BedPlan[[#This Row],[Harvest Days January 2025]:[Harvest Days December 2026]])*BedPlan[[#This Row],[Yield]:[Yield]]</f>
        <v>0</v>
      </c>
      <c r="EO10" s="33" cm="1">
        <f t="array" ref="EO10">BedPlan[[#This Row],[Harvest Days April 2025]]/SUM(BedPlan[[#This Row],[Harvest Days January 2025]:[Harvest Days December 2026]])*BedPlan[[#This Row],[Yield]:[Yield]]</f>
        <v>0</v>
      </c>
      <c r="EP10" s="33" cm="1">
        <f t="array" ref="EP10">BedPlan[[#This Row],[Harvest Days May 2025]]/SUM(BedPlan[[#This Row],[Harvest Days January 2025]:[Harvest Days December 2026]])*BedPlan[[#This Row],[Yield]:[Yield]]</f>
        <v>0</v>
      </c>
      <c r="EQ10" s="33" cm="1">
        <f t="array" ref="EQ10">BedPlan[[#This Row],[Harvest Days June 2025]]/SUM(BedPlan[[#This Row],[Harvest Days January 2025]:[Harvest Days December 2026]])*BedPlan[[#This Row],[Yield]:[Yield]]</f>
        <v>0</v>
      </c>
      <c r="ER10" s="33" cm="1">
        <f t="array" ref="ER10">BedPlan[[#This Row],[Harvest Days July 2025]]/SUM(BedPlan[[#This Row],[Harvest Days January 2025]:[Harvest Days December 2026]])*BedPlan[[#This Row],[Yield]:[Yield]]</f>
        <v>0</v>
      </c>
      <c r="ES10" s="33" cm="1">
        <f t="array" ref="ES10">BedPlan[[#This Row],[Harvest Days August 2025]]/SUM(BedPlan[[#This Row],[Harvest Days January 2025]:[Harvest Days December 2026]])*BedPlan[[#This Row],[Yield]:[Yield]]</f>
        <v>0</v>
      </c>
      <c r="ET10" s="33" cm="1">
        <f t="array" ref="ET10">BedPlan[[#This Row],[Harvest Days September 2025]]/SUM(BedPlan[[#This Row],[Harvest Days January 2025]:[Harvest Days December 2026]])*BedPlan[[#This Row],[Yield]:[Yield]]</f>
        <v>9.473684210526315</v>
      </c>
      <c r="EU10" s="33" cm="1">
        <f t="array" ref="EU10">BedPlan[[#This Row],[Harvest Days October 2025]]/SUM(BedPlan[[#This Row],[Harvest Days January 2025]:[Harvest Days December 2026]])*BedPlan[[#This Row],[Yield]:[Yield]]</f>
        <v>1.7763157894736841</v>
      </c>
      <c r="EV10" s="33" cm="1">
        <f t="array" ref="EV10">BedPlan[[#This Row],[Harvest Days November 2025]]/SUM(BedPlan[[#This Row],[Harvest Days January 2025]:[Harvest Days December 2026]])*BedPlan[[#This Row],[Yield]:[Yield]]</f>
        <v>0</v>
      </c>
      <c r="EW10" s="33" cm="1">
        <f t="array" ref="EW10">BedPlan[[#This Row],[Harvest Days December 2025]]/SUM(BedPlan[[#This Row],[Harvest Days January 2025]:[Harvest Days December 2026]])*BedPlan[[#This Row],[Yield]:[Yield]]</f>
        <v>0</v>
      </c>
    </row>
    <row r="11" spans="1:153" ht="15.75" customHeight="1">
      <c r="A11" s="191" t="s">
        <v>3108</v>
      </c>
      <c r="B11" t="s">
        <v>2627</v>
      </c>
      <c r="C11" t="s">
        <v>1458</v>
      </c>
      <c r="D11" t="e" cm="1">
        <f t="array" ref="D11">INDEX(Crops[],BedPlan[[#This Row],[Chart Index]],D$4,1)*BedPlan[[#This Row],[Full Bed Equivalent]]</f>
        <v>#N/A</v>
      </c>
      <c r="E11" t="e" cm="1">
        <f t="array" ref="E11">INDEX(Crops[],BedPlan[[#This Row],[Chart Index]],E$4,1)*BedPlan[[#This Row],[Full Bed Equivalent]]</f>
        <v>#N/A</v>
      </c>
      <c r="F11" t="str">
        <f>UPPER(LEFT(BedPlan[[#This Row],[Crop]],3))</f>
        <v>ASI</v>
      </c>
      <c r="G11" t="s">
        <v>1517</v>
      </c>
      <c r="H11" s="143" t="str" cm="1">
        <f t="array" ref="H11">INDEX(Crops[],BedPlan[[#This Row],[Chart Index]],H$4,1)</f>
        <v>Asian Greens</v>
      </c>
      <c r="I11" t="s">
        <v>1805</v>
      </c>
      <c r="K11" t="str" cm="1">
        <f t="array" ref="K11">IF(ISNUMBER(MATCH(BedPlan[[#This Row],[Variety]],SeedMixes[Name],)),_xlfn.TEXTJOIN(", ",TRUE,_xlfn._xlws.FILTER(SeedMixes[Variety &amp; Company],SeedMixes[Name]=BedPlan[[#This Row],[Variety]])),"")</f>
        <v>Carlton F1 Johnny's, Komatsuna High Mowing, Bopak Johnny's, Red Cloud F1 Johnny's</v>
      </c>
      <c r="L11" s="33" cm="1">
        <f t="array" ref="L11">INDEX(Crops[],BedPlan[[#This Row],[Chart Index]],L$4,1)*BedPlan[[#This Row],[Full Bed Equivalent]]</f>
        <v>554.66666666666663</v>
      </c>
      <c r="N11">
        <v>1.6</v>
      </c>
      <c r="O11">
        <v>4</v>
      </c>
      <c r="P11" s="31">
        <f>IF(ISNUMBER(BedPlan[[#This Row],[Planned Greenhouse Start Date]]),BedPlan[[#This Row],[Planned Greenhouse Start Date]],BedPlan[[#This Row],[Planned TP or DS Date]])</f>
        <v>45748</v>
      </c>
      <c r="Q11" s="259">
        <f>IF(BedPlan[[#This Row],[Days in Cells]]=0,"",IFERROR(_xlfn.XLOOKUP(BedPlan[[#This Row],[Follows Crop]],BedPlan[Identifier],BedPlan[Expected End of Harvest]) + 1+BedPlan[[#This Row],[Follow Offset]],BedPlan[[#This Row],[Fixed Field Start Date]])-BedPlan[[#This Row],[Days in Cells]])</f>
        <v>45748</v>
      </c>
      <c r="R11" s="259">
        <v>45761</v>
      </c>
      <c r="S11" s="259">
        <f>IF(ISNUMBER(BedPlan[[#This Row],[Actual Greenhouse Date]]),BedPlan[[#This Row],[Actual Greenhouse Date]],BedPlan[[#This Row],[Planned Greenhouse Start Date]])</f>
        <v>45761</v>
      </c>
      <c r="T11" s="259">
        <f>_xlfn.XLOOKUP(BedPlan[[#This Row],[Crop]],Crops[Identifier],Crops[Target Field Date])</f>
        <v>45776</v>
      </c>
      <c r="U11" s="260"/>
      <c r="V11" s="260"/>
      <c r="W1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45789</v>
      </c>
      <c r="X11" s="259">
        <v>45784</v>
      </c>
      <c r="Y11" s="271">
        <f>BedPlan[[#This Row],[Actual TP or DS Date]]-BedPlan[[#This Row],[Planned TP or DS Date]]</f>
        <v>-5</v>
      </c>
      <c r="Z11" s="259">
        <f>IF(ISNUMBER(BedPlan[[#This Row],[Actual TP or DS Date]]),BedPlan[[#This Row],[Actual TP or DS Date]],BedPlan[[#This Row],[Planned TP or DS Date]])</f>
        <v>45784</v>
      </c>
      <c r="AA11" s="260"/>
      <c r="AB11" s="259">
        <f>IF(ISNUMBER(BedPlan[[#This Row],[Greenhouse Start Date]]),BedPlan[[#This Row],[Greenhouse Start Date]]+BedPlan[[#This Row],[DTM]],BedPlan[[#This Row],[TP or DS Date]]+BedPlan[[#This Row],[DTM]])</f>
        <v>45826</v>
      </c>
      <c r="AC11" s="259"/>
      <c r="AD11" s="259">
        <f>IF(ISNUMBER(BedPlan[[#This Row],[Actual Beginning of Harvest]]),BedPlan[[#This Row],[Actual Beginning of Harvest]],BedPlan[[#This Row],[Expected Beginning of Harvest]])</f>
        <v>45826</v>
      </c>
      <c r="AE11" s="259">
        <f>BedPlan[[#This Row],[Expected Beginning of Harvest]]+BedPlan[[#This Row],[Harvest Window]]+BedPlan[[#This Row],[Additional Days of Harvest]]</f>
        <v>45840</v>
      </c>
      <c r="AF11" s="259"/>
      <c r="AG11" s="259"/>
      <c r="AH11" s="31" t="b">
        <f>IF(AND( BedPlan[[#This Row],[Expected End of Harvest]] &gt;= DATE(2025, 8, 1), BedPlan[[#This Row],[Beginning of Harvest]] &lt;= DATE(2025, 8, 31) ), TRUE, FALSE)</f>
        <v>0</v>
      </c>
      <c r="AI11" s="31"/>
      <c r="AJ11" s="31">
        <f>IF(ISNUMBER(BedPlan[[#This Row],[Actual End of Harvest]]),BedPlan[[#This Row],[Actual End of Harvest]],BedPlan[[#This Row],[Expected End of Harvest]])</f>
        <v>45840</v>
      </c>
      <c r="AK11" t="b">
        <f>OR(ISNUMBER(BedPlan[[#This Row],[Actual Greenhouse Date]]),ISNUMBER(BedPlan[[#This Row],[Actual TP or DS Date]]))</f>
        <v>1</v>
      </c>
      <c r="AL11" s="52" t="b">
        <f>IF(ISNUMBER(BedPlan[[#This Row],[Planned Greenhouse Start Date]]),OR(ISNUMBER(BedPlan[[#This Row],[Actual TP or DS Date]]),BedPlan[[#This Row],[Failed]]),"-")</f>
        <v>1</v>
      </c>
      <c r="AM11" t="b">
        <f>OR(ISNUMBER(BedPlan[[#This Row],[Actual End of Harvest]]),BedPlan[[#This Row],[Failed]])</f>
        <v>0</v>
      </c>
      <c r="AN11" t="b">
        <f>OR(BedPlan[[#This Row],[Harvest Done]],BedPlan[[#This Row],[Failed]],BedPlan[[#This Row],[Name]]="Tarp")</f>
        <v>0</v>
      </c>
      <c r="AP11" t="b">
        <v>1</v>
      </c>
      <c r="AQ11" t="s">
        <v>3214</v>
      </c>
      <c r="AS11" s="26" t="str">
        <f>IF(BedPlan[[#This Row],[Broadfork]],BedPlan[[#This Row],[Actual TP or DS Date]],"")</f>
        <v/>
      </c>
      <c r="AT11" s="26">
        <f>IF(BedPlan[[#This Row],[Tilther]],BedPlan[[#This Row],[Actual TP or DS Date]],"")</f>
        <v>45784</v>
      </c>
      <c r="AU11" s="26">
        <f>IF(NOT(ISBLANK(BedPlan[[#This Row],[Amend]])),BedPlan[[#This Row],[Actual TP or DS Date]],"")</f>
        <v>45784</v>
      </c>
      <c r="AV11" s="26" t="str">
        <f>IF(BedPlan[[#This Row],[Row Cover]],BedPlan[[#This Row],[Actual TP or DS Date]],"")</f>
        <v/>
      </c>
      <c r="AW11" t="s">
        <v>3232</v>
      </c>
      <c r="AX11" s="26">
        <v>45813</v>
      </c>
      <c r="AY11" t="s">
        <v>3233</v>
      </c>
      <c r="AZ11" s="26">
        <v>45818</v>
      </c>
      <c r="BA11" t="s">
        <v>3234</v>
      </c>
      <c r="BB11" s="26">
        <v>45825</v>
      </c>
      <c r="BC11" s="231" cm="1">
        <f t="array" ref="BC11">INDEX(Crops[],BedPlan[[#This Row],[Chart Index]],BC$4,1)*BedPlan[[#This Row],[Full Bed Equivalent]]</f>
        <v>853.33333333333326</v>
      </c>
      <c r="BD11" s="231" cm="1">
        <f t="array" ref="BD11">INDEX(Crops[],BedPlan[[#This Row],[Chart Index]],BD$4,1)*BedPlan[[#This Row],[Full Bed Equivalent]]</f>
        <v>16.732026143790847</v>
      </c>
      <c r="BE11" cm="1">
        <f t="array" ref="BE11">INDEX(Crops[],BedPlan[[#This Row],[Chart Index]],BE$4,1)+BedPlan[[#This Row],[Additional Days in Cells]]+BedPlan[[#This Row],[Additional Days In Field]]</f>
        <v>65</v>
      </c>
      <c r="BG11" cm="1">
        <f t="array" ref="BG11">INDEX(Crops[],BedPlan[[#This Row],[Chart Index]],BG$4,1)</f>
        <v>14</v>
      </c>
      <c r="BH11" t="str">
        <f>IF(ISNUMBER(BedPlan[[#This Row],[Planned Greenhouse Start Date]]),"TP","DS")</f>
        <v>TP</v>
      </c>
      <c r="BI11">
        <f>BedPlan[[#This Row],['# Of Beds]]</f>
        <v>1.6</v>
      </c>
      <c r="BJ11" cm="1">
        <f t="array" ref="BJ11">INDEX(Crops[],BedPlan[[#This Row],[Chart Index]],BJ$4,1)</f>
        <v>28</v>
      </c>
      <c r="BK11" cm="1">
        <f t="array" ref="BK11">INDEX(Crops[],BedPlan[[#This Row],[Chart Index]],BK$4,1)</f>
        <v>4</v>
      </c>
      <c r="BL11" cm="1">
        <f t="array" ref="BL11">INDEX(Crops[],BedPlan[[#This Row],[Chart Index]],BL$4,1)</f>
        <v>9</v>
      </c>
      <c r="BM11" cm="1">
        <f t="array" ref="BM11">INDEX(Crops[],BedPlan[[#This Row],[Chart Index]],BM$4,1)</f>
        <v>1</v>
      </c>
      <c r="BN11" s="32" cm="1">
        <f t="array" ref="BN11">INDEX(Crops[],BedPlan[[#This Row],[Chart Index]],BN$4,1)*BedPlan[[#This Row],[Full Bed Equivalent]]</f>
        <v>426.66666666666663</v>
      </c>
      <c r="BO11" t="str" cm="1">
        <f t="array" ref="BO11">IF(INDEX(Crops[],BedPlan[[#This Row],[Chart Index]],BO$4,1)=0,"",INDEX(Crops[],BedPlan[[#This Row],[Chart Index]],BO$4,1))</f>
        <v/>
      </c>
      <c r="BP11">
        <f>MATCH(BedPlan[[#This Row],[Crop]],Crops[Identifier],FALSE)</f>
        <v>10</v>
      </c>
      <c r="BQ11" t="str" cm="1">
        <f t="array" ref="BQ11">INDEX(Crops[],BedPlan[[#This Row],[Chart Index]],BQ$4,1)</f>
        <v>General</v>
      </c>
      <c r="BR11" t="str" cm="1">
        <f t="array" ref="BR11">INDEX(Crops[],BedPlan[[#This Row],[Chart Index]],BR$4,1)</f>
        <v/>
      </c>
      <c r="BS11" s="32">
        <f>BedPlan[[#This Row],[Expected Beginning of Harvest]]-DATE(2023,1,1)</f>
        <v>899</v>
      </c>
      <c r="BT11">
        <f>BedPlan[[#This Row],[Expected End of Harvest]]-BedPlan[[#This Row],[Expected Beginning of Harvest]]</f>
        <v>14</v>
      </c>
      <c r="BU11" cm="1">
        <f t="array" ref="BU11">INDEX(Crops[],BedPlan[[#This Row],[Chart Index]],BU$4,1)</f>
        <v>0</v>
      </c>
      <c r="BV11" cm="1">
        <f t="array" ref="BV11">INDEX(Crops[],BedPlan[[#This Row],[Chart Index]],BV$4,1)</f>
        <v>0</v>
      </c>
      <c r="BW11" cm="1">
        <f t="array" ref="BW11">INDEX(Crops[],BedPlan[[#This Row],[Chart Index]],BW$4,1)</f>
        <v>0</v>
      </c>
      <c r="BX11" cm="1">
        <f t="array" ref="BX11">INDEX(Crops[],BedPlan[[#This Row],[Chart Index]],BX$4,1)</f>
        <v>128</v>
      </c>
      <c r="BY11" cm="1">
        <f t="array" ref="BY11">INDEX(Crops[],BedPlan[[#This Row],[Chart Index]],BY$4,1)</f>
        <v>28</v>
      </c>
      <c r="BZ11" s="49" cm="1">
        <f t="array" ref="BZ11">IFERROR(INDEX(Crops[],BedPlan[[#This Row],[Chart Index]],BZ$4,1)*BedPlan[[#This Row],[Full Bed Equivalent]],"")</f>
        <v>4.333333333333333</v>
      </c>
      <c r="CA11" cm="1">
        <f t="array" ref="CA11">INDEX(Crops[],BedPlan[[#This Row],[Chart Index]],CA$4,1)</f>
        <v>0</v>
      </c>
      <c r="CB11" cm="1">
        <f t="array" ref="CB11">INDEX(Crops[],BedPlan[[#This Row],[Chart Index]],CB$4,1)</f>
        <v>0</v>
      </c>
      <c r="CC11" s="49" t="str" cm="1">
        <f t="array" ref="CC11">IFERROR(INDEX(Crops[],BedPlan[[#This Row],[Chart Index]],CC$4,1)*BedPlan[[#This Row],[Full Bed Equivalent]],"")</f>
        <v/>
      </c>
      <c r="CD11" cm="1">
        <f t="array" ref="CD11">INDEX(Crops[],BedPlan[[#This Row],[Chart Index]],CD$4,1)</f>
        <v>0</v>
      </c>
      <c r="CE11" cm="1">
        <f t="array" ref="CE11">IF(INDEX(Crops[],BedPlan[[#This Row],[Chart Index]],CE$4,1)="",0,INDEX(Crops[],BedPlan[[#This Row],[Chart Index]],CE$4,1))</f>
        <v>0</v>
      </c>
      <c r="CF11" s="49" t="str" cm="1">
        <f t="array" ref="CF11">IFERROR(INDEX(Crops[],BedPlan[[#This Row],[Chart Index]],CF$4,1)*BedPlan[[#This Row],[Full Bed Equivalent]],"")</f>
        <v/>
      </c>
      <c r="CG11" cm="1">
        <f t="array" ref="CG11">IF(INDEX(Crops[],BedPlan[[#This Row],[Chart Index]],CG$4,1)="",0,INDEX(Crops[],BedPlan[[#This Row],[Chart Index]],CG$4,1))</f>
        <v>1.3</v>
      </c>
      <c r="CH11" cm="1">
        <f t="array" ref="CH11">IF(INDEX(Crops[],BedPlan[[#This Row],[Chart Index]],CH$4,1)="",0,INDEX(Crops[],BedPlan[[#This Row],[Chart Index]],CH$4,1))</f>
        <v>0</v>
      </c>
      <c r="CI11" t="str" cm="1">
        <f t="array" ref="CI11">INDEX(Crops[],BedPlan[[#This Row],[Chart Index]],CI$4,1)</f>
        <v>Field</v>
      </c>
      <c r="CJ11" s="30" t="str">
        <f>_xlfn.TEXTJOIN(CHAR(10),FALSE,BedPlan[[#This Row],[Name]],BedPlan[[#This Row],[Variety]],BedPlan[[#This Row],[Company]])</f>
        <v xml:space="preserve">Asian Greens
Asian Green Mix
</v>
      </c>
      <c r="CK11" s="32">
        <f>MAX( 0, MIN(BedPlan[[#This Row],[Expected End of Harvest]], EOMONTH(CK$4, 0)) - MAX(BedPlan[[#This Row],[Beginning of Harvest]], CK$4) + 1 )</f>
        <v>0</v>
      </c>
      <c r="CL11">
        <f>MAX( 0, MIN(BedPlan[[#This Row],[Expected End of Harvest]], EOMONTH(CL$4, 0)) - MAX(BedPlan[[#This Row],[Beginning of Harvest]], CL$4) + 1 )</f>
        <v>0</v>
      </c>
      <c r="CM11">
        <f>MAX( 0, MIN(BedPlan[[#This Row],[Expected End of Harvest]], EOMONTH(CM$4, 0)) - MAX(BedPlan[[#This Row],[Beginning of Harvest]], CM$4) + 1 )</f>
        <v>0</v>
      </c>
      <c r="CN11">
        <f>MAX( 0, MIN(BedPlan[[#This Row],[Expected End of Harvest]], EOMONTH(CN$4, 0)) - MAX(BedPlan[[#This Row],[Beginning of Harvest]], CN$4) + 1 )</f>
        <v>0</v>
      </c>
      <c r="CO11">
        <f>MAX( 0, MIN(BedPlan[[#This Row],[Expected End of Harvest]], EOMONTH(CO$4, 0)) - MAX(BedPlan[[#This Row],[Beginning of Harvest]], CO$4) + 1 )</f>
        <v>0</v>
      </c>
      <c r="CP11">
        <f>MAX( 0, MIN(BedPlan[[#This Row],[Expected End of Harvest]], EOMONTH(CP$4, 0)) - MAX(BedPlan[[#This Row],[Beginning of Harvest]], CP$4) + 1 )</f>
        <v>13</v>
      </c>
      <c r="CQ11">
        <f>MAX( 0, MIN(BedPlan[[#This Row],[Expected End of Harvest]], EOMONTH(CQ$4, 0)) - MAX(BedPlan[[#This Row],[Beginning of Harvest]], CQ$4) + 1 )</f>
        <v>2</v>
      </c>
      <c r="CR11">
        <f>MAX( 0, MIN(BedPlan[[#This Row],[Expected End of Harvest]], EOMONTH(CR$4, 0)) - MAX(BedPlan[[#This Row],[Beginning of Harvest]], CR$4) + 1 )</f>
        <v>0</v>
      </c>
      <c r="CS11">
        <f>MAX( 0, MIN(BedPlan[[#This Row],[Expected End of Harvest]], EOMONTH(CS$4, 0)) - MAX(BedPlan[[#This Row],[Beginning of Harvest]], CS$4) + 1 )</f>
        <v>0</v>
      </c>
      <c r="CT11">
        <f>MAX( 0, MIN(BedPlan[[#This Row],[Expected End of Harvest]], EOMONTH(CT$4, 0)) - MAX(BedPlan[[#This Row],[Beginning of Harvest]], CT$4) + 1 )</f>
        <v>0</v>
      </c>
      <c r="CU11">
        <f>MAX( 0, MIN(BedPlan[[#This Row],[Expected End of Harvest]], EOMONTH(CU$4, 0)) - MAX(BedPlan[[#This Row],[Beginning of Harvest]], CU$4) + 1 )</f>
        <v>0</v>
      </c>
      <c r="CV11">
        <f>MAX( 0, MIN(BedPlan[[#This Row],[Expected End of Harvest]], EOMONTH(CV$4, 0)) - MAX(BedPlan[[#This Row],[Beginning of Harvest]], CV$4) + 1 )</f>
        <v>0</v>
      </c>
      <c r="CW11">
        <f>MAX( 0, MIN(BedPlan[[#This Row],[Expected End of Harvest]], EOMONTH(CW$4, 0)) - MAX(BedPlan[[#This Row],[Beginning of Harvest]], CW$4) + 1 )</f>
        <v>0</v>
      </c>
      <c r="CX11">
        <f>MAX( 0, MIN(BedPlan[[#This Row],[Expected End of Harvest]], EOMONTH(CX$4, 0)) - MAX(BedPlan[[#This Row],[Beginning of Harvest]], CX$4) + 1 )</f>
        <v>0</v>
      </c>
      <c r="CY11">
        <f>MAX( 0, MIN(BedPlan[[#This Row],[Expected End of Harvest]], EOMONTH(CY$4, 0)) - MAX(BedPlan[[#This Row],[Beginning of Harvest]], CY$4) + 1 )</f>
        <v>0</v>
      </c>
      <c r="CZ11">
        <f>MAX( 0, MIN(BedPlan[[#This Row],[Expected End of Harvest]], EOMONTH(CZ$4, 0)) - MAX(BedPlan[[#This Row],[Beginning of Harvest]], CZ$4) + 1 )</f>
        <v>0</v>
      </c>
      <c r="DA11">
        <f>MAX( 0, MIN(BedPlan[[#This Row],[Expected End of Harvest]], EOMONTH(DA$4, 0)) - MAX(BedPlan[[#This Row],[Beginning of Harvest]], DA$4) + 1 )</f>
        <v>0</v>
      </c>
      <c r="DB11">
        <f>MAX( 0, MIN(BedPlan[[#This Row],[Expected End of Harvest]], EOMONTH(DB$4, 0)) - MAX(BedPlan[[#This Row],[Beginning of Harvest]], DB$4) + 1 )</f>
        <v>0</v>
      </c>
      <c r="DC11">
        <f>MAX( 0, MIN(BedPlan[[#This Row],[Expected End of Harvest]], EOMONTH(DC$4, 0)) - MAX(BedPlan[[#This Row],[Beginning of Harvest]], DC$4) + 1 )</f>
        <v>0</v>
      </c>
      <c r="DD11">
        <f>MAX( 0, MIN(BedPlan[[#This Row],[Expected End of Harvest]], EOMONTH(DD$4, 0)) - MAX(BedPlan[[#This Row],[Beginning of Harvest]], DD$4) + 1 )</f>
        <v>0</v>
      </c>
      <c r="DE11">
        <f>MAX( 0, MIN(BedPlan[[#This Row],[Expected End of Harvest]], EOMONTH(DE$4, 0)) - MAX(BedPlan[[#This Row],[Beginning of Harvest]], DE$4) + 1 )</f>
        <v>0</v>
      </c>
      <c r="DF11">
        <f>MAX( 0, MIN(BedPlan[[#This Row],[Expected End of Harvest]], EOMONTH(DF$4, 0)) - MAX(BedPlan[[#This Row],[Beginning of Harvest]], DF$4) + 1 )</f>
        <v>0</v>
      </c>
      <c r="DG11">
        <f>MAX( 0, MIN(BedPlan[[#This Row],[Expected End of Harvest]], EOMONTH(DG$4, 0)) - MAX(BedPlan[[#This Row],[Beginning of Harvest]], DG$4) + 1 )</f>
        <v>0</v>
      </c>
      <c r="DH11">
        <f>MAX( 0, MIN(BedPlan[[#This Row],[Expected End of Harvest]], EOMONTH(DH$4, 0)) - MAX(BedPlan[[#This Row],[Beginning of Harvest]], DH$4) + 1 )</f>
        <v>0</v>
      </c>
      <c r="DI11" s="257" cm="1">
        <f t="array" ref="DI11">BedPlan[[#This Row],[Harvest Days January 2025]]/SUM(BedPlan[[#This Row],[Harvest Days January 2025]:[Harvest Days December 2026]])*BedPlan[[#This Row],[Revenue]:[Revenue]]</f>
        <v>0</v>
      </c>
      <c r="DJ11" s="257" cm="1">
        <f t="array" ref="DJ11">BedPlan[[#This Row],[Harvest Days February 2025]]/SUM(BedPlan[[#This Row],[Harvest Days January 2025]:[Harvest Days December 2026]])*BedPlan[[#This Row],[Revenue]:[Revenue]]</f>
        <v>0</v>
      </c>
      <c r="DK11" s="257" cm="1">
        <f t="array" ref="DK11">BedPlan[[#This Row],[Harvest Days March 2025]]/SUM(BedPlan[[#This Row],[Harvest Days January 2025]:[Harvest Days December 2026]])*BedPlan[[#This Row],[Revenue]:[Revenue]]</f>
        <v>0</v>
      </c>
      <c r="DL11" s="257" cm="1">
        <f t="array" ref="DL11">BedPlan[[#This Row],[Harvest Days April 2025]]/SUM(BedPlan[[#This Row],[Harvest Days January 2025]:[Harvest Days December 2026]])*BedPlan[[#This Row],[Revenue]:[Revenue]]</f>
        <v>0</v>
      </c>
      <c r="DM11" s="257" cm="1">
        <f t="array" ref="DM11">BedPlan[[#This Row],[Harvest Days May 2025]]/SUM(BedPlan[[#This Row],[Harvest Days January 2025]:[Harvest Days December 2026]])*BedPlan[[#This Row],[Revenue]:[Revenue]]</f>
        <v>0</v>
      </c>
      <c r="DN11" s="257" cm="1">
        <f t="array" ref="DN11">BedPlan[[#This Row],[Harvest Days June 2025]]/SUM(BedPlan[[#This Row],[Harvest Days January 2025]:[Harvest Days December 2026]])*BedPlan[[#This Row],[Revenue]:[Revenue]]</f>
        <v>739.55555555555554</v>
      </c>
      <c r="DO11" s="257" cm="1">
        <f t="array" ref="DO11">BedPlan[[#This Row],[Harvest Days July 2025]]/SUM(BedPlan[[#This Row],[Harvest Days January 2025]:[Harvest Days December 2026]])*BedPlan[[#This Row],[Revenue]:[Revenue]]</f>
        <v>113.77777777777777</v>
      </c>
      <c r="DP11" s="257" cm="1">
        <f t="array" ref="DP11">BedPlan[[#This Row],[Harvest Days August 2025]]/SUM(BedPlan[[#This Row],[Harvest Days January 2025]:[Harvest Days December 2026]])*BedPlan[[#This Row],[Revenue]:[Revenue]]</f>
        <v>0</v>
      </c>
      <c r="DQ11" s="257" cm="1">
        <f t="array" ref="DQ11">BedPlan[[#This Row],[Harvest Days September 2025]]/SUM(BedPlan[[#This Row],[Harvest Days January 2025]:[Harvest Days December 2026]])*BedPlan[[#This Row],[Revenue]:[Revenue]]</f>
        <v>0</v>
      </c>
      <c r="DR11" s="257" cm="1">
        <f t="array" ref="DR11">BedPlan[[#This Row],[Harvest Days October 2025]]/SUM(BedPlan[[#This Row],[Harvest Days January 2025]:[Harvest Days December 2026]])*BedPlan[[#This Row],[Revenue]:[Revenue]]</f>
        <v>0</v>
      </c>
      <c r="DS11" s="257" cm="1">
        <f t="array" ref="DS11">BedPlan[[#This Row],[Harvest Days November 2025]]/SUM(BedPlan[[#This Row],[Harvest Days January 2025]:[Harvest Days December 2026]])*BedPlan[[#This Row],[Revenue]:[Revenue]]</f>
        <v>0</v>
      </c>
      <c r="DT11" s="257" cm="1">
        <f t="array" ref="DT11">BedPlan[[#This Row],[Harvest Days December 2025]]/SUM(BedPlan[[#This Row],[Harvest Days January 2025]:[Harvest Days December 2026]])*BedPlan[[#This Row],[Revenue]:[Revenue]]</f>
        <v>0</v>
      </c>
      <c r="DU11" s="257" cm="1">
        <f t="array" ref="DU11">BedPlan[[#This Row],[Harvest Days January 2026]]/SUM(BedPlan[[#This Row],[Harvest Days January 2025]:[Harvest Days December 2026]])*BedPlan[[#This Row],[Revenue]:[Revenue]]</f>
        <v>0</v>
      </c>
      <c r="DV11" s="257" cm="1">
        <f t="array" ref="DV11">BedPlan[[#This Row],[Harvest Days February 2026]]/SUM(BedPlan[[#This Row],[Harvest Days January 2025]:[Harvest Days December 2026]])*BedPlan[[#This Row],[Revenue]:[Revenue]]</f>
        <v>0</v>
      </c>
      <c r="DW11" s="257" cm="1">
        <f t="array" ref="DW11">BedPlan[[#This Row],[Harvest Days March 2026]]/SUM(BedPlan[[#This Row],[Harvest Days January 2025]:[Harvest Days December 2026]])*BedPlan[[#This Row],[Revenue]:[Revenue]]</f>
        <v>0</v>
      </c>
      <c r="DX11" s="257" cm="1">
        <f t="array" ref="DX11">BedPlan[[#This Row],[Harvest Days April 2026]]/SUM(BedPlan[[#This Row],[Harvest Days January 2025]:[Harvest Days December 2026]])*BedPlan[[#This Row],[Revenue]:[Revenue]]</f>
        <v>0</v>
      </c>
      <c r="DY11" s="257" cm="1">
        <f t="array" ref="DY11">BedPlan[[#This Row],[Harvest Days May 2026]]/SUM(BedPlan[[#This Row],[Harvest Days January 2025]:[Harvest Days December 2026]])*BedPlan[[#This Row],[Revenue]:[Revenue]]</f>
        <v>0</v>
      </c>
      <c r="DZ11" s="257" cm="1">
        <f t="array" ref="DZ11">BedPlan[[#This Row],[Harvest Days June 2026]]/SUM(BedPlan[[#This Row],[Harvest Days January 2025]:[Harvest Days December 2026]])*BedPlan[[#This Row],[Revenue]:[Revenue]]</f>
        <v>0</v>
      </c>
      <c r="EA11" s="257" cm="1">
        <f t="array" ref="EA11">BedPlan[[#This Row],[Harvest Days July 2026]]/SUM(BedPlan[[#This Row],[Harvest Days January 2025]:[Harvest Days December 2026]])*BedPlan[[#This Row],[Revenue]:[Revenue]]</f>
        <v>0</v>
      </c>
      <c r="EB11" s="257" cm="1">
        <f t="array" ref="EB11">BedPlan[[#This Row],[Harvest Days August 2026]]/SUM(BedPlan[[#This Row],[Harvest Days January 2025]:[Harvest Days December 2026]])*BedPlan[[#This Row],[Revenue]:[Revenue]]</f>
        <v>0</v>
      </c>
      <c r="EC11" s="257" cm="1">
        <f t="array" ref="EC11">BedPlan[[#This Row],[Harvest Days September 2026]]/SUM(BedPlan[[#This Row],[Harvest Days January 2025]:[Harvest Days December 2026]])*BedPlan[[#This Row],[Revenue]:[Revenue]]</f>
        <v>0</v>
      </c>
      <c r="ED11" s="257" cm="1">
        <f t="array" ref="ED11">BedPlan[[#This Row],[Harvest Days October 2026]]/SUM(BedPlan[[#This Row],[Harvest Days January 2025]:[Harvest Days December 2026]])*BedPlan[[#This Row],[Revenue]:[Revenue]]</f>
        <v>0</v>
      </c>
      <c r="EE11" s="257" cm="1">
        <f t="array" ref="EE11">BedPlan[[#This Row],[Harvest Days November 2026]]/SUM(BedPlan[[#This Row],[Harvest Days January 2025]:[Harvest Days December 2026]])*BedPlan[[#This Row],[Revenue]:[Revenue]]</f>
        <v>0</v>
      </c>
      <c r="EF11" s="257" cm="1">
        <f t="array" ref="EF11">BedPlan[[#This Row],[Harvest Days December 2026]]/SUM(BedPlan[[#This Row],[Harvest Days January 2025]:[Harvest Days December 2026]])*BedPlan[[#This Row],[Revenue]:[Revenue]]</f>
        <v>0</v>
      </c>
      <c r="EG11" t="b">
        <f>SUM(BedPlan[[#This Row],[Revenue January 2025]:[Revenue December 2026]])=BedPlan[[#This Row],[Revenue]]</f>
        <v>1</v>
      </c>
      <c r="EH11" s="30" cm="1">
        <f t="array" ref="EH11">INDEX(Crops[],BedPlan[[#This Row],[Chart Index]],EH$4,1)*BedPlan[[#This Row],['# Of Beds]]</f>
        <v>213.33333333333331</v>
      </c>
      <c r="EI11" s="30" t="str" cm="1">
        <f t="array" ref="EI11">INDEX(Crops[],BedPlan[[#This Row],[Chart Index]],EI$4,1)</f>
        <v>Head</v>
      </c>
      <c r="EJ11" s="30" t="str" cm="1">
        <f t="array" ref="EJ11">INDEX(Crops[],BedPlan[[#This Row],[Chart Index]],EJ$4,1)</f>
        <v>Mature Head</v>
      </c>
      <c r="EK11" s="30" t="str">
        <f>BedPlan[[#This Row],[Name]]&amp;" "&amp;BedPlan[[#This Row],[Product]]&amp; " - " &amp;BedPlan[[#This Row],[Unit]]</f>
        <v>Asian Greens Mature Head - Head</v>
      </c>
      <c r="EL11" s="33" cm="1">
        <f t="array" ref="EL11">BedPlan[[#This Row],[Harvest Days January 2025]]/SUM(BedPlan[[#This Row],[Harvest Days January 2025]:[Harvest Days December 2026]])*BedPlan[[#This Row],[Yield]:[Yield]]</f>
        <v>0</v>
      </c>
      <c r="EM11" s="33" cm="1">
        <f t="array" ref="EM11">BedPlan[[#This Row],[Harvest Days February 2025]]/SUM(BedPlan[[#This Row],[Harvest Days January 2025]:[Harvest Days December 2026]])*BedPlan[[#This Row],[Yield]:[Yield]]</f>
        <v>0</v>
      </c>
      <c r="EN11" s="33" cm="1">
        <f t="array" ref="EN11">BedPlan[[#This Row],[Harvest Days March 2025]]/SUM(BedPlan[[#This Row],[Harvest Days January 2025]:[Harvest Days December 2026]])*BedPlan[[#This Row],[Yield]:[Yield]]</f>
        <v>0</v>
      </c>
      <c r="EO11" s="33" cm="1">
        <f t="array" ref="EO11">BedPlan[[#This Row],[Harvest Days April 2025]]/SUM(BedPlan[[#This Row],[Harvest Days January 2025]:[Harvest Days December 2026]])*BedPlan[[#This Row],[Yield]:[Yield]]</f>
        <v>0</v>
      </c>
      <c r="EP11" s="33" cm="1">
        <f t="array" ref="EP11">BedPlan[[#This Row],[Harvest Days May 2025]]/SUM(BedPlan[[#This Row],[Harvest Days January 2025]:[Harvest Days December 2026]])*BedPlan[[#This Row],[Yield]:[Yield]]</f>
        <v>0</v>
      </c>
      <c r="EQ11" s="33" cm="1">
        <f t="array" ref="EQ11">BedPlan[[#This Row],[Harvest Days June 2025]]/SUM(BedPlan[[#This Row],[Harvest Days January 2025]:[Harvest Days December 2026]])*BedPlan[[#This Row],[Yield]:[Yield]]</f>
        <v>184.88888888888889</v>
      </c>
      <c r="ER11" s="33" cm="1">
        <f t="array" ref="ER11">BedPlan[[#This Row],[Harvest Days July 2025]]/SUM(BedPlan[[#This Row],[Harvest Days January 2025]:[Harvest Days December 2026]])*BedPlan[[#This Row],[Yield]:[Yield]]</f>
        <v>28.444444444444443</v>
      </c>
      <c r="ES11" s="33" cm="1">
        <f t="array" ref="ES11">BedPlan[[#This Row],[Harvest Days August 2025]]/SUM(BedPlan[[#This Row],[Harvest Days January 2025]:[Harvest Days December 2026]])*BedPlan[[#This Row],[Yield]:[Yield]]</f>
        <v>0</v>
      </c>
      <c r="ET11" s="33" cm="1">
        <f t="array" ref="ET11">BedPlan[[#This Row],[Harvest Days September 2025]]/SUM(BedPlan[[#This Row],[Harvest Days January 2025]:[Harvest Days December 2026]])*BedPlan[[#This Row],[Yield]:[Yield]]</f>
        <v>0</v>
      </c>
      <c r="EU11" s="33" cm="1">
        <f t="array" ref="EU11">BedPlan[[#This Row],[Harvest Days October 2025]]/SUM(BedPlan[[#This Row],[Harvest Days January 2025]:[Harvest Days December 2026]])*BedPlan[[#This Row],[Yield]:[Yield]]</f>
        <v>0</v>
      </c>
      <c r="EV11" s="33" cm="1">
        <f t="array" ref="EV11">BedPlan[[#This Row],[Harvest Days November 2025]]/SUM(BedPlan[[#This Row],[Harvest Days January 2025]:[Harvest Days December 2026]])*BedPlan[[#This Row],[Yield]:[Yield]]</f>
        <v>0</v>
      </c>
      <c r="EW11" s="33" cm="1">
        <f t="array" ref="EW11">BedPlan[[#This Row],[Harvest Days December 2025]]/SUM(BedPlan[[#This Row],[Harvest Days January 2025]:[Harvest Days December 2026]])*BedPlan[[#This Row],[Yield]:[Yield]]</f>
        <v>0</v>
      </c>
    </row>
    <row r="12" spans="1:153" ht="15.75" customHeight="1">
      <c r="A12" s="191" t="s">
        <v>3108</v>
      </c>
      <c r="B12" t="s">
        <v>3262</v>
      </c>
      <c r="C12" t="s">
        <v>1425</v>
      </c>
      <c r="D12" t="e" cm="1">
        <f t="array" ref="D12">INDEX(Crops[],BedPlan[[#This Row],[Chart Index]],D$4,1)*BedPlan[[#This Row],[Full Bed Equivalent]]</f>
        <v>#N/A</v>
      </c>
      <c r="E12" t="e" cm="1">
        <f t="array" ref="E12">INDEX(Crops[],BedPlan[[#This Row],[Chart Index]],E$4,1)*BedPlan[[#This Row],[Full Bed Equivalent]]</f>
        <v>#N/A</v>
      </c>
      <c r="F12" t="str">
        <f>UPPER(LEFT(BedPlan[[#This Row],[Crop]],3))</f>
        <v>ASI</v>
      </c>
      <c r="G12" t="s">
        <v>1517</v>
      </c>
      <c r="H12" s="143" t="str" cm="1">
        <f t="array" ref="H12">INDEX(Crops[],BedPlan[[#This Row],[Chart Index]],H$4,1)</f>
        <v>Asian Greens</v>
      </c>
      <c r="I12" t="s">
        <v>1805</v>
      </c>
      <c r="K12" t="str" cm="1">
        <f t="array" ref="K12">IF(ISNUMBER(MATCH(BedPlan[[#This Row],[Variety]],SeedMixes[Name],)),_xlfn.TEXTJOIN(", ",TRUE,_xlfn._xlws.FILTER(SeedMixes[Variety &amp; Company],SeedMixes[Name]=BedPlan[[#This Row],[Variety]])),"")</f>
        <v>Carlton F1 Johnny's, Komatsuna High Mowing, Bopak Johnny's, Red Cloud F1 Johnny's</v>
      </c>
      <c r="L12" s="33" cm="1">
        <f t="array" ref="L12">INDEX(Crops[],BedPlan[[#This Row],[Chart Index]],L$4,1)*BedPlan[[#This Row],[Full Bed Equivalent]]</f>
        <v>346.66666666666663</v>
      </c>
      <c r="N12">
        <f>1</f>
        <v>1</v>
      </c>
      <c r="O12">
        <f>MAX(BedPlan[[#This Row],['# Of Beds]],0.5)</f>
        <v>1</v>
      </c>
      <c r="P12" s="31">
        <f>IF(ISNUMBER(BedPlan[[#This Row],[Planned Greenhouse Start Date]]),BedPlan[[#This Row],[Planned Greenhouse Start Date]],BedPlan[[#This Row],[Planned TP or DS Date]])</f>
        <v>45856</v>
      </c>
      <c r="Q12" s="259">
        <f>IF(BedPlan[[#This Row],[Days in Cells]]=0,"",IFERROR(_xlfn.XLOOKUP(BedPlan[[#This Row],[Follows Crop]],BedPlan[Identifier],BedPlan[Expected End of Harvest]) + 1+BedPlan[[#This Row],[Follow Offset]],BedPlan[[#This Row],[Fixed Field Start Date]])-BedPlan[[#This Row],[Days in Cells]])</f>
        <v>45856</v>
      </c>
      <c r="R12" s="259"/>
      <c r="S12" s="259">
        <f>IF(ISNUMBER(BedPlan[[#This Row],[Actual Greenhouse Date]]),BedPlan[[#This Row],[Actual Greenhouse Date]],BedPlan[[#This Row],[Planned Greenhouse Start Date]])</f>
        <v>45856</v>
      </c>
      <c r="T12" s="259">
        <v>45884</v>
      </c>
      <c r="U12" s="260"/>
      <c r="V12" s="260"/>
      <c r="W1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2" s="259"/>
      <c r="Y12" s="271">
        <f>BedPlan[[#This Row],[Actual TP or DS Date]]-BedPlan[[#This Row],[Planned TP or DS Date]]</f>
        <v>-45884</v>
      </c>
      <c r="Z12" s="259">
        <f>IF(ISNUMBER(BedPlan[[#This Row],[Actual TP or DS Date]]),BedPlan[[#This Row],[Actual TP or DS Date]],BedPlan[[#This Row],[Planned TP or DS Date]])</f>
        <v>45884</v>
      </c>
      <c r="AA12" s="260"/>
      <c r="AB12" s="259">
        <f>IF(ISNUMBER(BedPlan[[#This Row],[Greenhouse Start Date]]),BedPlan[[#This Row],[Greenhouse Start Date]]+BedPlan[[#This Row],[DTM]],BedPlan[[#This Row],[TP or DS Date]]+BedPlan[[#This Row],[DTM]])</f>
        <v>45921</v>
      </c>
      <c r="AC12" s="259"/>
      <c r="AD12" s="259">
        <f>IF(ISNUMBER(BedPlan[[#This Row],[Actual Beginning of Harvest]]),BedPlan[[#This Row],[Actual Beginning of Harvest]],BedPlan[[#This Row],[Expected Beginning of Harvest]])</f>
        <v>45921</v>
      </c>
      <c r="AE12" s="259">
        <f>BedPlan[[#This Row],[Expected Beginning of Harvest]]+BedPlan[[#This Row],[Harvest Window]]+BedPlan[[#This Row],[Additional Days of Harvest]]</f>
        <v>45935</v>
      </c>
      <c r="AF12" s="259"/>
      <c r="AG12" s="259"/>
      <c r="AH12" s="31" t="b">
        <f>IF(AND( BedPlan[[#This Row],[Expected End of Harvest]] &gt;= DATE(2025, 8, 1), BedPlan[[#This Row],[Beginning of Harvest]] &lt;= DATE(2025, 8, 31) ), TRUE, FALSE)</f>
        <v>0</v>
      </c>
      <c r="AI12" s="31"/>
      <c r="AJ12" s="31">
        <f>IF(ISNUMBER(BedPlan[[#This Row],[Actual End of Harvest]]),BedPlan[[#This Row],[Actual End of Harvest]],BedPlan[[#This Row],[Expected End of Harvest]])</f>
        <v>45935</v>
      </c>
      <c r="AK12" t="b">
        <f>OR(ISNUMBER(BedPlan[[#This Row],[Actual Greenhouse Date]]),ISNUMBER(BedPlan[[#This Row],[Actual TP or DS Date]]))</f>
        <v>0</v>
      </c>
      <c r="AL12" s="52" t="b">
        <f>IF(ISNUMBER(BedPlan[[#This Row],[Planned Greenhouse Start Date]]),OR(ISNUMBER(BedPlan[[#This Row],[Actual TP or DS Date]]),BedPlan[[#This Row],[Failed]]),"-")</f>
        <v>0</v>
      </c>
      <c r="AM12" t="b">
        <f>OR(ISNUMBER(BedPlan[[#This Row],[Actual End of Harvest]]),BedPlan[[#This Row],[Failed]])</f>
        <v>0</v>
      </c>
      <c r="AN12" t="b">
        <f>OR(BedPlan[[#This Row],[Harvest Done]],BedPlan[[#This Row],[Failed]],BedPlan[[#This Row],[Name]]="Tarp")</f>
        <v>0</v>
      </c>
      <c r="AP12" t="b">
        <v>1</v>
      </c>
      <c r="AQ12" t="s">
        <v>3214</v>
      </c>
      <c r="AS12" s="26" t="str">
        <f>IF(BedPlan[[#This Row],[Broadfork]],BedPlan[[#This Row],[Actual TP or DS Date]],"")</f>
        <v/>
      </c>
      <c r="AT12" s="26">
        <f>IF(BedPlan[[#This Row],[Tilther]],BedPlan[[#This Row],[Actual TP or DS Date]],"")</f>
        <v>0</v>
      </c>
      <c r="AU12" s="26">
        <f>IF(NOT(ISBLANK(BedPlan[[#This Row],[Amend]])),BedPlan[[#This Row],[Actual TP or DS Date]],"")</f>
        <v>0</v>
      </c>
      <c r="AV12" s="26" t="str">
        <f>IF(BedPlan[[#This Row],[Row Cover]],BedPlan[[#This Row],[Actual TP or DS Date]],"")</f>
        <v/>
      </c>
      <c r="AW12" t="s">
        <v>3232</v>
      </c>
      <c r="AX12" s="26">
        <v>45813</v>
      </c>
      <c r="AY12" t="s">
        <v>3233</v>
      </c>
      <c r="AZ12" s="26">
        <v>45818</v>
      </c>
      <c r="BA12" t="s">
        <v>3234</v>
      </c>
      <c r="BB12" s="26">
        <v>45825</v>
      </c>
      <c r="BC12" s="231" cm="1">
        <f t="array" ref="BC12">INDEX(Crops[],BedPlan[[#This Row],[Chart Index]],BC$4,1)*BedPlan[[#This Row],[Full Bed Equivalent]]</f>
        <v>533.33333333333326</v>
      </c>
      <c r="BD12" s="231" cm="1">
        <f t="array" ref="BD12">INDEX(Crops[],BedPlan[[#This Row],[Chart Index]],BD$4,1)*BedPlan[[#This Row],[Full Bed Equivalent]]</f>
        <v>10.457516339869279</v>
      </c>
      <c r="BE12" cm="1">
        <f t="array" ref="BE12">INDEX(Crops[],BedPlan[[#This Row],[Chart Index]],BE$4,1)+BedPlan[[#This Row],[Additional Days in Cells]]+BedPlan[[#This Row],[Additional Days In Field]]</f>
        <v>65</v>
      </c>
      <c r="BG12" cm="1">
        <f t="array" ref="BG12">INDEX(Crops[],BedPlan[[#This Row],[Chart Index]],BG$4,1)</f>
        <v>14</v>
      </c>
      <c r="BH12" t="str">
        <f>IF(ISNUMBER(BedPlan[[#This Row],[Planned Greenhouse Start Date]]),"TP","DS")</f>
        <v>TP</v>
      </c>
      <c r="BI12">
        <f>BedPlan[[#This Row],['# Of Beds]]</f>
        <v>1</v>
      </c>
      <c r="BJ12" cm="1">
        <f t="array" ref="BJ12">INDEX(Crops[],BedPlan[[#This Row],[Chart Index]],BJ$4,1)</f>
        <v>28</v>
      </c>
      <c r="BK12" cm="1">
        <f t="array" ref="BK12">INDEX(Crops[],BedPlan[[#This Row],[Chart Index]],BK$4,1)</f>
        <v>4</v>
      </c>
      <c r="BL12" cm="1">
        <f t="array" ref="BL12">INDEX(Crops[],BedPlan[[#This Row],[Chart Index]],BL$4,1)</f>
        <v>9</v>
      </c>
      <c r="BM12" cm="1">
        <f t="array" ref="BM12">INDEX(Crops[],BedPlan[[#This Row],[Chart Index]],BM$4,1)</f>
        <v>1</v>
      </c>
      <c r="BN12" s="32" cm="1">
        <f t="array" ref="BN12">INDEX(Crops[],BedPlan[[#This Row],[Chart Index]],BN$4,1)*BedPlan[[#This Row],[Full Bed Equivalent]]</f>
        <v>266.66666666666663</v>
      </c>
      <c r="BO12" t="str" cm="1">
        <f t="array" ref="BO12">IF(INDEX(Crops[],BedPlan[[#This Row],[Chart Index]],BO$4,1)=0,"",INDEX(Crops[],BedPlan[[#This Row],[Chart Index]],BO$4,1))</f>
        <v/>
      </c>
      <c r="BP12">
        <f>MATCH(BedPlan[[#This Row],[Crop]],Crops[Identifier],FALSE)</f>
        <v>10</v>
      </c>
      <c r="BQ12" t="str" cm="1">
        <f t="array" ref="BQ12">INDEX(Crops[],BedPlan[[#This Row],[Chart Index]],BQ$4,1)</f>
        <v>General</v>
      </c>
      <c r="BR12" t="str" cm="1">
        <f t="array" ref="BR12">INDEX(Crops[],BedPlan[[#This Row],[Chart Index]],BR$4,1)</f>
        <v/>
      </c>
      <c r="BS12" s="32">
        <f>BedPlan[[#This Row],[Expected Beginning of Harvest]]-DATE(2023,1,1)</f>
        <v>994</v>
      </c>
      <c r="BT12">
        <f>BedPlan[[#This Row],[Expected End of Harvest]]-BedPlan[[#This Row],[Expected Beginning of Harvest]]</f>
        <v>14</v>
      </c>
      <c r="BU12" cm="1">
        <f t="array" ref="BU12">INDEX(Crops[],BedPlan[[#This Row],[Chart Index]],BU$4,1)</f>
        <v>0</v>
      </c>
      <c r="BV12" cm="1">
        <f t="array" ref="BV12">INDEX(Crops[],BedPlan[[#This Row],[Chart Index]],BV$4,1)</f>
        <v>0</v>
      </c>
      <c r="BW12" cm="1">
        <f t="array" ref="BW12">INDEX(Crops[],BedPlan[[#This Row],[Chart Index]],BW$4,1)</f>
        <v>0</v>
      </c>
      <c r="BX12" cm="1">
        <f t="array" ref="BX12">INDEX(Crops[],BedPlan[[#This Row],[Chart Index]],BX$4,1)</f>
        <v>128</v>
      </c>
      <c r="BY12" cm="1">
        <f t="array" ref="BY12">INDEX(Crops[],BedPlan[[#This Row],[Chart Index]],BY$4,1)</f>
        <v>28</v>
      </c>
      <c r="BZ12" s="49" cm="1">
        <f t="array" ref="BZ12">IFERROR(INDEX(Crops[],BedPlan[[#This Row],[Chart Index]],BZ$4,1)*BedPlan[[#This Row],[Full Bed Equivalent]],"")</f>
        <v>2.708333333333333</v>
      </c>
      <c r="CA12" cm="1">
        <f t="array" ref="CA12">INDEX(Crops[],BedPlan[[#This Row],[Chart Index]],CA$4,1)</f>
        <v>0</v>
      </c>
      <c r="CB12" cm="1">
        <f t="array" ref="CB12">INDEX(Crops[],BedPlan[[#This Row],[Chart Index]],CB$4,1)</f>
        <v>0</v>
      </c>
      <c r="CC12" s="49" t="str" cm="1">
        <f t="array" ref="CC12">IFERROR(INDEX(Crops[],BedPlan[[#This Row],[Chart Index]],CC$4,1)*BedPlan[[#This Row],[Full Bed Equivalent]],"")</f>
        <v/>
      </c>
      <c r="CD12" cm="1">
        <f t="array" ref="CD12">INDEX(Crops[],BedPlan[[#This Row],[Chart Index]],CD$4,1)</f>
        <v>0</v>
      </c>
      <c r="CE12" cm="1">
        <f t="array" ref="CE12">IF(INDEX(Crops[],BedPlan[[#This Row],[Chart Index]],CE$4,1)="",0,INDEX(Crops[],BedPlan[[#This Row],[Chart Index]],CE$4,1))</f>
        <v>0</v>
      </c>
      <c r="CF12" s="49" t="str" cm="1">
        <f t="array" ref="CF12">IFERROR(INDEX(Crops[],BedPlan[[#This Row],[Chart Index]],CF$4,1)*BedPlan[[#This Row],[Full Bed Equivalent]],"")</f>
        <v/>
      </c>
      <c r="CG12" cm="1">
        <f t="array" ref="CG12">IF(INDEX(Crops[],BedPlan[[#This Row],[Chart Index]],CG$4,1)="",0,INDEX(Crops[],BedPlan[[#This Row],[Chart Index]],CG$4,1))</f>
        <v>1.3</v>
      </c>
      <c r="CH12" cm="1">
        <f t="array" ref="CH12">IF(INDEX(Crops[],BedPlan[[#This Row],[Chart Index]],CH$4,1)="",0,INDEX(Crops[],BedPlan[[#This Row],[Chart Index]],CH$4,1))</f>
        <v>0</v>
      </c>
      <c r="CI12" t="str" cm="1">
        <f t="array" ref="CI12">INDEX(Crops[],BedPlan[[#This Row],[Chart Index]],CI$4,1)</f>
        <v>Field</v>
      </c>
      <c r="CJ12" s="30" t="str">
        <f>_xlfn.TEXTJOIN(CHAR(10),FALSE,BedPlan[[#This Row],[Name]],BedPlan[[#This Row],[Variety]],BedPlan[[#This Row],[Company]])</f>
        <v xml:space="preserve">Asian Greens
Asian Green Mix
</v>
      </c>
      <c r="CK12" s="32">
        <f>MAX( 0, MIN(BedPlan[[#This Row],[Expected End of Harvest]], EOMONTH(CK$4, 0)) - MAX(BedPlan[[#This Row],[Beginning of Harvest]], CK$4) + 1 )</f>
        <v>0</v>
      </c>
      <c r="CL12">
        <f>MAX( 0, MIN(BedPlan[[#This Row],[Expected End of Harvest]], EOMONTH(CL$4, 0)) - MAX(BedPlan[[#This Row],[Beginning of Harvest]], CL$4) + 1 )</f>
        <v>0</v>
      </c>
      <c r="CM12">
        <f>MAX( 0, MIN(BedPlan[[#This Row],[Expected End of Harvest]], EOMONTH(CM$4, 0)) - MAX(BedPlan[[#This Row],[Beginning of Harvest]], CM$4) + 1 )</f>
        <v>0</v>
      </c>
      <c r="CN12">
        <f>MAX( 0, MIN(BedPlan[[#This Row],[Expected End of Harvest]], EOMONTH(CN$4, 0)) - MAX(BedPlan[[#This Row],[Beginning of Harvest]], CN$4) + 1 )</f>
        <v>0</v>
      </c>
      <c r="CO12">
        <f>MAX( 0, MIN(BedPlan[[#This Row],[Expected End of Harvest]], EOMONTH(CO$4, 0)) - MAX(BedPlan[[#This Row],[Beginning of Harvest]], CO$4) + 1 )</f>
        <v>0</v>
      </c>
      <c r="CP12">
        <f>MAX( 0, MIN(BedPlan[[#This Row],[Expected End of Harvest]], EOMONTH(CP$4, 0)) - MAX(BedPlan[[#This Row],[Beginning of Harvest]], CP$4) + 1 )</f>
        <v>0</v>
      </c>
      <c r="CQ12">
        <f>MAX( 0, MIN(BedPlan[[#This Row],[Expected End of Harvest]], EOMONTH(CQ$4, 0)) - MAX(BedPlan[[#This Row],[Beginning of Harvest]], CQ$4) + 1 )</f>
        <v>0</v>
      </c>
      <c r="CR12">
        <f>MAX( 0, MIN(BedPlan[[#This Row],[Expected End of Harvest]], EOMONTH(CR$4, 0)) - MAX(BedPlan[[#This Row],[Beginning of Harvest]], CR$4) + 1 )</f>
        <v>0</v>
      </c>
      <c r="CS12">
        <f>MAX( 0, MIN(BedPlan[[#This Row],[Expected End of Harvest]], EOMONTH(CS$4, 0)) - MAX(BedPlan[[#This Row],[Beginning of Harvest]], CS$4) + 1 )</f>
        <v>10</v>
      </c>
      <c r="CT12">
        <f>MAX( 0, MIN(BedPlan[[#This Row],[Expected End of Harvest]], EOMONTH(CT$4, 0)) - MAX(BedPlan[[#This Row],[Beginning of Harvest]], CT$4) + 1 )</f>
        <v>5</v>
      </c>
      <c r="CU12">
        <f>MAX( 0, MIN(BedPlan[[#This Row],[Expected End of Harvest]], EOMONTH(CU$4, 0)) - MAX(BedPlan[[#This Row],[Beginning of Harvest]], CU$4) + 1 )</f>
        <v>0</v>
      </c>
      <c r="CV12">
        <f>MAX( 0, MIN(BedPlan[[#This Row],[Expected End of Harvest]], EOMONTH(CV$4, 0)) - MAX(BedPlan[[#This Row],[Beginning of Harvest]], CV$4) + 1 )</f>
        <v>0</v>
      </c>
      <c r="CW12">
        <f>MAX( 0, MIN(BedPlan[[#This Row],[Expected End of Harvest]], EOMONTH(CW$4, 0)) - MAX(BedPlan[[#This Row],[Beginning of Harvest]], CW$4) + 1 )</f>
        <v>0</v>
      </c>
      <c r="CX12">
        <f>MAX( 0, MIN(BedPlan[[#This Row],[Expected End of Harvest]], EOMONTH(CX$4, 0)) - MAX(BedPlan[[#This Row],[Beginning of Harvest]], CX$4) + 1 )</f>
        <v>0</v>
      </c>
      <c r="CY12">
        <f>MAX( 0, MIN(BedPlan[[#This Row],[Expected End of Harvest]], EOMONTH(CY$4, 0)) - MAX(BedPlan[[#This Row],[Beginning of Harvest]], CY$4) + 1 )</f>
        <v>0</v>
      </c>
      <c r="CZ12">
        <f>MAX( 0, MIN(BedPlan[[#This Row],[Expected End of Harvest]], EOMONTH(CZ$4, 0)) - MAX(BedPlan[[#This Row],[Beginning of Harvest]], CZ$4) + 1 )</f>
        <v>0</v>
      </c>
      <c r="DA12">
        <f>MAX( 0, MIN(BedPlan[[#This Row],[Expected End of Harvest]], EOMONTH(DA$4, 0)) - MAX(BedPlan[[#This Row],[Beginning of Harvest]], DA$4) + 1 )</f>
        <v>0</v>
      </c>
      <c r="DB12">
        <f>MAX( 0, MIN(BedPlan[[#This Row],[Expected End of Harvest]], EOMONTH(DB$4, 0)) - MAX(BedPlan[[#This Row],[Beginning of Harvest]], DB$4) + 1 )</f>
        <v>0</v>
      </c>
      <c r="DC12">
        <f>MAX( 0, MIN(BedPlan[[#This Row],[Expected End of Harvest]], EOMONTH(DC$4, 0)) - MAX(BedPlan[[#This Row],[Beginning of Harvest]], DC$4) + 1 )</f>
        <v>0</v>
      </c>
      <c r="DD12">
        <f>MAX( 0, MIN(BedPlan[[#This Row],[Expected End of Harvest]], EOMONTH(DD$4, 0)) - MAX(BedPlan[[#This Row],[Beginning of Harvest]], DD$4) + 1 )</f>
        <v>0</v>
      </c>
      <c r="DE12">
        <f>MAX( 0, MIN(BedPlan[[#This Row],[Expected End of Harvest]], EOMONTH(DE$4, 0)) - MAX(BedPlan[[#This Row],[Beginning of Harvest]], DE$4) + 1 )</f>
        <v>0</v>
      </c>
      <c r="DF12">
        <f>MAX( 0, MIN(BedPlan[[#This Row],[Expected End of Harvest]], EOMONTH(DF$4, 0)) - MAX(BedPlan[[#This Row],[Beginning of Harvest]], DF$4) + 1 )</f>
        <v>0</v>
      </c>
      <c r="DG12">
        <f>MAX( 0, MIN(BedPlan[[#This Row],[Expected End of Harvest]], EOMONTH(DG$4, 0)) - MAX(BedPlan[[#This Row],[Beginning of Harvest]], DG$4) + 1 )</f>
        <v>0</v>
      </c>
      <c r="DH12">
        <f>MAX( 0, MIN(BedPlan[[#This Row],[Expected End of Harvest]], EOMONTH(DH$4, 0)) - MAX(BedPlan[[#This Row],[Beginning of Harvest]], DH$4) + 1 )</f>
        <v>0</v>
      </c>
      <c r="DI12" s="257" cm="1">
        <f t="array" ref="DI12">BedPlan[[#This Row],[Harvest Days January 2025]]/SUM(BedPlan[[#This Row],[Harvest Days January 2025]:[Harvest Days December 2026]])*BedPlan[[#This Row],[Revenue]:[Revenue]]</f>
        <v>0</v>
      </c>
      <c r="DJ12" s="257" cm="1">
        <f t="array" ref="DJ12">BedPlan[[#This Row],[Harvest Days February 2025]]/SUM(BedPlan[[#This Row],[Harvest Days January 2025]:[Harvest Days December 2026]])*BedPlan[[#This Row],[Revenue]:[Revenue]]</f>
        <v>0</v>
      </c>
      <c r="DK12" s="257" cm="1">
        <f t="array" ref="DK12">BedPlan[[#This Row],[Harvest Days March 2025]]/SUM(BedPlan[[#This Row],[Harvest Days January 2025]:[Harvest Days December 2026]])*BedPlan[[#This Row],[Revenue]:[Revenue]]</f>
        <v>0</v>
      </c>
      <c r="DL12" s="257" cm="1">
        <f t="array" ref="DL12">BedPlan[[#This Row],[Harvest Days April 2025]]/SUM(BedPlan[[#This Row],[Harvest Days January 2025]:[Harvest Days December 2026]])*BedPlan[[#This Row],[Revenue]:[Revenue]]</f>
        <v>0</v>
      </c>
      <c r="DM12" s="257" cm="1">
        <f t="array" ref="DM12">BedPlan[[#This Row],[Harvest Days May 2025]]/SUM(BedPlan[[#This Row],[Harvest Days January 2025]:[Harvest Days December 2026]])*BedPlan[[#This Row],[Revenue]:[Revenue]]</f>
        <v>0</v>
      </c>
      <c r="DN12" s="257" cm="1">
        <f t="array" ref="DN12">BedPlan[[#This Row],[Harvest Days June 2025]]/SUM(BedPlan[[#This Row],[Harvest Days January 2025]:[Harvest Days December 2026]])*BedPlan[[#This Row],[Revenue]:[Revenue]]</f>
        <v>0</v>
      </c>
      <c r="DO12" s="257" cm="1">
        <f t="array" ref="DO12">BedPlan[[#This Row],[Harvest Days July 2025]]/SUM(BedPlan[[#This Row],[Harvest Days January 2025]:[Harvest Days December 2026]])*BedPlan[[#This Row],[Revenue]:[Revenue]]</f>
        <v>0</v>
      </c>
      <c r="DP12" s="257" cm="1">
        <f t="array" ref="DP12">BedPlan[[#This Row],[Harvest Days August 2025]]/SUM(BedPlan[[#This Row],[Harvest Days January 2025]:[Harvest Days December 2026]])*BedPlan[[#This Row],[Revenue]:[Revenue]]</f>
        <v>0</v>
      </c>
      <c r="DQ12" s="257" cm="1">
        <f t="array" ref="DQ12">BedPlan[[#This Row],[Harvest Days September 2025]]/SUM(BedPlan[[#This Row],[Harvest Days January 2025]:[Harvest Days December 2026]])*BedPlan[[#This Row],[Revenue]:[Revenue]]</f>
        <v>355.55555555555549</v>
      </c>
      <c r="DR12" s="257" cm="1">
        <f t="array" ref="DR12">BedPlan[[#This Row],[Harvest Days October 2025]]/SUM(BedPlan[[#This Row],[Harvest Days January 2025]:[Harvest Days December 2026]])*BedPlan[[#This Row],[Revenue]:[Revenue]]</f>
        <v>177.77777777777774</v>
      </c>
      <c r="DS12" s="257" cm="1">
        <f t="array" ref="DS12">BedPlan[[#This Row],[Harvest Days November 2025]]/SUM(BedPlan[[#This Row],[Harvest Days January 2025]:[Harvest Days December 2026]])*BedPlan[[#This Row],[Revenue]:[Revenue]]</f>
        <v>0</v>
      </c>
      <c r="DT12" s="257" cm="1">
        <f t="array" ref="DT12">BedPlan[[#This Row],[Harvest Days December 2025]]/SUM(BedPlan[[#This Row],[Harvest Days January 2025]:[Harvest Days December 2026]])*BedPlan[[#This Row],[Revenue]:[Revenue]]</f>
        <v>0</v>
      </c>
      <c r="DU12" s="257" cm="1">
        <f t="array" ref="DU12">BedPlan[[#This Row],[Harvest Days January 2026]]/SUM(BedPlan[[#This Row],[Harvest Days January 2025]:[Harvest Days December 2026]])*BedPlan[[#This Row],[Revenue]:[Revenue]]</f>
        <v>0</v>
      </c>
      <c r="DV12" s="257" cm="1">
        <f t="array" ref="DV12">BedPlan[[#This Row],[Harvest Days February 2026]]/SUM(BedPlan[[#This Row],[Harvest Days January 2025]:[Harvest Days December 2026]])*BedPlan[[#This Row],[Revenue]:[Revenue]]</f>
        <v>0</v>
      </c>
      <c r="DW12" s="257" cm="1">
        <f t="array" ref="DW12">BedPlan[[#This Row],[Harvest Days March 2026]]/SUM(BedPlan[[#This Row],[Harvest Days January 2025]:[Harvest Days December 2026]])*BedPlan[[#This Row],[Revenue]:[Revenue]]</f>
        <v>0</v>
      </c>
      <c r="DX12" s="257" cm="1">
        <f t="array" ref="DX12">BedPlan[[#This Row],[Harvest Days April 2026]]/SUM(BedPlan[[#This Row],[Harvest Days January 2025]:[Harvest Days December 2026]])*BedPlan[[#This Row],[Revenue]:[Revenue]]</f>
        <v>0</v>
      </c>
      <c r="DY12" s="257" cm="1">
        <f t="array" ref="DY12">BedPlan[[#This Row],[Harvest Days May 2026]]/SUM(BedPlan[[#This Row],[Harvest Days January 2025]:[Harvest Days December 2026]])*BedPlan[[#This Row],[Revenue]:[Revenue]]</f>
        <v>0</v>
      </c>
      <c r="DZ12" s="257" cm="1">
        <f t="array" ref="DZ12">BedPlan[[#This Row],[Harvest Days June 2026]]/SUM(BedPlan[[#This Row],[Harvest Days January 2025]:[Harvest Days December 2026]])*BedPlan[[#This Row],[Revenue]:[Revenue]]</f>
        <v>0</v>
      </c>
      <c r="EA12" s="257" cm="1">
        <f t="array" ref="EA12">BedPlan[[#This Row],[Harvest Days July 2026]]/SUM(BedPlan[[#This Row],[Harvest Days January 2025]:[Harvest Days December 2026]])*BedPlan[[#This Row],[Revenue]:[Revenue]]</f>
        <v>0</v>
      </c>
      <c r="EB12" s="257" cm="1">
        <f t="array" ref="EB12">BedPlan[[#This Row],[Harvest Days August 2026]]/SUM(BedPlan[[#This Row],[Harvest Days January 2025]:[Harvest Days December 2026]])*BedPlan[[#This Row],[Revenue]:[Revenue]]</f>
        <v>0</v>
      </c>
      <c r="EC12" s="257" cm="1">
        <f t="array" ref="EC12">BedPlan[[#This Row],[Harvest Days September 2026]]/SUM(BedPlan[[#This Row],[Harvest Days January 2025]:[Harvest Days December 2026]])*BedPlan[[#This Row],[Revenue]:[Revenue]]</f>
        <v>0</v>
      </c>
      <c r="ED12" s="257" cm="1">
        <f t="array" ref="ED12">BedPlan[[#This Row],[Harvest Days October 2026]]/SUM(BedPlan[[#This Row],[Harvest Days January 2025]:[Harvest Days December 2026]])*BedPlan[[#This Row],[Revenue]:[Revenue]]</f>
        <v>0</v>
      </c>
      <c r="EE12" s="257" cm="1">
        <f t="array" ref="EE12">BedPlan[[#This Row],[Harvest Days November 2026]]/SUM(BedPlan[[#This Row],[Harvest Days January 2025]:[Harvest Days December 2026]])*BedPlan[[#This Row],[Revenue]:[Revenue]]</f>
        <v>0</v>
      </c>
      <c r="EF12" s="257" cm="1">
        <f t="array" ref="EF12">BedPlan[[#This Row],[Harvest Days December 2026]]/SUM(BedPlan[[#This Row],[Harvest Days January 2025]:[Harvest Days December 2026]])*BedPlan[[#This Row],[Revenue]:[Revenue]]</f>
        <v>0</v>
      </c>
      <c r="EG12" t="b">
        <f>SUM(BedPlan[[#This Row],[Revenue January 2025]:[Revenue December 2026]])=BedPlan[[#This Row],[Revenue]]</f>
        <v>1</v>
      </c>
      <c r="EH12" s="30" cm="1">
        <f t="array" ref="EH12">INDEX(Crops[],BedPlan[[#This Row],[Chart Index]],EH$4,1)*BedPlan[[#This Row],['# Of Beds]]</f>
        <v>133.33333333333331</v>
      </c>
      <c r="EI12" s="30" t="str" cm="1">
        <f t="array" ref="EI12">INDEX(Crops[],BedPlan[[#This Row],[Chart Index]],EI$4,1)</f>
        <v>Head</v>
      </c>
      <c r="EJ12" s="30" t="str" cm="1">
        <f t="array" ref="EJ12">INDEX(Crops[],BedPlan[[#This Row],[Chart Index]],EJ$4,1)</f>
        <v>Mature Head</v>
      </c>
      <c r="EK12" s="30" t="str">
        <f>BedPlan[[#This Row],[Name]]&amp;" "&amp;BedPlan[[#This Row],[Product]]&amp; " - " &amp;BedPlan[[#This Row],[Unit]]</f>
        <v>Asian Greens Mature Head - Head</v>
      </c>
      <c r="EL12" s="33" cm="1">
        <f t="array" ref="EL12">BedPlan[[#This Row],[Harvest Days January 2025]]/SUM(BedPlan[[#This Row],[Harvest Days January 2025]:[Harvest Days December 2026]])*BedPlan[[#This Row],[Yield]:[Yield]]</f>
        <v>0</v>
      </c>
      <c r="EM12" s="33" cm="1">
        <f t="array" ref="EM12">BedPlan[[#This Row],[Harvest Days February 2025]]/SUM(BedPlan[[#This Row],[Harvest Days January 2025]:[Harvest Days December 2026]])*BedPlan[[#This Row],[Yield]:[Yield]]</f>
        <v>0</v>
      </c>
      <c r="EN12" s="33" cm="1">
        <f t="array" ref="EN12">BedPlan[[#This Row],[Harvest Days March 2025]]/SUM(BedPlan[[#This Row],[Harvest Days January 2025]:[Harvest Days December 2026]])*BedPlan[[#This Row],[Yield]:[Yield]]</f>
        <v>0</v>
      </c>
      <c r="EO12" s="33" cm="1">
        <f t="array" ref="EO12">BedPlan[[#This Row],[Harvest Days April 2025]]/SUM(BedPlan[[#This Row],[Harvest Days January 2025]:[Harvest Days December 2026]])*BedPlan[[#This Row],[Yield]:[Yield]]</f>
        <v>0</v>
      </c>
      <c r="EP12" s="33" cm="1">
        <f t="array" ref="EP12">BedPlan[[#This Row],[Harvest Days May 2025]]/SUM(BedPlan[[#This Row],[Harvest Days January 2025]:[Harvest Days December 2026]])*BedPlan[[#This Row],[Yield]:[Yield]]</f>
        <v>0</v>
      </c>
      <c r="EQ12" s="33" cm="1">
        <f t="array" ref="EQ12">BedPlan[[#This Row],[Harvest Days June 2025]]/SUM(BedPlan[[#This Row],[Harvest Days January 2025]:[Harvest Days December 2026]])*BedPlan[[#This Row],[Yield]:[Yield]]</f>
        <v>0</v>
      </c>
      <c r="ER12" s="33" cm="1">
        <f t="array" ref="ER12">BedPlan[[#This Row],[Harvest Days July 2025]]/SUM(BedPlan[[#This Row],[Harvest Days January 2025]:[Harvest Days December 2026]])*BedPlan[[#This Row],[Yield]:[Yield]]</f>
        <v>0</v>
      </c>
      <c r="ES12" s="33" cm="1">
        <f t="array" ref="ES12">BedPlan[[#This Row],[Harvest Days August 2025]]/SUM(BedPlan[[#This Row],[Harvest Days January 2025]:[Harvest Days December 2026]])*BedPlan[[#This Row],[Yield]:[Yield]]</f>
        <v>0</v>
      </c>
      <c r="ET12" s="33" cm="1">
        <f t="array" ref="ET12">BedPlan[[#This Row],[Harvest Days September 2025]]/SUM(BedPlan[[#This Row],[Harvest Days January 2025]:[Harvest Days December 2026]])*BedPlan[[#This Row],[Yield]:[Yield]]</f>
        <v>88.888888888888872</v>
      </c>
      <c r="EU12" s="33" cm="1">
        <f t="array" ref="EU12">BedPlan[[#This Row],[Harvest Days October 2025]]/SUM(BedPlan[[#This Row],[Harvest Days January 2025]:[Harvest Days December 2026]])*BedPlan[[#This Row],[Yield]:[Yield]]</f>
        <v>44.444444444444436</v>
      </c>
      <c r="EV12" s="33" cm="1">
        <f t="array" ref="EV12">BedPlan[[#This Row],[Harvest Days November 2025]]/SUM(BedPlan[[#This Row],[Harvest Days January 2025]:[Harvest Days December 2026]])*BedPlan[[#This Row],[Yield]:[Yield]]</f>
        <v>0</v>
      </c>
      <c r="EW12" s="33" cm="1">
        <f t="array" ref="EW12">BedPlan[[#This Row],[Harvest Days December 2025]]/SUM(BedPlan[[#This Row],[Harvest Days January 2025]:[Harvest Days December 2026]])*BedPlan[[#This Row],[Yield]:[Yield]]</f>
        <v>0</v>
      </c>
    </row>
    <row r="13" spans="1:153" ht="15.75" customHeight="1">
      <c r="A13" s="191" t="s">
        <v>3106</v>
      </c>
      <c r="B13" s="240" t="s">
        <v>3107</v>
      </c>
      <c r="C13" t="s">
        <v>1514</v>
      </c>
      <c r="D13" s="226" t="e" cm="1">
        <f t="array" ref="D13">INDEX(Crops[],BedPlan[[#This Row],[Chart Index]],D$4,1)*BedPlan[[#This Row],[Full Bed Equivalent]]</f>
        <v>#N/A</v>
      </c>
      <c r="E13" s="226" t="e" cm="1">
        <f t="array" ref="E13">INDEX(Crops[],BedPlan[[#This Row],[Chart Index]],E$4,1)*BedPlan[[#This Row],[Full Bed Equivalent]]</f>
        <v>#N/A</v>
      </c>
      <c r="F13" t="str">
        <f>UPPER(LEFT(BedPlan[[#This Row],[Crop]],3))</f>
        <v>ASI</v>
      </c>
      <c r="H13" s="143" t="str" cm="1">
        <f t="array" ref="H13">INDEX(Crops[],BedPlan[[#This Row],[Chart Index]],H$4,1)</f>
        <v>Asian Greens</v>
      </c>
      <c r="I13" t="s">
        <v>3198</v>
      </c>
      <c r="K13" s="227"/>
      <c r="L13" s="33" cm="1">
        <f t="array" ref="L13">INDEX(Crops[],BedPlan[[#This Row],[Chart Index]],L$4,1)*BedPlan[[#This Row],[Full Bed Equivalent]]</f>
        <v>3120</v>
      </c>
      <c r="N13">
        <f>0.5</f>
        <v>0.5</v>
      </c>
      <c r="O13">
        <f>MAX(BedPlan[[#This Row],['# Of Beds]],0.5)</f>
        <v>0.5</v>
      </c>
      <c r="P13" s="31">
        <f>IF(ISNUMBER(BedPlan[[#This Row],[Planned Greenhouse Start Date]]),BedPlan[[#This Row],[Planned Greenhouse Start Date]],BedPlan[[#This Row],[Planned TP or DS Date]])</f>
        <v>45754</v>
      </c>
      <c r="Q13" s="259" t="str">
        <f>IF(BedPlan[[#This Row],[Days in Cells]]=0,"",IFERROR(_xlfn.XLOOKUP(BedPlan[[#This Row],[Follows Crop]],BedPlan[Identifier],BedPlan[Expected End of Harvest]) + 1+BedPlan[[#This Row],[Follow Offset]],BedPlan[[#This Row],[Fixed Field Start Date]])-BedPlan[[#This Row],[Days in Cells]])</f>
        <v/>
      </c>
      <c r="R13" s="259"/>
      <c r="S13" s="259" t="str">
        <f>IF(ISNUMBER(BedPlan[[#This Row],[Actual Greenhouse Date]]),BedPlan[[#This Row],[Actual Greenhouse Date]],BedPlan[[#This Row],[Planned Greenhouse Start Date]])</f>
        <v/>
      </c>
      <c r="T13" s="259">
        <v>45754</v>
      </c>
      <c r="U13" s="260"/>
      <c r="V13" s="260"/>
      <c r="W1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13" s="259">
        <v>45754</v>
      </c>
      <c r="Y13" s="271">
        <f>BedPlan[[#This Row],[Actual TP or DS Date]]-BedPlan[[#This Row],[Planned TP or DS Date]]</f>
        <v>0</v>
      </c>
      <c r="Z13" s="259">
        <f>IF(ISNUMBER(BedPlan[[#This Row],[Actual TP or DS Date]]),BedPlan[[#This Row],[Actual TP or DS Date]],BedPlan[[#This Row],[Planned TP or DS Date]])</f>
        <v>45754</v>
      </c>
      <c r="AA13" s="259"/>
      <c r="AB13" s="259">
        <f>IF(ISNUMBER(BedPlan[[#This Row],[Greenhouse Start Date]]),BedPlan[[#This Row],[Greenhouse Start Date]]+BedPlan[[#This Row],[DTM]],BedPlan[[#This Row],[TP or DS Date]]+BedPlan[[#This Row],[DTM]])</f>
        <v>45804</v>
      </c>
      <c r="AC13" s="259"/>
      <c r="AD13" s="259">
        <f>IF(ISNUMBER(BedPlan[[#This Row],[Actual Beginning of Harvest]]),BedPlan[[#This Row],[Actual Beginning of Harvest]],BedPlan[[#This Row],[Expected Beginning of Harvest]])</f>
        <v>45804</v>
      </c>
      <c r="AE13" s="259">
        <f>BedPlan[[#This Row],[Expected Beginning of Harvest]]+BedPlan[[#This Row],[Harvest Window]]+BedPlan[[#This Row],[Additional Days of Harvest]]</f>
        <v>45818</v>
      </c>
      <c r="AF13" s="259"/>
      <c r="AG13" s="259"/>
      <c r="AH13" s="34" t="b">
        <f>IF(AND( BedPlan[[#This Row],[Expected End of Harvest]] &gt;= DATE(2025, 8, 1), BedPlan[[#This Row],[Beginning of Harvest]] &lt;= DATE(2025, 8, 31) ), TRUE, FALSE)</f>
        <v>0</v>
      </c>
      <c r="AI13" s="31"/>
      <c r="AJ13" s="31">
        <f>IF(ISNUMBER(BedPlan[[#This Row],[Actual End of Harvest]]),BedPlan[[#This Row],[Actual End of Harvest]],BedPlan[[#This Row],[Expected End of Harvest]])</f>
        <v>45818</v>
      </c>
      <c r="AK13" t="b">
        <f>OR(ISNUMBER(BedPlan[[#This Row],[Actual Greenhouse Date]]),ISNUMBER(BedPlan[[#This Row],[Actual TP or DS Date]]))</f>
        <v>1</v>
      </c>
      <c r="AL13" s="52" t="str">
        <f>IF(ISNUMBER(BedPlan[[#This Row],[Planned Greenhouse Start Date]]),OR(ISNUMBER(BedPlan[[#This Row],[Actual TP or DS Date]]),BedPlan[[#This Row],[Failed]]),"-")</f>
        <v>-</v>
      </c>
      <c r="AM13" t="b">
        <f>OR(ISNUMBER(BedPlan[[#This Row],[Actual End of Harvest]]),BedPlan[[#This Row],[Failed]])</f>
        <v>0</v>
      </c>
      <c r="AN13" t="b">
        <f>OR(BedPlan[[#This Row],[Harvest Done]],BedPlan[[#This Row],[Failed]],BedPlan[[#This Row],[Name]]="Tarp")</f>
        <v>0</v>
      </c>
      <c r="AP13" t="b">
        <v>1</v>
      </c>
      <c r="AQ13" t="s">
        <v>3214</v>
      </c>
      <c r="AR13" t="b">
        <v>1</v>
      </c>
      <c r="AS13" s="26" t="str">
        <f>IF(BedPlan[[#This Row],[Broadfork]],BedPlan[[#This Row],[Actual TP or DS Date]],"")</f>
        <v/>
      </c>
      <c r="AT13" s="26">
        <f>IF(BedPlan[[#This Row],[Tilther]],BedPlan[[#This Row],[Actual TP or DS Date]],"")</f>
        <v>45754</v>
      </c>
      <c r="AU13" s="26">
        <f>IF(NOT(ISBLANK(BedPlan[[#This Row],[Amend]])),BedPlan[[#This Row],[Actual TP or DS Date]],"")</f>
        <v>45754</v>
      </c>
      <c r="AV13" s="26">
        <f>IF(BedPlan[[#This Row],[Row Cover]],BedPlan[[#This Row],[Actual TP or DS Date]],"")</f>
        <v>45754</v>
      </c>
      <c r="AX13" s="26"/>
      <c r="AZ13" s="26"/>
      <c r="BB13" s="26"/>
      <c r="BC13" s="231" cm="1">
        <f t="array" ref="BC13">INDEX(Crops[],BedPlan[[#This Row],[Chart Index]],BC$4,1)*BedPlan[[#This Row],[Full Bed Equivalent]]</f>
        <v>250</v>
      </c>
      <c r="BD13" s="231" cm="1">
        <f t="array" ref="BD13">INDEX(Crops[],BedPlan[[#This Row],[Chart Index]],BD$4,1)*BedPlan[[#This Row],[Full Bed Equivalent]]</f>
        <v>3.90625</v>
      </c>
      <c r="BE13" cm="1">
        <f t="array" ref="BE13">INDEX(Crops[],BedPlan[[#This Row],[Chart Index]],BE$4,1)+BedPlan[[#This Row],[Additional Days in Cells]]+BedPlan[[#This Row],[Additional Days In Field]]</f>
        <v>50</v>
      </c>
      <c r="BG13" cm="1">
        <f t="array" ref="BG13">INDEX(Crops[],BedPlan[[#This Row],[Chart Index]],BG$4,1)</f>
        <v>14</v>
      </c>
      <c r="BH13" t="str">
        <f>IF(ISNUMBER(BedPlan[[#This Row],[Planned Greenhouse Start Date]]),"TP","DS")</f>
        <v>DS</v>
      </c>
      <c r="BI13">
        <f>BedPlan[[#This Row],['# Of Beds]]</f>
        <v>0.5</v>
      </c>
      <c r="BJ13" cm="1">
        <f t="array" ref="BJ13">INDEX(Crops[],BedPlan[[#This Row],[Chart Index]],BJ$4,1)</f>
        <v>0</v>
      </c>
      <c r="BK13" cm="1">
        <f t="array" ref="BK13">INDEX(Crops[],BedPlan[[#This Row],[Chart Index]],BK$4,1)</f>
        <v>4</v>
      </c>
      <c r="BL13" cm="1">
        <f t="array" ref="BL13">INDEX(Crops[],BedPlan[[#This Row],[Chart Index]],BL$4,1)</f>
        <v>0.5</v>
      </c>
      <c r="BM13" cm="1">
        <f t="array" ref="BM13">INDEX(Crops[],BedPlan[[#This Row],[Chart Index]],BM$4,1)</f>
        <v>1</v>
      </c>
      <c r="BN13" s="32" cm="1">
        <f t="array" ref="BN13">INDEX(Crops[],BedPlan[[#This Row],[Chart Index]],BN$4,1)*BedPlan[[#This Row],[Full Bed Equivalent]]</f>
        <v>2400</v>
      </c>
      <c r="BO13" t="str" cm="1">
        <f t="array" ref="BO13">IF(INDEX(Crops[],BedPlan[[#This Row],[Chart Index]],BO$4,1)=0,"",INDEX(Crops[],BedPlan[[#This Row],[Chart Index]],BO$4,1))</f>
        <v/>
      </c>
      <c r="BP13">
        <f>MATCH(BedPlan[[#This Row],[Crop]],Crops[Identifier],FALSE)</f>
        <v>11</v>
      </c>
      <c r="BQ13" t="str" cm="1">
        <f t="array" ref="BQ13">INDEX(Crops[],BedPlan[[#This Row],[Chart Index]],BQ$4,1)</f>
        <v>General</v>
      </c>
      <c r="BR13" t="str" cm="1">
        <f t="array" ref="BR13">INDEX(Crops[],BedPlan[[#This Row],[Chart Index]],BR$4,1)</f>
        <v/>
      </c>
      <c r="BS13" s="32">
        <f>BedPlan[[#This Row],[Expected Beginning of Harvest]]-DATE(2023,1,1)</f>
        <v>877</v>
      </c>
      <c r="BT13">
        <f>BedPlan[[#This Row],[Expected End of Harvest]]-BedPlan[[#This Row],[Expected Beginning of Harvest]]</f>
        <v>14</v>
      </c>
      <c r="BU13" cm="1">
        <f t="array" ref="BU13">INDEX(Crops[],BedPlan[[#This Row],[Chart Index]],BU$4,1)</f>
        <v>0</v>
      </c>
      <c r="BV13" cm="1">
        <f t="array" ref="BV13">INDEX(Crops[],BedPlan[[#This Row],[Chart Index]],BV$4,1)</f>
        <v>0</v>
      </c>
      <c r="BW13" cm="1">
        <f t="array" ref="BW13">INDEX(Crops[],BedPlan[[#This Row],[Chart Index]],BW$4,1)</f>
        <v>0</v>
      </c>
      <c r="BX13" cm="1">
        <f t="array" ref="BX13">INDEX(Crops[],BedPlan[[#This Row],[Chart Index]],BX$4,1)</f>
        <v>0</v>
      </c>
      <c r="BY13" cm="1">
        <f t="array" ref="BY13">INDEX(Crops[],BedPlan[[#This Row],[Chart Index]],BY$4,1)</f>
        <v>0</v>
      </c>
      <c r="BZ13" s="49" cm="1">
        <f t="array" ref="BZ13">IFERROR(INDEX(Crops[],BedPlan[[#This Row],[Chart Index]],BZ$4,1)*BedPlan[[#This Row],[Full Bed Equivalent]],"")</f>
        <v>0</v>
      </c>
      <c r="CA13" cm="1">
        <f t="array" ref="CA13">INDEX(Crops[],BedPlan[[#This Row],[Chart Index]],CA$4,1)</f>
        <v>0</v>
      </c>
      <c r="CB13" cm="1">
        <f t="array" ref="CB13">INDEX(Crops[],BedPlan[[#This Row],[Chart Index]],CB$4,1)</f>
        <v>0</v>
      </c>
      <c r="CC13" s="49" t="str" cm="1">
        <f t="array" ref="CC13">IFERROR(INDEX(Crops[],BedPlan[[#This Row],[Chart Index]],CC$4,1)*BedPlan[[#This Row],[Full Bed Equivalent]],"")</f>
        <v/>
      </c>
      <c r="CD13" cm="1">
        <f t="array" ref="CD13">INDEX(Crops[],BedPlan[[#This Row],[Chart Index]],CD$4,1)</f>
        <v>0</v>
      </c>
      <c r="CE13" cm="1">
        <f t="array" ref="CE13">IF(INDEX(Crops[],BedPlan[[#This Row],[Chart Index]],CE$4,1)="",0,INDEX(Crops[],BedPlan[[#This Row],[Chart Index]],CE$4,1))</f>
        <v>0</v>
      </c>
      <c r="CF13" s="49" t="str" cm="1">
        <f t="array" ref="CF13">IFERROR(INDEX(Crops[],BedPlan[[#This Row],[Chart Index]],CF$4,1)*BedPlan[[#This Row],[Full Bed Equivalent]],"")</f>
        <v/>
      </c>
      <c r="CG13" cm="1">
        <f t="array" ref="CG13">IF(INDEX(Crops[],BedPlan[[#This Row],[Chart Index]],CG$4,1)="",0,INDEX(Crops[],BedPlan[[#This Row],[Chart Index]],CG$4,1))</f>
        <v>1.3</v>
      </c>
      <c r="CH13" cm="1">
        <f t="array" ref="CH13">IF(INDEX(Crops[],BedPlan[[#This Row],[Chart Index]],CH$4,1)="",0,INDEX(Crops[],BedPlan[[#This Row],[Chart Index]],CH$4,1))</f>
        <v>0</v>
      </c>
      <c r="CI13" t="str" cm="1">
        <f t="array" ref="CI13">INDEX(Crops[],BedPlan[[#This Row],[Chart Index]],CI$4,1)</f>
        <v>Field</v>
      </c>
      <c r="CJ13" s="30" t="str">
        <f>_xlfn.TEXTJOIN(CHAR(10),FALSE,BedPlan[[#This Row],[Name]],BedPlan[[#This Row],[Variety]],BedPlan[[#This Row],[Company]])</f>
        <v xml:space="preserve">Asian Greens
Spring Asian Greens Mix
</v>
      </c>
      <c r="CK13" s="32">
        <f>MAX( 0, MIN(BedPlan[[#This Row],[Expected End of Harvest]], EOMONTH(CK$4, 0)) - MAX(BedPlan[[#This Row],[Beginning of Harvest]], CK$4) + 1 )</f>
        <v>0</v>
      </c>
      <c r="CL13">
        <f>MAX( 0, MIN(BedPlan[[#This Row],[Expected End of Harvest]], EOMONTH(CL$4, 0)) - MAX(BedPlan[[#This Row],[Beginning of Harvest]], CL$4) + 1 )</f>
        <v>0</v>
      </c>
      <c r="CM13">
        <f>MAX( 0, MIN(BedPlan[[#This Row],[Expected End of Harvest]], EOMONTH(CM$4, 0)) - MAX(BedPlan[[#This Row],[Beginning of Harvest]], CM$4) + 1 )</f>
        <v>0</v>
      </c>
      <c r="CN13">
        <f>MAX( 0, MIN(BedPlan[[#This Row],[Expected End of Harvest]], EOMONTH(CN$4, 0)) - MAX(BedPlan[[#This Row],[Beginning of Harvest]], CN$4) + 1 )</f>
        <v>0</v>
      </c>
      <c r="CO13">
        <f>MAX( 0, MIN(BedPlan[[#This Row],[Expected End of Harvest]], EOMONTH(CO$4, 0)) - MAX(BedPlan[[#This Row],[Beginning of Harvest]], CO$4) + 1 )</f>
        <v>5</v>
      </c>
      <c r="CP13">
        <f>MAX( 0, MIN(BedPlan[[#This Row],[Expected End of Harvest]], EOMONTH(CP$4, 0)) - MAX(BedPlan[[#This Row],[Beginning of Harvest]], CP$4) + 1 )</f>
        <v>10</v>
      </c>
      <c r="CQ13">
        <f>MAX( 0, MIN(BedPlan[[#This Row],[Expected End of Harvest]], EOMONTH(CQ$4, 0)) - MAX(BedPlan[[#This Row],[Beginning of Harvest]], CQ$4) + 1 )</f>
        <v>0</v>
      </c>
      <c r="CR13">
        <f>MAX( 0, MIN(BedPlan[[#This Row],[Expected End of Harvest]], EOMONTH(CR$4, 0)) - MAX(BedPlan[[#This Row],[Beginning of Harvest]], CR$4) + 1 )</f>
        <v>0</v>
      </c>
      <c r="CS13">
        <f>MAX( 0, MIN(BedPlan[[#This Row],[Expected End of Harvest]], EOMONTH(CS$4, 0)) - MAX(BedPlan[[#This Row],[Beginning of Harvest]], CS$4) + 1 )</f>
        <v>0</v>
      </c>
      <c r="CT13">
        <f>MAX( 0, MIN(BedPlan[[#This Row],[Expected End of Harvest]], EOMONTH(CT$4, 0)) - MAX(BedPlan[[#This Row],[Beginning of Harvest]], CT$4) + 1 )</f>
        <v>0</v>
      </c>
      <c r="CU13">
        <f>MAX( 0, MIN(BedPlan[[#This Row],[Expected End of Harvest]], EOMONTH(CU$4, 0)) - MAX(BedPlan[[#This Row],[Beginning of Harvest]], CU$4) + 1 )</f>
        <v>0</v>
      </c>
      <c r="CV13">
        <f>MAX( 0, MIN(BedPlan[[#This Row],[Expected End of Harvest]], EOMONTH(CV$4, 0)) - MAX(BedPlan[[#This Row],[Beginning of Harvest]], CV$4) + 1 )</f>
        <v>0</v>
      </c>
      <c r="CW13">
        <f>MAX( 0, MIN(BedPlan[[#This Row],[Expected End of Harvest]], EOMONTH(CW$4, 0)) - MAX(BedPlan[[#This Row],[Beginning of Harvest]], CW$4) + 1 )</f>
        <v>0</v>
      </c>
      <c r="CX13">
        <f>MAX( 0, MIN(BedPlan[[#This Row],[Expected End of Harvest]], EOMONTH(CX$4, 0)) - MAX(BedPlan[[#This Row],[Beginning of Harvest]], CX$4) + 1 )</f>
        <v>0</v>
      </c>
      <c r="CY13">
        <f>MAX( 0, MIN(BedPlan[[#This Row],[Expected End of Harvest]], EOMONTH(CY$4, 0)) - MAX(BedPlan[[#This Row],[Beginning of Harvest]], CY$4) + 1 )</f>
        <v>0</v>
      </c>
      <c r="CZ13">
        <f>MAX( 0, MIN(BedPlan[[#This Row],[Expected End of Harvest]], EOMONTH(CZ$4, 0)) - MAX(BedPlan[[#This Row],[Beginning of Harvest]], CZ$4) + 1 )</f>
        <v>0</v>
      </c>
      <c r="DA13">
        <f>MAX( 0, MIN(BedPlan[[#This Row],[Expected End of Harvest]], EOMONTH(DA$4, 0)) - MAX(BedPlan[[#This Row],[Beginning of Harvest]], DA$4) + 1 )</f>
        <v>0</v>
      </c>
      <c r="DB13">
        <f>MAX( 0, MIN(BedPlan[[#This Row],[Expected End of Harvest]], EOMONTH(DB$4, 0)) - MAX(BedPlan[[#This Row],[Beginning of Harvest]], DB$4) + 1 )</f>
        <v>0</v>
      </c>
      <c r="DC13">
        <f>MAX( 0, MIN(BedPlan[[#This Row],[Expected End of Harvest]], EOMONTH(DC$4, 0)) - MAX(BedPlan[[#This Row],[Beginning of Harvest]], DC$4) + 1 )</f>
        <v>0</v>
      </c>
      <c r="DD13">
        <f>MAX( 0, MIN(BedPlan[[#This Row],[Expected End of Harvest]], EOMONTH(DD$4, 0)) - MAX(BedPlan[[#This Row],[Beginning of Harvest]], DD$4) + 1 )</f>
        <v>0</v>
      </c>
      <c r="DE13">
        <f>MAX( 0, MIN(BedPlan[[#This Row],[Expected End of Harvest]], EOMONTH(DE$4, 0)) - MAX(BedPlan[[#This Row],[Beginning of Harvest]], DE$4) + 1 )</f>
        <v>0</v>
      </c>
      <c r="DF13">
        <f>MAX( 0, MIN(BedPlan[[#This Row],[Expected End of Harvest]], EOMONTH(DF$4, 0)) - MAX(BedPlan[[#This Row],[Beginning of Harvest]], DF$4) + 1 )</f>
        <v>0</v>
      </c>
      <c r="DG13">
        <f>MAX( 0, MIN(BedPlan[[#This Row],[Expected End of Harvest]], EOMONTH(DG$4, 0)) - MAX(BedPlan[[#This Row],[Beginning of Harvest]], DG$4) + 1 )</f>
        <v>0</v>
      </c>
      <c r="DH13">
        <f>MAX( 0, MIN(BedPlan[[#This Row],[Expected End of Harvest]], EOMONTH(DH$4, 0)) - MAX(BedPlan[[#This Row],[Beginning of Harvest]], DH$4) + 1 )</f>
        <v>0</v>
      </c>
      <c r="DI13" s="257" cm="1">
        <f t="array" ref="DI13">BedPlan[[#This Row],[Harvest Days January 2025]]/SUM(BedPlan[[#This Row],[Harvest Days January 2025]:[Harvest Days December 2026]])*BedPlan[[#This Row],[Revenue]:[Revenue]]</f>
        <v>0</v>
      </c>
      <c r="DJ13" s="257" cm="1">
        <f t="array" ref="DJ13">BedPlan[[#This Row],[Harvest Days February 2025]]/SUM(BedPlan[[#This Row],[Harvest Days January 2025]:[Harvest Days December 2026]])*BedPlan[[#This Row],[Revenue]:[Revenue]]</f>
        <v>0</v>
      </c>
      <c r="DK13" s="257" cm="1">
        <f t="array" ref="DK13">BedPlan[[#This Row],[Harvest Days March 2025]]/SUM(BedPlan[[#This Row],[Harvest Days January 2025]:[Harvest Days December 2026]])*BedPlan[[#This Row],[Revenue]:[Revenue]]</f>
        <v>0</v>
      </c>
      <c r="DL13" s="257" cm="1">
        <f t="array" ref="DL13">BedPlan[[#This Row],[Harvest Days April 2025]]/SUM(BedPlan[[#This Row],[Harvest Days January 2025]:[Harvest Days December 2026]])*BedPlan[[#This Row],[Revenue]:[Revenue]]</f>
        <v>0</v>
      </c>
      <c r="DM13" s="257" cm="1">
        <f t="array" ref="DM13">BedPlan[[#This Row],[Harvest Days May 2025]]/SUM(BedPlan[[#This Row],[Harvest Days January 2025]:[Harvest Days December 2026]])*BedPlan[[#This Row],[Revenue]:[Revenue]]</f>
        <v>83.333333333333329</v>
      </c>
      <c r="DN13" s="257" cm="1">
        <f t="array" ref="DN13">BedPlan[[#This Row],[Harvest Days June 2025]]/SUM(BedPlan[[#This Row],[Harvest Days January 2025]:[Harvest Days December 2026]])*BedPlan[[#This Row],[Revenue]:[Revenue]]</f>
        <v>166.66666666666666</v>
      </c>
      <c r="DO13" s="257" cm="1">
        <f t="array" ref="DO13">BedPlan[[#This Row],[Harvest Days July 2025]]/SUM(BedPlan[[#This Row],[Harvest Days January 2025]:[Harvest Days December 2026]])*BedPlan[[#This Row],[Revenue]:[Revenue]]</f>
        <v>0</v>
      </c>
      <c r="DP13" s="257" cm="1">
        <f t="array" ref="DP13">BedPlan[[#This Row],[Harvest Days August 2025]]/SUM(BedPlan[[#This Row],[Harvest Days January 2025]:[Harvest Days December 2026]])*BedPlan[[#This Row],[Revenue]:[Revenue]]</f>
        <v>0</v>
      </c>
      <c r="DQ13" s="257" cm="1">
        <f t="array" ref="DQ13">BedPlan[[#This Row],[Harvest Days September 2025]]/SUM(BedPlan[[#This Row],[Harvest Days January 2025]:[Harvest Days December 2026]])*BedPlan[[#This Row],[Revenue]:[Revenue]]</f>
        <v>0</v>
      </c>
      <c r="DR13" s="257" cm="1">
        <f t="array" ref="DR13">BedPlan[[#This Row],[Harvest Days October 2025]]/SUM(BedPlan[[#This Row],[Harvest Days January 2025]:[Harvest Days December 2026]])*BedPlan[[#This Row],[Revenue]:[Revenue]]</f>
        <v>0</v>
      </c>
      <c r="DS13" s="257" cm="1">
        <f t="array" ref="DS13">BedPlan[[#This Row],[Harvest Days November 2025]]/SUM(BedPlan[[#This Row],[Harvest Days January 2025]:[Harvest Days December 2026]])*BedPlan[[#This Row],[Revenue]:[Revenue]]</f>
        <v>0</v>
      </c>
      <c r="DT13" s="257" cm="1">
        <f t="array" ref="DT13">BedPlan[[#This Row],[Harvest Days December 2025]]/SUM(BedPlan[[#This Row],[Harvest Days January 2025]:[Harvest Days December 2026]])*BedPlan[[#This Row],[Revenue]:[Revenue]]</f>
        <v>0</v>
      </c>
      <c r="DU13" s="257" cm="1">
        <f t="array" ref="DU13">BedPlan[[#This Row],[Harvest Days January 2026]]/SUM(BedPlan[[#This Row],[Harvest Days January 2025]:[Harvest Days December 2026]])*BedPlan[[#This Row],[Revenue]:[Revenue]]</f>
        <v>0</v>
      </c>
      <c r="DV13" s="257" cm="1">
        <f t="array" ref="DV13">BedPlan[[#This Row],[Harvest Days February 2026]]/SUM(BedPlan[[#This Row],[Harvest Days January 2025]:[Harvest Days December 2026]])*BedPlan[[#This Row],[Revenue]:[Revenue]]</f>
        <v>0</v>
      </c>
      <c r="DW13" s="257" cm="1">
        <f t="array" ref="DW13">BedPlan[[#This Row],[Harvest Days March 2026]]/SUM(BedPlan[[#This Row],[Harvest Days January 2025]:[Harvest Days December 2026]])*BedPlan[[#This Row],[Revenue]:[Revenue]]</f>
        <v>0</v>
      </c>
      <c r="DX13" s="257" cm="1">
        <f t="array" ref="DX13">BedPlan[[#This Row],[Harvest Days April 2026]]/SUM(BedPlan[[#This Row],[Harvest Days January 2025]:[Harvest Days December 2026]])*BedPlan[[#This Row],[Revenue]:[Revenue]]</f>
        <v>0</v>
      </c>
      <c r="DY13" cm="1">
        <f t="array" ref="DY13">BedPlan[[#This Row],[Harvest Days May 2026]]/SUM(BedPlan[[#This Row],[Harvest Days January 2025]:[Harvest Days December 2026]])*BedPlan[[#This Row],[Revenue]:[Revenue]]</f>
        <v>0</v>
      </c>
      <c r="DZ13" cm="1">
        <f t="array" ref="DZ13">BedPlan[[#This Row],[Harvest Days June 2026]]/SUM(BedPlan[[#This Row],[Harvest Days January 2025]:[Harvest Days December 2026]])*BedPlan[[#This Row],[Revenue]:[Revenue]]</f>
        <v>0</v>
      </c>
      <c r="EA13" cm="1">
        <f t="array" ref="EA13">BedPlan[[#This Row],[Harvest Days July 2026]]/SUM(BedPlan[[#This Row],[Harvest Days January 2025]:[Harvest Days December 2026]])*BedPlan[[#This Row],[Revenue]:[Revenue]]</f>
        <v>0</v>
      </c>
      <c r="EB13" cm="1">
        <f t="array" ref="EB13">BedPlan[[#This Row],[Harvest Days August 2026]]/SUM(BedPlan[[#This Row],[Harvest Days January 2025]:[Harvest Days December 2026]])*BedPlan[[#This Row],[Revenue]:[Revenue]]</f>
        <v>0</v>
      </c>
      <c r="EC13" cm="1">
        <f t="array" ref="EC13">BedPlan[[#This Row],[Harvest Days September 2026]]/SUM(BedPlan[[#This Row],[Harvest Days January 2025]:[Harvest Days December 2026]])*BedPlan[[#This Row],[Revenue]:[Revenue]]</f>
        <v>0</v>
      </c>
      <c r="ED13" cm="1">
        <f t="array" ref="ED13">BedPlan[[#This Row],[Harvest Days October 2026]]/SUM(BedPlan[[#This Row],[Harvest Days January 2025]:[Harvest Days December 2026]])*BedPlan[[#This Row],[Revenue]:[Revenue]]</f>
        <v>0</v>
      </c>
      <c r="EE13" cm="1">
        <f t="array" ref="EE13">BedPlan[[#This Row],[Harvest Days November 2026]]/SUM(BedPlan[[#This Row],[Harvest Days January 2025]:[Harvest Days December 2026]])*BedPlan[[#This Row],[Revenue]:[Revenue]]</f>
        <v>0</v>
      </c>
      <c r="EF13" cm="1">
        <f t="array" ref="EF13">BedPlan[[#This Row],[Harvest Days December 2026]]/SUM(BedPlan[[#This Row],[Harvest Days January 2025]:[Harvest Days December 2026]])*BedPlan[[#This Row],[Revenue]:[Revenue]]</f>
        <v>0</v>
      </c>
      <c r="EG13" t="b">
        <f>SUM(BedPlan[[#This Row],[Revenue January 2025]:[Revenue December 2026]])=BedPlan[[#This Row],[Revenue]]</f>
        <v>1</v>
      </c>
      <c r="EH13" s="30" cm="1">
        <f t="array" ref="EH13">INDEX(Crops[],BedPlan[[#This Row],[Chart Index]],EH$4,1)*BedPlan[[#This Row],['# Of Beds]]</f>
        <v>25</v>
      </c>
      <c r="EI13" s="30" t="str" cm="1">
        <f t="array" ref="EI13">INDEX(Crops[],BedPlan[[#This Row],[Chart Index]],EI$4,1)</f>
        <v>Lb</v>
      </c>
      <c r="EJ13" s="30" t="str" cm="1">
        <f t="array" ref="EJ13">INDEX(Crops[],BedPlan[[#This Row],[Chart Index]],EJ$4,1)</f>
        <v>Young Leaf</v>
      </c>
      <c r="EK13" s="30" t="str">
        <f>BedPlan[[#This Row],[Name]]&amp;" "&amp;BedPlan[[#This Row],[Product]]&amp; " - " &amp;BedPlan[[#This Row],[Unit]]</f>
        <v>Asian Greens Young Leaf - Lb</v>
      </c>
      <c r="EL13" s="33" cm="1">
        <f t="array" ref="EL13">BedPlan[[#This Row],[Harvest Days January 2025]]/SUM(BedPlan[[#This Row],[Harvest Days January 2025]:[Harvest Days December 2026]])*BedPlan[[#This Row],[Yield]:[Yield]]</f>
        <v>0</v>
      </c>
      <c r="EM13" s="33" cm="1">
        <f t="array" ref="EM13">BedPlan[[#This Row],[Harvest Days February 2025]]/SUM(BedPlan[[#This Row],[Harvest Days January 2025]:[Harvest Days December 2026]])*BedPlan[[#This Row],[Yield]:[Yield]]</f>
        <v>0</v>
      </c>
      <c r="EN13" s="33" cm="1">
        <f t="array" ref="EN13">BedPlan[[#This Row],[Harvest Days March 2025]]/SUM(BedPlan[[#This Row],[Harvest Days January 2025]:[Harvest Days December 2026]])*BedPlan[[#This Row],[Yield]:[Yield]]</f>
        <v>0</v>
      </c>
      <c r="EO13" s="33" cm="1">
        <f t="array" ref="EO13">BedPlan[[#This Row],[Harvest Days April 2025]]/SUM(BedPlan[[#This Row],[Harvest Days January 2025]:[Harvest Days December 2026]])*BedPlan[[#This Row],[Yield]:[Yield]]</f>
        <v>0</v>
      </c>
      <c r="EP13" s="33" cm="1">
        <f t="array" ref="EP13">BedPlan[[#This Row],[Harvest Days May 2025]]/SUM(BedPlan[[#This Row],[Harvest Days January 2025]:[Harvest Days December 2026]])*BedPlan[[#This Row],[Yield]:[Yield]]</f>
        <v>8.3333333333333321</v>
      </c>
      <c r="EQ13" s="33" cm="1">
        <f t="array" ref="EQ13">BedPlan[[#This Row],[Harvest Days June 2025]]/SUM(BedPlan[[#This Row],[Harvest Days January 2025]:[Harvest Days December 2026]])*BedPlan[[#This Row],[Yield]:[Yield]]</f>
        <v>16.666666666666664</v>
      </c>
      <c r="ER13" s="33" cm="1">
        <f t="array" ref="ER13">BedPlan[[#This Row],[Harvest Days July 2025]]/SUM(BedPlan[[#This Row],[Harvest Days January 2025]:[Harvest Days December 2026]])*BedPlan[[#This Row],[Yield]:[Yield]]</f>
        <v>0</v>
      </c>
      <c r="ES13" s="33" cm="1">
        <f t="array" ref="ES13">BedPlan[[#This Row],[Harvest Days August 2025]]/SUM(BedPlan[[#This Row],[Harvest Days January 2025]:[Harvest Days December 2026]])*BedPlan[[#This Row],[Yield]:[Yield]]</f>
        <v>0</v>
      </c>
      <c r="ET13" s="33" cm="1">
        <f t="array" ref="ET13">BedPlan[[#This Row],[Harvest Days September 2025]]/SUM(BedPlan[[#This Row],[Harvest Days January 2025]:[Harvest Days December 2026]])*BedPlan[[#This Row],[Yield]:[Yield]]</f>
        <v>0</v>
      </c>
      <c r="EU13" s="33" cm="1">
        <f t="array" ref="EU13">BedPlan[[#This Row],[Harvest Days October 2025]]/SUM(BedPlan[[#This Row],[Harvest Days January 2025]:[Harvest Days December 2026]])*BedPlan[[#This Row],[Yield]:[Yield]]</f>
        <v>0</v>
      </c>
      <c r="EV13" s="33" cm="1">
        <f t="array" ref="EV13">BedPlan[[#This Row],[Harvest Days November 2025]]/SUM(BedPlan[[#This Row],[Harvest Days January 2025]:[Harvest Days December 2026]])*BedPlan[[#This Row],[Yield]:[Yield]]</f>
        <v>0</v>
      </c>
      <c r="EW13" s="33" cm="1">
        <f t="array" ref="EW13">BedPlan[[#This Row],[Harvest Days December 2025]]/SUM(BedPlan[[#This Row],[Harvest Days January 2025]:[Harvest Days December 2026]])*BedPlan[[#This Row],[Yield]:[Yield]]</f>
        <v>0</v>
      </c>
    </row>
    <row r="14" spans="1:153" ht="15.75" customHeight="1">
      <c r="A14" s="27" t="s">
        <v>1712</v>
      </c>
      <c r="B14" t="s">
        <v>2622</v>
      </c>
      <c r="C14" t="s">
        <v>1427</v>
      </c>
      <c r="D14" cm="1">
        <f t="array" ref="D14">INDEX(Crops[],BedPlan[[#This Row],[Chart Index]],D$4,1)*BedPlan[[#This Row],[Full Bed Equivalent]]</f>
        <v>3.125</v>
      </c>
      <c r="E14" cm="1">
        <f t="array" ref="E14">INDEX(Crops[],BedPlan[[#This Row],[Chart Index]],E$4,1)*BedPlan[[#This Row],[Full Bed Equivalent]]</f>
        <v>25</v>
      </c>
      <c r="F14" t="str">
        <f>UPPER(LEFT(BedPlan[[#This Row],[Crop]],3))</f>
        <v>BAS</v>
      </c>
      <c r="H14" s="143" t="str" cm="1">
        <f t="array" ref="H14">INDEX(Crops[],BedPlan[[#This Row],[Chart Index]],H$4,1)</f>
        <v>Basil</v>
      </c>
      <c r="I14" t="s">
        <v>709</v>
      </c>
      <c r="K14" t="str" cm="1">
        <f t="array" ref="K14">IF(ISNUMBER(MATCH(BedPlan[[#This Row],[Variety]],SeedMixes[Name],)),_xlfn.TEXTJOIN(", ",TRUE,_xlfn._xlws.FILTER(SeedMixes[Variety &amp; Company],SeedMixes[Name]=BedPlan[[#This Row],[Variety]])),"")</f>
        <v>Prospera® Active Thai-Thai F1 Basil Johnny's, Golden Mountain Sweet Thai Adaptive, Italian Large Leaf Uprising, Prospera F1 High Mowing, Zanzico Wild Garden</v>
      </c>
      <c r="L14" s="33" cm="1">
        <f t="array" ref="L14">INDEX(Crops[],BedPlan[[#This Row],[Chart Index]],L$4,1)*BedPlan[[#This Row],[Full Bed Equivalent]]</f>
        <v>65</v>
      </c>
      <c r="N14">
        <f>1</f>
        <v>1</v>
      </c>
      <c r="O14">
        <f>MAX(BedPlan[[#This Row],['# Of Beds]],0.5)</f>
        <v>1</v>
      </c>
      <c r="P14" s="31">
        <f>IF(ISNUMBER(BedPlan[[#This Row],[Planned Greenhouse Start Date]]),BedPlan[[#This Row],[Planned Greenhouse Start Date]],BedPlan[[#This Row],[Planned TP or DS Date]])</f>
        <v>45748</v>
      </c>
      <c r="Q14" s="259">
        <f>IF(BedPlan[[#This Row],[Days in Cells]]=0,"",IFERROR(_xlfn.XLOOKUP(BedPlan[[#This Row],[Follows Crop]],BedPlan[Identifier],BedPlan[Expected End of Harvest]) + 1+BedPlan[[#This Row],[Follow Offset]],BedPlan[[#This Row],[Fixed Field Start Date]])-BedPlan[[#This Row],[Days in Cells]])</f>
        <v>45748</v>
      </c>
      <c r="R14" s="259">
        <v>45763</v>
      </c>
      <c r="S14" s="259">
        <f>IF(ISNUMBER(BedPlan[[#This Row],[Actual Greenhouse Date]]),BedPlan[[#This Row],[Actual Greenhouse Date]],BedPlan[[#This Row],[Planned Greenhouse Start Date]])</f>
        <v>45763</v>
      </c>
      <c r="T14" s="259">
        <f>_xlfn.XLOOKUP(BedPlan[[#This Row],[Crop]],Crops[Identifier],Crops[Target Field Date])</f>
        <v>45788</v>
      </c>
      <c r="U14" s="260"/>
      <c r="V14" s="260"/>
      <c r="W1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45803</v>
      </c>
      <c r="X14" s="259"/>
      <c r="Y14" s="271">
        <f>BedPlan[[#This Row],[Actual TP or DS Date]]-BedPlan[[#This Row],[Planned TP or DS Date]]</f>
        <v>-45803</v>
      </c>
      <c r="Z14" s="259">
        <f>IF(ISNUMBER(BedPlan[[#This Row],[Actual TP or DS Date]]),BedPlan[[#This Row],[Actual TP or DS Date]],BedPlan[[#This Row],[Planned TP or DS Date]])</f>
        <v>45803</v>
      </c>
      <c r="AA14" s="260"/>
      <c r="AB14" s="259">
        <f>IF(ISNUMBER(BedPlan[[#This Row],[Greenhouse Start Date]]),BedPlan[[#This Row],[Greenhouse Start Date]]+BedPlan[[#This Row],[DTM]],BedPlan[[#This Row],[TP or DS Date]]+BedPlan[[#This Row],[DTM]])</f>
        <v>45858</v>
      </c>
      <c r="AC14" s="259"/>
      <c r="AD14" s="259">
        <f>IF(ISNUMBER(BedPlan[[#This Row],[Actual Beginning of Harvest]]),BedPlan[[#This Row],[Actual Beginning of Harvest]],BedPlan[[#This Row],[Expected Beginning of Harvest]])</f>
        <v>45858</v>
      </c>
      <c r="AE14" s="259">
        <f>BedPlan[[#This Row],[Expected Beginning of Harvest]]+BedPlan[[#This Row],[Harvest Window]]+BedPlan[[#This Row],[Additional Days of Harvest]]</f>
        <v>45907</v>
      </c>
      <c r="AF14" s="259"/>
      <c r="AG14" s="259"/>
      <c r="AH14" s="31" t="b">
        <f>IF(AND( BedPlan[[#This Row],[Expected End of Harvest]] &gt;= DATE(2025, 8, 1), BedPlan[[#This Row],[Beginning of Harvest]] &lt;= DATE(2025, 8, 31) ), TRUE, FALSE)</f>
        <v>1</v>
      </c>
      <c r="AI14" s="31"/>
      <c r="AJ14" s="31">
        <f>IF(ISNUMBER(BedPlan[[#This Row],[Actual End of Harvest]]),BedPlan[[#This Row],[Actual End of Harvest]],BedPlan[[#This Row],[Expected End of Harvest]])</f>
        <v>45907</v>
      </c>
      <c r="AK14" t="b">
        <f>OR(ISNUMBER(BedPlan[[#This Row],[Actual Greenhouse Date]]),ISNUMBER(BedPlan[[#This Row],[Actual TP or DS Date]]))</f>
        <v>1</v>
      </c>
      <c r="AL14" s="52" t="b">
        <f>IF(ISNUMBER(BedPlan[[#This Row],[Planned Greenhouse Start Date]]),OR(ISNUMBER(BedPlan[[#This Row],[Actual TP or DS Date]]),BedPlan[[#This Row],[Failed]]),"-")</f>
        <v>0</v>
      </c>
      <c r="AM14" t="b">
        <f>OR(ISNUMBER(BedPlan[[#This Row],[Actual End of Harvest]]),BedPlan[[#This Row],[Failed]])</f>
        <v>0</v>
      </c>
      <c r="AN14" t="b">
        <f>OR(BedPlan[[#This Row],[Harvest Done]],BedPlan[[#This Row],[Failed]],BedPlan[[#This Row],[Name]]="Tarp")</f>
        <v>0</v>
      </c>
      <c r="AS14" s="26" t="str">
        <f>IF(BedPlan[[#This Row],[Broadfork]],BedPlan[[#This Row],[Actual TP or DS Date]],"")</f>
        <v/>
      </c>
      <c r="AT14" s="26" t="str">
        <f>IF(BedPlan[[#This Row],[Tilther]],BedPlan[[#This Row],[Actual TP or DS Date]],"")</f>
        <v/>
      </c>
      <c r="AU14" s="26" t="str">
        <f>IF(NOT(ISBLANK(BedPlan[[#This Row],[Amend]])),BedPlan[[#This Row],[Actual TP or DS Date]],"")</f>
        <v/>
      </c>
      <c r="AV14" s="26" t="str">
        <f>IF(BedPlan[[#This Row],[Row Cover]],BedPlan[[#This Row],[Actual TP or DS Date]],"")</f>
        <v/>
      </c>
      <c r="AX14" s="26"/>
      <c r="AZ14" s="26"/>
      <c r="BB14" s="26"/>
      <c r="BC14" s="231" cm="1">
        <f t="array" ref="BC14">INDEX(Crops[],BedPlan[[#This Row],[Chart Index]],BC$4,1)*BedPlan[[#This Row],[Full Bed Equivalent]]</f>
        <v>81.25</v>
      </c>
      <c r="BD14" s="231" cm="1">
        <f t="array" ref="BD14">INDEX(Crops[],BedPlan[[#This Row],[Chart Index]],BD$4,1)*BedPlan[[#This Row],[Full Bed Equivalent]]</f>
        <v>0.78125</v>
      </c>
      <c r="BE14" cm="1">
        <f t="array" ref="BE14">INDEX(Crops[],BedPlan[[#This Row],[Chart Index]],BE$4,1)+BedPlan[[#This Row],[Additional Days in Cells]]+BedPlan[[#This Row],[Additional Days In Field]]</f>
        <v>95</v>
      </c>
      <c r="BG14" cm="1">
        <f t="array" ref="BG14">INDEX(Crops[],BedPlan[[#This Row],[Chart Index]],BG$4,1)</f>
        <v>49</v>
      </c>
      <c r="BH14" t="str">
        <f>IF(ISNUMBER(BedPlan[[#This Row],[Planned Greenhouse Start Date]]),"TP","DS")</f>
        <v>TP</v>
      </c>
      <c r="BI14">
        <f>BedPlan[[#This Row],['# Of Beds]]</f>
        <v>1</v>
      </c>
      <c r="BJ14" cm="1">
        <f t="array" ref="BJ14">INDEX(Crops[],BedPlan[[#This Row],[Chart Index]],BJ$4,1)</f>
        <v>40</v>
      </c>
      <c r="BK14" cm="1">
        <f t="array" ref="BK14">INDEX(Crops[],BedPlan[[#This Row],[Chart Index]],BK$4,1)</f>
        <v>1</v>
      </c>
      <c r="BL14" cm="1">
        <f t="array" ref="BL14">INDEX(Crops[],BedPlan[[#This Row],[Chart Index]],BL$4,1)</f>
        <v>12</v>
      </c>
      <c r="BM14" cm="1">
        <f t="array" ref="BM14">INDEX(Crops[],BedPlan[[#This Row],[Chart Index]],BM$4,1)</f>
        <v>1</v>
      </c>
      <c r="BN14" s="32" cm="1">
        <f t="array" ref="BN14">INDEX(Crops[],BedPlan[[#This Row],[Chart Index]],BN$4,1)*BedPlan[[#This Row],[Full Bed Equivalent]]</f>
        <v>50</v>
      </c>
      <c r="BO14" t="str" cm="1">
        <f t="array" ref="BO14">IF(INDEX(Crops[],BedPlan[[#This Row],[Chart Index]],BO$4,1)=0,"",INDEX(Crops[],BedPlan[[#This Row],[Chart Index]],BO$4,1))</f>
        <v/>
      </c>
      <c r="BP14">
        <f>MATCH(BedPlan[[#This Row],[Crop]],Crops[Identifier],FALSE)</f>
        <v>16</v>
      </c>
      <c r="BQ14" t="str" cm="1">
        <f t="array" ref="BQ14">INDEX(Crops[],BedPlan[[#This Row],[Chart Index]],BQ$4,1)</f>
        <v>Interplant</v>
      </c>
      <c r="BR14" t="str" cm="1">
        <f t="array" ref="BR14">INDEX(Crops[],BedPlan[[#This Row],[Chart Index]],BR$4,1)</f>
        <v>SpSuOw</v>
      </c>
      <c r="BS14" s="32">
        <f>BedPlan[[#This Row],[Expected Beginning of Harvest]]-DATE(2023,1,1)</f>
        <v>931</v>
      </c>
      <c r="BT14">
        <f>BedPlan[[#This Row],[Expected End of Harvest]]-BedPlan[[#This Row],[Expected Beginning of Harvest]]</f>
        <v>49</v>
      </c>
      <c r="BU14" t="str" cm="1">
        <f t="array" ref="BU14">INDEX(Crops[],BedPlan[[#This Row],[Chart Index]],BU$4,1)</f>
        <v>Herb</v>
      </c>
      <c r="BV14" cm="1">
        <f t="array" ref="BV14">INDEX(Crops[],BedPlan[[#This Row],[Chart Index]],BV$4,1)</f>
        <v>2</v>
      </c>
      <c r="BW14" t="str" cm="1">
        <f t="array" ref="BW14">INDEX(Crops[],BedPlan[[#This Row],[Chart Index]],BW$4,1)</f>
        <v>None</v>
      </c>
      <c r="BX14" cm="1">
        <f t="array" ref="BX14">INDEX(Crops[],BedPlan[[#This Row],[Chart Index]],BX$4,1)</f>
        <v>128</v>
      </c>
      <c r="BY14" cm="1">
        <f t="array" ref="BY14">INDEX(Crops[],BedPlan[[#This Row],[Chart Index]],BY$4,1)</f>
        <v>40</v>
      </c>
      <c r="BZ14" s="49" cm="1">
        <f t="array" ref="BZ14">IFERROR(INDEX(Crops[],BedPlan[[#This Row],[Chart Index]],BZ$4,1)*BedPlan[[#This Row],[Full Bed Equivalent]],"")</f>
        <v>0.5078125</v>
      </c>
      <c r="CA14" cm="1">
        <f t="array" ref="CA14">INDEX(Crops[],BedPlan[[#This Row],[Chart Index]],CA$4,1)</f>
        <v>0</v>
      </c>
      <c r="CB14" cm="1">
        <f t="array" ref="CB14">INDEX(Crops[],BedPlan[[#This Row],[Chart Index]],CB$4,1)</f>
        <v>0</v>
      </c>
      <c r="CC14" s="49" t="str" cm="1">
        <f t="array" ref="CC14">IFERROR(INDEX(Crops[],BedPlan[[#This Row],[Chart Index]],CC$4,1)*BedPlan[[#This Row],[Full Bed Equivalent]],"")</f>
        <v/>
      </c>
      <c r="CD14" cm="1">
        <f t="array" ref="CD14">INDEX(Crops[],BedPlan[[#This Row],[Chart Index]],CD$4,1)</f>
        <v>0</v>
      </c>
      <c r="CE14" cm="1">
        <f t="array" ref="CE14">IF(INDEX(Crops[],BedPlan[[#This Row],[Chart Index]],CE$4,1)="",0,INDEX(Crops[],BedPlan[[#This Row],[Chart Index]],CE$4,1))</f>
        <v>0</v>
      </c>
      <c r="CF14" s="49" t="str" cm="1">
        <f t="array" ref="CF14">IFERROR(INDEX(Crops[],BedPlan[[#This Row],[Chart Index]],CF$4,1)*BedPlan[[#This Row],[Full Bed Equivalent]],"")</f>
        <v/>
      </c>
      <c r="CG14" cm="1">
        <f t="array" ref="CG14">IF(INDEX(Crops[],BedPlan[[#This Row],[Chart Index]],CG$4,1)="",0,INDEX(Crops[],BedPlan[[#This Row],[Chart Index]],CG$4,1))</f>
        <v>1.3</v>
      </c>
      <c r="CH14" cm="1">
        <f t="array" ref="CH14">IF(INDEX(Crops[],BedPlan[[#This Row],[Chart Index]],CH$4,1)="",0,INDEX(Crops[],BedPlan[[#This Row],[Chart Index]],CH$4,1))</f>
        <v>10</v>
      </c>
      <c r="CI14" t="str" cm="1">
        <f t="array" ref="CI14">INDEX(Crops[],BedPlan[[#This Row],[Chart Index]],CI$4,1)</f>
        <v>Tunnel</v>
      </c>
      <c r="CJ14" s="30" t="str">
        <f>_xlfn.TEXTJOIN(CHAR(10),FALSE,BedPlan[[#This Row],[Name]],BedPlan[[#This Row],[Variety]],BedPlan[[#This Row],[Company]])</f>
        <v xml:space="preserve">Basil
Basil Mix
</v>
      </c>
      <c r="CK14" s="32">
        <f>MAX( 0, MIN(BedPlan[[#This Row],[Expected End of Harvest]], EOMONTH(CK$4, 0)) - MAX(BedPlan[[#This Row],[Beginning of Harvest]], CK$4) + 1 )</f>
        <v>0</v>
      </c>
      <c r="CL14">
        <f>MAX( 0, MIN(BedPlan[[#This Row],[Expected End of Harvest]], EOMONTH(CL$4, 0)) - MAX(BedPlan[[#This Row],[Beginning of Harvest]], CL$4) + 1 )</f>
        <v>0</v>
      </c>
      <c r="CM14">
        <f>MAX( 0, MIN(BedPlan[[#This Row],[Expected End of Harvest]], EOMONTH(CM$4, 0)) - MAX(BedPlan[[#This Row],[Beginning of Harvest]], CM$4) + 1 )</f>
        <v>0</v>
      </c>
      <c r="CN14">
        <f>MAX( 0, MIN(BedPlan[[#This Row],[Expected End of Harvest]], EOMONTH(CN$4, 0)) - MAX(BedPlan[[#This Row],[Beginning of Harvest]], CN$4) + 1 )</f>
        <v>0</v>
      </c>
      <c r="CO14">
        <f>MAX( 0, MIN(BedPlan[[#This Row],[Expected End of Harvest]], EOMONTH(CO$4, 0)) - MAX(BedPlan[[#This Row],[Beginning of Harvest]], CO$4) + 1 )</f>
        <v>0</v>
      </c>
      <c r="CP14">
        <f>MAX( 0, MIN(BedPlan[[#This Row],[Expected End of Harvest]], EOMONTH(CP$4, 0)) - MAX(BedPlan[[#This Row],[Beginning of Harvest]], CP$4) + 1 )</f>
        <v>0</v>
      </c>
      <c r="CQ14">
        <f>MAX( 0, MIN(BedPlan[[#This Row],[Expected End of Harvest]], EOMONTH(CQ$4, 0)) - MAX(BedPlan[[#This Row],[Beginning of Harvest]], CQ$4) + 1 )</f>
        <v>12</v>
      </c>
      <c r="CR14">
        <f>MAX( 0, MIN(BedPlan[[#This Row],[Expected End of Harvest]], EOMONTH(CR$4, 0)) - MAX(BedPlan[[#This Row],[Beginning of Harvest]], CR$4) + 1 )</f>
        <v>31</v>
      </c>
      <c r="CS14">
        <f>MAX( 0, MIN(BedPlan[[#This Row],[Expected End of Harvest]], EOMONTH(CS$4, 0)) - MAX(BedPlan[[#This Row],[Beginning of Harvest]], CS$4) + 1 )</f>
        <v>7</v>
      </c>
      <c r="CT14">
        <f>MAX( 0, MIN(BedPlan[[#This Row],[Expected End of Harvest]], EOMONTH(CT$4, 0)) - MAX(BedPlan[[#This Row],[Beginning of Harvest]], CT$4) + 1 )</f>
        <v>0</v>
      </c>
      <c r="CU14">
        <f>MAX( 0, MIN(BedPlan[[#This Row],[Expected End of Harvest]], EOMONTH(CU$4, 0)) - MAX(BedPlan[[#This Row],[Beginning of Harvest]], CU$4) + 1 )</f>
        <v>0</v>
      </c>
      <c r="CV14">
        <f>MAX( 0, MIN(BedPlan[[#This Row],[Expected End of Harvest]], EOMONTH(CV$4, 0)) - MAX(BedPlan[[#This Row],[Beginning of Harvest]], CV$4) + 1 )</f>
        <v>0</v>
      </c>
      <c r="CW14">
        <f>MAX( 0, MIN(BedPlan[[#This Row],[Expected End of Harvest]], EOMONTH(CW$4, 0)) - MAX(BedPlan[[#This Row],[Beginning of Harvest]], CW$4) + 1 )</f>
        <v>0</v>
      </c>
      <c r="CX14">
        <f>MAX( 0, MIN(BedPlan[[#This Row],[Expected End of Harvest]], EOMONTH(CX$4, 0)) - MAX(BedPlan[[#This Row],[Beginning of Harvest]], CX$4) + 1 )</f>
        <v>0</v>
      </c>
      <c r="CY14">
        <f>MAX( 0, MIN(BedPlan[[#This Row],[Expected End of Harvest]], EOMONTH(CY$4, 0)) - MAX(BedPlan[[#This Row],[Beginning of Harvest]], CY$4) + 1 )</f>
        <v>0</v>
      </c>
      <c r="CZ14">
        <f>MAX( 0, MIN(BedPlan[[#This Row],[Expected End of Harvest]], EOMONTH(CZ$4, 0)) - MAX(BedPlan[[#This Row],[Beginning of Harvest]], CZ$4) + 1 )</f>
        <v>0</v>
      </c>
      <c r="DA14">
        <f>MAX( 0, MIN(BedPlan[[#This Row],[Expected End of Harvest]], EOMONTH(DA$4, 0)) - MAX(BedPlan[[#This Row],[Beginning of Harvest]], DA$4) + 1 )</f>
        <v>0</v>
      </c>
      <c r="DB14">
        <f>MAX( 0, MIN(BedPlan[[#This Row],[Expected End of Harvest]], EOMONTH(DB$4, 0)) - MAX(BedPlan[[#This Row],[Beginning of Harvest]], DB$4) + 1 )</f>
        <v>0</v>
      </c>
      <c r="DC14">
        <f>MAX( 0, MIN(BedPlan[[#This Row],[Expected End of Harvest]], EOMONTH(DC$4, 0)) - MAX(BedPlan[[#This Row],[Beginning of Harvest]], DC$4) + 1 )</f>
        <v>0</v>
      </c>
      <c r="DD14">
        <f>MAX( 0, MIN(BedPlan[[#This Row],[Expected End of Harvest]], EOMONTH(DD$4, 0)) - MAX(BedPlan[[#This Row],[Beginning of Harvest]], DD$4) + 1 )</f>
        <v>0</v>
      </c>
      <c r="DE14">
        <f>MAX( 0, MIN(BedPlan[[#This Row],[Expected End of Harvest]], EOMONTH(DE$4, 0)) - MAX(BedPlan[[#This Row],[Beginning of Harvest]], DE$4) + 1 )</f>
        <v>0</v>
      </c>
      <c r="DF14">
        <f>MAX( 0, MIN(BedPlan[[#This Row],[Expected End of Harvest]], EOMONTH(DF$4, 0)) - MAX(BedPlan[[#This Row],[Beginning of Harvest]], DF$4) + 1 )</f>
        <v>0</v>
      </c>
      <c r="DG14">
        <f>MAX( 0, MIN(BedPlan[[#This Row],[Expected End of Harvest]], EOMONTH(DG$4, 0)) - MAX(BedPlan[[#This Row],[Beginning of Harvest]], DG$4) + 1 )</f>
        <v>0</v>
      </c>
      <c r="DH14">
        <f>MAX( 0, MIN(BedPlan[[#This Row],[Expected End of Harvest]], EOMONTH(DH$4, 0)) - MAX(BedPlan[[#This Row],[Beginning of Harvest]], DH$4) + 1 )</f>
        <v>0</v>
      </c>
      <c r="DI14" s="257" cm="1">
        <f t="array" ref="DI14">BedPlan[[#This Row],[Harvest Days January 2025]]/SUM(BedPlan[[#This Row],[Harvest Days January 2025]:[Harvest Days December 2026]])*BedPlan[[#This Row],[Revenue]:[Revenue]]</f>
        <v>0</v>
      </c>
      <c r="DJ14" s="257" cm="1">
        <f t="array" ref="DJ14">BedPlan[[#This Row],[Harvest Days February 2025]]/SUM(BedPlan[[#This Row],[Harvest Days January 2025]:[Harvest Days December 2026]])*BedPlan[[#This Row],[Revenue]:[Revenue]]</f>
        <v>0</v>
      </c>
      <c r="DK14" s="257" cm="1">
        <f t="array" ref="DK14">BedPlan[[#This Row],[Harvest Days March 2025]]/SUM(BedPlan[[#This Row],[Harvest Days January 2025]:[Harvest Days December 2026]])*BedPlan[[#This Row],[Revenue]:[Revenue]]</f>
        <v>0</v>
      </c>
      <c r="DL14" s="257" cm="1">
        <f t="array" ref="DL14">BedPlan[[#This Row],[Harvest Days April 2025]]/SUM(BedPlan[[#This Row],[Harvest Days January 2025]:[Harvest Days December 2026]])*BedPlan[[#This Row],[Revenue]:[Revenue]]</f>
        <v>0</v>
      </c>
      <c r="DM14" s="257" cm="1">
        <f t="array" ref="DM14">BedPlan[[#This Row],[Harvest Days May 2025]]/SUM(BedPlan[[#This Row],[Harvest Days January 2025]:[Harvest Days December 2026]])*BedPlan[[#This Row],[Revenue]:[Revenue]]</f>
        <v>0</v>
      </c>
      <c r="DN14" s="257" cm="1">
        <f t="array" ref="DN14">BedPlan[[#This Row],[Harvest Days June 2025]]/SUM(BedPlan[[#This Row],[Harvest Days January 2025]:[Harvest Days December 2026]])*BedPlan[[#This Row],[Revenue]:[Revenue]]</f>
        <v>0</v>
      </c>
      <c r="DO14" s="257" cm="1">
        <f t="array" ref="DO14">BedPlan[[#This Row],[Harvest Days July 2025]]/SUM(BedPlan[[#This Row],[Harvest Days January 2025]:[Harvest Days December 2026]])*BedPlan[[#This Row],[Revenue]:[Revenue]]</f>
        <v>19.5</v>
      </c>
      <c r="DP14" s="257" cm="1">
        <f t="array" ref="DP14">BedPlan[[#This Row],[Harvest Days August 2025]]/SUM(BedPlan[[#This Row],[Harvest Days January 2025]:[Harvest Days December 2026]])*BedPlan[[#This Row],[Revenue]:[Revenue]]</f>
        <v>50.375</v>
      </c>
      <c r="DQ14" s="257" cm="1">
        <f t="array" ref="DQ14">BedPlan[[#This Row],[Harvest Days September 2025]]/SUM(BedPlan[[#This Row],[Harvest Days January 2025]:[Harvest Days December 2026]])*BedPlan[[#This Row],[Revenue]:[Revenue]]</f>
        <v>11.375000000000002</v>
      </c>
      <c r="DR14" s="257" cm="1">
        <f t="array" ref="DR14">BedPlan[[#This Row],[Harvest Days October 2025]]/SUM(BedPlan[[#This Row],[Harvest Days January 2025]:[Harvest Days December 2026]])*BedPlan[[#This Row],[Revenue]:[Revenue]]</f>
        <v>0</v>
      </c>
      <c r="DS14" s="257" cm="1">
        <f t="array" ref="DS14">BedPlan[[#This Row],[Harvest Days November 2025]]/SUM(BedPlan[[#This Row],[Harvest Days January 2025]:[Harvest Days December 2026]])*BedPlan[[#This Row],[Revenue]:[Revenue]]</f>
        <v>0</v>
      </c>
      <c r="DT14" s="257" cm="1">
        <f t="array" ref="DT14">BedPlan[[#This Row],[Harvest Days December 2025]]/SUM(BedPlan[[#This Row],[Harvest Days January 2025]:[Harvest Days December 2026]])*BedPlan[[#This Row],[Revenue]:[Revenue]]</f>
        <v>0</v>
      </c>
      <c r="DU14" s="257" cm="1">
        <f t="array" ref="DU14">BedPlan[[#This Row],[Harvest Days January 2026]]/SUM(BedPlan[[#This Row],[Harvest Days January 2025]:[Harvest Days December 2026]])*BedPlan[[#This Row],[Revenue]:[Revenue]]</f>
        <v>0</v>
      </c>
      <c r="DV14" s="257" cm="1">
        <f t="array" ref="DV14">BedPlan[[#This Row],[Harvest Days February 2026]]/SUM(BedPlan[[#This Row],[Harvest Days January 2025]:[Harvest Days December 2026]])*BedPlan[[#This Row],[Revenue]:[Revenue]]</f>
        <v>0</v>
      </c>
      <c r="DW14" s="257" cm="1">
        <f t="array" ref="DW14">BedPlan[[#This Row],[Harvest Days March 2026]]/SUM(BedPlan[[#This Row],[Harvest Days January 2025]:[Harvest Days December 2026]])*BedPlan[[#This Row],[Revenue]:[Revenue]]</f>
        <v>0</v>
      </c>
      <c r="DX14" s="257" cm="1">
        <f t="array" ref="DX14">BedPlan[[#This Row],[Harvest Days April 2026]]/SUM(BedPlan[[#This Row],[Harvest Days January 2025]:[Harvest Days December 2026]])*BedPlan[[#This Row],[Revenue]:[Revenue]]</f>
        <v>0</v>
      </c>
      <c r="DY14" s="257" cm="1">
        <f t="array" ref="DY14">BedPlan[[#This Row],[Harvest Days May 2026]]/SUM(BedPlan[[#This Row],[Harvest Days January 2025]:[Harvest Days December 2026]])*BedPlan[[#This Row],[Revenue]:[Revenue]]</f>
        <v>0</v>
      </c>
      <c r="DZ14" s="257" cm="1">
        <f t="array" ref="DZ14">BedPlan[[#This Row],[Harvest Days June 2026]]/SUM(BedPlan[[#This Row],[Harvest Days January 2025]:[Harvest Days December 2026]])*BedPlan[[#This Row],[Revenue]:[Revenue]]</f>
        <v>0</v>
      </c>
      <c r="EA14" s="257" cm="1">
        <f t="array" ref="EA14">BedPlan[[#This Row],[Harvest Days July 2026]]/SUM(BedPlan[[#This Row],[Harvest Days January 2025]:[Harvest Days December 2026]])*BedPlan[[#This Row],[Revenue]:[Revenue]]</f>
        <v>0</v>
      </c>
      <c r="EB14" s="257" cm="1">
        <f t="array" ref="EB14">BedPlan[[#This Row],[Harvest Days August 2026]]/SUM(BedPlan[[#This Row],[Harvest Days January 2025]:[Harvest Days December 2026]])*BedPlan[[#This Row],[Revenue]:[Revenue]]</f>
        <v>0</v>
      </c>
      <c r="EC14" s="257" cm="1">
        <f t="array" ref="EC14">BedPlan[[#This Row],[Harvest Days September 2026]]/SUM(BedPlan[[#This Row],[Harvest Days January 2025]:[Harvest Days December 2026]])*BedPlan[[#This Row],[Revenue]:[Revenue]]</f>
        <v>0</v>
      </c>
      <c r="ED14" s="257" cm="1">
        <f t="array" ref="ED14">BedPlan[[#This Row],[Harvest Days October 2026]]/SUM(BedPlan[[#This Row],[Harvest Days January 2025]:[Harvest Days December 2026]])*BedPlan[[#This Row],[Revenue]:[Revenue]]</f>
        <v>0</v>
      </c>
      <c r="EE14" s="257" cm="1">
        <f t="array" ref="EE14">BedPlan[[#This Row],[Harvest Days November 2026]]/SUM(BedPlan[[#This Row],[Harvest Days January 2025]:[Harvest Days December 2026]])*BedPlan[[#This Row],[Revenue]:[Revenue]]</f>
        <v>0</v>
      </c>
      <c r="EF14" s="257" cm="1">
        <f t="array" ref="EF14">BedPlan[[#This Row],[Harvest Days December 2026]]/SUM(BedPlan[[#This Row],[Harvest Days January 2025]:[Harvest Days December 2026]])*BedPlan[[#This Row],[Revenue]:[Revenue]]</f>
        <v>0</v>
      </c>
      <c r="EG14" t="b">
        <f>SUM(BedPlan[[#This Row],[Revenue January 2025]:[Revenue December 2026]])=BedPlan[[#This Row],[Revenue]]</f>
        <v>1</v>
      </c>
      <c r="EH14" s="30" cm="1">
        <f t="array" ref="EH14">INDEX(Crops[],BedPlan[[#This Row],[Chart Index]],EH$4,1)*BedPlan[[#This Row],['# Of Beds]]</f>
        <v>25</v>
      </c>
      <c r="EI14" s="30" t="str" cm="1">
        <f t="array" ref="EI14">INDEX(Crops[],BedPlan[[#This Row],[Chart Index]],EI$4,1)</f>
        <v>Bunch</v>
      </c>
      <c r="EJ14" s="30" t="str" cm="1">
        <f t="array" ref="EJ14">INDEX(Crops[],BedPlan[[#This Row],[Chart Index]],EJ$4,1)</f>
        <v>Mature Leaf</v>
      </c>
      <c r="EK14" s="30" t="str">
        <f>BedPlan[[#This Row],[Name]]&amp;" "&amp;BedPlan[[#This Row],[Product]]&amp; " - " &amp;BedPlan[[#This Row],[Unit]]</f>
        <v>Basil Mature Leaf - Bunch</v>
      </c>
      <c r="EL14" s="33" cm="1">
        <f t="array" ref="EL14">BedPlan[[#This Row],[Harvest Days January 2025]]/SUM(BedPlan[[#This Row],[Harvest Days January 2025]:[Harvest Days December 2026]])*BedPlan[[#This Row],[Yield]:[Yield]]</f>
        <v>0</v>
      </c>
      <c r="EM14" s="33" cm="1">
        <f t="array" ref="EM14">BedPlan[[#This Row],[Harvest Days February 2025]]/SUM(BedPlan[[#This Row],[Harvest Days January 2025]:[Harvest Days December 2026]])*BedPlan[[#This Row],[Yield]:[Yield]]</f>
        <v>0</v>
      </c>
      <c r="EN14" s="33" cm="1">
        <f t="array" ref="EN14">BedPlan[[#This Row],[Harvest Days March 2025]]/SUM(BedPlan[[#This Row],[Harvest Days January 2025]:[Harvest Days December 2026]])*BedPlan[[#This Row],[Yield]:[Yield]]</f>
        <v>0</v>
      </c>
      <c r="EO14" s="33" cm="1">
        <f t="array" ref="EO14">BedPlan[[#This Row],[Harvest Days April 2025]]/SUM(BedPlan[[#This Row],[Harvest Days January 2025]:[Harvest Days December 2026]])*BedPlan[[#This Row],[Yield]:[Yield]]</f>
        <v>0</v>
      </c>
      <c r="EP14" s="33" cm="1">
        <f t="array" ref="EP14">BedPlan[[#This Row],[Harvest Days May 2025]]/SUM(BedPlan[[#This Row],[Harvest Days January 2025]:[Harvest Days December 2026]])*BedPlan[[#This Row],[Yield]:[Yield]]</f>
        <v>0</v>
      </c>
      <c r="EQ14" s="33" cm="1">
        <f t="array" ref="EQ14">BedPlan[[#This Row],[Harvest Days June 2025]]/SUM(BedPlan[[#This Row],[Harvest Days January 2025]:[Harvest Days December 2026]])*BedPlan[[#This Row],[Yield]:[Yield]]</f>
        <v>0</v>
      </c>
      <c r="ER14" s="33" cm="1">
        <f t="array" ref="ER14">BedPlan[[#This Row],[Harvest Days July 2025]]/SUM(BedPlan[[#This Row],[Harvest Days January 2025]:[Harvest Days December 2026]])*BedPlan[[#This Row],[Yield]:[Yield]]</f>
        <v>6</v>
      </c>
      <c r="ES14" s="33" cm="1">
        <f t="array" ref="ES14">BedPlan[[#This Row],[Harvest Days August 2025]]/SUM(BedPlan[[#This Row],[Harvest Days January 2025]:[Harvest Days December 2026]])*BedPlan[[#This Row],[Yield]:[Yield]]</f>
        <v>15.5</v>
      </c>
      <c r="ET14" s="33" cm="1">
        <f t="array" ref="ET14">BedPlan[[#This Row],[Harvest Days September 2025]]/SUM(BedPlan[[#This Row],[Harvest Days January 2025]:[Harvest Days December 2026]])*BedPlan[[#This Row],[Yield]:[Yield]]</f>
        <v>3.5000000000000004</v>
      </c>
      <c r="EU14" s="33" cm="1">
        <f t="array" ref="EU14">BedPlan[[#This Row],[Harvest Days October 2025]]/SUM(BedPlan[[#This Row],[Harvest Days January 2025]:[Harvest Days December 2026]])*BedPlan[[#This Row],[Yield]:[Yield]]</f>
        <v>0</v>
      </c>
      <c r="EV14" s="33" cm="1">
        <f t="array" ref="EV14">BedPlan[[#This Row],[Harvest Days November 2025]]/SUM(BedPlan[[#This Row],[Harvest Days January 2025]:[Harvest Days December 2026]])*BedPlan[[#This Row],[Yield]:[Yield]]</f>
        <v>0</v>
      </c>
      <c r="EW14" s="33" cm="1">
        <f t="array" ref="EW14">BedPlan[[#This Row],[Harvest Days December 2025]]/SUM(BedPlan[[#This Row],[Harvest Days January 2025]:[Harvest Days December 2026]])*BedPlan[[#This Row],[Yield]:[Yield]]</f>
        <v>0</v>
      </c>
    </row>
    <row r="15" spans="1:153" ht="15.75" customHeight="1">
      <c r="A15" s="27" t="s">
        <v>2596</v>
      </c>
      <c r="B15" t="s">
        <v>2623</v>
      </c>
      <c r="C15" t="s">
        <v>1429</v>
      </c>
      <c r="D15" cm="1">
        <f t="array" ref="D15">INDEX(Crops[],BedPlan[[#This Row],[Chart Index]],D$4,1)*BedPlan[[#This Row],[Full Bed Equivalent]]</f>
        <v>12.5</v>
      </c>
      <c r="E15" cm="1">
        <f t="array" ref="E15">INDEX(Crops[],BedPlan[[#This Row],[Chart Index]],E$4,1)*BedPlan[[#This Row],[Full Bed Equivalent]]</f>
        <v>100</v>
      </c>
      <c r="F15" t="str">
        <f>UPPER(LEFT(BedPlan[[#This Row],[Crop]],3))</f>
        <v>BAS</v>
      </c>
      <c r="H15" s="143" t="str" cm="1">
        <f t="array" ref="H15">INDEX(Crops[],BedPlan[[#This Row],[Chart Index]],H$4,1)</f>
        <v>Basil</v>
      </c>
      <c r="I15" t="s">
        <v>709</v>
      </c>
      <c r="K15" t="str" cm="1">
        <f t="array" ref="K15">IF(ISNUMBER(MATCH(BedPlan[[#This Row],[Variety]],SeedMixes[Name],)),_xlfn.TEXTJOIN(", ",TRUE,_xlfn._xlws.FILTER(SeedMixes[Variety &amp; Company],SeedMixes[Name]=BedPlan[[#This Row],[Variety]])),"")</f>
        <v>Prospera® Active Thai-Thai F1 Basil Johnny's, Golden Mountain Sweet Thai Adaptive, Italian Large Leaf Uprising, Prospera F1 High Mowing, Zanzico Wild Garden</v>
      </c>
      <c r="L15" s="33" cm="1">
        <f t="array" ref="L15">INDEX(Crops[],BedPlan[[#This Row],[Chart Index]],L$4,1)*BedPlan[[#This Row],[Full Bed Equivalent]]</f>
        <v>260</v>
      </c>
      <c r="N15">
        <f>1</f>
        <v>1</v>
      </c>
      <c r="O15">
        <f>MAX(BedPlan[[#This Row],['# Of Beds]],0.5)</f>
        <v>1</v>
      </c>
      <c r="P15" s="31">
        <f>IF(ISNUMBER(BedPlan[[#This Row],[Planned Greenhouse Start Date]]),BedPlan[[#This Row],[Planned Greenhouse Start Date]],BedPlan[[#This Row],[Planned TP or DS Date]])</f>
        <v>45783</v>
      </c>
      <c r="Q15" s="259">
        <f>IF(BedPlan[[#This Row],[Days in Cells]]=0,"",IFERROR(_xlfn.XLOOKUP(BedPlan[[#This Row],[Follows Crop]],BedPlan[Identifier],BedPlan[Expected End of Harvest]) + 1+BedPlan[[#This Row],[Follow Offset]],BedPlan[[#This Row],[Fixed Field Start Date]])-BedPlan[[#This Row],[Days in Cells]])</f>
        <v>45783</v>
      </c>
      <c r="R15" s="259">
        <v>45796</v>
      </c>
      <c r="S15" s="259">
        <f>IF(ISNUMBER(BedPlan[[#This Row],[Actual Greenhouse Date]]),BedPlan[[#This Row],[Actual Greenhouse Date]],BedPlan[[#This Row],[Planned Greenhouse Start Date]])</f>
        <v>45796</v>
      </c>
      <c r="T15" s="259">
        <v>45823</v>
      </c>
      <c r="U15" s="260"/>
      <c r="V15" s="260"/>
      <c r="W1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45836</v>
      </c>
      <c r="X15" s="259"/>
      <c r="Y15" s="271">
        <f>BedPlan[[#This Row],[Actual TP or DS Date]]-BedPlan[[#This Row],[Planned TP or DS Date]]</f>
        <v>-45836</v>
      </c>
      <c r="Z15" s="259">
        <f>IF(ISNUMBER(BedPlan[[#This Row],[Actual TP or DS Date]]),BedPlan[[#This Row],[Actual TP or DS Date]],BedPlan[[#This Row],[Planned TP or DS Date]])</f>
        <v>45836</v>
      </c>
      <c r="AA15" s="260"/>
      <c r="AB15" s="259">
        <f>IF(ISNUMBER(BedPlan[[#This Row],[Greenhouse Start Date]]),BedPlan[[#This Row],[Greenhouse Start Date]]+BedPlan[[#This Row],[DTM]],BedPlan[[#This Row],[TP or DS Date]]+BedPlan[[#This Row],[DTM]])</f>
        <v>45891</v>
      </c>
      <c r="AC15" s="259"/>
      <c r="AD15" s="259">
        <f>IF(ISNUMBER(BedPlan[[#This Row],[Actual Beginning of Harvest]]),BedPlan[[#This Row],[Actual Beginning of Harvest]],BedPlan[[#This Row],[Expected Beginning of Harvest]])</f>
        <v>45891</v>
      </c>
      <c r="AE15" s="259">
        <f>BedPlan[[#This Row],[Expected Beginning of Harvest]]+BedPlan[[#This Row],[Harvest Window]]+BedPlan[[#This Row],[Additional Days of Harvest]]</f>
        <v>45940</v>
      </c>
      <c r="AF15" s="259"/>
      <c r="AG15" s="259"/>
      <c r="AH15" s="31" t="b">
        <f>IF(AND( BedPlan[[#This Row],[Expected End of Harvest]] &gt;= DATE(2025, 8, 1), BedPlan[[#This Row],[Beginning of Harvest]] &lt;= DATE(2025, 8, 31) ), TRUE, FALSE)</f>
        <v>1</v>
      </c>
      <c r="AI15" s="31"/>
      <c r="AJ15" s="31">
        <f>IF(ISNUMBER(BedPlan[[#This Row],[Actual End of Harvest]]),BedPlan[[#This Row],[Actual End of Harvest]],BedPlan[[#This Row],[Expected End of Harvest]])</f>
        <v>45940</v>
      </c>
      <c r="AK15" t="b">
        <f>OR(ISNUMBER(BedPlan[[#This Row],[Actual Greenhouse Date]]),ISNUMBER(BedPlan[[#This Row],[Actual TP or DS Date]]))</f>
        <v>1</v>
      </c>
      <c r="AL15" s="52" t="b">
        <f>IF(ISNUMBER(BedPlan[[#This Row],[Planned Greenhouse Start Date]]),OR(ISNUMBER(BedPlan[[#This Row],[Actual TP or DS Date]]),BedPlan[[#This Row],[Failed]]),"-")</f>
        <v>0</v>
      </c>
      <c r="AM15" t="b">
        <f>OR(ISNUMBER(BedPlan[[#This Row],[Actual End of Harvest]]),BedPlan[[#This Row],[Failed]])</f>
        <v>0</v>
      </c>
      <c r="AN15" t="b">
        <f>OR(BedPlan[[#This Row],[Harvest Done]],BedPlan[[#This Row],[Failed]],BedPlan[[#This Row],[Name]]="Tarp")</f>
        <v>0</v>
      </c>
      <c r="AS15" s="26" t="str">
        <f>IF(BedPlan[[#This Row],[Broadfork]],BedPlan[[#This Row],[Actual TP or DS Date]],"")</f>
        <v/>
      </c>
      <c r="AT15" s="26" t="str">
        <f>IF(BedPlan[[#This Row],[Tilther]],BedPlan[[#This Row],[Actual TP or DS Date]],"")</f>
        <v/>
      </c>
      <c r="AU15" s="26" t="str">
        <f>IF(NOT(ISBLANK(BedPlan[[#This Row],[Amend]])),BedPlan[[#This Row],[Actual TP or DS Date]],"")</f>
        <v/>
      </c>
      <c r="AV15" s="26" t="str">
        <f>IF(BedPlan[[#This Row],[Row Cover]],BedPlan[[#This Row],[Actual TP or DS Date]],"")</f>
        <v/>
      </c>
      <c r="AX15" s="26"/>
      <c r="AZ15" s="26"/>
      <c r="BB15" s="26"/>
      <c r="BC15" s="231" cm="1">
        <f t="array" ref="BC15">INDEX(Crops[],BedPlan[[#This Row],[Chart Index]],BC$4,1)*BedPlan[[#This Row],[Full Bed Equivalent]]</f>
        <v>325</v>
      </c>
      <c r="BD15" s="231" cm="1">
        <f t="array" ref="BD15">INDEX(Crops[],BedPlan[[#This Row],[Chart Index]],BD$4,1)*BedPlan[[#This Row],[Full Bed Equivalent]]</f>
        <v>3.125</v>
      </c>
      <c r="BE15" cm="1">
        <f t="array" ref="BE15">INDEX(Crops[],BedPlan[[#This Row],[Chart Index]],BE$4,1)+BedPlan[[#This Row],[Additional Days in Cells]]+BedPlan[[#This Row],[Additional Days In Field]]</f>
        <v>95</v>
      </c>
      <c r="BG15" cm="1">
        <f t="array" ref="BG15">INDEX(Crops[],BedPlan[[#This Row],[Chart Index]],BG$4,1)</f>
        <v>49</v>
      </c>
      <c r="BH15" t="str">
        <f>IF(ISNUMBER(BedPlan[[#This Row],[Planned Greenhouse Start Date]]),"TP","DS")</f>
        <v>TP</v>
      </c>
      <c r="BI15">
        <f>BedPlan[[#This Row],['# Of Beds]]</f>
        <v>1</v>
      </c>
      <c r="BJ15" cm="1">
        <f t="array" ref="BJ15">INDEX(Crops[],BedPlan[[#This Row],[Chart Index]],BJ$4,1)</f>
        <v>40</v>
      </c>
      <c r="BK15" cm="1">
        <f t="array" ref="BK15">INDEX(Crops[],BedPlan[[#This Row],[Chart Index]],BK$4,1)</f>
        <v>4</v>
      </c>
      <c r="BL15" cm="1">
        <f t="array" ref="BL15">INDEX(Crops[],BedPlan[[#This Row],[Chart Index]],BL$4,1)</f>
        <v>12</v>
      </c>
      <c r="BM15" cm="1">
        <f t="array" ref="BM15">INDEX(Crops[],BedPlan[[#This Row],[Chart Index]],BM$4,1)</f>
        <v>1</v>
      </c>
      <c r="BN15" s="32" cm="1">
        <f t="array" ref="BN15">INDEX(Crops[],BedPlan[[#This Row],[Chart Index]],BN$4,1)*BedPlan[[#This Row],[Full Bed Equivalent]]</f>
        <v>200</v>
      </c>
      <c r="BO15" t="str" cm="1">
        <f t="array" ref="BO15">IF(INDEX(Crops[],BedPlan[[#This Row],[Chart Index]],BO$4,1)=0,"",INDEX(Crops[],BedPlan[[#This Row],[Chart Index]],BO$4,1))</f>
        <v/>
      </c>
      <c r="BP15">
        <f>MATCH(BedPlan[[#This Row],[Crop]],Crops[Identifier],FALSE)</f>
        <v>17</v>
      </c>
      <c r="BQ15" t="str" cm="1">
        <f t="array" ref="BQ15">INDEX(Crops[],BedPlan[[#This Row],[Chart Index]],BQ$4,1)</f>
        <v>Italian</v>
      </c>
      <c r="BR15" t="str" cm="1">
        <f t="array" ref="BR15">INDEX(Crops[],BedPlan[[#This Row],[Chart Index]],BR$4,1)</f>
        <v>SpSuOw</v>
      </c>
      <c r="BS15" s="32">
        <f>BedPlan[[#This Row],[Expected Beginning of Harvest]]-DATE(2023,1,1)</f>
        <v>964</v>
      </c>
      <c r="BT15">
        <f>BedPlan[[#This Row],[Expected End of Harvest]]-BedPlan[[#This Row],[Expected Beginning of Harvest]]</f>
        <v>49</v>
      </c>
      <c r="BU15" t="str" cm="1">
        <f t="array" ref="BU15">INDEX(Crops[],BedPlan[[#This Row],[Chart Index]],BU$4,1)</f>
        <v>Herb</v>
      </c>
      <c r="BV15" cm="1">
        <f t="array" ref="BV15">INDEX(Crops[],BedPlan[[#This Row],[Chart Index]],BV$4,1)</f>
        <v>2</v>
      </c>
      <c r="BW15" t="str" cm="1">
        <f t="array" ref="BW15">INDEX(Crops[],BedPlan[[#This Row],[Chart Index]],BW$4,1)</f>
        <v>None</v>
      </c>
      <c r="BX15" cm="1">
        <f t="array" ref="BX15">INDEX(Crops[],BedPlan[[#This Row],[Chart Index]],BX$4,1)</f>
        <v>128</v>
      </c>
      <c r="BY15" cm="1">
        <f t="array" ref="BY15">INDEX(Crops[],BedPlan[[#This Row],[Chart Index]],BY$4,1)</f>
        <v>40</v>
      </c>
      <c r="BZ15" s="49" cm="1">
        <f t="array" ref="BZ15">IFERROR(INDEX(Crops[],BedPlan[[#This Row],[Chart Index]],BZ$4,1)*BedPlan[[#This Row],[Full Bed Equivalent]],"")</f>
        <v>2.03125</v>
      </c>
      <c r="CA15" cm="1">
        <f t="array" ref="CA15">INDEX(Crops[],BedPlan[[#This Row],[Chart Index]],CA$4,1)</f>
        <v>0</v>
      </c>
      <c r="CB15" cm="1">
        <f t="array" ref="CB15">INDEX(Crops[],BedPlan[[#This Row],[Chart Index]],CB$4,1)</f>
        <v>0</v>
      </c>
      <c r="CC15" s="49" t="str" cm="1">
        <f t="array" ref="CC15">IFERROR(INDEX(Crops[],BedPlan[[#This Row],[Chart Index]],CC$4,1)*BedPlan[[#This Row],[Full Bed Equivalent]],"")</f>
        <v/>
      </c>
      <c r="CD15" cm="1">
        <f t="array" ref="CD15">INDEX(Crops[],BedPlan[[#This Row],[Chart Index]],CD$4,1)</f>
        <v>0</v>
      </c>
      <c r="CE15" cm="1">
        <f t="array" ref="CE15">IF(INDEX(Crops[],BedPlan[[#This Row],[Chart Index]],CE$4,1)="",0,INDEX(Crops[],BedPlan[[#This Row],[Chart Index]],CE$4,1))</f>
        <v>0</v>
      </c>
      <c r="CF15" s="49" t="str" cm="1">
        <f t="array" ref="CF15">IFERROR(INDEX(Crops[],BedPlan[[#This Row],[Chart Index]],CF$4,1)*BedPlan[[#This Row],[Full Bed Equivalent]],"")</f>
        <v/>
      </c>
      <c r="CG15" cm="1">
        <f t="array" ref="CG15">IF(INDEX(Crops[],BedPlan[[#This Row],[Chart Index]],CG$4,1)="",0,INDEX(Crops[],BedPlan[[#This Row],[Chart Index]],CG$4,1))</f>
        <v>1.3</v>
      </c>
      <c r="CH15" cm="1">
        <f t="array" ref="CH15">IF(INDEX(Crops[],BedPlan[[#This Row],[Chart Index]],CH$4,1)="",0,INDEX(Crops[],BedPlan[[#This Row],[Chart Index]],CH$4,1))</f>
        <v>10</v>
      </c>
      <c r="CI15" t="str" cm="1">
        <f t="array" ref="CI15">INDEX(Crops[],BedPlan[[#This Row],[Chart Index]],CI$4,1)</f>
        <v>Tunnel</v>
      </c>
      <c r="CJ15" s="30" t="str">
        <f>_xlfn.TEXTJOIN(CHAR(10),FALSE,BedPlan[[#This Row],[Name]],BedPlan[[#This Row],[Variety]],BedPlan[[#This Row],[Company]])</f>
        <v xml:space="preserve">Basil
Basil Mix
</v>
      </c>
      <c r="CK15" s="32">
        <f>MAX( 0, MIN(BedPlan[[#This Row],[Expected End of Harvest]], EOMONTH(CK$4, 0)) - MAX(BedPlan[[#This Row],[Beginning of Harvest]], CK$4) + 1 )</f>
        <v>0</v>
      </c>
      <c r="CL15">
        <f>MAX( 0, MIN(BedPlan[[#This Row],[Expected End of Harvest]], EOMONTH(CL$4, 0)) - MAX(BedPlan[[#This Row],[Beginning of Harvest]], CL$4) + 1 )</f>
        <v>0</v>
      </c>
      <c r="CM15">
        <f>MAX( 0, MIN(BedPlan[[#This Row],[Expected End of Harvest]], EOMONTH(CM$4, 0)) - MAX(BedPlan[[#This Row],[Beginning of Harvest]], CM$4) + 1 )</f>
        <v>0</v>
      </c>
      <c r="CN15">
        <f>MAX( 0, MIN(BedPlan[[#This Row],[Expected End of Harvest]], EOMONTH(CN$4, 0)) - MAX(BedPlan[[#This Row],[Beginning of Harvest]], CN$4) + 1 )</f>
        <v>0</v>
      </c>
      <c r="CO15">
        <f>MAX( 0, MIN(BedPlan[[#This Row],[Expected End of Harvest]], EOMONTH(CO$4, 0)) - MAX(BedPlan[[#This Row],[Beginning of Harvest]], CO$4) + 1 )</f>
        <v>0</v>
      </c>
      <c r="CP15">
        <f>MAX( 0, MIN(BedPlan[[#This Row],[Expected End of Harvest]], EOMONTH(CP$4, 0)) - MAX(BedPlan[[#This Row],[Beginning of Harvest]], CP$4) + 1 )</f>
        <v>0</v>
      </c>
      <c r="CQ15">
        <f>MAX( 0, MIN(BedPlan[[#This Row],[Expected End of Harvest]], EOMONTH(CQ$4, 0)) - MAX(BedPlan[[#This Row],[Beginning of Harvest]], CQ$4) + 1 )</f>
        <v>0</v>
      </c>
      <c r="CR15">
        <f>MAX( 0, MIN(BedPlan[[#This Row],[Expected End of Harvest]], EOMONTH(CR$4, 0)) - MAX(BedPlan[[#This Row],[Beginning of Harvest]], CR$4) + 1 )</f>
        <v>10</v>
      </c>
      <c r="CS15">
        <f>MAX( 0, MIN(BedPlan[[#This Row],[Expected End of Harvest]], EOMONTH(CS$4, 0)) - MAX(BedPlan[[#This Row],[Beginning of Harvest]], CS$4) + 1 )</f>
        <v>30</v>
      </c>
      <c r="CT15">
        <f>MAX( 0, MIN(BedPlan[[#This Row],[Expected End of Harvest]], EOMONTH(CT$4, 0)) - MAX(BedPlan[[#This Row],[Beginning of Harvest]], CT$4) + 1 )</f>
        <v>10</v>
      </c>
      <c r="CU15">
        <f>MAX( 0, MIN(BedPlan[[#This Row],[Expected End of Harvest]], EOMONTH(CU$4, 0)) - MAX(BedPlan[[#This Row],[Beginning of Harvest]], CU$4) + 1 )</f>
        <v>0</v>
      </c>
      <c r="CV15">
        <f>MAX( 0, MIN(BedPlan[[#This Row],[Expected End of Harvest]], EOMONTH(CV$4, 0)) - MAX(BedPlan[[#This Row],[Beginning of Harvest]], CV$4) + 1 )</f>
        <v>0</v>
      </c>
      <c r="CW15">
        <f>MAX( 0, MIN(BedPlan[[#This Row],[Expected End of Harvest]], EOMONTH(CW$4, 0)) - MAX(BedPlan[[#This Row],[Beginning of Harvest]], CW$4) + 1 )</f>
        <v>0</v>
      </c>
      <c r="CX15">
        <f>MAX( 0, MIN(BedPlan[[#This Row],[Expected End of Harvest]], EOMONTH(CX$4, 0)) - MAX(BedPlan[[#This Row],[Beginning of Harvest]], CX$4) + 1 )</f>
        <v>0</v>
      </c>
      <c r="CY15">
        <f>MAX( 0, MIN(BedPlan[[#This Row],[Expected End of Harvest]], EOMONTH(CY$4, 0)) - MAX(BedPlan[[#This Row],[Beginning of Harvest]], CY$4) + 1 )</f>
        <v>0</v>
      </c>
      <c r="CZ15">
        <f>MAX( 0, MIN(BedPlan[[#This Row],[Expected End of Harvest]], EOMONTH(CZ$4, 0)) - MAX(BedPlan[[#This Row],[Beginning of Harvest]], CZ$4) + 1 )</f>
        <v>0</v>
      </c>
      <c r="DA15">
        <f>MAX( 0, MIN(BedPlan[[#This Row],[Expected End of Harvest]], EOMONTH(DA$4, 0)) - MAX(BedPlan[[#This Row],[Beginning of Harvest]], DA$4) + 1 )</f>
        <v>0</v>
      </c>
      <c r="DB15">
        <f>MAX( 0, MIN(BedPlan[[#This Row],[Expected End of Harvest]], EOMONTH(DB$4, 0)) - MAX(BedPlan[[#This Row],[Beginning of Harvest]], DB$4) + 1 )</f>
        <v>0</v>
      </c>
      <c r="DC15">
        <f>MAX( 0, MIN(BedPlan[[#This Row],[Expected End of Harvest]], EOMONTH(DC$4, 0)) - MAX(BedPlan[[#This Row],[Beginning of Harvest]], DC$4) + 1 )</f>
        <v>0</v>
      </c>
      <c r="DD15">
        <f>MAX( 0, MIN(BedPlan[[#This Row],[Expected End of Harvest]], EOMONTH(DD$4, 0)) - MAX(BedPlan[[#This Row],[Beginning of Harvest]], DD$4) + 1 )</f>
        <v>0</v>
      </c>
      <c r="DE15">
        <f>MAX( 0, MIN(BedPlan[[#This Row],[Expected End of Harvest]], EOMONTH(DE$4, 0)) - MAX(BedPlan[[#This Row],[Beginning of Harvest]], DE$4) + 1 )</f>
        <v>0</v>
      </c>
      <c r="DF15">
        <f>MAX( 0, MIN(BedPlan[[#This Row],[Expected End of Harvest]], EOMONTH(DF$4, 0)) - MAX(BedPlan[[#This Row],[Beginning of Harvest]], DF$4) + 1 )</f>
        <v>0</v>
      </c>
      <c r="DG15">
        <f>MAX( 0, MIN(BedPlan[[#This Row],[Expected End of Harvest]], EOMONTH(DG$4, 0)) - MAX(BedPlan[[#This Row],[Beginning of Harvest]], DG$4) + 1 )</f>
        <v>0</v>
      </c>
      <c r="DH15">
        <f>MAX( 0, MIN(BedPlan[[#This Row],[Expected End of Harvest]], EOMONTH(DH$4, 0)) - MAX(BedPlan[[#This Row],[Beginning of Harvest]], DH$4) + 1 )</f>
        <v>0</v>
      </c>
      <c r="DI15" s="257" cm="1">
        <f t="array" ref="DI15">BedPlan[[#This Row],[Harvest Days January 2025]]/SUM(BedPlan[[#This Row],[Harvest Days January 2025]:[Harvest Days December 2026]])*BedPlan[[#This Row],[Revenue]:[Revenue]]</f>
        <v>0</v>
      </c>
      <c r="DJ15" s="257" cm="1">
        <f t="array" ref="DJ15">BedPlan[[#This Row],[Harvest Days February 2025]]/SUM(BedPlan[[#This Row],[Harvest Days January 2025]:[Harvest Days December 2026]])*BedPlan[[#This Row],[Revenue]:[Revenue]]</f>
        <v>0</v>
      </c>
      <c r="DK15" s="257" cm="1">
        <f t="array" ref="DK15">BedPlan[[#This Row],[Harvest Days March 2025]]/SUM(BedPlan[[#This Row],[Harvest Days January 2025]:[Harvest Days December 2026]])*BedPlan[[#This Row],[Revenue]:[Revenue]]</f>
        <v>0</v>
      </c>
      <c r="DL15" s="257" cm="1">
        <f t="array" ref="DL15">BedPlan[[#This Row],[Harvest Days April 2025]]/SUM(BedPlan[[#This Row],[Harvest Days January 2025]:[Harvest Days December 2026]])*BedPlan[[#This Row],[Revenue]:[Revenue]]</f>
        <v>0</v>
      </c>
      <c r="DM15" s="257" cm="1">
        <f t="array" ref="DM15">BedPlan[[#This Row],[Harvest Days May 2025]]/SUM(BedPlan[[#This Row],[Harvest Days January 2025]:[Harvest Days December 2026]])*BedPlan[[#This Row],[Revenue]:[Revenue]]</f>
        <v>0</v>
      </c>
      <c r="DN15" s="257" cm="1">
        <f t="array" ref="DN15">BedPlan[[#This Row],[Harvest Days June 2025]]/SUM(BedPlan[[#This Row],[Harvest Days January 2025]:[Harvest Days December 2026]])*BedPlan[[#This Row],[Revenue]:[Revenue]]</f>
        <v>0</v>
      </c>
      <c r="DO15" s="257" cm="1">
        <f t="array" ref="DO15">BedPlan[[#This Row],[Harvest Days July 2025]]/SUM(BedPlan[[#This Row],[Harvest Days January 2025]:[Harvest Days December 2026]])*BedPlan[[#This Row],[Revenue]:[Revenue]]</f>
        <v>0</v>
      </c>
      <c r="DP15" s="257" cm="1">
        <f t="array" ref="DP15">BedPlan[[#This Row],[Harvest Days August 2025]]/SUM(BedPlan[[#This Row],[Harvest Days January 2025]:[Harvest Days December 2026]])*BedPlan[[#This Row],[Revenue]:[Revenue]]</f>
        <v>65</v>
      </c>
      <c r="DQ15" s="257" cm="1">
        <f t="array" ref="DQ15">BedPlan[[#This Row],[Harvest Days September 2025]]/SUM(BedPlan[[#This Row],[Harvest Days January 2025]:[Harvest Days December 2026]])*BedPlan[[#This Row],[Revenue]:[Revenue]]</f>
        <v>195</v>
      </c>
      <c r="DR15" s="257" cm="1">
        <f t="array" ref="DR15">BedPlan[[#This Row],[Harvest Days October 2025]]/SUM(BedPlan[[#This Row],[Harvest Days January 2025]:[Harvest Days December 2026]])*BedPlan[[#This Row],[Revenue]:[Revenue]]</f>
        <v>65</v>
      </c>
      <c r="DS15" s="257" cm="1">
        <f t="array" ref="DS15">BedPlan[[#This Row],[Harvest Days November 2025]]/SUM(BedPlan[[#This Row],[Harvest Days January 2025]:[Harvest Days December 2026]])*BedPlan[[#This Row],[Revenue]:[Revenue]]</f>
        <v>0</v>
      </c>
      <c r="DT15" s="257" cm="1">
        <f t="array" ref="DT15">BedPlan[[#This Row],[Harvest Days December 2025]]/SUM(BedPlan[[#This Row],[Harvest Days January 2025]:[Harvest Days December 2026]])*BedPlan[[#This Row],[Revenue]:[Revenue]]</f>
        <v>0</v>
      </c>
      <c r="DU15" s="257" cm="1">
        <f t="array" ref="DU15">BedPlan[[#This Row],[Harvest Days January 2026]]/SUM(BedPlan[[#This Row],[Harvest Days January 2025]:[Harvest Days December 2026]])*BedPlan[[#This Row],[Revenue]:[Revenue]]</f>
        <v>0</v>
      </c>
      <c r="DV15" s="257" cm="1">
        <f t="array" ref="DV15">BedPlan[[#This Row],[Harvest Days February 2026]]/SUM(BedPlan[[#This Row],[Harvest Days January 2025]:[Harvest Days December 2026]])*BedPlan[[#This Row],[Revenue]:[Revenue]]</f>
        <v>0</v>
      </c>
      <c r="DW15" s="257" cm="1">
        <f t="array" ref="DW15">BedPlan[[#This Row],[Harvest Days March 2026]]/SUM(BedPlan[[#This Row],[Harvest Days January 2025]:[Harvest Days December 2026]])*BedPlan[[#This Row],[Revenue]:[Revenue]]</f>
        <v>0</v>
      </c>
      <c r="DX15" s="257" cm="1">
        <f t="array" ref="DX15">BedPlan[[#This Row],[Harvest Days April 2026]]/SUM(BedPlan[[#This Row],[Harvest Days January 2025]:[Harvest Days December 2026]])*BedPlan[[#This Row],[Revenue]:[Revenue]]</f>
        <v>0</v>
      </c>
      <c r="DY15" s="257" cm="1">
        <f t="array" ref="DY15">BedPlan[[#This Row],[Harvest Days May 2026]]/SUM(BedPlan[[#This Row],[Harvest Days January 2025]:[Harvest Days December 2026]])*BedPlan[[#This Row],[Revenue]:[Revenue]]</f>
        <v>0</v>
      </c>
      <c r="DZ15" s="257" cm="1">
        <f t="array" ref="DZ15">BedPlan[[#This Row],[Harvest Days June 2026]]/SUM(BedPlan[[#This Row],[Harvest Days January 2025]:[Harvest Days December 2026]])*BedPlan[[#This Row],[Revenue]:[Revenue]]</f>
        <v>0</v>
      </c>
      <c r="EA15" s="257" cm="1">
        <f t="array" ref="EA15">BedPlan[[#This Row],[Harvest Days July 2026]]/SUM(BedPlan[[#This Row],[Harvest Days January 2025]:[Harvest Days December 2026]])*BedPlan[[#This Row],[Revenue]:[Revenue]]</f>
        <v>0</v>
      </c>
      <c r="EB15" s="257" cm="1">
        <f t="array" ref="EB15">BedPlan[[#This Row],[Harvest Days August 2026]]/SUM(BedPlan[[#This Row],[Harvest Days January 2025]:[Harvest Days December 2026]])*BedPlan[[#This Row],[Revenue]:[Revenue]]</f>
        <v>0</v>
      </c>
      <c r="EC15" s="257" cm="1">
        <f t="array" ref="EC15">BedPlan[[#This Row],[Harvest Days September 2026]]/SUM(BedPlan[[#This Row],[Harvest Days January 2025]:[Harvest Days December 2026]])*BedPlan[[#This Row],[Revenue]:[Revenue]]</f>
        <v>0</v>
      </c>
      <c r="ED15" s="257" cm="1">
        <f t="array" ref="ED15">BedPlan[[#This Row],[Harvest Days October 2026]]/SUM(BedPlan[[#This Row],[Harvest Days January 2025]:[Harvest Days December 2026]])*BedPlan[[#This Row],[Revenue]:[Revenue]]</f>
        <v>0</v>
      </c>
      <c r="EE15" s="257" cm="1">
        <f t="array" ref="EE15">BedPlan[[#This Row],[Harvest Days November 2026]]/SUM(BedPlan[[#This Row],[Harvest Days January 2025]:[Harvest Days December 2026]])*BedPlan[[#This Row],[Revenue]:[Revenue]]</f>
        <v>0</v>
      </c>
      <c r="EF15" s="257" cm="1">
        <f t="array" ref="EF15">BedPlan[[#This Row],[Harvest Days December 2026]]/SUM(BedPlan[[#This Row],[Harvest Days January 2025]:[Harvest Days December 2026]])*BedPlan[[#This Row],[Revenue]:[Revenue]]</f>
        <v>0</v>
      </c>
      <c r="EG15" t="b">
        <f>SUM(BedPlan[[#This Row],[Revenue January 2025]:[Revenue December 2026]])=BedPlan[[#This Row],[Revenue]]</f>
        <v>1</v>
      </c>
      <c r="EH15" s="30" cm="1">
        <f t="array" ref="EH15">INDEX(Crops[],BedPlan[[#This Row],[Chart Index]],EH$4,1)*BedPlan[[#This Row],['# Of Beds]]</f>
        <v>100</v>
      </c>
      <c r="EI15" s="30" t="str" cm="1">
        <f t="array" ref="EI15">INDEX(Crops[],BedPlan[[#This Row],[Chart Index]],EI$4,1)</f>
        <v>Bunch</v>
      </c>
      <c r="EJ15" s="30" t="str" cm="1">
        <f t="array" ref="EJ15">INDEX(Crops[],BedPlan[[#This Row],[Chart Index]],EJ$4,1)</f>
        <v>Mature Leaf</v>
      </c>
      <c r="EK15" s="30" t="str">
        <f>BedPlan[[#This Row],[Name]]&amp;" "&amp;BedPlan[[#This Row],[Product]]&amp; " - " &amp;BedPlan[[#This Row],[Unit]]</f>
        <v>Basil Mature Leaf - Bunch</v>
      </c>
      <c r="EL15" s="33" cm="1">
        <f t="array" ref="EL15">BedPlan[[#This Row],[Harvest Days January 2025]]/SUM(BedPlan[[#This Row],[Harvest Days January 2025]:[Harvest Days December 2026]])*BedPlan[[#This Row],[Yield]:[Yield]]</f>
        <v>0</v>
      </c>
      <c r="EM15" s="33" cm="1">
        <f t="array" ref="EM15">BedPlan[[#This Row],[Harvest Days February 2025]]/SUM(BedPlan[[#This Row],[Harvest Days January 2025]:[Harvest Days December 2026]])*BedPlan[[#This Row],[Yield]:[Yield]]</f>
        <v>0</v>
      </c>
      <c r="EN15" s="33" cm="1">
        <f t="array" ref="EN15">BedPlan[[#This Row],[Harvest Days March 2025]]/SUM(BedPlan[[#This Row],[Harvest Days January 2025]:[Harvest Days December 2026]])*BedPlan[[#This Row],[Yield]:[Yield]]</f>
        <v>0</v>
      </c>
      <c r="EO15" s="33" cm="1">
        <f t="array" ref="EO15">BedPlan[[#This Row],[Harvest Days April 2025]]/SUM(BedPlan[[#This Row],[Harvest Days January 2025]:[Harvest Days December 2026]])*BedPlan[[#This Row],[Yield]:[Yield]]</f>
        <v>0</v>
      </c>
      <c r="EP15" s="33" cm="1">
        <f t="array" ref="EP15">BedPlan[[#This Row],[Harvest Days May 2025]]/SUM(BedPlan[[#This Row],[Harvest Days January 2025]:[Harvest Days December 2026]])*BedPlan[[#This Row],[Yield]:[Yield]]</f>
        <v>0</v>
      </c>
      <c r="EQ15" s="33" cm="1">
        <f t="array" ref="EQ15">BedPlan[[#This Row],[Harvest Days June 2025]]/SUM(BedPlan[[#This Row],[Harvest Days January 2025]:[Harvest Days December 2026]])*BedPlan[[#This Row],[Yield]:[Yield]]</f>
        <v>0</v>
      </c>
      <c r="ER15" s="33" cm="1">
        <f t="array" ref="ER15">BedPlan[[#This Row],[Harvest Days July 2025]]/SUM(BedPlan[[#This Row],[Harvest Days January 2025]:[Harvest Days December 2026]])*BedPlan[[#This Row],[Yield]:[Yield]]</f>
        <v>0</v>
      </c>
      <c r="ES15" s="33" cm="1">
        <f t="array" ref="ES15">BedPlan[[#This Row],[Harvest Days August 2025]]/SUM(BedPlan[[#This Row],[Harvest Days January 2025]:[Harvest Days December 2026]])*BedPlan[[#This Row],[Yield]:[Yield]]</f>
        <v>20</v>
      </c>
      <c r="ET15" s="33" cm="1">
        <f t="array" ref="ET15">BedPlan[[#This Row],[Harvest Days September 2025]]/SUM(BedPlan[[#This Row],[Harvest Days January 2025]:[Harvest Days December 2026]])*BedPlan[[#This Row],[Yield]:[Yield]]</f>
        <v>60</v>
      </c>
      <c r="EU15" s="33" cm="1">
        <f t="array" ref="EU15">BedPlan[[#This Row],[Harvest Days October 2025]]/SUM(BedPlan[[#This Row],[Harvest Days January 2025]:[Harvest Days December 2026]])*BedPlan[[#This Row],[Yield]:[Yield]]</f>
        <v>20</v>
      </c>
      <c r="EV15" s="33" cm="1">
        <f t="array" ref="EV15">BedPlan[[#This Row],[Harvest Days November 2025]]/SUM(BedPlan[[#This Row],[Harvest Days January 2025]:[Harvest Days December 2026]])*BedPlan[[#This Row],[Yield]:[Yield]]</f>
        <v>0</v>
      </c>
      <c r="EW15" s="33" cm="1">
        <f t="array" ref="EW15">BedPlan[[#This Row],[Harvest Days December 2025]]/SUM(BedPlan[[#This Row],[Harvest Days January 2025]:[Harvest Days December 2026]])*BedPlan[[#This Row],[Yield]:[Yield]]</f>
        <v>0</v>
      </c>
    </row>
    <row r="16" spans="1:153" ht="15.75" customHeight="1">
      <c r="A16" s="27" t="s">
        <v>3125</v>
      </c>
      <c r="B16" t="s">
        <v>2726</v>
      </c>
      <c r="C16" t="s">
        <v>1497</v>
      </c>
      <c r="D16" s="226" t="e" cm="1">
        <f t="array" ref="D16">INDEX(Crops[],BedPlan[[#This Row],[Chart Index]],D$4,1)*BedPlan[[#This Row],[Full Bed Equivalent]]</f>
        <v>#N/A</v>
      </c>
      <c r="E16" s="226" t="e" cm="1">
        <f t="array" ref="E16">INDEX(Crops[],BedPlan[[#This Row],[Chart Index]],E$4,1)*BedPlan[[#This Row],[Full Bed Equivalent]]</f>
        <v>#N/A</v>
      </c>
      <c r="F16" t="str">
        <f>UPPER(LEFT(BedPlan[[#This Row],[Crop]],3))</f>
        <v>BAS</v>
      </c>
      <c r="H16" s="143" t="str" cm="1">
        <f t="array" ref="H16">INDEX(Crops[],BedPlan[[#This Row],[Chart Index]],H$4,1)</f>
        <v>Basil</v>
      </c>
      <c r="I16" t="s">
        <v>147</v>
      </c>
      <c r="J16" t="s">
        <v>484</v>
      </c>
      <c r="K16" t="str" cm="1">
        <f t="array" ref="K16">IF(ISNUMBER(MATCH(BedPlan[[#This Row],[Variety]],SeedMixes[Name],)),_xlfn.TEXTJOIN(", ",TRUE,_xlfn._xlws.FILTER(SeedMixes[Variety &amp; Company],SeedMixes[Name]=BedPlan[[#This Row],[Variety]])),"")</f>
        <v/>
      </c>
      <c r="L16" s="33" cm="1">
        <f t="array" ref="L16">INDEX(Crops[],BedPlan[[#This Row],[Chart Index]],L$4,1)*BedPlan[[#This Row],[Full Bed Equivalent]]</f>
        <v>52</v>
      </c>
      <c r="N16">
        <v>0.4</v>
      </c>
      <c r="O16">
        <v>1</v>
      </c>
      <c r="P16" s="31">
        <f>IF(ISNUMBER(BedPlan[[#This Row],[Planned Greenhouse Start Date]]),BedPlan[[#This Row],[Planned Greenhouse Start Date]],BedPlan[[#This Row],[Planned TP or DS Date]])</f>
        <v>45758</v>
      </c>
      <c r="Q16" s="259">
        <f>IF(BedPlan[[#This Row],[Days in Cells]]=0,"",IFERROR(_xlfn.XLOOKUP(BedPlan[[#This Row],[Follows Crop]],BedPlan[Identifier],BedPlan[Expected End of Harvest]) + 1+BedPlan[[#This Row],[Follow Offset]],BedPlan[[#This Row],[Fixed Field Start Date]])-BedPlan[[#This Row],[Days in Cells]])</f>
        <v>45758</v>
      </c>
      <c r="R16" s="259">
        <v>45763</v>
      </c>
      <c r="S16" s="259">
        <f>IF(ISNUMBER(BedPlan[[#This Row],[Actual Greenhouse Date]]),BedPlan[[#This Row],[Actual Greenhouse Date]],BedPlan[[#This Row],[Planned Greenhouse Start Date]])</f>
        <v>45763</v>
      </c>
      <c r="T16" s="259">
        <f>_xlfn.XLOOKUP(BedPlan[[#This Row],[Crop]],Crops[Identifier],Crops[Target Field Date])</f>
        <v>45798</v>
      </c>
      <c r="U16" s="260"/>
      <c r="V16" s="260"/>
      <c r="W1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45803</v>
      </c>
      <c r="X16" s="259">
        <v>45812</v>
      </c>
      <c r="Y16" s="271">
        <f>BedPlan[[#This Row],[Actual TP or DS Date]]-BedPlan[[#This Row],[Planned TP or DS Date]]</f>
        <v>9</v>
      </c>
      <c r="Z16" s="259">
        <f>IF(ISNUMBER(BedPlan[[#This Row],[Actual TP or DS Date]]),BedPlan[[#This Row],[Actual TP or DS Date]],BedPlan[[#This Row],[Planned TP or DS Date]])</f>
        <v>45812</v>
      </c>
      <c r="AA16" s="260"/>
      <c r="AB16" s="259">
        <f>IF(ISNUMBER(BedPlan[[#This Row],[Greenhouse Start Date]]),BedPlan[[#This Row],[Greenhouse Start Date]]+BedPlan[[#This Row],[DTM]],BedPlan[[#This Row],[TP or DS Date]]+BedPlan[[#This Row],[DTM]])</f>
        <v>45863</v>
      </c>
      <c r="AC16" s="259"/>
      <c r="AD16" s="259">
        <f>IF(ISNUMBER(BedPlan[[#This Row],[Actual Beginning of Harvest]]),BedPlan[[#This Row],[Actual Beginning of Harvest]],BedPlan[[#This Row],[Expected Beginning of Harvest]])</f>
        <v>45863</v>
      </c>
      <c r="AE16" s="259">
        <f>BedPlan[[#This Row],[Expected Beginning of Harvest]]+BedPlan[[#This Row],[Harvest Window]]+BedPlan[[#This Row],[Additional Days of Harvest]]</f>
        <v>45975</v>
      </c>
      <c r="AF16" s="259"/>
      <c r="AG16" s="259"/>
      <c r="AH16" s="31" t="b">
        <f>IF(AND( BedPlan[[#This Row],[Expected End of Harvest]] &gt;= DATE(2025, 8, 1), BedPlan[[#This Row],[Beginning of Harvest]] &lt;= DATE(2025, 8, 31) ), TRUE, FALSE)</f>
        <v>1</v>
      </c>
      <c r="AI16" s="31"/>
      <c r="AJ16" s="31">
        <f>IF(ISNUMBER(BedPlan[[#This Row],[Actual End of Harvest]]),BedPlan[[#This Row],[Actual End of Harvest]],BedPlan[[#This Row],[Expected End of Harvest]])</f>
        <v>45975</v>
      </c>
      <c r="AK16" t="b">
        <f>OR(ISNUMBER(BedPlan[[#This Row],[Actual Greenhouse Date]]),ISNUMBER(BedPlan[[#This Row],[Actual TP or DS Date]]))</f>
        <v>1</v>
      </c>
      <c r="AL16" s="52" t="b">
        <f>IF(ISNUMBER(BedPlan[[#This Row],[Planned Greenhouse Start Date]]),OR(ISNUMBER(BedPlan[[#This Row],[Actual TP or DS Date]]),BedPlan[[#This Row],[Failed]]),"-")</f>
        <v>1</v>
      </c>
      <c r="AM16" t="b">
        <f>OR(ISNUMBER(BedPlan[[#This Row],[Actual End of Harvest]]),BedPlan[[#This Row],[Failed]])</f>
        <v>0</v>
      </c>
      <c r="AN16" t="b">
        <f>OR(BedPlan[[#This Row],[Harvest Done]],BedPlan[[#This Row],[Failed]],BedPlan[[#This Row],[Name]]="Tarp")</f>
        <v>0</v>
      </c>
      <c r="AS16" s="26" t="str">
        <f>IF(BedPlan[[#This Row],[Broadfork]],BedPlan[[#This Row],[Actual TP or DS Date]],"")</f>
        <v/>
      </c>
      <c r="AT16" s="26" t="str">
        <f>IF(BedPlan[[#This Row],[Tilther]],BedPlan[[#This Row],[Actual TP or DS Date]],"")</f>
        <v/>
      </c>
      <c r="AU16" s="26" t="str">
        <f>IF(NOT(ISBLANK(BedPlan[[#This Row],[Amend]])),BedPlan[[#This Row],[Actual TP or DS Date]],"")</f>
        <v/>
      </c>
      <c r="AV16" s="26" t="str">
        <f>IF(BedPlan[[#This Row],[Row Cover]],BedPlan[[#This Row],[Actual TP or DS Date]],"")</f>
        <v/>
      </c>
      <c r="AX16" s="26"/>
      <c r="AZ16" s="26"/>
      <c r="BB16" s="26"/>
      <c r="BC16" s="231" cm="1">
        <f t="array" ref="BC16">INDEX(Crops[],BedPlan[[#This Row],[Chart Index]],BC$4,1)*BedPlan[[#This Row],[Full Bed Equivalent]]</f>
        <v>420</v>
      </c>
      <c r="BD16" s="231" cm="1">
        <f t="array" ref="BD16">INDEX(Crops[],BedPlan[[#This Row],[Chart Index]],BD$4,1)*BedPlan[[#This Row],[Full Bed Equivalent]]</f>
        <v>2.4418604651162794</v>
      </c>
      <c r="BE16" cm="1">
        <f t="array" ref="BE16">INDEX(Crops[],BedPlan[[#This Row],[Chart Index]],BE$4,1)+BedPlan[[#This Row],[Additional Days in Cells]]+BedPlan[[#This Row],[Additional Days In Field]]</f>
        <v>100</v>
      </c>
      <c r="BG16" cm="1">
        <f t="array" ref="BG16">INDEX(Crops[],BedPlan[[#This Row],[Chart Index]],BG$4,1)</f>
        <v>112</v>
      </c>
      <c r="BH16" t="str">
        <f>IF(ISNUMBER(BedPlan[[#This Row],[Planned Greenhouse Start Date]]),"TP","DS")</f>
        <v>TP</v>
      </c>
      <c r="BI16">
        <f>BedPlan[[#This Row],['# Of Beds]]</f>
        <v>0.4</v>
      </c>
      <c r="BJ16" cm="1">
        <f t="array" ref="BJ16">INDEX(Crops[],BedPlan[[#This Row],[Chart Index]],BJ$4,1)</f>
        <v>40</v>
      </c>
      <c r="BK16" cm="1">
        <f t="array" ref="BK16">INDEX(Crops[],BedPlan[[#This Row],[Chart Index]],BK$4,1)</f>
        <v>2</v>
      </c>
      <c r="BL16" cm="1">
        <f t="array" ref="BL16">INDEX(Crops[],BedPlan[[#This Row],[Chart Index]],BL$4,1)</f>
        <v>12</v>
      </c>
      <c r="BM16" cm="1">
        <f t="array" ref="BM16">INDEX(Crops[],BedPlan[[#This Row],[Chart Index]],BM$4,1)</f>
        <v>1</v>
      </c>
      <c r="BN16" s="32" cm="1">
        <f t="array" ref="BN16">INDEX(Crops[],BedPlan[[#This Row],[Chart Index]],BN$4,1)*BedPlan[[#This Row],[Full Bed Equivalent]]</f>
        <v>40</v>
      </c>
      <c r="BO16" t="str" cm="1">
        <f t="array" ref="BO16">IF(INDEX(Crops[],BedPlan[[#This Row],[Chart Index]],BO$4,1)=0,"",INDEX(Crops[],BedPlan[[#This Row],[Chart Index]],BO$4,1))</f>
        <v/>
      </c>
      <c r="BP16">
        <f>MATCH(BedPlan[[#This Row],[Crop]],Crops[Identifier],FALSE)</f>
        <v>20</v>
      </c>
      <c r="BQ16" t="str" cm="1">
        <f t="array" ref="BQ16">INDEX(Crops[],BedPlan[[#This Row],[Chart Index]],BQ$4,1)</f>
        <v>Tulsi</v>
      </c>
      <c r="BR16" t="str" cm="1">
        <f t="array" ref="BR16">INDEX(Crops[],BedPlan[[#This Row],[Chart Index]],BR$4,1)</f>
        <v/>
      </c>
      <c r="BS16" s="32">
        <f>BedPlan[[#This Row],[Expected Beginning of Harvest]]-DATE(2023,1,1)</f>
        <v>936</v>
      </c>
      <c r="BT16">
        <f>BedPlan[[#This Row],[Expected End of Harvest]]-BedPlan[[#This Row],[Expected Beginning of Harvest]]</f>
        <v>112</v>
      </c>
      <c r="BU16" t="str" cm="1">
        <f t="array" ref="BU16">INDEX(Crops[],BedPlan[[#This Row],[Chart Index]],BU$4,1)</f>
        <v>Herb</v>
      </c>
      <c r="BV16" cm="1">
        <f t="array" ref="BV16">INDEX(Crops[],BedPlan[[#This Row],[Chart Index]],BV$4,1)</f>
        <v>2</v>
      </c>
      <c r="BW16" t="str" cm="1">
        <f t="array" ref="BW16">INDEX(Crops[],BedPlan[[#This Row],[Chart Index]],BW$4,1)</f>
        <v>None</v>
      </c>
      <c r="BX16" cm="1">
        <f t="array" ref="BX16">INDEX(Crops[],BedPlan[[#This Row],[Chart Index]],BX$4,1)</f>
        <v>128</v>
      </c>
      <c r="BY16" cm="1">
        <f t="array" ref="BY16">INDEX(Crops[],BedPlan[[#This Row],[Chart Index]],BY$4,1)</f>
        <v>40</v>
      </c>
      <c r="BZ16" s="49" cm="1">
        <f t="array" ref="BZ16">IFERROR(INDEX(Crops[],BedPlan[[#This Row],[Chart Index]],BZ$4,1)*BedPlan[[#This Row],[Full Bed Equivalent]],"")</f>
        <v>0.40625</v>
      </c>
      <c r="CA16" cm="1">
        <f t="array" ref="CA16">INDEX(Crops[],BedPlan[[#This Row],[Chart Index]],CA$4,1)</f>
        <v>0</v>
      </c>
      <c r="CB16" cm="1">
        <f t="array" ref="CB16">INDEX(Crops[],BedPlan[[#This Row],[Chart Index]],CB$4,1)</f>
        <v>0</v>
      </c>
      <c r="CC16" s="49" t="str" cm="1">
        <f t="array" ref="CC16">IFERROR(INDEX(Crops[],BedPlan[[#This Row],[Chart Index]],CC$4,1)*BedPlan[[#This Row],[Full Bed Equivalent]],"")</f>
        <v/>
      </c>
      <c r="CD16" cm="1">
        <f t="array" ref="CD16">INDEX(Crops[],BedPlan[[#This Row],[Chart Index]],CD$4,1)</f>
        <v>0</v>
      </c>
      <c r="CE16" cm="1">
        <f t="array" ref="CE16">IF(INDEX(Crops[],BedPlan[[#This Row],[Chart Index]],CE$4,1)="",0,INDEX(Crops[],BedPlan[[#This Row],[Chart Index]],CE$4,1))</f>
        <v>0</v>
      </c>
      <c r="CF16" s="49" t="str" cm="1">
        <f t="array" ref="CF16">IFERROR(INDEX(Crops[],BedPlan[[#This Row],[Chart Index]],CF$4,1)*BedPlan[[#This Row],[Full Bed Equivalent]],"")</f>
        <v/>
      </c>
      <c r="CG16" cm="1">
        <f t="array" ref="CG16">IF(INDEX(Crops[],BedPlan[[#This Row],[Chart Index]],CG$4,1)="",0,INDEX(Crops[],BedPlan[[#This Row],[Chart Index]],CG$4,1))</f>
        <v>1.3</v>
      </c>
      <c r="CH16" cm="1">
        <f t="array" ref="CH16">IF(INDEX(Crops[],BedPlan[[#This Row],[Chart Index]],CH$4,1)="",0,INDEX(Crops[],BedPlan[[#This Row],[Chart Index]],CH$4,1))</f>
        <v>10</v>
      </c>
      <c r="CI16" t="str" cm="1">
        <f t="array" ref="CI16">INDEX(Crops[],BedPlan[[#This Row],[Chart Index]],CI$4,1)</f>
        <v>Field</v>
      </c>
      <c r="CJ16" s="30" t="str">
        <f>_xlfn.TEXTJOIN(CHAR(10),FALSE,BedPlan[[#This Row],[Name]],BedPlan[[#This Row],[Variety]],BedPlan[[#This Row],[Company]])</f>
        <v>Basil
Tulsi
Uprising</v>
      </c>
      <c r="CK16" s="32">
        <f>MAX( 0, MIN(BedPlan[[#This Row],[Expected End of Harvest]], EOMONTH(CK$4, 0)) - MAX(BedPlan[[#This Row],[Beginning of Harvest]], CK$4) + 1 )</f>
        <v>0</v>
      </c>
      <c r="CL16">
        <f>MAX( 0, MIN(BedPlan[[#This Row],[Expected End of Harvest]], EOMONTH(CL$4, 0)) - MAX(BedPlan[[#This Row],[Beginning of Harvest]], CL$4) + 1 )</f>
        <v>0</v>
      </c>
      <c r="CM16">
        <f>MAX( 0, MIN(BedPlan[[#This Row],[Expected End of Harvest]], EOMONTH(CM$4, 0)) - MAX(BedPlan[[#This Row],[Beginning of Harvest]], CM$4) + 1 )</f>
        <v>0</v>
      </c>
      <c r="CN16">
        <f>MAX( 0, MIN(BedPlan[[#This Row],[Expected End of Harvest]], EOMONTH(CN$4, 0)) - MAX(BedPlan[[#This Row],[Beginning of Harvest]], CN$4) + 1 )</f>
        <v>0</v>
      </c>
      <c r="CO16">
        <f>MAX( 0, MIN(BedPlan[[#This Row],[Expected End of Harvest]], EOMONTH(CO$4, 0)) - MAX(BedPlan[[#This Row],[Beginning of Harvest]], CO$4) + 1 )</f>
        <v>0</v>
      </c>
      <c r="CP16">
        <f>MAX( 0, MIN(BedPlan[[#This Row],[Expected End of Harvest]], EOMONTH(CP$4, 0)) - MAX(BedPlan[[#This Row],[Beginning of Harvest]], CP$4) + 1 )</f>
        <v>0</v>
      </c>
      <c r="CQ16">
        <f>MAX( 0, MIN(BedPlan[[#This Row],[Expected End of Harvest]], EOMONTH(CQ$4, 0)) - MAX(BedPlan[[#This Row],[Beginning of Harvest]], CQ$4) + 1 )</f>
        <v>7</v>
      </c>
      <c r="CR16">
        <f>MAX( 0, MIN(BedPlan[[#This Row],[Expected End of Harvest]], EOMONTH(CR$4, 0)) - MAX(BedPlan[[#This Row],[Beginning of Harvest]], CR$4) + 1 )</f>
        <v>31</v>
      </c>
      <c r="CS16">
        <f>MAX( 0, MIN(BedPlan[[#This Row],[Expected End of Harvest]], EOMONTH(CS$4, 0)) - MAX(BedPlan[[#This Row],[Beginning of Harvest]], CS$4) + 1 )</f>
        <v>30</v>
      </c>
      <c r="CT16">
        <f>MAX( 0, MIN(BedPlan[[#This Row],[Expected End of Harvest]], EOMONTH(CT$4, 0)) - MAX(BedPlan[[#This Row],[Beginning of Harvest]], CT$4) + 1 )</f>
        <v>31</v>
      </c>
      <c r="CU16">
        <f>MAX( 0, MIN(BedPlan[[#This Row],[Expected End of Harvest]], EOMONTH(CU$4, 0)) - MAX(BedPlan[[#This Row],[Beginning of Harvest]], CU$4) + 1 )</f>
        <v>14</v>
      </c>
      <c r="CV16">
        <f>MAX( 0, MIN(BedPlan[[#This Row],[Expected End of Harvest]], EOMONTH(CV$4, 0)) - MAX(BedPlan[[#This Row],[Beginning of Harvest]], CV$4) + 1 )</f>
        <v>0</v>
      </c>
      <c r="CW16">
        <f>MAX( 0, MIN(BedPlan[[#This Row],[Expected End of Harvest]], EOMONTH(CW$4, 0)) - MAX(BedPlan[[#This Row],[Beginning of Harvest]], CW$4) + 1 )</f>
        <v>0</v>
      </c>
      <c r="CX16">
        <f>MAX( 0, MIN(BedPlan[[#This Row],[Expected End of Harvest]], EOMONTH(CX$4, 0)) - MAX(BedPlan[[#This Row],[Beginning of Harvest]], CX$4) + 1 )</f>
        <v>0</v>
      </c>
      <c r="CY16">
        <f>MAX( 0, MIN(BedPlan[[#This Row],[Expected End of Harvest]], EOMONTH(CY$4, 0)) - MAX(BedPlan[[#This Row],[Beginning of Harvest]], CY$4) + 1 )</f>
        <v>0</v>
      </c>
      <c r="CZ16">
        <f>MAX( 0, MIN(BedPlan[[#This Row],[Expected End of Harvest]], EOMONTH(CZ$4, 0)) - MAX(BedPlan[[#This Row],[Beginning of Harvest]], CZ$4) + 1 )</f>
        <v>0</v>
      </c>
      <c r="DA16">
        <f>MAX( 0, MIN(BedPlan[[#This Row],[Expected End of Harvest]], EOMONTH(DA$4, 0)) - MAX(BedPlan[[#This Row],[Beginning of Harvest]], DA$4) + 1 )</f>
        <v>0</v>
      </c>
      <c r="DB16">
        <f>MAX( 0, MIN(BedPlan[[#This Row],[Expected End of Harvest]], EOMONTH(DB$4, 0)) - MAX(BedPlan[[#This Row],[Beginning of Harvest]], DB$4) + 1 )</f>
        <v>0</v>
      </c>
      <c r="DC16">
        <f>MAX( 0, MIN(BedPlan[[#This Row],[Expected End of Harvest]], EOMONTH(DC$4, 0)) - MAX(BedPlan[[#This Row],[Beginning of Harvest]], DC$4) + 1 )</f>
        <v>0</v>
      </c>
      <c r="DD16">
        <f>MAX( 0, MIN(BedPlan[[#This Row],[Expected End of Harvest]], EOMONTH(DD$4, 0)) - MAX(BedPlan[[#This Row],[Beginning of Harvest]], DD$4) + 1 )</f>
        <v>0</v>
      </c>
      <c r="DE16">
        <f>MAX( 0, MIN(BedPlan[[#This Row],[Expected End of Harvest]], EOMONTH(DE$4, 0)) - MAX(BedPlan[[#This Row],[Beginning of Harvest]], DE$4) + 1 )</f>
        <v>0</v>
      </c>
      <c r="DF16">
        <f>MAX( 0, MIN(BedPlan[[#This Row],[Expected End of Harvest]], EOMONTH(DF$4, 0)) - MAX(BedPlan[[#This Row],[Beginning of Harvest]], DF$4) + 1 )</f>
        <v>0</v>
      </c>
      <c r="DG16">
        <f>MAX( 0, MIN(BedPlan[[#This Row],[Expected End of Harvest]], EOMONTH(DG$4, 0)) - MAX(BedPlan[[#This Row],[Beginning of Harvest]], DG$4) + 1 )</f>
        <v>0</v>
      </c>
      <c r="DH16">
        <f>MAX( 0, MIN(BedPlan[[#This Row],[Expected End of Harvest]], EOMONTH(DH$4, 0)) - MAX(BedPlan[[#This Row],[Beginning of Harvest]], DH$4) + 1 )</f>
        <v>0</v>
      </c>
      <c r="DI16" s="257" cm="1">
        <f t="array" ref="DI16">BedPlan[[#This Row],[Harvest Days January 2025]]/SUM(BedPlan[[#This Row],[Harvest Days January 2025]:[Harvest Days December 2026]])*BedPlan[[#This Row],[Revenue]:[Revenue]]</f>
        <v>0</v>
      </c>
      <c r="DJ16" s="257" cm="1">
        <f t="array" ref="DJ16">BedPlan[[#This Row],[Harvest Days February 2025]]/SUM(BedPlan[[#This Row],[Harvest Days January 2025]:[Harvest Days December 2026]])*BedPlan[[#This Row],[Revenue]:[Revenue]]</f>
        <v>0</v>
      </c>
      <c r="DK16" s="257" cm="1">
        <f t="array" ref="DK16">BedPlan[[#This Row],[Harvest Days March 2025]]/SUM(BedPlan[[#This Row],[Harvest Days January 2025]:[Harvest Days December 2026]])*BedPlan[[#This Row],[Revenue]:[Revenue]]</f>
        <v>0</v>
      </c>
      <c r="DL16" s="257" cm="1">
        <f t="array" ref="DL16">BedPlan[[#This Row],[Harvest Days April 2025]]/SUM(BedPlan[[#This Row],[Harvest Days January 2025]:[Harvest Days December 2026]])*BedPlan[[#This Row],[Revenue]:[Revenue]]</f>
        <v>0</v>
      </c>
      <c r="DM16" s="257" cm="1">
        <f t="array" ref="DM16">BedPlan[[#This Row],[Harvest Days May 2025]]/SUM(BedPlan[[#This Row],[Harvest Days January 2025]:[Harvest Days December 2026]])*BedPlan[[#This Row],[Revenue]:[Revenue]]</f>
        <v>0</v>
      </c>
      <c r="DN16" s="257" cm="1">
        <f t="array" ref="DN16">BedPlan[[#This Row],[Harvest Days June 2025]]/SUM(BedPlan[[#This Row],[Harvest Days January 2025]:[Harvest Days December 2026]])*BedPlan[[#This Row],[Revenue]:[Revenue]]</f>
        <v>0</v>
      </c>
      <c r="DO16" s="257" cm="1">
        <f t="array" ref="DO16">BedPlan[[#This Row],[Harvest Days July 2025]]/SUM(BedPlan[[#This Row],[Harvest Days January 2025]:[Harvest Days December 2026]])*BedPlan[[#This Row],[Revenue]:[Revenue]]</f>
        <v>26.017699115044248</v>
      </c>
      <c r="DP16" s="257" cm="1">
        <f t="array" ref="DP16">BedPlan[[#This Row],[Harvest Days August 2025]]/SUM(BedPlan[[#This Row],[Harvest Days January 2025]:[Harvest Days December 2026]])*BedPlan[[#This Row],[Revenue]:[Revenue]]</f>
        <v>115.22123893805309</v>
      </c>
      <c r="DQ16" s="257" cm="1">
        <f t="array" ref="DQ16">BedPlan[[#This Row],[Harvest Days September 2025]]/SUM(BedPlan[[#This Row],[Harvest Days January 2025]:[Harvest Days December 2026]])*BedPlan[[#This Row],[Revenue]:[Revenue]]</f>
        <v>111.50442477876108</v>
      </c>
      <c r="DR16" s="257" cm="1">
        <f t="array" ref="DR16">BedPlan[[#This Row],[Harvest Days October 2025]]/SUM(BedPlan[[#This Row],[Harvest Days January 2025]:[Harvest Days December 2026]])*BedPlan[[#This Row],[Revenue]:[Revenue]]</f>
        <v>115.22123893805309</v>
      </c>
      <c r="DS16" s="257" cm="1">
        <f t="array" ref="DS16">BedPlan[[#This Row],[Harvest Days November 2025]]/SUM(BedPlan[[#This Row],[Harvest Days January 2025]:[Harvest Days December 2026]])*BedPlan[[#This Row],[Revenue]:[Revenue]]</f>
        <v>52.035398230088497</v>
      </c>
      <c r="DT16" s="257" cm="1">
        <f t="array" ref="DT16">BedPlan[[#This Row],[Harvest Days December 2025]]/SUM(BedPlan[[#This Row],[Harvest Days January 2025]:[Harvest Days December 2026]])*BedPlan[[#This Row],[Revenue]:[Revenue]]</f>
        <v>0</v>
      </c>
      <c r="DU16" s="257" cm="1">
        <f t="array" ref="DU16">BedPlan[[#This Row],[Harvest Days January 2026]]/SUM(BedPlan[[#This Row],[Harvest Days January 2025]:[Harvest Days December 2026]])*BedPlan[[#This Row],[Revenue]:[Revenue]]</f>
        <v>0</v>
      </c>
      <c r="DV16" s="257" cm="1">
        <f t="array" ref="DV16">BedPlan[[#This Row],[Harvest Days February 2026]]/SUM(BedPlan[[#This Row],[Harvest Days January 2025]:[Harvest Days December 2026]])*BedPlan[[#This Row],[Revenue]:[Revenue]]</f>
        <v>0</v>
      </c>
      <c r="DW16" s="257" cm="1">
        <f t="array" ref="DW16">BedPlan[[#This Row],[Harvest Days March 2026]]/SUM(BedPlan[[#This Row],[Harvest Days January 2025]:[Harvest Days December 2026]])*BedPlan[[#This Row],[Revenue]:[Revenue]]</f>
        <v>0</v>
      </c>
      <c r="DX16" s="257" cm="1">
        <f t="array" ref="DX16">BedPlan[[#This Row],[Harvest Days April 2026]]/SUM(BedPlan[[#This Row],[Harvest Days January 2025]:[Harvest Days December 2026]])*BedPlan[[#This Row],[Revenue]:[Revenue]]</f>
        <v>0</v>
      </c>
      <c r="DY16" s="257" cm="1">
        <f t="array" ref="DY16">BedPlan[[#This Row],[Harvest Days May 2026]]/SUM(BedPlan[[#This Row],[Harvest Days January 2025]:[Harvest Days December 2026]])*BedPlan[[#This Row],[Revenue]:[Revenue]]</f>
        <v>0</v>
      </c>
      <c r="DZ16" s="257" cm="1">
        <f t="array" ref="DZ16">BedPlan[[#This Row],[Harvest Days June 2026]]/SUM(BedPlan[[#This Row],[Harvest Days January 2025]:[Harvest Days December 2026]])*BedPlan[[#This Row],[Revenue]:[Revenue]]</f>
        <v>0</v>
      </c>
      <c r="EA16" s="257" cm="1">
        <f t="array" ref="EA16">BedPlan[[#This Row],[Harvest Days July 2026]]/SUM(BedPlan[[#This Row],[Harvest Days January 2025]:[Harvest Days December 2026]])*BedPlan[[#This Row],[Revenue]:[Revenue]]</f>
        <v>0</v>
      </c>
      <c r="EB16" s="257" cm="1">
        <f t="array" ref="EB16">BedPlan[[#This Row],[Harvest Days August 2026]]/SUM(BedPlan[[#This Row],[Harvest Days January 2025]:[Harvest Days December 2026]])*BedPlan[[#This Row],[Revenue]:[Revenue]]</f>
        <v>0</v>
      </c>
      <c r="EC16" s="257" cm="1">
        <f t="array" ref="EC16">BedPlan[[#This Row],[Harvest Days September 2026]]/SUM(BedPlan[[#This Row],[Harvest Days January 2025]:[Harvest Days December 2026]])*BedPlan[[#This Row],[Revenue]:[Revenue]]</f>
        <v>0</v>
      </c>
      <c r="ED16" s="257" cm="1">
        <f t="array" ref="ED16">BedPlan[[#This Row],[Harvest Days October 2026]]/SUM(BedPlan[[#This Row],[Harvest Days January 2025]:[Harvest Days December 2026]])*BedPlan[[#This Row],[Revenue]:[Revenue]]</f>
        <v>0</v>
      </c>
      <c r="EE16" s="257" cm="1">
        <f t="array" ref="EE16">BedPlan[[#This Row],[Harvest Days November 2026]]/SUM(BedPlan[[#This Row],[Harvest Days January 2025]:[Harvest Days December 2026]])*BedPlan[[#This Row],[Revenue]:[Revenue]]</f>
        <v>0</v>
      </c>
      <c r="EF16" s="257" cm="1">
        <f t="array" ref="EF16">BedPlan[[#This Row],[Harvest Days December 2026]]/SUM(BedPlan[[#This Row],[Harvest Days January 2025]:[Harvest Days December 2026]])*BedPlan[[#This Row],[Revenue]:[Revenue]]</f>
        <v>0</v>
      </c>
      <c r="EG16" t="b">
        <f>SUM(BedPlan[[#This Row],[Revenue January 2025]:[Revenue December 2026]])=BedPlan[[#This Row],[Revenue]]</f>
        <v>1</v>
      </c>
      <c r="EH16" s="30" cm="1">
        <f t="array" ref="EH16">INDEX(Crops[],BedPlan[[#This Row],[Chart Index]],EH$4,1)*BedPlan[[#This Row],['# Of Beds]]</f>
        <v>60</v>
      </c>
      <c r="EI16" s="30" t="str" cm="1">
        <f t="array" ref="EI16">INDEX(Crops[],BedPlan[[#This Row],[Chart Index]],EI$4,1)</f>
        <v>Lb</v>
      </c>
      <c r="EJ16" s="30" t="str" cm="1">
        <f t="array" ref="EJ16">INDEX(Crops[],BedPlan[[#This Row],[Chart Index]],EJ$4,1)</f>
        <v>Mature Leaf</v>
      </c>
      <c r="EK16" s="30" t="str">
        <f>BedPlan[[#This Row],[Name]]&amp;" "&amp;BedPlan[[#This Row],[Product]]&amp; " - " &amp;BedPlan[[#This Row],[Unit]]</f>
        <v>Basil Mature Leaf - Lb</v>
      </c>
      <c r="EL16" s="33" cm="1">
        <f t="array" ref="EL16">BedPlan[[#This Row],[Harvest Days January 2025]]/SUM(BedPlan[[#This Row],[Harvest Days January 2025]:[Harvest Days December 2026]])*BedPlan[[#This Row],[Yield]:[Yield]]</f>
        <v>0</v>
      </c>
      <c r="EM16" s="33" cm="1">
        <f t="array" ref="EM16">BedPlan[[#This Row],[Harvest Days February 2025]]/SUM(BedPlan[[#This Row],[Harvest Days January 2025]:[Harvest Days December 2026]])*BedPlan[[#This Row],[Yield]:[Yield]]</f>
        <v>0</v>
      </c>
      <c r="EN16" s="33" cm="1">
        <f t="array" ref="EN16">BedPlan[[#This Row],[Harvest Days March 2025]]/SUM(BedPlan[[#This Row],[Harvest Days January 2025]:[Harvest Days December 2026]])*BedPlan[[#This Row],[Yield]:[Yield]]</f>
        <v>0</v>
      </c>
      <c r="EO16" s="33" cm="1">
        <f t="array" ref="EO16">BedPlan[[#This Row],[Harvest Days April 2025]]/SUM(BedPlan[[#This Row],[Harvest Days January 2025]:[Harvest Days December 2026]])*BedPlan[[#This Row],[Yield]:[Yield]]</f>
        <v>0</v>
      </c>
      <c r="EP16" s="33" cm="1">
        <f t="array" ref="EP16">BedPlan[[#This Row],[Harvest Days May 2025]]/SUM(BedPlan[[#This Row],[Harvest Days January 2025]:[Harvest Days December 2026]])*BedPlan[[#This Row],[Yield]:[Yield]]</f>
        <v>0</v>
      </c>
      <c r="EQ16" s="33" cm="1">
        <f t="array" ref="EQ16">BedPlan[[#This Row],[Harvest Days June 2025]]/SUM(BedPlan[[#This Row],[Harvest Days January 2025]:[Harvest Days December 2026]])*BedPlan[[#This Row],[Yield]:[Yield]]</f>
        <v>0</v>
      </c>
      <c r="ER16" s="33" cm="1">
        <f t="array" ref="ER16">BedPlan[[#This Row],[Harvest Days July 2025]]/SUM(BedPlan[[#This Row],[Harvest Days January 2025]:[Harvest Days December 2026]])*BedPlan[[#This Row],[Yield]:[Yield]]</f>
        <v>3.7168141592920354</v>
      </c>
      <c r="ES16" s="33" cm="1">
        <f t="array" ref="ES16">BedPlan[[#This Row],[Harvest Days August 2025]]/SUM(BedPlan[[#This Row],[Harvest Days January 2025]:[Harvest Days December 2026]])*BedPlan[[#This Row],[Yield]:[Yield]]</f>
        <v>16.460176991150441</v>
      </c>
      <c r="ET16" s="33" cm="1">
        <f t="array" ref="ET16">BedPlan[[#This Row],[Harvest Days September 2025]]/SUM(BedPlan[[#This Row],[Harvest Days January 2025]:[Harvest Days December 2026]])*BedPlan[[#This Row],[Yield]:[Yield]]</f>
        <v>15.929203539823011</v>
      </c>
      <c r="EU16" s="33" cm="1">
        <f t="array" ref="EU16">BedPlan[[#This Row],[Harvest Days October 2025]]/SUM(BedPlan[[#This Row],[Harvest Days January 2025]:[Harvest Days December 2026]])*BedPlan[[#This Row],[Yield]:[Yield]]</f>
        <v>16.460176991150441</v>
      </c>
      <c r="EV16" s="33" cm="1">
        <f t="array" ref="EV16">BedPlan[[#This Row],[Harvest Days November 2025]]/SUM(BedPlan[[#This Row],[Harvest Days January 2025]:[Harvest Days December 2026]])*BedPlan[[#This Row],[Yield]:[Yield]]</f>
        <v>7.4336283185840708</v>
      </c>
      <c r="EW16" s="33" cm="1">
        <f t="array" ref="EW16">BedPlan[[#This Row],[Harvest Days December 2025]]/SUM(BedPlan[[#This Row],[Harvest Days January 2025]:[Harvest Days December 2026]])*BedPlan[[#This Row],[Yield]:[Yield]]</f>
        <v>0</v>
      </c>
    </row>
    <row r="17" spans="1:153" ht="15.75" customHeight="1">
      <c r="A17" s="28" t="s">
        <v>3102</v>
      </c>
      <c r="B17" t="s">
        <v>2624</v>
      </c>
      <c r="C17" t="s">
        <v>1478</v>
      </c>
      <c r="D17" cm="1">
        <f t="array" ref="D17">INDEX(Crops[],BedPlan[[#This Row],[Chart Index]],D$4,1)*BedPlan[[#This Row],[Full Bed Equivalent]]</f>
        <v>93.333333333333343</v>
      </c>
      <c r="E17" cm="1">
        <f t="array" ref="E17">INDEX(Crops[],BedPlan[[#This Row],[Chart Index]],E$4,1)*BedPlan[[#This Row],[Full Bed Equivalent]]</f>
        <v>520</v>
      </c>
      <c r="F17" t="str">
        <f>UPPER(LEFT(BedPlan[[#This Row],[Crop]],3))</f>
        <v>BEA</v>
      </c>
      <c r="H17" s="143" t="str" cm="1">
        <f t="array" ref="H17">INDEX(Crops[],BedPlan[[#This Row],[Chart Index]],H$4,1)</f>
        <v>Bean</v>
      </c>
      <c r="I17" t="s">
        <v>2783</v>
      </c>
      <c r="K17" t="str" cm="1">
        <f t="array" ref="K17">IF(ISNUMBER(MATCH(BedPlan[[#This Row],[Variety]],SeedMixes[Name],)),_xlfn.TEXTJOIN(", ",TRUE,_xlfn._xlws.FILTER(SeedMixes[Variety &amp; Company],SeedMixes[Name]=BedPlan[[#This Row],[Variety]])),"")</f>
        <v>Marvel of Venice Uprising, Fortex Uprising, Northeaster Johnny's, Dragon Langerie High Mowing, Rattlesnake High Mowing</v>
      </c>
      <c r="L17" s="33" cm="1">
        <f t="array" ref="L17">INDEX(Crops[],BedPlan[[#This Row],[Chart Index]],L$4,1)*BedPlan[[#This Row],[Full Bed Equivalent]]</f>
        <v>600</v>
      </c>
      <c r="N17">
        <v>2</v>
      </c>
      <c r="O17">
        <f>MAX(BedPlan[[#This Row],['# Of Beds]],0.5)</f>
        <v>2</v>
      </c>
      <c r="P17" s="31">
        <f>IF(ISNUMBER(BedPlan[[#This Row],[Planned Greenhouse Start Date]]),BedPlan[[#This Row],[Planned Greenhouse Start Date]],BedPlan[[#This Row],[Planned TP or DS Date]])</f>
        <v>45783</v>
      </c>
      <c r="Q17" s="259">
        <f>IF(BedPlan[[#This Row],[Days in Cells]]=0,"",IFERROR(_xlfn.XLOOKUP(BedPlan[[#This Row],[Follows Crop]],BedPlan[Identifier],BedPlan[Expected End of Harvest]) + 1+BedPlan[[#This Row],[Follow Offset]],BedPlan[[#This Row],[Fixed Field Start Date]])-BedPlan[[#This Row],[Days in Cells]])</f>
        <v>45783</v>
      </c>
      <c r="R17" s="259">
        <v>45796</v>
      </c>
      <c r="S17" s="259">
        <f>IF(ISNUMBER(BedPlan[[#This Row],[Actual Greenhouse Date]]),BedPlan[[#This Row],[Actual Greenhouse Date]],BedPlan[[#This Row],[Planned Greenhouse Start Date]])</f>
        <v>45796</v>
      </c>
      <c r="T17" s="259">
        <f>_xlfn.XLOOKUP(BedPlan[[#This Row],[Crop]],Crops[Identifier],Crops[Target Field Date])</f>
        <v>45797</v>
      </c>
      <c r="U17" s="260"/>
      <c r="V17" s="260"/>
      <c r="W1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45810</v>
      </c>
      <c r="X17" s="259">
        <v>45813</v>
      </c>
      <c r="Y17" s="271">
        <f>BedPlan[[#This Row],[Actual TP or DS Date]]-BedPlan[[#This Row],[Planned TP or DS Date]]</f>
        <v>3</v>
      </c>
      <c r="Z17" s="259">
        <f>IF(ISNUMBER(BedPlan[[#This Row],[Actual TP or DS Date]]),BedPlan[[#This Row],[Actual TP or DS Date]],BedPlan[[#This Row],[Planned TP or DS Date]])</f>
        <v>45813</v>
      </c>
      <c r="AA17" s="260"/>
      <c r="AB17" s="259">
        <f>IF(ISNUMBER(BedPlan[[#This Row],[Greenhouse Start Date]]),BedPlan[[#This Row],[Greenhouse Start Date]]+BedPlan[[#This Row],[DTM]],BedPlan[[#This Row],[TP or DS Date]]+BedPlan[[#This Row],[DTM]])</f>
        <v>45886</v>
      </c>
      <c r="AC17" s="259"/>
      <c r="AD17" s="259">
        <f>IF(ISNUMBER(BedPlan[[#This Row],[Actual Beginning of Harvest]]),BedPlan[[#This Row],[Actual Beginning of Harvest]],BedPlan[[#This Row],[Expected Beginning of Harvest]])</f>
        <v>45886</v>
      </c>
      <c r="AE17" s="259">
        <f>BedPlan[[#This Row],[Expected Beginning of Harvest]]+BedPlan[[#This Row],[Harvest Window]]+BedPlan[[#This Row],[Additional Days of Harvest]]</f>
        <v>45929</v>
      </c>
      <c r="AF17" s="259"/>
      <c r="AG17" s="259"/>
      <c r="AH17" s="31" t="b">
        <f>IF(AND( BedPlan[[#This Row],[Expected End of Harvest]] &gt;= DATE(2025, 8, 1), BedPlan[[#This Row],[Beginning of Harvest]] &lt;= DATE(2025, 8, 31) ), TRUE, FALSE)</f>
        <v>1</v>
      </c>
      <c r="AI17" s="31"/>
      <c r="AJ17" s="31">
        <f>IF(ISNUMBER(BedPlan[[#This Row],[Actual End of Harvest]]),BedPlan[[#This Row],[Actual End of Harvest]],BedPlan[[#This Row],[Expected End of Harvest]])</f>
        <v>45929</v>
      </c>
      <c r="AK17" t="b">
        <f>OR(ISNUMBER(BedPlan[[#This Row],[Actual Greenhouse Date]]),ISNUMBER(BedPlan[[#This Row],[Actual TP or DS Date]]))</f>
        <v>1</v>
      </c>
      <c r="AL17" s="52" t="b">
        <f>IF(ISNUMBER(BedPlan[[#This Row],[Planned Greenhouse Start Date]]),OR(ISNUMBER(BedPlan[[#This Row],[Actual TP or DS Date]]),BedPlan[[#This Row],[Failed]]),"-")</f>
        <v>1</v>
      </c>
      <c r="AM17" t="b">
        <f>OR(ISNUMBER(BedPlan[[#This Row],[Actual End of Harvest]]),BedPlan[[#This Row],[Failed]])</f>
        <v>0</v>
      </c>
      <c r="AN17" t="b">
        <f>OR(BedPlan[[#This Row],[Harvest Done]],BedPlan[[#This Row],[Failed]],BedPlan[[#This Row],[Name]]="Tarp")</f>
        <v>0</v>
      </c>
      <c r="AO17" t="b">
        <v>1</v>
      </c>
      <c r="AP17" t="b">
        <v>1</v>
      </c>
      <c r="AQ17" t="s">
        <v>3214</v>
      </c>
      <c r="AS17" s="26">
        <f>IF(BedPlan[[#This Row],[Broadfork]],BedPlan[[#This Row],[Actual TP or DS Date]],"")</f>
        <v>45813</v>
      </c>
      <c r="AT17" s="26">
        <f>IF(BedPlan[[#This Row],[Tilther]],BedPlan[[#This Row],[Actual TP or DS Date]],"")</f>
        <v>45813</v>
      </c>
      <c r="AU17" s="26">
        <f>IF(NOT(ISBLANK(BedPlan[[#This Row],[Amend]])),BedPlan[[#This Row],[Actual TP or DS Date]],"")</f>
        <v>45813</v>
      </c>
      <c r="AV17" s="26" t="str">
        <f>IF(BedPlan[[#This Row],[Row Cover]],BedPlan[[#This Row],[Actual TP or DS Date]],"")</f>
        <v/>
      </c>
      <c r="AX17" s="26"/>
      <c r="AZ17" s="26"/>
      <c r="BB17" s="26"/>
      <c r="BC17" s="231" cm="1">
        <f t="array" ref="BC17">INDEX(Crops[],BedPlan[[#This Row],[Chart Index]],BC$4,1)*BedPlan[[#This Row],[Full Bed Equivalent]]</f>
        <v>2080</v>
      </c>
      <c r="BD17" s="231" cm="1">
        <f t="array" ref="BD17">INDEX(Crops[],BedPlan[[#This Row],[Chart Index]],BD$4,1)*BedPlan[[#This Row],[Full Bed Equivalent]]</f>
        <v>17.478991596638654</v>
      </c>
      <c r="BE17" cm="1">
        <f t="array" ref="BE17">INDEX(Crops[],BedPlan[[#This Row],[Chart Index]],BE$4,1)+BedPlan[[#This Row],[Additional Days in Cells]]+BedPlan[[#This Row],[Additional Days In Field]]</f>
        <v>90</v>
      </c>
      <c r="BG17" cm="1">
        <f t="array" ref="BG17">INDEX(Crops[],BedPlan[[#This Row],[Chart Index]],BG$4,1)</f>
        <v>43</v>
      </c>
      <c r="BH17" t="str">
        <f>IF(ISNUMBER(BedPlan[[#This Row],[Planned Greenhouse Start Date]]),"TP","DS")</f>
        <v>TP</v>
      </c>
      <c r="BI17">
        <f>BedPlan[[#This Row],['# Of Beds]]</f>
        <v>2</v>
      </c>
      <c r="BJ17" cm="1">
        <f t="array" ref="BJ17">INDEX(Crops[],BedPlan[[#This Row],[Chart Index]],BJ$4,1)</f>
        <v>14</v>
      </c>
      <c r="BK17" cm="1">
        <f t="array" ref="BK17">INDEX(Crops[],BedPlan[[#This Row],[Chart Index]],BK$4,1)</f>
        <v>1</v>
      </c>
      <c r="BL17" cm="1">
        <f t="array" ref="BL17">INDEX(Crops[],BedPlan[[#This Row],[Chart Index]],BL$4,1)</f>
        <v>6</v>
      </c>
      <c r="BM17" cm="1">
        <f t="array" ref="BM17">INDEX(Crops[],BedPlan[[#This Row],[Chart Index]],BM$4,1)</f>
        <v>3</v>
      </c>
      <c r="BN17" s="32" cm="1">
        <f t="array" ref="BN17">INDEX(Crops[],BedPlan[[#This Row],[Chart Index]],BN$4,1)*BedPlan[[#This Row],[Full Bed Equivalent]]</f>
        <v>200</v>
      </c>
      <c r="BO17" t="str" cm="1">
        <f t="array" ref="BO17">IF(INDEX(Crops[],BedPlan[[#This Row],[Chart Index]],BO$4,1)=0,"",INDEX(Crops[],BedPlan[[#This Row],[Chart Index]],BO$4,1))</f>
        <v/>
      </c>
      <c r="BP17">
        <f>MATCH(BedPlan[[#This Row],[Crop]],Crops[Identifier],FALSE)</f>
        <v>23</v>
      </c>
      <c r="BQ17" t="str" cm="1">
        <f t="array" ref="BQ17">INDEX(Crops[],BedPlan[[#This Row],[Chart Index]],BQ$4,1)</f>
        <v>Pole</v>
      </c>
      <c r="BR17" t="str" cm="1">
        <f t="array" ref="BR17">INDEX(Crops[],BedPlan[[#This Row],[Chart Index]],BR$4,1)</f>
        <v>SuFa</v>
      </c>
      <c r="BS17" s="32">
        <f>BedPlan[[#This Row],[Expected Beginning of Harvest]]-DATE(2023,1,1)</f>
        <v>959</v>
      </c>
      <c r="BT17">
        <f>BedPlan[[#This Row],[Expected End of Harvest]]-BedPlan[[#This Row],[Expected Beginning of Harvest]]</f>
        <v>43</v>
      </c>
      <c r="BU17" t="str" cm="1">
        <f t="array" ref="BU17">INDEX(Crops[],BedPlan[[#This Row],[Chart Index]],BU$4,1)</f>
        <v>Beans</v>
      </c>
      <c r="BV17" cm="1">
        <f t="array" ref="BV17">INDEX(Crops[],BedPlan[[#This Row],[Chart Index]],BV$4,1)</f>
        <v>6</v>
      </c>
      <c r="BW17" t="str" cm="1">
        <f t="array" ref="BW17">INDEX(Crops[],BedPlan[[#This Row],[Chart Index]],BW$4,1)</f>
        <v>Early</v>
      </c>
      <c r="BX17" cm="1">
        <f t="array" ref="BX17">INDEX(Crops[],BedPlan[[#This Row],[Chart Index]],BX$4,1)</f>
        <v>128</v>
      </c>
      <c r="BY17" cm="1">
        <f t="array" ref="BY17">INDEX(Crops[],BedPlan[[#This Row],[Chart Index]],BY$4,1)</f>
        <v>14</v>
      </c>
      <c r="BZ17" s="49" cm="1">
        <f t="array" ref="BZ17">IFERROR(INDEX(Crops[],BedPlan[[#This Row],[Chart Index]],BZ$4,1)*BedPlan[[#This Row],[Full Bed Equivalent]],"")</f>
        <v>1.5625</v>
      </c>
      <c r="CA17" cm="1">
        <f t="array" ref="CA17">INDEX(Crops[],BedPlan[[#This Row],[Chart Index]],CA$4,1)</f>
        <v>0</v>
      </c>
      <c r="CB17" cm="1">
        <f t="array" ref="CB17">INDEX(Crops[],BedPlan[[#This Row],[Chart Index]],CB$4,1)</f>
        <v>0</v>
      </c>
      <c r="CC17" s="49" t="str" cm="1">
        <f t="array" ref="CC17">IFERROR(INDEX(Crops[],BedPlan[[#This Row],[Chart Index]],CC$4,1)*BedPlan[[#This Row],[Full Bed Equivalent]],"")</f>
        <v/>
      </c>
      <c r="CD17" cm="1">
        <f t="array" ref="CD17">INDEX(Crops[],BedPlan[[#This Row],[Chart Index]],CD$4,1)</f>
        <v>0</v>
      </c>
      <c r="CE17" cm="1">
        <f t="array" ref="CE17">IF(INDEX(Crops[],BedPlan[[#This Row],[Chart Index]],CE$4,1)="",0,INDEX(Crops[],BedPlan[[#This Row],[Chart Index]],CE$4,1))</f>
        <v>0</v>
      </c>
      <c r="CF17" s="49" t="str" cm="1">
        <f t="array" ref="CF17">IFERROR(INDEX(Crops[],BedPlan[[#This Row],[Chart Index]],CF$4,1)*BedPlan[[#This Row],[Full Bed Equivalent]],"")</f>
        <v/>
      </c>
      <c r="CG17" cm="1">
        <f t="array" ref="CG17">IF(INDEX(Crops[],BedPlan[[#This Row],[Chart Index]],CG$4,1)="",0,INDEX(Crops[],BedPlan[[#This Row],[Chart Index]],CG$4,1))</f>
        <v>1</v>
      </c>
      <c r="CH17" cm="1">
        <f t="array" ref="CH17">IF(INDEX(Crops[],BedPlan[[#This Row],[Chart Index]],CH$4,1)="",0,INDEX(Crops[],BedPlan[[#This Row],[Chart Index]],CH$4,1))</f>
        <v>0</v>
      </c>
      <c r="CI17" t="str" cm="1">
        <f t="array" ref="CI17">INDEX(Crops[],BedPlan[[#This Row],[Chart Index]],CI$4,1)</f>
        <v>Field</v>
      </c>
      <c r="CJ17" s="30" t="str">
        <f>_xlfn.TEXTJOIN(CHAR(10),FALSE,BedPlan[[#This Row],[Name]],BedPlan[[#This Row],[Variety]],BedPlan[[#This Row],[Company]])</f>
        <v xml:space="preserve">Bean
Pole Bean Mix
</v>
      </c>
      <c r="CK17" s="32">
        <f>MAX( 0, MIN(BedPlan[[#This Row],[Expected End of Harvest]], EOMONTH(CK$4, 0)) - MAX(BedPlan[[#This Row],[Beginning of Harvest]], CK$4) + 1 )</f>
        <v>0</v>
      </c>
      <c r="CL17">
        <f>MAX( 0, MIN(BedPlan[[#This Row],[Expected End of Harvest]], EOMONTH(CL$4, 0)) - MAX(BedPlan[[#This Row],[Beginning of Harvest]], CL$4) + 1 )</f>
        <v>0</v>
      </c>
      <c r="CM17">
        <f>MAX( 0, MIN(BedPlan[[#This Row],[Expected End of Harvest]], EOMONTH(CM$4, 0)) - MAX(BedPlan[[#This Row],[Beginning of Harvest]], CM$4) + 1 )</f>
        <v>0</v>
      </c>
      <c r="CN17">
        <f>MAX( 0, MIN(BedPlan[[#This Row],[Expected End of Harvest]], EOMONTH(CN$4, 0)) - MAX(BedPlan[[#This Row],[Beginning of Harvest]], CN$4) + 1 )</f>
        <v>0</v>
      </c>
      <c r="CO17">
        <f>MAX( 0, MIN(BedPlan[[#This Row],[Expected End of Harvest]], EOMONTH(CO$4, 0)) - MAX(BedPlan[[#This Row],[Beginning of Harvest]], CO$4) + 1 )</f>
        <v>0</v>
      </c>
      <c r="CP17">
        <f>MAX( 0, MIN(BedPlan[[#This Row],[Expected End of Harvest]], EOMONTH(CP$4, 0)) - MAX(BedPlan[[#This Row],[Beginning of Harvest]], CP$4) + 1 )</f>
        <v>0</v>
      </c>
      <c r="CQ17">
        <f>MAX( 0, MIN(BedPlan[[#This Row],[Expected End of Harvest]], EOMONTH(CQ$4, 0)) - MAX(BedPlan[[#This Row],[Beginning of Harvest]], CQ$4) + 1 )</f>
        <v>0</v>
      </c>
      <c r="CR17">
        <f>MAX( 0, MIN(BedPlan[[#This Row],[Expected End of Harvest]], EOMONTH(CR$4, 0)) - MAX(BedPlan[[#This Row],[Beginning of Harvest]], CR$4) + 1 )</f>
        <v>15</v>
      </c>
      <c r="CS17">
        <f>MAX( 0, MIN(BedPlan[[#This Row],[Expected End of Harvest]], EOMONTH(CS$4, 0)) - MAX(BedPlan[[#This Row],[Beginning of Harvest]], CS$4) + 1 )</f>
        <v>29</v>
      </c>
      <c r="CT17">
        <f>MAX( 0, MIN(BedPlan[[#This Row],[Expected End of Harvest]], EOMONTH(CT$4, 0)) - MAX(BedPlan[[#This Row],[Beginning of Harvest]], CT$4) + 1 )</f>
        <v>0</v>
      </c>
      <c r="CU17">
        <f>MAX( 0, MIN(BedPlan[[#This Row],[Expected End of Harvest]], EOMONTH(CU$4, 0)) - MAX(BedPlan[[#This Row],[Beginning of Harvest]], CU$4) + 1 )</f>
        <v>0</v>
      </c>
      <c r="CV17">
        <f>MAX( 0, MIN(BedPlan[[#This Row],[Expected End of Harvest]], EOMONTH(CV$4, 0)) - MAX(BedPlan[[#This Row],[Beginning of Harvest]], CV$4) + 1 )</f>
        <v>0</v>
      </c>
      <c r="CW17">
        <f>MAX( 0, MIN(BedPlan[[#This Row],[Expected End of Harvest]], EOMONTH(CW$4, 0)) - MAX(BedPlan[[#This Row],[Beginning of Harvest]], CW$4) + 1 )</f>
        <v>0</v>
      </c>
      <c r="CX17">
        <f>MAX( 0, MIN(BedPlan[[#This Row],[Expected End of Harvest]], EOMONTH(CX$4, 0)) - MAX(BedPlan[[#This Row],[Beginning of Harvest]], CX$4) + 1 )</f>
        <v>0</v>
      </c>
      <c r="CY17">
        <f>MAX( 0, MIN(BedPlan[[#This Row],[Expected End of Harvest]], EOMONTH(CY$4, 0)) - MAX(BedPlan[[#This Row],[Beginning of Harvest]], CY$4) + 1 )</f>
        <v>0</v>
      </c>
      <c r="CZ17">
        <f>MAX( 0, MIN(BedPlan[[#This Row],[Expected End of Harvest]], EOMONTH(CZ$4, 0)) - MAX(BedPlan[[#This Row],[Beginning of Harvest]], CZ$4) + 1 )</f>
        <v>0</v>
      </c>
      <c r="DA17">
        <f>MAX( 0, MIN(BedPlan[[#This Row],[Expected End of Harvest]], EOMONTH(DA$4, 0)) - MAX(BedPlan[[#This Row],[Beginning of Harvest]], DA$4) + 1 )</f>
        <v>0</v>
      </c>
      <c r="DB17">
        <f>MAX( 0, MIN(BedPlan[[#This Row],[Expected End of Harvest]], EOMONTH(DB$4, 0)) - MAX(BedPlan[[#This Row],[Beginning of Harvest]], DB$4) + 1 )</f>
        <v>0</v>
      </c>
      <c r="DC17">
        <f>MAX( 0, MIN(BedPlan[[#This Row],[Expected End of Harvest]], EOMONTH(DC$4, 0)) - MAX(BedPlan[[#This Row],[Beginning of Harvest]], DC$4) + 1 )</f>
        <v>0</v>
      </c>
      <c r="DD17">
        <f>MAX( 0, MIN(BedPlan[[#This Row],[Expected End of Harvest]], EOMONTH(DD$4, 0)) - MAX(BedPlan[[#This Row],[Beginning of Harvest]], DD$4) + 1 )</f>
        <v>0</v>
      </c>
      <c r="DE17">
        <f>MAX( 0, MIN(BedPlan[[#This Row],[Expected End of Harvest]], EOMONTH(DE$4, 0)) - MAX(BedPlan[[#This Row],[Beginning of Harvest]], DE$4) + 1 )</f>
        <v>0</v>
      </c>
      <c r="DF17">
        <f>MAX( 0, MIN(BedPlan[[#This Row],[Expected End of Harvest]], EOMONTH(DF$4, 0)) - MAX(BedPlan[[#This Row],[Beginning of Harvest]], DF$4) + 1 )</f>
        <v>0</v>
      </c>
      <c r="DG17">
        <f>MAX( 0, MIN(BedPlan[[#This Row],[Expected End of Harvest]], EOMONTH(DG$4, 0)) - MAX(BedPlan[[#This Row],[Beginning of Harvest]], DG$4) + 1 )</f>
        <v>0</v>
      </c>
      <c r="DH17">
        <f>MAX( 0, MIN(BedPlan[[#This Row],[Expected End of Harvest]], EOMONTH(DH$4, 0)) - MAX(BedPlan[[#This Row],[Beginning of Harvest]], DH$4) + 1 )</f>
        <v>0</v>
      </c>
      <c r="DI17" s="257" cm="1">
        <f t="array" ref="DI17">BedPlan[[#This Row],[Harvest Days January 2025]]/SUM(BedPlan[[#This Row],[Harvest Days January 2025]:[Harvest Days December 2026]])*BedPlan[[#This Row],[Revenue]:[Revenue]]</f>
        <v>0</v>
      </c>
      <c r="DJ17" s="257" cm="1">
        <f t="array" ref="DJ17">BedPlan[[#This Row],[Harvest Days February 2025]]/SUM(BedPlan[[#This Row],[Harvest Days January 2025]:[Harvest Days December 2026]])*BedPlan[[#This Row],[Revenue]:[Revenue]]</f>
        <v>0</v>
      </c>
      <c r="DK17" s="257" cm="1">
        <f t="array" ref="DK17">BedPlan[[#This Row],[Harvest Days March 2025]]/SUM(BedPlan[[#This Row],[Harvest Days January 2025]:[Harvest Days December 2026]])*BedPlan[[#This Row],[Revenue]:[Revenue]]</f>
        <v>0</v>
      </c>
      <c r="DL17" s="257" cm="1">
        <f t="array" ref="DL17">BedPlan[[#This Row],[Harvest Days April 2025]]/SUM(BedPlan[[#This Row],[Harvest Days January 2025]:[Harvest Days December 2026]])*BedPlan[[#This Row],[Revenue]:[Revenue]]</f>
        <v>0</v>
      </c>
      <c r="DM17" s="257" cm="1">
        <f t="array" ref="DM17">BedPlan[[#This Row],[Harvest Days May 2025]]/SUM(BedPlan[[#This Row],[Harvest Days January 2025]:[Harvest Days December 2026]])*BedPlan[[#This Row],[Revenue]:[Revenue]]</f>
        <v>0</v>
      </c>
      <c r="DN17" s="257" cm="1">
        <f t="array" ref="DN17">BedPlan[[#This Row],[Harvest Days June 2025]]/SUM(BedPlan[[#This Row],[Harvest Days January 2025]:[Harvest Days December 2026]])*BedPlan[[#This Row],[Revenue]:[Revenue]]</f>
        <v>0</v>
      </c>
      <c r="DO17" s="257" cm="1">
        <f t="array" ref="DO17">BedPlan[[#This Row],[Harvest Days July 2025]]/SUM(BedPlan[[#This Row],[Harvest Days January 2025]:[Harvest Days December 2026]])*BedPlan[[#This Row],[Revenue]:[Revenue]]</f>
        <v>0</v>
      </c>
      <c r="DP17" s="257" cm="1">
        <f t="array" ref="DP17">BedPlan[[#This Row],[Harvest Days August 2025]]/SUM(BedPlan[[#This Row],[Harvest Days January 2025]:[Harvest Days December 2026]])*BedPlan[[#This Row],[Revenue]:[Revenue]]</f>
        <v>709.09090909090901</v>
      </c>
      <c r="DQ17" s="257" cm="1">
        <f t="array" ref="DQ17">BedPlan[[#This Row],[Harvest Days September 2025]]/SUM(BedPlan[[#This Row],[Harvest Days January 2025]:[Harvest Days December 2026]])*BedPlan[[#This Row],[Revenue]:[Revenue]]</f>
        <v>1370.9090909090908</v>
      </c>
      <c r="DR17" s="257" cm="1">
        <f t="array" ref="DR17">BedPlan[[#This Row],[Harvest Days October 2025]]/SUM(BedPlan[[#This Row],[Harvest Days January 2025]:[Harvest Days December 2026]])*BedPlan[[#This Row],[Revenue]:[Revenue]]</f>
        <v>0</v>
      </c>
      <c r="DS17" s="257" cm="1">
        <f t="array" ref="DS17">BedPlan[[#This Row],[Harvest Days November 2025]]/SUM(BedPlan[[#This Row],[Harvest Days January 2025]:[Harvest Days December 2026]])*BedPlan[[#This Row],[Revenue]:[Revenue]]</f>
        <v>0</v>
      </c>
      <c r="DT17" s="257" cm="1">
        <f t="array" ref="DT17">BedPlan[[#This Row],[Harvest Days December 2025]]/SUM(BedPlan[[#This Row],[Harvest Days January 2025]:[Harvest Days December 2026]])*BedPlan[[#This Row],[Revenue]:[Revenue]]</f>
        <v>0</v>
      </c>
      <c r="DU17" s="257" cm="1">
        <f t="array" ref="DU17">BedPlan[[#This Row],[Harvest Days January 2026]]/SUM(BedPlan[[#This Row],[Harvest Days January 2025]:[Harvest Days December 2026]])*BedPlan[[#This Row],[Revenue]:[Revenue]]</f>
        <v>0</v>
      </c>
      <c r="DV17" s="257" cm="1">
        <f t="array" ref="DV17">BedPlan[[#This Row],[Harvest Days February 2026]]/SUM(BedPlan[[#This Row],[Harvest Days January 2025]:[Harvest Days December 2026]])*BedPlan[[#This Row],[Revenue]:[Revenue]]</f>
        <v>0</v>
      </c>
      <c r="DW17" s="257" cm="1">
        <f t="array" ref="DW17">BedPlan[[#This Row],[Harvest Days March 2026]]/SUM(BedPlan[[#This Row],[Harvest Days January 2025]:[Harvest Days December 2026]])*BedPlan[[#This Row],[Revenue]:[Revenue]]</f>
        <v>0</v>
      </c>
      <c r="DX17" s="257" cm="1">
        <f t="array" ref="DX17">BedPlan[[#This Row],[Harvest Days April 2026]]/SUM(BedPlan[[#This Row],[Harvest Days January 2025]:[Harvest Days December 2026]])*BedPlan[[#This Row],[Revenue]:[Revenue]]</f>
        <v>0</v>
      </c>
      <c r="DY17" s="257" cm="1">
        <f t="array" ref="DY17">BedPlan[[#This Row],[Harvest Days May 2026]]/SUM(BedPlan[[#This Row],[Harvest Days January 2025]:[Harvest Days December 2026]])*BedPlan[[#This Row],[Revenue]:[Revenue]]</f>
        <v>0</v>
      </c>
      <c r="DZ17" s="257" cm="1">
        <f t="array" ref="DZ17">BedPlan[[#This Row],[Harvest Days June 2026]]/SUM(BedPlan[[#This Row],[Harvest Days January 2025]:[Harvest Days December 2026]])*BedPlan[[#This Row],[Revenue]:[Revenue]]</f>
        <v>0</v>
      </c>
      <c r="EA17" s="257" cm="1">
        <f t="array" ref="EA17">BedPlan[[#This Row],[Harvest Days July 2026]]/SUM(BedPlan[[#This Row],[Harvest Days January 2025]:[Harvest Days December 2026]])*BedPlan[[#This Row],[Revenue]:[Revenue]]</f>
        <v>0</v>
      </c>
      <c r="EB17" s="257" cm="1">
        <f t="array" ref="EB17">BedPlan[[#This Row],[Harvest Days August 2026]]/SUM(BedPlan[[#This Row],[Harvest Days January 2025]:[Harvest Days December 2026]])*BedPlan[[#This Row],[Revenue]:[Revenue]]</f>
        <v>0</v>
      </c>
      <c r="EC17" s="257" cm="1">
        <f t="array" ref="EC17">BedPlan[[#This Row],[Harvest Days September 2026]]/SUM(BedPlan[[#This Row],[Harvest Days January 2025]:[Harvest Days December 2026]])*BedPlan[[#This Row],[Revenue]:[Revenue]]</f>
        <v>0</v>
      </c>
      <c r="ED17" s="257" cm="1">
        <f t="array" ref="ED17">BedPlan[[#This Row],[Harvest Days October 2026]]/SUM(BedPlan[[#This Row],[Harvest Days January 2025]:[Harvest Days December 2026]])*BedPlan[[#This Row],[Revenue]:[Revenue]]</f>
        <v>0</v>
      </c>
      <c r="EE17" s="257" cm="1">
        <f t="array" ref="EE17">BedPlan[[#This Row],[Harvest Days November 2026]]/SUM(BedPlan[[#This Row],[Harvest Days January 2025]:[Harvest Days December 2026]])*BedPlan[[#This Row],[Revenue]:[Revenue]]</f>
        <v>0</v>
      </c>
      <c r="EF17" s="257" cm="1">
        <f t="array" ref="EF17">BedPlan[[#This Row],[Harvest Days December 2026]]/SUM(BedPlan[[#This Row],[Harvest Days January 2025]:[Harvest Days December 2026]])*BedPlan[[#This Row],[Revenue]:[Revenue]]</f>
        <v>0</v>
      </c>
      <c r="EG17" t="b">
        <f>SUM(BedPlan[[#This Row],[Revenue January 2025]:[Revenue December 2026]])=BedPlan[[#This Row],[Revenue]]</f>
        <v>1</v>
      </c>
      <c r="EH17" s="30" cm="1">
        <f t="array" ref="EH17">INDEX(Crops[],BedPlan[[#This Row],[Chart Index]],EH$4,1)*BedPlan[[#This Row],['# Of Beds]]</f>
        <v>260</v>
      </c>
      <c r="EI17" s="30" t="str" cm="1">
        <f t="array" ref="EI17">INDEX(Crops[],BedPlan[[#This Row],[Chart Index]],EI$4,1)</f>
        <v>Lb</v>
      </c>
      <c r="EJ17" s="30" t="str" cm="1">
        <f t="array" ref="EJ17">INDEX(Crops[],BedPlan[[#This Row],[Chart Index]],EJ$4,1)</f>
        <v>Young Pod</v>
      </c>
      <c r="EK17" s="30" t="str">
        <f>BedPlan[[#This Row],[Name]]&amp;" "&amp;BedPlan[[#This Row],[Product]]&amp; " - " &amp;BedPlan[[#This Row],[Unit]]</f>
        <v>Bean Young Pod - Lb</v>
      </c>
      <c r="EL17" s="33" cm="1">
        <f t="array" ref="EL17">BedPlan[[#This Row],[Harvest Days January 2025]]/SUM(BedPlan[[#This Row],[Harvest Days January 2025]:[Harvest Days December 2026]])*BedPlan[[#This Row],[Yield]:[Yield]]</f>
        <v>0</v>
      </c>
      <c r="EM17" s="33" cm="1">
        <f t="array" ref="EM17">BedPlan[[#This Row],[Harvest Days February 2025]]/SUM(BedPlan[[#This Row],[Harvest Days January 2025]:[Harvest Days December 2026]])*BedPlan[[#This Row],[Yield]:[Yield]]</f>
        <v>0</v>
      </c>
      <c r="EN17" s="33" cm="1">
        <f t="array" ref="EN17">BedPlan[[#This Row],[Harvest Days March 2025]]/SUM(BedPlan[[#This Row],[Harvest Days January 2025]:[Harvest Days December 2026]])*BedPlan[[#This Row],[Yield]:[Yield]]</f>
        <v>0</v>
      </c>
      <c r="EO17" s="33" cm="1">
        <f t="array" ref="EO17">BedPlan[[#This Row],[Harvest Days April 2025]]/SUM(BedPlan[[#This Row],[Harvest Days January 2025]:[Harvest Days December 2026]])*BedPlan[[#This Row],[Yield]:[Yield]]</f>
        <v>0</v>
      </c>
      <c r="EP17" s="33" cm="1">
        <f t="array" ref="EP17">BedPlan[[#This Row],[Harvest Days May 2025]]/SUM(BedPlan[[#This Row],[Harvest Days January 2025]:[Harvest Days December 2026]])*BedPlan[[#This Row],[Yield]:[Yield]]</f>
        <v>0</v>
      </c>
      <c r="EQ17" s="33" cm="1">
        <f t="array" ref="EQ17">BedPlan[[#This Row],[Harvest Days June 2025]]/SUM(BedPlan[[#This Row],[Harvest Days January 2025]:[Harvest Days December 2026]])*BedPlan[[#This Row],[Yield]:[Yield]]</f>
        <v>0</v>
      </c>
      <c r="ER17" s="33" cm="1">
        <f t="array" ref="ER17">BedPlan[[#This Row],[Harvest Days July 2025]]/SUM(BedPlan[[#This Row],[Harvest Days January 2025]:[Harvest Days December 2026]])*BedPlan[[#This Row],[Yield]:[Yield]]</f>
        <v>0</v>
      </c>
      <c r="ES17" s="33" cm="1">
        <f t="array" ref="ES17">BedPlan[[#This Row],[Harvest Days August 2025]]/SUM(BedPlan[[#This Row],[Harvest Days January 2025]:[Harvest Days December 2026]])*BedPlan[[#This Row],[Yield]:[Yield]]</f>
        <v>88.636363636363626</v>
      </c>
      <c r="ET17" s="33" cm="1">
        <f t="array" ref="ET17">BedPlan[[#This Row],[Harvest Days September 2025]]/SUM(BedPlan[[#This Row],[Harvest Days January 2025]:[Harvest Days December 2026]])*BedPlan[[#This Row],[Yield]:[Yield]]</f>
        <v>171.36363636363635</v>
      </c>
      <c r="EU17" s="33" cm="1">
        <f t="array" ref="EU17">BedPlan[[#This Row],[Harvest Days October 2025]]/SUM(BedPlan[[#This Row],[Harvest Days January 2025]:[Harvest Days December 2026]])*BedPlan[[#This Row],[Yield]:[Yield]]</f>
        <v>0</v>
      </c>
      <c r="EV17" s="33" cm="1">
        <f t="array" ref="EV17">BedPlan[[#This Row],[Harvest Days November 2025]]/SUM(BedPlan[[#This Row],[Harvest Days January 2025]:[Harvest Days December 2026]])*BedPlan[[#This Row],[Yield]:[Yield]]</f>
        <v>0</v>
      </c>
      <c r="EW17" s="33" cm="1">
        <f t="array" ref="EW17">BedPlan[[#This Row],[Harvest Days December 2025]]/SUM(BedPlan[[#This Row],[Harvest Days January 2025]:[Harvest Days December 2026]])*BedPlan[[#This Row],[Yield]:[Yield]]</f>
        <v>0</v>
      </c>
    </row>
    <row r="18" spans="1:153" ht="15.75" customHeight="1">
      <c r="A18" s="28" t="s">
        <v>3102</v>
      </c>
      <c r="B18" t="s">
        <v>3190</v>
      </c>
      <c r="C18" t="s">
        <v>1491</v>
      </c>
      <c r="D18" cm="1">
        <f t="array" ref="D18">INDEX(Crops[],BedPlan[[#This Row],[Chart Index]],D$4,1)*BedPlan[[#This Row],[Full Bed Equivalent]]</f>
        <v>46.666666666666671</v>
      </c>
      <c r="E18" cm="1">
        <f t="array" ref="E18">INDEX(Crops[],BedPlan[[#This Row],[Chart Index]],E$4,1)*BedPlan[[#This Row],[Full Bed Equivalent]]</f>
        <v>260</v>
      </c>
      <c r="F18" t="str">
        <f>UPPER(LEFT(BedPlan[[#This Row],[Crop]],3))</f>
        <v>BEA</v>
      </c>
      <c r="H18" s="143" t="str" cm="1">
        <f t="array" ref="H18">INDEX(Crops[],BedPlan[[#This Row],[Chart Index]],H$4,1)</f>
        <v>Bean</v>
      </c>
      <c r="I18" t="s">
        <v>2783</v>
      </c>
      <c r="K18" t="str" cm="1">
        <f t="array" ref="K18">IF(ISNUMBER(MATCH(BedPlan[[#This Row],[Variety]],SeedMixes[Name],)),_xlfn.TEXTJOIN(", ",TRUE,_xlfn._xlws.FILTER(SeedMixes[Variety &amp; Company],SeedMixes[Name]=BedPlan[[#This Row],[Variety]])),"")</f>
        <v>Marvel of Venice Uprising, Fortex Uprising, Northeaster Johnny's, Dragon Langerie High Mowing, Rattlesnake High Mowing</v>
      </c>
      <c r="L18" s="33" cm="1">
        <f t="array" ref="L18">INDEX(Crops[],BedPlan[[#This Row],[Chart Index]],L$4,1)*BedPlan[[#This Row],[Full Bed Equivalent]]</f>
        <v>300</v>
      </c>
      <c r="N18">
        <f>1</f>
        <v>1</v>
      </c>
      <c r="O18">
        <f>MAX(BedPlan[[#This Row],['# Of Beds]],0.5)</f>
        <v>1</v>
      </c>
      <c r="P18" s="31">
        <f>IF(ISNUMBER(BedPlan[[#This Row],[Planned Greenhouse Start Date]]),BedPlan[[#This Row],[Planned Greenhouse Start Date]],BedPlan[[#This Row],[Planned TP or DS Date]])</f>
        <v>45783</v>
      </c>
      <c r="Q18" s="259">
        <f>IF(BedPlan[[#This Row],[Days in Cells]]=0,"",IFERROR(_xlfn.XLOOKUP(BedPlan[[#This Row],[Follows Crop]],BedPlan[Identifier],BedPlan[Expected End of Harvest]) + 1+BedPlan[[#This Row],[Follow Offset]],BedPlan[[#This Row],[Fixed Field Start Date]])-BedPlan[[#This Row],[Days in Cells]])</f>
        <v>45783</v>
      </c>
      <c r="R18" s="259">
        <v>45796</v>
      </c>
      <c r="S18" s="259">
        <f>IF(ISNUMBER(BedPlan[[#This Row],[Actual Greenhouse Date]]),BedPlan[[#This Row],[Actual Greenhouse Date]],BedPlan[[#This Row],[Planned Greenhouse Start Date]])</f>
        <v>45796</v>
      </c>
      <c r="T18" s="259">
        <f>_xlfn.XLOOKUP(BedPlan[[#This Row],[Crop]],Crops[Identifier],Crops[Target Field Date])</f>
        <v>45797</v>
      </c>
      <c r="U18" s="260"/>
      <c r="V18" s="260"/>
      <c r="W1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45810</v>
      </c>
      <c r="X18" s="259">
        <v>45813</v>
      </c>
      <c r="Y18" s="271">
        <f>BedPlan[[#This Row],[Actual TP or DS Date]]-BedPlan[[#This Row],[Planned TP or DS Date]]</f>
        <v>3</v>
      </c>
      <c r="Z18" s="259">
        <f>IF(ISNUMBER(BedPlan[[#This Row],[Actual TP or DS Date]]),BedPlan[[#This Row],[Actual TP or DS Date]],BedPlan[[#This Row],[Planned TP or DS Date]])</f>
        <v>45813</v>
      </c>
      <c r="AA18" s="260"/>
      <c r="AB18" s="259">
        <f>IF(ISNUMBER(BedPlan[[#This Row],[Greenhouse Start Date]]),BedPlan[[#This Row],[Greenhouse Start Date]]+BedPlan[[#This Row],[DTM]],BedPlan[[#This Row],[TP or DS Date]]+BedPlan[[#This Row],[DTM]])</f>
        <v>45886</v>
      </c>
      <c r="AC18" s="259"/>
      <c r="AD18" s="259">
        <f>IF(ISNUMBER(BedPlan[[#This Row],[Actual Beginning of Harvest]]),BedPlan[[#This Row],[Actual Beginning of Harvest]],BedPlan[[#This Row],[Expected Beginning of Harvest]])</f>
        <v>45886</v>
      </c>
      <c r="AE18" s="259">
        <f>BedPlan[[#This Row],[Expected Beginning of Harvest]]+BedPlan[[#This Row],[Harvest Window]]+BedPlan[[#This Row],[Additional Days of Harvest]]</f>
        <v>45929</v>
      </c>
      <c r="AF18" s="259"/>
      <c r="AG18" s="259"/>
      <c r="AH18" s="31" t="b">
        <f>IF(AND( BedPlan[[#This Row],[Expected End of Harvest]] &gt;= DATE(2025, 8, 1), BedPlan[[#This Row],[Beginning of Harvest]] &lt;= DATE(2025, 8, 31) ), TRUE, FALSE)</f>
        <v>1</v>
      </c>
      <c r="AI18" s="31"/>
      <c r="AJ18" s="31">
        <f>IF(ISNUMBER(BedPlan[[#This Row],[Actual End of Harvest]]),BedPlan[[#This Row],[Actual End of Harvest]],BedPlan[[#This Row],[Expected End of Harvest]])</f>
        <v>45929</v>
      </c>
      <c r="AK18" t="b">
        <f>OR(ISNUMBER(BedPlan[[#This Row],[Actual Greenhouse Date]]),ISNUMBER(BedPlan[[#This Row],[Actual TP or DS Date]]))</f>
        <v>1</v>
      </c>
      <c r="AL18" s="52" t="b">
        <f>IF(ISNUMBER(BedPlan[[#This Row],[Planned Greenhouse Start Date]]),OR(ISNUMBER(BedPlan[[#This Row],[Actual TP or DS Date]]),BedPlan[[#This Row],[Failed]]),"-")</f>
        <v>1</v>
      </c>
      <c r="AM18" t="b">
        <f>OR(ISNUMBER(BedPlan[[#This Row],[Actual End of Harvest]]),BedPlan[[#This Row],[Failed]])</f>
        <v>0</v>
      </c>
      <c r="AN18" t="b">
        <f>OR(BedPlan[[#This Row],[Harvest Done]],BedPlan[[#This Row],[Failed]],BedPlan[[#This Row],[Name]]="Tarp")</f>
        <v>0</v>
      </c>
      <c r="AQ18" t="s">
        <v>3214</v>
      </c>
      <c r="AS18" s="26" t="str">
        <f>IF(BedPlan[[#This Row],[Broadfork]],BedPlan[[#This Row],[Actual TP or DS Date]],"")</f>
        <v/>
      </c>
      <c r="AT18" s="26" t="str">
        <f>IF(BedPlan[[#This Row],[Tilther]],BedPlan[[#This Row],[Actual TP or DS Date]],"")</f>
        <v/>
      </c>
      <c r="AU18" s="26">
        <f>IF(NOT(ISBLANK(BedPlan[[#This Row],[Amend]])),BedPlan[[#This Row],[Actual TP or DS Date]],"")</f>
        <v>45813</v>
      </c>
      <c r="AV18" s="26" t="str">
        <f>IF(BedPlan[[#This Row],[Row Cover]],BedPlan[[#This Row],[Actual TP or DS Date]],"")</f>
        <v/>
      </c>
      <c r="AW18" t="s">
        <v>3238</v>
      </c>
      <c r="AX18" s="26">
        <v>45809</v>
      </c>
      <c r="AZ18" s="26"/>
      <c r="BB18" s="26"/>
      <c r="BC18" s="231" cm="1">
        <f t="array" ref="BC18">INDEX(Crops[],BedPlan[[#This Row],[Chart Index]],BC$4,1)*BedPlan[[#This Row],[Full Bed Equivalent]]</f>
        <v>1040</v>
      </c>
      <c r="BD18" s="231" cm="1">
        <f t="array" ref="BD18">INDEX(Crops[],BedPlan[[#This Row],[Chart Index]],BD$4,1)*BedPlan[[#This Row],[Full Bed Equivalent]]</f>
        <v>8.7394957983193269</v>
      </c>
      <c r="BE18" cm="1">
        <f t="array" ref="BE18">INDEX(Crops[],BedPlan[[#This Row],[Chart Index]],BE$4,1)+BedPlan[[#This Row],[Additional Days in Cells]]+BedPlan[[#This Row],[Additional Days In Field]]</f>
        <v>90</v>
      </c>
      <c r="BG18" cm="1">
        <f t="array" ref="BG18">INDEX(Crops[],BedPlan[[#This Row],[Chart Index]],BG$4,1)</f>
        <v>43</v>
      </c>
      <c r="BH18" t="str">
        <f>IF(ISNUMBER(BedPlan[[#This Row],[Planned Greenhouse Start Date]]),"TP","DS")</f>
        <v>TP</v>
      </c>
      <c r="BI18">
        <f>BedPlan[[#This Row],['# Of Beds]]</f>
        <v>1</v>
      </c>
      <c r="BJ18" cm="1">
        <f t="array" ref="BJ18">INDEX(Crops[],BedPlan[[#This Row],[Chart Index]],BJ$4,1)</f>
        <v>14</v>
      </c>
      <c r="BK18" cm="1">
        <f t="array" ref="BK18">INDEX(Crops[],BedPlan[[#This Row],[Chart Index]],BK$4,1)</f>
        <v>1</v>
      </c>
      <c r="BL18" cm="1">
        <f t="array" ref="BL18">INDEX(Crops[],BedPlan[[#This Row],[Chart Index]],BL$4,1)</f>
        <v>6</v>
      </c>
      <c r="BM18" cm="1">
        <f t="array" ref="BM18">INDEX(Crops[],BedPlan[[#This Row],[Chart Index]],BM$4,1)</f>
        <v>3</v>
      </c>
      <c r="BN18" s="32" cm="1">
        <f t="array" ref="BN18">INDEX(Crops[],BedPlan[[#This Row],[Chart Index]],BN$4,1)*BedPlan[[#This Row],[Full Bed Equivalent]]</f>
        <v>100</v>
      </c>
      <c r="BO18" t="str" cm="1">
        <f t="array" ref="BO18">IF(INDEX(Crops[],BedPlan[[#This Row],[Chart Index]],BO$4,1)=0,"",INDEX(Crops[],BedPlan[[#This Row],[Chart Index]],BO$4,1))</f>
        <v/>
      </c>
      <c r="BP18">
        <f>MATCH(BedPlan[[#This Row],[Crop]],Crops[Identifier],FALSE)</f>
        <v>23</v>
      </c>
      <c r="BQ18" t="str" cm="1">
        <f t="array" ref="BQ18">INDEX(Crops[],BedPlan[[#This Row],[Chart Index]],BQ$4,1)</f>
        <v>Pole</v>
      </c>
      <c r="BR18" t="str" cm="1">
        <f t="array" ref="BR18">INDEX(Crops[],BedPlan[[#This Row],[Chart Index]],BR$4,1)</f>
        <v>SuFa</v>
      </c>
      <c r="BS18" s="32">
        <f>BedPlan[[#This Row],[Expected Beginning of Harvest]]-DATE(2023,1,1)</f>
        <v>959</v>
      </c>
      <c r="BT18">
        <f>BedPlan[[#This Row],[Expected End of Harvest]]-BedPlan[[#This Row],[Expected Beginning of Harvest]]</f>
        <v>43</v>
      </c>
      <c r="BU18" t="str" cm="1">
        <f t="array" ref="BU18">INDEX(Crops[],BedPlan[[#This Row],[Chart Index]],BU$4,1)</f>
        <v>Beans</v>
      </c>
      <c r="BV18" cm="1">
        <f t="array" ref="BV18">INDEX(Crops[],BedPlan[[#This Row],[Chart Index]],BV$4,1)</f>
        <v>6</v>
      </c>
      <c r="BW18" t="str" cm="1">
        <f t="array" ref="BW18">INDEX(Crops[],BedPlan[[#This Row],[Chart Index]],BW$4,1)</f>
        <v>Early</v>
      </c>
      <c r="BX18" cm="1">
        <f t="array" ref="BX18">INDEX(Crops[],BedPlan[[#This Row],[Chart Index]],BX$4,1)</f>
        <v>128</v>
      </c>
      <c r="BY18" cm="1">
        <f t="array" ref="BY18">INDEX(Crops[],BedPlan[[#This Row],[Chart Index]],BY$4,1)</f>
        <v>14</v>
      </c>
      <c r="BZ18" s="49" cm="1">
        <f t="array" ref="BZ18">IFERROR(INDEX(Crops[],BedPlan[[#This Row],[Chart Index]],BZ$4,1)*BedPlan[[#This Row],[Full Bed Equivalent]],"")</f>
        <v>0.78125</v>
      </c>
      <c r="CA18" cm="1">
        <f t="array" ref="CA18">INDEX(Crops[],BedPlan[[#This Row],[Chart Index]],CA$4,1)</f>
        <v>0</v>
      </c>
      <c r="CB18" cm="1">
        <f t="array" ref="CB18">INDEX(Crops[],BedPlan[[#This Row],[Chart Index]],CB$4,1)</f>
        <v>0</v>
      </c>
      <c r="CC18" s="49" t="str" cm="1">
        <f t="array" ref="CC18">IFERROR(INDEX(Crops[],BedPlan[[#This Row],[Chart Index]],CC$4,1)*BedPlan[[#This Row],[Full Bed Equivalent]],"")</f>
        <v/>
      </c>
      <c r="CD18" cm="1">
        <f t="array" ref="CD18">INDEX(Crops[],BedPlan[[#This Row],[Chart Index]],CD$4,1)</f>
        <v>0</v>
      </c>
      <c r="CE18" cm="1">
        <f t="array" ref="CE18">IF(INDEX(Crops[],BedPlan[[#This Row],[Chart Index]],CE$4,1)="",0,INDEX(Crops[],BedPlan[[#This Row],[Chart Index]],CE$4,1))</f>
        <v>0</v>
      </c>
      <c r="CF18" s="49" t="str" cm="1">
        <f t="array" ref="CF18">IFERROR(INDEX(Crops[],BedPlan[[#This Row],[Chart Index]],CF$4,1)*BedPlan[[#This Row],[Full Bed Equivalent]],"")</f>
        <v/>
      </c>
      <c r="CG18" cm="1">
        <f t="array" ref="CG18">IF(INDEX(Crops[],BedPlan[[#This Row],[Chart Index]],CG$4,1)="",0,INDEX(Crops[],BedPlan[[#This Row],[Chart Index]],CG$4,1))</f>
        <v>1</v>
      </c>
      <c r="CH18" cm="1">
        <f t="array" ref="CH18">IF(INDEX(Crops[],BedPlan[[#This Row],[Chart Index]],CH$4,1)="",0,INDEX(Crops[],BedPlan[[#This Row],[Chart Index]],CH$4,1))</f>
        <v>0</v>
      </c>
      <c r="CI18" t="str" cm="1">
        <f t="array" ref="CI18">INDEX(Crops[],BedPlan[[#This Row],[Chart Index]],CI$4,1)</f>
        <v>Field</v>
      </c>
      <c r="CJ18" s="30" t="str">
        <f>_xlfn.TEXTJOIN(CHAR(10),FALSE,BedPlan[[#This Row],[Name]],BedPlan[[#This Row],[Variety]],BedPlan[[#This Row],[Company]])</f>
        <v xml:space="preserve">Bean
Pole Bean Mix
</v>
      </c>
      <c r="CK18" s="32">
        <f>MAX( 0, MIN(BedPlan[[#This Row],[Expected End of Harvest]], EOMONTH(CK$4, 0)) - MAX(BedPlan[[#This Row],[Beginning of Harvest]], CK$4) + 1 )</f>
        <v>0</v>
      </c>
      <c r="CL18">
        <f>MAX( 0, MIN(BedPlan[[#This Row],[Expected End of Harvest]], EOMONTH(CL$4, 0)) - MAX(BedPlan[[#This Row],[Beginning of Harvest]], CL$4) + 1 )</f>
        <v>0</v>
      </c>
      <c r="CM18">
        <f>MAX( 0, MIN(BedPlan[[#This Row],[Expected End of Harvest]], EOMONTH(CM$4, 0)) - MAX(BedPlan[[#This Row],[Beginning of Harvest]], CM$4) + 1 )</f>
        <v>0</v>
      </c>
      <c r="CN18">
        <f>MAX( 0, MIN(BedPlan[[#This Row],[Expected End of Harvest]], EOMONTH(CN$4, 0)) - MAX(BedPlan[[#This Row],[Beginning of Harvest]], CN$4) + 1 )</f>
        <v>0</v>
      </c>
      <c r="CO18">
        <f>MAX( 0, MIN(BedPlan[[#This Row],[Expected End of Harvest]], EOMONTH(CO$4, 0)) - MAX(BedPlan[[#This Row],[Beginning of Harvest]], CO$4) + 1 )</f>
        <v>0</v>
      </c>
      <c r="CP18">
        <f>MAX( 0, MIN(BedPlan[[#This Row],[Expected End of Harvest]], EOMONTH(CP$4, 0)) - MAX(BedPlan[[#This Row],[Beginning of Harvest]], CP$4) + 1 )</f>
        <v>0</v>
      </c>
      <c r="CQ18">
        <f>MAX( 0, MIN(BedPlan[[#This Row],[Expected End of Harvest]], EOMONTH(CQ$4, 0)) - MAX(BedPlan[[#This Row],[Beginning of Harvest]], CQ$4) + 1 )</f>
        <v>0</v>
      </c>
      <c r="CR18">
        <f>MAX( 0, MIN(BedPlan[[#This Row],[Expected End of Harvest]], EOMONTH(CR$4, 0)) - MAX(BedPlan[[#This Row],[Beginning of Harvest]], CR$4) + 1 )</f>
        <v>15</v>
      </c>
      <c r="CS18">
        <f>MAX( 0, MIN(BedPlan[[#This Row],[Expected End of Harvest]], EOMONTH(CS$4, 0)) - MAX(BedPlan[[#This Row],[Beginning of Harvest]], CS$4) + 1 )</f>
        <v>29</v>
      </c>
      <c r="CT18">
        <f>MAX( 0, MIN(BedPlan[[#This Row],[Expected End of Harvest]], EOMONTH(CT$4, 0)) - MAX(BedPlan[[#This Row],[Beginning of Harvest]], CT$4) + 1 )</f>
        <v>0</v>
      </c>
      <c r="CU18">
        <f>MAX( 0, MIN(BedPlan[[#This Row],[Expected End of Harvest]], EOMONTH(CU$4, 0)) - MAX(BedPlan[[#This Row],[Beginning of Harvest]], CU$4) + 1 )</f>
        <v>0</v>
      </c>
      <c r="CV18">
        <f>MAX( 0, MIN(BedPlan[[#This Row],[Expected End of Harvest]], EOMONTH(CV$4, 0)) - MAX(BedPlan[[#This Row],[Beginning of Harvest]], CV$4) + 1 )</f>
        <v>0</v>
      </c>
      <c r="CW18">
        <f>MAX( 0, MIN(BedPlan[[#This Row],[Expected End of Harvest]], EOMONTH(CW$4, 0)) - MAX(BedPlan[[#This Row],[Beginning of Harvest]], CW$4) + 1 )</f>
        <v>0</v>
      </c>
      <c r="CX18">
        <f>MAX( 0, MIN(BedPlan[[#This Row],[Expected End of Harvest]], EOMONTH(CX$4, 0)) - MAX(BedPlan[[#This Row],[Beginning of Harvest]], CX$4) + 1 )</f>
        <v>0</v>
      </c>
      <c r="CY18">
        <f>MAX( 0, MIN(BedPlan[[#This Row],[Expected End of Harvest]], EOMONTH(CY$4, 0)) - MAX(BedPlan[[#This Row],[Beginning of Harvest]], CY$4) + 1 )</f>
        <v>0</v>
      </c>
      <c r="CZ18">
        <f>MAX( 0, MIN(BedPlan[[#This Row],[Expected End of Harvest]], EOMONTH(CZ$4, 0)) - MAX(BedPlan[[#This Row],[Beginning of Harvest]], CZ$4) + 1 )</f>
        <v>0</v>
      </c>
      <c r="DA18">
        <f>MAX( 0, MIN(BedPlan[[#This Row],[Expected End of Harvest]], EOMONTH(DA$4, 0)) - MAX(BedPlan[[#This Row],[Beginning of Harvest]], DA$4) + 1 )</f>
        <v>0</v>
      </c>
      <c r="DB18">
        <f>MAX( 0, MIN(BedPlan[[#This Row],[Expected End of Harvest]], EOMONTH(DB$4, 0)) - MAX(BedPlan[[#This Row],[Beginning of Harvest]], DB$4) + 1 )</f>
        <v>0</v>
      </c>
      <c r="DC18">
        <f>MAX( 0, MIN(BedPlan[[#This Row],[Expected End of Harvest]], EOMONTH(DC$4, 0)) - MAX(BedPlan[[#This Row],[Beginning of Harvest]], DC$4) + 1 )</f>
        <v>0</v>
      </c>
      <c r="DD18">
        <f>MAX( 0, MIN(BedPlan[[#This Row],[Expected End of Harvest]], EOMONTH(DD$4, 0)) - MAX(BedPlan[[#This Row],[Beginning of Harvest]], DD$4) + 1 )</f>
        <v>0</v>
      </c>
      <c r="DE18">
        <f>MAX( 0, MIN(BedPlan[[#This Row],[Expected End of Harvest]], EOMONTH(DE$4, 0)) - MAX(BedPlan[[#This Row],[Beginning of Harvest]], DE$4) + 1 )</f>
        <v>0</v>
      </c>
      <c r="DF18">
        <f>MAX( 0, MIN(BedPlan[[#This Row],[Expected End of Harvest]], EOMONTH(DF$4, 0)) - MAX(BedPlan[[#This Row],[Beginning of Harvest]], DF$4) + 1 )</f>
        <v>0</v>
      </c>
      <c r="DG18">
        <f>MAX( 0, MIN(BedPlan[[#This Row],[Expected End of Harvest]], EOMONTH(DG$4, 0)) - MAX(BedPlan[[#This Row],[Beginning of Harvest]], DG$4) + 1 )</f>
        <v>0</v>
      </c>
      <c r="DH18">
        <f>MAX( 0, MIN(BedPlan[[#This Row],[Expected End of Harvest]], EOMONTH(DH$4, 0)) - MAX(BedPlan[[#This Row],[Beginning of Harvest]], DH$4) + 1 )</f>
        <v>0</v>
      </c>
      <c r="DI18" s="257" cm="1">
        <f t="array" ref="DI18">BedPlan[[#This Row],[Harvest Days January 2025]]/SUM(BedPlan[[#This Row],[Harvest Days January 2025]:[Harvest Days December 2026]])*BedPlan[[#This Row],[Revenue]:[Revenue]]</f>
        <v>0</v>
      </c>
      <c r="DJ18" s="257" cm="1">
        <f t="array" ref="DJ18">BedPlan[[#This Row],[Harvest Days February 2025]]/SUM(BedPlan[[#This Row],[Harvest Days January 2025]:[Harvest Days December 2026]])*BedPlan[[#This Row],[Revenue]:[Revenue]]</f>
        <v>0</v>
      </c>
      <c r="DK18" s="257" cm="1">
        <f t="array" ref="DK18">BedPlan[[#This Row],[Harvest Days March 2025]]/SUM(BedPlan[[#This Row],[Harvest Days January 2025]:[Harvest Days December 2026]])*BedPlan[[#This Row],[Revenue]:[Revenue]]</f>
        <v>0</v>
      </c>
      <c r="DL18" s="257" cm="1">
        <f t="array" ref="DL18">BedPlan[[#This Row],[Harvest Days April 2025]]/SUM(BedPlan[[#This Row],[Harvest Days January 2025]:[Harvest Days December 2026]])*BedPlan[[#This Row],[Revenue]:[Revenue]]</f>
        <v>0</v>
      </c>
      <c r="DM18" s="257" cm="1">
        <f t="array" ref="DM18">BedPlan[[#This Row],[Harvest Days May 2025]]/SUM(BedPlan[[#This Row],[Harvest Days January 2025]:[Harvest Days December 2026]])*BedPlan[[#This Row],[Revenue]:[Revenue]]</f>
        <v>0</v>
      </c>
      <c r="DN18" s="257" cm="1">
        <f t="array" ref="DN18">BedPlan[[#This Row],[Harvest Days June 2025]]/SUM(BedPlan[[#This Row],[Harvest Days January 2025]:[Harvest Days December 2026]])*BedPlan[[#This Row],[Revenue]:[Revenue]]</f>
        <v>0</v>
      </c>
      <c r="DO18" s="257" cm="1">
        <f t="array" ref="DO18">BedPlan[[#This Row],[Harvest Days July 2025]]/SUM(BedPlan[[#This Row],[Harvest Days January 2025]:[Harvest Days December 2026]])*BedPlan[[#This Row],[Revenue]:[Revenue]]</f>
        <v>0</v>
      </c>
      <c r="DP18" s="257" cm="1">
        <f t="array" ref="DP18">BedPlan[[#This Row],[Harvest Days August 2025]]/SUM(BedPlan[[#This Row],[Harvest Days January 2025]:[Harvest Days December 2026]])*BedPlan[[#This Row],[Revenue]:[Revenue]]</f>
        <v>354.5454545454545</v>
      </c>
      <c r="DQ18" s="257" cm="1">
        <f t="array" ref="DQ18">BedPlan[[#This Row],[Harvest Days September 2025]]/SUM(BedPlan[[#This Row],[Harvest Days January 2025]:[Harvest Days December 2026]])*BedPlan[[#This Row],[Revenue]:[Revenue]]</f>
        <v>685.45454545454538</v>
      </c>
      <c r="DR18" s="257" cm="1">
        <f t="array" ref="DR18">BedPlan[[#This Row],[Harvest Days October 2025]]/SUM(BedPlan[[#This Row],[Harvest Days January 2025]:[Harvest Days December 2026]])*BedPlan[[#This Row],[Revenue]:[Revenue]]</f>
        <v>0</v>
      </c>
      <c r="DS18" s="257" cm="1">
        <f t="array" ref="DS18">BedPlan[[#This Row],[Harvest Days November 2025]]/SUM(BedPlan[[#This Row],[Harvest Days January 2025]:[Harvest Days December 2026]])*BedPlan[[#This Row],[Revenue]:[Revenue]]</f>
        <v>0</v>
      </c>
      <c r="DT18" s="257" cm="1">
        <f t="array" ref="DT18">BedPlan[[#This Row],[Harvest Days December 2025]]/SUM(BedPlan[[#This Row],[Harvest Days January 2025]:[Harvest Days December 2026]])*BedPlan[[#This Row],[Revenue]:[Revenue]]</f>
        <v>0</v>
      </c>
      <c r="DU18" s="257" cm="1">
        <f t="array" ref="DU18">BedPlan[[#This Row],[Harvest Days January 2026]]/SUM(BedPlan[[#This Row],[Harvest Days January 2025]:[Harvest Days December 2026]])*BedPlan[[#This Row],[Revenue]:[Revenue]]</f>
        <v>0</v>
      </c>
      <c r="DV18" s="257" cm="1">
        <f t="array" ref="DV18">BedPlan[[#This Row],[Harvest Days February 2026]]/SUM(BedPlan[[#This Row],[Harvest Days January 2025]:[Harvest Days December 2026]])*BedPlan[[#This Row],[Revenue]:[Revenue]]</f>
        <v>0</v>
      </c>
      <c r="DW18" s="257" cm="1">
        <f t="array" ref="DW18">BedPlan[[#This Row],[Harvest Days March 2026]]/SUM(BedPlan[[#This Row],[Harvest Days January 2025]:[Harvest Days December 2026]])*BedPlan[[#This Row],[Revenue]:[Revenue]]</f>
        <v>0</v>
      </c>
      <c r="DX18" s="257" cm="1">
        <f t="array" ref="DX18">BedPlan[[#This Row],[Harvest Days April 2026]]/SUM(BedPlan[[#This Row],[Harvest Days January 2025]:[Harvest Days December 2026]])*BedPlan[[#This Row],[Revenue]:[Revenue]]</f>
        <v>0</v>
      </c>
      <c r="DY18" s="257" cm="1">
        <f t="array" ref="DY18">BedPlan[[#This Row],[Harvest Days May 2026]]/SUM(BedPlan[[#This Row],[Harvest Days January 2025]:[Harvest Days December 2026]])*BedPlan[[#This Row],[Revenue]:[Revenue]]</f>
        <v>0</v>
      </c>
      <c r="DZ18" s="257" cm="1">
        <f t="array" ref="DZ18">BedPlan[[#This Row],[Harvest Days June 2026]]/SUM(BedPlan[[#This Row],[Harvest Days January 2025]:[Harvest Days December 2026]])*BedPlan[[#This Row],[Revenue]:[Revenue]]</f>
        <v>0</v>
      </c>
      <c r="EA18" s="257" cm="1">
        <f t="array" ref="EA18">BedPlan[[#This Row],[Harvest Days July 2026]]/SUM(BedPlan[[#This Row],[Harvest Days January 2025]:[Harvest Days December 2026]])*BedPlan[[#This Row],[Revenue]:[Revenue]]</f>
        <v>0</v>
      </c>
      <c r="EB18" s="257" cm="1">
        <f t="array" ref="EB18">BedPlan[[#This Row],[Harvest Days August 2026]]/SUM(BedPlan[[#This Row],[Harvest Days January 2025]:[Harvest Days December 2026]])*BedPlan[[#This Row],[Revenue]:[Revenue]]</f>
        <v>0</v>
      </c>
      <c r="EC18" s="257" cm="1">
        <f t="array" ref="EC18">BedPlan[[#This Row],[Harvest Days September 2026]]/SUM(BedPlan[[#This Row],[Harvest Days January 2025]:[Harvest Days December 2026]])*BedPlan[[#This Row],[Revenue]:[Revenue]]</f>
        <v>0</v>
      </c>
      <c r="ED18" s="257" cm="1">
        <f t="array" ref="ED18">BedPlan[[#This Row],[Harvest Days October 2026]]/SUM(BedPlan[[#This Row],[Harvest Days January 2025]:[Harvest Days December 2026]])*BedPlan[[#This Row],[Revenue]:[Revenue]]</f>
        <v>0</v>
      </c>
      <c r="EE18" s="257" cm="1">
        <f t="array" ref="EE18">BedPlan[[#This Row],[Harvest Days November 2026]]/SUM(BedPlan[[#This Row],[Harvest Days January 2025]:[Harvest Days December 2026]])*BedPlan[[#This Row],[Revenue]:[Revenue]]</f>
        <v>0</v>
      </c>
      <c r="EF18" s="257" cm="1">
        <f t="array" ref="EF18">BedPlan[[#This Row],[Harvest Days December 2026]]/SUM(BedPlan[[#This Row],[Harvest Days January 2025]:[Harvest Days December 2026]])*BedPlan[[#This Row],[Revenue]:[Revenue]]</f>
        <v>0</v>
      </c>
      <c r="EG18" t="b">
        <f>SUM(BedPlan[[#This Row],[Revenue January 2025]:[Revenue December 2026]])=BedPlan[[#This Row],[Revenue]]</f>
        <v>1</v>
      </c>
      <c r="EH18" s="30" cm="1">
        <f t="array" ref="EH18">INDEX(Crops[],BedPlan[[#This Row],[Chart Index]],EH$4,1)*BedPlan[[#This Row],['# Of Beds]]</f>
        <v>130</v>
      </c>
      <c r="EI18" s="30" t="str" cm="1">
        <f t="array" ref="EI18">INDEX(Crops[],BedPlan[[#This Row],[Chart Index]],EI$4,1)</f>
        <v>Lb</v>
      </c>
      <c r="EJ18" s="30" t="str" cm="1">
        <f t="array" ref="EJ18">INDEX(Crops[],BedPlan[[#This Row],[Chart Index]],EJ$4,1)</f>
        <v>Young Pod</v>
      </c>
      <c r="EK18" s="30" t="str">
        <f>BedPlan[[#This Row],[Name]]&amp;" "&amp;BedPlan[[#This Row],[Product]]&amp; " - " &amp;BedPlan[[#This Row],[Unit]]</f>
        <v>Bean Young Pod - Lb</v>
      </c>
      <c r="EL18" s="33" cm="1">
        <f t="array" ref="EL18">BedPlan[[#This Row],[Harvest Days January 2025]]/SUM(BedPlan[[#This Row],[Harvest Days January 2025]:[Harvest Days December 2026]])*BedPlan[[#This Row],[Yield]:[Yield]]</f>
        <v>0</v>
      </c>
      <c r="EM18" s="33" cm="1">
        <f t="array" ref="EM18">BedPlan[[#This Row],[Harvest Days February 2025]]/SUM(BedPlan[[#This Row],[Harvest Days January 2025]:[Harvest Days December 2026]])*BedPlan[[#This Row],[Yield]:[Yield]]</f>
        <v>0</v>
      </c>
      <c r="EN18" s="33" cm="1">
        <f t="array" ref="EN18">BedPlan[[#This Row],[Harvest Days March 2025]]/SUM(BedPlan[[#This Row],[Harvest Days January 2025]:[Harvest Days December 2026]])*BedPlan[[#This Row],[Yield]:[Yield]]</f>
        <v>0</v>
      </c>
      <c r="EO18" s="33" cm="1">
        <f t="array" ref="EO18">BedPlan[[#This Row],[Harvest Days April 2025]]/SUM(BedPlan[[#This Row],[Harvest Days January 2025]:[Harvest Days December 2026]])*BedPlan[[#This Row],[Yield]:[Yield]]</f>
        <v>0</v>
      </c>
      <c r="EP18" s="33" cm="1">
        <f t="array" ref="EP18">BedPlan[[#This Row],[Harvest Days May 2025]]/SUM(BedPlan[[#This Row],[Harvest Days January 2025]:[Harvest Days December 2026]])*BedPlan[[#This Row],[Yield]:[Yield]]</f>
        <v>0</v>
      </c>
      <c r="EQ18" s="33" cm="1">
        <f t="array" ref="EQ18">BedPlan[[#This Row],[Harvest Days June 2025]]/SUM(BedPlan[[#This Row],[Harvest Days January 2025]:[Harvest Days December 2026]])*BedPlan[[#This Row],[Yield]:[Yield]]</f>
        <v>0</v>
      </c>
      <c r="ER18" s="33" cm="1">
        <f t="array" ref="ER18">BedPlan[[#This Row],[Harvest Days July 2025]]/SUM(BedPlan[[#This Row],[Harvest Days January 2025]:[Harvest Days December 2026]])*BedPlan[[#This Row],[Yield]:[Yield]]</f>
        <v>0</v>
      </c>
      <c r="ES18" s="33" cm="1">
        <f t="array" ref="ES18">BedPlan[[#This Row],[Harvest Days August 2025]]/SUM(BedPlan[[#This Row],[Harvest Days January 2025]:[Harvest Days December 2026]])*BedPlan[[#This Row],[Yield]:[Yield]]</f>
        <v>44.318181818181813</v>
      </c>
      <c r="ET18" s="33" cm="1">
        <f t="array" ref="ET18">BedPlan[[#This Row],[Harvest Days September 2025]]/SUM(BedPlan[[#This Row],[Harvest Days January 2025]:[Harvest Days December 2026]])*BedPlan[[#This Row],[Yield]:[Yield]]</f>
        <v>85.681818181818173</v>
      </c>
      <c r="EU18" s="33" cm="1">
        <f t="array" ref="EU18">BedPlan[[#This Row],[Harvest Days October 2025]]/SUM(BedPlan[[#This Row],[Harvest Days January 2025]:[Harvest Days December 2026]])*BedPlan[[#This Row],[Yield]:[Yield]]</f>
        <v>0</v>
      </c>
      <c r="EV18" s="33" cm="1">
        <f t="array" ref="EV18">BedPlan[[#This Row],[Harvest Days November 2025]]/SUM(BedPlan[[#This Row],[Harvest Days January 2025]:[Harvest Days December 2026]])*BedPlan[[#This Row],[Yield]:[Yield]]</f>
        <v>0</v>
      </c>
      <c r="EW18" s="33" cm="1">
        <f t="array" ref="EW18">BedPlan[[#This Row],[Harvest Days December 2025]]/SUM(BedPlan[[#This Row],[Harvest Days January 2025]:[Harvest Days December 2026]])*BedPlan[[#This Row],[Yield]:[Yield]]</f>
        <v>0</v>
      </c>
    </row>
    <row r="19" spans="1:153" ht="15.75" customHeight="1">
      <c r="A19" s="183" t="s">
        <v>1751</v>
      </c>
      <c r="B19" t="s">
        <v>2625</v>
      </c>
      <c r="C19" t="s">
        <v>1446</v>
      </c>
      <c r="D19" cm="1">
        <f t="array" ref="D19">INDEX(Crops[],BedPlan[[#This Row],[Chart Index]],D$4,1)*BedPlan[[#This Row],[Full Bed Equivalent]]</f>
        <v>33.333333333333336</v>
      </c>
      <c r="E19" cm="1">
        <f t="array" ref="E19">INDEX(Crops[],BedPlan[[#This Row],[Chart Index]],E$4,1)*BedPlan[[#This Row],[Full Bed Equivalent]]</f>
        <v>200</v>
      </c>
      <c r="F19" t="str">
        <f>UPPER(LEFT(BedPlan[[#This Row],[Crop]],3))</f>
        <v>BEE</v>
      </c>
      <c r="H19" s="143" t="str" cm="1">
        <f t="array" ref="H19">INDEX(Crops[],BedPlan[[#This Row],[Chart Index]],H$4,1)</f>
        <v>Beet</v>
      </c>
      <c r="I19" t="s">
        <v>494</v>
      </c>
      <c r="K19" t="str" cm="1">
        <f t="array" ref="K19">IF(ISNUMBER(MATCH(BedPlan[[#This Row],[Variety]],SeedMixes[Name],)),_xlfn.TEXTJOIN(", ",TRUE,_xlfn._xlws.FILTER(SeedMixes[Variety &amp; Company],SeedMixes[Name]=BedPlan[[#This Row],[Variety]])),"")</f>
        <v>Badger Flame High Mowing, Boro F1 High Mowing, Chiogga Adaptive</v>
      </c>
      <c r="L19" s="33" cm="1">
        <f t="array" ref="L19">INDEX(Crops[],BedPlan[[#This Row],[Chart Index]],L$4,1)*BedPlan[[#This Row],[Full Bed Equivalent]]</f>
        <v>990.00000000000011</v>
      </c>
      <c r="N19">
        <v>2</v>
      </c>
      <c r="O19">
        <f>MAX(BedPlan[[#This Row],['# Of Beds]],0.5)</f>
        <v>2</v>
      </c>
      <c r="P19" s="31">
        <f>IF(ISNUMBER(BedPlan[[#This Row],[Planned Greenhouse Start Date]]),BedPlan[[#This Row],[Planned Greenhouse Start Date]],BedPlan[[#This Row],[Planned TP or DS Date]])</f>
        <v>45738</v>
      </c>
      <c r="Q19" s="259">
        <f>IF(BedPlan[[#This Row],[Days in Cells]]=0,"",IFERROR(_xlfn.XLOOKUP(BedPlan[[#This Row],[Follows Crop]],BedPlan[Identifier],BedPlan[Expected End of Harvest]) + 1+BedPlan[[#This Row],[Follow Offset]],BedPlan[[#This Row],[Fixed Field Start Date]])-BedPlan[[#This Row],[Days in Cells]])</f>
        <v>45738</v>
      </c>
      <c r="R19" s="259">
        <v>45744</v>
      </c>
      <c r="S19" s="259">
        <f>IF(ISNUMBER(BedPlan[[#This Row],[Actual Greenhouse Date]]),BedPlan[[#This Row],[Actual Greenhouse Date]],BedPlan[[#This Row],[Planned Greenhouse Start Date]])</f>
        <v>45744</v>
      </c>
      <c r="T19" s="259">
        <f>_xlfn.XLOOKUP(BedPlan[[#This Row],[Crop]],Crops[Identifier],Crops[Target Field Date])</f>
        <v>45773</v>
      </c>
      <c r="U19" s="260"/>
      <c r="V19" s="260"/>
      <c r="W1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45779</v>
      </c>
      <c r="X19" s="259"/>
      <c r="Y19" s="271">
        <f>BedPlan[[#This Row],[Actual TP or DS Date]]-BedPlan[[#This Row],[Planned TP or DS Date]]</f>
        <v>-45779</v>
      </c>
      <c r="Z19" s="259">
        <f>IF(ISNUMBER(BedPlan[[#This Row],[Actual TP or DS Date]]),BedPlan[[#This Row],[Actual TP or DS Date]],BedPlan[[#This Row],[Planned TP or DS Date]])</f>
        <v>45779</v>
      </c>
      <c r="AA19" s="260"/>
      <c r="AB19" s="259">
        <f>IF(ISNUMBER(BedPlan[[#This Row],[Greenhouse Start Date]]),BedPlan[[#This Row],[Greenhouse Start Date]]+BedPlan[[#This Row],[DTM]],BedPlan[[#This Row],[TP or DS Date]]+BedPlan[[#This Row],[DTM]])</f>
        <v>45835</v>
      </c>
      <c r="AC19" s="259"/>
      <c r="AD19" s="259">
        <f>IF(ISNUMBER(BedPlan[[#This Row],[Actual Beginning of Harvest]]),BedPlan[[#This Row],[Actual Beginning of Harvest]],BedPlan[[#This Row],[Expected Beginning of Harvest]])</f>
        <v>45835</v>
      </c>
      <c r="AE19" s="259">
        <f>BedPlan[[#This Row],[Expected Beginning of Harvest]]+BedPlan[[#This Row],[Harvest Window]]+BedPlan[[#This Row],[Additional Days of Harvest]]</f>
        <v>45870</v>
      </c>
      <c r="AF19" s="259"/>
      <c r="AG19" s="259"/>
      <c r="AH19" s="31" t="b">
        <f>IF(AND( BedPlan[[#This Row],[Expected End of Harvest]] &gt;= DATE(2025, 8, 1), BedPlan[[#This Row],[Beginning of Harvest]] &lt;= DATE(2025, 8, 31) ), TRUE, FALSE)</f>
        <v>1</v>
      </c>
      <c r="AI19" s="31"/>
      <c r="AJ19" s="31">
        <f>IF(ISNUMBER(BedPlan[[#This Row],[Actual End of Harvest]]),BedPlan[[#This Row],[Actual End of Harvest]],BedPlan[[#This Row],[Expected End of Harvest]])</f>
        <v>45870</v>
      </c>
      <c r="AK19" t="b">
        <f>OR(ISNUMBER(BedPlan[[#This Row],[Actual Greenhouse Date]]),ISNUMBER(BedPlan[[#This Row],[Actual TP or DS Date]]))</f>
        <v>1</v>
      </c>
      <c r="AL19" s="52" t="b">
        <f>IF(ISNUMBER(BedPlan[[#This Row],[Planned Greenhouse Start Date]]),OR(ISNUMBER(BedPlan[[#This Row],[Actual TP or DS Date]]),BedPlan[[#This Row],[Failed]]),"-")</f>
        <v>0</v>
      </c>
      <c r="AM19" t="b">
        <f>OR(ISNUMBER(BedPlan[[#This Row],[Actual End of Harvest]]),BedPlan[[#This Row],[Failed]])</f>
        <v>0</v>
      </c>
      <c r="AN19" t="b">
        <f>OR(BedPlan[[#This Row],[Harvest Done]],BedPlan[[#This Row],[Failed]],BedPlan[[#This Row],[Name]]="Tarp")</f>
        <v>0</v>
      </c>
      <c r="AS19" s="26" t="str">
        <f>IF(BedPlan[[#This Row],[Broadfork]],BedPlan[[#This Row],[Actual TP or DS Date]],"")</f>
        <v/>
      </c>
      <c r="AT19" s="26" t="str">
        <f>IF(BedPlan[[#This Row],[Tilther]],BedPlan[[#This Row],[Actual TP or DS Date]],"")</f>
        <v/>
      </c>
      <c r="AU19" s="26" t="str">
        <f>IF(NOT(ISBLANK(BedPlan[[#This Row],[Amend]])),BedPlan[[#This Row],[Actual TP or DS Date]],"")</f>
        <v/>
      </c>
      <c r="AV19" s="26" t="str">
        <f>IF(BedPlan[[#This Row],[Row Cover]],BedPlan[[#This Row],[Actual TP or DS Date]],"")</f>
        <v/>
      </c>
      <c r="AX19" s="26"/>
      <c r="AZ19" s="26"/>
      <c r="BB19" s="26"/>
      <c r="BC19" s="231" cm="1">
        <f t="array" ref="BC19">INDEX(Crops[],BedPlan[[#This Row],[Chart Index]],BC$4,1)*BedPlan[[#This Row],[Full Bed Equivalent]]</f>
        <v>800</v>
      </c>
      <c r="BD19" s="231" cm="1">
        <f t="array" ref="BD19">INDEX(Crops[],BedPlan[[#This Row],[Chart Index]],BD$4,1)*BedPlan[[#This Row],[Full Bed Equivalent]]</f>
        <v>8.791208791208792</v>
      </c>
      <c r="BE19" cm="1">
        <f t="array" ref="BE19">INDEX(Crops[],BedPlan[[#This Row],[Chart Index]],BE$4,1)+BedPlan[[#This Row],[Additional Days in Cells]]+BedPlan[[#This Row],[Additional Days In Field]]</f>
        <v>91</v>
      </c>
      <c r="BG19" cm="1">
        <f t="array" ref="BG19">INDEX(Crops[],BedPlan[[#This Row],[Chart Index]],BG$4,1)</f>
        <v>35</v>
      </c>
      <c r="BH19" t="str">
        <f>IF(ISNUMBER(BedPlan[[#This Row],[Planned Greenhouse Start Date]]),"TP","DS")</f>
        <v>TP</v>
      </c>
      <c r="BI19">
        <f>BedPlan[[#This Row],['# Of Beds]]</f>
        <v>2</v>
      </c>
      <c r="BJ19" cm="1">
        <f t="array" ref="BJ19">INDEX(Crops[],BedPlan[[#This Row],[Chart Index]],BJ$4,1)</f>
        <v>35</v>
      </c>
      <c r="BK19" cm="1">
        <f t="array" ref="BK19">INDEX(Crops[],BedPlan[[#This Row],[Chart Index]],BK$4,1)</f>
        <v>3</v>
      </c>
      <c r="BL19" cm="1">
        <f t="array" ref="BL19">INDEX(Crops[],BedPlan[[#This Row],[Chart Index]],BL$4,1)</f>
        <v>12</v>
      </c>
      <c r="BM19" cm="1">
        <f t="array" ref="BM19">INDEX(Crops[],BedPlan[[#This Row],[Chart Index]],BM$4,1)</f>
        <v>3</v>
      </c>
      <c r="BN19" s="32" cm="1">
        <f t="array" ref="BN19">INDEX(Crops[],BedPlan[[#This Row],[Chart Index]],BN$4,1)*BedPlan[[#This Row],[Full Bed Equivalent]]</f>
        <v>300</v>
      </c>
      <c r="BO19" t="str" cm="1">
        <f t="array" ref="BO19">IF(INDEX(Crops[],BedPlan[[#This Row],[Chart Index]],BO$4,1)=0,"",INDEX(Crops[],BedPlan[[#This Row],[Chart Index]],BO$4,1))</f>
        <v/>
      </c>
      <c r="BP19">
        <f>MATCH(BedPlan[[#This Row],[Crop]],Crops[Identifier],FALSE)</f>
        <v>32</v>
      </c>
      <c r="BQ19" t="str" cm="1">
        <f t="array" ref="BQ19">INDEX(Crops[],BedPlan[[#This Row],[Chart Index]],BQ$4,1)</f>
        <v>General</v>
      </c>
      <c r="BR19" t="str" cm="1">
        <f t="array" ref="BR19">INDEX(Crops[],BedPlan[[#This Row],[Chart Index]],BR$4,1)</f>
        <v>Sp</v>
      </c>
      <c r="BS19" s="32">
        <f>BedPlan[[#This Row],[Expected Beginning of Harvest]]-DATE(2023,1,1)</f>
        <v>908</v>
      </c>
      <c r="BT19">
        <f>BedPlan[[#This Row],[Expected End of Harvest]]-BedPlan[[#This Row],[Expected Beginning of Harvest]]</f>
        <v>35</v>
      </c>
      <c r="BU19" t="str" cm="1">
        <f t="array" ref="BU19">INDEX(Crops[],BedPlan[[#This Row],[Chart Index]],BU$4,1)</f>
        <v>Root</v>
      </c>
      <c r="BV19" cm="1">
        <f t="array" ref="BV19">INDEX(Crops[],BedPlan[[#This Row],[Chart Index]],BV$4,1)</f>
        <v>1</v>
      </c>
      <c r="BW19" t="str" cm="1">
        <f t="array" ref="BW19">INDEX(Crops[],BedPlan[[#This Row],[Chart Index]],BW$4,1)</f>
        <v>None</v>
      </c>
      <c r="BX19" cm="1">
        <f t="array" ref="BX19">INDEX(Crops[],BedPlan[[#This Row],[Chart Index]],BX$4,1)</f>
        <v>128</v>
      </c>
      <c r="BY19" cm="1">
        <f t="array" ref="BY19">INDEX(Crops[],BedPlan[[#This Row],[Chart Index]],BY$4,1)</f>
        <v>35</v>
      </c>
      <c r="BZ19" s="49" cm="1">
        <f t="array" ref="BZ19">IFERROR(INDEX(Crops[],BedPlan[[#This Row],[Chart Index]],BZ$4,1)*BedPlan[[#This Row],[Full Bed Equivalent]],"")</f>
        <v>2.578125</v>
      </c>
      <c r="CA19" cm="1">
        <f t="array" ref="CA19">INDEX(Crops[],BedPlan[[#This Row],[Chart Index]],CA$4,1)</f>
        <v>0</v>
      </c>
      <c r="CB19" cm="1">
        <f t="array" ref="CB19">INDEX(Crops[],BedPlan[[#This Row],[Chart Index]],CB$4,1)</f>
        <v>0</v>
      </c>
      <c r="CC19" s="49" t="str" cm="1">
        <f t="array" ref="CC19">IFERROR(INDEX(Crops[],BedPlan[[#This Row],[Chart Index]],CC$4,1)*BedPlan[[#This Row],[Full Bed Equivalent]],"")</f>
        <v/>
      </c>
      <c r="CD19" cm="1">
        <f t="array" ref="CD19">INDEX(Crops[],BedPlan[[#This Row],[Chart Index]],CD$4,1)</f>
        <v>0</v>
      </c>
      <c r="CE19" cm="1">
        <f t="array" ref="CE19">IF(INDEX(Crops[],BedPlan[[#This Row],[Chart Index]],CE$4,1)="",0,INDEX(Crops[],BedPlan[[#This Row],[Chart Index]],CE$4,1))</f>
        <v>0</v>
      </c>
      <c r="CF19" s="49" t="str" cm="1">
        <f t="array" ref="CF19">IFERROR(INDEX(Crops[],BedPlan[[#This Row],[Chart Index]],CF$4,1)*BedPlan[[#This Row],[Full Bed Equivalent]],"")</f>
        <v/>
      </c>
      <c r="CG19" cm="1">
        <f t="array" ref="CG19">IF(INDEX(Crops[],BedPlan[[#This Row],[Chart Index]],CG$4,1)="",0,INDEX(Crops[],BedPlan[[#This Row],[Chart Index]],CG$4,1))</f>
        <v>1.1000000000000001</v>
      </c>
      <c r="CH19" cm="1">
        <f t="array" ref="CH19">IF(INDEX(Crops[],BedPlan[[#This Row],[Chart Index]],CH$4,1)="",0,INDEX(Crops[],BedPlan[[#This Row],[Chart Index]],CH$4,1))</f>
        <v>0</v>
      </c>
      <c r="CI19" t="str" cm="1">
        <f t="array" ref="CI19">INDEX(Crops[],BedPlan[[#This Row],[Chart Index]],CI$4,1)</f>
        <v>Field</v>
      </c>
      <c r="CJ19" s="30" t="str">
        <f>_xlfn.TEXTJOIN(CHAR(10),FALSE,BedPlan[[#This Row],[Name]],BedPlan[[#This Row],[Variety]],BedPlan[[#This Row],[Company]])</f>
        <v xml:space="preserve">Beet
Beet Mix
</v>
      </c>
      <c r="CK19" s="32">
        <f>MAX( 0, MIN(BedPlan[[#This Row],[Expected End of Harvest]], EOMONTH(CK$4, 0)) - MAX(BedPlan[[#This Row],[Beginning of Harvest]], CK$4) + 1 )</f>
        <v>0</v>
      </c>
      <c r="CL19">
        <f>MAX( 0, MIN(BedPlan[[#This Row],[Expected End of Harvest]], EOMONTH(CL$4, 0)) - MAX(BedPlan[[#This Row],[Beginning of Harvest]], CL$4) + 1 )</f>
        <v>0</v>
      </c>
      <c r="CM19">
        <f>MAX( 0, MIN(BedPlan[[#This Row],[Expected End of Harvest]], EOMONTH(CM$4, 0)) - MAX(BedPlan[[#This Row],[Beginning of Harvest]], CM$4) + 1 )</f>
        <v>0</v>
      </c>
      <c r="CN19">
        <f>MAX( 0, MIN(BedPlan[[#This Row],[Expected End of Harvest]], EOMONTH(CN$4, 0)) - MAX(BedPlan[[#This Row],[Beginning of Harvest]], CN$4) + 1 )</f>
        <v>0</v>
      </c>
      <c r="CO19">
        <f>MAX( 0, MIN(BedPlan[[#This Row],[Expected End of Harvest]], EOMONTH(CO$4, 0)) - MAX(BedPlan[[#This Row],[Beginning of Harvest]], CO$4) + 1 )</f>
        <v>0</v>
      </c>
      <c r="CP19">
        <f>MAX( 0, MIN(BedPlan[[#This Row],[Expected End of Harvest]], EOMONTH(CP$4, 0)) - MAX(BedPlan[[#This Row],[Beginning of Harvest]], CP$4) + 1 )</f>
        <v>4</v>
      </c>
      <c r="CQ19">
        <f>MAX( 0, MIN(BedPlan[[#This Row],[Expected End of Harvest]], EOMONTH(CQ$4, 0)) - MAX(BedPlan[[#This Row],[Beginning of Harvest]], CQ$4) + 1 )</f>
        <v>31</v>
      </c>
      <c r="CR19">
        <f>MAX( 0, MIN(BedPlan[[#This Row],[Expected End of Harvest]], EOMONTH(CR$4, 0)) - MAX(BedPlan[[#This Row],[Beginning of Harvest]], CR$4) + 1 )</f>
        <v>1</v>
      </c>
      <c r="CS19">
        <f>MAX( 0, MIN(BedPlan[[#This Row],[Expected End of Harvest]], EOMONTH(CS$4, 0)) - MAX(BedPlan[[#This Row],[Beginning of Harvest]], CS$4) + 1 )</f>
        <v>0</v>
      </c>
      <c r="CT19">
        <f>MAX( 0, MIN(BedPlan[[#This Row],[Expected End of Harvest]], EOMONTH(CT$4, 0)) - MAX(BedPlan[[#This Row],[Beginning of Harvest]], CT$4) + 1 )</f>
        <v>0</v>
      </c>
      <c r="CU19">
        <f>MAX( 0, MIN(BedPlan[[#This Row],[Expected End of Harvest]], EOMONTH(CU$4, 0)) - MAX(BedPlan[[#This Row],[Beginning of Harvest]], CU$4) + 1 )</f>
        <v>0</v>
      </c>
      <c r="CV19">
        <f>MAX( 0, MIN(BedPlan[[#This Row],[Expected End of Harvest]], EOMONTH(CV$4, 0)) - MAX(BedPlan[[#This Row],[Beginning of Harvest]], CV$4) + 1 )</f>
        <v>0</v>
      </c>
      <c r="CW19">
        <f>MAX( 0, MIN(BedPlan[[#This Row],[Expected End of Harvest]], EOMONTH(CW$4, 0)) - MAX(BedPlan[[#This Row],[Beginning of Harvest]], CW$4) + 1 )</f>
        <v>0</v>
      </c>
      <c r="CX19">
        <f>MAX( 0, MIN(BedPlan[[#This Row],[Expected End of Harvest]], EOMONTH(CX$4, 0)) - MAX(BedPlan[[#This Row],[Beginning of Harvest]], CX$4) + 1 )</f>
        <v>0</v>
      </c>
      <c r="CY19">
        <f>MAX( 0, MIN(BedPlan[[#This Row],[Expected End of Harvest]], EOMONTH(CY$4, 0)) - MAX(BedPlan[[#This Row],[Beginning of Harvest]], CY$4) + 1 )</f>
        <v>0</v>
      </c>
      <c r="CZ19">
        <f>MAX( 0, MIN(BedPlan[[#This Row],[Expected End of Harvest]], EOMONTH(CZ$4, 0)) - MAX(BedPlan[[#This Row],[Beginning of Harvest]], CZ$4) + 1 )</f>
        <v>0</v>
      </c>
      <c r="DA19">
        <f>MAX( 0, MIN(BedPlan[[#This Row],[Expected End of Harvest]], EOMONTH(DA$4, 0)) - MAX(BedPlan[[#This Row],[Beginning of Harvest]], DA$4) + 1 )</f>
        <v>0</v>
      </c>
      <c r="DB19">
        <f>MAX( 0, MIN(BedPlan[[#This Row],[Expected End of Harvest]], EOMONTH(DB$4, 0)) - MAX(BedPlan[[#This Row],[Beginning of Harvest]], DB$4) + 1 )</f>
        <v>0</v>
      </c>
      <c r="DC19">
        <f>MAX( 0, MIN(BedPlan[[#This Row],[Expected End of Harvest]], EOMONTH(DC$4, 0)) - MAX(BedPlan[[#This Row],[Beginning of Harvest]], DC$4) + 1 )</f>
        <v>0</v>
      </c>
      <c r="DD19">
        <f>MAX( 0, MIN(BedPlan[[#This Row],[Expected End of Harvest]], EOMONTH(DD$4, 0)) - MAX(BedPlan[[#This Row],[Beginning of Harvest]], DD$4) + 1 )</f>
        <v>0</v>
      </c>
      <c r="DE19">
        <f>MAX( 0, MIN(BedPlan[[#This Row],[Expected End of Harvest]], EOMONTH(DE$4, 0)) - MAX(BedPlan[[#This Row],[Beginning of Harvest]], DE$4) + 1 )</f>
        <v>0</v>
      </c>
      <c r="DF19">
        <f>MAX( 0, MIN(BedPlan[[#This Row],[Expected End of Harvest]], EOMONTH(DF$4, 0)) - MAX(BedPlan[[#This Row],[Beginning of Harvest]], DF$4) + 1 )</f>
        <v>0</v>
      </c>
      <c r="DG19">
        <f>MAX( 0, MIN(BedPlan[[#This Row],[Expected End of Harvest]], EOMONTH(DG$4, 0)) - MAX(BedPlan[[#This Row],[Beginning of Harvest]], DG$4) + 1 )</f>
        <v>0</v>
      </c>
      <c r="DH19">
        <f>MAX( 0, MIN(BedPlan[[#This Row],[Expected End of Harvest]], EOMONTH(DH$4, 0)) - MAX(BedPlan[[#This Row],[Beginning of Harvest]], DH$4) + 1 )</f>
        <v>0</v>
      </c>
      <c r="DI19" s="257" cm="1">
        <f t="array" ref="DI19">BedPlan[[#This Row],[Harvest Days January 2025]]/SUM(BedPlan[[#This Row],[Harvest Days January 2025]:[Harvest Days December 2026]])*BedPlan[[#This Row],[Revenue]:[Revenue]]</f>
        <v>0</v>
      </c>
      <c r="DJ19" s="257" cm="1">
        <f t="array" ref="DJ19">BedPlan[[#This Row],[Harvest Days February 2025]]/SUM(BedPlan[[#This Row],[Harvest Days January 2025]:[Harvest Days December 2026]])*BedPlan[[#This Row],[Revenue]:[Revenue]]</f>
        <v>0</v>
      </c>
      <c r="DK19" s="257" cm="1">
        <f t="array" ref="DK19">BedPlan[[#This Row],[Harvest Days March 2025]]/SUM(BedPlan[[#This Row],[Harvest Days January 2025]:[Harvest Days December 2026]])*BedPlan[[#This Row],[Revenue]:[Revenue]]</f>
        <v>0</v>
      </c>
      <c r="DL19" s="257" cm="1">
        <f t="array" ref="DL19">BedPlan[[#This Row],[Harvest Days April 2025]]/SUM(BedPlan[[#This Row],[Harvest Days January 2025]:[Harvest Days December 2026]])*BedPlan[[#This Row],[Revenue]:[Revenue]]</f>
        <v>0</v>
      </c>
      <c r="DM19" s="257" cm="1">
        <f t="array" ref="DM19">BedPlan[[#This Row],[Harvest Days May 2025]]/SUM(BedPlan[[#This Row],[Harvest Days January 2025]:[Harvest Days December 2026]])*BedPlan[[#This Row],[Revenue]:[Revenue]]</f>
        <v>0</v>
      </c>
      <c r="DN19" s="257" cm="1">
        <f t="array" ref="DN19">BedPlan[[#This Row],[Harvest Days June 2025]]/SUM(BedPlan[[#This Row],[Harvest Days January 2025]:[Harvest Days December 2026]])*BedPlan[[#This Row],[Revenue]:[Revenue]]</f>
        <v>88.888888888888886</v>
      </c>
      <c r="DO19" s="257" cm="1">
        <f t="array" ref="DO19">BedPlan[[#This Row],[Harvest Days July 2025]]/SUM(BedPlan[[#This Row],[Harvest Days January 2025]:[Harvest Days December 2026]])*BedPlan[[#This Row],[Revenue]:[Revenue]]</f>
        <v>688.88888888888891</v>
      </c>
      <c r="DP19" s="257" cm="1">
        <f t="array" ref="DP19">BedPlan[[#This Row],[Harvest Days August 2025]]/SUM(BedPlan[[#This Row],[Harvest Days January 2025]:[Harvest Days December 2026]])*BedPlan[[#This Row],[Revenue]:[Revenue]]</f>
        <v>22.222222222222221</v>
      </c>
      <c r="DQ19" s="257" cm="1">
        <f t="array" ref="DQ19">BedPlan[[#This Row],[Harvest Days September 2025]]/SUM(BedPlan[[#This Row],[Harvest Days January 2025]:[Harvest Days December 2026]])*BedPlan[[#This Row],[Revenue]:[Revenue]]</f>
        <v>0</v>
      </c>
      <c r="DR19" s="257" cm="1">
        <f t="array" ref="DR19">BedPlan[[#This Row],[Harvest Days October 2025]]/SUM(BedPlan[[#This Row],[Harvest Days January 2025]:[Harvest Days December 2026]])*BedPlan[[#This Row],[Revenue]:[Revenue]]</f>
        <v>0</v>
      </c>
      <c r="DS19" s="257" cm="1">
        <f t="array" ref="DS19">BedPlan[[#This Row],[Harvest Days November 2025]]/SUM(BedPlan[[#This Row],[Harvest Days January 2025]:[Harvest Days December 2026]])*BedPlan[[#This Row],[Revenue]:[Revenue]]</f>
        <v>0</v>
      </c>
      <c r="DT19" s="257" cm="1">
        <f t="array" ref="DT19">BedPlan[[#This Row],[Harvest Days December 2025]]/SUM(BedPlan[[#This Row],[Harvest Days January 2025]:[Harvest Days December 2026]])*BedPlan[[#This Row],[Revenue]:[Revenue]]</f>
        <v>0</v>
      </c>
      <c r="DU19" s="257" cm="1">
        <f t="array" ref="DU19">BedPlan[[#This Row],[Harvest Days January 2026]]/SUM(BedPlan[[#This Row],[Harvest Days January 2025]:[Harvest Days December 2026]])*BedPlan[[#This Row],[Revenue]:[Revenue]]</f>
        <v>0</v>
      </c>
      <c r="DV19" s="257" cm="1">
        <f t="array" ref="DV19">BedPlan[[#This Row],[Harvest Days February 2026]]/SUM(BedPlan[[#This Row],[Harvest Days January 2025]:[Harvest Days December 2026]])*BedPlan[[#This Row],[Revenue]:[Revenue]]</f>
        <v>0</v>
      </c>
      <c r="DW19" s="257" cm="1">
        <f t="array" ref="DW19">BedPlan[[#This Row],[Harvest Days March 2026]]/SUM(BedPlan[[#This Row],[Harvest Days January 2025]:[Harvest Days December 2026]])*BedPlan[[#This Row],[Revenue]:[Revenue]]</f>
        <v>0</v>
      </c>
      <c r="DX19" s="257" cm="1">
        <f t="array" ref="DX19">BedPlan[[#This Row],[Harvest Days April 2026]]/SUM(BedPlan[[#This Row],[Harvest Days January 2025]:[Harvest Days December 2026]])*BedPlan[[#This Row],[Revenue]:[Revenue]]</f>
        <v>0</v>
      </c>
      <c r="DY19" s="257" cm="1">
        <f t="array" ref="DY19">BedPlan[[#This Row],[Harvest Days May 2026]]/SUM(BedPlan[[#This Row],[Harvest Days January 2025]:[Harvest Days December 2026]])*BedPlan[[#This Row],[Revenue]:[Revenue]]</f>
        <v>0</v>
      </c>
      <c r="DZ19" s="257" cm="1">
        <f t="array" ref="DZ19">BedPlan[[#This Row],[Harvest Days June 2026]]/SUM(BedPlan[[#This Row],[Harvest Days January 2025]:[Harvest Days December 2026]])*BedPlan[[#This Row],[Revenue]:[Revenue]]</f>
        <v>0</v>
      </c>
      <c r="EA19" s="257" cm="1">
        <f t="array" ref="EA19">BedPlan[[#This Row],[Harvest Days July 2026]]/SUM(BedPlan[[#This Row],[Harvest Days January 2025]:[Harvest Days December 2026]])*BedPlan[[#This Row],[Revenue]:[Revenue]]</f>
        <v>0</v>
      </c>
      <c r="EB19" s="257" cm="1">
        <f t="array" ref="EB19">BedPlan[[#This Row],[Harvest Days August 2026]]/SUM(BedPlan[[#This Row],[Harvest Days January 2025]:[Harvest Days December 2026]])*BedPlan[[#This Row],[Revenue]:[Revenue]]</f>
        <v>0</v>
      </c>
      <c r="EC19" s="257" cm="1">
        <f t="array" ref="EC19">BedPlan[[#This Row],[Harvest Days September 2026]]/SUM(BedPlan[[#This Row],[Harvest Days January 2025]:[Harvest Days December 2026]])*BedPlan[[#This Row],[Revenue]:[Revenue]]</f>
        <v>0</v>
      </c>
      <c r="ED19" s="257" cm="1">
        <f t="array" ref="ED19">BedPlan[[#This Row],[Harvest Days October 2026]]/SUM(BedPlan[[#This Row],[Harvest Days January 2025]:[Harvest Days December 2026]])*BedPlan[[#This Row],[Revenue]:[Revenue]]</f>
        <v>0</v>
      </c>
      <c r="EE19" s="257" cm="1">
        <f t="array" ref="EE19">BedPlan[[#This Row],[Harvest Days November 2026]]/SUM(BedPlan[[#This Row],[Harvest Days January 2025]:[Harvest Days December 2026]])*BedPlan[[#This Row],[Revenue]:[Revenue]]</f>
        <v>0</v>
      </c>
      <c r="EF19" s="257" cm="1">
        <f t="array" ref="EF19">BedPlan[[#This Row],[Harvest Days December 2026]]/SUM(BedPlan[[#This Row],[Harvest Days January 2025]:[Harvest Days December 2026]])*BedPlan[[#This Row],[Revenue]:[Revenue]]</f>
        <v>0</v>
      </c>
      <c r="EG19" t="b">
        <f>SUM(BedPlan[[#This Row],[Revenue January 2025]:[Revenue December 2026]])=BedPlan[[#This Row],[Revenue]]</f>
        <v>1</v>
      </c>
      <c r="EH19" s="30" cm="1">
        <f t="array" ref="EH19">INDEX(Crops[],BedPlan[[#This Row],[Chart Index]],EH$4,1)*BedPlan[[#This Row],['# Of Beds]]</f>
        <v>200</v>
      </c>
      <c r="EI19" s="30" t="str" cm="1">
        <f t="array" ref="EI19">INDEX(Crops[],BedPlan[[#This Row],[Chart Index]],EI$4,1)</f>
        <v>Bunch</v>
      </c>
      <c r="EJ19" s="30" t="str" cm="1">
        <f t="array" ref="EJ19">INDEX(Crops[],BedPlan[[#This Row],[Chart Index]],EJ$4,1)</f>
        <v>Mature Root</v>
      </c>
      <c r="EK19" s="30" t="str">
        <f>BedPlan[[#This Row],[Name]]&amp;" "&amp;BedPlan[[#This Row],[Product]]&amp; " - " &amp;BedPlan[[#This Row],[Unit]]</f>
        <v>Beet Mature Root - Bunch</v>
      </c>
      <c r="EL19" s="33" cm="1">
        <f t="array" ref="EL19">BedPlan[[#This Row],[Harvest Days January 2025]]/SUM(BedPlan[[#This Row],[Harvest Days January 2025]:[Harvest Days December 2026]])*BedPlan[[#This Row],[Yield]:[Yield]]</f>
        <v>0</v>
      </c>
      <c r="EM19" s="33" cm="1">
        <f t="array" ref="EM19">BedPlan[[#This Row],[Harvest Days February 2025]]/SUM(BedPlan[[#This Row],[Harvest Days January 2025]:[Harvest Days December 2026]])*BedPlan[[#This Row],[Yield]:[Yield]]</f>
        <v>0</v>
      </c>
      <c r="EN19" s="33" cm="1">
        <f t="array" ref="EN19">BedPlan[[#This Row],[Harvest Days March 2025]]/SUM(BedPlan[[#This Row],[Harvest Days January 2025]:[Harvest Days December 2026]])*BedPlan[[#This Row],[Yield]:[Yield]]</f>
        <v>0</v>
      </c>
      <c r="EO19" s="33" cm="1">
        <f t="array" ref="EO19">BedPlan[[#This Row],[Harvest Days April 2025]]/SUM(BedPlan[[#This Row],[Harvest Days January 2025]:[Harvest Days December 2026]])*BedPlan[[#This Row],[Yield]:[Yield]]</f>
        <v>0</v>
      </c>
      <c r="EP19" s="33" cm="1">
        <f t="array" ref="EP19">BedPlan[[#This Row],[Harvest Days May 2025]]/SUM(BedPlan[[#This Row],[Harvest Days January 2025]:[Harvest Days December 2026]])*BedPlan[[#This Row],[Yield]:[Yield]]</f>
        <v>0</v>
      </c>
      <c r="EQ19" s="33" cm="1">
        <f t="array" ref="EQ19">BedPlan[[#This Row],[Harvest Days June 2025]]/SUM(BedPlan[[#This Row],[Harvest Days January 2025]:[Harvest Days December 2026]])*BedPlan[[#This Row],[Yield]:[Yield]]</f>
        <v>22.222222222222221</v>
      </c>
      <c r="ER19" s="33" cm="1">
        <f t="array" ref="ER19">BedPlan[[#This Row],[Harvest Days July 2025]]/SUM(BedPlan[[#This Row],[Harvest Days January 2025]:[Harvest Days December 2026]])*BedPlan[[#This Row],[Yield]:[Yield]]</f>
        <v>172.22222222222223</v>
      </c>
      <c r="ES19" s="33" cm="1">
        <f t="array" ref="ES19">BedPlan[[#This Row],[Harvest Days August 2025]]/SUM(BedPlan[[#This Row],[Harvest Days January 2025]:[Harvest Days December 2026]])*BedPlan[[#This Row],[Yield]:[Yield]]</f>
        <v>5.5555555555555554</v>
      </c>
      <c r="ET19" s="33" cm="1">
        <f t="array" ref="ET19">BedPlan[[#This Row],[Harvest Days September 2025]]/SUM(BedPlan[[#This Row],[Harvest Days January 2025]:[Harvest Days December 2026]])*BedPlan[[#This Row],[Yield]:[Yield]]</f>
        <v>0</v>
      </c>
      <c r="EU19" s="33" cm="1">
        <f t="array" ref="EU19">BedPlan[[#This Row],[Harvest Days October 2025]]/SUM(BedPlan[[#This Row],[Harvest Days January 2025]:[Harvest Days December 2026]])*BedPlan[[#This Row],[Yield]:[Yield]]</f>
        <v>0</v>
      </c>
      <c r="EV19" s="33" cm="1">
        <f t="array" ref="EV19">BedPlan[[#This Row],[Harvest Days November 2025]]/SUM(BedPlan[[#This Row],[Harvest Days January 2025]:[Harvest Days December 2026]])*BedPlan[[#This Row],[Yield]:[Yield]]</f>
        <v>0</v>
      </c>
      <c r="EW19" s="33" cm="1">
        <f t="array" ref="EW19">BedPlan[[#This Row],[Harvest Days December 2025]]/SUM(BedPlan[[#This Row],[Harvest Days January 2025]:[Harvest Days December 2026]])*BedPlan[[#This Row],[Yield]:[Yield]]</f>
        <v>0</v>
      </c>
    </row>
    <row r="20" spans="1:153" ht="15.75" customHeight="1">
      <c r="A20" s="183" t="s">
        <v>1750</v>
      </c>
      <c r="B20" t="s">
        <v>2626</v>
      </c>
      <c r="C20" t="s">
        <v>1495</v>
      </c>
      <c r="D20" cm="1">
        <f t="array" ref="D20">INDEX(Crops[],BedPlan[[#This Row],[Chart Index]],D$4,1)*BedPlan[[#This Row],[Full Bed Equivalent]]</f>
        <v>33.333333333333336</v>
      </c>
      <c r="E20" cm="1">
        <f t="array" ref="E20">INDEX(Crops[],BedPlan[[#This Row],[Chart Index]],E$4,1)*BedPlan[[#This Row],[Full Bed Equivalent]]</f>
        <v>200</v>
      </c>
      <c r="F20" t="str">
        <f>UPPER(LEFT(BedPlan[[#This Row],[Crop]],3))</f>
        <v>BEE</v>
      </c>
      <c r="H20" s="143" t="str" cm="1">
        <f t="array" ref="H20">INDEX(Crops[],BedPlan[[#This Row],[Chart Index]],H$4,1)</f>
        <v>Beet</v>
      </c>
      <c r="I20" t="s">
        <v>494</v>
      </c>
      <c r="K20" t="str" cm="1">
        <f t="array" ref="K20">IF(ISNUMBER(MATCH(BedPlan[[#This Row],[Variety]],SeedMixes[Name],)),_xlfn.TEXTJOIN(", ",TRUE,_xlfn._xlws.FILTER(SeedMixes[Variety &amp; Company],SeedMixes[Name]=BedPlan[[#This Row],[Variety]])),"")</f>
        <v>Badger Flame High Mowing, Boro F1 High Mowing, Chiogga Adaptive</v>
      </c>
      <c r="L20" s="33" cm="1">
        <f t="array" ref="L20">INDEX(Crops[],BedPlan[[#This Row],[Chart Index]],L$4,1)*BedPlan[[#This Row],[Full Bed Equivalent]]</f>
        <v>990.00000000000011</v>
      </c>
      <c r="N20">
        <v>2</v>
      </c>
      <c r="O20">
        <f>MAX(BedPlan[[#This Row],['# Of Beds]],0.5)</f>
        <v>2</v>
      </c>
      <c r="P20" s="31">
        <f>IF(ISNUMBER(BedPlan[[#This Row],[Planned Greenhouse Start Date]]),BedPlan[[#This Row],[Planned Greenhouse Start Date]],BedPlan[[#This Row],[Planned TP or DS Date]])</f>
        <v>45808</v>
      </c>
      <c r="Q20" s="259">
        <f>IF(BedPlan[[#This Row],[Days in Cells]]=0,"",IFERROR(_xlfn.XLOOKUP(BedPlan[[#This Row],[Follows Crop]],BedPlan[Identifier],BedPlan[Expected End of Harvest]) + 1+BedPlan[[#This Row],[Follow Offset]],BedPlan[[#This Row],[Fixed Field Start Date]])-BedPlan[[#This Row],[Days in Cells]])</f>
        <v>45808</v>
      </c>
      <c r="R20" s="259">
        <v>45829</v>
      </c>
      <c r="S20" s="259">
        <f>IF(ISNUMBER(BedPlan[[#This Row],[Actual Greenhouse Date]]),BedPlan[[#This Row],[Actual Greenhouse Date]],BedPlan[[#This Row],[Planned Greenhouse Start Date]])</f>
        <v>45829</v>
      </c>
      <c r="T20" s="259">
        <f>_xlfn.XLOOKUP(BedPlan[[#This Row],[Crop]],Crops[Identifier],Crops[Target Field Date])</f>
        <v>45843</v>
      </c>
      <c r="U20" s="260"/>
      <c r="V20" s="260"/>
      <c r="W2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20" s="259"/>
      <c r="Y20" s="271">
        <f>BedPlan[[#This Row],[Actual TP or DS Date]]-BedPlan[[#This Row],[Planned TP or DS Date]]</f>
        <v>-45864</v>
      </c>
      <c r="Z20" s="259">
        <f>IF(ISNUMBER(BedPlan[[#This Row],[Actual TP or DS Date]]),BedPlan[[#This Row],[Actual TP or DS Date]],BedPlan[[#This Row],[Planned TP or DS Date]])</f>
        <v>45864</v>
      </c>
      <c r="AA20" s="260"/>
      <c r="AB20" s="259">
        <f>IF(ISNUMBER(BedPlan[[#This Row],[Greenhouse Start Date]]),BedPlan[[#This Row],[Greenhouse Start Date]]+BedPlan[[#This Row],[DTM]],BedPlan[[#This Row],[TP or DS Date]]+BedPlan[[#This Row],[DTM]])</f>
        <v>45909</v>
      </c>
      <c r="AC20" s="259"/>
      <c r="AD20" s="259">
        <f>IF(ISNUMBER(BedPlan[[#This Row],[Actual Beginning of Harvest]]),BedPlan[[#This Row],[Actual Beginning of Harvest]],BedPlan[[#This Row],[Expected Beginning of Harvest]])</f>
        <v>45909</v>
      </c>
      <c r="AE20" s="259">
        <f>BedPlan[[#This Row],[Expected Beginning of Harvest]]+BedPlan[[#This Row],[Harvest Window]]+BedPlan[[#This Row],[Additional Days of Harvest]]</f>
        <v>45944</v>
      </c>
      <c r="AF20" s="259"/>
      <c r="AG20" s="259"/>
      <c r="AH20" s="31" t="b">
        <f>IF(AND( BedPlan[[#This Row],[Expected End of Harvest]] &gt;= DATE(2025, 8, 1), BedPlan[[#This Row],[Beginning of Harvest]] &lt;= DATE(2025, 8, 31) ), TRUE, FALSE)</f>
        <v>0</v>
      </c>
      <c r="AI20" s="31"/>
      <c r="AJ20" s="31">
        <f>IF(ISNUMBER(BedPlan[[#This Row],[Actual End of Harvest]]),BedPlan[[#This Row],[Actual End of Harvest]],BedPlan[[#This Row],[Expected End of Harvest]])</f>
        <v>45944</v>
      </c>
      <c r="AK20" t="b">
        <f>OR(ISNUMBER(BedPlan[[#This Row],[Actual Greenhouse Date]]),ISNUMBER(BedPlan[[#This Row],[Actual TP or DS Date]]))</f>
        <v>1</v>
      </c>
      <c r="AL20" s="52" t="b">
        <f>IF(ISNUMBER(BedPlan[[#This Row],[Planned Greenhouse Start Date]]),OR(ISNUMBER(BedPlan[[#This Row],[Actual TP or DS Date]]),BedPlan[[#This Row],[Failed]]),"-")</f>
        <v>0</v>
      </c>
      <c r="AM20" t="b">
        <f>OR(ISNUMBER(BedPlan[[#This Row],[Actual End of Harvest]]),BedPlan[[#This Row],[Failed]])</f>
        <v>0</v>
      </c>
      <c r="AN20" t="b">
        <f>OR(BedPlan[[#This Row],[Harvest Done]],BedPlan[[#This Row],[Failed]],BedPlan[[#This Row],[Name]]="Tarp")</f>
        <v>0</v>
      </c>
      <c r="AS20" s="26" t="str">
        <f>IF(BedPlan[[#This Row],[Broadfork]],BedPlan[[#This Row],[Actual TP or DS Date]],"")</f>
        <v/>
      </c>
      <c r="AT20" s="26" t="str">
        <f>IF(BedPlan[[#This Row],[Tilther]],BedPlan[[#This Row],[Actual TP or DS Date]],"")</f>
        <v/>
      </c>
      <c r="AU20" s="26" t="str">
        <f>IF(NOT(ISBLANK(BedPlan[[#This Row],[Amend]])),BedPlan[[#This Row],[Actual TP or DS Date]],"")</f>
        <v/>
      </c>
      <c r="AV20" s="26" t="str">
        <f>IF(BedPlan[[#This Row],[Row Cover]],BedPlan[[#This Row],[Actual TP or DS Date]],"")</f>
        <v/>
      </c>
      <c r="AX20" s="26"/>
      <c r="AZ20" s="26"/>
      <c r="BB20" s="26"/>
      <c r="BC20" s="231" cm="1">
        <f t="array" ref="BC20">INDEX(Crops[],BedPlan[[#This Row],[Chart Index]],BC$4,1)*BedPlan[[#This Row],[Full Bed Equivalent]]</f>
        <v>800</v>
      </c>
      <c r="BD20" s="231" cm="1">
        <f t="array" ref="BD20">INDEX(Crops[],BedPlan[[#This Row],[Chart Index]],BD$4,1)*BedPlan[[#This Row],[Full Bed Equivalent]]</f>
        <v>10</v>
      </c>
      <c r="BE20" cm="1">
        <f t="array" ref="BE20">INDEX(Crops[],BedPlan[[#This Row],[Chart Index]],BE$4,1)+BedPlan[[#This Row],[Additional Days in Cells]]+BedPlan[[#This Row],[Additional Days In Field]]</f>
        <v>80</v>
      </c>
      <c r="BG20" cm="1">
        <f t="array" ref="BG20">INDEX(Crops[],BedPlan[[#This Row],[Chart Index]],BG$4,1)</f>
        <v>35</v>
      </c>
      <c r="BH20" t="str">
        <f>IF(ISNUMBER(BedPlan[[#This Row],[Planned Greenhouse Start Date]]),"TP","DS")</f>
        <v>TP</v>
      </c>
      <c r="BI20">
        <f>BedPlan[[#This Row],['# Of Beds]]</f>
        <v>2</v>
      </c>
      <c r="BJ20" cm="1">
        <f t="array" ref="BJ20">INDEX(Crops[],BedPlan[[#This Row],[Chart Index]],BJ$4,1)</f>
        <v>35</v>
      </c>
      <c r="BK20" cm="1">
        <f t="array" ref="BK20">INDEX(Crops[],BedPlan[[#This Row],[Chart Index]],BK$4,1)</f>
        <v>3</v>
      </c>
      <c r="BL20" cm="1">
        <f t="array" ref="BL20">INDEX(Crops[],BedPlan[[#This Row],[Chart Index]],BL$4,1)</f>
        <v>12</v>
      </c>
      <c r="BM20" cm="1">
        <f t="array" ref="BM20">INDEX(Crops[],BedPlan[[#This Row],[Chart Index]],BM$4,1)</f>
        <v>3</v>
      </c>
      <c r="BN20" s="32" cm="1">
        <f t="array" ref="BN20">INDEX(Crops[],BedPlan[[#This Row],[Chart Index]],BN$4,1)*BedPlan[[#This Row],[Full Bed Equivalent]]</f>
        <v>300</v>
      </c>
      <c r="BO20" t="str" cm="1">
        <f t="array" ref="BO20">IF(INDEX(Crops[],BedPlan[[#This Row],[Chart Index]],BO$4,1)=0,"",INDEX(Crops[],BedPlan[[#This Row],[Chart Index]],BO$4,1))</f>
        <v/>
      </c>
      <c r="BP20">
        <f>MATCH(BedPlan[[#This Row],[Crop]],Crops[Identifier],FALSE)</f>
        <v>33</v>
      </c>
      <c r="BQ20" t="str" cm="1">
        <f t="array" ref="BQ20">INDEX(Crops[],BedPlan[[#This Row],[Chart Index]],BQ$4,1)</f>
        <v>General</v>
      </c>
      <c r="BR20" t="str" cm="1">
        <f t="array" ref="BR20">INDEX(Crops[],BedPlan[[#This Row],[Chart Index]],BR$4,1)</f>
        <v>SuFa</v>
      </c>
      <c r="BS20" s="32">
        <f>BedPlan[[#This Row],[Expected Beginning of Harvest]]-DATE(2023,1,1)</f>
        <v>982</v>
      </c>
      <c r="BT20">
        <f>BedPlan[[#This Row],[Expected End of Harvest]]-BedPlan[[#This Row],[Expected Beginning of Harvest]]</f>
        <v>35</v>
      </c>
      <c r="BU20" t="str" cm="1">
        <f t="array" ref="BU20">INDEX(Crops[],BedPlan[[#This Row],[Chart Index]],BU$4,1)</f>
        <v>Root</v>
      </c>
      <c r="BV20" cm="1">
        <f t="array" ref="BV20">INDEX(Crops[],BedPlan[[#This Row],[Chart Index]],BV$4,1)</f>
        <v>1</v>
      </c>
      <c r="BW20" t="str" cm="1">
        <f t="array" ref="BW20">INDEX(Crops[],BedPlan[[#This Row],[Chart Index]],BW$4,1)</f>
        <v>Late</v>
      </c>
      <c r="BX20" cm="1">
        <f t="array" ref="BX20">INDEX(Crops[],BedPlan[[#This Row],[Chart Index]],BX$4,1)</f>
        <v>128</v>
      </c>
      <c r="BY20" cm="1">
        <f t="array" ref="BY20">INDEX(Crops[],BedPlan[[#This Row],[Chart Index]],BY$4,1)</f>
        <v>35</v>
      </c>
      <c r="BZ20" s="49" cm="1">
        <f t="array" ref="BZ20">IFERROR(INDEX(Crops[],BedPlan[[#This Row],[Chart Index]],BZ$4,1)*BedPlan[[#This Row],[Full Bed Equivalent]],"")</f>
        <v>2.578125</v>
      </c>
      <c r="CA20" cm="1">
        <f t="array" ref="CA20">INDEX(Crops[],BedPlan[[#This Row],[Chart Index]],CA$4,1)</f>
        <v>0</v>
      </c>
      <c r="CB20" cm="1">
        <f t="array" ref="CB20">INDEX(Crops[],BedPlan[[#This Row],[Chart Index]],CB$4,1)</f>
        <v>0</v>
      </c>
      <c r="CC20" s="49" t="str" cm="1">
        <f t="array" ref="CC20">IFERROR(INDEX(Crops[],BedPlan[[#This Row],[Chart Index]],CC$4,1)*BedPlan[[#This Row],[Full Bed Equivalent]],"")</f>
        <v/>
      </c>
      <c r="CD20" cm="1">
        <f t="array" ref="CD20">INDEX(Crops[],BedPlan[[#This Row],[Chart Index]],CD$4,1)</f>
        <v>0</v>
      </c>
      <c r="CE20" cm="1">
        <f t="array" ref="CE20">IF(INDEX(Crops[],BedPlan[[#This Row],[Chart Index]],CE$4,1)="",0,INDEX(Crops[],BedPlan[[#This Row],[Chart Index]],CE$4,1))</f>
        <v>0</v>
      </c>
      <c r="CF20" s="49" t="str" cm="1">
        <f t="array" ref="CF20">IFERROR(INDEX(Crops[],BedPlan[[#This Row],[Chart Index]],CF$4,1)*BedPlan[[#This Row],[Full Bed Equivalent]],"")</f>
        <v/>
      </c>
      <c r="CG20" cm="1">
        <f t="array" ref="CG20">IF(INDEX(Crops[],BedPlan[[#This Row],[Chart Index]],CG$4,1)="",0,INDEX(Crops[],BedPlan[[#This Row],[Chart Index]],CG$4,1))</f>
        <v>1.1000000000000001</v>
      </c>
      <c r="CH20" cm="1">
        <f t="array" ref="CH20">IF(INDEX(Crops[],BedPlan[[#This Row],[Chart Index]],CH$4,1)="",0,INDEX(Crops[],BedPlan[[#This Row],[Chart Index]],CH$4,1))</f>
        <v>0</v>
      </c>
      <c r="CI20" t="str" cm="1">
        <f t="array" ref="CI20">INDEX(Crops[],BedPlan[[#This Row],[Chart Index]],CI$4,1)</f>
        <v>Field</v>
      </c>
      <c r="CJ20" s="30" t="str">
        <f>_xlfn.TEXTJOIN(CHAR(10),FALSE,BedPlan[[#This Row],[Name]],BedPlan[[#This Row],[Variety]],BedPlan[[#This Row],[Company]])</f>
        <v xml:space="preserve">Beet
Beet Mix
</v>
      </c>
      <c r="CK20" s="32">
        <f>MAX( 0, MIN(BedPlan[[#This Row],[Expected End of Harvest]], EOMONTH(CK$4, 0)) - MAX(BedPlan[[#This Row],[Beginning of Harvest]], CK$4) + 1 )</f>
        <v>0</v>
      </c>
      <c r="CL20">
        <f>MAX( 0, MIN(BedPlan[[#This Row],[Expected End of Harvest]], EOMONTH(CL$4, 0)) - MAX(BedPlan[[#This Row],[Beginning of Harvest]], CL$4) + 1 )</f>
        <v>0</v>
      </c>
      <c r="CM20">
        <f>MAX( 0, MIN(BedPlan[[#This Row],[Expected End of Harvest]], EOMONTH(CM$4, 0)) - MAX(BedPlan[[#This Row],[Beginning of Harvest]], CM$4) + 1 )</f>
        <v>0</v>
      </c>
      <c r="CN20">
        <f>MAX( 0, MIN(BedPlan[[#This Row],[Expected End of Harvest]], EOMONTH(CN$4, 0)) - MAX(BedPlan[[#This Row],[Beginning of Harvest]], CN$4) + 1 )</f>
        <v>0</v>
      </c>
      <c r="CO20">
        <f>MAX( 0, MIN(BedPlan[[#This Row],[Expected End of Harvest]], EOMONTH(CO$4, 0)) - MAX(BedPlan[[#This Row],[Beginning of Harvest]], CO$4) + 1 )</f>
        <v>0</v>
      </c>
      <c r="CP20">
        <f>MAX( 0, MIN(BedPlan[[#This Row],[Expected End of Harvest]], EOMONTH(CP$4, 0)) - MAX(BedPlan[[#This Row],[Beginning of Harvest]], CP$4) + 1 )</f>
        <v>0</v>
      </c>
      <c r="CQ20">
        <f>MAX( 0, MIN(BedPlan[[#This Row],[Expected End of Harvest]], EOMONTH(CQ$4, 0)) - MAX(BedPlan[[#This Row],[Beginning of Harvest]], CQ$4) + 1 )</f>
        <v>0</v>
      </c>
      <c r="CR20">
        <f>MAX( 0, MIN(BedPlan[[#This Row],[Expected End of Harvest]], EOMONTH(CR$4, 0)) - MAX(BedPlan[[#This Row],[Beginning of Harvest]], CR$4) + 1 )</f>
        <v>0</v>
      </c>
      <c r="CS20">
        <f>MAX( 0, MIN(BedPlan[[#This Row],[Expected End of Harvest]], EOMONTH(CS$4, 0)) - MAX(BedPlan[[#This Row],[Beginning of Harvest]], CS$4) + 1 )</f>
        <v>22</v>
      </c>
      <c r="CT20">
        <f>MAX( 0, MIN(BedPlan[[#This Row],[Expected End of Harvest]], EOMONTH(CT$4, 0)) - MAX(BedPlan[[#This Row],[Beginning of Harvest]], CT$4) + 1 )</f>
        <v>14</v>
      </c>
      <c r="CU20">
        <f>MAX( 0, MIN(BedPlan[[#This Row],[Expected End of Harvest]], EOMONTH(CU$4, 0)) - MAX(BedPlan[[#This Row],[Beginning of Harvest]], CU$4) + 1 )</f>
        <v>0</v>
      </c>
      <c r="CV20">
        <f>MAX( 0, MIN(BedPlan[[#This Row],[Expected End of Harvest]], EOMONTH(CV$4, 0)) - MAX(BedPlan[[#This Row],[Beginning of Harvest]], CV$4) + 1 )</f>
        <v>0</v>
      </c>
      <c r="CW20">
        <f>MAX( 0, MIN(BedPlan[[#This Row],[Expected End of Harvest]], EOMONTH(CW$4, 0)) - MAX(BedPlan[[#This Row],[Beginning of Harvest]], CW$4) + 1 )</f>
        <v>0</v>
      </c>
      <c r="CX20">
        <f>MAX( 0, MIN(BedPlan[[#This Row],[Expected End of Harvest]], EOMONTH(CX$4, 0)) - MAX(BedPlan[[#This Row],[Beginning of Harvest]], CX$4) + 1 )</f>
        <v>0</v>
      </c>
      <c r="CY20">
        <f>MAX( 0, MIN(BedPlan[[#This Row],[Expected End of Harvest]], EOMONTH(CY$4, 0)) - MAX(BedPlan[[#This Row],[Beginning of Harvest]], CY$4) + 1 )</f>
        <v>0</v>
      </c>
      <c r="CZ20">
        <f>MAX( 0, MIN(BedPlan[[#This Row],[Expected End of Harvest]], EOMONTH(CZ$4, 0)) - MAX(BedPlan[[#This Row],[Beginning of Harvest]], CZ$4) + 1 )</f>
        <v>0</v>
      </c>
      <c r="DA20">
        <f>MAX( 0, MIN(BedPlan[[#This Row],[Expected End of Harvest]], EOMONTH(DA$4, 0)) - MAX(BedPlan[[#This Row],[Beginning of Harvest]], DA$4) + 1 )</f>
        <v>0</v>
      </c>
      <c r="DB20">
        <f>MAX( 0, MIN(BedPlan[[#This Row],[Expected End of Harvest]], EOMONTH(DB$4, 0)) - MAX(BedPlan[[#This Row],[Beginning of Harvest]], DB$4) + 1 )</f>
        <v>0</v>
      </c>
      <c r="DC20">
        <f>MAX( 0, MIN(BedPlan[[#This Row],[Expected End of Harvest]], EOMONTH(DC$4, 0)) - MAX(BedPlan[[#This Row],[Beginning of Harvest]], DC$4) + 1 )</f>
        <v>0</v>
      </c>
      <c r="DD20">
        <f>MAX( 0, MIN(BedPlan[[#This Row],[Expected End of Harvest]], EOMONTH(DD$4, 0)) - MAX(BedPlan[[#This Row],[Beginning of Harvest]], DD$4) + 1 )</f>
        <v>0</v>
      </c>
      <c r="DE20">
        <f>MAX( 0, MIN(BedPlan[[#This Row],[Expected End of Harvest]], EOMONTH(DE$4, 0)) - MAX(BedPlan[[#This Row],[Beginning of Harvest]], DE$4) + 1 )</f>
        <v>0</v>
      </c>
      <c r="DF20">
        <f>MAX( 0, MIN(BedPlan[[#This Row],[Expected End of Harvest]], EOMONTH(DF$4, 0)) - MAX(BedPlan[[#This Row],[Beginning of Harvest]], DF$4) + 1 )</f>
        <v>0</v>
      </c>
      <c r="DG20">
        <f>MAX( 0, MIN(BedPlan[[#This Row],[Expected End of Harvest]], EOMONTH(DG$4, 0)) - MAX(BedPlan[[#This Row],[Beginning of Harvest]], DG$4) + 1 )</f>
        <v>0</v>
      </c>
      <c r="DH20">
        <f>MAX( 0, MIN(BedPlan[[#This Row],[Expected End of Harvest]], EOMONTH(DH$4, 0)) - MAX(BedPlan[[#This Row],[Beginning of Harvest]], DH$4) + 1 )</f>
        <v>0</v>
      </c>
      <c r="DI20" s="257" cm="1">
        <f t="array" ref="DI20">BedPlan[[#This Row],[Harvest Days January 2025]]/SUM(BedPlan[[#This Row],[Harvest Days January 2025]:[Harvest Days December 2026]])*BedPlan[[#This Row],[Revenue]:[Revenue]]</f>
        <v>0</v>
      </c>
      <c r="DJ20" s="257" cm="1">
        <f t="array" ref="DJ20">BedPlan[[#This Row],[Harvest Days February 2025]]/SUM(BedPlan[[#This Row],[Harvest Days January 2025]:[Harvest Days December 2026]])*BedPlan[[#This Row],[Revenue]:[Revenue]]</f>
        <v>0</v>
      </c>
      <c r="DK20" s="257" cm="1">
        <f t="array" ref="DK20">BedPlan[[#This Row],[Harvest Days March 2025]]/SUM(BedPlan[[#This Row],[Harvest Days January 2025]:[Harvest Days December 2026]])*BedPlan[[#This Row],[Revenue]:[Revenue]]</f>
        <v>0</v>
      </c>
      <c r="DL20" s="257" cm="1">
        <f t="array" ref="DL20">BedPlan[[#This Row],[Harvest Days April 2025]]/SUM(BedPlan[[#This Row],[Harvest Days January 2025]:[Harvest Days December 2026]])*BedPlan[[#This Row],[Revenue]:[Revenue]]</f>
        <v>0</v>
      </c>
      <c r="DM20" s="257" cm="1">
        <f t="array" ref="DM20">BedPlan[[#This Row],[Harvest Days May 2025]]/SUM(BedPlan[[#This Row],[Harvest Days January 2025]:[Harvest Days December 2026]])*BedPlan[[#This Row],[Revenue]:[Revenue]]</f>
        <v>0</v>
      </c>
      <c r="DN20" s="257" cm="1">
        <f t="array" ref="DN20">BedPlan[[#This Row],[Harvest Days June 2025]]/SUM(BedPlan[[#This Row],[Harvest Days January 2025]:[Harvest Days December 2026]])*BedPlan[[#This Row],[Revenue]:[Revenue]]</f>
        <v>0</v>
      </c>
      <c r="DO20" s="257" cm="1">
        <f t="array" ref="DO20">BedPlan[[#This Row],[Harvest Days July 2025]]/SUM(BedPlan[[#This Row],[Harvest Days January 2025]:[Harvest Days December 2026]])*BedPlan[[#This Row],[Revenue]:[Revenue]]</f>
        <v>0</v>
      </c>
      <c r="DP20" s="257" cm="1">
        <f t="array" ref="DP20">BedPlan[[#This Row],[Harvest Days August 2025]]/SUM(BedPlan[[#This Row],[Harvest Days January 2025]:[Harvest Days December 2026]])*BedPlan[[#This Row],[Revenue]:[Revenue]]</f>
        <v>0</v>
      </c>
      <c r="DQ20" s="257" cm="1">
        <f t="array" ref="DQ20">BedPlan[[#This Row],[Harvest Days September 2025]]/SUM(BedPlan[[#This Row],[Harvest Days January 2025]:[Harvest Days December 2026]])*BedPlan[[#This Row],[Revenue]:[Revenue]]</f>
        <v>488.88888888888891</v>
      </c>
      <c r="DR20" s="257" cm="1">
        <f t="array" ref="DR20">BedPlan[[#This Row],[Harvest Days October 2025]]/SUM(BedPlan[[#This Row],[Harvest Days January 2025]:[Harvest Days December 2026]])*BedPlan[[#This Row],[Revenue]:[Revenue]]</f>
        <v>311.11111111111114</v>
      </c>
      <c r="DS20" s="257" cm="1">
        <f t="array" ref="DS20">BedPlan[[#This Row],[Harvest Days November 2025]]/SUM(BedPlan[[#This Row],[Harvest Days January 2025]:[Harvest Days December 2026]])*BedPlan[[#This Row],[Revenue]:[Revenue]]</f>
        <v>0</v>
      </c>
      <c r="DT20" s="257" cm="1">
        <f t="array" ref="DT20">BedPlan[[#This Row],[Harvest Days December 2025]]/SUM(BedPlan[[#This Row],[Harvest Days January 2025]:[Harvest Days December 2026]])*BedPlan[[#This Row],[Revenue]:[Revenue]]</f>
        <v>0</v>
      </c>
      <c r="DU20" s="257" cm="1">
        <f t="array" ref="DU20">BedPlan[[#This Row],[Harvest Days January 2026]]/SUM(BedPlan[[#This Row],[Harvest Days January 2025]:[Harvest Days December 2026]])*BedPlan[[#This Row],[Revenue]:[Revenue]]</f>
        <v>0</v>
      </c>
      <c r="DV20" s="257" cm="1">
        <f t="array" ref="DV20">BedPlan[[#This Row],[Harvest Days February 2026]]/SUM(BedPlan[[#This Row],[Harvest Days January 2025]:[Harvest Days December 2026]])*BedPlan[[#This Row],[Revenue]:[Revenue]]</f>
        <v>0</v>
      </c>
      <c r="DW20" s="257" cm="1">
        <f t="array" ref="DW20">BedPlan[[#This Row],[Harvest Days March 2026]]/SUM(BedPlan[[#This Row],[Harvest Days January 2025]:[Harvest Days December 2026]])*BedPlan[[#This Row],[Revenue]:[Revenue]]</f>
        <v>0</v>
      </c>
      <c r="DX20" s="257" cm="1">
        <f t="array" ref="DX20">BedPlan[[#This Row],[Harvest Days April 2026]]/SUM(BedPlan[[#This Row],[Harvest Days January 2025]:[Harvest Days December 2026]])*BedPlan[[#This Row],[Revenue]:[Revenue]]</f>
        <v>0</v>
      </c>
      <c r="DY20" s="257" cm="1">
        <f t="array" ref="DY20">BedPlan[[#This Row],[Harvest Days May 2026]]/SUM(BedPlan[[#This Row],[Harvest Days January 2025]:[Harvest Days December 2026]])*BedPlan[[#This Row],[Revenue]:[Revenue]]</f>
        <v>0</v>
      </c>
      <c r="DZ20" s="257" cm="1">
        <f t="array" ref="DZ20">BedPlan[[#This Row],[Harvest Days June 2026]]/SUM(BedPlan[[#This Row],[Harvest Days January 2025]:[Harvest Days December 2026]])*BedPlan[[#This Row],[Revenue]:[Revenue]]</f>
        <v>0</v>
      </c>
      <c r="EA20" s="257" cm="1">
        <f t="array" ref="EA20">BedPlan[[#This Row],[Harvest Days July 2026]]/SUM(BedPlan[[#This Row],[Harvest Days January 2025]:[Harvest Days December 2026]])*BedPlan[[#This Row],[Revenue]:[Revenue]]</f>
        <v>0</v>
      </c>
      <c r="EB20" s="257" cm="1">
        <f t="array" ref="EB20">BedPlan[[#This Row],[Harvest Days August 2026]]/SUM(BedPlan[[#This Row],[Harvest Days January 2025]:[Harvest Days December 2026]])*BedPlan[[#This Row],[Revenue]:[Revenue]]</f>
        <v>0</v>
      </c>
      <c r="EC20" s="257" cm="1">
        <f t="array" ref="EC20">BedPlan[[#This Row],[Harvest Days September 2026]]/SUM(BedPlan[[#This Row],[Harvest Days January 2025]:[Harvest Days December 2026]])*BedPlan[[#This Row],[Revenue]:[Revenue]]</f>
        <v>0</v>
      </c>
      <c r="ED20" s="257" cm="1">
        <f t="array" ref="ED20">BedPlan[[#This Row],[Harvest Days October 2026]]/SUM(BedPlan[[#This Row],[Harvest Days January 2025]:[Harvest Days December 2026]])*BedPlan[[#This Row],[Revenue]:[Revenue]]</f>
        <v>0</v>
      </c>
      <c r="EE20" s="257" cm="1">
        <f t="array" ref="EE20">BedPlan[[#This Row],[Harvest Days November 2026]]/SUM(BedPlan[[#This Row],[Harvest Days January 2025]:[Harvest Days December 2026]])*BedPlan[[#This Row],[Revenue]:[Revenue]]</f>
        <v>0</v>
      </c>
      <c r="EF20" s="257" cm="1">
        <f t="array" ref="EF20">BedPlan[[#This Row],[Harvest Days December 2026]]/SUM(BedPlan[[#This Row],[Harvest Days January 2025]:[Harvest Days December 2026]])*BedPlan[[#This Row],[Revenue]:[Revenue]]</f>
        <v>0</v>
      </c>
      <c r="EG20" t="b">
        <f>SUM(BedPlan[[#This Row],[Revenue January 2025]:[Revenue December 2026]])=BedPlan[[#This Row],[Revenue]]</f>
        <v>1</v>
      </c>
      <c r="EH20" s="30" cm="1">
        <f t="array" ref="EH20">INDEX(Crops[],BedPlan[[#This Row],[Chart Index]],EH$4,1)*BedPlan[[#This Row],['# Of Beds]]</f>
        <v>200</v>
      </c>
      <c r="EI20" s="30" t="str" cm="1">
        <f t="array" ref="EI20">INDEX(Crops[],BedPlan[[#This Row],[Chart Index]],EI$4,1)</f>
        <v>Bunch</v>
      </c>
      <c r="EJ20" s="30" t="str" cm="1">
        <f t="array" ref="EJ20">INDEX(Crops[],BedPlan[[#This Row],[Chart Index]],EJ$4,1)</f>
        <v>Mature Root</v>
      </c>
      <c r="EK20" s="30" t="str">
        <f>BedPlan[[#This Row],[Name]]&amp;" "&amp;BedPlan[[#This Row],[Product]]&amp; " - " &amp;BedPlan[[#This Row],[Unit]]</f>
        <v>Beet Mature Root - Bunch</v>
      </c>
      <c r="EL20" s="33" cm="1">
        <f t="array" ref="EL20">BedPlan[[#This Row],[Harvest Days January 2025]]/SUM(BedPlan[[#This Row],[Harvest Days January 2025]:[Harvest Days December 2026]])*BedPlan[[#This Row],[Yield]:[Yield]]</f>
        <v>0</v>
      </c>
      <c r="EM20" s="33" cm="1">
        <f t="array" ref="EM20">BedPlan[[#This Row],[Harvest Days February 2025]]/SUM(BedPlan[[#This Row],[Harvest Days January 2025]:[Harvest Days December 2026]])*BedPlan[[#This Row],[Yield]:[Yield]]</f>
        <v>0</v>
      </c>
      <c r="EN20" s="33" cm="1">
        <f t="array" ref="EN20">BedPlan[[#This Row],[Harvest Days March 2025]]/SUM(BedPlan[[#This Row],[Harvest Days January 2025]:[Harvest Days December 2026]])*BedPlan[[#This Row],[Yield]:[Yield]]</f>
        <v>0</v>
      </c>
      <c r="EO20" s="33" cm="1">
        <f t="array" ref="EO20">BedPlan[[#This Row],[Harvest Days April 2025]]/SUM(BedPlan[[#This Row],[Harvest Days January 2025]:[Harvest Days December 2026]])*BedPlan[[#This Row],[Yield]:[Yield]]</f>
        <v>0</v>
      </c>
      <c r="EP20" s="33" cm="1">
        <f t="array" ref="EP20">BedPlan[[#This Row],[Harvest Days May 2025]]/SUM(BedPlan[[#This Row],[Harvest Days January 2025]:[Harvest Days December 2026]])*BedPlan[[#This Row],[Yield]:[Yield]]</f>
        <v>0</v>
      </c>
      <c r="EQ20" s="33" cm="1">
        <f t="array" ref="EQ20">BedPlan[[#This Row],[Harvest Days June 2025]]/SUM(BedPlan[[#This Row],[Harvest Days January 2025]:[Harvest Days December 2026]])*BedPlan[[#This Row],[Yield]:[Yield]]</f>
        <v>0</v>
      </c>
      <c r="ER20" s="33" cm="1">
        <f t="array" ref="ER20">BedPlan[[#This Row],[Harvest Days July 2025]]/SUM(BedPlan[[#This Row],[Harvest Days January 2025]:[Harvest Days December 2026]])*BedPlan[[#This Row],[Yield]:[Yield]]</f>
        <v>0</v>
      </c>
      <c r="ES20" s="33" cm="1">
        <f t="array" ref="ES20">BedPlan[[#This Row],[Harvest Days August 2025]]/SUM(BedPlan[[#This Row],[Harvest Days January 2025]:[Harvest Days December 2026]])*BedPlan[[#This Row],[Yield]:[Yield]]</f>
        <v>0</v>
      </c>
      <c r="ET20" s="33" cm="1">
        <f t="array" ref="ET20">BedPlan[[#This Row],[Harvest Days September 2025]]/SUM(BedPlan[[#This Row],[Harvest Days January 2025]:[Harvest Days December 2026]])*BedPlan[[#This Row],[Yield]:[Yield]]</f>
        <v>122.22222222222223</v>
      </c>
      <c r="EU20" s="33" cm="1">
        <f t="array" ref="EU20">BedPlan[[#This Row],[Harvest Days October 2025]]/SUM(BedPlan[[#This Row],[Harvest Days January 2025]:[Harvest Days December 2026]])*BedPlan[[#This Row],[Yield]:[Yield]]</f>
        <v>77.777777777777786</v>
      </c>
      <c r="EV20" s="33" cm="1">
        <f t="array" ref="EV20">BedPlan[[#This Row],[Harvest Days November 2025]]/SUM(BedPlan[[#This Row],[Harvest Days January 2025]:[Harvest Days December 2026]])*BedPlan[[#This Row],[Yield]:[Yield]]</f>
        <v>0</v>
      </c>
      <c r="EW20" s="33" cm="1">
        <f t="array" ref="EW20">BedPlan[[#This Row],[Harvest Days December 2025]]/SUM(BedPlan[[#This Row],[Harvest Days January 2025]:[Harvest Days December 2026]])*BedPlan[[#This Row],[Yield]:[Yield]]</f>
        <v>0</v>
      </c>
    </row>
    <row r="21" spans="1:153" ht="15.75" customHeight="1">
      <c r="A21" s="183" t="s">
        <v>1750</v>
      </c>
      <c r="B21" s="240" t="s">
        <v>3261</v>
      </c>
      <c r="C21" t="s">
        <v>1431</v>
      </c>
      <c r="D21" s="226" cm="1">
        <f t="array" ref="D21">INDEX(Crops[],BedPlan[[#This Row],[Chart Index]],D$4,1)*BedPlan[[#This Row],[Full Bed Equivalent]]</f>
        <v>16.666666666666668</v>
      </c>
      <c r="E21" s="226" cm="1">
        <f t="array" ref="E21">INDEX(Crops[],BedPlan[[#This Row],[Chart Index]],E$4,1)*BedPlan[[#This Row],[Full Bed Equivalent]]</f>
        <v>100</v>
      </c>
      <c r="F21" t="str">
        <f>UPPER(LEFT(BedPlan[[#This Row],[Crop]],3))</f>
        <v>BEE</v>
      </c>
      <c r="H21" s="143" t="str" cm="1">
        <f t="array" ref="H21">INDEX(Crops[],BedPlan[[#This Row],[Chart Index]],H$4,1)</f>
        <v>Beet</v>
      </c>
      <c r="K21" s="227"/>
      <c r="L21" s="33" cm="1">
        <f t="array" ref="L21">INDEX(Crops[],BedPlan[[#This Row],[Chart Index]],L$4,1)*BedPlan[[#This Row],[Full Bed Equivalent]]</f>
        <v>495.00000000000006</v>
      </c>
      <c r="N21">
        <f>1</f>
        <v>1</v>
      </c>
      <c r="O21">
        <f>MAX(BedPlan[[#This Row],['# Of Beds]],0.5)</f>
        <v>1</v>
      </c>
      <c r="P21" s="31">
        <f>IF(ISNUMBER(BedPlan[[#This Row],[Planned Greenhouse Start Date]]),BedPlan[[#This Row],[Planned Greenhouse Start Date]],BedPlan[[#This Row],[Planned TP or DS Date]])</f>
        <v>45849</v>
      </c>
      <c r="Q21" s="259">
        <f>IF(BedPlan[[#This Row],[Days in Cells]]=0,"",IFERROR(_xlfn.XLOOKUP(BedPlan[[#This Row],[Follows Crop]],BedPlan[Identifier],BedPlan[Expected End of Harvest]) + 1+BedPlan[[#This Row],[Follow Offset]],BedPlan[[#This Row],[Fixed Field Start Date]])-BedPlan[[#This Row],[Days in Cells]])</f>
        <v>45849</v>
      </c>
      <c r="R21" s="259"/>
      <c r="S21" s="259">
        <f>IF(ISNUMBER(BedPlan[[#This Row],[Actual Greenhouse Date]]),BedPlan[[#This Row],[Actual Greenhouse Date]],BedPlan[[#This Row],[Planned Greenhouse Start Date]])</f>
        <v>45849</v>
      </c>
      <c r="T21" s="259">
        <v>45884</v>
      </c>
      <c r="U21" s="260"/>
      <c r="V21" s="260"/>
      <c r="W2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21" s="259"/>
      <c r="Y21" s="271">
        <f>BedPlan[[#This Row],[Actual TP or DS Date]]-BedPlan[[#This Row],[Planned TP or DS Date]]</f>
        <v>-45884</v>
      </c>
      <c r="Z21" s="259">
        <f>IF(ISNUMBER(BedPlan[[#This Row],[Actual TP or DS Date]]),BedPlan[[#This Row],[Actual TP or DS Date]],BedPlan[[#This Row],[Planned TP or DS Date]])</f>
        <v>45884</v>
      </c>
      <c r="AA21" s="259"/>
      <c r="AB21" s="259">
        <f>IF(ISNUMBER(BedPlan[[#This Row],[Greenhouse Start Date]]),BedPlan[[#This Row],[Greenhouse Start Date]]+BedPlan[[#This Row],[DTM]],BedPlan[[#This Row],[TP or DS Date]]+BedPlan[[#This Row],[DTM]])</f>
        <v>45929</v>
      </c>
      <c r="AC21" s="259"/>
      <c r="AD21" s="259">
        <f>IF(ISNUMBER(BedPlan[[#This Row],[Actual Beginning of Harvest]]),BedPlan[[#This Row],[Actual Beginning of Harvest]],BedPlan[[#This Row],[Expected Beginning of Harvest]])</f>
        <v>45929</v>
      </c>
      <c r="AE21" s="259">
        <f>BedPlan[[#This Row],[Expected Beginning of Harvest]]+BedPlan[[#This Row],[Harvest Window]]+BedPlan[[#This Row],[Additional Days of Harvest]]</f>
        <v>45964</v>
      </c>
      <c r="AF21" s="259"/>
      <c r="AG21" s="259"/>
      <c r="AH21" s="34" t="b">
        <f>IF(AND( BedPlan[[#This Row],[Expected End of Harvest]] &gt;= DATE(2025, 8, 1), BedPlan[[#This Row],[Beginning of Harvest]] &lt;= DATE(2025, 8, 31) ), TRUE, FALSE)</f>
        <v>0</v>
      </c>
      <c r="AI21" s="31"/>
      <c r="AJ21" s="31">
        <f>IF(ISNUMBER(BedPlan[[#This Row],[Actual End of Harvest]]),BedPlan[[#This Row],[Actual End of Harvest]],BedPlan[[#This Row],[Expected End of Harvest]])</f>
        <v>45964</v>
      </c>
      <c r="AK21" t="b">
        <f>OR(ISNUMBER(BedPlan[[#This Row],[Actual Greenhouse Date]]),ISNUMBER(BedPlan[[#This Row],[Actual TP or DS Date]]))</f>
        <v>0</v>
      </c>
      <c r="AL21" s="52" t="b">
        <f>IF(ISNUMBER(BedPlan[[#This Row],[Planned Greenhouse Start Date]]),OR(ISNUMBER(BedPlan[[#This Row],[Actual TP or DS Date]]),BedPlan[[#This Row],[Failed]]),"-")</f>
        <v>0</v>
      </c>
      <c r="AM21" t="b">
        <f>OR(ISNUMBER(BedPlan[[#This Row],[Actual End of Harvest]]),BedPlan[[#This Row],[Failed]])</f>
        <v>0</v>
      </c>
      <c r="AN21" t="b">
        <f>OR(BedPlan[[#This Row],[Harvest Done]],BedPlan[[#This Row],[Failed]],BedPlan[[#This Row],[Name]]="Tarp")</f>
        <v>0</v>
      </c>
      <c r="AO21" s="34"/>
      <c r="AP21" s="34"/>
      <c r="AQ21" s="34"/>
      <c r="AR21" s="34"/>
      <c r="AS21" s="256" t="str">
        <f>IF(BedPlan[[#This Row],[Broadfork]],BedPlan[[#This Row],[Actual TP or DS Date]],"")</f>
        <v/>
      </c>
      <c r="AT21" s="256" t="str">
        <f>IF(BedPlan[[#This Row],[Tilther]],BedPlan[[#This Row],[Actual TP or DS Date]],"")</f>
        <v/>
      </c>
      <c r="AU21" s="256" t="str">
        <f>IF(NOT(ISBLANK(BedPlan[[#This Row],[Amend]])),BedPlan[[#This Row],[Actual TP or DS Date]],"")</f>
        <v/>
      </c>
      <c r="AV21" s="256" t="str">
        <f>IF(BedPlan[[#This Row],[Row Cover]],BedPlan[[#This Row],[Actual TP or DS Date]],"")</f>
        <v/>
      </c>
      <c r="AW21" s="34"/>
      <c r="AX21" s="256"/>
      <c r="AY21" s="34"/>
      <c r="AZ21" s="256"/>
      <c r="BA21" s="34"/>
      <c r="BB21" s="256"/>
      <c r="BC21" s="231" cm="1">
        <f t="array" ref="BC21">INDEX(Crops[],BedPlan[[#This Row],[Chart Index]],BC$4,1)*BedPlan[[#This Row],[Full Bed Equivalent]]</f>
        <v>400</v>
      </c>
      <c r="BD21" s="231" cm="1">
        <f t="array" ref="BD21">INDEX(Crops[],BedPlan[[#This Row],[Chart Index]],BD$4,1)*BedPlan[[#This Row],[Full Bed Equivalent]]</f>
        <v>5</v>
      </c>
      <c r="BE21" cm="1">
        <f t="array" ref="BE21">INDEX(Crops[],BedPlan[[#This Row],[Chart Index]],BE$4,1)+BedPlan[[#This Row],[Additional Days in Cells]]+BedPlan[[#This Row],[Additional Days In Field]]</f>
        <v>80</v>
      </c>
      <c r="BG21" cm="1">
        <f t="array" ref="BG21">INDEX(Crops[],BedPlan[[#This Row],[Chart Index]],BG$4,1)</f>
        <v>35</v>
      </c>
      <c r="BH21" t="str">
        <f>IF(ISNUMBER(BedPlan[[#This Row],[Planned Greenhouse Start Date]]),"TP","DS")</f>
        <v>TP</v>
      </c>
      <c r="BI21">
        <f>BedPlan[[#This Row],['# Of Beds]]</f>
        <v>1</v>
      </c>
      <c r="BJ21" cm="1">
        <f t="array" ref="BJ21">INDEX(Crops[],BedPlan[[#This Row],[Chart Index]],BJ$4,1)</f>
        <v>35</v>
      </c>
      <c r="BK21" cm="1">
        <f t="array" ref="BK21">INDEX(Crops[],BedPlan[[#This Row],[Chart Index]],BK$4,1)</f>
        <v>3</v>
      </c>
      <c r="BL21" cm="1">
        <f t="array" ref="BL21">INDEX(Crops[],BedPlan[[#This Row],[Chart Index]],BL$4,1)</f>
        <v>12</v>
      </c>
      <c r="BM21" cm="1">
        <f t="array" ref="BM21">INDEX(Crops[],BedPlan[[#This Row],[Chart Index]],BM$4,1)</f>
        <v>3</v>
      </c>
      <c r="BN21" s="32" cm="1">
        <f t="array" ref="BN21">INDEX(Crops[],BedPlan[[#This Row],[Chart Index]],BN$4,1)*BedPlan[[#This Row],[Full Bed Equivalent]]</f>
        <v>150</v>
      </c>
      <c r="BO21" t="str" cm="1">
        <f t="array" ref="BO21">IF(INDEX(Crops[],BedPlan[[#This Row],[Chart Index]],BO$4,1)=0,"",INDEX(Crops[],BedPlan[[#This Row],[Chart Index]],BO$4,1))</f>
        <v/>
      </c>
      <c r="BP21">
        <f>MATCH(BedPlan[[#This Row],[Crop]],Crops[Identifier],FALSE)</f>
        <v>33</v>
      </c>
      <c r="BQ21" t="str" cm="1">
        <f t="array" ref="BQ21">INDEX(Crops[],BedPlan[[#This Row],[Chart Index]],BQ$4,1)</f>
        <v>General</v>
      </c>
      <c r="BR21" t="str" cm="1">
        <f t="array" ref="BR21">INDEX(Crops[],BedPlan[[#This Row],[Chart Index]],BR$4,1)</f>
        <v>SuFa</v>
      </c>
      <c r="BS21" s="32">
        <f>BedPlan[[#This Row],[Expected Beginning of Harvest]]-DATE(2023,1,1)</f>
        <v>1002</v>
      </c>
      <c r="BT21">
        <f>BedPlan[[#This Row],[Expected End of Harvest]]-BedPlan[[#This Row],[Expected Beginning of Harvest]]</f>
        <v>35</v>
      </c>
      <c r="BU21" t="str" cm="1">
        <f t="array" ref="BU21">INDEX(Crops[],BedPlan[[#This Row],[Chart Index]],BU$4,1)</f>
        <v>Root</v>
      </c>
      <c r="BV21" cm="1">
        <f t="array" ref="BV21">INDEX(Crops[],BedPlan[[#This Row],[Chart Index]],BV$4,1)</f>
        <v>1</v>
      </c>
      <c r="BW21" t="str" cm="1">
        <f t="array" ref="BW21">INDEX(Crops[],BedPlan[[#This Row],[Chart Index]],BW$4,1)</f>
        <v>Late</v>
      </c>
      <c r="BX21" cm="1">
        <f t="array" ref="BX21">INDEX(Crops[],BedPlan[[#This Row],[Chart Index]],BX$4,1)</f>
        <v>128</v>
      </c>
      <c r="BY21" cm="1">
        <f t="array" ref="BY21">INDEX(Crops[],BedPlan[[#This Row],[Chart Index]],BY$4,1)</f>
        <v>35</v>
      </c>
      <c r="BZ21" s="49" cm="1">
        <f t="array" ref="BZ21">IFERROR(INDEX(Crops[],BedPlan[[#This Row],[Chart Index]],BZ$4,1)*BedPlan[[#This Row],[Full Bed Equivalent]],"")</f>
        <v>1.2890625</v>
      </c>
      <c r="CA21" cm="1">
        <f t="array" ref="CA21">INDEX(Crops[],BedPlan[[#This Row],[Chart Index]],CA$4,1)</f>
        <v>0</v>
      </c>
      <c r="CB21" cm="1">
        <f t="array" ref="CB21">INDEX(Crops[],BedPlan[[#This Row],[Chart Index]],CB$4,1)</f>
        <v>0</v>
      </c>
      <c r="CC21" s="49" t="str" cm="1">
        <f t="array" ref="CC21">IFERROR(INDEX(Crops[],BedPlan[[#This Row],[Chart Index]],CC$4,1)*BedPlan[[#This Row],[Full Bed Equivalent]],"")</f>
        <v/>
      </c>
      <c r="CD21" cm="1">
        <f t="array" ref="CD21">INDEX(Crops[],BedPlan[[#This Row],[Chart Index]],CD$4,1)</f>
        <v>0</v>
      </c>
      <c r="CE21" cm="1">
        <f t="array" ref="CE21">IF(INDEX(Crops[],BedPlan[[#This Row],[Chart Index]],CE$4,1)="",0,INDEX(Crops[],BedPlan[[#This Row],[Chart Index]],CE$4,1))</f>
        <v>0</v>
      </c>
      <c r="CF21" s="49" t="str" cm="1">
        <f t="array" ref="CF21">IFERROR(INDEX(Crops[],BedPlan[[#This Row],[Chart Index]],CF$4,1)*BedPlan[[#This Row],[Full Bed Equivalent]],"")</f>
        <v/>
      </c>
      <c r="CG21" cm="1">
        <f t="array" ref="CG21">IF(INDEX(Crops[],BedPlan[[#This Row],[Chart Index]],CG$4,1)="",0,INDEX(Crops[],BedPlan[[#This Row],[Chart Index]],CG$4,1))</f>
        <v>1.1000000000000001</v>
      </c>
      <c r="CH21" cm="1">
        <f t="array" ref="CH21">IF(INDEX(Crops[],BedPlan[[#This Row],[Chart Index]],CH$4,1)="",0,INDEX(Crops[],BedPlan[[#This Row],[Chart Index]],CH$4,1))</f>
        <v>0</v>
      </c>
      <c r="CI21" t="str" cm="1">
        <f t="array" ref="CI21">INDEX(Crops[],BedPlan[[#This Row],[Chart Index]],CI$4,1)</f>
        <v>Field</v>
      </c>
      <c r="CJ21" s="30" t="str">
        <f>_xlfn.TEXTJOIN(CHAR(10),FALSE,BedPlan[[#This Row],[Name]],BedPlan[[#This Row],[Variety]],BedPlan[[#This Row],[Company]])</f>
        <v xml:space="preserve">Beet
</v>
      </c>
      <c r="CK21" s="32">
        <f>MAX( 0, MIN(BedPlan[[#This Row],[Expected End of Harvest]], EOMONTH(CK$4, 0)) - MAX(BedPlan[[#This Row],[Beginning of Harvest]], CK$4) + 1 )</f>
        <v>0</v>
      </c>
      <c r="CL21">
        <f>MAX( 0, MIN(BedPlan[[#This Row],[Expected End of Harvest]], EOMONTH(CL$4, 0)) - MAX(BedPlan[[#This Row],[Beginning of Harvest]], CL$4) + 1 )</f>
        <v>0</v>
      </c>
      <c r="CM21">
        <f>MAX( 0, MIN(BedPlan[[#This Row],[Expected End of Harvest]], EOMONTH(CM$4, 0)) - MAX(BedPlan[[#This Row],[Beginning of Harvest]], CM$4) + 1 )</f>
        <v>0</v>
      </c>
      <c r="CN21">
        <f>MAX( 0, MIN(BedPlan[[#This Row],[Expected End of Harvest]], EOMONTH(CN$4, 0)) - MAX(BedPlan[[#This Row],[Beginning of Harvest]], CN$4) + 1 )</f>
        <v>0</v>
      </c>
      <c r="CO21">
        <f>MAX( 0, MIN(BedPlan[[#This Row],[Expected End of Harvest]], EOMONTH(CO$4, 0)) - MAX(BedPlan[[#This Row],[Beginning of Harvest]], CO$4) + 1 )</f>
        <v>0</v>
      </c>
      <c r="CP21">
        <f>MAX( 0, MIN(BedPlan[[#This Row],[Expected End of Harvest]], EOMONTH(CP$4, 0)) - MAX(BedPlan[[#This Row],[Beginning of Harvest]], CP$4) + 1 )</f>
        <v>0</v>
      </c>
      <c r="CQ21">
        <f>MAX( 0, MIN(BedPlan[[#This Row],[Expected End of Harvest]], EOMONTH(CQ$4, 0)) - MAX(BedPlan[[#This Row],[Beginning of Harvest]], CQ$4) + 1 )</f>
        <v>0</v>
      </c>
      <c r="CR21">
        <f>MAX( 0, MIN(BedPlan[[#This Row],[Expected End of Harvest]], EOMONTH(CR$4, 0)) - MAX(BedPlan[[#This Row],[Beginning of Harvest]], CR$4) + 1 )</f>
        <v>0</v>
      </c>
      <c r="CS21">
        <f>MAX( 0, MIN(BedPlan[[#This Row],[Expected End of Harvest]], EOMONTH(CS$4, 0)) - MAX(BedPlan[[#This Row],[Beginning of Harvest]], CS$4) + 1 )</f>
        <v>2</v>
      </c>
      <c r="CT21">
        <f>MAX( 0, MIN(BedPlan[[#This Row],[Expected End of Harvest]], EOMONTH(CT$4, 0)) - MAX(BedPlan[[#This Row],[Beginning of Harvest]], CT$4) + 1 )</f>
        <v>31</v>
      </c>
      <c r="CU21">
        <f>MAX( 0, MIN(BedPlan[[#This Row],[Expected End of Harvest]], EOMONTH(CU$4, 0)) - MAX(BedPlan[[#This Row],[Beginning of Harvest]], CU$4) + 1 )</f>
        <v>3</v>
      </c>
      <c r="CV21">
        <f>MAX( 0, MIN(BedPlan[[#This Row],[Expected End of Harvest]], EOMONTH(CV$4, 0)) - MAX(BedPlan[[#This Row],[Beginning of Harvest]], CV$4) + 1 )</f>
        <v>0</v>
      </c>
      <c r="CW21">
        <f>MAX( 0, MIN(BedPlan[[#This Row],[Expected End of Harvest]], EOMONTH(CW$4, 0)) - MAX(BedPlan[[#This Row],[Beginning of Harvest]], CW$4) + 1 )</f>
        <v>0</v>
      </c>
      <c r="CX21">
        <f>MAX( 0, MIN(BedPlan[[#This Row],[Expected End of Harvest]], EOMONTH(CX$4, 0)) - MAX(BedPlan[[#This Row],[Beginning of Harvest]], CX$4) + 1 )</f>
        <v>0</v>
      </c>
      <c r="CY21">
        <f>MAX( 0, MIN(BedPlan[[#This Row],[Expected End of Harvest]], EOMONTH(CY$4, 0)) - MAX(BedPlan[[#This Row],[Beginning of Harvest]], CY$4) + 1 )</f>
        <v>0</v>
      </c>
      <c r="CZ21">
        <f>MAX( 0, MIN(BedPlan[[#This Row],[Expected End of Harvest]], EOMONTH(CZ$4, 0)) - MAX(BedPlan[[#This Row],[Beginning of Harvest]], CZ$4) + 1 )</f>
        <v>0</v>
      </c>
      <c r="DA21">
        <f>MAX( 0, MIN(BedPlan[[#This Row],[Expected End of Harvest]], EOMONTH(DA$4, 0)) - MAX(BedPlan[[#This Row],[Beginning of Harvest]], DA$4) + 1 )</f>
        <v>0</v>
      </c>
      <c r="DB21">
        <f>MAX( 0, MIN(BedPlan[[#This Row],[Expected End of Harvest]], EOMONTH(DB$4, 0)) - MAX(BedPlan[[#This Row],[Beginning of Harvest]], DB$4) + 1 )</f>
        <v>0</v>
      </c>
      <c r="DC21">
        <f>MAX( 0, MIN(BedPlan[[#This Row],[Expected End of Harvest]], EOMONTH(DC$4, 0)) - MAX(BedPlan[[#This Row],[Beginning of Harvest]], DC$4) + 1 )</f>
        <v>0</v>
      </c>
      <c r="DD21">
        <f>MAX( 0, MIN(BedPlan[[#This Row],[Expected End of Harvest]], EOMONTH(DD$4, 0)) - MAX(BedPlan[[#This Row],[Beginning of Harvest]], DD$4) + 1 )</f>
        <v>0</v>
      </c>
      <c r="DE21">
        <f>MAX( 0, MIN(BedPlan[[#This Row],[Expected End of Harvest]], EOMONTH(DE$4, 0)) - MAX(BedPlan[[#This Row],[Beginning of Harvest]], DE$4) + 1 )</f>
        <v>0</v>
      </c>
      <c r="DF21">
        <f>MAX( 0, MIN(BedPlan[[#This Row],[Expected End of Harvest]], EOMONTH(DF$4, 0)) - MAX(BedPlan[[#This Row],[Beginning of Harvest]], DF$4) + 1 )</f>
        <v>0</v>
      </c>
      <c r="DG21">
        <f>MAX( 0, MIN(BedPlan[[#This Row],[Expected End of Harvest]], EOMONTH(DG$4, 0)) - MAX(BedPlan[[#This Row],[Beginning of Harvest]], DG$4) + 1 )</f>
        <v>0</v>
      </c>
      <c r="DH21">
        <f>MAX( 0, MIN(BedPlan[[#This Row],[Expected End of Harvest]], EOMONTH(DH$4, 0)) - MAX(BedPlan[[#This Row],[Beginning of Harvest]], DH$4) + 1 )</f>
        <v>0</v>
      </c>
      <c r="DI21" s="257" cm="1">
        <f t="array" ref="DI21">BedPlan[[#This Row],[Harvest Days January 2025]]/SUM(BedPlan[[#This Row],[Harvest Days January 2025]:[Harvest Days December 2026]])*BedPlan[[#This Row],[Revenue]:[Revenue]]</f>
        <v>0</v>
      </c>
      <c r="DJ21" s="257" cm="1">
        <f t="array" ref="DJ21">BedPlan[[#This Row],[Harvest Days February 2025]]/SUM(BedPlan[[#This Row],[Harvest Days January 2025]:[Harvest Days December 2026]])*BedPlan[[#This Row],[Revenue]:[Revenue]]</f>
        <v>0</v>
      </c>
      <c r="DK21" s="257" cm="1">
        <f t="array" ref="DK21">BedPlan[[#This Row],[Harvest Days March 2025]]/SUM(BedPlan[[#This Row],[Harvest Days January 2025]:[Harvest Days December 2026]])*BedPlan[[#This Row],[Revenue]:[Revenue]]</f>
        <v>0</v>
      </c>
      <c r="DL21" s="257" cm="1">
        <f t="array" ref="DL21">BedPlan[[#This Row],[Harvest Days April 2025]]/SUM(BedPlan[[#This Row],[Harvest Days January 2025]:[Harvest Days December 2026]])*BedPlan[[#This Row],[Revenue]:[Revenue]]</f>
        <v>0</v>
      </c>
      <c r="DM21" s="257" cm="1">
        <f t="array" ref="DM21">BedPlan[[#This Row],[Harvest Days May 2025]]/SUM(BedPlan[[#This Row],[Harvest Days January 2025]:[Harvest Days December 2026]])*BedPlan[[#This Row],[Revenue]:[Revenue]]</f>
        <v>0</v>
      </c>
      <c r="DN21" s="257" cm="1">
        <f t="array" ref="DN21">BedPlan[[#This Row],[Harvest Days June 2025]]/SUM(BedPlan[[#This Row],[Harvest Days January 2025]:[Harvest Days December 2026]])*BedPlan[[#This Row],[Revenue]:[Revenue]]</f>
        <v>0</v>
      </c>
      <c r="DO21" s="257" cm="1">
        <f t="array" ref="DO21">BedPlan[[#This Row],[Harvest Days July 2025]]/SUM(BedPlan[[#This Row],[Harvest Days January 2025]:[Harvest Days December 2026]])*BedPlan[[#This Row],[Revenue]:[Revenue]]</f>
        <v>0</v>
      </c>
      <c r="DP21" s="257" cm="1">
        <f t="array" ref="DP21">BedPlan[[#This Row],[Harvest Days August 2025]]/SUM(BedPlan[[#This Row],[Harvest Days January 2025]:[Harvest Days December 2026]])*BedPlan[[#This Row],[Revenue]:[Revenue]]</f>
        <v>0</v>
      </c>
      <c r="DQ21" s="257" cm="1">
        <f t="array" ref="DQ21">BedPlan[[#This Row],[Harvest Days September 2025]]/SUM(BedPlan[[#This Row],[Harvest Days January 2025]:[Harvest Days December 2026]])*BedPlan[[#This Row],[Revenue]:[Revenue]]</f>
        <v>22.222222222222221</v>
      </c>
      <c r="DR21" s="257" cm="1">
        <f t="array" ref="DR21">BedPlan[[#This Row],[Harvest Days October 2025]]/SUM(BedPlan[[#This Row],[Harvest Days January 2025]:[Harvest Days December 2026]])*BedPlan[[#This Row],[Revenue]:[Revenue]]</f>
        <v>344.44444444444446</v>
      </c>
      <c r="DS21" s="257" cm="1">
        <f t="array" ref="DS21">BedPlan[[#This Row],[Harvest Days November 2025]]/SUM(BedPlan[[#This Row],[Harvest Days January 2025]:[Harvest Days December 2026]])*BedPlan[[#This Row],[Revenue]:[Revenue]]</f>
        <v>33.333333333333329</v>
      </c>
      <c r="DT21" s="257" cm="1">
        <f t="array" ref="DT21">BedPlan[[#This Row],[Harvest Days December 2025]]/SUM(BedPlan[[#This Row],[Harvest Days January 2025]:[Harvest Days December 2026]])*BedPlan[[#This Row],[Revenue]:[Revenue]]</f>
        <v>0</v>
      </c>
      <c r="DU21" s="257" cm="1">
        <f t="array" ref="DU21">BedPlan[[#This Row],[Harvest Days January 2026]]/SUM(BedPlan[[#This Row],[Harvest Days January 2025]:[Harvest Days December 2026]])*BedPlan[[#This Row],[Revenue]:[Revenue]]</f>
        <v>0</v>
      </c>
      <c r="DV21" s="257" cm="1">
        <f t="array" ref="DV21">BedPlan[[#This Row],[Harvest Days February 2026]]/SUM(BedPlan[[#This Row],[Harvest Days January 2025]:[Harvest Days December 2026]])*BedPlan[[#This Row],[Revenue]:[Revenue]]</f>
        <v>0</v>
      </c>
      <c r="DW21" s="257" cm="1">
        <f t="array" ref="DW21">BedPlan[[#This Row],[Harvest Days March 2026]]/SUM(BedPlan[[#This Row],[Harvest Days January 2025]:[Harvest Days December 2026]])*BedPlan[[#This Row],[Revenue]:[Revenue]]</f>
        <v>0</v>
      </c>
      <c r="DX21" s="257" cm="1">
        <f t="array" ref="DX21">BedPlan[[#This Row],[Harvest Days April 2026]]/SUM(BedPlan[[#This Row],[Harvest Days January 2025]:[Harvest Days December 2026]])*BedPlan[[#This Row],[Revenue]:[Revenue]]</f>
        <v>0</v>
      </c>
      <c r="DY21" cm="1">
        <f t="array" ref="DY21">BedPlan[[#This Row],[Harvest Days May 2026]]/SUM(BedPlan[[#This Row],[Harvest Days January 2025]:[Harvest Days December 2026]])*BedPlan[[#This Row],[Revenue]:[Revenue]]</f>
        <v>0</v>
      </c>
      <c r="DZ21" cm="1">
        <f t="array" ref="DZ21">BedPlan[[#This Row],[Harvest Days June 2026]]/SUM(BedPlan[[#This Row],[Harvest Days January 2025]:[Harvest Days December 2026]])*BedPlan[[#This Row],[Revenue]:[Revenue]]</f>
        <v>0</v>
      </c>
      <c r="EA21" cm="1">
        <f t="array" ref="EA21">BedPlan[[#This Row],[Harvest Days July 2026]]/SUM(BedPlan[[#This Row],[Harvest Days January 2025]:[Harvest Days December 2026]])*BedPlan[[#This Row],[Revenue]:[Revenue]]</f>
        <v>0</v>
      </c>
      <c r="EB21" cm="1">
        <f t="array" ref="EB21">BedPlan[[#This Row],[Harvest Days August 2026]]/SUM(BedPlan[[#This Row],[Harvest Days January 2025]:[Harvest Days December 2026]])*BedPlan[[#This Row],[Revenue]:[Revenue]]</f>
        <v>0</v>
      </c>
      <c r="EC21" cm="1">
        <f t="array" ref="EC21">BedPlan[[#This Row],[Harvest Days September 2026]]/SUM(BedPlan[[#This Row],[Harvest Days January 2025]:[Harvest Days December 2026]])*BedPlan[[#This Row],[Revenue]:[Revenue]]</f>
        <v>0</v>
      </c>
      <c r="ED21" cm="1">
        <f t="array" ref="ED21">BedPlan[[#This Row],[Harvest Days October 2026]]/SUM(BedPlan[[#This Row],[Harvest Days January 2025]:[Harvest Days December 2026]])*BedPlan[[#This Row],[Revenue]:[Revenue]]</f>
        <v>0</v>
      </c>
      <c r="EE21" cm="1">
        <f t="array" ref="EE21">BedPlan[[#This Row],[Harvest Days November 2026]]/SUM(BedPlan[[#This Row],[Harvest Days January 2025]:[Harvest Days December 2026]])*BedPlan[[#This Row],[Revenue]:[Revenue]]</f>
        <v>0</v>
      </c>
      <c r="EF21" cm="1">
        <f t="array" ref="EF21">BedPlan[[#This Row],[Harvest Days December 2026]]/SUM(BedPlan[[#This Row],[Harvest Days January 2025]:[Harvest Days December 2026]])*BedPlan[[#This Row],[Revenue]:[Revenue]]</f>
        <v>0</v>
      </c>
      <c r="EG21" t="b">
        <f>SUM(BedPlan[[#This Row],[Revenue January 2025]:[Revenue December 2026]])=BedPlan[[#This Row],[Revenue]]</f>
        <v>1</v>
      </c>
      <c r="EH21" s="30" cm="1">
        <f t="array" ref="EH21">INDEX(Crops[],BedPlan[[#This Row],[Chart Index]],EH$4,1)*BedPlan[[#This Row],['# Of Beds]]</f>
        <v>100</v>
      </c>
      <c r="EI21" s="30" t="str" cm="1">
        <f t="array" ref="EI21">INDEX(Crops[],BedPlan[[#This Row],[Chart Index]],EI$4,1)</f>
        <v>Bunch</v>
      </c>
      <c r="EJ21" s="30" t="str" cm="1">
        <f t="array" ref="EJ21">INDEX(Crops[],BedPlan[[#This Row],[Chart Index]],EJ$4,1)</f>
        <v>Mature Root</v>
      </c>
      <c r="EK21" s="30" t="str">
        <f>BedPlan[[#This Row],[Name]]&amp;" "&amp;BedPlan[[#This Row],[Product]]&amp; " - " &amp;BedPlan[[#This Row],[Unit]]</f>
        <v>Beet Mature Root - Bunch</v>
      </c>
      <c r="EL21" s="33" cm="1">
        <f t="array" ref="EL21">BedPlan[[#This Row],[Harvest Days January 2025]]/SUM(BedPlan[[#This Row],[Harvest Days January 2025]:[Harvest Days December 2026]])*BedPlan[[#This Row],[Yield]:[Yield]]</f>
        <v>0</v>
      </c>
      <c r="EM21" s="33" cm="1">
        <f t="array" ref="EM21">BedPlan[[#This Row],[Harvest Days February 2025]]/SUM(BedPlan[[#This Row],[Harvest Days January 2025]:[Harvest Days December 2026]])*BedPlan[[#This Row],[Yield]:[Yield]]</f>
        <v>0</v>
      </c>
      <c r="EN21" s="33" cm="1">
        <f t="array" ref="EN21">BedPlan[[#This Row],[Harvest Days March 2025]]/SUM(BedPlan[[#This Row],[Harvest Days January 2025]:[Harvest Days December 2026]])*BedPlan[[#This Row],[Yield]:[Yield]]</f>
        <v>0</v>
      </c>
      <c r="EO21" s="33" cm="1">
        <f t="array" ref="EO21">BedPlan[[#This Row],[Harvest Days April 2025]]/SUM(BedPlan[[#This Row],[Harvest Days January 2025]:[Harvest Days December 2026]])*BedPlan[[#This Row],[Yield]:[Yield]]</f>
        <v>0</v>
      </c>
      <c r="EP21" s="33" cm="1">
        <f t="array" ref="EP21">BedPlan[[#This Row],[Harvest Days May 2025]]/SUM(BedPlan[[#This Row],[Harvest Days January 2025]:[Harvest Days December 2026]])*BedPlan[[#This Row],[Yield]:[Yield]]</f>
        <v>0</v>
      </c>
      <c r="EQ21" s="33" cm="1">
        <f t="array" ref="EQ21">BedPlan[[#This Row],[Harvest Days June 2025]]/SUM(BedPlan[[#This Row],[Harvest Days January 2025]:[Harvest Days December 2026]])*BedPlan[[#This Row],[Yield]:[Yield]]</f>
        <v>0</v>
      </c>
      <c r="ER21" s="33" cm="1">
        <f t="array" ref="ER21">BedPlan[[#This Row],[Harvest Days July 2025]]/SUM(BedPlan[[#This Row],[Harvest Days January 2025]:[Harvest Days December 2026]])*BedPlan[[#This Row],[Yield]:[Yield]]</f>
        <v>0</v>
      </c>
      <c r="ES21" s="33" cm="1">
        <f t="array" ref="ES21">BedPlan[[#This Row],[Harvest Days August 2025]]/SUM(BedPlan[[#This Row],[Harvest Days January 2025]:[Harvest Days December 2026]])*BedPlan[[#This Row],[Yield]:[Yield]]</f>
        <v>0</v>
      </c>
      <c r="ET21" s="33" cm="1">
        <f t="array" ref="ET21">BedPlan[[#This Row],[Harvest Days September 2025]]/SUM(BedPlan[[#This Row],[Harvest Days January 2025]:[Harvest Days December 2026]])*BedPlan[[#This Row],[Yield]:[Yield]]</f>
        <v>5.5555555555555554</v>
      </c>
      <c r="EU21" s="33" cm="1">
        <f t="array" ref="EU21">BedPlan[[#This Row],[Harvest Days October 2025]]/SUM(BedPlan[[#This Row],[Harvest Days January 2025]:[Harvest Days December 2026]])*BedPlan[[#This Row],[Yield]:[Yield]]</f>
        <v>86.111111111111114</v>
      </c>
      <c r="EV21" s="33" cm="1">
        <f t="array" ref="EV21">BedPlan[[#This Row],[Harvest Days November 2025]]/SUM(BedPlan[[#This Row],[Harvest Days January 2025]:[Harvest Days December 2026]])*BedPlan[[#This Row],[Yield]:[Yield]]</f>
        <v>8.3333333333333321</v>
      </c>
      <c r="EW21" s="33" cm="1">
        <f t="array" ref="EW21">BedPlan[[#This Row],[Harvest Days December 2025]]/SUM(BedPlan[[#This Row],[Harvest Days January 2025]:[Harvest Days December 2026]])*BedPlan[[#This Row],[Yield]:[Yield]]</f>
        <v>0</v>
      </c>
    </row>
    <row r="22" spans="1:153" ht="15.75" customHeight="1">
      <c r="A22" s="273" t="s">
        <v>3283</v>
      </c>
      <c r="B22" s="240" t="s">
        <v>3284</v>
      </c>
      <c r="D22" s="226" cm="1">
        <f t="array" ref="D22">INDEX(Crops[],BedPlan[[#This Row],[Chart Index]],D$4,1)*BedPlan[[#This Row],[Full Bed Equivalent]]</f>
        <v>66.666666666666657</v>
      </c>
      <c r="E22" s="226" cm="1">
        <f t="array" ref="E22">INDEX(Crops[],BedPlan[[#This Row],[Chart Index]],E$4,1)*BedPlan[[#This Row],[Full Bed Equivalent]]</f>
        <v>133.33333333333331</v>
      </c>
      <c r="F22" t="str">
        <f>UPPER(LEFT(BedPlan[[#This Row],[Crop]],3))</f>
        <v>BOK</v>
      </c>
      <c r="H22" s="143" t="str" cm="1">
        <f t="array" ref="H22">INDEX(Crops[],BedPlan[[#This Row],[Chart Index]],H$4,1)</f>
        <v>Bok Choy</v>
      </c>
      <c r="K22" s="227"/>
      <c r="L22" s="33" cm="1">
        <f t="array" ref="L22">INDEX(Crops[],BedPlan[[#This Row],[Chart Index]],L$4,1)*BedPlan[[#This Row],[Full Bed Equivalent]]</f>
        <v>173.33333333333331</v>
      </c>
      <c r="N22">
        <v>0.5</v>
      </c>
      <c r="O22">
        <f>MAX(BedPlan[[#This Row],['# Of Beds]],0.5)</f>
        <v>0.5</v>
      </c>
      <c r="P22" s="31">
        <f>IF(ISNUMBER(BedPlan[[#This Row],[Planned Greenhouse Start Date]]),BedPlan[[#This Row],[Planned Greenhouse Start Date]],BedPlan[[#This Row],[Planned TP or DS Date]])</f>
        <v>45856</v>
      </c>
      <c r="Q22" s="259">
        <f>IF(BedPlan[[#This Row],[Days in Cells]]=0,"",IFERROR(_xlfn.XLOOKUP(BedPlan[[#This Row],[Follows Crop]],BedPlan[Identifier],BedPlan[Expected End of Harvest]) + 1+BedPlan[[#This Row],[Follow Offset]],BedPlan[[#This Row],[Fixed Field Start Date]])-BedPlan[[#This Row],[Days in Cells]])</f>
        <v>45856</v>
      </c>
      <c r="R22" s="259"/>
      <c r="S22" s="259">
        <f>IF(ISNUMBER(BedPlan[[#This Row],[Actual Greenhouse Date]]),BedPlan[[#This Row],[Actual Greenhouse Date]],BedPlan[[#This Row],[Planned Greenhouse Start Date]])</f>
        <v>45856</v>
      </c>
      <c r="T22" s="259">
        <v>45884</v>
      </c>
      <c r="U22" s="260"/>
      <c r="V22" s="260"/>
      <c r="W2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22" s="259"/>
      <c r="Y22" s="271">
        <f>BedPlan[[#This Row],[Actual TP or DS Date]]-BedPlan[[#This Row],[Planned TP or DS Date]]</f>
        <v>-45884</v>
      </c>
      <c r="Z22" s="259">
        <f>IF(ISNUMBER(BedPlan[[#This Row],[Actual TP or DS Date]]),BedPlan[[#This Row],[Actual TP or DS Date]],BedPlan[[#This Row],[Planned TP or DS Date]])</f>
        <v>45884</v>
      </c>
      <c r="AA22" s="260"/>
      <c r="AB22" s="259">
        <f>IF(ISNUMBER(BedPlan[[#This Row],[Greenhouse Start Date]]),BedPlan[[#This Row],[Greenhouse Start Date]]+BedPlan[[#This Row],[DTM]],BedPlan[[#This Row],[TP or DS Date]]+BedPlan[[#This Row],[DTM]])</f>
        <v>45934</v>
      </c>
      <c r="AC22" s="259"/>
      <c r="AD22" s="259">
        <f>IF(ISNUMBER(BedPlan[[#This Row],[Actual Beginning of Harvest]]),BedPlan[[#This Row],[Actual Beginning of Harvest]],BedPlan[[#This Row],[Expected Beginning of Harvest]])</f>
        <v>45934</v>
      </c>
      <c r="AE22" s="259">
        <f>BedPlan[[#This Row],[Expected Beginning of Harvest]]+BedPlan[[#This Row],[Harvest Window]]+BedPlan[[#This Row],[Additional Days of Harvest]]</f>
        <v>45948</v>
      </c>
      <c r="AF22" s="259"/>
      <c r="AG22" s="259"/>
      <c r="AH22" s="34" t="b">
        <f>IF(AND( BedPlan[[#This Row],[Expected End of Harvest]] &gt;= DATE(2025, 8, 1), BedPlan[[#This Row],[Beginning of Harvest]] &lt;= DATE(2025, 8, 31) ), TRUE, FALSE)</f>
        <v>0</v>
      </c>
      <c r="AI22" s="31"/>
      <c r="AJ22" s="31">
        <f>IF(ISNUMBER(BedPlan[[#This Row],[Actual End of Harvest]]),BedPlan[[#This Row],[Actual End of Harvest]],BedPlan[[#This Row],[Expected End of Harvest]])</f>
        <v>45948</v>
      </c>
      <c r="AK22" t="b">
        <f>OR(ISNUMBER(BedPlan[[#This Row],[Actual Greenhouse Date]]),ISNUMBER(BedPlan[[#This Row],[Actual TP or DS Date]]))</f>
        <v>0</v>
      </c>
      <c r="AL22" s="52" t="b">
        <f>IF(ISNUMBER(BedPlan[[#This Row],[Planned Greenhouse Start Date]]),OR(ISNUMBER(BedPlan[[#This Row],[Actual TP or DS Date]]),BedPlan[[#This Row],[Failed]]),"-")</f>
        <v>0</v>
      </c>
      <c r="AM22" t="b">
        <f>OR(ISNUMBER(BedPlan[[#This Row],[Actual End of Harvest]]),BedPlan[[#This Row],[Failed]])</f>
        <v>0</v>
      </c>
      <c r="AN22" t="b">
        <f>OR(BedPlan[[#This Row],[Harvest Done]],BedPlan[[#This Row],[Failed]],BedPlan[[#This Row],[Name]]="Tarp")</f>
        <v>0</v>
      </c>
      <c r="AO22" s="34"/>
      <c r="AP22" s="34"/>
      <c r="AQ22" s="34"/>
      <c r="AR22" s="34"/>
      <c r="AS22" s="256" t="str">
        <f>IF(BedPlan[[#This Row],[Broadfork]],BedPlan[[#This Row],[Actual TP or DS Date]],"")</f>
        <v/>
      </c>
      <c r="AT22" s="256" t="str">
        <f>IF(BedPlan[[#This Row],[Tilther]],BedPlan[[#This Row],[Actual TP or DS Date]],"")</f>
        <v/>
      </c>
      <c r="AU22" s="256" t="str">
        <f>IF(NOT(ISBLANK(BedPlan[[#This Row],[Amend]])),BedPlan[[#This Row],[Actual TP or DS Date]],"")</f>
        <v/>
      </c>
      <c r="AV22" s="256" t="str">
        <f>IF(BedPlan[[#This Row],[Row Cover]],BedPlan[[#This Row],[Actual TP or DS Date]],"")</f>
        <v/>
      </c>
      <c r="AW22" s="34"/>
      <c r="AX22" s="256"/>
      <c r="AY22" s="34"/>
      <c r="AZ22" s="256"/>
      <c r="BA22" s="34"/>
      <c r="BB22" s="256"/>
      <c r="BC22" s="231" cm="1">
        <f t="array" ref="BC22">INDEX(Crops[],BedPlan[[#This Row],[Chart Index]],BC$4,1)*BedPlan[[#This Row],[Full Bed Equivalent]]</f>
        <v>333.33333333333326</v>
      </c>
      <c r="BD22" s="231" cm="1">
        <f t="array" ref="BD22">INDEX(Crops[],BedPlan[[#This Row],[Chart Index]],BD$4,1)*BedPlan[[#This Row],[Full Bed Equivalent]]</f>
        <v>5.2083333333333321</v>
      </c>
      <c r="BE22" cm="1">
        <f t="array" ref="BE22">INDEX(Crops[],BedPlan[[#This Row],[Chart Index]],BE$4,1)+BedPlan[[#This Row],[Additional Days in Cells]]+BedPlan[[#This Row],[Additional Days In Field]]</f>
        <v>78</v>
      </c>
      <c r="BG22" cm="1">
        <f t="array" ref="BG22">INDEX(Crops[],BedPlan[[#This Row],[Chart Index]],BG$4,1)</f>
        <v>14</v>
      </c>
      <c r="BH22" t="str">
        <f>IF(ISNUMBER(BedPlan[[#This Row],[Planned Greenhouse Start Date]]),"TP","DS")</f>
        <v>TP</v>
      </c>
      <c r="BI22">
        <f>BedPlan[[#This Row],['# Of Beds]]</f>
        <v>0.5</v>
      </c>
      <c r="BJ22" cm="1">
        <f t="array" ref="BJ22">INDEX(Crops[],BedPlan[[#This Row],[Chart Index]],BJ$4,1)</f>
        <v>28</v>
      </c>
      <c r="BK22" cm="1">
        <f t="array" ref="BK22">INDEX(Crops[],BedPlan[[#This Row],[Chart Index]],BK$4,1)</f>
        <v>4</v>
      </c>
      <c r="BL22" cm="1">
        <f t="array" ref="BL22">INDEX(Crops[],BedPlan[[#This Row],[Chart Index]],BL$4,1)</f>
        <v>9</v>
      </c>
      <c r="BM22" cm="1">
        <f t="array" ref="BM22">INDEX(Crops[],BedPlan[[#This Row],[Chart Index]],BM$4,1)</f>
        <v>1</v>
      </c>
      <c r="BN22" s="32" cm="1">
        <f t="array" ref="BN22">INDEX(Crops[],BedPlan[[#This Row],[Chart Index]],BN$4,1)*BedPlan[[#This Row],[Full Bed Equivalent]]</f>
        <v>133.33333333333331</v>
      </c>
      <c r="BO22" t="str" cm="1">
        <f t="array" ref="BO22">IF(INDEX(Crops[],BedPlan[[#This Row],[Chart Index]],BO$4,1)=0,"",INDEX(Crops[],BedPlan[[#This Row],[Chart Index]],BO$4,1))</f>
        <v/>
      </c>
      <c r="BP22">
        <f>MATCH(BedPlan[[#This Row],[Crop]],Crops[Identifier],FALSE)</f>
        <v>35</v>
      </c>
      <c r="BQ22" t="str" cm="1">
        <f t="array" ref="BQ22">INDEX(Crops[],BedPlan[[#This Row],[Chart Index]],BQ$4,1)</f>
        <v>General</v>
      </c>
      <c r="BR22" t="str" cm="1">
        <f t="array" ref="BR22">INDEX(Crops[],BedPlan[[#This Row],[Chart Index]],BR$4,1)</f>
        <v>SpFaWiOw</v>
      </c>
      <c r="BS22" s="32">
        <f>BedPlan[[#This Row],[Expected Beginning of Harvest]]-DATE(2023,1,1)</f>
        <v>1007</v>
      </c>
      <c r="BT22">
        <f>BedPlan[[#This Row],[Expected End of Harvest]]-BedPlan[[#This Row],[Expected Beginning of Harvest]]</f>
        <v>14</v>
      </c>
      <c r="BU22" cm="1">
        <f t="array" ref="BU22">INDEX(Crops[],BedPlan[[#This Row],[Chart Index]],BU$4,1)</f>
        <v>0</v>
      </c>
      <c r="BV22" cm="1">
        <f t="array" ref="BV22">INDEX(Crops[],BedPlan[[#This Row],[Chart Index]],BV$4,1)</f>
        <v>0</v>
      </c>
      <c r="BW22" cm="1">
        <f t="array" ref="BW22">INDEX(Crops[],BedPlan[[#This Row],[Chart Index]],BW$4,1)</f>
        <v>0</v>
      </c>
      <c r="BX22" cm="1">
        <f t="array" ref="BX22">INDEX(Crops[],BedPlan[[#This Row],[Chart Index]],BX$4,1)</f>
        <v>128</v>
      </c>
      <c r="BY22" cm="1">
        <f t="array" ref="BY22">INDEX(Crops[],BedPlan[[#This Row],[Chart Index]],BY$4,1)</f>
        <v>28</v>
      </c>
      <c r="BZ22" s="49" cm="1">
        <f t="array" ref="BZ22">IFERROR(INDEX(Crops[],BedPlan[[#This Row],[Chart Index]],BZ$4,1)*BedPlan[[#This Row],[Full Bed Equivalent]],"")</f>
        <v>1.3541666666666665</v>
      </c>
      <c r="CA22" cm="1">
        <f t="array" ref="CA22">INDEX(Crops[],BedPlan[[#This Row],[Chart Index]],CA$4,1)</f>
        <v>0</v>
      </c>
      <c r="CB22" cm="1">
        <f t="array" ref="CB22">INDEX(Crops[],BedPlan[[#This Row],[Chart Index]],CB$4,1)</f>
        <v>0</v>
      </c>
      <c r="CC22" s="49" t="str" cm="1">
        <f t="array" ref="CC22">IFERROR(INDEX(Crops[],BedPlan[[#This Row],[Chart Index]],CC$4,1)*BedPlan[[#This Row],[Full Bed Equivalent]],"")</f>
        <v/>
      </c>
      <c r="CD22" cm="1">
        <f t="array" ref="CD22">INDEX(Crops[],BedPlan[[#This Row],[Chart Index]],CD$4,1)</f>
        <v>0</v>
      </c>
      <c r="CE22" cm="1">
        <f t="array" ref="CE22">IF(INDEX(Crops[],BedPlan[[#This Row],[Chart Index]],CE$4,1)="",0,INDEX(Crops[],BedPlan[[#This Row],[Chart Index]],CE$4,1))</f>
        <v>0</v>
      </c>
      <c r="CF22" s="49" t="str" cm="1">
        <f t="array" ref="CF22">IFERROR(INDEX(Crops[],BedPlan[[#This Row],[Chart Index]],CF$4,1)*BedPlan[[#This Row],[Full Bed Equivalent]],"")</f>
        <v/>
      </c>
      <c r="CG22" cm="1">
        <f t="array" ref="CG22">IF(INDEX(Crops[],BedPlan[[#This Row],[Chart Index]],CG$4,1)="",0,INDEX(Crops[],BedPlan[[#This Row],[Chart Index]],CG$4,1))</f>
        <v>1.3</v>
      </c>
      <c r="CH22" cm="1">
        <f t="array" ref="CH22">IF(INDEX(Crops[],BedPlan[[#This Row],[Chart Index]],CH$4,1)="",0,INDEX(Crops[],BedPlan[[#This Row],[Chart Index]],CH$4,1))</f>
        <v>0</v>
      </c>
      <c r="CI22" t="str" cm="1">
        <f t="array" ref="CI22">INDEX(Crops[],BedPlan[[#This Row],[Chart Index]],CI$4,1)</f>
        <v>Field</v>
      </c>
      <c r="CJ22" s="30" t="str">
        <f>_xlfn.TEXTJOIN(CHAR(10),FALSE,BedPlan[[#This Row],[Name]],BedPlan[[#This Row],[Variety]],BedPlan[[#This Row],[Company]])</f>
        <v xml:space="preserve">Bok Choy
</v>
      </c>
      <c r="CK22" s="32">
        <f>MAX( 0, MIN(BedPlan[[#This Row],[Expected End of Harvest]], EOMONTH(CK$4, 0)) - MAX(BedPlan[[#This Row],[Beginning of Harvest]], CK$4) + 1 )</f>
        <v>0</v>
      </c>
      <c r="CL22">
        <f>MAX( 0, MIN(BedPlan[[#This Row],[Expected End of Harvest]], EOMONTH(CL$4, 0)) - MAX(BedPlan[[#This Row],[Beginning of Harvest]], CL$4) + 1 )</f>
        <v>0</v>
      </c>
      <c r="CM22">
        <f>MAX( 0, MIN(BedPlan[[#This Row],[Expected End of Harvest]], EOMONTH(CM$4, 0)) - MAX(BedPlan[[#This Row],[Beginning of Harvest]], CM$4) + 1 )</f>
        <v>0</v>
      </c>
      <c r="CN22">
        <f>MAX( 0, MIN(BedPlan[[#This Row],[Expected End of Harvest]], EOMONTH(CN$4, 0)) - MAX(BedPlan[[#This Row],[Beginning of Harvest]], CN$4) + 1 )</f>
        <v>0</v>
      </c>
      <c r="CO22">
        <f>MAX( 0, MIN(BedPlan[[#This Row],[Expected End of Harvest]], EOMONTH(CO$4, 0)) - MAX(BedPlan[[#This Row],[Beginning of Harvest]], CO$4) + 1 )</f>
        <v>0</v>
      </c>
      <c r="CP22">
        <f>MAX( 0, MIN(BedPlan[[#This Row],[Expected End of Harvest]], EOMONTH(CP$4, 0)) - MAX(BedPlan[[#This Row],[Beginning of Harvest]], CP$4) + 1 )</f>
        <v>0</v>
      </c>
      <c r="CQ22">
        <f>MAX( 0, MIN(BedPlan[[#This Row],[Expected End of Harvest]], EOMONTH(CQ$4, 0)) - MAX(BedPlan[[#This Row],[Beginning of Harvest]], CQ$4) + 1 )</f>
        <v>0</v>
      </c>
      <c r="CR22">
        <f>MAX( 0, MIN(BedPlan[[#This Row],[Expected End of Harvest]], EOMONTH(CR$4, 0)) - MAX(BedPlan[[#This Row],[Beginning of Harvest]], CR$4) + 1 )</f>
        <v>0</v>
      </c>
      <c r="CS22">
        <f>MAX( 0, MIN(BedPlan[[#This Row],[Expected End of Harvest]], EOMONTH(CS$4, 0)) - MAX(BedPlan[[#This Row],[Beginning of Harvest]], CS$4) + 1 )</f>
        <v>0</v>
      </c>
      <c r="CT22">
        <f>MAX( 0, MIN(BedPlan[[#This Row],[Expected End of Harvest]], EOMONTH(CT$4, 0)) - MAX(BedPlan[[#This Row],[Beginning of Harvest]], CT$4) + 1 )</f>
        <v>15</v>
      </c>
      <c r="CU22">
        <f>MAX( 0, MIN(BedPlan[[#This Row],[Expected End of Harvest]], EOMONTH(CU$4, 0)) - MAX(BedPlan[[#This Row],[Beginning of Harvest]], CU$4) + 1 )</f>
        <v>0</v>
      </c>
      <c r="CV22">
        <f>MAX( 0, MIN(BedPlan[[#This Row],[Expected End of Harvest]], EOMONTH(CV$4, 0)) - MAX(BedPlan[[#This Row],[Beginning of Harvest]], CV$4) + 1 )</f>
        <v>0</v>
      </c>
      <c r="CW22">
        <f>MAX( 0, MIN(BedPlan[[#This Row],[Expected End of Harvest]], EOMONTH(CW$4, 0)) - MAX(BedPlan[[#This Row],[Beginning of Harvest]], CW$4) + 1 )</f>
        <v>0</v>
      </c>
      <c r="CX22">
        <f>MAX( 0, MIN(BedPlan[[#This Row],[Expected End of Harvest]], EOMONTH(CX$4, 0)) - MAX(BedPlan[[#This Row],[Beginning of Harvest]], CX$4) + 1 )</f>
        <v>0</v>
      </c>
      <c r="CY22">
        <f>MAX( 0, MIN(BedPlan[[#This Row],[Expected End of Harvest]], EOMONTH(CY$4, 0)) - MAX(BedPlan[[#This Row],[Beginning of Harvest]], CY$4) + 1 )</f>
        <v>0</v>
      </c>
      <c r="CZ22">
        <f>MAX( 0, MIN(BedPlan[[#This Row],[Expected End of Harvest]], EOMONTH(CZ$4, 0)) - MAX(BedPlan[[#This Row],[Beginning of Harvest]], CZ$4) + 1 )</f>
        <v>0</v>
      </c>
      <c r="DA22">
        <f>MAX( 0, MIN(BedPlan[[#This Row],[Expected End of Harvest]], EOMONTH(DA$4, 0)) - MAX(BedPlan[[#This Row],[Beginning of Harvest]], DA$4) + 1 )</f>
        <v>0</v>
      </c>
      <c r="DB22">
        <f>MAX( 0, MIN(BedPlan[[#This Row],[Expected End of Harvest]], EOMONTH(DB$4, 0)) - MAX(BedPlan[[#This Row],[Beginning of Harvest]], DB$4) + 1 )</f>
        <v>0</v>
      </c>
      <c r="DC22">
        <f>MAX( 0, MIN(BedPlan[[#This Row],[Expected End of Harvest]], EOMONTH(DC$4, 0)) - MAX(BedPlan[[#This Row],[Beginning of Harvest]], DC$4) + 1 )</f>
        <v>0</v>
      </c>
      <c r="DD22">
        <f>MAX( 0, MIN(BedPlan[[#This Row],[Expected End of Harvest]], EOMONTH(DD$4, 0)) - MAX(BedPlan[[#This Row],[Beginning of Harvest]], DD$4) + 1 )</f>
        <v>0</v>
      </c>
      <c r="DE22">
        <f>MAX( 0, MIN(BedPlan[[#This Row],[Expected End of Harvest]], EOMONTH(DE$4, 0)) - MAX(BedPlan[[#This Row],[Beginning of Harvest]], DE$4) + 1 )</f>
        <v>0</v>
      </c>
      <c r="DF22">
        <f>MAX( 0, MIN(BedPlan[[#This Row],[Expected End of Harvest]], EOMONTH(DF$4, 0)) - MAX(BedPlan[[#This Row],[Beginning of Harvest]], DF$4) + 1 )</f>
        <v>0</v>
      </c>
      <c r="DG22">
        <f>MAX( 0, MIN(BedPlan[[#This Row],[Expected End of Harvest]], EOMONTH(DG$4, 0)) - MAX(BedPlan[[#This Row],[Beginning of Harvest]], DG$4) + 1 )</f>
        <v>0</v>
      </c>
      <c r="DH22">
        <f>MAX( 0, MIN(BedPlan[[#This Row],[Expected End of Harvest]], EOMONTH(DH$4, 0)) - MAX(BedPlan[[#This Row],[Beginning of Harvest]], DH$4) + 1 )</f>
        <v>0</v>
      </c>
      <c r="DI22" s="257" cm="1">
        <f t="array" ref="DI22">BedPlan[[#This Row],[Harvest Days January 2025]]/SUM(BedPlan[[#This Row],[Harvest Days January 2025]:[Harvest Days December 2026]])*BedPlan[[#This Row],[Revenue]:[Revenue]]</f>
        <v>0</v>
      </c>
      <c r="DJ22" s="257" cm="1">
        <f t="array" ref="DJ22">BedPlan[[#This Row],[Harvest Days February 2025]]/SUM(BedPlan[[#This Row],[Harvest Days January 2025]:[Harvest Days December 2026]])*BedPlan[[#This Row],[Revenue]:[Revenue]]</f>
        <v>0</v>
      </c>
      <c r="DK22" s="257" cm="1">
        <f t="array" ref="DK22">BedPlan[[#This Row],[Harvest Days March 2025]]/SUM(BedPlan[[#This Row],[Harvest Days January 2025]:[Harvest Days December 2026]])*BedPlan[[#This Row],[Revenue]:[Revenue]]</f>
        <v>0</v>
      </c>
      <c r="DL22" s="257" cm="1">
        <f t="array" ref="DL22">BedPlan[[#This Row],[Harvest Days April 2025]]/SUM(BedPlan[[#This Row],[Harvest Days January 2025]:[Harvest Days December 2026]])*BedPlan[[#This Row],[Revenue]:[Revenue]]</f>
        <v>0</v>
      </c>
      <c r="DM22" s="257" cm="1">
        <f t="array" ref="DM22">BedPlan[[#This Row],[Harvest Days May 2025]]/SUM(BedPlan[[#This Row],[Harvest Days January 2025]:[Harvest Days December 2026]])*BedPlan[[#This Row],[Revenue]:[Revenue]]</f>
        <v>0</v>
      </c>
      <c r="DN22" s="257" cm="1">
        <f t="array" ref="DN22">BedPlan[[#This Row],[Harvest Days June 2025]]/SUM(BedPlan[[#This Row],[Harvest Days January 2025]:[Harvest Days December 2026]])*BedPlan[[#This Row],[Revenue]:[Revenue]]</f>
        <v>0</v>
      </c>
      <c r="DO22" s="257" cm="1">
        <f t="array" ref="DO22">BedPlan[[#This Row],[Harvest Days July 2025]]/SUM(BedPlan[[#This Row],[Harvest Days January 2025]:[Harvest Days December 2026]])*BedPlan[[#This Row],[Revenue]:[Revenue]]</f>
        <v>0</v>
      </c>
      <c r="DP22" s="257" cm="1">
        <f t="array" ref="DP22">BedPlan[[#This Row],[Harvest Days August 2025]]/SUM(BedPlan[[#This Row],[Harvest Days January 2025]:[Harvest Days December 2026]])*BedPlan[[#This Row],[Revenue]:[Revenue]]</f>
        <v>0</v>
      </c>
      <c r="DQ22" s="257" cm="1">
        <f t="array" ref="DQ22">BedPlan[[#This Row],[Harvest Days September 2025]]/SUM(BedPlan[[#This Row],[Harvest Days January 2025]:[Harvest Days December 2026]])*BedPlan[[#This Row],[Revenue]:[Revenue]]</f>
        <v>0</v>
      </c>
      <c r="DR22" s="257" cm="1">
        <f t="array" ref="DR22">BedPlan[[#This Row],[Harvest Days October 2025]]/SUM(BedPlan[[#This Row],[Harvest Days January 2025]:[Harvest Days December 2026]])*BedPlan[[#This Row],[Revenue]:[Revenue]]</f>
        <v>333.33333333333326</v>
      </c>
      <c r="DS22" s="257" cm="1">
        <f t="array" ref="DS22">BedPlan[[#This Row],[Harvest Days November 2025]]/SUM(BedPlan[[#This Row],[Harvest Days January 2025]:[Harvest Days December 2026]])*BedPlan[[#This Row],[Revenue]:[Revenue]]</f>
        <v>0</v>
      </c>
      <c r="DT22" s="257" cm="1">
        <f t="array" ref="DT22">BedPlan[[#This Row],[Harvest Days December 2025]]/SUM(BedPlan[[#This Row],[Harvest Days January 2025]:[Harvest Days December 2026]])*BedPlan[[#This Row],[Revenue]:[Revenue]]</f>
        <v>0</v>
      </c>
      <c r="DU22" s="257" cm="1">
        <f t="array" ref="DU22">BedPlan[[#This Row],[Harvest Days January 2026]]/SUM(BedPlan[[#This Row],[Harvest Days January 2025]:[Harvest Days December 2026]])*BedPlan[[#This Row],[Revenue]:[Revenue]]</f>
        <v>0</v>
      </c>
      <c r="DV22" s="257" cm="1">
        <f t="array" ref="DV22">BedPlan[[#This Row],[Harvest Days February 2026]]/SUM(BedPlan[[#This Row],[Harvest Days January 2025]:[Harvest Days December 2026]])*BedPlan[[#This Row],[Revenue]:[Revenue]]</f>
        <v>0</v>
      </c>
      <c r="DW22" s="257" cm="1">
        <f t="array" ref="DW22">BedPlan[[#This Row],[Harvest Days March 2026]]/SUM(BedPlan[[#This Row],[Harvest Days January 2025]:[Harvest Days December 2026]])*BedPlan[[#This Row],[Revenue]:[Revenue]]</f>
        <v>0</v>
      </c>
      <c r="DX22" s="257" cm="1">
        <f t="array" ref="DX22">BedPlan[[#This Row],[Harvest Days April 2026]]/SUM(BedPlan[[#This Row],[Harvest Days January 2025]:[Harvest Days December 2026]])*BedPlan[[#This Row],[Revenue]:[Revenue]]</f>
        <v>0</v>
      </c>
      <c r="DY22" cm="1">
        <f t="array" ref="DY22">BedPlan[[#This Row],[Harvest Days May 2026]]/SUM(BedPlan[[#This Row],[Harvest Days January 2025]:[Harvest Days December 2026]])*BedPlan[[#This Row],[Revenue]:[Revenue]]</f>
        <v>0</v>
      </c>
      <c r="DZ22" cm="1">
        <f t="array" ref="DZ22">BedPlan[[#This Row],[Harvest Days June 2026]]/SUM(BedPlan[[#This Row],[Harvest Days January 2025]:[Harvest Days December 2026]])*BedPlan[[#This Row],[Revenue]:[Revenue]]</f>
        <v>0</v>
      </c>
      <c r="EA22" cm="1">
        <f t="array" ref="EA22">BedPlan[[#This Row],[Harvest Days July 2026]]/SUM(BedPlan[[#This Row],[Harvest Days January 2025]:[Harvest Days December 2026]])*BedPlan[[#This Row],[Revenue]:[Revenue]]</f>
        <v>0</v>
      </c>
      <c r="EB22" cm="1">
        <f t="array" ref="EB22">BedPlan[[#This Row],[Harvest Days August 2026]]/SUM(BedPlan[[#This Row],[Harvest Days January 2025]:[Harvest Days December 2026]])*BedPlan[[#This Row],[Revenue]:[Revenue]]</f>
        <v>0</v>
      </c>
      <c r="EC22" cm="1">
        <f t="array" ref="EC22">BedPlan[[#This Row],[Harvest Days September 2026]]/SUM(BedPlan[[#This Row],[Harvest Days January 2025]:[Harvest Days December 2026]])*BedPlan[[#This Row],[Revenue]:[Revenue]]</f>
        <v>0</v>
      </c>
      <c r="ED22" cm="1">
        <f t="array" ref="ED22">BedPlan[[#This Row],[Harvest Days October 2026]]/SUM(BedPlan[[#This Row],[Harvest Days January 2025]:[Harvest Days December 2026]])*BedPlan[[#This Row],[Revenue]:[Revenue]]</f>
        <v>0</v>
      </c>
      <c r="EE22" cm="1">
        <f t="array" ref="EE22">BedPlan[[#This Row],[Harvest Days November 2026]]/SUM(BedPlan[[#This Row],[Harvest Days January 2025]:[Harvest Days December 2026]])*BedPlan[[#This Row],[Revenue]:[Revenue]]</f>
        <v>0</v>
      </c>
      <c r="EF22" cm="1">
        <f t="array" ref="EF22">BedPlan[[#This Row],[Harvest Days December 2026]]/SUM(BedPlan[[#This Row],[Harvest Days January 2025]:[Harvest Days December 2026]])*BedPlan[[#This Row],[Revenue]:[Revenue]]</f>
        <v>0</v>
      </c>
      <c r="EG22" t="b">
        <f>SUM(BedPlan[[#This Row],[Revenue January 2025]:[Revenue December 2026]])=BedPlan[[#This Row],[Revenue]]</f>
        <v>1</v>
      </c>
      <c r="EH22" s="30" cm="1">
        <f t="array" ref="EH22">INDEX(Crops[],BedPlan[[#This Row],[Chart Index]],EH$4,1)*BedPlan[[#This Row],['# Of Beds]]</f>
        <v>133.33333333333331</v>
      </c>
      <c r="EI22" s="30" t="str" cm="1">
        <f t="array" ref="EI22">INDEX(Crops[],BedPlan[[#This Row],[Chart Index]],EI$4,1)</f>
        <v>Head</v>
      </c>
      <c r="EJ22" s="30" t="str" cm="1">
        <f t="array" ref="EJ22">INDEX(Crops[],BedPlan[[#This Row],[Chart Index]],EJ$4,1)</f>
        <v>Mature Head</v>
      </c>
      <c r="EK22" s="30" t="str">
        <f>BedPlan[[#This Row],[Name]]&amp;" "&amp;BedPlan[[#This Row],[Product]]&amp; " - " &amp;BedPlan[[#This Row],[Unit]]</f>
        <v>Bok Choy Mature Head - Head</v>
      </c>
      <c r="EL22" s="33" cm="1">
        <f t="array" ref="EL22">BedPlan[[#This Row],[Harvest Days January 2025]]/SUM(BedPlan[[#This Row],[Harvest Days January 2025]:[Harvest Days December 2026]])*BedPlan[[#This Row],[Yield]:[Yield]]</f>
        <v>0</v>
      </c>
      <c r="EM22" s="33" cm="1">
        <f t="array" ref="EM22">BedPlan[[#This Row],[Harvest Days February 2025]]/SUM(BedPlan[[#This Row],[Harvest Days January 2025]:[Harvest Days December 2026]])*BedPlan[[#This Row],[Yield]:[Yield]]</f>
        <v>0</v>
      </c>
      <c r="EN22" s="33" cm="1">
        <f t="array" ref="EN22">BedPlan[[#This Row],[Harvest Days March 2025]]/SUM(BedPlan[[#This Row],[Harvest Days January 2025]:[Harvest Days December 2026]])*BedPlan[[#This Row],[Yield]:[Yield]]</f>
        <v>0</v>
      </c>
      <c r="EO22" s="33" cm="1">
        <f t="array" ref="EO22">BedPlan[[#This Row],[Harvest Days April 2025]]/SUM(BedPlan[[#This Row],[Harvest Days January 2025]:[Harvest Days December 2026]])*BedPlan[[#This Row],[Yield]:[Yield]]</f>
        <v>0</v>
      </c>
      <c r="EP22" s="33" cm="1">
        <f t="array" ref="EP22">BedPlan[[#This Row],[Harvest Days May 2025]]/SUM(BedPlan[[#This Row],[Harvest Days January 2025]:[Harvest Days December 2026]])*BedPlan[[#This Row],[Yield]:[Yield]]</f>
        <v>0</v>
      </c>
      <c r="EQ22" s="33" cm="1">
        <f t="array" ref="EQ22">BedPlan[[#This Row],[Harvest Days June 2025]]/SUM(BedPlan[[#This Row],[Harvest Days January 2025]:[Harvest Days December 2026]])*BedPlan[[#This Row],[Yield]:[Yield]]</f>
        <v>0</v>
      </c>
      <c r="ER22" s="33" cm="1">
        <f t="array" ref="ER22">BedPlan[[#This Row],[Harvest Days July 2025]]/SUM(BedPlan[[#This Row],[Harvest Days January 2025]:[Harvest Days December 2026]])*BedPlan[[#This Row],[Yield]:[Yield]]</f>
        <v>0</v>
      </c>
      <c r="ES22" s="33" cm="1">
        <f t="array" ref="ES22">BedPlan[[#This Row],[Harvest Days August 2025]]/SUM(BedPlan[[#This Row],[Harvest Days January 2025]:[Harvest Days December 2026]])*BedPlan[[#This Row],[Yield]:[Yield]]</f>
        <v>0</v>
      </c>
      <c r="ET22" s="33" cm="1">
        <f t="array" ref="ET22">BedPlan[[#This Row],[Harvest Days September 2025]]/SUM(BedPlan[[#This Row],[Harvest Days January 2025]:[Harvest Days December 2026]])*BedPlan[[#This Row],[Yield]:[Yield]]</f>
        <v>0</v>
      </c>
      <c r="EU22" s="33" cm="1">
        <f t="array" ref="EU22">BedPlan[[#This Row],[Harvest Days October 2025]]/SUM(BedPlan[[#This Row],[Harvest Days January 2025]:[Harvest Days December 2026]])*BedPlan[[#This Row],[Yield]:[Yield]]</f>
        <v>133.33333333333331</v>
      </c>
      <c r="EV22" s="33" cm="1">
        <f t="array" ref="EV22">BedPlan[[#This Row],[Harvest Days November 2025]]/SUM(BedPlan[[#This Row],[Harvest Days January 2025]:[Harvest Days December 2026]])*BedPlan[[#This Row],[Yield]:[Yield]]</f>
        <v>0</v>
      </c>
      <c r="EW22" s="33" cm="1">
        <f t="array" ref="EW22">BedPlan[[#This Row],[Harvest Days December 2025]]/SUM(BedPlan[[#This Row],[Harvest Days January 2025]:[Harvest Days December 2026]])*BedPlan[[#This Row],[Yield]:[Yield]]</f>
        <v>0</v>
      </c>
    </row>
    <row r="23" spans="1:153" ht="16.5" customHeight="1">
      <c r="A23" s="191" t="s">
        <v>2777</v>
      </c>
      <c r="B23" s="240" t="s">
        <v>2778</v>
      </c>
      <c r="C23" t="s">
        <v>1490</v>
      </c>
      <c r="D23" s="226" cm="1">
        <f t="array" ref="D23">INDEX(Crops[],BedPlan[[#This Row],[Chart Index]],D$4,1)*BedPlan[[#This Row],[Full Bed Equivalent]]</f>
        <v>50</v>
      </c>
      <c r="E23" s="226" cm="1">
        <f t="array" ref="E23">INDEX(Crops[],BedPlan[[#This Row],[Chart Index]],E$4,1)*BedPlan[[#This Row],[Full Bed Equivalent]]</f>
        <v>200</v>
      </c>
      <c r="F23" t="str">
        <f>UPPER(LEFT(BedPlan[[#This Row],[Crop]],3))</f>
        <v>BRO</v>
      </c>
      <c r="H23" s="143" t="str" cm="1">
        <f t="array" ref="H23">INDEX(Crops[],BedPlan[[#This Row],[Chart Index]],H$4,1)</f>
        <v>Broccoli</v>
      </c>
      <c r="I23" t="s">
        <v>2852</v>
      </c>
      <c r="K23" t="str" cm="1">
        <f t="array" ref="K23">IF(ISNUMBER(MATCH(BedPlan[[#This Row],[Variety]],SeedMixes[Name],)),_xlfn.TEXTJOIN(", ",TRUE,_xlfn._xlws.FILTER(SeedMixes[Variety &amp; Company],SeedMixes[Name]=BedPlan[[#This Row],[Variety]])),"")</f>
        <v>Montebello Osborne, Burgundy Johnny's</v>
      </c>
      <c r="L23" s="33" cm="1">
        <f t="array" ref="L23">INDEX(Crops[],BedPlan[[#This Row],[Chart Index]],L$4,1)*BedPlan[[#This Row],[Full Bed Equivalent]]</f>
        <v>260</v>
      </c>
      <c r="N23">
        <f>1</f>
        <v>1</v>
      </c>
      <c r="O23">
        <f>MAX(BedPlan[[#This Row],['# Of Beds]],0.5)</f>
        <v>1</v>
      </c>
      <c r="P23" s="31">
        <f>IF(ISNUMBER(BedPlan[[#This Row],[Planned Greenhouse Start Date]]),BedPlan[[#This Row],[Planned Greenhouse Start Date]],BedPlan[[#This Row],[Planned TP or DS Date]])</f>
        <v>45818</v>
      </c>
      <c r="Q23" s="259">
        <f>IF(BedPlan[[#This Row],[Days in Cells]]=0,"",IFERROR(_xlfn.XLOOKUP(BedPlan[[#This Row],[Follows Crop]],BedPlan[Identifier],BedPlan[Expected End of Harvest]) + 1+BedPlan[[#This Row],[Follow Offset]],BedPlan[[#This Row],[Fixed Field Start Date]])-BedPlan[[#This Row],[Days in Cells]])</f>
        <v>45818</v>
      </c>
      <c r="R23" s="259">
        <v>45829</v>
      </c>
      <c r="S23" s="259">
        <f>IF(ISNUMBER(BedPlan[[#This Row],[Actual Greenhouse Date]]),BedPlan[[#This Row],[Actual Greenhouse Date]],BedPlan[[#This Row],[Planned Greenhouse Start Date]])</f>
        <v>45829</v>
      </c>
      <c r="T23" s="259">
        <f>_xlfn.XLOOKUP(BedPlan[[#This Row],[Crop]],Crops[Identifier],Crops[Target Field Date])</f>
        <v>45846</v>
      </c>
      <c r="U23" s="260"/>
      <c r="V23" s="260"/>
      <c r="W2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45857</v>
      </c>
      <c r="X23" s="259"/>
      <c r="Y23" s="271">
        <f>BedPlan[[#This Row],[Actual TP or DS Date]]-BedPlan[[#This Row],[Planned TP or DS Date]]</f>
        <v>-45857</v>
      </c>
      <c r="Z23" s="259">
        <f>IF(ISNUMBER(BedPlan[[#This Row],[Actual TP or DS Date]]),BedPlan[[#This Row],[Actual TP or DS Date]],BedPlan[[#This Row],[Planned TP or DS Date]])</f>
        <v>45857</v>
      </c>
      <c r="AA23" s="259"/>
      <c r="AB23" s="259">
        <f>IF(ISNUMBER(BedPlan[[#This Row],[Greenhouse Start Date]]),BedPlan[[#This Row],[Greenhouse Start Date]]+BedPlan[[#This Row],[DTM]],BedPlan[[#This Row],[TP or DS Date]]+BedPlan[[#This Row],[DTM]])</f>
        <v>45902</v>
      </c>
      <c r="AC23" s="259"/>
      <c r="AD23" s="259">
        <f>IF(ISNUMBER(BedPlan[[#This Row],[Actual Beginning of Harvest]]),BedPlan[[#This Row],[Actual Beginning of Harvest]],BedPlan[[#This Row],[Expected Beginning of Harvest]])</f>
        <v>45902</v>
      </c>
      <c r="AE23" s="259">
        <f>BedPlan[[#This Row],[Expected Beginning of Harvest]]+BedPlan[[#This Row],[Harvest Window]]+BedPlan[[#This Row],[Additional Days of Harvest]]</f>
        <v>45923</v>
      </c>
      <c r="AF23" s="259"/>
      <c r="AG23" s="259"/>
      <c r="AH23" s="31" t="b">
        <f>IF(AND( BedPlan[[#This Row],[Expected End of Harvest]] &gt;= DATE(2025, 8, 1), BedPlan[[#This Row],[Beginning of Harvest]] &lt;= DATE(2025, 8, 31) ), TRUE, FALSE)</f>
        <v>0</v>
      </c>
      <c r="AI23" s="31"/>
      <c r="AJ23" s="31">
        <f>IF(ISNUMBER(BedPlan[[#This Row],[Actual End of Harvest]]),BedPlan[[#This Row],[Actual End of Harvest]],BedPlan[[#This Row],[Expected End of Harvest]])</f>
        <v>45923</v>
      </c>
      <c r="AK23" t="b">
        <f>OR(ISNUMBER(BedPlan[[#This Row],[Actual Greenhouse Date]]),ISNUMBER(BedPlan[[#This Row],[Actual TP or DS Date]]))</f>
        <v>1</v>
      </c>
      <c r="AL23" s="52" t="b">
        <f>IF(ISNUMBER(BedPlan[[#This Row],[Planned Greenhouse Start Date]]),OR(ISNUMBER(BedPlan[[#This Row],[Actual TP or DS Date]]),BedPlan[[#This Row],[Failed]]),"-")</f>
        <v>0</v>
      </c>
      <c r="AM23" t="b">
        <f>OR(ISNUMBER(BedPlan[[#This Row],[Actual End of Harvest]]),BedPlan[[#This Row],[Failed]])</f>
        <v>0</v>
      </c>
      <c r="AN23" t="b">
        <f>OR(BedPlan[[#This Row],[Harvest Done]],BedPlan[[#This Row],[Failed]],BedPlan[[#This Row],[Name]]="Tarp")</f>
        <v>0</v>
      </c>
      <c r="AS23" s="26" t="str">
        <f>IF(BedPlan[[#This Row],[Broadfork]],BedPlan[[#This Row],[Actual TP or DS Date]],"")</f>
        <v/>
      </c>
      <c r="AT23" s="26" t="str">
        <f>IF(BedPlan[[#This Row],[Tilther]],BedPlan[[#This Row],[Actual TP or DS Date]],"")</f>
        <v/>
      </c>
      <c r="AU23" s="26" t="str">
        <f>IF(NOT(ISBLANK(BedPlan[[#This Row],[Amend]])),BedPlan[[#This Row],[Actual TP or DS Date]],"")</f>
        <v/>
      </c>
      <c r="AV23" s="26" t="str">
        <f>IF(BedPlan[[#This Row],[Row Cover]],BedPlan[[#This Row],[Actual TP or DS Date]],"")</f>
        <v/>
      </c>
      <c r="AX23" s="26"/>
      <c r="AZ23" s="26"/>
      <c r="BB23" s="26"/>
      <c r="BC23" s="231" cm="1">
        <f t="array" ref="BC23">INDEX(Crops[],BedPlan[[#This Row],[Chart Index]],BC$4,1)*BedPlan[[#This Row],[Full Bed Equivalent]]</f>
        <v>800</v>
      </c>
      <c r="BD23" s="231" cm="1">
        <f t="array" ref="BD23">INDEX(Crops[],BedPlan[[#This Row],[Chart Index]],BD$4,1)*BedPlan[[#This Row],[Full Bed Equivalent]]</f>
        <v>12.121212121212121</v>
      </c>
      <c r="BE23" cm="1">
        <f t="array" ref="BE23">INDEX(Crops[],BedPlan[[#This Row],[Chart Index]],BE$4,1)+BedPlan[[#This Row],[Additional Days in Cells]]+BedPlan[[#This Row],[Additional Days In Field]]</f>
        <v>73</v>
      </c>
      <c r="BG23" cm="1">
        <f t="array" ref="BG23">INDEX(Crops[],BedPlan[[#This Row],[Chart Index]],BG$4,1)</f>
        <v>21</v>
      </c>
      <c r="BH23" t="str">
        <f>IF(ISNUMBER(BedPlan[[#This Row],[Planned Greenhouse Start Date]]),"TP","DS")</f>
        <v>TP</v>
      </c>
      <c r="BI23">
        <f>BedPlan[[#This Row],['# Of Beds]]</f>
        <v>1</v>
      </c>
      <c r="BJ23" cm="1">
        <f t="array" ref="BJ23">INDEX(Crops[],BedPlan[[#This Row],[Chart Index]],BJ$4,1)</f>
        <v>28</v>
      </c>
      <c r="BK23" cm="1">
        <f t="array" ref="BK23">INDEX(Crops[],BedPlan[[#This Row],[Chart Index]],BK$4,1)</f>
        <v>2</v>
      </c>
      <c r="BL23" cm="1">
        <f t="array" ref="BL23">INDEX(Crops[],BedPlan[[#This Row],[Chart Index]],BL$4,1)</f>
        <v>12</v>
      </c>
      <c r="BM23" cm="1">
        <f t="array" ref="BM23">INDEX(Crops[],BedPlan[[#This Row],[Chart Index]],BM$4,1)</f>
        <v>1</v>
      </c>
      <c r="BN23" s="32" cm="1">
        <f t="array" ref="BN23">INDEX(Crops[],BedPlan[[#This Row],[Chart Index]],BN$4,1)*BedPlan[[#This Row],[Full Bed Equivalent]]</f>
        <v>100</v>
      </c>
      <c r="BO23" t="str" cm="1">
        <f t="array" ref="BO23">IF(INDEX(Crops[],BedPlan[[#This Row],[Chart Index]],BO$4,1)=0,"",INDEX(Crops[],BedPlan[[#This Row],[Chart Index]],BO$4,1))</f>
        <v/>
      </c>
      <c r="BP23">
        <f>MATCH(BedPlan[[#This Row],[Crop]],Crops[Identifier],FALSE)</f>
        <v>41</v>
      </c>
      <c r="BQ23" t="str" cm="1">
        <f t="array" ref="BQ23">INDEX(Crops[],BedPlan[[#This Row],[Chart Index]],BQ$4,1)</f>
        <v>Sprouting</v>
      </c>
      <c r="BR23" t="str" cm="1">
        <f t="array" ref="BR23">INDEX(Crops[],BedPlan[[#This Row],[Chart Index]],BR$4,1)</f>
        <v>SuFa</v>
      </c>
      <c r="BS23" s="32">
        <f>BedPlan[[#This Row],[Expected Beginning of Harvest]]-DATE(2023,1,1)</f>
        <v>975</v>
      </c>
      <c r="BT23">
        <f>BedPlan[[#This Row],[Expected End of Harvest]]-BedPlan[[#This Row],[Expected Beginning of Harvest]]</f>
        <v>21</v>
      </c>
      <c r="BU23" t="str" cm="1">
        <f t="array" ref="BU23">INDEX(Crops[],BedPlan[[#This Row],[Chart Index]],BU$4,1)</f>
        <v>Brassica</v>
      </c>
      <c r="BV23" cm="1">
        <f t="array" ref="BV23">INDEX(Crops[],BedPlan[[#This Row],[Chart Index]],BV$4,1)</f>
        <v>2</v>
      </c>
      <c r="BW23" t="str" cm="1">
        <f t="array" ref="BW23">INDEX(Crops[],BedPlan[[#This Row],[Chart Index]],BW$4,1)</f>
        <v>AMAP</v>
      </c>
      <c r="BX23" cm="1">
        <f t="array" ref="BX23">INDEX(Crops[],BedPlan[[#This Row],[Chart Index]],BX$4,1)</f>
        <v>72</v>
      </c>
      <c r="BY23" cm="1">
        <f t="array" ref="BY23">INDEX(Crops[],BedPlan[[#This Row],[Chart Index]],BY$4,1)</f>
        <v>28</v>
      </c>
      <c r="BZ23" s="49" cm="1">
        <f t="array" ref="BZ23">IFERROR(INDEX(Crops[],BedPlan[[#This Row],[Chart Index]],BZ$4,1)*BedPlan[[#This Row],[Full Bed Equivalent]],"")</f>
        <v>1.8055555555555556</v>
      </c>
      <c r="CA23" cm="1">
        <f t="array" ref="CA23">INDEX(Crops[],BedPlan[[#This Row],[Chart Index]],CA$4,1)</f>
        <v>0</v>
      </c>
      <c r="CB23" cm="1">
        <f t="array" ref="CB23">INDEX(Crops[],BedPlan[[#This Row],[Chart Index]],CB$4,1)</f>
        <v>0</v>
      </c>
      <c r="CC23" s="49" t="str" cm="1">
        <f t="array" ref="CC23">IFERROR(INDEX(Crops[],BedPlan[[#This Row],[Chart Index]],CC$4,1)*BedPlan[[#This Row],[Full Bed Equivalent]],"")</f>
        <v/>
      </c>
      <c r="CD23" cm="1">
        <f t="array" ref="CD23">INDEX(Crops[],BedPlan[[#This Row],[Chart Index]],CD$4,1)</f>
        <v>0</v>
      </c>
      <c r="CE23" cm="1">
        <f t="array" ref="CE23">IF(INDEX(Crops[],BedPlan[[#This Row],[Chart Index]],CE$4,1)="",0,INDEX(Crops[],BedPlan[[#This Row],[Chart Index]],CE$4,1))</f>
        <v>0</v>
      </c>
      <c r="CF23" s="49" t="str" cm="1">
        <f t="array" ref="CF23">IFERROR(INDEX(Crops[],BedPlan[[#This Row],[Chart Index]],CF$4,1)*BedPlan[[#This Row],[Full Bed Equivalent]],"")</f>
        <v/>
      </c>
      <c r="CG23" cm="1">
        <f t="array" ref="CG23">IF(INDEX(Crops[],BedPlan[[#This Row],[Chart Index]],CG$4,1)="",0,INDEX(Crops[],BedPlan[[#This Row],[Chart Index]],CG$4,1))</f>
        <v>1.3</v>
      </c>
      <c r="CH23" cm="1">
        <f t="array" ref="CH23">IF(INDEX(Crops[],BedPlan[[#This Row],[Chart Index]],CH$4,1)="",0,INDEX(Crops[],BedPlan[[#This Row],[Chart Index]],CH$4,1))</f>
        <v>0</v>
      </c>
      <c r="CI23" t="str" cm="1">
        <f t="array" ref="CI23">INDEX(Crops[],BedPlan[[#This Row],[Chart Index]],CI$4,1)</f>
        <v>Field</v>
      </c>
      <c r="CJ23" s="30" t="str">
        <f>_xlfn.TEXTJOIN(CHAR(10),FALSE,BedPlan[[#This Row],[Name]],BedPlan[[#This Row],[Variety]],BedPlan[[#This Row],[Company]])</f>
        <v xml:space="preserve">Broccoli
Sprouting Broccoli Mix
</v>
      </c>
      <c r="CK23" s="32">
        <f>MAX( 0, MIN(BedPlan[[#This Row],[Expected End of Harvest]], EOMONTH(CK$4, 0)) - MAX(BedPlan[[#This Row],[Beginning of Harvest]], CK$4) + 1 )</f>
        <v>0</v>
      </c>
      <c r="CL23">
        <f>MAX( 0, MIN(BedPlan[[#This Row],[Expected End of Harvest]], EOMONTH(CL$4, 0)) - MAX(BedPlan[[#This Row],[Beginning of Harvest]], CL$4) + 1 )</f>
        <v>0</v>
      </c>
      <c r="CM23">
        <f>MAX( 0, MIN(BedPlan[[#This Row],[Expected End of Harvest]], EOMONTH(CM$4, 0)) - MAX(BedPlan[[#This Row],[Beginning of Harvest]], CM$4) + 1 )</f>
        <v>0</v>
      </c>
      <c r="CN23">
        <f>MAX( 0, MIN(BedPlan[[#This Row],[Expected End of Harvest]], EOMONTH(CN$4, 0)) - MAX(BedPlan[[#This Row],[Beginning of Harvest]], CN$4) + 1 )</f>
        <v>0</v>
      </c>
      <c r="CO23">
        <f>MAX( 0, MIN(BedPlan[[#This Row],[Expected End of Harvest]], EOMONTH(CO$4, 0)) - MAX(BedPlan[[#This Row],[Beginning of Harvest]], CO$4) + 1 )</f>
        <v>0</v>
      </c>
      <c r="CP23">
        <f>MAX( 0, MIN(BedPlan[[#This Row],[Expected End of Harvest]], EOMONTH(CP$4, 0)) - MAX(BedPlan[[#This Row],[Beginning of Harvest]], CP$4) + 1 )</f>
        <v>0</v>
      </c>
      <c r="CQ23">
        <f>MAX( 0, MIN(BedPlan[[#This Row],[Expected End of Harvest]], EOMONTH(CQ$4, 0)) - MAX(BedPlan[[#This Row],[Beginning of Harvest]], CQ$4) + 1 )</f>
        <v>0</v>
      </c>
      <c r="CR23">
        <f>MAX( 0, MIN(BedPlan[[#This Row],[Expected End of Harvest]], EOMONTH(CR$4, 0)) - MAX(BedPlan[[#This Row],[Beginning of Harvest]], CR$4) + 1 )</f>
        <v>0</v>
      </c>
      <c r="CS23">
        <f>MAX( 0, MIN(BedPlan[[#This Row],[Expected End of Harvest]], EOMONTH(CS$4, 0)) - MAX(BedPlan[[#This Row],[Beginning of Harvest]], CS$4) + 1 )</f>
        <v>22</v>
      </c>
      <c r="CT23">
        <f>MAX( 0, MIN(BedPlan[[#This Row],[Expected End of Harvest]], EOMONTH(CT$4, 0)) - MAX(BedPlan[[#This Row],[Beginning of Harvest]], CT$4) + 1 )</f>
        <v>0</v>
      </c>
      <c r="CU23">
        <f>MAX( 0, MIN(BedPlan[[#This Row],[Expected End of Harvest]], EOMONTH(CU$4, 0)) - MAX(BedPlan[[#This Row],[Beginning of Harvest]], CU$4) + 1 )</f>
        <v>0</v>
      </c>
      <c r="CV23">
        <f>MAX( 0, MIN(BedPlan[[#This Row],[Expected End of Harvest]], EOMONTH(CV$4, 0)) - MAX(BedPlan[[#This Row],[Beginning of Harvest]], CV$4) + 1 )</f>
        <v>0</v>
      </c>
      <c r="CW23">
        <f>MAX( 0, MIN(BedPlan[[#This Row],[Expected End of Harvest]], EOMONTH(CW$4, 0)) - MAX(BedPlan[[#This Row],[Beginning of Harvest]], CW$4) + 1 )</f>
        <v>0</v>
      </c>
      <c r="CX23">
        <f>MAX( 0, MIN(BedPlan[[#This Row],[Expected End of Harvest]], EOMONTH(CX$4, 0)) - MAX(BedPlan[[#This Row],[Beginning of Harvest]], CX$4) + 1 )</f>
        <v>0</v>
      </c>
      <c r="CY23">
        <f>MAX( 0, MIN(BedPlan[[#This Row],[Expected End of Harvest]], EOMONTH(CY$4, 0)) - MAX(BedPlan[[#This Row],[Beginning of Harvest]], CY$4) + 1 )</f>
        <v>0</v>
      </c>
      <c r="CZ23">
        <f>MAX( 0, MIN(BedPlan[[#This Row],[Expected End of Harvest]], EOMONTH(CZ$4, 0)) - MAX(BedPlan[[#This Row],[Beginning of Harvest]], CZ$4) + 1 )</f>
        <v>0</v>
      </c>
      <c r="DA23">
        <f>MAX( 0, MIN(BedPlan[[#This Row],[Expected End of Harvest]], EOMONTH(DA$4, 0)) - MAX(BedPlan[[#This Row],[Beginning of Harvest]], DA$4) + 1 )</f>
        <v>0</v>
      </c>
      <c r="DB23">
        <f>MAX( 0, MIN(BedPlan[[#This Row],[Expected End of Harvest]], EOMONTH(DB$4, 0)) - MAX(BedPlan[[#This Row],[Beginning of Harvest]], DB$4) + 1 )</f>
        <v>0</v>
      </c>
      <c r="DC23">
        <f>MAX( 0, MIN(BedPlan[[#This Row],[Expected End of Harvest]], EOMONTH(DC$4, 0)) - MAX(BedPlan[[#This Row],[Beginning of Harvest]], DC$4) + 1 )</f>
        <v>0</v>
      </c>
      <c r="DD23">
        <f>MAX( 0, MIN(BedPlan[[#This Row],[Expected End of Harvest]], EOMONTH(DD$4, 0)) - MAX(BedPlan[[#This Row],[Beginning of Harvest]], DD$4) + 1 )</f>
        <v>0</v>
      </c>
      <c r="DE23">
        <f>MAX( 0, MIN(BedPlan[[#This Row],[Expected End of Harvest]], EOMONTH(DE$4, 0)) - MAX(BedPlan[[#This Row],[Beginning of Harvest]], DE$4) + 1 )</f>
        <v>0</v>
      </c>
      <c r="DF23">
        <f>MAX( 0, MIN(BedPlan[[#This Row],[Expected End of Harvest]], EOMONTH(DF$4, 0)) - MAX(BedPlan[[#This Row],[Beginning of Harvest]], DF$4) + 1 )</f>
        <v>0</v>
      </c>
      <c r="DG23">
        <f>MAX( 0, MIN(BedPlan[[#This Row],[Expected End of Harvest]], EOMONTH(DG$4, 0)) - MAX(BedPlan[[#This Row],[Beginning of Harvest]], DG$4) + 1 )</f>
        <v>0</v>
      </c>
      <c r="DH23">
        <f>MAX( 0, MIN(BedPlan[[#This Row],[Expected End of Harvest]], EOMONTH(DH$4, 0)) - MAX(BedPlan[[#This Row],[Beginning of Harvest]], DH$4) + 1 )</f>
        <v>0</v>
      </c>
      <c r="DI23" s="257" cm="1">
        <f t="array" ref="DI23">BedPlan[[#This Row],[Harvest Days January 2025]]/SUM(BedPlan[[#This Row],[Harvest Days January 2025]:[Harvest Days December 2026]])*BedPlan[[#This Row],[Revenue]:[Revenue]]</f>
        <v>0</v>
      </c>
      <c r="DJ23" s="257" cm="1">
        <f t="array" ref="DJ23">BedPlan[[#This Row],[Harvest Days February 2025]]/SUM(BedPlan[[#This Row],[Harvest Days January 2025]:[Harvest Days December 2026]])*BedPlan[[#This Row],[Revenue]:[Revenue]]</f>
        <v>0</v>
      </c>
      <c r="DK23" s="257" cm="1">
        <f t="array" ref="DK23">BedPlan[[#This Row],[Harvest Days March 2025]]/SUM(BedPlan[[#This Row],[Harvest Days January 2025]:[Harvest Days December 2026]])*BedPlan[[#This Row],[Revenue]:[Revenue]]</f>
        <v>0</v>
      </c>
      <c r="DL23" s="257" cm="1">
        <f t="array" ref="DL23">BedPlan[[#This Row],[Harvest Days April 2025]]/SUM(BedPlan[[#This Row],[Harvest Days January 2025]:[Harvest Days December 2026]])*BedPlan[[#This Row],[Revenue]:[Revenue]]</f>
        <v>0</v>
      </c>
      <c r="DM23" s="257" cm="1">
        <f t="array" ref="DM23">BedPlan[[#This Row],[Harvest Days May 2025]]/SUM(BedPlan[[#This Row],[Harvest Days January 2025]:[Harvest Days December 2026]])*BedPlan[[#This Row],[Revenue]:[Revenue]]</f>
        <v>0</v>
      </c>
      <c r="DN23" s="257" cm="1">
        <f t="array" ref="DN23">BedPlan[[#This Row],[Harvest Days June 2025]]/SUM(BedPlan[[#This Row],[Harvest Days January 2025]:[Harvest Days December 2026]])*BedPlan[[#This Row],[Revenue]:[Revenue]]</f>
        <v>0</v>
      </c>
      <c r="DO23" s="257" cm="1">
        <f t="array" ref="DO23">BedPlan[[#This Row],[Harvest Days July 2025]]/SUM(BedPlan[[#This Row],[Harvest Days January 2025]:[Harvest Days December 2026]])*BedPlan[[#This Row],[Revenue]:[Revenue]]</f>
        <v>0</v>
      </c>
      <c r="DP23" s="257" cm="1">
        <f t="array" ref="DP23">BedPlan[[#This Row],[Harvest Days August 2025]]/SUM(BedPlan[[#This Row],[Harvest Days January 2025]:[Harvest Days December 2026]])*BedPlan[[#This Row],[Revenue]:[Revenue]]</f>
        <v>0</v>
      </c>
      <c r="DQ23" s="257" cm="1">
        <f t="array" ref="DQ23">BedPlan[[#This Row],[Harvest Days September 2025]]/SUM(BedPlan[[#This Row],[Harvest Days January 2025]:[Harvest Days December 2026]])*BedPlan[[#This Row],[Revenue]:[Revenue]]</f>
        <v>800</v>
      </c>
      <c r="DR23" s="257" cm="1">
        <f t="array" ref="DR23">BedPlan[[#This Row],[Harvest Days October 2025]]/SUM(BedPlan[[#This Row],[Harvest Days January 2025]:[Harvest Days December 2026]])*BedPlan[[#This Row],[Revenue]:[Revenue]]</f>
        <v>0</v>
      </c>
      <c r="DS23" s="257" cm="1">
        <f t="array" ref="DS23">BedPlan[[#This Row],[Harvest Days November 2025]]/SUM(BedPlan[[#This Row],[Harvest Days January 2025]:[Harvest Days December 2026]])*BedPlan[[#This Row],[Revenue]:[Revenue]]</f>
        <v>0</v>
      </c>
      <c r="DT23" s="257" cm="1">
        <f t="array" ref="DT23">BedPlan[[#This Row],[Harvest Days December 2025]]/SUM(BedPlan[[#This Row],[Harvest Days January 2025]:[Harvest Days December 2026]])*BedPlan[[#This Row],[Revenue]:[Revenue]]</f>
        <v>0</v>
      </c>
      <c r="DU23" s="257" cm="1">
        <f t="array" ref="DU23">BedPlan[[#This Row],[Harvest Days January 2026]]/SUM(BedPlan[[#This Row],[Harvest Days January 2025]:[Harvest Days December 2026]])*BedPlan[[#This Row],[Revenue]:[Revenue]]</f>
        <v>0</v>
      </c>
      <c r="DV23" s="257" cm="1">
        <f t="array" ref="DV23">BedPlan[[#This Row],[Harvest Days February 2026]]/SUM(BedPlan[[#This Row],[Harvest Days January 2025]:[Harvest Days December 2026]])*BedPlan[[#This Row],[Revenue]:[Revenue]]</f>
        <v>0</v>
      </c>
      <c r="DW23" s="257" cm="1">
        <f t="array" ref="DW23">BedPlan[[#This Row],[Harvest Days March 2026]]/SUM(BedPlan[[#This Row],[Harvest Days January 2025]:[Harvest Days December 2026]])*BedPlan[[#This Row],[Revenue]:[Revenue]]</f>
        <v>0</v>
      </c>
      <c r="DX23" s="257" cm="1">
        <f t="array" ref="DX23">BedPlan[[#This Row],[Harvest Days April 2026]]/SUM(BedPlan[[#This Row],[Harvest Days January 2025]:[Harvest Days December 2026]])*BedPlan[[#This Row],[Revenue]:[Revenue]]</f>
        <v>0</v>
      </c>
      <c r="DY23" s="257" cm="1">
        <f t="array" ref="DY23">BedPlan[[#This Row],[Harvest Days May 2026]]/SUM(BedPlan[[#This Row],[Harvest Days January 2025]:[Harvest Days December 2026]])*BedPlan[[#This Row],[Revenue]:[Revenue]]</f>
        <v>0</v>
      </c>
      <c r="DZ23" s="257" cm="1">
        <f t="array" ref="DZ23">BedPlan[[#This Row],[Harvest Days June 2026]]/SUM(BedPlan[[#This Row],[Harvest Days January 2025]:[Harvest Days December 2026]])*BedPlan[[#This Row],[Revenue]:[Revenue]]</f>
        <v>0</v>
      </c>
      <c r="EA23" s="257" cm="1">
        <f t="array" ref="EA23">BedPlan[[#This Row],[Harvest Days July 2026]]/SUM(BedPlan[[#This Row],[Harvest Days January 2025]:[Harvest Days December 2026]])*BedPlan[[#This Row],[Revenue]:[Revenue]]</f>
        <v>0</v>
      </c>
      <c r="EB23" s="257" cm="1">
        <f t="array" ref="EB23">BedPlan[[#This Row],[Harvest Days August 2026]]/SUM(BedPlan[[#This Row],[Harvest Days January 2025]:[Harvest Days December 2026]])*BedPlan[[#This Row],[Revenue]:[Revenue]]</f>
        <v>0</v>
      </c>
      <c r="EC23" s="257" cm="1">
        <f t="array" ref="EC23">BedPlan[[#This Row],[Harvest Days September 2026]]/SUM(BedPlan[[#This Row],[Harvest Days January 2025]:[Harvest Days December 2026]])*BedPlan[[#This Row],[Revenue]:[Revenue]]</f>
        <v>0</v>
      </c>
      <c r="ED23" s="257" cm="1">
        <f t="array" ref="ED23">BedPlan[[#This Row],[Harvest Days October 2026]]/SUM(BedPlan[[#This Row],[Harvest Days January 2025]:[Harvest Days December 2026]])*BedPlan[[#This Row],[Revenue]:[Revenue]]</f>
        <v>0</v>
      </c>
      <c r="EE23" s="257" cm="1">
        <f t="array" ref="EE23">BedPlan[[#This Row],[Harvest Days November 2026]]/SUM(BedPlan[[#This Row],[Harvest Days January 2025]:[Harvest Days December 2026]])*BedPlan[[#This Row],[Revenue]:[Revenue]]</f>
        <v>0</v>
      </c>
      <c r="EF23" s="257" cm="1">
        <f t="array" ref="EF23">BedPlan[[#This Row],[Harvest Days December 2026]]/SUM(BedPlan[[#This Row],[Harvest Days January 2025]:[Harvest Days December 2026]])*BedPlan[[#This Row],[Revenue]:[Revenue]]</f>
        <v>0</v>
      </c>
      <c r="EG23" t="b">
        <f>SUM(BedPlan[[#This Row],[Revenue January 2025]:[Revenue December 2026]])=BedPlan[[#This Row],[Revenue]]</f>
        <v>1</v>
      </c>
      <c r="EH23" s="30" cm="1">
        <f t="array" ref="EH23">INDEX(Crops[],BedPlan[[#This Row],[Chart Index]],EH$4,1)*BedPlan[[#This Row],['# Of Beds]]</f>
        <v>200</v>
      </c>
      <c r="EI23" s="30" t="str" cm="1">
        <f t="array" ref="EI23">INDEX(Crops[],BedPlan[[#This Row],[Chart Index]],EI$4,1)</f>
        <v>Bunch</v>
      </c>
      <c r="EJ23" s="30" t="str" cm="1">
        <f t="array" ref="EJ23">INDEX(Crops[],BedPlan[[#This Row],[Chart Index]],EJ$4,1)</f>
        <v>Loose Florets</v>
      </c>
      <c r="EK23" s="30" t="str">
        <f>BedPlan[[#This Row],[Name]]&amp;" "&amp;BedPlan[[#This Row],[Product]]&amp; " - " &amp;BedPlan[[#This Row],[Unit]]</f>
        <v>Broccoli Loose Florets - Bunch</v>
      </c>
      <c r="EL23" s="33" cm="1">
        <f t="array" ref="EL23">BedPlan[[#This Row],[Harvest Days January 2025]]/SUM(BedPlan[[#This Row],[Harvest Days January 2025]:[Harvest Days December 2026]])*BedPlan[[#This Row],[Yield]:[Yield]]</f>
        <v>0</v>
      </c>
      <c r="EM23" s="33" cm="1">
        <f t="array" ref="EM23">BedPlan[[#This Row],[Harvest Days February 2025]]/SUM(BedPlan[[#This Row],[Harvest Days January 2025]:[Harvest Days December 2026]])*BedPlan[[#This Row],[Yield]:[Yield]]</f>
        <v>0</v>
      </c>
      <c r="EN23" s="33" cm="1">
        <f t="array" ref="EN23">BedPlan[[#This Row],[Harvest Days March 2025]]/SUM(BedPlan[[#This Row],[Harvest Days January 2025]:[Harvest Days December 2026]])*BedPlan[[#This Row],[Yield]:[Yield]]</f>
        <v>0</v>
      </c>
      <c r="EO23" s="33" cm="1">
        <f t="array" ref="EO23">BedPlan[[#This Row],[Harvest Days April 2025]]/SUM(BedPlan[[#This Row],[Harvest Days January 2025]:[Harvest Days December 2026]])*BedPlan[[#This Row],[Yield]:[Yield]]</f>
        <v>0</v>
      </c>
      <c r="EP23" s="33" cm="1">
        <f t="array" ref="EP23">BedPlan[[#This Row],[Harvest Days May 2025]]/SUM(BedPlan[[#This Row],[Harvest Days January 2025]:[Harvest Days December 2026]])*BedPlan[[#This Row],[Yield]:[Yield]]</f>
        <v>0</v>
      </c>
      <c r="EQ23" s="33" cm="1">
        <f t="array" ref="EQ23">BedPlan[[#This Row],[Harvest Days June 2025]]/SUM(BedPlan[[#This Row],[Harvest Days January 2025]:[Harvest Days December 2026]])*BedPlan[[#This Row],[Yield]:[Yield]]</f>
        <v>0</v>
      </c>
      <c r="ER23" s="33" cm="1">
        <f t="array" ref="ER23">BedPlan[[#This Row],[Harvest Days July 2025]]/SUM(BedPlan[[#This Row],[Harvest Days January 2025]:[Harvest Days December 2026]])*BedPlan[[#This Row],[Yield]:[Yield]]</f>
        <v>0</v>
      </c>
      <c r="ES23" s="33" cm="1">
        <f t="array" ref="ES23">BedPlan[[#This Row],[Harvest Days August 2025]]/SUM(BedPlan[[#This Row],[Harvest Days January 2025]:[Harvest Days December 2026]])*BedPlan[[#This Row],[Yield]:[Yield]]</f>
        <v>0</v>
      </c>
      <c r="ET23" s="33" cm="1">
        <f t="array" ref="ET23">BedPlan[[#This Row],[Harvest Days September 2025]]/SUM(BedPlan[[#This Row],[Harvest Days January 2025]:[Harvest Days December 2026]])*BedPlan[[#This Row],[Yield]:[Yield]]</f>
        <v>200</v>
      </c>
      <c r="EU23" s="33" cm="1">
        <f t="array" ref="EU23">BedPlan[[#This Row],[Harvest Days October 2025]]/SUM(BedPlan[[#This Row],[Harvest Days January 2025]:[Harvest Days December 2026]])*BedPlan[[#This Row],[Yield]:[Yield]]</f>
        <v>0</v>
      </c>
      <c r="EV23" s="33" cm="1">
        <f t="array" ref="EV23">BedPlan[[#This Row],[Harvest Days November 2025]]/SUM(BedPlan[[#This Row],[Harvest Days January 2025]:[Harvest Days December 2026]])*BedPlan[[#This Row],[Yield]:[Yield]]</f>
        <v>0</v>
      </c>
      <c r="EW23" s="33" cm="1">
        <f t="array" ref="EW23">BedPlan[[#This Row],[Harvest Days December 2025]]/SUM(BedPlan[[#This Row],[Harvest Days January 2025]:[Harvest Days December 2026]])*BedPlan[[#This Row],[Yield]:[Yield]]</f>
        <v>0</v>
      </c>
    </row>
    <row r="24" spans="1:153" ht="15.75" customHeight="1">
      <c r="A24" s="191" t="s">
        <v>2777</v>
      </c>
      <c r="B24" s="240" t="s">
        <v>3263</v>
      </c>
      <c r="D24" s="226" cm="1">
        <f t="array" ref="D24">INDEX(Crops[],BedPlan[[#This Row],[Chart Index]],D$4,1)*BedPlan[[#This Row],[Full Bed Equivalent]]</f>
        <v>20</v>
      </c>
      <c r="E24" s="226" cm="1">
        <f t="array" ref="E24">INDEX(Crops[],BedPlan[[#This Row],[Chart Index]],E$4,1)*BedPlan[[#This Row],[Full Bed Equivalent]]</f>
        <v>80</v>
      </c>
      <c r="F24" t="str">
        <f>UPPER(LEFT(BedPlan[[#This Row],[Crop]],3))</f>
        <v>BRO</v>
      </c>
      <c r="H24" s="143" t="str" cm="1">
        <f t="array" ref="H24">INDEX(Crops[],BedPlan[[#This Row],[Chart Index]],H$4,1)</f>
        <v>Broccoli</v>
      </c>
      <c r="I24" t="s">
        <v>2852</v>
      </c>
      <c r="K24" t="str" cm="1">
        <f t="array" ref="K24">IF(ISNUMBER(MATCH(BedPlan[[#This Row],[Variety]],SeedMixes[Name],)),_xlfn.TEXTJOIN(", ",TRUE,_xlfn._xlws.FILTER(SeedMixes[Variety &amp; Company],SeedMixes[Name]=BedPlan[[#This Row],[Variety]])),"")</f>
        <v>Montebello Osborne, Burgundy Johnny's</v>
      </c>
      <c r="L24" s="33" cm="1">
        <f t="array" ref="L24">INDEX(Crops[],BedPlan[[#This Row],[Chart Index]],L$4,1)*BedPlan[[#This Row],[Full Bed Equivalent]]</f>
        <v>104</v>
      </c>
      <c r="N24">
        <v>0.4</v>
      </c>
      <c r="O24">
        <v>1</v>
      </c>
      <c r="P24" s="31">
        <f>IF(ISNUMBER(BedPlan[[#This Row],[Planned Greenhouse Start Date]]),BedPlan[[#This Row],[Planned Greenhouse Start Date]],BedPlan[[#This Row],[Planned TP or DS Date]])</f>
        <v>45848</v>
      </c>
      <c r="Q24" s="259">
        <f>IF(BedPlan[[#This Row],[Days in Cells]]=0,"",IFERROR(_xlfn.XLOOKUP(BedPlan[[#This Row],[Follows Crop]],BedPlan[Identifier],BedPlan[Expected End of Harvest]) + 1+BedPlan[[#This Row],[Follow Offset]],BedPlan[[#This Row],[Fixed Field Start Date]])-BedPlan[[#This Row],[Days in Cells]])</f>
        <v>45848</v>
      </c>
      <c r="R24" s="259"/>
      <c r="S24" s="259">
        <f>IF(ISNUMBER(BedPlan[[#This Row],[Actual Greenhouse Date]]),BedPlan[[#This Row],[Actual Greenhouse Date]],BedPlan[[#This Row],[Planned Greenhouse Start Date]])</f>
        <v>45848</v>
      </c>
      <c r="T24" s="259">
        <v>45876</v>
      </c>
      <c r="U24" s="260"/>
      <c r="V24" s="260"/>
      <c r="W2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45876</v>
      </c>
      <c r="X24" s="259"/>
      <c r="Y24" s="271">
        <f>BedPlan[[#This Row],[Actual TP or DS Date]]-BedPlan[[#This Row],[Planned TP or DS Date]]</f>
        <v>-45876</v>
      </c>
      <c r="Z24" s="259">
        <f>IF(ISNUMBER(BedPlan[[#This Row],[Actual TP or DS Date]]),BedPlan[[#This Row],[Actual TP or DS Date]],BedPlan[[#This Row],[Planned TP or DS Date]])</f>
        <v>45876</v>
      </c>
      <c r="AA24" s="259"/>
      <c r="AB24" s="259">
        <f>IF(ISNUMBER(BedPlan[[#This Row],[Greenhouse Start Date]]),BedPlan[[#This Row],[Greenhouse Start Date]]+BedPlan[[#This Row],[DTM]],BedPlan[[#This Row],[TP or DS Date]]+BedPlan[[#This Row],[DTM]])</f>
        <v>45921</v>
      </c>
      <c r="AC24" s="259"/>
      <c r="AD24" s="259">
        <f>IF(ISNUMBER(BedPlan[[#This Row],[Actual Beginning of Harvest]]),BedPlan[[#This Row],[Actual Beginning of Harvest]],BedPlan[[#This Row],[Expected Beginning of Harvest]])</f>
        <v>45921</v>
      </c>
      <c r="AE24" s="259">
        <f>BedPlan[[#This Row],[Expected Beginning of Harvest]]+BedPlan[[#This Row],[Harvest Window]]+BedPlan[[#This Row],[Additional Days of Harvest]]</f>
        <v>45942</v>
      </c>
      <c r="AF24" s="259"/>
      <c r="AG24" s="259"/>
      <c r="AH24" s="31" t="b">
        <f>IF(AND( BedPlan[[#This Row],[Expected End of Harvest]] &gt;= DATE(2025, 8, 1), BedPlan[[#This Row],[Beginning of Harvest]] &lt;= DATE(2025, 8, 31) ), TRUE, FALSE)</f>
        <v>0</v>
      </c>
      <c r="AI24" s="31"/>
      <c r="AJ24" s="31">
        <f>IF(ISNUMBER(BedPlan[[#This Row],[Actual End of Harvest]]),BedPlan[[#This Row],[Actual End of Harvest]],BedPlan[[#This Row],[Expected End of Harvest]])</f>
        <v>45942</v>
      </c>
      <c r="AK24" t="b">
        <f>OR(ISNUMBER(BedPlan[[#This Row],[Actual Greenhouse Date]]),ISNUMBER(BedPlan[[#This Row],[Actual TP or DS Date]]))</f>
        <v>0</v>
      </c>
      <c r="AL24" s="52" t="b">
        <f>IF(ISNUMBER(BedPlan[[#This Row],[Planned Greenhouse Start Date]]),OR(ISNUMBER(BedPlan[[#This Row],[Actual TP or DS Date]]),BedPlan[[#This Row],[Failed]]),"-")</f>
        <v>0</v>
      </c>
      <c r="AM24" t="b">
        <f>OR(ISNUMBER(BedPlan[[#This Row],[Actual End of Harvest]]),BedPlan[[#This Row],[Failed]])</f>
        <v>0</v>
      </c>
      <c r="AN24" t="b">
        <f>OR(BedPlan[[#This Row],[Harvest Done]],BedPlan[[#This Row],[Failed]],BedPlan[[#This Row],[Name]]="Tarp")</f>
        <v>0</v>
      </c>
      <c r="AS24" s="26" t="str">
        <f>IF(BedPlan[[#This Row],[Broadfork]],BedPlan[[#This Row],[Actual TP or DS Date]],"")</f>
        <v/>
      </c>
      <c r="AT24" s="26" t="str">
        <f>IF(BedPlan[[#This Row],[Tilther]],BedPlan[[#This Row],[Actual TP or DS Date]],"")</f>
        <v/>
      </c>
      <c r="AU24" s="26" t="str">
        <f>IF(NOT(ISBLANK(BedPlan[[#This Row],[Amend]])),BedPlan[[#This Row],[Actual TP or DS Date]],"")</f>
        <v/>
      </c>
      <c r="AV24" s="26" t="str">
        <f>IF(BedPlan[[#This Row],[Row Cover]],BedPlan[[#This Row],[Actual TP or DS Date]],"")</f>
        <v/>
      </c>
      <c r="AX24" s="26"/>
      <c r="AZ24" s="26"/>
      <c r="BB24" s="26"/>
      <c r="BC24" s="231" cm="1">
        <f t="array" ref="BC24">INDEX(Crops[],BedPlan[[#This Row],[Chart Index]],BC$4,1)*BedPlan[[#This Row],[Full Bed Equivalent]]</f>
        <v>320</v>
      </c>
      <c r="BD24" s="231" cm="1">
        <f t="array" ref="BD24">INDEX(Crops[],BedPlan[[#This Row],[Chart Index]],BD$4,1)*BedPlan[[#This Row],[Full Bed Equivalent]]</f>
        <v>4.8484848484848486</v>
      </c>
      <c r="BE24" cm="1">
        <f t="array" ref="BE24">INDEX(Crops[],BedPlan[[#This Row],[Chart Index]],BE$4,1)+BedPlan[[#This Row],[Additional Days in Cells]]+BedPlan[[#This Row],[Additional Days In Field]]</f>
        <v>73</v>
      </c>
      <c r="BG24" cm="1">
        <f t="array" ref="BG24">INDEX(Crops[],BedPlan[[#This Row],[Chart Index]],BG$4,1)</f>
        <v>21</v>
      </c>
      <c r="BH24" t="str">
        <f>IF(ISNUMBER(BedPlan[[#This Row],[Planned Greenhouse Start Date]]),"TP","DS")</f>
        <v>TP</v>
      </c>
      <c r="BI24">
        <f>BedPlan[[#This Row],['# Of Beds]]</f>
        <v>0.4</v>
      </c>
      <c r="BJ24" cm="1">
        <f t="array" ref="BJ24">INDEX(Crops[],BedPlan[[#This Row],[Chart Index]],BJ$4,1)</f>
        <v>28</v>
      </c>
      <c r="BK24" cm="1">
        <f t="array" ref="BK24">INDEX(Crops[],BedPlan[[#This Row],[Chart Index]],BK$4,1)</f>
        <v>2</v>
      </c>
      <c r="BL24" cm="1">
        <f t="array" ref="BL24">INDEX(Crops[],BedPlan[[#This Row],[Chart Index]],BL$4,1)</f>
        <v>12</v>
      </c>
      <c r="BM24" cm="1">
        <f t="array" ref="BM24">INDEX(Crops[],BedPlan[[#This Row],[Chart Index]],BM$4,1)</f>
        <v>1</v>
      </c>
      <c r="BN24" s="32" cm="1">
        <f t="array" ref="BN24">INDEX(Crops[],BedPlan[[#This Row],[Chart Index]],BN$4,1)*BedPlan[[#This Row],[Full Bed Equivalent]]</f>
        <v>40</v>
      </c>
      <c r="BO24" t="str" cm="1">
        <f t="array" ref="BO24">IF(INDEX(Crops[],BedPlan[[#This Row],[Chart Index]],BO$4,1)=0,"",INDEX(Crops[],BedPlan[[#This Row],[Chart Index]],BO$4,1))</f>
        <v/>
      </c>
      <c r="BP24">
        <f>MATCH(BedPlan[[#This Row],[Crop]],Crops[Identifier],FALSE)</f>
        <v>41</v>
      </c>
      <c r="BQ24" t="str" cm="1">
        <f t="array" ref="BQ24">INDEX(Crops[],BedPlan[[#This Row],[Chart Index]],BQ$4,1)</f>
        <v>Sprouting</v>
      </c>
      <c r="BR24" t="str" cm="1">
        <f t="array" ref="BR24">INDEX(Crops[],BedPlan[[#This Row],[Chart Index]],BR$4,1)</f>
        <v>SuFa</v>
      </c>
      <c r="BS24" s="32">
        <f>BedPlan[[#This Row],[Expected Beginning of Harvest]]-DATE(2023,1,1)</f>
        <v>994</v>
      </c>
      <c r="BT24">
        <f>BedPlan[[#This Row],[Expected End of Harvest]]-BedPlan[[#This Row],[Expected Beginning of Harvest]]</f>
        <v>21</v>
      </c>
      <c r="BU24" t="str" cm="1">
        <f t="array" ref="BU24">INDEX(Crops[],BedPlan[[#This Row],[Chart Index]],BU$4,1)</f>
        <v>Brassica</v>
      </c>
      <c r="BV24" cm="1">
        <f t="array" ref="BV24">INDEX(Crops[],BedPlan[[#This Row],[Chart Index]],BV$4,1)</f>
        <v>2</v>
      </c>
      <c r="BW24" t="str" cm="1">
        <f t="array" ref="BW24">INDEX(Crops[],BedPlan[[#This Row],[Chart Index]],BW$4,1)</f>
        <v>AMAP</v>
      </c>
      <c r="BX24" cm="1">
        <f t="array" ref="BX24">INDEX(Crops[],BedPlan[[#This Row],[Chart Index]],BX$4,1)</f>
        <v>72</v>
      </c>
      <c r="BY24" cm="1">
        <f t="array" ref="BY24">INDEX(Crops[],BedPlan[[#This Row],[Chart Index]],BY$4,1)</f>
        <v>28</v>
      </c>
      <c r="BZ24" s="49" cm="1">
        <f t="array" ref="BZ24">IFERROR(INDEX(Crops[],BedPlan[[#This Row],[Chart Index]],BZ$4,1)*BedPlan[[#This Row],[Full Bed Equivalent]],"")</f>
        <v>0.72222222222222232</v>
      </c>
      <c r="CA24" cm="1">
        <f t="array" ref="CA24">INDEX(Crops[],BedPlan[[#This Row],[Chart Index]],CA$4,1)</f>
        <v>0</v>
      </c>
      <c r="CB24" cm="1">
        <f t="array" ref="CB24">INDEX(Crops[],BedPlan[[#This Row],[Chart Index]],CB$4,1)</f>
        <v>0</v>
      </c>
      <c r="CC24" s="49" t="str" cm="1">
        <f t="array" ref="CC24">IFERROR(INDEX(Crops[],BedPlan[[#This Row],[Chart Index]],CC$4,1)*BedPlan[[#This Row],[Full Bed Equivalent]],"")</f>
        <v/>
      </c>
      <c r="CD24" cm="1">
        <f t="array" ref="CD24">INDEX(Crops[],BedPlan[[#This Row],[Chart Index]],CD$4,1)</f>
        <v>0</v>
      </c>
      <c r="CE24" cm="1">
        <f t="array" ref="CE24">IF(INDEX(Crops[],BedPlan[[#This Row],[Chart Index]],CE$4,1)="",0,INDEX(Crops[],BedPlan[[#This Row],[Chart Index]],CE$4,1))</f>
        <v>0</v>
      </c>
      <c r="CF24" s="49" t="str" cm="1">
        <f t="array" ref="CF24">IFERROR(INDEX(Crops[],BedPlan[[#This Row],[Chart Index]],CF$4,1)*BedPlan[[#This Row],[Full Bed Equivalent]],"")</f>
        <v/>
      </c>
      <c r="CG24" cm="1">
        <f t="array" ref="CG24">IF(INDEX(Crops[],BedPlan[[#This Row],[Chart Index]],CG$4,1)="",0,INDEX(Crops[],BedPlan[[#This Row],[Chart Index]],CG$4,1))</f>
        <v>1.3</v>
      </c>
      <c r="CH24" cm="1">
        <f t="array" ref="CH24">IF(INDEX(Crops[],BedPlan[[#This Row],[Chart Index]],CH$4,1)="",0,INDEX(Crops[],BedPlan[[#This Row],[Chart Index]],CH$4,1))</f>
        <v>0</v>
      </c>
      <c r="CI24" t="str" cm="1">
        <f t="array" ref="CI24">INDEX(Crops[],BedPlan[[#This Row],[Chart Index]],CI$4,1)</f>
        <v>Field</v>
      </c>
      <c r="CJ24" s="30" t="str">
        <f>_xlfn.TEXTJOIN(CHAR(10),FALSE,BedPlan[[#This Row],[Name]],BedPlan[[#This Row],[Variety]],BedPlan[[#This Row],[Company]])</f>
        <v xml:space="preserve">Broccoli
Sprouting Broccoli Mix
</v>
      </c>
      <c r="CK24" s="32">
        <f>MAX( 0, MIN(BedPlan[[#This Row],[Expected End of Harvest]], EOMONTH(CK$4, 0)) - MAX(BedPlan[[#This Row],[Beginning of Harvest]], CK$4) + 1 )</f>
        <v>0</v>
      </c>
      <c r="CL24">
        <f>MAX( 0, MIN(BedPlan[[#This Row],[Expected End of Harvest]], EOMONTH(CL$4, 0)) - MAX(BedPlan[[#This Row],[Beginning of Harvest]], CL$4) + 1 )</f>
        <v>0</v>
      </c>
      <c r="CM24">
        <f>MAX( 0, MIN(BedPlan[[#This Row],[Expected End of Harvest]], EOMONTH(CM$4, 0)) - MAX(BedPlan[[#This Row],[Beginning of Harvest]], CM$4) + 1 )</f>
        <v>0</v>
      </c>
      <c r="CN24">
        <f>MAX( 0, MIN(BedPlan[[#This Row],[Expected End of Harvest]], EOMONTH(CN$4, 0)) - MAX(BedPlan[[#This Row],[Beginning of Harvest]], CN$4) + 1 )</f>
        <v>0</v>
      </c>
      <c r="CO24">
        <f>MAX( 0, MIN(BedPlan[[#This Row],[Expected End of Harvest]], EOMONTH(CO$4, 0)) - MAX(BedPlan[[#This Row],[Beginning of Harvest]], CO$4) + 1 )</f>
        <v>0</v>
      </c>
      <c r="CP24">
        <f>MAX( 0, MIN(BedPlan[[#This Row],[Expected End of Harvest]], EOMONTH(CP$4, 0)) - MAX(BedPlan[[#This Row],[Beginning of Harvest]], CP$4) + 1 )</f>
        <v>0</v>
      </c>
      <c r="CQ24">
        <f>MAX( 0, MIN(BedPlan[[#This Row],[Expected End of Harvest]], EOMONTH(CQ$4, 0)) - MAX(BedPlan[[#This Row],[Beginning of Harvest]], CQ$4) + 1 )</f>
        <v>0</v>
      </c>
      <c r="CR24">
        <f>MAX( 0, MIN(BedPlan[[#This Row],[Expected End of Harvest]], EOMONTH(CR$4, 0)) - MAX(BedPlan[[#This Row],[Beginning of Harvest]], CR$4) + 1 )</f>
        <v>0</v>
      </c>
      <c r="CS24">
        <f>MAX( 0, MIN(BedPlan[[#This Row],[Expected End of Harvest]], EOMONTH(CS$4, 0)) - MAX(BedPlan[[#This Row],[Beginning of Harvest]], CS$4) + 1 )</f>
        <v>10</v>
      </c>
      <c r="CT24">
        <f>MAX( 0, MIN(BedPlan[[#This Row],[Expected End of Harvest]], EOMONTH(CT$4, 0)) - MAX(BedPlan[[#This Row],[Beginning of Harvest]], CT$4) + 1 )</f>
        <v>12</v>
      </c>
      <c r="CU24">
        <f>MAX( 0, MIN(BedPlan[[#This Row],[Expected End of Harvest]], EOMONTH(CU$4, 0)) - MAX(BedPlan[[#This Row],[Beginning of Harvest]], CU$4) + 1 )</f>
        <v>0</v>
      </c>
      <c r="CV24">
        <f>MAX( 0, MIN(BedPlan[[#This Row],[Expected End of Harvest]], EOMONTH(CV$4, 0)) - MAX(BedPlan[[#This Row],[Beginning of Harvest]], CV$4) + 1 )</f>
        <v>0</v>
      </c>
      <c r="CW24">
        <f>MAX( 0, MIN(BedPlan[[#This Row],[Expected End of Harvest]], EOMONTH(CW$4, 0)) - MAX(BedPlan[[#This Row],[Beginning of Harvest]], CW$4) + 1 )</f>
        <v>0</v>
      </c>
      <c r="CX24">
        <f>MAX( 0, MIN(BedPlan[[#This Row],[Expected End of Harvest]], EOMONTH(CX$4, 0)) - MAX(BedPlan[[#This Row],[Beginning of Harvest]], CX$4) + 1 )</f>
        <v>0</v>
      </c>
      <c r="CY24">
        <f>MAX( 0, MIN(BedPlan[[#This Row],[Expected End of Harvest]], EOMONTH(CY$4, 0)) - MAX(BedPlan[[#This Row],[Beginning of Harvest]], CY$4) + 1 )</f>
        <v>0</v>
      </c>
      <c r="CZ24">
        <f>MAX( 0, MIN(BedPlan[[#This Row],[Expected End of Harvest]], EOMONTH(CZ$4, 0)) - MAX(BedPlan[[#This Row],[Beginning of Harvest]], CZ$4) + 1 )</f>
        <v>0</v>
      </c>
      <c r="DA24">
        <f>MAX( 0, MIN(BedPlan[[#This Row],[Expected End of Harvest]], EOMONTH(DA$4, 0)) - MAX(BedPlan[[#This Row],[Beginning of Harvest]], DA$4) + 1 )</f>
        <v>0</v>
      </c>
      <c r="DB24">
        <f>MAX( 0, MIN(BedPlan[[#This Row],[Expected End of Harvest]], EOMONTH(DB$4, 0)) - MAX(BedPlan[[#This Row],[Beginning of Harvest]], DB$4) + 1 )</f>
        <v>0</v>
      </c>
      <c r="DC24">
        <f>MAX( 0, MIN(BedPlan[[#This Row],[Expected End of Harvest]], EOMONTH(DC$4, 0)) - MAX(BedPlan[[#This Row],[Beginning of Harvest]], DC$4) + 1 )</f>
        <v>0</v>
      </c>
      <c r="DD24">
        <f>MAX( 0, MIN(BedPlan[[#This Row],[Expected End of Harvest]], EOMONTH(DD$4, 0)) - MAX(BedPlan[[#This Row],[Beginning of Harvest]], DD$4) + 1 )</f>
        <v>0</v>
      </c>
      <c r="DE24">
        <f>MAX( 0, MIN(BedPlan[[#This Row],[Expected End of Harvest]], EOMONTH(DE$4, 0)) - MAX(BedPlan[[#This Row],[Beginning of Harvest]], DE$4) + 1 )</f>
        <v>0</v>
      </c>
      <c r="DF24">
        <f>MAX( 0, MIN(BedPlan[[#This Row],[Expected End of Harvest]], EOMONTH(DF$4, 0)) - MAX(BedPlan[[#This Row],[Beginning of Harvest]], DF$4) + 1 )</f>
        <v>0</v>
      </c>
      <c r="DG24">
        <f>MAX( 0, MIN(BedPlan[[#This Row],[Expected End of Harvest]], EOMONTH(DG$4, 0)) - MAX(BedPlan[[#This Row],[Beginning of Harvest]], DG$4) + 1 )</f>
        <v>0</v>
      </c>
      <c r="DH24">
        <f>MAX( 0, MIN(BedPlan[[#This Row],[Expected End of Harvest]], EOMONTH(DH$4, 0)) - MAX(BedPlan[[#This Row],[Beginning of Harvest]], DH$4) + 1 )</f>
        <v>0</v>
      </c>
      <c r="DI24" s="257" cm="1">
        <f t="array" ref="DI24">BedPlan[[#This Row],[Harvest Days January 2025]]/SUM(BedPlan[[#This Row],[Harvest Days January 2025]:[Harvest Days December 2026]])*BedPlan[[#This Row],[Revenue]:[Revenue]]</f>
        <v>0</v>
      </c>
      <c r="DJ24" s="257" cm="1">
        <f t="array" ref="DJ24">BedPlan[[#This Row],[Harvest Days February 2025]]/SUM(BedPlan[[#This Row],[Harvest Days January 2025]:[Harvest Days December 2026]])*BedPlan[[#This Row],[Revenue]:[Revenue]]</f>
        <v>0</v>
      </c>
      <c r="DK24" s="257" cm="1">
        <f t="array" ref="DK24">BedPlan[[#This Row],[Harvest Days March 2025]]/SUM(BedPlan[[#This Row],[Harvest Days January 2025]:[Harvest Days December 2026]])*BedPlan[[#This Row],[Revenue]:[Revenue]]</f>
        <v>0</v>
      </c>
      <c r="DL24" s="257" cm="1">
        <f t="array" ref="DL24">BedPlan[[#This Row],[Harvest Days April 2025]]/SUM(BedPlan[[#This Row],[Harvest Days January 2025]:[Harvest Days December 2026]])*BedPlan[[#This Row],[Revenue]:[Revenue]]</f>
        <v>0</v>
      </c>
      <c r="DM24" s="257" cm="1">
        <f t="array" ref="DM24">BedPlan[[#This Row],[Harvest Days May 2025]]/SUM(BedPlan[[#This Row],[Harvest Days January 2025]:[Harvest Days December 2026]])*BedPlan[[#This Row],[Revenue]:[Revenue]]</f>
        <v>0</v>
      </c>
      <c r="DN24" s="257" cm="1">
        <f t="array" ref="DN24">BedPlan[[#This Row],[Harvest Days June 2025]]/SUM(BedPlan[[#This Row],[Harvest Days January 2025]:[Harvest Days December 2026]])*BedPlan[[#This Row],[Revenue]:[Revenue]]</f>
        <v>0</v>
      </c>
      <c r="DO24" s="257" cm="1">
        <f t="array" ref="DO24">BedPlan[[#This Row],[Harvest Days July 2025]]/SUM(BedPlan[[#This Row],[Harvest Days January 2025]:[Harvest Days December 2026]])*BedPlan[[#This Row],[Revenue]:[Revenue]]</f>
        <v>0</v>
      </c>
      <c r="DP24" s="257" cm="1">
        <f t="array" ref="DP24">BedPlan[[#This Row],[Harvest Days August 2025]]/SUM(BedPlan[[#This Row],[Harvest Days January 2025]:[Harvest Days December 2026]])*BedPlan[[#This Row],[Revenue]:[Revenue]]</f>
        <v>0</v>
      </c>
      <c r="DQ24" s="257" cm="1">
        <f t="array" ref="DQ24">BedPlan[[#This Row],[Harvest Days September 2025]]/SUM(BedPlan[[#This Row],[Harvest Days January 2025]:[Harvest Days December 2026]])*BedPlan[[#This Row],[Revenue]:[Revenue]]</f>
        <v>145.45454545454544</v>
      </c>
      <c r="DR24" s="257" cm="1">
        <f t="array" ref="DR24">BedPlan[[#This Row],[Harvest Days October 2025]]/SUM(BedPlan[[#This Row],[Harvest Days January 2025]:[Harvest Days December 2026]])*BedPlan[[#This Row],[Revenue]:[Revenue]]</f>
        <v>174.54545454545453</v>
      </c>
      <c r="DS24" s="257" cm="1">
        <f t="array" ref="DS24">BedPlan[[#This Row],[Harvest Days November 2025]]/SUM(BedPlan[[#This Row],[Harvest Days January 2025]:[Harvest Days December 2026]])*BedPlan[[#This Row],[Revenue]:[Revenue]]</f>
        <v>0</v>
      </c>
      <c r="DT24" s="257" cm="1">
        <f t="array" ref="DT24">BedPlan[[#This Row],[Harvest Days December 2025]]/SUM(BedPlan[[#This Row],[Harvest Days January 2025]:[Harvest Days December 2026]])*BedPlan[[#This Row],[Revenue]:[Revenue]]</f>
        <v>0</v>
      </c>
      <c r="DU24" s="257" cm="1">
        <f t="array" ref="DU24">BedPlan[[#This Row],[Harvest Days January 2026]]/SUM(BedPlan[[#This Row],[Harvest Days January 2025]:[Harvest Days December 2026]])*BedPlan[[#This Row],[Revenue]:[Revenue]]</f>
        <v>0</v>
      </c>
      <c r="DV24" s="257" cm="1">
        <f t="array" ref="DV24">BedPlan[[#This Row],[Harvest Days February 2026]]/SUM(BedPlan[[#This Row],[Harvest Days January 2025]:[Harvest Days December 2026]])*BedPlan[[#This Row],[Revenue]:[Revenue]]</f>
        <v>0</v>
      </c>
      <c r="DW24" s="257" cm="1">
        <f t="array" ref="DW24">BedPlan[[#This Row],[Harvest Days March 2026]]/SUM(BedPlan[[#This Row],[Harvest Days January 2025]:[Harvest Days December 2026]])*BedPlan[[#This Row],[Revenue]:[Revenue]]</f>
        <v>0</v>
      </c>
      <c r="DX24" s="257" cm="1">
        <f t="array" ref="DX24">BedPlan[[#This Row],[Harvest Days April 2026]]/SUM(BedPlan[[#This Row],[Harvest Days January 2025]:[Harvest Days December 2026]])*BedPlan[[#This Row],[Revenue]:[Revenue]]</f>
        <v>0</v>
      </c>
      <c r="DY24" s="257" cm="1">
        <f t="array" ref="DY24">BedPlan[[#This Row],[Harvest Days May 2026]]/SUM(BedPlan[[#This Row],[Harvest Days January 2025]:[Harvest Days December 2026]])*BedPlan[[#This Row],[Revenue]:[Revenue]]</f>
        <v>0</v>
      </c>
      <c r="DZ24" s="257" cm="1">
        <f t="array" ref="DZ24">BedPlan[[#This Row],[Harvest Days June 2026]]/SUM(BedPlan[[#This Row],[Harvest Days January 2025]:[Harvest Days December 2026]])*BedPlan[[#This Row],[Revenue]:[Revenue]]</f>
        <v>0</v>
      </c>
      <c r="EA24" s="257" cm="1">
        <f t="array" ref="EA24">BedPlan[[#This Row],[Harvest Days July 2026]]/SUM(BedPlan[[#This Row],[Harvest Days January 2025]:[Harvest Days December 2026]])*BedPlan[[#This Row],[Revenue]:[Revenue]]</f>
        <v>0</v>
      </c>
      <c r="EB24" s="257" cm="1">
        <f t="array" ref="EB24">BedPlan[[#This Row],[Harvest Days August 2026]]/SUM(BedPlan[[#This Row],[Harvest Days January 2025]:[Harvest Days December 2026]])*BedPlan[[#This Row],[Revenue]:[Revenue]]</f>
        <v>0</v>
      </c>
      <c r="EC24" s="257" cm="1">
        <f t="array" ref="EC24">BedPlan[[#This Row],[Harvest Days September 2026]]/SUM(BedPlan[[#This Row],[Harvest Days January 2025]:[Harvest Days December 2026]])*BedPlan[[#This Row],[Revenue]:[Revenue]]</f>
        <v>0</v>
      </c>
      <c r="ED24" s="257" cm="1">
        <f t="array" ref="ED24">BedPlan[[#This Row],[Harvest Days October 2026]]/SUM(BedPlan[[#This Row],[Harvest Days January 2025]:[Harvest Days December 2026]])*BedPlan[[#This Row],[Revenue]:[Revenue]]</f>
        <v>0</v>
      </c>
      <c r="EE24" s="257" cm="1">
        <f t="array" ref="EE24">BedPlan[[#This Row],[Harvest Days November 2026]]/SUM(BedPlan[[#This Row],[Harvest Days January 2025]:[Harvest Days December 2026]])*BedPlan[[#This Row],[Revenue]:[Revenue]]</f>
        <v>0</v>
      </c>
      <c r="EF24" s="257" cm="1">
        <f t="array" ref="EF24">BedPlan[[#This Row],[Harvest Days December 2026]]/SUM(BedPlan[[#This Row],[Harvest Days January 2025]:[Harvest Days December 2026]])*BedPlan[[#This Row],[Revenue]:[Revenue]]</f>
        <v>0</v>
      </c>
      <c r="EG24" t="b">
        <f>SUM(BedPlan[[#This Row],[Revenue January 2025]:[Revenue December 2026]])=BedPlan[[#This Row],[Revenue]]</f>
        <v>1</v>
      </c>
      <c r="EH24" s="30" cm="1">
        <f t="array" ref="EH24">INDEX(Crops[],BedPlan[[#This Row],[Chart Index]],EH$4,1)*BedPlan[[#This Row],['# Of Beds]]</f>
        <v>80</v>
      </c>
      <c r="EI24" s="30" t="str" cm="1">
        <f t="array" ref="EI24">INDEX(Crops[],BedPlan[[#This Row],[Chart Index]],EI$4,1)</f>
        <v>Bunch</v>
      </c>
      <c r="EJ24" s="30" t="str" cm="1">
        <f t="array" ref="EJ24">INDEX(Crops[],BedPlan[[#This Row],[Chart Index]],EJ$4,1)</f>
        <v>Loose Florets</v>
      </c>
      <c r="EK24" s="30" t="str">
        <f>BedPlan[[#This Row],[Name]]&amp;" "&amp;BedPlan[[#This Row],[Product]]&amp; " - " &amp;BedPlan[[#This Row],[Unit]]</f>
        <v>Broccoli Loose Florets - Bunch</v>
      </c>
      <c r="EL24" s="33" cm="1">
        <f t="array" ref="EL24">BedPlan[[#This Row],[Harvest Days January 2025]]/SUM(BedPlan[[#This Row],[Harvest Days January 2025]:[Harvest Days December 2026]])*BedPlan[[#This Row],[Yield]:[Yield]]</f>
        <v>0</v>
      </c>
      <c r="EM24" s="33" cm="1">
        <f t="array" ref="EM24">BedPlan[[#This Row],[Harvest Days February 2025]]/SUM(BedPlan[[#This Row],[Harvest Days January 2025]:[Harvest Days December 2026]])*BedPlan[[#This Row],[Yield]:[Yield]]</f>
        <v>0</v>
      </c>
      <c r="EN24" s="33" cm="1">
        <f t="array" ref="EN24">BedPlan[[#This Row],[Harvest Days March 2025]]/SUM(BedPlan[[#This Row],[Harvest Days January 2025]:[Harvest Days December 2026]])*BedPlan[[#This Row],[Yield]:[Yield]]</f>
        <v>0</v>
      </c>
      <c r="EO24" s="33" cm="1">
        <f t="array" ref="EO24">BedPlan[[#This Row],[Harvest Days April 2025]]/SUM(BedPlan[[#This Row],[Harvest Days January 2025]:[Harvest Days December 2026]])*BedPlan[[#This Row],[Yield]:[Yield]]</f>
        <v>0</v>
      </c>
      <c r="EP24" s="33" cm="1">
        <f t="array" ref="EP24">BedPlan[[#This Row],[Harvest Days May 2025]]/SUM(BedPlan[[#This Row],[Harvest Days January 2025]:[Harvest Days December 2026]])*BedPlan[[#This Row],[Yield]:[Yield]]</f>
        <v>0</v>
      </c>
      <c r="EQ24" s="33" cm="1">
        <f t="array" ref="EQ24">BedPlan[[#This Row],[Harvest Days June 2025]]/SUM(BedPlan[[#This Row],[Harvest Days January 2025]:[Harvest Days December 2026]])*BedPlan[[#This Row],[Yield]:[Yield]]</f>
        <v>0</v>
      </c>
      <c r="ER24" s="33" cm="1">
        <f t="array" ref="ER24">BedPlan[[#This Row],[Harvest Days July 2025]]/SUM(BedPlan[[#This Row],[Harvest Days January 2025]:[Harvest Days December 2026]])*BedPlan[[#This Row],[Yield]:[Yield]]</f>
        <v>0</v>
      </c>
      <c r="ES24" s="33" cm="1">
        <f t="array" ref="ES24">BedPlan[[#This Row],[Harvest Days August 2025]]/SUM(BedPlan[[#This Row],[Harvest Days January 2025]:[Harvest Days December 2026]])*BedPlan[[#This Row],[Yield]:[Yield]]</f>
        <v>0</v>
      </c>
      <c r="ET24" s="33" cm="1">
        <f t="array" ref="ET24">BedPlan[[#This Row],[Harvest Days September 2025]]/SUM(BedPlan[[#This Row],[Harvest Days January 2025]:[Harvest Days December 2026]])*BedPlan[[#This Row],[Yield]:[Yield]]</f>
        <v>36.36363636363636</v>
      </c>
      <c r="EU24" s="33" cm="1">
        <f t="array" ref="EU24">BedPlan[[#This Row],[Harvest Days October 2025]]/SUM(BedPlan[[#This Row],[Harvest Days January 2025]:[Harvest Days December 2026]])*BedPlan[[#This Row],[Yield]:[Yield]]</f>
        <v>43.636363636363633</v>
      </c>
      <c r="EV24" s="33" cm="1">
        <f t="array" ref="EV24">BedPlan[[#This Row],[Harvest Days November 2025]]/SUM(BedPlan[[#This Row],[Harvest Days January 2025]:[Harvest Days December 2026]])*BedPlan[[#This Row],[Yield]:[Yield]]</f>
        <v>0</v>
      </c>
      <c r="EW24" s="33" cm="1">
        <f t="array" ref="EW24">BedPlan[[#This Row],[Harvest Days December 2025]]/SUM(BedPlan[[#This Row],[Harvest Days January 2025]:[Harvest Days December 2026]])*BedPlan[[#This Row],[Yield]:[Yield]]</f>
        <v>0</v>
      </c>
    </row>
    <row r="25" spans="1:153" ht="15.75" customHeight="1">
      <c r="A25" s="191" t="s">
        <v>2597</v>
      </c>
      <c r="B25" t="s">
        <v>2628</v>
      </c>
      <c r="C25" t="s">
        <v>1468</v>
      </c>
      <c r="D25" cm="1">
        <f t="array" ref="D25">INDEX(Crops[],BedPlan[[#This Row],[Chart Index]],D$4,1)*BedPlan[[#This Row],[Full Bed Equivalent]]</f>
        <v>16.666666666666664</v>
      </c>
      <c r="E25" cm="1">
        <f t="array" ref="E25">INDEX(Crops[],BedPlan[[#This Row],[Chart Index]],E$4,1)*BedPlan[[#This Row],[Full Bed Equivalent]]</f>
        <v>66.666666666666657</v>
      </c>
      <c r="F25" t="str">
        <f>UPPER(LEFT(BedPlan[[#This Row],[Crop]],3))</f>
        <v>CAB</v>
      </c>
      <c r="H25" s="143" t="str" cm="1">
        <f t="array" ref="H25">INDEX(Crops[],BedPlan[[#This Row],[Chart Index]],H$4,1)</f>
        <v>Cabbage</v>
      </c>
      <c r="I25" t="s">
        <v>1898</v>
      </c>
      <c r="K25" t="str" cm="1">
        <f t="array" ref="K25">IF(ISNUMBER(MATCH(BedPlan[[#This Row],[Variety]],SeedMixes[Name],)),_xlfn.TEXTJOIN(", ",TRUE,_xlfn._xlws.FILTER(SeedMixes[Variety &amp; Company],SeedMixes[Name]=BedPlan[[#This Row],[Variety]])),"")</f>
        <v>Bronco F1 High Mowing</v>
      </c>
      <c r="L25" s="33" cm="1">
        <f t="array" ref="L25">INDEX(Crops[],BedPlan[[#This Row],[Chart Index]],L$4,1)*BedPlan[[#This Row],[Full Bed Equivalent]]</f>
        <v>146.66666666666666</v>
      </c>
      <c r="N25">
        <f>1</f>
        <v>1</v>
      </c>
      <c r="O25">
        <f>1</f>
        <v>1</v>
      </c>
      <c r="P25" s="31">
        <f>IF(ISNUMBER(BedPlan[[#This Row],[Planned Greenhouse Start Date]]),BedPlan[[#This Row],[Planned Greenhouse Start Date]],BedPlan[[#This Row],[Planned TP or DS Date]])</f>
        <v>45818</v>
      </c>
      <c r="Q25" s="259">
        <f>IF(BedPlan[[#This Row],[Days in Cells]]=0,"",IFERROR(_xlfn.XLOOKUP(BedPlan[[#This Row],[Follows Crop]],BedPlan[Identifier],BedPlan[Expected End of Harvest]) + 1+BedPlan[[#This Row],[Follow Offset]],BedPlan[[#This Row],[Fixed Field Start Date]])-BedPlan[[#This Row],[Days in Cells]])</f>
        <v>45818</v>
      </c>
      <c r="R25" s="259">
        <v>45829</v>
      </c>
      <c r="S25" s="259">
        <f>IF(ISNUMBER(BedPlan[[#This Row],[Actual Greenhouse Date]]),BedPlan[[#This Row],[Actual Greenhouse Date]],BedPlan[[#This Row],[Planned Greenhouse Start Date]])</f>
        <v>45829</v>
      </c>
      <c r="T25" s="259">
        <v>45853</v>
      </c>
      <c r="U25" s="260"/>
      <c r="V25" s="260"/>
      <c r="W2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25" s="259"/>
      <c r="Y25" s="271">
        <f>BedPlan[[#This Row],[Actual TP or DS Date]]-BedPlan[[#This Row],[Planned TP or DS Date]]</f>
        <v>-45864</v>
      </c>
      <c r="Z25" s="259">
        <f>IF(ISNUMBER(BedPlan[[#This Row],[Actual TP or DS Date]]),BedPlan[[#This Row],[Actual TP or DS Date]],BedPlan[[#This Row],[Planned TP or DS Date]])</f>
        <v>45864</v>
      </c>
      <c r="AA25" s="260"/>
      <c r="AB25" s="259">
        <f>IF(ISNUMBER(BedPlan[[#This Row],[Greenhouse Start Date]]),BedPlan[[#This Row],[Greenhouse Start Date]]+BedPlan[[#This Row],[DTM]],BedPlan[[#This Row],[TP or DS Date]]+BedPlan[[#This Row],[DTM]])</f>
        <v>45949</v>
      </c>
      <c r="AC25" s="259"/>
      <c r="AD25" s="259">
        <f>IF(ISNUMBER(BedPlan[[#This Row],[Actual Beginning of Harvest]]),BedPlan[[#This Row],[Actual Beginning of Harvest]],BedPlan[[#This Row],[Expected Beginning of Harvest]])</f>
        <v>45949</v>
      </c>
      <c r="AE25" s="259">
        <f>BedPlan[[#This Row],[Expected Beginning of Harvest]]+BedPlan[[#This Row],[Harvest Window]]+BedPlan[[#This Row],[Additional Days of Harvest]]</f>
        <v>45970</v>
      </c>
      <c r="AF25" s="259"/>
      <c r="AG25" s="259"/>
      <c r="AH25" s="31" t="b">
        <f>IF(AND( BedPlan[[#This Row],[Expected End of Harvest]] &gt;= DATE(2025, 8, 1), BedPlan[[#This Row],[Beginning of Harvest]] &lt;= DATE(2025, 8, 31) ), TRUE, FALSE)</f>
        <v>0</v>
      </c>
      <c r="AI25" s="31"/>
      <c r="AJ25" s="31">
        <f>IF(ISNUMBER(BedPlan[[#This Row],[Actual End of Harvest]]),BedPlan[[#This Row],[Actual End of Harvest]],BedPlan[[#This Row],[Expected End of Harvest]])</f>
        <v>45970</v>
      </c>
      <c r="AK25" t="b">
        <f>OR(ISNUMBER(BedPlan[[#This Row],[Actual Greenhouse Date]]),ISNUMBER(BedPlan[[#This Row],[Actual TP or DS Date]]))</f>
        <v>1</v>
      </c>
      <c r="AL25" s="52" t="b">
        <f>IF(ISNUMBER(BedPlan[[#This Row],[Planned Greenhouse Start Date]]),OR(ISNUMBER(BedPlan[[#This Row],[Actual TP or DS Date]]),BedPlan[[#This Row],[Failed]]),"-")</f>
        <v>0</v>
      </c>
      <c r="AM25" t="b">
        <f>OR(ISNUMBER(BedPlan[[#This Row],[Actual End of Harvest]]),BedPlan[[#This Row],[Failed]])</f>
        <v>0</v>
      </c>
      <c r="AN25" t="b">
        <f>OR(BedPlan[[#This Row],[Harvest Done]],BedPlan[[#This Row],[Failed]],BedPlan[[#This Row],[Name]]="Tarp")</f>
        <v>0</v>
      </c>
      <c r="AS25" s="26" t="str">
        <f>IF(BedPlan[[#This Row],[Broadfork]],BedPlan[[#This Row],[Actual TP or DS Date]],"")</f>
        <v/>
      </c>
      <c r="AT25" s="26" t="str">
        <f>IF(BedPlan[[#This Row],[Tilther]],BedPlan[[#This Row],[Actual TP or DS Date]],"")</f>
        <v/>
      </c>
      <c r="AU25" s="26" t="str">
        <f>IF(NOT(ISBLANK(BedPlan[[#This Row],[Amend]])),BedPlan[[#This Row],[Actual TP or DS Date]],"")</f>
        <v/>
      </c>
      <c r="AV25" s="26" t="str">
        <f>IF(BedPlan[[#This Row],[Row Cover]],BedPlan[[#This Row],[Actual TP or DS Date]],"")</f>
        <v/>
      </c>
      <c r="AX25" s="26"/>
      <c r="AZ25" s="26"/>
      <c r="BB25" s="26"/>
      <c r="BC25" s="231" cm="1">
        <f t="array" ref="BC25">INDEX(Crops[],BedPlan[[#This Row],[Chart Index]],BC$4,1)*BedPlan[[#This Row],[Full Bed Equivalent]]</f>
        <v>586.66666666666663</v>
      </c>
      <c r="BD25" s="231" cm="1">
        <f t="array" ref="BD25">INDEX(Crops[],BedPlan[[#This Row],[Chart Index]],BD$4,1)*BedPlan[[#This Row],[Full Bed Equivalent]]</f>
        <v>5.5345911949685531</v>
      </c>
      <c r="BE25" cm="1">
        <f t="array" ref="BE25">INDEX(Crops[],BedPlan[[#This Row],[Chart Index]],BE$4,1)+BedPlan[[#This Row],[Additional Days in Cells]]+BedPlan[[#This Row],[Additional Days In Field]]</f>
        <v>120</v>
      </c>
      <c r="BG25" cm="1">
        <f t="array" ref="BG25">INDEX(Crops[],BedPlan[[#This Row],[Chart Index]],BG$4,1)</f>
        <v>21</v>
      </c>
      <c r="BH25" t="str">
        <f>IF(ISNUMBER(BedPlan[[#This Row],[Planned Greenhouse Start Date]]),"TP","DS")</f>
        <v>TP</v>
      </c>
      <c r="BI25">
        <f>BedPlan[[#This Row],['# Of Beds]]</f>
        <v>1</v>
      </c>
      <c r="BJ25" cm="1">
        <f t="array" ref="BJ25">INDEX(Crops[],BedPlan[[#This Row],[Chart Index]],BJ$4,1)</f>
        <v>35</v>
      </c>
      <c r="BK25" cm="1">
        <f t="array" ref="BK25">INDEX(Crops[],BedPlan[[#This Row],[Chart Index]],BK$4,1)</f>
        <v>2</v>
      </c>
      <c r="BL25" cm="1">
        <f t="array" ref="BL25">INDEX(Crops[],BedPlan[[#This Row],[Chart Index]],BL$4,1)</f>
        <v>18</v>
      </c>
      <c r="BM25" cm="1">
        <f t="array" ref="BM25">INDEX(Crops[],BedPlan[[#This Row],[Chart Index]],BM$4,1)</f>
        <v>1</v>
      </c>
      <c r="BN25" s="32" cm="1">
        <f t="array" ref="BN25">INDEX(Crops[],BedPlan[[#This Row],[Chart Index]],BN$4,1)*BedPlan[[#This Row],[Full Bed Equivalent]]</f>
        <v>66.666666666666657</v>
      </c>
      <c r="BO25" t="str" cm="1">
        <f t="array" ref="BO25">IF(INDEX(Crops[],BedPlan[[#This Row],[Chart Index]],BO$4,1)=0,"",INDEX(Crops[],BedPlan[[#This Row],[Chart Index]],BO$4,1))</f>
        <v/>
      </c>
      <c r="BP25">
        <f>MATCH(BedPlan[[#This Row],[Crop]],Crops[Identifier],FALSE)</f>
        <v>47</v>
      </c>
      <c r="BQ25" t="str" cm="1">
        <f t="array" ref="BQ25">INDEX(Crops[],BedPlan[[#This Row],[Chart Index]],BQ$4,1)</f>
        <v>General</v>
      </c>
      <c r="BR25" t="str" cm="1">
        <f t="array" ref="BR25">INDEX(Crops[],BedPlan[[#This Row],[Chart Index]],BR$4,1)</f>
        <v>Fa</v>
      </c>
      <c r="BS25" s="32">
        <f>BedPlan[[#This Row],[Expected Beginning of Harvest]]-DATE(2023,1,1)</f>
        <v>1022</v>
      </c>
      <c r="BT25">
        <f>BedPlan[[#This Row],[Expected End of Harvest]]-BedPlan[[#This Row],[Expected Beginning of Harvest]]</f>
        <v>21</v>
      </c>
      <c r="BU25" t="str" cm="1">
        <f t="array" ref="BU25">INDEX(Crops[],BedPlan[[#This Row],[Chart Index]],BU$4,1)</f>
        <v>Brassica</v>
      </c>
      <c r="BV25" cm="1">
        <f t="array" ref="BV25">INDEX(Crops[],BedPlan[[#This Row],[Chart Index]],BV$4,1)</f>
        <v>1.5</v>
      </c>
      <c r="BW25" t="str" cm="1">
        <f t="array" ref="BW25">INDEX(Crops[],BedPlan[[#This Row],[Chart Index]],BW$4,1)</f>
        <v>AMAP</v>
      </c>
      <c r="BX25" cm="1">
        <f t="array" ref="BX25">INDEX(Crops[],BedPlan[[#This Row],[Chart Index]],BX$4,1)</f>
        <v>400</v>
      </c>
      <c r="BY25" cm="1">
        <f t="array" ref="BY25">INDEX(Crops[],BedPlan[[#This Row],[Chart Index]],BY$4,1)</f>
        <v>7</v>
      </c>
      <c r="BZ25" s="49" cm="1">
        <f t="array" ref="BZ25">IFERROR(INDEX(Crops[],BedPlan[[#This Row],[Chart Index]],BZ$4,1)*BedPlan[[#This Row],[Full Bed Equivalent]],"")</f>
        <v>0.18333333333333332</v>
      </c>
      <c r="CA25" cm="1">
        <f t="array" ref="CA25">INDEX(Crops[],BedPlan[[#This Row],[Chart Index]],CA$4,1)</f>
        <v>72</v>
      </c>
      <c r="CB25" cm="1">
        <f t="array" ref="CB25">INDEX(Crops[],BedPlan[[#This Row],[Chart Index]],CB$4,1)</f>
        <v>28</v>
      </c>
      <c r="CC25" s="49" cm="1">
        <f t="array" ref="CC25">IFERROR(INDEX(Crops[],BedPlan[[#This Row],[Chart Index]],CC$4,1)*BedPlan[[#This Row],[Full Bed Equivalent]],"")</f>
        <v>1.0185185185185184</v>
      </c>
      <c r="CD25" cm="1">
        <f t="array" ref="CD25">INDEX(Crops[],BedPlan[[#This Row],[Chart Index]],CD$4,1)</f>
        <v>0</v>
      </c>
      <c r="CE25" cm="1">
        <f t="array" ref="CE25">IF(INDEX(Crops[],BedPlan[[#This Row],[Chart Index]],CE$4,1)="",0,INDEX(Crops[],BedPlan[[#This Row],[Chart Index]],CE$4,1))</f>
        <v>0</v>
      </c>
      <c r="CF25" s="49" t="str" cm="1">
        <f t="array" ref="CF25">IFERROR(INDEX(Crops[],BedPlan[[#This Row],[Chart Index]],CF$4,1)*BedPlan[[#This Row],[Full Bed Equivalent]],"")</f>
        <v/>
      </c>
      <c r="CG25" cm="1">
        <f t="array" ref="CG25">IF(INDEX(Crops[],BedPlan[[#This Row],[Chart Index]],CG$4,1)="",0,INDEX(Crops[],BedPlan[[#This Row],[Chart Index]],CG$4,1))</f>
        <v>1.1000000000000001</v>
      </c>
      <c r="CH25" cm="1">
        <f t="array" ref="CH25">IF(INDEX(Crops[],BedPlan[[#This Row],[Chart Index]],CH$4,1)="",0,INDEX(Crops[],BedPlan[[#This Row],[Chart Index]],CH$4,1))</f>
        <v>0</v>
      </c>
      <c r="CI25" t="str" cm="1">
        <f t="array" ref="CI25">INDEX(Crops[],BedPlan[[#This Row],[Chart Index]],CI$4,1)</f>
        <v>Field</v>
      </c>
      <c r="CJ25" s="30" t="str">
        <f>_xlfn.TEXTJOIN(CHAR(10),FALSE,BedPlan[[#This Row],[Name]],BedPlan[[#This Row],[Variety]],BedPlan[[#This Row],[Company]])</f>
        <v xml:space="preserve">Cabbage
Cabbage Fall Mix
</v>
      </c>
      <c r="CK25" s="32">
        <f>MAX( 0, MIN(BedPlan[[#This Row],[Expected End of Harvest]], EOMONTH(CK$4, 0)) - MAX(BedPlan[[#This Row],[Beginning of Harvest]], CK$4) + 1 )</f>
        <v>0</v>
      </c>
      <c r="CL25">
        <f>MAX( 0, MIN(BedPlan[[#This Row],[Expected End of Harvest]], EOMONTH(CL$4, 0)) - MAX(BedPlan[[#This Row],[Beginning of Harvest]], CL$4) + 1 )</f>
        <v>0</v>
      </c>
      <c r="CM25">
        <f>MAX( 0, MIN(BedPlan[[#This Row],[Expected End of Harvest]], EOMONTH(CM$4, 0)) - MAX(BedPlan[[#This Row],[Beginning of Harvest]], CM$4) + 1 )</f>
        <v>0</v>
      </c>
      <c r="CN25">
        <f>MAX( 0, MIN(BedPlan[[#This Row],[Expected End of Harvest]], EOMONTH(CN$4, 0)) - MAX(BedPlan[[#This Row],[Beginning of Harvest]], CN$4) + 1 )</f>
        <v>0</v>
      </c>
      <c r="CO25">
        <f>MAX( 0, MIN(BedPlan[[#This Row],[Expected End of Harvest]], EOMONTH(CO$4, 0)) - MAX(BedPlan[[#This Row],[Beginning of Harvest]], CO$4) + 1 )</f>
        <v>0</v>
      </c>
      <c r="CP25">
        <f>MAX( 0, MIN(BedPlan[[#This Row],[Expected End of Harvest]], EOMONTH(CP$4, 0)) - MAX(BedPlan[[#This Row],[Beginning of Harvest]], CP$4) + 1 )</f>
        <v>0</v>
      </c>
      <c r="CQ25">
        <f>MAX( 0, MIN(BedPlan[[#This Row],[Expected End of Harvest]], EOMONTH(CQ$4, 0)) - MAX(BedPlan[[#This Row],[Beginning of Harvest]], CQ$4) + 1 )</f>
        <v>0</v>
      </c>
      <c r="CR25">
        <f>MAX( 0, MIN(BedPlan[[#This Row],[Expected End of Harvest]], EOMONTH(CR$4, 0)) - MAX(BedPlan[[#This Row],[Beginning of Harvest]], CR$4) + 1 )</f>
        <v>0</v>
      </c>
      <c r="CS25">
        <f>MAX( 0, MIN(BedPlan[[#This Row],[Expected End of Harvest]], EOMONTH(CS$4, 0)) - MAX(BedPlan[[#This Row],[Beginning of Harvest]], CS$4) + 1 )</f>
        <v>0</v>
      </c>
      <c r="CT25">
        <f>MAX( 0, MIN(BedPlan[[#This Row],[Expected End of Harvest]], EOMONTH(CT$4, 0)) - MAX(BedPlan[[#This Row],[Beginning of Harvest]], CT$4) + 1 )</f>
        <v>13</v>
      </c>
      <c r="CU25">
        <f>MAX( 0, MIN(BedPlan[[#This Row],[Expected End of Harvest]], EOMONTH(CU$4, 0)) - MAX(BedPlan[[#This Row],[Beginning of Harvest]], CU$4) + 1 )</f>
        <v>9</v>
      </c>
      <c r="CV25">
        <f>MAX( 0, MIN(BedPlan[[#This Row],[Expected End of Harvest]], EOMONTH(CV$4, 0)) - MAX(BedPlan[[#This Row],[Beginning of Harvest]], CV$4) + 1 )</f>
        <v>0</v>
      </c>
      <c r="CW25">
        <f>MAX( 0, MIN(BedPlan[[#This Row],[Expected End of Harvest]], EOMONTH(CW$4, 0)) - MAX(BedPlan[[#This Row],[Beginning of Harvest]], CW$4) + 1 )</f>
        <v>0</v>
      </c>
      <c r="CX25">
        <f>MAX( 0, MIN(BedPlan[[#This Row],[Expected End of Harvest]], EOMONTH(CX$4, 0)) - MAX(BedPlan[[#This Row],[Beginning of Harvest]], CX$4) + 1 )</f>
        <v>0</v>
      </c>
      <c r="CY25">
        <f>MAX( 0, MIN(BedPlan[[#This Row],[Expected End of Harvest]], EOMONTH(CY$4, 0)) - MAX(BedPlan[[#This Row],[Beginning of Harvest]], CY$4) + 1 )</f>
        <v>0</v>
      </c>
      <c r="CZ25">
        <f>MAX( 0, MIN(BedPlan[[#This Row],[Expected End of Harvest]], EOMONTH(CZ$4, 0)) - MAX(BedPlan[[#This Row],[Beginning of Harvest]], CZ$4) + 1 )</f>
        <v>0</v>
      </c>
      <c r="DA25">
        <f>MAX( 0, MIN(BedPlan[[#This Row],[Expected End of Harvest]], EOMONTH(DA$4, 0)) - MAX(BedPlan[[#This Row],[Beginning of Harvest]], DA$4) + 1 )</f>
        <v>0</v>
      </c>
      <c r="DB25">
        <f>MAX( 0, MIN(BedPlan[[#This Row],[Expected End of Harvest]], EOMONTH(DB$4, 0)) - MAX(BedPlan[[#This Row],[Beginning of Harvest]], DB$4) + 1 )</f>
        <v>0</v>
      </c>
      <c r="DC25">
        <f>MAX( 0, MIN(BedPlan[[#This Row],[Expected End of Harvest]], EOMONTH(DC$4, 0)) - MAX(BedPlan[[#This Row],[Beginning of Harvest]], DC$4) + 1 )</f>
        <v>0</v>
      </c>
      <c r="DD25">
        <f>MAX( 0, MIN(BedPlan[[#This Row],[Expected End of Harvest]], EOMONTH(DD$4, 0)) - MAX(BedPlan[[#This Row],[Beginning of Harvest]], DD$4) + 1 )</f>
        <v>0</v>
      </c>
      <c r="DE25">
        <f>MAX( 0, MIN(BedPlan[[#This Row],[Expected End of Harvest]], EOMONTH(DE$4, 0)) - MAX(BedPlan[[#This Row],[Beginning of Harvest]], DE$4) + 1 )</f>
        <v>0</v>
      </c>
      <c r="DF25">
        <f>MAX( 0, MIN(BedPlan[[#This Row],[Expected End of Harvest]], EOMONTH(DF$4, 0)) - MAX(BedPlan[[#This Row],[Beginning of Harvest]], DF$4) + 1 )</f>
        <v>0</v>
      </c>
      <c r="DG25">
        <f>MAX( 0, MIN(BedPlan[[#This Row],[Expected End of Harvest]], EOMONTH(DG$4, 0)) - MAX(BedPlan[[#This Row],[Beginning of Harvest]], DG$4) + 1 )</f>
        <v>0</v>
      </c>
      <c r="DH25">
        <f>MAX( 0, MIN(BedPlan[[#This Row],[Expected End of Harvest]], EOMONTH(DH$4, 0)) - MAX(BedPlan[[#This Row],[Beginning of Harvest]], DH$4) + 1 )</f>
        <v>0</v>
      </c>
      <c r="DI25" s="257" cm="1">
        <f t="array" ref="DI25">BedPlan[[#This Row],[Harvest Days January 2025]]/SUM(BedPlan[[#This Row],[Harvest Days January 2025]:[Harvest Days December 2026]])*BedPlan[[#This Row],[Revenue]:[Revenue]]</f>
        <v>0</v>
      </c>
      <c r="DJ25" s="257" cm="1">
        <f t="array" ref="DJ25">BedPlan[[#This Row],[Harvest Days February 2025]]/SUM(BedPlan[[#This Row],[Harvest Days January 2025]:[Harvest Days December 2026]])*BedPlan[[#This Row],[Revenue]:[Revenue]]</f>
        <v>0</v>
      </c>
      <c r="DK25" s="257" cm="1">
        <f t="array" ref="DK25">BedPlan[[#This Row],[Harvest Days March 2025]]/SUM(BedPlan[[#This Row],[Harvest Days January 2025]:[Harvest Days December 2026]])*BedPlan[[#This Row],[Revenue]:[Revenue]]</f>
        <v>0</v>
      </c>
      <c r="DL25" s="257" cm="1">
        <f t="array" ref="DL25">BedPlan[[#This Row],[Harvest Days April 2025]]/SUM(BedPlan[[#This Row],[Harvest Days January 2025]:[Harvest Days December 2026]])*BedPlan[[#This Row],[Revenue]:[Revenue]]</f>
        <v>0</v>
      </c>
      <c r="DM25" s="257" cm="1">
        <f t="array" ref="DM25">BedPlan[[#This Row],[Harvest Days May 2025]]/SUM(BedPlan[[#This Row],[Harvest Days January 2025]:[Harvest Days December 2026]])*BedPlan[[#This Row],[Revenue]:[Revenue]]</f>
        <v>0</v>
      </c>
      <c r="DN25" s="257" cm="1">
        <f t="array" ref="DN25">BedPlan[[#This Row],[Harvest Days June 2025]]/SUM(BedPlan[[#This Row],[Harvest Days January 2025]:[Harvest Days December 2026]])*BedPlan[[#This Row],[Revenue]:[Revenue]]</f>
        <v>0</v>
      </c>
      <c r="DO25" s="257" cm="1">
        <f t="array" ref="DO25">BedPlan[[#This Row],[Harvest Days July 2025]]/SUM(BedPlan[[#This Row],[Harvest Days January 2025]:[Harvest Days December 2026]])*BedPlan[[#This Row],[Revenue]:[Revenue]]</f>
        <v>0</v>
      </c>
      <c r="DP25" s="257" cm="1">
        <f t="array" ref="DP25">BedPlan[[#This Row],[Harvest Days August 2025]]/SUM(BedPlan[[#This Row],[Harvest Days January 2025]:[Harvest Days December 2026]])*BedPlan[[#This Row],[Revenue]:[Revenue]]</f>
        <v>0</v>
      </c>
      <c r="DQ25" s="257" cm="1">
        <f t="array" ref="DQ25">BedPlan[[#This Row],[Harvest Days September 2025]]/SUM(BedPlan[[#This Row],[Harvest Days January 2025]:[Harvest Days December 2026]])*BedPlan[[#This Row],[Revenue]:[Revenue]]</f>
        <v>0</v>
      </c>
      <c r="DR25" s="257" cm="1">
        <f t="array" ref="DR25">BedPlan[[#This Row],[Harvest Days October 2025]]/SUM(BedPlan[[#This Row],[Harvest Days January 2025]:[Harvest Days December 2026]])*BedPlan[[#This Row],[Revenue]:[Revenue]]</f>
        <v>346.66666666666669</v>
      </c>
      <c r="DS25" s="257" cm="1">
        <f t="array" ref="DS25">BedPlan[[#This Row],[Harvest Days November 2025]]/SUM(BedPlan[[#This Row],[Harvest Days January 2025]:[Harvest Days December 2026]])*BedPlan[[#This Row],[Revenue]:[Revenue]]</f>
        <v>240</v>
      </c>
      <c r="DT25" s="257" cm="1">
        <f t="array" ref="DT25">BedPlan[[#This Row],[Harvest Days December 2025]]/SUM(BedPlan[[#This Row],[Harvest Days January 2025]:[Harvest Days December 2026]])*BedPlan[[#This Row],[Revenue]:[Revenue]]</f>
        <v>0</v>
      </c>
      <c r="DU25" s="257" cm="1">
        <f t="array" ref="DU25">BedPlan[[#This Row],[Harvest Days January 2026]]/SUM(BedPlan[[#This Row],[Harvest Days January 2025]:[Harvest Days December 2026]])*BedPlan[[#This Row],[Revenue]:[Revenue]]</f>
        <v>0</v>
      </c>
      <c r="DV25" s="257" cm="1">
        <f t="array" ref="DV25">BedPlan[[#This Row],[Harvest Days February 2026]]/SUM(BedPlan[[#This Row],[Harvest Days January 2025]:[Harvest Days December 2026]])*BedPlan[[#This Row],[Revenue]:[Revenue]]</f>
        <v>0</v>
      </c>
      <c r="DW25" s="257" cm="1">
        <f t="array" ref="DW25">BedPlan[[#This Row],[Harvest Days March 2026]]/SUM(BedPlan[[#This Row],[Harvest Days January 2025]:[Harvest Days December 2026]])*BedPlan[[#This Row],[Revenue]:[Revenue]]</f>
        <v>0</v>
      </c>
      <c r="DX25" s="257" cm="1">
        <f t="array" ref="DX25">BedPlan[[#This Row],[Harvest Days April 2026]]/SUM(BedPlan[[#This Row],[Harvest Days January 2025]:[Harvest Days December 2026]])*BedPlan[[#This Row],[Revenue]:[Revenue]]</f>
        <v>0</v>
      </c>
      <c r="DY25" s="257" cm="1">
        <f t="array" ref="DY25">BedPlan[[#This Row],[Harvest Days May 2026]]/SUM(BedPlan[[#This Row],[Harvest Days January 2025]:[Harvest Days December 2026]])*BedPlan[[#This Row],[Revenue]:[Revenue]]</f>
        <v>0</v>
      </c>
      <c r="DZ25" s="257" cm="1">
        <f t="array" ref="DZ25">BedPlan[[#This Row],[Harvest Days June 2026]]/SUM(BedPlan[[#This Row],[Harvest Days January 2025]:[Harvest Days December 2026]])*BedPlan[[#This Row],[Revenue]:[Revenue]]</f>
        <v>0</v>
      </c>
      <c r="EA25" s="257" cm="1">
        <f t="array" ref="EA25">BedPlan[[#This Row],[Harvest Days July 2026]]/SUM(BedPlan[[#This Row],[Harvest Days January 2025]:[Harvest Days December 2026]])*BedPlan[[#This Row],[Revenue]:[Revenue]]</f>
        <v>0</v>
      </c>
      <c r="EB25" s="257" cm="1">
        <f t="array" ref="EB25">BedPlan[[#This Row],[Harvest Days August 2026]]/SUM(BedPlan[[#This Row],[Harvest Days January 2025]:[Harvest Days December 2026]])*BedPlan[[#This Row],[Revenue]:[Revenue]]</f>
        <v>0</v>
      </c>
      <c r="EC25" s="257" cm="1">
        <f t="array" ref="EC25">BedPlan[[#This Row],[Harvest Days September 2026]]/SUM(BedPlan[[#This Row],[Harvest Days January 2025]:[Harvest Days December 2026]])*BedPlan[[#This Row],[Revenue]:[Revenue]]</f>
        <v>0</v>
      </c>
      <c r="ED25" s="257" cm="1">
        <f t="array" ref="ED25">BedPlan[[#This Row],[Harvest Days October 2026]]/SUM(BedPlan[[#This Row],[Harvest Days January 2025]:[Harvest Days December 2026]])*BedPlan[[#This Row],[Revenue]:[Revenue]]</f>
        <v>0</v>
      </c>
      <c r="EE25" s="257" cm="1">
        <f t="array" ref="EE25">BedPlan[[#This Row],[Harvest Days November 2026]]/SUM(BedPlan[[#This Row],[Harvest Days January 2025]:[Harvest Days December 2026]])*BedPlan[[#This Row],[Revenue]:[Revenue]]</f>
        <v>0</v>
      </c>
      <c r="EF25" s="257" cm="1">
        <f t="array" ref="EF25">BedPlan[[#This Row],[Harvest Days December 2026]]/SUM(BedPlan[[#This Row],[Harvest Days January 2025]:[Harvest Days December 2026]])*BedPlan[[#This Row],[Revenue]:[Revenue]]</f>
        <v>0</v>
      </c>
      <c r="EG25" t="b">
        <f>SUM(BedPlan[[#This Row],[Revenue January 2025]:[Revenue December 2026]])=BedPlan[[#This Row],[Revenue]]</f>
        <v>1</v>
      </c>
      <c r="EH25" s="30" cm="1">
        <f t="array" ref="EH25">INDEX(Crops[],BedPlan[[#This Row],[Chart Index]],EH$4,1)*BedPlan[[#This Row],['# Of Beds]]</f>
        <v>66.666666666666657</v>
      </c>
      <c r="EI25" s="30" t="str" cm="1">
        <f t="array" ref="EI25">INDEX(Crops[],BedPlan[[#This Row],[Chart Index]],EI$4,1)</f>
        <v>Head</v>
      </c>
      <c r="EJ25" s="30" t="str" cm="1">
        <f t="array" ref="EJ25">INDEX(Crops[],BedPlan[[#This Row],[Chart Index]],EJ$4,1)</f>
        <v>Large Head</v>
      </c>
      <c r="EK25" s="30" t="str">
        <f>BedPlan[[#This Row],[Name]]&amp;" "&amp;BedPlan[[#This Row],[Product]]&amp; " - " &amp;BedPlan[[#This Row],[Unit]]</f>
        <v>Cabbage Large Head - Head</v>
      </c>
      <c r="EL25" s="33" cm="1">
        <f t="array" ref="EL25">BedPlan[[#This Row],[Harvest Days January 2025]]/SUM(BedPlan[[#This Row],[Harvest Days January 2025]:[Harvest Days December 2026]])*BedPlan[[#This Row],[Yield]:[Yield]]</f>
        <v>0</v>
      </c>
      <c r="EM25" s="33" cm="1">
        <f t="array" ref="EM25">BedPlan[[#This Row],[Harvest Days February 2025]]/SUM(BedPlan[[#This Row],[Harvest Days January 2025]:[Harvest Days December 2026]])*BedPlan[[#This Row],[Yield]:[Yield]]</f>
        <v>0</v>
      </c>
      <c r="EN25" s="33" cm="1">
        <f t="array" ref="EN25">BedPlan[[#This Row],[Harvest Days March 2025]]/SUM(BedPlan[[#This Row],[Harvest Days January 2025]:[Harvest Days December 2026]])*BedPlan[[#This Row],[Yield]:[Yield]]</f>
        <v>0</v>
      </c>
      <c r="EO25" s="33" cm="1">
        <f t="array" ref="EO25">BedPlan[[#This Row],[Harvest Days April 2025]]/SUM(BedPlan[[#This Row],[Harvest Days January 2025]:[Harvest Days December 2026]])*BedPlan[[#This Row],[Yield]:[Yield]]</f>
        <v>0</v>
      </c>
      <c r="EP25" s="33" cm="1">
        <f t="array" ref="EP25">BedPlan[[#This Row],[Harvest Days May 2025]]/SUM(BedPlan[[#This Row],[Harvest Days January 2025]:[Harvest Days December 2026]])*BedPlan[[#This Row],[Yield]:[Yield]]</f>
        <v>0</v>
      </c>
      <c r="EQ25" s="33" cm="1">
        <f t="array" ref="EQ25">BedPlan[[#This Row],[Harvest Days June 2025]]/SUM(BedPlan[[#This Row],[Harvest Days January 2025]:[Harvest Days December 2026]])*BedPlan[[#This Row],[Yield]:[Yield]]</f>
        <v>0</v>
      </c>
      <c r="ER25" s="33" cm="1">
        <f t="array" ref="ER25">BedPlan[[#This Row],[Harvest Days July 2025]]/SUM(BedPlan[[#This Row],[Harvest Days January 2025]:[Harvest Days December 2026]])*BedPlan[[#This Row],[Yield]:[Yield]]</f>
        <v>0</v>
      </c>
      <c r="ES25" s="33" cm="1">
        <f t="array" ref="ES25">BedPlan[[#This Row],[Harvest Days August 2025]]/SUM(BedPlan[[#This Row],[Harvest Days January 2025]:[Harvest Days December 2026]])*BedPlan[[#This Row],[Yield]:[Yield]]</f>
        <v>0</v>
      </c>
      <c r="ET25" s="33" cm="1">
        <f t="array" ref="ET25">BedPlan[[#This Row],[Harvest Days September 2025]]/SUM(BedPlan[[#This Row],[Harvest Days January 2025]:[Harvest Days December 2026]])*BedPlan[[#This Row],[Yield]:[Yield]]</f>
        <v>0</v>
      </c>
      <c r="EU25" s="33" cm="1">
        <f t="array" ref="EU25">BedPlan[[#This Row],[Harvest Days October 2025]]/SUM(BedPlan[[#This Row],[Harvest Days January 2025]:[Harvest Days December 2026]])*BedPlan[[#This Row],[Yield]:[Yield]]</f>
        <v>39.393939393939391</v>
      </c>
      <c r="EV25" s="33" cm="1">
        <f t="array" ref="EV25">BedPlan[[#This Row],[Harvest Days November 2025]]/SUM(BedPlan[[#This Row],[Harvest Days January 2025]:[Harvest Days December 2026]])*BedPlan[[#This Row],[Yield]:[Yield]]</f>
        <v>27.27272727272727</v>
      </c>
      <c r="EW25" s="33" cm="1">
        <f t="array" ref="EW25">BedPlan[[#This Row],[Harvest Days December 2025]]/SUM(BedPlan[[#This Row],[Harvest Days January 2025]:[Harvest Days December 2026]])*BedPlan[[#This Row],[Yield]:[Yield]]</f>
        <v>0</v>
      </c>
    </row>
    <row r="26" spans="1:153" ht="15.75" customHeight="1">
      <c r="A26" s="191" t="s">
        <v>2598</v>
      </c>
      <c r="B26" t="s">
        <v>2629</v>
      </c>
      <c r="C26" t="s">
        <v>1493</v>
      </c>
      <c r="D26" cm="1">
        <f t="array" ref="D26">INDEX(Crops[],BedPlan[[#This Row],[Chart Index]],D$4,1)*BedPlan[[#This Row],[Full Bed Equivalent]]</f>
        <v>40</v>
      </c>
      <c r="E26" cm="1">
        <f t="array" ref="E26">INDEX(Crops[],BedPlan[[#This Row],[Chart Index]],E$4,1)*BedPlan[[#This Row],[Full Bed Equivalent]]</f>
        <v>80</v>
      </c>
      <c r="F26" t="str">
        <f>UPPER(LEFT(BedPlan[[#This Row],[Crop]],3))</f>
        <v>CAB</v>
      </c>
      <c r="H26" s="143" t="str" cm="1">
        <f t="array" ref="H26">INDEX(Crops[],BedPlan[[#This Row],[Chart Index]],H$4,1)</f>
        <v>Cabbage</v>
      </c>
      <c r="I26" t="s">
        <v>1905</v>
      </c>
      <c r="K26" t="str" cm="1">
        <f t="array" ref="K26">IF(ISNUMBER(MATCH(BedPlan[[#This Row],[Variety]],SeedMixes[Name],)),_xlfn.TEXTJOIN(", ",TRUE,_xlfn._xlws.FILTER(SeedMixes[Variety &amp; Company],SeedMixes[Name]=BedPlan[[#This Row],[Variety]])),"")</f>
        <v>Bilko F1 High Mowing, Emiko F1 High Mowing, Merlot Johnny's</v>
      </c>
      <c r="L26" s="33" cm="1">
        <f t="array" ref="L26">INDEX(Crops[],BedPlan[[#This Row],[Chart Index]],L$4,1)*BedPlan[[#This Row],[Full Bed Equivalent]]</f>
        <v>176</v>
      </c>
      <c r="N26">
        <f>1</f>
        <v>1</v>
      </c>
      <c r="O26">
        <f>MAX(BedPlan[[#This Row],['# Of Beds]],0.5)</f>
        <v>1</v>
      </c>
      <c r="P26" s="31">
        <f>IF(ISNUMBER(BedPlan[[#This Row],[Planned Greenhouse Start Date]]),BedPlan[[#This Row],[Planned Greenhouse Start Date]],BedPlan[[#This Row],[Planned TP or DS Date]])</f>
        <v>45817</v>
      </c>
      <c r="Q26" s="259">
        <f>IF(BedPlan[[#This Row],[Days in Cells]]=0,"",IFERROR(_xlfn.XLOOKUP(BedPlan[[#This Row],[Follows Crop]],BedPlan[Identifier],BedPlan[Expected End of Harvest]) + 1+BedPlan[[#This Row],[Follow Offset]],BedPlan[[#This Row],[Fixed Field Start Date]])-BedPlan[[#This Row],[Days in Cells]])</f>
        <v>45817</v>
      </c>
      <c r="R26" s="259">
        <v>45829</v>
      </c>
      <c r="S26" s="259">
        <f>IF(ISNUMBER(BedPlan[[#This Row],[Actual Greenhouse Date]]),BedPlan[[#This Row],[Actual Greenhouse Date]],BedPlan[[#This Row],[Planned Greenhouse Start Date]])</f>
        <v>45829</v>
      </c>
      <c r="T26" s="259">
        <v>45845</v>
      </c>
      <c r="U26" s="260"/>
      <c r="V26" s="260"/>
      <c r="W2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45857</v>
      </c>
      <c r="X26" s="259"/>
      <c r="Y26" s="271">
        <f>BedPlan[[#This Row],[Actual TP or DS Date]]-BedPlan[[#This Row],[Planned TP or DS Date]]</f>
        <v>-45857</v>
      </c>
      <c r="Z26" s="259">
        <f>IF(ISNUMBER(BedPlan[[#This Row],[Actual TP or DS Date]]),BedPlan[[#This Row],[Actual TP or DS Date]],BedPlan[[#This Row],[Planned TP or DS Date]])</f>
        <v>45857</v>
      </c>
      <c r="AA26" s="260"/>
      <c r="AB26" s="259">
        <f>IF(ISNUMBER(BedPlan[[#This Row],[Greenhouse Start Date]]),BedPlan[[#This Row],[Greenhouse Start Date]]+BedPlan[[#This Row],[DTM]],BedPlan[[#This Row],[TP or DS Date]]+BedPlan[[#This Row],[DTM]])</f>
        <v>45914</v>
      </c>
      <c r="AC26" s="259"/>
      <c r="AD26" s="259">
        <f>IF(ISNUMBER(BedPlan[[#This Row],[Actual Beginning of Harvest]]),BedPlan[[#This Row],[Actual Beginning of Harvest]],BedPlan[[#This Row],[Expected Beginning of Harvest]])</f>
        <v>45914</v>
      </c>
      <c r="AE26" s="259">
        <f>BedPlan[[#This Row],[Expected Beginning of Harvest]]+BedPlan[[#This Row],[Harvest Window]]+BedPlan[[#This Row],[Additional Days of Harvest]]</f>
        <v>45928</v>
      </c>
      <c r="AF26" s="259"/>
      <c r="AG26" s="259"/>
      <c r="AH26" s="31" t="b">
        <f>IF(AND( BedPlan[[#This Row],[Expected End of Harvest]] &gt;= DATE(2025, 8, 1), BedPlan[[#This Row],[Beginning of Harvest]] &lt;= DATE(2025, 8, 31) ), TRUE, FALSE)</f>
        <v>0</v>
      </c>
      <c r="AI26" s="31"/>
      <c r="AJ26" s="31">
        <f>IF(ISNUMBER(BedPlan[[#This Row],[Actual End of Harvest]]),BedPlan[[#This Row],[Actual End of Harvest]],BedPlan[[#This Row],[Expected End of Harvest]])</f>
        <v>45928</v>
      </c>
      <c r="AK26" t="b">
        <f>OR(ISNUMBER(BedPlan[[#This Row],[Actual Greenhouse Date]]),ISNUMBER(BedPlan[[#This Row],[Actual TP or DS Date]]))</f>
        <v>1</v>
      </c>
      <c r="AL26" s="52" t="b">
        <f>IF(ISNUMBER(BedPlan[[#This Row],[Planned Greenhouse Start Date]]),OR(ISNUMBER(BedPlan[[#This Row],[Actual TP or DS Date]]),BedPlan[[#This Row],[Failed]]),"-")</f>
        <v>0</v>
      </c>
      <c r="AM26" t="b">
        <f>OR(ISNUMBER(BedPlan[[#This Row],[Actual End of Harvest]]),BedPlan[[#This Row],[Failed]])</f>
        <v>0</v>
      </c>
      <c r="AN26" t="b">
        <f>OR(BedPlan[[#This Row],[Harvest Done]],BedPlan[[#This Row],[Failed]],BedPlan[[#This Row],[Name]]="Tarp")</f>
        <v>0</v>
      </c>
      <c r="AS26" s="26" t="str">
        <f>IF(BedPlan[[#This Row],[Broadfork]],BedPlan[[#This Row],[Actual TP or DS Date]],"")</f>
        <v/>
      </c>
      <c r="AT26" s="26" t="str">
        <f>IF(BedPlan[[#This Row],[Tilther]],BedPlan[[#This Row],[Actual TP or DS Date]],"")</f>
        <v/>
      </c>
      <c r="AU26" s="26" t="str">
        <f>IF(NOT(ISBLANK(BedPlan[[#This Row],[Amend]])),BedPlan[[#This Row],[Actual TP or DS Date]],"")</f>
        <v/>
      </c>
      <c r="AV26" s="26" t="str">
        <f>IF(BedPlan[[#This Row],[Row Cover]],BedPlan[[#This Row],[Actual TP or DS Date]],"")</f>
        <v/>
      </c>
      <c r="AX26" s="26"/>
      <c r="AZ26" s="26"/>
      <c r="BB26" s="26"/>
      <c r="BC26" s="231" cm="1">
        <f t="array" ref="BC26">INDEX(Crops[],BedPlan[[#This Row],[Chart Index]],BC$4,1)*BedPlan[[#This Row],[Full Bed Equivalent]]</f>
        <v>360</v>
      </c>
      <c r="BD26" s="231" cm="1">
        <f t="array" ref="BD26">INDEX(Crops[],BedPlan[[#This Row],[Chart Index]],BD$4,1)*BedPlan[[#This Row],[Full Bed Equivalent]]</f>
        <v>5.070422535211268</v>
      </c>
      <c r="BE26" cm="1">
        <f t="array" ref="BE26">INDEX(Crops[],BedPlan[[#This Row],[Chart Index]],BE$4,1)+BedPlan[[#This Row],[Additional Days in Cells]]+BedPlan[[#This Row],[Additional Days In Field]]</f>
        <v>85</v>
      </c>
      <c r="BG26" cm="1">
        <f t="array" ref="BG26">INDEX(Crops[],BedPlan[[#This Row],[Chart Index]],BG$4,1)</f>
        <v>14</v>
      </c>
      <c r="BH26" t="str">
        <f>IF(ISNUMBER(BedPlan[[#This Row],[Planned Greenhouse Start Date]]),"TP","DS")</f>
        <v>TP</v>
      </c>
      <c r="BI26">
        <f>BedPlan[[#This Row],['# Of Beds]]</f>
        <v>1</v>
      </c>
      <c r="BJ26" cm="1">
        <f t="array" ref="BJ26">INDEX(Crops[],BedPlan[[#This Row],[Chart Index]],BJ$4,1)</f>
        <v>28</v>
      </c>
      <c r="BK26" cm="1">
        <f t="array" ref="BK26">INDEX(Crops[],BedPlan[[#This Row],[Chart Index]],BK$4,1)</f>
        <v>2</v>
      </c>
      <c r="BL26" cm="1">
        <f t="array" ref="BL26">INDEX(Crops[],BedPlan[[#This Row],[Chart Index]],BL$4,1)</f>
        <v>15</v>
      </c>
      <c r="BM26" cm="1">
        <f t="array" ref="BM26">INDEX(Crops[],BedPlan[[#This Row],[Chart Index]],BM$4,1)</f>
        <v>1</v>
      </c>
      <c r="BN26" s="32" cm="1">
        <f t="array" ref="BN26">INDEX(Crops[],BedPlan[[#This Row],[Chart Index]],BN$4,1)*BedPlan[[#This Row],[Full Bed Equivalent]]</f>
        <v>80</v>
      </c>
      <c r="BO26" t="str" cm="1">
        <f t="array" ref="BO26">IF(INDEX(Crops[],BedPlan[[#This Row],[Chart Index]],BO$4,1)=0,"",INDEX(Crops[],BedPlan[[#This Row],[Chart Index]],BO$4,1))</f>
        <v/>
      </c>
      <c r="BP26">
        <f>MATCH(BedPlan[[#This Row],[Crop]],Crops[Identifier],FALSE)</f>
        <v>48</v>
      </c>
      <c r="BQ26" t="str" cm="1">
        <f t="array" ref="BQ26">INDEX(Crops[],BedPlan[[#This Row],[Chart Index]],BQ$4,1)</f>
        <v>Chinese</v>
      </c>
      <c r="BR26" t="str" cm="1">
        <f t="array" ref="BR26">INDEX(Crops[],BedPlan[[#This Row],[Chart Index]],BR$4,1)</f>
        <v>Wi</v>
      </c>
      <c r="BS26" s="32">
        <f>BedPlan[[#This Row],[Expected Beginning of Harvest]]-DATE(2023,1,1)</f>
        <v>987</v>
      </c>
      <c r="BT26">
        <f>BedPlan[[#This Row],[Expected End of Harvest]]-BedPlan[[#This Row],[Expected Beginning of Harvest]]</f>
        <v>14</v>
      </c>
      <c r="BU26" t="str" cm="1">
        <f t="array" ref="BU26">INDEX(Crops[],BedPlan[[#This Row],[Chart Index]],BU$4,1)</f>
        <v>Brassica</v>
      </c>
      <c r="BV26" cm="1">
        <f t="array" ref="BV26">INDEX(Crops[],BedPlan[[#This Row],[Chart Index]],BV$4,1)</f>
        <v>2</v>
      </c>
      <c r="BW26" t="str" cm="1">
        <f t="array" ref="BW26">INDEX(Crops[],BedPlan[[#This Row],[Chart Index]],BW$4,1)</f>
        <v>AMAP</v>
      </c>
      <c r="BX26" cm="1">
        <f t="array" ref="BX26">INDEX(Crops[],BedPlan[[#This Row],[Chart Index]],BX$4,1)</f>
        <v>400</v>
      </c>
      <c r="BY26" cm="1">
        <f t="array" ref="BY26">INDEX(Crops[],BedPlan[[#This Row],[Chart Index]],BY$4,1)</f>
        <v>7</v>
      </c>
      <c r="BZ26" s="49" cm="1">
        <f t="array" ref="BZ26">IFERROR(INDEX(Crops[],BedPlan[[#This Row],[Chart Index]],BZ$4,1)*BedPlan[[#This Row],[Full Bed Equivalent]],"")</f>
        <v>0.22000000000000003</v>
      </c>
      <c r="CA26" cm="1">
        <f t="array" ref="CA26">INDEX(Crops[],BedPlan[[#This Row],[Chart Index]],CA$4,1)</f>
        <v>72</v>
      </c>
      <c r="CB26" cm="1">
        <f t="array" ref="CB26">INDEX(Crops[],BedPlan[[#This Row],[Chart Index]],CB$4,1)</f>
        <v>21</v>
      </c>
      <c r="CC26" s="49" cm="1">
        <f t="array" ref="CC26">IFERROR(INDEX(Crops[],BedPlan[[#This Row],[Chart Index]],CC$4,1)*BedPlan[[#This Row],[Full Bed Equivalent]],"")</f>
        <v>1.2222222222222223</v>
      </c>
      <c r="CD26" cm="1">
        <f t="array" ref="CD26">INDEX(Crops[],BedPlan[[#This Row],[Chart Index]],CD$4,1)</f>
        <v>0</v>
      </c>
      <c r="CE26" cm="1">
        <f t="array" ref="CE26">IF(INDEX(Crops[],BedPlan[[#This Row],[Chart Index]],CE$4,1)="",0,INDEX(Crops[],BedPlan[[#This Row],[Chart Index]],CE$4,1))</f>
        <v>0</v>
      </c>
      <c r="CF26" s="49" t="str" cm="1">
        <f t="array" ref="CF26">IFERROR(INDEX(Crops[],BedPlan[[#This Row],[Chart Index]],CF$4,1)*BedPlan[[#This Row],[Full Bed Equivalent]],"")</f>
        <v/>
      </c>
      <c r="CG26" cm="1">
        <f t="array" ref="CG26">IF(INDEX(Crops[],BedPlan[[#This Row],[Chart Index]],CG$4,1)="",0,INDEX(Crops[],BedPlan[[#This Row],[Chart Index]],CG$4,1))</f>
        <v>1.1000000000000001</v>
      </c>
      <c r="CH26" cm="1">
        <f t="array" ref="CH26">IF(INDEX(Crops[],BedPlan[[#This Row],[Chart Index]],CH$4,1)="",0,INDEX(Crops[],BedPlan[[#This Row],[Chart Index]],CH$4,1))</f>
        <v>0</v>
      </c>
      <c r="CI26" t="str" cm="1">
        <f t="array" ref="CI26">INDEX(Crops[],BedPlan[[#This Row],[Chart Index]],CI$4,1)</f>
        <v>Field</v>
      </c>
      <c r="CJ26" s="30" t="str">
        <f>_xlfn.TEXTJOIN(CHAR(10),FALSE,BedPlan[[#This Row],[Name]],BedPlan[[#This Row],[Variety]],BedPlan[[#This Row],[Company]])</f>
        <v xml:space="preserve">Cabbage
Chinese Cabbage Mix
</v>
      </c>
      <c r="CK26" s="32">
        <f>MAX( 0, MIN(BedPlan[[#This Row],[Expected End of Harvest]], EOMONTH(CK$4, 0)) - MAX(BedPlan[[#This Row],[Beginning of Harvest]], CK$4) + 1 )</f>
        <v>0</v>
      </c>
      <c r="CL26">
        <f>MAX( 0, MIN(BedPlan[[#This Row],[Expected End of Harvest]], EOMONTH(CL$4, 0)) - MAX(BedPlan[[#This Row],[Beginning of Harvest]], CL$4) + 1 )</f>
        <v>0</v>
      </c>
      <c r="CM26">
        <f>MAX( 0, MIN(BedPlan[[#This Row],[Expected End of Harvest]], EOMONTH(CM$4, 0)) - MAX(BedPlan[[#This Row],[Beginning of Harvest]], CM$4) + 1 )</f>
        <v>0</v>
      </c>
      <c r="CN26">
        <f>MAX( 0, MIN(BedPlan[[#This Row],[Expected End of Harvest]], EOMONTH(CN$4, 0)) - MAX(BedPlan[[#This Row],[Beginning of Harvest]], CN$4) + 1 )</f>
        <v>0</v>
      </c>
      <c r="CO26">
        <f>MAX( 0, MIN(BedPlan[[#This Row],[Expected End of Harvest]], EOMONTH(CO$4, 0)) - MAX(BedPlan[[#This Row],[Beginning of Harvest]], CO$4) + 1 )</f>
        <v>0</v>
      </c>
      <c r="CP26">
        <f>MAX( 0, MIN(BedPlan[[#This Row],[Expected End of Harvest]], EOMONTH(CP$4, 0)) - MAX(BedPlan[[#This Row],[Beginning of Harvest]], CP$4) + 1 )</f>
        <v>0</v>
      </c>
      <c r="CQ26">
        <f>MAX( 0, MIN(BedPlan[[#This Row],[Expected End of Harvest]], EOMONTH(CQ$4, 0)) - MAX(BedPlan[[#This Row],[Beginning of Harvest]], CQ$4) + 1 )</f>
        <v>0</v>
      </c>
      <c r="CR26">
        <f>MAX( 0, MIN(BedPlan[[#This Row],[Expected End of Harvest]], EOMONTH(CR$4, 0)) - MAX(BedPlan[[#This Row],[Beginning of Harvest]], CR$4) + 1 )</f>
        <v>0</v>
      </c>
      <c r="CS26">
        <f>MAX( 0, MIN(BedPlan[[#This Row],[Expected End of Harvest]], EOMONTH(CS$4, 0)) - MAX(BedPlan[[#This Row],[Beginning of Harvest]], CS$4) + 1 )</f>
        <v>15</v>
      </c>
      <c r="CT26">
        <f>MAX( 0, MIN(BedPlan[[#This Row],[Expected End of Harvest]], EOMONTH(CT$4, 0)) - MAX(BedPlan[[#This Row],[Beginning of Harvest]], CT$4) + 1 )</f>
        <v>0</v>
      </c>
      <c r="CU26">
        <f>MAX( 0, MIN(BedPlan[[#This Row],[Expected End of Harvest]], EOMONTH(CU$4, 0)) - MAX(BedPlan[[#This Row],[Beginning of Harvest]], CU$4) + 1 )</f>
        <v>0</v>
      </c>
      <c r="CV26">
        <f>MAX( 0, MIN(BedPlan[[#This Row],[Expected End of Harvest]], EOMONTH(CV$4, 0)) - MAX(BedPlan[[#This Row],[Beginning of Harvest]], CV$4) + 1 )</f>
        <v>0</v>
      </c>
      <c r="CW26">
        <f>MAX( 0, MIN(BedPlan[[#This Row],[Expected End of Harvest]], EOMONTH(CW$4, 0)) - MAX(BedPlan[[#This Row],[Beginning of Harvest]], CW$4) + 1 )</f>
        <v>0</v>
      </c>
      <c r="CX26">
        <f>MAX( 0, MIN(BedPlan[[#This Row],[Expected End of Harvest]], EOMONTH(CX$4, 0)) - MAX(BedPlan[[#This Row],[Beginning of Harvest]], CX$4) + 1 )</f>
        <v>0</v>
      </c>
      <c r="CY26">
        <f>MAX( 0, MIN(BedPlan[[#This Row],[Expected End of Harvest]], EOMONTH(CY$4, 0)) - MAX(BedPlan[[#This Row],[Beginning of Harvest]], CY$4) + 1 )</f>
        <v>0</v>
      </c>
      <c r="CZ26">
        <f>MAX( 0, MIN(BedPlan[[#This Row],[Expected End of Harvest]], EOMONTH(CZ$4, 0)) - MAX(BedPlan[[#This Row],[Beginning of Harvest]], CZ$4) + 1 )</f>
        <v>0</v>
      </c>
      <c r="DA26">
        <f>MAX( 0, MIN(BedPlan[[#This Row],[Expected End of Harvest]], EOMONTH(DA$4, 0)) - MAX(BedPlan[[#This Row],[Beginning of Harvest]], DA$4) + 1 )</f>
        <v>0</v>
      </c>
      <c r="DB26">
        <f>MAX( 0, MIN(BedPlan[[#This Row],[Expected End of Harvest]], EOMONTH(DB$4, 0)) - MAX(BedPlan[[#This Row],[Beginning of Harvest]], DB$4) + 1 )</f>
        <v>0</v>
      </c>
      <c r="DC26">
        <f>MAX( 0, MIN(BedPlan[[#This Row],[Expected End of Harvest]], EOMONTH(DC$4, 0)) - MAX(BedPlan[[#This Row],[Beginning of Harvest]], DC$4) + 1 )</f>
        <v>0</v>
      </c>
      <c r="DD26">
        <f>MAX( 0, MIN(BedPlan[[#This Row],[Expected End of Harvest]], EOMONTH(DD$4, 0)) - MAX(BedPlan[[#This Row],[Beginning of Harvest]], DD$4) + 1 )</f>
        <v>0</v>
      </c>
      <c r="DE26">
        <f>MAX( 0, MIN(BedPlan[[#This Row],[Expected End of Harvest]], EOMONTH(DE$4, 0)) - MAX(BedPlan[[#This Row],[Beginning of Harvest]], DE$4) + 1 )</f>
        <v>0</v>
      </c>
      <c r="DF26">
        <f>MAX( 0, MIN(BedPlan[[#This Row],[Expected End of Harvest]], EOMONTH(DF$4, 0)) - MAX(BedPlan[[#This Row],[Beginning of Harvest]], DF$4) + 1 )</f>
        <v>0</v>
      </c>
      <c r="DG26">
        <f>MAX( 0, MIN(BedPlan[[#This Row],[Expected End of Harvest]], EOMONTH(DG$4, 0)) - MAX(BedPlan[[#This Row],[Beginning of Harvest]], DG$4) + 1 )</f>
        <v>0</v>
      </c>
      <c r="DH26">
        <f>MAX( 0, MIN(BedPlan[[#This Row],[Expected End of Harvest]], EOMONTH(DH$4, 0)) - MAX(BedPlan[[#This Row],[Beginning of Harvest]], DH$4) + 1 )</f>
        <v>0</v>
      </c>
      <c r="DI26" s="257" cm="1">
        <f t="array" ref="DI26">BedPlan[[#This Row],[Harvest Days January 2025]]/SUM(BedPlan[[#This Row],[Harvest Days January 2025]:[Harvest Days December 2026]])*BedPlan[[#This Row],[Revenue]:[Revenue]]</f>
        <v>0</v>
      </c>
      <c r="DJ26" s="257" cm="1">
        <f t="array" ref="DJ26">BedPlan[[#This Row],[Harvest Days February 2025]]/SUM(BedPlan[[#This Row],[Harvest Days January 2025]:[Harvest Days December 2026]])*BedPlan[[#This Row],[Revenue]:[Revenue]]</f>
        <v>0</v>
      </c>
      <c r="DK26" s="257" cm="1">
        <f t="array" ref="DK26">BedPlan[[#This Row],[Harvest Days March 2025]]/SUM(BedPlan[[#This Row],[Harvest Days January 2025]:[Harvest Days December 2026]])*BedPlan[[#This Row],[Revenue]:[Revenue]]</f>
        <v>0</v>
      </c>
      <c r="DL26" s="257" cm="1">
        <f t="array" ref="DL26">BedPlan[[#This Row],[Harvest Days April 2025]]/SUM(BedPlan[[#This Row],[Harvest Days January 2025]:[Harvest Days December 2026]])*BedPlan[[#This Row],[Revenue]:[Revenue]]</f>
        <v>0</v>
      </c>
      <c r="DM26" s="257" cm="1">
        <f t="array" ref="DM26">BedPlan[[#This Row],[Harvest Days May 2025]]/SUM(BedPlan[[#This Row],[Harvest Days January 2025]:[Harvest Days December 2026]])*BedPlan[[#This Row],[Revenue]:[Revenue]]</f>
        <v>0</v>
      </c>
      <c r="DN26" s="257" cm="1">
        <f t="array" ref="DN26">BedPlan[[#This Row],[Harvest Days June 2025]]/SUM(BedPlan[[#This Row],[Harvest Days January 2025]:[Harvest Days December 2026]])*BedPlan[[#This Row],[Revenue]:[Revenue]]</f>
        <v>0</v>
      </c>
      <c r="DO26" s="257" cm="1">
        <f t="array" ref="DO26">BedPlan[[#This Row],[Harvest Days July 2025]]/SUM(BedPlan[[#This Row],[Harvest Days January 2025]:[Harvest Days December 2026]])*BedPlan[[#This Row],[Revenue]:[Revenue]]</f>
        <v>0</v>
      </c>
      <c r="DP26" s="257" cm="1">
        <f t="array" ref="DP26">BedPlan[[#This Row],[Harvest Days August 2025]]/SUM(BedPlan[[#This Row],[Harvest Days January 2025]:[Harvest Days December 2026]])*BedPlan[[#This Row],[Revenue]:[Revenue]]</f>
        <v>0</v>
      </c>
      <c r="DQ26" s="257" cm="1">
        <f t="array" ref="DQ26">BedPlan[[#This Row],[Harvest Days September 2025]]/SUM(BedPlan[[#This Row],[Harvest Days January 2025]:[Harvest Days December 2026]])*BedPlan[[#This Row],[Revenue]:[Revenue]]</f>
        <v>360</v>
      </c>
      <c r="DR26" s="257" cm="1">
        <f t="array" ref="DR26">BedPlan[[#This Row],[Harvest Days October 2025]]/SUM(BedPlan[[#This Row],[Harvest Days January 2025]:[Harvest Days December 2026]])*BedPlan[[#This Row],[Revenue]:[Revenue]]</f>
        <v>0</v>
      </c>
      <c r="DS26" s="257" cm="1">
        <f t="array" ref="DS26">BedPlan[[#This Row],[Harvest Days November 2025]]/SUM(BedPlan[[#This Row],[Harvest Days January 2025]:[Harvest Days December 2026]])*BedPlan[[#This Row],[Revenue]:[Revenue]]</f>
        <v>0</v>
      </c>
      <c r="DT26" s="257" cm="1">
        <f t="array" ref="DT26">BedPlan[[#This Row],[Harvest Days December 2025]]/SUM(BedPlan[[#This Row],[Harvest Days January 2025]:[Harvest Days December 2026]])*BedPlan[[#This Row],[Revenue]:[Revenue]]</f>
        <v>0</v>
      </c>
      <c r="DU26" s="257" cm="1">
        <f t="array" ref="DU26">BedPlan[[#This Row],[Harvest Days January 2026]]/SUM(BedPlan[[#This Row],[Harvest Days January 2025]:[Harvest Days December 2026]])*BedPlan[[#This Row],[Revenue]:[Revenue]]</f>
        <v>0</v>
      </c>
      <c r="DV26" s="257" cm="1">
        <f t="array" ref="DV26">BedPlan[[#This Row],[Harvest Days February 2026]]/SUM(BedPlan[[#This Row],[Harvest Days January 2025]:[Harvest Days December 2026]])*BedPlan[[#This Row],[Revenue]:[Revenue]]</f>
        <v>0</v>
      </c>
      <c r="DW26" s="257" cm="1">
        <f t="array" ref="DW26">BedPlan[[#This Row],[Harvest Days March 2026]]/SUM(BedPlan[[#This Row],[Harvest Days January 2025]:[Harvest Days December 2026]])*BedPlan[[#This Row],[Revenue]:[Revenue]]</f>
        <v>0</v>
      </c>
      <c r="DX26" s="257" cm="1">
        <f t="array" ref="DX26">BedPlan[[#This Row],[Harvest Days April 2026]]/SUM(BedPlan[[#This Row],[Harvest Days January 2025]:[Harvest Days December 2026]])*BedPlan[[#This Row],[Revenue]:[Revenue]]</f>
        <v>0</v>
      </c>
      <c r="DY26" s="257" cm="1">
        <f t="array" ref="DY26">BedPlan[[#This Row],[Harvest Days May 2026]]/SUM(BedPlan[[#This Row],[Harvest Days January 2025]:[Harvest Days December 2026]])*BedPlan[[#This Row],[Revenue]:[Revenue]]</f>
        <v>0</v>
      </c>
      <c r="DZ26" s="257" cm="1">
        <f t="array" ref="DZ26">BedPlan[[#This Row],[Harvest Days June 2026]]/SUM(BedPlan[[#This Row],[Harvest Days January 2025]:[Harvest Days December 2026]])*BedPlan[[#This Row],[Revenue]:[Revenue]]</f>
        <v>0</v>
      </c>
      <c r="EA26" s="257" cm="1">
        <f t="array" ref="EA26">BedPlan[[#This Row],[Harvest Days July 2026]]/SUM(BedPlan[[#This Row],[Harvest Days January 2025]:[Harvest Days December 2026]])*BedPlan[[#This Row],[Revenue]:[Revenue]]</f>
        <v>0</v>
      </c>
      <c r="EB26" s="257" cm="1">
        <f t="array" ref="EB26">BedPlan[[#This Row],[Harvest Days August 2026]]/SUM(BedPlan[[#This Row],[Harvest Days January 2025]:[Harvest Days December 2026]])*BedPlan[[#This Row],[Revenue]:[Revenue]]</f>
        <v>0</v>
      </c>
      <c r="EC26" s="257" cm="1">
        <f t="array" ref="EC26">BedPlan[[#This Row],[Harvest Days September 2026]]/SUM(BedPlan[[#This Row],[Harvest Days January 2025]:[Harvest Days December 2026]])*BedPlan[[#This Row],[Revenue]:[Revenue]]</f>
        <v>0</v>
      </c>
      <c r="ED26" s="257" cm="1">
        <f t="array" ref="ED26">BedPlan[[#This Row],[Harvest Days October 2026]]/SUM(BedPlan[[#This Row],[Harvest Days January 2025]:[Harvest Days December 2026]])*BedPlan[[#This Row],[Revenue]:[Revenue]]</f>
        <v>0</v>
      </c>
      <c r="EE26" s="257" cm="1">
        <f t="array" ref="EE26">BedPlan[[#This Row],[Harvest Days November 2026]]/SUM(BedPlan[[#This Row],[Harvest Days January 2025]:[Harvest Days December 2026]])*BedPlan[[#This Row],[Revenue]:[Revenue]]</f>
        <v>0</v>
      </c>
      <c r="EF26" s="257" cm="1">
        <f t="array" ref="EF26">BedPlan[[#This Row],[Harvest Days December 2026]]/SUM(BedPlan[[#This Row],[Harvest Days January 2025]:[Harvest Days December 2026]])*BedPlan[[#This Row],[Revenue]:[Revenue]]</f>
        <v>0</v>
      </c>
      <c r="EG26" t="b">
        <f>SUM(BedPlan[[#This Row],[Revenue January 2025]:[Revenue December 2026]])=BedPlan[[#This Row],[Revenue]]</f>
        <v>1</v>
      </c>
      <c r="EH26" s="30" cm="1">
        <f t="array" ref="EH26">INDEX(Crops[],BedPlan[[#This Row],[Chart Index]],EH$4,1)*BedPlan[[#This Row],['# Of Beds]]</f>
        <v>80</v>
      </c>
      <c r="EI26" s="30" t="str" cm="1">
        <f t="array" ref="EI26">INDEX(Crops[],BedPlan[[#This Row],[Chart Index]],EI$4,1)</f>
        <v>Head</v>
      </c>
      <c r="EJ26" s="30" t="str" cm="1">
        <f t="array" ref="EJ26">INDEX(Crops[],BedPlan[[#This Row],[Chart Index]],EJ$4,1)</f>
        <v>Large Head</v>
      </c>
      <c r="EK26" s="30" t="str">
        <f>BedPlan[[#This Row],[Name]]&amp;" "&amp;BedPlan[[#This Row],[Product]]&amp; " - " &amp;BedPlan[[#This Row],[Unit]]</f>
        <v>Cabbage Large Head - Head</v>
      </c>
      <c r="EL26" s="33" cm="1">
        <f t="array" ref="EL26">BedPlan[[#This Row],[Harvest Days January 2025]]/SUM(BedPlan[[#This Row],[Harvest Days January 2025]:[Harvest Days December 2026]])*BedPlan[[#This Row],[Yield]:[Yield]]</f>
        <v>0</v>
      </c>
      <c r="EM26" s="33" cm="1">
        <f t="array" ref="EM26">BedPlan[[#This Row],[Harvest Days February 2025]]/SUM(BedPlan[[#This Row],[Harvest Days January 2025]:[Harvest Days December 2026]])*BedPlan[[#This Row],[Yield]:[Yield]]</f>
        <v>0</v>
      </c>
      <c r="EN26" s="33" cm="1">
        <f t="array" ref="EN26">BedPlan[[#This Row],[Harvest Days March 2025]]/SUM(BedPlan[[#This Row],[Harvest Days January 2025]:[Harvest Days December 2026]])*BedPlan[[#This Row],[Yield]:[Yield]]</f>
        <v>0</v>
      </c>
      <c r="EO26" s="33" cm="1">
        <f t="array" ref="EO26">BedPlan[[#This Row],[Harvest Days April 2025]]/SUM(BedPlan[[#This Row],[Harvest Days January 2025]:[Harvest Days December 2026]])*BedPlan[[#This Row],[Yield]:[Yield]]</f>
        <v>0</v>
      </c>
      <c r="EP26" s="33" cm="1">
        <f t="array" ref="EP26">BedPlan[[#This Row],[Harvest Days May 2025]]/SUM(BedPlan[[#This Row],[Harvest Days January 2025]:[Harvest Days December 2026]])*BedPlan[[#This Row],[Yield]:[Yield]]</f>
        <v>0</v>
      </c>
      <c r="EQ26" s="33" cm="1">
        <f t="array" ref="EQ26">BedPlan[[#This Row],[Harvest Days June 2025]]/SUM(BedPlan[[#This Row],[Harvest Days January 2025]:[Harvest Days December 2026]])*BedPlan[[#This Row],[Yield]:[Yield]]</f>
        <v>0</v>
      </c>
      <c r="ER26" s="33" cm="1">
        <f t="array" ref="ER26">BedPlan[[#This Row],[Harvest Days July 2025]]/SUM(BedPlan[[#This Row],[Harvest Days January 2025]:[Harvest Days December 2026]])*BedPlan[[#This Row],[Yield]:[Yield]]</f>
        <v>0</v>
      </c>
      <c r="ES26" s="33" cm="1">
        <f t="array" ref="ES26">BedPlan[[#This Row],[Harvest Days August 2025]]/SUM(BedPlan[[#This Row],[Harvest Days January 2025]:[Harvest Days December 2026]])*BedPlan[[#This Row],[Yield]:[Yield]]</f>
        <v>0</v>
      </c>
      <c r="ET26" s="33" cm="1">
        <f t="array" ref="ET26">BedPlan[[#This Row],[Harvest Days September 2025]]/SUM(BedPlan[[#This Row],[Harvest Days January 2025]:[Harvest Days December 2026]])*BedPlan[[#This Row],[Yield]:[Yield]]</f>
        <v>80</v>
      </c>
      <c r="EU26" s="33" cm="1">
        <f t="array" ref="EU26">BedPlan[[#This Row],[Harvest Days October 2025]]/SUM(BedPlan[[#This Row],[Harvest Days January 2025]:[Harvest Days December 2026]])*BedPlan[[#This Row],[Yield]:[Yield]]</f>
        <v>0</v>
      </c>
      <c r="EV26" s="33" cm="1">
        <f t="array" ref="EV26">BedPlan[[#This Row],[Harvest Days November 2025]]/SUM(BedPlan[[#This Row],[Harvest Days January 2025]:[Harvest Days December 2026]])*BedPlan[[#This Row],[Yield]:[Yield]]</f>
        <v>0</v>
      </c>
      <c r="EW26" s="33" cm="1">
        <f t="array" ref="EW26">BedPlan[[#This Row],[Harvest Days December 2025]]/SUM(BedPlan[[#This Row],[Harvest Days January 2025]:[Harvest Days December 2026]])*BedPlan[[#This Row],[Yield]:[Yield]]</f>
        <v>0</v>
      </c>
    </row>
    <row r="27" spans="1:153" ht="15.75" customHeight="1">
      <c r="A27" s="191" t="s">
        <v>2799</v>
      </c>
      <c r="B27" s="240" t="s">
        <v>2800</v>
      </c>
      <c r="C27" t="s">
        <v>1494</v>
      </c>
      <c r="D27" s="226" cm="1">
        <f t="array" ref="D27">INDEX(Crops[],BedPlan[[#This Row],[Chart Index]],D$4,1)*BedPlan[[#This Row],[Full Bed Equivalent]]</f>
        <v>75</v>
      </c>
      <c r="E27" s="226" cm="1">
        <f t="array" ref="E27">INDEX(Crops[],BedPlan[[#This Row],[Chart Index]],E$4,1)*BedPlan[[#This Row],[Full Bed Equivalent]]</f>
        <v>150</v>
      </c>
      <c r="F27" t="str">
        <f>UPPER(LEFT(BedPlan[[#This Row],[Crop]],3))</f>
        <v>CAB</v>
      </c>
      <c r="H27" s="143" t="str" cm="1">
        <f t="array" ref="H27">INDEX(Crops[],BedPlan[[#This Row],[Chart Index]],H$4,1)</f>
        <v>Cabbage</v>
      </c>
      <c r="I27" t="s">
        <v>2792</v>
      </c>
      <c r="K27" t="str" cm="1">
        <f t="array" ref="K27">IF(ISNUMBER(MATCH(BedPlan[[#This Row],[Variety]],SeedMixes[Name],)),_xlfn.TEXTJOIN(", ",TRUE,_xlfn._xlws.FILTER(SeedMixes[Variety &amp; Company],SeedMixes[Name]=BedPlan[[#This Row],[Variety]])),"")</f>
        <v>Minuet Johnny's, Wa Wa Tsai F1 Osborne</v>
      </c>
      <c r="L27" s="33" cm="1">
        <f t="array" ref="L27">INDEX(Crops[],BedPlan[[#This Row],[Chart Index]],L$4,1)*BedPlan[[#This Row],[Full Bed Equivalent]]</f>
        <v>330</v>
      </c>
      <c r="N27">
        <f>1</f>
        <v>1</v>
      </c>
      <c r="O27">
        <f>MAX(BedPlan[[#This Row],['# Of Beds]],0.5)</f>
        <v>1</v>
      </c>
      <c r="P27" s="31">
        <f>IF(ISNUMBER(BedPlan[[#This Row],[Planned Greenhouse Start Date]]),BedPlan[[#This Row],[Planned Greenhouse Start Date]],BedPlan[[#This Row],[Planned TP or DS Date]])</f>
        <v>45817</v>
      </c>
      <c r="Q27" s="259">
        <f>IF(BedPlan[[#This Row],[Days in Cells]]=0,"",IFERROR(_xlfn.XLOOKUP(BedPlan[[#This Row],[Follows Crop]],BedPlan[Identifier],BedPlan[Expected End of Harvest]) + 1+BedPlan[[#This Row],[Follow Offset]],BedPlan[[#This Row],[Fixed Field Start Date]])-BedPlan[[#This Row],[Days in Cells]])</f>
        <v>45817</v>
      </c>
      <c r="R27" s="259">
        <v>45841</v>
      </c>
      <c r="S27" s="259">
        <f>IF(ISNUMBER(BedPlan[[#This Row],[Actual Greenhouse Date]]),BedPlan[[#This Row],[Actual Greenhouse Date]],BedPlan[[#This Row],[Planned Greenhouse Start Date]])</f>
        <v>45841</v>
      </c>
      <c r="T27" s="259">
        <v>45845</v>
      </c>
      <c r="U27" s="260"/>
      <c r="V27" s="260"/>
      <c r="W2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45869</v>
      </c>
      <c r="X27" s="259"/>
      <c r="Y27" s="271">
        <f>BedPlan[[#This Row],[Actual TP or DS Date]]-BedPlan[[#This Row],[Planned TP or DS Date]]</f>
        <v>-45869</v>
      </c>
      <c r="Z27" s="259">
        <f>IF(ISNUMBER(BedPlan[[#This Row],[Actual TP or DS Date]]),BedPlan[[#This Row],[Actual TP or DS Date]],BedPlan[[#This Row],[Planned TP or DS Date]])</f>
        <v>45869</v>
      </c>
      <c r="AA27" s="259"/>
      <c r="AB27" s="259">
        <f>IF(ISNUMBER(BedPlan[[#This Row],[Greenhouse Start Date]]),BedPlan[[#This Row],[Greenhouse Start Date]]+BedPlan[[#This Row],[DTM]],BedPlan[[#This Row],[TP or DS Date]]+BedPlan[[#This Row],[DTM]])</f>
        <v>45919</v>
      </c>
      <c r="AC27" s="259"/>
      <c r="AD27" s="259">
        <f>IF(ISNUMBER(BedPlan[[#This Row],[Actual Beginning of Harvest]]),BedPlan[[#This Row],[Actual Beginning of Harvest]],BedPlan[[#This Row],[Expected Beginning of Harvest]])</f>
        <v>45919</v>
      </c>
      <c r="AE27" s="259">
        <f>BedPlan[[#This Row],[Expected Beginning of Harvest]]+BedPlan[[#This Row],[Harvest Window]]+BedPlan[[#This Row],[Additional Days of Harvest]]</f>
        <v>45933</v>
      </c>
      <c r="AF27" s="259"/>
      <c r="AG27" s="259"/>
      <c r="AH27" s="31" t="b">
        <f>IF(AND( BedPlan[[#This Row],[Expected End of Harvest]] &gt;= DATE(2025, 8, 1), BedPlan[[#This Row],[Beginning of Harvest]] &lt;= DATE(2025, 8, 31) ), TRUE, FALSE)</f>
        <v>0</v>
      </c>
      <c r="AI27" s="31"/>
      <c r="AJ27" s="31">
        <f>IF(ISNUMBER(BedPlan[[#This Row],[Actual End of Harvest]]),BedPlan[[#This Row],[Actual End of Harvest]],BedPlan[[#This Row],[Expected End of Harvest]])</f>
        <v>45933</v>
      </c>
      <c r="AK27" t="b">
        <f>OR(ISNUMBER(BedPlan[[#This Row],[Actual Greenhouse Date]]),ISNUMBER(BedPlan[[#This Row],[Actual TP or DS Date]]))</f>
        <v>1</v>
      </c>
      <c r="AL27" s="52" t="b">
        <f>IF(ISNUMBER(BedPlan[[#This Row],[Planned Greenhouse Start Date]]),OR(ISNUMBER(BedPlan[[#This Row],[Actual TP or DS Date]]),BedPlan[[#This Row],[Failed]]),"-")</f>
        <v>0</v>
      </c>
      <c r="AM27" t="b">
        <f>OR(ISNUMBER(BedPlan[[#This Row],[Actual End of Harvest]]),BedPlan[[#This Row],[Failed]])</f>
        <v>0</v>
      </c>
      <c r="AN27" t="b">
        <f>OR(BedPlan[[#This Row],[Harvest Done]],BedPlan[[#This Row],[Failed]],BedPlan[[#This Row],[Name]]="Tarp")</f>
        <v>0</v>
      </c>
      <c r="AS27" s="26" t="str">
        <f>IF(BedPlan[[#This Row],[Broadfork]],BedPlan[[#This Row],[Actual TP or DS Date]],"")</f>
        <v/>
      </c>
      <c r="AT27" s="26" t="str">
        <f>IF(BedPlan[[#This Row],[Tilther]],BedPlan[[#This Row],[Actual TP or DS Date]],"")</f>
        <v/>
      </c>
      <c r="AU27" s="26" t="str">
        <f>IF(NOT(ISBLANK(BedPlan[[#This Row],[Amend]])),BedPlan[[#This Row],[Actual TP or DS Date]],"")</f>
        <v/>
      </c>
      <c r="AV27" s="26" t="str">
        <f>IF(BedPlan[[#This Row],[Row Cover]],BedPlan[[#This Row],[Actual TP or DS Date]],"")</f>
        <v/>
      </c>
      <c r="AX27" s="26"/>
      <c r="AZ27" s="26"/>
      <c r="BB27" s="26"/>
      <c r="BC27" s="231" cm="1">
        <f t="array" ref="BC27">INDEX(Crops[],BedPlan[[#This Row],[Chart Index]],BC$4,1)*BedPlan[[#This Row],[Full Bed Equivalent]]</f>
        <v>600</v>
      </c>
      <c r="BD27" s="231" cm="1">
        <f t="array" ref="BD27">INDEX(Crops[],BedPlan[[#This Row],[Chart Index]],BD$4,1)*BedPlan[[#This Row],[Full Bed Equivalent]]</f>
        <v>9.375</v>
      </c>
      <c r="BE27" cm="1">
        <f t="array" ref="BE27">INDEX(Crops[],BedPlan[[#This Row],[Chart Index]],BE$4,1)+BedPlan[[#This Row],[Additional Days in Cells]]+BedPlan[[#This Row],[Additional Days In Field]]</f>
        <v>78</v>
      </c>
      <c r="BG27" cm="1">
        <f t="array" ref="BG27">INDEX(Crops[],BedPlan[[#This Row],[Chart Index]],BG$4,1)</f>
        <v>14</v>
      </c>
      <c r="BH27" t="str">
        <f>IF(ISNUMBER(BedPlan[[#This Row],[Planned Greenhouse Start Date]]),"TP","DS")</f>
        <v>TP</v>
      </c>
      <c r="BI27">
        <f>BedPlan[[#This Row],['# Of Beds]]</f>
        <v>1</v>
      </c>
      <c r="BJ27" cm="1">
        <f t="array" ref="BJ27">INDEX(Crops[],BedPlan[[#This Row],[Chart Index]],BJ$4,1)</f>
        <v>28</v>
      </c>
      <c r="BK27" cm="1">
        <f t="array" ref="BK27">INDEX(Crops[],BedPlan[[#This Row],[Chart Index]],BK$4,1)</f>
        <v>3</v>
      </c>
      <c r="BL27" cm="1">
        <f t="array" ref="BL27">INDEX(Crops[],BedPlan[[#This Row],[Chart Index]],BL$4,1)</f>
        <v>12</v>
      </c>
      <c r="BM27" cm="1">
        <f t="array" ref="BM27">INDEX(Crops[],BedPlan[[#This Row],[Chart Index]],BM$4,1)</f>
        <v>1</v>
      </c>
      <c r="BN27" s="32" cm="1">
        <f t="array" ref="BN27">INDEX(Crops[],BedPlan[[#This Row],[Chart Index]],BN$4,1)*BedPlan[[#This Row],[Full Bed Equivalent]]</f>
        <v>150</v>
      </c>
      <c r="BO27" t="str" cm="1">
        <f t="array" ref="BO27">IF(INDEX(Crops[],BedPlan[[#This Row],[Chart Index]],BO$4,1)=0,"",INDEX(Crops[],BedPlan[[#This Row],[Chart Index]],BO$4,1))</f>
        <v/>
      </c>
      <c r="BP27">
        <f>MATCH(BedPlan[[#This Row],[Crop]],Crops[Identifier],FALSE)</f>
        <v>49</v>
      </c>
      <c r="BQ27" t="str" cm="1">
        <f t="array" ref="BQ27">INDEX(Crops[],BedPlan[[#This Row],[Chart Index]],BQ$4,1)</f>
        <v>Chinese</v>
      </c>
      <c r="BR27" t="str" cm="1">
        <f t="array" ref="BR27">INDEX(Crops[],BedPlan[[#This Row],[Chart Index]],BR$4,1)</f>
        <v>Fa</v>
      </c>
      <c r="BS27" s="32">
        <f>BedPlan[[#This Row],[Expected Beginning of Harvest]]-DATE(2023,1,1)</f>
        <v>992</v>
      </c>
      <c r="BT27">
        <f>BedPlan[[#This Row],[Expected End of Harvest]]-BedPlan[[#This Row],[Expected Beginning of Harvest]]</f>
        <v>14</v>
      </c>
      <c r="BU27" t="str" cm="1">
        <f t="array" ref="BU27">INDEX(Crops[],BedPlan[[#This Row],[Chart Index]],BU$4,1)</f>
        <v>Brassica</v>
      </c>
      <c r="BV27" cm="1">
        <f t="array" ref="BV27">INDEX(Crops[],BedPlan[[#This Row],[Chart Index]],BV$4,1)</f>
        <v>2</v>
      </c>
      <c r="BW27" t="str" cm="1">
        <f t="array" ref="BW27">INDEX(Crops[],BedPlan[[#This Row],[Chart Index]],BW$4,1)</f>
        <v>AMAP</v>
      </c>
      <c r="BX27" cm="1">
        <f t="array" ref="BX27">INDEX(Crops[],BedPlan[[#This Row],[Chart Index]],BX$4,1)</f>
        <v>400</v>
      </c>
      <c r="BY27" cm="1">
        <f t="array" ref="BY27">INDEX(Crops[],BedPlan[[#This Row],[Chart Index]],BY$4,1)</f>
        <v>7</v>
      </c>
      <c r="BZ27" s="49" cm="1">
        <f t="array" ref="BZ27">IFERROR(INDEX(Crops[],BedPlan[[#This Row],[Chart Index]],BZ$4,1)*BedPlan[[#This Row],[Full Bed Equivalent]],"")</f>
        <v>0.41250000000000003</v>
      </c>
      <c r="CA27" cm="1">
        <f t="array" ref="CA27">INDEX(Crops[],BedPlan[[#This Row],[Chart Index]],CA$4,1)</f>
        <v>72</v>
      </c>
      <c r="CB27" cm="1">
        <f t="array" ref="CB27">INDEX(Crops[],BedPlan[[#This Row],[Chart Index]],CB$4,1)</f>
        <v>21</v>
      </c>
      <c r="CC27" s="49" cm="1">
        <f t="array" ref="CC27">IFERROR(INDEX(Crops[],BedPlan[[#This Row],[Chart Index]],CC$4,1)*BedPlan[[#This Row],[Full Bed Equivalent]],"")</f>
        <v>2.291666666666667</v>
      </c>
      <c r="CD27" cm="1">
        <f t="array" ref="CD27">INDEX(Crops[],BedPlan[[#This Row],[Chart Index]],CD$4,1)</f>
        <v>0</v>
      </c>
      <c r="CE27" cm="1">
        <f t="array" ref="CE27">IF(INDEX(Crops[],BedPlan[[#This Row],[Chart Index]],CE$4,1)="",0,INDEX(Crops[],BedPlan[[#This Row],[Chart Index]],CE$4,1))</f>
        <v>0</v>
      </c>
      <c r="CF27" s="49" t="str" cm="1">
        <f t="array" ref="CF27">IFERROR(INDEX(Crops[],BedPlan[[#This Row],[Chart Index]],CF$4,1)*BedPlan[[#This Row],[Full Bed Equivalent]],"")</f>
        <v/>
      </c>
      <c r="CG27" cm="1">
        <f t="array" ref="CG27">IF(INDEX(Crops[],BedPlan[[#This Row],[Chart Index]],CG$4,1)="",0,INDEX(Crops[],BedPlan[[#This Row],[Chart Index]],CG$4,1))</f>
        <v>1.1000000000000001</v>
      </c>
      <c r="CH27" cm="1">
        <f t="array" ref="CH27">IF(INDEX(Crops[],BedPlan[[#This Row],[Chart Index]],CH$4,1)="",0,INDEX(Crops[],BedPlan[[#This Row],[Chart Index]],CH$4,1))</f>
        <v>0</v>
      </c>
      <c r="CI27" t="str" cm="1">
        <f t="array" ref="CI27">INDEX(Crops[],BedPlan[[#This Row],[Chart Index]],CI$4,1)</f>
        <v>Field</v>
      </c>
      <c r="CJ27" s="30" t="str">
        <f>_xlfn.TEXTJOIN(CHAR(10),FALSE,BedPlan[[#This Row],[Name]],BedPlan[[#This Row],[Variety]],BedPlan[[#This Row],[Company]])</f>
        <v xml:space="preserve">Cabbage
Mini Chinese Cabbage Mix
</v>
      </c>
      <c r="CK27" s="32">
        <f>MAX( 0, MIN(BedPlan[[#This Row],[Expected End of Harvest]], EOMONTH(CK$4, 0)) - MAX(BedPlan[[#This Row],[Beginning of Harvest]], CK$4) + 1 )</f>
        <v>0</v>
      </c>
      <c r="CL27">
        <f>MAX( 0, MIN(BedPlan[[#This Row],[Expected End of Harvest]], EOMONTH(CL$4, 0)) - MAX(BedPlan[[#This Row],[Beginning of Harvest]], CL$4) + 1 )</f>
        <v>0</v>
      </c>
      <c r="CM27">
        <f>MAX( 0, MIN(BedPlan[[#This Row],[Expected End of Harvest]], EOMONTH(CM$4, 0)) - MAX(BedPlan[[#This Row],[Beginning of Harvest]], CM$4) + 1 )</f>
        <v>0</v>
      </c>
      <c r="CN27">
        <f>MAX( 0, MIN(BedPlan[[#This Row],[Expected End of Harvest]], EOMONTH(CN$4, 0)) - MAX(BedPlan[[#This Row],[Beginning of Harvest]], CN$4) + 1 )</f>
        <v>0</v>
      </c>
      <c r="CO27">
        <f>MAX( 0, MIN(BedPlan[[#This Row],[Expected End of Harvest]], EOMONTH(CO$4, 0)) - MAX(BedPlan[[#This Row],[Beginning of Harvest]], CO$4) + 1 )</f>
        <v>0</v>
      </c>
      <c r="CP27">
        <f>MAX( 0, MIN(BedPlan[[#This Row],[Expected End of Harvest]], EOMONTH(CP$4, 0)) - MAX(BedPlan[[#This Row],[Beginning of Harvest]], CP$4) + 1 )</f>
        <v>0</v>
      </c>
      <c r="CQ27">
        <f>MAX( 0, MIN(BedPlan[[#This Row],[Expected End of Harvest]], EOMONTH(CQ$4, 0)) - MAX(BedPlan[[#This Row],[Beginning of Harvest]], CQ$4) + 1 )</f>
        <v>0</v>
      </c>
      <c r="CR27">
        <f>MAX( 0, MIN(BedPlan[[#This Row],[Expected End of Harvest]], EOMONTH(CR$4, 0)) - MAX(BedPlan[[#This Row],[Beginning of Harvest]], CR$4) + 1 )</f>
        <v>0</v>
      </c>
      <c r="CS27">
        <f>MAX( 0, MIN(BedPlan[[#This Row],[Expected End of Harvest]], EOMONTH(CS$4, 0)) - MAX(BedPlan[[#This Row],[Beginning of Harvest]], CS$4) + 1 )</f>
        <v>12</v>
      </c>
      <c r="CT27">
        <f>MAX( 0, MIN(BedPlan[[#This Row],[Expected End of Harvest]], EOMONTH(CT$4, 0)) - MAX(BedPlan[[#This Row],[Beginning of Harvest]], CT$4) + 1 )</f>
        <v>3</v>
      </c>
      <c r="CU27">
        <f>MAX( 0, MIN(BedPlan[[#This Row],[Expected End of Harvest]], EOMONTH(CU$4, 0)) - MAX(BedPlan[[#This Row],[Beginning of Harvest]], CU$4) + 1 )</f>
        <v>0</v>
      </c>
      <c r="CV27">
        <f>MAX( 0, MIN(BedPlan[[#This Row],[Expected End of Harvest]], EOMONTH(CV$4, 0)) - MAX(BedPlan[[#This Row],[Beginning of Harvest]], CV$4) + 1 )</f>
        <v>0</v>
      </c>
      <c r="CW27">
        <f>MAX( 0, MIN(BedPlan[[#This Row],[Expected End of Harvest]], EOMONTH(CW$4, 0)) - MAX(BedPlan[[#This Row],[Beginning of Harvest]], CW$4) + 1 )</f>
        <v>0</v>
      </c>
      <c r="CX27">
        <f>MAX( 0, MIN(BedPlan[[#This Row],[Expected End of Harvest]], EOMONTH(CX$4, 0)) - MAX(BedPlan[[#This Row],[Beginning of Harvest]], CX$4) + 1 )</f>
        <v>0</v>
      </c>
      <c r="CY27">
        <f>MAX( 0, MIN(BedPlan[[#This Row],[Expected End of Harvest]], EOMONTH(CY$4, 0)) - MAX(BedPlan[[#This Row],[Beginning of Harvest]], CY$4) + 1 )</f>
        <v>0</v>
      </c>
      <c r="CZ27">
        <f>MAX( 0, MIN(BedPlan[[#This Row],[Expected End of Harvest]], EOMONTH(CZ$4, 0)) - MAX(BedPlan[[#This Row],[Beginning of Harvest]], CZ$4) + 1 )</f>
        <v>0</v>
      </c>
      <c r="DA27">
        <f>MAX( 0, MIN(BedPlan[[#This Row],[Expected End of Harvest]], EOMONTH(DA$4, 0)) - MAX(BedPlan[[#This Row],[Beginning of Harvest]], DA$4) + 1 )</f>
        <v>0</v>
      </c>
      <c r="DB27">
        <f>MAX( 0, MIN(BedPlan[[#This Row],[Expected End of Harvest]], EOMONTH(DB$4, 0)) - MAX(BedPlan[[#This Row],[Beginning of Harvest]], DB$4) + 1 )</f>
        <v>0</v>
      </c>
      <c r="DC27">
        <f>MAX( 0, MIN(BedPlan[[#This Row],[Expected End of Harvest]], EOMONTH(DC$4, 0)) - MAX(BedPlan[[#This Row],[Beginning of Harvest]], DC$4) + 1 )</f>
        <v>0</v>
      </c>
      <c r="DD27">
        <f>MAX( 0, MIN(BedPlan[[#This Row],[Expected End of Harvest]], EOMONTH(DD$4, 0)) - MAX(BedPlan[[#This Row],[Beginning of Harvest]], DD$4) + 1 )</f>
        <v>0</v>
      </c>
      <c r="DE27">
        <f>MAX( 0, MIN(BedPlan[[#This Row],[Expected End of Harvest]], EOMONTH(DE$4, 0)) - MAX(BedPlan[[#This Row],[Beginning of Harvest]], DE$4) + 1 )</f>
        <v>0</v>
      </c>
      <c r="DF27">
        <f>MAX( 0, MIN(BedPlan[[#This Row],[Expected End of Harvest]], EOMONTH(DF$4, 0)) - MAX(BedPlan[[#This Row],[Beginning of Harvest]], DF$4) + 1 )</f>
        <v>0</v>
      </c>
      <c r="DG27">
        <f>MAX( 0, MIN(BedPlan[[#This Row],[Expected End of Harvest]], EOMONTH(DG$4, 0)) - MAX(BedPlan[[#This Row],[Beginning of Harvest]], DG$4) + 1 )</f>
        <v>0</v>
      </c>
      <c r="DH27">
        <f>MAX( 0, MIN(BedPlan[[#This Row],[Expected End of Harvest]], EOMONTH(DH$4, 0)) - MAX(BedPlan[[#This Row],[Beginning of Harvest]], DH$4) + 1 )</f>
        <v>0</v>
      </c>
      <c r="DI27" s="257" cm="1">
        <f t="array" ref="DI27">BedPlan[[#This Row],[Harvest Days January 2025]]/SUM(BedPlan[[#This Row],[Harvest Days January 2025]:[Harvest Days December 2026]])*BedPlan[[#This Row],[Revenue]:[Revenue]]</f>
        <v>0</v>
      </c>
      <c r="DJ27" s="257" cm="1">
        <f t="array" ref="DJ27">BedPlan[[#This Row],[Harvest Days February 2025]]/SUM(BedPlan[[#This Row],[Harvest Days January 2025]:[Harvest Days December 2026]])*BedPlan[[#This Row],[Revenue]:[Revenue]]</f>
        <v>0</v>
      </c>
      <c r="DK27" s="257" cm="1">
        <f t="array" ref="DK27">BedPlan[[#This Row],[Harvest Days March 2025]]/SUM(BedPlan[[#This Row],[Harvest Days January 2025]:[Harvest Days December 2026]])*BedPlan[[#This Row],[Revenue]:[Revenue]]</f>
        <v>0</v>
      </c>
      <c r="DL27" s="257" cm="1">
        <f t="array" ref="DL27">BedPlan[[#This Row],[Harvest Days April 2025]]/SUM(BedPlan[[#This Row],[Harvest Days January 2025]:[Harvest Days December 2026]])*BedPlan[[#This Row],[Revenue]:[Revenue]]</f>
        <v>0</v>
      </c>
      <c r="DM27" s="257" cm="1">
        <f t="array" ref="DM27">BedPlan[[#This Row],[Harvest Days May 2025]]/SUM(BedPlan[[#This Row],[Harvest Days January 2025]:[Harvest Days December 2026]])*BedPlan[[#This Row],[Revenue]:[Revenue]]</f>
        <v>0</v>
      </c>
      <c r="DN27" s="257" cm="1">
        <f t="array" ref="DN27">BedPlan[[#This Row],[Harvest Days June 2025]]/SUM(BedPlan[[#This Row],[Harvest Days January 2025]:[Harvest Days December 2026]])*BedPlan[[#This Row],[Revenue]:[Revenue]]</f>
        <v>0</v>
      </c>
      <c r="DO27" s="257" cm="1">
        <f t="array" ref="DO27">BedPlan[[#This Row],[Harvest Days July 2025]]/SUM(BedPlan[[#This Row],[Harvest Days January 2025]:[Harvest Days December 2026]])*BedPlan[[#This Row],[Revenue]:[Revenue]]</f>
        <v>0</v>
      </c>
      <c r="DP27" s="257" cm="1">
        <f t="array" ref="DP27">BedPlan[[#This Row],[Harvest Days August 2025]]/SUM(BedPlan[[#This Row],[Harvest Days January 2025]:[Harvest Days December 2026]])*BedPlan[[#This Row],[Revenue]:[Revenue]]</f>
        <v>0</v>
      </c>
      <c r="DQ27" s="257" cm="1">
        <f t="array" ref="DQ27">BedPlan[[#This Row],[Harvest Days September 2025]]/SUM(BedPlan[[#This Row],[Harvest Days January 2025]:[Harvest Days December 2026]])*BedPlan[[#This Row],[Revenue]:[Revenue]]</f>
        <v>480</v>
      </c>
      <c r="DR27" s="257" cm="1">
        <f t="array" ref="DR27">BedPlan[[#This Row],[Harvest Days October 2025]]/SUM(BedPlan[[#This Row],[Harvest Days January 2025]:[Harvest Days December 2026]])*BedPlan[[#This Row],[Revenue]:[Revenue]]</f>
        <v>120</v>
      </c>
      <c r="DS27" s="257" cm="1">
        <f t="array" ref="DS27">BedPlan[[#This Row],[Harvest Days November 2025]]/SUM(BedPlan[[#This Row],[Harvest Days January 2025]:[Harvest Days December 2026]])*BedPlan[[#This Row],[Revenue]:[Revenue]]</f>
        <v>0</v>
      </c>
      <c r="DT27" s="257" cm="1">
        <f t="array" ref="DT27">BedPlan[[#This Row],[Harvest Days December 2025]]/SUM(BedPlan[[#This Row],[Harvest Days January 2025]:[Harvest Days December 2026]])*BedPlan[[#This Row],[Revenue]:[Revenue]]</f>
        <v>0</v>
      </c>
      <c r="DU27" s="257" cm="1">
        <f t="array" ref="DU27">BedPlan[[#This Row],[Harvest Days January 2026]]/SUM(BedPlan[[#This Row],[Harvest Days January 2025]:[Harvest Days December 2026]])*BedPlan[[#This Row],[Revenue]:[Revenue]]</f>
        <v>0</v>
      </c>
      <c r="DV27" s="257" cm="1">
        <f t="array" ref="DV27">BedPlan[[#This Row],[Harvest Days February 2026]]/SUM(BedPlan[[#This Row],[Harvest Days January 2025]:[Harvest Days December 2026]])*BedPlan[[#This Row],[Revenue]:[Revenue]]</f>
        <v>0</v>
      </c>
      <c r="DW27" s="257" cm="1">
        <f t="array" ref="DW27">BedPlan[[#This Row],[Harvest Days March 2026]]/SUM(BedPlan[[#This Row],[Harvest Days January 2025]:[Harvest Days December 2026]])*BedPlan[[#This Row],[Revenue]:[Revenue]]</f>
        <v>0</v>
      </c>
      <c r="DX27" s="257" cm="1">
        <f t="array" ref="DX27">BedPlan[[#This Row],[Harvest Days April 2026]]/SUM(BedPlan[[#This Row],[Harvest Days January 2025]:[Harvest Days December 2026]])*BedPlan[[#This Row],[Revenue]:[Revenue]]</f>
        <v>0</v>
      </c>
      <c r="DY27" s="257" cm="1">
        <f t="array" ref="DY27">BedPlan[[#This Row],[Harvest Days May 2026]]/SUM(BedPlan[[#This Row],[Harvest Days January 2025]:[Harvest Days December 2026]])*BedPlan[[#This Row],[Revenue]:[Revenue]]</f>
        <v>0</v>
      </c>
      <c r="DZ27" s="257" cm="1">
        <f t="array" ref="DZ27">BedPlan[[#This Row],[Harvest Days June 2026]]/SUM(BedPlan[[#This Row],[Harvest Days January 2025]:[Harvest Days December 2026]])*BedPlan[[#This Row],[Revenue]:[Revenue]]</f>
        <v>0</v>
      </c>
      <c r="EA27" s="257" cm="1">
        <f t="array" ref="EA27">BedPlan[[#This Row],[Harvest Days July 2026]]/SUM(BedPlan[[#This Row],[Harvest Days January 2025]:[Harvest Days December 2026]])*BedPlan[[#This Row],[Revenue]:[Revenue]]</f>
        <v>0</v>
      </c>
      <c r="EB27" s="257" cm="1">
        <f t="array" ref="EB27">BedPlan[[#This Row],[Harvest Days August 2026]]/SUM(BedPlan[[#This Row],[Harvest Days January 2025]:[Harvest Days December 2026]])*BedPlan[[#This Row],[Revenue]:[Revenue]]</f>
        <v>0</v>
      </c>
      <c r="EC27" s="257" cm="1">
        <f t="array" ref="EC27">BedPlan[[#This Row],[Harvest Days September 2026]]/SUM(BedPlan[[#This Row],[Harvest Days January 2025]:[Harvest Days December 2026]])*BedPlan[[#This Row],[Revenue]:[Revenue]]</f>
        <v>0</v>
      </c>
      <c r="ED27" s="257" cm="1">
        <f t="array" ref="ED27">BedPlan[[#This Row],[Harvest Days October 2026]]/SUM(BedPlan[[#This Row],[Harvest Days January 2025]:[Harvest Days December 2026]])*BedPlan[[#This Row],[Revenue]:[Revenue]]</f>
        <v>0</v>
      </c>
      <c r="EE27" s="257" cm="1">
        <f t="array" ref="EE27">BedPlan[[#This Row],[Harvest Days November 2026]]/SUM(BedPlan[[#This Row],[Harvest Days January 2025]:[Harvest Days December 2026]])*BedPlan[[#This Row],[Revenue]:[Revenue]]</f>
        <v>0</v>
      </c>
      <c r="EF27" s="257" cm="1">
        <f t="array" ref="EF27">BedPlan[[#This Row],[Harvest Days December 2026]]/SUM(BedPlan[[#This Row],[Harvest Days January 2025]:[Harvest Days December 2026]])*BedPlan[[#This Row],[Revenue]:[Revenue]]</f>
        <v>0</v>
      </c>
      <c r="EG27" t="b">
        <f>SUM(BedPlan[[#This Row],[Revenue January 2025]:[Revenue December 2026]])=BedPlan[[#This Row],[Revenue]]</f>
        <v>1</v>
      </c>
      <c r="EH27" s="30" cm="1">
        <f t="array" ref="EH27">INDEX(Crops[],BedPlan[[#This Row],[Chart Index]],EH$4,1)*BedPlan[[#This Row],['# Of Beds]]</f>
        <v>150</v>
      </c>
      <c r="EI27" s="30" t="str" cm="1">
        <f t="array" ref="EI27">INDEX(Crops[],BedPlan[[#This Row],[Chart Index]],EI$4,1)</f>
        <v>Head</v>
      </c>
      <c r="EJ27" s="30" t="str" cm="1">
        <f t="array" ref="EJ27">INDEX(Crops[],BedPlan[[#This Row],[Chart Index]],EJ$4,1)</f>
        <v>Small Head</v>
      </c>
      <c r="EK27" s="30" t="str">
        <f>BedPlan[[#This Row],[Name]]&amp;" "&amp;BedPlan[[#This Row],[Product]]&amp; " - " &amp;BedPlan[[#This Row],[Unit]]</f>
        <v>Cabbage Small Head - Head</v>
      </c>
      <c r="EL27" s="33" cm="1">
        <f t="array" ref="EL27">BedPlan[[#This Row],[Harvest Days January 2025]]/SUM(BedPlan[[#This Row],[Harvest Days January 2025]:[Harvest Days December 2026]])*BedPlan[[#This Row],[Yield]:[Yield]]</f>
        <v>0</v>
      </c>
      <c r="EM27" s="33" cm="1">
        <f t="array" ref="EM27">BedPlan[[#This Row],[Harvest Days February 2025]]/SUM(BedPlan[[#This Row],[Harvest Days January 2025]:[Harvest Days December 2026]])*BedPlan[[#This Row],[Yield]:[Yield]]</f>
        <v>0</v>
      </c>
      <c r="EN27" s="33" cm="1">
        <f t="array" ref="EN27">BedPlan[[#This Row],[Harvest Days March 2025]]/SUM(BedPlan[[#This Row],[Harvest Days January 2025]:[Harvest Days December 2026]])*BedPlan[[#This Row],[Yield]:[Yield]]</f>
        <v>0</v>
      </c>
      <c r="EO27" s="33" cm="1">
        <f t="array" ref="EO27">BedPlan[[#This Row],[Harvest Days April 2025]]/SUM(BedPlan[[#This Row],[Harvest Days January 2025]:[Harvest Days December 2026]])*BedPlan[[#This Row],[Yield]:[Yield]]</f>
        <v>0</v>
      </c>
      <c r="EP27" s="33" cm="1">
        <f t="array" ref="EP27">BedPlan[[#This Row],[Harvest Days May 2025]]/SUM(BedPlan[[#This Row],[Harvest Days January 2025]:[Harvest Days December 2026]])*BedPlan[[#This Row],[Yield]:[Yield]]</f>
        <v>0</v>
      </c>
      <c r="EQ27" s="33" cm="1">
        <f t="array" ref="EQ27">BedPlan[[#This Row],[Harvest Days June 2025]]/SUM(BedPlan[[#This Row],[Harvest Days January 2025]:[Harvest Days December 2026]])*BedPlan[[#This Row],[Yield]:[Yield]]</f>
        <v>0</v>
      </c>
      <c r="ER27" s="33" cm="1">
        <f t="array" ref="ER27">BedPlan[[#This Row],[Harvest Days July 2025]]/SUM(BedPlan[[#This Row],[Harvest Days January 2025]:[Harvest Days December 2026]])*BedPlan[[#This Row],[Yield]:[Yield]]</f>
        <v>0</v>
      </c>
      <c r="ES27" s="33" cm="1">
        <f t="array" ref="ES27">BedPlan[[#This Row],[Harvest Days August 2025]]/SUM(BedPlan[[#This Row],[Harvest Days January 2025]:[Harvest Days December 2026]])*BedPlan[[#This Row],[Yield]:[Yield]]</f>
        <v>0</v>
      </c>
      <c r="ET27" s="33" cm="1">
        <f t="array" ref="ET27">BedPlan[[#This Row],[Harvest Days September 2025]]/SUM(BedPlan[[#This Row],[Harvest Days January 2025]:[Harvest Days December 2026]])*BedPlan[[#This Row],[Yield]:[Yield]]</f>
        <v>120</v>
      </c>
      <c r="EU27" s="33" cm="1">
        <f t="array" ref="EU27">BedPlan[[#This Row],[Harvest Days October 2025]]/SUM(BedPlan[[#This Row],[Harvest Days January 2025]:[Harvest Days December 2026]])*BedPlan[[#This Row],[Yield]:[Yield]]</f>
        <v>30</v>
      </c>
      <c r="EV27" s="33" cm="1">
        <f t="array" ref="EV27">BedPlan[[#This Row],[Harvest Days November 2025]]/SUM(BedPlan[[#This Row],[Harvest Days January 2025]:[Harvest Days December 2026]])*BedPlan[[#This Row],[Yield]:[Yield]]</f>
        <v>0</v>
      </c>
      <c r="EW27" s="33" cm="1">
        <f t="array" ref="EW27">BedPlan[[#This Row],[Harvest Days December 2025]]/SUM(BedPlan[[#This Row],[Harvest Days January 2025]:[Harvest Days December 2026]])*BedPlan[[#This Row],[Yield]:[Yield]]</f>
        <v>0</v>
      </c>
    </row>
    <row r="28" spans="1:153" ht="15" customHeight="1">
      <c r="A28" s="191" t="s">
        <v>2797</v>
      </c>
      <c r="B28" t="s">
        <v>2630</v>
      </c>
      <c r="C28" t="s">
        <v>1462</v>
      </c>
      <c r="D28" cm="1">
        <f t="array" ref="D28">INDEX(Crops[],BedPlan[[#This Row],[Chart Index]],D$4,1)*BedPlan[[#This Row],[Full Bed Equivalent]]</f>
        <v>80</v>
      </c>
      <c r="E28" cm="1">
        <f t="array" ref="E28">INDEX(Crops[],BedPlan[[#This Row],[Chart Index]],E$4,1)*BedPlan[[#This Row],[Full Bed Equivalent]]</f>
        <v>80</v>
      </c>
      <c r="F28" t="str">
        <f>UPPER(LEFT(BedPlan[[#This Row],[Crop]],3))</f>
        <v>CAB</v>
      </c>
      <c r="H28" s="143" t="str" cm="1">
        <f t="array" ref="H28">INDEX(Crops[],BedPlan[[#This Row],[Chart Index]],H$4,1)</f>
        <v>Cabbage</v>
      </c>
      <c r="I28" t="s">
        <v>2790</v>
      </c>
      <c r="K28" t="str" cm="1">
        <f t="array" ref="K28">IF(ISNUMBER(MATCH(BedPlan[[#This Row],[Variety]],SeedMixes[Name],)),_xlfn.TEXTJOIN(", ",TRUE,_xlfn._xlws.FILTER(SeedMixes[Variety &amp; Company],SeedMixes[Name]=BedPlan[[#This Row],[Variety]])),"")</f>
        <v>Piccolima F1 Osborne, Katarina F1 Osborne</v>
      </c>
      <c r="L28" s="33" cm="1">
        <f t="array" ref="L28">INDEX(Crops[],BedPlan[[#This Row],[Chart Index]],L$4,1)*BedPlan[[#This Row],[Full Bed Equivalent]]</f>
        <v>176.00000000000003</v>
      </c>
      <c r="N28">
        <v>0.4</v>
      </c>
      <c r="O28">
        <f>1</f>
        <v>1</v>
      </c>
      <c r="P28" s="31">
        <f>IF(ISNUMBER(BedPlan[[#This Row],[Planned Greenhouse Start Date]]),BedPlan[[#This Row],[Planned Greenhouse Start Date]],BedPlan[[#This Row],[Planned TP or DS Date]])</f>
        <v>45713</v>
      </c>
      <c r="Q28" s="259">
        <f>IF(BedPlan[[#This Row],[Days in Cells]]=0,"",IFERROR(_xlfn.XLOOKUP(BedPlan[[#This Row],[Follows Crop]],BedPlan[Identifier],BedPlan[Expected End of Harvest]) + 1+BedPlan[[#This Row],[Follow Offset]],BedPlan[[#This Row],[Fixed Field Start Date]])-BedPlan[[#This Row],[Days in Cells]])</f>
        <v>45713</v>
      </c>
      <c r="R28" s="259">
        <v>45744</v>
      </c>
      <c r="S28" s="259">
        <f>IF(ISNUMBER(BedPlan[[#This Row],[Actual Greenhouse Date]]),BedPlan[[#This Row],[Actual Greenhouse Date]],BedPlan[[#This Row],[Planned Greenhouse Start Date]])</f>
        <v>45744</v>
      </c>
      <c r="T28" s="259">
        <f>_xlfn.XLOOKUP(BedPlan[[#This Row],[Crop]],Crops[Identifier],Crops[Target Field Date])</f>
        <v>45748</v>
      </c>
      <c r="U28" s="260"/>
      <c r="V28" s="260"/>
      <c r="W2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45779</v>
      </c>
      <c r="X28" s="259">
        <v>45782</v>
      </c>
      <c r="Y28" s="271">
        <f>BedPlan[[#This Row],[Actual TP or DS Date]]-BedPlan[[#This Row],[Planned TP or DS Date]]</f>
        <v>3</v>
      </c>
      <c r="Z28" s="259">
        <f>IF(ISNUMBER(BedPlan[[#This Row],[Actual TP or DS Date]]),BedPlan[[#This Row],[Actual TP or DS Date]],BedPlan[[#This Row],[Planned TP or DS Date]])</f>
        <v>45782</v>
      </c>
      <c r="AA28" s="260"/>
      <c r="AB28" s="259">
        <f>IF(ISNUMBER(BedPlan[[#This Row],[Greenhouse Start Date]]),BedPlan[[#This Row],[Greenhouse Start Date]]+BedPlan[[#This Row],[DTM]],BedPlan[[#This Row],[TP or DS Date]]+BedPlan[[#This Row],[DTM]])</f>
        <v>45849</v>
      </c>
      <c r="AC28" s="259"/>
      <c r="AD28" s="259">
        <f>IF(ISNUMBER(BedPlan[[#This Row],[Actual Beginning of Harvest]]),BedPlan[[#This Row],[Actual Beginning of Harvest]],BedPlan[[#This Row],[Expected Beginning of Harvest]])</f>
        <v>45849</v>
      </c>
      <c r="AE28" s="259">
        <f>BedPlan[[#This Row],[Expected Beginning of Harvest]]+BedPlan[[#This Row],[Harvest Window]]+BedPlan[[#This Row],[Additional Days of Harvest]]</f>
        <v>45856</v>
      </c>
      <c r="AF28" s="259"/>
      <c r="AG28" s="259"/>
      <c r="AH28" s="31" t="b">
        <f>IF(AND( BedPlan[[#This Row],[Expected End of Harvest]] &gt;= DATE(2025, 8, 1), BedPlan[[#This Row],[Beginning of Harvest]] &lt;= DATE(2025, 8, 31) ), TRUE, FALSE)</f>
        <v>0</v>
      </c>
      <c r="AI28" s="31"/>
      <c r="AJ28" s="31">
        <f>IF(ISNUMBER(BedPlan[[#This Row],[Actual End of Harvest]]),BedPlan[[#This Row],[Actual End of Harvest]],BedPlan[[#This Row],[Expected End of Harvest]])</f>
        <v>45856</v>
      </c>
      <c r="AK28" t="b">
        <f>OR(ISNUMBER(BedPlan[[#This Row],[Actual Greenhouse Date]]),ISNUMBER(BedPlan[[#This Row],[Actual TP or DS Date]]))</f>
        <v>1</v>
      </c>
      <c r="AL28" s="52" t="b">
        <f>IF(ISNUMBER(BedPlan[[#This Row],[Planned Greenhouse Start Date]]),OR(ISNUMBER(BedPlan[[#This Row],[Actual TP or DS Date]]),BedPlan[[#This Row],[Failed]]),"-")</f>
        <v>1</v>
      </c>
      <c r="AM28" t="b">
        <f>OR(ISNUMBER(BedPlan[[#This Row],[Actual End of Harvest]]),BedPlan[[#This Row],[Failed]])</f>
        <v>0</v>
      </c>
      <c r="AN28" t="b">
        <f>OR(BedPlan[[#This Row],[Harvest Done]],BedPlan[[#This Row],[Failed]],BedPlan[[#This Row],[Name]]="Tarp")</f>
        <v>0</v>
      </c>
      <c r="AQ28" t="s">
        <v>3214</v>
      </c>
      <c r="AR28" t="b">
        <v>1</v>
      </c>
      <c r="AS28" s="26" t="str">
        <f>IF(BedPlan[[#This Row],[Broadfork]],BedPlan[[#This Row],[Actual TP or DS Date]],"")</f>
        <v/>
      </c>
      <c r="AT28" s="26" t="str">
        <f>IF(BedPlan[[#This Row],[Tilther]],BedPlan[[#This Row],[Actual TP or DS Date]],"")</f>
        <v/>
      </c>
      <c r="AU28" s="26">
        <f>IF(NOT(ISBLANK(BedPlan[[#This Row],[Amend]])),BedPlan[[#This Row],[Actual TP or DS Date]],"")</f>
        <v>45782</v>
      </c>
      <c r="AV28" s="26">
        <f>IF(BedPlan[[#This Row],[Row Cover]],BedPlan[[#This Row],[Actual TP or DS Date]],"")</f>
        <v>45782</v>
      </c>
      <c r="AX28" s="26"/>
      <c r="AZ28" s="26"/>
      <c r="BB28" s="26"/>
      <c r="BC28" s="231" cm="1">
        <f t="array" ref="BC28">INDEX(Crops[],BedPlan[[#This Row],[Chart Index]],BC$4,1)*BedPlan[[#This Row],[Full Bed Equivalent]]</f>
        <v>264</v>
      </c>
      <c r="BD28" s="231" cm="1">
        <f t="array" ref="BD28">INDEX(Crops[],BedPlan[[#This Row],[Chart Index]],BD$4,1)*BedPlan[[#This Row],[Full Bed Equivalent]]</f>
        <v>3.4285714285714288</v>
      </c>
      <c r="BE28" cm="1">
        <f t="array" ref="BE28">INDEX(Crops[],BedPlan[[#This Row],[Chart Index]],BE$4,1)+BedPlan[[#This Row],[Additional Days in Cells]]+BedPlan[[#This Row],[Additional Days In Field]]</f>
        <v>105</v>
      </c>
      <c r="BG28" cm="1">
        <f t="array" ref="BG28">INDEX(Crops[],BedPlan[[#This Row],[Chart Index]],BG$4,1)</f>
        <v>7</v>
      </c>
      <c r="BH28" t="str">
        <f>IF(ISNUMBER(BedPlan[[#This Row],[Planned Greenhouse Start Date]]),"TP","DS")</f>
        <v>TP</v>
      </c>
      <c r="BI28">
        <f>BedPlan[[#This Row],['# Of Beds]]</f>
        <v>0.4</v>
      </c>
      <c r="BJ28" cm="1">
        <f t="array" ref="BJ28">INDEX(Crops[],BedPlan[[#This Row],[Chart Index]],BJ$4,1)</f>
        <v>35</v>
      </c>
      <c r="BK28" cm="1">
        <f t="array" ref="BK28">INDEX(Crops[],BedPlan[[#This Row],[Chart Index]],BK$4,1)</f>
        <v>3</v>
      </c>
      <c r="BL28" cm="1">
        <f t="array" ref="BL28">INDEX(Crops[],BedPlan[[#This Row],[Chart Index]],BL$4,1)</f>
        <v>9</v>
      </c>
      <c r="BM28" cm="1">
        <f t="array" ref="BM28">INDEX(Crops[],BedPlan[[#This Row],[Chart Index]],BM$4,1)</f>
        <v>1</v>
      </c>
      <c r="BN28" s="32" cm="1">
        <f t="array" ref="BN28">INDEX(Crops[],BedPlan[[#This Row],[Chart Index]],BN$4,1)*BedPlan[[#This Row],[Full Bed Equivalent]]</f>
        <v>80</v>
      </c>
      <c r="BO28" t="str" cm="1">
        <f t="array" ref="BO28">IF(INDEX(Crops[],BedPlan[[#This Row],[Chart Index]],BO$4,1)=0,"",INDEX(Crops[],BedPlan[[#This Row],[Chart Index]],BO$4,1))</f>
        <v/>
      </c>
      <c r="BP28">
        <f>MATCH(BedPlan[[#This Row],[Crop]],Crops[Identifier],FALSE)</f>
        <v>50</v>
      </c>
      <c r="BQ28" t="str" cm="1">
        <f t="array" ref="BQ28">INDEX(Crops[],BedPlan[[#This Row],[Chart Index]],BQ$4,1)</f>
        <v>Fast Early 9"</v>
      </c>
      <c r="BR28" t="str" cm="1">
        <f t="array" ref="BR28">INDEX(Crops[],BedPlan[[#This Row],[Chart Index]],BR$4,1)</f>
        <v>Sp</v>
      </c>
      <c r="BS28" s="32">
        <f>BedPlan[[#This Row],[Expected Beginning of Harvest]]-DATE(2023,1,1)</f>
        <v>922</v>
      </c>
      <c r="BT28">
        <f>BedPlan[[#This Row],[Expected End of Harvest]]-BedPlan[[#This Row],[Expected Beginning of Harvest]]</f>
        <v>7</v>
      </c>
      <c r="BU28" t="str" cm="1">
        <f t="array" ref="BU28">INDEX(Crops[],BedPlan[[#This Row],[Chart Index]],BU$4,1)</f>
        <v>Brassica</v>
      </c>
      <c r="BV28" cm="1">
        <f t="array" ref="BV28">INDEX(Crops[],BedPlan[[#This Row],[Chart Index]],BV$4,1)</f>
        <v>0</v>
      </c>
      <c r="BW28" cm="1">
        <f t="array" ref="BW28">INDEX(Crops[],BedPlan[[#This Row],[Chart Index]],BW$4,1)</f>
        <v>0</v>
      </c>
      <c r="BX28" cm="1">
        <f t="array" ref="BX28">INDEX(Crops[],BedPlan[[#This Row],[Chart Index]],BX$4,1)</f>
        <v>400</v>
      </c>
      <c r="BY28" cm="1">
        <f t="array" ref="BY28">INDEX(Crops[],BedPlan[[#This Row],[Chart Index]],BY$4,1)</f>
        <v>7</v>
      </c>
      <c r="BZ28" s="49" cm="1">
        <f t="array" ref="BZ28">IFERROR(INDEX(Crops[],BedPlan[[#This Row],[Chart Index]],BZ$4,1)*BedPlan[[#This Row],[Full Bed Equivalent]],"")</f>
        <v>0.22000000000000003</v>
      </c>
      <c r="CA28" cm="1">
        <f t="array" ref="CA28">INDEX(Crops[],BedPlan[[#This Row],[Chart Index]],CA$4,1)</f>
        <v>72</v>
      </c>
      <c r="CB28" cm="1">
        <f t="array" ref="CB28">INDEX(Crops[],BedPlan[[#This Row],[Chart Index]],CB$4,1)</f>
        <v>28</v>
      </c>
      <c r="CC28" s="49" cm="1">
        <f t="array" ref="CC28">IFERROR(INDEX(Crops[],BedPlan[[#This Row],[Chart Index]],CC$4,1)*BedPlan[[#This Row],[Full Bed Equivalent]],"")</f>
        <v>1.2222222222222223</v>
      </c>
      <c r="CD28" cm="1">
        <f t="array" ref="CD28">INDEX(Crops[],BedPlan[[#This Row],[Chart Index]],CD$4,1)</f>
        <v>0</v>
      </c>
      <c r="CE28" cm="1">
        <f t="array" ref="CE28">IF(INDEX(Crops[],BedPlan[[#This Row],[Chart Index]],CE$4,1)="",0,INDEX(Crops[],BedPlan[[#This Row],[Chart Index]],CE$4,1))</f>
        <v>0</v>
      </c>
      <c r="CF28" s="49" t="str" cm="1">
        <f t="array" ref="CF28">IFERROR(INDEX(Crops[],BedPlan[[#This Row],[Chart Index]],CF$4,1)*BedPlan[[#This Row],[Full Bed Equivalent]],"")</f>
        <v/>
      </c>
      <c r="CG28" cm="1">
        <f t="array" ref="CG28">IF(INDEX(Crops[],BedPlan[[#This Row],[Chart Index]],CG$4,1)="",0,INDEX(Crops[],BedPlan[[#This Row],[Chart Index]],CG$4,1))</f>
        <v>1.1000000000000001</v>
      </c>
      <c r="CH28" cm="1">
        <f t="array" ref="CH28">IF(INDEX(Crops[],BedPlan[[#This Row],[Chart Index]],CH$4,1)="",0,INDEX(Crops[],BedPlan[[#This Row],[Chart Index]],CH$4,1))</f>
        <v>0</v>
      </c>
      <c r="CI28" t="str" cm="1">
        <f t="array" ref="CI28">INDEX(Crops[],BedPlan[[#This Row],[Chart Index]],CI$4,1)</f>
        <v>Field</v>
      </c>
      <c r="CJ28" s="30" t="str">
        <f>_xlfn.TEXTJOIN(CHAR(10),FALSE,BedPlan[[#This Row],[Name]],BedPlan[[#This Row],[Variety]],BedPlan[[#This Row],[Company]])</f>
        <v xml:space="preserve">Cabbage
Mini Cabbage Mix
</v>
      </c>
      <c r="CK28" s="32">
        <f>MAX( 0, MIN(BedPlan[[#This Row],[Expected End of Harvest]], EOMONTH(CK$4, 0)) - MAX(BedPlan[[#This Row],[Beginning of Harvest]], CK$4) + 1 )</f>
        <v>0</v>
      </c>
      <c r="CL28">
        <f>MAX( 0, MIN(BedPlan[[#This Row],[Expected End of Harvest]], EOMONTH(CL$4, 0)) - MAX(BedPlan[[#This Row],[Beginning of Harvest]], CL$4) + 1 )</f>
        <v>0</v>
      </c>
      <c r="CM28">
        <f>MAX( 0, MIN(BedPlan[[#This Row],[Expected End of Harvest]], EOMONTH(CM$4, 0)) - MAX(BedPlan[[#This Row],[Beginning of Harvest]], CM$4) + 1 )</f>
        <v>0</v>
      </c>
      <c r="CN28">
        <f>MAX( 0, MIN(BedPlan[[#This Row],[Expected End of Harvest]], EOMONTH(CN$4, 0)) - MAX(BedPlan[[#This Row],[Beginning of Harvest]], CN$4) + 1 )</f>
        <v>0</v>
      </c>
      <c r="CO28">
        <f>MAX( 0, MIN(BedPlan[[#This Row],[Expected End of Harvest]], EOMONTH(CO$4, 0)) - MAX(BedPlan[[#This Row],[Beginning of Harvest]], CO$4) + 1 )</f>
        <v>0</v>
      </c>
      <c r="CP28">
        <f>MAX( 0, MIN(BedPlan[[#This Row],[Expected End of Harvest]], EOMONTH(CP$4, 0)) - MAX(BedPlan[[#This Row],[Beginning of Harvest]], CP$4) + 1 )</f>
        <v>0</v>
      </c>
      <c r="CQ28">
        <f>MAX( 0, MIN(BedPlan[[#This Row],[Expected End of Harvest]], EOMONTH(CQ$4, 0)) - MAX(BedPlan[[#This Row],[Beginning of Harvest]], CQ$4) + 1 )</f>
        <v>8</v>
      </c>
      <c r="CR28">
        <f>MAX( 0, MIN(BedPlan[[#This Row],[Expected End of Harvest]], EOMONTH(CR$4, 0)) - MAX(BedPlan[[#This Row],[Beginning of Harvest]], CR$4) + 1 )</f>
        <v>0</v>
      </c>
      <c r="CS28">
        <f>MAX( 0, MIN(BedPlan[[#This Row],[Expected End of Harvest]], EOMONTH(CS$4, 0)) - MAX(BedPlan[[#This Row],[Beginning of Harvest]], CS$4) + 1 )</f>
        <v>0</v>
      </c>
      <c r="CT28">
        <f>MAX( 0, MIN(BedPlan[[#This Row],[Expected End of Harvest]], EOMONTH(CT$4, 0)) - MAX(BedPlan[[#This Row],[Beginning of Harvest]], CT$4) + 1 )</f>
        <v>0</v>
      </c>
      <c r="CU28">
        <f>MAX( 0, MIN(BedPlan[[#This Row],[Expected End of Harvest]], EOMONTH(CU$4, 0)) - MAX(BedPlan[[#This Row],[Beginning of Harvest]], CU$4) + 1 )</f>
        <v>0</v>
      </c>
      <c r="CV28">
        <f>MAX( 0, MIN(BedPlan[[#This Row],[Expected End of Harvest]], EOMONTH(CV$4, 0)) - MAX(BedPlan[[#This Row],[Beginning of Harvest]], CV$4) + 1 )</f>
        <v>0</v>
      </c>
      <c r="CW28">
        <f>MAX( 0, MIN(BedPlan[[#This Row],[Expected End of Harvest]], EOMONTH(CW$4, 0)) - MAX(BedPlan[[#This Row],[Beginning of Harvest]], CW$4) + 1 )</f>
        <v>0</v>
      </c>
      <c r="CX28">
        <f>MAX( 0, MIN(BedPlan[[#This Row],[Expected End of Harvest]], EOMONTH(CX$4, 0)) - MAX(BedPlan[[#This Row],[Beginning of Harvest]], CX$4) + 1 )</f>
        <v>0</v>
      </c>
      <c r="CY28">
        <f>MAX( 0, MIN(BedPlan[[#This Row],[Expected End of Harvest]], EOMONTH(CY$4, 0)) - MAX(BedPlan[[#This Row],[Beginning of Harvest]], CY$4) + 1 )</f>
        <v>0</v>
      </c>
      <c r="CZ28">
        <f>MAX( 0, MIN(BedPlan[[#This Row],[Expected End of Harvest]], EOMONTH(CZ$4, 0)) - MAX(BedPlan[[#This Row],[Beginning of Harvest]], CZ$4) + 1 )</f>
        <v>0</v>
      </c>
      <c r="DA28">
        <f>MAX( 0, MIN(BedPlan[[#This Row],[Expected End of Harvest]], EOMONTH(DA$4, 0)) - MAX(BedPlan[[#This Row],[Beginning of Harvest]], DA$4) + 1 )</f>
        <v>0</v>
      </c>
      <c r="DB28">
        <f>MAX( 0, MIN(BedPlan[[#This Row],[Expected End of Harvest]], EOMONTH(DB$4, 0)) - MAX(BedPlan[[#This Row],[Beginning of Harvest]], DB$4) + 1 )</f>
        <v>0</v>
      </c>
      <c r="DC28">
        <f>MAX( 0, MIN(BedPlan[[#This Row],[Expected End of Harvest]], EOMONTH(DC$4, 0)) - MAX(BedPlan[[#This Row],[Beginning of Harvest]], DC$4) + 1 )</f>
        <v>0</v>
      </c>
      <c r="DD28">
        <f>MAX( 0, MIN(BedPlan[[#This Row],[Expected End of Harvest]], EOMONTH(DD$4, 0)) - MAX(BedPlan[[#This Row],[Beginning of Harvest]], DD$4) + 1 )</f>
        <v>0</v>
      </c>
      <c r="DE28">
        <f>MAX( 0, MIN(BedPlan[[#This Row],[Expected End of Harvest]], EOMONTH(DE$4, 0)) - MAX(BedPlan[[#This Row],[Beginning of Harvest]], DE$4) + 1 )</f>
        <v>0</v>
      </c>
      <c r="DF28">
        <f>MAX( 0, MIN(BedPlan[[#This Row],[Expected End of Harvest]], EOMONTH(DF$4, 0)) - MAX(BedPlan[[#This Row],[Beginning of Harvest]], DF$4) + 1 )</f>
        <v>0</v>
      </c>
      <c r="DG28">
        <f>MAX( 0, MIN(BedPlan[[#This Row],[Expected End of Harvest]], EOMONTH(DG$4, 0)) - MAX(BedPlan[[#This Row],[Beginning of Harvest]], DG$4) + 1 )</f>
        <v>0</v>
      </c>
      <c r="DH28">
        <f>MAX( 0, MIN(BedPlan[[#This Row],[Expected End of Harvest]], EOMONTH(DH$4, 0)) - MAX(BedPlan[[#This Row],[Beginning of Harvest]], DH$4) + 1 )</f>
        <v>0</v>
      </c>
      <c r="DI28" s="257" cm="1">
        <f t="array" ref="DI28">BedPlan[[#This Row],[Harvest Days January 2025]]/SUM(BedPlan[[#This Row],[Harvest Days January 2025]:[Harvest Days December 2026]])*BedPlan[[#This Row],[Revenue]:[Revenue]]</f>
        <v>0</v>
      </c>
      <c r="DJ28" s="257" cm="1">
        <f t="array" ref="DJ28">BedPlan[[#This Row],[Harvest Days February 2025]]/SUM(BedPlan[[#This Row],[Harvest Days January 2025]:[Harvest Days December 2026]])*BedPlan[[#This Row],[Revenue]:[Revenue]]</f>
        <v>0</v>
      </c>
      <c r="DK28" s="257" cm="1">
        <f t="array" ref="DK28">BedPlan[[#This Row],[Harvest Days March 2025]]/SUM(BedPlan[[#This Row],[Harvest Days January 2025]:[Harvest Days December 2026]])*BedPlan[[#This Row],[Revenue]:[Revenue]]</f>
        <v>0</v>
      </c>
      <c r="DL28" s="257" cm="1">
        <f t="array" ref="DL28">BedPlan[[#This Row],[Harvest Days April 2025]]/SUM(BedPlan[[#This Row],[Harvest Days January 2025]:[Harvest Days December 2026]])*BedPlan[[#This Row],[Revenue]:[Revenue]]</f>
        <v>0</v>
      </c>
      <c r="DM28" s="257" cm="1">
        <f t="array" ref="DM28">BedPlan[[#This Row],[Harvest Days May 2025]]/SUM(BedPlan[[#This Row],[Harvest Days January 2025]:[Harvest Days December 2026]])*BedPlan[[#This Row],[Revenue]:[Revenue]]</f>
        <v>0</v>
      </c>
      <c r="DN28" s="257" cm="1">
        <f t="array" ref="DN28">BedPlan[[#This Row],[Harvest Days June 2025]]/SUM(BedPlan[[#This Row],[Harvest Days January 2025]:[Harvest Days December 2026]])*BedPlan[[#This Row],[Revenue]:[Revenue]]</f>
        <v>0</v>
      </c>
      <c r="DO28" s="257" cm="1">
        <f t="array" ref="DO28">BedPlan[[#This Row],[Harvest Days July 2025]]/SUM(BedPlan[[#This Row],[Harvest Days January 2025]:[Harvest Days December 2026]])*BedPlan[[#This Row],[Revenue]:[Revenue]]</f>
        <v>264</v>
      </c>
      <c r="DP28" s="257" cm="1">
        <f t="array" ref="DP28">BedPlan[[#This Row],[Harvest Days August 2025]]/SUM(BedPlan[[#This Row],[Harvest Days January 2025]:[Harvest Days December 2026]])*BedPlan[[#This Row],[Revenue]:[Revenue]]</f>
        <v>0</v>
      </c>
      <c r="DQ28" s="257" cm="1">
        <f t="array" ref="DQ28">BedPlan[[#This Row],[Harvest Days September 2025]]/SUM(BedPlan[[#This Row],[Harvest Days January 2025]:[Harvest Days December 2026]])*BedPlan[[#This Row],[Revenue]:[Revenue]]</f>
        <v>0</v>
      </c>
      <c r="DR28" s="257" cm="1">
        <f t="array" ref="DR28">BedPlan[[#This Row],[Harvest Days October 2025]]/SUM(BedPlan[[#This Row],[Harvest Days January 2025]:[Harvest Days December 2026]])*BedPlan[[#This Row],[Revenue]:[Revenue]]</f>
        <v>0</v>
      </c>
      <c r="DS28" s="257" cm="1">
        <f t="array" ref="DS28">BedPlan[[#This Row],[Harvest Days November 2025]]/SUM(BedPlan[[#This Row],[Harvest Days January 2025]:[Harvest Days December 2026]])*BedPlan[[#This Row],[Revenue]:[Revenue]]</f>
        <v>0</v>
      </c>
      <c r="DT28" s="257" cm="1">
        <f t="array" ref="DT28">BedPlan[[#This Row],[Harvest Days December 2025]]/SUM(BedPlan[[#This Row],[Harvest Days January 2025]:[Harvest Days December 2026]])*BedPlan[[#This Row],[Revenue]:[Revenue]]</f>
        <v>0</v>
      </c>
      <c r="DU28" s="257" cm="1">
        <f t="array" ref="DU28">BedPlan[[#This Row],[Harvest Days January 2026]]/SUM(BedPlan[[#This Row],[Harvest Days January 2025]:[Harvest Days December 2026]])*BedPlan[[#This Row],[Revenue]:[Revenue]]</f>
        <v>0</v>
      </c>
      <c r="DV28" s="257" cm="1">
        <f t="array" ref="DV28">BedPlan[[#This Row],[Harvest Days February 2026]]/SUM(BedPlan[[#This Row],[Harvest Days January 2025]:[Harvest Days December 2026]])*BedPlan[[#This Row],[Revenue]:[Revenue]]</f>
        <v>0</v>
      </c>
      <c r="DW28" s="257" cm="1">
        <f t="array" ref="DW28">BedPlan[[#This Row],[Harvest Days March 2026]]/SUM(BedPlan[[#This Row],[Harvest Days January 2025]:[Harvest Days December 2026]])*BedPlan[[#This Row],[Revenue]:[Revenue]]</f>
        <v>0</v>
      </c>
      <c r="DX28" s="257" cm="1">
        <f t="array" ref="DX28">BedPlan[[#This Row],[Harvest Days April 2026]]/SUM(BedPlan[[#This Row],[Harvest Days January 2025]:[Harvest Days December 2026]])*BedPlan[[#This Row],[Revenue]:[Revenue]]</f>
        <v>0</v>
      </c>
      <c r="DY28" s="257" cm="1">
        <f t="array" ref="DY28">BedPlan[[#This Row],[Harvest Days May 2026]]/SUM(BedPlan[[#This Row],[Harvest Days January 2025]:[Harvest Days December 2026]])*BedPlan[[#This Row],[Revenue]:[Revenue]]</f>
        <v>0</v>
      </c>
      <c r="DZ28" s="257" cm="1">
        <f t="array" ref="DZ28">BedPlan[[#This Row],[Harvest Days June 2026]]/SUM(BedPlan[[#This Row],[Harvest Days January 2025]:[Harvest Days December 2026]])*BedPlan[[#This Row],[Revenue]:[Revenue]]</f>
        <v>0</v>
      </c>
      <c r="EA28" s="257" cm="1">
        <f t="array" ref="EA28">BedPlan[[#This Row],[Harvest Days July 2026]]/SUM(BedPlan[[#This Row],[Harvest Days January 2025]:[Harvest Days December 2026]])*BedPlan[[#This Row],[Revenue]:[Revenue]]</f>
        <v>0</v>
      </c>
      <c r="EB28" s="257" cm="1">
        <f t="array" ref="EB28">BedPlan[[#This Row],[Harvest Days August 2026]]/SUM(BedPlan[[#This Row],[Harvest Days January 2025]:[Harvest Days December 2026]])*BedPlan[[#This Row],[Revenue]:[Revenue]]</f>
        <v>0</v>
      </c>
      <c r="EC28" s="257" cm="1">
        <f t="array" ref="EC28">BedPlan[[#This Row],[Harvest Days September 2026]]/SUM(BedPlan[[#This Row],[Harvest Days January 2025]:[Harvest Days December 2026]])*BedPlan[[#This Row],[Revenue]:[Revenue]]</f>
        <v>0</v>
      </c>
      <c r="ED28" s="257" cm="1">
        <f t="array" ref="ED28">BedPlan[[#This Row],[Harvest Days October 2026]]/SUM(BedPlan[[#This Row],[Harvest Days January 2025]:[Harvest Days December 2026]])*BedPlan[[#This Row],[Revenue]:[Revenue]]</f>
        <v>0</v>
      </c>
      <c r="EE28" s="257" cm="1">
        <f t="array" ref="EE28">BedPlan[[#This Row],[Harvest Days November 2026]]/SUM(BedPlan[[#This Row],[Harvest Days January 2025]:[Harvest Days December 2026]])*BedPlan[[#This Row],[Revenue]:[Revenue]]</f>
        <v>0</v>
      </c>
      <c r="EF28" s="257" cm="1">
        <f t="array" ref="EF28">BedPlan[[#This Row],[Harvest Days December 2026]]/SUM(BedPlan[[#This Row],[Harvest Days January 2025]:[Harvest Days December 2026]])*BedPlan[[#This Row],[Revenue]:[Revenue]]</f>
        <v>0</v>
      </c>
      <c r="EG28" t="b">
        <f>SUM(BedPlan[[#This Row],[Revenue January 2025]:[Revenue December 2026]])=BedPlan[[#This Row],[Revenue]]</f>
        <v>1</v>
      </c>
      <c r="EH28" s="30" cm="1">
        <f t="array" ref="EH28">INDEX(Crops[],BedPlan[[#This Row],[Chart Index]],EH$4,1)*BedPlan[[#This Row],['# Of Beds]]</f>
        <v>80</v>
      </c>
      <c r="EI28" s="30" t="str" cm="1">
        <f t="array" ref="EI28">INDEX(Crops[],BedPlan[[#This Row],[Chart Index]],EI$4,1)</f>
        <v>Head</v>
      </c>
      <c r="EJ28" s="30" t="str" cm="1">
        <f t="array" ref="EJ28">INDEX(Crops[],BedPlan[[#This Row],[Chart Index]],EJ$4,1)</f>
        <v>Large Head</v>
      </c>
      <c r="EK28" s="30" t="str">
        <f>BedPlan[[#This Row],[Name]]&amp;" "&amp;BedPlan[[#This Row],[Product]]&amp; " - " &amp;BedPlan[[#This Row],[Unit]]</f>
        <v>Cabbage Large Head - Head</v>
      </c>
      <c r="EL28" s="33" cm="1">
        <f t="array" ref="EL28">BedPlan[[#This Row],[Harvest Days January 2025]]/SUM(BedPlan[[#This Row],[Harvest Days January 2025]:[Harvest Days December 2026]])*BedPlan[[#This Row],[Yield]:[Yield]]</f>
        <v>0</v>
      </c>
      <c r="EM28" s="33" cm="1">
        <f t="array" ref="EM28">BedPlan[[#This Row],[Harvest Days February 2025]]/SUM(BedPlan[[#This Row],[Harvest Days January 2025]:[Harvest Days December 2026]])*BedPlan[[#This Row],[Yield]:[Yield]]</f>
        <v>0</v>
      </c>
      <c r="EN28" s="33" cm="1">
        <f t="array" ref="EN28">BedPlan[[#This Row],[Harvest Days March 2025]]/SUM(BedPlan[[#This Row],[Harvest Days January 2025]:[Harvest Days December 2026]])*BedPlan[[#This Row],[Yield]:[Yield]]</f>
        <v>0</v>
      </c>
      <c r="EO28" s="33" cm="1">
        <f t="array" ref="EO28">BedPlan[[#This Row],[Harvest Days April 2025]]/SUM(BedPlan[[#This Row],[Harvest Days January 2025]:[Harvest Days December 2026]])*BedPlan[[#This Row],[Yield]:[Yield]]</f>
        <v>0</v>
      </c>
      <c r="EP28" s="33" cm="1">
        <f t="array" ref="EP28">BedPlan[[#This Row],[Harvest Days May 2025]]/SUM(BedPlan[[#This Row],[Harvest Days January 2025]:[Harvest Days December 2026]])*BedPlan[[#This Row],[Yield]:[Yield]]</f>
        <v>0</v>
      </c>
      <c r="EQ28" s="33" cm="1">
        <f t="array" ref="EQ28">BedPlan[[#This Row],[Harvest Days June 2025]]/SUM(BedPlan[[#This Row],[Harvest Days January 2025]:[Harvest Days December 2026]])*BedPlan[[#This Row],[Yield]:[Yield]]</f>
        <v>0</v>
      </c>
      <c r="ER28" s="33" cm="1">
        <f t="array" ref="ER28">BedPlan[[#This Row],[Harvest Days July 2025]]/SUM(BedPlan[[#This Row],[Harvest Days January 2025]:[Harvest Days December 2026]])*BedPlan[[#This Row],[Yield]:[Yield]]</f>
        <v>80</v>
      </c>
      <c r="ES28" s="33" cm="1">
        <f t="array" ref="ES28">BedPlan[[#This Row],[Harvest Days August 2025]]/SUM(BedPlan[[#This Row],[Harvest Days January 2025]:[Harvest Days December 2026]])*BedPlan[[#This Row],[Yield]:[Yield]]</f>
        <v>0</v>
      </c>
      <c r="ET28" s="33" cm="1">
        <f t="array" ref="ET28">BedPlan[[#This Row],[Harvest Days September 2025]]/SUM(BedPlan[[#This Row],[Harvest Days January 2025]:[Harvest Days December 2026]])*BedPlan[[#This Row],[Yield]:[Yield]]</f>
        <v>0</v>
      </c>
      <c r="EU28" s="33" cm="1">
        <f t="array" ref="EU28">BedPlan[[#This Row],[Harvest Days October 2025]]/SUM(BedPlan[[#This Row],[Harvest Days January 2025]:[Harvest Days December 2026]])*BedPlan[[#This Row],[Yield]:[Yield]]</f>
        <v>0</v>
      </c>
      <c r="EV28" s="33" cm="1">
        <f t="array" ref="EV28">BedPlan[[#This Row],[Harvest Days November 2025]]/SUM(BedPlan[[#This Row],[Harvest Days January 2025]:[Harvest Days December 2026]])*BedPlan[[#This Row],[Yield]:[Yield]]</f>
        <v>0</v>
      </c>
      <c r="EW28" s="33" cm="1">
        <f t="array" ref="EW28">BedPlan[[#This Row],[Harvest Days December 2025]]/SUM(BedPlan[[#This Row],[Harvest Days January 2025]:[Harvest Days December 2026]])*BedPlan[[#This Row],[Yield]:[Yield]]</f>
        <v>0</v>
      </c>
    </row>
    <row r="29" spans="1:153" ht="15.75" customHeight="1">
      <c r="A29" s="191" t="s">
        <v>2795</v>
      </c>
      <c r="B29" t="s">
        <v>2631</v>
      </c>
      <c r="C29" t="s">
        <v>1448</v>
      </c>
      <c r="D29" cm="1">
        <f t="array" ref="D29">INDEX(Crops[],BedPlan[[#This Row],[Chart Index]],D$4,1)*BedPlan[[#This Row],[Full Bed Equivalent]]</f>
        <v>200</v>
      </c>
      <c r="E29" cm="1">
        <f t="array" ref="E29">INDEX(Crops[],BedPlan[[#This Row],[Chart Index]],E$4,1)*BedPlan[[#This Row],[Full Bed Equivalent]]</f>
        <v>200</v>
      </c>
      <c r="F29" t="str">
        <f>UPPER(LEFT(BedPlan[[#This Row],[Crop]],3))</f>
        <v>CAB</v>
      </c>
      <c r="H29" s="143" t="str" cm="1">
        <f t="array" ref="H29">INDEX(Crops[],BedPlan[[#This Row],[Chart Index]],H$4,1)</f>
        <v>Cabbage</v>
      </c>
      <c r="I29" t="s">
        <v>1899</v>
      </c>
      <c r="J29" t="s">
        <v>482</v>
      </c>
      <c r="K29" t="str" cm="1">
        <f t="array" ref="K29">IF(ISNUMBER(MATCH(BedPlan[[#This Row],[Variety]],SeedMixes[Name],)),_xlfn.TEXTJOIN(", ",TRUE,_xlfn._xlws.FILTER(SeedMixes[Variety &amp; Company],SeedMixes[Name]=BedPlan[[#This Row],[Variety]])),"")</f>
        <v/>
      </c>
      <c r="L29" s="33" cm="1">
        <f t="array" ref="L29">INDEX(Crops[],BedPlan[[#This Row],[Chart Index]],L$4,1)*BedPlan[[#This Row],[Full Bed Equivalent]]</f>
        <v>440.00000000000006</v>
      </c>
      <c r="N29">
        <f>1</f>
        <v>1</v>
      </c>
      <c r="O29">
        <f>MAX(BedPlan[[#This Row],['# Of Beds]],0.5)</f>
        <v>1</v>
      </c>
      <c r="P29" s="31">
        <f>IF(ISNUMBER(BedPlan[[#This Row],[Planned Greenhouse Start Date]]),BedPlan[[#This Row],[Planned Greenhouse Start Date]],BedPlan[[#This Row],[Planned TP or DS Date]])</f>
        <v>45733</v>
      </c>
      <c r="Q29" s="259">
        <f>IF(BedPlan[[#This Row],[Days in Cells]]=0,"",IFERROR(_xlfn.XLOOKUP(BedPlan[[#This Row],[Follows Crop]],BedPlan[Identifier],BedPlan[Expected End of Harvest]) + 1+BedPlan[[#This Row],[Follow Offset]],BedPlan[[#This Row],[Fixed Field Start Date]])-BedPlan[[#This Row],[Days in Cells]])</f>
        <v>45733</v>
      </c>
      <c r="R29" s="259">
        <v>45748</v>
      </c>
      <c r="S29" s="259">
        <f>IF(ISNUMBER(BedPlan[[#This Row],[Actual Greenhouse Date]]),BedPlan[[#This Row],[Actual Greenhouse Date]],BedPlan[[#This Row],[Planned Greenhouse Start Date]])</f>
        <v>45748</v>
      </c>
      <c r="T29" s="259">
        <f>_xlfn.XLOOKUP(BedPlan[[#This Row],[Crop]],Crops[Identifier],Crops[Target Field Date])</f>
        <v>45768</v>
      </c>
      <c r="U29" s="260"/>
      <c r="V29" s="260"/>
      <c r="W2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29" s="259">
        <v>45778</v>
      </c>
      <c r="Y29" s="271">
        <f>BedPlan[[#This Row],[Actual TP or DS Date]]-BedPlan[[#This Row],[Planned TP or DS Date]]</f>
        <v>-5</v>
      </c>
      <c r="Z29" s="259">
        <f>IF(ISNUMBER(BedPlan[[#This Row],[Actual TP or DS Date]]),BedPlan[[#This Row],[Actual TP or DS Date]],BedPlan[[#This Row],[Planned TP or DS Date]])</f>
        <v>45778</v>
      </c>
      <c r="AA29" s="260"/>
      <c r="AB29" s="259">
        <f>IF(ISNUMBER(BedPlan[[#This Row],[Greenhouse Start Date]]),BedPlan[[#This Row],[Greenhouse Start Date]]+BedPlan[[#This Row],[DTM]],BedPlan[[#This Row],[TP or DS Date]]+BedPlan[[#This Row],[DTM]])</f>
        <v>45838</v>
      </c>
      <c r="AC29" s="259"/>
      <c r="AD29" s="259">
        <f>IF(ISNUMBER(BedPlan[[#This Row],[Actual Beginning of Harvest]]),BedPlan[[#This Row],[Actual Beginning of Harvest]],BedPlan[[#This Row],[Expected Beginning of Harvest]])</f>
        <v>45838</v>
      </c>
      <c r="AE29" s="259">
        <f>BedPlan[[#This Row],[Expected Beginning of Harvest]]+BedPlan[[#This Row],[Harvest Window]]+BedPlan[[#This Row],[Additional Days of Harvest]]</f>
        <v>45845</v>
      </c>
      <c r="AF29" s="259"/>
      <c r="AG29" s="259"/>
      <c r="AH29" s="31" t="b">
        <f>IF(AND( BedPlan[[#This Row],[Expected End of Harvest]] &gt;= DATE(2025, 8, 1), BedPlan[[#This Row],[Beginning of Harvest]] &lt;= DATE(2025, 8, 31) ), TRUE, FALSE)</f>
        <v>0</v>
      </c>
      <c r="AI29" s="31"/>
      <c r="AJ29" s="31">
        <f>IF(ISNUMBER(BedPlan[[#This Row],[Actual End of Harvest]]),BedPlan[[#This Row],[Actual End of Harvest]],BedPlan[[#This Row],[Expected End of Harvest]])</f>
        <v>45845</v>
      </c>
      <c r="AK29" t="b">
        <f>OR(ISNUMBER(BedPlan[[#This Row],[Actual Greenhouse Date]]),ISNUMBER(BedPlan[[#This Row],[Actual TP or DS Date]]))</f>
        <v>1</v>
      </c>
      <c r="AL29" s="52" t="b">
        <f>IF(ISNUMBER(BedPlan[[#This Row],[Planned Greenhouse Start Date]]),OR(ISNUMBER(BedPlan[[#This Row],[Actual TP or DS Date]]),BedPlan[[#This Row],[Failed]]),"-")</f>
        <v>1</v>
      </c>
      <c r="AM29" t="b">
        <f>OR(ISNUMBER(BedPlan[[#This Row],[Actual End of Harvest]]),BedPlan[[#This Row],[Failed]])</f>
        <v>0</v>
      </c>
      <c r="AN29" t="b">
        <f>OR(BedPlan[[#This Row],[Harvest Done]],BedPlan[[#This Row],[Failed]],BedPlan[[#This Row],[Name]]="Tarp")</f>
        <v>0</v>
      </c>
      <c r="AP29" t="b">
        <v>1</v>
      </c>
      <c r="AQ29" t="s">
        <v>3214</v>
      </c>
      <c r="AR29" s="34" t="b">
        <v>1</v>
      </c>
      <c r="AS29" s="26" t="str">
        <f>IF(BedPlan[[#This Row],[Broadfork]],BedPlan[[#This Row],[Actual TP or DS Date]],"")</f>
        <v/>
      </c>
      <c r="AT29" s="26">
        <f>IF(BedPlan[[#This Row],[Tilther]],BedPlan[[#This Row],[Actual TP or DS Date]],"")</f>
        <v>45778</v>
      </c>
      <c r="AU29" s="26">
        <f>IF(NOT(ISBLANK(BedPlan[[#This Row],[Amend]])),BedPlan[[#This Row],[Actual TP or DS Date]],"")</f>
        <v>45778</v>
      </c>
      <c r="AV29" s="26">
        <f>IF(BedPlan[[#This Row],[Row Cover]],BedPlan[[#This Row],[Actual TP or DS Date]],"")</f>
        <v>45778</v>
      </c>
      <c r="AX29" s="26"/>
      <c r="AZ29" s="26"/>
      <c r="BB29" s="26"/>
      <c r="BC29" s="231" cm="1">
        <f t="array" ref="BC29">INDEX(Crops[],BedPlan[[#This Row],[Chart Index]],BC$4,1)*BedPlan[[#This Row],[Full Bed Equivalent]]</f>
        <v>660</v>
      </c>
      <c r="BD29" s="231" cm="1">
        <f t="array" ref="BD29">INDEX(Crops[],BedPlan[[#This Row],[Chart Index]],BD$4,1)*BedPlan[[#This Row],[Full Bed Equivalent]]</f>
        <v>10.64516129032258</v>
      </c>
      <c r="BE29" cm="1">
        <f t="array" ref="BE29">INDEX(Crops[],BedPlan[[#This Row],[Chart Index]],BE$4,1)+BedPlan[[#This Row],[Additional Days in Cells]]+BedPlan[[#This Row],[Additional Days In Field]]</f>
        <v>90</v>
      </c>
      <c r="BG29" cm="1">
        <f t="array" ref="BG29">INDEX(Crops[],BedPlan[[#This Row],[Chart Index]],BG$4,1)</f>
        <v>7</v>
      </c>
      <c r="BH29" t="str">
        <f>IF(ISNUMBER(BedPlan[[#This Row],[Planned Greenhouse Start Date]]),"TP","DS")</f>
        <v>TP</v>
      </c>
      <c r="BI29">
        <f>BedPlan[[#This Row],['# Of Beds]]</f>
        <v>1</v>
      </c>
      <c r="BJ29" cm="1">
        <f t="array" ref="BJ29">INDEX(Crops[],BedPlan[[#This Row],[Chart Index]],BJ$4,1)</f>
        <v>35</v>
      </c>
      <c r="BK29" cm="1">
        <f t="array" ref="BK29">INDEX(Crops[],BedPlan[[#This Row],[Chart Index]],BK$4,1)</f>
        <v>3</v>
      </c>
      <c r="BL29" cm="1">
        <f t="array" ref="BL29">INDEX(Crops[],BedPlan[[#This Row],[Chart Index]],BL$4,1)</f>
        <v>9</v>
      </c>
      <c r="BM29" cm="1">
        <f t="array" ref="BM29">INDEX(Crops[],BedPlan[[#This Row],[Chart Index]],BM$4,1)</f>
        <v>1</v>
      </c>
      <c r="BN29" s="32" cm="1">
        <f t="array" ref="BN29">INDEX(Crops[],BedPlan[[#This Row],[Chart Index]],BN$4,1)*BedPlan[[#This Row],[Full Bed Equivalent]]</f>
        <v>200</v>
      </c>
      <c r="BO29" t="str" cm="1">
        <f t="array" ref="BO29">IF(INDEX(Crops[],BedPlan[[#This Row],[Chart Index]],BO$4,1)=0,"",INDEX(Crops[],BedPlan[[#This Row],[Chart Index]],BO$4,1))</f>
        <v/>
      </c>
      <c r="BP29">
        <f>MATCH(BedPlan[[#This Row],[Crop]],Crops[Identifier],FALSE)</f>
        <v>53</v>
      </c>
      <c r="BQ29" t="str" cm="1">
        <f t="array" ref="BQ29">INDEX(Crops[],BedPlan[[#This Row],[Chart Index]],BQ$4,1)</f>
        <v>Fast Mid 9"</v>
      </c>
      <c r="BR29" t="str" cm="1">
        <f t="array" ref="BR29">INDEX(Crops[],BedPlan[[#This Row],[Chart Index]],BR$4,1)</f>
        <v>Sp</v>
      </c>
      <c r="BS29" s="32">
        <f>BedPlan[[#This Row],[Expected Beginning of Harvest]]-DATE(2023,1,1)</f>
        <v>911</v>
      </c>
      <c r="BT29">
        <f>BedPlan[[#This Row],[Expected End of Harvest]]-BedPlan[[#This Row],[Expected Beginning of Harvest]]</f>
        <v>7</v>
      </c>
      <c r="BU29" t="str" cm="1">
        <f t="array" ref="BU29">INDEX(Crops[],BedPlan[[#This Row],[Chart Index]],BU$4,1)</f>
        <v>Brassica</v>
      </c>
      <c r="BV29" cm="1">
        <f t="array" ref="BV29">INDEX(Crops[],BedPlan[[#This Row],[Chart Index]],BV$4,1)</f>
        <v>0</v>
      </c>
      <c r="BW29" cm="1">
        <f t="array" ref="BW29">INDEX(Crops[],BedPlan[[#This Row],[Chart Index]],BW$4,1)</f>
        <v>0</v>
      </c>
      <c r="BX29" cm="1">
        <f t="array" ref="BX29">INDEX(Crops[],BedPlan[[#This Row],[Chart Index]],BX$4,1)</f>
        <v>400</v>
      </c>
      <c r="BY29" cm="1">
        <f t="array" ref="BY29">INDEX(Crops[],BedPlan[[#This Row],[Chart Index]],BY$4,1)</f>
        <v>7</v>
      </c>
      <c r="BZ29" s="49" cm="1">
        <f t="array" ref="BZ29">IFERROR(INDEX(Crops[],BedPlan[[#This Row],[Chart Index]],BZ$4,1)*BedPlan[[#This Row],[Full Bed Equivalent]],"")</f>
        <v>0.55000000000000004</v>
      </c>
      <c r="CA29" cm="1">
        <f t="array" ref="CA29">INDEX(Crops[],BedPlan[[#This Row],[Chart Index]],CA$4,1)</f>
        <v>72</v>
      </c>
      <c r="CB29" cm="1">
        <f t="array" ref="CB29">INDEX(Crops[],BedPlan[[#This Row],[Chart Index]],CB$4,1)</f>
        <v>28</v>
      </c>
      <c r="CC29" s="49" cm="1">
        <f t="array" ref="CC29">IFERROR(INDEX(Crops[],BedPlan[[#This Row],[Chart Index]],CC$4,1)*BedPlan[[#This Row],[Full Bed Equivalent]],"")</f>
        <v>3.0555555555555558</v>
      </c>
      <c r="CD29" cm="1">
        <f t="array" ref="CD29">INDEX(Crops[],BedPlan[[#This Row],[Chart Index]],CD$4,1)</f>
        <v>0</v>
      </c>
      <c r="CE29" cm="1">
        <f t="array" ref="CE29">IF(INDEX(Crops[],BedPlan[[#This Row],[Chart Index]],CE$4,1)="",0,INDEX(Crops[],BedPlan[[#This Row],[Chart Index]],CE$4,1))</f>
        <v>0</v>
      </c>
      <c r="CF29" s="49" t="str" cm="1">
        <f t="array" ref="CF29">IFERROR(INDEX(Crops[],BedPlan[[#This Row],[Chart Index]],CF$4,1)*BedPlan[[#This Row],[Full Bed Equivalent]],"")</f>
        <v/>
      </c>
      <c r="CG29" cm="1">
        <f t="array" ref="CG29">IF(INDEX(Crops[],BedPlan[[#This Row],[Chart Index]],CG$4,1)="",0,INDEX(Crops[],BedPlan[[#This Row],[Chart Index]],CG$4,1))</f>
        <v>1.1000000000000001</v>
      </c>
      <c r="CH29" cm="1">
        <f t="array" ref="CH29">IF(INDEX(Crops[],BedPlan[[#This Row],[Chart Index]],CH$4,1)="",0,INDEX(Crops[],BedPlan[[#This Row],[Chart Index]],CH$4,1))</f>
        <v>0</v>
      </c>
      <c r="CI29" t="str" cm="1">
        <f t="array" ref="CI29">INDEX(Crops[],BedPlan[[#This Row],[Chart Index]],CI$4,1)</f>
        <v>Field</v>
      </c>
      <c r="CJ29" s="30" t="str">
        <f>_xlfn.TEXTJOIN(CHAR(10),FALSE,BedPlan[[#This Row],[Name]],BedPlan[[#This Row],[Variety]],BedPlan[[#This Row],[Company]])</f>
        <v>Cabbage
Farao F1
High Mowing</v>
      </c>
      <c r="CK29" s="32">
        <f>MAX( 0, MIN(BedPlan[[#This Row],[Expected End of Harvest]], EOMONTH(CK$4, 0)) - MAX(BedPlan[[#This Row],[Beginning of Harvest]], CK$4) + 1 )</f>
        <v>0</v>
      </c>
      <c r="CL29">
        <f>MAX( 0, MIN(BedPlan[[#This Row],[Expected End of Harvest]], EOMONTH(CL$4, 0)) - MAX(BedPlan[[#This Row],[Beginning of Harvest]], CL$4) + 1 )</f>
        <v>0</v>
      </c>
      <c r="CM29">
        <f>MAX( 0, MIN(BedPlan[[#This Row],[Expected End of Harvest]], EOMONTH(CM$4, 0)) - MAX(BedPlan[[#This Row],[Beginning of Harvest]], CM$4) + 1 )</f>
        <v>0</v>
      </c>
      <c r="CN29">
        <f>MAX( 0, MIN(BedPlan[[#This Row],[Expected End of Harvest]], EOMONTH(CN$4, 0)) - MAX(BedPlan[[#This Row],[Beginning of Harvest]], CN$4) + 1 )</f>
        <v>0</v>
      </c>
      <c r="CO29">
        <f>MAX( 0, MIN(BedPlan[[#This Row],[Expected End of Harvest]], EOMONTH(CO$4, 0)) - MAX(BedPlan[[#This Row],[Beginning of Harvest]], CO$4) + 1 )</f>
        <v>0</v>
      </c>
      <c r="CP29">
        <f>MAX( 0, MIN(BedPlan[[#This Row],[Expected End of Harvest]], EOMONTH(CP$4, 0)) - MAX(BedPlan[[#This Row],[Beginning of Harvest]], CP$4) + 1 )</f>
        <v>1</v>
      </c>
      <c r="CQ29">
        <f>MAX( 0, MIN(BedPlan[[#This Row],[Expected End of Harvest]], EOMONTH(CQ$4, 0)) - MAX(BedPlan[[#This Row],[Beginning of Harvest]], CQ$4) + 1 )</f>
        <v>7</v>
      </c>
      <c r="CR29">
        <f>MAX( 0, MIN(BedPlan[[#This Row],[Expected End of Harvest]], EOMONTH(CR$4, 0)) - MAX(BedPlan[[#This Row],[Beginning of Harvest]], CR$4) + 1 )</f>
        <v>0</v>
      </c>
      <c r="CS29">
        <f>MAX( 0, MIN(BedPlan[[#This Row],[Expected End of Harvest]], EOMONTH(CS$4, 0)) - MAX(BedPlan[[#This Row],[Beginning of Harvest]], CS$4) + 1 )</f>
        <v>0</v>
      </c>
      <c r="CT29">
        <f>MAX( 0, MIN(BedPlan[[#This Row],[Expected End of Harvest]], EOMONTH(CT$4, 0)) - MAX(BedPlan[[#This Row],[Beginning of Harvest]], CT$4) + 1 )</f>
        <v>0</v>
      </c>
      <c r="CU29">
        <f>MAX( 0, MIN(BedPlan[[#This Row],[Expected End of Harvest]], EOMONTH(CU$4, 0)) - MAX(BedPlan[[#This Row],[Beginning of Harvest]], CU$4) + 1 )</f>
        <v>0</v>
      </c>
      <c r="CV29">
        <f>MAX( 0, MIN(BedPlan[[#This Row],[Expected End of Harvest]], EOMONTH(CV$4, 0)) - MAX(BedPlan[[#This Row],[Beginning of Harvest]], CV$4) + 1 )</f>
        <v>0</v>
      </c>
      <c r="CW29">
        <f>MAX( 0, MIN(BedPlan[[#This Row],[Expected End of Harvest]], EOMONTH(CW$4, 0)) - MAX(BedPlan[[#This Row],[Beginning of Harvest]], CW$4) + 1 )</f>
        <v>0</v>
      </c>
      <c r="CX29">
        <f>MAX( 0, MIN(BedPlan[[#This Row],[Expected End of Harvest]], EOMONTH(CX$4, 0)) - MAX(BedPlan[[#This Row],[Beginning of Harvest]], CX$4) + 1 )</f>
        <v>0</v>
      </c>
      <c r="CY29">
        <f>MAX( 0, MIN(BedPlan[[#This Row],[Expected End of Harvest]], EOMONTH(CY$4, 0)) - MAX(BedPlan[[#This Row],[Beginning of Harvest]], CY$4) + 1 )</f>
        <v>0</v>
      </c>
      <c r="CZ29">
        <f>MAX( 0, MIN(BedPlan[[#This Row],[Expected End of Harvest]], EOMONTH(CZ$4, 0)) - MAX(BedPlan[[#This Row],[Beginning of Harvest]], CZ$4) + 1 )</f>
        <v>0</v>
      </c>
      <c r="DA29">
        <f>MAX( 0, MIN(BedPlan[[#This Row],[Expected End of Harvest]], EOMONTH(DA$4, 0)) - MAX(BedPlan[[#This Row],[Beginning of Harvest]], DA$4) + 1 )</f>
        <v>0</v>
      </c>
      <c r="DB29">
        <f>MAX( 0, MIN(BedPlan[[#This Row],[Expected End of Harvest]], EOMONTH(DB$4, 0)) - MAX(BedPlan[[#This Row],[Beginning of Harvest]], DB$4) + 1 )</f>
        <v>0</v>
      </c>
      <c r="DC29">
        <f>MAX( 0, MIN(BedPlan[[#This Row],[Expected End of Harvest]], EOMONTH(DC$4, 0)) - MAX(BedPlan[[#This Row],[Beginning of Harvest]], DC$4) + 1 )</f>
        <v>0</v>
      </c>
      <c r="DD29">
        <f>MAX( 0, MIN(BedPlan[[#This Row],[Expected End of Harvest]], EOMONTH(DD$4, 0)) - MAX(BedPlan[[#This Row],[Beginning of Harvest]], DD$4) + 1 )</f>
        <v>0</v>
      </c>
      <c r="DE29">
        <f>MAX( 0, MIN(BedPlan[[#This Row],[Expected End of Harvest]], EOMONTH(DE$4, 0)) - MAX(BedPlan[[#This Row],[Beginning of Harvest]], DE$4) + 1 )</f>
        <v>0</v>
      </c>
      <c r="DF29">
        <f>MAX( 0, MIN(BedPlan[[#This Row],[Expected End of Harvest]], EOMONTH(DF$4, 0)) - MAX(BedPlan[[#This Row],[Beginning of Harvest]], DF$4) + 1 )</f>
        <v>0</v>
      </c>
      <c r="DG29">
        <f>MAX( 0, MIN(BedPlan[[#This Row],[Expected End of Harvest]], EOMONTH(DG$4, 0)) - MAX(BedPlan[[#This Row],[Beginning of Harvest]], DG$4) + 1 )</f>
        <v>0</v>
      </c>
      <c r="DH29">
        <f>MAX( 0, MIN(BedPlan[[#This Row],[Expected End of Harvest]], EOMONTH(DH$4, 0)) - MAX(BedPlan[[#This Row],[Beginning of Harvest]], DH$4) + 1 )</f>
        <v>0</v>
      </c>
      <c r="DI29" s="257" cm="1">
        <f t="array" ref="DI29">BedPlan[[#This Row],[Harvest Days January 2025]]/SUM(BedPlan[[#This Row],[Harvest Days January 2025]:[Harvest Days December 2026]])*BedPlan[[#This Row],[Revenue]:[Revenue]]</f>
        <v>0</v>
      </c>
      <c r="DJ29" s="257" cm="1">
        <f t="array" ref="DJ29">BedPlan[[#This Row],[Harvest Days February 2025]]/SUM(BedPlan[[#This Row],[Harvest Days January 2025]:[Harvest Days December 2026]])*BedPlan[[#This Row],[Revenue]:[Revenue]]</f>
        <v>0</v>
      </c>
      <c r="DK29" s="257" cm="1">
        <f t="array" ref="DK29">BedPlan[[#This Row],[Harvest Days March 2025]]/SUM(BedPlan[[#This Row],[Harvest Days January 2025]:[Harvest Days December 2026]])*BedPlan[[#This Row],[Revenue]:[Revenue]]</f>
        <v>0</v>
      </c>
      <c r="DL29" s="257" cm="1">
        <f t="array" ref="DL29">BedPlan[[#This Row],[Harvest Days April 2025]]/SUM(BedPlan[[#This Row],[Harvest Days January 2025]:[Harvest Days December 2026]])*BedPlan[[#This Row],[Revenue]:[Revenue]]</f>
        <v>0</v>
      </c>
      <c r="DM29" s="257" cm="1">
        <f t="array" ref="DM29">BedPlan[[#This Row],[Harvest Days May 2025]]/SUM(BedPlan[[#This Row],[Harvest Days January 2025]:[Harvest Days December 2026]])*BedPlan[[#This Row],[Revenue]:[Revenue]]</f>
        <v>0</v>
      </c>
      <c r="DN29" s="257" cm="1">
        <f t="array" ref="DN29">BedPlan[[#This Row],[Harvest Days June 2025]]/SUM(BedPlan[[#This Row],[Harvest Days January 2025]:[Harvest Days December 2026]])*BedPlan[[#This Row],[Revenue]:[Revenue]]</f>
        <v>82.5</v>
      </c>
      <c r="DO29" s="257" cm="1">
        <f t="array" ref="DO29">BedPlan[[#This Row],[Harvest Days July 2025]]/SUM(BedPlan[[#This Row],[Harvest Days January 2025]:[Harvest Days December 2026]])*BedPlan[[#This Row],[Revenue]:[Revenue]]</f>
        <v>577.5</v>
      </c>
      <c r="DP29" s="257" cm="1">
        <f t="array" ref="DP29">BedPlan[[#This Row],[Harvest Days August 2025]]/SUM(BedPlan[[#This Row],[Harvest Days January 2025]:[Harvest Days December 2026]])*BedPlan[[#This Row],[Revenue]:[Revenue]]</f>
        <v>0</v>
      </c>
      <c r="DQ29" s="257" cm="1">
        <f t="array" ref="DQ29">BedPlan[[#This Row],[Harvest Days September 2025]]/SUM(BedPlan[[#This Row],[Harvest Days January 2025]:[Harvest Days December 2026]])*BedPlan[[#This Row],[Revenue]:[Revenue]]</f>
        <v>0</v>
      </c>
      <c r="DR29" s="257" cm="1">
        <f t="array" ref="DR29">BedPlan[[#This Row],[Harvest Days October 2025]]/SUM(BedPlan[[#This Row],[Harvest Days January 2025]:[Harvest Days December 2026]])*BedPlan[[#This Row],[Revenue]:[Revenue]]</f>
        <v>0</v>
      </c>
      <c r="DS29" s="257" cm="1">
        <f t="array" ref="DS29">BedPlan[[#This Row],[Harvest Days November 2025]]/SUM(BedPlan[[#This Row],[Harvest Days January 2025]:[Harvest Days December 2026]])*BedPlan[[#This Row],[Revenue]:[Revenue]]</f>
        <v>0</v>
      </c>
      <c r="DT29" s="257" cm="1">
        <f t="array" ref="DT29">BedPlan[[#This Row],[Harvest Days December 2025]]/SUM(BedPlan[[#This Row],[Harvest Days January 2025]:[Harvest Days December 2026]])*BedPlan[[#This Row],[Revenue]:[Revenue]]</f>
        <v>0</v>
      </c>
      <c r="DU29" s="257" cm="1">
        <f t="array" ref="DU29">BedPlan[[#This Row],[Harvest Days January 2026]]/SUM(BedPlan[[#This Row],[Harvest Days January 2025]:[Harvest Days December 2026]])*BedPlan[[#This Row],[Revenue]:[Revenue]]</f>
        <v>0</v>
      </c>
      <c r="DV29" s="257" cm="1">
        <f t="array" ref="DV29">BedPlan[[#This Row],[Harvest Days February 2026]]/SUM(BedPlan[[#This Row],[Harvest Days January 2025]:[Harvest Days December 2026]])*BedPlan[[#This Row],[Revenue]:[Revenue]]</f>
        <v>0</v>
      </c>
      <c r="DW29" s="257" cm="1">
        <f t="array" ref="DW29">BedPlan[[#This Row],[Harvest Days March 2026]]/SUM(BedPlan[[#This Row],[Harvest Days January 2025]:[Harvest Days December 2026]])*BedPlan[[#This Row],[Revenue]:[Revenue]]</f>
        <v>0</v>
      </c>
      <c r="DX29" s="257" cm="1">
        <f t="array" ref="DX29">BedPlan[[#This Row],[Harvest Days April 2026]]/SUM(BedPlan[[#This Row],[Harvest Days January 2025]:[Harvest Days December 2026]])*BedPlan[[#This Row],[Revenue]:[Revenue]]</f>
        <v>0</v>
      </c>
      <c r="DY29" s="257" cm="1">
        <f t="array" ref="DY29">BedPlan[[#This Row],[Harvest Days May 2026]]/SUM(BedPlan[[#This Row],[Harvest Days January 2025]:[Harvest Days December 2026]])*BedPlan[[#This Row],[Revenue]:[Revenue]]</f>
        <v>0</v>
      </c>
      <c r="DZ29" s="257" cm="1">
        <f t="array" ref="DZ29">BedPlan[[#This Row],[Harvest Days June 2026]]/SUM(BedPlan[[#This Row],[Harvest Days January 2025]:[Harvest Days December 2026]])*BedPlan[[#This Row],[Revenue]:[Revenue]]</f>
        <v>0</v>
      </c>
      <c r="EA29" s="257" cm="1">
        <f t="array" ref="EA29">BedPlan[[#This Row],[Harvest Days July 2026]]/SUM(BedPlan[[#This Row],[Harvest Days January 2025]:[Harvest Days December 2026]])*BedPlan[[#This Row],[Revenue]:[Revenue]]</f>
        <v>0</v>
      </c>
      <c r="EB29" s="257" cm="1">
        <f t="array" ref="EB29">BedPlan[[#This Row],[Harvest Days August 2026]]/SUM(BedPlan[[#This Row],[Harvest Days January 2025]:[Harvest Days December 2026]])*BedPlan[[#This Row],[Revenue]:[Revenue]]</f>
        <v>0</v>
      </c>
      <c r="EC29" s="257" cm="1">
        <f t="array" ref="EC29">BedPlan[[#This Row],[Harvest Days September 2026]]/SUM(BedPlan[[#This Row],[Harvest Days January 2025]:[Harvest Days December 2026]])*BedPlan[[#This Row],[Revenue]:[Revenue]]</f>
        <v>0</v>
      </c>
      <c r="ED29" s="257" cm="1">
        <f t="array" ref="ED29">BedPlan[[#This Row],[Harvest Days October 2026]]/SUM(BedPlan[[#This Row],[Harvest Days January 2025]:[Harvest Days December 2026]])*BedPlan[[#This Row],[Revenue]:[Revenue]]</f>
        <v>0</v>
      </c>
      <c r="EE29" s="257" cm="1">
        <f t="array" ref="EE29">BedPlan[[#This Row],[Harvest Days November 2026]]/SUM(BedPlan[[#This Row],[Harvest Days January 2025]:[Harvest Days December 2026]])*BedPlan[[#This Row],[Revenue]:[Revenue]]</f>
        <v>0</v>
      </c>
      <c r="EF29" s="257" cm="1">
        <f t="array" ref="EF29">BedPlan[[#This Row],[Harvest Days December 2026]]/SUM(BedPlan[[#This Row],[Harvest Days January 2025]:[Harvest Days December 2026]])*BedPlan[[#This Row],[Revenue]:[Revenue]]</f>
        <v>0</v>
      </c>
      <c r="EG29" t="b">
        <f>SUM(BedPlan[[#This Row],[Revenue January 2025]:[Revenue December 2026]])=BedPlan[[#This Row],[Revenue]]</f>
        <v>1</v>
      </c>
      <c r="EH29" s="30" cm="1">
        <f t="array" ref="EH29">INDEX(Crops[],BedPlan[[#This Row],[Chart Index]],EH$4,1)*BedPlan[[#This Row],['# Of Beds]]</f>
        <v>200</v>
      </c>
      <c r="EI29" s="30" t="str" cm="1">
        <f t="array" ref="EI29">INDEX(Crops[],BedPlan[[#This Row],[Chart Index]],EI$4,1)</f>
        <v>Head</v>
      </c>
      <c r="EJ29" s="30" t="str" cm="1">
        <f t="array" ref="EJ29">INDEX(Crops[],BedPlan[[#This Row],[Chart Index]],EJ$4,1)</f>
        <v>Large Head</v>
      </c>
      <c r="EK29" s="30" t="str">
        <f>BedPlan[[#This Row],[Name]]&amp;" "&amp;BedPlan[[#This Row],[Product]]&amp; " - " &amp;BedPlan[[#This Row],[Unit]]</f>
        <v>Cabbage Large Head - Head</v>
      </c>
      <c r="EL29" s="33" cm="1">
        <f t="array" ref="EL29">BedPlan[[#This Row],[Harvest Days January 2025]]/SUM(BedPlan[[#This Row],[Harvest Days January 2025]:[Harvest Days December 2026]])*BedPlan[[#This Row],[Yield]:[Yield]]</f>
        <v>0</v>
      </c>
      <c r="EM29" s="33" cm="1">
        <f t="array" ref="EM29">BedPlan[[#This Row],[Harvest Days February 2025]]/SUM(BedPlan[[#This Row],[Harvest Days January 2025]:[Harvest Days December 2026]])*BedPlan[[#This Row],[Yield]:[Yield]]</f>
        <v>0</v>
      </c>
      <c r="EN29" s="33" cm="1">
        <f t="array" ref="EN29">BedPlan[[#This Row],[Harvest Days March 2025]]/SUM(BedPlan[[#This Row],[Harvest Days January 2025]:[Harvest Days December 2026]])*BedPlan[[#This Row],[Yield]:[Yield]]</f>
        <v>0</v>
      </c>
      <c r="EO29" s="33" cm="1">
        <f t="array" ref="EO29">BedPlan[[#This Row],[Harvest Days April 2025]]/SUM(BedPlan[[#This Row],[Harvest Days January 2025]:[Harvest Days December 2026]])*BedPlan[[#This Row],[Yield]:[Yield]]</f>
        <v>0</v>
      </c>
      <c r="EP29" s="33" cm="1">
        <f t="array" ref="EP29">BedPlan[[#This Row],[Harvest Days May 2025]]/SUM(BedPlan[[#This Row],[Harvest Days January 2025]:[Harvest Days December 2026]])*BedPlan[[#This Row],[Yield]:[Yield]]</f>
        <v>0</v>
      </c>
      <c r="EQ29" s="33" cm="1">
        <f t="array" ref="EQ29">BedPlan[[#This Row],[Harvest Days June 2025]]/SUM(BedPlan[[#This Row],[Harvest Days January 2025]:[Harvest Days December 2026]])*BedPlan[[#This Row],[Yield]:[Yield]]</f>
        <v>25</v>
      </c>
      <c r="ER29" s="33" cm="1">
        <f t="array" ref="ER29">BedPlan[[#This Row],[Harvest Days July 2025]]/SUM(BedPlan[[#This Row],[Harvest Days January 2025]:[Harvest Days December 2026]])*BedPlan[[#This Row],[Yield]:[Yield]]</f>
        <v>175</v>
      </c>
      <c r="ES29" s="33" cm="1">
        <f t="array" ref="ES29">BedPlan[[#This Row],[Harvest Days August 2025]]/SUM(BedPlan[[#This Row],[Harvest Days January 2025]:[Harvest Days December 2026]])*BedPlan[[#This Row],[Yield]:[Yield]]</f>
        <v>0</v>
      </c>
      <c r="ET29" s="33" cm="1">
        <f t="array" ref="ET29">BedPlan[[#This Row],[Harvest Days September 2025]]/SUM(BedPlan[[#This Row],[Harvest Days January 2025]:[Harvest Days December 2026]])*BedPlan[[#This Row],[Yield]:[Yield]]</f>
        <v>0</v>
      </c>
      <c r="EU29" s="33" cm="1">
        <f t="array" ref="EU29">BedPlan[[#This Row],[Harvest Days October 2025]]/SUM(BedPlan[[#This Row],[Harvest Days January 2025]:[Harvest Days December 2026]])*BedPlan[[#This Row],[Yield]:[Yield]]</f>
        <v>0</v>
      </c>
      <c r="EV29" s="33" cm="1">
        <f t="array" ref="EV29">BedPlan[[#This Row],[Harvest Days November 2025]]/SUM(BedPlan[[#This Row],[Harvest Days January 2025]:[Harvest Days December 2026]])*BedPlan[[#This Row],[Yield]:[Yield]]</f>
        <v>0</v>
      </c>
      <c r="EW29" s="33" cm="1">
        <f t="array" ref="EW29">BedPlan[[#This Row],[Harvest Days December 2025]]/SUM(BedPlan[[#This Row],[Harvest Days January 2025]:[Harvest Days December 2026]])*BedPlan[[#This Row],[Yield]:[Yield]]</f>
        <v>0</v>
      </c>
    </row>
    <row r="30" spans="1:153" ht="15.75" customHeight="1">
      <c r="A30" s="180" t="s">
        <v>1714</v>
      </c>
      <c r="B30" t="s">
        <v>2632</v>
      </c>
      <c r="C30" t="s">
        <v>1424</v>
      </c>
      <c r="D30" cm="1">
        <f t="array" ref="D30">INDEX(Crops[],BedPlan[[#This Row],[Chart Index]],D$4,1)*BedPlan[[#This Row],[Full Bed Equivalent]]</f>
        <v>42.857142857142854</v>
      </c>
      <c r="E30" cm="1">
        <f t="array" ref="E30">INDEX(Crops[],BedPlan[[#This Row],[Chart Index]],E$4,1)*BedPlan[[#This Row],[Full Bed Equivalent]]</f>
        <v>171.42857142857142</v>
      </c>
      <c r="F30" t="str">
        <f>UPPER(LEFT(BedPlan[[#This Row],[Crop]],3))</f>
        <v>CAR</v>
      </c>
      <c r="H30" s="143" t="str" cm="1">
        <f t="array" ref="H30">INDEX(Crops[],BedPlan[[#This Row],[Chart Index]],H$4,1)</f>
        <v>Carrot</v>
      </c>
      <c r="I30" t="s">
        <v>1808</v>
      </c>
      <c r="K30" t="str" cm="1">
        <f t="array" ref="K30">IF(ISNUMBER(MATCH(BedPlan[[#This Row],[Variety]],SeedMixes[Name],)),_xlfn.TEXTJOIN(", ",TRUE,_xlfn._xlws.FILTER(SeedMixes[Variety &amp; Company],SeedMixes[Name]=BedPlan[[#This Row],[Variety]])),"")</f>
        <v>Yellowstone Johnny's, Cosmic Purple High Mowing, Napoli F1 Osborne, Mokum Johnny's</v>
      </c>
      <c r="L30" s="33" cm="1">
        <f t="array" ref="L30">INDEX(Crops[],BedPlan[[#This Row],[Chart Index]],L$4,1)*BedPlan[[#This Row],[Full Bed Equivalent]]</f>
        <v>6240</v>
      </c>
      <c r="N30">
        <f>1</f>
        <v>1</v>
      </c>
      <c r="O30">
        <f>MAX(BedPlan[[#This Row],['# Of Beds]],0.5)</f>
        <v>1</v>
      </c>
      <c r="P30" s="31">
        <f>IF(ISNUMBER(BedPlan[[#This Row],[Planned Greenhouse Start Date]]),BedPlan[[#This Row],[Planned Greenhouse Start Date]],BedPlan[[#This Row],[Planned TP or DS Date]])</f>
        <v>45743</v>
      </c>
      <c r="Q30" s="259" t="str">
        <f>IF(BedPlan[[#This Row],[Days in Cells]]=0,"",IFERROR(_xlfn.XLOOKUP(BedPlan[[#This Row],[Follows Crop]],BedPlan[Identifier],BedPlan[Expected End of Harvest]) + 1+BedPlan[[#This Row],[Follow Offset]],BedPlan[[#This Row],[Fixed Field Start Date]])-BedPlan[[#This Row],[Days in Cells]])</f>
        <v/>
      </c>
      <c r="R30" s="259"/>
      <c r="S30" s="259" t="str">
        <f>IF(ISNUMBER(BedPlan[[#This Row],[Actual Greenhouse Date]]),BedPlan[[#This Row],[Actual Greenhouse Date]],BedPlan[[#This Row],[Planned Greenhouse Start Date]])</f>
        <v/>
      </c>
      <c r="T30" s="259">
        <f>_xlfn.XLOOKUP(BedPlan[[#This Row],[Crop]],Crops[Identifier],Crops[Target Field Date])</f>
        <v>45743</v>
      </c>
      <c r="U30" s="260"/>
      <c r="V30" s="260"/>
      <c r="W3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45743</v>
      </c>
      <c r="X30" s="259">
        <v>45752</v>
      </c>
      <c r="Y30" s="271">
        <f>BedPlan[[#This Row],[Actual TP or DS Date]]-BedPlan[[#This Row],[Planned TP or DS Date]]</f>
        <v>9</v>
      </c>
      <c r="Z30" s="259">
        <f>IF(ISNUMBER(BedPlan[[#This Row],[Actual TP or DS Date]]),BedPlan[[#This Row],[Actual TP or DS Date]],BedPlan[[#This Row],[Planned TP or DS Date]])</f>
        <v>45752</v>
      </c>
      <c r="AA30" s="260"/>
      <c r="AB30" s="259">
        <f>IF(ISNUMBER(BedPlan[[#This Row],[Greenhouse Start Date]]),BedPlan[[#This Row],[Greenhouse Start Date]]+BedPlan[[#This Row],[DTM]],BedPlan[[#This Row],[TP or DS Date]]+BedPlan[[#This Row],[DTM]])</f>
        <v>45822</v>
      </c>
      <c r="AC30" s="259"/>
      <c r="AD30" s="259">
        <f>IF(ISNUMBER(BedPlan[[#This Row],[Actual Beginning of Harvest]]),BedPlan[[#This Row],[Actual Beginning of Harvest]],BedPlan[[#This Row],[Expected Beginning of Harvest]])</f>
        <v>45822</v>
      </c>
      <c r="AE30" s="259">
        <f>BedPlan[[#This Row],[Expected Beginning of Harvest]]+BedPlan[[#This Row],[Harvest Window]]+BedPlan[[#This Row],[Additional Days of Harvest]]</f>
        <v>45843</v>
      </c>
      <c r="AF30" s="259"/>
      <c r="AG30" s="259"/>
      <c r="AH30" s="31" t="b">
        <f>IF(AND( BedPlan[[#This Row],[Expected End of Harvest]] &gt;= DATE(2025, 8, 1), BedPlan[[#This Row],[Beginning of Harvest]] &lt;= DATE(2025, 8, 31) ), TRUE, FALSE)</f>
        <v>0</v>
      </c>
      <c r="AI30" s="31"/>
      <c r="AJ30" s="31">
        <f>IF(ISNUMBER(BedPlan[[#This Row],[Actual End of Harvest]]),BedPlan[[#This Row],[Actual End of Harvest]],BedPlan[[#This Row],[Expected End of Harvest]])</f>
        <v>45843</v>
      </c>
      <c r="AK30" t="b">
        <f>OR(ISNUMBER(BedPlan[[#This Row],[Actual Greenhouse Date]]),ISNUMBER(BedPlan[[#This Row],[Actual TP or DS Date]]))</f>
        <v>1</v>
      </c>
      <c r="AL30" s="52" t="str">
        <f>IF(ISNUMBER(BedPlan[[#This Row],[Planned Greenhouse Start Date]]),OR(ISNUMBER(BedPlan[[#This Row],[Actual TP or DS Date]]),BedPlan[[#This Row],[Failed]]),"-")</f>
        <v>-</v>
      </c>
      <c r="AM30" t="b">
        <f>OR(ISNUMBER(BedPlan[[#This Row],[Actual End of Harvest]]),BedPlan[[#This Row],[Failed]])</f>
        <v>0</v>
      </c>
      <c r="AN30" t="b">
        <f>OR(BedPlan[[#This Row],[Harvest Done]],BedPlan[[#This Row],[Failed]],BedPlan[[#This Row],[Name]]="Tarp")</f>
        <v>0</v>
      </c>
      <c r="AO30" t="b">
        <v>1</v>
      </c>
      <c r="AP30" t="b">
        <v>1</v>
      </c>
      <c r="AQ30" t="s">
        <v>3214</v>
      </c>
      <c r="AS30" s="26">
        <f>IF(BedPlan[[#This Row],[Broadfork]],BedPlan[[#This Row],[Actual TP or DS Date]],"")</f>
        <v>45752</v>
      </c>
      <c r="AT30" s="26">
        <f>IF(BedPlan[[#This Row],[Tilther]],BedPlan[[#This Row],[Actual TP or DS Date]],"")</f>
        <v>45752</v>
      </c>
      <c r="AU30" s="26">
        <f>IF(NOT(ISBLANK(BedPlan[[#This Row],[Amend]])),BedPlan[[#This Row],[Actual TP or DS Date]],"")</f>
        <v>45752</v>
      </c>
      <c r="AV30" s="26" t="str">
        <f>IF(BedPlan[[#This Row],[Row Cover]],BedPlan[[#This Row],[Actual TP or DS Date]],"")</f>
        <v/>
      </c>
      <c r="AX30" s="26"/>
      <c r="AZ30" s="26"/>
      <c r="BB30" s="26"/>
      <c r="BC30" s="231" cm="1">
        <f t="array" ref="BC30">INDEX(Crops[],BedPlan[[#This Row],[Chart Index]],BC$4,1)*BedPlan[[#This Row],[Full Bed Equivalent]]</f>
        <v>557.14285714285711</v>
      </c>
      <c r="BD30" s="231" cm="1">
        <f t="array" ref="BD30">INDEX(Crops[],BedPlan[[#This Row],[Chart Index]],BD$4,1)*BedPlan[[#This Row],[Full Bed Equivalent]]</f>
        <v>6.1224489795918364</v>
      </c>
      <c r="BE30" cm="1">
        <f t="array" ref="BE30">INDEX(Crops[],BedPlan[[#This Row],[Chart Index]],BE$4,1)+BedPlan[[#This Row],[Additional Days in Cells]]+BedPlan[[#This Row],[Additional Days In Field]]</f>
        <v>70</v>
      </c>
      <c r="BG30" cm="1">
        <f t="array" ref="BG30">INDEX(Crops[],BedPlan[[#This Row],[Chart Index]],BG$4,1)</f>
        <v>21</v>
      </c>
      <c r="BH30" t="str">
        <f>IF(ISNUMBER(BedPlan[[#This Row],[Planned Greenhouse Start Date]]),"TP","DS")</f>
        <v>DS</v>
      </c>
      <c r="BI30">
        <f>BedPlan[[#This Row],['# Of Beds]]</f>
        <v>1</v>
      </c>
      <c r="BJ30" cm="1">
        <f t="array" ref="BJ30">INDEX(Crops[],BedPlan[[#This Row],[Chart Index]],BJ$4,1)</f>
        <v>0</v>
      </c>
      <c r="BK30" cm="1">
        <f t="array" ref="BK30">INDEX(Crops[],BedPlan[[#This Row],[Chart Index]],BK$4,1)</f>
        <v>4</v>
      </c>
      <c r="BL30" cm="1">
        <f t="array" ref="BL30">INDEX(Crops[],BedPlan[[#This Row],[Chart Index]],BL$4,1)</f>
        <v>0.5</v>
      </c>
      <c r="BM30" cm="1">
        <f t="array" ref="BM30">INDEX(Crops[],BedPlan[[#This Row],[Chart Index]],BM$4,1)</f>
        <v>1</v>
      </c>
      <c r="BN30" s="32" cm="1">
        <f t="array" ref="BN30">INDEX(Crops[],BedPlan[[#This Row],[Chart Index]],BN$4,1)*BedPlan[[#This Row],[Full Bed Equivalent]]</f>
        <v>4800</v>
      </c>
      <c r="BO30" t="str" cm="1">
        <f t="array" ref="BO30">IF(INDEX(Crops[],BedPlan[[#This Row],[Chart Index]],BO$4,1)=0,"",INDEX(Crops[],BedPlan[[#This Row],[Chart Index]],BO$4,1))</f>
        <v>OH</v>
      </c>
      <c r="BP30">
        <f>MATCH(BedPlan[[#This Row],[Crop]],Crops[Identifier],FALSE)</f>
        <v>61</v>
      </c>
      <c r="BQ30" t="str" cm="1">
        <f t="array" ref="BQ30">INDEX(Crops[],BedPlan[[#This Row],[Chart Index]],BQ$4,1)</f>
        <v>Early</v>
      </c>
      <c r="BR30" t="str" cm="1">
        <f t="array" ref="BR30">INDEX(Crops[],BedPlan[[#This Row],[Chart Index]],BR$4,1)</f>
        <v>Sp</v>
      </c>
      <c r="BS30" s="32">
        <f>BedPlan[[#This Row],[Expected Beginning of Harvest]]-DATE(2023,1,1)</f>
        <v>895</v>
      </c>
      <c r="BT30">
        <f>BedPlan[[#This Row],[Expected End of Harvest]]-BedPlan[[#This Row],[Expected Beginning of Harvest]]</f>
        <v>21</v>
      </c>
      <c r="BU30" t="str" cm="1">
        <f t="array" ref="BU30">INDEX(Crops[],BedPlan[[#This Row],[Chart Index]],BU$4,1)</f>
        <v>Root</v>
      </c>
      <c r="BV30" cm="1">
        <f t="array" ref="BV30">INDEX(Crops[],BedPlan[[#This Row],[Chart Index]],BV$4,1)</f>
        <v>1</v>
      </c>
      <c r="BW30" t="str" cm="1">
        <f t="array" ref="BW30">INDEX(Crops[],BedPlan[[#This Row],[Chart Index]],BW$4,1)</f>
        <v>AMAP</v>
      </c>
      <c r="BX30" cm="1">
        <f t="array" ref="BX30">INDEX(Crops[],BedPlan[[#This Row],[Chart Index]],BX$4,1)</f>
        <v>0</v>
      </c>
      <c r="BY30" cm="1">
        <f t="array" ref="BY30">INDEX(Crops[],BedPlan[[#This Row],[Chart Index]],BY$4,1)</f>
        <v>0</v>
      </c>
      <c r="BZ30" s="49" t="str" cm="1">
        <f t="array" ref="BZ30">IFERROR(INDEX(Crops[],BedPlan[[#This Row],[Chart Index]],BZ$4,1)*BedPlan[[#This Row],[Full Bed Equivalent]],"")</f>
        <v/>
      </c>
      <c r="CA30" cm="1">
        <f t="array" ref="CA30">INDEX(Crops[],BedPlan[[#This Row],[Chart Index]],CA$4,1)</f>
        <v>0</v>
      </c>
      <c r="CB30" cm="1">
        <f t="array" ref="CB30">INDEX(Crops[],BedPlan[[#This Row],[Chart Index]],CB$4,1)</f>
        <v>0</v>
      </c>
      <c r="CC30" s="49" t="str" cm="1">
        <f t="array" ref="CC30">IFERROR(INDEX(Crops[],BedPlan[[#This Row],[Chart Index]],CC$4,1)*BedPlan[[#This Row],[Full Bed Equivalent]],"")</f>
        <v/>
      </c>
      <c r="CD30" cm="1">
        <f t="array" ref="CD30">INDEX(Crops[],BedPlan[[#This Row],[Chart Index]],CD$4,1)</f>
        <v>0</v>
      </c>
      <c r="CE30" cm="1">
        <f t="array" ref="CE30">IF(INDEX(Crops[],BedPlan[[#This Row],[Chart Index]],CE$4,1)="",0,INDEX(Crops[],BedPlan[[#This Row],[Chart Index]],CE$4,1))</f>
        <v>0</v>
      </c>
      <c r="CF30" s="49" t="str" cm="1">
        <f t="array" ref="CF30">IFERROR(INDEX(Crops[],BedPlan[[#This Row],[Chart Index]],CF$4,1)*BedPlan[[#This Row],[Full Bed Equivalent]],"")</f>
        <v/>
      </c>
      <c r="CG30" cm="1">
        <f t="array" ref="CG30">IF(INDEX(Crops[],BedPlan[[#This Row],[Chart Index]],CG$4,1)="",0,INDEX(Crops[],BedPlan[[#This Row],[Chart Index]],CG$4,1))</f>
        <v>1.3</v>
      </c>
      <c r="CH30" cm="1">
        <f t="array" ref="CH30">IF(INDEX(Crops[],BedPlan[[#This Row],[Chart Index]],CH$4,1)="",0,INDEX(Crops[],BedPlan[[#This Row],[Chart Index]],CH$4,1))</f>
        <v>0</v>
      </c>
      <c r="CI30" t="str" cm="1">
        <f t="array" ref="CI30">INDEX(Crops[],BedPlan[[#This Row],[Chart Index]],CI$4,1)</f>
        <v>Field</v>
      </c>
      <c r="CJ30" s="30" t="str">
        <f>_xlfn.TEXTJOIN(CHAR(10),FALSE,BedPlan[[#This Row],[Name]],BedPlan[[#This Row],[Variety]],BedPlan[[#This Row],[Company]])</f>
        <v xml:space="preserve">Carrot
Early Carrot Mix
</v>
      </c>
      <c r="CK30" s="32">
        <f>MAX( 0, MIN(BedPlan[[#This Row],[Expected End of Harvest]], EOMONTH(CK$4, 0)) - MAX(BedPlan[[#This Row],[Beginning of Harvest]], CK$4) + 1 )</f>
        <v>0</v>
      </c>
      <c r="CL30">
        <f>MAX( 0, MIN(BedPlan[[#This Row],[Expected End of Harvest]], EOMONTH(CL$4, 0)) - MAX(BedPlan[[#This Row],[Beginning of Harvest]], CL$4) + 1 )</f>
        <v>0</v>
      </c>
      <c r="CM30">
        <f>MAX( 0, MIN(BedPlan[[#This Row],[Expected End of Harvest]], EOMONTH(CM$4, 0)) - MAX(BedPlan[[#This Row],[Beginning of Harvest]], CM$4) + 1 )</f>
        <v>0</v>
      </c>
      <c r="CN30">
        <f>MAX( 0, MIN(BedPlan[[#This Row],[Expected End of Harvest]], EOMONTH(CN$4, 0)) - MAX(BedPlan[[#This Row],[Beginning of Harvest]], CN$4) + 1 )</f>
        <v>0</v>
      </c>
      <c r="CO30">
        <f>MAX( 0, MIN(BedPlan[[#This Row],[Expected End of Harvest]], EOMONTH(CO$4, 0)) - MAX(BedPlan[[#This Row],[Beginning of Harvest]], CO$4) + 1 )</f>
        <v>0</v>
      </c>
      <c r="CP30">
        <f>MAX( 0, MIN(BedPlan[[#This Row],[Expected End of Harvest]], EOMONTH(CP$4, 0)) - MAX(BedPlan[[#This Row],[Beginning of Harvest]], CP$4) + 1 )</f>
        <v>17</v>
      </c>
      <c r="CQ30">
        <f>MAX( 0, MIN(BedPlan[[#This Row],[Expected End of Harvest]], EOMONTH(CQ$4, 0)) - MAX(BedPlan[[#This Row],[Beginning of Harvest]], CQ$4) + 1 )</f>
        <v>5</v>
      </c>
      <c r="CR30">
        <f>MAX( 0, MIN(BedPlan[[#This Row],[Expected End of Harvest]], EOMONTH(CR$4, 0)) - MAX(BedPlan[[#This Row],[Beginning of Harvest]], CR$4) + 1 )</f>
        <v>0</v>
      </c>
      <c r="CS30">
        <f>MAX( 0, MIN(BedPlan[[#This Row],[Expected End of Harvest]], EOMONTH(CS$4, 0)) - MAX(BedPlan[[#This Row],[Beginning of Harvest]], CS$4) + 1 )</f>
        <v>0</v>
      </c>
      <c r="CT30">
        <f>MAX( 0, MIN(BedPlan[[#This Row],[Expected End of Harvest]], EOMONTH(CT$4, 0)) - MAX(BedPlan[[#This Row],[Beginning of Harvest]], CT$4) + 1 )</f>
        <v>0</v>
      </c>
      <c r="CU30">
        <f>MAX( 0, MIN(BedPlan[[#This Row],[Expected End of Harvest]], EOMONTH(CU$4, 0)) - MAX(BedPlan[[#This Row],[Beginning of Harvest]], CU$4) + 1 )</f>
        <v>0</v>
      </c>
      <c r="CV30">
        <f>MAX( 0, MIN(BedPlan[[#This Row],[Expected End of Harvest]], EOMONTH(CV$4, 0)) - MAX(BedPlan[[#This Row],[Beginning of Harvest]], CV$4) + 1 )</f>
        <v>0</v>
      </c>
      <c r="CW30">
        <f>MAX( 0, MIN(BedPlan[[#This Row],[Expected End of Harvest]], EOMONTH(CW$4, 0)) - MAX(BedPlan[[#This Row],[Beginning of Harvest]], CW$4) + 1 )</f>
        <v>0</v>
      </c>
      <c r="CX30">
        <f>MAX( 0, MIN(BedPlan[[#This Row],[Expected End of Harvest]], EOMONTH(CX$4, 0)) - MAX(BedPlan[[#This Row],[Beginning of Harvest]], CX$4) + 1 )</f>
        <v>0</v>
      </c>
      <c r="CY30">
        <f>MAX( 0, MIN(BedPlan[[#This Row],[Expected End of Harvest]], EOMONTH(CY$4, 0)) - MAX(BedPlan[[#This Row],[Beginning of Harvest]], CY$4) + 1 )</f>
        <v>0</v>
      </c>
      <c r="CZ30">
        <f>MAX( 0, MIN(BedPlan[[#This Row],[Expected End of Harvest]], EOMONTH(CZ$4, 0)) - MAX(BedPlan[[#This Row],[Beginning of Harvest]], CZ$4) + 1 )</f>
        <v>0</v>
      </c>
      <c r="DA30">
        <f>MAX( 0, MIN(BedPlan[[#This Row],[Expected End of Harvest]], EOMONTH(DA$4, 0)) - MAX(BedPlan[[#This Row],[Beginning of Harvest]], DA$4) + 1 )</f>
        <v>0</v>
      </c>
      <c r="DB30">
        <f>MAX( 0, MIN(BedPlan[[#This Row],[Expected End of Harvest]], EOMONTH(DB$4, 0)) - MAX(BedPlan[[#This Row],[Beginning of Harvest]], DB$4) + 1 )</f>
        <v>0</v>
      </c>
      <c r="DC30">
        <f>MAX( 0, MIN(BedPlan[[#This Row],[Expected End of Harvest]], EOMONTH(DC$4, 0)) - MAX(BedPlan[[#This Row],[Beginning of Harvest]], DC$4) + 1 )</f>
        <v>0</v>
      </c>
      <c r="DD30">
        <f>MAX( 0, MIN(BedPlan[[#This Row],[Expected End of Harvest]], EOMONTH(DD$4, 0)) - MAX(BedPlan[[#This Row],[Beginning of Harvest]], DD$4) + 1 )</f>
        <v>0</v>
      </c>
      <c r="DE30">
        <f>MAX( 0, MIN(BedPlan[[#This Row],[Expected End of Harvest]], EOMONTH(DE$4, 0)) - MAX(BedPlan[[#This Row],[Beginning of Harvest]], DE$4) + 1 )</f>
        <v>0</v>
      </c>
      <c r="DF30">
        <f>MAX( 0, MIN(BedPlan[[#This Row],[Expected End of Harvest]], EOMONTH(DF$4, 0)) - MAX(BedPlan[[#This Row],[Beginning of Harvest]], DF$4) + 1 )</f>
        <v>0</v>
      </c>
      <c r="DG30">
        <f>MAX( 0, MIN(BedPlan[[#This Row],[Expected End of Harvest]], EOMONTH(DG$4, 0)) - MAX(BedPlan[[#This Row],[Beginning of Harvest]], DG$4) + 1 )</f>
        <v>0</v>
      </c>
      <c r="DH30">
        <f>MAX( 0, MIN(BedPlan[[#This Row],[Expected End of Harvest]], EOMONTH(DH$4, 0)) - MAX(BedPlan[[#This Row],[Beginning of Harvest]], DH$4) + 1 )</f>
        <v>0</v>
      </c>
      <c r="DI30" s="257" cm="1">
        <f t="array" ref="DI30">BedPlan[[#This Row],[Harvest Days January 2025]]/SUM(BedPlan[[#This Row],[Harvest Days January 2025]:[Harvest Days December 2026]])*BedPlan[[#This Row],[Revenue]:[Revenue]]</f>
        <v>0</v>
      </c>
      <c r="DJ30" s="257" cm="1">
        <f t="array" ref="DJ30">BedPlan[[#This Row],[Harvest Days February 2025]]/SUM(BedPlan[[#This Row],[Harvest Days January 2025]:[Harvest Days December 2026]])*BedPlan[[#This Row],[Revenue]:[Revenue]]</f>
        <v>0</v>
      </c>
      <c r="DK30" s="257" cm="1">
        <f t="array" ref="DK30">BedPlan[[#This Row],[Harvest Days March 2025]]/SUM(BedPlan[[#This Row],[Harvest Days January 2025]:[Harvest Days December 2026]])*BedPlan[[#This Row],[Revenue]:[Revenue]]</f>
        <v>0</v>
      </c>
      <c r="DL30" s="257" cm="1">
        <f t="array" ref="DL30">BedPlan[[#This Row],[Harvest Days April 2025]]/SUM(BedPlan[[#This Row],[Harvest Days January 2025]:[Harvest Days December 2026]])*BedPlan[[#This Row],[Revenue]:[Revenue]]</f>
        <v>0</v>
      </c>
      <c r="DM30" s="257" cm="1">
        <f t="array" ref="DM30">BedPlan[[#This Row],[Harvest Days May 2025]]/SUM(BedPlan[[#This Row],[Harvest Days January 2025]:[Harvest Days December 2026]])*BedPlan[[#This Row],[Revenue]:[Revenue]]</f>
        <v>0</v>
      </c>
      <c r="DN30" s="257" cm="1">
        <f t="array" ref="DN30">BedPlan[[#This Row],[Harvest Days June 2025]]/SUM(BedPlan[[#This Row],[Harvest Days January 2025]:[Harvest Days December 2026]])*BedPlan[[#This Row],[Revenue]:[Revenue]]</f>
        <v>430.51948051948051</v>
      </c>
      <c r="DO30" s="257" cm="1">
        <f t="array" ref="DO30">BedPlan[[#This Row],[Harvest Days July 2025]]/SUM(BedPlan[[#This Row],[Harvest Days January 2025]:[Harvest Days December 2026]])*BedPlan[[#This Row],[Revenue]:[Revenue]]</f>
        <v>126.62337662337661</v>
      </c>
      <c r="DP30" s="257" cm="1">
        <f t="array" ref="DP30">BedPlan[[#This Row],[Harvest Days August 2025]]/SUM(BedPlan[[#This Row],[Harvest Days January 2025]:[Harvest Days December 2026]])*BedPlan[[#This Row],[Revenue]:[Revenue]]</f>
        <v>0</v>
      </c>
      <c r="DQ30" s="257" cm="1">
        <f t="array" ref="DQ30">BedPlan[[#This Row],[Harvest Days September 2025]]/SUM(BedPlan[[#This Row],[Harvest Days January 2025]:[Harvest Days December 2026]])*BedPlan[[#This Row],[Revenue]:[Revenue]]</f>
        <v>0</v>
      </c>
      <c r="DR30" s="257" cm="1">
        <f t="array" ref="DR30">BedPlan[[#This Row],[Harvest Days October 2025]]/SUM(BedPlan[[#This Row],[Harvest Days January 2025]:[Harvest Days December 2026]])*BedPlan[[#This Row],[Revenue]:[Revenue]]</f>
        <v>0</v>
      </c>
      <c r="DS30" s="257" cm="1">
        <f t="array" ref="DS30">BedPlan[[#This Row],[Harvest Days November 2025]]/SUM(BedPlan[[#This Row],[Harvest Days January 2025]:[Harvest Days December 2026]])*BedPlan[[#This Row],[Revenue]:[Revenue]]</f>
        <v>0</v>
      </c>
      <c r="DT30" s="257" cm="1">
        <f t="array" ref="DT30">BedPlan[[#This Row],[Harvest Days December 2025]]/SUM(BedPlan[[#This Row],[Harvest Days January 2025]:[Harvest Days December 2026]])*BedPlan[[#This Row],[Revenue]:[Revenue]]</f>
        <v>0</v>
      </c>
      <c r="DU30" s="257" cm="1">
        <f t="array" ref="DU30">BedPlan[[#This Row],[Harvest Days January 2026]]/SUM(BedPlan[[#This Row],[Harvest Days January 2025]:[Harvest Days December 2026]])*BedPlan[[#This Row],[Revenue]:[Revenue]]</f>
        <v>0</v>
      </c>
      <c r="DV30" s="257" cm="1">
        <f t="array" ref="DV30">BedPlan[[#This Row],[Harvest Days February 2026]]/SUM(BedPlan[[#This Row],[Harvest Days January 2025]:[Harvest Days December 2026]])*BedPlan[[#This Row],[Revenue]:[Revenue]]</f>
        <v>0</v>
      </c>
      <c r="DW30" s="257" cm="1">
        <f t="array" ref="DW30">BedPlan[[#This Row],[Harvest Days March 2026]]/SUM(BedPlan[[#This Row],[Harvest Days January 2025]:[Harvest Days December 2026]])*BedPlan[[#This Row],[Revenue]:[Revenue]]</f>
        <v>0</v>
      </c>
      <c r="DX30" s="257" cm="1">
        <f t="array" ref="DX30">BedPlan[[#This Row],[Harvest Days April 2026]]/SUM(BedPlan[[#This Row],[Harvest Days January 2025]:[Harvest Days December 2026]])*BedPlan[[#This Row],[Revenue]:[Revenue]]</f>
        <v>0</v>
      </c>
      <c r="DY30" s="257" cm="1">
        <f t="array" ref="DY30">BedPlan[[#This Row],[Harvest Days May 2026]]/SUM(BedPlan[[#This Row],[Harvest Days January 2025]:[Harvest Days December 2026]])*BedPlan[[#This Row],[Revenue]:[Revenue]]</f>
        <v>0</v>
      </c>
      <c r="DZ30" s="257" cm="1">
        <f t="array" ref="DZ30">BedPlan[[#This Row],[Harvest Days June 2026]]/SUM(BedPlan[[#This Row],[Harvest Days January 2025]:[Harvest Days December 2026]])*BedPlan[[#This Row],[Revenue]:[Revenue]]</f>
        <v>0</v>
      </c>
      <c r="EA30" s="257" cm="1">
        <f t="array" ref="EA30">BedPlan[[#This Row],[Harvest Days July 2026]]/SUM(BedPlan[[#This Row],[Harvest Days January 2025]:[Harvest Days December 2026]])*BedPlan[[#This Row],[Revenue]:[Revenue]]</f>
        <v>0</v>
      </c>
      <c r="EB30" s="257" cm="1">
        <f t="array" ref="EB30">BedPlan[[#This Row],[Harvest Days August 2026]]/SUM(BedPlan[[#This Row],[Harvest Days January 2025]:[Harvest Days December 2026]])*BedPlan[[#This Row],[Revenue]:[Revenue]]</f>
        <v>0</v>
      </c>
      <c r="EC30" s="257" cm="1">
        <f t="array" ref="EC30">BedPlan[[#This Row],[Harvest Days September 2026]]/SUM(BedPlan[[#This Row],[Harvest Days January 2025]:[Harvest Days December 2026]])*BedPlan[[#This Row],[Revenue]:[Revenue]]</f>
        <v>0</v>
      </c>
      <c r="ED30" s="257" cm="1">
        <f t="array" ref="ED30">BedPlan[[#This Row],[Harvest Days October 2026]]/SUM(BedPlan[[#This Row],[Harvest Days January 2025]:[Harvest Days December 2026]])*BedPlan[[#This Row],[Revenue]:[Revenue]]</f>
        <v>0</v>
      </c>
      <c r="EE30" s="257" cm="1">
        <f t="array" ref="EE30">BedPlan[[#This Row],[Harvest Days November 2026]]/SUM(BedPlan[[#This Row],[Harvest Days January 2025]:[Harvest Days December 2026]])*BedPlan[[#This Row],[Revenue]:[Revenue]]</f>
        <v>0</v>
      </c>
      <c r="EF30" s="257" cm="1">
        <f t="array" ref="EF30">BedPlan[[#This Row],[Harvest Days December 2026]]/SUM(BedPlan[[#This Row],[Harvest Days January 2025]:[Harvest Days December 2026]])*BedPlan[[#This Row],[Revenue]:[Revenue]]</f>
        <v>0</v>
      </c>
      <c r="EG30" t="b">
        <f>SUM(BedPlan[[#This Row],[Revenue January 2025]:[Revenue December 2026]])=BedPlan[[#This Row],[Revenue]]</f>
        <v>1</v>
      </c>
      <c r="EH30" s="30" cm="1">
        <f t="array" ref="EH30">INDEX(Crops[],BedPlan[[#This Row],[Chart Index]],EH$4,1)*BedPlan[[#This Row],['# Of Beds]]</f>
        <v>171.42857142857142</v>
      </c>
      <c r="EI30" s="30" t="str" cm="1">
        <f t="array" ref="EI30">INDEX(Crops[],BedPlan[[#This Row],[Chart Index]],EI$4,1)</f>
        <v>Bunch</v>
      </c>
      <c r="EJ30" s="30" t="str" cm="1">
        <f t="array" ref="EJ30">INDEX(Crops[],BedPlan[[#This Row],[Chart Index]],EJ$4,1)</f>
        <v>Mature Root</v>
      </c>
      <c r="EK30" s="30" t="str">
        <f>BedPlan[[#This Row],[Name]]&amp;" "&amp;BedPlan[[#This Row],[Product]]&amp; " - " &amp;BedPlan[[#This Row],[Unit]]</f>
        <v>Carrot Mature Root - Bunch</v>
      </c>
      <c r="EL30" s="33" cm="1">
        <f t="array" ref="EL30">BedPlan[[#This Row],[Harvest Days January 2025]]/SUM(BedPlan[[#This Row],[Harvest Days January 2025]:[Harvest Days December 2026]])*BedPlan[[#This Row],[Yield]:[Yield]]</f>
        <v>0</v>
      </c>
      <c r="EM30" s="33" cm="1">
        <f t="array" ref="EM30">BedPlan[[#This Row],[Harvest Days February 2025]]/SUM(BedPlan[[#This Row],[Harvest Days January 2025]:[Harvest Days December 2026]])*BedPlan[[#This Row],[Yield]:[Yield]]</f>
        <v>0</v>
      </c>
      <c r="EN30" s="33" cm="1">
        <f t="array" ref="EN30">BedPlan[[#This Row],[Harvest Days March 2025]]/SUM(BedPlan[[#This Row],[Harvest Days January 2025]:[Harvest Days December 2026]])*BedPlan[[#This Row],[Yield]:[Yield]]</f>
        <v>0</v>
      </c>
      <c r="EO30" s="33" cm="1">
        <f t="array" ref="EO30">BedPlan[[#This Row],[Harvest Days April 2025]]/SUM(BedPlan[[#This Row],[Harvest Days January 2025]:[Harvest Days December 2026]])*BedPlan[[#This Row],[Yield]:[Yield]]</f>
        <v>0</v>
      </c>
      <c r="EP30" s="33" cm="1">
        <f t="array" ref="EP30">BedPlan[[#This Row],[Harvest Days May 2025]]/SUM(BedPlan[[#This Row],[Harvest Days January 2025]:[Harvest Days December 2026]])*BedPlan[[#This Row],[Yield]:[Yield]]</f>
        <v>0</v>
      </c>
      <c r="EQ30" s="33" cm="1">
        <f t="array" ref="EQ30">BedPlan[[#This Row],[Harvest Days June 2025]]/SUM(BedPlan[[#This Row],[Harvest Days January 2025]:[Harvest Days December 2026]])*BedPlan[[#This Row],[Yield]:[Yield]]</f>
        <v>132.46753246753246</v>
      </c>
      <c r="ER30" s="33" cm="1">
        <f t="array" ref="ER30">BedPlan[[#This Row],[Harvest Days July 2025]]/SUM(BedPlan[[#This Row],[Harvest Days January 2025]:[Harvest Days December 2026]])*BedPlan[[#This Row],[Yield]:[Yield]]</f>
        <v>38.961038961038959</v>
      </c>
      <c r="ES30" s="33" cm="1">
        <f t="array" ref="ES30">BedPlan[[#This Row],[Harvest Days August 2025]]/SUM(BedPlan[[#This Row],[Harvest Days January 2025]:[Harvest Days December 2026]])*BedPlan[[#This Row],[Yield]:[Yield]]</f>
        <v>0</v>
      </c>
      <c r="ET30" s="33" cm="1">
        <f t="array" ref="ET30">BedPlan[[#This Row],[Harvest Days September 2025]]/SUM(BedPlan[[#This Row],[Harvest Days January 2025]:[Harvest Days December 2026]])*BedPlan[[#This Row],[Yield]:[Yield]]</f>
        <v>0</v>
      </c>
      <c r="EU30" s="33" cm="1">
        <f t="array" ref="EU30">BedPlan[[#This Row],[Harvest Days October 2025]]/SUM(BedPlan[[#This Row],[Harvest Days January 2025]:[Harvest Days December 2026]])*BedPlan[[#This Row],[Yield]:[Yield]]</f>
        <v>0</v>
      </c>
      <c r="EV30" s="33" cm="1">
        <f t="array" ref="EV30">BedPlan[[#This Row],[Harvest Days November 2025]]/SUM(BedPlan[[#This Row],[Harvest Days January 2025]:[Harvest Days December 2026]])*BedPlan[[#This Row],[Yield]:[Yield]]</f>
        <v>0</v>
      </c>
      <c r="EW30" s="33" cm="1">
        <f t="array" ref="EW30">BedPlan[[#This Row],[Harvest Days December 2025]]/SUM(BedPlan[[#This Row],[Harvest Days January 2025]:[Harvest Days December 2026]])*BedPlan[[#This Row],[Yield]:[Yield]]</f>
        <v>0</v>
      </c>
    </row>
    <row r="31" spans="1:153" ht="15.75" customHeight="1">
      <c r="A31" s="180" t="s">
        <v>1714</v>
      </c>
      <c r="B31" t="s">
        <v>2633</v>
      </c>
      <c r="C31" t="s">
        <v>1450</v>
      </c>
      <c r="D31" cm="1">
        <f t="array" ref="D31">INDEX(Crops[],BedPlan[[#This Row],[Chart Index]],D$4,1)*BedPlan[[#This Row],[Full Bed Equivalent]]</f>
        <v>21.428571428571427</v>
      </c>
      <c r="E31" cm="1">
        <f t="array" ref="E31">INDEX(Crops[],BedPlan[[#This Row],[Chart Index]],E$4,1)*BedPlan[[#This Row],[Full Bed Equivalent]]</f>
        <v>85.714285714285708</v>
      </c>
      <c r="F31" t="str">
        <f>UPPER(LEFT(BedPlan[[#This Row],[Crop]],3))</f>
        <v>CAR</v>
      </c>
      <c r="H31" s="143" t="str" cm="1">
        <f t="array" ref="H31">INDEX(Crops[],BedPlan[[#This Row],[Chart Index]],H$4,1)</f>
        <v>Carrot</v>
      </c>
      <c r="I31" t="s">
        <v>1808</v>
      </c>
      <c r="K31" t="str" cm="1">
        <f t="array" ref="K31">IF(ISNUMBER(MATCH(BedPlan[[#This Row],[Variety]],SeedMixes[Name],)),_xlfn.TEXTJOIN(", ",TRUE,_xlfn._xlws.FILTER(SeedMixes[Variety &amp; Company],SeedMixes[Name]=BedPlan[[#This Row],[Variety]])),"")</f>
        <v>Yellowstone Johnny's, Cosmic Purple High Mowing, Napoli F1 Osborne, Mokum Johnny's</v>
      </c>
      <c r="L31" s="33" cm="1">
        <f t="array" ref="L31">INDEX(Crops[],BedPlan[[#This Row],[Chart Index]],L$4,1)*BedPlan[[#This Row],[Full Bed Equivalent]]</f>
        <v>3120</v>
      </c>
      <c r="N31">
        <v>0.5</v>
      </c>
      <c r="O31">
        <f>MAX(BedPlan[[#This Row],['# Of Beds]],0.5)</f>
        <v>0.5</v>
      </c>
      <c r="P31" s="31">
        <f>IF(ISNUMBER(BedPlan[[#This Row],[Planned Greenhouse Start Date]]),BedPlan[[#This Row],[Planned Greenhouse Start Date]],BedPlan[[#This Row],[Planned TP or DS Date]])</f>
        <v>45764</v>
      </c>
      <c r="Q31" s="259" t="str">
        <f>IF(BedPlan[[#This Row],[Days in Cells]]=0,"",IFERROR(_xlfn.XLOOKUP(BedPlan[[#This Row],[Follows Crop]],BedPlan[Identifier],BedPlan[Expected End of Harvest]) + 1+BedPlan[[#This Row],[Follow Offset]],BedPlan[[#This Row],[Fixed Field Start Date]])-BedPlan[[#This Row],[Days in Cells]])</f>
        <v/>
      </c>
      <c r="R31" s="259"/>
      <c r="S31" s="259" t="str">
        <f>IF(ISNUMBER(BedPlan[[#This Row],[Actual Greenhouse Date]]),BedPlan[[#This Row],[Actual Greenhouse Date]],BedPlan[[#This Row],[Planned Greenhouse Start Date]])</f>
        <v/>
      </c>
      <c r="T31" s="259">
        <f>_xlfn.XLOOKUP(BedPlan[[#This Row],[Crop]],Crops[Identifier],Crops[Target Field Date])+21</f>
        <v>45764</v>
      </c>
      <c r="U31" s="260"/>
      <c r="V31" s="260"/>
      <c r="W3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45764</v>
      </c>
      <c r="X31" s="259">
        <v>45777</v>
      </c>
      <c r="Y31" s="271">
        <f>BedPlan[[#This Row],[Actual TP or DS Date]]-BedPlan[[#This Row],[Planned TP or DS Date]]</f>
        <v>13</v>
      </c>
      <c r="Z31" s="259">
        <f>IF(ISNUMBER(BedPlan[[#This Row],[Actual TP or DS Date]]),BedPlan[[#This Row],[Actual TP or DS Date]],BedPlan[[#This Row],[Planned TP or DS Date]])</f>
        <v>45777</v>
      </c>
      <c r="AA31" s="260"/>
      <c r="AB31" s="259">
        <f>IF(ISNUMBER(BedPlan[[#This Row],[Greenhouse Start Date]]),BedPlan[[#This Row],[Greenhouse Start Date]]+BedPlan[[#This Row],[DTM]],BedPlan[[#This Row],[TP or DS Date]]+BedPlan[[#This Row],[DTM]])</f>
        <v>45847</v>
      </c>
      <c r="AC31" s="259"/>
      <c r="AD31" s="259">
        <f>IF(ISNUMBER(BedPlan[[#This Row],[Actual Beginning of Harvest]]),BedPlan[[#This Row],[Actual Beginning of Harvest]],BedPlan[[#This Row],[Expected Beginning of Harvest]])</f>
        <v>45847</v>
      </c>
      <c r="AE31" s="259">
        <f>BedPlan[[#This Row],[Expected Beginning of Harvest]]+BedPlan[[#This Row],[Harvest Window]]+BedPlan[[#This Row],[Additional Days of Harvest]]</f>
        <v>45868</v>
      </c>
      <c r="AF31" s="259"/>
      <c r="AG31" s="259"/>
      <c r="AH31" s="31" t="b">
        <f>IF(AND( BedPlan[[#This Row],[Expected End of Harvest]] &gt;= DATE(2025, 8, 1), BedPlan[[#This Row],[Beginning of Harvest]] &lt;= DATE(2025, 8, 31) ), TRUE, FALSE)</f>
        <v>0</v>
      </c>
      <c r="AI31" s="31"/>
      <c r="AJ31" s="31">
        <f>IF(ISNUMBER(BedPlan[[#This Row],[Actual End of Harvest]]),BedPlan[[#This Row],[Actual End of Harvest]],BedPlan[[#This Row],[Expected End of Harvest]])</f>
        <v>45868</v>
      </c>
      <c r="AK31" t="b">
        <f>OR(ISNUMBER(BedPlan[[#This Row],[Actual Greenhouse Date]]),ISNUMBER(BedPlan[[#This Row],[Actual TP or DS Date]]))</f>
        <v>1</v>
      </c>
      <c r="AL31" s="52" t="str">
        <f>IF(ISNUMBER(BedPlan[[#This Row],[Planned Greenhouse Start Date]]),OR(ISNUMBER(BedPlan[[#This Row],[Actual TP or DS Date]]),BedPlan[[#This Row],[Failed]]),"-")</f>
        <v>-</v>
      </c>
      <c r="AM31" t="b">
        <f>OR(ISNUMBER(BedPlan[[#This Row],[Actual End of Harvest]]),BedPlan[[#This Row],[Failed]])</f>
        <v>0</v>
      </c>
      <c r="AN31" t="b">
        <f>OR(BedPlan[[#This Row],[Harvest Done]],BedPlan[[#This Row],[Failed]],BedPlan[[#This Row],[Name]]="Tarp")</f>
        <v>0</v>
      </c>
      <c r="AP31" t="b">
        <v>1</v>
      </c>
      <c r="AQ31" t="s">
        <v>3214</v>
      </c>
      <c r="AS31" s="26" t="str">
        <f>IF(BedPlan[[#This Row],[Broadfork]],BedPlan[[#This Row],[Actual TP or DS Date]],"")</f>
        <v/>
      </c>
      <c r="AT31" s="26">
        <f>IF(BedPlan[[#This Row],[Tilther]],BedPlan[[#This Row],[Actual TP or DS Date]],"")</f>
        <v>45777</v>
      </c>
      <c r="AU31" s="26">
        <f>IF(NOT(ISBLANK(BedPlan[[#This Row],[Amend]])),BedPlan[[#This Row],[Actual TP or DS Date]],"")</f>
        <v>45777</v>
      </c>
      <c r="AV31" s="26" t="str">
        <f>IF(BedPlan[[#This Row],[Row Cover]],BedPlan[[#This Row],[Actual TP or DS Date]],"")</f>
        <v/>
      </c>
      <c r="AW31" t="s">
        <v>3228</v>
      </c>
      <c r="AX31" s="26">
        <v>45792</v>
      </c>
      <c r="AZ31" s="26"/>
      <c r="BB31" s="26"/>
      <c r="BC31" s="231" cm="1">
        <f t="array" ref="BC31">INDEX(Crops[],BedPlan[[#This Row],[Chart Index]],BC$4,1)*BedPlan[[#This Row],[Full Bed Equivalent]]</f>
        <v>278.57142857142856</v>
      </c>
      <c r="BD31" s="231" cm="1">
        <f t="array" ref="BD31">INDEX(Crops[],BedPlan[[#This Row],[Chart Index]],BD$4,1)*BedPlan[[#This Row],[Full Bed Equivalent]]</f>
        <v>3.0612244897959182</v>
      </c>
      <c r="BE31" cm="1">
        <f t="array" ref="BE31">INDEX(Crops[],BedPlan[[#This Row],[Chart Index]],BE$4,1)+BedPlan[[#This Row],[Additional Days in Cells]]+BedPlan[[#This Row],[Additional Days In Field]]</f>
        <v>70</v>
      </c>
      <c r="BG31" cm="1">
        <f t="array" ref="BG31">INDEX(Crops[],BedPlan[[#This Row],[Chart Index]],BG$4,1)</f>
        <v>21</v>
      </c>
      <c r="BH31" t="str">
        <f>IF(ISNUMBER(BedPlan[[#This Row],[Planned Greenhouse Start Date]]),"TP","DS")</f>
        <v>DS</v>
      </c>
      <c r="BI31">
        <f>BedPlan[[#This Row],['# Of Beds]]</f>
        <v>0.5</v>
      </c>
      <c r="BJ31" cm="1">
        <f t="array" ref="BJ31">INDEX(Crops[],BedPlan[[#This Row],[Chart Index]],BJ$4,1)</f>
        <v>0</v>
      </c>
      <c r="BK31" cm="1">
        <f t="array" ref="BK31">INDEX(Crops[],BedPlan[[#This Row],[Chart Index]],BK$4,1)</f>
        <v>4</v>
      </c>
      <c r="BL31" cm="1">
        <f t="array" ref="BL31">INDEX(Crops[],BedPlan[[#This Row],[Chart Index]],BL$4,1)</f>
        <v>0.5</v>
      </c>
      <c r="BM31" cm="1">
        <f t="array" ref="BM31">INDEX(Crops[],BedPlan[[#This Row],[Chart Index]],BM$4,1)</f>
        <v>1</v>
      </c>
      <c r="BN31" s="32" cm="1">
        <f t="array" ref="BN31">INDEX(Crops[],BedPlan[[#This Row],[Chart Index]],BN$4,1)*BedPlan[[#This Row],[Full Bed Equivalent]]</f>
        <v>2400</v>
      </c>
      <c r="BO31" t="str" cm="1">
        <f t="array" ref="BO31">IF(INDEX(Crops[],BedPlan[[#This Row],[Chart Index]],BO$4,1)=0,"",INDEX(Crops[],BedPlan[[#This Row],[Chart Index]],BO$4,1))</f>
        <v>OH</v>
      </c>
      <c r="BP31">
        <f>MATCH(BedPlan[[#This Row],[Crop]],Crops[Identifier],FALSE)</f>
        <v>61</v>
      </c>
      <c r="BQ31" t="str" cm="1">
        <f t="array" ref="BQ31">INDEX(Crops[],BedPlan[[#This Row],[Chart Index]],BQ$4,1)</f>
        <v>Early</v>
      </c>
      <c r="BR31" t="str" cm="1">
        <f t="array" ref="BR31">INDEX(Crops[],BedPlan[[#This Row],[Chart Index]],BR$4,1)</f>
        <v>Sp</v>
      </c>
      <c r="BS31" s="32">
        <f>BedPlan[[#This Row],[Expected Beginning of Harvest]]-DATE(2023,1,1)</f>
        <v>920</v>
      </c>
      <c r="BT31">
        <f>BedPlan[[#This Row],[Expected End of Harvest]]-BedPlan[[#This Row],[Expected Beginning of Harvest]]</f>
        <v>21</v>
      </c>
      <c r="BU31" t="str" cm="1">
        <f t="array" ref="BU31">INDEX(Crops[],BedPlan[[#This Row],[Chart Index]],BU$4,1)</f>
        <v>Root</v>
      </c>
      <c r="BV31" cm="1">
        <f t="array" ref="BV31">INDEX(Crops[],BedPlan[[#This Row],[Chart Index]],BV$4,1)</f>
        <v>1</v>
      </c>
      <c r="BW31" t="str" cm="1">
        <f t="array" ref="BW31">INDEX(Crops[],BedPlan[[#This Row],[Chart Index]],BW$4,1)</f>
        <v>AMAP</v>
      </c>
      <c r="BX31" cm="1">
        <f t="array" ref="BX31">INDEX(Crops[],BedPlan[[#This Row],[Chart Index]],BX$4,1)</f>
        <v>0</v>
      </c>
      <c r="BY31" cm="1">
        <f t="array" ref="BY31">INDEX(Crops[],BedPlan[[#This Row],[Chart Index]],BY$4,1)</f>
        <v>0</v>
      </c>
      <c r="BZ31" s="49" t="str" cm="1">
        <f t="array" ref="BZ31">IFERROR(INDEX(Crops[],BedPlan[[#This Row],[Chart Index]],BZ$4,1)*BedPlan[[#This Row],[Full Bed Equivalent]],"")</f>
        <v/>
      </c>
      <c r="CA31" cm="1">
        <f t="array" ref="CA31">INDEX(Crops[],BedPlan[[#This Row],[Chart Index]],CA$4,1)</f>
        <v>0</v>
      </c>
      <c r="CB31" cm="1">
        <f t="array" ref="CB31">INDEX(Crops[],BedPlan[[#This Row],[Chart Index]],CB$4,1)</f>
        <v>0</v>
      </c>
      <c r="CC31" s="49" t="str" cm="1">
        <f t="array" ref="CC31">IFERROR(INDEX(Crops[],BedPlan[[#This Row],[Chart Index]],CC$4,1)*BedPlan[[#This Row],[Full Bed Equivalent]],"")</f>
        <v/>
      </c>
      <c r="CD31" cm="1">
        <f t="array" ref="CD31">INDEX(Crops[],BedPlan[[#This Row],[Chart Index]],CD$4,1)</f>
        <v>0</v>
      </c>
      <c r="CE31" cm="1">
        <f t="array" ref="CE31">IF(INDEX(Crops[],BedPlan[[#This Row],[Chart Index]],CE$4,1)="",0,INDEX(Crops[],BedPlan[[#This Row],[Chart Index]],CE$4,1))</f>
        <v>0</v>
      </c>
      <c r="CF31" s="49" t="str" cm="1">
        <f t="array" ref="CF31">IFERROR(INDEX(Crops[],BedPlan[[#This Row],[Chart Index]],CF$4,1)*BedPlan[[#This Row],[Full Bed Equivalent]],"")</f>
        <v/>
      </c>
      <c r="CG31" cm="1">
        <f t="array" ref="CG31">IF(INDEX(Crops[],BedPlan[[#This Row],[Chart Index]],CG$4,1)="",0,INDEX(Crops[],BedPlan[[#This Row],[Chart Index]],CG$4,1))</f>
        <v>1.3</v>
      </c>
      <c r="CH31" cm="1">
        <f t="array" ref="CH31">IF(INDEX(Crops[],BedPlan[[#This Row],[Chart Index]],CH$4,1)="",0,INDEX(Crops[],BedPlan[[#This Row],[Chart Index]],CH$4,1))</f>
        <v>0</v>
      </c>
      <c r="CI31" t="str" cm="1">
        <f t="array" ref="CI31">INDEX(Crops[],BedPlan[[#This Row],[Chart Index]],CI$4,1)</f>
        <v>Field</v>
      </c>
      <c r="CJ31" s="30" t="str">
        <f>_xlfn.TEXTJOIN(CHAR(10),FALSE,BedPlan[[#This Row],[Name]],BedPlan[[#This Row],[Variety]],BedPlan[[#This Row],[Company]])</f>
        <v xml:space="preserve">Carrot
Early Carrot Mix
</v>
      </c>
      <c r="CK31" s="32">
        <f>MAX( 0, MIN(BedPlan[[#This Row],[Expected End of Harvest]], EOMONTH(CK$4, 0)) - MAX(BedPlan[[#This Row],[Beginning of Harvest]], CK$4) + 1 )</f>
        <v>0</v>
      </c>
      <c r="CL31">
        <f>MAX( 0, MIN(BedPlan[[#This Row],[Expected End of Harvest]], EOMONTH(CL$4, 0)) - MAX(BedPlan[[#This Row],[Beginning of Harvest]], CL$4) + 1 )</f>
        <v>0</v>
      </c>
      <c r="CM31">
        <f>MAX( 0, MIN(BedPlan[[#This Row],[Expected End of Harvest]], EOMONTH(CM$4, 0)) - MAX(BedPlan[[#This Row],[Beginning of Harvest]], CM$4) + 1 )</f>
        <v>0</v>
      </c>
      <c r="CN31">
        <f>MAX( 0, MIN(BedPlan[[#This Row],[Expected End of Harvest]], EOMONTH(CN$4, 0)) - MAX(BedPlan[[#This Row],[Beginning of Harvest]], CN$4) + 1 )</f>
        <v>0</v>
      </c>
      <c r="CO31">
        <f>MAX( 0, MIN(BedPlan[[#This Row],[Expected End of Harvest]], EOMONTH(CO$4, 0)) - MAX(BedPlan[[#This Row],[Beginning of Harvest]], CO$4) + 1 )</f>
        <v>0</v>
      </c>
      <c r="CP31">
        <f>MAX( 0, MIN(BedPlan[[#This Row],[Expected End of Harvest]], EOMONTH(CP$4, 0)) - MAX(BedPlan[[#This Row],[Beginning of Harvest]], CP$4) + 1 )</f>
        <v>0</v>
      </c>
      <c r="CQ31">
        <f>MAX( 0, MIN(BedPlan[[#This Row],[Expected End of Harvest]], EOMONTH(CQ$4, 0)) - MAX(BedPlan[[#This Row],[Beginning of Harvest]], CQ$4) + 1 )</f>
        <v>22</v>
      </c>
      <c r="CR31">
        <f>MAX( 0, MIN(BedPlan[[#This Row],[Expected End of Harvest]], EOMONTH(CR$4, 0)) - MAX(BedPlan[[#This Row],[Beginning of Harvest]], CR$4) + 1 )</f>
        <v>0</v>
      </c>
      <c r="CS31">
        <f>MAX( 0, MIN(BedPlan[[#This Row],[Expected End of Harvest]], EOMONTH(CS$4, 0)) - MAX(BedPlan[[#This Row],[Beginning of Harvest]], CS$4) + 1 )</f>
        <v>0</v>
      </c>
      <c r="CT31">
        <f>MAX( 0, MIN(BedPlan[[#This Row],[Expected End of Harvest]], EOMONTH(CT$4, 0)) - MAX(BedPlan[[#This Row],[Beginning of Harvest]], CT$4) + 1 )</f>
        <v>0</v>
      </c>
      <c r="CU31">
        <f>MAX( 0, MIN(BedPlan[[#This Row],[Expected End of Harvest]], EOMONTH(CU$4, 0)) - MAX(BedPlan[[#This Row],[Beginning of Harvest]], CU$4) + 1 )</f>
        <v>0</v>
      </c>
      <c r="CV31">
        <f>MAX( 0, MIN(BedPlan[[#This Row],[Expected End of Harvest]], EOMONTH(CV$4, 0)) - MAX(BedPlan[[#This Row],[Beginning of Harvest]], CV$4) + 1 )</f>
        <v>0</v>
      </c>
      <c r="CW31">
        <f>MAX( 0, MIN(BedPlan[[#This Row],[Expected End of Harvest]], EOMONTH(CW$4, 0)) - MAX(BedPlan[[#This Row],[Beginning of Harvest]], CW$4) + 1 )</f>
        <v>0</v>
      </c>
      <c r="CX31">
        <f>MAX( 0, MIN(BedPlan[[#This Row],[Expected End of Harvest]], EOMONTH(CX$4, 0)) - MAX(BedPlan[[#This Row],[Beginning of Harvest]], CX$4) + 1 )</f>
        <v>0</v>
      </c>
      <c r="CY31">
        <f>MAX( 0, MIN(BedPlan[[#This Row],[Expected End of Harvest]], EOMONTH(CY$4, 0)) - MAX(BedPlan[[#This Row],[Beginning of Harvest]], CY$4) + 1 )</f>
        <v>0</v>
      </c>
      <c r="CZ31">
        <f>MAX( 0, MIN(BedPlan[[#This Row],[Expected End of Harvest]], EOMONTH(CZ$4, 0)) - MAX(BedPlan[[#This Row],[Beginning of Harvest]], CZ$4) + 1 )</f>
        <v>0</v>
      </c>
      <c r="DA31">
        <f>MAX( 0, MIN(BedPlan[[#This Row],[Expected End of Harvest]], EOMONTH(DA$4, 0)) - MAX(BedPlan[[#This Row],[Beginning of Harvest]], DA$4) + 1 )</f>
        <v>0</v>
      </c>
      <c r="DB31">
        <f>MAX( 0, MIN(BedPlan[[#This Row],[Expected End of Harvest]], EOMONTH(DB$4, 0)) - MAX(BedPlan[[#This Row],[Beginning of Harvest]], DB$4) + 1 )</f>
        <v>0</v>
      </c>
      <c r="DC31">
        <f>MAX( 0, MIN(BedPlan[[#This Row],[Expected End of Harvest]], EOMONTH(DC$4, 0)) - MAX(BedPlan[[#This Row],[Beginning of Harvest]], DC$4) + 1 )</f>
        <v>0</v>
      </c>
      <c r="DD31">
        <f>MAX( 0, MIN(BedPlan[[#This Row],[Expected End of Harvest]], EOMONTH(DD$4, 0)) - MAX(BedPlan[[#This Row],[Beginning of Harvest]], DD$4) + 1 )</f>
        <v>0</v>
      </c>
      <c r="DE31">
        <f>MAX( 0, MIN(BedPlan[[#This Row],[Expected End of Harvest]], EOMONTH(DE$4, 0)) - MAX(BedPlan[[#This Row],[Beginning of Harvest]], DE$4) + 1 )</f>
        <v>0</v>
      </c>
      <c r="DF31">
        <f>MAX( 0, MIN(BedPlan[[#This Row],[Expected End of Harvest]], EOMONTH(DF$4, 0)) - MAX(BedPlan[[#This Row],[Beginning of Harvest]], DF$4) + 1 )</f>
        <v>0</v>
      </c>
      <c r="DG31">
        <f>MAX( 0, MIN(BedPlan[[#This Row],[Expected End of Harvest]], EOMONTH(DG$4, 0)) - MAX(BedPlan[[#This Row],[Beginning of Harvest]], DG$4) + 1 )</f>
        <v>0</v>
      </c>
      <c r="DH31">
        <f>MAX( 0, MIN(BedPlan[[#This Row],[Expected End of Harvest]], EOMONTH(DH$4, 0)) - MAX(BedPlan[[#This Row],[Beginning of Harvest]], DH$4) + 1 )</f>
        <v>0</v>
      </c>
      <c r="DI31" s="257" cm="1">
        <f t="array" ref="DI31">BedPlan[[#This Row],[Harvest Days January 2025]]/SUM(BedPlan[[#This Row],[Harvest Days January 2025]:[Harvest Days December 2026]])*BedPlan[[#This Row],[Revenue]:[Revenue]]</f>
        <v>0</v>
      </c>
      <c r="DJ31" s="257" cm="1">
        <f t="array" ref="DJ31">BedPlan[[#This Row],[Harvest Days February 2025]]/SUM(BedPlan[[#This Row],[Harvest Days January 2025]:[Harvest Days December 2026]])*BedPlan[[#This Row],[Revenue]:[Revenue]]</f>
        <v>0</v>
      </c>
      <c r="DK31" s="257" cm="1">
        <f t="array" ref="DK31">BedPlan[[#This Row],[Harvest Days March 2025]]/SUM(BedPlan[[#This Row],[Harvest Days January 2025]:[Harvest Days December 2026]])*BedPlan[[#This Row],[Revenue]:[Revenue]]</f>
        <v>0</v>
      </c>
      <c r="DL31" s="257" cm="1">
        <f t="array" ref="DL31">BedPlan[[#This Row],[Harvest Days April 2025]]/SUM(BedPlan[[#This Row],[Harvest Days January 2025]:[Harvest Days December 2026]])*BedPlan[[#This Row],[Revenue]:[Revenue]]</f>
        <v>0</v>
      </c>
      <c r="DM31" s="257" cm="1">
        <f t="array" ref="DM31">BedPlan[[#This Row],[Harvest Days May 2025]]/SUM(BedPlan[[#This Row],[Harvest Days January 2025]:[Harvest Days December 2026]])*BedPlan[[#This Row],[Revenue]:[Revenue]]</f>
        <v>0</v>
      </c>
      <c r="DN31" s="257" cm="1">
        <f t="array" ref="DN31">BedPlan[[#This Row],[Harvest Days June 2025]]/SUM(BedPlan[[#This Row],[Harvest Days January 2025]:[Harvest Days December 2026]])*BedPlan[[#This Row],[Revenue]:[Revenue]]</f>
        <v>0</v>
      </c>
      <c r="DO31" s="257" cm="1">
        <f t="array" ref="DO31">BedPlan[[#This Row],[Harvest Days July 2025]]/SUM(BedPlan[[#This Row],[Harvest Days January 2025]:[Harvest Days December 2026]])*BedPlan[[#This Row],[Revenue]:[Revenue]]</f>
        <v>278.57142857142856</v>
      </c>
      <c r="DP31" s="257" cm="1">
        <f t="array" ref="DP31">BedPlan[[#This Row],[Harvest Days August 2025]]/SUM(BedPlan[[#This Row],[Harvest Days January 2025]:[Harvest Days December 2026]])*BedPlan[[#This Row],[Revenue]:[Revenue]]</f>
        <v>0</v>
      </c>
      <c r="DQ31" s="257" cm="1">
        <f t="array" ref="DQ31">BedPlan[[#This Row],[Harvest Days September 2025]]/SUM(BedPlan[[#This Row],[Harvest Days January 2025]:[Harvest Days December 2026]])*BedPlan[[#This Row],[Revenue]:[Revenue]]</f>
        <v>0</v>
      </c>
      <c r="DR31" s="257" cm="1">
        <f t="array" ref="DR31">BedPlan[[#This Row],[Harvest Days October 2025]]/SUM(BedPlan[[#This Row],[Harvest Days January 2025]:[Harvest Days December 2026]])*BedPlan[[#This Row],[Revenue]:[Revenue]]</f>
        <v>0</v>
      </c>
      <c r="DS31" s="257" cm="1">
        <f t="array" ref="DS31">BedPlan[[#This Row],[Harvest Days November 2025]]/SUM(BedPlan[[#This Row],[Harvest Days January 2025]:[Harvest Days December 2026]])*BedPlan[[#This Row],[Revenue]:[Revenue]]</f>
        <v>0</v>
      </c>
      <c r="DT31" s="257" cm="1">
        <f t="array" ref="DT31">BedPlan[[#This Row],[Harvest Days December 2025]]/SUM(BedPlan[[#This Row],[Harvest Days January 2025]:[Harvest Days December 2026]])*BedPlan[[#This Row],[Revenue]:[Revenue]]</f>
        <v>0</v>
      </c>
      <c r="DU31" s="257" cm="1">
        <f t="array" ref="DU31">BedPlan[[#This Row],[Harvest Days January 2026]]/SUM(BedPlan[[#This Row],[Harvest Days January 2025]:[Harvest Days December 2026]])*BedPlan[[#This Row],[Revenue]:[Revenue]]</f>
        <v>0</v>
      </c>
      <c r="DV31" s="257" cm="1">
        <f t="array" ref="DV31">BedPlan[[#This Row],[Harvest Days February 2026]]/SUM(BedPlan[[#This Row],[Harvest Days January 2025]:[Harvest Days December 2026]])*BedPlan[[#This Row],[Revenue]:[Revenue]]</f>
        <v>0</v>
      </c>
      <c r="DW31" s="257" cm="1">
        <f t="array" ref="DW31">BedPlan[[#This Row],[Harvest Days March 2026]]/SUM(BedPlan[[#This Row],[Harvest Days January 2025]:[Harvest Days December 2026]])*BedPlan[[#This Row],[Revenue]:[Revenue]]</f>
        <v>0</v>
      </c>
      <c r="DX31" s="257" cm="1">
        <f t="array" ref="DX31">BedPlan[[#This Row],[Harvest Days April 2026]]/SUM(BedPlan[[#This Row],[Harvest Days January 2025]:[Harvest Days December 2026]])*BedPlan[[#This Row],[Revenue]:[Revenue]]</f>
        <v>0</v>
      </c>
      <c r="DY31" s="257" cm="1">
        <f t="array" ref="DY31">BedPlan[[#This Row],[Harvest Days May 2026]]/SUM(BedPlan[[#This Row],[Harvest Days January 2025]:[Harvest Days December 2026]])*BedPlan[[#This Row],[Revenue]:[Revenue]]</f>
        <v>0</v>
      </c>
      <c r="DZ31" s="257" cm="1">
        <f t="array" ref="DZ31">BedPlan[[#This Row],[Harvest Days June 2026]]/SUM(BedPlan[[#This Row],[Harvest Days January 2025]:[Harvest Days December 2026]])*BedPlan[[#This Row],[Revenue]:[Revenue]]</f>
        <v>0</v>
      </c>
      <c r="EA31" s="257" cm="1">
        <f t="array" ref="EA31">BedPlan[[#This Row],[Harvest Days July 2026]]/SUM(BedPlan[[#This Row],[Harvest Days January 2025]:[Harvest Days December 2026]])*BedPlan[[#This Row],[Revenue]:[Revenue]]</f>
        <v>0</v>
      </c>
      <c r="EB31" s="257" cm="1">
        <f t="array" ref="EB31">BedPlan[[#This Row],[Harvest Days August 2026]]/SUM(BedPlan[[#This Row],[Harvest Days January 2025]:[Harvest Days December 2026]])*BedPlan[[#This Row],[Revenue]:[Revenue]]</f>
        <v>0</v>
      </c>
      <c r="EC31" s="257" cm="1">
        <f t="array" ref="EC31">BedPlan[[#This Row],[Harvest Days September 2026]]/SUM(BedPlan[[#This Row],[Harvest Days January 2025]:[Harvest Days December 2026]])*BedPlan[[#This Row],[Revenue]:[Revenue]]</f>
        <v>0</v>
      </c>
      <c r="ED31" s="257" cm="1">
        <f t="array" ref="ED31">BedPlan[[#This Row],[Harvest Days October 2026]]/SUM(BedPlan[[#This Row],[Harvest Days January 2025]:[Harvest Days December 2026]])*BedPlan[[#This Row],[Revenue]:[Revenue]]</f>
        <v>0</v>
      </c>
      <c r="EE31" s="257" cm="1">
        <f t="array" ref="EE31">BedPlan[[#This Row],[Harvest Days November 2026]]/SUM(BedPlan[[#This Row],[Harvest Days January 2025]:[Harvest Days December 2026]])*BedPlan[[#This Row],[Revenue]:[Revenue]]</f>
        <v>0</v>
      </c>
      <c r="EF31" s="257" cm="1">
        <f t="array" ref="EF31">BedPlan[[#This Row],[Harvest Days December 2026]]/SUM(BedPlan[[#This Row],[Harvest Days January 2025]:[Harvest Days December 2026]])*BedPlan[[#This Row],[Revenue]:[Revenue]]</f>
        <v>0</v>
      </c>
      <c r="EG31" t="b">
        <f>SUM(BedPlan[[#This Row],[Revenue January 2025]:[Revenue December 2026]])=BedPlan[[#This Row],[Revenue]]</f>
        <v>1</v>
      </c>
      <c r="EH31" s="30" cm="1">
        <f t="array" ref="EH31">INDEX(Crops[],BedPlan[[#This Row],[Chart Index]],EH$4,1)*BedPlan[[#This Row],['# Of Beds]]</f>
        <v>85.714285714285708</v>
      </c>
      <c r="EI31" s="30" t="str" cm="1">
        <f t="array" ref="EI31">INDEX(Crops[],BedPlan[[#This Row],[Chart Index]],EI$4,1)</f>
        <v>Bunch</v>
      </c>
      <c r="EJ31" s="30" t="str" cm="1">
        <f t="array" ref="EJ31">INDEX(Crops[],BedPlan[[#This Row],[Chart Index]],EJ$4,1)</f>
        <v>Mature Root</v>
      </c>
      <c r="EK31" s="30" t="str">
        <f>BedPlan[[#This Row],[Name]]&amp;" "&amp;BedPlan[[#This Row],[Product]]&amp; " - " &amp;BedPlan[[#This Row],[Unit]]</f>
        <v>Carrot Mature Root - Bunch</v>
      </c>
      <c r="EL31" s="33" cm="1">
        <f t="array" ref="EL31">BedPlan[[#This Row],[Harvest Days January 2025]]/SUM(BedPlan[[#This Row],[Harvest Days January 2025]:[Harvest Days December 2026]])*BedPlan[[#This Row],[Yield]:[Yield]]</f>
        <v>0</v>
      </c>
      <c r="EM31" s="33" cm="1">
        <f t="array" ref="EM31">BedPlan[[#This Row],[Harvest Days February 2025]]/SUM(BedPlan[[#This Row],[Harvest Days January 2025]:[Harvest Days December 2026]])*BedPlan[[#This Row],[Yield]:[Yield]]</f>
        <v>0</v>
      </c>
      <c r="EN31" s="33" cm="1">
        <f t="array" ref="EN31">BedPlan[[#This Row],[Harvest Days March 2025]]/SUM(BedPlan[[#This Row],[Harvest Days January 2025]:[Harvest Days December 2026]])*BedPlan[[#This Row],[Yield]:[Yield]]</f>
        <v>0</v>
      </c>
      <c r="EO31" s="33" cm="1">
        <f t="array" ref="EO31">BedPlan[[#This Row],[Harvest Days April 2025]]/SUM(BedPlan[[#This Row],[Harvest Days January 2025]:[Harvest Days December 2026]])*BedPlan[[#This Row],[Yield]:[Yield]]</f>
        <v>0</v>
      </c>
      <c r="EP31" s="33" cm="1">
        <f t="array" ref="EP31">BedPlan[[#This Row],[Harvest Days May 2025]]/SUM(BedPlan[[#This Row],[Harvest Days January 2025]:[Harvest Days December 2026]])*BedPlan[[#This Row],[Yield]:[Yield]]</f>
        <v>0</v>
      </c>
      <c r="EQ31" s="33" cm="1">
        <f t="array" ref="EQ31">BedPlan[[#This Row],[Harvest Days June 2025]]/SUM(BedPlan[[#This Row],[Harvest Days January 2025]:[Harvest Days December 2026]])*BedPlan[[#This Row],[Yield]:[Yield]]</f>
        <v>0</v>
      </c>
      <c r="ER31" s="33" cm="1">
        <f t="array" ref="ER31">BedPlan[[#This Row],[Harvest Days July 2025]]/SUM(BedPlan[[#This Row],[Harvest Days January 2025]:[Harvest Days December 2026]])*BedPlan[[#This Row],[Yield]:[Yield]]</f>
        <v>85.714285714285708</v>
      </c>
      <c r="ES31" s="33" cm="1">
        <f t="array" ref="ES31">BedPlan[[#This Row],[Harvest Days August 2025]]/SUM(BedPlan[[#This Row],[Harvest Days January 2025]:[Harvest Days December 2026]])*BedPlan[[#This Row],[Yield]:[Yield]]</f>
        <v>0</v>
      </c>
      <c r="ET31" s="33" cm="1">
        <f t="array" ref="ET31">BedPlan[[#This Row],[Harvest Days September 2025]]/SUM(BedPlan[[#This Row],[Harvest Days January 2025]:[Harvest Days December 2026]])*BedPlan[[#This Row],[Yield]:[Yield]]</f>
        <v>0</v>
      </c>
      <c r="EU31" s="33" cm="1">
        <f t="array" ref="EU31">BedPlan[[#This Row],[Harvest Days October 2025]]/SUM(BedPlan[[#This Row],[Harvest Days January 2025]:[Harvest Days December 2026]])*BedPlan[[#This Row],[Yield]:[Yield]]</f>
        <v>0</v>
      </c>
      <c r="EV31" s="33" cm="1">
        <f t="array" ref="EV31">BedPlan[[#This Row],[Harvest Days November 2025]]/SUM(BedPlan[[#This Row],[Harvest Days January 2025]:[Harvest Days December 2026]])*BedPlan[[#This Row],[Yield]:[Yield]]</f>
        <v>0</v>
      </c>
      <c r="EW31" s="33" cm="1">
        <f t="array" ref="EW31">BedPlan[[#This Row],[Harvest Days December 2025]]/SUM(BedPlan[[#This Row],[Harvest Days January 2025]:[Harvest Days December 2026]])*BedPlan[[#This Row],[Yield]:[Yield]]</f>
        <v>0</v>
      </c>
    </row>
    <row r="32" spans="1:153" ht="15.75" customHeight="1">
      <c r="A32" s="180" t="s">
        <v>1714</v>
      </c>
      <c r="B32" s="240" t="s">
        <v>2760</v>
      </c>
      <c r="C32" t="s">
        <v>1450</v>
      </c>
      <c r="D32" s="226" cm="1">
        <f t="array" ref="D32">INDEX(Crops[],BedPlan[[#This Row],[Chart Index]],D$4,1)*BedPlan[[#This Row],[Full Bed Equivalent]]</f>
        <v>21.428571428571427</v>
      </c>
      <c r="E32" s="226" cm="1">
        <f t="array" ref="E32">INDEX(Crops[],BedPlan[[#This Row],[Chart Index]],E$4,1)*BedPlan[[#This Row],[Full Bed Equivalent]]</f>
        <v>85.714285714285708</v>
      </c>
      <c r="F32" t="str">
        <f>UPPER(LEFT(BedPlan[[#This Row],[Crop]],3))</f>
        <v>CAR</v>
      </c>
      <c r="H32" s="143" t="str" cm="1">
        <f t="array" ref="H32">INDEX(Crops[],BedPlan[[#This Row],[Chart Index]],H$4,1)</f>
        <v>Carrot</v>
      </c>
      <c r="I32" t="s">
        <v>1808</v>
      </c>
      <c r="K32" t="str" cm="1">
        <f t="array" ref="K32">IF(ISNUMBER(MATCH(BedPlan[[#This Row],[Variety]],SeedMixes[Name],)),_xlfn.TEXTJOIN(", ",TRUE,_xlfn._xlws.FILTER(SeedMixes[Variety &amp; Company],SeedMixes[Name]=BedPlan[[#This Row],[Variety]])),"")</f>
        <v>Yellowstone Johnny's, Cosmic Purple High Mowing, Napoli F1 Osborne, Mokum Johnny's</v>
      </c>
      <c r="L32" s="33" cm="1">
        <f t="array" ref="L32">INDEX(Crops[],BedPlan[[#This Row],[Chart Index]],L$4,1)*BedPlan[[#This Row],[Full Bed Equivalent]]</f>
        <v>3120</v>
      </c>
      <c r="N32">
        <v>0.5</v>
      </c>
      <c r="O32">
        <f>MAX(BedPlan[[#This Row],['# Of Beds]],0.5)</f>
        <v>0.5</v>
      </c>
      <c r="P32" s="31">
        <f>IF(ISNUMBER(BedPlan[[#This Row],[Planned Greenhouse Start Date]]),BedPlan[[#This Row],[Planned Greenhouse Start Date]],BedPlan[[#This Row],[Planned TP or DS Date]])</f>
        <v>45785</v>
      </c>
      <c r="Q32" s="259" t="str">
        <f>IF(BedPlan[[#This Row],[Days in Cells]]=0,"",IFERROR(_xlfn.XLOOKUP(BedPlan[[#This Row],[Follows Crop]],BedPlan[Identifier],BedPlan[Expected End of Harvest]) + 1+BedPlan[[#This Row],[Follow Offset]],BedPlan[[#This Row],[Fixed Field Start Date]])-BedPlan[[#This Row],[Days in Cells]])</f>
        <v/>
      </c>
      <c r="R32" s="259"/>
      <c r="S32" s="259" t="str">
        <f>IF(ISNUMBER(BedPlan[[#This Row],[Actual Greenhouse Date]]),BedPlan[[#This Row],[Actual Greenhouse Date]],BedPlan[[#This Row],[Planned Greenhouse Start Date]])</f>
        <v/>
      </c>
      <c r="T32" s="259">
        <f>_xlfn.XLOOKUP(BedPlan[[#This Row],[Crop]],Crops[Identifier],Crops[Target Field Date])+42</f>
        <v>45785</v>
      </c>
      <c r="U32" s="260"/>
      <c r="V32" s="260"/>
      <c r="W3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45785</v>
      </c>
      <c r="X32" s="259">
        <v>45777</v>
      </c>
      <c r="Y32" s="271">
        <f>BedPlan[[#This Row],[Actual TP or DS Date]]-BedPlan[[#This Row],[Planned TP or DS Date]]</f>
        <v>-8</v>
      </c>
      <c r="Z32" s="259">
        <f>IF(ISNUMBER(BedPlan[[#This Row],[Actual TP or DS Date]]),BedPlan[[#This Row],[Actual TP or DS Date]],BedPlan[[#This Row],[Planned TP or DS Date]])</f>
        <v>45777</v>
      </c>
      <c r="AA32" s="259"/>
      <c r="AB32" s="259">
        <f>IF(ISNUMBER(BedPlan[[#This Row],[Greenhouse Start Date]]),BedPlan[[#This Row],[Greenhouse Start Date]]+BedPlan[[#This Row],[DTM]],BedPlan[[#This Row],[TP or DS Date]]+BedPlan[[#This Row],[DTM]])</f>
        <v>45847</v>
      </c>
      <c r="AC32" s="259"/>
      <c r="AD32" s="259">
        <f>IF(ISNUMBER(BedPlan[[#This Row],[Actual Beginning of Harvest]]),BedPlan[[#This Row],[Actual Beginning of Harvest]],BedPlan[[#This Row],[Expected Beginning of Harvest]])</f>
        <v>45847</v>
      </c>
      <c r="AE32" s="259">
        <f>BedPlan[[#This Row],[Expected Beginning of Harvest]]+BedPlan[[#This Row],[Harvest Window]]+BedPlan[[#This Row],[Additional Days of Harvest]]</f>
        <v>45868</v>
      </c>
      <c r="AF32" s="259"/>
      <c r="AG32" s="259"/>
      <c r="AH32" s="31" t="b">
        <f>IF(AND( BedPlan[[#This Row],[Expected End of Harvest]] &gt;= DATE(2025, 8, 1), BedPlan[[#This Row],[Beginning of Harvest]] &lt;= DATE(2025, 8, 31) ), TRUE, FALSE)</f>
        <v>0</v>
      </c>
      <c r="AI32" s="31"/>
      <c r="AJ32" s="31">
        <f>IF(ISNUMBER(BedPlan[[#This Row],[Actual End of Harvest]]),BedPlan[[#This Row],[Actual End of Harvest]],BedPlan[[#This Row],[Expected End of Harvest]])</f>
        <v>45868</v>
      </c>
      <c r="AK32" t="b">
        <f>OR(ISNUMBER(BedPlan[[#This Row],[Actual Greenhouse Date]]),ISNUMBER(BedPlan[[#This Row],[Actual TP or DS Date]]))</f>
        <v>1</v>
      </c>
      <c r="AL32" s="52" t="str">
        <f>IF(ISNUMBER(BedPlan[[#This Row],[Planned Greenhouse Start Date]]),OR(ISNUMBER(BedPlan[[#This Row],[Actual TP or DS Date]]),BedPlan[[#This Row],[Failed]]),"-")</f>
        <v>-</v>
      </c>
      <c r="AM32" t="b">
        <f>OR(ISNUMBER(BedPlan[[#This Row],[Actual End of Harvest]]),BedPlan[[#This Row],[Failed]])</f>
        <v>0</v>
      </c>
      <c r="AN32" t="b">
        <f>OR(BedPlan[[#This Row],[Harvest Done]],BedPlan[[#This Row],[Failed]],BedPlan[[#This Row],[Name]]="Tarp")</f>
        <v>0</v>
      </c>
      <c r="AS32" s="26" t="str">
        <f>IF(BedPlan[[#This Row],[Broadfork]],BedPlan[[#This Row],[Actual TP or DS Date]],"")</f>
        <v/>
      </c>
      <c r="AT32" s="26" t="str">
        <f>IF(BedPlan[[#This Row],[Tilther]],BedPlan[[#This Row],[Actual TP or DS Date]],"")</f>
        <v/>
      </c>
      <c r="AU32" s="26" t="str">
        <f>IF(NOT(ISBLANK(BedPlan[[#This Row],[Amend]])),BedPlan[[#This Row],[Actual TP or DS Date]],"")</f>
        <v/>
      </c>
      <c r="AV32" s="26" t="str">
        <f>IF(BedPlan[[#This Row],[Row Cover]],BedPlan[[#This Row],[Actual TP or DS Date]],"")</f>
        <v/>
      </c>
      <c r="AX32" s="26"/>
      <c r="AZ32" s="26"/>
      <c r="BB32" s="26"/>
      <c r="BC32" s="231" cm="1">
        <f t="array" ref="BC32">INDEX(Crops[],BedPlan[[#This Row],[Chart Index]],BC$4,1)*BedPlan[[#This Row],[Full Bed Equivalent]]</f>
        <v>278.57142857142856</v>
      </c>
      <c r="BD32" s="231" cm="1">
        <f t="array" ref="BD32">INDEX(Crops[],BedPlan[[#This Row],[Chart Index]],BD$4,1)*BedPlan[[#This Row],[Full Bed Equivalent]]</f>
        <v>3.0612244897959182</v>
      </c>
      <c r="BE32" cm="1">
        <f t="array" ref="BE32">INDEX(Crops[],BedPlan[[#This Row],[Chart Index]],BE$4,1)+BedPlan[[#This Row],[Additional Days in Cells]]+BedPlan[[#This Row],[Additional Days In Field]]</f>
        <v>70</v>
      </c>
      <c r="BG32" cm="1">
        <f t="array" ref="BG32">INDEX(Crops[],BedPlan[[#This Row],[Chart Index]],BG$4,1)</f>
        <v>21</v>
      </c>
      <c r="BH32" t="str">
        <f>IF(ISNUMBER(BedPlan[[#This Row],[Planned Greenhouse Start Date]]),"TP","DS")</f>
        <v>DS</v>
      </c>
      <c r="BI32">
        <f>BedPlan[[#This Row],['# Of Beds]]</f>
        <v>0.5</v>
      </c>
      <c r="BJ32" cm="1">
        <f t="array" ref="BJ32">INDEX(Crops[],BedPlan[[#This Row],[Chart Index]],BJ$4,1)</f>
        <v>0</v>
      </c>
      <c r="BK32" cm="1">
        <f t="array" ref="BK32">INDEX(Crops[],BedPlan[[#This Row],[Chart Index]],BK$4,1)</f>
        <v>4</v>
      </c>
      <c r="BL32" cm="1">
        <f t="array" ref="BL32">INDEX(Crops[],BedPlan[[#This Row],[Chart Index]],BL$4,1)</f>
        <v>0.5</v>
      </c>
      <c r="BM32" cm="1">
        <f t="array" ref="BM32">INDEX(Crops[],BedPlan[[#This Row],[Chart Index]],BM$4,1)</f>
        <v>1</v>
      </c>
      <c r="BN32" s="32" cm="1">
        <f t="array" ref="BN32">INDEX(Crops[],BedPlan[[#This Row],[Chart Index]],BN$4,1)*BedPlan[[#This Row],[Full Bed Equivalent]]</f>
        <v>2400</v>
      </c>
      <c r="BO32" t="str" cm="1">
        <f t="array" ref="BO32">IF(INDEX(Crops[],BedPlan[[#This Row],[Chart Index]],BO$4,1)=0,"",INDEX(Crops[],BedPlan[[#This Row],[Chart Index]],BO$4,1))</f>
        <v>OH</v>
      </c>
      <c r="BP32">
        <f>MATCH(BedPlan[[#This Row],[Crop]],Crops[Identifier],FALSE)</f>
        <v>61</v>
      </c>
      <c r="BQ32" t="str" cm="1">
        <f t="array" ref="BQ32">INDEX(Crops[],BedPlan[[#This Row],[Chart Index]],BQ$4,1)</f>
        <v>Early</v>
      </c>
      <c r="BR32" t="str" cm="1">
        <f t="array" ref="BR32">INDEX(Crops[],BedPlan[[#This Row],[Chart Index]],BR$4,1)</f>
        <v>Sp</v>
      </c>
      <c r="BS32" s="32">
        <f>BedPlan[[#This Row],[Expected Beginning of Harvest]]-DATE(2023,1,1)</f>
        <v>920</v>
      </c>
      <c r="BT32">
        <f>BedPlan[[#This Row],[Expected End of Harvest]]-BedPlan[[#This Row],[Expected Beginning of Harvest]]</f>
        <v>21</v>
      </c>
      <c r="BU32" t="str" cm="1">
        <f t="array" ref="BU32">INDEX(Crops[],BedPlan[[#This Row],[Chart Index]],BU$4,1)</f>
        <v>Root</v>
      </c>
      <c r="BV32" cm="1">
        <f t="array" ref="BV32">INDEX(Crops[],BedPlan[[#This Row],[Chart Index]],BV$4,1)</f>
        <v>1</v>
      </c>
      <c r="BW32" t="str" cm="1">
        <f t="array" ref="BW32">INDEX(Crops[],BedPlan[[#This Row],[Chart Index]],BW$4,1)</f>
        <v>AMAP</v>
      </c>
      <c r="BX32" cm="1">
        <f t="array" ref="BX32">INDEX(Crops[],BedPlan[[#This Row],[Chart Index]],BX$4,1)</f>
        <v>0</v>
      </c>
      <c r="BY32" cm="1">
        <f t="array" ref="BY32">INDEX(Crops[],BedPlan[[#This Row],[Chart Index]],BY$4,1)</f>
        <v>0</v>
      </c>
      <c r="BZ32" s="49" t="str" cm="1">
        <f t="array" ref="BZ32">IFERROR(INDEX(Crops[],BedPlan[[#This Row],[Chart Index]],BZ$4,1)*BedPlan[[#This Row],[Full Bed Equivalent]],"")</f>
        <v/>
      </c>
      <c r="CA32" cm="1">
        <f t="array" ref="CA32">INDEX(Crops[],BedPlan[[#This Row],[Chart Index]],CA$4,1)</f>
        <v>0</v>
      </c>
      <c r="CB32" cm="1">
        <f t="array" ref="CB32">INDEX(Crops[],BedPlan[[#This Row],[Chart Index]],CB$4,1)</f>
        <v>0</v>
      </c>
      <c r="CC32" s="49" t="str" cm="1">
        <f t="array" ref="CC32">IFERROR(INDEX(Crops[],BedPlan[[#This Row],[Chart Index]],CC$4,1)*BedPlan[[#This Row],[Full Bed Equivalent]],"")</f>
        <v/>
      </c>
      <c r="CD32" cm="1">
        <f t="array" ref="CD32">INDEX(Crops[],BedPlan[[#This Row],[Chart Index]],CD$4,1)</f>
        <v>0</v>
      </c>
      <c r="CE32" cm="1">
        <f t="array" ref="CE32">IF(INDEX(Crops[],BedPlan[[#This Row],[Chart Index]],CE$4,1)="",0,INDEX(Crops[],BedPlan[[#This Row],[Chart Index]],CE$4,1))</f>
        <v>0</v>
      </c>
      <c r="CF32" s="49" t="str" cm="1">
        <f t="array" ref="CF32">IFERROR(INDEX(Crops[],BedPlan[[#This Row],[Chart Index]],CF$4,1)*BedPlan[[#This Row],[Full Bed Equivalent]],"")</f>
        <v/>
      </c>
      <c r="CG32" cm="1">
        <f t="array" ref="CG32">IF(INDEX(Crops[],BedPlan[[#This Row],[Chart Index]],CG$4,1)="",0,INDEX(Crops[],BedPlan[[#This Row],[Chart Index]],CG$4,1))</f>
        <v>1.3</v>
      </c>
      <c r="CH32" cm="1">
        <f t="array" ref="CH32">IF(INDEX(Crops[],BedPlan[[#This Row],[Chart Index]],CH$4,1)="",0,INDEX(Crops[],BedPlan[[#This Row],[Chart Index]],CH$4,1))</f>
        <v>0</v>
      </c>
      <c r="CI32" t="str" cm="1">
        <f t="array" ref="CI32">INDEX(Crops[],BedPlan[[#This Row],[Chart Index]],CI$4,1)</f>
        <v>Field</v>
      </c>
      <c r="CJ32" s="30" t="str">
        <f>_xlfn.TEXTJOIN(CHAR(10),FALSE,BedPlan[[#This Row],[Name]],BedPlan[[#This Row],[Variety]],BedPlan[[#This Row],[Company]])</f>
        <v xml:space="preserve">Carrot
Early Carrot Mix
</v>
      </c>
      <c r="CK32" s="32">
        <f>MAX( 0, MIN(BedPlan[[#This Row],[Expected End of Harvest]], EOMONTH(CK$4, 0)) - MAX(BedPlan[[#This Row],[Beginning of Harvest]], CK$4) + 1 )</f>
        <v>0</v>
      </c>
      <c r="CL32">
        <f>MAX( 0, MIN(BedPlan[[#This Row],[Expected End of Harvest]], EOMONTH(CL$4, 0)) - MAX(BedPlan[[#This Row],[Beginning of Harvest]], CL$4) + 1 )</f>
        <v>0</v>
      </c>
      <c r="CM32">
        <f>MAX( 0, MIN(BedPlan[[#This Row],[Expected End of Harvest]], EOMONTH(CM$4, 0)) - MAX(BedPlan[[#This Row],[Beginning of Harvest]], CM$4) + 1 )</f>
        <v>0</v>
      </c>
      <c r="CN32">
        <f>MAX( 0, MIN(BedPlan[[#This Row],[Expected End of Harvest]], EOMONTH(CN$4, 0)) - MAX(BedPlan[[#This Row],[Beginning of Harvest]], CN$4) + 1 )</f>
        <v>0</v>
      </c>
      <c r="CO32">
        <f>MAX( 0, MIN(BedPlan[[#This Row],[Expected End of Harvest]], EOMONTH(CO$4, 0)) - MAX(BedPlan[[#This Row],[Beginning of Harvest]], CO$4) + 1 )</f>
        <v>0</v>
      </c>
      <c r="CP32">
        <f>MAX( 0, MIN(BedPlan[[#This Row],[Expected End of Harvest]], EOMONTH(CP$4, 0)) - MAX(BedPlan[[#This Row],[Beginning of Harvest]], CP$4) + 1 )</f>
        <v>0</v>
      </c>
      <c r="CQ32">
        <f>MAX( 0, MIN(BedPlan[[#This Row],[Expected End of Harvest]], EOMONTH(CQ$4, 0)) - MAX(BedPlan[[#This Row],[Beginning of Harvest]], CQ$4) + 1 )</f>
        <v>22</v>
      </c>
      <c r="CR32">
        <f>MAX( 0, MIN(BedPlan[[#This Row],[Expected End of Harvest]], EOMONTH(CR$4, 0)) - MAX(BedPlan[[#This Row],[Beginning of Harvest]], CR$4) + 1 )</f>
        <v>0</v>
      </c>
      <c r="CS32">
        <f>MAX( 0, MIN(BedPlan[[#This Row],[Expected End of Harvest]], EOMONTH(CS$4, 0)) - MAX(BedPlan[[#This Row],[Beginning of Harvest]], CS$4) + 1 )</f>
        <v>0</v>
      </c>
      <c r="CT32">
        <f>MAX( 0, MIN(BedPlan[[#This Row],[Expected End of Harvest]], EOMONTH(CT$4, 0)) - MAX(BedPlan[[#This Row],[Beginning of Harvest]], CT$4) + 1 )</f>
        <v>0</v>
      </c>
      <c r="CU32">
        <f>MAX( 0, MIN(BedPlan[[#This Row],[Expected End of Harvest]], EOMONTH(CU$4, 0)) - MAX(BedPlan[[#This Row],[Beginning of Harvest]], CU$4) + 1 )</f>
        <v>0</v>
      </c>
      <c r="CV32">
        <f>MAX( 0, MIN(BedPlan[[#This Row],[Expected End of Harvest]], EOMONTH(CV$4, 0)) - MAX(BedPlan[[#This Row],[Beginning of Harvest]], CV$4) + 1 )</f>
        <v>0</v>
      </c>
      <c r="CW32">
        <f>MAX( 0, MIN(BedPlan[[#This Row],[Expected End of Harvest]], EOMONTH(CW$4, 0)) - MAX(BedPlan[[#This Row],[Beginning of Harvest]], CW$4) + 1 )</f>
        <v>0</v>
      </c>
      <c r="CX32">
        <f>MAX( 0, MIN(BedPlan[[#This Row],[Expected End of Harvest]], EOMONTH(CX$4, 0)) - MAX(BedPlan[[#This Row],[Beginning of Harvest]], CX$4) + 1 )</f>
        <v>0</v>
      </c>
      <c r="CY32">
        <f>MAX( 0, MIN(BedPlan[[#This Row],[Expected End of Harvest]], EOMONTH(CY$4, 0)) - MAX(BedPlan[[#This Row],[Beginning of Harvest]], CY$4) + 1 )</f>
        <v>0</v>
      </c>
      <c r="CZ32">
        <f>MAX( 0, MIN(BedPlan[[#This Row],[Expected End of Harvest]], EOMONTH(CZ$4, 0)) - MAX(BedPlan[[#This Row],[Beginning of Harvest]], CZ$4) + 1 )</f>
        <v>0</v>
      </c>
      <c r="DA32">
        <f>MAX( 0, MIN(BedPlan[[#This Row],[Expected End of Harvest]], EOMONTH(DA$4, 0)) - MAX(BedPlan[[#This Row],[Beginning of Harvest]], DA$4) + 1 )</f>
        <v>0</v>
      </c>
      <c r="DB32">
        <f>MAX( 0, MIN(BedPlan[[#This Row],[Expected End of Harvest]], EOMONTH(DB$4, 0)) - MAX(BedPlan[[#This Row],[Beginning of Harvest]], DB$4) + 1 )</f>
        <v>0</v>
      </c>
      <c r="DC32">
        <f>MAX( 0, MIN(BedPlan[[#This Row],[Expected End of Harvest]], EOMONTH(DC$4, 0)) - MAX(BedPlan[[#This Row],[Beginning of Harvest]], DC$4) + 1 )</f>
        <v>0</v>
      </c>
      <c r="DD32">
        <f>MAX( 0, MIN(BedPlan[[#This Row],[Expected End of Harvest]], EOMONTH(DD$4, 0)) - MAX(BedPlan[[#This Row],[Beginning of Harvest]], DD$4) + 1 )</f>
        <v>0</v>
      </c>
      <c r="DE32">
        <f>MAX( 0, MIN(BedPlan[[#This Row],[Expected End of Harvest]], EOMONTH(DE$4, 0)) - MAX(BedPlan[[#This Row],[Beginning of Harvest]], DE$4) + 1 )</f>
        <v>0</v>
      </c>
      <c r="DF32">
        <f>MAX( 0, MIN(BedPlan[[#This Row],[Expected End of Harvest]], EOMONTH(DF$4, 0)) - MAX(BedPlan[[#This Row],[Beginning of Harvest]], DF$4) + 1 )</f>
        <v>0</v>
      </c>
      <c r="DG32">
        <f>MAX( 0, MIN(BedPlan[[#This Row],[Expected End of Harvest]], EOMONTH(DG$4, 0)) - MAX(BedPlan[[#This Row],[Beginning of Harvest]], DG$4) + 1 )</f>
        <v>0</v>
      </c>
      <c r="DH32">
        <f>MAX( 0, MIN(BedPlan[[#This Row],[Expected End of Harvest]], EOMONTH(DH$4, 0)) - MAX(BedPlan[[#This Row],[Beginning of Harvest]], DH$4) + 1 )</f>
        <v>0</v>
      </c>
      <c r="DI32" s="257" cm="1">
        <f t="array" ref="DI32">BedPlan[[#This Row],[Harvest Days January 2025]]/SUM(BedPlan[[#This Row],[Harvest Days January 2025]:[Harvest Days December 2026]])*BedPlan[[#This Row],[Revenue]:[Revenue]]</f>
        <v>0</v>
      </c>
      <c r="DJ32" s="257" cm="1">
        <f t="array" ref="DJ32">BedPlan[[#This Row],[Harvest Days February 2025]]/SUM(BedPlan[[#This Row],[Harvest Days January 2025]:[Harvest Days December 2026]])*BedPlan[[#This Row],[Revenue]:[Revenue]]</f>
        <v>0</v>
      </c>
      <c r="DK32" s="257" cm="1">
        <f t="array" ref="DK32">BedPlan[[#This Row],[Harvest Days March 2025]]/SUM(BedPlan[[#This Row],[Harvest Days January 2025]:[Harvest Days December 2026]])*BedPlan[[#This Row],[Revenue]:[Revenue]]</f>
        <v>0</v>
      </c>
      <c r="DL32" s="257" cm="1">
        <f t="array" ref="DL32">BedPlan[[#This Row],[Harvest Days April 2025]]/SUM(BedPlan[[#This Row],[Harvest Days January 2025]:[Harvest Days December 2026]])*BedPlan[[#This Row],[Revenue]:[Revenue]]</f>
        <v>0</v>
      </c>
      <c r="DM32" s="257" cm="1">
        <f t="array" ref="DM32">BedPlan[[#This Row],[Harvest Days May 2025]]/SUM(BedPlan[[#This Row],[Harvest Days January 2025]:[Harvest Days December 2026]])*BedPlan[[#This Row],[Revenue]:[Revenue]]</f>
        <v>0</v>
      </c>
      <c r="DN32" s="257" cm="1">
        <f t="array" ref="DN32">BedPlan[[#This Row],[Harvest Days June 2025]]/SUM(BedPlan[[#This Row],[Harvest Days January 2025]:[Harvest Days December 2026]])*BedPlan[[#This Row],[Revenue]:[Revenue]]</f>
        <v>0</v>
      </c>
      <c r="DO32" s="257" cm="1">
        <f t="array" ref="DO32">BedPlan[[#This Row],[Harvest Days July 2025]]/SUM(BedPlan[[#This Row],[Harvest Days January 2025]:[Harvest Days December 2026]])*BedPlan[[#This Row],[Revenue]:[Revenue]]</f>
        <v>278.57142857142856</v>
      </c>
      <c r="DP32" s="257" cm="1">
        <f t="array" ref="DP32">BedPlan[[#This Row],[Harvest Days August 2025]]/SUM(BedPlan[[#This Row],[Harvest Days January 2025]:[Harvest Days December 2026]])*BedPlan[[#This Row],[Revenue]:[Revenue]]</f>
        <v>0</v>
      </c>
      <c r="DQ32" s="257" cm="1">
        <f t="array" ref="DQ32">BedPlan[[#This Row],[Harvest Days September 2025]]/SUM(BedPlan[[#This Row],[Harvest Days January 2025]:[Harvest Days December 2026]])*BedPlan[[#This Row],[Revenue]:[Revenue]]</f>
        <v>0</v>
      </c>
      <c r="DR32" s="257" cm="1">
        <f t="array" ref="DR32">BedPlan[[#This Row],[Harvest Days October 2025]]/SUM(BedPlan[[#This Row],[Harvest Days January 2025]:[Harvest Days December 2026]])*BedPlan[[#This Row],[Revenue]:[Revenue]]</f>
        <v>0</v>
      </c>
      <c r="DS32" s="257" cm="1">
        <f t="array" ref="DS32">BedPlan[[#This Row],[Harvest Days November 2025]]/SUM(BedPlan[[#This Row],[Harvest Days January 2025]:[Harvest Days December 2026]])*BedPlan[[#This Row],[Revenue]:[Revenue]]</f>
        <v>0</v>
      </c>
      <c r="DT32" s="257" cm="1">
        <f t="array" ref="DT32">BedPlan[[#This Row],[Harvest Days December 2025]]/SUM(BedPlan[[#This Row],[Harvest Days January 2025]:[Harvest Days December 2026]])*BedPlan[[#This Row],[Revenue]:[Revenue]]</f>
        <v>0</v>
      </c>
      <c r="DU32" s="257" cm="1">
        <f t="array" ref="DU32">BedPlan[[#This Row],[Harvest Days January 2026]]/SUM(BedPlan[[#This Row],[Harvest Days January 2025]:[Harvest Days December 2026]])*BedPlan[[#This Row],[Revenue]:[Revenue]]</f>
        <v>0</v>
      </c>
      <c r="DV32" s="257" cm="1">
        <f t="array" ref="DV32">BedPlan[[#This Row],[Harvest Days February 2026]]/SUM(BedPlan[[#This Row],[Harvest Days January 2025]:[Harvest Days December 2026]])*BedPlan[[#This Row],[Revenue]:[Revenue]]</f>
        <v>0</v>
      </c>
      <c r="DW32" s="257" cm="1">
        <f t="array" ref="DW32">BedPlan[[#This Row],[Harvest Days March 2026]]/SUM(BedPlan[[#This Row],[Harvest Days January 2025]:[Harvest Days December 2026]])*BedPlan[[#This Row],[Revenue]:[Revenue]]</f>
        <v>0</v>
      </c>
      <c r="DX32" s="257" cm="1">
        <f t="array" ref="DX32">BedPlan[[#This Row],[Harvest Days April 2026]]/SUM(BedPlan[[#This Row],[Harvest Days January 2025]:[Harvest Days December 2026]])*BedPlan[[#This Row],[Revenue]:[Revenue]]</f>
        <v>0</v>
      </c>
      <c r="DY32" s="257" cm="1">
        <f t="array" ref="DY32">BedPlan[[#This Row],[Harvest Days May 2026]]/SUM(BedPlan[[#This Row],[Harvest Days January 2025]:[Harvest Days December 2026]])*BedPlan[[#This Row],[Revenue]:[Revenue]]</f>
        <v>0</v>
      </c>
      <c r="DZ32" s="257" cm="1">
        <f t="array" ref="DZ32">BedPlan[[#This Row],[Harvest Days June 2026]]/SUM(BedPlan[[#This Row],[Harvest Days January 2025]:[Harvest Days December 2026]])*BedPlan[[#This Row],[Revenue]:[Revenue]]</f>
        <v>0</v>
      </c>
      <c r="EA32" s="257" cm="1">
        <f t="array" ref="EA32">BedPlan[[#This Row],[Harvest Days July 2026]]/SUM(BedPlan[[#This Row],[Harvest Days January 2025]:[Harvest Days December 2026]])*BedPlan[[#This Row],[Revenue]:[Revenue]]</f>
        <v>0</v>
      </c>
      <c r="EB32" s="257" cm="1">
        <f t="array" ref="EB32">BedPlan[[#This Row],[Harvest Days August 2026]]/SUM(BedPlan[[#This Row],[Harvest Days January 2025]:[Harvest Days December 2026]])*BedPlan[[#This Row],[Revenue]:[Revenue]]</f>
        <v>0</v>
      </c>
      <c r="EC32" s="257" cm="1">
        <f t="array" ref="EC32">BedPlan[[#This Row],[Harvest Days September 2026]]/SUM(BedPlan[[#This Row],[Harvest Days January 2025]:[Harvest Days December 2026]])*BedPlan[[#This Row],[Revenue]:[Revenue]]</f>
        <v>0</v>
      </c>
      <c r="ED32" s="257" cm="1">
        <f t="array" ref="ED32">BedPlan[[#This Row],[Harvest Days October 2026]]/SUM(BedPlan[[#This Row],[Harvest Days January 2025]:[Harvest Days December 2026]])*BedPlan[[#This Row],[Revenue]:[Revenue]]</f>
        <v>0</v>
      </c>
      <c r="EE32" s="257" cm="1">
        <f t="array" ref="EE32">BedPlan[[#This Row],[Harvest Days November 2026]]/SUM(BedPlan[[#This Row],[Harvest Days January 2025]:[Harvest Days December 2026]])*BedPlan[[#This Row],[Revenue]:[Revenue]]</f>
        <v>0</v>
      </c>
      <c r="EF32" s="257" cm="1">
        <f t="array" ref="EF32">BedPlan[[#This Row],[Harvest Days December 2026]]/SUM(BedPlan[[#This Row],[Harvest Days January 2025]:[Harvest Days December 2026]])*BedPlan[[#This Row],[Revenue]:[Revenue]]</f>
        <v>0</v>
      </c>
      <c r="EG32" t="b">
        <f>SUM(BedPlan[[#This Row],[Revenue January 2025]:[Revenue December 2026]])=BedPlan[[#This Row],[Revenue]]</f>
        <v>1</v>
      </c>
      <c r="EH32" s="30" cm="1">
        <f t="array" ref="EH32">INDEX(Crops[],BedPlan[[#This Row],[Chart Index]],EH$4,1)*BedPlan[[#This Row],['# Of Beds]]</f>
        <v>85.714285714285708</v>
      </c>
      <c r="EI32" s="30" t="str" cm="1">
        <f t="array" ref="EI32">INDEX(Crops[],BedPlan[[#This Row],[Chart Index]],EI$4,1)</f>
        <v>Bunch</v>
      </c>
      <c r="EJ32" s="30" t="str" cm="1">
        <f t="array" ref="EJ32">INDEX(Crops[],BedPlan[[#This Row],[Chart Index]],EJ$4,1)</f>
        <v>Mature Root</v>
      </c>
      <c r="EK32" s="30" t="str">
        <f>BedPlan[[#This Row],[Name]]&amp;" "&amp;BedPlan[[#This Row],[Product]]&amp; " - " &amp;BedPlan[[#This Row],[Unit]]</f>
        <v>Carrot Mature Root - Bunch</v>
      </c>
      <c r="EL32" s="33" cm="1">
        <f t="array" ref="EL32">BedPlan[[#This Row],[Harvest Days January 2025]]/SUM(BedPlan[[#This Row],[Harvest Days January 2025]:[Harvest Days December 2026]])*BedPlan[[#This Row],[Yield]:[Yield]]</f>
        <v>0</v>
      </c>
      <c r="EM32" s="33" cm="1">
        <f t="array" ref="EM32">BedPlan[[#This Row],[Harvest Days February 2025]]/SUM(BedPlan[[#This Row],[Harvest Days January 2025]:[Harvest Days December 2026]])*BedPlan[[#This Row],[Yield]:[Yield]]</f>
        <v>0</v>
      </c>
      <c r="EN32" s="33" cm="1">
        <f t="array" ref="EN32">BedPlan[[#This Row],[Harvest Days March 2025]]/SUM(BedPlan[[#This Row],[Harvest Days January 2025]:[Harvest Days December 2026]])*BedPlan[[#This Row],[Yield]:[Yield]]</f>
        <v>0</v>
      </c>
      <c r="EO32" s="33" cm="1">
        <f t="array" ref="EO32">BedPlan[[#This Row],[Harvest Days April 2025]]/SUM(BedPlan[[#This Row],[Harvest Days January 2025]:[Harvest Days December 2026]])*BedPlan[[#This Row],[Yield]:[Yield]]</f>
        <v>0</v>
      </c>
      <c r="EP32" s="33" cm="1">
        <f t="array" ref="EP32">BedPlan[[#This Row],[Harvest Days May 2025]]/SUM(BedPlan[[#This Row],[Harvest Days January 2025]:[Harvest Days December 2026]])*BedPlan[[#This Row],[Yield]:[Yield]]</f>
        <v>0</v>
      </c>
      <c r="EQ32" s="33" cm="1">
        <f t="array" ref="EQ32">BedPlan[[#This Row],[Harvest Days June 2025]]/SUM(BedPlan[[#This Row],[Harvest Days January 2025]:[Harvest Days December 2026]])*BedPlan[[#This Row],[Yield]:[Yield]]</f>
        <v>0</v>
      </c>
      <c r="ER32" s="33" cm="1">
        <f t="array" ref="ER32">BedPlan[[#This Row],[Harvest Days July 2025]]/SUM(BedPlan[[#This Row],[Harvest Days January 2025]:[Harvest Days December 2026]])*BedPlan[[#This Row],[Yield]:[Yield]]</f>
        <v>85.714285714285708</v>
      </c>
      <c r="ES32" s="33" cm="1">
        <f t="array" ref="ES32">BedPlan[[#This Row],[Harvest Days August 2025]]/SUM(BedPlan[[#This Row],[Harvest Days January 2025]:[Harvest Days December 2026]])*BedPlan[[#This Row],[Yield]:[Yield]]</f>
        <v>0</v>
      </c>
      <c r="ET32" s="33" cm="1">
        <f t="array" ref="ET32">BedPlan[[#This Row],[Harvest Days September 2025]]/SUM(BedPlan[[#This Row],[Harvest Days January 2025]:[Harvest Days December 2026]])*BedPlan[[#This Row],[Yield]:[Yield]]</f>
        <v>0</v>
      </c>
      <c r="EU32" s="33" cm="1">
        <f t="array" ref="EU32">BedPlan[[#This Row],[Harvest Days October 2025]]/SUM(BedPlan[[#This Row],[Harvest Days January 2025]:[Harvest Days December 2026]])*BedPlan[[#This Row],[Yield]:[Yield]]</f>
        <v>0</v>
      </c>
      <c r="EV32" s="33" cm="1">
        <f t="array" ref="EV32">BedPlan[[#This Row],[Harvest Days November 2025]]/SUM(BedPlan[[#This Row],[Harvest Days January 2025]:[Harvest Days December 2026]])*BedPlan[[#This Row],[Yield]:[Yield]]</f>
        <v>0</v>
      </c>
      <c r="EW32" s="33" cm="1">
        <f t="array" ref="EW32">BedPlan[[#This Row],[Harvest Days December 2025]]/SUM(BedPlan[[#This Row],[Harvest Days January 2025]:[Harvest Days December 2026]])*BedPlan[[#This Row],[Yield]:[Yield]]</f>
        <v>0</v>
      </c>
    </row>
    <row r="33" spans="1:153" ht="15.75" customHeight="1">
      <c r="A33" s="180" t="s">
        <v>1714</v>
      </c>
      <c r="B33" s="240" t="s">
        <v>2761</v>
      </c>
      <c r="C33" t="s">
        <v>1451</v>
      </c>
      <c r="D33" s="226" cm="1">
        <f t="array" ref="D33">INDEX(Crops[],BedPlan[[#This Row],[Chart Index]],D$4,1)*BedPlan[[#This Row],[Full Bed Equivalent]]</f>
        <v>21.428571428571427</v>
      </c>
      <c r="E33" s="226" cm="1">
        <f t="array" ref="E33">INDEX(Crops[],BedPlan[[#This Row],[Chart Index]],E$4,1)*BedPlan[[#This Row],[Full Bed Equivalent]]</f>
        <v>85.714285714285708</v>
      </c>
      <c r="F33" t="str">
        <f>UPPER(LEFT(BedPlan[[#This Row],[Crop]],3))</f>
        <v>CAR</v>
      </c>
      <c r="H33" s="143" t="str" cm="1">
        <f t="array" ref="H33">INDEX(Crops[],BedPlan[[#This Row],[Chart Index]],H$4,1)</f>
        <v>Carrot</v>
      </c>
      <c r="I33" t="s">
        <v>1808</v>
      </c>
      <c r="K33" t="str" cm="1">
        <f t="array" ref="K33">IF(ISNUMBER(MATCH(BedPlan[[#This Row],[Variety]],SeedMixes[Name],)),_xlfn.TEXTJOIN(", ",TRUE,_xlfn._xlws.FILTER(SeedMixes[Variety &amp; Company],SeedMixes[Name]=BedPlan[[#This Row],[Variety]])),"")</f>
        <v>Yellowstone Johnny's, Cosmic Purple High Mowing, Napoli F1 Osborne, Mokum Johnny's</v>
      </c>
      <c r="L33" s="33" cm="1">
        <f t="array" ref="L33">INDEX(Crops[],BedPlan[[#This Row],[Chart Index]],L$4,1)*BedPlan[[#This Row],[Full Bed Equivalent]]</f>
        <v>3120</v>
      </c>
      <c r="N33">
        <v>0.5</v>
      </c>
      <c r="O33">
        <f>MAX(BedPlan[[#This Row],['# Of Beds]],0.5)</f>
        <v>0.5</v>
      </c>
      <c r="P33" s="31">
        <f>IF(ISNUMBER(BedPlan[[#This Row],[Planned Greenhouse Start Date]]),BedPlan[[#This Row],[Planned Greenhouse Start Date]],BedPlan[[#This Row],[Planned TP or DS Date]])</f>
        <v>45806</v>
      </c>
      <c r="Q33" s="259" t="str">
        <f>IF(BedPlan[[#This Row],[Days in Cells]]=0,"",IFERROR(_xlfn.XLOOKUP(BedPlan[[#This Row],[Follows Crop]],BedPlan[Identifier],BedPlan[Expected End of Harvest]) + 1+BedPlan[[#This Row],[Follow Offset]],BedPlan[[#This Row],[Fixed Field Start Date]])-BedPlan[[#This Row],[Days in Cells]])</f>
        <v/>
      </c>
      <c r="R33" s="259"/>
      <c r="S33" s="259" t="str">
        <f>IF(ISNUMBER(BedPlan[[#This Row],[Actual Greenhouse Date]]),BedPlan[[#This Row],[Actual Greenhouse Date]],BedPlan[[#This Row],[Planned Greenhouse Start Date]])</f>
        <v/>
      </c>
      <c r="T33" s="259">
        <f>_xlfn.XLOOKUP(BedPlan[[#This Row],[Crop]],Crops[Identifier],Crops[Target Field Date])+63</f>
        <v>45806</v>
      </c>
      <c r="U33" s="260"/>
      <c r="V33" s="260"/>
      <c r="W3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45806</v>
      </c>
      <c r="X33" s="259">
        <v>45837</v>
      </c>
      <c r="Y33" s="271">
        <f>BedPlan[[#This Row],[Actual TP or DS Date]]-BedPlan[[#This Row],[Planned TP or DS Date]]</f>
        <v>31</v>
      </c>
      <c r="Z33" s="259">
        <f>IF(ISNUMBER(BedPlan[[#This Row],[Actual TP or DS Date]]),BedPlan[[#This Row],[Actual TP or DS Date]],BedPlan[[#This Row],[Planned TP or DS Date]])</f>
        <v>45837</v>
      </c>
      <c r="AA33" s="259"/>
      <c r="AB33" s="259">
        <f>IF(ISNUMBER(BedPlan[[#This Row],[Greenhouse Start Date]]),BedPlan[[#This Row],[Greenhouse Start Date]]+BedPlan[[#This Row],[DTM]],BedPlan[[#This Row],[TP or DS Date]]+BedPlan[[#This Row],[DTM]])</f>
        <v>45907</v>
      </c>
      <c r="AC33" s="259"/>
      <c r="AD33" s="259">
        <f>IF(ISNUMBER(BedPlan[[#This Row],[Actual Beginning of Harvest]]),BedPlan[[#This Row],[Actual Beginning of Harvest]],BedPlan[[#This Row],[Expected Beginning of Harvest]])</f>
        <v>45907</v>
      </c>
      <c r="AE33" s="259">
        <f>BedPlan[[#This Row],[Expected Beginning of Harvest]]+BedPlan[[#This Row],[Harvest Window]]+BedPlan[[#This Row],[Additional Days of Harvest]]</f>
        <v>45928</v>
      </c>
      <c r="AF33" s="259"/>
      <c r="AG33" s="259"/>
      <c r="AH33" s="31" t="b">
        <f>IF(AND( BedPlan[[#This Row],[Expected End of Harvest]] &gt;= DATE(2025, 8, 1), BedPlan[[#This Row],[Beginning of Harvest]] &lt;= DATE(2025, 8, 31) ), TRUE, FALSE)</f>
        <v>0</v>
      </c>
      <c r="AI33" s="31"/>
      <c r="AJ33" s="31">
        <f>IF(ISNUMBER(BedPlan[[#This Row],[Actual End of Harvest]]),BedPlan[[#This Row],[Actual End of Harvest]],BedPlan[[#This Row],[Expected End of Harvest]])</f>
        <v>45928</v>
      </c>
      <c r="AK33" t="b">
        <f>OR(ISNUMBER(BedPlan[[#This Row],[Actual Greenhouse Date]]),ISNUMBER(BedPlan[[#This Row],[Actual TP or DS Date]]))</f>
        <v>1</v>
      </c>
      <c r="AL33" s="52" t="str">
        <f>IF(ISNUMBER(BedPlan[[#This Row],[Planned Greenhouse Start Date]]),OR(ISNUMBER(BedPlan[[#This Row],[Actual TP or DS Date]]),BedPlan[[#This Row],[Failed]]),"-")</f>
        <v>-</v>
      </c>
      <c r="AM33" t="b">
        <f>OR(ISNUMBER(BedPlan[[#This Row],[Actual End of Harvest]]),BedPlan[[#This Row],[Failed]])</f>
        <v>0</v>
      </c>
      <c r="AN33" t="b">
        <f>OR(BedPlan[[#This Row],[Harvest Done]],BedPlan[[#This Row],[Failed]],BedPlan[[#This Row],[Name]]="Tarp")</f>
        <v>0</v>
      </c>
      <c r="AO33" t="b">
        <v>1</v>
      </c>
      <c r="AP33" t="b">
        <v>1</v>
      </c>
      <c r="AQ33" t="s">
        <v>3257</v>
      </c>
      <c r="AS33" s="26">
        <f>IF(BedPlan[[#This Row],[Broadfork]],BedPlan[[#This Row],[Actual TP or DS Date]],"")</f>
        <v>45837</v>
      </c>
      <c r="AT33" s="26">
        <f>IF(BedPlan[[#This Row],[Tilther]],BedPlan[[#This Row],[Actual TP or DS Date]],"")</f>
        <v>45837</v>
      </c>
      <c r="AU33" s="26">
        <f>IF(NOT(ISBLANK(BedPlan[[#This Row],[Amend]])),BedPlan[[#This Row],[Actual TP or DS Date]],"")</f>
        <v>45837</v>
      </c>
      <c r="AV33" s="26" t="str">
        <f>IF(BedPlan[[#This Row],[Row Cover]],BedPlan[[#This Row],[Actual TP or DS Date]],"")</f>
        <v/>
      </c>
      <c r="AX33" s="26"/>
      <c r="AZ33" s="26"/>
      <c r="BB33" s="26"/>
      <c r="BC33" s="231" cm="1">
        <f t="array" ref="BC33">INDEX(Crops[],BedPlan[[#This Row],[Chart Index]],BC$4,1)*BedPlan[[#This Row],[Full Bed Equivalent]]</f>
        <v>278.57142857142856</v>
      </c>
      <c r="BD33" s="231" cm="1">
        <f t="array" ref="BD33">INDEX(Crops[],BedPlan[[#This Row],[Chart Index]],BD$4,1)*BedPlan[[#This Row],[Full Bed Equivalent]]</f>
        <v>3.0612244897959182</v>
      </c>
      <c r="BE33" cm="1">
        <f t="array" ref="BE33">INDEX(Crops[],BedPlan[[#This Row],[Chart Index]],BE$4,1)+BedPlan[[#This Row],[Additional Days in Cells]]+BedPlan[[#This Row],[Additional Days In Field]]</f>
        <v>70</v>
      </c>
      <c r="BG33" cm="1">
        <f t="array" ref="BG33">INDEX(Crops[],BedPlan[[#This Row],[Chart Index]],BG$4,1)</f>
        <v>21</v>
      </c>
      <c r="BH33" t="str">
        <f>IF(ISNUMBER(BedPlan[[#This Row],[Planned Greenhouse Start Date]]),"TP","DS")</f>
        <v>DS</v>
      </c>
      <c r="BI33">
        <f>BedPlan[[#This Row],['# Of Beds]]</f>
        <v>0.5</v>
      </c>
      <c r="BJ33" cm="1">
        <f t="array" ref="BJ33">INDEX(Crops[],BedPlan[[#This Row],[Chart Index]],BJ$4,1)</f>
        <v>0</v>
      </c>
      <c r="BK33" cm="1">
        <f t="array" ref="BK33">INDEX(Crops[],BedPlan[[#This Row],[Chart Index]],BK$4,1)</f>
        <v>4</v>
      </c>
      <c r="BL33" cm="1">
        <f t="array" ref="BL33">INDEX(Crops[],BedPlan[[#This Row],[Chart Index]],BL$4,1)</f>
        <v>0.5</v>
      </c>
      <c r="BM33" cm="1">
        <f t="array" ref="BM33">INDEX(Crops[],BedPlan[[#This Row],[Chart Index]],BM$4,1)</f>
        <v>1</v>
      </c>
      <c r="BN33" s="32" cm="1">
        <f t="array" ref="BN33">INDEX(Crops[],BedPlan[[#This Row],[Chart Index]],BN$4,1)*BedPlan[[#This Row],[Full Bed Equivalent]]</f>
        <v>2400</v>
      </c>
      <c r="BO33" t="str" cm="1">
        <f t="array" ref="BO33">IF(INDEX(Crops[],BedPlan[[#This Row],[Chart Index]],BO$4,1)=0,"",INDEX(Crops[],BedPlan[[#This Row],[Chart Index]],BO$4,1))</f>
        <v>OH</v>
      </c>
      <c r="BP33">
        <f>MATCH(BedPlan[[#This Row],[Crop]],Crops[Identifier],FALSE)</f>
        <v>61</v>
      </c>
      <c r="BQ33" t="str" cm="1">
        <f t="array" ref="BQ33">INDEX(Crops[],BedPlan[[#This Row],[Chart Index]],BQ$4,1)</f>
        <v>Early</v>
      </c>
      <c r="BR33" t="str" cm="1">
        <f t="array" ref="BR33">INDEX(Crops[],BedPlan[[#This Row],[Chart Index]],BR$4,1)</f>
        <v>Sp</v>
      </c>
      <c r="BS33" s="32">
        <f>BedPlan[[#This Row],[Expected Beginning of Harvest]]-DATE(2023,1,1)</f>
        <v>980</v>
      </c>
      <c r="BT33">
        <f>BedPlan[[#This Row],[Expected End of Harvest]]-BedPlan[[#This Row],[Expected Beginning of Harvest]]</f>
        <v>21</v>
      </c>
      <c r="BU33" t="str" cm="1">
        <f t="array" ref="BU33">INDEX(Crops[],BedPlan[[#This Row],[Chart Index]],BU$4,1)</f>
        <v>Root</v>
      </c>
      <c r="BV33" cm="1">
        <f t="array" ref="BV33">INDEX(Crops[],BedPlan[[#This Row],[Chart Index]],BV$4,1)</f>
        <v>1</v>
      </c>
      <c r="BW33" t="str" cm="1">
        <f t="array" ref="BW33">INDEX(Crops[],BedPlan[[#This Row],[Chart Index]],BW$4,1)</f>
        <v>AMAP</v>
      </c>
      <c r="BX33" cm="1">
        <f t="array" ref="BX33">INDEX(Crops[],BedPlan[[#This Row],[Chart Index]],BX$4,1)</f>
        <v>0</v>
      </c>
      <c r="BY33" cm="1">
        <f t="array" ref="BY33">INDEX(Crops[],BedPlan[[#This Row],[Chart Index]],BY$4,1)</f>
        <v>0</v>
      </c>
      <c r="BZ33" s="49" t="str" cm="1">
        <f t="array" ref="BZ33">IFERROR(INDEX(Crops[],BedPlan[[#This Row],[Chart Index]],BZ$4,1)*BedPlan[[#This Row],[Full Bed Equivalent]],"")</f>
        <v/>
      </c>
      <c r="CA33" cm="1">
        <f t="array" ref="CA33">INDEX(Crops[],BedPlan[[#This Row],[Chart Index]],CA$4,1)</f>
        <v>0</v>
      </c>
      <c r="CB33" cm="1">
        <f t="array" ref="CB33">INDEX(Crops[],BedPlan[[#This Row],[Chart Index]],CB$4,1)</f>
        <v>0</v>
      </c>
      <c r="CC33" s="49" t="str" cm="1">
        <f t="array" ref="CC33">IFERROR(INDEX(Crops[],BedPlan[[#This Row],[Chart Index]],CC$4,1)*BedPlan[[#This Row],[Full Bed Equivalent]],"")</f>
        <v/>
      </c>
      <c r="CD33" cm="1">
        <f t="array" ref="CD33">INDEX(Crops[],BedPlan[[#This Row],[Chart Index]],CD$4,1)</f>
        <v>0</v>
      </c>
      <c r="CE33" cm="1">
        <f t="array" ref="CE33">IF(INDEX(Crops[],BedPlan[[#This Row],[Chart Index]],CE$4,1)="",0,INDEX(Crops[],BedPlan[[#This Row],[Chart Index]],CE$4,1))</f>
        <v>0</v>
      </c>
      <c r="CF33" s="49" t="str" cm="1">
        <f t="array" ref="CF33">IFERROR(INDEX(Crops[],BedPlan[[#This Row],[Chart Index]],CF$4,1)*BedPlan[[#This Row],[Full Bed Equivalent]],"")</f>
        <v/>
      </c>
      <c r="CG33" cm="1">
        <f t="array" ref="CG33">IF(INDEX(Crops[],BedPlan[[#This Row],[Chart Index]],CG$4,1)="",0,INDEX(Crops[],BedPlan[[#This Row],[Chart Index]],CG$4,1))</f>
        <v>1.3</v>
      </c>
      <c r="CH33" cm="1">
        <f t="array" ref="CH33">IF(INDEX(Crops[],BedPlan[[#This Row],[Chart Index]],CH$4,1)="",0,INDEX(Crops[],BedPlan[[#This Row],[Chart Index]],CH$4,1))</f>
        <v>0</v>
      </c>
      <c r="CI33" t="str" cm="1">
        <f t="array" ref="CI33">INDEX(Crops[],BedPlan[[#This Row],[Chart Index]],CI$4,1)</f>
        <v>Field</v>
      </c>
      <c r="CJ33" s="30" t="str">
        <f>_xlfn.TEXTJOIN(CHAR(10),FALSE,BedPlan[[#This Row],[Name]],BedPlan[[#This Row],[Variety]],BedPlan[[#This Row],[Company]])</f>
        <v xml:space="preserve">Carrot
Early Carrot Mix
</v>
      </c>
      <c r="CK33" s="32">
        <f>MAX( 0, MIN(BedPlan[[#This Row],[Expected End of Harvest]], EOMONTH(CK$4, 0)) - MAX(BedPlan[[#This Row],[Beginning of Harvest]], CK$4) + 1 )</f>
        <v>0</v>
      </c>
      <c r="CL33">
        <f>MAX( 0, MIN(BedPlan[[#This Row],[Expected End of Harvest]], EOMONTH(CL$4, 0)) - MAX(BedPlan[[#This Row],[Beginning of Harvest]], CL$4) + 1 )</f>
        <v>0</v>
      </c>
      <c r="CM33">
        <f>MAX( 0, MIN(BedPlan[[#This Row],[Expected End of Harvest]], EOMONTH(CM$4, 0)) - MAX(BedPlan[[#This Row],[Beginning of Harvest]], CM$4) + 1 )</f>
        <v>0</v>
      </c>
      <c r="CN33">
        <f>MAX( 0, MIN(BedPlan[[#This Row],[Expected End of Harvest]], EOMONTH(CN$4, 0)) - MAX(BedPlan[[#This Row],[Beginning of Harvest]], CN$4) + 1 )</f>
        <v>0</v>
      </c>
      <c r="CO33">
        <f>MAX( 0, MIN(BedPlan[[#This Row],[Expected End of Harvest]], EOMONTH(CO$4, 0)) - MAX(BedPlan[[#This Row],[Beginning of Harvest]], CO$4) + 1 )</f>
        <v>0</v>
      </c>
      <c r="CP33">
        <f>MAX( 0, MIN(BedPlan[[#This Row],[Expected End of Harvest]], EOMONTH(CP$4, 0)) - MAX(BedPlan[[#This Row],[Beginning of Harvest]], CP$4) + 1 )</f>
        <v>0</v>
      </c>
      <c r="CQ33">
        <f>MAX( 0, MIN(BedPlan[[#This Row],[Expected End of Harvest]], EOMONTH(CQ$4, 0)) - MAX(BedPlan[[#This Row],[Beginning of Harvest]], CQ$4) + 1 )</f>
        <v>0</v>
      </c>
      <c r="CR33">
        <f>MAX( 0, MIN(BedPlan[[#This Row],[Expected End of Harvest]], EOMONTH(CR$4, 0)) - MAX(BedPlan[[#This Row],[Beginning of Harvest]], CR$4) + 1 )</f>
        <v>0</v>
      </c>
      <c r="CS33">
        <f>MAX( 0, MIN(BedPlan[[#This Row],[Expected End of Harvest]], EOMONTH(CS$4, 0)) - MAX(BedPlan[[#This Row],[Beginning of Harvest]], CS$4) + 1 )</f>
        <v>22</v>
      </c>
      <c r="CT33">
        <f>MAX( 0, MIN(BedPlan[[#This Row],[Expected End of Harvest]], EOMONTH(CT$4, 0)) - MAX(BedPlan[[#This Row],[Beginning of Harvest]], CT$4) + 1 )</f>
        <v>0</v>
      </c>
      <c r="CU33">
        <f>MAX( 0, MIN(BedPlan[[#This Row],[Expected End of Harvest]], EOMONTH(CU$4, 0)) - MAX(BedPlan[[#This Row],[Beginning of Harvest]], CU$4) + 1 )</f>
        <v>0</v>
      </c>
      <c r="CV33">
        <f>MAX( 0, MIN(BedPlan[[#This Row],[Expected End of Harvest]], EOMONTH(CV$4, 0)) - MAX(BedPlan[[#This Row],[Beginning of Harvest]], CV$4) + 1 )</f>
        <v>0</v>
      </c>
      <c r="CW33">
        <f>MAX( 0, MIN(BedPlan[[#This Row],[Expected End of Harvest]], EOMONTH(CW$4, 0)) - MAX(BedPlan[[#This Row],[Beginning of Harvest]], CW$4) + 1 )</f>
        <v>0</v>
      </c>
      <c r="CX33">
        <f>MAX( 0, MIN(BedPlan[[#This Row],[Expected End of Harvest]], EOMONTH(CX$4, 0)) - MAX(BedPlan[[#This Row],[Beginning of Harvest]], CX$4) + 1 )</f>
        <v>0</v>
      </c>
      <c r="CY33">
        <f>MAX( 0, MIN(BedPlan[[#This Row],[Expected End of Harvest]], EOMONTH(CY$4, 0)) - MAX(BedPlan[[#This Row],[Beginning of Harvest]], CY$4) + 1 )</f>
        <v>0</v>
      </c>
      <c r="CZ33">
        <f>MAX( 0, MIN(BedPlan[[#This Row],[Expected End of Harvest]], EOMONTH(CZ$4, 0)) - MAX(BedPlan[[#This Row],[Beginning of Harvest]], CZ$4) + 1 )</f>
        <v>0</v>
      </c>
      <c r="DA33">
        <f>MAX( 0, MIN(BedPlan[[#This Row],[Expected End of Harvest]], EOMONTH(DA$4, 0)) - MAX(BedPlan[[#This Row],[Beginning of Harvest]], DA$4) + 1 )</f>
        <v>0</v>
      </c>
      <c r="DB33">
        <f>MAX( 0, MIN(BedPlan[[#This Row],[Expected End of Harvest]], EOMONTH(DB$4, 0)) - MAX(BedPlan[[#This Row],[Beginning of Harvest]], DB$4) + 1 )</f>
        <v>0</v>
      </c>
      <c r="DC33">
        <f>MAX( 0, MIN(BedPlan[[#This Row],[Expected End of Harvest]], EOMONTH(DC$4, 0)) - MAX(BedPlan[[#This Row],[Beginning of Harvest]], DC$4) + 1 )</f>
        <v>0</v>
      </c>
      <c r="DD33">
        <f>MAX( 0, MIN(BedPlan[[#This Row],[Expected End of Harvest]], EOMONTH(DD$4, 0)) - MAX(BedPlan[[#This Row],[Beginning of Harvest]], DD$4) + 1 )</f>
        <v>0</v>
      </c>
      <c r="DE33">
        <f>MAX( 0, MIN(BedPlan[[#This Row],[Expected End of Harvest]], EOMONTH(DE$4, 0)) - MAX(BedPlan[[#This Row],[Beginning of Harvest]], DE$4) + 1 )</f>
        <v>0</v>
      </c>
      <c r="DF33">
        <f>MAX( 0, MIN(BedPlan[[#This Row],[Expected End of Harvest]], EOMONTH(DF$4, 0)) - MAX(BedPlan[[#This Row],[Beginning of Harvest]], DF$4) + 1 )</f>
        <v>0</v>
      </c>
      <c r="DG33">
        <f>MAX( 0, MIN(BedPlan[[#This Row],[Expected End of Harvest]], EOMONTH(DG$4, 0)) - MAX(BedPlan[[#This Row],[Beginning of Harvest]], DG$4) + 1 )</f>
        <v>0</v>
      </c>
      <c r="DH33">
        <f>MAX( 0, MIN(BedPlan[[#This Row],[Expected End of Harvest]], EOMONTH(DH$4, 0)) - MAX(BedPlan[[#This Row],[Beginning of Harvest]], DH$4) + 1 )</f>
        <v>0</v>
      </c>
      <c r="DI33" s="257" cm="1">
        <f t="array" ref="DI33">BedPlan[[#This Row],[Harvest Days January 2025]]/SUM(BedPlan[[#This Row],[Harvest Days January 2025]:[Harvest Days December 2026]])*BedPlan[[#This Row],[Revenue]:[Revenue]]</f>
        <v>0</v>
      </c>
      <c r="DJ33" s="257" cm="1">
        <f t="array" ref="DJ33">BedPlan[[#This Row],[Harvest Days February 2025]]/SUM(BedPlan[[#This Row],[Harvest Days January 2025]:[Harvest Days December 2026]])*BedPlan[[#This Row],[Revenue]:[Revenue]]</f>
        <v>0</v>
      </c>
      <c r="DK33" s="257" cm="1">
        <f t="array" ref="DK33">BedPlan[[#This Row],[Harvest Days March 2025]]/SUM(BedPlan[[#This Row],[Harvest Days January 2025]:[Harvest Days December 2026]])*BedPlan[[#This Row],[Revenue]:[Revenue]]</f>
        <v>0</v>
      </c>
      <c r="DL33" s="257" cm="1">
        <f t="array" ref="DL33">BedPlan[[#This Row],[Harvest Days April 2025]]/SUM(BedPlan[[#This Row],[Harvest Days January 2025]:[Harvest Days December 2026]])*BedPlan[[#This Row],[Revenue]:[Revenue]]</f>
        <v>0</v>
      </c>
      <c r="DM33" s="257" cm="1">
        <f t="array" ref="DM33">BedPlan[[#This Row],[Harvest Days May 2025]]/SUM(BedPlan[[#This Row],[Harvest Days January 2025]:[Harvest Days December 2026]])*BedPlan[[#This Row],[Revenue]:[Revenue]]</f>
        <v>0</v>
      </c>
      <c r="DN33" s="257" cm="1">
        <f t="array" ref="DN33">BedPlan[[#This Row],[Harvest Days June 2025]]/SUM(BedPlan[[#This Row],[Harvest Days January 2025]:[Harvest Days December 2026]])*BedPlan[[#This Row],[Revenue]:[Revenue]]</f>
        <v>0</v>
      </c>
      <c r="DO33" s="257" cm="1">
        <f t="array" ref="DO33">BedPlan[[#This Row],[Harvest Days July 2025]]/SUM(BedPlan[[#This Row],[Harvest Days January 2025]:[Harvest Days December 2026]])*BedPlan[[#This Row],[Revenue]:[Revenue]]</f>
        <v>0</v>
      </c>
      <c r="DP33" s="257" cm="1">
        <f t="array" ref="DP33">BedPlan[[#This Row],[Harvest Days August 2025]]/SUM(BedPlan[[#This Row],[Harvest Days January 2025]:[Harvest Days December 2026]])*BedPlan[[#This Row],[Revenue]:[Revenue]]</f>
        <v>0</v>
      </c>
      <c r="DQ33" s="257" cm="1">
        <f t="array" ref="DQ33">BedPlan[[#This Row],[Harvest Days September 2025]]/SUM(BedPlan[[#This Row],[Harvest Days January 2025]:[Harvest Days December 2026]])*BedPlan[[#This Row],[Revenue]:[Revenue]]</f>
        <v>278.57142857142856</v>
      </c>
      <c r="DR33" s="257" cm="1">
        <f t="array" ref="DR33">BedPlan[[#This Row],[Harvest Days October 2025]]/SUM(BedPlan[[#This Row],[Harvest Days January 2025]:[Harvest Days December 2026]])*BedPlan[[#This Row],[Revenue]:[Revenue]]</f>
        <v>0</v>
      </c>
      <c r="DS33" s="257" cm="1">
        <f t="array" ref="DS33">BedPlan[[#This Row],[Harvest Days November 2025]]/SUM(BedPlan[[#This Row],[Harvest Days January 2025]:[Harvest Days December 2026]])*BedPlan[[#This Row],[Revenue]:[Revenue]]</f>
        <v>0</v>
      </c>
      <c r="DT33" s="257" cm="1">
        <f t="array" ref="DT33">BedPlan[[#This Row],[Harvest Days December 2025]]/SUM(BedPlan[[#This Row],[Harvest Days January 2025]:[Harvest Days December 2026]])*BedPlan[[#This Row],[Revenue]:[Revenue]]</f>
        <v>0</v>
      </c>
      <c r="DU33" s="257" cm="1">
        <f t="array" ref="DU33">BedPlan[[#This Row],[Harvest Days January 2026]]/SUM(BedPlan[[#This Row],[Harvest Days January 2025]:[Harvest Days December 2026]])*BedPlan[[#This Row],[Revenue]:[Revenue]]</f>
        <v>0</v>
      </c>
      <c r="DV33" s="257" cm="1">
        <f t="array" ref="DV33">BedPlan[[#This Row],[Harvest Days February 2026]]/SUM(BedPlan[[#This Row],[Harvest Days January 2025]:[Harvest Days December 2026]])*BedPlan[[#This Row],[Revenue]:[Revenue]]</f>
        <v>0</v>
      </c>
      <c r="DW33" s="257" cm="1">
        <f t="array" ref="DW33">BedPlan[[#This Row],[Harvest Days March 2026]]/SUM(BedPlan[[#This Row],[Harvest Days January 2025]:[Harvest Days December 2026]])*BedPlan[[#This Row],[Revenue]:[Revenue]]</f>
        <v>0</v>
      </c>
      <c r="DX33" s="257" cm="1">
        <f t="array" ref="DX33">BedPlan[[#This Row],[Harvest Days April 2026]]/SUM(BedPlan[[#This Row],[Harvest Days January 2025]:[Harvest Days December 2026]])*BedPlan[[#This Row],[Revenue]:[Revenue]]</f>
        <v>0</v>
      </c>
      <c r="DY33" s="257" cm="1">
        <f t="array" ref="DY33">BedPlan[[#This Row],[Harvest Days May 2026]]/SUM(BedPlan[[#This Row],[Harvest Days January 2025]:[Harvest Days December 2026]])*BedPlan[[#This Row],[Revenue]:[Revenue]]</f>
        <v>0</v>
      </c>
      <c r="DZ33" s="257" cm="1">
        <f t="array" ref="DZ33">BedPlan[[#This Row],[Harvest Days June 2026]]/SUM(BedPlan[[#This Row],[Harvest Days January 2025]:[Harvest Days December 2026]])*BedPlan[[#This Row],[Revenue]:[Revenue]]</f>
        <v>0</v>
      </c>
      <c r="EA33" s="257" cm="1">
        <f t="array" ref="EA33">BedPlan[[#This Row],[Harvest Days July 2026]]/SUM(BedPlan[[#This Row],[Harvest Days January 2025]:[Harvest Days December 2026]])*BedPlan[[#This Row],[Revenue]:[Revenue]]</f>
        <v>0</v>
      </c>
      <c r="EB33" s="257" cm="1">
        <f t="array" ref="EB33">BedPlan[[#This Row],[Harvest Days August 2026]]/SUM(BedPlan[[#This Row],[Harvest Days January 2025]:[Harvest Days December 2026]])*BedPlan[[#This Row],[Revenue]:[Revenue]]</f>
        <v>0</v>
      </c>
      <c r="EC33" s="257" cm="1">
        <f t="array" ref="EC33">BedPlan[[#This Row],[Harvest Days September 2026]]/SUM(BedPlan[[#This Row],[Harvest Days January 2025]:[Harvest Days December 2026]])*BedPlan[[#This Row],[Revenue]:[Revenue]]</f>
        <v>0</v>
      </c>
      <c r="ED33" s="257" cm="1">
        <f t="array" ref="ED33">BedPlan[[#This Row],[Harvest Days October 2026]]/SUM(BedPlan[[#This Row],[Harvest Days January 2025]:[Harvest Days December 2026]])*BedPlan[[#This Row],[Revenue]:[Revenue]]</f>
        <v>0</v>
      </c>
      <c r="EE33" s="257" cm="1">
        <f t="array" ref="EE33">BedPlan[[#This Row],[Harvest Days November 2026]]/SUM(BedPlan[[#This Row],[Harvest Days January 2025]:[Harvest Days December 2026]])*BedPlan[[#This Row],[Revenue]:[Revenue]]</f>
        <v>0</v>
      </c>
      <c r="EF33" s="257" cm="1">
        <f t="array" ref="EF33">BedPlan[[#This Row],[Harvest Days December 2026]]/SUM(BedPlan[[#This Row],[Harvest Days January 2025]:[Harvest Days December 2026]])*BedPlan[[#This Row],[Revenue]:[Revenue]]</f>
        <v>0</v>
      </c>
      <c r="EG33" t="b">
        <f>SUM(BedPlan[[#This Row],[Revenue January 2025]:[Revenue December 2026]])=BedPlan[[#This Row],[Revenue]]</f>
        <v>1</v>
      </c>
      <c r="EH33" s="30" cm="1">
        <f t="array" ref="EH33">INDEX(Crops[],BedPlan[[#This Row],[Chart Index]],EH$4,1)*BedPlan[[#This Row],['# Of Beds]]</f>
        <v>85.714285714285708</v>
      </c>
      <c r="EI33" s="30" t="str" cm="1">
        <f t="array" ref="EI33">INDEX(Crops[],BedPlan[[#This Row],[Chart Index]],EI$4,1)</f>
        <v>Bunch</v>
      </c>
      <c r="EJ33" s="30" t="str" cm="1">
        <f t="array" ref="EJ33">INDEX(Crops[],BedPlan[[#This Row],[Chart Index]],EJ$4,1)</f>
        <v>Mature Root</v>
      </c>
      <c r="EK33" s="30" t="str">
        <f>BedPlan[[#This Row],[Name]]&amp;" "&amp;BedPlan[[#This Row],[Product]]&amp; " - " &amp;BedPlan[[#This Row],[Unit]]</f>
        <v>Carrot Mature Root - Bunch</v>
      </c>
      <c r="EL33" s="33" cm="1">
        <f t="array" ref="EL33">BedPlan[[#This Row],[Harvest Days January 2025]]/SUM(BedPlan[[#This Row],[Harvest Days January 2025]:[Harvest Days December 2026]])*BedPlan[[#This Row],[Yield]:[Yield]]</f>
        <v>0</v>
      </c>
      <c r="EM33" s="33" cm="1">
        <f t="array" ref="EM33">BedPlan[[#This Row],[Harvest Days February 2025]]/SUM(BedPlan[[#This Row],[Harvest Days January 2025]:[Harvest Days December 2026]])*BedPlan[[#This Row],[Yield]:[Yield]]</f>
        <v>0</v>
      </c>
      <c r="EN33" s="33" cm="1">
        <f t="array" ref="EN33">BedPlan[[#This Row],[Harvest Days March 2025]]/SUM(BedPlan[[#This Row],[Harvest Days January 2025]:[Harvest Days December 2026]])*BedPlan[[#This Row],[Yield]:[Yield]]</f>
        <v>0</v>
      </c>
      <c r="EO33" s="33" cm="1">
        <f t="array" ref="EO33">BedPlan[[#This Row],[Harvest Days April 2025]]/SUM(BedPlan[[#This Row],[Harvest Days January 2025]:[Harvest Days December 2026]])*BedPlan[[#This Row],[Yield]:[Yield]]</f>
        <v>0</v>
      </c>
      <c r="EP33" s="33" cm="1">
        <f t="array" ref="EP33">BedPlan[[#This Row],[Harvest Days May 2025]]/SUM(BedPlan[[#This Row],[Harvest Days January 2025]:[Harvest Days December 2026]])*BedPlan[[#This Row],[Yield]:[Yield]]</f>
        <v>0</v>
      </c>
      <c r="EQ33" s="33" cm="1">
        <f t="array" ref="EQ33">BedPlan[[#This Row],[Harvest Days June 2025]]/SUM(BedPlan[[#This Row],[Harvest Days January 2025]:[Harvest Days December 2026]])*BedPlan[[#This Row],[Yield]:[Yield]]</f>
        <v>0</v>
      </c>
      <c r="ER33" s="33" cm="1">
        <f t="array" ref="ER33">BedPlan[[#This Row],[Harvest Days July 2025]]/SUM(BedPlan[[#This Row],[Harvest Days January 2025]:[Harvest Days December 2026]])*BedPlan[[#This Row],[Yield]:[Yield]]</f>
        <v>0</v>
      </c>
      <c r="ES33" s="33" cm="1">
        <f t="array" ref="ES33">BedPlan[[#This Row],[Harvest Days August 2025]]/SUM(BedPlan[[#This Row],[Harvest Days January 2025]:[Harvest Days December 2026]])*BedPlan[[#This Row],[Yield]:[Yield]]</f>
        <v>0</v>
      </c>
      <c r="ET33" s="33" cm="1">
        <f t="array" ref="ET33">BedPlan[[#This Row],[Harvest Days September 2025]]/SUM(BedPlan[[#This Row],[Harvest Days January 2025]:[Harvest Days December 2026]])*BedPlan[[#This Row],[Yield]:[Yield]]</f>
        <v>85.714285714285708</v>
      </c>
      <c r="EU33" s="33" cm="1">
        <f t="array" ref="EU33">BedPlan[[#This Row],[Harvest Days October 2025]]/SUM(BedPlan[[#This Row],[Harvest Days January 2025]:[Harvest Days December 2026]])*BedPlan[[#This Row],[Yield]:[Yield]]</f>
        <v>0</v>
      </c>
      <c r="EV33" s="33" cm="1">
        <f t="array" ref="EV33">BedPlan[[#This Row],[Harvest Days November 2025]]/SUM(BedPlan[[#This Row],[Harvest Days January 2025]:[Harvest Days December 2026]])*BedPlan[[#This Row],[Yield]:[Yield]]</f>
        <v>0</v>
      </c>
      <c r="EW33" s="33" cm="1">
        <f t="array" ref="EW33">BedPlan[[#This Row],[Harvest Days December 2025]]/SUM(BedPlan[[#This Row],[Harvest Days January 2025]:[Harvest Days December 2026]])*BedPlan[[#This Row],[Yield]:[Yield]]</f>
        <v>0</v>
      </c>
    </row>
    <row r="34" spans="1:153" ht="15.75" customHeight="1">
      <c r="A34" s="180" t="s">
        <v>1714</v>
      </c>
      <c r="B34" s="240" t="s">
        <v>2762</v>
      </c>
      <c r="C34" t="s">
        <v>1451</v>
      </c>
      <c r="D34" s="226" cm="1">
        <f t="array" ref="D34">INDEX(Crops[],BedPlan[[#This Row],[Chart Index]],D$4,1)*BedPlan[[#This Row],[Full Bed Equivalent]]</f>
        <v>21.428571428571427</v>
      </c>
      <c r="E34" s="226" cm="1">
        <f t="array" ref="E34">INDEX(Crops[],BedPlan[[#This Row],[Chart Index]],E$4,1)*BedPlan[[#This Row],[Full Bed Equivalent]]</f>
        <v>85.714285714285708</v>
      </c>
      <c r="F34" t="str">
        <f>UPPER(LEFT(BedPlan[[#This Row],[Crop]],3))</f>
        <v>CAR</v>
      </c>
      <c r="H34" s="143" t="str" cm="1">
        <f t="array" ref="H34">INDEX(Crops[],BedPlan[[#This Row],[Chart Index]],H$4,1)</f>
        <v>Carrot</v>
      </c>
      <c r="I34" t="s">
        <v>1808</v>
      </c>
      <c r="K34" t="str" cm="1">
        <f t="array" ref="K34">IF(ISNUMBER(MATCH(BedPlan[[#This Row],[Variety]],SeedMixes[Name],)),_xlfn.TEXTJOIN(", ",TRUE,_xlfn._xlws.FILTER(SeedMixes[Variety &amp; Company],SeedMixes[Name]=BedPlan[[#This Row],[Variety]])),"")</f>
        <v>Yellowstone Johnny's, Cosmic Purple High Mowing, Napoli F1 Osborne, Mokum Johnny's</v>
      </c>
      <c r="L34" s="33" cm="1">
        <f t="array" ref="L34">INDEX(Crops[],BedPlan[[#This Row],[Chart Index]],L$4,1)*BedPlan[[#This Row],[Full Bed Equivalent]]</f>
        <v>3120</v>
      </c>
      <c r="N34">
        <v>0.5</v>
      </c>
      <c r="O34">
        <f>MAX(BedPlan[[#This Row],['# Of Beds]],0.5)</f>
        <v>0.5</v>
      </c>
      <c r="P34" s="31">
        <f>IF(ISNUMBER(BedPlan[[#This Row],[Planned Greenhouse Start Date]]),BedPlan[[#This Row],[Planned Greenhouse Start Date]],BedPlan[[#This Row],[Planned TP or DS Date]])</f>
        <v>45827</v>
      </c>
      <c r="Q34" s="259" t="str">
        <f>IF(BedPlan[[#This Row],[Days in Cells]]=0,"",IFERROR(_xlfn.XLOOKUP(BedPlan[[#This Row],[Follows Crop]],BedPlan[Identifier],BedPlan[Expected End of Harvest]) + 1+BedPlan[[#This Row],[Follow Offset]],BedPlan[[#This Row],[Fixed Field Start Date]])-BedPlan[[#This Row],[Days in Cells]])</f>
        <v/>
      </c>
      <c r="R34" s="259"/>
      <c r="S34" s="259" t="str">
        <f>IF(ISNUMBER(BedPlan[[#This Row],[Actual Greenhouse Date]]),BedPlan[[#This Row],[Actual Greenhouse Date]],BedPlan[[#This Row],[Planned Greenhouse Start Date]])</f>
        <v/>
      </c>
      <c r="T34" s="259">
        <f>_xlfn.XLOOKUP(BedPlan[[#This Row],[Crop]],Crops[Identifier],Crops[Target Field Date])+84</f>
        <v>45827</v>
      </c>
      <c r="U34" s="260"/>
      <c r="V34" s="260"/>
      <c r="W3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34" s="259">
        <v>45837</v>
      </c>
      <c r="Y34" s="271">
        <f>BedPlan[[#This Row],[Actual TP or DS Date]]-BedPlan[[#This Row],[Planned TP or DS Date]]</f>
        <v>10</v>
      </c>
      <c r="Z34" s="259">
        <f>IF(ISNUMBER(BedPlan[[#This Row],[Actual TP or DS Date]]),BedPlan[[#This Row],[Actual TP or DS Date]],BedPlan[[#This Row],[Planned TP or DS Date]])</f>
        <v>45837</v>
      </c>
      <c r="AA34" s="259"/>
      <c r="AB34" s="259">
        <f>IF(ISNUMBER(BedPlan[[#This Row],[Greenhouse Start Date]]),BedPlan[[#This Row],[Greenhouse Start Date]]+BedPlan[[#This Row],[DTM]],BedPlan[[#This Row],[TP or DS Date]]+BedPlan[[#This Row],[DTM]])</f>
        <v>45907</v>
      </c>
      <c r="AC34" s="259"/>
      <c r="AD34" s="259">
        <f>IF(ISNUMBER(BedPlan[[#This Row],[Actual Beginning of Harvest]]),BedPlan[[#This Row],[Actual Beginning of Harvest]],BedPlan[[#This Row],[Expected Beginning of Harvest]])</f>
        <v>45907</v>
      </c>
      <c r="AE34" s="259">
        <f>BedPlan[[#This Row],[Expected Beginning of Harvest]]+BedPlan[[#This Row],[Harvest Window]]+BedPlan[[#This Row],[Additional Days of Harvest]]</f>
        <v>45928</v>
      </c>
      <c r="AF34" s="259"/>
      <c r="AG34" s="259"/>
      <c r="AH34" s="31" t="b">
        <f>IF(AND( BedPlan[[#This Row],[Expected End of Harvest]] &gt;= DATE(2025, 8, 1), BedPlan[[#This Row],[Beginning of Harvest]] &lt;= DATE(2025, 8, 31) ), TRUE, FALSE)</f>
        <v>0</v>
      </c>
      <c r="AI34" s="31"/>
      <c r="AJ34" s="31">
        <f>IF(ISNUMBER(BedPlan[[#This Row],[Actual End of Harvest]]),BedPlan[[#This Row],[Actual End of Harvest]],BedPlan[[#This Row],[Expected End of Harvest]])</f>
        <v>45928</v>
      </c>
      <c r="AK34" t="b">
        <f>OR(ISNUMBER(BedPlan[[#This Row],[Actual Greenhouse Date]]),ISNUMBER(BedPlan[[#This Row],[Actual TP or DS Date]]))</f>
        <v>1</v>
      </c>
      <c r="AL34" s="52" t="str">
        <f>IF(ISNUMBER(BedPlan[[#This Row],[Planned Greenhouse Start Date]]),OR(ISNUMBER(BedPlan[[#This Row],[Actual TP or DS Date]]),BedPlan[[#This Row],[Failed]]),"-")</f>
        <v>-</v>
      </c>
      <c r="AM34" t="b">
        <f>OR(ISNUMBER(BedPlan[[#This Row],[Actual End of Harvest]]),BedPlan[[#This Row],[Failed]])</f>
        <v>0</v>
      </c>
      <c r="AN34" t="b">
        <f>OR(BedPlan[[#This Row],[Harvest Done]],BedPlan[[#This Row],[Failed]],BedPlan[[#This Row],[Name]]="Tarp")</f>
        <v>0</v>
      </c>
      <c r="AS34" s="26" t="str">
        <f>IF(BedPlan[[#This Row],[Broadfork]],BedPlan[[#This Row],[Actual TP or DS Date]],"")</f>
        <v/>
      </c>
      <c r="AT34" s="26" t="str">
        <f>IF(BedPlan[[#This Row],[Tilther]],BedPlan[[#This Row],[Actual TP or DS Date]],"")</f>
        <v/>
      </c>
      <c r="AU34" s="26" t="str">
        <f>IF(NOT(ISBLANK(BedPlan[[#This Row],[Amend]])),BedPlan[[#This Row],[Actual TP or DS Date]],"")</f>
        <v/>
      </c>
      <c r="AV34" s="26" t="str">
        <f>IF(BedPlan[[#This Row],[Row Cover]],BedPlan[[#This Row],[Actual TP or DS Date]],"")</f>
        <v/>
      </c>
      <c r="AX34" s="26"/>
      <c r="AZ34" s="26"/>
      <c r="BB34" s="26"/>
      <c r="BC34" s="231" cm="1">
        <f t="array" ref="BC34">INDEX(Crops[],BedPlan[[#This Row],[Chart Index]],BC$4,1)*BedPlan[[#This Row],[Full Bed Equivalent]]</f>
        <v>278.57142857142856</v>
      </c>
      <c r="BD34" s="231" cm="1">
        <f t="array" ref="BD34">INDEX(Crops[],BedPlan[[#This Row],[Chart Index]],BD$4,1)*BedPlan[[#This Row],[Full Bed Equivalent]]</f>
        <v>3.0612244897959182</v>
      </c>
      <c r="BE34" cm="1">
        <f t="array" ref="BE34">INDEX(Crops[],BedPlan[[#This Row],[Chart Index]],BE$4,1)+BedPlan[[#This Row],[Additional Days in Cells]]+BedPlan[[#This Row],[Additional Days In Field]]</f>
        <v>70</v>
      </c>
      <c r="BG34" cm="1">
        <f t="array" ref="BG34">INDEX(Crops[],BedPlan[[#This Row],[Chart Index]],BG$4,1)</f>
        <v>21</v>
      </c>
      <c r="BH34" t="str">
        <f>IF(ISNUMBER(BedPlan[[#This Row],[Planned Greenhouse Start Date]]),"TP","DS")</f>
        <v>DS</v>
      </c>
      <c r="BI34">
        <f>BedPlan[[#This Row],['# Of Beds]]</f>
        <v>0.5</v>
      </c>
      <c r="BJ34" cm="1">
        <f t="array" ref="BJ34">INDEX(Crops[],BedPlan[[#This Row],[Chart Index]],BJ$4,1)</f>
        <v>0</v>
      </c>
      <c r="BK34" cm="1">
        <f t="array" ref="BK34">INDEX(Crops[],BedPlan[[#This Row],[Chart Index]],BK$4,1)</f>
        <v>4</v>
      </c>
      <c r="BL34" cm="1">
        <f t="array" ref="BL34">INDEX(Crops[],BedPlan[[#This Row],[Chart Index]],BL$4,1)</f>
        <v>0.5</v>
      </c>
      <c r="BM34" cm="1">
        <f t="array" ref="BM34">INDEX(Crops[],BedPlan[[#This Row],[Chart Index]],BM$4,1)</f>
        <v>1</v>
      </c>
      <c r="BN34" s="32" cm="1">
        <f t="array" ref="BN34">INDEX(Crops[],BedPlan[[#This Row],[Chart Index]],BN$4,1)*BedPlan[[#This Row],[Full Bed Equivalent]]</f>
        <v>2400</v>
      </c>
      <c r="BO34" t="str" cm="1">
        <f t="array" ref="BO34">IF(INDEX(Crops[],BedPlan[[#This Row],[Chart Index]],BO$4,1)=0,"",INDEX(Crops[],BedPlan[[#This Row],[Chart Index]],BO$4,1))</f>
        <v>OH</v>
      </c>
      <c r="BP34">
        <f>MATCH(BedPlan[[#This Row],[Crop]],Crops[Identifier],FALSE)</f>
        <v>61</v>
      </c>
      <c r="BQ34" t="str" cm="1">
        <f t="array" ref="BQ34">INDEX(Crops[],BedPlan[[#This Row],[Chart Index]],BQ$4,1)</f>
        <v>Early</v>
      </c>
      <c r="BR34" t="str" cm="1">
        <f t="array" ref="BR34">INDEX(Crops[],BedPlan[[#This Row],[Chart Index]],BR$4,1)</f>
        <v>Sp</v>
      </c>
      <c r="BS34" s="32">
        <f>BedPlan[[#This Row],[Expected Beginning of Harvest]]-DATE(2023,1,1)</f>
        <v>980</v>
      </c>
      <c r="BT34">
        <f>BedPlan[[#This Row],[Expected End of Harvest]]-BedPlan[[#This Row],[Expected Beginning of Harvest]]</f>
        <v>21</v>
      </c>
      <c r="BU34" t="str" cm="1">
        <f t="array" ref="BU34">INDEX(Crops[],BedPlan[[#This Row],[Chart Index]],BU$4,1)</f>
        <v>Root</v>
      </c>
      <c r="BV34" cm="1">
        <f t="array" ref="BV34">INDEX(Crops[],BedPlan[[#This Row],[Chart Index]],BV$4,1)</f>
        <v>1</v>
      </c>
      <c r="BW34" t="str" cm="1">
        <f t="array" ref="BW34">INDEX(Crops[],BedPlan[[#This Row],[Chart Index]],BW$4,1)</f>
        <v>AMAP</v>
      </c>
      <c r="BX34" cm="1">
        <f t="array" ref="BX34">INDEX(Crops[],BedPlan[[#This Row],[Chart Index]],BX$4,1)</f>
        <v>0</v>
      </c>
      <c r="BY34" cm="1">
        <f t="array" ref="BY34">INDEX(Crops[],BedPlan[[#This Row],[Chart Index]],BY$4,1)</f>
        <v>0</v>
      </c>
      <c r="BZ34" s="49" t="str" cm="1">
        <f t="array" ref="BZ34">IFERROR(INDEX(Crops[],BedPlan[[#This Row],[Chart Index]],BZ$4,1)*BedPlan[[#This Row],[Full Bed Equivalent]],"")</f>
        <v/>
      </c>
      <c r="CA34" cm="1">
        <f t="array" ref="CA34">INDEX(Crops[],BedPlan[[#This Row],[Chart Index]],CA$4,1)</f>
        <v>0</v>
      </c>
      <c r="CB34" cm="1">
        <f t="array" ref="CB34">INDEX(Crops[],BedPlan[[#This Row],[Chart Index]],CB$4,1)</f>
        <v>0</v>
      </c>
      <c r="CC34" s="49" t="str" cm="1">
        <f t="array" ref="CC34">IFERROR(INDEX(Crops[],BedPlan[[#This Row],[Chart Index]],CC$4,1)*BedPlan[[#This Row],[Full Bed Equivalent]],"")</f>
        <v/>
      </c>
      <c r="CD34" cm="1">
        <f t="array" ref="CD34">INDEX(Crops[],BedPlan[[#This Row],[Chart Index]],CD$4,1)</f>
        <v>0</v>
      </c>
      <c r="CE34" cm="1">
        <f t="array" ref="CE34">IF(INDEX(Crops[],BedPlan[[#This Row],[Chart Index]],CE$4,1)="",0,INDEX(Crops[],BedPlan[[#This Row],[Chart Index]],CE$4,1))</f>
        <v>0</v>
      </c>
      <c r="CF34" s="49" t="str" cm="1">
        <f t="array" ref="CF34">IFERROR(INDEX(Crops[],BedPlan[[#This Row],[Chart Index]],CF$4,1)*BedPlan[[#This Row],[Full Bed Equivalent]],"")</f>
        <v/>
      </c>
      <c r="CG34" cm="1">
        <f t="array" ref="CG34">IF(INDEX(Crops[],BedPlan[[#This Row],[Chart Index]],CG$4,1)="",0,INDEX(Crops[],BedPlan[[#This Row],[Chart Index]],CG$4,1))</f>
        <v>1.3</v>
      </c>
      <c r="CH34" cm="1">
        <f t="array" ref="CH34">IF(INDEX(Crops[],BedPlan[[#This Row],[Chart Index]],CH$4,1)="",0,INDEX(Crops[],BedPlan[[#This Row],[Chart Index]],CH$4,1))</f>
        <v>0</v>
      </c>
      <c r="CI34" t="str" cm="1">
        <f t="array" ref="CI34">INDEX(Crops[],BedPlan[[#This Row],[Chart Index]],CI$4,1)</f>
        <v>Field</v>
      </c>
      <c r="CJ34" s="30" t="str">
        <f>_xlfn.TEXTJOIN(CHAR(10),FALSE,BedPlan[[#This Row],[Name]],BedPlan[[#This Row],[Variety]],BedPlan[[#This Row],[Company]])</f>
        <v xml:space="preserve">Carrot
Early Carrot Mix
</v>
      </c>
      <c r="CK34" s="32">
        <f>MAX( 0, MIN(BedPlan[[#This Row],[Expected End of Harvest]], EOMONTH(CK$4, 0)) - MAX(BedPlan[[#This Row],[Beginning of Harvest]], CK$4) + 1 )</f>
        <v>0</v>
      </c>
      <c r="CL34">
        <f>MAX( 0, MIN(BedPlan[[#This Row],[Expected End of Harvest]], EOMONTH(CL$4, 0)) - MAX(BedPlan[[#This Row],[Beginning of Harvest]], CL$4) + 1 )</f>
        <v>0</v>
      </c>
      <c r="CM34">
        <f>MAX( 0, MIN(BedPlan[[#This Row],[Expected End of Harvest]], EOMONTH(CM$4, 0)) - MAX(BedPlan[[#This Row],[Beginning of Harvest]], CM$4) + 1 )</f>
        <v>0</v>
      </c>
      <c r="CN34">
        <f>MAX( 0, MIN(BedPlan[[#This Row],[Expected End of Harvest]], EOMONTH(CN$4, 0)) - MAX(BedPlan[[#This Row],[Beginning of Harvest]], CN$4) + 1 )</f>
        <v>0</v>
      </c>
      <c r="CO34">
        <f>MAX( 0, MIN(BedPlan[[#This Row],[Expected End of Harvest]], EOMONTH(CO$4, 0)) - MAX(BedPlan[[#This Row],[Beginning of Harvest]], CO$4) + 1 )</f>
        <v>0</v>
      </c>
      <c r="CP34">
        <f>MAX( 0, MIN(BedPlan[[#This Row],[Expected End of Harvest]], EOMONTH(CP$4, 0)) - MAX(BedPlan[[#This Row],[Beginning of Harvest]], CP$4) + 1 )</f>
        <v>0</v>
      </c>
      <c r="CQ34">
        <f>MAX( 0, MIN(BedPlan[[#This Row],[Expected End of Harvest]], EOMONTH(CQ$4, 0)) - MAX(BedPlan[[#This Row],[Beginning of Harvest]], CQ$4) + 1 )</f>
        <v>0</v>
      </c>
      <c r="CR34">
        <f>MAX( 0, MIN(BedPlan[[#This Row],[Expected End of Harvest]], EOMONTH(CR$4, 0)) - MAX(BedPlan[[#This Row],[Beginning of Harvest]], CR$4) + 1 )</f>
        <v>0</v>
      </c>
      <c r="CS34">
        <f>MAX( 0, MIN(BedPlan[[#This Row],[Expected End of Harvest]], EOMONTH(CS$4, 0)) - MAX(BedPlan[[#This Row],[Beginning of Harvest]], CS$4) + 1 )</f>
        <v>22</v>
      </c>
      <c r="CT34">
        <f>MAX( 0, MIN(BedPlan[[#This Row],[Expected End of Harvest]], EOMONTH(CT$4, 0)) - MAX(BedPlan[[#This Row],[Beginning of Harvest]], CT$4) + 1 )</f>
        <v>0</v>
      </c>
      <c r="CU34">
        <f>MAX( 0, MIN(BedPlan[[#This Row],[Expected End of Harvest]], EOMONTH(CU$4, 0)) - MAX(BedPlan[[#This Row],[Beginning of Harvest]], CU$4) + 1 )</f>
        <v>0</v>
      </c>
      <c r="CV34">
        <f>MAX( 0, MIN(BedPlan[[#This Row],[Expected End of Harvest]], EOMONTH(CV$4, 0)) - MAX(BedPlan[[#This Row],[Beginning of Harvest]], CV$4) + 1 )</f>
        <v>0</v>
      </c>
      <c r="CW34">
        <f>MAX( 0, MIN(BedPlan[[#This Row],[Expected End of Harvest]], EOMONTH(CW$4, 0)) - MAX(BedPlan[[#This Row],[Beginning of Harvest]], CW$4) + 1 )</f>
        <v>0</v>
      </c>
      <c r="CX34">
        <f>MAX( 0, MIN(BedPlan[[#This Row],[Expected End of Harvest]], EOMONTH(CX$4, 0)) - MAX(BedPlan[[#This Row],[Beginning of Harvest]], CX$4) + 1 )</f>
        <v>0</v>
      </c>
      <c r="CY34">
        <f>MAX( 0, MIN(BedPlan[[#This Row],[Expected End of Harvest]], EOMONTH(CY$4, 0)) - MAX(BedPlan[[#This Row],[Beginning of Harvest]], CY$4) + 1 )</f>
        <v>0</v>
      </c>
      <c r="CZ34">
        <f>MAX( 0, MIN(BedPlan[[#This Row],[Expected End of Harvest]], EOMONTH(CZ$4, 0)) - MAX(BedPlan[[#This Row],[Beginning of Harvest]], CZ$4) + 1 )</f>
        <v>0</v>
      </c>
      <c r="DA34">
        <f>MAX( 0, MIN(BedPlan[[#This Row],[Expected End of Harvest]], EOMONTH(DA$4, 0)) - MAX(BedPlan[[#This Row],[Beginning of Harvest]], DA$4) + 1 )</f>
        <v>0</v>
      </c>
      <c r="DB34">
        <f>MAX( 0, MIN(BedPlan[[#This Row],[Expected End of Harvest]], EOMONTH(DB$4, 0)) - MAX(BedPlan[[#This Row],[Beginning of Harvest]], DB$4) + 1 )</f>
        <v>0</v>
      </c>
      <c r="DC34">
        <f>MAX( 0, MIN(BedPlan[[#This Row],[Expected End of Harvest]], EOMONTH(DC$4, 0)) - MAX(BedPlan[[#This Row],[Beginning of Harvest]], DC$4) + 1 )</f>
        <v>0</v>
      </c>
      <c r="DD34">
        <f>MAX( 0, MIN(BedPlan[[#This Row],[Expected End of Harvest]], EOMONTH(DD$4, 0)) - MAX(BedPlan[[#This Row],[Beginning of Harvest]], DD$4) + 1 )</f>
        <v>0</v>
      </c>
      <c r="DE34">
        <f>MAX( 0, MIN(BedPlan[[#This Row],[Expected End of Harvest]], EOMONTH(DE$4, 0)) - MAX(BedPlan[[#This Row],[Beginning of Harvest]], DE$4) + 1 )</f>
        <v>0</v>
      </c>
      <c r="DF34">
        <f>MAX( 0, MIN(BedPlan[[#This Row],[Expected End of Harvest]], EOMONTH(DF$4, 0)) - MAX(BedPlan[[#This Row],[Beginning of Harvest]], DF$4) + 1 )</f>
        <v>0</v>
      </c>
      <c r="DG34">
        <f>MAX( 0, MIN(BedPlan[[#This Row],[Expected End of Harvest]], EOMONTH(DG$4, 0)) - MAX(BedPlan[[#This Row],[Beginning of Harvest]], DG$4) + 1 )</f>
        <v>0</v>
      </c>
      <c r="DH34">
        <f>MAX( 0, MIN(BedPlan[[#This Row],[Expected End of Harvest]], EOMONTH(DH$4, 0)) - MAX(BedPlan[[#This Row],[Beginning of Harvest]], DH$4) + 1 )</f>
        <v>0</v>
      </c>
      <c r="DI34" s="257" cm="1">
        <f t="array" ref="DI34">BedPlan[[#This Row],[Harvest Days January 2025]]/SUM(BedPlan[[#This Row],[Harvest Days January 2025]:[Harvest Days December 2026]])*BedPlan[[#This Row],[Revenue]:[Revenue]]</f>
        <v>0</v>
      </c>
      <c r="DJ34" s="257" cm="1">
        <f t="array" ref="DJ34">BedPlan[[#This Row],[Harvest Days February 2025]]/SUM(BedPlan[[#This Row],[Harvest Days January 2025]:[Harvest Days December 2026]])*BedPlan[[#This Row],[Revenue]:[Revenue]]</f>
        <v>0</v>
      </c>
      <c r="DK34" s="257" cm="1">
        <f t="array" ref="DK34">BedPlan[[#This Row],[Harvest Days March 2025]]/SUM(BedPlan[[#This Row],[Harvest Days January 2025]:[Harvest Days December 2026]])*BedPlan[[#This Row],[Revenue]:[Revenue]]</f>
        <v>0</v>
      </c>
      <c r="DL34" s="257" cm="1">
        <f t="array" ref="DL34">BedPlan[[#This Row],[Harvest Days April 2025]]/SUM(BedPlan[[#This Row],[Harvest Days January 2025]:[Harvest Days December 2026]])*BedPlan[[#This Row],[Revenue]:[Revenue]]</f>
        <v>0</v>
      </c>
      <c r="DM34" s="257" cm="1">
        <f t="array" ref="DM34">BedPlan[[#This Row],[Harvest Days May 2025]]/SUM(BedPlan[[#This Row],[Harvest Days January 2025]:[Harvest Days December 2026]])*BedPlan[[#This Row],[Revenue]:[Revenue]]</f>
        <v>0</v>
      </c>
      <c r="DN34" s="257" cm="1">
        <f t="array" ref="DN34">BedPlan[[#This Row],[Harvest Days June 2025]]/SUM(BedPlan[[#This Row],[Harvest Days January 2025]:[Harvest Days December 2026]])*BedPlan[[#This Row],[Revenue]:[Revenue]]</f>
        <v>0</v>
      </c>
      <c r="DO34" s="257" cm="1">
        <f t="array" ref="DO34">BedPlan[[#This Row],[Harvest Days July 2025]]/SUM(BedPlan[[#This Row],[Harvest Days January 2025]:[Harvest Days December 2026]])*BedPlan[[#This Row],[Revenue]:[Revenue]]</f>
        <v>0</v>
      </c>
      <c r="DP34" s="257" cm="1">
        <f t="array" ref="DP34">BedPlan[[#This Row],[Harvest Days August 2025]]/SUM(BedPlan[[#This Row],[Harvest Days January 2025]:[Harvest Days December 2026]])*BedPlan[[#This Row],[Revenue]:[Revenue]]</f>
        <v>0</v>
      </c>
      <c r="DQ34" s="257" cm="1">
        <f t="array" ref="DQ34">BedPlan[[#This Row],[Harvest Days September 2025]]/SUM(BedPlan[[#This Row],[Harvest Days January 2025]:[Harvest Days December 2026]])*BedPlan[[#This Row],[Revenue]:[Revenue]]</f>
        <v>278.57142857142856</v>
      </c>
      <c r="DR34" s="257" cm="1">
        <f t="array" ref="DR34">BedPlan[[#This Row],[Harvest Days October 2025]]/SUM(BedPlan[[#This Row],[Harvest Days January 2025]:[Harvest Days December 2026]])*BedPlan[[#This Row],[Revenue]:[Revenue]]</f>
        <v>0</v>
      </c>
      <c r="DS34" s="257" cm="1">
        <f t="array" ref="DS34">BedPlan[[#This Row],[Harvest Days November 2025]]/SUM(BedPlan[[#This Row],[Harvest Days January 2025]:[Harvest Days December 2026]])*BedPlan[[#This Row],[Revenue]:[Revenue]]</f>
        <v>0</v>
      </c>
      <c r="DT34" s="257" cm="1">
        <f t="array" ref="DT34">BedPlan[[#This Row],[Harvest Days December 2025]]/SUM(BedPlan[[#This Row],[Harvest Days January 2025]:[Harvest Days December 2026]])*BedPlan[[#This Row],[Revenue]:[Revenue]]</f>
        <v>0</v>
      </c>
      <c r="DU34" s="257" cm="1">
        <f t="array" ref="DU34">BedPlan[[#This Row],[Harvest Days January 2026]]/SUM(BedPlan[[#This Row],[Harvest Days January 2025]:[Harvest Days December 2026]])*BedPlan[[#This Row],[Revenue]:[Revenue]]</f>
        <v>0</v>
      </c>
      <c r="DV34" s="257" cm="1">
        <f t="array" ref="DV34">BedPlan[[#This Row],[Harvest Days February 2026]]/SUM(BedPlan[[#This Row],[Harvest Days January 2025]:[Harvest Days December 2026]])*BedPlan[[#This Row],[Revenue]:[Revenue]]</f>
        <v>0</v>
      </c>
      <c r="DW34" s="257" cm="1">
        <f t="array" ref="DW34">BedPlan[[#This Row],[Harvest Days March 2026]]/SUM(BedPlan[[#This Row],[Harvest Days January 2025]:[Harvest Days December 2026]])*BedPlan[[#This Row],[Revenue]:[Revenue]]</f>
        <v>0</v>
      </c>
      <c r="DX34" s="257" cm="1">
        <f t="array" ref="DX34">BedPlan[[#This Row],[Harvest Days April 2026]]/SUM(BedPlan[[#This Row],[Harvest Days January 2025]:[Harvest Days December 2026]])*BedPlan[[#This Row],[Revenue]:[Revenue]]</f>
        <v>0</v>
      </c>
      <c r="DY34" s="257" cm="1">
        <f t="array" ref="DY34">BedPlan[[#This Row],[Harvest Days May 2026]]/SUM(BedPlan[[#This Row],[Harvest Days January 2025]:[Harvest Days December 2026]])*BedPlan[[#This Row],[Revenue]:[Revenue]]</f>
        <v>0</v>
      </c>
      <c r="DZ34" s="257" cm="1">
        <f t="array" ref="DZ34">BedPlan[[#This Row],[Harvest Days June 2026]]/SUM(BedPlan[[#This Row],[Harvest Days January 2025]:[Harvest Days December 2026]])*BedPlan[[#This Row],[Revenue]:[Revenue]]</f>
        <v>0</v>
      </c>
      <c r="EA34" s="257" cm="1">
        <f t="array" ref="EA34">BedPlan[[#This Row],[Harvest Days July 2026]]/SUM(BedPlan[[#This Row],[Harvest Days January 2025]:[Harvest Days December 2026]])*BedPlan[[#This Row],[Revenue]:[Revenue]]</f>
        <v>0</v>
      </c>
      <c r="EB34" s="257" cm="1">
        <f t="array" ref="EB34">BedPlan[[#This Row],[Harvest Days August 2026]]/SUM(BedPlan[[#This Row],[Harvest Days January 2025]:[Harvest Days December 2026]])*BedPlan[[#This Row],[Revenue]:[Revenue]]</f>
        <v>0</v>
      </c>
      <c r="EC34" s="257" cm="1">
        <f t="array" ref="EC34">BedPlan[[#This Row],[Harvest Days September 2026]]/SUM(BedPlan[[#This Row],[Harvest Days January 2025]:[Harvest Days December 2026]])*BedPlan[[#This Row],[Revenue]:[Revenue]]</f>
        <v>0</v>
      </c>
      <c r="ED34" s="257" cm="1">
        <f t="array" ref="ED34">BedPlan[[#This Row],[Harvest Days October 2026]]/SUM(BedPlan[[#This Row],[Harvest Days January 2025]:[Harvest Days December 2026]])*BedPlan[[#This Row],[Revenue]:[Revenue]]</f>
        <v>0</v>
      </c>
      <c r="EE34" s="257" cm="1">
        <f t="array" ref="EE34">BedPlan[[#This Row],[Harvest Days November 2026]]/SUM(BedPlan[[#This Row],[Harvest Days January 2025]:[Harvest Days December 2026]])*BedPlan[[#This Row],[Revenue]:[Revenue]]</f>
        <v>0</v>
      </c>
      <c r="EF34" s="257" cm="1">
        <f t="array" ref="EF34">BedPlan[[#This Row],[Harvest Days December 2026]]/SUM(BedPlan[[#This Row],[Harvest Days January 2025]:[Harvest Days December 2026]])*BedPlan[[#This Row],[Revenue]:[Revenue]]</f>
        <v>0</v>
      </c>
      <c r="EG34" t="b">
        <f>SUM(BedPlan[[#This Row],[Revenue January 2025]:[Revenue December 2026]])=BedPlan[[#This Row],[Revenue]]</f>
        <v>1</v>
      </c>
      <c r="EH34" s="30" cm="1">
        <f t="array" ref="EH34">INDEX(Crops[],BedPlan[[#This Row],[Chart Index]],EH$4,1)*BedPlan[[#This Row],['# Of Beds]]</f>
        <v>85.714285714285708</v>
      </c>
      <c r="EI34" s="30" t="str" cm="1">
        <f t="array" ref="EI34">INDEX(Crops[],BedPlan[[#This Row],[Chart Index]],EI$4,1)</f>
        <v>Bunch</v>
      </c>
      <c r="EJ34" s="30" t="str" cm="1">
        <f t="array" ref="EJ34">INDEX(Crops[],BedPlan[[#This Row],[Chart Index]],EJ$4,1)</f>
        <v>Mature Root</v>
      </c>
      <c r="EK34" s="30" t="str">
        <f>BedPlan[[#This Row],[Name]]&amp;" "&amp;BedPlan[[#This Row],[Product]]&amp; " - " &amp;BedPlan[[#This Row],[Unit]]</f>
        <v>Carrot Mature Root - Bunch</v>
      </c>
      <c r="EL34" s="33" cm="1">
        <f t="array" ref="EL34">BedPlan[[#This Row],[Harvest Days January 2025]]/SUM(BedPlan[[#This Row],[Harvest Days January 2025]:[Harvest Days December 2026]])*BedPlan[[#This Row],[Yield]:[Yield]]</f>
        <v>0</v>
      </c>
      <c r="EM34" s="33" cm="1">
        <f t="array" ref="EM34">BedPlan[[#This Row],[Harvest Days February 2025]]/SUM(BedPlan[[#This Row],[Harvest Days January 2025]:[Harvest Days December 2026]])*BedPlan[[#This Row],[Yield]:[Yield]]</f>
        <v>0</v>
      </c>
      <c r="EN34" s="33" cm="1">
        <f t="array" ref="EN34">BedPlan[[#This Row],[Harvest Days March 2025]]/SUM(BedPlan[[#This Row],[Harvest Days January 2025]:[Harvest Days December 2026]])*BedPlan[[#This Row],[Yield]:[Yield]]</f>
        <v>0</v>
      </c>
      <c r="EO34" s="33" cm="1">
        <f t="array" ref="EO34">BedPlan[[#This Row],[Harvest Days April 2025]]/SUM(BedPlan[[#This Row],[Harvest Days January 2025]:[Harvest Days December 2026]])*BedPlan[[#This Row],[Yield]:[Yield]]</f>
        <v>0</v>
      </c>
      <c r="EP34" s="33" cm="1">
        <f t="array" ref="EP34">BedPlan[[#This Row],[Harvest Days May 2025]]/SUM(BedPlan[[#This Row],[Harvest Days January 2025]:[Harvest Days December 2026]])*BedPlan[[#This Row],[Yield]:[Yield]]</f>
        <v>0</v>
      </c>
      <c r="EQ34" s="33" cm="1">
        <f t="array" ref="EQ34">BedPlan[[#This Row],[Harvest Days June 2025]]/SUM(BedPlan[[#This Row],[Harvest Days January 2025]:[Harvest Days December 2026]])*BedPlan[[#This Row],[Yield]:[Yield]]</f>
        <v>0</v>
      </c>
      <c r="ER34" s="33" cm="1">
        <f t="array" ref="ER34">BedPlan[[#This Row],[Harvest Days July 2025]]/SUM(BedPlan[[#This Row],[Harvest Days January 2025]:[Harvest Days December 2026]])*BedPlan[[#This Row],[Yield]:[Yield]]</f>
        <v>0</v>
      </c>
      <c r="ES34" s="33" cm="1">
        <f t="array" ref="ES34">BedPlan[[#This Row],[Harvest Days August 2025]]/SUM(BedPlan[[#This Row],[Harvest Days January 2025]:[Harvest Days December 2026]])*BedPlan[[#This Row],[Yield]:[Yield]]</f>
        <v>0</v>
      </c>
      <c r="ET34" s="33" cm="1">
        <f t="array" ref="ET34">BedPlan[[#This Row],[Harvest Days September 2025]]/SUM(BedPlan[[#This Row],[Harvest Days January 2025]:[Harvest Days December 2026]])*BedPlan[[#This Row],[Yield]:[Yield]]</f>
        <v>85.714285714285708</v>
      </c>
      <c r="EU34" s="33" cm="1">
        <f t="array" ref="EU34">BedPlan[[#This Row],[Harvest Days October 2025]]/SUM(BedPlan[[#This Row],[Harvest Days January 2025]:[Harvest Days December 2026]])*BedPlan[[#This Row],[Yield]:[Yield]]</f>
        <v>0</v>
      </c>
      <c r="EV34" s="33" cm="1">
        <f t="array" ref="EV34">BedPlan[[#This Row],[Harvest Days November 2025]]/SUM(BedPlan[[#This Row],[Harvest Days January 2025]:[Harvest Days December 2026]])*BedPlan[[#This Row],[Yield]:[Yield]]</f>
        <v>0</v>
      </c>
      <c r="EW34" s="33" cm="1">
        <f t="array" ref="EW34">BedPlan[[#This Row],[Harvest Days December 2025]]/SUM(BedPlan[[#This Row],[Harvest Days January 2025]:[Harvest Days December 2026]])*BedPlan[[#This Row],[Yield]:[Yield]]</f>
        <v>0</v>
      </c>
    </row>
    <row r="35" spans="1:153" ht="15.75" customHeight="1">
      <c r="A35" s="180" t="s">
        <v>3259</v>
      </c>
      <c r="B35" s="240" t="s">
        <v>3264</v>
      </c>
      <c r="C35" t="s">
        <v>1432</v>
      </c>
      <c r="D35" s="226" cm="1">
        <f t="array" ref="D35">INDEX(Crops[],BedPlan[[#This Row],[Chart Index]],D$4,1)*BedPlan[[#This Row],[Full Bed Equivalent]]</f>
        <v>42.857142857142854</v>
      </c>
      <c r="E35" s="226" cm="1">
        <f t="array" ref="E35">INDEX(Crops[],BedPlan[[#This Row],[Chart Index]],E$4,1)*BedPlan[[#This Row],[Full Bed Equivalent]]</f>
        <v>171.42857142857142</v>
      </c>
      <c r="F35" t="str">
        <f>UPPER(LEFT(BedPlan[[#This Row],[Crop]],3))</f>
        <v>CAR</v>
      </c>
      <c r="H35" s="143" t="str" cm="1">
        <f t="array" ref="H35">INDEX(Crops[],BedPlan[[#This Row],[Chart Index]],H$4,1)</f>
        <v>Carrot</v>
      </c>
      <c r="K35" s="227"/>
      <c r="L35" s="33" cm="1">
        <f t="array" ref="L35">INDEX(Crops[],BedPlan[[#This Row],[Chart Index]],L$4,1)*BedPlan[[#This Row],[Full Bed Equivalent]]</f>
        <v>6240</v>
      </c>
      <c r="N35">
        <f>1</f>
        <v>1</v>
      </c>
      <c r="O35">
        <f>MAX(BedPlan[[#This Row],['# Of Beds]],0.5)</f>
        <v>1</v>
      </c>
      <c r="P35" s="31">
        <f>IF(ISNUMBER(BedPlan[[#This Row],[Planned Greenhouse Start Date]]),BedPlan[[#This Row],[Planned Greenhouse Start Date]],BedPlan[[#This Row],[Planned TP or DS Date]])</f>
        <v>45870</v>
      </c>
      <c r="Q35" s="259" t="str">
        <f>IF(BedPlan[[#This Row],[Days in Cells]]=0,"",IFERROR(_xlfn.XLOOKUP(BedPlan[[#This Row],[Follows Crop]],BedPlan[Identifier],BedPlan[Expected End of Harvest]) + 1+BedPlan[[#This Row],[Follow Offset]],BedPlan[[#This Row],[Fixed Field Start Date]])-BedPlan[[#This Row],[Days in Cells]])</f>
        <v/>
      </c>
      <c r="R35" s="259"/>
      <c r="S35" s="259" t="str">
        <f>IF(ISNUMBER(BedPlan[[#This Row],[Actual Greenhouse Date]]),BedPlan[[#This Row],[Actual Greenhouse Date]],BedPlan[[#This Row],[Planned Greenhouse Start Date]])</f>
        <v/>
      </c>
      <c r="T35" s="259">
        <v>45870</v>
      </c>
      <c r="U35" s="260"/>
      <c r="V35" s="260"/>
      <c r="W3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45870</v>
      </c>
      <c r="X35" s="259"/>
      <c r="Y35" s="271">
        <f>BedPlan[[#This Row],[Actual TP or DS Date]]-BedPlan[[#This Row],[Planned TP or DS Date]]</f>
        <v>-45870</v>
      </c>
      <c r="Z35" s="259">
        <f>IF(ISNUMBER(BedPlan[[#This Row],[Actual TP or DS Date]]),BedPlan[[#This Row],[Actual TP or DS Date]],BedPlan[[#This Row],[Planned TP or DS Date]])</f>
        <v>45870</v>
      </c>
      <c r="AA35" s="259"/>
      <c r="AB35" s="259">
        <f>IF(ISNUMBER(BedPlan[[#This Row],[Greenhouse Start Date]]),BedPlan[[#This Row],[Greenhouse Start Date]]+BedPlan[[#This Row],[DTM]],BedPlan[[#This Row],[TP or DS Date]]+BedPlan[[#This Row],[DTM]])</f>
        <v>45940</v>
      </c>
      <c r="AC35" s="259"/>
      <c r="AD35" s="259">
        <f>IF(ISNUMBER(BedPlan[[#This Row],[Actual Beginning of Harvest]]),BedPlan[[#This Row],[Actual Beginning of Harvest]],BedPlan[[#This Row],[Expected Beginning of Harvest]])</f>
        <v>45940</v>
      </c>
      <c r="AE35" s="259">
        <f>BedPlan[[#This Row],[Expected Beginning of Harvest]]+BedPlan[[#This Row],[Harvest Window]]+BedPlan[[#This Row],[Additional Days of Harvest]]</f>
        <v>45961</v>
      </c>
      <c r="AF35" s="259"/>
      <c r="AG35" s="259"/>
      <c r="AH35" s="34" t="b">
        <f>IF(AND( BedPlan[[#This Row],[Expected End of Harvest]] &gt;= DATE(2025, 8, 1), BedPlan[[#This Row],[Beginning of Harvest]] &lt;= DATE(2025, 8, 31) ), TRUE, FALSE)</f>
        <v>0</v>
      </c>
      <c r="AI35" s="31"/>
      <c r="AJ35" s="31">
        <f>IF(ISNUMBER(BedPlan[[#This Row],[Actual End of Harvest]]),BedPlan[[#This Row],[Actual End of Harvest]],BedPlan[[#This Row],[Expected End of Harvest]])</f>
        <v>45961</v>
      </c>
      <c r="AK35" t="b">
        <f>OR(ISNUMBER(BedPlan[[#This Row],[Actual Greenhouse Date]]),ISNUMBER(BedPlan[[#This Row],[Actual TP or DS Date]]))</f>
        <v>0</v>
      </c>
      <c r="AL35" s="52" t="str">
        <f>IF(ISNUMBER(BedPlan[[#This Row],[Planned Greenhouse Start Date]]),OR(ISNUMBER(BedPlan[[#This Row],[Actual TP or DS Date]]),BedPlan[[#This Row],[Failed]]),"-")</f>
        <v>-</v>
      </c>
      <c r="AM35" t="b">
        <f>OR(ISNUMBER(BedPlan[[#This Row],[Actual End of Harvest]]),BedPlan[[#This Row],[Failed]])</f>
        <v>0</v>
      </c>
      <c r="AN35" t="b">
        <f>OR(BedPlan[[#This Row],[Harvest Done]],BedPlan[[#This Row],[Failed]],BedPlan[[#This Row],[Name]]="Tarp")</f>
        <v>0</v>
      </c>
      <c r="AO35" s="34"/>
      <c r="AP35" s="34"/>
      <c r="AQ35" s="34"/>
      <c r="AR35" s="34"/>
      <c r="AS35" s="256" t="str">
        <f>IF(BedPlan[[#This Row],[Broadfork]],BedPlan[[#This Row],[Actual TP or DS Date]],"")</f>
        <v/>
      </c>
      <c r="AT35" s="256" t="str">
        <f>IF(BedPlan[[#This Row],[Tilther]],BedPlan[[#This Row],[Actual TP or DS Date]],"")</f>
        <v/>
      </c>
      <c r="AU35" s="256" t="str">
        <f>IF(NOT(ISBLANK(BedPlan[[#This Row],[Amend]])),BedPlan[[#This Row],[Actual TP or DS Date]],"")</f>
        <v/>
      </c>
      <c r="AV35" s="256" t="str">
        <f>IF(BedPlan[[#This Row],[Row Cover]],BedPlan[[#This Row],[Actual TP or DS Date]],"")</f>
        <v/>
      </c>
      <c r="AW35" s="34"/>
      <c r="AX35" s="256"/>
      <c r="AY35" s="34"/>
      <c r="AZ35" s="256"/>
      <c r="BA35" s="34"/>
      <c r="BB35" s="256"/>
      <c r="BC35" s="231" cm="1">
        <f t="array" ref="BC35">INDEX(Crops[],BedPlan[[#This Row],[Chart Index]],BC$4,1)*BedPlan[[#This Row],[Full Bed Equivalent]]</f>
        <v>557.14285714285711</v>
      </c>
      <c r="BD35" s="231" cm="1">
        <f t="array" ref="BD35">INDEX(Crops[],BedPlan[[#This Row],[Chart Index]],BD$4,1)*BedPlan[[#This Row],[Full Bed Equivalent]]</f>
        <v>6.1224489795918364</v>
      </c>
      <c r="BE35" cm="1">
        <f t="array" ref="BE35">INDEX(Crops[],BedPlan[[#This Row],[Chart Index]],BE$4,1)+BedPlan[[#This Row],[Additional Days in Cells]]+BedPlan[[#This Row],[Additional Days In Field]]</f>
        <v>70</v>
      </c>
      <c r="BG35" cm="1">
        <f t="array" ref="BG35">INDEX(Crops[],BedPlan[[#This Row],[Chart Index]],BG$4,1)</f>
        <v>21</v>
      </c>
      <c r="BH35" t="str">
        <f>IF(ISNUMBER(BedPlan[[#This Row],[Planned Greenhouse Start Date]]),"TP","DS")</f>
        <v>DS</v>
      </c>
      <c r="BI35">
        <f>BedPlan[[#This Row],['# Of Beds]]</f>
        <v>1</v>
      </c>
      <c r="BJ35" cm="1">
        <f t="array" ref="BJ35">INDEX(Crops[],BedPlan[[#This Row],[Chart Index]],BJ$4,1)</f>
        <v>0</v>
      </c>
      <c r="BK35" cm="1">
        <f t="array" ref="BK35">INDEX(Crops[],BedPlan[[#This Row],[Chart Index]],BK$4,1)</f>
        <v>4</v>
      </c>
      <c r="BL35" cm="1">
        <f t="array" ref="BL35">INDEX(Crops[],BedPlan[[#This Row],[Chart Index]],BL$4,1)</f>
        <v>0.5</v>
      </c>
      <c r="BM35" cm="1">
        <f t="array" ref="BM35">INDEX(Crops[],BedPlan[[#This Row],[Chart Index]],BM$4,1)</f>
        <v>1</v>
      </c>
      <c r="BN35" s="32" cm="1">
        <f t="array" ref="BN35">INDEX(Crops[],BedPlan[[#This Row],[Chart Index]],BN$4,1)*BedPlan[[#This Row],[Full Bed Equivalent]]</f>
        <v>4800</v>
      </c>
      <c r="BO35" t="str" cm="1">
        <f t="array" ref="BO35">IF(INDEX(Crops[],BedPlan[[#This Row],[Chart Index]],BO$4,1)=0,"",INDEX(Crops[],BedPlan[[#This Row],[Chart Index]],BO$4,1))</f>
        <v>OH</v>
      </c>
      <c r="BP35">
        <f>MATCH(BedPlan[[#This Row],[Crop]],Crops[Identifier],FALSE)</f>
        <v>62</v>
      </c>
      <c r="BQ35" t="str" cm="1">
        <f t="array" ref="BQ35">INDEX(Crops[],BedPlan[[#This Row],[Chart Index]],BQ$4,1)</f>
        <v>Early</v>
      </c>
      <c r="BR35" t="str" cm="1">
        <f t="array" ref="BR35">INDEX(Crops[],BedPlan[[#This Row],[Chart Index]],BR$4,1)</f>
        <v>Su</v>
      </c>
      <c r="BS35" s="32">
        <f>BedPlan[[#This Row],[Expected Beginning of Harvest]]-DATE(2023,1,1)</f>
        <v>1013</v>
      </c>
      <c r="BT35">
        <f>BedPlan[[#This Row],[Expected End of Harvest]]-BedPlan[[#This Row],[Expected Beginning of Harvest]]</f>
        <v>21</v>
      </c>
      <c r="BU35" t="str" cm="1">
        <f t="array" ref="BU35">INDEX(Crops[],BedPlan[[#This Row],[Chart Index]],BU$4,1)</f>
        <v>Root</v>
      </c>
      <c r="BV35" cm="1">
        <f t="array" ref="BV35">INDEX(Crops[],BedPlan[[#This Row],[Chart Index]],BV$4,1)</f>
        <v>1</v>
      </c>
      <c r="BW35" t="str" cm="1">
        <f t="array" ref="BW35">INDEX(Crops[],BedPlan[[#This Row],[Chart Index]],BW$4,1)</f>
        <v>AMAP</v>
      </c>
      <c r="BX35" cm="1">
        <f t="array" ref="BX35">INDEX(Crops[],BedPlan[[#This Row],[Chart Index]],BX$4,1)</f>
        <v>0</v>
      </c>
      <c r="BY35" cm="1">
        <f t="array" ref="BY35">INDEX(Crops[],BedPlan[[#This Row],[Chart Index]],BY$4,1)</f>
        <v>0</v>
      </c>
      <c r="BZ35" s="49" t="str" cm="1">
        <f t="array" ref="BZ35">IFERROR(INDEX(Crops[],BedPlan[[#This Row],[Chart Index]],BZ$4,1)*BedPlan[[#This Row],[Full Bed Equivalent]],"")</f>
        <v/>
      </c>
      <c r="CA35" cm="1">
        <f t="array" ref="CA35">INDEX(Crops[],BedPlan[[#This Row],[Chart Index]],CA$4,1)</f>
        <v>0</v>
      </c>
      <c r="CB35" cm="1">
        <f t="array" ref="CB35">INDEX(Crops[],BedPlan[[#This Row],[Chart Index]],CB$4,1)</f>
        <v>0</v>
      </c>
      <c r="CC35" s="49" t="str" cm="1">
        <f t="array" ref="CC35">IFERROR(INDEX(Crops[],BedPlan[[#This Row],[Chart Index]],CC$4,1)*BedPlan[[#This Row],[Full Bed Equivalent]],"")</f>
        <v/>
      </c>
      <c r="CD35" cm="1">
        <f t="array" ref="CD35">INDEX(Crops[],BedPlan[[#This Row],[Chart Index]],CD$4,1)</f>
        <v>0</v>
      </c>
      <c r="CE35" cm="1">
        <f t="array" ref="CE35">IF(INDEX(Crops[],BedPlan[[#This Row],[Chart Index]],CE$4,1)="",0,INDEX(Crops[],BedPlan[[#This Row],[Chart Index]],CE$4,1))</f>
        <v>0</v>
      </c>
      <c r="CF35" s="49" t="str" cm="1">
        <f t="array" ref="CF35">IFERROR(INDEX(Crops[],BedPlan[[#This Row],[Chart Index]],CF$4,1)*BedPlan[[#This Row],[Full Bed Equivalent]],"")</f>
        <v/>
      </c>
      <c r="CG35" cm="1">
        <f t="array" ref="CG35">IF(INDEX(Crops[],BedPlan[[#This Row],[Chart Index]],CG$4,1)="",0,INDEX(Crops[],BedPlan[[#This Row],[Chart Index]],CG$4,1))</f>
        <v>1.3</v>
      </c>
      <c r="CH35" cm="1">
        <f t="array" ref="CH35">IF(INDEX(Crops[],BedPlan[[#This Row],[Chart Index]],CH$4,1)="",0,INDEX(Crops[],BedPlan[[#This Row],[Chart Index]],CH$4,1))</f>
        <v>0</v>
      </c>
      <c r="CI35" t="str" cm="1">
        <f t="array" ref="CI35">INDEX(Crops[],BedPlan[[#This Row],[Chart Index]],CI$4,1)</f>
        <v>Field</v>
      </c>
      <c r="CJ35" s="30" t="str">
        <f>_xlfn.TEXTJOIN(CHAR(10),FALSE,BedPlan[[#This Row],[Name]],BedPlan[[#This Row],[Variety]],BedPlan[[#This Row],[Company]])</f>
        <v xml:space="preserve">Carrot
</v>
      </c>
      <c r="CK35" s="32">
        <f>MAX( 0, MIN(BedPlan[[#This Row],[Expected End of Harvest]], EOMONTH(CK$4, 0)) - MAX(BedPlan[[#This Row],[Beginning of Harvest]], CK$4) + 1 )</f>
        <v>0</v>
      </c>
      <c r="CL35">
        <f>MAX( 0, MIN(BedPlan[[#This Row],[Expected End of Harvest]], EOMONTH(CL$4, 0)) - MAX(BedPlan[[#This Row],[Beginning of Harvest]], CL$4) + 1 )</f>
        <v>0</v>
      </c>
      <c r="CM35">
        <f>MAX( 0, MIN(BedPlan[[#This Row],[Expected End of Harvest]], EOMONTH(CM$4, 0)) - MAX(BedPlan[[#This Row],[Beginning of Harvest]], CM$4) + 1 )</f>
        <v>0</v>
      </c>
      <c r="CN35">
        <f>MAX( 0, MIN(BedPlan[[#This Row],[Expected End of Harvest]], EOMONTH(CN$4, 0)) - MAX(BedPlan[[#This Row],[Beginning of Harvest]], CN$4) + 1 )</f>
        <v>0</v>
      </c>
      <c r="CO35">
        <f>MAX( 0, MIN(BedPlan[[#This Row],[Expected End of Harvest]], EOMONTH(CO$4, 0)) - MAX(BedPlan[[#This Row],[Beginning of Harvest]], CO$4) + 1 )</f>
        <v>0</v>
      </c>
      <c r="CP35">
        <f>MAX( 0, MIN(BedPlan[[#This Row],[Expected End of Harvest]], EOMONTH(CP$4, 0)) - MAX(BedPlan[[#This Row],[Beginning of Harvest]], CP$4) + 1 )</f>
        <v>0</v>
      </c>
      <c r="CQ35">
        <f>MAX( 0, MIN(BedPlan[[#This Row],[Expected End of Harvest]], EOMONTH(CQ$4, 0)) - MAX(BedPlan[[#This Row],[Beginning of Harvest]], CQ$4) + 1 )</f>
        <v>0</v>
      </c>
      <c r="CR35">
        <f>MAX( 0, MIN(BedPlan[[#This Row],[Expected End of Harvest]], EOMONTH(CR$4, 0)) - MAX(BedPlan[[#This Row],[Beginning of Harvest]], CR$4) + 1 )</f>
        <v>0</v>
      </c>
      <c r="CS35">
        <f>MAX( 0, MIN(BedPlan[[#This Row],[Expected End of Harvest]], EOMONTH(CS$4, 0)) - MAX(BedPlan[[#This Row],[Beginning of Harvest]], CS$4) + 1 )</f>
        <v>0</v>
      </c>
      <c r="CT35">
        <f>MAX( 0, MIN(BedPlan[[#This Row],[Expected End of Harvest]], EOMONTH(CT$4, 0)) - MAX(BedPlan[[#This Row],[Beginning of Harvest]], CT$4) + 1 )</f>
        <v>22</v>
      </c>
      <c r="CU35">
        <f>MAX( 0, MIN(BedPlan[[#This Row],[Expected End of Harvest]], EOMONTH(CU$4, 0)) - MAX(BedPlan[[#This Row],[Beginning of Harvest]], CU$4) + 1 )</f>
        <v>0</v>
      </c>
      <c r="CV35">
        <f>MAX( 0, MIN(BedPlan[[#This Row],[Expected End of Harvest]], EOMONTH(CV$4, 0)) - MAX(BedPlan[[#This Row],[Beginning of Harvest]], CV$4) + 1 )</f>
        <v>0</v>
      </c>
      <c r="CW35">
        <f>MAX( 0, MIN(BedPlan[[#This Row],[Expected End of Harvest]], EOMONTH(CW$4, 0)) - MAX(BedPlan[[#This Row],[Beginning of Harvest]], CW$4) + 1 )</f>
        <v>0</v>
      </c>
      <c r="CX35">
        <f>MAX( 0, MIN(BedPlan[[#This Row],[Expected End of Harvest]], EOMONTH(CX$4, 0)) - MAX(BedPlan[[#This Row],[Beginning of Harvest]], CX$4) + 1 )</f>
        <v>0</v>
      </c>
      <c r="CY35">
        <f>MAX( 0, MIN(BedPlan[[#This Row],[Expected End of Harvest]], EOMONTH(CY$4, 0)) - MAX(BedPlan[[#This Row],[Beginning of Harvest]], CY$4) + 1 )</f>
        <v>0</v>
      </c>
      <c r="CZ35">
        <f>MAX( 0, MIN(BedPlan[[#This Row],[Expected End of Harvest]], EOMONTH(CZ$4, 0)) - MAX(BedPlan[[#This Row],[Beginning of Harvest]], CZ$4) + 1 )</f>
        <v>0</v>
      </c>
      <c r="DA35">
        <f>MAX( 0, MIN(BedPlan[[#This Row],[Expected End of Harvest]], EOMONTH(DA$4, 0)) - MAX(BedPlan[[#This Row],[Beginning of Harvest]], DA$4) + 1 )</f>
        <v>0</v>
      </c>
      <c r="DB35">
        <f>MAX( 0, MIN(BedPlan[[#This Row],[Expected End of Harvest]], EOMONTH(DB$4, 0)) - MAX(BedPlan[[#This Row],[Beginning of Harvest]], DB$4) + 1 )</f>
        <v>0</v>
      </c>
      <c r="DC35">
        <f>MAX( 0, MIN(BedPlan[[#This Row],[Expected End of Harvest]], EOMONTH(DC$4, 0)) - MAX(BedPlan[[#This Row],[Beginning of Harvest]], DC$4) + 1 )</f>
        <v>0</v>
      </c>
      <c r="DD35">
        <f>MAX( 0, MIN(BedPlan[[#This Row],[Expected End of Harvest]], EOMONTH(DD$4, 0)) - MAX(BedPlan[[#This Row],[Beginning of Harvest]], DD$4) + 1 )</f>
        <v>0</v>
      </c>
      <c r="DE35">
        <f>MAX( 0, MIN(BedPlan[[#This Row],[Expected End of Harvest]], EOMONTH(DE$4, 0)) - MAX(BedPlan[[#This Row],[Beginning of Harvest]], DE$4) + 1 )</f>
        <v>0</v>
      </c>
      <c r="DF35">
        <f>MAX( 0, MIN(BedPlan[[#This Row],[Expected End of Harvest]], EOMONTH(DF$4, 0)) - MAX(BedPlan[[#This Row],[Beginning of Harvest]], DF$4) + 1 )</f>
        <v>0</v>
      </c>
      <c r="DG35">
        <f>MAX( 0, MIN(BedPlan[[#This Row],[Expected End of Harvest]], EOMONTH(DG$4, 0)) - MAX(BedPlan[[#This Row],[Beginning of Harvest]], DG$4) + 1 )</f>
        <v>0</v>
      </c>
      <c r="DH35">
        <f>MAX( 0, MIN(BedPlan[[#This Row],[Expected End of Harvest]], EOMONTH(DH$4, 0)) - MAX(BedPlan[[#This Row],[Beginning of Harvest]], DH$4) + 1 )</f>
        <v>0</v>
      </c>
      <c r="DI35" s="257" cm="1">
        <f t="array" ref="DI35">BedPlan[[#This Row],[Harvest Days January 2025]]/SUM(BedPlan[[#This Row],[Harvest Days January 2025]:[Harvest Days December 2026]])*BedPlan[[#This Row],[Revenue]:[Revenue]]</f>
        <v>0</v>
      </c>
      <c r="DJ35" s="257" cm="1">
        <f t="array" ref="DJ35">BedPlan[[#This Row],[Harvest Days February 2025]]/SUM(BedPlan[[#This Row],[Harvest Days January 2025]:[Harvest Days December 2026]])*BedPlan[[#This Row],[Revenue]:[Revenue]]</f>
        <v>0</v>
      </c>
      <c r="DK35" s="257" cm="1">
        <f t="array" ref="DK35">BedPlan[[#This Row],[Harvest Days March 2025]]/SUM(BedPlan[[#This Row],[Harvest Days January 2025]:[Harvest Days December 2026]])*BedPlan[[#This Row],[Revenue]:[Revenue]]</f>
        <v>0</v>
      </c>
      <c r="DL35" s="257" cm="1">
        <f t="array" ref="DL35">BedPlan[[#This Row],[Harvest Days April 2025]]/SUM(BedPlan[[#This Row],[Harvest Days January 2025]:[Harvest Days December 2026]])*BedPlan[[#This Row],[Revenue]:[Revenue]]</f>
        <v>0</v>
      </c>
      <c r="DM35" s="257" cm="1">
        <f t="array" ref="DM35">BedPlan[[#This Row],[Harvest Days May 2025]]/SUM(BedPlan[[#This Row],[Harvest Days January 2025]:[Harvest Days December 2026]])*BedPlan[[#This Row],[Revenue]:[Revenue]]</f>
        <v>0</v>
      </c>
      <c r="DN35" s="257" cm="1">
        <f t="array" ref="DN35">BedPlan[[#This Row],[Harvest Days June 2025]]/SUM(BedPlan[[#This Row],[Harvest Days January 2025]:[Harvest Days December 2026]])*BedPlan[[#This Row],[Revenue]:[Revenue]]</f>
        <v>0</v>
      </c>
      <c r="DO35" s="257" cm="1">
        <f t="array" ref="DO35">BedPlan[[#This Row],[Harvest Days July 2025]]/SUM(BedPlan[[#This Row],[Harvest Days January 2025]:[Harvest Days December 2026]])*BedPlan[[#This Row],[Revenue]:[Revenue]]</f>
        <v>0</v>
      </c>
      <c r="DP35" s="257" cm="1">
        <f t="array" ref="DP35">BedPlan[[#This Row],[Harvest Days August 2025]]/SUM(BedPlan[[#This Row],[Harvest Days January 2025]:[Harvest Days December 2026]])*BedPlan[[#This Row],[Revenue]:[Revenue]]</f>
        <v>0</v>
      </c>
      <c r="DQ35" s="257" cm="1">
        <f t="array" ref="DQ35">BedPlan[[#This Row],[Harvest Days September 2025]]/SUM(BedPlan[[#This Row],[Harvest Days January 2025]:[Harvest Days December 2026]])*BedPlan[[#This Row],[Revenue]:[Revenue]]</f>
        <v>0</v>
      </c>
      <c r="DR35" s="257" cm="1">
        <f t="array" ref="DR35">BedPlan[[#This Row],[Harvest Days October 2025]]/SUM(BedPlan[[#This Row],[Harvest Days January 2025]:[Harvest Days December 2026]])*BedPlan[[#This Row],[Revenue]:[Revenue]]</f>
        <v>557.14285714285711</v>
      </c>
      <c r="DS35" s="257" cm="1">
        <f t="array" ref="DS35">BedPlan[[#This Row],[Harvest Days November 2025]]/SUM(BedPlan[[#This Row],[Harvest Days January 2025]:[Harvest Days December 2026]])*BedPlan[[#This Row],[Revenue]:[Revenue]]</f>
        <v>0</v>
      </c>
      <c r="DT35" s="257" cm="1">
        <f t="array" ref="DT35">BedPlan[[#This Row],[Harvest Days December 2025]]/SUM(BedPlan[[#This Row],[Harvest Days January 2025]:[Harvest Days December 2026]])*BedPlan[[#This Row],[Revenue]:[Revenue]]</f>
        <v>0</v>
      </c>
      <c r="DU35" s="257" cm="1">
        <f t="array" ref="DU35">BedPlan[[#This Row],[Harvest Days January 2026]]/SUM(BedPlan[[#This Row],[Harvest Days January 2025]:[Harvest Days December 2026]])*BedPlan[[#This Row],[Revenue]:[Revenue]]</f>
        <v>0</v>
      </c>
      <c r="DV35" s="257" cm="1">
        <f t="array" ref="DV35">BedPlan[[#This Row],[Harvest Days February 2026]]/SUM(BedPlan[[#This Row],[Harvest Days January 2025]:[Harvest Days December 2026]])*BedPlan[[#This Row],[Revenue]:[Revenue]]</f>
        <v>0</v>
      </c>
      <c r="DW35" s="257" cm="1">
        <f t="array" ref="DW35">BedPlan[[#This Row],[Harvest Days March 2026]]/SUM(BedPlan[[#This Row],[Harvest Days January 2025]:[Harvest Days December 2026]])*BedPlan[[#This Row],[Revenue]:[Revenue]]</f>
        <v>0</v>
      </c>
      <c r="DX35" s="257" cm="1">
        <f t="array" ref="DX35">BedPlan[[#This Row],[Harvest Days April 2026]]/SUM(BedPlan[[#This Row],[Harvest Days January 2025]:[Harvest Days December 2026]])*BedPlan[[#This Row],[Revenue]:[Revenue]]</f>
        <v>0</v>
      </c>
      <c r="DY35" cm="1">
        <f t="array" ref="DY35">BedPlan[[#This Row],[Harvest Days May 2026]]/SUM(BedPlan[[#This Row],[Harvest Days January 2025]:[Harvest Days December 2026]])*BedPlan[[#This Row],[Revenue]:[Revenue]]</f>
        <v>0</v>
      </c>
      <c r="DZ35" cm="1">
        <f t="array" ref="DZ35">BedPlan[[#This Row],[Harvest Days June 2026]]/SUM(BedPlan[[#This Row],[Harvest Days January 2025]:[Harvest Days December 2026]])*BedPlan[[#This Row],[Revenue]:[Revenue]]</f>
        <v>0</v>
      </c>
      <c r="EA35" cm="1">
        <f t="array" ref="EA35">BedPlan[[#This Row],[Harvest Days July 2026]]/SUM(BedPlan[[#This Row],[Harvest Days January 2025]:[Harvest Days December 2026]])*BedPlan[[#This Row],[Revenue]:[Revenue]]</f>
        <v>0</v>
      </c>
      <c r="EB35" cm="1">
        <f t="array" ref="EB35">BedPlan[[#This Row],[Harvest Days August 2026]]/SUM(BedPlan[[#This Row],[Harvest Days January 2025]:[Harvest Days December 2026]])*BedPlan[[#This Row],[Revenue]:[Revenue]]</f>
        <v>0</v>
      </c>
      <c r="EC35" cm="1">
        <f t="array" ref="EC35">BedPlan[[#This Row],[Harvest Days September 2026]]/SUM(BedPlan[[#This Row],[Harvest Days January 2025]:[Harvest Days December 2026]])*BedPlan[[#This Row],[Revenue]:[Revenue]]</f>
        <v>0</v>
      </c>
      <c r="ED35" cm="1">
        <f t="array" ref="ED35">BedPlan[[#This Row],[Harvest Days October 2026]]/SUM(BedPlan[[#This Row],[Harvest Days January 2025]:[Harvest Days December 2026]])*BedPlan[[#This Row],[Revenue]:[Revenue]]</f>
        <v>0</v>
      </c>
      <c r="EE35" cm="1">
        <f t="array" ref="EE35">BedPlan[[#This Row],[Harvest Days November 2026]]/SUM(BedPlan[[#This Row],[Harvest Days January 2025]:[Harvest Days December 2026]])*BedPlan[[#This Row],[Revenue]:[Revenue]]</f>
        <v>0</v>
      </c>
      <c r="EF35" cm="1">
        <f t="array" ref="EF35">BedPlan[[#This Row],[Harvest Days December 2026]]/SUM(BedPlan[[#This Row],[Harvest Days January 2025]:[Harvest Days December 2026]])*BedPlan[[#This Row],[Revenue]:[Revenue]]</f>
        <v>0</v>
      </c>
      <c r="EG35" t="b">
        <f>SUM(BedPlan[[#This Row],[Revenue January 2025]:[Revenue December 2026]])=BedPlan[[#This Row],[Revenue]]</f>
        <v>1</v>
      </c>
      <c r="EH35" s="30" cm="1">
        <f t="array" ref="EH35">INDEX(Crops[],BedPlan[[#This Row],[Chart Index]],EH$4,1)*BedPlan[[#This Row],['# Of Beds]]</f>
        <v>171.42857142857142</v>
      </c>
      <c r="EI35" s="30" t="str" cm="1">
        <f t="array" ref="EI35">INDEX(Crops[],BedPlan[[#This Row],[Chart Index]],EI$4,1)</f>
        <v>Bunch</v>
      </c>
      <c r="EJ35" s="30" t="str" cm="1">
        <f t="array" ref="EJ35">INDEX(Crops[],BedPlan[[#This Row],[Chart Index]],EJ$4,1)</f>
        <v>Mature Root</v>
      </c>
      <c r="EK35" s="30" t="str">
        <f>BedPlan[[#This Row],[Name]]&amp;" "&amp;BedPlan[[#This Row],[Product]]&amp; " - " &amp;BedPlan[[#This Row],[Unit]]</f>
        <v>Carrot Mature Root - Bunch</v>
      </c>
      <c r="EL35" s="33" cm="1">
        <f t="array" ref="EL35">BedPlan[[#This Row],[Harvest Days January 2025]]/SUM(BedPlan[[#This Row],[Harvest Days January 2025]:[Harvest Days December 2026]])*BedPlan[[#This Row],[Yield]:[Yield]]</f>
        <v>0</v>
      </c>
      <c r="EM35" s="33" cm="1">
        <f t="array" ref="EM35">BedPlan[[#This Row],[Harvest Days February 2025]]/SUM(BedPlan[[#This Row],[Harvest Days January 2025]:[Harvest Days December 2026]])*BedPlan[[#This Row],[Yield]:[Yield]]</f>
        <v>0</v>
      </c>
      <c r="EN35" s="33" cm="1">
        <f t="array" ref="EN35">BedPlan[[#This Row],[Harvest Days March 2025]]/SUM(BedPlan[[#This Row],[Harvest Days January 2025]:[Harvest Days December 2026]])*BedPlan[[#This Row],[Yield]:[Yield]]</f>
        <v>0</v>
      </c>
      <c r="EO35" s="33" cm="1">
        <f t="array" ref="EO35">BedPlan[[#This Row],[Harvest Days April 2025]]/SUM(BedPlan[[#This Row],[Harvest Days January 2025]:[Harvest Days December 2026]])*BedPlan[[#This Row],[Yield]:[Yield]]</f>
        <v>0</v>
      </c>
      <c r="EP35" s="33" cm="1">
        <f t="array" ref="EP35">BedPlan[[#This Row],[Harvest Days May 2025]]/SUM(BedPlan[[#This Row],[Harvest Days January 2025]:[Harvest Days December 2026]])*BedPlan[[#This Row],[Yield]:[Yield]]</f>
        <v>0</v>
      </c>
      <c r="EQ35" s="33" cm="1">
        <f t="array" ref="EQ35">BedPlan[[#This Row],[Harvest Days June 2025]]/SUM(BedPlan[[#This Row],[Harvest Days January 2025]:[Harvest Days December 2026]])*BedPlan[[#This Row],[Yield]:[Yield]]</f>
        <v>0</v>
      </c>
      <c r="ER35" s="33" cm="1">
        <f t="array" ref="ER35">BedPlan[[#This Row],[Harvest Days July 2025]]/SUM(BedPlan[[#This Row],[Harvest Days January 2025]:[Harvest Days December 2026]])*BedPlan[[#This Row],[Yield]:[Yield]]</f>
        <v>0</v>
      </c>
      <c r="ES35" s="33" cm="1">
        <f t="array" ref="ES35">BedPlan[[#This Row],[Harvest Days August 2025]]/SUM(BedPlan[[#This Row],[Harvest Days January 2025]:[Harvest Days December 2026]])*BedPlan[[#This Row],[Yield]:[Yield]]</f>
        <v>0</v>
      </c>
      <c r="ET35" s="33" cm="1">
        <f t="array" ref="ET35">BedPlan[[#This Row],[Harvest Days September 2025]]/SUM(BedPlan[[#This Row],[Harvest Days January 2025]:[Harvest Days December 2026]])*BedPlan[[#This Row],[Yield]:[Yield]]</f>
        <v>0</v>
      </c>
      <c r="EU35" s="33" cm="1">
        <f t="array" ref="EU35">BedPlan[[#This Row],[Harvest Days October 2025]]/SUM(BedPlan[[#This Row],[Harvest Days January 2025]:[Harvest Days December 2026]])*BedPlan[[#This Row],[Yield]:[Yield]]</f>
        <v>171.42857142857142</v>
      </c>
      <c r="EV35" s="33" cm="1">
        <f t="array" ref="EV35">BedPlan[[#This Row],[Harvest Days November 2025]]/SUM(BedPlan[[#This Row],[Harvest Days January 2025]:[Harvest Days December 2026]])*BedPlan[[#This Row],[Yield]:[Yield]]</f>
        <v>0</v>
      </c>
      <c r="EW35" s="33" cm="1">
        <f t="array" ref="EW35">BedPlan[[#This Row],[Harvest Days December 2025]]/SUM(BedPlan[[#This Row],[Harvest Days January 2025]:[Harvest Days December 2026]])*BedPlan[[#This Row],[Yield]:[Yield]]</f>
        <v>0</v>
      </c>
    </row>
    <row r="36" spans="1:153" ht="15.75" customHeight="1">
      <c r="A36" s="180" t="s">
        <v>353</v>
      </c>
      <c r="B36" s="240" t="s">
        <v>2634</v>
      </c>
      <c r="C36" t="s">
        <v>1453</v>
      </c>
      <c r="D36" s="226" cm="1">
        <f t="array" ref="D36">INDEX(Crops[],BedPlan[[#This Row],[Chart Index]],D$4,1)*BedPlan[[#This Row],[Full Bed Equivalent]]</f>
        <v>45</v>
      </c>
      <c r="E36" s="226" cm="1">
        <f t="array" ref="E36">INDEX(Crops[],BedPlan[[#This Row],[Chart Index]],E$4,1)*BedPlan[[#This Row],[Full Bed Equivalent]]</f>
        <v>180</v>
      </c>
      <c r="F36" t="str">
        <f>UPPER(LEFT(BedPlan[[#This Row],[Crop]],3))</f>
        <v>CAR</v>
      </c>
      <c r="H36" s="143" t="str" cm="1">
        <f t="array" ref="H36">INDEX(Crops[],BedPlan[[#This Row],[Chart Index]],H$4,1)</f>
        <v>Carrot</v>
      </c>
      <c r="I36" t="s">
        <v>1809</v>
      </c>
      <c r="K36" t="str" cm="1">
        <f t="array" ref="K36">IF(ISNUMBER(MATCH(BedPlan[[#This Row],[Variety]],SeedMixes[Name],)),_xlfn.TEXTJOIN(", ",TRUE,_xlfn._xlws.FILTER(SeedMixes[Variety &amp; Company],SeedMixes[Name]=BedPlan[[#This Row],[Variety]])),"")</f>
        <v>Bolero F1 Johnny's, Bengala F1 High Mowing, Dolciva F1 High Mowing, Narvik High Mowing</v>
      </c>
      <c r="L36" s="33" cm="1">
        <f t="array" ref="L36">INDEX(Crops[],BedPlan[[#This Row],[Chart Index]],L$4,1)*BedPlan[[#This Row],[Full Bed Equivalent]]</f>
        <v>6240</v>
      </c>
      <c r="N36">
        <f>1</f>
        <v>1</v>
      </c>
      <c r="O36">
        <f>MAX(BedPlan[[#This Row],['# Of Beds]],0.5)</f>
        <v>1</v>
      </c>
      <c r="P36" s="31">
        <f>IF(ISNUMBER(BedPlan[[#This Row],[Planned Greenhouse Start Date]]),BedPlan[[#This Row],[Planned Greenhouse Start Date]],BedPlan[[#This Row],[Planned TP or DS Date]])</f>
        <v>45808</v>
      </c>
      <c r="Q36" s="259" t="str">
        <f>IF(BedPlan[[#This Row],[Days in Cells]]=0,"",IFERROR(_xlfn.XLOOKUP(BedPlan[[#This Row],[Follows Crop]],BedPlan[Identifier],BedPlan[Expected End of Harvest]) + 1+BedPlan[[#This Row],[Follow Offset]],BedPlan[[#This Row],[Fixed Field Start Date]])-BedPlan[[#This Row],[Days in Cells]])</f>
        <v/>
      </c>
      <c r="R36" s="259"/>
      <c r="S36" s="259" t="str">
        <f>IF(ISNUMBER(BedPlan[[#This Row],[Actual Greenhouse Date]]),BedPlan[[#This Row],[Actual Greenhouse Date]],BedPlan[[#This Row],[Planned Greenhouse Start Date]])</f>
        <v/>
      </c>
      <c r="T36" s="259">
        <f>_xlfn.XLOOKUP(BedPlan[[#This Row],[Crop]],Crops[Identifier],Crops[Target Field Date])</f>
        <v>45808</v>
      </c>
      <c r="U36" s="260"/>
      <c r="V36" s="260"/>
      <c r="W3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45808</v>
      </c>
      <c r="X36" s="259">
        <v>45837</v>
      </c>
      <c r="Y36" s="271">
        <f>BedPlan[[#This Row],[Actual TP or DS Date]]-BedPlan[[#This Row],[Planned TP or DS Date]]</f>
        <v>29</v>
      </c>
      <c r="Z36" s="259">
        <f>IF(ISNUMBER(BedPlan[[#This Row],[Actual TP or DS Date]]),BedPlan[[#This Row],[Actual TP or DS Date]],BedPlan[[#This Row],[Planned TP or DS Date]])</f>
        <v>45837</v>
      </c>
      <c r="AA36" s="259"/>
      <c r="AB36" s="259">
        <f>IF(ISNUMBER(BedPlan[[#This Row],[Greenhouse Start Date]]),BedPlan[[#This Row],[Greenhouse Start Date]]+BedPlan[[#This Row],[DTM]],BedPlan[[#This Row],[TP or DS Date]]+BedPlan[[#This Row],[DTM]])</f>
        <v>45921</v>
      </c>
      <c r="AC36" s="259"/>
      <c r="AD36" s="259">
        <f>IF(ISNUMBER(BedPlan[[#This Row],[Actual Beginning of Harvest]]),BedPlan[[#This Row],[Actual Beginning of Harvest]],BedPlan[[#This Row],[Expected Beginning of Harvest]])</f>
        <v>45921</v>
      </c>
      <c r="AE36" s="259">
        <f>BedPlan[[#This Row],[Expected Beginning of Harvest]]+BedPlan[[#This Row],[Harvest Window]]+BedPlan[[#This Row],[Additional Days of Harvest]]</f>
        <v>45942</v>
      </c>
      <c r="AF36" s="259"/>
      <c r="AG36" s="259"/>
      <c r="AH36" s="31" t="b">
        <f>IF(AND( BedPlan[[#This Row],[Expected End of Harvest]] &gt;= DATE(2025, 8, 1), BedPlan[[#This Row],[Beginning of Harvest]] &lt;= DATE(2025, 8, 31) ), TRUE, FALSE)</f>
        <v>0</v>
      </c>
      <c r="AI36" s="31"/>
      <c r="AJ36" s="31">
        <f>IF(ISNUMBER(BedPlan[[#This Row],[Actual End of Harvest]]),BedPlan[[#This Row],[Actual End of Harvest]],BedPlan[[#This Row],[Expected End of Harvest]])</f>
        <v>45942</v>
      </c>
      <c r="AK36" t="b">
        <f>OR(ISNUMBER(BedPlan[[#This Row],[Actual Greenhouse Date]]),ISNUMBER(BedPlan[[#This Row],[Actual TP or DS Date]]))</f>
        <v>1</v>
      </c>
      <c r="AL36" s="52" t="str">
        <f>IF(ISNUMBER(BedPlan[[#This Row],[Planned Greenhouse Start Date]]),OR(ISNUMBER(BedPlan[[#This Row],[Actual TP or DS Date]]),BedPlan[[#This Row],[Failed]]),"-")</f>
        <v>-</v>
      </c>
      <c r="AM36" t="b">
        <f>OR(ISNUMBER(BedPlan[[#This Row],[Actual End of Harvest]]),BedPlan[[#This Row],[Failed]])</f>
        <v>0</v>
      </c>
      <c r="AN36" t="b">
        <f>OR(BedPlan[[#This Row],[Harvest Done]],BedPlan[[#This Row],[Failed]],BedPlan[[#This Row],[Name]]="Tarp")</f>
        <v>0</v>
      </c>
      <c r="AO36" t="b">
        <v>1</v>
      </c>
      <c r="AP36" t="b">
        <v>1</v>
      </c>
      <c r="AQ36" t="s">
        <v>3257</v>
      </c>
      <c r="AS36" s="26">
        <f>IF(BedPlan[[#This Row],[Broadfork]],BedPlan[[#This Row],[Actual TP or DS Date]],"")</f>
        <v>45837</v>
      </c>
      <c r="AT36" s="26">
        <f>IF(BedPlan[[#This Row],[Tilther]],BedPlan[[#This Row],[Actual TP or DS Date]],"")</f>
        <v>45837</v>
      </c>
      <c r="AU36" s="26">
        <f>IF(NOT(ISBLANK(BedPlan[[#This Row],[Amend]])),BedPlan[[#This Row],[Actual TP or DS Date]],"")</f>
        <v>45837</v>
      </c>
      <c r="AV36" s="26" t="str">
        <f>IF(BedPlan[[#This Row],[Row Cover]],BedPlan[[#This Row],[Actual TP or DS Date]],"")</f>
        <v/>
      </c>
      <c r="AX36" s="26"/>
      <c r="AZ36" s="26"/>
      <c r="BB36" s="26"/>
      <c r="BC36" s="231" cm="1">
        <f t="array" ref="BC36">INDEX(Crops[],BedPlan[[#This Row],[Chart Index]],BC$4,1)*BedPlan[[#This Row],[Full Bed Equivalent]]</f>
        <v>630</v>
      </c>
      <c r="BD36" s="231" cm="1">
        <f t="array" ref="BD36">INDEX(Crops[],BedPlan[[#This Row],[Chart Index]],BD$4,1)*BedPlan[[#This Row],[Full Bed Equivalent]]</f>
        <v>6</v>
      </c>
      <c r="BE36" cm="1">
        <f t="array" ref="BE36">INDEX(Crops[],BedPlan[[#This Row],[Chart Index]],BE$4,1)+BedPlan[[#This Row],[Additional Days in Cells]]+BedPlan[[#This Row],[Additional Days In Field]]</f>
        <v>84</v>
      </c>
      <c r="BG36" cm="1">
        <f t="array" ref="BG36">INDEX(Crops[],BedPlan[[#This Row],[Chart Index]],BG$4,1)</f>
        <v>21</v>
      </c>
      <c r="BH36" t="str">
        <f>IF(ISNUMBER(BedPlan[[#This Row],[Planned Greenhouse Start Date]]),"TP","DS")</f>
        <v>DS</v>
      </c>
      <c r="BI36">
        <f>BedPlan[[#This Row],['# Of Beds]]</f>
        <v>1</v>
      </c>
      <c r="BJ36" cm="1">
        <f t="array" ref="BJ36">INDEX(Crops[],BedPlan[[#This Row],[Chart Index]],BJ$4,1)</f>
        <v>0</v>
      </c>
      <c r="BK36" cm="1">
        <f t="array" ref="BK36">INDEX(Crops[],BedPlan[[#This Row],[Chart Index]],BK$4,1)</f>
        <v>4</v>
      </c>
      <c r="BL36" cm="1">
        <f t="array" ref="BL36">INDEX(Crops[],BedPlan[[#This Row],[Chart Index]],BL$4,1)</f>
        <v>0.5</v>
      </c>
      <c r="BM36" cm="1">
        <f t="array" ref="BM36">INDEX(Crops[],BedPlan[[#This Row],[Chart Index]],BM$4,1)</f>
        <v>1</v>
      </c>
      <c r="BN36" s="32" cm="1">
        <f t="array" ref="BN36">INDEX(Crops[],BedPlan[[#This Row],[Chart Index]],BN$4,1)*BedPlan[[#This Row],[Full Bed Equivalent]]</f>
        <v>4800</v>
      </c>
      <c r="BO36" t="str" cm="1">
        <f t="array" ref="BO36">IF(INDEX(Crops[],BedPlan[[#This Row],[Chart Index]],BO$4,1)=0,"",INDEX(Crops[],BedPlan[[#This Row],[Chart Index]],BO$4,1))</f>
        <v>OH</v>
      </c>
      <c r="BP36">
        <f>MATCH(BedPlan[[#This Row],[Crop]],Crops[Identifier],FALSE)</f>
        <v>63</v>
      </c>
      <c r="BQ36" t="str" cm="1">
        <f t="array" ref="BQ36">INDEX(Crops[],BedPlan[[#This Row],[Chart Index]],BQ$4,1)</f>
        <v>Maincrop</v>
      </c>
      <c r="BR36" t="str" cm="1">
        <f t="array" ref="BR36">INDEX(Crops[],BedPlan[[#This Row],[Chart Index]],BR$4,1)</f>
        <v>FaWi</v>
      </c>
      <c r="BS36" s="32">
        <f>BedPlan[[#This Row],[Expected Beginning of Harvest]]-DATE(2023,1,1)</f>
        <v>994</v>
      </c>
      <c r="BT36">
        <f>BedPlan[[#This Row],[Expected End of Harvest]]-BedPlan[[#This Row],[Expected Beginning of Harvest]]</f>
        <v>21</v>
      </c>
      <c r="BU36" t="str" cm="1">
        <f t="array" ref="BU36">INDEX(Crops[],BedPlan[[#This Row],[Chart Index]],BU$4,1)</f>
        <v>Root</v>
      </c>
      <c r="BV36" cm="1">
        <f t="array" ref="BV36">INDEX(Crops[],BedPlan[[#This Row],[Chart Index]],BV$4,1)</f>
        <v>1</v>
      </c>
      <c r="BW36" t="str" cm="1">
        <f t="array" ref="BW36">INDEX(Crops[],BedPlan[[#This Row],[Chart Index]],BW$4,1)</f>
        <v>AMAP</v>
      </c>
      <c r="BX36" cm="1">
        <f t="array" ref="BX36">INDEX(Crops[],BedPlan[[#This Row],[Chart Index]],BX$4,1)</f>
        <v>0</v>
      </c>
      <c r="BY36" cm="1">
        <f t="array" ref="BY36">INDEX(Crops[],BedPlan[[#This Row],[Chart Index]],BY$4,1)</f>
        <v>0</v>
      </c>
      <c r="BZ36" s="49" t="str" cm="1">
        <f t="array" ref="BZ36">IFERROR(INDEX(Crops[],BedPlan[[#This Row],[Chart Index]],BZ$4,1)*BedPlan[[#This Row],[Full Bed Equivalent]],"")</f>
        <v/>
      </c>
      <c r="CA36" cm="1">
        <f t="array" ref="CA36">INDEX(Crops[],BedPlan[[#This Row],[Chart Index]],CA$4,1)</f>
        <v>0</v>
      </c>
      <c r="CB36" cm="1">
        <f t="array" ref="CB36">INDEX(Crops[],BedPlan[[#This Row],[Chart Index]],CB$4,1)</f>
        <v>0</v>
      </c>
      <c r="CC36" s="49" t="str" cm="1">
        <f t="array" ref="CC36">IFERROR(INDEX(Crops[],BedPlan[[#This Row],[Chart Index]],CC$4,1)*BedPlan[[#This Row],[Full Bed Equivalent]],"")</f>
        <v/>
      </c>
      <c r="CD36" cm="1">
        <f t="array" ref="CD36">INDEX(Crops[],BedPlan[[#This Row],[Chart Index]],CD$4,1)</f>
        <v>0</v>
      </c>
      <c r="CE36" cm="1">
        <f t="array" ref="CE36">IF(INDEX(Crops[],BedPlan[[#This Row],[Chart Index]],CE$4,1)="",0,INDEX(Crops[],BedPlan[[#This Row],[Chart Index]],CE$4,1))</f>
        <v>0</v>
      </c>
      <c r="CF36" s="49" t="str" cm="1">
        <f t="array" ref="CF36">IFERROR(INDEX(Crops[],BedPlan[[#This Row],[Chart Index]],CF$4,1)*BedPlan[[#This Row],[Full Bed Equivalent]],"")</f>
        <v/>
      </c>
      <c r="CG36" cm="1">
        <f t="array" ref="CG36">IF(INDEX(Crops[],BedPlan[[#This Row],[Chart Index]],CG$4,1)="",0,INDEX(Crops[],BedPlan[[#This Row],[Chart Index]],CG$4,1))</f>
        <v>1.3</v>
      </c>
      <c r="CH36" cm="1">
        <f t="array" ref="CH36">IF(INDEX(Crops[],BedPlan[[#This Row],[Chart Index]],CH$4,1)="",0,INDEX(Crops[],BedPlan[[#This Row],[Chart Index]],CH$4,1))</f>
        <v>0</v>
      </c>
      <c r="CI36" t="str" cm="1">
        <f t="array" ref="CI36">INDEX(Crops[],BedPlan[[#This Row],[Chart Index]],CI$4,1)</f>
        <v>Field</v>
      </c>
      <c r="CJ36" s="30" t="str">
        <f>_xlfn.TEXTJOIN(CHAR(10),FALSE,BedPlan[[#This Row],[Name]],BedPlan[[#This Row],[Variety]],BedPlan[[#This Row],[Company]])</f>
        <v xml:space="preserve">Carrot
Maincrop Carrot Mix
</v>
      </c>
      <c r="CK36" s="32">
        <f>MAX( 0, MIN(BedPlan[[#This Row],[Expected End of Harvest]], EOMONTH(CK$4, 0)) - MAX(BedPlan[[#This Row],[Beginning of Harvest]], CK$4) + 1 )</f>
        <v>0</v>
      </c>
      <c r="CL36">
        <f>MAX( 0, MIN(BedPlan[[#This Row],[Expected End of Harvest]], EOMONTH(CL$4, 0)) - MAX(BedPlan[[#This Row],[Beginning of Harvest]], CL$4) + 1 )</f>
        <v>0</v>
      </c>
      <c r="CM36">
        <f>MAX( 0, MIN(BedPlan[[#This Row],[Expected End of Harvest]], EOMONTH(CM$4, 0)) - MAX(BedPlan[[#This Row],[Beginning of Harvest]], CM$4) + 1 )</f>
        <v>0</v>
      </c>
      <c r="CN36">
        <f>MAX( 0, MIN(BedPlan[[#This Row],[Expected End of Harvest]], EOMONTH(CN$4, 0)) - MAX(BedPlan[[#This Row],[Beginning of Harvest]], CN$4) + 1 )</f>
        <v>0</v>
      </c>
      <c r="CO36">
        <f>MAX( 0, MIN(BedPlan[[#This Row],[Expected End of Harvest]], EOMONTH(CO$4, 0)) - MAX(BedPlan[[#This Row],[Beginning of Harvest]], CO$4) + 1 )</f>
        <v>0</v>
      </c>
      <c r="CP36">
        <f>MAX( 0, MIN(BedPlan[[#This Row],[Expected End of Harvest]], EOMONTH(CP$4, 0)) - MAX(BedPlan[[#This Row],[Beginning of Harvest]], CP$4) + 1 )</f>
        <v>0</v>
      </c>
      <c r="CQ36">
        <f>MAX( 0, MIN(BedPlan[[#This Row],[Expected End of Harvest]], EOMONTH(CQ$4, 0)) - MAX(BedPlan[[#This Row],[Beginning of Harvest]], CQ$4) + 1 )</f>
        <v>0</v>
      </c>
      <c r="CR36">
        <f>MAX( 0, MIN(BedPlan[[#This Row],[Expected End of Harvest]], EOMONTH(CR$4, 0)) - MAX(BedPlan[[#This Row],[Beginning of Harvest]], CR$4) + 1 )</f>
        <v>0</v>
      </c>
      <c r="CS36">
        <f>MAX( 0, MIN(BedPlan[[#This Row],[Expected End of Harvest]], EOMONTH(CS$4, 0)) - MAX(BedPlan[[#This Row],[Beginning of Harvest]], CS$4) + 1 )</f>
        <v>10</v>
      </c>
      <c r="CT36">
        <f>MAX( 0, MIN(BedPlan[[#This Row],[Expected End of Harvest]], EOMONTH(CT$4, 0)) - MAX(BedPlan[[#This Row],[Beginning of Harvest]], CT$4) + 1 )</f>
        <v>12</v>
      </c>
      <c r="CU36">
        <f>MAX( 0, MIN(BedPlan[[#This Row],[Expected End of Harvest]], EOMONTH(CU$4, 0)) - MAX(BedPlan[[#This Row],[Beginning of Harvest]], CU$4) + 1 )</f>
        <v>0</v>
      </c>
      <c r="CV36">
        <f>MAX( 0, MIN(BedPlan[[#This Row],[Expected End of Harvest]], EOMONTH(CV$4, 0)) - MAX(BedPlan[[#This Row],[Beginning of Harvest]], CV$4) + 1 )</f>
        <v>0</v>
      </c>
      <c r="CW36">
        <f>MAX( 0, MIN(BedPlan[[#This Row],[Expected End of Harvest]], EOMONTH(CW$4, 0)) - MAX(BedPlan[[#This Row],[Beginning of Harvest]], CW$4) + 1 )</f>
        <v>0</v>
      </c>
      <c r="CX36">
        <f>MAX( 0, MIN(BedPlan[[#This Row],[Expected End of Harvest]], EOMONTH(CX$4, 0)) - MAX(BedPlan[[#This Row],[Beginning of Harvest]], CX$4) + 1 )</f>
        <v>0</v>
      </c>
      <c r="CY36">
        <f>MAX( 0, MIN(BedPlan[[#This Row],[Expected End of Harvest]], EOMONTH(CY$4, 0)) - MAX(BedPlan[[#This Row],[Beginning of Harvest]], CY$4) + 1 )</f>
        <v>0</v>
      </c>
      <c r="CZ36">
        <f>MAX( 0, MIN(BedPlan[[#This Row],[Expected End of Harvest]], EOMONTH(CZ$4, 0)) - MAX(BedPlan[[#This Row],[Beginning of Harvest]], CZ$4) + 1 )</f>
        <v>0</v>
      </c>
      <c r="DA36">
        <f>MAX( 0, MIN(BedPlan[[#This Row],[Expected End of Harvest]], EOMONTH(DA$4, 0)) - MAX(BedPlan[[#This Row],[Beginning of Harvest]], DA$4) + 1 )</f>
        <v>0</v>
      </c>
      <c r="DB36">
        <f>MAX( 0, MIN(BedPlan[[#This Row],[Expected End of Harvest]], EOMONTH(DB$4, 0)) - MAX(BedPlan[[#This Row],[Beginning of Harvest]], DB$4) + 1 )</f>
        <v>0</v>
      </c>
      <c r="DC36">
        <f>MAX( 0, MIN(BedPlan[[#This Row],[Expected End of Harvest]], EOMONTH(DC$4, 0)) - MAX(BedPlan[[#This Row],[Beginning of Harvest]], DC$4) + 1 )</f>
        <v>0</v>
      </c>
      <c r="DD36">
        <f>MAX( 0, MIN(BedPlan[[#This Row],[Expected End of Harvest]], EOMONTH(DD$4, 0)) - MAX(BedPlan[[#This Row],[Beginning of Harvest]], DD$4) + 1 )</f>
        <v>0</v>
      </c>
      <c r="DE36">
        <f>MAX( 0, MIN(BedPlan[[#This Row],[Expected End of Harvest]], EOMONTH(DE$4, 0)) - MAX(BedPlan[[#This Row],[Beginning of Harvest]], DE$4) + 1 )</f>
        <v>0</v>
      </c>
      <c r="DF36">
        <f>MAX( 0, MIN(BedPlan[[#This Row],[Expected End of Harvest]], EOMONTH(DF$4, 0)) - MAX(BedPlan[[#This Row],[Beginning of Harvest]], DF$4) + 1 )</f>
        <v>0</v>
      </c>
      <c r="DG36">
        <f>MAX( 0, MIN(BedPlan[[#This Row],[Expected End of Harvest]], EOMONTH(DG$4, 0)) - MAX(BedPlan[[#This Row],[Beginning of Harvest]], DG$4) + 1 )</f>
        <v>0</v>
      </c>
      <c r="DH36">
        <f>MAX( 0, MIN(BedPlan[[#This Row],[Expected End of Harvest]], EOMONTH(DH$4, 0)) - MAX(BedPlan[[#This Row],[Beginning of Harvest]], DH$4) + 1 )</f>
        <v>0</v>
      </c>
      <c r="DI36" s="257" cm="1">
        <f t="array" ref="DI36">BedPlan[[#This Row],[Harvest Days January 2025]]/SUM(BedPlan[[#This Row],[Harvest Days January 2025]:[Harvest Days December 2026]])*BedPlan[[#This Row],[Revenue]:[Revenue]]</f>
        <v>0</v>
      </c>
      <c r="DJ36" s="257" cm="1">
        <f t="array" ref="DJ36">BedPlan[[#This Row],[Harvest Days February 2025]]/SUM(BedPlan[[#This Row],[Harvest Days January 2025]:[Harvest Days December 2026]])*BedPlan[[#This Row],[Revenue]:[Revenue]]</f>
        <v>0</v>
      </c>
      <c r="DK36" s="257" cm="1">
        <f t="array" ref="DK36">BedPlan[[#This Row],[Harvest Days March 2025]]/SUM(BedPlan[[#This Row],[Harvest Days January 2025]:[Harvest Days December 2026]])*BedPlan[[#This Row],[Revenue]:[Revenue]]</f>
        <v>0</v>
      </c>
      <c r="DL36" s="257" cm="1">
        <f t="array" ref="DL36">BedPlan[[#This Row],[Harvest Days April 2025]]/SUM(BedPlan[[#This Row],[Harvest Days January 2025]:[Harvest Days December 2026]])*BedPlan[[#This Row],[Revenue]:[Revenue]]</f>
        <v>0</v>
      </c>
      <c r="DM36" s="257" cm="1">
        <f t="array" ref="DM36">BedPlan[[#This Row],[Harvest Days May 2025]]/SUM(BedPlan[[#This Row],[Harvest Days January 2025]:[Harvest Days December 2026]])*BedPlan[[#This Row],[Revenue]:[Revenue]]</f>
        <v>0</v>
      </c>
      <c r="DN36" s="257" cm="1">
        <f t="array" ref="DN36">BedPlan[[#This Row],[Harvest Days June 2025]]/SUM(BedPlan[[#This Row],[Harvest Days January 2025]:[Harvest Days December 2026]])*BedPlan[[#This Row],[Revenue]:[Revenue]]</f>
        <v>0</v>
      </c>
      <c r="DO36" s="257" cm="1">
        <f t="array" ref="DO36">BedPlan[[#This Row],[Harvest Days July 2025]]/SUM(BedPlan[[#This Row],[Harvest Days January 2025]:[Harvest Days December 2026]])*BedPlan[[#This Row],[Revenue]:[Revenue]]</f>
        <v>0</v>
      </c>
      <c r="DP36" s="257" cm="1">
        <f t="array" ref="DP36">BedPlan[[#This Row],[Harvest Days August 2025]]/SUM(BedPlan[[#This Row],[Harvest Days January 2025]:[Harvest Days December 2026]])*BedPlan[[#This Row],[Revenue]:[Revenue]]</f>
        <v>0</v>
      </c>
      <c r="DQ36" s="257" cm="1">
        <f t="array" ref="DQ36">BedPlan[[#This Row],[Harvest Days September 2025]]/SUM(BedPlan[[#This Row],[Harvest Days January 2025]:[Harvest Days December 2026]])*BedPlan[[#This Row],[Revenue]:[Revenue]]</f>
        <v>286.36363636363637</v>
      </c>
      <c r="DR36" s="257" cm="1">
        <f t="array" ref="DR36">BedPlan[[#This Row],[Harvest Days October 2025]]/SUM(BedPlan[[#This Row],[Harvest Days January 2025]:[Harvest Days December 2026]])*BedPlan[[#This Row],[Revenue]:[Revenue]]</f>
        <v>343.63636363636363</v>
      </c>
      <c r="DS36" s="257" cm="1">
        <f t="array" ref="DS36">BedPlan[[#This Row],[Harvest Days November 2025]]/SUM(BedPlan[[#This Row],[Harvest Days January 2025]:[Harvest Days December 2026]])*BedPlan[[#This Row],[Revenue]:[Revenue]]</f>
        <v>0</v>
      </c>
      <c r="DT36" s="257" cm="1">
        <f t="array" ref="DT36">BedPlan[[#This Row],[Harvest Days December 2025]]/SUM(BedPlan[[#This Row],[Harvest Days January 2025]:[Harvest Days December 2026]])*BedPlan[[#This Row],[Revenue]:[Revenue]]</f>
        <v>0</v>
      </c>
      <c r="DU36" s="257" cm="1">
        <f t="array" ref="DU36">BedPlan[[#This Row],[Harvest Days January 2026]]/SUM(BedPlan[[#This Row],[Harvest Days January 2025]:[Harvest Days December 2026]])*BedPlan[[#This Row],[Revenue]:[Revenue]]</f>
        <v>0</v>
      </c>
      <c r="DV36" s="257" cm="1">
        <f t="array" ref="DV36">BedPlan[[#This Row],[Harvest Days February 2026]]/SUM(BedPlan[[#This Row],[Harvest Days January 2025]:[Harvest Days December 2026]])*BedPlan[[#This Row],[Revenue]:[Revenue]]</f>
        <v>0</v>
      </c>
      <c r="DW36" s="257" cm="1">
        <f t="array" ref="DW36">BedPlan[[#This Row],[Harvest Days March 2026]]/SUM(BedPlan[[#This Row],[Harvest Days January 2025]:[Harvest Days December 2026]])*BedPlan[[#This Row],[Revenue]:[Revenue]]</f>
        <v>0</v>
      </c>
      <c r="DX36" s="257" cm="1">
        <f t="array" ref="DX36">BedPlan[[#This Row],[Harvest Days April 2026]]/SUM(BedPlan[[#This Row],[Harvest Days January 2025]:[Harvest Days December 2026]])*BedPlan[[#This Row],[Revenue]:[Revenue]]</f>
        <v>0</v>
      </c>
      <c r="DY36" s="257" cm="1">
        <f t="array" ref="DY36">BedPlan[[#This Row],[Harvest Days May 2026]]/SUM(BedPlan[[#This Row],[Harvest Days January 2025]:[Harvest Days December 2026]])*BedPlan[[#This Row],[Revenue]:[Revenue]]</f>
        <v>0</v>
      </c>
      <c r="DZ36" s="257" cm="1">
        <f t="array" ref="DZ36">BedPlan[[#This Row],[Harvest Days June 2026]]/SUM(BedPlan[[#This Row],[Harvest Days January 2025]:[Harvest Days December 2026]])*BedPlan[[#This Row],[Revenue]:[Revenue]]</f>
        <v>0</v>
      </c>
      <c r="EA36" s="257" cm="1">
        <f t="array" ref="EA36">BedPlan[[#This Row],[Harvest Days July 2026]]/SUM(BedPlan[[#This Row],[Harvest Days January 2025]:[Harvest Days December 2026]])*BedPlan[[#This Row],[Revenue]:[Revenue]]</f>
        <v>0</v>
      </c>
      <c r="EB36" s="257" cm="1">
        <f t="array" ref="EB36">BedPlan[[#This Row],[Harvest Days August 2026]]/SUM(BedPlan[[#This Row],[Harvest Days January 2025]:[Harvest Days December 2026]])*BedPlan[[#This Row],[Revenue]:[Revenue]]</f>
        <v>0</v>
      </c>
      <c r="EC36" s="257" cm="1">
        <f t="array" ref="EC36">BedPlan[[#This Row],[Harvest Days September 2026]]/SUM(BedPlan[[#This Row],[Harvest Days January 2025]:[Harvest Days December 2026]])*BedPlan[[#This Row],[Revenue]:[Revenue]]</f>
        <v>0</v>
      </c>
      <c r="ED36" s="257" cm="1">
        <f t="array" ref="ED36">BedPlan[[#This Row],[Harvest Days October 2026]]/SUM(BedPlan[[#This Row],[Harvest Days January 2025]:[Harvest Days December 2026]])*BedPlan[[#This Row],[Revenue]:[Revenue]]</f>
        <v>0</v>
      </c>
      <c r="EE36" s="257" cm="1">
        <f t="array" ref="EE36">BedPlan[[#This Row],[Harvest Days November 2026]]/SUM(BedPlan[[#This Row],[Harvest Days January 2025]:[Harvest Days December 2026]])*BedPlan[[#This Row],[Revenue]:[Revenue]]</f>
        <v>0</v>
      </c>
      <c r="EF36" s="257" cm="1">
        <f t="array" ref="EF36">BedPlan[[#This Row],[Harvest Days December 2026]]/SUM(BedPlan[[#This Row],[Harvest Days January 2025]:[Harvest Days December 2026]])*BedPlan[[#This Row],[Revenue]:[Revenue]]</f>
        <v>0</v>
      </c>
      <c r="EG36" t="b">
        <f>SUM(BedPlan[[#This Row],[Revenue January 2025]:[Revenue December 2026]])=BedPlan[[#This Row],[Revenue]]</f>
        <v>1</v>
      </c>
      <c r="EH36" s="30" cm="1">
        <f t="array" ref="EH36">INDEX(Crops[],BedPlan[[#This Row],[Chart Index]],EH$4,1)*BedPlan[[#This Row],['# Of Beds]]</f>
        <v>180</v>
      </c>
      <c r="EI36" s="30" t="str" cm="1">
        <f t="array" ref="EI36">INDEX(Crops[],BedPlan[[#This Row],[Chart Index]],EI$4,1)</f>
        <v>Lb</v>
      </c>
      <c r="EJ36" s="30" t="str" cm="1">
        <f t="array" ref="EJ36">INDEX(Crops[],BedPlan[[#This Row],[Chart Index]],EJ$4,1)</f>
        <v>Storage Root</v>
      </c>
      <c r="EK36" s="30" t="str">
        <f>BedPlan[[#This Row],[Name]]&amp;" "&amp;BedPlan[[#This Row],[Product]]&amp; " - " &amp;BedPlan[[#This Row],[Unit]]</f>
        <v>Carrot Storage Root - Lb</v>
      </c>
      <c r="EL36" s="33" cm="1">
        <f t="array" ref="EL36">BedPlan[[#This Row],[Harvest Days January 2025]]/SUM(BedPlan[[#This Row],[Harvest Days January 2025]:[Harvest Days December 2026]])*BedPlan[[#This Row],[Yield]:[Yield]]</f>
        <v>0</v>
      </c>
      <c r="EM36" s="33" cm="1">
        <f t="array" ref="EM36">BedPlan[[#This Row],[Harvest Days February 2025]]/SUM(BedPlan[[#This Row],[Harvest Days January 2025]:[Harvest Days December 2026]])*BedPlan[[#This Row],[Yield]:[Yield]]</f>
        <v>0</v>
      </c>
      <c r="EN36" s="33" cm="1">
        <f t="array" ref="EN36">BedPlan[[#This Row],[Harvest Days March 2025]]/SUM(BedPlan[[#This Row],[Harvest Days January 2025]:[Harvest Days December 2026]])*BedPlan[[#This Row],[Yield]:[Yield]]</f>
        <v>0</v>
      </c>
      <c r="EO36" s="33" cm="1">
        <f t="array" ref="EO36">BedPlan[[#This Row],[Harvest Days April 2025]]/SUM(BedPlan[[#This Row],[Harvest Days January 2025]:[Harvest Days December 2026]])*BedPlan[[#This Row],[Yield]:[Yield]]</f>
        <v>0</v>
      </c>
      <c r="EP36" s="33" cm="1">
        <f t="array" ref="EP36">BedPlan[[#This Row],[Harvest Days May 2025]]/SUM(BedPlan[[#This Row],[Harvest Days January 2025]:[Harvest Days December 2026]])*BedPlan[[#This Row],[Yield]:[Yield]]</f>
        <v>0</v>
      </c>
      <c r="EQ36" s="33" cm="1">
        <f t="array" ref="EQ36">BedPlan[[#This Row],[Harvest Days June 2025]]/SUM(BedPlan[[#This Row],[Harvest Days January 2025]:[Harvest Days December 2026]])*BedPlan[[#This Row],[Yield]:[Yield]]</f>
        <v>0</v>
      </c>
      <c r="ER36" s="33" cm="1">
        <f t="array" ref="ER36">BedPlan[[#This Row],[Harvest Days July 2025]]/SUM(BedPlan[[#This Row],[Harvest Days January 2025]:[Harvest Days December 2026]])*BedPlan[[#This Row],[Yield]:[Yield]]</f>
        <v>0</v>
      </c>
      <c r="ES36" s="33" cm="1">
        <f t="array" ref="ES36">BedPlan[[#This Row],[Harvest Days August 2025]]/SUM(BedPlan[[#This Row],[Harvest Days January 2025]:[Harvest Days December 2026]])*BedPlan[[#This Row],[Yield]:[Yield]]</f>
        <v>0</v>
      </c>
      <c r="ET36" s="33" cm="1">
        <f t="array" ref="ET36">BedPlan[[#This Row],[Harvest Days September 2025]]/SUM(BedPlan[[#This Row],[Harvest Days January 2025]:[Harvest Days December 2026]])*BedPlan[[#This Row],[Yield]:[Yield]]</f>
        <v>81.818181818181813</v>
      </c>
      <c r="EU36" s="33" cm="1">
        <f t="array" ref="EU36">BedPlan[[#This Row],[Harvest Days October 2025]]/SUM(BedPlan[[#This Row],[Harvest Days January 2025]:[Harvest Days December 2026]])*BedPlan[[#This Row],[Yield]:[Yield]]</f>
        <v>98.181818181818173</v>
      </c>
      <c r="EV36" s="33" cm="1">
        <f t="array" ref="EV36">BedPlan[[#This Row],[Harvest Days November 2025]]/SUM(BedPlan[[#This Row],[Harvest Days January 2025]:[Harvest Days December 2026]])*BedPlan[[#This Row],[Yield]:[Yield]]</f>
        <v>0</v>
      </c>
      <c r="EW36" s="33" cm="1">
        <f t="array" ref="EW36">BedPlan[[#This Row],[Harvest Days December 2025]]/SUM(BedPlan[[#This Row],[Harvest Days January 2025]:[Harvest Days December 2026]])*BedPlan[[#This Row],[Yield]:[Yield]]</f>
        <v>0</v>
      </c>
    </row>
    <row r="37" spans="1:153" ht="15.75" customHeight="1">
      <c r="A37" s="180" t="s">
        <v>353</v>
      </c>
      <c r="B37" s="240" t="s">
        <v>2779</v>
      </c>
      <c r="C37" t="s">
        <v>1449</v>
      </c>
      <c r="D37" s="226" cm="1">
        <f t="array" ref="D37">INDEX(Crops[],BedPlan[[#This Row],[Chart Index]],D$4,1)*BedPlan[[#This Row],[Full Bed Equivalent]]</f>
        <v>45</v>
      </c>
      <c r="E37" s="226" cm="1">
        <f t="array" ref="E37">INDEX(Crops[],BedPlan[[#This Row],[Chart Index]],E$4,1)*BedPlan[[#This Row],[Full Bed Equivalent]]</f>
        <v>180</v>
      </c>
      <c r="F37" t="str">
        <f>UPPER(LEFT(BedPlan[[#This Row],[Crop]],3))</f>
        <v>CAR</v>
      </c>
      <c r="H37" s="143" t="str" cm="1">
        <f t="array" ref="H37">INDEX(Crops[],BedPlan[[#This Row],[Chart Index]],H$4,1)</f>
        <v>Carrot</v>
      </c>
      <c r="I37" t="s">
        <v>1809</v>
      </c>
      <c r="K37" t="str" cm="1">
        <f t="array" ref="K37">IF(ISNUMBER(MATCH(BedPlan[[#This Row],[Variety]],SeedMixes[Name],)),_xlfn.TEXTJOIN(", ",TRUE,_xlfn._xlws.FILTER(SeedMixes[Variety &amp; Company],SeedMixes[Name]=BedPlan[[#This Row],[Variety]])),"")</f>
        <v>Bolero F1 Johnny's, Bengala F1 High Mowing, Dolciva F1 High Mowing, Narvik High Mowing</v>
      </c>
      <c r="L37" s="33" cm="1">
        <f t="array" ref="L37">INDEX(Crops[],BedPlan[[#This Row],[Chart Index]],L$4,1)*BedPlan[[#This Row],[Full Bed Equivalent]]</f>
        <v>6240</v>
      </c>
      <c r="N37">
        <f>1</f>
        <v>1</v>
      </c>
      <c r="O37">
        <f>MAX(BedPlan[[#This Row],['# Of Beds]],0.5)</f>
        <v>1</v>
      </c>
      <c r="P37" s="31">
        <f>IF(ISNUMBER(BedPlan[[#This Row],[Planned Greenhouse Start Date]]),BedPlan[[#This Row],[Planned Greenhouse Start Date]],BedPlan[[#This Row],[Planned TP or DS Date]])</f>
        <v>45839</v>
      </c>
      <c r="Q37" s="259" t="str">
        <f>IF(BedPlan[[#This Row],[Days in Cells]]=0,"",IFERROR(_xlfn.XLOOKUP(BedPlan[[#This Row],[Follows Crop]],BedPlan[Identifier],BedPlan[Expected End of Harvest]) + 1+BedPlan[[#This Row],[Follow Offset]],BedPlan[[#This Row],[Fixed Field Start Date]])-BedPlan[[#This Row],[Days in Cells]])</f>
        <v/>
      </c>
      <c r="R37" s="259"/>
      <c r="S37" s="259" t="str">
        <f>IF(ISNUMBER(BedPlan[[#This Row],[Actual Greenhouse Date]]),BedPlan[[#This Row],[Actual Greenhouse Date]],BedPlan[[#This Row],[Planned Greenhouse Start Date]])</f>
        <v/>
      </c>
      <c r="T37" s="259">
        <v>45839</v>
      </c>
      <c r="U37" s="260"/>
      <c r="V37" s="260"/>
      <c r="W3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45839</v>
      </c>
      <c r="X37" s="259"/>
      <c r="Y37" s="271">
        <f>BedPlan[[#This Row],[Actual TP or DS Date]]-BedPlan[[#This Row],[Planned TP or DS Date]]</f>
        <v>-45839</v>
      </c>
      <c r="Z37" s="259">
        <f>IF(ISNUMBER(BedPlan[[#This Row],[Actual TP or DS Date]]),BedPlan[[#This Row],[Actual TP or DS Date]],BedPlan[[#This Row],[Planned TP or DS Date]])</f>
        <v>45839</v>
      </c>
      <c r="AA37" s="259"/>
      <c r="AB37" s="259">
        <f>IF(ISNUMBER(BedPlan[[#This Row],[Greenhouse Start Date]]),BedPlan[[#This Row],[Greenhouse Start Date]]+BedPlan[[#This Row],[DTM]],BedPlan[[#This Row],[TP or DS Date]]+BedPlan[[#This Row],[DTM]])</f>
        <v>45923</v>
      </c>
      <c r="AC37" s="259"/>
      <c r="AD37" s="259">
        <f>IF(ISNUMBER(BedPlan[[#This Row],[Actual Beginning of Harvest]]),BedPlan[[#This Row],[Actual Beginning of Harvest]],BedPlan[[#This Row],[Expected Beginning of Harvest]])</f>
        <v>45923</v>
      </c>
      <c r="AE37" s="259">
        <f>BedPlan[[#This Row],[Expected Beginning of Harvest]]+BedPlan[[#This Row],[Harvest Window]]+BedPlan[[#This Row],[Additional Days of Harvest]]</f>
        <v>45944</v>
      </c>
      <c r="AF37" s="259"/>
      <c r="AG37" s="259"/>
      <c r="AH37" s="31" t="b">
        <f>IF(AND( BedPlan[[#This Row],[Expected End of Harvest]] &gt;= DATE(2025, 8, 1), BedPlan[[#This Row],[Beginning of Harvest]] &lt;= DATE(2025, 8, 31) ), TRUE, FALSE)</f>
        <v>0</v>
      </c>
      <c r="AI37" s="31"/>
      <c r="AJ37" s="31">
        <f>IF(ISNUMBER(BedPlan[[#This Row],[Actual End of Harvest]]),BedPlan[[#This Row],[Actual End of Harvest]],BedPlan[[#This Row],[Expected End of Harvest]])</f>
        <v>45944</v>
      </c>
      <c r="AK37" t="b">
        <f>OR(ISNUMBER(BedPlan[[#This Row],[Actual Greenhouse Date]]),ISNUMBER(BedPlan[[#This Row],[Actual TP or DS Date]]))</f>
        <v>0</v>
      </c>
      <c r="AL37" s="52" t="str">
        <f>IF(ISNUMBER(BedPlan[[#This Row],[Planned Greenhouse Start Date]]),OR(ISNUMBER(BedPlan[[#This Row],[Actual TP or DS Date]]),BedPlan[[#This Row],[Failed]]),"-")</f>
        <v>-</v>
      </c>
      <c r="AM37" t="b">
        <f>OR(ISNUMBER(BedPlan[[#This Row],[Actual End of Harvest]]),BedPlan[[#This Row],[Failed]])</f>
        <v>0</v>
      </c>
      <c r="AN37" t="b">
        <f>OR(BedPlan[[#This Row],[Harvest Done]],BedPlan[[#This Row],[Failed]],BedPlan[[#This Row],[Name]]="Tarp")</f>
        <v>0</v>
      </c>
      <c r="AS37" s="26" t="str">
        <f>IF(BedPlan[[#This Row],[Broadfork]],BedPlan[[#This Row],[Actual TP or DS Date]],"")</f>
        <v/>
      </c>
      <c r="AT37" s="26" t="str">
        <f>IF(BedPlan[[#This Row],[Tilther]],BedPlan[[#This Row],[Actual TP or DS Date]],"")</f>
        <v/>
      </c>
      <c r="AU37" s="26" t="str">
        <f>IF(NOT(ISBLANK(BedPlan[[#This Row],[Amend]])),BedPlan[[#This Row],[Actual TP or DS Date]],"")</f>
        <v/>
      </c>
      <c r="AV37" s="26" t="str">
        <f>IF(BedPlan[[#This Row],[Row Cover]],BedPlan[[#This Row],[Actual TP or DS Date]],"")</f>
        <v/>
      </c>
      <c r="AX37" s="26"/>
      <c r="AZ37" s="26"/>
      <c r="BB37" s="26"/>
      <c r="BC37" s="231" cm="1">
        <f t="array" ref="BC37">INDEX(Crops[],BedPlan[[#This Row],[Chart Index]],BC$4,1)*BedPlan[[#This Row],[Full Bed Equivalent]]</f>
        <v>630</v>
      </c>
      <c r="BD37" s="231" cm="1">
        <f t="array" ref="BD37">INDEX(Crops[],BedPlan[[#This Row],[Chart Index]],BD$4,1)*BedPlan[[#This Row],[Full Bed Equivalent]]</f>
        <v>6</v>
      </c>
      <c r="BE37" cm="1">
        <f t="array" ref="BE37">INDEX(Crops[],BedPlan[[#This Row],[Chart Index]],BE$4,1)+BedPlan[[#This Row],[Additional Days in Cells]]+BedPlan[[#This Row],[Additional Days In Field]]</f>
        <v>84</v>
      </c>
      <c r="BG37" cm="1">
        <f t="array" ref="BG37">INDEX(Crops[],BedPlan[[#This Row],[Chart Index]],BG$4,1)</f>
        <v>21</v>
      </c>
      <c r="BH37" t="str">
        <f>IF(ISNUMBER(BedPlan[[#This Row],[Planned Greenhouse Start Date]]),"TP","DS")</f>
        <v>DS</v>
      </c>
      <c r="BI37">
        <f>BedPlan[[#This Row],['# Of Beds]]</f>
        <v>1</v>
      </c>
      <c r="BJ37" cm="1">
        <f t="array" ref="BJ37">INDEX(Crops[],BedPlan[[#This Row],[Chart Index]],BJ$4,1)</f>
        <v>0</v>
      </c>
      <c r="BK37" cm="1">
        <f t="array" ref="BK37">INDEX(Crops[],BedPlan[[#This Row],[Chart Index]],BK$4,1)</f>
        <v>4</v>
      </c>
      <c r="BL37" cm="1">
        <f t="array" ref="BL37">INDEX(Crops[],BedPlan[[#This Row],[Chart Index]],BL$4,1)</f>
        <v>0.5</v>
      </c>
      <c r="BM37" cm="1">
        <f t="array" ref="BM37">INDEX(Crops[],BedPlan[[#This Row],[Chart Index]],BM$4,1)</f>
        <v>1</v>
      </c>
      <c r="BN37" s="32" cm="1">
        <f t="array" ref="BN37">INDEX(Crops[],BedPlan[[#This Row],[Chart Index]],BN$4,1)*BedPlan[[#This Row],[Full Bed Equivalent]]</f>
        <v>4800</v>
      </c>
      <c r="BO37" t="str" cm="1">
        <f t="array" ref="BO37">IF(INDEX(Crops[],BedPlan[[#This Row],[Chart Index]],BO$4,1)=0,"",INDEX(Crops[],BedPlan[[#This Row],[Chart Index]],BO$4,1))</f>
        <v>OH</v>
      </c>
      <c r="BP37">
        <f>MATCH(BedPlan[[#This Row],[Crop]],Crops[Identifier],FALSE)</f>
        <v>63</v>
      </c>
      <c r="BQ37" t="str" cm="1">
        <f t="array" ref="BQ37">INDEX(Crops[],BedPlan[[#This Row],[Chart Index]],BQ$4,1)</f>
        <v>Maincrop</v>
      </c>
      <c r="BR37" t="str" cm="1">
        <f t="array" ref="BR37">INDEX(Crops[],BedPlan[[#This Row],[Chart Index]],BR$4,1)</f>
        <v>FaWi</v>
      </c>
      <c r="BS37" s="32">
        <f>BedPlan[[#This Row],[Expected Beginning of Harvest]]-DATE(2023,1,1)</f>
        <v>996</v>
      </c>
      <c r="BT37">
        <f>BedPlan[[#This Row],[Expected End of Harvest]]-BedPlan[[#This Row],[Expected Beginning of Harvest]]</f>
        <v>21</v>
      </c>
      <c r="BU37" t="str" cm="1">
        <f t="array" ref="BU37">INDEX(Crops[],BedPlan[[#This Row],[Chart Index]],BU$4,1)</f>
        <v>Root</v>
      </c>
      <c r="BV37" cm="1">
        <f t="array" ref="BV37">INDEX(Crops[],BedPlan[[#This Row],[Chart Index]],BV$4,1)</f>
        <v>1</v>
      </c>
      <c r="BW37" t="str" cm="1">
        <f t="array" ref="BW37">INDEX(Crops[],BedPlan[[#This Row],[Chart Index]],BW$4,1)</f>
        <v>AMAP</v>
      </c>
      <c r="BX37" cm="1">
        <f t="array" ref="BX37">INDEX(Crops[],BedPlan[[#This Row],[Chart Index]],BX$4,1)</f>
        <v>0</v>
      </c>
      <c r="BY37" cm="1">
        <f t="array" ref="BY37">INDEX(Crops[],BedPlan[[#This Row],[Chart Index]],BY$4,1)</f>
        <v>0</v>
      </c>
      <c r="BZ37" s="49" t="str" cm="1">
        <f t="array" ref="BZ37">IFERROR(INDEX(Crops[],BedPlan[[#This Row],[Chart Index]],BZ$4,1)*BedPlan[[#This Row],[Full Bed Equivalent]],"")</f>
        <v/>
      </c>
      <c r="CA37" cm="1">
        <f t="array" ref="CA37">INDEX(Crops[],BedPlan[[#This Row],[Chart Index]],CA$4,1)</f>
        <v>0</v>
      </c>
      <c r="CB37" cm="1">
        <f t="array" ref="CB37">INDEX(Crops[],BedPlan[[#This Row],[Chart Index]],CB$4,1)</f>
        <v>0</v>
      </c>
      <c r="CC37" s="49" t="str" cm="1">
        <f t="array" ref="CC37">IFERROR(INDEX(Crops[],BedPlan[[#This Row],[Chart Index]],CC$4,1)*BedPlan[[#This Row],[Full Bed Equivalent]],"")</f>
        <v/>
      </c>
      <c r="CD37" cm="1">
        <f t="array" ref="CD37">INDEX(Crops[],BedPlan[[#This Row],[Chart Index]],CD$4,1)</f>
        <v>0</v>
      </c>
      <c r="CE37" cm="1">
        <f t="array" ref="CE37">IF(INDEX(Crops[],BedPlan[[#This Row],[Chart Index]],CE$4,1)="",0,INDEX(Crops[],BedPlan[[#This Row],[Chart Index]],CE$4,1))</f>
        <v>0</v>
      </c>
      <c r="CF37" s="49" t="str" cm="1">
        <f t="array" ref="CF37">IFERROR(INDEX(Crops[],BedPlan[[#This Row],[Chart Index]],CF$4,1)*BedPlan[[#This Row],[Full Bed Equivalent]],"")</f>
        <v/>
      </c>
      <c r="CG37" cm="1">
        <f t="array" ref="CG37">IF(INDEX(Crops[],BedPlan[[#This Row],[Chart Index]],CG$4,1)="",0,INDEX(Crops[],BedPlan[[#This Row],[Chart Index]],CG$4,1))</f>
        <v>1.3</v>
      </c>
      <c r="CH37" cm="1">
        <f t="array" ref="CH37">IF(INDEX(Crops[],BedPlan[[#This Row],[Chart Index]],CH$4,1)="",0,INDEX(Crops[],BedPlan[[#This Row],[Chart Index]],CH$4,1))</f>
        <v>0</v>
      </c>
      <c r="CI37" t="str" cm="1">
        <f t="array" ref="CI37">INDEX(Crops[],BedPlan[[#This Row],[Chart Index]],CI$4,1)</f>
        <v>Field</v>
      </c>
      <c r="CJ37" s="30" t="str">
        <f>_xlfn.TEXTJOIN(CHAR(10),FALSE,BedPlan[[#This Row],[Name]],BedPlan[[#This Row],[Variety]],BedPlan[[#This Row],[Company]])</f>
        <v xml:space="preserve">Carrot
Maincrop Carrot Mix
</v>
      </c>
      <c r="CK37" s="32">
        <f>MAX( 0, MIN(BedPlan[[#This Row],[Expected End of Harvest]], EOMONTH(CK$4, 0)) - MAX(BedPlan[[#This Row],[Beginning of Harvest]], CK$4) + 1 )</f>
        <v>0</v>
      </c>
      <c r="CL37">
        <f>MAX( 0, MIN(BedPlan[[#This Row],[Expected End of Harvest]], EOMONTH(CL$4, 0)) - MAX(BedPlan[[#This Row],[Beginning of Harvest]], CL$4) + 1 )</f>
        <v>0</v>
      </c>
      <c r="CM37">
        <f>MAX( 0, MIN(BedPlan[[#This Row],[Expected End of Harvest]], EOMONTH(CM$4, 0)) - MAX(BedPlan[[#This Row],[Beginning of Harvest]], CM$4) + 1 )</f>
        <v>0</v>
      </c>
      <c r="CN37">
        <f>MAX( 0, MIN(BedPlan[[#This Row],[Expected End of Harvest]], EOMONTH(CN$4, 0)) - MAX(BedPlan[[#This Row],[Beginning of Harvest]], CN$4) + 1 )</f>
        <v>0</v>
      </c>
      <c r="CO37">
        <f>MAX( 0, MIN(BedPlan[[#This Row],[Expected End of Harvest]], EOMONTH(CO$4, 0)) - MAX(BedPlan[[#This Row],[Beginning of Harvest]], CO$4) + 1 )</f>
        <v>0</v>
      </c>
      <c r="CP37">
        <f>MAX( 0, MIN(BedPlan[[#This Row],[Expected End of Harvest]], EOMONTH(CP$4, 0)) - MAX(BedPlan[[#This Row],[Beginning of Harvest]], CP$4) + 1 )</f>
        <v>0</v>
      </c>
      <c r="CQ37">
        <f>MAX( 0, MIN(BedPlan[[#This Row],[Expected End of Harvest]], EOMONTH(CQ$4, 0)) - MAX(BedPlan[[#This Row],[Beginning of Harvest]], CQ$4) + 1 )</f>
        <v>0</v>
      </c>
      <c r="CR37">
        <f>MAX( 0, MIN(BedPlan[[#This Row],[Expected End of Harvest]], EOMONTH(CR$4, 0)) - MAX(BedPlan[[#This Row],[Beginning of Harvest]], CR$4) + 1 )</f>
        <v>0</v>
      </c>
      <c r="CS37">
        <f>MAX( 0, MIN(BedPlan[[#This Row],[Expected End of Harvest]], EOMONTH(CS$4, 0)) - MAX(BedPlan[[#This Row],[Beginning of Harvest]], CS$4) + 1 )</f>
        <v>8</v>
      </c>
      <c r="CT37">
        <f>MAX( 0, MIN(BedPlan[[#This Row],[Expected End of Harvest]], EOMONTH(CT$4, 0)) - MAX(BedPlan[[#This Row],[Beginning of Harvest]], CT$4) + 1 )</f>
        <v>14</v>
      </c>
      <c r="CU37">
        <f>MAX( 0, MIN(BedPlan[[#This Row],[Expected End of Harvest]], EOMONTH(CU$4, 0)) - MAX(BedPlan[[#This Row],[Beginning of Harvest]], CU$4) + 1 )</f>
        <v>0</v>
      </c>
      <c r="CV37">
        <f>MAX( 0, MIN(BedPlan[[#This Row],[Expected End of Harvest]], EOMONTH(CV$4, 0)) - MAX(BedPlan[[#This Row],[Beginning of Harvest]], CV$4) + 1 )</f>
        <v>0</v>
      </c>
      <c r="CW37">
        <f>MAX( 0, MIN(BedPlan[[#This Row],[Expected End of Harvest]], EOMONTH(CW$4, 0)) - MAX(BedPlan[[#This Row],[Beginning of Harvest]], CW$4) + 1 )</f>
        <v>0</v>
      </c>
      <c r="CX37">
        <f>MAX( 0, MIN(BedPlan[[#This Row],[Expected End of Harvest]], EOMONTH(CX$4, 0)) - MAX(BedPlan[[#This Row],[Beginning of Harvest]], CX$4) + 1 )</f>
        <v>0</v>
      </c>
      <c r="CY37">
        <f>MAX( 0, MIN(BedPlan[[#This Row],[Expected End of Harvest]], EOMONTH(CY$4, 0)) - MAX(BedPlan[[#This Row],[Beginning of Harvest]], CY$4) + 1 )</f>
        <v>0</v>
      </c>
      <c r="CZ37">
        <f>MAX( 0, MIN(BedPlan[[#This Row],[Expected End of Harvest]], EOMONTH(CZ$4, 0)) - MAX(BedPlan[[#This Row],[Beginning of Harvest]], CZ$4) + 1 )</f>
        <v>0</v>
      </c>
      <c r="DA37">
        <f>MAX( 0, MIN(BedPlan[[#This Row],[Expected End of Harvest]], EOMONTH(DA$4, 0)) - MAX(BedPlan[[#This Row],[Beginning of Harvest]], DA$4) + 1 )</f>
        <v>0</v>
      </c>
      <c r="DB37">
        <f>MAX( 0, MIN(BedPlan[[#This Row],[Expected End of Harvest]], EOMONTH(DB$4, 0)) - MAX(BedPlan[[#This Row],[Beginning of Harvest]], DB$4) + 1 )</f>
        <v>0</v>
      </c>
      <c r="DC37">
        <f>MAX( 0, MIN(BedPlan[[#This Row],[Expected End of Harvest]], EOMONTH(DC$4, 0)) - MAX(BedPlan[[#This Row],[Beginning of Harvest]], DC$4) + 1 )</f>
        <v>0</v>
      </c>
      <c r="DD37">
        <f>MAX( 0, MIN(BedPlan[[#This Row],[Expected End of Harvest]], EOMONTH(DD$4, 0)) - MAX(BedPlan[[#This Row],[Beginning of Harvest]], DD$4) + 1 )</f>
        <v>0</v>
      </c>
      <c r="DE37">
        <f>MAX( 0, MIN(BedPlan[[#This Row],[Expected End of Harvest]], EOMONTH(DE$4, 0)) - MAX(BedPlan[[#This Row],[Beginning of Harvest]], DE$4) + 1 )</f>
        <v>0</v>
      </c>
      <c r="DF37">
        <f>MAX( 0, MIN(BedPlan[[#This Row],[Expected End of Harvest]], EOMONTH(DF$4, 0)) - MAX(BedPlan[[#This Row],[Beginning of Harvest]], DF$4) + 1 )</f>
        <v>0</v>
      </c>
      <c r="DG37">
        <f>MAX( 0, MIN(BedPlan[[#This Row],[Expected End of Harvest]], EOMONTH(DG$4, 0)) - MAX(BedPlan[[#This Row],[Beginning of Harvest]], DG$4) + 1 )</f>
        <v>0</v>
      </c>
      <c r="DH37">
        <f>MAX( 0, MIN(BedPlan[[#This Row],[Expected End of Harvest]], EOMONTH(DH$4, 0)) - MAX(BedPlan[[#This Row],[Beginning of Harvest]], DH$4) + 1 )</f>
        <v>0</v>
      </c>
      <c r="DI37" s="257" cm="1">
        <f t="array" ref="DI37">BedPlan[[#This Row],[Harvest Days January 2025]]/SUM(BedPlan[[#This Row],[Harvest Days January 2025]:[Harvest Days December 2026]])*BedPlan[[#This Row],[Revenue]:[Revenue]]</f>
        <v>0</v>
      </c>
      <c r="DJ37" s="257" cm="1">
        <f t="array" ref="DJ37">BedPlan[[#This Row],[Harvest Days February 2025]]/SUM(BedPlan[[#This Row],[Harvest Days January 2025]:[Harvest Days December 2026]])*BedPlan[[#This Row],[Revenue]:[Revenue]]</f>
        <v>0</v>
      </c>
      <c r="DK37" s="257" cm="1">
        <f t="array" ref="DK37">BedPlan[[#This Row],[Harvest Days March 2025]]/SUM(BedPlan[[#This Row],[Harvest Days January 2025]:[Harvest Days December 2026]])*BedPlan[[#This Row],[Revenue]:[Revenue]]</f>
        <v>0</v>
      </c>
      <c r="DL37" s="257" cm="1">
        <f t="array" ref="DL37">BedPlan[[#This Row],[Harvest Days April 2025]]/SUM(BedPlan[[#This Row],[Harvest Days January 2025]:[Harvest Days December 2026]])*BedPlan[[#This Row],[Revenue]:[Revenue]]</f>
        <v>0</v>
      </c>
      <c r="DM37" s="257" cm="1">
        <f t="array" ref="DM37">BedPlan[[#This Row],[Harvest Days May 2025]]/SUM(BedPlan[[#This Row],[Harvest Days January 2025]:[Harvest Days December 2026]])*BedPlan[[#This Row],[Revenue]:[Revenue]]</f>
        <v>0</v>
      </c>
      <c r="DN37" s="257" cm="1">
        <f t="array" ref="DN37">BedPlan[[#This Row],[Harvest Days June 2025]]/SUM(BedPlan[[#This Row],[Harvest Days January 2025]:[Harvest Days December 2026]])*BedPlan[[#This Row],[Revenue]:[Revenue]]</f>
        <v>0</v>
      </c>
      <c r="DO37" s="257" cm="1">
        <f t="array" ref="DO37">BedPlan[[#This Row],[Harvest Days July 2025]]/SUM(BedPlan[[#This Row],[Harvest Days January 2025]:[Harvest Days December 2026]])*BedPlan[[#This Row],[Revenue]:[Revenue]]</f>
        <v>0</v>
      </c>
      <c r="DP37" s="257" cm="1">
        <f t="array" ref="DP37">BedPlan[[#This Row],[Harvest Days August 2025]]/SUM(BedPlan[[#This Row],[Harvest Days January 2025]:[Harvest Days December 2026]])*BedPlan[[#This Row],[Revenue]:[Revenue]]</f>
        <v>0</v>
      </c>
      <c r="DQ37" s="257" cm="1">
        <f t="array" ref="DQ37">BedPlan[[#This Row],[Harvest Days September 2025]]/SUM(BedPlan[[#This Row],[Harvest Days January 2025]:[Harvest Days December 2026]])*BedPlan[[#This Row],[Revenue]:[Revenue]]</f>
        <v>229.09090909090909</v>
      </c>
      <c r="DR37" s="257" cm="1">
        <f t="array" ref="DR37">BedPlan[[#This Row],[Harvest Days October 2025]]/SUM(BedPlan[[#This Row],[Harvest Days January 2025]:[Harvest Days December 2026]])*BedPlan[[#This Row],[Revenue]:[Revenue]]</f>
        <v>400.90909090909088</v>
      </c>
      <c r="DS37" s="257" cm="1">
        <f t="array" ref="DS37">BedPlan[[#This Row],[Harvest Days November 2025]]/SUM(BedPlan[[#This Row],[Harvest Days January 2025]:[Harvest Days December 2026]])*BedPlan[[#This Row],[Revenue]:[Revenue]]</f>
        <v>0</v>
      </c>
      <c r="DT37" s="257" cm="1">
        <f t="array" ref="DT37">BedPlan[[#This Row],[Harvest Days December 2025]]/SUM(BedPlan[[#This Row],[Harvest Days January 2025]:[Harvest Days December 2026]])*BedPlan[[#This Row],[Revenue]:[Revenue]]</f>
        <v>0</v>
      </c>
      <c r="DU37" s="257" cm="1">
        <f t="array" ref="DU37">BedPlan[[#This Row],[Harvest Days January 2026]]/SUM(BedPlan[[#This Row],[Harvest Days January 2025]:[Harvest Days December 2026]])*BedPlan[[#This Row],[Revenue]:[Revenue]]</f>
        <v>0</v>
      </c>
      <c r="DV37" s="257" cm="1">
        <f t="array" ref="DV37">BedPlan[[#This Row],[Harvest Days February 2026]]/SUM(BedPlan[[#This Row],[Harvest Days January 2025]:[Harvest Days December 2026]])*BedPlan[[#This Row],[Revenue]:[Revenue]]</f>
        <v>0</v>
      </c>
      <c r="DW37" s="257" cm="1">
        <f t="array" ref="DW37">BedPlan[[#This Row],[Harvest Days March 2026]]/SUM(BedPlan[[#This Row],[Harvest Days January 2025]:[Harvest Days December 2026]])*BedPlan[[#This Row],[Revenue]:[Revenue]]</f>
        <v>0</v>
      </c>
      <c r="DX37" s="257" cm="1">
        <f t="array" ref="DX37">BedPlan[[#This Row],[Harvest Days April 2026]]/SUM(BedPlan[[#This Row],[Harvest Days January 2025]:[Harvest Days December 2026]])*BedPlan[[#This Row],[Revenue]:[Revenue]]</f>
        <v>0</v>
      </c>
      <c r="DY37" s="257" cm="1">
        <f t="array" ref="DY37">BedPlan[[#This Row],[Harvest Days May 2026]]/SUM(BedPlan[[#This Row],[Harvest Days January 2025]:[Harvest Days December 2026]])*BedPlan[[#This Row],[Revenue]:[Revenue]]</f>
        <v>0</v>
      </c>
      <c r="DZ37" s="257" cm="1">
        <f t="array" ref="DZ37">BedPlan[[#This Row],[Harvest Days June 2026]]/SUM(BedPlan[[#This Row],[Harvest Days January 2025]:[Harvest Days December 2026]])*BedPlan[[#This Row],[Revenue]:[Revenue]]</f>
        <v>0</v>
      </c>
      <c r="EA37" s="257" cm="1">
        <f t="array" ref="EA37">BedPlan[[#This Row],[Harvest Days July 2026]]/SUM(BedPlan[[#This Row],[Harvest Days January 2025]:[Harvest Days December 2026]])*BedPlan[[#This Row],[Revenue]:[Revenue]]</f>
        <v>0</v>
      </c>
      <c r="EB37" s="257" cm="1">
        <f t="array" ref="EB37">BedPlan[[#This Row],[Harvest Days August 2026]]/SUM(BedPlan[[#This Row],[Harvest Days January 2025]:[Harvest Days December 2026]])*BedPlan[[#This Row],[Revenue]:[Revenue]]</f>
        <v>0</v>
      </c>
      <c r="EC37" s="257" cm="1">
        <f t="array" ref="EC37">BedPlan[[#This Row],[Harvest Days September 2026]]/SUM(BedPlan[[#This Row],[Harvest Days January 2025]:[Harvest Days December 2026]])*BedPlan[[#This Row],[Revenue]:[Revenue]]</f>
        <v>0</v>
      </c>
      <c r="ED37" s="257" cm="1">
        <f t="array" ref="ED37">BedPlan[[#This Row],[Harvest Days October 2026]]/SUM(BedPlan[[#This Row],[Harvest Days January 2025]:[Harvest Days December 2026]])*BedPlan[[#This Row],[Revenue]:[Revenue]]</f>
        <v>0</v>
      </c>
      <c r="EE37" s="257" cm="1">
        <f t="array" ref="EE37">BedPlan[[#This Row],[Harvest Days November 2026]]/SUM(BedPlan[[#This Row],[Harvest Days January 2025]:[Harvest Days December 2026]])*BedPlan[[#This Row],[Revenue]:[Revenue]]</f>
        <v>0</v>
      </c>
      <c r="EF37" s="257" cm="1">
        <f t="array" ref="EF37">BedPlan[[#This Row],[Harvest Days December 2026]]/SUM(BedPlan[[#This Row],[Harvest Days January 2025]:[Harvest Days December 2026]])*BedPlan[[#This Row],[Revenue]:[Revenue]]</f>
        <v>0</v>
      </c>
      <c r="EG37" t="b">
        <f>SUM(BedPlan[[#This Row],[Revenue January 2025]:[Revenue December 2026]])=BedPlan[[#This Row],[Revenue]]</f>
        <v>1</v>
      </c>
      <c r="EH37" s="30" cm="1">
        <f t="array" ref="EH37">INDEX(Crops[],BedPlan[[#This Row],[Chart Index]],EH$4,1)*BedPlan[[#This Row],['# Of Beds]]</f>
        <v>180</v>
      </c>
      <c r="EI37" s="30" t="str" cm="1">
        <f t="array" ref="EI37">INDEX(Crops[],BedPlan[[#This Row],[Chart Index]],EI$4,1)</f>
        <v>Lb</v>
      </c>
      <c r="EJ37" s="30" t="str" cm="1">
        <f t="array" ref="EJ37">INDEX(Crops[],BedPlan[[#This Row],[Chart Index]],EJ$4,1)</f>
        <v>Storage Root</v>
      </c>
      <c r="EK37" s="30" t="str">
        <f>BedPlan[[#This Row],[Name]]&amp;" "&amp;BedPlan[[#This Row],[Product]]&amp; " - " &amp;BedPlan[[#This Row],[Unit]]</f>
        <v>Carrot Storage Root - Lb</v>
      </c>
      <c r="EL37" s="33" cm="1">
        <f t="array" ref="EL37">BedPlan[[#This Row],[Harvest Days January 2025]]/SUM(BedPlan[[#This Row],[Harvest Days January 2025]:[Harvest Days December 2026]])*BedPlan[[#This Row],[Yield]:[Yield]]</f>
        <v>0</v>
      </c>
      <c r="EM37" s="33" cm="1">
        <f t="array" ref="EM37">BedPlan[[#This Row],[Harvest Days February 2025]]/SUM(BedPlan[[#This Row],[Harvest Days January 2025]:[Harvest Days December 2026]])*BedPlan[[#This Row],[Yield]:[Yield]]</f>
        <v>0</v>
      </c>
      <c r="EN37" s="33" cm="1">
        <f t="array" ref="EN37">BedPlan[[#This Row],[Harvest Days March 2025]]/SUM(BedPlan[[#This Row],[Harvest Days January 2025]:[Harvest Days December 2026]])*BedPlan[[#This Row],[Yield]:[Yield]]</f>
        <v>0</v>
      </c>
      <c r="EO37" s="33" cm="1">
        <f t="array" ref="EO37">BedPlan[[#This Row],[Harvest Days April 2025]]/SUM(BedPlan[[#This Row],[Harvest Days January 2025]:[Harvest Days December 2026]])*BedPlan[[#This Row],[Yield]:[Yield]]</f>
        <v>0</v>
      </c>
      <c r="EP37" s="33" cm="1">
        <f t="array" ref="EP37">BedPlan[[#This Row],[Harvest Days May 2025]]/SUM(BedPlan[[#This Row],[Harvest Days January 2025]:[Harvest Days December 2026]])*BedPlan[[#This Row],[Yield]:[Yield]]</f>
        <v>0</v>
      </c>
      <c r="EQ37" s="33" cm="1">
        <f t="array" ref="EQ37">BedPlan[[#This Row],[Harvest Days June 2025]]/SUM(BedPlan[[#This Row],[Harvest Days January 2025]:[Harvest Days December 2026]])*BedPlan[[#This Row],[Yield]:[Yield]]</f>
        <v>0</v>
      </c>
      <c r="ER37" s="33" cm="1">
        <f t="array" ref="ER37">BedPlan[[#This Row],[Harvest Days July 2025]]/SUM(BedPlan[[#This Row],[Harvest Days January 2025]:[Harvest Days December 2026]])*BedPlan[[#This Row],[Yield]:[Yield]]</f>
        <v>0</v>
      </c>
      <c r="ES37" s="33" cm="1">
        <f t="array" ref="ES37">BedPlan[[#This Row],[Harvest Days August 2025]]/SUM(BedPlan[[#This Row],[Harvest Days January 2025]:[Harvest Days December 2026]])*BedPlan[[#This Row],[Yield]:[Yield]]</f>
        <v>0</v>
      </c>
      <c r="ET37" s="33" cm="1">
        <f t="array" ref="ET37">BedPlan[[#This Row],[Harvest Days September 2025]]/SUM(BedPlan[[#This Row],[Harvest Days January 2025]:[Harvest Days December 2026]])*BedPlan[[#This Row],[Yield]:[Yield]]</f>
        <v>65.454545454545453</v>
      </c>
      <c r="EU37" s="33" cm="1">
        <f t="array" ref="EU37">BedPlan[[#This Row],[Harvest Days October 2025]]/SUM(BedPlan[[#This Row],[Harvest Days January 2025]:[Harvest Days December 2026]])*BedPlan[[#This Row],[Yield]:[Yield]]</f>
        <v>114.54545454545455</v>
      </c>
      <c r="EV37" s="33" cm="1">
        <f t="array" ref="EV37">BedPlan[[#This Row],[Harvest Days November 2025]]/SUM(BedPlan[[#This Row],[Harvest Days January 2025]:[Harvest Days December 2026]])*BedPlan[[#This Row],[Yield]:[Yield]]</f>
        <v>0</v>
      </c>
      <c r="EW37" s="33" cm="1">
        <f t="array" ref="EW37">BedPlan[[#This Row],[Harvest Days December 2025]]/SUM(BedPlan[[#This Row],[Harvest Days January 2025]:[Harvest Days December 2026]])*BedPlan[[#This Row],[Yield]:[Yield]]</f>
        <v>0</v>
      </c>
    </row>
    <row r="38" spans="1:153" ht="15.75" customHeight="1">
      <c r="A38" s="191" t="s">
        <v>404</v>
      </c>
      <c r="B38" s="240" t="s">
        <v>2635</v>
      </c>
      <c r="C38" t="s">
        <v>1467</v>
      </c>
      <c r="D38" s="226" cm="1">
        <f t="array" ref="D38">INDEX(Crops[],BedPlan[[#This Row],[Chart Index]],D$4,1)*BedPlan[[#This Row],[Full Bed Equivalent]]</f>
        <v>14.285714285714286</v>
      </c>
      <c r="E38" s="226" cm="1">
        <f t="array" ref="E38">INDEX(Crops[],BedPlan[[#This Row],[Chart Index]],E$4,1)*BedPlan[[#This Row],[Full Bed Equivalent]]</f>
        <v>57.142857142857139</v>
      </c>
      <c r="F38" t="str">
        <f>UPPER(LEFT(BedPlan[[#This Row],[Crop]],3))</f>
        <v>CAU</v>
      </c>
      <c r="H38" s="143" t="str" cm="1">
        <f t="array" ref="H38">INDEX(Crops[],BedPlan[[#This Row],[Chart Index]],H$4,1)</f>
        <v>Cauliflower</v>
      </c>
      <c r="I38" t="s">
        <v>1906</v>
      </c>
      <c r="K38" t="str" cm="1">
        <f t="array" ref="K38">IF(ISNUMBER(MATCH(BedPlan[[#This Row],[Variety]],SeedMixes[Name],)),_xlfn.TEXTJOIN(", ",TRUE,_xlfn._xlws.FILTER(SeedMixes[Variety &amp; Company],SeedMixes[Name]=BedPlan[[#This Row],[Variety]])),"")</f>
        <v>Tessaury F1 Johnny's, Skywalker F1 Johnny's</v>
      </c>
      <c r="L38" s="33" cm="1">
        <f t="array" ref="L38">INDEX(Crops[],BedPlan[[#This Row],[Chart Index]],L$4,1)*BedPlan[[#This Row],[Full Bed Equivalent]]</f>
        <v>85.714285714285708</v>
      </c>
      <c r="N38">
        <f>1</f>
        <v>1</v>
      </c>
      <c r="O38">
        <f>MAX(BedPlan[[#This Row],['# Of Beds]],0.5)</f>
        <v>1</v>
      </c>
      <c r="P38" s="31">
        <f>IF(ISNUMBER(BedPlan[[#This Row],[Planned Greenhouse Start Date]]),BedPlan[[#This Row],[Planned Greenhouse Start Date]],BedPlan[[#This Row],[Planned TP or DS Date]])</f>
        <v>45818</v>
      </c>
      <c r="Q38" s="259">
        <f>IF(BedPlan[[#This Row],[Days in Cells]]=0,"",IFERROR(_xlfn.XLOOKUP(BedPlan[[#This Row],[Follows Crop]],BedPlan[Identifier],BedPlan[Expected End of Harvest]) + 1+BedPlan[[#This Row],[Follow Offset]],BedPlan[[#This Row],[Fixed Field Start Date]])-BedPlan[[#This Row],[Days in Cells]])</f>
        <v>45818</v>
      </c>
      <c r="R38" s="259">
        <v>45829</v>
      </c>
      <c r="S38" s="259">
        <f>IF(ISNUMBER(BedPlan[[#This Row],[Actual Greenhouse Date]]),BedPlan[[#This Row],[Actual Greenhouse Date]],BedPlan[[#This Row],[Planned Greenhouse Start Date]])</f>
        <v>45829</v>
      </c>
      <c r="T38" s="259">
        <v>45853</v>
      </c>
      <c r="U38" s="260"/>
      <c r="V38" s="260"/>
      <c r="W3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38" s="259"/>
      <c r="Y38" s="271">
        <f>BedPlan[[#This Row],[Actual TP or DS Date]]-BedPlan[[#This Row],[Planned TP or DS Date]]</f>
        <v>-45864</v>
      </c>
      <c r="Z38" s="259">
        <f>IF(ISNUMBER(BedPlan[[#This Row],[Actual TP or DS Date]]),BedPlan[[#This Row],[Actual TP or DS Date]],BedPlan[[#This Row],[Planned TP or DS Date]])</f>
        <v>45864</v>
      </c>
      <c r="AA38" s="259"/>
      <c r="AB38" s="259">
        <f>IF(ISNUMBER(BedPlan[[#This Row],[Greenhouse Start Date]]),BedPlan[[#This Row],[Greenhouse Start Date]]+BedPlan[[#This Row],[DTM]],BedPlan[[#This Row],[TP or DS Date]]+BedPlan[[#This Row],[DTM]])</f>
        <v>45949</v>
      </c>
      <c r="AC38" s="259"/>
      <c r="AD38" s="259">
        <f>IF(ISNUMBER(BedPlan[[#This Row],[Actual Beginning of Harvest]]),BedPlan[[#This Row],[Actual Beginning of Harvest]],BedPlan[[#This Row],[Expected Beginning of Harvest]])</f>
        <v>45949</v>
      </c>
      <c r="AE38" s="259">
        <f>BedPlan[[#This Row],[Expected Beginning of Harvest]]+BedPlan[[#This Row],[Harvest Window]]+BedPlan[[#This Row],[Additional Days of Harvest]]</f>
        <v>45970</v>
      </c>
      <c r="AF38" s="259"/>
      <c r="AG38" s="259"/>
      <c r="AH38" s="31" t="b">
        <f>IF(AND( BedPlan[[#This Row],[Expected End of Harvest]] &gt;= DATE(2025, 8, 1), BedPlan[[#This Row],[Beginning of Harvest]] &lt;= DATE(2025, 8, 31) ), TRUE, FALSE)</f>
        <v>0</v>
      </c>
      <c r="AI38" s="31"/>
      <c r="AJ38" s="31">
        <f>IF(ISNUMBER(BedPlan[[#This Row],[Actual End of Harvest]]),BedPlan[[#This Row],[Actual End of Harvest]],BedPlan[[#This Row],[Expected End of Harvest]])</f>
        <v>45970</v>
      </c>
      <c r="AK38" t="b">
        <f>OR(ISNUMBER(BedPlan[[#This Row],[Actual Greenhouse Date]]),ISNUMBER(BedPlan[[#This Row],[Actual TP or DS Date]]))</f>
        <v>1</v>
      </c>
      <c r="AL38" s="52" t="b">
        <f>IF(ISNUMBER(BedPlan[[#This Row],[Planned Greenhouse Start Date]]),OR(ISNUMBER(BedPlan[[#This Row],[Actual TP or DS Date]]),BedPlan[[#This Row],[Failed]]),"-")</f>
        <v>0</v>
      </c>
      <c r="AM38" t="b">
        <f>OR(ISNUMBER(BedPlan[[#This Row],[Actual End of Harvest]]),BedPlan[[#This Row],[Failed]])</f>
        <v>0</v>
      </c>
      <c r="AN38" t="b">
        <f>OR(BedPlan[[#This Row],[Harvest Done]],BedPlan[[#This Row],[Failed]],BedPlan[[#This Row],[Name]]="Tarp")</f>
        <v>0</v>
      </c>
      <c r="AS38" s="26" t="str">
        <f>IF(BedPlan[[#This Row],[Broadfork]],BedPlan[[#This Row],[Actual TP or DS Date]],"")</f>
        <v/>
      </c>
      <c r="AT38" s="26" t="str">
        <f>IF(BedPlan[[#This Row],[Tilther]],BedPlan[[#This Row],[Actual TP or DS Date]],"")</f>
        <v/>
      </c>
      <c r="AU38" s="26" t="str">
        <f>IF(NOT(ISBLANK(BedPlan[[#This Row],[Amend]])),BedPlan[[#This Row],[Actual TP or DS Date]],"")</f>
        <v/>
      </c>
      <c r="AV38" s="26" t="str">
        <f>IF(BedPlan[[#This Row],[Row Cover]],BedPlan[[#This Row],[Actual TP or DS Date]],"")</f>
        <v/>
      </c>
      <c r="AX38" s="26"/>
      <c r="AZ38" s="26"/>
      <c r="BB38" s="26"/>
      <c r="BC38" s="231" cm="1">
        <f t="array" ref="BC38">INDEX(Crops[],BedPlan[[#This Row],[Chart Index]],BC$4,1)*BedPlan[[#This Row],[Full Bed Equivalent]]</f>
        <v>514.28571428571422</v>
      </c>
      <c r="BD38" s="231" cm="1">
        <f t="array" ref="BD38">INDEX(Crops[],BedPlan[[#This Row],[Chart Index]],BD$4,1)*BedPlan[[#This Row],[Full Bed Equivalent]]</f>
        <v>4.8517520215633416</v>
      </c>
      <c r="BE38" cm="1">
        <f t="array" ref="BE38">INDEX(Crops[],BedPlan[[#This Row],[Chart Index]],BE$4,1)+BedPlan[[#This Row],[Additional Days in Cells]]+BedPlan[[#This Row],[Additional Days In Field]]</f>
        <v>120</v>
      </c>
      <c r="BG38" cm="1">
        <f t="array" ref="BG38">INDEX(Crops[],BedPlan[[#This Row],[Chart Index]],BG$4,1)</f>
        <v>21</v>
      </c>
      <c r="BH38" t="str">
        <f>IF(ISNUMBER(BedPlan[[#This Row],[Planned Greenhouse Start Date]]),"TP","DS")</f>
        <v>TP</v>
      </c>
      <c r="BI38">
        <f>BedPlan[[#This Row],['# Of Beds]]</f>
        <v>1</v>
      </c>
      <c r="BJ38" cm="1">
        <f t="array" ref="BJ38">INDEX(Crops[],BedPlan[[#This Row],[Chart Index]],BJ$4,1)</f>
        <v>35</v>
      </c>
      <c r="BK38" cm="1">
        <f t="array" ref="BK38">INDEX(Crops[],BedPlan[[#This Row],[Chart Index]],BK$4,1)</f>
        <v>2</v>
      </c>
      <c r="BL38" cm="1">
        <f t="array" ref="BL38">INDEX(Crops[],BedPlan[[#This Row],[Chart Index]],BL$4,1)</f>
        <v>21</v>
      </c>
      <c r="BM38" cm="1">
        <f t="array" ref="BM38">INDEX(Crops[],BedPlan[[#This Row],[Chart Index]],BM$4,1)</f>
        <v>1</v>
      </c>
      <c r="BN38" s="32" cm="1">
        <f t="array" ref="BN38">INDEX(Crops[],BedPlan[[#This Row],[Chart Index]],BN$4,1)*BedPlan[[#This Row],[Full Bed Equivalent]]</f>
        <v>57.142857142857139</v>
      </c>
      <c r="BO38" t="str" cm="1">
        <f t="array" ref="BO38">IF(INDEX(Crops[],BedPlan[[#This Row],[Chart Index]],BO$4,1)=0,"",INDEX(Crops[],BedPlan[[#This Row],[Chart Index]],BO$4,1))</f>
        <v/>
      </c>
      <c r="BP38">
        <f>MATCH(BedPlan[[#This Row],[Crop]],Crops[Identifier],FALSE)</f>
        <v>66</v>
      </c>
      <c r="BQ38" t="str" cm="1">
        <f t="array" ref="BQ38">INDEX(Crops[],BedPlan[[#This Row],[Chart Index]],BQ$4,1)</f>
        <v>General</v>
      </c>
      <c r="BR38" t="str" cm="1">
        <f t="array" ref="BR38">INDEX(Crops[],BedPlan[[#This Row],[Chart Index]],BR$4,1)</f>
        <v>Fa</v>
      </c>
      <c r="BS38" s="32">
        <f>BedPlan[[#This Row],[Expected Beginning of Harvest]]-DATE(2023,1,1)</f>
        <v>1022</v>
      </c>
      <c r="BT38">
        <f>BedPlan[[#This Row],[Expected End of Harvest]]-BedPlan[[#This Row],[Expected Beginning of Harvest]]</f>
        <v>21</v>
      </c>
      <c r="BU38" t="str" cm="1">
        <f t="array" ref="BU38">INDEX(Crops[],BedPlan[[#This Row],[Chart Index]],BU$4,1)</f>
        <v>Brassica</v>
      </c>
      <c r="BV38" cm="1">
        <f t="array" ref="BV38">INDEX(Crops[],BedPlan[[#This Row],[Chart Index]],BV$4,1)</f>
        <v>1.5</v>
      </c>
      <c r="BW38" t="str" cm="1">
        <f t="array" ref="BW38">INDEX(Crops[],BedPlan[[#This Row],[Chart Index]],BW$4,1)</f>
        <v>AMAP</v>
      </c>
      <c r="BX38" cm="1">
        <f t="array" ref="BX38">INDEX(Crops[],BedPlan[[#This Row],[Chart Index]],BX$4,1)</f>
        <v>400</v>
      </c>
      <c r="BY38" cm="1">
        <f t="array" ref="BY38">INDEX(Crops[],BedPlan[[#This Row],[Chart Index]],BY$4,1)</f>
        <v>7</v>
      </c>
      <c r="BZ38" s="49" cm="1">
        <f t="array" ref="BZ38">IFERROR(INDEX(Crops[],BedPlan[[#This Row],[Chart Index]],BZ$4,1)*BedPlan[[#This Row],[Full Bed Equivalent]],"")</f>
        <v>0.14285714285714285</v>
      </c>
      <c r="CA38" cm="1">
        <f t="array" ref="CA38">INDEX(Crops[],BedPlan[[#This Row],[Chart Index]],CA$4,1)</f>
        <v>128</v>
      </c>
      <c r="CB38" cm="1">
        <f t="array" ref="CB38">INDEX(Crops[],BedPlan[[#This Row],[Chart Index]],CB$4,1)</f>
        <v>28</v>
      </c>
      <c r="CC38" s="49" cm="1">
        <f t="array" ref="CC38">IFERROR(INDEX(Crops[],BedPlan[[#This Row],[Chart Index]],CC$4,1)*BedPlan[[#This Row],[Full Bed Equivalent]],"")</f>
        <v>0.4464285714285714</v>
      </c>
      <c r="CD38" cm="1">
        <f t="array" ref="CD38">INDEX(Crops[],BedPlan[[#This Row],[Chart Index]],CD$4,1)</f>
        <v>0</v>
      </c>
      <c r="CE38" cm="1">
        <f t="array" ref="CE38">IF(INDEX(Crops[],BedPlan[[#This Row],[Chart Index]],CE$4,1)="",0,INDEX(Crops[],BedPlan[[#This Row],[Chart Index]],CE$4,1))</f>
        <v>0</v>
      </c>
      <c r="CF38" s="49" t="str" cm="1">
        <f t="array" ref="CF38">IFERROR(INDEX(Crops[],BedPlan[[#This Row],[Chart Index]],CF$4,1)*BedPlan[[#This Row],[Full Bed Equivalent]],"")</f>
        <v/>
      </c>
      <c r="CG38" cm="1">
        <f t="array" ref="CG38">IF(INDEX(Crops[],BedPlan[[#This Row],[Chart Index]],CG$4,1)="",0,INDEX(Crops[],BedPlan[[#This Row],[Chart Index]],CG$4,1))</f>
        <v>1</v>
      </c>
      <c r="CH38" cm="1">
        <f t="array" ref="CH38">IF(INDEX(Crops[],BedPlan[[#This Row],[Chart Index]],CH$4,1)="",0,INDEX(Crops[],BedPlan[[#This Row],[Chart Index]],CH$4,1))</f>
        <v>0</v>
      </c>
      <c r="CI38" t="str" cm="1">
        <f t="array" ref="CI38">INDEX(Crops[],BedPlan[[#This Row],[Chart Index]],CI$4,1)</f>
        <v>Field</v>
      </c>
      <c r="CJ38" s="30" t="str">
        <f>_xlfn.TEXTJOIN(CHAR(10),FALSE,BedPlan[[#This Row],[Name]],BedPlan[[#This Row],[Variety]],BedPlan[[#This Row],[Company]])</f>
        <v xml:space="preserve">Cauliflower
Fall Cauliflower Mix
</v>
      </c>
      <c r="CK38" s="32">
        <f>MAX( 0, MIN(BedPlan[[#This Row],[Expected End of Harvest]], EOMONTH(CK$4, 0)) - MAX(BedPlan[[#This Row],[Beginning of Harvest]], CK$4) + 1 )</f>
        <v>0</v>
      </c>
      <c r="CL38">
        <f>MAX( 0, MIN(BedPlan[[#This Row],[Expected End of Harvest]], EOMONTH(CL$4, 0)) - MAX(BedPlan[[#This Row],[Beginning of Harvest]], CL$4) + 1 )</f>
        <v>0</v>
      </c>
      <c r="CM38">
        <f>MAX( 0, MIN(BedPlan[[#This Row],[Expected End of Harvest]], EOMONTH(CM$4, 0)) - MAX(BedPlan[[#This Row],[Beginning of Harvest]], CM$4) + 1 )</f>
        <v>0</v>
      </c>
      <c r="CN38">
        <f>MAX( 0, MIN(BedPlan[[#This Row],[Expected End of Harvest]], EOMONTH(CN$4, 0)) - MAX(BedPlan[[#This Row],[Beginning of Harvest]], CN$4) + 1 )</f>
        <v>0</v>
      </c>
      <c r="CO38">
        <f>MAX( 0, MIN(BedPlan[[#This Row],[Expected End of Harvest]], EOMONTH(CO$4, 0)) - MAX(BedPlan[[#This Row],[Beginning of Harvest]], CO$4) + 1 )</f>
        <v>0</v>
      </c>
      <c r="CP38">
        <f>MAX( 0, MIN(BedPlan[[#This Row],[Expected End of Harvest]], EOMONTH(CP$4, 0)) - MAX(BedPlan[[#This Row],[Beginning of Harvest]], CP$4) + 1 )</f>
        <v>0</v>
      </c>
      <c r="CQ38">
        <f>MAX( 0, MIN(BedPlan[[#This Row],[Expected End of Harvest]], EOMONTH(CQ$4, 0)) - MAX(BedPlan[[#This Row],[Beginning of Harvest]], CQ$4) + 1 )</f>
        <v>0</v>
      </c>
      <c r="CR38">
        <f>MAX( 0, MIN(BedPlan[[#This Row],[Expected End of Harvest]], EOMONTH(CR$4, 0)) - MAX(BedPlan[[#This Row],[Beginning of Harvest]], CR$4) + 1 )</f>
        <v>0</v>
      </c>
      <c r="CS38">
        <f>MAX( 0, MIN(BedPlan[[#This Row],[Expected End of Harvest]], EOMONTH(CS$4, 0)) - MAX(BedPlan[[#This Row],[Beginning of Harvest]], CS$4) + 1 )</f>
        <v>0</v>
      </c>
      <c r="CT38">
        <f>MAX( 0, MIN(BedPlan[[#This Row],[Expected End of Harvest]], EOMONTH(CT$4, 0)) - MAX(BedPlan[[#This Row],[Beginning of Harvest]], CT$4) + 1 )</f>
        <v>13</v>
      </c>
      <c r="CU38">
        <f>MAX( 0, MIN(BedPlan[[#This Row],[Expected End of Harvest]], EOMONTH(CU$4, 0)) - MAX(BedPlan[[#This Row],[Beginning of Harvest]], CU$4) + 1 )</f>
        <v>9</v>
      </c>
      <c r="CV38">
        <f>MAX( 0, MIN(BedPlan[[#This Row],[Expected End of Harvest]], EOMONTH(CV$4, 0)) - MAX(BedPlan[[#This Row],[Beginning of Harvest]], CV$4) + 1 )</f>
        <v>0</v>
      </c>
      <c r="CW38">
        <f>MAX( 0, MIN(BedPlan[[#This Row],[Expected End of Harvest]], EOMONTH(CW$4, 0)) - MAX(BedPlan[[#This Row],[Beginning of Harvest]], CW$4) + 1 )</f>
        <v>0</v>
      </c>
      <c r="CX38">
        <f>MAX( 0, MIN(BedPlan[[#This Row],[Expected End of Harvest]], EOMONTH(CX$4, 0)) - MAX(BedPlan[[#This Row],[Beginning of Harvest]], CX$4) + 1 )</f>
        <v>0</v>
      </c>
      <c r="CY38">
        <f>MAX( 0, MIN(BedPlan[[#This Row],[Expected End of Harvest]], EOMONTH(CY$4, 0)) - MAX(BedPlan[[#This Row],[Beginning of Harvest]], CY$4) + 1 )</f>
        <v>0</v>
      </c>
      <c r="CZ38">
        <f>MAX( 0, MIN(BedPlan[[#This Row],[Expected End of Harvest]], EOMONTH(CZ$4, 0)) - MAX(BedPlan[[#This Row],[Beginning of Harvest]], CZ$4) + 1 )</f>
        <v>0</v>
      </c>
      <c r="DA38">
        <f>MAX( 0, MIN(BedPlan[[#This Row],[Expected End of Harvest]], EOMONTH(DA$4, 0)) - MAX(BedPlan[[#This Row],[Beginning of Harvest]], DA$4) + 1 )</f>
        <v>0</v>
      </c>
      <c r="DB38">
        <f>MAX( 0, MIN(BedPlan[[#This Row],[Expected End of Harvest]], EOMONTH(DB$4, 0)) - MAX(BedPlan[[#This Row],[Beginning of Harvest]], DB$4) + 1 )</f>
        <v>0</v>
      </c>
      <c r="DC38">
        <f>MAX( 0, MIN(BedPlan[[#This Row],[Expected End of Harvest]], EOMONTH(DC$4, 0)) - MAX(BedPlan[[#This Row],[Beginning of Harvest]], DC$4) + 1 )</f>
        <v>0</v>
      </c>
      <c r="DD38">
        <f>MAX( 0, MIN(BedPlan[[#This Row],[Expected End of Harvest]], EOMONTH(DD$4, 0)) - MAX(BedPlan[[#This Row],[Beginning of Harvest]], DD$4) + 1 )</f>
        <v>0</v>
      </c>
      <c r="DE38">
        <f>MAX( 0, MIN(BedPlan[[#This Row],[Expected End of Harvest]], EOMONTH(DE$4, 0)) - MAX(BedPlan[[#This Row],[Beginning of Harvest]], DE$4) + 1 )</f>
        <v>0</v>
      </c>
      <c r="DF38">
        <f>MAX( 0, MIN(BedPlan[[#This Row],[Expected End of Harvest]], EOMONTH(DF$4, 0)) - MAX(BedPlan[[#This Row],[Beginning of Harvest]], DF$4) + 1 )</f>
        <v>0</v>
      </c>
      <c r="DG38">
        <f>MAX( 0, MIN(BedPlan[[#This Row],[Expected End of Harvest]], EOMONTH(DG$4, 0)) - MAX(BedPlan[[#This Row],[Beginning of Harvest]], DG$4) + 1 )</f>
        <v>0</v>
      </c>
      <c r="DH38">
        <f>MAX( 0, MIN(BedPlan[[#This Row],[Expected End of Harvest]], EOMONTH(DH$4, 0)) - MAX(BedPlan[[#This Row],[Beginning of Harvest]], DH$4) + 1 )</f>
        <v>0</v>
      </c>
      <c r="DI38" s="257" cm="1">
        <f t="array" ref="DI38">BedPlan[[#This Row],[Harvest Days January 2025]]/SUM(BedPlan[[#This Row],[Harvest Days January 2025]:[Harvest Days December 2026]])*BedPlan[[#This Row],[Revenue]:[Revenue]]</f>
        <v>0</v>
      </c>
      <c r="DJ38" s="257" cm="1">
        <f t="array" ref="DJ38">BedPlan[[#This Row],[Harvest Days February 2025]]/SUM(BedPlan[[#This Row],[Harvest Days January 2025]:[Harvest Days December 2026]])*BedPlan[[#This Row],[Revenue]:[Revenue]]</f>
        <v>0</v>
      </c>
      <c r="DK38" s="257" cm="1">
        <f t="array" ref="DK38">BedPlan[[#This Row],[Harvest Days March 2025]]/SUM(BedPlan[[#This Row],[Harvest Days January 2025]:[Harvest Days December 2026]])*BedPlan[[#This Row],[Revenue]:[Revenue]]</f>
        <v>0</v>
      </c>
      <c r="DL38" s="257" cm="1">
        <f t="array" ref="DL38">BedPlan[[#This Row],[Harvest Days April 2025]]/SUM(BedPlan[[#This Row],[Harvest Days January 2025]:[Harvest Days December 2026]])*BedPlan[[#This Row],[Revenue]:[Revenue]]</f>
        <v>0</v>
      </c>
      <c r="DM38" s="257" cm="1">
        <f t="array" ref="DM38">BedPlan[[#This Row],[Harvest Days May 2025]]/SUM(BedPlan[[#This Row],[Harvest Days January 2025]:[Harvest Days December 2026]])*BedPlan[[#This Row],[Revenue]:[Revenue]]</f>
        <v>0</v>
      </c>
      <c r="DN38" s="257" cm="1">
        <f t="array" ref="DN38">BedPlan[[#This Row],[Harvest Days June 2025]]/SUM(BedPlan[[#This Row],[Harvest Days January 2025]:[Harvest Days December 2026]])*BedPlan[[#This Row],[Revenue]:[Revenue]]</f>
        <v>0</v>
      </c>
      <c r="DO38" s="257" cm="1">
        <f t="array" ref="DO38">BedPlan[[#This Row],[Harvest Days July 2025]]/SUM(BedPlan[[#This Row],[Harvest Days January 2025]:[Harvest Days December 2026]])*BedPlan[[#This Row],[Revenue]:[Revenue]]</f>
        <v>0</v>
      </c>
      <c r="DP38" s="257" cm="1">
        <f t="array" ref="DP38">BedPlan[[#This Row],[Harvest Days August 2025]]/SUM(BedPlan[[#This Row],[Harvest Days January 2025]:[Harvest Days December 2026]])*BedPlan[[#This Row],[Revenue]:[Revenue]]</f>
        <v>0</v>
      </c>
      <c r="DQ38" s="257" cm="1">
        <f t="array" ref="DQ38">BedPlan[[#This Row],[Harvest Days September 2025]]/SUM(BedPlan[[#This Row],[Harvest Days January 2025]:[Harvest Days December 2026]])*BedPlan[[#This Row],[Revenue]:[Revenue]]</f>
        <v>0</v>
      </c>
      <c r="DR38" s="257" cm="1">
        <f t="array" ref="DR38">BedPlan[[#This Row],[Harvest Days October 2025]]/SUM(BedPlan[[#This Row],[Harvest Days January 2025]:[Harvest Days December 2026]])*BedPlan[[#This Row],[Revenue]:[Revenue]]</f>
        <v>303.89610389610385</v>
      </c>
      <c r="DS38" s="257" cm="1">
        <f t="array" ref="DS38">BedPlan[[#This Row],[Harvest Days November 2025]]/SUM(BedPlan[[#This Row],[Harvest Days January 2025]:[Harvest Days December 2026]])*BedPlan[[#This Row],[Revenue]:[Revenue]]</f>
        <v>210.38961038961037</v>
      </c>
      <c r="DT38" s="257" cm="1">
        <f t="array" ref="DT38">BedPlan[[#This Row],[Harvest Days December 2025]]/SUM(BedPlan[[#This Row],[Harvest Days January 2025]:[Harvest Days December 2026]])*BedPlan[[#This Row],[Revenue]:[Revenue]]</f>
        <v>0</v>
      </c>
      <c r="DU38" s="257" cm="1">
        <f t="array" ref="DU38">BedPlan[[#This Row],[Harvest Days January 2026]]/SUM(BedPlan[[#This Row],[Harvest Days January 2025]:[Harvest Days December 2026]])*BedPlan[[#This Row],[Revenue]:[Revenue]]</f>
        <v>0</v>
      </c>
      <c r="DV38" s="257" cm="1">
        <f t="array" ref="DV38">BedPlan[[#This Row],[Harvest Days February 2026]]/SUM(BedPlan[[#This Row],[Harvest Days January 2025]:[Harvest Days December 2026]])*BedPlan[[#This Row],[Revenue]:[Revenue]]</f>
        <v>0</v>
      </c>
      <c r="DW38" s="257" cm="1">
        <f t="array" ref="DW38">BedPlan[[#This Row],[Harvest Days March 2026]]/SUM(BedPlan[[#This Row],[Harvest Days January 2025]:[Harvest Days December 2026]])*BedPlan[[#This Row],[Revenue]:[Revenue]]</f>
        <v>0</v>
      </c>
      <c r="DX38" s="257" cm="1">
        <f t="array" ref="DX38">BedPlan[[#This Row],[Harvest Days April 2026]]/SUM(BedPlan[[#This Row],[Harvest Days January 2025]:[Harvest Days December 2026]])*BedPlan[[#This Row],[Revenue]:[Revenue]]</f>
        <v>0</v>
      </c>
      <c r="DY38" s="257" cm="1">
        <f t="array" ref="DY38">BedPlan[[#This Row],[Harvest Days May 2026]]/SUM(BedPlan[[#This Row],[Harvest Days January 2025]:[Harvest Days December 2026]])*BedPlan[[#This Row],[Revenue]:[Revenue]]</f>
        <v>0</v>
      </c>
      <c r="DZ38" s="257" cm="1">
        <f t="array" ref="DZ38">BedPlan[[#This Row],[Harvest Days June 2026]]/SUM(BedPlan[[#This Row],[Harvest Days January 2025]:[Harvest Days December 2026]])*BedPlan[[#This Row],[Revenue]:[Revenue]]</f>
        <v>0</v>
      </c>
      <c r="EA38" s="257" cm="1">
        <f t="array" ref="EA38">BedPlan[[#This Row],[Harvest Days July 2026]]/SUM(BedPlan[[#This Row],[Harvest Days January 2025]:[Harvest Days December 2026]])*BedPlan[[#This Row],[Revenue]:[Revenue]]</f>
        <v>0</v>
      </c>
      <c r="EB38" s="257" cm="1">
        <f t="array" ref="EB38">BedPlan[[#This Row],[Harvest Days August 2026]]/SUM(BedPlan[[#This Row],[Harvest Days January 2025]:[Harvest Days December 2026]])*BedPlan[[#This Row],[Revenue]:[Revenue]]</f>
        <v>0</v>
      </c>
      <c r="EC38" s="257" cm="1">
        <f t="array" ref="EC38">BedPlan[[#This Row],[Harvest Days September 2026]]/SUM(BedPlan[[#This Row],[Harvest Days January 2025]:[Harvest Days December 2026]])*BedPlan[[#This Row],[Revenue]:[Revenue]]</f>
        <v>0</v>
      </c>
      <c r="ED38" s="257" cm="1">
        <f t="array" ref="ED38">BedPlan[[#This Row],[Harvest Days October 2026]]/SUM(BedPlan[[#This Row],[Harvest Days January 2025]:[Harvest Days December 2026]])*BedPlan[[#This Row],[Revenue]:[Revenue]]</f>
        <v>0</v>
      </c>
      <c r="EE38" s="257" cm="1">
        <f t="array" ref="EE38">BedPlan[[#This Row],[Harvest Days November 2026]]/SUM(BedPlan[[#This Row],[Harvest Days January 2025]:[Harvest Days December 2026]])*BedPlan[[#This Row],[Revenue]:[Revenue]]</f>
        <v>0</v>
      </c>
      <c r="EF38" s="257" cm="1">
        <f t="array" ref="EF38">BedPlan[[#This Row],[Harvest Days December 2026]]/SUM(BedPlan[[#This Row],[Harvest Days January 2025]:[Harvest Days December 2026]])*BedPlan[[#This Row],[Revenue]:[Revenue]]</f>
        <v>0</v>
      </c>
      <c r="EG38" t="b">
        <f>SUM(BedPlan[[#This Row],[Revenue January 2025]:[Revenue December 2026]])=BedPlan[[#This Row],[Revenue]]</f>
        <v>1</v>
      </c>
      <c r="EH38" s="30" cm="1">
        <f t="array" ref="EH38">INDEX(Crops[],BedPlan[[#This Row],[Chart Index]],EH$4,1)*BedPlan[[#This Row],['# Of Beds]]</f>
        <v>57.142857142857139</v>
      </c>
      <c r="EI38" s="30" t="str" cm="1">
        <f t="array" ref="EI38">INDEX(Crops[],BedPlan[[#This Row],[Chart Index]],EI$4,1)</f>
        <v>Head</v>
      </c>
      <c r="EJ38" s="30" t="str" cm="1">
        <f t="array" ref="EJ38">INDEX(Crops[],BedPlan[[#This Row],[Chart Index]],EJ$4,1)</f>
        <v>Mature Head</v>
      </c>
      <c r="EK38" s="30" t="str">
        <f>BedPlan[[#This Row],[Name]]&amp;" "&amp;BedPlan[[#This Row],[Product]]&amp; " - " &amp;BedPlan[[#This Row],[Unit]]</f>
        <v>Cauliflower Mature Head - Head</v>
      </c>
      <c r="EL38" s="33" cm="1">
        <f t="array" ref="EL38">BedPlan[[#This Row],[Harvest Days January 2025]]/SUM(BedPlan[[#This Row],[Harvest Days January 2025]:[Harvest Days December 2026]])*BedPlan[[#This Row],[Yield]:[Yield]]</f>
        <v>0</v>
      </c>
      <c r="EM38" s="33" cm="1">
        <f t="array" ref="EM38">BedPlan[[#This Row],[Harvest Days February 2025]]/SUM(BedPlan[[#This Row],[Harvest Days January 2025]:[Harvest Days December 2026]])*BedPlan[[#This Row],[Yield]:[Yield]]</f>
        <v>0</v>
      </c>
      <c r="EN38" s="33" cm="1">
        <f t="array" ref="EN38">BedPlan[[#This Row],[Harvest Days March 2025]]/SUM(BedPlan[[#This Row],[Harvest Days January 2025]:[Harvest Days December 2026]])*BedPlan[[#This Row],[Yield]:[Yield]]</f>
        <v>0</v>
      </c>
      <c r="EO38" s="33" cm="1">
        <f t="array" ref="EO38">BedPlan[[#This Row],[Harvest Days April 2025]]/SUM(BedPlan[[#This Row],[Harvest Days January 2025]:[Harvest Days December 2026]])*BedPlan[[#This Row],[Yield]:[Yield]]</f>
        <v>0</v>
      </c>
      <c r="EP38" s="33" cm="1">
        <f t="array" ref="EP38">BedPlan[[#This Row],[Harvest Days May 2025]]/SUM(BedPlan[[#This Row],[Harvest Days January 2025]:[Harvest Days December 2026]])*BedPlan[[#This Row],[Yield]:[Yield]]</f>
        <v>0</v>
      </c>
      <c r="EQ38" s="33" cm="1">
        <f t="array" ref="EQ38">BedPlan[[#This Row],[Harvest Days June 2025]]/SUM(BedPlan[[#This Row],[Harvest Days January 2025]:[Harvest Days December 2026]])*BedPlan[[#This Row],[Yield]:[Yield]]</f>
        <v>0</v>
      </c>
      <c r="ER38" s="33" cm="1">
        <f t="array" ref="ER38">BedPlan[[#This Row],[Harvest Days July 2025]]/SUM(BedPlan[[#This Row],[Harvest Days January 2025]:[Harvest Days December 2026]])*BedPlan[[#This Row],[Yield]:[Yield]]</f>
        <v>0</v>
      </c>
      <c r="ES38" s="33" cm="1">
        <f t="array" ref="ES38">BedPlan[[#This Row],[Harvest Days August 2025]]/SUM(BedPlan[[#This Row],[Harvest Days January 2025]:[Harvest Days December 2026]])*BedPlan[[#This Row],[Yield]:[Yield]]</f>
        <v>0</v>
      </c>
      <c r="ET38" s="33" cm="1">
        <f t="array" ref="ET38">BedPlan[[#This Row],[Harvest Days September 2025]]/SUM(BedPlan[[#This Row],[Harvest Days January 2025]:[Harvest Days December 2026]])*BedPlan[[#This Row],[Yield]:[Yield]]</f>
        <v>0</v>
      </c>
      <c r="EU38" s="33" cm="1">
        <f t="array" ref="EU38">BedPlan[[#This Row],[Harvest Days October 2025]]/SUM(BedPlan[[#This Row],[Harvest Days January 2025]:[Harvest Days December 2026]])*BedPlan[[#This Row],[Yield]:[Yield]]</f>
        <v>33.766233766233768</v>
      </c>
      <c r="EV38" s="33" cm="1">
        <f t="array" ref="EV38">BedPlan[[#This Row],[Harvest Days November 2025]]/SUM(BedPlan[[#This Row],[Harvest Days January 2025]:[Harvest Days December 2026]])*BedPlan[[#This Row],[Yield]:[Yield]]</f>
        <v>23.376623376623375</v>
      </c>
      <c r="EW38" s="33" cm="1">
        <f t="array" ref="EW38">BedPlan[[#This Row],[Harvest Days December 2025]]/SUM(BedPlan[[#This Row],[Harvest Days January 2025]:[Harvest Days December 2026]])*BedPlan[[#This Row],[Yield]:[Yield]]</f>
        <v>0</v>
      </c>
    </row>
    <row r="39" spans="1:153" ht="15.75" customHeight="1">
      <c r="A39" s="191" t="s">
        <v>2807</v>
      </c>
      <c r="B39" s="240" t="s">
        <v>2808</v>
      </c>
      <c r="C39" t="s">
        <v>1489</v>
      </c>
      <c r="D39" s="226" cm="1">
        <f t="array" ref="D39">INDEX(Crops[],BedPlan[[#This Row],[Chart Index]],D$4,1)*BedPlan[[#This Row],[Full Bed Equivalent]]</f>
        <v>14.285714285714286</v>
      </c>
      <c r="E39" s="226" cm="1">
        <f t="array" ref="E39">INDEX(Crops[],BedPlan[[#This Row],[Chart Index]],E$4,1)*BedPlan[[#This Row],[Full Bed Equivalent]]</f>
        <v>57.142857142857139</v>
      </c>
      <c r="F39" t="str">
        <f>UPPER(LEFT(BedPlan[[#This Row],[Crop]],3))</f>
        <v>CAU</v>
      </c>
      <c r="H39" s="143" t="str" cm="1">
        <f t="array" ref="H39">INDEX(Crops[],BedPlan[[#This Row],[Chart Index]],H$4,1)</f>
        <v>Cauliflower</v>
      </c>
      <c r="I39" t="s">
        <v>2809</v>
      </c>
      <c r="J39" t="s">
        <v>490</v>
      </c>
      <c r="K39" t="str" cm="1">
        <f t="array" ref="K39">IF(ISNUMBER(MATCH(BedPlan[[#This Row],[Variety]],SeedMixes[Name],)),_xlfn.TEXTJOIN(", ",TRUE,_xlfn._xlws.FILTER(SeedMixes[Variety &amp; Company],SeedMixes[Name]=BedPlan[[#This Row],[Variety]])),"")</f>
        <v/>
      </c>
      <c r="L39" s="33" cm="1">
        <f t="array" ref="L39">INDEX(Crops[],BedPlan[[#This Row],[Chart Index]],L$4,1)*BedPlan[[#This Row],[Full Bed Equivalent]]</f>
        <v>85.714285714285708</v>
      </c>
      <c r="N39">
        <f>1</f>
        <v>1</v>
      </c>
      <c r="O39">
        <f>MAX(BedPlan[[#This Row],['# Of Beds]],0.5)</f>
        <v>1</v>
      </c>
      <c r="P39" s="31">
        <f>IF(ISNUMBER(BedPlan[[#This Row],[Planned Greenhouse Start Date]]),BedPlan[[#This Row],[Planned Greenhouse Start Date]],BedPlan[[#This Row],[Planned TP or DS Date]])</f>
        <v>45835</v>
      </c>
      <c r="Q39" s="259">
        <f>IF(BedPlan[[#This Row],[Days in Cells]]=0,"",IFERROR(_xlfn.XLOOKUP(BedPlan[[#This Row],[Follows Crop]],BedPlan[Identifier],BedPlan[Expected End of Harvest]) + 1+BedPlan[[#This Row],[Follow Offset]],BedPlan[[#This Row],[Fixed Field Start Date]])-BedPlan[[#This Row],[Days in Cells]])</f>
        <v>45835</v>
      </c>
      <c r="R39" s="259">
        <v>45839</v>
      </c>
      <c r="S39" s="259">
        <f>IF(ISNUMBER(BedPlan[[#This Row],[Actual Greenhouse Date]]),BedPlan[[#This Row],[Actual Greenhouse Date]],BedPlan[[#This Row],[Planned Greenhouse Start Date]])</f>
        <v>45839</v>
      </c>
      <c r="T39" s="259">
        <v>45870</v>
      </c>
      <c r="U39" s="260"/>
      <c r="V39" s="260"/>
      <c r="W3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45874</v>
      </c>
      <c r="X39" s="259"/>
      <c r="Y39" s="271">
        <f>BedPlan[[#This Row],[Actual TP or DS Date]]-BedPlan[[#This Row],[Planned TP or DS Date]]</f>
        <v>-45874</v>
      </c>
      <c r="Z39" s="259">
        <f>IF(ISNUMBER(BedPlan[[#This Row],[Actual TP or DS Date]]),BedPlan[[#This Row],[Actual TP or DS Date]],BedPlan[[#This Row],[Planned TP or DS Date]])</f>
        <v>45874</v>
      </c>
      <c r="AA39" s="259"/>
      <c r="AB39" s="259">
        <f>IF(ISNUMBER(BedPlan[[#This Row],[Greenhouse Start Date]]),BedPlan[[#This Row],[Greenhouse Start Date]]+BedPlan[[#This Row],[DTM]],BedPlan[[#This Row],[TP or DS Date]]+BedPlan[[#This Row],[DTM]])</f>
        <v>45916</v>
      </c>
      <c r="AC39" s="259"/>
      <c r="AD39" s="259">
        <f>IF(ISNUMBER(BedPlan[[#This Row],[Actual Beginning of Harvest]]),BedPlan[[#This Row],[Actual Beginning of Harvest]],BedPlan[[#This Row],[Expected Beginning of Harvest]])</f>
        <v>45916</v>
      </c>
      <c r="AE39" s="259">
        <f>BedPlan[[#This Row],[Expected Beginning of Harvest]]+BedPlan[[#This Row],[Harvest Window]]+BedPlan[[#This Row],[Additional Days of Harvest]]</f>
        <v>45937</v>
      </c>
      <c r="AF39" s="259"/>
      <c r="AG39" s="259"/>
      <c r="AH39" s="31" t="b">
        <f>IF(AND( BedPlan[[#This Row],[Expected End of Harvest]] &gt;= DATE(2025, 8, 1), BedPlan[[#This Row],[Beginning of Harvest]] &lt;= DATE(2025, 8, 31) ), TRUE, FALSE)</f>
        <v>0</v>
      </c>
      <c r="AI39" s="31"/>
      <c r="AJ39" s="31">
        <f>IF(ISNUMBER(BedPlan[[#This Row],[Actual End of Harvest]]),BedPlan[[#This Row],[Actual End of Harvest]],BedPlan[[#This Row],[Expected End of Harvest]])</f>
        <v>45937</v>
      </c>
      <c r="AK39" t="b">
        <f>OR(ISNUMBER(BedPlan[[#This Row],[Actual Greenhouse Date]]),ISNUMBER(BedPlan[[#This Row],[Actual TP or DS Date]]))</f>
        <v>1</v>
      </c>
      <c r="AL39" s="52" t="b">
        <f>IF(ISNUMBER(BedPlan[[#This Row],[Planned Greenhouse Start Date]]),OR(ISNUMBER(BedPlan[[#This Row],[Actual TP or DS Date]]),BedPlan[[#This Row],[Failed]]),"-")</f>
        <v>0</v>
      </c>
      <c r="AM39" t="b">
        <f>OR(ISNUMBER(BedPlan[[#This Row],[Actual End of Harvest]]),BedPlan[[#This Row],[Failed]])</f>
        <v>0</v>
      </c>
      <c r="AN39" t="b">
        <f>OR(BedPlan[[#This Row],[Harvest Done]],BedPlan[[#This Row],[Failed]],BedPlan[[#This Row],[Name]]="Tarp")</f>
        <v>0</v>
      </c>
      <c r="AS39" s="26" t="str">
        <f>IF(BedPlan[[#This Row],[Broadfork]],BedPlan[[#This Row],[Actual TP or DS Date]],"")</f>
        <v/>
      </c>
      <c r="AT39" s="26" t="str">
        <f>IF(BedPlan[[#This Row],[Tilther]],BedPlan[[#This Row],[Actual TP or DS Date]],"")</f>
        <v/>
      </c>
      <c r="AU39" s="26" t="str">
        <f>IF(NOT(ISBLANK(BedPlan[[#This Row],[Amend]])),BedPlan[[#This Row],[Actual TP or DS Date]],"")</f>
        <v/>
      </c>
      <c r="AV39" s="26" t="str">
        <f>IF(BedPlan[[#This Row],[Row Cover]],BedPlan[[#This Row],[Actual TP or DS Date]],"")</f>
        <v/>
      </c>
      <c r="AX39" s="26"/>
      <c r="AZ39" s="26"/>
      <c r="BB39" s="26"/>
      <c r="BC39" s="231" cm="1">
        <f t="array" ref="BC39">INDEX(Crops[],BedPlan[[#This Row],[Chart Index]],BC$4,1)*BedPlan[[#This Row],[Full Bed Equivalent]]</f>
        <v>514.28571428571422</v>
      </c>
      <c r="BD39" s="231" cm="1">
        <f t="array" ref="BD39">INDEX(Crops[],BedPlan[[#This Row],[Chart Index]],BD$4,1)*BedPlan[[#This Row],[Full Bed Equivalent]]</f>
        <v>8.1632653061224474</v>
      </c>
      <c r="BE39" cm="1">
        <f t="array" ref="BE39">INDEX(Crops[],BedPlan[[#This Row],[Chart Index]],BE$4,1)+BedPlan[[#This Row],[Additional Days in Cells]]+BedPlan[[#This Row],[Additional Days In Field]]</f>
        <v>77</v>
      </c>
      <c r="BG39" cm="1">
        <f t="array" ref="BG39">INDEX(Crops[],BedPlan[[#This Row],[Chart Index]],BG$4,1)</f>
        <v>21</v>
      </c>
      <c r="BH39" t="str">
        <f>IF(ISNUMBER(BedPlan[[#This Row],[Planned Greenhouse Start Date]]),"TP","DS")</f>
        <v>TP</v>
      </c>
      <c r="BI39">
        <f>BedPlan[[#This Row],['# Of Beds]]</f>
        <v>1</v>
      </c>
      <c r="BJ39" cm="1">
        <f t="array" ref="BJ39">INDEX(Crops[],BedPlan[[#This Row],[Chart Index]],BJ$4,1)</f>
        <v>35</v>
      </c>
      <c r="BK39" cm="1">
        <f t="array" ref="BK39">INDEX(Crops[],BedPlan[[#This Row],[Chart Index]],BK$4,1)</f>
        <v>2</v>
      </c>
      <c r="BL39" cm="1">
        <f t="array" ref="BL39">INDEX(Crops[],BedPlan[[#This Row],[Chart Index]],BL$4,1)</f>
        <v>21</v>
      </c>
      <c r="BM39" cm="1">
        <f t="array" ref="BM39">INDEX(Crops[],BedPlan[[#This Row],[Chart Index]],BM$4,1)</f>
        <v>1</v>
      </c>
      <c r="BN39" s="32" cm="1">
        <f t="array" ref="BN39">INDEX(Crops[],BedPlan[[#This Row],[Chart Index]],BN$4,1)*BedPlan[[#This Row],[Full Bed Equivalent]]</f>
        <v>57.142857142857139</v>
      </c>
      <c r="BO39" t="str" cm="1">
        <f t="array" ref="BO39">IF(INDEX(Crops[],BedPlan[[#This Row],[Chart Index]],BO$4,1)=0,"",INDEX(Crops[],BedPlan[[#This Row],[Chart Index]],BO$4,1))</f>
        <v/>
      </c>
      <c r="BP39">
        <f>MATCH(BedPlan[[#This Row],[Crop]],Crops[Identifier],FALSE)</f>
        <v>69</v>
      </c>
      <c r="BQ39" t="str" cm="1">
        <f t="array" ref="BQ39">INDEX(Crops[],BedPlan[[#This Row],[Chart Index]],BQ$4,1)</f>
        <v>Green-Stem</v>
      </c>
      <c r="BR39" t="str" cm="1">
        <f t="array" ref="BR39">INDEX(Crops[],BedPlan[[#This Row],[Chart Index]],BR$4,1)</f>
        <v>Su</v>
      </c>
      <c r="BS39" s="32">
        <f>BedPlan[[#This Row],[Expected Beginning of Harvest]]-DATE(2023,1,1)</f>
        <v>989</v>
      </c>
      <c r="BT39">
        <f>BedPlan[[#This Row],[Expected End of Harvest]]-BedPlan[[#This Row],[Expected Beginning of Harvest]]</f>
        <v>21</v>
      </c>
      <c r="BU39" t="str" cm="1">
        <f t="array" ref="BU39">INDEX(Crops[],BedPlan[[#This Row],[Chart Index]],BU$4,1)</f>
        <v>Brassica</v>
      </c>
      <c r="BV39" cm="1">
        <f t="array" ref="BV39">INDEX(Crops[],BedPlan[[#This Row],[Chart Index]],BV$4,1)</f>
        <v>1.5</v>
      </c>
      <c r="BW39" t="str" cm="1">
        <f t="array" ref="BW39">INDEX(Crops[],BedPlan[[#This Row],[Chart Index]],BW$4,1)</f>
        <v>AMAP</v>
      </c>
      <c r="BX39" cm="1">
        <f t="array" ref="BX39">INDEX(Crops[],BedPlan[[#This Row],[Chart Index]],BX$4,1)</f>
        <v>400</v>
      </c>
      <c r="BY39" cm="1">
        <f t="array" ref="BY39">INDEX(Crops[],BedPlan[[#This Row],[Chart Index]],BY$4,1)</f>
        <v>7</v>
      </c>
      <c r="BZ39" s="49" cm="1">
        <f t="array" ref="BZ39">IFERROR(INDEX(Crops[],BedPlan[[#This Row],[Chart Index]],BZ$4,1)*BedPlan[[#This Row],[Full Bed Equivalent]],"")</f>
        <v>0.14285714285714285</v>
      </c>
      <c r="CA39" cm="1">
        <f t="array" ref="CA39">INDEX(Crops[],BedPlan[[#This Row],[Chart Index]],CA$4,1)</f>
        <v>128</v>
      </c>
      <c r="CB39" cm="1">
        <f t="array" ref="CB39">INDEX(Crops[],BedPlan[[#This Row],[Chart Index]],CB$4,1)</f>
        <v>28</v>
      </c>
      <c r="CC39" s="49" cm="1">
        <f t="array" ref="CC39">IFERROR(INDEX(Crops[],BedPlan[[#This Row],[Chart Index]],CC$4,1)*BedPlan[[#This Row],[Full Bed Equivalent]],"")</f>
        <v>0.4464285714285714</v>
      </c>
      <c r="CD39" cm="1">
        <f t="array" ref="CD39">INDEX(Crops[],BedPlan[[#This Row],[Chart Index]],CD$4,1)</f>
        <v>0</v>
      </c>
      <c r="CE39" cm="1">
        <f t="array" ref="CE39">IF(INDEX(Crops[],BedPlan[[#This Row],[Chart Index]],CE$4,1)="",0,INDEX(Crops[],BedPlan[[#This Row],[Chart Index]],CE$4,1))</f>
        <v>0</v>
      </c>
      <c r="CF39" s="49" t="str" cm="1">
        <f t="array" ref="CF39">IFERROR(INDEX(Crops[],BedPlan[[#This Row],[Chart Index]],CF$4,1)*BedPlan[[#This Row],[Full Bed Equivalent]],"")</f>
        <v/>
      </c>
      <c r="CG39" cm="1">
        <f t="array" ref="CG39">IF(INDEX(Crops[],BedPlan[[#This Row],[Chart Index]],CG$4,1)="",0,INDEX(Crops[],BedPlan[[#This Row],[Chart Index]],CG$4,1))</f>
        <v>1</v>
      </c>
      <c r="CH39" cm="1">
        <f t="array" ref="CH39">IF(INDEX(Crops[],BedPlan[[#This Row],[Chart Index]],CH$4,1)="",0,INDEX(Crops[],BedPlan[[#This Row],[Chart Index]],CH$4,1))</f>
        <v>0</v>
      </c>
      <c r="CI39" t="str" cm="1">
        <f t="array" ref="CI39">INDEX(Crops[],BedPlan[[#This Row],[Chart Index]],CI$4,1)</f>
        <v>Field</v>
      </c>
      <c r="CJ39" s="30" t="str">
        <f>_xlfn.TEXTJOIN(CHAR(10),FALSE,BedPlan[[#This Row],[Name]],BedPlan[[#This Row],[Variety]],BedPlan[[#This Row],[Company]])</f>
        <v>Cauliflower
Song TJS-65
Johnny's</v>
      </c>
      <c r="CK39" s="32">
        <f>MAX( 0, MIN(BedPlan[[#This Row],[Expected End of Harvest]], EOMONTH(CK$4, 0)) - MAX(BedPlan[[#This Row],[Beginning of Harvest]], CK$4) + 1 )</f>
        <v>0</v>
      </c>
      <c r="CL39">
        <f>MAX( 0, MIN(BedPlan[[#This Row],[Expected End of Harvest]], EOMONTH(CL$4, 0)) - MAX(BedPlan[[#This Row],[Beginning of Harvest]], CL$4) + 1 )</f>
        <v>0</v>
      </c>
      <c r="CM39">
        <f>MAX( 0, MIN(BedPlan[[#This Row],[Expected End of Harvest]], EOMONTH(CM$4, 0)) - MAX(BedPlan[[#This Row],[Beginning of Harvest]], CM$4) + 1 )</f>
        <v>0</v>
      </c>
      <c r="CN39">
        <f>MAX( 0, MIN(BedPlan[[#This Row],[Expected End of Harvest]], EOMONTH(CN$4, 0)) - MAX(BedPlan[[#This Row],[Beginning of Harvest]], CN$4) + 1 )</f>
        <v>0</v>
      </c>
      <c r="CO39">
        <f>MAX( 0, MIN(BedPlan[[#This Row],[Expected End of Harvest]], EOMONTH(CO$4, 0)) - MAX(BedPlan[[#This Row],[Beginning of Harvest]], CO$4) + 1 )</f>
        <v>0</v>
      </c>
      <c r="CP39">
        <f>MAX( 0, MIN(BedPlan[[#This Row],[Expected End of Harvest]], EOMONTH(CP$4, 0)) - MAX(BedPlan[[#This Row],[Beginning of Harvest]], CP$4) + 1 )</f>
        <v>0</v>
      </c>
      <c r="CQ39">
        <f>MAX( 0, MIN(BedPlan[[#This Row],[Expected End of Harvest]], EOMONTH(CQ$4, 0)) - MAX(BedPlan[[#This Row],[Beginning of Harvest]], CQ$4) + 1 )</f>
        <v>0</v>
      </c>
      <c r="CR39">
        <f>MAX( 0, MIN(BedPlan[[#This Row],[Expected End of Harvest]], EOMONTH(CR$4, 0)) - MAX(BedPlan[[#This Row],[Beginning of Harvest]], CR$4) + 1 )</f>
        <v>0</v>
      </c>
      <c r="CS39">
        <f>MAX( 0, MIN(BedPlan[[#This Row],[Expected End of Harvest]], EOMONTH(CS$4, 0)) - MAX(BedPlan[[#This Row],[Beginning of Harvest]], CS$4) + 1 )</f>
        <v>15</v>
      </c>
      <c r="CT39">
        <f>MAX( 0, MIN(BedPlan[[#This Row],[Expected End of Harvest]], EOMONTH(CT$4, 0)) - MAX(BedPlan[[#This Row],[Beginning of Harvest]], CT$4) + 1 )</f>
        <v>7</v>
      </c>
      <c r="CU39">
        <f>MAX( 0, MIN(BedPlan[[#This Row],[Expected End of Harvest]], EOMONTH(CU$4, 0)) - MAX(BedPlan[[#This Row],[Beginning of Harvest]], CU$4) + 1 )</f>
        <v>0</v>
      </c>
      <c r="CV39">
        <f>MAX( 0, MIN(BedPlan[[#This Row],[Expected End of Harvest]], EOMONTH(CV$4, 0)) - MAX(BedPlan[[#This Row],[Beginning of Harvest]], CV$4) + 1 )</f>
        <v>0</v>
      </c>
      <c r="CW39">
        <f>MAX( 0, MIN(BedPlan[[#This Row],[Expected End of Harvest]], EOMONTH(CW$4, 0)) - MAX(BedPlan[[#This Row],[Beginning of Harvest]], CW$4) + 1 )</f>
        <v>0</v>
      </c>
      <c r="CX39">
        <f>MAX( 0, MIN(BedPlan[[#This Row],[Expected End of Harvest]], EOMONTH(CX$4, 0)) - MAX(BedPlan[[#This Row],[Beginning of Harvest]], CX$4) + 1 )</f>
        <v>0</v>
      </c>
      <c r="CY39">
        <f>MAX( 0, MIN(BedPlan[[#This Row],[Expected End of Harvest]], EOMONTH(CY$4, 0)) - MAX(BedPlan[[#This Row],[Beginning of Harvest]], CY$4) + 1 )</f>
        <v>0</v>
      </c>
      <c r="CZ39">
        <f>MAX( 0, MIN(BedPlan[[#This Row],[Expected End of Harvest]], EOMONTH(CZ$4, 0)) - MAX(BedPlan[[#This Row],[Beginning of Harvest]], CZ$4) + 1 )</f>
        <v>0</v>
      </c>
      <c r="DA39">
        <f>MAX( 0, MIN(BedPlan[[#This Row],[Expected End of Harvest]], EOMONTH(DA$4, 0)) - MAX(BedPlan[[#This Row],[Beginning of Harvest]], DA$4) + 1 )</f>
        <v>0</v>
      </c>
      <c r="DB39">
        <f>MAX( 0, MIN(BedPlan[[#This Row],[Expected End of Harvest]], EOMONTH(DB$4, 0)) - MAX(BedPlan[[#This Row],[Beginning of Harvest]], DB$4) + 1 )</f>
        <v>0</v>
      </c>
      <c r="DC39">
        <f>MAX( 0, MIN(BedPlan[[#This Row],[Expected End of Harvest]], EOMONTH(DC$4, 0)) - MAX(BedPlan[[#This Row],[Beginning of Harvest]], DC$4) + 1 )</f>
        <v>0</v>
      </c>
      <c r="DD39">
        <f>MAX( 0, MIN(BedPlan[[#This Row],[Expected End of Harvest]], EOMONTH(DD$4, 0)) - MAX(BedPlan[[#This Row],[Beginning of Harvest]], DD$4) + 1 )</f>
        <v>0</v>
      </c>
      <c r="DE39">
        <f>MAX( 0, MIN(BedPlan[[#This Row],[Expected End of Harvest]], EOMONTH(DE$4, 0)) - MAX(BedPlan[[#This Row],[Beginning of Harvest]], DE$4) + 1 )</f>
        <v>0</v>
      </c>
      <c r="DF39">
        <f>MAX( 0, MIN(BedPlan[[#This Row],[Expected End of Harvest]], EOMONTH(DF$4, 0)) - MAX(BedPlan[[#This Row],[Beginning of Harvest]], DF$4) + 1 )</f>
        <v>0</v>
      </c>
      <c r="DG39">
        <f>MAX( 0, MIN(BedPlan[[#This Row],[Expected End of Harvest]], EOMONTH(DG$4, 0)) - MAX(BedPlan[[#This Row],[Beginning of Harvest]], DG$4) + 1 )</f>
        <v>0</v>
      </c>
      <c r="DH39">
        <f>MAX( 0, MIN(BedPlan[[#This Row],[Expected End of Harvest]], EOMONTH(DH$4, 0)) - MAX(BedPlan[[#This Row],[Beginning of Harvest]], DH$4) + 1 )</f>
        <v>0</v>
      </c>
      <c r="DI39" s="257" cm="1">
        <f t="array" ref="DI39">BedPlan[[#This Row],[Harvest Days January 2025]]/SUM(BedPlan[[#This Row],[Harvest Days January 2025]:[Harvest Days December 2026]])*BedPlan[[#This Row],[Revenue]:[Revenue]]</f>
        <v>0</v>
      </c>
      <c r="DJ39" s="257" cm="1">
        <f t="array" ref="DJ39">BedPlan[[#This Row],[Harvest Days February 2025]]/SUM(BedPlan[[#This Row],[Harvest Days January 2025]:[Harvest Days December 2026]])*BedPlan[[#This Row],[Revenue]:[Revenue]]</f>
        <v>0</v>
      </c>
      <c r="DK39" s="257" cm="1">
        <f t="array" ref="DK39">BedPlan[[#This Row],[Harvest Days March 2025]]/SUM(BedPlan[[#This Row],[Harvest Days January 2025]:[Harvest Days December 2026]])*BedPlan[[#This Row],[Revenue]:[Revenue]]</f>
        <v>0</v>
      </c>
      <c r="DL39" s="257" cm="1">
        <f t="array" ref="DL39">BedPlan[[#This Row],[Harvest Days April 2025]]/SUM(BedPlan[[#This Row],[Harvest Days January 2025]:[Harvest Days December 2026]])*BedPlan[[#This Row],[Revenue]:[Revenue]]</f>
        <v>0</v>
      </c>
      <c r="DM39" s="257" cm="1">
        <f t="array" ref="DM39">BedPlan[[#This Row],[Harvest Days May 2025]]/SUM(BedPlan[[#This Row],[Harvest Days January 2025]:[Harvest Days December 2026]])*BedPlan[[#This Row],[Revenue]:[Revenue]]</f>
        <v>0</v>
      </c>
      <c r="DN39" s="257" cm="1">
        <f t="array" ref="DN39">BedPlan[[#This Row],[Harvest Days June 2025]]/SUM(BedPlan[[#This Row],[Harvest Days January 2025]:[Harvest Days December 2026]])*BedPlan[[#This Row],[Revenue]:[Revenue]]</f>
        <v>0</v>
      </c>
      <c r="DO39" s="257" cm="1">
        <f t="array" ref="DO39">BedPlan[[#This Row],[Harvest Days July 2025]]/SUM(BedPlan[[#This Row],[Harvest Days January 2025]:[Harvest Days December 2026]])*BedPlan[[#This Row],[Revenue]:[Revenue]]</f>
        <v>0</v>
      </c>
      <c r="DP39" s="257" cm="1">
        <f t="array" ref="DP39">BedPlan[[#This Row],[Harvest Days August 2025]]/SUM(BedPlan[[#This Row],[Harvest Days January 2025]:[Harvest Days December 2026]])*BedPlan[[#This Row],[Revenue]:[Revenue]]</f>
        <v>0</v>
      </c>
      <c r="DQ39" s="257" cm="1">
        <f t="array" ref="DQ39">BedPlan[[#This Row],[Harvest Days September 2025]]/SUM(BedPlan[[#This Row],[Harvest Days January 2025]:[Harvest Days December 2026]])*BedPlan[[#This Row],[Revenue]:[Revenue]]</f>
        <v>350.64935064935059</v>
      </c>
      <c r="DR39" s="257" cm="1">
        <f t="array" ref="DR39">BedPlan[[#This Row],[Harvest Days October 2025]]/SUM(BedPlan[[#This Row],[Harvest Days January 2025]:[Harvest Days December 2026]])*BedPlan[[#This Row],[Revenue]:[Revenue]]</f>
        <v>163.63636363636363</v>
      </c>
      <c r="DS39" s="257" cm="1">
        <f t="array" ref="DS39">BedPlan[[#This Row],[Harvest Days November 2025]]/SUM(BedPlan[[#This Row],[Harvest Days January 2025]:[Harvest Days December 2026]])*BedPlan[[#This Row],[Revenue]:[Revenue]]</f>
        <v>0</v>
      </c>
      <c r="DT39" s="257" cm="1">
        <f t="array" ref="DT39">BedPlan[[#This Row],[Harvest Days December 2025]]/SUM(BedPlan[[#This Row],[Harvest Days January 2025]:[Harvest Days December 2026]])*BedPlan[[#This Row],[Revenue]:[Revenue]]</f>
        <v>0</v>
      </c>
      <c r="DU39" s="257" cm="1">
        <f t="array" ref="DU39">BedPlan[[#This Row],[Harvest Days January 2026]]/SUM(BedPlan[[#This Row],[Harvest Days January 2025]:[Harvest Days December 2026]])*BedPlan[[#This Row],[Revenue]:[Revenue]]</f>
        <v>0</v>
      </c>
      <c r="DV39" s="257" cm="1">
        <f t="array" ref="DV39">BedPlan[[#This Row],[Harvest Days February 2026]]/SUM(BedPlan[[#This Row],[Harvest Days January 2025]:[Harvest Days December 2026]])*BedPlan[[#This Row],[Revenue]:[Revenue]]</f>
        <v>0</v>
      </c>
      <c r="DW39" s="257" cm="1">
        <f t="array" ref="DW39">BedPlan[[#This Row],[Harvest Days March 2026]]/SUM(BedPlan[[#This Row],[Harvest Days January 2025]:[Harvest Days December 2026]])*BedPlan[[#This Row],[Revenue]:[Revenue]]</f>
        <v>0</v>
      </c>
      <c r="DX39" s="257" cm="1">
        <f t="array" ref="DX39">BedPlan[[#This Row],[Harvest Days April 2026]]/SUM(BedPlan[[#This Row],[Harvest Days January 2025]:[Harvest Days December 2026]])*BedPlan[[#This Row],[Revenue]:[Revenue]]</f>
        <v>0</v>
      </c>
      <c r="DY39" s="257" cm="1">
        <f t="array" ref="DY39">BedPlan[[#This Row],[Harvest Days May 2026]]/SUM(BedPlan[[#This Row],[Harvest Days January 2025]:[Harvest Days December 2026]])*BedPlan[[#This Row],[Revenue]:[Revenue]]</f>
        <v>0</v>
      </c>
      <c r="DZ39" s="257" cm="1">
        <f t="array" ref="DZ39">BedPlan[[#This Row],[Harvest Days June 2026]]/SUM(BedPlan[[#This Row],[Harvest Days January 2025]:[Harvest Days December 2026]])*BedPlan[[#This Row],[Revenue]:[Revenue]]</f>
        <v>0</v>
      </c>
      <c r="EA39" s="257" cm="1">
        <f t="array" ref="EA39">BedPlan[[#This Row],[Harvest Days July 2026]]/SUM(BedPlan[[#This Row],[Harvest Days January 2025]:[Harvest Days December 2026]])*BedPlan[[#This Row],[Revenue]:[Revenue]]</f>
        <v>0</v>
      </c>
      <c r="EB39" s="257" cm="1">
        <f t="array" ref="EB39">BedPlan[[#This Row],[Harvest Days August 2026]]/SUM(BedPlan[[#This Row],[Harvest Days January 2025]:[Harvest Days December 2026]])*BedPlan[[#This Row],[Revenue]:[Revenue]]</f>
        <v>0</v>
      </c>
      <c r="EC39" s="257" cm="1">
        <f t="array" ref="EC39">BedPlan[[#This Row],[Harvest Days September 2026]]/SUM(BedPlan[[#This Row],[Harvest Days January 2025]:[Harvest Days December 2026]])*BedPlan[[#This Row],[Revenue]:[Revenue]]</f>
        <v>0</v>
      </c>
      <c r="ED39" s="257" cm="1">
        <f t="array" ref="ED39">BedPlan[[#This Row],[Harvest Days October 2026]]/SUM(BedPlan[[#This Row],[Harvest Days January 2025]:[Harvest Days December 2026]])*BedPlan[[#This Row],[Revenue]:[Revenue]]</f>
        <v>0</v>
      </c>
      <c r="EE39" s="257" cm="1">
        <f t="array" ref="EE39">BedPlan[[#This Row],[Harvest Days November 2026]]/SUM(BedPlan[[#This Row],[Harvest Days January 2025]:[Harvest Days December 2026]])*BedPlan[[#This Row],[Revenue]:[Revenue]]</f>
        <v>0</v>
      </c>
      <c r="EF39" s="257" cm="1">
        <f t="array" ref="EF39">BedPlan[[#This Row],[Harvest Days December 2026]]/SUM(BedPlan[[#This Row],[Harvest Days January 2025]:[Harvest Days December 2026]])*BedPlan[[#This Row],[Revenue]:[Revenue]]</f>
        <v>0</v>
      </c>
      <c r="EG39" t="b">
        <f>SUM(BedPlan[[#This Row],[Revenue January 2025]:[Revenue December 2026]])=BedPlan[[#This Row],[Revenue]]</f>
        <v>1</v>
      </c>
      <c r="EH39" s="30" cm="1">
        <f t="array" ref="EH39">INDEX(Crops[],BedPlan[[#This Row],[Chart Index]],EH$4,1)*BedPlan[[#This Row],['# Of Beds]]</f>
        <v>57.142857142857139</v>
      </c>
      <c r="EI39" s="30" t="str" cm="1">
        <f t="array" ref="EI39">INDEX(Crops[],BedPlan[[#This Row],[Chart Index]],EI$4,1)</f>
        <v>Head</v>
      </c>
      <c r="EJ39" s="30" t="str" cm="1">
        <f t="array" ref="EJ39">INDEX(Crops[],BedPlan[[#This Row],[Chart Index]],EJ$4,1)</f>
        <v>Mature Head</v>
      </c>
      <c r="EK39" s="30" t="str">
        <f>BedPlan[[#This Row],[Name]]&amp;" "&amp;BedPlan[[#This Row],[Product]]&amp; " - " &amp;BedPlan[[#This Row],[Unit]]</f>
        <v>Cauliflower Mature Head - Head</v>
      </c>
      <c r="EL39" s="33" cm="1">
        <f t="array" ref="EL39">BedPlan[[#This Row],[Harvest Days January 2025]]/SUM(BedPlan[[#This Row],[Harvest Days January 2025]:[Harvest Days December 2026]])*BedPlan[[#This Row],[Yield]:[Yield]]</f>
        <v>0</v>
      </c>
      <c r="EM39" s="33" cm="1">
        <f t="array" ref="EM39">BedPlan[[#This Row],[Harvest Days February 2025]]/SUM(BedPlan[[#This Row],[Harvest Days January 2025]:[Harvest Days December 2026]])*BedPlan[[#This Row],[Yield]:[Yield]]</f>
        <v>0</v>
      </c>
      <c r="EN39" s="33" cm="1">
        <f t="array" ref="EN39">BedPlan[[#This Row],[Harvest Days March 2025]]/SUM(BedPlan[[#This Row],[Harvest Days January 2025]:[Harvest Days December 2026]])*BedPlan[[#This Row],[Yield]:[Yield]]</f>
        <v>0</v>
      </c>
      <c r="EO39" s="33" cm="1">
        <f t="array" ref="EO39">BedPlan[[#This Row],[Harvest Days April 2025]]/SUM(BedPlan[[#This Row],[Harvest Days January 2025]:[Harvest Days December 2026]])*BedPlan[[#This Row],[Yield]:[Yield]]</f>
        <v>0</v>
      </c>
      <c r="EP39" s="33" cm="1">
        <f t="array" ref="EP39">BedPlan[[#This Row],[Harvest Days May 2025]]/SUM(BedPlan[[#This Row],[Harvest Days January 2025]:[Harvest Days December 2026]])*BedPlan[[#This Row],[Yield]:[Yield]]</f>
        <v>0</v>
      </c>
      <c r="EQ39" s="33" cm="1">
        <f t="array" ref="EQ39">BedPlan[[#This Row],[Harvest Days June 2025]]/SUM(BedPlan[[#This Row],[Harvest Days January 2025]:[Harvest Days December 2026]])*BedPlan[[#This Row],[Yield]:[Yield]]</f>
        <v>0</v>
      </c>
      <c r="ER39" s="33" cm="1">
        <f t="array" ref="ER39">BedPlan[[#This Row],[Harvest Days July 2025]]/SUM(BedPlan[[#This Row],[Harvest Days January 2025]:[Harvest Days December 2026]])*BedPlan[[#This Row],[Yield]:[Yield]]</f>
        <v>0</v>
      </c>
      <c r="ES39" s="33" cm="1">
        <f t="array" ref="ES39">BedPlan[[#This Row],[Harvest Days August 2025]]/SUM(BedPlan[[#This Row],[Harvest Days January 2025]:[Harvest Days December 2026]])*BedPlan[[#This Row],[Yield]:[Yield]]</f>
        <v>0</v>
      </c>
      <c r="ET39" s="33" cm="1">
        <f t="array" ref="ET39">BedPlan[[#This Row],[Harvest Days September 2025]]/SUM(BedPlan[[#This Row],[Harvest Days January 2025]:[Harvest Days December 2026]])*BedPlan[[#This Row],[Yield]:[Yield]]</f>
        <v>38.961038961038959</v>
      </c>
      <c r="EU39" s="33" cm="1">
        <f t="array" ref="EU39">BedPlan[[#This Row],[Harvest Days October 2025]]/SUM(BedPlan[[#This Row],[Harvest Days January 2025]:[Harvest Days December 2026]])*BedPlan[[#This Row],[Yield]:[Yield]]</f>
        <v>18.18181818181818</v>
      </c>
      <c r="EV39" s="33" cm="1">
        <f t="array" ref="EV39">BedPlan[[#This Row],[Harvest Days November 2025]]/SUM(BedPlan[[#This Row],[Harvest Days January 2025]:[Harvest Days December 2026]])*BedPlan[[#This Row],[Yield]:[Yield]]</f>
        <v>0</v>
      </c>
      <c r="EW39" s="33" cm="1">
        <f t="array" ref="EW39">BedPlan[[#This Row],[Harvest Days December 2025]]/SUM(BedPlan[[#This Row],[Harvest Days January 2025]:[Harvest Days December 2026]])*BedPlan[[#This Row],[Yield]:[Yield]]</f>
        <v>0</v>
      </c>
    </row>
    <row r="40" spans="1:153" ht="15.75" customHeight="1">
      <c r="A40" s="192" t="s">
        <v>271</v>
      </c>
      <c r="B40" t="s">
        <v>2636</v>
      </c>
      <c r="C40" t="s">
        <v>1473</v>
      </c>
      <c r="D40" cm="1">
        <f t="array" ref="D40">INDEX(Crops[],BedPlan[[#This Row],[Chart Index]],D$4,1)*BedPlan[[#This Row],[Full Bed Equivalent]]</f>
        <v>85.714285714285708</v>
      </c>
      <c r="E40" cm="1">
        <f t="array" ref="E40">INDEX(Crops[],BedPlan[[#This Row],[Chart Index]],E$4,1)*BedPlan[[#This Row],[Full Bed Equivalent]]</f>
        <v>1799.9999999999998</v>
      </c>
      <c r="F40" t="str">
        <f>UPPER(LEFT(BedPlan[[#This Row],[Crop]],3))</f>
        <v>CEL</v>
      </c>
      <c r="H40" s="143" t="str" cm="1">
        <f t="array" ref="H40">INDEX(Crops[],BedPlan[[#This Row],[Chart Index]],H$4,1)</f>
        <v>Celery</v>
      </c>
      <c r="I40" t="s">
        <v>1871</v>
      </c>
      <c r="K40" t="str" cm="1">
        <f t="array" ref="K40">IF(ISNUMBER(MATCH(BedPlan[[#This Row],[Variety]],SeedMixes[Name],)),_xlfn.TEXTJOIN(", ",TRUE,_xlfn._xlws.FILTER(SeedMixes[Variety &amp; Company],SeedMixes[Name]=BedPlan[[#This Row],[Variety]])),"")</f>
        <v>Merrengo F1 - Pelleted High Mowing, Tango High Mowing, Ventura Adaptive</v>
      </c>
      <c r="L40" s="33" cm="1">
        <f t="array" ref="L40">INDEX(Crops[],BedPlan[[#This Row],[Chart Index]],L$4,1)*BedPlan[[#This Row],[Full Bed Equivalent]]</f>
        <v>195</v>
      </c>
      <c r="N40">
        <f>1</f>
        <v>1</v>
      </c>
      <c r="O40">
        <f>MAX(BedPlan[[#This Row],['# Of Beds]],0.5)</f>
        <v>1</v>
      </c>
      <c r="P40" s="31">
        <f>IF(ISNUMBER(BedPlan[[#This Row],[Planned Greenhouse Start Date]]),BedPlan[[#This Row],[Planned Greenhouse Start Date]],BedPlan[[#This Row],[Planned TP or DS Date]])</f>
        <v>45708</v>
      </c>
      <c r="Q40" s="259">
        <f>IF(BedPlan[[#This Row],[Days in Cells]]=0,"",IFERROR(_xlfn.XLOOKUP(BedPlan[[#This Row],[Follows Crop]],BedPlan[Identifier],BedPlan[Expected End of Harvest]) + 1+BedPlan[[#This Row],[Follow Offset]],BedPlan[[#This Row],[Fixed Field Start Date]])-BedPlan[[#This Row],[Days in Cells]])</f>
        <v>45708</v>
      </c>
      <c r="R40" s="259">
        <v>45744</v>
      </c>
      <c r="S40" s="259">
        <f>IF(ISNUMBER(BedPlan[[#This Row],[Actual Greenhouse Date]]),BedPlan[[#This Row],[Actual Greenhouse Date]],BedPlan[[#This Row],[Planned Greenhouse Start Date]])</f>
        <v>45744</v>
      </c>
      <c r="T40" s="259">
        <f>_xlfn.XLOOKUP(BedPlan[[#This Row],[Crop]],Crops[Identifier],Crops[Target Field Date])</f>
        <v>45777</v>
      </c>
      <c r="U40" s="260"/>
      <c r="V40" s="260"/>
      <c r="W4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45813</v>
      </c>
      <c r="X40" s="259">
        <v>45813</v>
      </c>
      <c r="Y40" s="271">
        <f>BedPlan[[#This Row],[Actual TP or DS Date]]-BedPlan[[#This Row],[Planned TP or DS Date]]</f>
        <v>0</v>
      </c>
      <c r="Z40" s="259">
        <f>IF(ISNUMBER(BedPlan[[#This Row],[Actual TP or DS Date]]),BedPlan[[#This Row],[Actual TP or DS Date]],BedPlan[[#This Row],[Planned TP or DS Date]])</f>
        <v>45813</v>
      </c>
      <c r="AA40" s="260"/>
      <c r="AB40" s="259">
        <f>IF(ISNUMBER(BedPlan[[#This Row],[Greenhouse Start Date]]),BedPlan[[#This Row],[Greenhouse Start Date]]+BedPlan[[#This Row],[DTM]],BedPlan[[#This Row],[TP or DS Date]]+BedPlan[[#This Row],[DTM]])</f>
        <v>45844</v>
      </c>
      <c r="AC40" s="259"/>
      <c r="AD40" s="259">
        <f>IF(ISNUMBER(BedPlan[[#This Row],[Actual Beginning of Harvest]]),BedPlan[[#This Row],[Actual Beginning of Harvest]],BedPlan[[#This Row],[Expected Beginning of Harvest]])</f>
        <v>45844</v>
      </c>
      <c r="AE40" s="259">
        <f>BedPlan[[#This Row],[Expected Beginning of Harvest]]+BedPlan[[#This Row],[Harvest Window]]+BedPlan[[#This Row],[Additional Days of Harvest]]</f>
        <v>45991</v>
      </c>
      <c r="AF40" s="259"/>
      <c r="AG40" s="259"/>
      <c r="AH40" s="31" t="b">
        <f>IF(AND( BedPlan[[#This Row],[Expected End of Harvest]] &gt;= DATE(2025, 8, 1), BedPlan[[#This Row],[Beginning of Harvest]] &lt;= DATE(2025, 8, 31) ), TRUE, FALSE)</f>
        <v>1</v>
      </c>
      <c r="AI40" s="31"/>
      <c r="AJ40" s="31">
        <f>IF(ISNUMBER(BedPlan[[#This Row],[Actual End of Harvest]]),BedPlan[[#This Row],[Actual End of Harvest]],BedPlan[[#This Row],[Expected End of Harvest]])</f>
        <v>45991</v>
      </c>
      <c r="AK40" t="b">
        <f>OR(ISNUMBER(BedPlan[[#This Row],[Actual Greenhouse Date]]),ISNUMBER(BedPlan[[#This Row],[Actual TP or DS Date]]))</f>
        <v>1</v>
      </c>
      <c r="AL40" s="52" t="b">
        <f>IF(ISNUMBER(BedPlan[[#This Row],[Planned Greenhouse Start Date]]),OR(ISNUMBER(BedPlan[[#This Row],[Actual TP or DS Date]]),BedPlan[[#This Row],[Failed]]),"-")</f>
        <v>1</v>
      </c>
      <c r="AM40" t="b">
        <f>OR(ISNUMBER(BedPlan[[#This Row],[Actual End of Harvest]]),BedPlan[[#This Row],[Failed]])</f>
        <v>0</v>
      </c>
      <c r="AN40" t="b">
        <f>OR(BedPlan[[#This Row],[Harvest Done]],BedPlan[[#This Row],[Failed]],BedPlan[[#This Row],[Name]]="Tarp")</f>
        <v>0</v>
      </c>
      <c r="AP40" t="b">
        <v>1</v>
      </c>
      <c r="AQ40" t="s">
        <v>3214</v>
      </c>
      <c r="AS40" s="26" t="str">
        <f>IF(BedPlan[[#This Row],[Broadfork]],BedPlan[[#This Row],[Actual TP or DS Date]],"")</f>
        <v/>
      </c>
      <c r="AT40" s="26">
        <f>IF(BedPlan[[#This Row],[Tilther]],BedPlan[[#This Row],[Actual TP or DS Date]],"")</f>
        <v>45813</v>
      </c>
      <c r="AU40" s="26">
        <f>IF(NOT(ISBLANK(BedPlan[[#This Row],[Amend]])),BedPlan[[#This Row],[Actual TP or DS Date]],"")</f>
        <v>45813</v>
      </c>
      <c r="AV40" s="26" t="str">
        <f>IF(BedPlan[[#This Row],[Row Cover]],BedPlan[[#This Row],[Actual TP or DS Date]],"")</f>
        <v/>
      </c>
      <c r="AX40" s="26"/>
      <c r="AZ40" s="26"/>
      <c r="BB40" s="26"/>
      <c r="BC40" s="231" cm="1">
        <f t="array" ref="BC40">INDEX(Crops[],BedPlan[[#This Row],[Chart Index]],BC$4,1)*BedPlan[[#This Row],[Full Bed Equivalent]]</f>
        <v>4949.9999999999991</v>
      </c>
      <c r="BD40" s="231" cm="1">
        <f t="array" ref="BD40">INDEX(Crops[],BedPlan[[#This Row],[Chart Index]],BD$4,1)*BedPlan[[#This Row],[Full Bed Equivalent]]</f>
        <v>27.80898876404494</v>
      </c>
      <c r="BE40" cm="1">
        <f t="array" ref="BE40">INDEX(Crops[],BedPlan[[#This Row],[Chart Index]],BE$4,1)+BedPlan[[#This Row],[Additional Days in Cells]]+BedPlan[[#This Row],[Additional Days In Field]]</f>
        <v>100</v>
      </c>
      <c r="BG40" cm="1">
        <f t="array" ref="BG40">INDEX(Crops[],BedPlan[[#This Row],[Chart Index]],BG$4,1)</f>
        <v>147</v>
      </c>
      <c r="BH40" t="str">
        <f>IF(ISNUMBER(BedPlan[[#This Row],[Planned Greenhouse Start Date]]),"TP","DS")</f>
        <v>TP</v>
      </c>
      <c r="BI40">
        <f>BedPlan[[#This Row],['# Of Beds]]</f>
        <v>1</v>
      </c>
      <c r="BJ40" cm="1">
        <f t="array" ref="BJ40">INDEX(Crops[],BedPlan[[#This Row],[Chart Index]],BJ$4,1)</f>
        <v>69</v>
      </c>
      <c r="BK40" cm="1">
        <f t="array" ref="BK40">INDEX(Crops[],BedPlan[[#This Row],[Chart Index]],BK$4,1)</f>
        <v>3</v>
      </c>
      <c r="BL40" cm="1">
        <f t="array" ref="BL40">INDEX(Crops[],BedPlan[[#This Row],[Chart Index]],BL$4,1)</f>
        <v>12</v>
      </c>
      <c r="BM40" cm="1">
        <f t="array" ref="BM40">INDEX(Crops[],BedPlan[[#This Row],[Chart Index]],BM$4,1)</f>
        <v>1</v>
      </c>
      <c r="BN40" s="32" cm="1">
        <f t="array" ref="BN40">INDEX(Crops[],BedPlan[[#This Row],[Chart Index]],BN$4,1)*BedPlan[[#This Row],[Full Bed Equivalent]]</f>
        <v>150</v>
      </c>
      <c r="BO40" t="str" cm="1">
        <f t="array" ref="BO40">IF(INDEX(Crops[],BedPlan[[#This Row],[Chart Index]],BO$4,1)=0,"",INDEX(Crops[],BedPlan[[#This Row],[Chart Index]],BO$4,1))</f>
        <v/>
      </c>
      <c r="BP40">
        <f>MATCH(BedPlan[[#This Row],[Crop]],Crops[Identifier],FALSE)</f>
        <v>70</v>
      </c>
      <c r="BQ40" t="str" cm="1">
        <f t="array" ref="BQ40">INDEX(Crops[],BedPlan[[#This Row],[Chart Index]],BQ$4,1)</f>
        <v>General</v>
      </c>
      <c r="BR40" t="str" cm="1">
        <f t="array" ref="BR40">INDEX(Crops[],BedPlan[[#This Row],[Chart Index]],BR$4,1)</f>
        <v>SpSu</v>
      </c>
      <c r="BS40" s="32">
        <f>BedPlan[[#This Row],[Expected Beginning of Harvest]]-DATE(2023,1,1)</f>
        <v>917</v>
      </c>
      <c r="BT40">
        <f>BedPlan[[#This Row],[Expected End of Harvest]]-BedPlan[[#This Row],[Expected Beginning of Harvest]]</f>
        <v>147</v>
      </c>
      <c r="BU40" t="str" cm="1">
        <f t="array" ref="BU40">INDEX(Crops[],BedPlan[[#This Row],[Chart Index]],BU$4,1)</f>
        <v>Celery</v>
      </c>
      <c r="BV40" cm="1">
        <f t="array" ref="BV40">INDEX(Crops[],BedPlan[[#This Row],[Chart Index]],BV$4,1)</f>
        <v>2</v>
      </c>
      <c r="BW40" t="str" cm="1">
        <f t="array" ref="BW40">INDEX(Crops[],BedPlan[[#This Row],[Chart Index]],BW$4,1)</f>
        <v>None</v>
      </c>
      <c r="BX40" cm="1">
        <f t="array" ref="BX40">INDEX(Crops[],BedPlan[[#This Row],[Chart Index]],BX$4,1)</f>
        <v>400</v>
      </c>
      <c r="BY40" cm="1">
        <f t="array" ref="BY40">INDEX(Crops[],BedPlan[[#This Row],[Chart Index]],BY$4,1)</f>
        <v>21</v>
      </c>
      <c r="BZ40" s="49" cm="1">
        <f t="array" ref="BZ40">IFERROR(INDEX(Crops[],BedPlan[[#This Row],[Chart Index]],BZ$4,1)*BedPlan[[#This Row],[Full Bed Equivalent]],"")</f>
        <v>0.48750000000000004</v>
      </c>
      <c r="CA40" cm="1">
        <f t="array" ref="CA40">INDEX(Crops[],BedPlan[[#This Row],[Chart Index]],CA$4,1)</f>
        <v>128</v>
      </c>
      <c r="CB40" cm="1">
        <f t="array" ref="CB40">INDEX(Crops[],BedPlan[[#This Row],[Chart Index]],CB$4,1)</f>
        <v>48</v>
      </c>
      <c r="CC40" s="49" cm="1">
        <f t="array" ref="CC40">IFERROR(INDEX(Crops[],BedPlan[[#This Row],[Chart Index]],CC$4,1)*BedPlan[[#This Row],[Full Bed Equivalent]],"")</f>
        <v>1.5234375</v>
      </c>
      <c r="CD40" cm="1">
        <f t="array" ref="CD40">INDEX(Crops[],BedPlan[[#This Row],[Chart Index]],CD$4,1)</f>
        <v>0</v>
      </c>
      <c r="CE40" cm="1">
        <f t="array" ref="CE40">IF(INDEX(Crops[],BedPlan[[#This Row],[Chart Index]],CE$4,1)="",0,INDEX(Crops[],BedPlan[[#This Row],[Chart Index]],CE$4,1))</f>
        <v>0</v>
      </c>
      <c r="CF40" s="49" t="str" cm="1">
        <f t="array" ref="CF40">IFERROR(INDEX(Crops[],BedPlan[[#This Row],[Chart Index]],CF$4,1)*BedPlan[[#This Row],[Full Bed Equivalent]],"")</f>
        <v/>
      </c>
      <c r="CG40" cm="1">
        <f t="array" ref="CG40">IF(INDEX(Crops[],BedPlan[[#This Row],[Chart Index]],CG$4,1)="",0,INDEX(Crops[],BedPlan[[#This Row],[Chart Index]],CG$4,1))</f>
        <v>1.3</v>
      </c>
      <c r="CH40" cm="1">
        <f t="array" ref="CH40">IF(INDEX(Crops[],BedPlan[[#This Row],[Chart Index]],CH$4,1)="",0,INDEX(Crops[],BedPlan[[#This Row],[Chart Index]],CH$4,1))</f>
        <v>0</v>
      </c>
      <c r="CI40" t="str" cm="1">
        <f t="array" ref="CI40">INDEX(Crops[],BedPlan[[#This Row],[Chart Index]],CI$4,1)</f>
        <v>Field</v>
      </c>
      <c r="CJ40" s="30" t="str">
        <f>_xlfn.TEXTJOIN(CHAR(10),FALSE,BedPlan[[#This Row],[Name]],BedPlan[[#This Row],[Variety]],BedPlan[[#This Row],[Company]])</f>
        <v xml:space="preserve">Celery
Celery Mix
</v>
      </c>
      <c r="CK40" s="32">
        <f>MAX( 0, MIN(BedPlan[[#This Row],[Expected End of Harvest]], EOMONTH(CK$4, 0)) - MAX(BedPlan[[#This Row],[Beginning of Harvest]], CK$4) + 1 )</f>
        <v>0</v>
      </c>
      <c r="CL40">
        <f>MAX( 0, MIN(BedPlan[[#This Row],[Expected End of Harvest]], EOMONTH(CL$4, 0)) - MAX(BedPlan[[#This Row],[Beginning of Harvest]], CL$4) + 1 )</f>
        <v>0</v>
      </c>
      <c r="CM40">
        <f>MAX( 0, MIN(BedPlan[[#This Row],[Expected End of Harvest]], EOMONTH(CM$4, 0)) - MAX(BedPlan[[#This Row],[Beginning of Harvest]], CM$4) + 1 )</f>
        <v>0</v>
      </c>
      <c r="CN40">
        <f>MAX( 0, MIN(BedPlan[[#This Row],[Expected End of Harvest]], EOMONTH(CN$4, 0)) - MAX(BedPlan[[#This Row],[Beginning of Harvest]], CN$4) + 1 )</f>
        <v>0</v>
      </c>
      <c r="CO40">
        <f>MAX( 0, MIN(BedPlan[[#This Row],[Expected End of Harvest]], EOMONTH(CO$4, 0)) - MAX(BedPlan[[#This Row],[Beginning of Harvest]], CO$4) + 1 )</f>
        <v>0</v>
      </c>
      <c r="CP40">
        <f>MAX( 0, MIN(BedPlan[[#This Row],[Expected End of Harvest]], EOMONTH(CP$4, 0)) - MAX(BedPlan[[#This Row],[Beginning of Harvest]], CP$4) + 1 )</f>
        <v>0</v>
      </c>
      <c r="CQ40">
        <f>MAX( 0, MIN(BedPlan[[#This Row],[Expected End of Harvest]], EOMONTH(CQ$4, 0)) - MAX(BedPlan[[#This Row],[Beginning of Harvest]], CQ$4) + 1 )</f>
        <v>26</v>
      </c>
      <c r="CR40">
        <f>MAX( 0, MIN(BedPlan[[#This Row],[Expected End of Harvest]], EOMONTH(CR$4, 0)) - MAX(BedPlan[[#This Row],[Beginning of Harvest]], CR$4) + 1 )</f>
        <v>31</v>
      </c>
      <c r="CS40">
        <f>MAX( 0, MIN(BedPlan[[#This Row],[Expected End of Harvest]], EOMONTH(CS$4, 0)) - MAX(BedPlan[[#This Row],[Beginning of Harvest]], CS$4) + 1 )</f>
        <v>30</v>
      </c>
      <c r="CT40">
        <f>MAX( 0, MIN(BedPlan[[#This Row],[Expected End of Harvest]], EOMONTH(CT$4, 0)) - MAX(BedPlan[[#This Row],[Beginning of Harvest]], CT$4) + 1 )</f>
        <v>31</v>
      </c>
      <c r="CU40">
        <f>MAX( 0, MIN(BedPlan[[#This Row],[Expected End of Harvest]], EOMONTH(CU$4, 0)) - MAX(BedPlan[[#This Row],[Beginning of Harvest]], CU$4) + 1 )</f>
        <v>30</v>
      </c>
      <c r="CV40">
        <f>MAX( 0, MIN(BedPlan[[#This Row],[Expected End of Harvest]], EOMONTH(CV$4, 0)) - MAX(BedPlan[[#This Row],[Beginning of Harvest]], CV$4) + 1 )</f>
        <v>0</v>
      </c>
      <c r="CW40">
        <f>MAX( 0, MIN(BedPlan[[#This Row],[Expected End of Harvest]], EOMONTH(CW$4, 0)) - MAX(BedPlan[[#This Row],[Beginning of Harvest]], CW$4) + 1 )</f>
        <v>0</v>
      </c>
      <c r="CX40">
        <f>MAX( 0, MIN(BedPlan[[#This Row],[Expected End of Harvest]], EOMONTH(CX$4, 0)) - MAX(BedPlan[[#This Row],[Beginning of Harvest]], CX$4) + 1 )</f>
        <v>0</v>
      </c>
      <c r="CY40">
        <f>MAX( 0, MIN(BedPlan[[#This Row],[Expected End of Harvest]], EOMONTH(CY$4, 0)) - MAX(BedPlan[[#This Row],[Beginning of Harvest]], CY$4) + 1 )</f>
        <v>0</v>
      </c>
      <c r="CZ40">
        <f>MAX( 0, MIN(BedPlan[[#This Row],[Expected End of Harvest]], EOMONTH(CZ$4, 0)) - MAX(BedPlan[[#This Row],[Beginning of Harvest]], CZ$4) + 1 )</f>
        <v>0</v>
      </c>
      <c r="DA40">
        <f>MAX( 0, MIN(BedPlan[[#This Row],[Expected End of Harvest]], EOMONTH(DA$4, 0)) - MAX(BedPlan[[#This Row],[Beginning of Harvest]], DA$4) + 1 )</f>
        <v>0</v>
      </c>
      <c r="DB40">
        <f>MAX( 0, MIN(BedPlan[[#This Row],[Expected End of Harvest]], EOMONTH(DB$4, 0)) - MAX(BedPlan[[#This Row],[Beginning of Harvest]], DB$4) + 1 )</f>
        <v>0</v>
      </c>
      <c r="DC40">
        <f>MAX( 0, MIN(BedPlan[[#This Row],[Expected End of Harvest]], EOMONTH(DC$4, 0)) - MAX(BedPlan[[#This Row],[Beginning of Harvest]], DC$4) + 1 )</f>
        <v>0</v>
      </c>
      <c r="DD40">
        <f>MAX( 0, MIN(BedPlan[[#This Row],[Expected End of Harvest]], EOMONTH(DD$4, 0)) - MAX(BedPlan[[#This Row],[Beginning of Harvest]], DD$4) + 1 )</f>
        <v>0</v>
      </c>
      <c r="DE40">
        <f>MAX( 0, MIN(BedPlan[[#This Row],[Expected End of Harvest]], EOMONTH(DE$4, 0)) - MAX(BedPlan[[#This Row],[Beginning of Harvest]], DE$4) + 1 )</f>
        <v>0</v>
      </c>
      <c r="DF40">
        <f>MAX( 0, MIN(BedPlan[[#This Row],[Expected End of Harvest]], EOMONTH(DF$4, 0)) - MAX(BedPlan[[#This Row],[Beginning of Harvest]], DF$4) + 1 )</f>
        <v>0</v>
      </c>
      <c r="DG40">
        <f>MAX( 0, MIN(BedPlan[[#This Row],[Expected End of Harvest]], EOMONTH(DG$4, 0)) - MAX(BedPlan[[#This Row],[Beginning of Harvest]], DG$4) + 1 )</f>
        <v>0</v>
      </c>
      <c r="DH40">
        <f>MAX( 0, MIN(BedPlan[[#This Row],[Expected End of Harvest]], EOMONTH(DH$4, 0)) - MAX(BedPlan[[#This Row],[Beginning of Harvest]], DH$4) + 1 )</f>
        <v>0</v>
      </c>
      <c r="DI40" s="257" cm="1">
        <f t="array" ref="DI40">BedPlan[[#This Row],[Harvest Days January 2025]]/SUM(BedPlan[[#This Row],[Harvest Days January 2025]:[Harvest Days December 2026]])*BedPlan[[#This Row],[Revenue]:[Revenue]]</f>
        <v>0</v>
      </c>
      <c r="DJ40" s="257" cm="1">
        <f t="array" ref="DJ40">BedPlan[[#This Row],[Harvest Days February 2025]]/SUM(BedPlan[[#This Row],[Harvest Days January 2025]:[Harvest Days December 2026]])*BedPlan[[#This Row],[Revenue]:[Revenue]]</f>
        <v>0</v>
      </c>
      <c r="DK40" s="257" cm="1">
        <f t="array" ref="DK40">BedPlan[[#This Row],[Harvest Days March 2025]]/SUM(BedPlan[[#This Row],[Harvest Days January 2025]:[Harvest Days December 2026]])*BedPlan[[#This Row],[Revenue]:[Revenue]]</f>
        <v>0</v>
      </c>
      <c r="DL40" s="257" cm="1">
        <f t="array" ref="DL40">BedPlan[[#This Row],[Harvest Days April 2025]]/SUM(BedPlan[[#This Row],[Harvest Days January 2025]:[Harvest Days December 2026]])*BedPlan[[#This Row],[Revenue]:[Revenue]]</f>
        <v>0</v>
      </c>
      <c r="DM40" s="257" cm="1">
        <f t="array" ref="DM40">BedPlan[[#This Row],[Harvest Days May 2025]]/SUM(BedPlan[[#This Row],[Harvest Days January 2025]:[Harvest Days December 2026]])*BedPlan[[#This Row],[Revenue]:[Revenue]]</f>
        <v>0</v>
      </c>
      <c r="DN40" s="257" cm="1">
        <f t="array" ref="DN40">BedPlan[[#This Row],[Harvest Days June 2025]]/SUM(BedPlan[[#This Row],[Harvest Days January 2025]:[Harvest Days December 2026]])*BedPlan[[#This Row],[Revenue]:[Revenue]]</f>
        <v>0</v>
      </c>
      <c r="DO40" s="257" cm="1">
        <f t="array" ref="DO40">BedPlan[[#This Row],[Harvest Days July 2025]]/SUM(BedPlan[[#This Row],[Harvest Days January 2025]:[Harvest Days December 2026]])*BedPlan[[#This Row],[Revenue]:[Revenue]]</f>
        <v>869.59459459459447</v>
      </c>
      <c r="DP40" s="257" cm="1">
        <f t="array" ref="DP40">BedPlan[[#This Row],[Harvest Days August 2025]]/SUM(BedPlan[[#This Row],[Harvest Days January 2025]:[Harvest Days December 2026]])*BedPlan[[#This Row],[Revenue]:[Revenue]]</f>
        <v>1036.8243243243242</v>
      </c>
      <c r="DQ40" s="257" cm="1">
        <f t="array" ref="DQ40">BedPlan[[#This Row],[Harvest Days September 2025]]/SUM(BedPlan[[#This Row],[Harvest Days January 2025]:[Harvest Days December 2026]])*BedPlan[[#This Row],[Revenue]:[Revenue]]</f>
        <v>1003.3783783783782</v>
      </c>
      <c r="DR40" s="257" cm="1">
        <f t="array" ref="DR40">BedPlan[[#This Row],[Harvest Days October 2025]]/SUM(BedPlan[[#This Row],[Harvest Days January 2025]:[Harvest Days December 2026]])*BedPlan[[#This Row],[Revenue]:[Revenue]]</f>
        <v>1036.8243243243242</v>
      </c>
      <c r="DS40" s="257" cm="1">
        <f t="array" ref="DS40">BedPlan[[#This Row],[Harvest Days November 2025]]/SUM(BedPlan[[#This Row],[Harvest Days January 2025]:[Harvest Days December 2026]])*BedPlan[[#This Row],[Revenue]:[Revenue]]</f>
        <v>1003.3783783783782</v>
      </c>
      <c r="DT40" s="257" cm="1">
        <f t="array" ref="DT40">BedPlan[[#This Row],[Harvest Days December 2025]]/SUM(BedPlan[[#This Row],[Harvest Days January 2025]:[Harvest Days December 2026]])*BedPlan[[#This Row],[Revenue]:[Revenue]]</f>
        <v>0</v>
      </c>
      <c r="DU40" s="257" cm="1">
        <f t="array" ref="DU40">BedPlan[[#This Row],[Harvest Days January 2026]]/SUM(BedPlan[[#This Row],[Harvest Days January 2025]:[Harvest Days December 2026]])*BedPlan[[#This Row],[Revenue]:[Revenue]]</f>
        <v>0</v>
      </c>
      <c r="DV40" s="257" cm="1">
        <f t="array" ref="DV40">BedPlan[[#This Row],[Harvest Days February 2026]]/SUM(BedPlan[[#This Row],[Harvest Days January 2025]:[Harvest Days December 2026]])*BedPlan[[#This Row],[Revenue]:[Revenue]]</f>
        <v>0</v>
      </c>
      <c r="DW40" s="257" cm="1">
        <f t="array" ref="DW40">BedPlan[[#This Row],[Harvest Days March 2026]]/SUM(BedPlan[[#This Row],[Harvest Days January 2025]:[Harvest Days December 2026]])*BedPlan[[#This Row],[Revenue]:[Revenue]]</f>
        <v>0</v>
      </c>
      <c r="DX40" s="257" cm="1">
        <f t="array" ref="DX40">BedPlan[[#This Row],[Harvest Days April 2026]]/SUM(BedPlan[[#This Row],[Harvest Days January 2025]:[Harvest Days December 2026]])*BedPlan[[#This Row],[Revenue]:[Revenue]]</f>
        <v>0</v>
      </c>
      <c r="DY40" s="257" cm="1">
        <f t="array" ref="DY40">BedPlan[[#This Row],[Harvest Days May 2026]]/SUM(BedPlan[[#This Row],[Harvest Days January 2025]:[Harvest Days December 2026]])*BedPlan[[#This Row],[Revenue]:[Revenue]]</f>
        <v>0</v>
      </c>
      <c r="DZ40" s="257" cm="1">
        <f t="array" ref="DZ40">BedPlan[[#This Row],[Harvest Days June 2026]]/SUM(BedPlan[[#This Row],[Harvest Days January 2025]:[Harvest Days December 2026]])*BedPlan[[#This Row],[Revenue]:[Revenue]]</f>
        <v>0</v>
      </c>
      <c r="EA40" s="257" cm="1">
        <f t="array" ref="EA40">BedPlan[[#This Row],[Harvest Days July 2026]]/SUM(BedPlan[[#This Row],[Harvest Days January 2025]:[Harvest Days December 2026]])*BedPlan[[#This Row],[Revenue]:[Revenue]]</f>
        <v>0</v>
      </c>
      <c r="EB40" s="257" cm="1">
        <f t="array" ref="EB40">BedPlan[[#This Row],[Harvest Days August 2026]]/SUM(BedPlan[[#This Row],[Harvest Days January 2025]:[Harvest Days December 2026]])*BedPlan[[#This Row],[Revenue]:[Revenue]]</f>
        <v>0</v>
      </c>
      <c r="EC40" s="257" cm="1">
        <f t="array" ref="EC40">BedPlan[[#This Row],[Harvest Days September 2026]]/SUM(BedPlan[[#This Row],[Harvest Days January 2025]:[Harvest Days December 2026]])*BedPlan[[#This Row],[Revenue]:[Revenue]]</f>
        <v>0</v>
      </c>
      <c r="ED40" s="257" cm="1">
        <f t="array" ref="ED40">BedPlan[[#This Row],[Harvest Days October 2026]]/SUM(BedPlan[[#This Row],[Harvest Days January 2025]:[Harvest Days December 2026]])*BedPlan[[#This Row],[Revenue]:[Revenue]]</f>
        <v>0</v>
      </c>
      <c r="EE40" s="257" cm="1">
        <f t="array" ref="EE40">BedPlan[[#This Row],[Harvest Days November 2026]]/SUM(BedPlan[[#This Row],[Harvest Days January 2025]:[Harvest Days December 2026]])*BedPlan[[#This Row],[Revenue]:[Revenue]]</f>
        <v>0</v>
      </c>
      <c r="EF40" s="257" cm="1">
        <f t="array" ref="EF40">BedPlan[[#This Row],[Harvest Days December 2026]]/SUM(BedPlan[[#This Row],[Harvest Days January 2025]:[Harvest Days December 2026]])*BedPlan[[#This Row],[Revenue]:[Revenue]]</f>
        <v>0</v>
      </c>
      <c r="EG40" t="b">
        <f>SUM(BedPlan[[#This Row],[Revenue January 2025]:[Revenue December 2026]])=BedPlan[[#This Row],[Revenue]]</f>
        <v>1</v>
      </c>
      <c r="EH40" s="30" cm="1">
        <f t="array" ref="EH40">INDEX(Crops[],BedPlan[[#This Row],[Chart Index]],EH$4,1)*BedPlan[[#This Row],['# Of Beds]]</f>
        <v>1799.9999999999998</v>
      </c>
      <c r="EI40" s="30" t="str" cm="1">
        <f t="array" ref="EI40">INDEX(Crops[],BedPlan[[#This Row],[Chart Index]],EI$4,1)</f>
        <v>Bunch</v>
      </c>
      <c r="EJ40" s="30" t="str" cm="1">
        <f t="array" ref="EJ40">INDEX(Crops[],BedPlan[[#This Row],[Chart Index]],EJ$4,1)</f>
        <v>Loose Rib</v>
      </c>
      <c r="EK40" s="30" t="str">
        <f>BedPlan[[#This Row],[Name]]&amp;" "&amp;BedPlan[[#This Row],[Product]]&amp; " - " &amp;BedPlan[[#This Row],[Unit]]</f>
        <v>Celery Loose Rib - Bunch</v>
      </c>
      <c r="EL40" s="33" cm="1">
        <f t="array" ref="EL40">BedPlan[[#This Row],[Harvest Days January 2025]]/SUM(BedPlan[[#This Row],[Harvest Days January 2025]:[Harvest Days December 2026]])*BedPlan[[#This Row],[Yield]:[Yield]]</f>
        <v>0</v>
      </c>
      <c r="EM40" s="33" cm="1">
        <f t="array" ref="EM40">BedPlan[[#This Row],[Harvest Days February 2025]]/SUM(BedPlan[[#This Row],[Harvest Days January 2025]:[Harvest Days December 2026]])*BedPlan[[#This Row],[Yield]:[Yield]]</f>
        <v>0</v>
      </c>
      <c r="EN40" s="33" cm="1">
        <f t="array" ref="EN40">BedPlan[[#This Row],[Harvest Days March 2025]]/SUM(BedPlan[[#This Row],[Harvest Days January 2025]:[Harvest Days December 2026]])*BedPlan[[#This Row],[Yield]:[Yield]]</f>
        <v>0</v>
      </c>
      <c r="EO40" s="33" cm="1">
        <f t="array" ref="EO40">BedPlan[[#This Row],[Harvest Days April 2025]]/SUM(BedPlan[[#This Row],[Harvest Days January 2025]:[Harvest Days December 2026]])*BedPlan[[#This Row],[Yield]:[Yield]]</f>
        <v>0</v>
      </c>
      <c r="EP40" s="33" cm="1">
        <f t="array" ref="EP40">BedPlan[[#This Row],[Harvest Days May 2025]]/SUM(BedPlan[[#This Row],[Harvest Days January 2025]:[Harvest Days December 2026]])*BedPlan[[#This Row],[Yield]:[Yield]]</f>
        <v>0</v>
      </c>
      <c r="EQ40" s="33" cm="1">
        <f t="array" ref="EQ40">BedPlan[[#This Row],[Harvest Days June 2025]]/SUM(BedPlan[[#This Row],[Harvest Days January 2025]:[Harvest Days December 2026]])*BedPlan[[#This Row],[Yield]:[Yield]]</f>
        <v>0</v>
      </c>
      <c r="ER40" s="33" cm="1">
        <f t="array" ref="ER40">BedPlan[[#This Row],[Harvest Days July 2025]]/SUM(BedPlan[[#This Row],[Harvest Days January 2025]:[Harvest Days December 2026]])*BedPlan[[#This Row],[Yield]:[Yield]]</f>
        <v>316.2162162162162</v>
      </c>
      <c r="ES40" s="33" cm="1">
        <f t="array" ref="ES40">BedPlan[[#This Row],[Harvest Days August 2025]]/SUM(BedPlan[[#This Row],[Harvest Days January 2025]:[Harvest Days December 2026]])*BedPlan[[#This Row],[Yield]:[Yield]]</f>
        <v>377.02702702702697</v>
      </c>
      <c r="ET40" s="33" cm="1">
        <f t="array" ref="ET40">BedPlan[[#This Row],[Harvest Days September 2025]]/SUM(BedPlan[[#This Row],[Harvest Days January 2025]:[Harvest Days December 2026]])*BedPlan[[#This Row],[Yield]:[Yield]]</f>
        <v>364.86486486486484</v>
      </c>
      <c r="EU40" s="33" cm="1">
        <f t="array" ref="EU40">BedPlan[[#This Row],[Harvest Days October 2025]]/SUM(BedPlan[[#This Row],[Harvest Days January 2025]:[Harvest Days December 2026]])*BedPlan[[#This Row],[Yield]:[Yield]]</f>
        <v>377.02702702702697</v>
      </c>
      <c r="EV40" s="33" cm="1">
        <f t="array" ref="EV40">BedPlan[[#This Row],[Harvest Days November 2025]]/SUM(BedPlan[[#This Row],[Harvest Days January 2025]:[Harvest Days December 2026]])*BedPlan[[#This Row],[Yield]:[Yield]]</f>
        <v>364.86486486486484</v>
      </c>
      <c r="EW40" s="33" cm="1">
        <f t="array" ref="EW40">BedPlan[[#This Row],[Harvest Days December 2025]]/SUM(BedPlan[[#This Row],[Harvest Days January 2025]:[Harvest Days December 2026]])*BedPlan[[#This Row],[Yield]:[Yield]]</f>
        <v>0</v>
      </c>
    </row>
    <row r="41" spans="1:153" ht="15.75" customHeight="1">
      <c r="A41" s="191" t="s">
        <v>2601</v>
      </c>
      <c r="B41" t="s">
        <v>2637</v>
      </c>
      <c r="C41" t="s">
        <v>1426</v>
      </c>
      <c r="D41" cm="1">
        <f t="array" ref="D41">INDEX(Crops[],BedPlan[[#This Row],[Chart Index]],D$4,1)*BedPlan[[#This Row],[Full Bed Equivalent]]</f>
        <v>33.333333333333336</v>
      </c>
      <c r="E41" cm="1">
        <f t="array" ref="E41">INDEX(Crops[],BedPlan[[#This Row],[Chart Index]],E$4,1)*BedPlan[[#This Row],[Full Bed Equivalent]]</f>
        <v>133.33333333333334</v>
      </c>
      <c r="F41" t="str">
        <f>UPPER(LEFT(BedPlan[[#This Row],[Crop]],3))</f>
        <v>CHO</v>
      </c>
      <c r="H41" s="143" t="str" cm="1">
        <f t="array" ref="H41">INDEX(Crops[],BedPlan[[#This Row],[Chart Index]],H$4,1)</f>
        <v>Choi Sum</v>
      </c>
      <c r="I41" t="s">
        <v>511</v>
      </c>
      <c r="J41" t="s">
        <v>490</v>
      </c>
      <c r="K41" t="str" cm="1">
        <f t="array" ref="K41">IF(ISNUMBER(MATCH(BedPlan[[#This Row],[Variety]],SeedMixes[Name],)),_xlfn.TEXTJOIN(", ",TRUE,_xlfn._xlws.FILTER(SeedMixes[Variety &amp; Company],SeedMixes[Name]=BedPlan[[#This Row],[Variety]])),"")</f>
        <v/>
      </c>
      <c r="L41" s="33" cm="1">
        <f t="array" ref="L41">INDEX(Crops[],BedPlan[[#This Row],[Chart Index]],L$4,1)*BedPlan[[#This Row],[Full Bed Equivalent]]</f>
        <v>520</v>
      </c>
      <c r="N41">
        <f>1</f>
        <v>1</v>
      </c>
      <c r="O41">
        <f>MAX(BedPlan[[#This Row],['# Of Beds]],0.5)</f>
        <v>1</v>
      </c>
      <c r="P41" s="31">
        <f>IF(ISNUMBER(BedPlan[[#This Row],[Planned Greenhouse Start Date]]),BedPlan[[#This Row],[Planned Greenhouse Start Date]],BedPlan[[#This Row],[Planned TP or DS Date]])</f>
        <v>45708</v>
      </c>
      <c r="Q41" s="259">
        <f>IF(BedPlan[[#This Row],[Days in Cells]]=0,"",IFERROR(_xlfn.XLOOKUP(BedPlan[[#This Row],[Follows Crop]],BedPlan[Identifier],BedPlan[Expected End of Harvest]) + 1+BedPlan[[#This Row],[Follow Offset]],BedPlan[[#This Row],[Fixed Field Start Date]])-BedPlan[[#This Row],[Days in Cells]])</f>
        <v>45708</v>
      </c>
      <c r="R41" s="259">
        <v>45737</v>
      </c>
      <c r="S41" s="259">
        <f>IF(ISNUMBER(BedPlan[[#This Row],[Actual Greenhouse Date]]),BedPlan[[#This Row],[Actual Greenhouse Date]],BedPlan[[#This Row],[Planned Greenhouse Start Date]])</f>
        <v>45737</v>
      </c>
      <c r="T41" s="259">
        <f>_xlfn.XLOOKUP(BedPlan[[#This Row],[Crop]],Crops[Identifier],Crops[Target Field Date])</f>
        <v>45738</v>
      </c>
      <c r="U41" s="260"/>
      <c r="V41" s="260"/>
      <c r="W4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41" s="259">
        <v>45770</v>
      </c>
      <c r="Y41" s="271">
        <f>BedPlan[[#This Row],[Actual TP or DS Date]]-BedPlan[[#This Row],[Planned TP or DS Date]]</f>
        <v>3</v>
      </c>
      <c r="Z41" s="259">
        <f>IF(ISNUMBER(BedPlan[[#This Row],[Actual TP or DS Date]]),BedPlan[[#This Row],[Actual TP or DS Date]],BedPlan[[#This Row],[Planned TP or DS Date]])</f>
        <v>45770</v>
      </c>
      <c r="AA41" s="260"/>
      <c r="AB41" s="259">
        <f>IF(ISNUMBER(BedPlan[[#This Row],[Greenhouse Start Date]]),BedPlan[[#This Row],[Greenhouse Start Date]]+BedPlan[[#This Row],[DTM]],BedPlan[[#This Row],[TP or DS Date]]+BedPlan[[#This Row],[DTM]])</f>
        <v>45794</v>
      </c>
      <c r="AC41" s="259"/>
      <c r="AD41" s="259">
        <f>IF(ISNUMBER(BedPlan[[#This Row],[Actual Beginning of Harvest]]),BedPlan[[#This Row],[Actual Beginning of Harvest]],BedPlan[[#This Row],[Expected Beginning of Harvest]])</f>
        <v>45794</v>
      </c>
      <c r="AE41" s="259">
        <f>BedPlan[[#This Row],[Expected Beginning of Harvest]]+BedPlan[[#This Row],[Harvest Window]]+BedPlan[[#This Row],[Additional Days of Harvest]]</f>
        <v>45822</v>
      </c>
      <c r="AF41" s="259"/>
      <c r="AG41" s="259"/>
      <c r="AH41" s="31" t="b">
        <f>IF(AND( BedPlan[[#This Row],[Expected End of Harvest]] &gt;= DATE(2025, 8, 1), BedPlan[[#This Row],[Beginning of Harvest]] &lt;= DATE(2025, 8, 31) ), TRUE, FALSE)</f>
        <v>0</v>
      </c>
      <c r="AI41" s="31"/>
      <c r="AJ41" s="31">
        <f>IF(ISNUMBER(BedPlan[[#This Row],[Actual End of Harvest]]),BedPlan[[#This Row],[Actual End of Harvest]],BedPlan[[#This Row],[Expected End of Harvest]])</f>
        <v>45822</v>
      </c>
      <c r="AK41" t="b">
        <f>OR(ISNUMBER(BedPlan[[#This Row],[Actual Greenhouse Date]]),ISNUMBER(BedPlan[[#This Row],[Actual TP or DS Date]]))</f>
        <v>1</v>
      </c>
      <c r="AL41" s="52" t="b">
        <f>IF(ISNUMBER(BedPlan[[#This Row],[Planned Greenhouse Start Date]]),OR(ISNUMBER(BedPlan[[#This Row],[Actual TP or DS Date]]),BedPlan[[#This Row],[Failed]]),"-")</f>
        <v>1</v>
      </c>
      <c r="AM41" t="b">
        <f>OR(ISNUMBER(BedPlan[[#This Row],[Actual End of Harvest]]),BedPlan[[#This Row],[Failed]])</f>
        <v>0</v>
      </c>
      <c r="AN41" t="b">
        <f>OR(BedPlan[[#This Row],[Harvest Done]],BedPlan[[#This Row],[Failed]],BedPlan[[#This Row],[Name]]="Tarp")</f>
        <v>0</v>
      </c>
      <c r="AO41" t="b">
        <v>1</v>
      </c>
      <c r="AQ41" t="s">
        <v>3212</v>
      </c>
      <c r="AS41" s="26">
        <f>IF(BedPlan[[#This Row],[Broadfork]],BedPlan[[#This Row],[Actual TP or DS Date]],"")</f>
        <v>45770</v>
      </c>
      <c r="AT41" s="26" t="str">
        <f>IF(BedPlan[[#This Row],[Tilther]],BedPlan[[#This Row],[Actual TP or DS Date]],"")</f>
        <v/>
      </c>
      <c r="AU41" s="26">
        <f>IF(NOT(ISBLANK(BedPlan[[#This Row],[Amend]])),BedPlan[[#This Row],[Actual TP or DS Date]],"")</f>
        <v>45770</v>
      </c>
      <c r="AV41" s="26" t="str">
        <f>IF(BedPlan[[#This Row],[Row Cover]],BedPlan[[#This Row],[Actual TP or DS Date]],"")</f>
        <v/>
      </c>
      <c r="AW41" t="s">
        <v>3224</v>
      </c>
      <c r="AX41" s="26">
        <v>45795</v>
      </c>
      <c r="AZ41" s="26"/>
      <c r="BB41" s="26"/>
      <c r="BC41" s="231" cm="1">
        <f t="array" ref="BC41">INDEX(Crops[],BedPlan[[#This Row],[Chart Index]],BC$4,1)*BedPlan[[#This Row],[Full Bed Equivalent]]</f>
        <v>533.33333333333337</v>
      </c>
      <c r="BD41" s="231" cm="1">
        <f t="array" ref="BD41">INDEX(Crops[],BedPlan[[#This Row],[Chart Index]],BD$4,1)*BedPlan[[#This Row],[Full Bed Equivalent]]</f>
        <v>9.6969696969696972</v>
      </c>
      <c r="BE41" cm="1">
        <f t="array" ref="BE41">INDEX(Crops[],BedPlan[[#This Row],[Chart Index]],BE$4,1)+BedPlan[[#This Row],[Additional Days in Cells]]+BedPlan[[#This Row],[Additional Days In Field]]</f>
        <v>57</v>
      </c>
      <c r="BG41" cm="1">
        <f t="array" ref="BG41">INDEX(Crops[],BedPlan[[#This Row],[Chart Index]],BG$4,1)</f>
        <v>28</v>
      </c>
      <c r="BH41" t="str">
        <f>IF(ISNUMBER(BedPlan[[#This Row],[Planned Greenhouse Start Date]]),"TP","DS")</f>
        <v>TP</v>
      </c>
      <c r="BI41">
        <f>BedPlan[[#This Row],['# Of Beds]]</f>
        <v>1</v>
      </c>
      <c r="BJ41" cm="1">
        <f t="array" ref="BJ41">INDEX(Crops[],BedPlan[[#This Row],[Chart Index]],BJ$4,1)</f>
        <v>30</v>
      </c>
      <c r="BK41" cm="1">
        <f t="array" ref="BK41">INDEX(Crops[],BedPlan[[#This Row],[Chart Index]],BK$4,1)</f>
        <v>4</v>
      </c>
      <c r="BL41" cm="1">
        <f t="array" ref="BL41">INDEX(Crops[],BedPlan[[#This Row],[Chart Index]],BL$4,1)</f>
        <v>6</v>
      </c>
      <c r="BM41" cm="1">
        <f t="array" ref="BM41">INDEX(Crops[],BedPlan[[#This Row],[Chart Index]],BM$4,1)</f>
        <v>1</v>
      </c>
      <c r="BN41" s="32" cm="1">
        <f t="array" ref="BN41">INDEX(Crops[],BedPlan[[#This Row],[Chart Index]],BN$4,1)*BedPlan[[#This Row],[Full Bed Equivalent]]</f>
        <v>400</v>
      </c>
      <c r="BO41" t="str" cm="1">
        <f t="array" ref="BO41">IF(INDEX(Crops[],BedPlan[[#This Row],[Chart Index]],BO$4,1)=0,"",INDEX(Crops[],BedPlan[[#This Row],[Chart Index]],BO$4,1))</f>
        <v/>
      </c>
      <c r="BP41">
        <f>MATCH(BedPlan[[#This Row],[Crop]],Crops[Identifier],FALSE)</f>
        <v>79</v>
      </c>
      <c r="BQ41" t="str" cm="1">
        <f t="array" ref="BQ41">INDEX(Crops[],BedPlan[[#This Row],[Chart Index]],BQ$4,1)</f>
        <v>General</v>
      </c>
      <c r="BR41" t="str" cm="1">
        <f t="array" ref="BR41">INDEX(Crops[],BedPlan[[#This Row],[Chart Index]],BR$4,1)</f>
        <v/>
      </c>
      <c r="BS41" s="32">
        <f>BedPlan[[#This Row],[Expected Beginning of Harvest]]-DATE(2023,1,1)</f>
        <v>867</v>
      </c>
      <c r="BT41">
        <f>BedPlan[[#This Row],[Expected End of Harvest]]-BedPlan[[#This Row],[Expected Beginning of Harvest]]</f>
        <v>28</v>
      </c>
      <c r="BU41" t="str" cm="1">
        <f t="array" ref="BU41">INDEX(Crops[],BedPlan[[#This Row],[Chart Index]],BU$4,1)</f>
        <v>Brassica</v>
      </c>
      <c r="BV41" cm="1">
        <f t="array" ref="BV41">INDEX(Crops[],BedPlan[[#This Row],[Chart Index]],BV$4,1)</f>
        <v>1.5</v>
      </c>
      <c r="BW41" t="str" cm="1">
        <f t="array" ref="BW41">INDEX(Crops[],BedPlan[[#This Row],[Chart Index]],BW$4,1)</f>
        <v>AMAP</v>
      </c>
      <c r="BX41" cm="1">
        <f t="array" ref="BX41">INDEX(Crops[],BedPlan[[#This Row],[Chart Index]],BX$4,1)</f>
        <v>128</v>
      </c>
      <c r="BY41" cm="1">
        <f t="array" ref="BY41">INDEX(Crops[],BedPlan[[#This Row],[Chart Index]],BY$4,1)</f>
        <v>30</v>
      </c>
      <c r="BZ41" s="49" cm="1">
        <f t="array" ref="BZ41">IFERROR(INDEX(Crops[],BedPlan[[#This Row],[Chart Index]],BZ$4,1)*BedPlan[[#This Row],[Full Bed Equivalent]],"")</f>
        <v>4.0625</v>
      </c>
      <c r="CA41" cm="1">
        <f t="array" ref="CA41">INDEX(Crops[],BedPlan[[#This Row],[Chart Index]],CA$4,1)</f>
        <v>0</v>
      </c>
      <c r="CB41" cm="1">
        <f t="array" ref="CB41">INDEX(Crops[],BedPlan[[#This Row],[Chart Index]],CB$4,1)</f>
        <v>0</v>
      </c>
      <c r="CC41" s="49" t="str" cm="1">
        <f t="array" ref="CC41">IFERROR(INDEX(Crops[],BedPlan[[#This Row],[Chart Index]],CC$4,1)*BedPlan[[#This Row],[Full Bed Equivalent]],"")</f>
        <v/>
      </c>
      <c r="CD41" cm="1">
        <f t="array" ref="CD41">INDEX(Crops[],BedPlan[[#This Row],[Chart Index]],CD$4,1)</f>
        <v>0</v>
      </c>
      <c r="CE41" cm="1">
        <f t="array" ref="CE41">IF(INDEX(Crops[],BedPlan[[#This Row],[Chart Index]],CE$4,1)="",0,INDEX(Crops[],BedPlan[[#This Row],[Chart Index]],CE$4,1))</f>
        <v>0</v>
      </c>
      <c r="CF41" s="49" t="str" cm="1">
        <f t="array" ref="CF41">IFERROR(INDEX(Crops[],BedPlan[[#This Row],[Chart Index]],CF$4,1)*BedPlan[[#This Row],[Full Bed Equivalent]],"")</f>
        <v/>
      </c>
      <c r="CG41" cm="1">
        <f t="array" ref="CG41">IF(INDEX(Crops[],BedPlan[[#This Row],[Chart Index]],CG$4,1)="",0,INDEX(Crops[],BedPlan[[#This Row],[Chart Index]],CG$4,1))</f>
        <v>1.3</v>
      </c>
      <c r="CH41" cm="1">
        <f t="array" ref="CH41">IF(INDEX(Crops[],BedPlan[[#This Row],[Chart Index]],CH$4,1)="",0,INDEX(Crops[],BedPlan[[#This Row],[Chart Index]],CH$4,1))</f>
        <v>0</v>
      </c>
      <c r="CI41" t="str" cm="1">
        <f t="array" ref="CI41">INDEX(Crops[],BedPlan[[#This Row],[Chart Index]],CI$4,1)</f>
        <v>Field</v>
      </c>
      <c r="CJ41" s="30" t="str">
        <f>_xlfn.TEXTJOIN(CHAR(10),FALSE,BedPlan[[#This Row],[Name]],BedPlan[[#This Row],[Variety]],BedPlan[[#This Row],[Company]])</f>
        <v>Choi Sum
Green 70 D
Johnny's</v>
      </c>
      <c r="CK41" s="32">
        <f>MAX( 0, MIN(BedPlan[[#This Row],[Expected End of Harvest]], EOMONTH(CK$4, 0)) - MAX(BedPlan[[#This Row],[Beginning of Harvest]], CK$4) + 1 )</f>
        <v>0</v>
      </c>
      <c r="CL41">
        <f>MAX( 0, MIN(BedPlan[[#This Row],[Expected End of Harvest]], EOMONTH(CL$4, 0)) - MAX(BedPlan[[#This Row],[Beginning of Harvest]], CL$4) + 1 )</f>
        <v>0</v>
      </c>
      <c r="CM41">
        <f>MAX( 0, MIN(BedPlan[[#This Row],[Expected End of Harvest]], EOMONTH(CM$4, 0)) - MAX(BedPlan[[#This Row],[Beginning of Harvest]], CM$4) + 1 )</f>
        <v>0</v>
      </c>
      <c r="CN41">
        <f>MAX( 0, MIN(BedPlan[[#This Row],[Expected End of Harvest]], EOMONTH(CN$4, 0)) - MAX(BedPlan[[#This Row],[Beginning of Harvest]], CN$4) + 1 )</f>
        <v>0</v>
      </c>
      <c r="CO41">
        <f>MAX( 0, MIN(BedPlan[[#This Row],[Expected End of Harvest]], EOMONTH(CO$4, 0)) - MAX(BedPlan[[#This Row],[Beginning of Harvest]], CO$4) + 1 )</f>
        <v>15</v>
      </c>
      <c r="CP41">
        <f>MAX( 0, MIN(BedPlan[[#This Row],[Expected End of Harvest]], EOMONTH(CP$4, 0)) - MAX(BedPlan[[#This Row],[Beginning of Harvest]], CP$4) + 1 )</f>
        <v>14</v>
      </c>
      <c r="CQ41">
        <f>MAX( 0, MIN(BedPlan[[#This Row],[Expected End of Harvest]], EOMONTH(CQ$4, 0)) - MAX(BedPlan[[#This Row],[Beginning of Harvest]], CQ$4) + 1 )</f>
        <v>0</v>
      </c>
      <c r="CR41">
        <f>MAX( 0, MIN(BedPlan[[#This Row],[Expected End of Harvest]], EOMONTH(CR$4, 0)) - MAX(BedPlan[[#This Row],[Beginning of Harvest]], CR$4) + 1 )</f>
        <v>0</v>
      </c>
      <c r="CS41">
        <f>MAX( 0, MIN(BedPlan[[#This Row],[Expected End of Harvest]], EOMONTH(CS$4, 0)) - MAX(BedPlan[[#This Row],[Beginning of Harvest]], CS$4) + 1 )</f>
        <v>0</v>
      </c>
      <c r="CT41">
        <f>MAX( 0, MIN(BedPlan[[#This Row],[Expected End of Harvest]], EOMONTH(CT$4, 0)) - MAX(BedPlan[[#This Row],[Beginning of Harvest]], CT$4) + 1 )</f>
        <v>0</v>
      </c>
      <c r="CU41">
        <f>MAX( 0, MIN(BedPlan[[#This Row],[Expected End of Harvest]], EOMONTH(CU$4, 0)) - MAX(BedPlan[[#This Row],[Beginning of Harvest]], CU$4) + 1 )</f>
        <v>0</v>
      </c>
      <c r="CV41">
        <f>MAX( 0, MIN(BedPlan[[#This Row],[Expected End of Harvest]], EOMONTH(CV$4, 0)) - MAX(BedPlan[[#This Row],[Beginning of Harvest]], CV$4) + 1 )</f>
        <v>0</v>
      </c>
      <c r="CW41">
        <f>MAX( 0, MIN(BedPlan[[#This Row],[Expected End of Harvest]], EOMONTH(CW$4, 0)) - MAX(BedPlan[[#This Row],[Beginning of Harvest]], CW$4) + 1 )</f>
        <v>0</v>
      </c>
      <c r="CX41">
        <f>MAX( 0, MIN(BedPlan[[#This Row],[Expected End of Harvest]], EOMONTH(CX$4, 0)) - MAX(BedPlan[[#This Row],[Beginning of Harvest]], CX$4) + 1 )</f>
        <v>0</v>
      </c>
      <c r="CY41">
        <f>MAX( 0, MIN(BedPlan[[#This Row],[Expected End of Harvest]], EOMONTH(CY$4, 0)) - MAX(BedPlan[[#This Row],[Beginning of Harvest]], CY$4) + 1 )</f>
        <v>0</v>
      </c>
      <c r="CZ41">
        <f>MAX( 0, MIN(BedPlan[[#This Row],[Expected End of Harvest]], EOMONTH(CZ$4, 0)) - MAX(BedPlan[[#This Row],[Beginning of Harvest]], CZ$4) + 1 )</f>
        <v>0</v>
      </c>
      <c r="DA41">
        <f>MAX( 0, MIN(BedPlan[[#This Row],[Expected End of Harvest]], EOMONTH(DA$4, 0)) - MAX(BedPlan[[#This Row],[Beginning of Harvest]], DA$4) + 1 )</f>
        <v>0</v>
      </c>
      <c r="DB41">
        <f>MAX( 0, MIN(BedPlan[[#This Row],[Expected End of Harvest]], EOMONTH(DB$4, 0)) - MAX(BedPlan[[#This Row],[Beginning of Harvest]], DB$4) + 1 )</f>
        <v>0</v>
      </c>
      <c r="DC41">
        <f>MAX( 0, MIN(BedPlan[[#This Row],[Expected End of Harvest]], EOMONTH(DC$4, 0)) - MAX(BedPlan[[#This Row],[Beginning of Harvest]], DC$4) + 1 )</f>
        <v>0</v>
      </c>
      <c r="DD41">
        <f>MAX( 0, MIN(BedPlan[[#This Row],[Expected End of Harvest]], EOMONTH(DD$4, 0)) - MAX(BedPlan[[#This Row],[Beginning of Harvest]], DD$4) + 1 )</f>
        <v>0</v>
      </c>
      <c r="DE41">
        <f>MAX( 0, MIN(BedPlan[[#This Row],[Expected End of Harvest]], EOMONTH(DE$4, 0)) - MAX(BedPlan[[#This Row],[Beginning of Harvest]], DE$4) + 1 )</f>
        <v>0</v>
      </c>
      <c r="DF41">
        <f>MAX( 0, MIN(BedPlan[[#This Row],[Expected End of Harvest]], EOMONTH(DF$4, 0)) - MAX(BedPlan[[#This Row],[Beginning of Harvest]], DF$4) + 1 )</f>
        <v>0</v>
      </c>
      <c r="DG41">
        <f>MAX( 0, MIN(BedPlan[[#This Row],[Expected End of Harvest]], EOMONTH(DG$4, 0)) - MAX(BedPlan[[#This Row],[Beginning of Harvest]], DG$4) + 1 )</f>
        <v>0</v>
      </c>
      <c r="DH41">
        <f>MAX( 0, MIN(BedPlan[[#This Row],[Expected End of Harvest]], EOMONTH(DH$4, 0)) - MAX(BedPlan[[#This Row],[Beginning of Harvest]], DH$4) + 1 )</f>
        <v>0</v>
      </c>
      <c r="DI41" s="257" cm="1">
        <f t="array" ref="DI41">BedPlan[[#This Row],[Harvest Days January 2025]]/SUM(BedPlan[[#This Row],[Harvest Days January 2025]:[Harvest Days December 2026]])*BedPlan[[#This Row],[Revenue]:[Revenue]]</f>
        <v>0</v>
      </c>
      <c r="DJ41" s="257" cm="1">
        <f t="array" ref="DJ41">BedPlan[[#This Row],[Harvest Days February 2025]]/SUM(BedPlan[[#This Row],[Harvest Days January 2025]:[Harvest Days December 2026]])*BedPlan[[#This Row],[Revenue]:[Revenue]]</f>
        <v>0</v>
      </c>
      <c r="DK41" s="257" cm="1">
        <f t="array" ref="DK41">BedPlan[[#This Row],[Harvest Days March 2025]]/SUM(BedPlan[[#This Row],[Harvest Days January 2025]:[Harvest Days December 2026]])*BedPlan[[#This Row],[Revenue]:[Revenue]]</f>
        <v>0</v>
      </c>
      <c r="DL41" s="257" cm="1">
        <f t="array" ref="DL41">BedPlan[[#This Row],[Harvest Days April 2025]]/SUM(BedPlan[[#This Row],[Harvest Days January 2025]:[Harvest Days December 2026]])*BedPlan[[#This Row],[Revenue]:[Revenue]]</f>
        <v>0</v>
      </c>
      <c r="DM41" s="257" cm="1">
        <f t="array" ref="DM41">BedPlan[[#This Row],[Harvest Days May 2025]]/SUM(BedPlan[[#This Row],[Harvest Days January 2025]:[Harvest Days December 2026]])*BedPlan[[#This Row],[Revenue]:[Revenue]]</f>
        <v>275.86206896551727</v>
      </c>
      <c r="DN41" s="257" cm="1">
        <f t="array" ref="DN41">BedPlan[[#This Row],[Harvest Days June 2025]]/SUM(BedPlan[[#This Row],[Harvest Days January 2025]:[Harvest Days December 2026]])*BedPlan[[#This Row],[Revenue]:[Revenue]]</f>
        <v>257.4712643678161</v>
      </c>
      <c r="DO41" s="257" cm="1">
        <f t="array" ref="DO41">BedPlan[[#This Row],[Harvest Days July 2025]]/SUM(BedPlan[[#This Row],[Harvest Days January 2025]:[Harvest Days December 2026]])*BedPlan[[#This Row],[Revenue]:[Revenue]]</f>
        <v>0</v>
      </c>
      <c r="DP41" s="257" cm="1">
        <f t="array" ref="DP41">BedPlan[[#This Row],[Harvest Days August 2025]]/SUM(BedPlan[[#This Row],[Harvest Days January 2025]:[Harvest Days December 2026]])*BedPlan[[#This Row],[Revenue]:[Revenue]]</f>
        <v>0</v>
      </c>
      <c r="DQ41" s="257" cm="1">
        <f t="array" ref="DQ41">BedPlan[[#This Row],[Harvest Days September 2025]]/SUM(BedPlan[[#This Row],[Harvest Days January 2025]:[Harvest Days December 2026]])*BedPlan[[#This Row],[Revenue]:[Revenue]]</f>
        <v>0</v>
      </c>
      <c r="DR41" s="257" cm="1">
        <f t="array" ref="DR41">BedPlan[[#This Row],[Harvest Days October 2025]]/SUM(BedPlan[[#This Row],[Harvest Days January 2025]:[Harvest Days December 2026]])*BedPlan[[#This Row],[Revenue]:[Revenue]]</f>
        <v>0</v>
      </c>
      <c r="DS41" s="257" cm="1">
        <f t="array" ref="DS41">BedPlan[[#This Row],[Harvest Days November 2025]]/SUM(BedPlan[[#This Row],[Harvest Days January 2025]:[Harvest Days December 2026]])*BedPlan[[#This Row],[Revenue]:[Revenue]]</f>
        <v>0</v>
      </c>
      <c r="DT41" s="257" cm="1">
        <f t="array" ref="DT41">BedPlan[[#This Row],[Harvest Days December 2025]]/SUM(BedPlan[[#This Row],[Harvest Days January 2025]:[Harvest Days December 2026]])*BedPlan[[#This Row],[Revenue]:[Revenue]]</f>
        <v>0</v>
      </c>
      <c r="DU41" s="257" cm="1">
        <f t="array" ref="DU41">BedPlan[[#This Row],[Harvest Days January 2026]]/SUM(BedPlan[[#This Row],[Harvest Days January 2025]:[Harvest Days December 2026]])*BedPlan[[#This Row],[Revenue]:[Revenue]]</f>
        <v>0</v>
      </c>
      <c r="DV41" s="257" cm="1">
        <f t="array" ref="DV41">BedPlan[[#This Row],[Harvest Days February 2026]]/SUM(BedPlan[[#This Row],[Harvest Days January 2025]:[Harvest Days December 2026]])*BedPlan[[#This Row],[Revenue]:[Revenue]]</f>
        <v>0</v>
      </c>
      <c r="DW41" s="257" cm="1">
        <f t="array" ref="DW41">BedPlan[[#This Row],[Harvest Days March 2026]]/SUM(BedPlan[[#This Row],[Harvest Days January 2025]:[Harvest Days December 2026]])*BedPlan[[#This Row],[Revenue]:[Revenue]]</f>
        <v>0</v>
      </c>
      <c r="DX41" s="257" cm="1">
        <f t="array" ref="DX41">BedPlan[[#This Row],[Harvest Days April 2026]]/SUM(BedPlan[[#This Row],[Harvest Days January 2025]:[Harvest Days December 2026]])*BedPlan[[#This Row],[Revenue]:[Revenue]]</f>
        <v>0</v>
      </c>
      <c r="DY41" s="257" cm="1">
        <f t="array" ref="DY41">BedPlan[[#This Row],[Harvest Days May 2026]]/SUM(BedPlan[[#This Row],[Harvest Days January 2025]:[Harvest Days December 2026]])*BedPlan[[#This Row],[Revenue]:[Revenue]]</f>
        <v>0</v>
      </c>
      <c r="DZ41" s="257" cm="1">
        <f t="array" ref="DZ41">BedPlan[[#This Row],[Harvest Days June 2026]]/SUM(BedPlan[[#This Row],[Harvest Days January 2025]:[Harvest Days December 2026]])*BedPlan[[#This Row],[Revenue]:[Revenue]]</f>
        <v>0</v>
      </c>
      <c r="EA41" s="257" cm="1">
        <f t="array" ref="EA41">BedPlan[[#This Row],[Harvest Days July 2026]]/SUM(BedPlan[[#This Row],[Harvest Days January 2025]:[Harvest Days December 2026]])*BedPlan[[#This Row],[Revenue]:[Revenue]]</f>
        <v>0</v>
      </c>
      <c r="EB41" s="257" cm="1">
        <f t="array" ref="EB41">BedPlan[[#This Row],[Harvest Days August 2026]]/SUM(BedPlan[[#This Row],[Harvest Days January 2025]:[Harvest Days December 2026]])*BedPlan[[#This Row],[Revenue]:[Revenue]]</f>
        <v>0</v>
      </c>
      <c r="EC41" s="257" cm="1">
        <f t="array" ref="EC41">BedPlan[[#This Row],[Harvest Days September 2026]]/SUM(BedPlan[[#This Row],[Harvest Days January 2025]:[Harvest Days December 2026]])*BedPlan[[#This Row],[Revenue]:[Revenue]]</f>
        <v>0</v>
      </c>
      <c r="ED41" s="257" cm="1">
        <f t="array" ref="ED41">BedPlan[[#This Row],[Harvest Days October 2026]]/SUM(BedPlan[[#This Row],[Harvest Days January 2025]:[Harvest Days December 2026]])*BedPlan[[#This Row],[Revenue]:[Revenue]]</f>
        <v>0</v>
      </c>
      <c r="EE41" s="257" cm="1">
        <f t="array" ref="EE41">BedPlan[[#This Row],[Harvest Days November 2026]]/SUM(BedPlan[[#This Row],[Harvest Days January 2025]:[Harvest Days December 2026]])*BedPlan[[#This Row],[Revenue]:[Revenue]]</f>
        <v>0</v>
      </c>
      <c r="EF41" s="257" cm="1">
        <f t="array" ref="EF41">BedPlan[[#This Row],[Harvest Days December 2026]]/SUM(BedPlan[[#This Row],[Harvest Days January 2025]:[Harvest Days December 2026]])*BedPlan[[#This Row],[Revenue]:[Revenue]]</f>
        <v>0</v>
      </c>
      <c r="EG41" t="b">
        <f>SUM(BedPlan[[#This Row],[Revenue January 2025]:[Revenue December 2026]])=BedPlan[[#This Row],[Revenue]]</f>
        <v>1</v>
      </c>
      <c r="EH41" s="30" cm="1">
        <f t="array" ref="EH41">INDEX(Crops[],BedPlan[[#This Row],[Chart Index]],EH$4,1)*BedPlan[[#This Row],['# Of Beds]]</f>
        <v>133.33333333333334</v>
      </c>
      <c r="EI41" s="30" t="str" cm="1">
        <f t="array" ref="EI41">INDEX(Crops[],BedPlan[[#This Row],[Chart Index]],EI$4,1)</f>
        <v>Bunch</v>
      </c>
      <c r="EJ41" s="30" t="str" cm="1">
        <f t="array" ref="EJ41">INDEX(Crops[],BedPlan[[#This Row],[Chart Index]],EJ$4,1)</f>
        <v>Mature Head</v>
      </c>
      <c r="EK41" s="30" t="str">
        <f>BedPlan[[#This Row],[Name]]&amp;" "&amp;BedPlan[[#This Row],[Product]]&amp; " - " &amp;BedPlan[[#This Row],[Unit]]</f>
        <v>Choi Sum Mature Head - Bunch</v>
      </c>
      <c r="EL41" s="33" cm="1">
        <f t="array" ref="EL41">BedPlan[[#This Row],[Harvest Days January 2025]]/SUM(BedPlan[[#This Row],[Harvest Days January 2025]:[Harvest Days December 2026]])*BedPlan[[#This Row],[Yield]:[Yield]]</f>
        <v>0</v>
      </c>
      <c r="EM41" s="33" cm="1">
        <f t="array" ref="EM41">BedPlan[[#This Row],[Harvest Days February 2025]]/SUM(BedPlan[[#This Row],[Harvest Days January 2025]:[Harvest Days December 2026]])*BedPlan[[#This Row],[Yield]:[Yield]]</f>
        <v>0</v>
      </c>
      <c r="EN41" s="33" cm="1">
        <f t="array" ref="EN41">BedPlan[[#This Row],[Harvest Days March 2025]]/SUM(BedPlan[[#This Row],[Harvest Days January 2025]:[Harvest Days December 2026]])*BedPlan[[#This Row],[Yield]:[Yield]]</f>
        <v>0</v>
      </c>
      <c r="EO41" s="33" cm="1">
        <f t="array" ref="EO41">BedPlan[[#This Row],[Harvest Days April 2025]]/SUM(BedPlan[[#This Row],[Harvest Days January 2025]:[Harvest Days December 2026]])*BedPlan[[#This Row],[Yield]:[Yield]]</f>
        <v>0</v>
      </c>
      <c r="EP41" s="33" cm="1">
        <f t="array" ref="EP41">BedPlan[[#This Row],[Harvest Days May 2025]]/SUM(BedPlan[[#This Row],[Harvest Days January 2025]:[Harvest Days December 2026]])*BedPlan[[#This Row],[Yield]:[Yield]]</f>
        <v>68.965517241379317</v>
      </c>
      <c r="EQ41" s="33" cm="1">
        <f t="array" ref="EQ41">BedPlan[[#This Row],[Harvest Days June 2025]]/SUM(BedPlan[[#This Row],[Harvest Days January 2025]:[Harvest Days December 2026]])*BedPlan[[#This Row],[Yield]:[Yield]]</f>
        <v>64.367816091954026</v>
      </c>
      <c r="ER41" s="33" cm="1">
        <f t="array" ref="ER41">BedPlan[[#This Row],[Harvest Days July 2025]]/SUM(BedPlan[[#This Row],[Harvest Days January 2025]:[Harvest Days December 2026]])*BedPlan[[#This Row],[Yield]:[Yield]]</f>
        <v>0</v>
      </c>
      <c r="ES41" s="33" cm="1">
        <f t="array" ref="ES41">BedPlan[[#This Row],[Harvest Days August 2025]]/SUM(BedPlan[[#This Row],[Harvest Days January 2025]:[Harvest Days December 2026]])*BedPlan[[#This Row],[Yield]:[Yield]]</f>
        <v>0</v>
      </c>
      <c r="ET41" s="33" cm="1">
        <f t="array" ref="ET41">BedPlan[[#This Row],[Harvest Days September 2025]]/SUM(BedPlan[[#This Row],[Harvest Days January 2025]:[Harvest Days December 2026]])*BedPlan[[#This Row],[Yield]:[Yield]]</f>
        <v>0</v>
      </c>
      <c r="EU41" s="33" cm="1">
        <f t="array" ref="EU41">BedPlan[[#This Row],[Harvest Days October 2025]]/SUM(BedPlan[[#This Row],[Harvest Days January 2025]:[Harvest Days December 2026]])*BedPlan[[#This Row],[Yield]:[Yield]]</f>
        <v>0</v>
      </c>
      <c r="EV41" s="33" cm="1">
        <f t="array" ref="EV41">BedPlan[[#This Row],[Harvest Days November 2025]]/SUM(BedPlan[[#This Row],[Harvest Days January 2025]:[Harvest Days December 2026]])*BedPlan[[#This Row],[Yield]:[Yield]]</f>
        <v>0</v>
      </c>
      <c r="EW41" s="33" cm="1">
        <f t="array" ref="EW41">BedPlan[[#This Row],[Harvest Days December 2025]]/SUM(BedPlan[[#This Row],[Harvest Days January 2025]:[Harvest Days December 2026]])*BedPlan[[#This Row],[Yield]:[Yield]]</f>
        <v>0</v>
      </c>
    </row>
    <row r="42" spans="1:153" ht="15.75" customHeight="1">
      <c r="A42" s="191" t="s">
        <v>2601</v>
      </c>
      <c r="B42" t="s">
        <v>3265</v>
      </c>
      <c r="C42" t="s">
        <v>1447</v>
      </c>
      <c r="D42" cm="1">
        <f t="array" ref="D42">INDEX(Crops[],BedPlan[[#This Row],[Chart Index]],D$4,1)*BedPlan[[#This Row],[Full Bed Equivalent]]</f>
        <v>33.333333333333336</v>
      </c>
      <c r="E42" cm="1">
        <f t="array" ref="E42">INDEX(Crops[],BedPlan[[#This Row],[Chart Index]],E$4,1)*BedPlan[[#This Row],[Full Bed Equivalent]]</f>
        <v>133.33333333333334</v>
      </c>
      <c r="F42" t="str">
        <f>UPPER(LEFT(BedPlan[[#This Row],[Crop]],3))</f>
        <v>CHO</v>
      </c>
      <c r="H42" s="143" t="str" cm="1">
        <f t="array" ref="H42">INDEX(Crops[],BedPlan[[#This Row],[Chart Index]],H$4,1)</f>
        <v>Choi Sum</v>
      </c>
      <c r="I42" t="s">
        <v>511</v>
      </c>
      <c r="J42" t="s">
        <v>490</v>
      </c>
      <c r="K42" t="str" cm="1">
        <f t="array" ref="K42">IF(ISNUMBER(MATCH(BedPlan[[#This Row],[Variety]],SeedMixes[Name],)),_xlfn.TEXTJOIN(", ",TRUE,_xlfn._xlws.FILTER(SeedMixes[Variety &amp; Company],SeedMixes[Name]=BedPlan[[#This Row],[Variety]])),"")</f>
        <v/>
      </c>
      <c r="L42" s="33" cm="1">
        <f t="array" ref="L42">INDEX(Crops[],BedPlan[[#This Row],[Chart Index]],L$4,1)*BedPlan[[#This Row],[Full Bed Equivalent]]</f>
        <v>520</v>
      </c>
      <c r="N42">
        <f>1</f>
        <v>1</v>
      </c>
      <c r="O42">
        <f>MAX(BedPlan[[#This Row],['# Of Beds]],0.5)</f>
        <v>1</v>
      </c>
      <c r="P42" s="31">
        <f>IF(ISNUMBER(BedPlan[[#This Row],[Planned Greenhouse Start Date]]),BedPlan[[#This Row],[Planned Greenhouse Start Date]],BedPlan[[#This Row],[Planned TP or DS Date]])</f>
        <v>45846</v>
      </c>
      <c r="Q42" s="259">
        <f>IF(BedPlan[[#This Row],[Days in Cells]]=0,"",IFERROR(_xlfn.XLOOKUP(BedPlan[[#This Row],[Follows Crop]],BedPlan[Identifier],BedPlan[Expected End of Harvest]) + 1+BedPlan[[#This Row],[Follow Offset]],BedPlan[[#This Row],[Fixed Field Start Date]])-BedPlan[[#This Row],[Days in Cells]])</f>
        <v>45846</v>
      </c>
      <c r="R42" s="259"/>
      <c r="S42" s="259">
        <f>IF(ISNUMBER(BedPlan[[#This Row],[Actual Greenhouse Date]]),BedPlan[[#This Row],[Actual Greenhouse Date]],BedPlan[[#This Row],[Planned Greenhouse Start Date]])</f>
        <v>45846</v>
      </c>
      <c r="T42" s="259">
        <v>45876</v>
      </c>
      <c r="U42" s="260"/>
      <c r="V42" s="260"/>
      <c r="W4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45876</v>
      </c>
      <c r="X42" s="259"/>
      <c r="Y42" s="271">
        <f>BedPlan[[#This Row],[Actual TP or DS Date]]-BedPlan[[#This Row],[Planned TP or DS Date]]</f>
        <v>-45876</v>
      </c>
      <c r="Z42" s="259">
        <f>IF(ISNUMBER(BedPlan[[#This Row],[Actual TP or DS Date]]),BedPlan[[#This Row],[Actual TP or DS Date]],BedPlan[[#This Row],[Planned TP or DS Date]])</f>
        <v>45876</v>
      </c>
      <c r="AA42" s="260"/>
      <c r="AB42" s="259">
        <f>IF(ISNUMBER(BedPlan[[#This Row],[Greenhouse Start Date]]),BedPlan[[#This Row],[Greenhouse Start Date]]+BedPlan[[#This Row],[DTM]],BedPlan[[#This Row],[TP or DS Date]]+BedPlan[[#This Row],[DTM]])</f>
        <v>45903</v>
      </c>
      <c r="AC42" s="259"/>
      <c r="AD42" s="259">
        <f>IF(ISNUMBER(BedPlan[[#This Row],[Actual Beginning of Harvest]]),BedPlan[[#This Row],[Actual Beginning of Harvest]],BedPlan[[#This Row],[Expected Beginning of Harvest]])</f>
        <v>45903</v>
      </c>
      <c r="AE42" s="259">
        <f>BedPlan[[#This Row],[Expected Beginning of Harvest]]+BedPlan[[#This Row],[Harvest Window]]+BedPlan[[#This Row],[Additional Days of Harvest]]</f>
        <v>45931</v>
      </c>
      <c r="AF42" s="259"/>
      <c r="AG42" s="259"/>
      <c r="AH42" s="31" t="b">
        <f>IF(AND( BedPlan[[#This Row],[Expected End of Harvest]] &gt;= DATE(2025, 8, 1), BedPlan[[#This Row],[Beginning of Harvest]] &lt;= DATE(2025, 8, 31) ), TRUE, FALSE)</f>
        <v>0</v>
      </c>
      <c r="AI42" s="31"/>
      <c r="AJ42" s="31">
        <f>IF(ISNUMBER(BedPlan[[#This Row],[Actual End of Harvest]]),BedPlan[[#This Row],[Actual End of Harvest]],BedPlan[[#This Row],[Expected End of Harvest]])</f>
        <v>45931</v>
      </c>
      <c r="AK42" t="b">
        <f>OR(ISNUMBER(BedPlan[[#This Row],[Actual Greenhouse Date]]),ISNUMBER(BedPlan[[#This Row],[Actual TP or DS Date]]))</f>
        <v>0</v>
      </c>
      <c r="AL42" s="52" t="b">
        <f>IF(ISNUMBER(BedPlan[[#This Row],[Planned Greenhouse Start Date]]),OR(ISNUMBER(BedPlan[[#This Row],[Actual TP or DS Date]]),BedPlan[[#This Row],[Failed]]),"-")</f>
        <v>0</v>
      </c>
      <c r="AM42" t="b">
        <f>OR(ISNUMBER(BedPlan[[#This Row],[Actual End of Harvest]]),BedPlan[[#This Row],[Failed]])</f>
        <v>0</v>
      </c>
      <c r="AN42" t="b">
        <f>OR(BedPlan[[#This Row],[Harvest Done]],BedPlan[[#This Row],[Failed]],BedPlan[[#This Row],[Name]]="Tarp")</f>
        <v>0</v>
      </c>
      <c r="AO42" t="b">
        <v>1</v>
      </c>
      <c r="AQ42" t="s">
        <v>3212</v>
      </c>
      <c r="AS42" s="26">
        <f>IF(BedPlan[[#This Row],[Broadfork]],BedPlan[[#This Row],[Actual TP or DS Date]],"")</f>
        <v>0</v>
      </c>
      <c r="AT42" s="26" t="str">
        <f>IF(BedPlan[[#This Row],[Tilther]],BedPlan[[#This Row],[Actual TP or DS Date]],"")</f>
        <v/>
      </c>
      <c r="AU42" s="26">
        <f>IF(NOT(ISBLANK(BedPlan[[#This Row],[Amend]])),BedPlan[[#This Row],[Actual TP or DS Date]],"")</f>
        <v>0</v>
      </c>
      <c r="AV42" s="26" t="str">
        <f>IF(BedPlan[[#This Row],[Row Cover]],BedPlan[[#This Row],[Actual TP or DS Date]],"")</f>
        <v/>
      </c>
      <c r="AW42" t="s">
        <v>3224</v>
      </c>
      <c r="AX42" s="26">
        <v>45795</v>
      </c>
      <c r="AZ42" s="26"/>
      <c r="BB42" s="26"/>
      <c r="BC42" s="231" cm="1">
        <f t="array" ref="BC42">INDEX(Crops[],BedPlan[[#This Row],[Chart Index]],BC$4,1)*BedPlan[[#This Row],[Full Bed Equivalent]]</f>
        <v>533.33333333333337</v>
      </c>
      <c r="BD42" s="231" cm="1">
        <f t="array" ref="BD42">INDEX(Crops[],BedPlan[[#This Row],[Chart Index]],BD$4,1)*BedPlan[[#This Row],[Full Bed Equivalent]]</f>
        <v>9.6969696969696972</v>
      </c>
      <c r="BE42" cm="1">
        <f t="array" ref="BE42">INDEX(Crops[],BedPlan[[#This Row],[Chart Index]],BE$4,1)+BedPlan[[#This Row],[Additional Days in Cells]]+BedPlan[[#This Row],[Additional Days In Field]]</f>
        <v>57</v>
      </c>
      <c r="BG42" cm="1">
        <f t="array" ref="BG42">INDEX(Crops[],BedPlan[[#This Row],[Chart Index]],BG$4,1)</f>
        <v>28</v>
      </c>
      <c r="BH42" t="str">
        <f>IF(ISNUMBER(BedPlan[[#This Row],[Planned Greenhouse Start Date]]),"TP","DS")</f>
        <v>TP</v>
      </c>
      <c r="BI42">
        <f>BedPlan[[#This Row],['# Of Beds]]</f>
        <v>1</v>
      </c>
      <c r="BJ42" cm="1">
        <f t="array" ref="BJ42">INDEX(Crops[],BedPlan[[#This Row],[Chart Index]],BJ$4,1)</f>
        <v>30</v>
      </c>
      <c r="BK42" cm="1">
        <f t="array" ref="BK42">INDEX(Crops[],BedPlan[[#This Row],[Chart Index]],BK$4,1)</f>
        <v>4</v>
      </c>
      <c r="BL42" cm="1">
        <f t="array" ref="BL42">INDEX(Crops[],BedPlan[[#This Row],[Chart Index]],BL$4,1)</f>
        <v>6</v>
      </c>
      <c r="BM42" cm="1">
        <f t="array" ref="BM42">INDEX(Crops[],BedPlan[[#This Row],[Chart Index]],BM$4,1)</f>
        <v>1</v>
      </c>
      <c r="BN42" s="32" cm="1">
        <f t="array" ref="BN42">INDEX(Crops[],BedPlan[[#This Row],[Chart Index]],BN$4,1)*BedPlan[[#This Row],[Full Bed Equivalent]]</f>
        <v>400</v>
      </c>
      <c r="BO42" t="str" cm="1">
        <f t="array" ref="BO42">IF(INDEX(Crops[],BedPlan[[#This Row],[Chart Index]],BO$4,1)=0,"",INDEX(Crops[],BedPlan[[#This Row],[Chart Index]],BO$4,1))</f>
        <v/>
      </c>
      <c r="BP42">
        <f>MATCH(BedPlan[[#This Row],[Crop]],Crops[Identifier],FALSE)</f>
        <v>79</v>
      </c>
      <c r="BQ42" t="str" cm="1">
        <f t="array" ref="BQ42">INDEX(Crops[],BedPlan[[#This Row],[Chart Index]],BQ$4,1)</f>
        <v>General</v>
      </c>
      <c r="BR42" t="str" cm="1">
        <f t="array" ref="BR42">INDEX(Crops[],BedPlan[[#This Row],[Chart Index]],BR$4,1)</f>
        <v/>
      </c>
      <c r="BS42" s="32">
        <f>BedPlan[[#This Row],[Expected Beginning of Harvest]]-DATE(2023,1,1)</f>
        <v>976</v>
      </c>
      <c r="BT42">
        <f>BedPlan[[#This Row],[Expected End of Harvest]]-BedPlan[[#This Row],[Expected Beginning of Harvest]]</f>
        <v>28</v>
      </c>
      <c r="BU42" t="str" cm="1">
        <f t="array" ref="BU42">INDEX(Crops[],BedPlan[[#This Row],[Chart Index]],BU$4,1)</f>
        <v>Brassica</v>
      </c>
      <c r="BV42" cm="1">
        <f t="array" ref="BV42">INDEX(Crops[],BedPlan[[#This Row],[Chart Index]],BV$4,1)</f>
        <v>1.5</v>
      </c>
      <c r="BW42" t="str" cm="1">
        <f t="array" ref="BW42">INDEX(Crops[],BedPlan[[#This Row],[Chart Index]],BW$4,1)</f>
        <v>AMAP</v>
      </c>
      <c r="BX42" cm="1">
        <f t="array" ref="BX42">INDEX(Crops[],BedPlan[[#This Row],[Chart Index]],BX$4,1)</f>
        <v>128</v>
      </c>
      <c r="BY42" cm="1">
        <f t="array" ref="BY42">INDEX(Crops[],BedPlan[[#This Row],[Chart Index]],BY$4,1)</f>
        <v>30</v>
      </c>
      <c r="BZ42" s="49" cm="1">
        <f t="array" ref="BZ42">IFERROR(INDEX(Crops[],BedPlan[[#This Row],[Chart Index]],BZ$4,1)*BedPlan[[#This Row],[Full Bed Equivalent]],"")</f>
        <v>4.0625</v>
      </c>
      <c r="CA42" cm="1">
        <f t="array" ref="CA42">INDEX(Crops[],BedPlan[[#This Row],[Chart Index]],CA$4,1)</f>
        <v>0</v>
      </c>
      <c r="CB42" cm="1">
        <f t="array" ref="CB42">INDEX(Crops[],BedPlan[[#This Row],[Chart Index]],CB$4,1)</f>
        <v>0</v>
      </c>
      <c r="CC42" s="49" t="str" cm="1">
        <f t="array" ref="CC42">IFERROR(INDEX(Crops[],BedPlan[[#This Row],[Chart Index]],CC$4,1)*BedPlan[[#This Row],[Full Bed Equivalent]],"")</f>
        <v/>
      </c>
      <c r="CD42" cm="1">
        <f t="array" ref="CD42">INDEX(Crops[],BedPlan[[#This Row],[Chart Index]],CD$4,1)</f>
        <v>0</v>
      </c>
      <c r="CE42" cm="1">
        <f t="array" ref="CE42">IF(INDEX(Crops[],BedPlan[[#This Row],[Chart Index]],CE$4,1)="",0,INDEX(Crops[],BedPlan[[#This Row],[Chart Index]],CE$4,1))</f>
        <v>0</v>
      </c>
      <c r="CF42" s="49" t="str" cm="1">
        <f t="array" ref="CF42">IFERROR(INDEX(Crops[],BedPlan[[#This Row],[Chart Index]],CF$4,1)*BedPlan[[#This Row],[Full Bed Equivalent]],"")</f>
        <v/>
      </c>
      <c r="CG42" cm="1">
        <f t="array" ref="CG42">IF(INDEX(Crops[],BedPlan[[#This Row],[Chart Index]],CG$4,1)="",0,INDEX(Crops[],BedPlan[[#This Row],[Chart Index]],CG$4,1))</f>
        <v>1.3</v>
      </c>
      <c r="CH42" cm="1">
        <f t="array" ref="CH42">IF(INDEX(Crops[],BedPlan[[#This Row],[Chart Index]],CH$4,1)="",0,INDEX(Crops[],BedPlan[[#This Row],[Chart Index]],CH$4,1))</f>
        <v>0</v>
      </c>
      <c r="CI42" t="str" cm="1">
        <f t="array" ref="CI42">INDEX(Crops[],BedPlan[[#This Row],[Chart Index]],CI$4,1)</f>
        <v>Field</v>
      </c>
      <c r="CJ42" s="30" t="str">
        <f>_xlfn.TEXTJOIN(CHAR(10),FALSE,BedPlan[[#This Row],[Name]],BedPlan[[#This Row],[Variety]],BedPlan[[#This Row],[Company]])</f>
        <v>Choi Sum
Green 70 D
Johnny's</v>
      </c>
      <c r="CK42" s="32">
        <f>MAX( 0, MIN(BedPlan[[#This Row],[Expected End of Harvest]], EOMONTH(CK$4, 0)) - MAX(BedPlan[[#This Row],[Beginning of Harvest]], CK$4) + 1 )</f>
        <v>0</v>
      </c>
      <c r="CL42">
        <f>MAX( 0, MIN(BedPlan[[#This Row],[Expected End of Harvest]], EOMONTH(CL$4, 0)) - MAX(BedPlan[[#This Row],[Beginning of Harvest]], CL$4) + 1 )</f>
        <v>0</v>
      </c>
      <c r="CM42">
        <f>MAX( 0, MIN(BedPlan[[#This Row],[Expected End of Harvest]], EOMONTH(CM$4, 0)) - MAX(BedPlan[[#This Row],[Beginning of Harvest]], CM$4) + 1 )</f>
        <v>0</v>
      </c>
      <c r="CN42">
        <f>MAX( 0, MIN(BedPlan[[#This Row],[Expected End of Harvest]], EOMONTH(CN$4, 0)) - MAX(BedPlan[[#This Row],[Beginning of Harvest]], CN$4) + 1 )</f>
        <v>0</v>
      </c>
      <c r="CO42">
        <f>MAX( 0, MIN(BedPlan[[#This Row],[Expected End of Harvest]], EOMONTH(CO$4, 0)) - MAX(BedPlan[[#This Row],[Beginning of Harvest]], CO$4) + 1 )</f>
        <v>0</v>
      </c>
      <c r="CP42">
        <f>MAX( 0, MIN(BedPlan[[#This Row],[Expected End of Harvest]], EOMONTH(CP$4, 0)) - MAX(BedPlan[[#This Row],[Beginning of Harvest]], CP$4) + 1 )</f>
        <v>0</v>
      </c>
      <c r="CQ42">
        <f>MAX( 0, MIN(BedPlan[[#This Row],[Expected End of Harvest]], EOMONTH(CQ$4, 0)) - MAX(BedPlan[[#This Row],[Beginning of Harvest]], CQ$4) + 1 )</f>
        <v>0</v>
      </c>
      <c r="CR42">
        <f>MAX( 0, MIN(BedPlan[[#This Row],[Expected End of Harvest]], EOMONTH(CR$4, 0)) - MAX(BedPlan[[#This Row],[Beginning of Harvest]], CR$4) + 1 )</f>
        <v>0</v>
      </c>
      <c r="CS42">
        <f>MAX( 0, MIN(BedPlan[[#This Row],[Expected End of Harvest]], EOMONTH(CS$4, 0)) - MAX(BedPlan[[#This Row],[Beginning of Harvest]], CS$4) + 1 )</f>
        <v>28</v>
      </c>
      <c r="CT42">
        <f>MAX( 0, MIN(BedPlan[[#This Row],[Expected End of Harvest]], EOMONTH(CT$4, 0)) - MAX(BedPlan[[#This Row],[Beginning of Harvest]], CT$4) + 1 )</f>
        <v>1</v>
      </c>
      <c r="CU42">
        <f>MAX( 0, MIN(BedPlan[[#This Row],[Expected End of Harvest]], EOMONTH(CU$4, 0)) - MAX(BedPlan[[#This Row],[Beginning of Harvest]], CU$4) + 1 )</f>
        <v>0</v>
      </c>
      <c r="CV42">
        <f>MAX( 0, MIN(BedPlan[[#This Row],[Expected End of Harvest]], EOMONTH(CV$4, 0)) - MAX(BedPlan[[#This Row],[Beginning of Harvest]], CV$4) + 1 )</f>
        <v>0</v>
      </c>
      <c r="CW42">
        <f>MAX( 0, MIN(BedPlan[[#This Row],[Expected End of Harvest]], EOMONTH(CW$4, 0)) - MAX(BedPlan[[#This Row],[Beginning of Harvest]], CW$4) + 1 )</f>
        <v>0</v>
      </c>
      <c r="CX42">
        <f>MAX( 0, MIN(BedPlan[[#This Row],[Expected End of Harvest]], EOMONTH(CX$4, 0)) - MAX(BedPlan[[#This Row],[Beginning of Harvest]], CX$4) + 1 )</f>
        <v>0</v>
      </c>
      <c r="CY42">
        <f>MAX( 0, MIN(BedPlan[[#This Row],[Expected End of Harvest]], EOMONTH(CY$4, 0)) - MAX(BedPlan[[#This Row],[Beginning of Harvest]], CY$4) + 1 )</f>
        <v>0</v>
      </c>
      <c r="CZ42">
        <f>MAX( 0, MIN(BedPlan[[#This Row],[Expected End of Harvest]], EOMONTH(CZ$4, 0)) - MAX(BedPlan[[#This Row],[Beginning of Harvest]], CZ$4) + 1 )</f>
        <v>0</v>
      </c>
      <c r="DA42">
        <f>MAX( 0, MIN(BedPlan[[#This Row],[Expected End of Harvest]], EOMONTH(DA$4, 0)) - MAX(BedPlan[[#This Row],[Beginning of Harvest]], DA$4) + 1 )</f>
        <v>0</v>
      </c>
      <c r="DB42">
        <f>MAX( 0, MIN(BedPlan[[#This Row],[Expected End of Harvest]], EOMONTH(DB$4, 0)) - MAX(BedPlan[[#This Row],[Beginning of Harvest]], DB$4) + 1 )</f>
        <v>0</v>
      </c>
      <c r="DC42">
        <f>MAX( 0, MIN(BedPlan[[#This Row],[Expected End of Harvest]], EOMONTH(DC$4, 0)) - MAX(BedPlan[[#This Row],[Beginning of Harvest]], DC$4) + 1 )</f>
        <v>0</v>
      </c>
      <c r="DD42">
        <f>MAX( 0, MIN(BedPlan[[#This Row],[Expected End of Harvest]], EOMONTH(DD$4, 0)) - MAX(BedPlan[[#This Row],[Beginning of Harvest]], DD$4) + 1 )</f>
        <v>0</v>
      </c>
      <c r="DE42">
        <f>MAX( 0, MIN(BedPlan[[#This Row],[Expected End of Harvest]], EOMONTH(DE$4, 0)) - MAX(BedPlan[[#This Row],[Beginning of Harvest]], DE$4) + 1 )</f>
        <v>0</v>
      </c>
      <c r="DF42">
        <f>MAX( 0, MIN(BedPlan[[#This Row],[Expected End of Harvest]], EOMONTH(DF$4, 0)) - MAX(BedPlan[[#This Row],[Beginning of Harvest]], DF$4) + 1 )</f>
        <v>0</v>
      </c>
      <c r="DG42">
        <f>MAX( 0, MIN(BedPlan[[#This Row],[Expected End of Harvest]], EOMONTH(DG$4, 0)) - MAX(BedPlan[[#This Row],[Beginning of Harvest]], DG$4) + 1 )</f>
        <v>0</v>
      </c>
      <c r="DH42">
        <f>MAX( 0, MIN(BedPlan[[#This Row],[Expected End of Harvest]], EOMONTH(DH$4, 0)) - MAX(BedPlan[[#This Row],[Beginning of Harvest]], DH$4) + 1 )</f>
        <v>0</v>
      </c>
      <c r="DI42" s="257" cm="1">
        <f t="array" ref="DI42">BedPlan[[#This Row],[Harvest Days January 2025]]/SUM(BedPlan[[#This Row],[Harvest Days January 2025]:[Harvest Days December 2026]])*BedPlan[[#This Row],[Revenue]:[Revenue]]</f>
        <v>0</v>
      </c>
      <c r="DJ42" s="257" cm="1">
        <f t="array" ref="DJ42">BedPlan[[#This Row],[Harvest Days February 2025]]/SUM(BedPlan[[#This Row],[Harvest Days January 2025]:[Harvest Days December 2026]])*BedPlan[[#This Row],[Revenue]:[Revenue]]</f>
        <v>0</v>
      </c>
      <c r="DK42" s="257" cm="1">
        <f t="array" ref="DK42">BedPlan[[#This Row],[Harvest Days March 2025]]/SUM(BedPlan[[#This Row],[Harvest Days January 2025]:[Harvest Days December 2026]])*BedPlan[[#This Row],[Revenue]:[Revenue]]</f>
        <v>0</v>
      </c>
      <c r="DL42" s="257" cm="1">
        <f t="array" ref="DL42">BedPlan[[#This Row],[Harvest Days April 2025]]/SUM(BedPlan[[#This Row],[Harvest Days January 2025]:[Harvest Days December 2026]])*BedPlan[[#This Row],[Revenue]:[Revenue]]</f>
        <v>0</v>
      </c>
      <c r="DM42" s="257" cm="1">
        <f t="array" ref="DM42">BedPlan[[#This Row],[Harvest Days May 2025]]/SUM(BedPlan[[#This Row],[Harvest Days January 2025]:[Harvest Days December 2026]])*BedPlan[[#This Row],[Revenue]:[Revenue]]</f>
        <v>0</v>
      </c>
      <c r="DN42" s="257" cm="1">
        <f t="array" ref="DN42">BedPlan[[#This Row],[Harvest Days June 2025]]/SUM(BedPlan[[#This Row],[Harvest Days January 2025]:[Harvest Days December 2026]])*BedPlan[[#This Row],[Revenue]:[Revenue]]</f>
        <v>0</v>
      </c>
      <c r="DO42" s="257" cm="1">
        <f t="array" ref="DO42">BedPlan[[#This Row],[Harvest Days July 2025]]/SUM(BedPlan[[#This Row],[Harvest Days January 2025]:[Harvest Days December 2026]])*BedPlan[[#This Row],[Revenue]:[Revenue]]</f>
        <v>0</v>
      </c>
      <c r="DP42" s="257" cm="1">
        <f t="array" ref="DP42">BedPlan[[#This Row],[Harvest Days August 2025]]/SUM(BedPlan[[#This Row],[Harvest Days January 2025]:[Harvest Days December 2026]])*BedPlan[[#This Row],[Revenue]:[Revenue]]</f>
        <v>0</v>
      </c>
      <c r="DQ42" s="257" cm="1">
        <f t="array" ref="DQ42">BedPlan[[#This Row],[Harvest Days September 2025]]/SUM(BedPlan[[#This Row],[Harvest Days January 2025]:[Harvest Days December 2026]])*BedPlan[[#This Row],[Revenue]:[Revenue]]</f>
        <v>514.94252873563221</v>
      </c>
      <c r="DR42" s="257" cm="1">
        <f t="array" ref="DR42">BedPlan[[#This Row],[Harvest Days October 2025]]/SUM(BedPlan[[#This Row],[Harvest Days January 2025]:[Harvest Days December 2026]])*BedPlan[[#This Row],[Revenue]:[Revenue]]</f>
        <v>18.390804597701152</v>
      </c>
      <c r="DS42" s="257" cm="1">
        <f t="array" ref="DS42">BedPlan[[#This Row],[Harvest Days November 2025]]/SUM(BedPlan[[#This Row],[Harvest Days January 2025]:[Harvest Days December 2026]])*BedPlan[[#This Row],[Revenue]:[Revenue]]</f>
        <v>0</v>
      </c>
      <c r="DT42" s="257" cm="1">
        <f t="array" ref="DT42">BedPlan[[#This Row],[Harvest Days December 2025]]/SUM(BedPlan[[#This Row],[Harvest Days January 2025]:[Harvest Days December 2026]])*BedPlan[[#This Row],[Revenue]:[Revenue]]</f>
        <v>0</v>
      </c>
      <c r="DU42" s="257" cm="1">
        <f t="array" ref="DU42">BedPlan[[#This Row],[Harvest Days January 2026]]/SUM(BedPlan[[#This Row],[Harvest Days January 2025]:[Harvest Days December 2026]])*BedPlan[[#This Row],[Revenue]:[Revenue]]</f>
        <v>0</v>
      </c>
      <c r="DV42" s="257" cm="1">
        <f t="array" ref="DV42">BedPlan[[#This Row],[Harvest Days February 2026]]/SUM(BedPlan[[#This Row],[Harvest Days January 2025]:[Harvest Days December 2026]])*BedPlan[[#This Row],[Revenue]:[Revenue]]</f>
        <v>0</v>
      </c>
      <c r="DW42" s="257" cm="1">
        <f t="array" ref="DW42">BedPlan[[#This Row],[Harvest Days March 2026]]/SUM(BedPlan[[#This Row],[Harvest Days January 2025]:[Harvest Days December 2026]])*BedPlan[[#This Row],[Revenue]:[Revenue]]</f>
        <v>0</v>
      </c>
      <c r="DX42" s="257" cm="1">
        <f t="array" ref="DX42">BedPlan[[#This Row],[Harvest Days April 2026]]/SUM(BedPlan[[#This Row],[Harvest Days January 2025]:[Harvest Days December 2026]])*BedPlan[[#This Row],[Revenue]:[Revenue]]</f>
        <v>0</v>
      </c>
      <c r="DY42" s="257" cm="1">
        <f t="array" ref="DY42">BedPlan[[#This Row],[Harvest Days May 2026]]/SUM(BedPlan[[#This Row],[Harvest Days January 2025]:[Harvest Days December 2026]])*BedPlan[[#This Row],[Revenue]:[Revenue]]</f>
        <v>0</v>
      </c>
      <c r="DZ42" s="257" cm="1">
        <f t="array" ref="DZ42">BedPlan[[#This Row],[Harvest Days June 2026]]/SUM(BedPlan[[#This Row],[Harvest Days January 2025]:[Harvest Days December 2026]])*BedPlan[[#This Row],[Revenue]:[Revenue]]</f>
        <v>0</v>
      </c>
      <c r="EA42" s="257" cm="1">
        <f t="array" ref="EA42">BedPlan[[#This Row],[Harvest Days July 2026]]/SUM(BedPlan[[#This Row],[Harvest Days January 2025]:[Harvest Days December 2026]])*BedPlan[[#This Row],[Revenue]:[Revenue]]</f>
        <v>0</v>
      </c>
      <c r="EB42" s="257" cm="1">
        <f t="array" ref="EB42">BedPlan[[#This Row],[Harvest Days August 2026]]/SUM(BedPlan[[#This Row],[Harvest Days January 2025]:[Harvest Days December 2026]])*BedPlan[[#This Row],[Revenue]:[Revenue]]</f>
        <v>0</v>
      </c>
      <c r="EC42" s="257" cm="1">
        <f t="array" ref="EC42">BedPlan[[#This Row],[Harvest Days September 2026]]/SUM(BedPlan[[#This Row],[Harvest Days January 2025]:[Harvest Days December 2026]])*BedPlan[[#This Row],[Revenue]:[Revenue]]</f>
        <v>0</v>
      </c>
      <c r="ED42" s="257" cm="1">
        <f t="array" ref="ED42">BedPlan[[#This Row],[Harvest Days October 2026]]/SUM(BedPlan[[#This Row],[Harvest Days January 2025]:[Harvest Days December 2026]])*BedPlan[[#This Row],[Revenue]:[Revenue]]</f>
        <v>0</v>
      </c>
      <c r="EE42" s="257" cm="1">
        <f t="array" ref="EE42">BedPlan[[#This Row],[Harvest Days November 2026]]/SUM(BedPlan[[#This Row],[Harvest Days January 2025]:[Harvest Days December 2026]])*BedPlan[[#This Row],[Revenue]:[Revenue]]</f>
        <v>0</v>
      </c>
      <c r="EF42" s="257" cm="1">
        <f t="array" ref="EF42">BedPlan[[#This Row],[Harvest Days December 2026]]/SUM(BedPlan[[#This Row],[Harvest Days January 2025]:[Harvest Days December 2026]])*BedPlan[[#This Row],[Revenue]:[Revenue]]</f>
        <v>0</v>
      </c>
      <c r="EG42" t="b">
        <f>SUM(BedPlan[[#This Row],[Revenue January 2025]:[Revenue December 2026]])=BedPlan[[#This Row],[Revenue]]</f>
        <v>1</v>
      </c>
      <c r="EH42" s="30" cm="1">
        <f t="array" ref="EH42">INDEX(Crops[],BedPlan[[#This Row],[Chart Index]],EH$4,1)*BedPlan[[#This Row],['# Of Beds]]</f>
        <v>133.33333333333334</v>
      </c>
      <c r="EI42" s="30" t="str" cm="1">
        <f t="array" ref="EI42">INDEX(Crops[],BedPlan[[#This Row],[Chart Index]],EI$4,1)</f>
        <v>Bunch</v>
      </c>
      <c r="EJ42" s="30" t="str" cm="1">
        <f t="array" ref="EJ42">INDEX(Crops[],BedPlan[[#This Row],[Chart Index]],EJ$4,1)</f>
        <v>Mature Head</v>
      </c>
      <c r="EK42" s="30" t="str">
        <f>BedPlan[[#This Row],[Name]]&amp;" "&amp;BedPlan[[#This Row],[Product]]&amp; " - " &amp;BedPlan[[#This Row],[Unit]]</f>
        <v>Choi Sum Mature Head - Bunch</v>
      </c>
      <c r="EL42" s="33" cm="1">
        <f t="array" ref="EL42">BedPlan[[#This Row],[Harvest Days January 2025]]/SUM(BedPlan[[#This Row],[Harvest Days January 2025]:[Harvest Days December 2026]])*BedPlan[[#This Row],[Yield]:[Yield]]</f>
        <v>0</v>
      </c>
      <c r="EM42" s="33" cm="1">
        <f t="array" ref="EM42">BedPlan[[#This Row],[Harvest Days February 2025]]/SUM(BedPlan[[#This Row],[Harvest Days January 2025]:[Harvest Days December 2026]])*BedPlan[[#This Row],[Yield]:[Yield]]</f>
        <v>0</v>
      </c>
      <c r="EN42" s="33" cm="1">
        <f t="array" ref="EN42">BedPlan[[#This Row],[Harvest Days March 2025]]/SUM(BedPlan[[#This Row],[Harvest Days January 2025]:[Harvest Days December 2026]])*BedPlan[[#This Row],[Yield]:[Yield]]</f>
        <v>0</v>
      </c>
      <c r="EO42" s="33" cm="1">
        <f t="array" ref="EO42">BedPlan[[#This Row],[Harvest Days April 2025]]/SUM(BedPlan[[#This Row],[Harvest Days January 2025]:[Harvest Days December 2026]])*BedPlan[[#This Row],[Yield]:[Yield]]</f>
        <v>0</v>
      </c>
      <c r="EP42" s="33" cm="1">
        <f t="array" ref="EP42">BedPlan[[#This Row],[Harvest Days May 2025]]/SUM(BedPlan[[#This Row],[Harvest Days January 2025]:[Harvest Days December 2026]])*BedPlan[[#This Row],[Yield]:[Yield]]</f>
        <v>0</v>
      </c>
      <c r="EQ42" s="33" cm="1">
        <f t="array" ref="EQ42">BedPlan[[#This Row],[Harvest Days June 2025]]/SUM(BedPlan[[#This Row],[Harvest Days January 2025]:[Harvest Days December 2026]])*BedPlan[[#This Row],[Yield]:[Yield]]</f>
        <v>0</v>
      </c>
      <c r="ER42" s="33" cm="1">
        <f t="array" ref="ER42">BedPlan[[#This Row],[Harvest Days July 2025]]/SUM(BedPlan[[#This Row],[Harvest Days January 2025]:[Harvest Days December 2026]])*BedPlan[[#This Row],[Yield]:[Yield]]</f>
        <v>0</v>
      </c>
      <c r="ES42" s="33" cm="1">
        <f t="array" ref="ES42">BedPlan[[#This Row],[Harvest Days August 2025]]/SUM(BedPlan[[#This Row],[Harvest Days January 2025]:[Harvest Days December 2026]])*BedPlan[[#This Row],[Yield]:[Yield]]</f>
        <v>0</v>
      </c>
      <c r="ET42" s="33" cm="1">
        <f t="array" ref="ET42">BedPlan[[#This Row],[Harvest Days September 2025]]/SUM(BedPlan[[#This Row],[Harvest Days January 2025]:[Harvest Days December 2026]])*BedPlan[[#This Row],[Yield]:[Yield]]</f>
        <v>128.73563218390805</v>
      </c>
      <c r="EU42" s="33" cm="1">
        <f t="array" ref="EU42">BedPlan[[#This Row],[Harvest Days October 2025]]/SUM(BedPlan[[#This Row],[Harvest Days January 2025]:[Harvest Days December 2026]])*BedPlan[[#This Row],[Yield]:[Yield]]</f>
        <v>4.597701149425288</v>
      </c>
      <c r="EV42" s="33" cm="1">
        <f t="array" ref="EV42">BedPlan[[#This Row],[Harvest Days November 2025]]/SUM(BedPlan[[#This Row],[Harvest Days January 2025]:[Harvest Days December 2026]])*BedPlan[[#This Row],[Yield]:[Yield]]</f>
        <v>0</v>
      </c>
      <c r="EW42" s="33" cm="1">
        <f t="array" ref="EW42">BedPlan[[#This Row],[Harvest Days December 2025]]/SUM(BedPlan[[#This Row],[Harvest Days January 2025]:[Harvest Days December 2026]])*BedPlan[[#This Row],[Yield]:[Yield]]</f>
        <v>0</v>
      </c>
    </row>
    <row r="43" spans="1:153" ht="15.75" customHeight="1">
      <c r="A43" s="191" t="s">
        <v>1520</v>
      </c>
      <c r="B43" t="s">
        <v>2638</v>
      </c>
      <c r="C43" t="s">
        <v>1428</v>
      </c>
      <c r="D43" cm="1">
        <f t="array" ref="D43">INDEX(Crops[],BedPlan[[#This Row],[Chart Index]],D$4,1)*BedPlan[[#This Row],[Full Bed Equivalent]]</f>
        <v>18.75</v>
      </c>
      <c r="E43" cm="1">
        <f t="array" ref="E43">INDEX(Crops[],BedPlan[[#This Row],[Chart Index]],E$4,1)*BedPlan[[#This Row],[Full Bed Equivalent]]</f>
        <v>150</v>
      </c>
      <c r="F43" t="str">
        <f>UPPER(LEFT(BedPlan[[#This Row],[Crop]],3))</f>
        <v>CHR</v>
      </c>
      <c r="H43" s="143" t="str" cm="1">
        <f t="array" ref="H43">INDEX(Crops[],BedPlan[[#This Row],[Chart Index]],H$4,1)</f>
        <v>Chrysanthemum Greens</v>
      </c>
      <c r="I43" t="s">
        <v>513</v>
      </c>
      <c r="J43" t="s">
        <v>488</v>
      </c>
      <c r="K43" t="str" cm="1">
        <f t="array" ref="K43">IF(ISNUMBER(MATCH(BedPlan[[#This Row],[Variety]],SeedMixes[Name],)),_xlfn.TEXTJOIN(", ",TRUE,_xlfn._xlws.FILTER(SeedMixes[Variety &amp; Company],SeedMixes[Name]=BedPlan[[#This Row],[Variety]])),"")</f>
        <v/>
      </c>
      <c r="L43" s="33" cm="1">
        <f t="array" ref="L43">INDEX(Crops[],BedPlan[[#This Row],[Chart Index]],L$4,1)*BedPlan[[#This Row],[Full Bed Equivalent]]</f>
        <v>731.25</v>
      </c>
      <c r="N43">
        <v>0.25</v>
      </c>
      <c r="O43">
        <f>MAX(BedPlan[[#This Row],['# Of Beds]],0.5)</f>
        <v>0.5</v>
      </c>
      <c r="P43" s="31">
        <f>IF(ISNUMBER(BedPlan[[#This Row],[Planned Greenhouse Start Date]]),BedPlan[[#This Row],[Planned Greenhouse Start Date]],BedPlan[[#This Row],[Planned TP or DS Date]])</f>
        <v>45743</v>
      </c>
      <c r="Q43" s="259" t="str">
        <f>IF(BedPlan[[#This Row],[Days in Cells]]=0,"",IFERROR(_xlfn.XLOOKUP(BedPlan[[#This Row],[Follows Crop]],BedPlan[Identifier],BedPlan[Expected End of Harvest]) + 1+BedPlan[[#This Row],[Follow Offset]],BedPlan[[#This Row],[Fixed Field Start Date]])-BedPlan[[#This Row],[Days in Cells]])</f>
        <v/>
      </c>
      <c r="R43" s="259"/>
      <c r="S43" s="259" t="str">
        <f>IF(ISNUMBER(BedPlan[[#This Row],[Actual Greenhouse Date]]),BedPlan[[#This Row],[Actual Greenhouse Date]],BedPlan[[#This Row],[Planned Greenhouse Start Date]])</f>
        <v/>
      </c>
      <c r="T43" s="259">
        <f>_xlfn.XLOOKUP(BedPlan[[#This Row],[Crop]],Crops[Identifier],Crops[Target Field Date])</f>
        <v>45743</v>
      </c>
      <c r="U43" s="260"/>
      <c r="V43" s="260"/>
      <c r="W4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45743</v>
      </c>
      <c r="X43" s="259">
        <v>45741</v>
      </c>
      <c r="Y43" s="271">
        <f>BedPlan[[#This Row],[Actual TP or DS Date]]-BedPlan[[#This Row],[Planned TP or DS Date]]</f>
        <v>-2</v>
      </c>
      <c r="Z43" s="259">
        <f>IF(ISNUMBER(BedPlan[[#This Row],[Actual TP or DS Date]]),BedPlan[[#This Row],[Actual TP or DS Date]],BedPlan[[#This Row],[Planned TP or DS Date]])</f>
        <v>45741</v>
      </c>
      <c r="AA43" s="260"/>
      <c r="AB43" s="259">
        <f>IF(ISNUMBER(BedPlan[[#This Row],[Greenhouse Start Date]]),BedPlan[[#This Row],[Greenhouse Start Date]]+BedPlan[[#This Row],[DTM]],BedPlan[[#This Row],[TP or DS Date]]+BedPlan[[#This Row],[DTM]])</f>
        <v>45778</v>
      </c>
      <c r="AC43" s="259"/>
      <c r="AD43" s="259">
        <f>IF(ISNUMBER(BedPlan[[#This Row],[Actual Beginning of Harvest]]),BedPlan[[#This Row],[Actual Beginning of Harvest]],BedPlan[[#This Row],[Expected Beginning of Harvest]])</f>
        <v>45778</v>
      </c>
      <c r="AE43" s="259">
        <f>BedPlan[[#This Row],[Expected Beginning of Harvest]]+BedPlan[[#This Row],[Harvest Window]]+BedPlan[[#This Row],[Additional Days of Harvest]]</f>
        <v>45834</v>
      </c>
      <c r="AF43" s="259"/>
      <c r="AG43" s="259"/>
      <c r="AH43" s="31" t="b">
        <f>IF(AND( BedPlan[[#This Row],[Expected End of Harvest]] &gt;= DATE(2025, 8, 1), BedPlan[[#This Row],[Beginning of Harvest]] &lt;= DATE(2025, 8, 31) ), TRUE, FALSE)</f>
        <v>0</v>
      </c>
      <c r="AI43" s="31"/>
      <c r="AJ43" s="31">
        <f>IF(ISNUMBER(BedPlan[[#This Row],[Actual End of Harvest]]),BedPlan[[#This Row],[Actual End of Harvest]],BedPlan[[#This Row],[Expected End of Harvest]])</f>
        <v>45834</v>
      </c>
      <c r="AK43" t="b">
        <f>OR(ISNUMBER(BedPlan[[#This Row],[Actual Greenhouse Date]]),ISNUMBER(BedPlan[[#This Row],[Actual TP or DS Date]]))</f>
        <v>1</v>
      </c>
      <c r="AL43" s="52" t="str">
        <f>IF(ISNUMBER(BedPlan[[#This Row],[Planned Greenhouse Start Date]]),OR(ISNUMBER(BedPlan[[#This Row],[Actual TP or DS Date]]),BedPlan[[#This Row],[Failed]]),"-")</f>
        <v>-</v>
      </c>
      <c r="AM43" t="b">
        <f>OR(ISNUMBER(BedPlan[[#This Row],[Actual End of Harvest]]),BedPlan[[#This Row],[Failed]])</f>
        <v>0</v>
      </c>
      <c r="AN43" t="b">
        <f>OR(BedPlan[[#This Row],[Harvest Done]],BedPlan[[#This Row],[Failed]],BedPlan[[#This Row],[Name]]="Tarp")</f>
        <v>0</v>
      </c>
      <c r="AO43" t="b">
        <v>1</v>
      </c>
      <c r="AQ43" t="s">
        <v>3217</v>
      </c>
      <c r="AR43" t="b">
        <v>1</v>
      </c>
      <c r="AS43" s="26">
        <f>IF(BedPlan[[#This Row],[Broadfork]],BedPlan[[#This Row],[Actual TP or DS Date]],"")</f>
        <v>45741</v>
      </c>
      <c r="AT43" s="26" t="str">
        <f>IF(BedPlan[[#This Row],[Tilther]],BedPlan[[#This Row],[Actual TP or DS Date]],"")</f>
        <v/>
      </c>
      <c r="AU43" s="26">
        <f>IF(NOT(ISBLANK(BedPlan[[#This Row],[Amend]])),BedPlan[[#This Row],[Actual TP or DS Date]],"")</f>
        <v>45741</v>
      </c>
      <c r="AV43" s="26">
        <f>IF(BedPlan[[#This Row],[Row Cover]],BedPlan[[#This Row],[Actual TP or DS Date]],"")</f>
        <v>45741</v>
      </c>
      <c r="AX43" s="26"/>
      <c r="AZ43" s="26"/>
      <c r="BB43" s="26"/>
      <c r="BC43" s="231" cm="1">
        <f t="array" ref="BC43">INDEX(Crops[],BedPlan[[#This Row],[Chart Index]],BC$4,1)*BedPlan[[#This Row],[Full Bed Equivalent]]</f>
        <v>600</v>
      </c>
      <c r="BD43" s="231" cm="1">
        <f t="array" ref="BD43">INDEX(Crops[],BedPlan[[#This Row],[Chart Index]],BD$4,1)*BedPlan[[#This Row],[Full Bed Equivalent]]</f>
        <v>6.4516129032258061</v>
      </c>
      <c r="BE43" cm="1">
        <f t="array" ref="BE43">INDEX(Crops[],BedPlan[[#This Row],[Chart Index]],BE$4,1)+BedPlan[[#This Row],[Additional Days in Cells]]+BedPlan[[#This Row],[Additional Days In Field]]</f>
        <v>37</v>
      </c>
      <c r="BG43" cm="1">
        <f t="array" ref="BG43">INDEX(Crops[],BedPlan[[#This Row],[Chart Index]],BG$4,1)</f>
        <v>56</v>
      </c>
      <c r="BH43" t="str">
        <f>IF(ISNUMBER(BedPlan[[#This Row],[Planned Greenhouse Start Date]]),"TP","DS")</f>
        <v>DS</v>
      </c>
      <c r="BI43">
        <f>BedPlan[[#This Row],['# Of Beds]]</f>
        <v>0.25</v>
      </c>
      <c r="BJ43" cm="1">
        <f t="array" ref="BJ43">INDEX(Crops[],BedPlan[[#This Row],[Chart Index]],BJ$4,1)</f>
        <v>0</v>
      </c>
      <c r="BK43" cm="1">
        <f t="array" ref="BK43">INDEX(Crops[],BedPlan[[#This Row],[Chart Index]],BK$4,1)</f>
        <v>3</v>
      </c>
      <c r="BL43" cm="1">
        <f t="array" ref="BL43">INDEX(Crops[],BedPlan[[#This Row],[Chart Index]],BL$4,1)</f>
        <v>0.8</v>
      </c>
      <c r="BM43" cm="1">
        <f t="array" ref="BM43">INDEX(Crops[],BedPlan[[#This Row],[Chart Index]],BM$4,1)</f>
        <v>1</v>
      </c>
      <c r="BN43" s="32" cm="1">
        <f t="array" ref="BN43">INDEX(Crops[],BedPlan[[#This Row],[Chart Index]],BN$4,1)*BedPlan[[#This Row],[Full Bed Equivalent]]</f>
        <v>562.5</v>
      </c>
      <c r="BO43" t="str" cm="1">
        <f t="array" ref="BO43">IF(INDEX(Crops[],BedPlan[[#This Row],[Chart Index]],BO$4,1)=0,"",INDEX(Crops[],BedPlan[[#This Row],[Chart Index]],BO$4,1))</f>
        <v>OH</v>
      </c>
      <c r="BP43">
        <f>MATCH(BedPlan[[#This Row],[Crop]],Crops[Identifier],FALSE)</f>
        <v>82</v>
      </c>
      <c r="BQ43" t="str" cm="1">
        <f t="array" ref="BQ43">INDEX(Crops[],BedPlan[[#This Row],[Chart Index]],BQ$4,1)</f>
        <v>General</v>
      </c>
      <c r="BR43" t="str" cm="1">
        <f t="array" ref="BR43">INDEX(Crops[],BedPlan[[#This Row],[Chart Index]],BR$4,1)</f>
        <v>Ow</v>
      </c>
      <c r="BS43" s="32">
        <f>BedPlan[[#This Row],[Expected Beginning of Harvest]]-DATE(2023,1,1)</f>
        <v>851</v>
      </c>
      <c r="BT43">
        <f>BedPlan[[#This Row],[Expected End of Harvest]]-BedPlan[[#This Row],[Expected Beginning of Harvest]]</f>
        <v>56</v>
      </c>
      <c r="BU43" t="str" cm="1">
        <f t="array" ref="BU43">INDEX(Crops[],BedPlan[[#This Row],[Chart Index]],BU$4,1)</f>
        <v>Brassica</v>
      </c>
      <c r="BV43" cm="1">
        <f t="array" ref="BV43">INDEX(Crops[],BedPlan[[#This Row],[Chart Index]],BV$4,1)</f>
        <v>2</v>
      </c>
      <c r="BW43" t="str" cm="1">
        <f t="array" ref="BW43">INDEX(Crops[],BedPlan[[#This Row],[Chart Index]],BW$4,1)</f>
        <v>AMAP</v>
      </c>
      <c r="BX43" cm="1">
        <f t="array" ref="BX43">INDEX(Crops[],BedPlan[[#This Row],[Chart Index]],BX$4,1)</f>
        <v>0</v>
      </c>
      <c r="BY43" cm="1">
        <f t="array" ref="BY43">INDEX(Crops[],BedPlan[[#This Row],[Chart Index]],BY$4,1)</f>
        <v>0</v>
      </c>
      <c r="BZ43" s="49" t="str" cm="1">
        <f t="array" ref="BZ43">IFERROR(INDEX(Crops[],BedPlan[[#This Row],[Chart Index]],BZ$4,1)*BedPlan[[#This Row],[Full Bed Equivalent]],"")</f>
        <v/>
      </c>
      <c r="CA43" cm="1">
        <f t="array" ref="CA43">INDEX(Crops[],BedPlan[[#This Row],[Chart Index]],CA$4,1)</f>
        <v>0</v>
      </c>
      <c r="CB43" cm="1">
        <f t="array" ref="CB43">INDEX(Crops[],BedPlan[[#This Row],[Chart Index]],CB$4,1)</f>
        <v>0</v>
      </c>
      <c r="CC43" s="49" t="str" cm="1">
        <f t="array" ref="CC43">IFERROR(INDEX(Crops[],BedPlan[[#This Row],[Chart Index]],CC$4,1)*BedPlan[[#This Row],[Full Bed Equivalent]],"")</f>
        <v/>
      </c>
      <c r="CD43" cm="1">
        <f t="array" ref="CD43">INDEX(Crops[],BedPlan[[#This Row],[Chart Index]],CD$4,1)</f>
        <v>0</v>
      </c>
      <c r="CE43" cm="1">
        <f t="array" ref="CE43">IF(INDEX(Crops[],BedPlan[[#This Row],[Chart Index]],CE$4,1)="",0,INDEX(Crops[],BedPlan[[#This Row],[Chart Index]],CE$4,1))</f>
        <v>0</v>
      </c>
      <c r="CF43" s="49" t="str" cm="1">
        <f t="array" ref="CF43">IFERROR(INDEX(Crops[],BedPlan[[#This Row],[Chart Index]],CF$4,1)*BedPlan[[#This Row],[Full Bed Equivalent]],"")</f>
        <v/>
      </c>
      <c r="CG43" cm="1">
        <f t="array" ref="CG43">IF(INDEX(Crops[],BedPlan[[#This Row],[Chart Index]],CG$4,1)="",0,INDEX(Crops[],BedPlan[[#This Row],[Chart Index]],CG$4,1))</f>
        <v>1.3</v>
      </c>
      <c r="CH43" cm="1">
        <f t="array" ref="CH43">IF(INDEX(Crops[],BedPlan[[#This Row],[Chart Index]],CH$4,1)="",0,INDEX(Crops[],BedPlan[[#This Row],[Chart Index]],CH$4,1))</f>
        <v>0</v>
      </c>
      <c r="CI43" t="str" cm="1">
        <f t="array" ref="CI43">INDEX(Crops[],BedPlan[[#This Row],[Chart Index]],CI$4,1)</f>
        <v>Field</v>
      </c>
      <c r="CJ43" s="30" t="str">
        <f>_xlfn.TEXTJOIN(CHAR(10),FALSE,BedPlan[[#This Row],[Name]],BedPlan[[#This Row],[Variety]],BedPlan[[#This Row],[Company]])</f>
        <v>Chrysanthemum Greens
Shungiku, Komi
Adaptive</v>
      </c>
      <c r="CK43" s="32">
        <f>MAX( 0, MIN(BedPlan[[#This Row],[Expected End of Harvest]], EOMONTH(CK$4, 0)) - MAX(BedPlan[[#This Row],[Beginning of Harvest]], CK$4) + 1 )</f>
        <v>0</v>
      </c>
      <c r="CL43">
        <f>MAX( 0, MIN(BedPlan[[#This Row],[Expected End of Harvest]], EOMONTH(CL$4, 0)) - MAX(BedPlan[[#This Row],[Beginning of Harvest]], CL$4) + 1 )</f>
        <v>0</v>
      </c>
      <c r="CM43">
        <f>MAX( 0, MIN(BedPlan[[#This Row],[Expected End of Harvest]], EOMONTH(CM$4, 0)) - MAX(BedPlan[[#This Row],[Beginning of Harvest]], CM$4) + 1 )</f>
        <v>0</v>
      </c>
      <c r="CN43">
        <f>MAX( 0, MIN(BedPlan[[#This Row],[Expected End of Harvest]], EOMONTH(CN$4, 0)) - MAX(BedPlan[[#This Row],[Beginning of Harvest]], CN$4) + 1 )</f>
        <v>0</v>
      </c>
      <c r="CO43">
        <f>MAX( 0, MIN(BedPlan[[#This Row],[Expected End of Harvest]], EOMONTH(CO$4, 0)) - MAX(BedPlan[[#This Row],[Beginning of Harvest]], CO$4) + 1 )</f>
        <v>31</v>
      </c>
      <c r="CP43">
        <f>MAX( 0, MIN(BedPlan[[#This Row],[Expected End of Harvest]], EOMONTH(CP$4, 0)) - MAX(BedPlan[[#This Row],[Beginning of Harvest]], CP$4) + 1 )</f>
        <v>26</v>
      </c>
      <c r="CQ43">
        <f>MAX( 0, MIN(BedPlan[[#This Row],[Expected End of Harvest]], EOMONTH(CQ$4, 0)) - MAX(BedPlan[[#This Row],[Beginning of Harvest]], CQ$4) + 1 )</f>
        <v>0</v>
      </c>
      <c r="CR43">
        <f>MAX( 0, MIN(BedPlan[[#This Row],[Expected End of Harvest]], EOMONTH(CR$4, 0)) - MAX(BedPlan[[#This Row],[Beginning of Harvest]], CR$4) + 1 )</f>
        <v>0</v>
      </c>
      <c r="CS43">
        <f>MAX( 0, MIN(BedPlan[[#This Row],[Expected End of Harvest]], EOMONTH(CS$4, 0)) - MAX(BedPlan[[#This Row],[Beginning of Harvest]], CS$4) + 1 )</f>
        <v>0</v>
      </c>
      <c r="CT43">
        <f>MAX( 0, MIN(BedPlan[[#This Row],[Expected End of Harvest]], EOMONTH(CT$4, 0)) - MAX(BedPlan[[#This Row],[Beginning of Harvest]], CT$4) + 1 )</f>
        <v>0</v>
      </c>
      <c r="CU43">
        <f>MAX( 0, MIN(BedPlan[[#This Row],[Expected End of Harvest]], EOMONTH(CU$4, 0)) - MAX(BedPlan[[#This Row],[Beginning of Harvest]], CU$4) + 1 )</f>
        <v>0</v>
      </c>
      <c r="CV43">
        <f>MAX( 0, MIN(BedPlan[[#This Row],[Expected End of Harvest]], EOMONTH(CV$4, 0)) - MAX(BedPlan[[#This Row],[Beginning of Harvest]], CV$4) + 1 )</f>
        <v>0</v>
      </c>
      <c r="CW43">
        <f>MAX( 0, MIN(BedPlan[[#This Row],[Expected End of Harvest]], EOMONTH(CW$4, 0)) - MAX(BedPlan[[#This Row],[Beginning of Harvest]], CW$4) + 1 )</f>
        <v>0</v>
      </c>
      <c r="CX43">
        <f>MAX( 0, MIN(BedPlan[[#This Row],[Expected End of Harvest]], EOMONTH(CX$4, 0)) - MAX(BedPlan[[#This Row],[Beginning of Harvest]], CX$4) + 1 )</f>
        <v>0</v>
      </c>
      <c r="CY43">
        <f>MAX( 0, MIN(BedPlan[[#This Row],[Expected End of Harvest]], EOMONTH(CY$4, 0)) - MAX(BedPlan[[#This Row],[Beginning of Harvest]], CY$4) + 1 )</f>
        <v>0</v>
      </c>
      <c r="CZ43">
        <f>MAX( 0, MIN(BedPlan[[#This Row],[Expected End of Harvest]], EOMONTH(CZ$4, 0)) - MAX(BedPlan[[#This Row],[Beginning of Harvest]], CZ$4) + 1 )</f>
        <v>0</v>
      </c>
      <c r="DA43">
        <f>MAX( 0, MIN(BedPlan[[#This Row],[Expected End of Harvest]], EOMONTH(DA$4, 0)) - MAX(BedPlan[[#This Row],[Beginning of Harvest]], DA$4) + 1 )</f>
        <v>0</v>
      </c>
      <c r="DB43">
        <f>MAX( 0, MIN(BedPlan[[#This Row],[Expected End of Harvest]], EOMONTH(DB$4, 0)) - MAX(BedPlan[[#This Row],[Beginning of Harvest]], DB$4) + 1 )</f>
        <v>0</v>
      </c>
      <c r="DC43">
        <f>MAX( 0, MIN(BedPlan[[#This Row],[Expected End of Harvest]], EOMONTH(DC$4, 0)) - MAX(BedPlan[[#This Row],[Beginning of Harvest]], DC$4) + 1 )</f>
        <v>0</v>
      </c>
      <c r="DD43">
        <f>MAX( 0, MIN(BedPlan[[#This Row],[Expected End of Harvest]], EOMONTH(DD$4, 0)) - MAX(BedPlan[[#This Row],[Beginning of Harvest]], DD$4) + 1 )</f>
        <v>0</v>
      </c>
      <c r="DE43">
        <f>MAX( 0, MIN(BedPlan[[#This Row],[Expected End of Harvest]], EOMONTH(DE$4, 0)) - MAX(BedPlan[[#This Row],[Beginning of Harvest]], DE$4) + 1 )</f>
        <v>0</v>
      </c>
      <c r="DF43">
        <f>MAX( 0, MIN(BedPlan[[#This Row],[Expected End of Harvest]], EOMONTH(DF$4, 0)) - MAX(BedPlan[[#This Row],[Beginning of Harvest]], DF$4) + 1 )</f>
        <v>0</v>
      </c>
      <c r="DG43">
        <f>MAX( 0, MIN(BedPlan[[#This Row],[Expected End of Harvest]], EOMONTH(DG$4, 0)) - MAX(BedPlan[[#This Row],[Beginning of Harvest]], DG$4) + 1 )</f>
        <v>0</v>
      </c>
      <c r="DH43">
        <f>MAX( 0, MIN(BedPlan[[#This Row],[Expected End of Harvest]], EOMONTH(DH$4, 0)) - MAX(BedPlan[[#This Row],[Beginning of Harvest]], DH$4) + 1 )</f>
        <v>0</v>
      </c>
      <c r="DI43" s="257" cm="1">
        <f t="array" ref="DI43">BedPlan[[#This Row],[Harvest Days January 2025]]/SUM(BedPlan[[#This Row],[Harvest Days January 2025]:[Harvest Days December 2026]])*BedPlan[[#This Row],[Revenue]:[Revenue]]</f>
        <v>0</v>
      </c>
      <c r="DJ43" s="257" cm="1">
        <f t="array" ref="DJ43">BedPlan[[#This Row],[Harvest Days February 2025]]/SUM(BedPlan[[#This Row],[Harvest Days January 2025]:[Harvest Days December 2026]])*BedPlan[[#This Row],[Revenue]:[Revenue]]</f>
        <v>0</v>
      </c>
      <c r="DK43" s="257" cm="1">
        <f t="array" ref="DK43">BedPlan[[#This Row],[Harvest Days March 2025]]/SUM(BedPlan[[#This Row],[Harvest Days January 2025]:[Harvest Days December 2026]])*BedPlan[[#This Row],[Revenue]:[Revenue]]</f>
        <v>0</v>
      </c>
      <c r="DL43" s="257" cm="1">
        <f t="array" ref="DL43">BedPlan[[#This Row],[Harvest Days April 2025]]/SUM(BedPlan[[#This Row],[Harvest Days January 2025]:[Harvest Days December 2026]])*BedPlan[[#This Row],[Revenue]:[Revenue]]</f>
        <v>0</v>
      </c>
      <c r="DM43" s="257" cm="1">
        <f t="array" ref="DM43">BedPlan[[#This Row],[Harvest Days May 2025]]/SUM(BedPlan[[#This Row],[Harvest Days January 2025]:[Harvest Days December 2026]])*BedPlan[[#This Row],[Revenue]:[Revenue]]</f>
        <v>326.31578947368422</v>
      </c>
      <c r="DN43" s="257" cm="1">
        <f t="array" ref="DN43">BedPlan[[#This Row],[Harvest Days June 2025]]/SUM(BedPlan[[#This Row],[Harvest Days January 2025]:[Harvest Days December 2026]])*BedPlan[[#This Row],[Revenue]:[Revenue]]</f>
        <v>273.68421052631578</v>
      </c>
      <c r="DO43" s="257" cm="1">
        <f t="array" ref="DO43">BedPlan[[#This Row],[Harvest Days July 2025]]/SUM(BedPlan[[#This Row],[Harvest Days January 2025]:[Harvest Days December 2026]])*BedPlan[[#This Row],[Revenue]:[Revenue]]</f>
        <v>0</v>
      </c>
      <c r="DP43" s="257" cm="1">
        <f t="array" ref="DP43">BedPlan[[#This Row],[Harvest Days August 2025]]/SUM(BedPlan[[#This Row],[Harvest Days January 2025]:[Harvest Days December 2026]])*BedPlan[[#This Row],[Revenue]:[Revenue]]</f>
        <v>0</v>
      </c>
      <c r="DQ43" s="257" cm="1">
        <f t="array" ref="DQ43">BedPlan[[#This Row],[Harvest Days September 2025]]/SUM(BedPlan[[#This Row],[Harvest Days January 2025]:[Harvest Days December 2026]])*BedPlan[[#This Row],[Revenue]:[Revenue]]</f>
        <v>0</v>
      </c>
      <c r="DR43" s="257" cm="1">
        <f t="array" ref="DR43">BedPlan[[#This Row],[Harvest Days October 2025]]/SUM(BedPlan[[#This Row],[Harvest Days January 2025]:[Harvest Days December 2026]])*BedPlan[[#This Row],[Revenue]:[Revenue]]</f>
        <v>0</v>
      </c>
      <c r="DS43" s="257" cm="1">
        <f t="array" ref="DS43">BedPlan[[#This Row],[Harvest Days November 2025]]/SUM(BedPlan[[#This Row],[Harvest Days January 2025]:[Harvest Days December 2026]])*BedPlan[[#This Row],[Revenue]:[Revenue]]</f>
        <v>0</v>
      </c>
      <c r="DT43" s="257" cm="1">
        <f t="array" ref="DT43">BedPlan[[#This Row],[Harvest Days December 2025]]/SUM(BedPlan[[#This Row],[Harvest Days January 2025]:[Harvest Days December 2026]])*BedPlan[[#This Row],[Revenue]:[Revenue]]</f>
        <v>0</v>
      </c>
      <c r="DU43" s="257" cm="1">
        <f t="array" ref="DU43">BedPlan[[#This Row],[Harvest Days January 2026]]/SUM(BedPlan[[#This Row],[Harvest Days January 2025]:[Harvest Days December 2026]])*BedPlan[[#This Row],[Revenue]:[Revenue]]</f>
        <v>0</v>
      </c>
      <c r="DV43" s="257" cm="1">
        <f t="array" ref="DV43">BedPlan[[#This Row],[Harvest Days February 2026]]/SUM(BedPlan[[#This Row],[Harvest Days January 2025]:[Harvest Days December 2026]])*BedPlan[[#This Row],[Revenue]:[Revenue]]</f>
        <v>0</v>
      </c>
      <c r="DW43" s="257" cm="1">
        <f t="array" ref="DW43">BedPlan[[#This Row],[Harvest Days March 2026]]/SUM(BedPlan[[#This Row],[Harvest Days January 2025]:[Harvest Days December 2026]])*BedPlan[[#This Row],[Revenue]:[Revenue]]</f>
        <v>0</v>
      </c>
      <c r="DX43" s="257" cm="1">
        <f t="array" ref="DX43">BedPlan[[#This Row],[Harvest Days April 2026]]/SUM(BedPlan[[#This Row],[Harvest Days January 2025]:[Harvest Days December 2026]])*BedPlan[[#This Row],[Revenue]:[Revenue]]</f>
        <v>0</v>
      </c>
      <c r="DY43" s="257" cm="1">
        <f t="array" ref="DY43">BedPlan[[#This Row],[Harvest Days May 2026]]/SUM(BedPlan[[#This Row],[Harvest Days January 2025]:[Harvest Days December 2026]])*BedPlan[[#This Row],[Revenue]:[Revenue]]</f>
        <v>0</v>
      </c>
      <c r="DZ43" s="257" cm="1">
        <f t="array" ref="DZ43">BedPlan[[#This Row],[Harvest Days June 2026]]/SUM(BedPlan[[#This Row],[Harvest Days January 2025]:[Harvest Days December 2026]])*BedPlan[[#This Row],[Revenue]:[Revenue]]</f>
        <v>0</v>
      </c>
      <c r="EA43" s="257" cm="1">
        <f t="array" ref="EA43">BedPlan[[#This Row],[Harvest Days July 2026]]/SUM(BedPlan[[#This Row],[Harvest Days January 2025]:[Harvest Days December 2026]])*BedPlan[[#This Row],[Revenue]:[Revenue]]</f>
        <v>0</v>
      </c>
      <c r="EB43" s="257" cm="1">
        <f t="array" ref="EB43">BedPlan[[#This Row],[Harvest Days August 2026]]/SUM(BedPlan[[#This Row],[Harvest Days January 2025]:[Harvest Days December 2026]])*BedPlan[[#This Row],[Revenue]:[Revenue]]</f>
        <v>0</v>
      </c>
      <c r="EC43" s="257" cm="1">
        <f t="array" ref="EC43">BedPlan[[#This Row],[Harvest Days September 2026]]/SUM(BedPlan[[#This Row],[Harvest Days January 2025]:[Harvest Days December 2026]])*BedPlan[[#This Row],[Revenue]:[Revenue]]</f>
        <v>0</v>
      </c>
      <c r="ED43" s="257" cm="1">
        <f t="array" ref="ED43">BedPlan[[#This Row],[Harvest Days October 2026]]/SUM(BedPlan[[#This Row],[Harvest Days January 2025]:[Harvest Days December 2026]])*BedPlan[[#This Row],[Revenue]:[Revenue]]</f>
        <v>0</v>
      </c>
      <c r="EE43" s="257" cm="1">
        <f t="array" ref="EE43">BedPlan[[#This Row],[Harvest Days November 2026]]/SUM(BedPlan[[#This Row],[Harvest Days January 2025]:[Harvest Days December 2026]])*BedPlan[[#This Row],[Revenue]:[Revenue]]</f>
        <v>0</v>
      </c>
      <c r="EF43" s="257" cm="1">
        <f t="array" ref="EF43">BedPlan[[#This Row],[Harvest Days December 2026]]/SUM(BedPlan[[#This Row],[Harvest Days January 2025]:[Harvest Days December 2026]])*BedPlan[[#This Row],[Revenue]:[Revenue]]</f>
        <v>0</v>
      </c>
      <c r="EG43" t="b">
        <f>SUM(BedPlan[[#This Row],[Revenue January 2025]:[Revenue December 2026]])=BedPlan[[#This Row],[Revenue]]</f>
        <v>1</v>
      </c>
      <c r="EH43" s="30" cm="1">
        <f t="array" ref="EH43">INDEX(Crops[],BedPlan[[#This Row],[Chart Index]],EH$4,1)*BedPlan[[#This Row],['# Of Beds]]</f>
        <v>150</v>
      </c>
      <c r="EI43" s="30" t="str" cm="1">
        <f t="array" ref="EI43">INDEX(Crops[],BedPlan[[#This Row],[Chart Index]],EI$4,1)</f>
        <v>Bunch</v>
      </c>
      <c r="EJ43" s="30" t="str" cm="1">
        <f t="array" ref="EJ43">INDEX(Crops[],BedPlan[[#This Row],[Chart Index]],EJ$4,1)</f>
        <v>Mature Leaf</v>
      </c>
      <c r="EK43" s="30" t="str">
        <f>BedPlan[[#This Row],[Name]]&amp;" "&amp;BedPlan[[#This Row],[Product]]&amp; " - " &amp;BedPlan[[#This Row],[Unit]]</f>
        <v>Chrysanthemum Greens Mature Leaf - Bunch</v>
      </c>
      <c r="EL43" s="33" cm="1">
        <f t="array" ref="EL43">BedPlan[[#This Row],[Harvest Days January 2025]]/SUM(BedPlan[[#This Row],[Harvest Days January 2025]:[Harvest Days December 2026]])*BedPlan[[#This Row],[Yield]:[Yield]]</f>
        <v>0</v>
      </c>
      <c r="EM43" s="33" cm="1">
        <f t="array" ref="EM43">BedPlan[[#This Row],[Harvest Days February 2025]]/SUM(BedPlan[[#This Row],[Harvest Days January 2025]:[Harvest Days December 2026]])*BedPlan[[#This Row],[Yield]:[Yield]]</f>
        <v>0</v>
      </c>
      <c r="EN43" s="33" cm="1">
        <f t="array" ref="EN43">BedPlan[[#This Row],[Harvest Days March 2025]]/SUM(BedPlan[[#This Row],[Harvest Days January 2025]:[Harvest Days December 2026]])*BedPlan[[#This Row],[Yield]:[Yield]]</f>
        <v>0</v>
      </c>
      <c r="EO43" s="33" cm="1">
        <f t="array" ref="EO43">BedPlan[[#This Row],[Harvest Days April 2025]]/SUM(BedPlan[[#This Row],[Harvest Days January 2025]:[Harvest Days December 2026]])*BedPlan[[#This Row],[Yield]:[Yield]]</f>
        <v>0</v>
      </c>
      <c r="EP43" s="33" cm="1">
        <f t="array" ref="EP43">BedPlan[[#This Row],[Harvest Days May 2025]]/SUM(BedPlan[[#This Row],[Harvest Days January 2025]:[Harvest Days December 2026]])*BedPlan[[#This Row],[Yield]:[Yield]]</f>
        <v>81.578947368421055</v>
      </c>
      <c r="EQ43" s="33" cm="1">
        <f t="array" ref="EQ43">BedPlan[[#This Row],[Harvest Days June 2025]]/SUM(BedPlan[[#This Row],[Harvest Days January 2025]:[Harvest Days December 2026]])*BedPlan[[#This Row],[Yield]:[Yield]]</f>
        <v>68.421052631578945</v>
      </c>
      <c r="ER43" s="33" cm="1">
        <f t="array" ref="ER43">BedPlan[[#This Row],[Harvest Days July 2025]]/SUM(BedPlan[[#This Row],[Harvest Days January 2025]:[Harvest Days December 2026]])*BedPlan[[#This Row],[Yield]:[Yield]]</f>
        <v>0</v>
      </c>
      <c r="ES43" s="33" cm="1">
        <f t="array" ref="ES43">BedPlan[[#This Row],[Harvest Days August 2025]]/SUM(BedPlan[[#This Row],[Harvest Days January 2025]:[Harvest Days December 2026]])*BedPlan[[#This Row],[Yield]:[Yield]]</f>
        <v>0</v>
      </c>
      <c r="ET43" s="33" cm="1">
        <f t="array" ref="ET43">BedPlan[[#This Row],[Harvest Days September 2025]]/SUM(BedPlan[[#This Row],[Harvest Days January 2025]:[Harvest Days December 2026]])*BedPlan[[#This Row],[Yield]:[Yield]]</f>
        <v>0</v>
      </c>
      <c r="EU43" s="33" cm="1">
        <f t="array" ref="EU43">BedPlan[[#This Row],[Harvest Days October 2025]]/SUM(BedPlan[[#This Row],[Harvest Days January 2025]:[Harvest Days December 2026]])*BedPlan[[#This Row],[Yield]:[Yield]]</f>
        <v>0</v>
      </c>
      <c r="EV43" s="33" cm="1">
        <f t="array" ref="EV43">BedPlan[[#This Row],[Harvest Days November 2025]]/SUM(BedPlan[[#This Row],[Harvest Days January 2025]:[Harvest Days December 2026]])*BedPlan[[#This Row],[Yield]:[Yield]]</f>
        <v>0</v>
      </c>
      <c r="EW43" s="33" cm="1">
        <f t="array" ref="EW43">BedPlan[[#This Row],[Harvest Days December 2025]]/SUM(BedPlan[[#This Row],[Harvest Days January 2025]:[Harvest Days December 2026]])*BedPlan[[#This Row],[Yield]:[Yield]]</f>
        <v>0</v>
      </c>
    </row>
    <row r="44" spans="1:153" ht="15.75" customHeight="1">
      <c r="A44" s="27" t="s">
        <v>2747</v>
      </c>
      <c r="B44" t="s">
        <v>2639</v>
      </c>
      <c r="C44" t="s">
        <v>1427</v>
      </c>
      <c r="D44" cm="1">
        <f t="array" ref="D44">INDEX(Crops[],BedPlan[[#This Row],[Chart Index]],D$4,1)*BedPlan[[#This Row],[Full Bed Equivalent]]</f>
        <v>50</v>
      </c>
      <c r="E44" cm="1">
        <f t="array" ref="E44">INDEX(Crops[],BedPlan[[#This Row],[Chart Index]],E$4,1)*BedPlan[[#This Row],[Full Bed Equivalent]]</f>
        <v>100</v>
      </c>
      <c r="F44" t="str">
        <f>UPPER(LEFT(BedPlan[[#This Row],[Crop]],3))</f>
        <v>CIL</v>
      </c>
      <c r="H44" s="143" t="str" cm="1">
        <f t="array" ref="H44">INDEX(Crops[],BedPlan[[#This Row],[Chart Index]],H$4,1)</f>
        <v>Cilantro</v>
      </c>
      <c r="I44" t="s">
        <v>514</v>
      </c>
      <c r="K44" t="str" cm="1">
        <f t="array" ref="K44">IF(ISNUMBER(MATCH(BedPlan[[#This Row],[Variety]],SeedMixes[Name],)),_xlfn.TEXTJOIN(", ",TRUE,_xlfn._xlws.FILTER(SeedMixes[Variety &amp; Company],SeedMixes[Name]=BedPlan[[#This Row],[Variety]])),"")</f>
        <v>Cruiser High Mowing, Pokey Joe Uprising, Calypso Johnny's</v>
      </c>
      <c r="L44" s="33" cm="1">
        <f t="array" ref="L44">INDEX(Crops[],BedPlan[[#This Row],[Chart Index]],L$4,1)*BedPlan[[#This Row],[Full Bed Equivalent]]</f>
        <v>412.50000000000006</v>
      </c>
      <c r="N44">
        <v>0.25</v>
      </c>
      <c r="O44">
        <f>MAX(BedPlan[[#This Row],['# Of Beds]],0.5)</f>
        <v>0.5</v>
      </c>
      <c r="P44" s="31">
        <f>IF(ISNUMBER(BedPlan[[#This Row],[Planned Greenhouse Start Date]]),BedPlan[[#This Row],[Planned Greenhouse Start Date]],BedPlan[[#This Row],[Planned TP or DS Date]])</f>
        <v>45728</v>
      </c>
      <c r="Q44" s="259">
        <f>IF(BedPlan[[#This Row],[Days in Cells]]=0,"",IFERROR(_xlfn.XLOOKUP(BedPlan[[#This Row],[Follows Crop]],BedPlan[Identifier],BedPlan[Expected End of Harvest]) + 1+BedPlan[[#This Row],[Follow Offset]],BedPlan[[#This Row],[Fixed Field Start Date]])-BedPlan[[#This Row],[Days in Cells]])</f>
        <v>45728</v>
      </c>
      <c r="R44" s="259">
        <v>45744</v>
      </c>
      <c r="S44" s="259">
        <f>IF(ISNUMBER(BedPlan[[#This Row],[Actual Greenhouse Date]]),BedPlan[[#This Row],[Actual Greenhouse Date]],BedPlan[[#This Row],[Planned Greenhouse Start Date]])</f>
        <v>45744</v>
      </c>
      <c r="T44" s="259">
        <f>_xlfn.XLOOKUP(BedPlan[[#This Row],[Crop]],Crops[Identifier],Crops[Target Field Date])</f>
        <v>45758</v>
      </c>
      <c r="U44" s="260"/>
      <c r="V44" s="260"/>
      <c r="W4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44" s="259">
        <v>45767</v>
      </c>
      <c r="Y44" s="271">
        <f>BedPlan[[#This Row],[Actual TP or DS Date]]-BedPlan[[#This Row],[Planned TP or DS Date]]</f>
        <v>-7</v>
      </c>
      <c r="Z44" s="259">
        <f>IF(ISNUMBER(BedPlan[[#This Row],[Actual TP or DS Date]]),BedPlan[[#This Row],[Actual TP or DS Date]],BedPlan[[#This Row],[Planned TP or DS Date]])</f>
        <v>45767</v>
      </c>
      <c r="AA44" s="260"/>
      <c r="AB44" s="259">
        <f>IF(ISNUMBER(BedPlan[[#This Row],[Greenhouse Start Date]]),BedPlan[[#This Row],[Greenhouse Start Date]]+BedPlan[[#This Row],[DTM]],BedPlan[[#This Row],[TP or DS Date]]+BedPlan[[#This Row],[DTM]])</f>
        <v>45824</v>
      </c>
      <c r="AC44" s="259"/>
      <c r="AD44" s="259">
        <f>IF(ISNUMBER(BedPlan[[#This Row],[Actual Beginning of Harvest]]),BedPlan[[#This Row],[Actual Beginning of Harvest]],BedPlan[[#This Row],[Expected Beginning of Harvest]])</f>
        <v>45824</v>
      </c>
      <c r="AE44" s="259">
        <f>BedPlan[[#This Row],[Expected Beginning of Harvest]]+BedPlan[[#This Row],[Harvest Window]]+BedPlan[[#This Row],[Additional Days of Harvest]]</f>
        <v>45838</v>
      </c>
      <c r="AF44" s="259"/>
      <c r="AG44" s="259"/>
      <c r="AH44" s="31" t="b">
        <f>IF(AND( BedPlan[[#This Row],[Expected End of Harvest]] &gt;= DATE(2025, 8, 1), BedPlan[[#This Row],[Beginning of Harvest]] &lt;= DATE(2025, 8, 31) ), TRUE, FALSE)</f>
        <v>0</v>
      </c>
      <c r="AI44" s="31"/>
      <c r="AJ44" s="31">
        <f>IF(ISNUMBER(BedPlan[[#This Row],[Actual End of Harvest]]),BedPlan[[#This Row],[Actual End of Harvest]],BedPlan[[#This Row],[Expected End of Harvest]])</f>
        <v>45838</v>
      </c>
      <c r="AK44" t="b">
        <f>OR(ISNUMBER(BedPlan[[#This Row],[Actual Greenhouse Date]]),ISNUMBER(BedPlan[[#This Row],[Actual TP or DS Date]]))</f>
        <v>1</v>
      </c>
      <c r="AL44" s="52" t="b">
        <f>IF(ISNUMBER(BedPlan[[#This Row],[Planned Greenhouse Start Date]]),OR(ISNUMBER(BedPlan[[#This Row],[Actual TP or DS Date]]),BedPlan[[#This Row],[Failed]]),"-")</f>
        <v>1</v>
      </c>
      <c r="AM44" t="b">
        <f>OR(ISNUMBER(BedPlan[[#This Row],[Actual End of Harvest]]),BedPlan[[#This Row],[Failed]])</f>
        <v>0</v>
      </c>
      <c r="AN44" t="b">
        <f>OR(BedPlan[[#This Row],[Harvest Done]],BedPlan[[#This Row],[Failed]],BedPlan[[#This Row],[Name]]="Tarp")</f>
        <v>0</v>
      </c>
      <c r="AS44" s="26" t="str">
        <f>IF(BedPlan[[#This Row],[Broadfork]],BedPlan[[#This Row],[Actual TP or DS Date]],"")</f>
        <v/>
      </c>
      <c r="AT44" s="26" t="str">
        <f>IF(BedPlan[[#This Row],[Tilther]],BedPlan[[#This Row],[Actual TP or DS Date]],"")</f>
        <v/>
      </c>
      <c r="AU44" s="26" t="str">
        <f>IF(NOT(ISBLANK(BedPlan[[#This Row],[Amend]])),BedPlan[[#This Row],[Actual TP or DS Date]],"")</f>
        <v/>
      </c>
      <c r="AV44" s="26" t="str">
        <f>IF(BedPlan[[#This Row],[Row Cover]],BedPlan[[#This Row],[Actual TP or DS Date]],"")</f>
        <v/>
      </c>
      <c r="AX44" s="26"/>
      <c r="AZ44" s="26"/>
      <c r="BB44" s="26"/>
      <c r="BC44" s="231" cm="1">
        <f t="array" ref="BC44">INDEX(Crops[],BedPlan[[#This Row],[Chart Index]],BC$4,1)*BedPlan[[#This Row],[Full Bed Equivalent]]</f>
        <v>300</v>
      </c>
      <c r="BD44" s="231" cm="1">
        <f t="array" ref="BD44">INDEX(Crops[],BedPlan[[#This Row],[Chart Index]],BD$4,1)*BedPlan[[#This Row],[Full Bed Equivalent]]</f>
        <v>4.6875</v>
      </c>
      <c r="BE44" cm="1">
        <f t="array" ref="BE44">INDEX(Crops[],BedPlan[[#This Row],[Chart Index]],BE$4,1)+BedPlan[[#This Row],[Additional Days in Cells]]+BedPlan[[#This Row],[Additional Days In Field]]</f>
        <v>80</v>
      </c>
      <c r="BG44" cm="1">
        <f t="array" ref="BG44">INDEX(Crops[],BedPlan[[#This Row],[Chart Index]],BG$4,1)</f>
        <v>14</v>
      </c>
      <c r="BH44" t="str">
        <f>IF(ISNUMBER(BedPlan[[#This Row],[Planned Greenhouse Start Date]]),"TP","DS")</f>
        <v>TP</v>
      </c>
      <c r="BI44">
        <f>BedPlan[[#This Row],['# Of Beds]]</f>
        <v>0.25</v>
      </c>
      <c r="BJ44" cm="1">
        <f t="array" ref="BJ44">INDEX(Crops[],BedPlan[[#This Row],[Chart Index]],BJ$4,1)</f>
        <v>30</v>
      </c>
      <c r="BK44" cm="1">
        <f t="array" ref="BK44">INDEX(Crops[],BedPlan[[#This Row],[Chart Index]],BK$4,1)</f>
        <v>5</v>
      </c>
      <c r="BL44" cm="1">
        <f t="array" ref="BL44">INDEX(Crops[],BedPlan[[#This Row],[Chart Index]],BL$4,1)</f>
        <v>6</v>
      </c>
      <c r="BM44" cm="1">
        <f t="array" ref="BM44">INDEX(Crops[],BedPlan[[#This Row],[Chart Index]],BM$4,1)</f>
        <v>3</v>
      </c>
      <c r="BN44" s="32" cm="1">
        <f t="array" ref="BN44">INDEX(Crops[],BedPlan[[#This Row],[Chart Index]],BN$4,1)*BedPlan[[#This Row],[Full Bed Equivalent]]</f>
        <v>125</v>
      </c>
      <c r="BO44" t="str" cm="1">
        <f t="array" ref="BO44">IF(INDEX(Crops[],BedPlan[[#This Row],[Chart Index]],BO$4,1)=0,"",INDEX(Crops[],BedPlan[[#This Row],[Chart Index]],BO$4,1))</f>
        <v/>
      </c>
      <c r="BP44">
        <f>MATCH(BedPlan[[#This Row],[Crop]],Crops[Identifier],FALSE)</f>
        <v>88</v>
      </c>
      <c r="BQ44" t="str" cm="1">
        <f t="array" ref="BQ44">INDEX(Crops[],BedPlan[[#This Row],[Chart Index]],BQ$4,1)</f>
        <v>General</v>
      </c>
      <c r="BR44" t="str" cm="1">
        <f t="array" ref="BR44">INDEX(Crops[],BedPlan[[#This Row],[Chart Index]],BR$4,1)</f>
        <v>Su</v>
      </c>
      <c r="BS44" s="32">
        <f>BedPlan[[#This Row],[Expected Beginning of Harvest]]-DATE(2023,1,1)</f>
        <v>897</v>
      </c>
      <c r="BT44">
        <f>BedPlan[[#This Row],[Expected End of Harvest]]-BedPlan[[#This Row],[Expected Beginning of Harvest]]</f>
        <v>14</v>
      </c>
      <c r="BU44" t="str" cm="1">
        <f t="array" ref="BU44">INDEX(Crops[],BedPlan[[#This Row],[Chart Index]],BU$4,1)</f>
        <v>Herb</v>
      </c>
      <c r="BV44" cm="1">
        <f t="array" ref="BV44">INDEX(Crops[],BedPlan[[#This Row],[Chart Index]],BV$4,1)</f>
        <v>1</v>
      </c>
      <c r="BW44" t="str" cm="1">
        <f t="array" ref="BW44">INDEX(Crops[],BedPlan[[#This Row],[Chart Index]],BW$4,1)</f>
        <v>None</v>
      </c>
      <c r="BX44" cm="1">
        <f t="array" ref="BX44">INDEX(Crops[],BedPlan[[#This Row],[Chart Index]],BX$4,1)</f>
        <v>128</v>
      </c>
      <c r="BY44" cm="1">
        <f t="array" ref="BY44">INDEX(Crops[],BedPlan[[#This Row],[Chart Index]],BY$4,1)</f>
        <v>30</v>
      </c>
      <c r="BZ44" s="49" cm="1">
        <f t="array" ref="BZ44">IFERROR(INDEX(Crops[],BedPlan[[#This Row],[Chart Index]],BZ$4,1)*BedPlan[[#This Row],[Full Bed Equivalent]],"")</f>
        <v>1.07421875</v>
      </c>
      <c r="CA44" cm="1">
        <f t="array" ref="CA44">INDEX(Crops[],BedPlan[[#This Row],[Chart Index]],CA$4,1)</f>
        <v>0</v>
      </c>
      <c r="CB44" cm="1">
        <f t="array" ref="CB44">INDEX(Crops[],BedPlan[[#This Row],[Chart Index]],CB$4,1)</f>
        <v>0</v>
      </c>
      <c r="CC44" s="49" t="str" cm="1">
        <f t="array" ref="CC44">IFERROR(INDEX(Crops[],BedPlan[[#This Row],[Chart Index]],CC$4,1)*BedPlan[[#This Row],[Full Bed Equivalent]],"")</f>
        <v/>
      </c>
      <c r="CD44" cm="1">
        <f t="array" ref="CD44">INDEX(Crops[],BedPlan[[#This Row],[Chart Index]],CD$4,1)</f>
        <v>0</v>
      </c>
      <c r="CE44" cm="1">
        <f t="array" ref="CE44">IF(INDEX(Crops[],BedPlan[[#This Row],[Chart Index]],CE$4,1)="",0,INDEX(Crops[],BedPlan[[#This Row],[Chart Index]],CE$4,1))</f>
        <v>0</v>
      </c>
      <c r="CF44" s="49" t="str" cm="1">
        <f t="array" ref="CF44">IFERROR(INDEX(Crops[],BedPlan[[#This Row],[Chart Index]],CF$4,1)*BedPlan[[#This Row],[Full Bed Equivalent]],"")</f>
        <v/>
      </c>
      <c r="CG44" cm="1">
        <f t="array" ref="CG44">IF(INDEX(Crops[],BedPlan[[#This Row],[Chart Index]],CG$4,1)="",0,INDEX(Crops[],BedPlan[[#This Row],[Chart Index]],CG$4,1))</f>
        <v>1.1000000000000001</v>
      </c>
      <c r="CH44" cm="1">
        <f t="array" ref="CH44">IF(INDEX(Crops[],BedPlan[[#This Row],[Chart Index]],CH$4,1)="",0,INDEX(Crops[],BedPlan[[#This Row],[Chart Index]],CH$4,1))</f>
        <v>0</v>
      </c>
      <c r="CI44" t="str" cm="1">
        <f t="array" ref="CI44">INDEX(Crops[],BedPlan[[#This Row],[Chart Index]],CI$4,1)</f>
        <v>Field</v>
      </c>
      <c r="CJ44" s="30" t="str">
        <f>_xlfn.TEXTJOIN(CHAR(10),FALSE,BedPlan[[#This Row],[Name]],BedPlan[[#This Row],[Variety]],BedPlan[[#This Row],[Company]])</f>
        <v xml:space="preserve">Cilantro
Cilantro Mix
</v>
      </c>
      <c r="CK44" s="32">
        <f>MAX( 0, MIN(BedPlan[[#This Row],[Expected End of Harvest]], EOMONTH(CK$4, 0)) - MAX(BedPlan[[#This Row],[Beginning of Harvest]], CK$4) + 1 )</f>
        <v>0</v>
      </c>
      <c r="CL44">
        <f>MAX( 0, MIN(BedPlan[[#This Row],[Expected End of Harvest]], EOMONTH(CL$4, 0)) - MAX(BedPlan[[#This Row],[Beginning of Harvest]], CL$4) + 1 )</f>
        <v>0</v>
      </c>
      <c r="CM44">
        <f>MAX( 0, MIN(BedPlan[[#This Row],[Expected End of Harvest]], EOMONTH(CM$4, 0)) - MAX(BedPlan[[#This Row],[Beginning of Harvest]], CM$4) + 1 )</f>
        <v>0</v>
      </c>
      <c r="CN44">
        <f>MAX( 0, MIN(BedPlan[[#This Row],[Expected End of Harvest]], EOMONTH(CN$4, 0)) - MAX(BedPlan[[#This Row],[Beginning of Harvest]], CN$4) + 1 )</f>
        <v>0</v>
      </c>
      <c r="CO44">
        <f>MAX( 0, MIN(BedPlan[[#This Row],[Expected End of Harvest]], EOMONTH(CO$4, 0)) - MAX(BedPlan[[#This Row],[Beginning of Harvest]], CO$4) + 1 )</f>
        <v>0</v>
      </c>
      <c r="CP44">
        <f>MAX( 0, MIN(BedPlan[[#This Row],[Expected End of Harvest]], EOMONTH(CP$4, 0)) - MAX(BedPlan[[#This Row],[Beginning of Harvest]], CP$4) + 1 )</f>
        <v>15</v>
      </c>
      <c r="CQ44">
        <f>MAX( 0, MIN(BedPlan[[#This Row],[Expected End of Harvest]], EOMONTH(CQ$4, 0)) - MAX(BedPlan[[#This Row],[Beginning of Harvest]], CQ$4) + 1 )</f>
        <v>0</v>
      </c>
      <c r="CR44">
        <f>MAX( 0, MIN(BedPlan[[#This Row],[Expected End of Harvest]], EOMONTH(CR$4, 0)) - MAX(BedPlan[[#This Row],[Beginning of Harvest]], CR$4) + 1 )</f>
        <v>0</v>
      </c>
      <c r="CS44">
        <f>MAX( 0, MIN(BedPlan[[#This Row],[Expected End of Harvest]], EOMONTH(CS$4, 0)) - MAX(BedPlan[[#This Row],[Beginning of Harvest]], CS$4) + 1 )</f>
        <v>0</v>
      </c>
      <c r="CT44">
        <f>MAX( 0, MIN(BedPlan[[#This Row],[Expected End of Harvest]], EOMONTH(CT$4, 0)) - MAX(BedPlan[[#This Row],[Beginning of Harvest]], CT$4) + 1 )</f>
        <v>0</v>
      </c>
      <c r="CU44">
        <f>MAX( 0, MIN(BedPlan[[#This Row],[Expected End of Harvest]], EOMONTH(CU$4, 0)) - MAX(BedPlan[[#This Row],[Beginning of Harvest]], CU$4) + 1 )</f>
        <v>0</v>
      </c>
      <c r="CV44">
        <f>MAX( 0, MIN(BedPlan[[#This Row],[Expected End of Harvest]], EOMONTH(CV$4, 0)) - MAX(BedPlan[[#This Row],[Beginning of Harvest]], CV$4) + 1 )</f>
        <v>0</v>
      </c>
      <c r="CW44">
        <f>MAX( 0, MIN(BedPlan[[#This Row],[Expected End of Harvest]], EOMONTH(CW$4, 0)) - MAX(BedPlan[[#This Row],[Beginning of Harvest]], CW$4) + 1 )</f>
        <v>0</v>
      </c>
      <c r="CX44">
        <f>MAX( 0, MIN(BedPlan[[#This Row],[Expected End of Harvest]], EOMONTH(CX$4, 0)) - MAX(BedPlan[[#This Row],[Beginning of Harvest]], CX$4) + 1 )</f>
        <v>0</v>
      </c>
      <c r="CY44">
        <f>MAX( 0, MIN(BedPlan[[#This Row],[Expected End of Harvest]], EOMONTH(CY$4, 0)) - MAX(BedPlan[[#This Row],[Beginning of Harvest]], CY$4) + 1 )</f>
        <v>0</v>
      </c>
      <c r="CZ44">
        <f>MAX( 0, MIN(BedPlan[[#This Row],[Expected End of Harvest]], EOMONTH(CZ$4, 0)) - MAX(BedPlan[[#This Row],[Beginning of Harvest]], CZ$4) + 1 )</f>
        <v>0</v>
      </c>
      <c r="DA44">
        <f>MAX( 0, MIN(BedPlan[[#This Row],[Expected End of Harvest]], EOMONTH(DA$4, 0)) - MAX(BedPlan[[#This Row],[Beginning of Harvest]], DA$4) + 1 )</f>
        <v>0</v>
      </c>
      <c r="DB44">
        <f>MAX( 0, MIN(BedPlan[[#This Row],[Expected End of Harvest]], EOMONTH(DB$4, 0)) - MAX(BedPlan[[#This Row],[Beginning of Harvest]], DB$4) + 1 )</f>
        <v>0</v>
      </c>
      <c r="DC44">
        <f>MAX( 0, MIN(BedPlan[[#This Row],[Expected End of Harvest]], EOMONTH(DC$4, 0)) - MAX(BedPlan[[#This Row],[Beginning of Harvest]], DC$4) + 1 )</f>
        <v>0</v>
      </c>
      <c r="DD44">
        <f>MAX( 0, MIN(BedPlan[[#This Row],[Expected End of Harvest]], EOMONTH(DD$4, 0)) - MAX(BedPlan[[#This Row],[Beginning of Harvest]], DD$4) + 1 )</f>
        <v>0</v>
      </c>
      <c r="DE44">
        <f>MAX( 0, MIN(BedPlan[[#This Row],[Expected End of Harvest]], EOMONTH(DE$4, 0)) - MAX(BedPlan[[#This Row],[Beginning of Harvest]], DE$4) + 1 )</f>
        <v>0</v>
      </c>
      <c r="DF44">
        <f>MAX( 0, MIN(BedPlan[[#This Row],[Expected End of Harvest]], EOMONTH(DF$4, 0)) - MAX(BedPlan[[#This Row],[Beginning of Harvest]], DF$4) + 1 )</f>
        <v>0</v>
      </c>
      <c r="DG44">
        <f>MAX( 0, MIN(BedPlan[[#This Row],[Expected End of Harvest]], EOMONTH(DG$4, 0)) - MAX(BedPlan[[#This Row],[Beginning of Harvest]], DG$4) + 1 )</f>
        <v>0</v>
      </c>
      <c r="DH44">
        <f>MAX( 0, MIN(BedPlan[[#This Row],[Expected End of Harvest]], EOMONTH(DH$4, 0)) - MAX(BedPlan[[#This Row],[Beginning of Harvest]], DH$4) + 1 )</f>
        <v>0</v>
      </c>
      <c r="DI44" s="257" cm="1">
        <f t="array" ref="DI44">BedPlan[[#This Row],[Harvest Days January 2025]]/SUM(BedPlan[[#This Row],[Harvest Days January 2025]:[Harvest Days December 2026]])*BedPlan[[#This Row],[Revenue]:[Revenue]]</f>
        <v>0</v>
      </c>
      <c r="DJ44" s="257" cm="1">
        <f t="array" ref="DJ44">BedPlan[[#This Row],[Harvest Days February 2025]]/SUM(BedPlan[[#This Row],[Harvest Days January 2025]:[Harvest Days December 2026]])*BedPlan[[#This Row],[Revenue]:[Revenue]]</f>
        <v>0</v>
      </c>
      <c r="DK44" s="257" cm="1">
        <f t="array" ref="DK44">BedPlan[[#This Row],[Harvest Days March 2025]]/SUM(BedPlan[[#This Row],[Harvest Days January 2025]:[Harvest Days December 2026]])*BedPlan[[#This Row],[Revenue]:[Revenue]]</f>
        <v>0</v>
      </c>
      <c r="DL44" s="257" cm="1">
        <f t="array" ref="DL44">BedPlan[[#This Row],[Harvest Days April 2025]]/SUM(BedPlan[[#This Row],[Harvest Days January 2025]:[Harvest Days December 2026]])*BedPlan[[#This Row],[Revenue]:[Revenue]]</f>
        <v>0</v>
      </c>
      <c r="DM44" s="257" cm="1">
        <f t="array" ref="DM44">BedPlan[[#This Row],[Harvest Days May 2025]]/SUM(BedPlan[[#This Row],[Harvest Days January 2025]:[Harvest Days December 2026]])*BedPlan[[#This Row],[Revenue]:[Revenue]]</f>
        <v>0</v>
      </c>
      <c r="DN44" s="257" cm="1">
        <f t="array" ref="DN44">BedPlan[[#This Row],[Harvest Days June 2025]]/SUM(BedPlan[[#This Row],[Harvest Days January 2025]:[Harvest Days December 2026]])*BedPlan[[#This Row],[Revenue]:[Revenue]]</f>
        <v>300</v>
      </c>
      <c r="DO44" s="257" cm="1">
        <f t="array" ref="DO44">BedPlan[[#This Row],[Harvest Days July 2025]]/SUM(BedPlan[[#This Row],[Harvest Days January 2025]:[Harvest Days December 2026]])*BedPlan[[#This Row],[Revenue]:[Revenue]]</f>
        <v>0</v>
      </c>
      <c r="DP44" s="257" cm="1">
        <f t="array" ref="DP44">BedPlan[[#This Row],[Harvest Days August 2025]]/SUM(BedPlan[[#This Row],[Harvest Days January 2025]:[Harvest Days December 2026]])*BedPlan[[#This Row],[Revenue]:[Revenue]]</f>
        <v>0</v>
      </c>
      <c r="DQ44" s="257" cm="1">
        <f t="array" ref="DQ44">BedPlan[[#This Row],[Harvest Days September 2025]]/SUM(BedPlan[[#This Row],[Harvest Days January 2025]:[Harvest Days December 2026]])*BedPlan[[#This Row],[Revenue]:[Revenue]]</f>
        <v>0</v>
      </c>
      <c r="DR44" s="257" cm="1">
        <f t="array" ref="DR44">BedPlan[[#This Row],[Harvest Days October 2025]]/SUM(BedPlan[[#This Row],[Harvest Days January 2025]:[Harvest Days December 2026]])*BedPlan[[#This Row],[Revenue]:[Revenue]]</f>
        <v>0</v>
      </c>
      <c r="DS44" s="257" cm="1">
        <f t="array" ref="DS44">BedPlan[[#This Row],[Harvest Days November 2025]]/SUM(BedPlan[[#This Row],[Harvest Days January 2025]:[Harvest Days December 2026]])*BedPlan[[#This Row],[Revenue]:[Revenue]]</f>
        <v>0</v>
      </c>
      <c r="DT44" s="257" cm="1">
        <f t="array" ref="DT44">BedPlan[[#This Row],[Harvest Days December 2025]]/SUM(BedPlan[[#This Row],[Harvest Days January 2025]:[Harvest Days December 2026]])*BedPlan[[#This Row],[Revenue]:[Revenue]]</f>
        <v>0</v>
      </c>
      <c r="DU44" s="257" cm="1">
        <f t="array" ref="DU44">BedPlan[[#This Row],[Harvest Days January 2026]]/SUM(BedPlan[[#This Row],[Harvest Days January 2025]:[Harvest Days December 2026]])*BedPlan[[#This Row],[Revenue]:[Revenue]]</f>
        <v>0</v>
      </c>
      <c r="DV44" s="257" cm="1">
        <f t="array" ref="DV44">BedPlan[[#This Row],[Harvest Days February 2026]]/SUM(BedPlan[[#This Row],[Harvest Days January 2025]:[Harvest Days December 2026]])*BedPlan[[#This Row],[Revenue]:[Revenue]]</f>
        <v>0</v>
      </c>
      <c r="DW44" s="257" cm="1">
        <f t="array" ref="DW44">BedPlan[[#This Row],[Harvest Days March 2026]]/SUM(BedPlan[[#This Row],[Harvest Days January 2025]:[Harvest Days December 2026]])*BedPlan[[#This Row],[Revenue]:[Revenue]]</f>
        <v>0</v>
      </c>
      <c r="DX44" s="257" cm="1">
        <f t="array" ref="DX44">BedPlan[[#This Row],[Harvest Days April 2026]]/SUM(BedPlan[[#This Row],[Harvest Days January 2025]:[Harvest Days December 2026]])*BedPlan[[#This Row],[Revenue]:[Revenue]]</f>
        <v>0</v>
      </c>
      <c r="DY44" s="257" cm="1">
        <f t="array" ref="DY44">BedPlan[[#This Row],[Harvest Days May 2026]]/SUM(BedPlan[[#This Row],[Harvest Days January 2025]:[Harvest Days December 2026]])*BedPlan[[#This Row],[Revenue]:[Revenue]]</f>
        <v>0</v>
      </c>
      <c r="DZ44" s="257" cm="1">
        <f t="array" ref="DZ44">BedPlan[[#This Row],[Harvest Days June 2026]]/SUM(BedPlan[[#This Row],[Harvest Days January 2025]:[Harvest Days December 2026]])*BedPlan[[#This Row],[Revenue]:[Revenue]]</f>
        <v>0</v>
      </c>
      <c r="EA44" s="257" cm="1">
        <f t="array" ref="EA44">BedPlan[[#This Row],[Harvest Days July 2026]]/SUM(BedPlan[[#This Row],[Harvest Days January 2025]:[Harvest Days December 2026]])*BedPlan[[#This Row],[Revenue]:[Revenue]]</f>
        <v>0</v>
      </c>
      <c r="EB44" s="257" cm="1">
        <f t="array" ref="EB44">BedPlan[[#This Row],[Harvest Days August 2026]]/SUM(BedPlan[[#This Row],[Harvest Days January 2025]:[Harvest Days December 2026]])*BedPlan[[#This Row],[Revenue]:[Revenue]]</f>
        <v>0</v>
      </c>
      <c r="EC44" s="257" cm="1">
        <f t="array" ref="EC44">BedPlan[[#This Row],[Harvest Days September 2026]]/SUM(BedPlan[[#This Row],[Harvest Days January 2025]:[Harvest Days December 2026]])*BedPlan[[#This Row],[Revenue]:[Revenue]]</f>
        <v>0</v>
      </c>
      <c r="ED44" s="257" cm="1">
        <f t="array" ref="ED44">BedPlan[[#This Row],[Harvest Days October 2026]]/SUM(BedPlan[[#This Row],[Harvest Days January 2025]:[Harvest Days December 2026]])*BedPlan[[#This Row],[Revenue]:[Revenue]]</f>
        <v>0</v>
      </c>
      <c r="EE44" s="257" cm="1">
        <f t="array" ref="EE44">BedPlan[[#This Row],[Harvest Days November 2026]]/SUM(BedPlan[[#This Row],[Harvest Days January 2025]:[Harvest Days December 2026]])*BedPlan[[#This Row],[Revenue]:[Revenue]]</f>
        <v>0</v>
      </c>
      <c r="EF44" s="257" cm="1">
        <f t="array" ref="EF44">BedPlan[[#This Row],[Harvest Days December 2026]]/SUM(BedPlan[[#This Row],[Harvest Days January 2025]:[Harvest Days December 2026]])*BedPlan[[#This Row],[Revenue]:[Revenue]]</f>
        <v>0</v>
      </c>
      <c r="EG44" t="b">
        <f>SUM(BedPlan[[#This Row],[Revenue January 2025]:[Revenue December 2026]])=BedPlan[[#This Row],[Revenue]]</f>
        <v>1</v>
      </c>
      <c r="EH44" s="30" cm="1">
        <f t="array" ref="EH44">INDEX(Crops[],BedPlan[[#This Row],[Chart Index]],EH$4,1)*BedPlan[[#This Row],['# Of Beds]]</f>
        <v>100</v>
      </c>
      <c r="EI44" s="30" t="str" cm="1">
        <f t="array" ref="EI44">INDEX(Crops[],BedPlan[[#This Row],[Chart Index]],EI$4,1)</f>
        <v>Bunch</v>
      </c>
      <c r="EJ44" s="30" t="str" cm="1">
        <f t="array" ref="EJ44">INDEX(Crops[],BedPlan[[#This Row],[Chart Index]],EJ$4,1)</f>
        <v>Loose Leaf</v>
      </c>
      <c r="EK44" s="30" t="str">
        <f>BedPlan[[#This Row],[Name]]&amp;" "&amp;BedPlan[[#This Row],[Product]]&amp; " - " &amp;BedPlan[[#This Row],[Unit]]</f>
        <v>Cilantro Loose Leaf - Bunch</v>
      </c>
      <c r="EL44" s="33" cm="1">
        <f t="array" ref="EL44">BedPlan[[#This Row],[Harvest Days January 2025]]/SUM(BedPlan[[#This Row],[Harvest Days January 2025]:[Harvest Days December 2026]])*BedPlan[[#This Row],[Yield]:[Yield]]</f>
        <v>0</v>
      </c>
      <c r="EM44" s="33" cm="1">
        <f t="array" ref="EM44">BedPlan[[#This Row],[Harvest Days February 2025]]/SUM(BedPlan[[#This Row],[Harvest Days January 2025]:[Harvest Days December 2026]])*BedPlan[[#This Row],[Yield]:[Yield]]</f>
        <v>0</v>
      </c>
      <c r="EN44" s="33" cm="1">
        <f t="array" ref="EN44">BedPlan[[#This Row],[Harvest Days March 2025]]/SUM(BedPlan[[#This Row],[Harvest Days January 2025]:[Harvest Days December 2026]])*BedPlan[[#This Row],[Yield]:[Yield]]</f>
        <v>0</v>
      </c>
      <c r="EO44" s="33" cm="1">
        <f t="array" ref="EO44">BedPlan[[#This Row],[Harvest Days April 2025]]/SUM(BedPlan[[#This Row],[Harvest Days January 2025]:[Harvest Days December 2026]])*BedPlan[[#This Row],[Yield]:[Yield]]</f>
        <v>0</v>
      </c>
      <c r="EP44" s="33" cm="1">
        <f t="array" ref="EP44">BedPlan[[#This Row],[Harvest Days May 2025]]/SUM(BedPlan[[#This Row],[Harvest Days January 2025]:[Harvest Days December 2026]])*BedPlan[[#This Row],[Yield]:[Yield]]</f>
        <v>0</v>
      </c>
      <c r="EQ44" s="33" cm="1">
        <f t="array" ref="EQ44">BedPlan[[#This Row],[Harvest Days June 2025]]/SUM(BedPlan[[#This Row],[Harvest Days January 2025]:[Harvest Days December 2026]])*BedPlan[[#This Row],[Yield]:[Yield]]</f>
        <v>100</v>
      </c>
      <c r="ER44" s="33" cm="1">
        <f t="array" ref="ER44">BedPlan[[#This Row],[Harvest Days July 2025]]/SUM(BedPlan[[#This Row],[Harvest Days January 2025]:[Harvest Days December 2026]])*BedPlan[[#This Row],[Yield]:[Yield]]</f>
        <v>0</v>
      </c>
      <c r="ES44" s="33" cm="1">
        <f t="array" ref="ES44">BedPlan[[#This Row],[Harvest Days August 2025]]/SUM(BedPlan[[#This Row],[Harvest Days January 2025]:[Harvest Days December 2026]])*BedPlan[[#This Row],[Yield]:[Yield]]</f>
        <v>0</v>
      </c>
      <c r="ET44" s="33" cm="1">
        <f t="array" ref="ET44">BedPlan[[#This Row],[Harvest Days September 2025]]/SUM(BedPlan[[#This Row],[Harvest Days January 2025]:[Harvest Days December 2026]])*BedPlan[[#This Row],[Yield]:[Yield]]</f>
        <v>0</v>
      </c>
      <c r="EU44" s="33" cm="1">
        <f t="array" ref="EU44">BedPlan[[#This Row],[Harvest Days October 2025]]/SUM(BedPlan[[#This Row],[Harvest Days January 2025]:[Harvest Days December 2026]])*BedPlan[[#This Row],[Yield]:[Yield]]</f>
        <v>0</v>
      </c>
      <c r="EV44" s="33" cm="1">
        <f t="array" ref="EV44">BedPlan[[#This Row],[Harvest Days November 2025]]/SUM(BedPlan[[#This Row],[Harvest Days January 2025]:[Harvest Days December 2026]])*BedPlan[[#This Row],[Yield]:[Yield]]</f>
        <v>0</v>
      </c>
      <c r="EW44" s="33" cm="1">
        <f t="array" ref="EW44">BedPlan[[#This Row],[Harvest Days December 2025]]/SUM(BedPlan[[#This Row],[Harvest Days January 2025]:[Harvest Days December 2026]])*BedPlan[[#This Row],[Yield]:[Yield]]</f>
        <v>0</v>
      </c>
    </row>
    <row r="45" spans="1:153" ht="15.75" customHeight="1">
      <c r="A45" s="27" t="s">
        <v>2747</v>
      </c>
      <c r="B45" t="s">
        <v>2715</v>
      </c>
      <c r="C45" t="s">
        <v>1433</v>
      </c>
      <c r="D45" cm="1">
        <f t="array" ref="D45">INDEX(Crops[],BedPlan[[#This Row],[Chart Index]],D$4,1)*BedPlan[[#This Row],[Full Bed Equivalent]]</f>
        <v>50</v>
      </c>
      <c r="E45" cm="1">
        <f t="array" ref="E45">INDEX(Crops[],BedPlan[[#This Row],[Chart Index]],E$4,1)*BedPlan[[#This Row],[Full Bed Equivalent]]</f>
        <v>100</v>
      </c>
      <c r="F45" t="str">
        <f>UPPER(LEFT(BedPlan[[#This Row],[Crop]],3))</f>
        <v>CIL</v>
      </c>
      <c r="H45" s="143" t="str" cm="1">
        <f t="array" ref="H45">INDEX(Crops[],BedPlan[[#This Row],[Chart Index]],H$4,1)</f>
        <v>Cilantro</v>
      </c>
      <c r="I45" t="s">
        <v>514</v>
      </c>
      <c r="K45" t="str" cm="1">
        <f t="array" ref="K45">IF(ISNUMBER(MATCH(BedPlan[[#This Row],[Variety]],SeedMixes[Name],)),_xlfn.TEXTJOIN(", ",TRUE,_xlfn._xlws.FILTER(SeedMixes[Variety &amp; Company],SeedMixes[Name]=BedPlan[[#This Row],[Variety]])),"")</f>
        <v>Cruiser High Mowing, Pokey Joe Uprising, Calypso Johnny's</v>
      </c>
      <c r="L45" s="33" cm="1">
        <f t="array" ref="L45">INDEX(Crops[],BedPlan[[#This Row],[Chart Index]],L$4,1)*BedPlan[[#This Row],[Full Bed Equivalent]]</f>
        <v>412.50000000000006</v>
      </c>
      <c r="N45">
        <v>0.25</v>
      </c>
      <c r="O45">
        <f>MAX(BedPlan[[#This Row],['# Of Beds]],0.5)</f>
        <v>0.5</v>
      </c>
      <c r="P45" s="31">
        <f>IF(ISNUMBER(BedPlan[[#This Row],[Planned Greenhouse Start Date]]),BedPlan[[#This Row],[Planned Greenhouse Start Date]],BedPlan[[#This Row],[Planned TP or DS Date]])</f>
        <v>45729</v>
      </c>
      <c r="Q45" s="259">
        <f>IF(BedPlan[[#This Row],[Days in Cells]]=0,"",IFERROR(_xlfn.XLOOKUP(BedPlan[[#This Row],[Follows Crop]],BedPlan[Identifier],BedPlan[Expected End of Harvest]) + 1+BedPlan[[#This Row],[Follow Offset]],BedPlan[[#This Row],[Fixed Field Start Date]])-BedPlan[[#This Row],[Days in Cells]])</f>
        <v>45729</v>
      </c>
      <c r="R45" s="259">
        <v>45744</v>
      </c>
      <c r="S45" s="259">
        <f>IF(ISNUMBER(BedPlan[[#This Row],[Actual Greenhouse Date]]),BedPlan[[#This Row],[Actual Greenhouse Date]],BedPlan[[#This Row],[Planned Greenhouse Start Date]])</f>
        <v>45744</v>
      </c>
      <c r="T45" s="259">
        <v>45759</v>
      </c>
      <c r="U45" s="260"/>
      <c r="V45" s="260"/>
      <c r="W4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45" s="259">
        <v>45767</v>
      </c>
      <c r="Y45" s="271">
        <f>BedPlan[[#This Row],[Actual TP or DS Date]]-BedPlan[[#This Row],[Planned TP or DS Date]]</f>
        <v>-7</v>
      </c>
      <c r="Z45" s="259">
        <f>IF(ISNUMBER(BedPlan[[#This Row],[Actual TP or DS Date]]),BedPlan[[#This Row],[Actual TP or DS Date]],BedPlan[[#This Row],[Planned TP or DS Date]])</f>
        <v>45767</v>
      </c>
      <c r="AA45" s="260">
        <v>7</v>
      </c>
      <c r="AB45" s="259">
        <f>IF(ISNUMBER(BedPlan[[#This Row],[Greenhouse Start Date]]),BedPlan[[#This Row],[Greenhouse Start Date]]+BedPlan[[#This Row],[DTM]],BedPlan[[#This Row],[TP or DS Date]]+BedPlan[[#This Row],[DTM]])</f>
        <v>45831</v>
      </c>
      <c r="AC45" s="259"/>
      <c r="AD45" s="259">
        <f>IF(ISNUMBER(BedPlan[[#This Row],[Actual Beginning of Harvest]]),BedPlan[[#This Row],[Actual Beginning of Harvest]],BedPlan[[#This Row],[Expected Beginning of Harvest]])</f>
        <v>45831</v>
      </c>
      <c r="AE45" s="259">
        <f>BedPlan[[#This Row],[Expected Beginning of Harvest]]+BedPlan[[#This Row],[Harvest Window]]+BedPlan[[#This Row],[Additional Days of Harvest]]</f>
        <v>45845</v>
      </c>
      <c r="AF45" s="259"/>
      <c r="AG45" s="259"/>
      <c r="AH45" s="31" t="b">
        <f>IF(AND( BedPlan[[#This Row],[Expected End of Harvest]] &gt;= DATE(2025, 8, 1), BedPlan[[#This Row],[Beginning of Harvest]] &lt;= DATE(2025, 8, 31) ), TRUE, FALSE)</f>
        <v>0</v>
      </c>
      <c r="AI45" s="31"/>
      <c r="AJ45" s="31">
        <f>IF(ISNUMBER(BedPlan[[#This Row],[Actual End of Harvest]]),BedPlan[[#This Row],[Actual End of Harvest]],BedPlan[[#This Row],[Expected End of Harvest]])</f>
        <v>45845</v>
      </c>
      <c r="AK45" t="b">
        <f>OR(ISNUMBER(BedPlan[[#This Row],[Actual Greenhouse Date]]),ISNUMBER(BedPlan[[#This Row],[Actual TP or DS Date]]))</f>
        <v>1</v>
      </c>
      <c r="AL45" s="52" t="b">
        <f>IF(ISNUMBER(BedPlan[[#This Row],[Planned Greenhouse Start Date]]),OR(ISNUMBER(BedPlan[[#This Row],[Actual TP or DS Date]]),BedPlan[[#This Row],[Failed]]),"-")</f>
        <v>1</v>
      </c>
      <c r="AM45" t="b">
        <f>OR(ISNUMBER(BedPlan[[#This Row],[Actual End of Harvest]]),BedPlan[[#This Row],[Failed]])</f>
        <v>0</v>
      </c>
      <c r="AN45" t="b">
        <f>OR(BedPlan[[#This Row],[Harvest Done]],BedPlan[[#This Row],[Failed]],BedPlan[[#This Row],[Name]]="Tarp")</f>
        <v>0</v>
      </c>
      <c r="AS45" s="26" t="str">
        <f>IF(BedPlan[[#This Row],[Broadfork]],BedPlan[[#This Row],[Actual TP or DS Date]],"")</f>
        <v/>
      </c>
      <c r="AT45" s="26" t="str">
        <f>IF(BedPlan[[#This Row],[Tilther]],BedPlan[[#This Row],[Actual TP or DS Date]],"")</f>
        <v/>
      </c>
      <c r="AU45" s="26" t="str">
        <f>IF(NOT(ISBLANK(BedPlan[[#This Row],[Amend]])),BedPlan[[#This Row],[Actual TP or DS Date]],"")</f>
        <v/>
      </c>
      <c r="AV45" s="26" t="str">
        <f>IF(BedPlan[[#This Row],[Row Cover]],BedPlan[[#This Row],[Actual TP or DS Date]],"")</f>
        <v/>
      </c>
      <c r="AX45" s="26"/>
      <c r="AZ45" s="26"/>
      <c r="BB45" s="26"/>
      <c r="BC45" s="231" cm="1">
        <f t="array" ref="BC45">INDEX(Crops[],BedPlan[[#This Row],[Chart Index]],BC$4,1)*BedPlan[[#This Row],[Full Bed Equivalent]]</f>
        <v>300</v>
      </c>
      <c r="BD45" s="231" cm="1">
        <f t="array" ref="BD45">INDEX(Crops[],BedPlan[[#This Row],[Chart Index]],BD$4,1)*BedPlan[[#This Row],[Full Bed Equivalent]]</f>
        <v>4.6875</v>
      </c>
      <c r="BE45" cm="1">
        <f t="array" ref="BE45">INDEX(Crops[],BedPlan[[#This Row],[Chart Index]],BE$4,1)+BedPlan[[#This Row],[Additional Days in Cells]]+BedPlan[[#This Row],[Additional Days In Field]]</f>
        <v>87</v>
      </c>
      <c r="BG45" cm="1">
        <f t="array" ref="BG45">INDEX(Crops[],BedPlan[[#This Row],[Chart Index]],BG$4,1)</f>
        <v>14</v>
      </c>
      <c r="BH45" t="str">
        <f>IF(ISNUMBER(BedPlan[[#This Row],[Planned Greenhouse Start Date]]),"TP","DS")</f>
        <v>TP</v>
      </c>
      <c r="BI45">
        <f>BedPlan[[#This Row],['# Of Beds]]</f>
        <v>0.25</v>
      </c>
      <c r="BJ45" cm="1">
        <f t="array" ref="BJ45">INDEX(Crops[],BedPlan[[#This Row],[Chart Index]],BJ$4,1)</f>
        <v>30</v>
      </c>
      <c r="BK45" cm="1">
        <f t="array" ref="BK45">INDEX(Crops[],BedPlan[[#This Row],[Chart Index]],BK$4,1)</f>
        <v>5</v>
      </c>
      <c r="BL45" cm="1">
        <f t="array" ref="BL45">INDEX(Crops[],BedPlan[[#This Row],[Chart Index]],BL$4,1)</f>
        <v>6</v>
      </c>
      <c r="BM45" cm="1">
        <f t="array" ref="BM45">INDEX(Crops[],BedPlan[[#This Row],[Chart Index]],BM$4,1)</f>
        <v>3</v>
      </c>
      <c r="BN45" s="32" cm="1">
        <f t="array" ref="BN45">INDEX(Crops[],BedPlan[[#This Row],[Chart Index]],BN$4,1)*BedPlan[[#This Row],[Full Bed Equivalent]]</f>
        <v>125</v>
      </c>
      <c r="BO45" t="str" cm="1">
        <f t="array" ref="BO45">IF(INDEX(Crops[],BedPlan[[#This Row],[Chart Index]],BO$4,1)=0,"",INDEX(Crops[],BedPlan[[#This Row],[Chart Index]],BO$4,1))</f>
        <v/>
      </c>
      <c r="BP45">
        <f>MATCH(BedPlan[[#This Row],[Crop]],Crops[Identifier],FALSE)</f>
        <v>88</v>
      </c>
      <c r="BQ45" t="str" cm="1">
        <f t="array" ref="BQ45">INDEX(Crops[],BedPlan[[#This Row],[Chart Index]],BQ$4,1)</f>
        <v>General</v>
      </c>
      <c r="BR45" t="str" cm="1">
        <f t="array" ref="BR45">INDEX(Crops[],BedPlan[[#This Row],[Chart Index]],BR$4,1)</f>
        <v>Su</v>
      </c>
      <c r="BS45" s="32">
        <f>BedPlan[[#This Row],[Expected Beginning of Harvest]]-DATE(2023,1,1)</f>
        <v>904</v>
      </c>
      <c r="BT45">
        <f>BedPlan[[#This Row],[Expected End of Harvest]]-BedPlan[[#This Row],[Expected Beginning of Harvest]]</f>
        <v>14</v>
      </c>
      <c r="BU45" t="str" cm="1">
        <f t="array" ref="BU45">INDEX(Crops[],BedPlan[[#This Row],[Chart Index]],BU$4,1)</f>
        <v>Herb</v>
      </c>
      <c r="BV45" cm="1">
        <f t="array" ref="BV45">INDEX(Crops[],BedPlan[[#This Row],[Chart Index]],BV$4,1)</f>
        <v>1</v>
      </c>
      <c r="BW45" t="str" cm="1">
        <f t="array" ref="BW45">INDEX(Crops[],BedPlan[[#This Row],[Chart Index]],BW$4,1)</f>
        <v>None</v>
      </c>
      <c r="BX45" cm="1">
        <f t="array" ref="BX45">INDEX(Crops[],BedPlan[[#This Row],[Chart Index]],BX$4,1)</f>
        <v>128</v>
      </c>
      <c r="BY45" cm="1">
        <f t="array" ref="BY45">INDEX(Crops[],BedPlan[[#This Row],[Chart Index]],BY$4,1)</f>
        <v>30</v>
      </c>
      <c r="BZ45" s="49" cm="1">
        <f t="array" ref="BZ45">IFERROR(INDEX(Crops[],BedPlan[[#This Row],[Chart Index]],BZ$4,1)*BedPlan[[#This Row],[Full Bed Equivalent]],"")</f>
        <v>1.07421875</v>
      </c>
      <c r="CA45" cm="1">
        <f t="array" ref="CA45">INDEX(Crops[],BedPlan[[#This Row],[Chart Index]],CA$4,1)</f>
        <v>0</v>
      </c>
      <c r="CB45" cm="1">
        <f t="array" ref="CB45">INDEX(Crops[],BedPlan[[#This Row],[Chart Index]],CB$4,1)</f>
        <v>0</v>
      </c>
      <c r="CC45" s="49" t="str" cm="1">
        <f t="array" ref="CC45">IFERROR(INDEX(Crops[],BedPlan[[#This Row],[Chart Index]],CC$4,1)*BedPlan[[#This Row],[Full Bed Equivalent]],"")</f>
        <v/>
      </c>
      <c r="CD45" cm="1">
        <f t="array" ref="CD45">INDEX(Crops[],BedPlan[[#This Row],[Chart Index]],CD$4,1)</f>
        <v>0</v>
      </c>
      <c r="CE45" cm="1">
        <f t="array" ref="CE45">IF(INDEX(Crops[],BedPlan[[#This Row],[Chart Index]],CE$4,1)="",0,INDEX(Crops[],BedPlan[[#This Row],[Chart Index]],CE$4,1))</f>
        <v>0</v>
      </c>
      <c r="CF45" s="49" t="str" cm="1">
        <f t="array" ref="CF45">IFERROR(INDEX(Crops[],BedPlan[[#This Row],[Chart Index]],CF$4,1)*BedPlan[[#This Row],[Full Bed Equivalent]],"")</f>
        <v/>
      </c>
      <c r="CG45" cm="1">
        <f t="array" ref="CG45">IF(INDEX(Crops[],BedPlan[[#This Row],[Chart Index]],CG$4,1)="",0,INDEX(Crops[],BedPlan[[#This Row],[Chart Index]],CG$4,1))</f>
        <v>1.1000000000000001</v>
      </c>
      <c r="CH45" cm="1">
        <f t="array" ref="CH45">IF(INDEX(Crops[],BedPlan[[#This Row],[Chart Index]],CH$4,1)="",0,INDEX(Crops[],BedPlan[[#This Row],[Chart Index]],CH$4,1))</f>
        <v>0</v>
      </c>
      <c r="CI45" t="str" cm="1">
        <f t="array" ref="CI45">INDEX(Crops[],BedPlan[[#This Row],[Chart Index]],CI$4,1)</f>
        <v>Field</v>
      </c>
      <c r="CJ45" s="30" t="str">
        <f>_xlfn.TEXTJOIN(CHAR(10),FALSE,BedPlan[[#This Row],[Name]],BedPlan[[#This Row],[Variety]],BedPlan[[#This Row],[Company]])</f>
        <v xml:space="preserve">Cilantro
Cilantro Mix
</v>
      </c>
      <c r="CK45" s="32">
        <f>MAX( 0, MIN(BedPlan[[#This Row],[Expected End of Harvest]], EOMONTH(CK$4, 0)) - MAX(BedPlan[[#This Row],[Beginning of Harvest]], CK$4) + 1 )</f>
        <v>0</v>
      </c>
      <c r="CL45">
        <f>MAX( 0, MIN(BedPlan[[#This Row],[Expected End of Harvest]], EOMONTH(CL$4, 0)) - MAX(BedPlan[[#This Row],[Beginning of Harvest]], CL$4) + 1 )</f>
        <v>0</v>
      </c>
      <c r="CM45">
        <f>MAX( 0, MIN(BedPlan[[#This Row],[Expected End of Harvest]], EOMONTH(CM$4, 0)) - MAX(BedPlan[[#This Row],[Beginning of Harvest]], CM$4) + 1 )</f>
        <v>0</v>
      </c>
      <c r="CN45">
        <f>MAX( 0, MIN(BedPlan[[#This Row],[Expected End of Harvest]], EOMONTH(CN$4, 0)) - MAX(BedPlan[[#This Row],[Beginning of Harvest]], CN$4) + 1 )</f>
        <v>0</v>
      </c>
      <c r="CO45">
        <f>MAX( 0, MIN(BedPlan[[#This Row],[Expected End of Harvest]], EOMONTH(CO$4, 0)) - MAX(BedPlan[[#This Row],[Beginning of Harvest]], CO$4) + 1 )</f>
        <v>0</v>
      </c>
      <c r="CP45">
        <f>MAX( 0, MIN(BedPlan[[#This Row],[Expected End of Harvest]], EOMONTH(CP$4, 0)) - MAX(BedPlan[[#This Row],[Beginning of Harvest]], CP$4) + 1 )</f>
        <v>8</v>
      </c>
      <c r="CQ45">
        <f>MAX( 0, MIN(BedPlan[[#This Row],[Expected End of Harvest]], EOMONTH(CQ$4, 0)) - MAX(BedPlan[[#This Row],[Beginning of Harvest]], CQ$4) + 1 )</f>
        <v>7</v>
      </c>
      <c r="CR45">
        <f>MAX( 0, MIN(BedPlan[[#This Row],[Expected End of Harvest]], EOMONTH(CR$4, 0)) - MAX(BedPlan[[#This Row],[Beginning of Harvest]], CR$4) + 1 )</f>
        <v>0</v>
      </c>
      <c r="CS45">
        <f>MAX( 0, MIN(BedPlan[[#This Row],[Expected End of Harvest]], EOMONTH(CS$4, 0)) - MAX(BedPlan[[#This Row],[Beginning of Harvest]], CS$4) + 1 )</f>
        <v>0</v>
      </c>
      <c r="CT45">
        <f>MAX( 0, MIN(BedPlan[[#This Row],[Expected End of Harvest]], EOMONTH(CT$4, 0)) - MAX(BedPlan[[#This Row],[Beginning of Harvest]], CT$4) + 1 )</f>
        <v>0</v>
      </c>
      <c r="CU45">
        <f>MAX( 0, MIN(BedPlan[[#This Row],[Expected End of Harvest]], EOMONTH(CU$4, 0)) - MAX(BedPlan[[#This Row],[Beginning of Harvest]], CU$4) + 1 )</f>
        <v>0</v>
      </c>
      <c r="CV45">
        <f>MAX( 0, MIN(BedPlan[[#This Row],[Expected End of Harvest]], EOMONTH(CV$4, 0)) - MAX(BedPlan[[#This Row],[Beginning of Harvest]], CV$4) + 1 )</f>
        <v>0</v>
      </c>
      <c r="CW45">
        <f>MAX( 0, MIN(BedPlan[[#This Row],[Expected End of Harvest]], EOMONTH(CW$4, 0)) - MAX(BedPlan[[#This Row],[Beginning of Harvest]], CW$4) + 1 )</f>
        <v>0</v>
      </c>
      <c r="CX45">
        <f>MAX( 0, MIN(BedPlan[[#This Row],[Expected End of Harvest]], EOMONTH(CX$4, 0)) - MAX(BedPlan[[#This Row],[Beginning of Harvest]], CX$4) + 1 )</f>
        <v>0</v>
      </c>
      <c r="CY45">
        <f>MAX( 0, MIN(BedPlan[[#This Row],[Expected End of Harvest]], EOMONTH(CY$4, 0)) - MAX(BedPlan[[#This Row],[Beginning of Harvest]], CY$4) + 1 )</f>
        <v>0</v>
      </c>
      <c r="CZ45">
        <f>MAX( 0, MIN(BedPlan[[#This Row],[Expected End of Harvest]], EOMONTH(CZ$4, 0)) - MAX(BedPlan[[#This Row],[Beginning of Harvest]], CZ$4) + 1 )</f>
        <v>0</v>
      </c>
      <c r="DA45">
        <f>MAX( 0, MIN(BedPlan[[#This Row],[Expected End of Harvest]], EOMONTH(DA$4, 0)) - MAX(BedPlan[[#This Row],[Beginning of Harvest]], DA$4) + 1 )</f>
        <v>0</v>
      </c>
      <c r="DB45">
        <f>MAX( 0, MIN(BedPlan[[#This Row],[Expected End of Harvest]], EOMONTH(DB$4, 0)) - MAX(BedPlan[[#This Row],[Beginning of Harvest]], DB$4) + 1 )</f>
        <v>0</v>
      </c>
      <c r="DC45">
        <f>MAX( 0, MIN(BedPlan[[#This Row],[Expected End of Harvest]], EOMONTH(DC$4, 0)) - MAX(BedPlan[[#This Row],[Beginning of Harvest]], DC$4) + 1 )</f>
        <v>0</v>
      </c>
      <c r="DD45">
        <f>MAX( 0, MIN(BedPlan[[#This Row],[Expected End of Harvest]], EOMONTH(DD$4, 0)) - MAX(BedPlan[[#This Row],[Beginning of Harvest]], DD$4) + 1 )</f>
        <v>0</v>
      </c>
      <c r="DE45">
        <f>MAX( 0, MIN(BedPlan[[#This Row],[Expected End of Harvest]], EOMONTH(DE$4, 0)) - MAX(BedPlan[[#This Row],[Beginning of Harvest]], DE$4) + 1 )</f>
        <v>0</v>
      </c>
      <c r="DF45">
        <f>MAX( 0, MIN(BedPlan[[#This Row],[Expected End of Harvest]], EOMONTH(DF$4, 0)) - MAX(BedPlan[[#This Row],[Beginning of Harvest]], DF$4) + 1 )</f>
        <v>0</v>
      </c>
      <c r="DG45">
        <f>MAX( 0, MIN(BedPlan[[#This Row],[Expected End of Harvest]], EOMONTH(DG$4, 0)) - MAX(BedPlan[[#This Row],[Beginning of Harvest]], DG$4) + 1 )</f>
        <v>0</v>
      </c>
      <c r="DH45">
        <f>MAX( 0, MIN(BedPlan[[#This Row],[Expected End of Harvest]], EOMONTH(DH$4, 0)) - MAX(BedPlan[[#This Row],[Beginning of Harvest]], DH$4) + 1 )</f>
        <v>0</v>
      </c>
      <c r="DI45" s="257" cm="1">
        <f t="array" ref="DI45">BedPlan[[#This Row],[Harvest Days January 2025]]/SUM(BedPlan[[#This Row],[Harvest Days January 2025]:[Harvest Days December 2026]])*BedPlan[[#This Row],[Revenue]:[Revenue]]</f>
        <v>0</v>
      </c>
      <c r="DJ45" s="257" cm="1">
        <f t="array" ref="DJ45">BedPlan[[#This Row],[Harvest Days February 2025]]/SUM(BedPlan[[#This Row],[Harvest Days January 2025]:[Harvest Days December 2026]])*BedPlan[[#This Row],[Revenue]:[Revenue]]</f>
        <v>0</v>
      </c>
      <c r="DK45" s="257" cm="1">
        <f t="array" ref="DK45">BedPlan[[#This Row],[Harvest Days March 2025]]/SUM(BedPlan[[#This Row],[Harvest Days January 2025]:[Harvest Days December 2026]])*BedPlan[[#This Row],[Revenue]:[Revenue]]</f>
        <v>0</v>
      </c>
      <c r="DL45" s="257" cm="1">
        <f t="array" ref="DL45">BedPlan[[#This Row],[Harvest Days April 2025]]/SUM(BedPlan[[#This Row],[Harvest Days January 2025]:[Harvest Days December 2026]])*BedPlan[[#This Row],[Revenue]:[Revenue]]</f>
        <v>0</v>
      </c>
      <c r="DM45" s="257" cm="1">
        <f t="array" ref="DM45">BedPlan[[#This Row],[Harvest Days May 2025]]/SUM(BedPlan[[#This Row],[Harvest Days January 2025]:[Harvest Days December 2026]])*BedPlan[[#This Row],[Revenue]:[Revenue]]</f>
        <v>0</v>
      </c>
      <c r="DN45" s="257" cm="1">
        <f t="array" ref="DN45">BedPlan[[#This Row],[Harvest Days June 2025]]/SUM(BedPlan[[#This Row],[Harvest Days January 2025]:[Harvest Days December 2026]])*BedPlan[[#This Row],[Revenue]:[Revenue]]</f>
        <v>160</v>
      </c>
      <c r="DO45" s="257" cm="1">
        <f t="array" ref="DO45">BedPlan[[#This Row],[Harvest Days July 2025]]/SUM(BedPlan[[#This Row],[Harvest Days January 2025]:[Harvest Days December 2026]])*BedPlan[[#This Row],[Revenue]:[Revenue]]</f>
        <v>140</v>
      </c>
      <c r="DP45" s="257" cm="1">
        <f t="array" ref="DP45">BedPlan[[#This Row],[Harvest Days August 2025]]/SUM(BedPlan[[#This Row],[Harvest Days January 2025]:[Harvest Days December 2026]])*BedPlan[[#This Row],[Revenue]:[Revenue]]</f>
        <v>0</v>
      </c>
      <c r="DQ45" s="257" cm="1">
        <f t="array" ref="DQ45">BedPlan[[#This Row],[Harvest Days September 2025]]/SUM(BedPlan[[#This Row],[Harvest Days January 2025]:[Harvest Days December 2026]])*BedPlan[[#This Row],[Revenue]:[Revenue]]</f>
        <v>0</v>
      </c>
      <c r="DR45" s="257" cm="1">
        <f t="array" ref="DR45">BedPlan[[#This Row],[Harvest Days October 2025]]/SUM(BedPlan[[#This Row],[Harvest Days January 2025]:[Harvest Days December 2026]])*BedPlan[[#This Row],[Revenue]:[Revenue]]</f>
        <v>0</v>
      </c>
      <c r="DS45" s="257" cm="1">
        <f t="array" ref="DS45">BedPlan[[#This Row],[Harvest Days November 2025]]/SUM(BedPlan[[#This Row],[Harvest Days January 2025]:[Harvest Days December 2026]])*BedPlan[[#This Row],[Revenue]:[Revenue]]</f>
        <v>0</v>
      </c>
      <c r="DT45" s="257" cm="1">
        <f t="array" ref="DT45">BedPlan[[#This Row],[Harvest Days December 2025]]/SUM(BedPlan[[#This Row],[Harvest Days January 2025]:[Harvest Days December 2026]])*BedPlan[[#This Row],[Revenue]:[Revenue]]</f>
        <v>0</v>
      </c>
      <c r="DU45" s="257" cm="1">
        <f t="array" ref="DU45">BedPlan[[#This Row],[Harvest Days January 2026]]/SUM(BedPlan[[#This Row],[Harvest Days January 2025]:[Harvest Days December 2026]])*BedPlan[[#This Row],[Revenue]:[Revenue]]</f>
        <v>0</v>
      </c>
      <c r="DV45" s="257" cm="1">
        <f t="array" ref="DV45">BedPlan[[#This Row],[Harvest Days February 2026]]/SUM(BedPlan[[#This Row],[Harvest Days January 2025]:[Harvest Days December 2026]])*BedPlan[[#This Row],[Revenue]:[Revenue]]</f>
        <v>0</v>
      </c>
      <c r="DW45" s="257" cm="1">
        <f t="array" ref="DW45">BedPlan[[#This Row],[Harvest Days March 2026]]/SUM(BedPlan[[#This Row],[Harvest Days January 2025]:[Harvest Days December 2026]])*BedPlan[[#This Row],[Revenue]:[Revenue]]</f>
        <v>0</v>
      </c>
      <c r="DX45" s="257" cm="1">
        <f t="array" ref="DX45">BedPlan[[#This Row],[Harvest Days April 2026]]/SUM(BedPlan[[#This Row],[Harvest Days January 2025]:[Harvest Days December 2026]])*BedPlan[[#This Row],[Revenue]:[Revenue]]</f>
        <v>0</v>
      </c>
      <c r="DY45" s="257" cm="1">
        <f t="array" ref="DY45">BedPlan[[#This Row],[Harvest Days May 2026]]/SUM(BedPlan[[#This Row],[Harvest Days January 2025]:[Harvest Days December 2026]])*BedPlan[[#This Row],[Revenue]:[Revenue]]</f>
        <v>0</v>
      </c>
      <c r="DZ45" s="257" cm="1">
        <f t="array" ref="DZ45">BedPlan[[#This Row],[Harvest Days June 2026]]/SUM(BedPlan[[#This Row],[Harvest Days January 2025]:[Harvest Days December 2026]])*BedPlan[[#This Row],[Revenue]:[Revenue]]</f>
        <v>0</v>
      </c>
      <c r="EA45" s="257" cm="1">
        <f t="array" ref="EA45">BedPlan[[#This Row],[Harvest Days July 2026]]/SUM(BedPlan[[#This Row],[Harvest Days January 2025]:[Harvest Days December 2026]])*BedPlan[[#This Row],[Revenue]:[Revenue]]</f>
        <v>0</v>
      </c>
      <c r="EB45" s="257" cm="1">
        <f t="array" ref="EB45">BedPlan[[#This Row],[Harvest Days August 2026]]/SUM(BedPlan[[#This Row],[Harvest Days January 2025]:[Harvest Days December 2026]])*BedPlan[[#This Row],[Revenue]:[Revenue]]</f>
        <v>0</v>
      </c>
      <c r="EC45" s="257" cm="1">
        <f t="array" ref="EC45">BedPlan[[#This Row],[Harvest Days September 2026]]/SUM(BedPlan[[#This Row],[Harvest Days January 2025]:[Harvest Days December 2026]])*BedPlan[[#This Row],[Revenue]:[Revenue]]</f>
        <v>0</v>
      </c>
      <c r="ED45" s="257" cm="1">
        <f t="array" ref="ED45">BedPlan[[#This Row],[Harvest Days October 2026]]/SUM(BedPlan[[#This Row],[Harvest Days January 2025]:[Harvest Days December 2026]])*BedPlan[[#This Row],[Revenue]:[Revenue]]</f>
        <v>0</v>
      </c>
      <c r="EE45" s="257" cm="1">
        <f t="array" ref="EE45">BedPlan[[#This Row],[Harvest Days November 2026]]/SUM(BedPlan[[#This Row],[Harvest Days January 2025]:[Harvest Days December 2026]])*BedPlan[[#This Row],[Revenue]:[Revenue]]</f>
        <v>0</v>
      </c>
      <c r="EF45" s="257" cm="1">
        <f t="array" ref="EF45">BedPlan[[#This Row],[Harvest Days December 2026]]/SUM(BedPlan[[#This Row],[Harvest Days January 2025]:[Harvest Days December 2026]])*BedPlan[[#This Row],[Revenue]:[Revenue]]</f>
        <v>0</v>
      </c>
      <c r="EG45" t="b">
        <f>SUM(BedPlan[[#This Row],[Revenue January 2025]:[Revenue December 2026]])=BedPlan[[#This Row],[Revenue]]</f>
        <v>1</v>
      </c>
      <c r="EH45" s="30" cm="1">
        <f t="array" ref="EH45">INDEX(Crops[],BedPlan[[#This Row],[Chart Index]],EH$4,1)*BedPlan[[#This Row],['# Of Beds]]</f>
        <v>100</v>
      </c>
      <c r="EI45" s="30" t="str" cm="1">
        <f t="array" ref="EI45">INDEX(Crops[],BedPlan[[#This Row],[Chart Index]],EI$4,1)</f>
        <v>Bunch</v>
      </c>
      <c r="EJ45" s="30" t="str" cm="1">
        <f t="array" ref="EJ45">INDEX(Crops[],BedPlan[[#This Row],[Chart Index]],EJ$4,1)</f>
        <v>Loose Leaf</v>
      </c>
      <c r="EK45" s="30" t="str">
        <f>BedPlan[[#This Row],[Name]]&amp;" "&amp;BedPlan[[#This Row],[Product]]&amp; " - " &amp;BedPlan[[#This Row],[Unit]]</f>
        <v>Cilantro Loose Leaf - Bunch</v>
      </c>
      <c r="EL45" s="33" cm="1">
        <f t="array" ref="EL45">BedPlan[[#This Row],[Harvest Days January 2025]]/SUM(BedPlan[[#This Row],[Harvest Days January 2025]:[Harvest Days December 2026]])*BedPlan[[#This Row],[Yield]:[Yield]]</f>
        <v>0</v>
      </c>
      <c r="EM45" s="33" cm="1">
        <f t="array" ref="EM45">BedPlan[[#This Row],[Harvest Days February 2025]]/SUM(BedPlan[[#This Row],[Harvest Days January 2025]:[Harvest Days December 2026]])*BedPlan[[#This Row],[Yield]:[Yield]]</f>
        <v>0</v>
      </c>
      <c r="EN45" s="33" cm="1">
        <f t="array" ref="EN45">BedPlan[[#This Row],[Harvest Days March 2025]]/SUM(BedPlan[[#This Row],[Harvest Days January 2025]:[Harvest Days December 2026]])*BedPlan[[#This Row],[Yield]:[Yield]]</f>
        <v>0</v>
      </c>
      <c r="EO45" s="33" cm="1">
        <f t="array" ref="EO45">BedPlan[[#This Row],[Harvest Days April 2025]]/SUM(BedPlan[[#This Row],[Harvest Days January 2025]:[Harvest Days December 2026]])*BedPlan[[#This Row],[Yield]:[Yield]]</f>
        <v>0</v>
      </c>
      <c r="EP45" s="33" cm="1">
        <f t="array" ref="EP45">BedPlan[[#This Row],[Harvest Days May 2025]]/SUM(BedPlan[[#This Row],[Harvest Days January 2025]:[Harvest Days December 2026]])*BedPlan[[#This Row],[Yield]:[Yield]]</f>
        <v>0</v>
      </c>
      <c r="EQ45" s="33" cm="1">
        <f t="array" ref="EQ45">BedPlan[[#This Row],[Harvest Days June 2025]]/SUM(BedPlan[[#This Row],[Harvest Days January 2025]:[Harvest Days December 2026]])*BedPlan[[#This Row],[Yield]:[Yield]]</f>
        <v>53.333333333333336</v>
      </c>
      <c r="ER45" s="33" cm="1">
        <f t="array" ref="ER45">BedPlan[[#This Row],[Harvest Days July 2025]]/SUM(BedPlan[[#This Row],[Harvest Days January 2025]:[Harvest Days December 2026]])*BedPlan[[#This Row],[Yield]:[Yield]]</f>
        <v>46.666666666666664</v>
      </c>
      <c r="ES45" s="33" cm="1">
        <f t="array" ref="ES45">BedPlan[[#This Row],[Harvest Days August 2025]]/SUM(BedPlan[[#This Row],[Harvest Days January 2025]:[Harvest Days December 2026]])*BedPlan[[#This Row],[Yield]:[Yield]]</f>
        <v>0</v>
      </c>
      <c r="ET45" s="33" cm="1">
        <f t="array" ref="ET45">BedPlan[[#This Row],[Harvest Days September 2025]]/SUM(BedPlan[[#This Row],[Harvest Days January 2025]:[Harvest Days December 2026]])*BedPlan[[#This Row],[Yield]:[Yield]]</f>
        <v>0</v>
      </c>
      <c r="EU45" s="33" cm="1">
        <f t="array" ref="EU45">BedPlan[[#This Row],[Harvest Days October 2025]]/SUM(BedPlan[[#This Row],[Harvest Days January 2025]:[Harvest Days December 2026]])*BedPlan[[#This Row],[Yield]:[Yield]]</f>
        <v>0</v>
      </c>
      <c r="EV45" s="33" cm="1">
        <f t="array" ref="EV45">BedPlan[[#This Row],[Harvest Days November 2025]]/SUM(BedPlan[[#This Row],[Harvest Days January 2025]:[Harvest Days December 2026]])*BedPlan[[#This Row],[Yield]:[Yield]]</f>
        <v>0</v>
      </c>
      <c r="EW45" s="33" cm="1">
        <f t="array" ref="EW45">BedPlan[[#This Row],[Harvest Days December 2025]]/SUM(BedPlan[[#This Row],[Harvest Days January 2025]:[Harvest Days December 2026]])*BedPlan[[#This Row],[Yield]:[Yield]]</f>
        <v>0</v>
      </c>
    </row>
    <row r="46" spans="1:153" ht="15.75" customHeight="1">
      <c r="A46" s="27" t="s">
        <v>2747</v>
      </c>
      <c r="B46" s="240" t="s">
        <v>2734</v>
      </c>
      <c r="C46" t="s">
        <v>1433</v>
      </c>
      <c r="D46" s="226" cm="1">
        <f t="array" ref="D46">INDEX(Crops[],BedPlan[[#This Row],[Chart Index]],D$4,1)*BedPlan[[#This Row],[Full Bed Equivalent]]</f>
        <v>50</v>
      </c>
      <c r="E46" s="226" cm="1">
        <f t="array" ref="E46">INDEX(Crops[],BedPlan[[#This Row],[Chart Index]],E$4,1)*BedPlan[[#This Row],[Full Bed Equivalent]]</f>
        <v>100</v>
      </c>
      <c r="F46" t="str">
        <f>UPPER(LEFT(BedPlan[[#This Row],[Crop]],3))</f>
        <v>CIL</v>
      </c>
      <c r="H46" s="143" t="str" cm="1">
        <f t="array" ref="H46">INDEX(Crops[],BedPlan[[#This Row],[Chart Index]],H$4,1)</f>
        <v>Cilantro</v>
      </c>
      <c r="I46" t="s">
        <v>514</v>
      </c>
      <c r="K46" t="str" cm="1">
        <f t="array" ref="K46">IF(ISNUMBER(MATCH(BedPlan[[#This Row],[Variety]],SeedMixes[Name],)),_xlfn.TEXTJOIN(", ",TRUE,_xlfn._xlws.FILTER(SeedMixes[Variety &amp; Company],SeedMixes[Name]=BedPlan[[#This Row],[Variety]])),"")</f>
        <v>Cruiser High Mowing, Pokey Joe Uprising, Calypso Johnny's</v>
      </c>
      <c r="L46" s="33" cm="1">
        <f t="array" ref="L46">INDEX(Crops[],BedPlan[[#This Row],[Chart Index]],L$4,1)*BedPlan[[#This Row],[Full Bed Equivalent]]</f>
        <v>412.50000000000006</v>
      </c>
      <c r="N46">
        <v>0.25</v>
      </c>
      <c r="O46">
        <f>MAX(BedPlan[[#This Row],['# Of Beds]],0.5)</f>
        <v>0.5</v>
      </c>
      <c r="P46" s="31">
        <f>IF(ISNUMBER(BedPlan[[#This Row],[Planned Greenhouse Start Date]]),BedPlan[[#This Row],[Planned Greenhouse Start Date]],BedPlan[[#This Row],[Planned TP or DS Date]])</f>
        <v>45742</v>
      </c>
      <c r="Q46" s="259">
        <f>IF(BedPlan[[#This Row],[Days in Cells]]=0,"",IFERROR(_xlfn.XLOOKUP(BedPlan[[#This Row],[Follows Crop]],BedPlan[Identifier],BedPlan[Expected End of Harvest]) + 1+BedPlan[[#This Row],[Follow Offset]],BedPlan[[#This Row],[Fixed Field Start Date]])-BedPlan[[#This Row],[Days in Cells]])</f>
        <v>45742</v>
      </c>
      <c r="R46" s="259">
        <v>45744</v>
      </c>
      <c r="S46" s="259">
        <f>IF(ISNUMBER(BedPlan[[#This Row],[Actual Greenhouse Date]]),BedPlan[[#This Row],[Actual Greenhouse Date]],BedPlan[[#This Row],[Planned Greenhouse Start Date]])</f>
        <v>45744</v>
      </c>
      <c r="T46" s="259">
        <f>_xlfn.XLOOKUP(BedPlan[[#This Row],[Crop]],Crops[Identifier],Crops[Target Field Date])+14*1</f>
        <v>45772</v>
      </c>
      <c r="U46" s="260"/>
      <c r="V46" s="260"/>
      <c r="W4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46" s="259">
        <v>45767</v>
      </c>
      <c r="Y46" s="271">
        <f>BedPlan[[#This Row],[Actual TP or DS Date]]-BedPlan[[#This Row],[Planned TP or DS Date]]</f>
        <v>-7</v>
      </c>
      <c r="Z46" s="259">
        <f>IF(ISNUMBER(BedPlan[[#This Row],[Actual TP or DS Date]]),BedPlan[[#This Row],[Actual TP or DS Date]],BedPlan[[#This Row],[Planned TP or DS Date]])</f>
        <v>45767</v>
      </c>
      <c r="AA46" s="260">
        <v>7</v>
      </c>
      <c r="AB46" s="259">
        <f>IF(ISNUMBER(BedPlan[[#This Row],[Greenhouse Start Date]]),BedPlan[[#This Row],[Greenhouse Start Date]]+BedPlan[[#This Row],[DTM]],BedPlan[[#This Row],[TP or DS Date]]+BedPlan[[#This Row],[DTM]])</f>
        <v>45831</v>
      </c>
      <c r="AC46" s="259"/>
      <c r="AD46" s="259">
        <f>IF(ISNUMBER(BedPlan[[#This Row],[Actual Beginning of Harvest]]),BedPlan[[#This Row],[Actual Beginning of Harvest]],BedPlan[[#This Row],[Expected Beginning of Harvest]])</f>
        <v>45831</v>
      </c>
      <c r="AE46" s="259">
        <f>BedPlan[[#This Row],[Expected Beginning of Harvest]]+BedPlan[[#This Row],[Harvest Window]]+BedPlan[[#This Row],[Additional Days of Harvest]]</f>
        <v>45845</v>
      </c>
      <c r="AF46" s="259"/>
      <c r="AG46" s="259"/>
      <c r="AH46" s="31" t="b">
        <f>IF(AND( BedPlan[[#This Row],[Expected End of Harvest]] &gt;= DATE(2025, 8, 1), BedPlan[[#This Row],[Beginning of Harvest]] &lt;= DATE(2025, 8, 31) ), TRUE, FALSE)</f>
        <v>0</v>
      </c>
      <c r="AI46" s="31"/>
      <c r="AJ46" s="31">
        <f>IF(ISNUMBER(BedPlan[[#This Row],[Actual End of Harvest]]),BedPlan[[#This Row],[Actual End of Harvest]],BedPlan[[#This Row],[Expected End of Harvest]])</f>
        <v>45845</v>
      </c>
      <c r="AK46" t="b">
        <f>OR(ISNUMBER(BedPlan[[#This Row],[Actual Greenhouse Date]]),ISNUMBER(BedPlan[[#This Row],[Actual TP or DS Date]]))</f>
        <v>1</v>
      </c>
      <c r="AL46" s="52" t="b">
        <f>IF(ISNUMBER(BedPlan[[#This Row],[Planned Greenhouse Start Date]]),OR(ISNUMBER(BedPlan[[#This Row],[Actual TP or DS Date]]),BedPlan[[#This Row],[Failed]]),"-")</f>
        <v>1</v>
      </c>
      <c r="AM46" t="b">
        <f>OR(ISNUMBER(BedPlan[[#This Row],[Actual End of Harvest]]),BedPlan[[#This Row],[Failed]])</f>
        <v>0</v>
      </c>
      <c r="AN46" t="b">
        <f>OR(BedPlan[[#This Row],[Harvest Done]],BedPlan[[#This Row],[Failed]],BedPlan[[#This Row],[Name]]="Tarp")</f>
        <v>0</v>
      </c>
      <c r="AS46" s="26" t="str">
        <f>IF(BedPlan[[#This Row],[Broadfork]],BedPlan[[#This Row],[Actual TP or DS Date]],"")</f>
        <v/>
      </c>
      <c r="AT46" s="26" t="str">
        <f>IF(BedPlan[[#This Row],[Tilther]],BedPlan[[#This Row],[Actual TP or DS Date]],"")</f>
        <v/>
      </c>
      <c r="AU46" s="26" t="str">
        <f>IF(NOT(ISBLANK(BedPlan[[#This Row],[Amend]])),BedPlan[[#This Row],[Actual TP or DS Date]],"")</f>
        <v/>
      </c>
      <c r="AV46" s="26" t="str">
        <f>IF(BedPlan[[#This Row],[Row Cover]],BedPlan[[#This Row],[Actual TP or DS Date]],"")</f>
        <v/>
      </c>
      <c r="AW46" t="s">
        <v>3221</v>
      </c>
      <c r="AX46" s="26">
        <v>45792</v>
      </c>
      <c r="AZ46" s="26"/>
      <c r="BB46" s="26"/>
      <c r="BC46" s="231" cm="1">
        <f t="array" ref="BC46">INDEX(Crops[],BedPlan[[#This Row],[Chart Index]],BC$4,1)*BedPlan[[#This Row],[Full Bed Equivalent]]</f>
        <v>300</v>
      </c>
      <c r="BD46" s="231" cm="1">
        <f t="array" ref="BD46">INDEX(Crops[],BedPlan[[#This Row],[Chart Index]],BD$4,1)*BedPlan[[#This Row],[Full Bed Equivalent]]</f>
        <v>4.6875</v>
      </c>
      <c r="BE46" cm="1">
        <f t="array" ref="BE46">INDEX(Crops[],BedPlan[[#This Row],[Chart Index]],BE$4,1)+BedPlan[[#This Row],[Additional Days in Cells]]+BedPlan[[#This Row],[Additional Days In Field]]</f>
        <v>87</v>
      </c>
      <c r="BG46" cm="1">
        <f t="array" ref="BG46">INDEX(Crops[],BedPlan[[#This Row],[Chart Index]],BG$4,1)</f>
        <v>14</v>
      </c>
      <c r="BH46" t="str">
        <f>IF(ISNUMBER(BedPlan[[#This Row],[Planned Greenhouse Start Date]]),"TP","DS")</f>
        <v>TP</v>
      </c>
      <c r="BI46">
        <f>BedPlan[[#This Row],['# Of Beds]]</f>
        <v>0.25</v>
      </c>
      <c r="BJ46" cm="1">
        <f t="array" ref="BJ46">INDEX(Crops[],BedPlan[[#This Row],[Chart Index]],BJ$4,1)</f>
        <v>30</v>
      </c>
      <c r="BK46" cm="1">
        <f t="array" ref="BK46">INDEX(Crops[],BedPlan[[#This Row],[Chart Index]],BK$4,1)</f>
        <v>5</v>
      </c>
      <c r="BL46" cm="1">
        <f t="array" ref="BL46">INDEX(Crops[],BedPlan[[#This Row],[Chart Index]],BL$4,1)</f>
        <v>6</v>
      </c>
      <c r="BM46" cm="1">
        <f t="array" ref="BM46">INDEX(Crops[],BedPlan[[#This Row],[Chart Index]],BM$4,1)</f>
        <v>3</v>
      </c>
      <c r="BN46" s="32" cm="1">
        <f t="array" ref="BN46">INDEX(Crops[],BedPlan[[#This Row],[Chart Index]],BN$4,1)*BedPlan[[#This Row],[Full Bed Equivalent]]</f>
        <v>125</v>
      </c>
      <c r="BO46" t="str" cm="1">
        <f t="array" ref="BO46">IF(INDEX(Crops[],BedPlan[[#This Row],[Chart Index]],BO$4,1)=0,"",INDEX(Crops[],BedPlan[[#This Row],[Chart Index]],BO$4,1))</f>
        <v/>
      </c>
      <c r="BP46">
        <f>MATCH(BedPlan[[#This Row],[Crop]],Crops[Identifier],FALSE)</f>
        <v>88</v>
      </c>
      <c r="BQ46" t="str" cm="1">
        <f t="array" ref="BQ46">INDEX(Crops[],BedPlan[[#This Row],[Chart Index]],BQ$4,1)</f>
        <v>General</v>
      </c>
      <c r="BR46" t="str" cm="1">
        <f t="array" ref="BR46">INDEX(Crops[],BedPlan[[#This Row],[Chart Index]],BR$4,1)</f>
        <v>Su</v>
      </c>
      <c r="BS46" s="32">
        <f>BedPlan[[#This Row],[Expected Beginning of Harvest]]-DATE(2023,1,1)</f>
        <v>904</v>
      </c>
      <c r="BT46">
        <f>BedPlan[[#This Row],[Expected End of Harvest]]-BedPlan[[#This Row],[Expected Beginning of Harvest]]</f>
        <v>14</v>
      </c>
      <c r="BU46" t="str" cm="1">
        <f t="array" ref="BU46">INDEX(Crops[],BedPlan[[#This Row],[Chart Index]],BU$4,1)</f>
        <v>Herb</v>
      </c>
      <c r="BV46" cm="1">
        <f t="array" ref="BV46">INDEX(Crops[],BedPlan[[#This Row],[Chart Index]],BV$4,1)</f>
        <v>1</v>
      </c>
      <c r="BW46" t="str" cm="1">
        <f t="array" ref="BW46">INDEX(Crops[],BedPlan[[#This Row],[Chart Index]],BW$4,1)</f>
        <v>None</v>
      </c>
      <c r="BX46" cm="1">
        <f t="array" ref="BX46">INDEX(Crops[],BedPlan[[#This Row],[Chart Index]],BX$4,1)</f>
        <v>128</v>
      </c>
      <c r="BY46" cm="1">
        <f t="array" ref="BY46">INDEX(Crops[],BedPlan[[#This Row],[Chart Index]],BY$4,1)</f>
        <v>30</v>
      </c>
      <c r="BZ46" s="49" cm="1">
        <f t="array" ref="BZ46">IFERROR(INDEX(Crops[],BedPlan[[#This Row],[Chart Index]],BZ$4,1)*BedPlan[[#This Row],[Full Bed Equivalent]],"")</f>
        <v>1.07421875</v>
      </c>
      <c r="CA46" cm="1">
        <f t="array" ref="CA46">INDEX(Crops[],BedPlan[[#This Row],[Chart Index]],CA$4,1)</f>
        <v>0</v>
      </c>
      <c r="CB46" cm="1">
        <f t="array" ref="CB46">INDEX(Crops[],BedPlan[[#This Row],[Chart Index]],CB$4,1)</f>
        <v>0</v>
      </c>
      <c r="CC46" s="49" t="str" cm="1">
        <f t="array" ref="CC46">IFERROR(INDEX(Crops[],BedPlan[[#This Row],[Chart Index]],CC$4,1)*BedPlan[[#This Row],[Full Bed Equivalent]],"")</f>
        <v/>
      </c>
      <c r="CD46" cm="1">
        <f t="array" ref="CD46">INDEX(Crops[],BedPlan[[#This Row],[Chart Index]],CD$4,1)</f>
        <v>0</v>
      </c>
      <c r="CE46" cm="1">
        <f t="array" ref="CE46">IF(INDEX(Crops[],BedPlan[[#This Row],[Chart Index]],CE$4,1)="",0,INDEX(Crops[],BedPlan[[#This Row],[Chart Index]],CE$4,1))</f>
        <v>0</v>
      </c>
      <c r="CF46" s="49" t="str" cm="1">
        <f t="array" ref="CF46">IFERROR(INDEX(Crops[],BedPlan[[#This Row],[Chart Index]],CF$4,1)*BedPlan[[#This Row],[Full Bed Equivalent]],"")</f>
        <v/>
      </c>
      <c r="CG46" cm="1">
        <f t="array" ref="CG46">IF(INDEX(Crops[],BedPlan[[#This Row],[Chart Index]],CG$4,1)="",0,INDEX(Crops[],BedPlan[[#This Row],[Chart Index]],CG$4,1))</f>
        <v>1.1000000000000001</v>
      </c>
      <c r="CH46" cm="1">
        <f t="array" ref="CH46">IF(INDEX(Crops[],BedPlan[[#This Row],[Chart Index]],CH$4,1)="",0,INDEX(Crops[],BedPlan[[#This Row],[Chart Index]],CH$4,1))</f>
        <v>0</v>
      </c>
      <c r="CI46" t="str" cm="1">
        <f t="array" ref="CI46">INDEX(Crops[],BedPlan[[#This Row],[Chart Index]],CI$4,1)</f>
        <v>Field</v>
      </c>
      <c r="CJ46" s="30" t="str">
        <f>_xlfn.TEXTJOIN(CHAR(10),FALSE,BedPlan[[#This Row],[Name]],BedPlan[[#This Row],[Variety]],BedPlan[[#This Row],[Company]])</f>
        <v xml:space="preserve">Cilantro
Cilantro Mix
</v>
      </c>
      <c r="CK46" s="32">
        <f>MAX( 0, MIN(BedPlan[[#This Row],[Expected End of Harvest]], EOMONTH(CK$4, 0)) - MAX(BedPlan[[#This Row],[Beginning of Harvest]], CK$4) + 1 )</f>
        <v>0</v>
      </c>
      <c r="CL46">
        <f>MAX( 0, MIN(BedPlan[[#This Row],[Expected End of Harvest]], EOMONTH(CL$4, 0)) - MAX(BedPlan[[#This Row],[Beginning of Harvest]], CL$4) + 1 )</f>
        <v>0</v>
      </c>
      <c r="CM46">
        <f>MAX( 0, MIN(BedPlan[[#This Row],[Expected End of Harvest]], EOMONTH(CM$4, 0)) - MAX(BedPlan[[#This Row],[Beginning of Harvest]], CM$4) + 1 )</f>
        <v>0</v>
      </c>
      <c r="CN46">
        <f>MAX( 0, MIN(BedPlan[[#This Row],[Expected End of Harvest]], EOMONTH(CN$4, 0)) - MAX(BedPlan[[#This Row],[Beginning of Harvest]], CN$4) + 1 )</f>
        <v>0</v>
      </c>
      <c r="CO46">
        <f>MAX( 0, MIN(BedPlan[[#This Row],[Expected End of Harvest]], EOMONTH(CO$4, 0)) - MAX(BedPlan[[#This Row],[Beginning of Harvest]], CO$4) + 1 )</f>
        <v>0</v>
      </c>
      <c r="CP46">
        <f>MAX( 0, MIN(BedPlan[[#This Row],[Expected End of Harvest]], EOMONTH(CP$4, 0)) - MAX(BedPlan[[#This Row],[Beginning of Harvest]], CP$4) + 1 )</f>
        <v>8</v>
      </c>
      <c r="CQ46">
        <f>MAX( 0, MIN(BedPlan[[#This Row],[Expected End of Harvest]], EOMONTH(CQ$4, 0)) - MAX(BedPlan[[#This Row],[Beginning of Harvest]], CQ$4) + 1 )</f>
        <v>7</v>
      </c>
      <c r="CR46">
        <f>MAX( 0, MIN(BedPlan[[#This Row],[Expected End of Harvest]], EOMONTH(CR$4, 0)) - MAX(BedPlan[[#This Row],[Beginning of Harvest]], CR$4) + 1 )</f>
        <v>0</v>
      </c>
      <c r="CS46">
        <f>MAX( 0, MIN(BedPlan[[#This Row],[Expected End of Harvest]], EOMONTH(CS$4, 0)) - MAX(BedPlan[[#This Row],[Beginning of Harvest]], CS$4) + 1 )</f>
        <v>0</v>
      </c>
      <c r="CT46">
        <f>MAX( 0, MIN(BedPlan[[#This Row],[Expected End of Harvest]], EOMONTH(CT$4, 0)) - MAX(BedPlan[[#This Row],[Beginning of Harvest]], CT$4) + 1 )</f>
        <v>0</v>
      </c>
      <c r="CU46">
        <f>MAX( 0, MIN(BedPlan[[#This Row],[Expected End of Harvest]], EOMONTH(CU$4, 0)) - MAX(BedPlan[[#This Row],[Beginning of Harvest]], CU$4) + 1 )</f>
        <v>0</v>
      </c>
      <c r="CV46">
        <f>MAX( 0, MIN(BedPlan[[#This Row],[Expected End of Harvest]], EOMONTH(CV$4, 0)) - MAX(BedPlan[[#This Row],[Beginning of Harvest]], CV$4) + 1 )</f>
        <v>0</v>
      </c>
      <c r="CW46">
        <f>MAX( 0, MIN(BedPlan[[#This Row],[Expected End of Harvest]], EOMONTH(CW$4, 0)) - MAX(BedPlan[[#This Row],[Beginning of Harvest]], CW$4) + 1 )</f>
        <v>0</v>
      </c>
      <c r="CX46">
        <f>MAX( 0, MIN(BedPlan[[#This Row],[Expected End of Harvest]], EOMONTH(CX$4, 0)) - MAX(BedPlan[[#This Row],[Beginning of Harvest]], CX$4) + 1 )</f>
        <v>0</v>
      </c>
      <c r="CY46">
        <f>MAX( 0, MIN(BedPlan[[#This Row],[Expected End of Harvest]], EOMONTH(CY$4, 0)) - MAX(BedPlan[[#This Row],[Beginning of Harvest]], CY$4) + 1 )</f>
        <v>0</v>
      </c>
      <c r="CZ46">
        <f>MAX( 0, MIN(BedPlan[[#This Row],[Expected End of Harvest]], EOMONTH(CZ$4, 0)) - MAX(BedPlan[[#This Row],[Beginning of Harvest]], CZ$4) + 1 )</f>
        <v>0</v>
      </c>
      <c r="DA46">
        <f>MAX( 0, MIN(BedPlan[[#This Row],[Expected End of Harvest]], EOMONTH(DA$4, 0)) - MAX(BedPlan[[#This Row],[Beginning of Harvest]], DA$4) + 1 )</f>
        <v>0</v>
      </c>
      <c r="DB46">
        <f>MAX( 0, MIN(BedPlan[[#This Row],[Expected End of Harvest]], EOMONTH(DB$4, 0)) - MAX(BedPlan[[#This Row],[Beginning of Harvest]], DB$4) + 1 )</f>
        <v>0</v>
      </c>
      <c r="DC46">
        <f>MAX( 0, MIN(BedPlan[[#This Row],[Expected End of Harvest]], EOMONTH(DC$4, 0)) - MAX(BedPlan[[#This Row],[Beginning of Harvest]], DC$4) + 1 )</f>
        <v>0</v>
      </c>
      <c r="DD46">
        <f>MAX( 0, MIN(BedPlan[[#This Row],[Expected End of Harvest]], EOMONTH(DD$4, 0)) - MAX(BedPlan[[#This Row],[Beginning of Harvest]], DD$4) + 1 )</f>
        <v>0</v>
      </c>
      <c r="DE46">
        <f>MAX( 0, MIN(BedPlan[[#This Row],[Expected End of Harvest]], EOMONTH(DE$4, 0)) - MAX(BedPlan[[#This Row],[Beginning of Harvest]], DE$4) + 1 )</f>
        <v>0</v>
      </c>
      <c r="DF46">
        <f>MAX( 0, MIN(BedPlan[[#This Row],[Expected End of Harvest]], EOMONTH(DF$4, 0)) - MAX(BedPlan[[#This Row],[Beginning of Harvest]], DF$4) + 1 )</f>
        <v>0</v>
      </c>
      <c r="DG46">
        <f>MAX( 0, MIN(BedPlan[[#This Row],[Expected End of Harvest]], EOMONTH(DG$4, 0)) - MAX(BedPlan[[#This Row],[Beginning of Harvest]], DG$4) + 1 )</f>
        <v>0</v>
      </c>
      <c r="DH46">
        <f>MAX( 0, MIN(BedPlan[[#This Row],[Expected End of Harvest]], EOMONTH(DH$4, 0)) - MAX(BedPlan[[#This Row],[Beginning of Harvest]], DH$4) + 1 )</f>
        <v>0</v>
      </c>
      <c r="DI46" s="257" cm="1">
        <f t="array" ref="DI46">BedPlan[[#This Row],[Harvest Days January 2025]]/SUM(BedPlan[[#This Row],[Harvest Days January 2025]:[Harvest Days December 2026]])*BedPlan[[#This Row],[Revenue]:[Revenue]]</f>
        <v>0</v>
      </c>
      <c r="DJ46" s="257" cm="1">
        <f t="array" ref="DJ46">BedPlan[[#This Row],[Harvest Days February 2025]]/SUM(BedPlan[[#This Row],[Harvest Days January 2025]:[Harvest Days December 2026]])*BedPlan[[#This Row],[Revenue]:[Revenue]]</f>
        <v>0</v>
      </c>
      <c r="DK46" s="257" cm="1">
        <f t="array" ref="DK46">BedPlan[[#This Row],[Harvest Days March 2025]]/SUM(BedPlan[[#This Row],[Harvest Days January 2025]:[Harvest Days December 2026]])*BedPlan[[#This Row],[Revenue]:[Revenue]]</f>
        <v>0</v>
      </c>
      <c r="DL46" s="257" cm="1">
        <f t="array" ref="DL46">BedPlan[[#This Row],[Harvest Days April 2025]]/SUM(BedPlan[[#This Row],[Harvest Days January 2025]:[Harvest Days December 2026]])*BedPlan[[#This Row],[Revenue]:[Revenue]]</f>
        <v>0</v>
      </c>
      <c r="DM46" s="257" cm="1">
        <f t="array" ref="DM46">BedPlan[[#This Row],[Harvest Days May 2025]]/SUM(BedPlan[[#This Row],[Harvest Days January 2025]:[Harvest Days December 2026]])*BedPlan[[#This Row],[Revenue]:[Revenue]]</f>
        <v>0</v>
      </c>
      <c r="DN46" s="257" cm="1">
        <f t="array" ref="DN46">BedPlan[[#This Row],[Harvest Days June 2025]]/SUM(BedPlan[[#This Row],[Harvest Days January 2025]:[Harvest Days December 2026]])*BedPlan[[#This Row],[Revenue]:[Revenue]]</f>
        <v>160</v>
      </c>
      <c r="DO46" s="257" cm="1">
        <f t="array" ref="DO46">BedPlan[[#This Row],[Harvest Days July 2025]]/SUM(BedPlan[[#This Row],[Harvest Days January 2025]:[Harvest Days December 2026]])*BedPlan[[#This Row],[Revenue]:[Revenue]]</f>
        <v>140</v>
      </c>
      <c r="DP46" s="257" cm="1">
        <f t="array" ref="DP46">BedPlan[[#This Row],[Harvest Days August 2025]]/SUM(BedPlan[[#This Row],[Harvest Days January 2025]:[Harvest Days December 2026]])*BedPlan[[#This Row],[Revenue]:[Revenue]]</f>
        <v>0</v>
      </c>
      <c r="DQ46" s="257" cm="1">
        <f t="array" ref="DQ46">BedPlan[[#This Row],[Harvest Days September 2025]]/SUM(BedPlan[[#This Row],[Harvest Days January 2025]:[Harvest Days December 2026]])*BedPlan[[#This Row],[Revenue]:[Revenue]]</f>
        <v>0</v>
      </c>
      <c r="DR46" s="257" cm="1">
        <f t="array" ref="DR46">BedPlan[[#This Row],[Harvest Days October 2025]]/SUM(BedPlan[[#This Row],[Harvest Days January 2025]:[Harvest Days December 2026]])*BedPlan[[#This Row],[Revenue]:[Revenue]]</f>
        <v>0</v>
      </c>
      <c r="DS46" s="257" cm="1">
        <f t="array" ref="DS46">BedPlan[[#This Row],[Harvest Days November 2025]]/SUM(BedPlan[[#This Row],[Harvest Days January 2025]:[Harvest Days December 2026]])*BedPlan[[#This Row],[Revenue]:[Revenue]]</f>
        <v>0</v>
      </c>
      <c r="DT46" s="257" cm="1">
        <f t="array" ref="DT46">BedPlan[[#This Row],[Harvest Days December 2025]]/SUM(BedPlan[[#This Row],[Harvest Days January 2025]:[Harvest Days December 2026]])*BedPlan[[#This Row],[Revenue]:[Revenue]]</f>
        <v>0</v>
      </c>
      <c r="DU46" s="257" cm="1">
        <f t="array" ref="DU46">BedPlan[[#This Row],[Harvest Days January 2026]]/SUM(BedPlan[[#This Row],[Harvest Days January 2025]:[Harvest Days December 2026]])*BedPlan[[#This Row],[Revenue]:[Revenue]]</f>
        <v>0</v>
      </c>
      <c r="DV46" s="257" cm="1">
        <f t="array" ref="DV46">BedPlan[[#This Row],[Harvest Days February 2026]]/SUM(BedPlan[[#This Row],[Harvest Days January 2025]:[Harvest Days December 2026]])*BedPlan[[#This Row],[Revenue]:[Revenue]]</f>
        <v>0</v>
      </c>
      <c r="DW46" s="257" cm="1">
        <f t="array" ref="DW46">BedPlan[[#This Row],[Harvest Days March 2026]]/SUM(BedPlan[[#This Row],[Harvest Days January 2025]:[Harvest Days December 2026]])*BedPlan[[#This Row],[Revenue]:[Revenue]]</f>
        <v>0</v>
      </c>
      <c r="DX46" s="257" cm="1">
        <f t="array" ref="DX46">BedPlan[[#This Row],[Harvest Days April 2026]]/SUM(BedPlan[[#This Row],[Harvest Days January 2025]:[Harvest Days December 2026]])*BedPlan[[#This Row],[Revenue]:[Revenue]]</f>
        <v>0</v>
      </c>
      <c r="DY46" s="257" cm="1">
        <f t="array" ref="DY46">BedPlan[[#This Row],[Harvest Days May 2026]]/SUM(BedPlan[[#This Row],[Harvest Days January 2025]:[Harvest Days December 2026]])*BedPlan[[#This Row],[Revenue]:[Revenue]]</f>
        <v>0</v>
      </c>
      <c r="DZ46" s="257" cm="1">
        <f t="array" ref="DZ46">BedPlan[[#This Row],[Harvest Days June 2026]]/SUM(BedPlan[[#This Row],[Harvest Days January 2025]:[Harvest Days December 2026]])*BedPlan[[#This Row],[Revenue]:[Revenue]]</f>
        <v>0</v>
      </c>
      <c r="EA46" s="257" cm="1">
        <f t="array" ref="EA46">BedPlan[[#This Row],[Harvest Days July 2026]]/SUM(BedPlan[[#This Row],[Harvest Days January 2025]:[Harvest Days December 2026]])*BedPlan[[#This Row],[Revenue]:[Revenue]]</f>
        <v>0</v>
      </c>
      <c r="EB46" s="257" cm="1">
        <f t="array" ref="EB46">BedPlan[[#This Row],[Harvest Days August 2026]]/SUM(BedPlan[[#This Row],[Harvest Days January 2025]:[Harvest Days December 2026]])*BedPlan[[#This Row],[Revenue]:[Revenue]]</f>
        <v>0</v>
      </c>
      <c r="EC46" s="257" cm="1">
        <f t="array" ref="EC46">BedPlan[[#This Row],[Harvest Days September 2026]]/SUM(BedPlan[[#This Row],[Harvest Days January 2025]:[Harvest Days December 2026]])*BedPlan[[#This Row],[Revenue]:[Revenue]]</f>
        <v>0</v>
      </c>
      <c r="ED46" s="257" cm="1">
        <f t="array" ref="ED46">BedPlan[[#This Row],[Harvest Days October 2026]]/SUM(BedPlan[[#This Row],[Harvest Days January 2025]:[Harvest Days December 2026]])*BedPlan[[#This Row],[Revenue]:[Revenue]]</f>
        <v>0</v>
      </c>
      <c r="EE46" s="257" cm="1">
        <f t="array" ref="EE46">BedPlan[[#This Row],[Harvest Days November 2026]]/SUM(BedPlan[[#This Row],[Harvest Days January 2025]:[Harvest Days December 2026]])*BedPlan[[#This Row],[Revenue]:[Revenue]]</f>
        <v>0</v>
      </c>
      <c r="EF46" s="257" cm="1">
        <f t="array" ref="EF46">BedPlan[[#This Row],[Harvest Days December 2026]]/SUM(BedPlan[[#This Row],[Harvest Days January 2025]:[Harvest Days December 2026]])*BedPlan[[#This Row],[Revenue]:[Revenue]]</f>
        <v>0</v>
      </c>
      <c r="EG46" t="b">
        <f>SUM(BedPlan[[#This Row],[Revenue January 2025]:[Revenue December 2026]])=BedPlan[[#This Row],[Revenue]]</f>
        <v>1</v>
      </c>
      <c r="EH46" s="30" cm="1">
        <f t="array" ref="EH46">INDEX(Crops[],BedPlan[[#This Row],[Chart Index]],EH$4,1)*BedPlan[[#This Row],['# Of Beds]]</f>
        <v>100</v>
      </c>
      <c r="EI46" s="30" t="str" cm="1">
        <f t="array" ref="EI46">INDEX(Crops[],BedPlan[[#This Row],[Chart Index]],EI$4,1)</f>
        <v>Bunch</v>
      </c>
      <c r="EJ46" s="30" t="str" cm="1">
        <f t="array" ref="EJ46">INDEX(Crops[],BedPlan[[#This Row],[Chart Index]],EJ$4,1)</f>
        <v>Loose Leaf</v>
      </c>
      <c r="EK46" s="30" t="str">
        <f>BedPlan[[#This Row],[Name]]&amp;" "&amp;BedPlan[[#This Row],[Product]]&amp; " - " &amp;BedPlan[[#This Row],[Unit]]</f>
        <v>Cilantro Loose Leaf - Bunch</v>
      </c>
      <c r="EL46" s="33" cm="1">
        <f t="array" ref="EL46">BedPlan[[#This Row],[Harvest Days January 2025]]/SUM(BedPlan[[#This Row],[Harvest Days January 2025]:[Harvest Days December 2026]])*BedPlan[[#This Row],[Yield]:[Yield]]</f>
        <v>0</v>
      </c>
      <c r="EM46" s="33" cm="1">
        <f t="array" ref="EM46">BedPlan[[#This Row],[Harvest Days February 2025]]/SUM(BedPlan[[#This Row],[Harvest Days January 2025]:[Harvest Days December 2026]])*BedPlan[[#This Row],[Yield]:[Yield]]</f>
        <v>0</v>
      </c>
      <c r="EN46" s="33" cm="1">
        <f t="array" ref="EN46">BedPlan[[#This Row],[Harvest Days March 2025]]/SUM(BedPlan[[#This Row],[Harvest Days January 2025]:[Harvest Days December 2026]])*BedPlan[[#This Row],[Yield]:[Yield]]</f>
        <v>0</v>
      </c>
      <c r="EO46" s="33" cm="1">
        <f t="array" ref="EO46">BedPlan[[#This Row],[Harvest Days April 2025]]/SUM(BedPlan[[#This Row],[Harvest Days January 2025]:[Harvest Days December 2026]])*BedPlan[[#This Row],[Yield]:[Yield]]</f>
        <v>0</v>
      </c>
      <c r="EP46" s="33" cm="1">
        <f t="array" ref="EP46">BedPlan[[#This Row],[Harvest Days May 2025]]/SUM(BedPlan[[#This Row],[Harvest Days January 2025]:[Harvest Days December 2026]])*BedPlan[[#This Row],[Yield]:[Yield]]</f>
        <v>0</v>
      </c>
      <c r="EQ46" s="33" cm="1">
        <f t="array" ref="EQ46">BedPlan[[#This Row],[Harvest Days June 2025]]/SUM(BedPlan[[#This Row],[Harvest Days January 2025]:[Harvest Days December 2026]])*BedPlan[[#This Row],[Yield]:[Yield]]</f>
        <v>53.333333333333336</v>
      </c>
      <c r="ER46" s="33" cm="1">
        <f t="array" ref="ER46">BedPlan[[#This Row],[Harvest Days July 2025]]/SUM(BedPlan[[#This Row],[Harvest Days January 2025]:[Harvest Days December 2026]])*BedPlan[[#This Row],[Yield]:[Yield]]</f>
        <v>46.666666666666664</v>
      </c>
      <c r="ES46" s="33" cm="1">
        <f t="array" ref="ES46">BedPlan[[#This Row],[Harvest Days August 2025]]/SUM(BedPlan[[#This Row],[Harvest Days January 2025]:[Harvest Days December 2026]])*BedPlan[[#This Row],[Yield]:[Yield]]</f>
        <v>0</v>
      </c>
      <c r="ET46" s="33" cm="1">
        <f t="array" ref="ET46">BedPlan[[#This Row],[Harvest Days September 2025]]/SUM(BedPlan[[#This Row],[Harvest Days January 2025]:[Harvest Days December 2026]])*BedPlan[[#This Row],[Yield]:[Yield]]</f>
        <v>0</v>
      </c>
      <c r="EU46" s="33" cm="1">
        <f t="array" ref="EU46">BedPlan[[#This Row],[Harvest Days October 2025]]/SUM(BedPlan[[#This Row],[Harvest Days January 2025]:[Harvest Days December 2026]])*BedPlan[[#This Row],[Yield]:[Yield]]</f>
        <v>0</v>
      </c>
      <c r="EV46" s="33" cm="1">
        <f t="array" ref="EV46">BedPlan[[#This Row],[Harvest Days November 2025]]/SUM(BedPlan[[#This Row],[Harvest Days January 2025]:[Harvest Days December 2026]])*BedPlan[[#This Row],[Yield]:[Yield]]</f>
        <v>0</v>
      </c>
      <c r="EW46" s="33" cm="1">
        <f t="array" ref="EW46">BedPlan[[#This Row],[Harvest Days December 2025]]/SUM(BedPlan[[#This Row],[Harvest Days January 2025]:[Harvest Days December 2026]])*BedPlan[[#This Row],[Yield]:[Yield]]</f>
        <v>0</v>
      </c>
    </row>
    <row r="47" spans="1:153" ht="15.75" customHeight="1">
      <c r="A47" s="27" t="s">
        <v>2747</v>
      </c>
      <c r="B47" s="240" t="s">
        <v>2735</v>
      </c>
      <c r="C47" t="s">
        <v>1433</v>
      </c>
      <c r="D47" s="226" cm="1">
        <f t="array" ref="D47">INDEX(Crops[],BedPlan[[#This Row],[Chart Index]],D$4,1)*BedPlan[[#This Row],[Full Bed Equivalent]]</f>
        <v>50</v>
      </c>
      <c r="E47" s="226" cm="1">
        <f t="array" ref="E47">INDEX(Crops[],BedPlan[[#This Row],[Chart Index]],E$4,1)*BedPlan[[#This Row],[Full Bed Equivalent]]</f>
        <v>100</v>
      </c>
      <c r="F47" t="str">
        <f>UPPER(LEFT(BedPlan[[#This Row],[Crop]],3))</f>
        <v>CIL</v>
      </c>
      <c r="H47" s="143" t="str" cm="1">
        <f t="array" ref="H47">INDEX(Crops[],BedPlan[[#This Row],[Chart Index]],H$4,1)</f>
        <v>Cilantro</v>
      </c>
      <c r="I47" t="s">
        <v>514</v>
      </c>
      <c r="K47" t="str" cm="1">
        <f t="array" ref="K47">IF(ISNUMBER(MATCH(BedPlan[[#This Row],[Variety]],SeedMixes[Name],)),_xlfn.TEXTJOIN(", ",TRUE,_xlfn._xlws.FILTER(SeedMixes[Variety &amp; Company],SeedMixes[Name]=BedPlan[[#This Row],[Variety]])),"")</f>
        <v>Cruiser High Mowing, Pokey Joe Uprising, Calypso Johnny's</v>
      </c>
      <c r="L47" s="33" cm="1">
        <f t="array" ref="L47">INDEX(Crops[],BedPlan[[#This Row],[Chart Index]],L$4,1)*BedPlan[[#This Row],[Full Bed Equivalent]]</f>
        <v>412.50000000000006</v>
      </c>
      <c r="N47">
        <v>0.25</v>
      </c>
      <c r="O47">
        <f>MAX(BedPlan[[#This Row],['# Of Beds]],0.5)</f>
        <v>0.5</v>
      </c>
      <c r="P47" s="31">
        <f>IF(ISNUMBER(BedPlan[[#This Row],[Planned Greenhouse Start Date]]),BedPlan[[#This Row],[Planned Greenhouse Start Date]],BedPlan[[#This Row],[Planned TP or DS Date]])</f>
        <v>45756</v>
      </c>
      <c r="Q47" s="259">
        <f>IF(BedPlan[[#This Row],[Days in Cells]]=0,"",IFERROR(_xlfn.XLOOKUP(BedPlan[[#This Row],[Follows Crop]],BedPlan[Identifier],BedPlan[Expected End of Harvest]) + 1+BedPlan[[#This Row],[Follow Offset]],BedPlan[[#This Row],[Fixed Field Start Date]])-BedPlan[[#This Row],[Days in Cells]])</f>
        <v>45756</v>
      </c>
      <c r="R47" s="259">
        <v>45763</v>
      </c>
      <c r="S47" s="259">
        <f>IF(ISNUMBER(BedPlan[[#This Row],[Actual Greenhouse Date]]),BedPlan[[#This Row],[Actual Greenhouse Date]],BedPlan[[#This Row],[Planned Greenhouse Start Date]])</f>
        <v>45763</v>
      </c>
      <c r="T47" s="259">
        <f>_xlfn.XLOOKUP(BedPlan[[#This Row],[Crop]],Crops[Identifier],Crops[Target Field Date])+14*2</f>
        <v>45786</v>
      </c>
      <c r="U47" s="260"/>
      <c r="V47" s="260"/>
      <c r="W4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47" s="259">
        <v>45795</v>
      </c>
      <c r="Y47" s="271">
        <f>BedPlan[[#This Row],[Actual TP or DS Date]]-BedPlan[[#This Row],[Planned TP or DS Date]]</f>
        <v>2</v>
      </c>
      <c r="Z47" s="259">
        <f>IF(ISNUMBER(BedPlan[[#This Row],[Actual TP or DS Date]]),BedPlan[[#This Row],[Actual TP or DS Date]],BedPlan[[#This Row],[Planned TP or DS Date]])</f>
        <v>45795</v>
      </c>
      <c r="AA47" s="260">
        <v>7</v>
      </c>
      <c r="AB47" s="259">
        <f>IF(ISNUMBER(BedPlan[[#This Row],[Greenhouse Start Date]]),BedPlan[[#This Row],[Greenhouse Start Date]]+BedPlan[[#This Row],[DTM]],BedPlan[[#This Row],[TP or DS Date]]+BedPlan[[#This Row],[DTM]])</f>
        <v>45850</v>
      </c>
      <c r="AC47" s="259"/>
      <c r="AD47" s="259">
        <f>IF(ISNUMBER(BedPlan[[#This Row],[Actual Beginning of Harvest]]),BedPlan[[#This Row],[Actual Beginning of Harvest]],BedPlan[[#This Row],[Expected Beginning of Harvest]])</f>
        <v>45850</v>
      </c>
      <c r="AE47" s="259">
        <f>BedPlan[[#This Row],[Expected Beginning of Harvest]]+BedPlan[[#This Row],[Harvest Window]]+BedPlan[[#This Row],[Additional Days of Harvest]]</f>
        <v>45864</v>
      </c>
      <c r="AF47" s="259"/>
      <c r="AG47" s="259"/>
      <c r="AH47" s="31" t="b">
        <f>IF(AND( BedPlan[[#This Row],[Expected End of Harvest]] &gt;= DATE(2025, 8, 1), BedPlan[[#This Row],[Beginning of Harvest]] &lt;= DATE(2025, 8, 31) ), TRUE, FALSE)</f>
        <v>0</v>
      </c>
      <c r="AI47" s="31"/>
      <c r="AJ47" s="31">
        <f>IF(ISNUMBER(BedPlan[[#This Row],[Actual End of Harvest]]),BedPlan[[#This Row],[Actual End of Harvest]],BedPlan[[#This Row],[Expected End of Harvest]])</f>
        <v>45864</v>
      </c>
      <c r="AK47" t="b">
        <f>OR(ISNUMBER(BedPlan[[#This Row],[Actual Greenhouse Date]]),ISNUMBER(BedPlan[[#This Row],[Actual TP or DS Date]]))</f>
        <v>1</v>
      </c>
      <c r="AL47" s="52" t="b">
        <f>IF(ISNUMBER(BedPlan[[#This Row],[Planned Greenhouse Start Date]]),OR(ISNUMBER(BedPlan[[#This Row],[Actual TP or DS Date]]),BedPlan[[#This Row],[Failed]]),"-")</f>
        <v>1</v>
      </c>
      <c r="AM47" t="b">
        <f>OR(ISNUMBER(BedPlan[[#This Row],[Actual End of Harvest]]),BedPlan[[#This Row],[Failed]])</f>
        <v>0</v>
      </c>
      <c r="AN47" t="b">
        <f>OR(BedPlan[[#This Row],[Harvest Done]],BedPlan[[#This Row],[Failed]],BedPlan[[#This Row],[Name]]="Tarp")</f>
        <v>0</v>
      </c>
      <c r="AP47" t="b">
        <v>1</v>
      </c>
      <c r="AS47" s="26" t="str">
        <f>IF(BedPlan[[#This Row],[Broadfork]],BedPlan[[#This Row],[Actual TP or DS Date]],"")</f>
        <v/>
      </c>
      <c r="AT47" s="26">
        <f>IF(BedPlan[[#This Row],[Tilther]],BedPlan[[#This Row],[Actual TP or DS Date]],"")</f>
        <v>45795</v>
      </c>
      <c r="AU47" s="26" t="str">
        <f>IF(NOT(ISBLANK(BedPlan[[#This Row],[Amend]])),BedPlan[[#This Row],[Actual TP or DS Date]],"")</f>
        <v/>
      </c>
      <c r="AV47" s="26" t="str">
        <f>IF(BedPlan[[#This Row],[Row Cover]],BedPlan[[#This Row],[Actual TP or DS Date]],"")</f>
        <v/>
      </c>
      <c r="AX47" s="26"/>
      <c r="AZ47" s="26"/>
      <c r="BB47" s="26"/>
      <c r="BC47" s="231" cm="1">
        <f t="array" ref="BC47">INDEX(Crops[],BedPlan[[#This Row],[Chart Index]],BC$4,1)*BedPlan[[#This Row],[Full Bed Equivalent]]</f>
        <v>300</v>
      </c>
      <c r="BD47" s="231" cm="1">
        <f t="array" ref="BD47">INDEX(Crops[],BedPlan[[#This Row],[Chart Index]],BD$4,1)*BedPlan[[#This Row],[Full Bed Equivalent]]</f>
        <v>4.6875</v>
      </c>
      <c r="BE47" cm="1">
        <f t="array" ref="BE47">INDEX(Crops[],BedPlan[[#This Row],[Chart Index]],BE$4,1)+BedPlan[[#This Row],[Additional Days in Cells]]+BedPlan[[#This Row],[Additional Days In Field]]</f>
        <v>87</v>
      </c>
      <c r="BG47" cm="1">
        <f t="array" ref="BG47">INDEX(Crops[],BedPlan[[#This Row],[Chart Index]],BG$4,1)</f>
        <v>14</v>
      </c>
      <c r="BH47" t="str">
        <f>IF(ISNUMBER(BedPlan[[#This Row],[Planned Greenhouse Start Date]]),"TP","DS")</f>
        <v>TP</v>
      </c>
      <c r="BI47">
        <f>BedPlan[[#This Row],['# Of Beds]]</f>
        <v>0.25</v>
      </c>
      <c r="BJ47" cm="1">
        <f t="array" ref="BJ47">INDEX(Crops[],BedPlan[[#This Row],[Chart Index]],BJ$4,1)</f>
        <v>30</v>
      </c>
      <c r="BK47" cm="1">
        <f t="array" ref="BK47">INDEX(Crops[],BedPlan[[#This Row],[Chart Index]],BK$4,1)</f>
        <v>5</v>
      </c>
      <c r="BL47" cm="1">
        <f t="array" ref="BL47">INDEX(Crops[],BedPlan[[#This Row],[Chart Index]],BL$4,1)</f>
        <v>6</v>
      </c>
      <c r="BM47" cm="1">
        <f t="array" ref="BM47">INDEX(Crops[],BedPlan[[#This Row],[Chart Index]],BM$4,1)</f>
        <v>3</v>
      </c>
      <c r="BN47" s="32" cm="1">
        <f t="array" ref="BN47">INDEX(Crops[],BedPlan[[#This Row],[Chart Index]],BN$4,1)*BedPlan[[#This Row],[Full Bed Equivalent]]</f>
        <v>125</v>
      </c>
      <c r="BO47" t="str" cm="1">
        <f t="array" ref="BO47">IF(INDEX(Crops[],BedPlan[[#This Row],[Chart Index]],BO$4,1)=0,"",INDEX(Crops[],BedPlan[[#This Row],[Chart Index]],BO$4,1))</f>
        <v/>
      </c>
      <c r="BP47">
        <f>MATCH(BedPlan[[#This Row],[Crop]],Crops[Identifier],FALSE)</f>
        <v>88</v>
      </c>
      <c r="BQ47" t="str" cm="1">
        <f t="array" ref="BQ47">INDEX(Crops[],BedPlan[[#This Row],[Chart Index]],BQ$4,1)</f>
        <v>General</v>
      </c>
      <c r="BR47" t="str" cm="1">
        <f t="array" ref="BR47">INDEX(Crops[],BedPlan[[#This Row],[Chart Index]],BR$4,1)</f>
        <v>Su</v>
      </c>
      <c r="BS47" s="32">
        <f>BedPlan[[#This Row],[Expected Beginning of Harvest]]-DATE(2023,1,1)</f>
        <v>923</v>
      </c>
      <c r="BT47">
        <f>BedPlan[[#This Row],[Expected End of Harvest]]-BedPlan[[#This Row],[Expected Beginning of Harvest]]</f>
        <v>14</v>
      </c>
      <c r="BU47" t="str" cm="1">
        <f t="array" ref="BU47">INDEX(Crops[],BedPlan[[#This Row],[Chart Index]],BU$4,1)</f>
        <v>Herb</v>
      </c>
      <c r="BV47" cm="1">
        <f t="array" ref="BV47">INDEX(Crops[],BedPlan[[#This Row],[Chart Index]],BV$4,1)</f>
        <v>1</v>
      </c>
      <c r="BW47" t="str" cm="1">
        <f t="array" ref="BW47">INDEX(Crops[],BedPlan[[#This Row],[Chart Index]],BW$4,1)</f>
        <v>None</v>
      </c>
      <c r="BX47" cm="1">
        <f t="array" ref="BX47">INDEX(Crops[],BedPlan[[#This Row],[Chart Index]],BX$4,1)</f>
        <v>128</v>
      </c>
      <c r="BY47" cm="1">
        <f t="array" ref="BY47">INDEX(Crops[],BedPlan[[#This Row],[Chart Index]],BY$4,1)</f>
        <v>30</v>
      </c>
      <c r="BZ47" s="49" cm="1">
        <f t="array" ref="BZ47">IFERROR(INDEX(Crops[],BedPlan[[#This Row],[Chart Index]],BZ$4,1)*BedPlan[[#This Row],[Full Bed Equivalent]],"")</f>
        <v>1.07421875</v>
      </c>
      <c r="CA47" cm="1">
        <f t="array" ref="CA47">INDEX(Crops[],BedPlan[[#This Row],[Chart Index]],CA$4,1)</f>
        <v>0</v>
      </c>
      <c r="CB47" cm="1">
        <f t="array" ref="CB47">INDEX(Crops[],BedPlan[[#This Row],[Chart Index]],CB$4,1)</f>
        <v>0</v>
      </c>
      <c r="CC47" s="49" t="str" cm="1">
        <f t="array" ref="CC47">IFERROR(INDEX(Crops[],BedPlan[[#This Row],[Chart Index]],CC$4,1)*BedPlan[[#This Row],[Full Bed Equivalent]],"")</f>
        <v/>
      </c>
      <c r="CD47" cm="1">
        <f t="array" ref="CD47">INDEX(Crops[],BedPlan[[#This Row],[Chart Index]],CD$4,1)</f>
        <v>0</v>
      </c>
      <c r="CE47" cm="1">
        <f t="array" ref="CE47">IF(INDEX(Crops[],BedPlan[[#This Row],[Chart Index]],CE$4,1)="",0,INDEX(Crops[],BedPlan[[#This Row],[Chart Index]],CE$4,1))</f>
        <v>0</v>
      </c>
      <c r="CF47" s="49" t="str" cm="1">
        <f t="array" ref="CF47">IFERROR(INDEX(Crops[],BedPlan[[#This Row],[Chart Index]],CF$4,1)*BedPlan[[#This Row],[Full Bed Equivalent]],"")</f>
        <v/>
      </c>
      <c r="CG47" cm="1">
        <f t="array" ref="CG47">IF(INDEX(Crops[],BedPlan[[#This Row],[Chart Index]],CG$4,1)="",0,INDEX(Crops[],BedPlan[[#This Row],[Chart Index]],CG$4,1))</f>
        <v>1.1000000000000001</v>
      </c>
      <c r="CH47" cm="1">
        <f t="array" ref="CH47">IF(INDEX(Crops[],BedPlan[[#This Row],[Chart Index]],CH$4,1)="",0,INDEX(Crops[],BedPlan[[#This Row],[Chart Index]],CH$4,1))</f>
        <v>0</v>
      </c>
      <c r="CI47" t="str" cm="1">
        <f t="array" ref="CI47">INDEX(Crops[],BedPlan[[#This Row],[Chart Index]],CI$4,1)</f>
        <v>Field</v>
      </c>
      <c r="CJ47" s="30" t="str">
        <f>_xlfn.TEXTJOIN(CHAR(10),FALSE,BedPlan[[#This Row],[Name]],BedPlan[[#This Row],[Variety]],BedPlan[[#This Row],[Company]])</f>
        <v xml:space="preserve">Cilantro
Cilantro Mix
</v>
      </c>
      <c r="CK47" s="32">
        <f>MAX( 0, MIN(BedPlan[[#This Row],[Expected End of Harvest]], EOMONTH(CK$4, 0)) - MAX(BedPlan[[#This Row],[Beginning of Harvest]], CK$4) + 1 )</f>
        <v>0</v>
      </c>
      <c r="CL47">
        <f>MAX( 0, MIN(BedPlan[[#This Row],[Expected End of Harvest]], EOMONTH(CL$4, 0)) - MAX(BedPlan[[#This Row],[Beginning of Harvest]], CL$4) + 1 )</f>
        <v>0</v>
      </c>
      <c r="CM47">
        <f>MAX( 0, MIN(BedPlan[[#This Row],[Expected End of Harvest]], EOMONTH(CM$4, 0)) - MAX(BedPlan[[#This Row],[Beginning of Harvest]], CM$4) + 1 )</f>
        <v>0</v>
      </c>
      <c r="CN47">
        <f>MAX( 0, MIN(BedPlan[[#This Row],[Expected End of Harvest]], EOMONTH(CN$4, 0)) - MAX(BedPlan[[#This Row],[Beginning of Harvest]], CN$4) + 1 )</f>
        <v>0</v>
      </c>
      <c r="CO47">
        <f>MAX( 0, MIN(BedPlan[[#This Row],[Expected End of Harvest]], EOMONTH(CO$4, 0)) - MAX(BedPlan[[#This Row],[Beginning of Harvest]], CO$4) + 1 )</f>
        <v>0</v>
      </c>
      <c r="CP47">
        <f>MAX( 0, MIN(BedPlan[[#This Row],[Expected End of Harvest]], EOMONTH(CP$4, 0)) - MAX(BedPlan[[#This Row],[Beginning of Harvest]], CP$4) + 1 )</f>
        <v>0</v>
      </c>
      <c r="CQ47">
        <f>MAX( 0, MIN(BedPlan[[#This Row],[Expected End of Harvest]], EOMONTH(CQ$4, 0)) - MAX(BedPlan[[#This Row],[Beginning of Harvest]], CQ$4) + 1 )</f>
        <v>15</v>
      </c>
      <c r="CR47">
        <f>MAX( 0, MIN(BedPlan[[#This Row],[Expected End of Harvest]], EOMONTH(CR$4, 0)) - MAX(BedPlan[[#This Row],[Beginning of Harvest]], CR$4) + 1 )</f>
        <v>0</v>
      </c>
      <c r="CS47">
        <f>MAX( 0, MIN(BedPlan[[#This Row],[Expected End of Harvest]], EOMONTH(CS$4, 0)) - MAX(BedPlan[[#This Row],[Beginning of Harvest]], CS$4) + 1 )</f>
        <v>0</v>
      </c>
      <c r="CT47">
        <f>MAX( 0, MIN(BedPlan[[#This Row],[Expected End of Harvest]], EOMONTH(CT$4, 0)) - MAX(BedPlan[[#This Row],[Beginning of Harvest]], CT$4) + 1 )</f>
        <v>0</v>
      </c>
      <c r="CU47">
        <f>MAX( 0, MIN(BedPlan[[#This Row],[Expected End of Harvest]], EOMONTH(CU$4, 0)) - MAX(BedPlan[[#This Row],[Beginning of Harvest]], CU$4) + 1 )</f>
        <v>0</v>
      </c>
      <c r="CV47">
        <f>MAX( 0, MIN(BedPlan[[#This Row],[Expected End of Harvest]], EOMONTH(CV$4, 0)) - MAX(BedPlan[[#This Row],[Beginning of Harvest]], CV$4) + 1 )</f>
        <v>0</v>
      </c>
      <c r="CW47">
        <f>MAX( 0, MIN(BedPlan[[#This Row],[Expected End of Harvest]], EOMONTH(CW$4, 0)) - MAX(BedPlan[[#This Row],[Beginning of Harvest]], CW$4) + 1 )</f>
        <v>0</v>
      </c>
      <c r="CX47">
        <f>MAX( 0, MIN(BedPlan[[#This Row],[Expected End of Harvest]], EOMONTH(CX$4, 0)) - MAX(BedPlan[[#This Row],[Beginning of Harvest]], CX$4) + 1 )</f>
        <v>0</v>
      </c>
      <c r="CY47">
        <f>MAX( 0, MIN(BedPlan[[#This Row],[Expected End of Harvest]], EOMONTH(CY$4, 0)) - MAX(BedPlan[[#This Row],[Beginning of Harvest]], CY$4) + 1 )</f>
        <v>0</v>
      </c>
      <c r="CZ47">
        <f>MAX( 0, MIN(BedPlan[[#This Row],[Expected End of Harvest]], EOMONTH(CZ$4, 0)) - MAX(BedPlan[[#This Row],[Beginning of Harvest]], CZ$4) + 1 )</f>
        <v>0</v>
      </c>
      <c r="DA47">
        <f>MAX( 0, MIN(BedPlan[[#This Row],[Expected End of Harvest]], EOMONTH(DA$4, 0)) - MAX(BedPlan[[#This Row],[Beginning of Harvest]], DA$4) + 1 )</f>
        <v>0</v>
      </c>
      <c r="DB47">
        <f>MAX( 0, MIN(BedPlan[[#This Row],[Expected End of Harvest]], EOMONTH(DB$4, 0)) - MAX(BedPlan[[#This Row],[Beginning of Harvest]], DB$4) + 1 )</f>
        <v>0</v>
      </c>
      <c r="DC47">
        <f>MAX( 0, MIN(BedPlan[[#This Row],[Expected End of Harvest]], EOMONTH(DC$4, 0)) - MAX(BedPlan[[#This Row],[Beginning of Harvest]], DC$4) + 1 )</f>
        <v>0</v>
      </c>
      <c r="DD47">
        <f>MAX( 0, MIN(BedPlan[[#This Row],[Expected End of Harvest]], EOMONTH(DD$4, 0)) - MAX(BedPlan[[#This Row],[Beginning of Harvest]], DD$4) + 1 )</f>
        <v>0</v>
      </c>
      <c r="DE47">
        <f>MAX( 0, MIN(BedPlan[[#This Row],[Expected End of Harvest]], EOMONTH(DE$4, 0)) - MAX(BedPlan[[#This Row],[Beginning of Harvest]], DE$4) + 1 )</f>
        <v>0</v>
      </c>
      <c r="DF47">
        <f>MAX( 0, MIN(BedPlan[[#This Row],[Expected End of Harvest]], EOMONTH(DF$4, 0)) - MAX(BedPlan[[#This Row],[Beginning of Harvest]], DF$4) + 1 )</f>
        <v>0</v>
      </c>
      <c r="DG47">
        <f>MAX( 0, MIN(BedPlan[[#This Row],[Expected End of Harvest]], EOMONTH(DG$4, 0)) - MAX(BedPlan[[#This Row],[Beginning of Harvest]], DG$4) + 1 )</f>
        <v>0</v>
      </c>
      <c r="DH47">
        <f>MAX( 0, MIN(BedPlan[[#This Row],[Expected End of Harvest]], EOMONTH(DH$4, 0)) - MAX(BedPlan[[#This Row],[Beginning of Harvest]], DH$4) + 1 )</f>
        <v>0</v>
      </c>
      <c r="DI47" s="257" cm="1">
        <f t="array" ref="DI47">BedPlan[[#This Row],[Harvest Days January 2025]]/SUM(BedPlan[[#This Row],[Harvest Days January 2025]:[Harvest Days December 2026]])*BedPlan[[#This Row],[Revenue]:[Revenue]]</f>
        <v>0</v>
      </c>
      <c r="DJ47" s="257" cm="1">
        <f t="array" ref="DJ47">BedPlan[[#This Row],[Harvest Days February 2025]]/SUM(BedPlan[[#This Row],[Harvest Days January 2025]:[Harvest Days December 2026]])*BedPlan[[#This Row],[Revenue]:[Revenue]]</f>
        <v>0</v>
      </c>
      <c r="DK47" s="257" cm="1">
        <f t="array" ref="DK47">BedPlan[[#This Row],[Harvest Days March 2025]]/SUM(BedPlan[[#This Row],[Harvest Days January 2025]:[Harvest Days December 2026]])*BedPlan[[#This Row],[Revenue]:[Revenue]]</f>
        <v>0</v>
      </c>
      <c r="DL47" s="257" cm="1">
        <f t="array" ref="DL47">BedPlan[[#This Row],[Harvest Days April 2025]]/SUM(BedPlan[[#This Row],[Harvest Days January 2025]:[Harvest Days December 2026]])*BedPlan[[#This Row],[Revenue]:[Revenue]]</f>
        <v>0</v>
      </c>
      <c r="DM47" s="257" cm="1">
        <f t="array" ref="DM47">BedPlan[[#This Row],[Harvest Days May 2025]]/SUM(BedPlan[[#This Row],[Harvest Days January 2025]:[Harvest Days December 2026]])*BedPlan[[#This Row],[Revenue]:[Revenue]]</f>
        <v>0</v>
      </c>
      <c r="DN47" s="257" cm="1">
        <f t="array" ref="DN47">BedPlan[[#This Row],[Harvest Days June 2025]]/SUM(BedPlan[[#This Row],[Harvest Days January 2025]:[Harvest Days December 2026]])*BedPlan[[#This Row],[Revenue]:[Revenue]]</f>
        <v>0</v>
      </c>
      <c r="DO47" s="257" cm="1">
        <f t="array" ref="DO47">BedPlan[[#This Row],[Harvest Days July 2025]]/SUM(BedPlan[[#This Row],[Harvest Days January 2025]:[Harvest Days December 2026]])*BedPlan[[#This Row],[Revenue]:[Revenue]]</f>
        <v>300</v>
      </c>
      <c r="DP47" s="257" cm="1">
        <f t="array" ref="DP47">BedPlan[[#This Row],[Harvest Days August 2025]]/SUM(BedPlan[[#This Row],[Harvest Days January 2025]:[Harvest Days December 2026]])*BedPlan[[#This Row],[Revenue]:[Revenue]]</f>
        <v>0</v>
      </c>
      <c r="DQ47" s="257" cm="1">
        <f t="array" ref="DQ47">BedPlan[[#This Row],[Harvest Days September 2025]]/SUM(BedPlan[[#This Row],[Harvest Days January 2025]:[Harvest Days December 2026]])*BedPlan[[#This Row],[Revenue]:[Revenue]]</f>
        <v>0</v>
      </c>
      <c r="DR47" s="257" cm="1">
        <f t="array" ref="DR47">BedPlan[[#This Row],[Harvest Days October 2025]]/SUM(BedPlan[[#This Row],[Harvest Days January 2025]:[Harvest Days December 2026]])*BedPlan[[#This Row],[Revenue]:[Revenue]]</f>
        <v>0</v>
      </c>
      <c r="DS47" s="257" cm="1">
        <f t="array" ref="DS47">BedPlan[[#This Row],[Harvest Days November 2025]]/SUM(BedPlan[[#This Row],[Harvest Days January 2025]:[Harvest Days December 2026]])*BedPlan[[#This Row],[Revenue]:[Revenue]]</f>
        <v>0</v>
      </c>
      <c r="DT47" s="257" cm="1">
        <f t="array" ref="DT47">BedPlan[[#This Row],[Harvest Days December 2025]]/SUM(BedPlan[[#This Row],[Harvest Days January 2025]:[Harvest Days December 2026]])*BedPlan[[#This Row],[Revenue]:[Revenue]]</f>
        <v>0</v>
      </c>
      <c r="DU47" s="257" cm="1">
        <f t="array" ref="DU47">BedPlan[[#This Row],[Harvest Days January 2026]]/SUM(BedPlan[[#This Row],[Harvest Days January 2025]:[Harvest Days December 2026]])*BedPlan[[#This Row],[Revenue]:[Revenue]]</f>
        <v>0</v>
      </c>
      <c r="DV47" s="257" cm="1">
        <f t="array" ref="DV47">BedPlan[[#This Row],[Harvest Days February 2026]]/SUM(BedPlan[[#This Row],[Harvest Days January 2025]:[Harvest Days December 2026]])*BedPlan[[#This Row],[Revenue]:[Revenue]]</f>
        <v>0</v>
      </c>
      <c r="DW47" s="257" cm="1">
        <f t="array" ref="DW47">BedPlan[[#This Row],[Harvest Days March 2026]]/SUM(BedPlan[[#This Row],[Harvest Days January 2025]:[Harvest Days December 2026]])*BedPlan[[#This Row],[Revenue]:[Revenue]]</f>
        <v>0</v>
      </c>
      <c r="DX47" s="257" cm="1">
        <f t="array" ref="DX47">BedPlan[[#This Row],[Harvest Days April 2026]]/SUM(BedPlan[[#This Row],[Harvest Days January 2025]:[Harvest Days December 2026]])*BedPlan[[#This Row],[Revenue]:[Revenue]]</f>
        <v>0</v>
      </c>
      <c r="DY47" s="257" cm="1">
        <f t="array" ref="DY47">BedPlan[[#This Row],[Harvest Days May 2026]]/SUM(BedPlan[[#This Row],[Harvest Days January 2025]:[Harvest Days December 2026]])*BedPlan[[#This Row],[Revenue]:[Revenue]]</f>
        <v>0</v>
      </c>
      <c r="DZ47" s="257" cm="1">
        <f t="array" ref="DZ47">BedPlan[[#This Row],[Harvest Days June 2026]]/SUM(BedPlan[[#This Row],[Harvest Days January 2025]:[Harvest Days December 2026]])*BedPlan[[#This Row],[Revenue]:[Revenue]]</f>
        <v>0</v>
      </c>
      <c r="EA47" s="257" cm="1">
        <f t="array" ref="EA47">BedPlan[[#This Row],[Harvest Days July 2026]]/SUM(BedPlan[[#This Row],[Harvest Days January 2025]:[Harvest Days December 2026]])*BedPlan[[#This Row],[Revenue]:[Revenue]]</f>
        <v>0</v>
      </c>
      <c r="EB47" s="257" cm="1">
        <f t="array" ref="EB47">BedPlan[[#This Row],[Harvest Days August 2026]]/SUM(BedPlan[[#This Row],[Harvest Days January 2025]:[Harvest Days December 2026]])*BedPlan[[#This Row],[Revenue]:[Revenue]]</f>
        <v>0</v>
      </c>
      <c r="EC47" s="257" cm="1">
        <f t="array" ref="EC47">BedPlan[[#This Row],[Harvest Days September 2026]]/SUM(BedPlan[[#This Row],[Harvest Days January 2025]:[Harvest Days December 2026]])*BedPlan[[#This Row],[Revenue]:[Revenue]]</f>
        <v>0</v>
      </c>
      <c r="ED47" s="257" cm="1">
        <f t="array" ref="ED47">BedPlan[[#This Row],[Harvest Days October 2026]]/SUM(BedPlan[[#This Row],[Harvest Days January 2025]:[Harvest Days December 2026]])*BedPlan[[#This Row],[Revenue]:[Revenue]]</f>
        <v>0</v>
      </c>
      <c r="EE47" s="257" cm="1">
        <f t="array" ref="EE47">BedPlan[[#This Row],[Harvest Days November 2026]]/SUM(BedPlan[[#This Row],[Harvest Days January 2025]:[Harvest Days December 2026]])*BedPlan[[#This Row],[Revenue]:[Revenue]]</f>
        <v>0</v>
      </c>
      <c r="EF47" s="257" cm="1">
        <f t="array" ref="EF47">BedPlan[[#This Row],[Harvest Days December 2026]]/SUM(BedPlan[[#This Row],[Harvest Days January 2025]:[Harvest Days December 2026]])*BedPlan[[#This Row],[Revenue]:[Revenue]]</f>
        <v>0</v>
      </c>
      <c r="EG47" t="b">
        <f>SUM(BedPlan[[#This Row],[Revenue January 2025]:[Revenue December 2026]])=BedPlan[[#This Row],[Revenue]]</f>
        <v>1</v>
      </c>
      <c r="EH47" s="30" cm="1">
        <f t="array" ref="EH47">INDEX(Crops[],BedPlan[[#This Row],[Chart Index]],EH$4,1)*BedPlan[[#This Row],['# Of Beds]]</f>
        <v>100</v>
      </c>
      <c r="EI47" s="30" t="str" cm="1">
        <f t="array" ref="EI47">INDEX(Crops[],BedPlan[[#This Row],[Chart Index]],EI$4,1)</f>
        <v>Bunch</v>
      </c>
      <c r="EJ47" s="30" t="str" cm="1">
        <f t="array" ref="EJ47">INDEX(Crops[],BedPlan[[#This Row],[Chart Index]],EJ$4,1)</f>
        <v>Loose Leaf</v>
      </c>
      <c r="EK47" s="30" t="str">
        <f>BedPlan[[#This Row],[Name]]&amp;" "&amp;BedPlan[[#This Row],[Product]]&amp; " - " &amp;BedPlan[[#This Row],[Unit]]</f>
        <v>Cilantro Loose Leaf - Bunch</v>
      </c>
      <c r="EL47" s="33" cm="1">
        <f t="array" ref="EL47">BedPlan[[#This Row],[Harvest Days January 2025]]/SUM(BedPlan[[#This Row],[Harvest Days January 2025]:[Harvest Days December 2026]])*BedPlan[[#This Row],[Yield]:[Yield]]</f>
        <v>0</v>
      </c>
      <c r="EM47" s="33" cm="1">
        <f t="array" ref="EM47">BedPlan[[#This Row],[Harvest Days February 2025]]/SUM(BedPlan[[#This Row],[Harvest Days January 2025]:[Harvest Days December 2026]])*BedPlan[[#This Row],[Yield]:[Yield]]</f>
        <v>0</v>
      </c>
      <c r="EN47" s="33" cm="1">
        <f t="array" ref="EN47">BedPlan[[#This Row],[Harvest Days March 2025]]/SUM(BedPlan[[#This Row],[Harvest Days January 2025]:[Harvest Days December 2026]])*BedPlan[[#This Row],[Yield]:[Yield]]</f>
        <v>0</v>
      </c>
      <c r="EO47" s="33" cm="1">
        <f t="array" ref="EO47">BedPlan[[#This Row],[Harvest Days April 2025]]/SUM(BedPlan[[#This Row],[Harvest Days January 2025]:[Harvest Days December 2026]])*BedPlan[[#This Row],[Yield]:[Yield]]</f>
        <v>0</v>
      </c>
      <c r="EP47" s="33" cm="1">
        <f t="array" ref="EP47">BedPlan[[#This Row],[Harvest Days May 2025]]/SUM(BedPlan[[#This Row],[Harvest Days January 2025]:[Harvest Days December 2026]])*BedPlan[[#This Row],[Yield]:[Yield]]</f>
        <v>0</v>
      </c>
      <c r="EQ47" s="33" cm="1">
        <f t="array" ref="EQ47">BedPlan[[#This Row],[Harvest Days June 2025]]/SUM(BedPlan[[#This Row],[Harvest Days January 2025]:[Harvest Days December 2026]])*BedPlan[[#This Row],[Yield]:[Yield]]</f>
        <v>0</v>
      </c>
      <c r="ER47" s="33" cm="1">
        <f t="array" ref="ER47">BedPlan[[#This Row],[Harvest Days July 2025]]/SUM(BedPlan[[#This Row],[Harvest Days January 2025]:[Harvest Days December 2026]])*BedPlan[[#This Row],[Yield]:[Yield]]</f>
        <v>100</v>
      </c>
      <c r="ES47" s="33" cm="1">
        <f t="array" ref="ES47">BedPlan[[#This Row],[Harvest Days August 2025]]/SUM(BedPlan[[#This Row],[Harvest Days January 2025]:[Harvest Days December 2026]])*BedPlan[[#This Row],[Yield]:[Yield]]</f>
        <v>0</v>
      </c>
      <c r="ET47" s="33" cm="1">
        <f t="array" ref="ET47">BedPlan[[#This Row],[Harvest Days September 2025]]/SUM(BedPlan[[#This Row],[Harvest Days January 2025]:[Harvest Days December 2026]])*BedPlan[[#This Row],[Yield]:[Yield]]</f>
        <v>0</v>
      </c>
      <c r="EU47" s="33" cm="1">
        <f t="array" ref="EU47">BedPlan[[#This Row],[Harvest Days October 2025]]/SUM(BedPlan[[#This Row],[Harvest Days January 2025]:[Harvest Days December 2026]])*BedPlan[[#This Row],[Yield]:[Yield]]</f>
        <v>0</v>
      </c>
      <c r="EV47" s="33" cm="1">
        <f t="array" ref="EV47">BedPlan[[#This Row],[Harvest Days November 2025]]/SUM(BedPlan[[#This Row],[Harvest Days January 2025]:[Harvest Days December 2026]])*BedPlan[[#This Row],[Yield]:[Yield]]</f>
        <v>0</v>
      </c>
      <c r="EW47" s="33" cm="1">
        <f t="array" ref="EW47">BedPlan[[#This Row],[Harvest Days December 2025]]/SUM(BedPlan[[#This Row],[Harvest Days January 2025]:[Harvest Days December 2026]])*BedPlan[[#This Row],[Yield]:[Yield]]</f>
        <v>0</v>
      </c>
    </row>
    <row r="48" spans="1:153" ht="15.75" customHeight="1">
      <c r="A48" s="27" t="s">
        <v>2747</v>
      </c>
      <c r="B48" s="240" t="s">
        <v>2736</v>
      </c>
      <c r="C48" t="s">
        <v>1433</v>
      </c>
      <c r="D48" s="226" cm="1">
        <f t="array" ref="D48">INDEX(Crops[],BedPlan[[#This Row],[Chart Index]],D$4,1)*BedPlan[[#This Row],[Full Bed Equivalent]]</f>
        <v>50</v>
      </c>
      <c r="E48" s="226" cm="1">
        <f t="array" ref="E48">INDEX(Crops[],BedPlan[[#This Row],[Chart Index]],E$4,1)*BedPlan[[#This Row],[Full Bed Equivalent]]</f>
        <v>100</v>
      </c>
      <c r="F48" t="str">
        <f>UPPER(LEFT(BedPlan[[#This Row],[Crop]],3))</f>
        <v>CIL</v>
      </c>
      <c r="H48" s="143" t="str" cm="1">
        <f t="array" ref="H48">INDEX(Crops[],BedPlan[[#This Row],[Chart Index]],H$4,1)</f>
        <v>Cilantro</v>
      </c>
      <c r="I48" t="s">
        <v>514</v>
      </c>
      <c r="K48" t="str" cm="1">
        <f t="array" ref="K48">IF(ISNUMBER(MATCH(BedPlan[[#This Row],[Variety]],SeedMixes[Name],)),_xlfn.TEXTJOIN(", ",TRUE,_xlfn._xlws.FILTER(SeedMixes[Variety &amp; Company],SeedMixes[Name]=BedPlan[[#This Row],[Variety]])),"")</f>
        <v>Cruiser High Mowing, Pokey Joe Uprising, Calypso Johnny's</v>
      </c>
      <c r="L48" s="33" cm="1">
        <f t="array" ref="L48">INDEX(Crops[],BedPlan[[#This Row],[Chart Index]],L$4,1)*BedPlan[[#This Row],[Full Bed Equivalent]]</f>
        <v>412.50000000000006</v>
      </c>
      <c r="N48">
        <v>0.25</v>
      </c>
      <c r="O48">
        <f>MAX(BedPlan[[#This Row],['# Of Beds]],0.5)</f>
        <v>0.5</v>
      </c>
      <c r="P48" s="31">
        <f>IF(ISNUMBER(BedPlan[[#This Row],[Planned Greenhouse Start Date]]),BedPlan[[#This Row],[Planned Greenhouse Start Date]],BedPlan[[#This Row],[Planned TP or DS Date]])</f>
        <v>45770</v>
      </c>
      <c r="Q48" s="259">
        <f>IF(BedPlan[[#This Row],[Days in Cells]]=0,"",IFERROR(_xlfn.XLOOKUP(BedPlan[[#This Row],[Follows Crop]],BedPlan[Identifier],BedPlan[Expected End of Harvest]) + 1+BedPlan[[#This Row],[Follow Offset]],BedPlan[[#This Row],[Fixed Field Start Date]])-BedPlan[[#This Row],[Days in Cells]])</f>
        <v>45770</v>
      </c>
      <c r="R48" s="259">
        <v>45767</v>
      </c>
      <c r="S48" s="259">
        <f>IF(ISNUMBER(BedPlan[[#This Row],[Actual Greenhouse Date]]),BedPlan[[#This Row],[Actual Greenhouse Date]],BedPlan[[#This Row],[Planned Greenhouse Start Date]])</f>
        <v>45767</v>
      </c>
      <c r="T48" s="259">
        <f>_xlfn.XLOOKUP(BedPlan[[#This Row],[Crop]],Crops[Identifier],Crops[Target Field Date])+14*3</f>
        <v>45800</v>
      </c>
      <c r="U48" s="260"/>
      <c r="V48" s="260"/>
      <c r="W4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45797</v>
      </c>
      <c r="X48" s="259">
        <v>45795</v>
      </c>
      <c r="Y48" s="271">
        <f>BedPlan[[#This Row],[Actual TP or DS Date]]-BedPlan[[#This Row],[Planned TP or DS Date]]</f>
        <v>-2</v>
      </c>
      <c r="Z48" s="259">
        <f>IF(ISNUMBER(BedPlan[[#This Row],[Actual TP or DS Date]]),BedPlan[[#This Row],[Actual TP or DS Date]],BedPlan[[#This Row],[Planned TP or DS Date]])</f>
        <v>45795</v>
      </c>
      <c r="AA48" s="260"/>
      <c r="AB48" s="259">
        <f>IF(ISNUMBER(BedPlan[[#This Row],[Greenhouse Start Date]]),BedPlan[[#This Row],[Greenhouse Start Date]]+BedPlan[[#This Row],[DTM]],BedPlan[[#This Row],[TP or DS Date]]+BedPlan[[#This Row],[DTM]])</f>
        <v>45847</v>
      </c>
      <c r="AC48" s="259"/>
      <c r="AD48" s="259">
        <f>IF(ISNUMBER(BedPlan[[#This Row],[Actual Beginning of Harvest]]),BedPlan[[#This Row],[Actual Beginning of Harvest]],BedPlan[[#This Row],[Expected Beginning of Harvest]])</f>
        <v>45847</v>
      </c>
      <c r="AE48" s="259">
        <f>BedPlan[[#This Row],[Expected Beginning of Harvest]]+BedPlan[[#This Row],[Harvest Window]]+BedPlan[[#This Row],[Additional Days of Harvest]]</f>
        <v>45861</v>
      </c>
      <c r="AF48" s="259"/>
      <c r="AG48" s="259"/>
      <c r="AH48" s="31" t="b">
        <f>IF(AND( BedPlan[[#This Row],[Expected End of Harvest]] &gt;= DATE(2025, 8, 1), BedPlan[[#This Row],[Beginning of Harvest]] &lt;= DATE(2025, 8, 31) ), TRUE, FALSE)</f>
        <v>0</v>
      </c>
      <c r="AI48" s="31"/>
      <c r="AJ48" s="31">
        <f>IF(ISNUMBER(BedPlan[[#This Row],[Actual End of Harvest]]),BedPlan[[#This Row],[Actual End of Harvest]],BedPlan[[#This Row],[Expected End of Harvest]])</f>
        <v>45861</v>
      </c>
      <c r="AK48" t="b">
        <f>OR(ISNUMBER(BedPlan[[#This Row],[Actual Greenhouse Date]]),ISNUMBER(BedPlan[[#This Row],[Actual TP or DS Date]]))</f>
        <v>1</v>
      </c>
      <c r="AL48" s="52" t="b">
        <f>IF(ISNUMBER(BedPlan[[#This Row],[Planned Greenhouse Start Date]]),OR(ISNUMBER(BedPlan[[#This Row],[Actual TP or DS Date]]),BedPlan[[#This Row],[Failed]]),"-")</f>
        <v>1</v>
      </c>
      <c r="AM48" t="b">
        <f>OR(ISNUMBER(BedPlan[[#This Row],[Actual End of Harvest]]),BedPlan[[#This Row],[Failed]])</f>
        <v>0</v>
      </c>
      <c r="AN48" t="b">
        <f>OR(BedPlan[[#This Row],[Harvest Done]],BedPlan[[#This Row],[Failed]],BedPlan[[#This Row],[Name]]="Tarp")</f>
        <v>0</v>
      </c>
      <c r="AP48" t="b">
        <v>1</v>
      </c>
      <c r="AS48" s="26" t="str">
        <f>IF(BedPlan[[#This Row],[Broadfork]],BedPlan[[#This Row],[Actual TP or DS Date]],"")</f>
        <v/>
      </c>
      <c r="AT48" s="26">
        <f>IF(BedPlan[[#This Row],[Tilther]],BedPlan[[#This Row],[Actual TP or DS Date]],"")</f>
        <v>45795</v>
      </c>
      <c r="AU48" s="26" t="str">
        <f>IF(NOT(ISBLANK(BedPlan[[#This Row],[Amend]])),BedPlan[[#This Row],[Actual TP or DS Date]],"")</f>
        <v/>
      </c>
      <c r="AV48" s="26" t="str">
        <f>IF(BedPlan[[#This Row],[Row Cover]],BedPlan[[#This Row],[Actual TP or DS Date]],"")</f>
        <v/>
      </c>
      <c r="AX48" s="26"/>
      <c r="AZ48" s="26"/>
      <c r="BB48" s="26"/>
      <c r="BC48" s="231" cm="1">
        <f t="array" ref="BC48">INDEX(Crops[],BedPlan[[#This Row],[Chart Index]],BC$4,1)*BedPlan[[#This Row],[Full Bed Equivalent]]</f>
        <v>300</v>
      </c>
      <c r="BD48" s="231" cm="1">
        <f t="array" ref="BD48">INDEX(Crops[],BedPlan[[#This Row],[Chart Index]],BD$4,1)*BedPlan[[#This Row],[Full Bed Equivalent]]</f>
        <v>4.6875</v>
      </c>
      <c r="BE48" cm="1">
        <f t="array" ref="BE48">INDEX(Crops[],BedPlan[[#This Row],[Chart Index]],BE$4,1)+BedPlan[[#This Row],[Additional Days in Cells]]+BedPlan[[#This Row],[Additional Days In Field]]</f>
        <v>80</v>
      </c>
      <c r="BG48" cm="1">
        <f t="array" ref="BG48">INDEX(Crops[],BedPlan[[#This Row],[Chart Index]],BG$4,1)</f>
        <v>14</v>
      </c>
      <c r="BH48" t="str">
        <f>IF(ISNUMBER(BedPlan[[#This Row],[Planned Greenhouse Start Date]]),"TP","DS")</f>
        <v>TP</v>
      </c>
      <c r="BI48">
        <f>BedPlan[[#This Row],['# Of Beds]]</f>
        <v>0.25</v>
      </c>
      <c r="BJ48" cm="1">
        <f t="array" ref="BJ48">INDEX(Crops[],BedPlan[[#This Row],[Chart Index]],BJ$4,1)</f>
        <v>30</v>
      </c>
      <c r="BK48" cm="1">
        <f t="array" ref="BK48">INDEX(Crops[],BedPlan[[#This Row],[Chart Index]],BK$4,1)</f>
        <v>5</v>
      </c>
      <c r="BL48" cm="1">
        <f t="array" ref="BL48">INDEX(Crops[],BedPlan[[#This Row],[Chart Index]],BL$4,1)</f>
        <v>6</v>
      </c>
      <c r="BM48" cm="1">
        <f t="array" ref="BM48">INDEX(Crops[],BedPlan[[#This Row],[Chart Index]],BM$4,1)</f>
        <v>3</v>
      </c>
      <c r="BN48" s="32" cm="1">
        <f t="array" ref="BN48">INDEX(Crops[],BedPlan[[#This Row],[Chart Index]],BN$4,1)*BedPlan[[#This Row],[Full Bed Equivalent]]</f>
        <v>125</v>
      </c>
      <c r="BO48" t="str" cm="1">
        <f t="array" ref="BO48">IF(INDEX(Crops[],BedPlan[[#This Row],[Chart Index]],BO$4,1)=0,"",INDEX(Crops[],BedPlan[[#This Row],[Chart Index]],BO$4,1))</f>
        <v/>
      </c>
      <c r="BP48">
        <f>MATCH(BedPlan[[#This Row],[Crop]],Crops[Identifier],FALSE)</f>
        <v>88</v>
      </c>
      <c r="BQ48" t="str" cm="1">
        <f t="array" ref="BQ48">INDEX(Crops[],BedPlan[[#This Row],[Chart Index]],BQ$4,1)</f>
        <v>General</v>
      </c>
      <c r="BR48" t="str" cm="1">
        <f t="array" ref="BR48">INDEX(Crops[],BedPlan[[#This Row],[Chart Index]],BR$4,1)</f>
        <v>Su</v>
      </c>
      <c r="BS48" s="32">
        <f>BedPlan[[#This Row],[Expected Beginning of Harvest]]-DATE(2023,1,1)</f>
        <v>920</v>
      </c>
      <c r="BT48">
        <f>BedPlan[[#This Row],[Expected End of Harvest]]-BedPlan[[#This Row],[Expected Beginning of Harvest]]</f>
        <v>14</v>
      </c>
      <c r="BU48" t="str" cm="1">
        <f t="array" ref="BU48">INDEX(Crops[],BedPlan[[#This Row],[Chart Index]],BU$4,1)</f>
        <v>Herb</v>
      </c>
      <c r="BV48" cm="1">
        <f t="array" ref="BV48">INDEX(Crops[],BedPlan[[#This Row],[Chart Index]],BV$4,1)</f>
        <v>1</v>
      </c>
      <c r="BW48" t="str" cm="1">
        <f t="array" ref="BW48">INDEX(Crops[],BedPlan[[#This Row],[Chart Index]],BW$4,1)</f>
        <v>None</v>
      </c>
      <c r="BX48" cm="1">
        <f t="array" ref="BX48">INDEX(Crops[],BedPlan[[#This Row],[Chart Index]],BX$4,1)</f>
        <v>128</v>
      </c>
      <c r="BY48" cm="1">
        <f t="array" ref="BY48">INDEX(Crops[],BedPlan[[#This Row],[Chart Index]],BY$4,1)</f>
        <v>30</v>
      </c>
      <c r="BZ48" s="49" cm="1">
        <f t="array" ref="BZ48">IFERROR(INDEX(Crops[],BedPlan[[#This Row],[Chart Index]],BZ$4,1)*BedPlan[[#This Row],[Full Bed Equivalent]],"")</f>
        <v>1.07421875</v>
      </c>
      <c r="CA48" cm="1">
        <f t="array" ref="CA48">INDEX(Crops[],BedPlan[[#This Row],[Chart Index]],CA$4,1)</f>
        <v>0</v>
      </c>
      <c r="CB48" cm="1">
        <f t="array" ref="CB48">INDEX(Crops[],BedPlan[[#This Row],[Chart Index]],CB$4,1)</f>
        <v>0</v>
      </c>
      <c r="CC48" s="49" t="str" cm="1">
        <f t="array" ref="CC48">IFERROR(INDEX(Crops[],BedPlan[[#This Row],[Chart Index]],CC$4,1)*BedPlan[[#This Row],[Full Bed Equivalent]],"")</f>
        <v/>
      </c>
      <c r="CD48" cm="1">
        <f t="array" ref="CD48">INDEX(Crops[],BedPlan[[#This Row],[Chart Index]],CD$4,1)</f>
        <v>0</v>
      </c>
      <c r="CE48" cm="1">
        <f t="array" ref="CE48">IF(INDEX(Crops[],BedPlan[[#This Row],[Chart Index]],CE$4,1)="",0,INDEX(Crops[],BedPlan[[#This Row],[Chart Index]],CE$4,1))</f>
        <v>0</v>
      </c>
      <c r="CF48" s="49" t="str" cm="1">
        <f t="array" ref="CF48">IFERROR(INDEX(Crops[],BedPlan[[#This Row],[Chart Index]],CF$4,1)*BedPlan[[#This Row],[Full Bed Equivalent]],"")</f>
        <v/>
      </c>
      <c r="CG48" cm="1">
        <f t="array" ref="CG48">IF(INDEX(Crops[],BedPlan[[#This Row],[Chart Index]],CG$4,1)="",0,INDEX(Crops[],BedPlan[[#This Row],[Chart Index]],CG$4,1))</f>
        <v>1.1000000000000001</v>
      </c>
      <c r="CH48" cm="1">
        <f t="array" ref="CH48">IF(INDEX(Crops[],BedPlan[[#This Row],[Chart Index]],CH$4,1)="",0,INDEX(Crops[],BedPlan[[#This Row],[Chart Index]],CH$4,1))</f>
        <v>0</v>
      </c>
      <c r="CI48" t="str" cm="1">
        <f t="array" ref="CI48">INDEX(Crops[],BedPlan[[#This Row],[Chart Index]],CI$4,1)</f>
        <v>Field</v>
      </c>
      <c r="CJ48" s="30" t="str">
        <f>_xlfn.TEXTJOIN(CHAR(10),FALSE,BedPlan[[#This Row],[Name]],BedPlan[[#This Row],[Variety]],BedPlan[[#This Row],[Company]])</f>
        <v xml:space="preserve">Cilantro
Cilantro Mix
</v>
      </c>
      <c r="CK48" s="32">
        <f>MAX( 0, MIN(BedPlan[[#This Row],[Expected End of Harvest]], EOMONTH(CK$4, 0)) - MAX(BedPlan[[#This Row],[Beginning of Harvest]], CK$4) + 1 )</f>
        <v>0</v>
      </c>
      <c r="CL48">
        <f>MAX( 0, MIN(BedPlan[[#This Row],[Expected End of Harvest]], EOMONTH(CL$4, 0)) - MAX(BedPlan[[#This Row],[Beginning of Harvest]], CL$4) + 1 )</f>
        <v>0</v>
      </c>
      <c r="CM48">
        <f>MAX( 0, MIN(BedPlan[[#This Row],[Expected End of Harvest]], EOMONTH(CM$4, 0)) - MAX(BedPlan[[#This Row],[Beginning of Harvest]], CM$4) + 1 )</f>
        <v>0</v>
      </c>
      <c r="CN48">
        <f>MAX( 0, MIN(BedPlan[[#This Row],[Expected End of Harvest]], EOMONTH(CN$4, 0)) - MAX(BedPlan[[#This Row],[Beginning of Harvest]], CN$4) + 1 )</f>
        <v>0</v>
      </c>
      <c r="CO48">
        <f>MAX( 0, MIN(BedPlan[[#This Row],[Expected End of Harvest]], EOMONTH(CO$4, 0)) - MAX(BedPlan[[#This Row],[Beginning of Harvest]], CO$4) + 1 )</f>
        <v>0</v>
      </c>
      <c r="CP48">
        <f>MAX( 0, MIN(BedPlan[[#This Row],[Expected End of Harvest]], EOMONTH(CP$4, 0)) - MAX(BedPlan[[#This Row],[Beginning of Harvest]], CP$4) + 1 )</f>
        <v>0</v>
      </c>
      <c r="CQ48">
        <f>MAX( 0, MIN(BedPlan[[#This Row],[Expected End of Harvest]], EOMONTH(CQ$4, 0)) - MAX(BedPlan[[#This Row],[Beginning of Harvest]], CQ$4) + 1 )</f>
        <v>15</v>
      </c>
      <c r="CR48">
        <f>MAX( 0, MIN(BedPlan[[#This Row],[Expected End of Harvest]], EOMONTH(CR$4, 0)) - MAX(BedPlan[[#This Row],[Beginning of Harvest]], CR$4) + 1 )</f>
        <v>0</v>
      </c>
      <c r="CS48">
        <f>MAX( 0, MIN(BedPlan[[#This Row],[Expected End of Harvest]], EOMONTH(CS$4, 0)) - MAX(BedPlan[[#This Row],[Beginning of Harvest]], CS$4) + 1 )</f>
        <v>0</v>
      </c>
      <c r="CT48">
        <f>MAX( 0, MIN(BedPlan[[#This Row],[Expected End of Harvest]], EOMONTH(CT$4, 0)) - MAX(BedPlan[[#This Row],[Beginning of Harvest]], CT$4) + 1 )</f>
        <v>0</v>
      </c>
      <c r="CU48">
        <f>MAX( 0, MIN(BedPlan[[#This Row],[Expected End of Harvest]], EOMONTH(CU$4, 0)) - MAX(BedPlan[[#This Row],[Beginning of Harvest]], CU$4) + 1 )</f>
        <v>0</v>
      </c>
      <c r="CV48">
        <f>MAX( 0, MIN(BedPlan[[#This Row],[Expected End of Harvest]], EOMONTH(CV$4, 0)) - MAX(BedPlan[[#This Row],[Beginning of Harvest]], CV$4) + 1 )</f>
        <v>0</v>
      </c>
      <c r="CW48">
        <f>MAX( 0, MIN(BedPlan[[#This Row],[Expected End of Harvest]], EOMONTH(CW$4, 0)) - MAX(BedPlan[[#This Row],[Beginning of Harvest]], CW$4) + 1 )</f>
        <v>0</v>
      </c>
      <c r="CX48">
        <f>MAX( 0, MIN(BedPlan[[#This Row],[Expected End of Harvest]], EOMONTH(CX$4, 0)) - MAX(BedPlan[[#This Row],[Beginning of Harvest]], CX$4) + 1 )</f>
        <v>0</v>
      </c>
      <c r="CY48">
        <f>MAX( 0, MIN(BedPlan[[#This Row],[Expected End of Harvest]], EOMONTH(CY$4, 0)) - MAX(BedPlan[[#This Row],[Beginning of Harvest]], CY$4) + 1 )</f>
        <v>0</v>
      </c>
      <c r="CZ48">
        <f>MAX( 0, MIN(BedPlan[[#This Row],[Expected End of Harvest]], EOMONTH(CZ$4, 0)) - MAX(BedPlan[[#This Row],[Beginning of Harvest]], CZ$4) + 1 )</f>
        <v>0</v>
      </c>
      <c r="DA48">
        <f>MAX( 0, MIN(BedPlan[[#This Row],[Expected End of Harvest]], EOMONTH(DA$4, 0)) - MAX(BedPlan[[#This Row],[Beginning of Harvest]], DA$4) + 1 )</f>
        <v>0</v>
      </c>
      <c r="DB48">
        <f>MAX( 0, MIN(BedPlan[[#This Row],[Expected End of Harvest]], EOMONTH(DB$4, 0)) - MAX(BedPlan[[#This Row],[Beginning of Harvest]], DB$4) + 1 )</f>
        <v>0</v>
      </c>
      <c r="DC48">
        <f>MAX( 0, MIN(BedPlan[[#This Row],[Expected End of Harvest]], EOMONTH(DC$4, 0)) - MAX(BedPlan[[#This Row],[Beginning of Harvest]], DC$4) + 1 )</f>
        <v>0</v>
      </c>
      <c r="DD48">
        <f>MAX( 0, MIN(BedPlan[[#This Row],[Expected End of Harvest]], EOMONTH(DD$4, 0)) - MAX(BedPlan[[#This Row],[Beginning of Harvest]], DD$4) + 1 )</f>
        <v>0</v>
      </c>
      <c r="DE48">
        <f>MAX( 0, MIN(BedPlan[[#This Row],[Expected End of Harvest]], EOMONTH(DE$4, 0)) - MAX(BedPlan[[#This Row],[Beginning of Harvest]], DE$4) + 1 )</f>
        <v>0</v>
      </c>
      <c r="DF48">
        <f>MAX( 0, MIN(BedPlan[[#This Row],[Expected End of Harvest]], EOMONTH(DF$4, 0)) - MAX(BedPlan[[#This Row],[Beginning of Harvest]], DF$4) + 1 )</f>
        <v>0</v>
      </c>
      <c r="DG48">
        <f>MAX( 0, MIN(BedPlan[[#This Row],[Expected End of Harvest]], EOMONTH(DG$4, 0)) - MAX(BedPlan[[#This Row],[Beginning of Harvest]], DG$4) + 1 )</f>
        <v>0</v>
      </c>
      <c r="DH48">
        <f>MAX( 0, MIN(BedPlan[[#This Row],[Expected End of Harvest]], EOMONTH(DH$4, 0)) - MAX(BedPlan[[#This Row],[Beginning of Harvest]], DH$4) + 1 )</f>
        <v>0</v>
      </c>
      <c r="DI48" s="257" cm="1">
        <f t="array" ref="DI48">BedPlan[[#This Row],[Harvest Days January 2025]]/SUM(BedPlan[[#This Row],[Harvest Days January 2025]:[Harvest Days December 2026]])*BedPlan[[#This Row],[Revenue]:[Revenue]]</f>
        <v>0</v>
      </c>
      <c r="DJ48" s="257" cm="1">
        <f t="array" ref="DJ48">BedPlan[[#This Row],[Harvest Days February 2025]]/SUM(BedPlan[[#This Row],[Harvest Days January 2025]:[Harvest Days December 2026]])*BedPlan[[#This Row],[Revenue]:[Revenue]]</f>
        <v>0</v>
      </c>
      <c r="DK48" s="257" cm="1">
        <f t="array" ref="DK48">BedPlan[[#This Row],[Harvest Days March 2025]]/SUM(BedPlan[[#This Row],[Harvest Days January 2025]:[Harvest Days December 2026]])*BedPlan[[#This Row],[Revenue]:[Revenue]]</f>
        <v>0</v>
      </c>
      <c r="DL48" s="257" cm="1">
        <f t="array" ref="DL48">BedPlan[[#This Row],[Harvest Days April 2025]]/SUM(BedPlan[[#This Row],[Harvest Days January 2025]:[Harvest Days December 2026]])*BedPlan[[#This Row],[Revenue]:[Revenue]]</f>
        <v>0</v>
      </c>
      <c r="DM48" s="257" cm="1">
        <f t="array" ref="DM48">BedPlan[[#This Row],[Harvest Days May 2025]]/SUM(BedPlan[[#This Row],[Harvest Days January 2025]:[Harvest Days December 2026]])*BedPlan[[#This Row],[Revenue]:[Revenue]]</f>
        <v>0</v>
      </c>
      <c r="DN48" s="257" cm="1">
        <f t="array" ref="DN48">BedPlan[[#This Row],[Harvest Days June 2025]]/SUM(BedPlan[[#This Row],[Harvest Days January 2025]:[Harvest Days December 2026]])*BedPlan[[#This Row],[Revenue]:[Revenue]]</f>
        <v>0</v>
      </c>
      <c r="DO48" s="257" cm="1">
        <f t="array" ref="DO48">BedPlan[[#This Row],[Harvest Days July 2025]]/SUM(BedPlan[[#This Row],[Harvest Days January 2025]:[Harvest Days December 2026]])*BedPlan[[#This Row],[Revenue]:[Revenue]]</f>
        <v>300</v>
      </c>
      <c r="DP48" s="257" cm="1">
        <f t="array" ref="DP48">BedPlan[[#This Row],[Harvest Days August 2025]]/SUM(BedPlan[[#This Row],[Harvest Days January 2025]:[Harvest Days December 2026]])*BedPlan[[#This Row],[Revenue]:[Revenue]]</f>
        <v>0</v>
      </c>
      <c r="DQ48" s="257" cm="1">
        <f t="array" ref="DQ48">BedPlan[[#This Row],[Harvest Days September 2025]]/SUM(BedPlan[[#This Row],[Harvest Days January 2025]:[Harvest Days December 2026]])*BedPlan[[#This Row],[Revenue]:[Revenue]]</f>
        <v>0</v>
      </c>
      <c r="DR48" s="257" cm="1">
        <f t="array" ref="DR48">BedPlan[[#This Row],[Harvest Days October 2025]]/SUM(BedPlan[[#This Row],[Harvest Days January 2025]:[Harvest Days December 2026]])*BedPlan[[#This Row],[Revenue]:[Revenue]]</f>
        <v>0</v>
      </c>
      <c r="DS48" s="257" cm="1">
        <f t="array" ref="DS48">BedPlan[[#This Row],[Harvest Days November 2025]]/SUM(BedPlan[[#This Row],[Harvest Days January 2025]:[Harvest Days December 2026]])*BedPlan[[#This Row],[Revenue]:[Revenue]]</f>
        <v>0</v>
      </c>
      <c r="DT48" s="257" cm="1">
        <f t="array" ref="DT48">BedPlan[[#This Row],[Harvest Days December 2025]]/SUM(BedPlan[[#This Row],[Harvest Days January 2025]:[Harvest Days December 2026]])*BedPlan[[#This Row],[Revenue]:[Revenue]]</f>
        <v>0</v>
      </c>
      <c r="DU48" s="257" cm="1">
        <f t="array" ref="DU48">BedPlan[[#This Row],[Harvest Days January 2026]]/SUM(BedPlan[[#This Row],[Harvest Days January 2025]:[Harvest Days December 2026]])*BedPlan[[#This Row],[Revenue]:[Revenue]]</f>
        <v>0</v>
      </c>
      <c r="DV48" s="257" cm="1">
        <f t="array" ref="DV48">BedPlan[[#This Row],[Harvest Days February 2026]]/SUM(BedPlan[[#This Row],[Harvest Days January 2025]:[Harvest Days December 2026]])*BedPlan[[#This Row],[Revenue]:[Revenue]]</f>
        <v>0</v>
      </c>
      <c r="DW48" s="257" cm="1">
        <f t="array" ref="DW48">BedPlan[[#This Row],[Harvest Days March 2026]]/SUM(BedPlan[[#This Row],[Harvest Days January 2025]:[Harvest Days December 2026]])*BedPlan[[#This Row],[Revenue]:[Revenue]]</f>
        <v>0</v>
      </c>
      <c r="DX48" s="257" cm="1">
        <f t="array" ref="DX48">BedPlan[[#This Row],[Harvest Days April 2026]]/SUM(BedPlan[[#This Row],[Harvest Days January 2025]:[Harvest Days December 2026]])*BedPlan[[#This Row],[Revenue]:[Revenue]]</f>
        <v>0</v>
      </c>
      <c r="DY48" s="257" cm="1">
        <f t="array" ref="DY48">BedPlan[[#This Row],[Harvest Days May 2026]]/SUM(BedPlan[[#This Row],[Harvest Days January 2025]:[Harvest Days December 2026]])*BedPlan[[#This Row],[Revenue]:[Revenue]]</f>
        <v>0</v>
      </c>
      <c r="DZ48" s="257" cm="1">
        <f t="array" ref="DZ48">BedPlan[[#This Row],[Harvest Days June 2026]]/SUM(BedPlan[[#This Row],[Harvest Days January 2025]:[Harvest Days December 2026]])*BedPlan[[#This Row],[Revenue]:[Revenue]]</f>
        <v>0</v>
      </c>
      <c r="EA48" s="257" cm="1">
        <f t="array" ref="EA48">BedPlan[[#This Row],[Harvest Days July 2026]]/SUM(BedPlan[[#This Row],[Harvest Days January 2025]:[Harvest Days December 2026]])*BedPlan[[#This Row],[Revenue]:[Revenue]]</f>
        <v>0</v>
      </c>
      <c r="EB48" s="257" cm="1">
        <f t="array" ref="EB48">BedPlan[[#This Row],[Harvest Days August 2026]]/SUM(BedPlan[[#This Row],[Harvest Days January 2025]:[Harvest Days December 2026]])*BedPlan[[#This Row],[Revenue]:[Revenue]]</f>
        <v>0</v>
      </c>
      <c r="EC48" s="257" cm="1">
        <f t="array" ref="EC48">BedPlan[[#This Row],[Harvest Days September 2026]]/SUM(BedPlan[[#This Row],[Harvest Days January 2025]:[Harvest Days December 2026]])*BedPlan[[#This Row],[Revenue]:[Revenue]]</f>
        <v>0</v>
      </c>
      <c r="ED48" s="257" cm="1">
        <f t="array" ref="ED48">BedPlan[[#This Row],[Harvest Days October 2026]]/SUM(BedPlan[[#This Row],[Harvest Days January 2025]:[Harvest Days December 2026]])*BedPlan[[#This Row],[Revenue]:[Revenue]]</f>
        <v>0</v>
      </c>
      <c r="EE48" s="257" cm="1">
        <f t="array" ref="EE48">BedPlan[[#This Row],[Harvest Days November 2026]]/SUM(BedPlan[[#This Row],[Harvest Days January 2025]:[Harvest Days December 2026]])*BedPlan[[#This Row],[Revenue]:[Revenue]]</f>
        <v>0</v>
      </c>
      <c r="EF48" s="257" cm="1">
        <f t="array" ref="EF48">BedPlan[[#This Row],[Harvest Days December 2026]]/SUM(BedPlan[[#This Row],[Harvest Days January 2025]:[Harvest Days December 2026]])*BedPlan[[#This Row],[Revenue]:[Revenue]]</f>
        <v>0</v>
      </c>
      <c r="EG48" t="b">
        <f>SUM(BedPlan[[#This Row],[Revenue January 2025]:[Revenue December 2026]])=BedPlan[[#This Row],[Revenue]]</f>
        <v>1</v>
      </c>
      <c r="EH48" s="30" cm="1">
        <f t="array" ref="EH48">INDEX(Crops[],BedPlan[[#This Row],[Chart Index]],EH$4,1)*BedPlan[[#This Row],['# Of Beds]]</f>
        <v>100</v>
      </c>
      <c r="EI48" s="30" t="str" cm="1">
        <f t="array" ref="EI48">INDEX(Crops[],BedPlan[[#This Row],[Chart Index]],EI$4,1)</f>
        <v>Bunch</v>
      </c>
      <c r="EJ48" s="30" t="str" cm="1">
        <f t="array" ref="EJ48">INDEX(Crops[],BedPlan[[#This Row],[Chart Index]],EJ$4,1)</f>
        <v>Loose Leaf</v>
      </c>
      <c r="EK48" s="30" t="str">
        <f>BedPlan[[#This Row],[Name]]&amp;" "&amp;BedPlan[[#This Row],[Product]]&amp; " - " &amp;BedPlan[[#This Row],[Unit]]</f>
        <v>Cilantro Loose Leaf - Bunch</v>
      </c>
      <c r="EL48" s="33" cm="1">
        <f t="array" ref="EL48">BedPlan[[#This Row],[Harvest Days January 2025]]/SUM(BedPlan[[#This Row],[Harvest Days January 2025]:[Harvest Days December 2026]])*BedPlan[[#This Row],[Yield]:[Yield]]</f>
        <v>0</v>
      </c>
      <c r="EM48" s="33" cm="1">
        <f t="array" ref="EM48">BedPlan[[#This Row],[Harvest Days February 2025]]/SUM(BedPlan[[#This Row],[Harvest Days January 2025]:[Harvest Days December 2026]])*BedPlan[[#This Row],[Yield]:[Yield]]</f>
        <v>0</v>
      </c>
      <c r="EN48" s="33" cm="1">
        <f t="array" ref="EN48">BedPlan[[#This Row],[Harvest Days March 2025]]/SUM(BedPlan[[#This Row],[Harvest Days January 2025]:[Harvest Days December 2026]])*BedPlan[[#This Row],[Yield]:[Yield]]</f>
        <v>0</v>
      </c>
      <c r="EO48" s="33" cm="1">
        <f t="array" ref="EO48">BedPlan[[#This Row],[Harvest Days April 2025]]/SUM(BedPlan[[#This Row],[Harvest Days January 2025]:[Harvest Days December 2026]])*BedPlan[[#This Row],[Yield]:[Yield]]</f>
        <v>0</v>
      </c>
      <c r="EP48" s="33" cm="1">
        <f t="array" ref="EP48">BedPlan[[#This Row],[Harvest Days May 2025]]/SUM(BedPlan[[#This Row],[Harvest Days January 2025]:[Harvest Days December 2026]])*BedPlan[[#This Row],[Yield]:[Yield]]</f>
        <v>0</v>
      </c>
      <c r="EQ48" s="33" cm="1">
        <f t="array" ref="EQ48">BedPlan[[#This Row],[Harvest Days June 2025]]/SUM(BedPlan[[#This Row],[Harvest Days January 2025]:[Harvest Days December 2026]])*BedPlan[[#This Row],[Yield]:[Yield]]</f>
        <v>0</v>
      </c>
      <c r="ER48" s="33" cm="1">
        <f t="array" ref="ER48">BedPlan[[#This Row],[Harvest Days July 2025]]/SUM(BedPlan[[#This Row],[Harvest Days January 2025]:[Harvest Days December 2026]])*BedPlan[[#This Row],[Yield]:[Yield]]</f>
        <v>100</v>
      </c>
      <c r="ES48" s="33" cm="1">
        <f t="array" ref="ES48">BedPlan[[#This Row],[Harvest Days August 2025]]/SUM(BedPlan[[#This Row],[Harvest Days January 2025]:[Harvest Days December 2026]])*BedPlan[[#This Row],[Yield]:[Yield]]</f>
        <v>0</v>
      </c>
      <c r="ET48" s="33" cm="1">
        <f t="array" ref="ET48">BedPlan[[#This Row],[Harvest Days September 2025]]/SUM(BedPlan[[#This Row],[Harvest Days January 2025]:[Harvest Days December 2026]])*BedPlan[[#This Row],[Yield]:[Yield]]</f>
        <v>0</v>
      </c>
      <c r="EU48" s="33" cm="1">
        <f t="array" ref="EU48">BedPlan[[#This Row],[Harvest Days October 2025]]/SUM(BedPlan[[#This Row],[Harvest Days January 2025]:[Harvest Days December 2026]])*BedPlan[[#This Row],[Yield]:[Yield]]</f>
        <v>0</v>
      </c>
      <c r="EV48" s="33" cm="1">
        <f t="array" ref="EV48">BedPlan[[#This Row],[Harvest Days November 2025]]/SUM(BedPlan[[#This Row],[Harvest Days January 2025]:[Harvest Days December 2026]])*BedPlan[[#This Row],[Yield]:[Yield]]</f>
        <v>0</v>
      </c>
      <c r="EW48" s="33" cm="1">
        <f t="array" ref="EW48">BedPlan[[#This Row],[Harvest Days December 2025]]/SUM(BedPlan[[#This Row],[Harvest Days January 2025]:[Harvest Days December 2026]])*BedPlan[[#This Row],[Yield]:[Yield]]</f>
        <v>0</v>
      </c>
    </row>
    <row r="49" spans="1:153" ht="15.75" customHeight="1">
      <c r="A49" s="27" t="s">
        <v>2747</v>
      </c>
      <c r="B49" s="240" t="s">
        <v>2737</v>
      </c>
      <c r="C49" t="s">
        <v>1433</v>
      </c>
      <c r="D49" s="226" cm="1">
        <f t="array" ref="D49">INDEX(Crops[],BedPlan[[#This Row],[Chart Index]],D$4,1)*BedPlan[[#This Row],[Full Bed Equivalent]]</f>
        <v>50</v>
      </c>
      <c r="E49" s="226" cm="1">
        <f t="array" ref="E49">INDEX(Crops[],BedPlan[[#This Row],[Chart Index]],E$4,1)*BedPlan[[#This Row],[Full Bed Equivalent]]</f>
        <v>100</v>
      </c>
      <c r="F49" t="str">
        <f>UPPER(LEFT(BedPlan[[#This Row],[Crop]],3))</f>
        <v>CIL</v>
      </c>
      <c r="H49" s="143" t="str" cm="1">
        <f t="array" ref="H49">INDEX(Crops[],BedPlan[[#This Row],[Chart Index]],H$4,1)</f>
        <v>Cilantro</v>
      </c>
      <c r="I49" t="s">
        <v>514</v>
      </c>
      <c r="K49" t="str" cm="1">
        <f t="array" ref="K49">IF(ISNUMBER(MATCH(BedPlan[[#This Row],[Variety]],SeedMixes[Name],)),_xlfn.TEXTJOIN(", ",TRUE,_xlfn._xlws.FILTER(SeedMixes[Variety &amp; Company],SeedMixes[Name]=BedPlan[[#This Row],[Variety]])),"")</f>
        <v>Cruiser High Mowing, Pokey Joe Uprising, Calypso Johnny's</v>
      </c>
      <c r="L49" s="33" cm="1">
        <f t="array" ref="L49">INDEX(Crops[],BedPlan[[#This Row],[Chart Index]],L$4,1)*BedPlan[[#This Row],[Full Bed Equivalent]]</f>
        <v>412.50000000000006</v>
      </c>
      <c r="N49">
        <v>0.25</v>
      </c>
      <c r="O49">
        <f>MAX(BedPlan[[#This Row],['# Of Beds]],0.5)</f>
        <v>0.5</v>
      </c>
      <c r="P49" s="31">
        <f>IF(ISNUMBER(BedPlan[[#This Row],[Planned Greenhouse Start Date]]),BedPlan[[#This Row],[Planned Greenhouse Start Date]],BedPlan[[#This Row],[Planned TP or DS Date]])</f>
        <v>45784</v>
      </c>
      <c r="Q49" s="259">
        <f>IF(BedPlan[[#This Row],[Days in Cells]]=0,"",IFERROR(_xlfn.XLOOKUP(BedPlan[[#This Row],[Follows Crop]],BedPlan[Identifier],BedPlan[Expected End of Harvest]) + 1+BedPlan[[#This Row],[Follow Offset]],BedPlan[[#This Row],[Fixed Field Start Date]])-BedPlan[[#This Row],[Days in Cells]])</f>
        <v>45784</v>
      </c>
      <c r="R49" s="259">
        <v>45791</v>
      </c>
      <c r="S49" s="259">
        <f>IF(ISNUMBER(BedPlan[[#This Row],[Actual Greenhouse Date]]),BedPlan[[#This Row],[Actual Greenhouse Date]],BedPlan[[#This Row],[Planned Greenhouse Start Date]])</f>
        <v>45791</v>
      </c>
      <c r="T49" s="259">
        <f>_xlfn.XLOOKUP(BedPlan[[#This Row],[Crop]],Crops[Identifier],Crops[Target Field Date])+14*4</f>
        <v>45814</v>
      </c>
      <c r="U49" s="260"/>
      <c r="V49" s="260"/>
      <c r="W4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45821</v>
      </c>
      <c r="X49" s="259"/>
      <c r="Y49" s="271">
        <f>BedPlan[[#This Row],[Actual TP or DS Date]]-BedPlan[[#This Row],[Planned TP or DS Date]]</f>
        <v>-45821</v>
      </c>
      <c r="Z49" s="259">
        <f>IF(ISNUMBER(BedPlan[[#This Row],[Actual TP or DS Date]]),BedPlan[[#This Row],[Actual TP or DS Date]],BedPlan[[#This Row],[Planned TP or DS Date]])</f>
        <v>45821</v>
      </c>
      <c r="AA49" s="260"/>
      <c r="AB49" s="259">
        <f>IF(ISNUMBER(BedPlan[[#This Row],[Greenhouse Start Date]]),BedPlan[[#This Row],[Greenhouse Start Date]]+BedPlan[[#This Row],[DTM]],BedPlan[[#This Row],[TP or DS Date]]+BedPlan[[#This Row],[DTM]])</f>
        <v>45871</v>
      </c>
      <c r="AC49" s="259"/>
      <c r="AD49" s="259">
        <f>IF(ISNUMBER(BedPlan[[#This Row],[Actual Beginning of Harvest]]),BedPlan[[#This Row],[Actual Beginning of Harvest]],BedPlan[[#This Row],[Expected Beginning of Harvest]])</f>
        <v>45871</v>
      </c>
      <c r="AE49" s="259">
        <f>BedPlan[[#This Row],[Expected Beginning of Harvest]]+BedPlan[[#This Row],[Harvest Window]]+BedPlan[[#This Row],[Additional Days of Harvest]]</f>
        <v>45885</v>
      </c>
      <c r="AF49" s="259"/>
      <c r="AG49" s="259"/>
      <c r="AH49" s="31" t="b">
        <f>IF(AND( BedPlan[[#This Row],[Expected End of Harvest]] &gt;= DATE(2025, 8, 1), BedPlan[[#This Row],[Beginning of Harvest]] &lt;= DATE(2025, 8, 31) ), TRUE, FALSE)</f>
        <v>1</v>
      </c>
      <c r="AI49" s="31"/>
      <c r="AJ49" s="31">
        <f>IF(ISNUMBER(BedPlan[[#This Row],[Actual End of Harvest]]),BedPlan[[#This Row],[Actual End of Harvest]],BedPlan[[#This Row],[Expected End of Harvest]])</f>
        <v>45885</v>
      </c>
      <c r="AK49" t="b">
        <f>OR(ISNUMBER(BedPlan[[#This Row],[Actual Greenhouse Date]]),ISNUMBER(BedPlan[[#This Row],[Actual TP or DS Date]]))</f>
        <v>1</v>
      </c>
      <c r="AL49" s="52" t="b">
        <f>IF(ISNUMBER(BedPlan[[#This Row],[Planned Greenhouse Start Date]]),OR(ISNUMBER(BedPlan[[#This Row],[Actual TP or DS Date]]),BedPlan[[#This Row],[Failed]]),"-")</f>
        <v>0</v>
      </c>
      <c r="AM49" t="b">
        <f>OR(ISNUMBER(BedPlan[[#This Row],[Actual End of Harvest]]),BedPlan[[#This Row],[Failed]])</f>
        <v>0</v>
      </c>
      <c r="AN49" t="b">
        <f>OR(BedPlan[[#This Row],[Harvest Done]],BedPlan[[#This Row],[Failed]],BedPlan[[#This Row],[Name]]="Tarp")</f>
        <v>0</v>
      </c>
      <c r="AS49" s="26" t="str">
        <f>IF(BedPlan[[#This Row],[Broadfork]],BedPlan[[#This Row],[Actual TP or DS Date]],"")</f>
        <v/>
      </c>
      <c r="AT49" s="26" t="str">
        <f>IF(BedPlan[[#This Row],[Tilther]],BedPlan[[#This Row],[Actual TP or DS Date]],"")</f>
        <v/>
      </c>
      <c r="AU49" s="26" t="str">
        <f>IF(NOT(ISBLANK(BedPlan[[#This Row],[Amend]])),BedPlan[[#This Row],[Actual TP or DS Date]],"")</f>
        <v/>
      </c>
      <c r="AV49" s="26" t="str">
        <f>IF(BedPlan[[#This Row],[Row Cover]],BedPlan[[#This Row],[Actual TP or DS Date]],"")</f>
        <v/>
      </c>
      <c r="AX49" s="26"/>
      <c r="AZ49" s="26"/>
      <c r="BB49" s="26"/>
      <c r="BC49" s="231" cm="1">
        <f t="array" ref="BC49">INDEX(Crops[],BedPlan[[#This Row],[Chart Index]],BC$4,1)*BedPlan[[#This Row],[Full Bed Equivalent]]</f>
        <v>300</v>
      </c>
      <c r="BD49" s="231" cm="1">
        <f t="array" ref="BD49">INDEX(Crops[],BedPlan[[#This Row],[Chart Index]],BD$4,1)*BedPlan[[#This Row],[Full Bed Equivalent]]</f>
        <v>4.6875</v>
      </c>
      <c r="BE49" cm="1">
        <f t="array" ref="BE49">INDEX(Crops[],BedPlan[[#This Row],[Chart Index]],BE$4,1)+BedPlan[[#This Row],[Additional Days in Cells]]+BedPlan[[#This Row],[Additional Days In Field]]</f>
        <v>80</v>
      </c>
      <c r="BG49" cm="1">
        <f t="array" ref="BG49">INDEX(Crops[],BedPlan[[#This Row],[Chart Index]],BG$4,1)</f>
        <v>14</v>
      </c>
      <c r="BH49" t="str">
        <f>IF(ISNUMBER(BedPlan[[#This Row],[Planned Greenhouse Start Date]]),"TP","DS")</f>
        <v>TP</v>
      </c>
      <c r="BI49">
        <f>BedPlan[[#This Row],['# Of Beds]]</f>
        <v>0.25</v>
      </c>
      <c r="BJ49" cm="1">
        <f t="array" ref="BJ49">INDEX(Crops[],BedPlan[[#This Row],[Chart Index]],BJ$4,1)</f>
        <v>30</v>
      </c>
      <c r="BK49" cm="1">
        <f t="array" ref="BK49">INDEX(Crops[],BedPlan[[#This Row],[Chart Index]],BK$4,1)</f>
        <v>5</v>
      </c>
      <c r="BL49" cm="1">
        <f t="array" ref="BL49">INDEX(Crops[],BedPlan[[#This Row],[Chart Index]],BL$4,1)</f>
        <v>6</v>
      </c>
      <c r="BM49" cm="1">
        <f t="array" ref="BM49">INDEX(Crops[],BedPlan[[#This Row],[Chart Index]],BM$4,1)</f>
        <v>3</v>
      </c>
      <c r="BN49" s="32" cm="1">
        <f t="array" ref="BN49">INDEX(Crops[],BedPlan[[#This Row],[Chart Index]],BN$4,1)*BedPlan[[#This Row],[Full Bed Equivalent]]</f>
        <v>125</v>
      </c>
      <c r="BO49" t="str" cm="1">
        <f t="array" ref="BO49">IF(INDEX(Crops[],BedPlan[[#This Row],[Chart Index]],BO$4,1)=0,"",INDEX(Crops[],BedPlan[[#This Row],[Chart Index]],BO$4,1))</f>
        <v/>
      </c>
      <c r="BP49">
        <f>MATCH(BedPlan[[#This Row],[Crop]],Crops[Identifier],FALSE)</f>
        <v>88</v>
      </c>
      <c r="BQ49" t="str" cm="1">
        <f t="array" ref="BQ49">INDEX(Crops[],BedPlan[[#This Row],[Chart Index]],BQ$4,1)</f>
        <v>General</v>
      </c>
      <c r="BR49" t="str" cm="1">
        <f t="array" ref="BR49">INDEX(Crops[],BedPlan[[#This Row],[Chart Index]],BR$4,1)</f>
        <v>Su</v>
      </c>
      <c r="BS49" s="32">
        <f>BedPlan[[#This Row],[Expected Beginning of Harvest]]-DATE(2023,1,1)</f>
        <v>944</v>
      </c>
      <c r="BT49">
        <f>BedPlan[[#This Row],[Expected End of Harvest]]-BedPlan[[#This Row],[Expected Beginning of Harvest]]</f>
        <v>14</v>
      </c>
      <c r="BU49" t="str" cm="1">
        <f t="array" ref="BU49">INDEX(Crops[],BedPlan[[#This Row],[Chart Index]],BU$4,1)</f>
        <v>Herb</v>
      </c>
      <c r="BV49" cm="1">
        <f t="array" ref="BV49">INDEX(Crops[],BedPlan[[#This Row],[Chart Index]],BV$4,1)</f>
        <v>1</v>
      </c>
      <c r="BW49" t="str" cm="1">
        <f t="array" ref="BW49">INDEX(Crops[],BedPlan[[#This Row],[Chart Index]],BW$4,1)</f>
        <v>None</v>
      </c>
      <c r="BX49" cm="1">
        <f t="array" ref="BX49">INDEX(Crops[],BedPlan[[#This Row],[Chart Index]],BX$4,1)</f>
        <v>128</v>
      </c>
      <c r="BY49" cm="1">
        <f t="array" ref="BY49">INDEX(Crops[],BedPlan[[#This Row],[Chart Index]],BY$4,1)</f>
        <v>30</v>
      </c>
      <c r="BZ49" s="49" cm="1">
        <f t="array" ref="BZ49">IFERROR(INDEX(Crops[],BedPlan[[#This Row],[Chart Index]],BZ$4,1)*BedPlan[[#This Row],[Full Bed Equivalent]],"")</f>
        <v>1.07421875</v>
      </c>
      <c r="CA49" cm="1">
        <f t="array" ref="CA49">INDEX(Crops[],BedPlan[[#This Row],[Chart Index]],CA$4,1)</f>
        <v>0</v>
      </c>
      <c r="CB49" cm="1">
        <f t="array" ref="CB49">INDEX(Crops[],BedPlan[[#This Row],[Chart Index]],CB$4,1)</f>
        <v>0</v>
      </c>
      <c r="CC49" s="49" t="str" cm="1">
        <f t="array" ref="CC49">IFERROR(INDEX(Crops[],BedPlan[[#This Row],[Chart Index]],CC$4,1)*BedPlan[[#This Row],[Full Bed Equivalent]],"")</f>
        <v/>
      </c>
      <c r="CD49" cm="1">
        <f t="array" ref="CD49">INDEX(Crops[],BedPlan[[#This Row],[Chart Index]],CD$4,1)</f>
        <v>0</v>
      </c>
      <c r="CE49" cm="1">
        <f t="array" ref="CE49">IF(INDEX(Crops[],BedPlan[[#This Row],[Chart Index]],CE$4,1)="",0,INDEX(Crops[],BedPlan[[#This Row],[Chart Index]],CE$4,1))</f>
        <v>0</v>
      </c>
      <c r="CF49" s="49" t="str" cm="1">
        <f t="array" ref="CF49">IFERROR(INDEX(Crops[],BedPlan[[#This Row],[Chart Index]],CF$4,1)*BedPlan[[#This Row],[Full Bed Equivalent]],"")</f>
        <v/>
      </c>
      <c r="CG49" cm="1">
        <f t="array" ref="CG49">IF(INDEX(Crops[],BedPlan[[#This Row],[Chart Index]],CG$4,1)="",0,INDEX(Crops[],BedPlan[[#This Row],[Chart Index]],CG$4,1))</f>
        <v>1.1000000000000001</v>
      </c>
      <c r="CH49" cm="1">
        <f t="array" ref="CH49">IF(INDEX(Crops[],BedPlan[[#This Row],[Chart Index]],CH$4,1)="",0,INDEX(Crops[],BedPlan[[#This Row],[Chart Index]],CH$4,1))</f>
        <v>0</v>
      </c>
      <c r="CI49" t="str" cm="1">
        <f t="array" ref="CI49">INDEX(Crops[],BedPlan[[#This Row],[Chart Index]],CI$4,1)</f>
        <v>Field</v>
      </c>
      <c r="CJ49" s="30" t="str">
        <f>_xlfn.TEXTJOIN(CHAR(10),FALSE,BedPlan[[#This Row],[Name]],BedPlan[[#This Row],[Variety]],BedPlan[[#This Row],[Company]])</f>
        <v xml:space="preserve">Cilantro
Cilantro Mix
</v>
      </c>
      <c r="CK49" s="32">
        <f>MAX( 0, MIN(BedPlan[[#This Row],[Expected End of Harvest]], EOMONTH(CK$4, 0)) - MAX(BedPlan[[#This Row],[Beginning of Harvest]], CK$4) + 1 )</f>
        <v>0</v>
      </c>
      <c r="CL49">
        <f>MAX( 0, MIN(BedPlan[[#This Row],[Expected End of Harvest]], EOMONTH(CL$4, 0)) - MAX(BedPlan[[#This Row],[Beginning of Harvest]], CL$4) + 1 )</f>
        <v>0</v>
      </c>
      <c r="CM49">
        <f>MAX( 0, MIN(BedPlan[[#This Row],[Expected End of Harvest]], EOMONTH(CM$4, 0)) - MAX(BedPlan[[#This Row],[Beginning of Harvest]], CM$4) + 1 )</f>
        <v>0</v>
      </c>
      <c r="CN49">
        <f>MAX( 0, MIN(BedPlan[[#This Row],[Expected End of Harvest]], EOMONTH(CN$4, 0)) - MAX(BedPlan[[#This Row],[Beginning of Harvest]], CN$4) + 1 )</f>
        <v>0</v>
      </c>
      <c r="CO49">
        <f>MAX( 0, MIN(BedPlan[[#This Row],[Expected End of Harvest]], EOMONTH(CO$4, 0)) - MAX(BedPlan[[#This Row],[Beginning of Harvest]], CO$4) + 1 )</f>
        <v>0</v>
      </c>
      <c r="CP49">
        <f>MAX( 0, MIN(BedPlan[[#This Row],[Expected End of Harvest]], EOMONTH(CP$4, 0)) - MAX(BedPlan[[#This Row],[Beginning of Harvest]], CP$4) + 1 )</f>
        <v>0</v>
      </c>
      <c r="CQ49">
        <f>MAX( 0, MIN(BedPlan[[#This Row],[Expected End of Harvest]], EOMONTH(CQ$4, 0)) - MAX(BedPlan[[#This Row],[Beginning of Harvest]], CQ$4) + 1 )</f>
        <v>0</v>
      </c>
      <c r="CR49">
        <f>MAX( 0, MIN(BedPlan[[#This Row],[Expected End of Harvest]], EOMONTH(CR$4, 0)) - MAX(BedPlan[[#This Row],[Beginning of Harvest]], CR$4) + 1 )</f>
        <v>15</v>
      </c>
      <c r="CS49">
        <f>MAX( 0, MIN(BedPlan[[#This Row],[Expected End of Harvest]], EOMONTH(CS$4, 0)) - MAX(BedPlan[[#This Row],[Beginning of Harvest]], CS$4) + 1 )</f>
        <v>0</v>
      </c>
      <c r="CT49">
        <f>MAX( 0, MIN(BedPlan[[#This Row],[Expected End of Harvest]], EOMONTH(CT$4, 0)) - MAX(BedPlan[[#This Row],[Beginning of Harvest]], CT$4) + 1 )</f>
        <v>0</v>
      </c>
      <c r="CU49">
        <f>MAX( 0, MIN(BedPlan[[#This Row],[Expected End of Harvest]], EOMONTH(CU$4, 0)) - MAX(BedPlan[[#This Row],[Beginning of Harvest]], CU$4) + 1 )</f>
        <v>0</v>
      </c>
      <c r="CV49">
        <f>MAX( 0, MIN(BedPlan[[#This Row],[Expected End of Harvest]], EOMONTH(CV$4, 0)) - MAX(BedPlan[[#This Row],[Beginning of Harvest]], CV$4) + 1 )</f>
        <v>0</v>
      </c>
      <c r="CW49">
        <f>MAX( 0, MIN(BedPlan[[#This Row],[Expected End of Harvest]], EOMONTH(CW$4, 0)) - MAX(BedPlan[[#This Row],[Beginning of Harvest]], CW$4) + 1 )</f>
        <v>0</v>
      </c>
      <c r="CX49">
        <f>MAX( 0, MIN(BedPlan[[#This Row],[Expected End of Harvest]], EOMONTH(CX$4, 0)) - MAX(BedPlan[[#This Row],[Beginning of Harvest]], CX$4) + 1 )</f>
        <v>0</v>
      </c>
      <c r="CY49">
        <f>MAX( 0, MIN(BedPlan[[#This Row],[Expected End of Harvest]], EOMONTH(CY$4, 0)) - MAX(BedPlan[[#This Row],[Beginning of Harvest]], CY$4) + 1 )</f>
        <v>0</v>
      </c>
      <c r="CZ49">
        <f>MAX( 0, MIN(BedPlan[[#This Row],[Expected End of Harvest]], EOMONTH(CZ$4, 0)) - MAX(BedPlan[[#This Row],[Beginning of Harvest]], CZ$4) + 1 )</f>
        <v>0</v>
      </c>
      <c r="DA49">
        <f>MAX( 0, MIN(BedPlan[[#This Row],[Expected End of Harvest]], EOMONTH(DA$4, 0)) - MAX(BedPlan[[#This Row],[Beginning of Harvest]], DA$4) + 1 )</f>
        <v>0</v>
      </c>
      <c r="DB49">
        <f>MAX( 0, MIN(BedPlan[[#This Row],[Expected End of Harvest]], EOMONTH(DB$4, 0)) - MAX(BedPlan[[#This Row],[Beginning of Harvest]], DB$4) + 1 )</f>
        <v>0</v>
      </c>
      <c r="DC49">
        <f>MAX( 0, MIN(BedPlan[[#This Row],[Expected End of Harvest]], EOMONTH(DC$4, 0)) - MAX(BedPlan[[#This Row],[Beginning of Harvest]], DC$4) + 1 )</f>
        <v>0</v>
      </c>
      <c r="DD49">
        <f>MAX( 0, MIN(BedPlan[[#This Row],[Expected End of Harvest]], EOMONTH(DD$4, 0)) - MAX(BedPlan[[#This Row],[Beginning of Harvest]], DD$4) + 1 )</f>
        <v>0</v>
      </c>
      <c r="DE49">
        <f>MAX( 0, MIN(BedPlan[[#This Row],[Expected End of Harvest]], EOMONTH(DE$4, 0)) - MAX(BedPlan[[#This Row],[Beginning of Harvest]], DE$4) + 1 )</f>
        <v>0</v>
      </c>
      <c r="DF49">
        <f>MAX( 0, MIN(BedPlan[[#This Row],[Expected End of Harvest]], EOMONTH(DF$4, 0)) - MAX(BedPlan[[#This Row],[Beginning of Harvest]], DF$4) + 1 )</f>
        <v>0</v>
      </c>
      <c r="DG49">
        <f>MAX( 0, MIN(BedPlan[[#This Row],[Expected End of Harvest]], EOMONTH(DG$4, 0)) - MAX(BedPlan[[#This Row],[Beginning of Harvest]], DG$4) + 1 )</f>
        <v>0</v>
      </c>
      <c r="DH49">
        <f>MAX( 0, MIN(BedPlan[[#This Row],[Expected End of Harvest]], EOMONTH(DH$4, 0)) - MAX(BedPlan[[#This Row],[Beginning of Harvest]], DH$4) + 1 )</f>
        <v>0</v>
      </c>
      <c r="DI49" s="257" cm="1">
        <f t="array" ref="DI49">BedPlan[[#This Row],[Harvest Days January 2025]]/SUM(BedPlan[[#This Row],[Harvest Days January 2025]:[Harvest Days December 2026]])*BedPlan[[#This Row],[Revenue]:[Revenue]]</f>
        <v>0</v>
      </c>
      <c r="DJ49" s="257" cm="1">
        <f t="array" ref="DJ49">BedPlan[[#This Row],[Harvest Days February 2025]]/SUM(BedPlan[[#This Row],[Harvest Days January 2025]:[Harvest Days December 2026]])*BedPlan[[#This Row],[Revenue]:[Revenue]]</f>
        <v>0</v>
      </c>
      <c r="DK49" s="257" cm="1">
        <f t="array" ref="DK49">BedPlan[[#This Row],[Harvest Days March 2025]]/SUM(BedPlan[[#This Row],[Harvest Days January 2025]:[Harvest Days December 2026]])*BedPlan[[#This Row],[Revenue]:[Revenue]]</f>
        <v>0</v>
      </c>
      <c r="DL49" s="257" cm="1">
        <f t="array" ref="DL49">BedPlan[[#This Row],[Harvest Days April 2025]]/SUM(BedPlan[[#This Row],[Harvest Days January 2025]:[Harvest Days December 2026]])*BedPlan[[#This Row],[Revenue]:[Revenue]]</f>
        <v>0</v>
      </c>
      <c r="DM49" s="257" cm="1">
        <f t="array" ref="DM49">BedPlan[[#This Row],[Harvest Days May 2025]]/SUM(BedPlan[[#This Row],[Harvest Days January 2025]:[Harvest Days December 2026]])*BedPlan[[#This Row],[Revenue]:[Revenue]]</f>
        <v>0</v>
      </c>
      <c r="DN49" s="257" cm="1">
        <f t="array" ref="DN49">BedPlan[[#This Row],[Harvest Days June 2025]]/SUM(BedPlan[[#This Row],[Harvest Days January 2025]:[Harvest Days December 2026]])*BedPlan[[#This Row],[Revenue]:[Revenue]]</f>
        <v>0</v>
      </c>
      <c r="DO49" s="257" cm="1">
        <f t="array" ref="DO49">BedPlan[[#This Row],[Harvest Days July 2025]]/SUM(BedPlan[[#This Row],[Harvest Days January 2025]:[Harvest Days December 2026]])*BedPlan[[#This Row],[Revenue]:[Revenue]]</f>
        <v>0</v>
      </c>
      <c r="DP49" s="257" cm="1">
        <f t="array" ref="DP49">BedPlan[[#This Row],[Harvest Days August 2025]]/SUM(BedPlan[[#This Row],[Harvest Days January 2025]:[Harvest Days December 2026]])*BedPlan[[#This Row],[Revenue]:[Revenue]]</f>
        <v>300</v>
      </c>
      <c r="DQ49" s="257" cm="1">
        <f t="array" ref="DQ49">BedPlan[[#This Row],[Harvest Days September 2025]]/SUM(BedPlan[[#This Row],[Harvest Days January 2025]:[Harvest Days December 2026]])*BedPlan[[#This Row],[Revenue]:[Revenue]]</f>
        <v>0</v>
      </c>
      <c r="DR49" s="257" cm="1">
        <f t="array" ref="DR49">BedPlan[[#This Row],[Harvest Days October 2025]]/SUM(BedPlan[[#This Row],[Harvest Days January 2025]:[Harvest Days December 2026]])*BedPlan[[#This Row],[Revenue]:[Revenue]]</f>
        <v>0</v>
      </c>
      <c r="DS49" s="257" cm="1">
        <f t="array" ref="DS49">BedPlan[[#This Row],[Harvest Days November 2025]]/SUM(BedPlan[[#This Row],[Harvest Days January 2025]:[Harvest Days December 2026]])*BedPlan[[#This Row],[Revenue]:[Revenue]]</f>
        <v>0</v>
      </c>
      <c r="DT49" s="257" cm="1">
        <f t="array" ref="DT49">BedPlan[[#This Row],[Harvest Days December 2025]]/SUM(BedPlan[[#This Row],[Harvest Days January 2025]:[Harvest Days December 2026]])*BedPlan[[#This Row],[Revenue]:[Revenue]]</f>
        <v>0</v>
      </c>
      <c r="DU49" s="257" cm="1">
        <f t="array" ref="DU49">BedPlan[[#This Row],[Harvest Days January 2026]]/SUM(BedPlan[[#This Row],[Harvest Days January 2025]:[Harvest Days December 2026]])*BedPlan[[#This Row],[Revenue]:[Revenue]]</f>
        <v>0</v>
      </c>
      <c r="DV49" s="257" cm="1">
        <f t="array" ref="DV49">BedPlan[[#This Row],[Harvest Days February 2026]]/SUM(BedPlan[[#This Row],[Harvest Days January 2025]:[Harvest Days December 2026]])*BedPlan[[#This Row],[Revenue]:[Revenue]]</f>
        <v>0</v>
      </c>
      <c r="DW49" s="257" cm="1">
        <f t="array" ref="DW49">BedPlan[[#This Row],[Harvest Days March 2026]]/SUM(BedPlan[[#This Row],[Harvest Days January 2025]:[Harvest Days December 2026]])*BedPlan[[#This Row],[Revenue]:[Revenue]]</f>
        <v>0</v>
      </c>
      <c r="DX49" s="257" cm="1">
        <f t="array" ref="DX49">BedPlan[[#This Row],[Harvest Days April 2026]]/SUM(BedPlan[[#This Row],[Harvest Days January 2025]:[Harvest Days December 2026]])*BedPlan[[#This Row],[Revenue]:[Revenue]]</f>
        <v>0</v>
      </c>
      <c r="DY49" s="257" cm="1">
        <f t="array" ref="DY49">BedPlan[[#This Row],[Harvest Days May 2026]]/SUM(BedPlan[[#This Row],[Harvest Days January 2025]:[Harvest Days December 2026]])*BedPlan[[#This Row],[Revenue]:[Revenue]]</f>
        <v>0</v>
      </c>
      <c r="DZ49" s="257" cm="1">
        <f t="array" ref="DZ49">BedPlan[[#This Row],[Harvest Days June 2026]]/SUM(BedPlan[[#This Row],[Harvest Days January 2025]:[Harvest Days December 2026]])*BedPlan[[#This Row],[Revenue]:[Revenue]]</f>
        <v>0</v>
      </c>
      <c r="EA49" s="257" cm="1">
        <f t="array" ref="EA49">BedPlan[[#This Row],[Harvest Days July 2026]]/SUM(BedPlan[[#This Row],[Harvest Days January 2025]:[Harvest Days December 2026]])*BedPlan[[#This Row],[Revenue]:[Revenue]]</f>
        <v>0</v>
      </c>
      <c r="EB49" s="257" cm="1">
        <f t="array" ref="EB49">BedPlan[[#This Row],[Harvest Days August 2026]]/SUM(BedPlan[[#This Row],[Harvest Days January 2025]:[Harvest Days December 2026]])*BedPlan[[#This Row],[Revenue]:[Revenue]]</f>
        <v>0</v>
      </c>
      <c r="EC49" s="257" cm="1">
        <f t="array" ref="EC49">BedPlan[[#This Row],[Harvest Days September 2026]]/SUM(BedPlan[[#This Row],[Harvest Days January 2025]:[Harvest Days December 2026]])*BedPlan[[#This Row],[Revenue]:[Revenue]]</f>
        <v>0</v>
      </c>
      <c r="ED49" s="257" cm="1">
        <f t="array" ref="ED49">BedPlan[[#This Row],[Harvest Days October 2026]]/SUM(BedPlan[[#This Row],[Harvest Days January 2025]:[Harvest Days December 2026]])*BedPlan[[#This Row],[Revenue]:[Revenue]]</f>
        <v>0</v>
      </c>
      <c r="EE49" s="257" cm="1">
        <f t="array" ref="EE49">BedPlan[[#This Row],[Harvest Days November 2026]]/SUM(BedPlan[[#This Row],[Harvest Days January 2025]:[Harvest Days December 2026]])*BedPlan[[#This Row],[Revenue]:[Revenue]]</f>
        <v>0</v>
      </c>
      <c r="EF49" s="257" cm="1">
        <f t="array" ref="EF49">BedPlan[[#This Row],[Harvest Days December 2026]]/SUM(BedPlan[[#This Row],[Harvest Days January 2025]:[Harvest Days December 2026]])*BedPlan[[#This Row],[Revenue]:[Revenue]]</f>
        <v>0</v>
      </c>
      <c r="EG49" t="b">
        <f>SUM(BedPlan[[#This Row],[Revenue January 2025]:[Revenue December 2026]])=BedPlan[[#This Row],[Revenue]]</f>
        <v>1</v>
      </c>
      <c r="EH49" s="30" cm="1">
        <f t="array" ref="EH49">INDEX(Crops[],BedPlan[[#This Row],[Chart Index]],EH$4,1)*BedPlan[[#This Row],['# Of Beds]]</f>
        <v>100</v>
      </c>
      <c r="EI49" s="30" t="str" cm="1">
        <f t="array" ref="EI49">INDEX(Crops[],BedPlan[[#This Row],[Chart Index]],EI$4,1)</f>
        <v>Bunch</v>
      </c>
      <c r="EJ49" s="30" t="str" cm="1">
        <f t="array" ref="EJ49">INDEX(Crops[],BedPlan[[#This Row],[Chart Index]],EJ$4,1)</f>
        <v>Loose Leaf</v>
      </c>
      <c r="EK49" s="30" t="str">
        <f>BedPlan[[#This Row],[Name]]&amp;" "&amp;BedPlan[[#This Row],[Product]]&amp; " - " &amp;BedPlan[[#This Row],[Unit]]</f>
        <v>Cilantro Loose Leaf - Bunch</v>
      </c>
      <c r="EL49" s="33" cm="1">
        <f t="array" ref="EL49">BedPlan[[#This Row],[Harvest Days January 2025]]/SUM(BedPlan[[#This Row],[Harvest Days January 2025]:[Harvest Days December 2026]])*BedPlan[[#This Row],[Yield]:[Yield]]</f>
        <v>0</v>
      </c>
      <c r="EM49" s="33" cm="1">
        <f t="array" ref="EM49">BedPlan[[#This Row],[Harvest Days February 2025]]/SUM(BedPlan[[#This Row],[Harvest Days January 2025]:[Harvest Days December 2026]])*BedPlan[[#This Row],[Yield]:[Yield]]</f>
        <v>0</v>
      </c>
      <c r="EN49" s="33" cm="1">
        <f t="array" ref="EN49">BedPlan[[#This Row],[Harvest Days March 2025]]/SUM(BedPlan[[#This Row],[Harvest Days January 2025]:[Harvest Days December 2026]])*BedPlan[[#This Row],[Yield]:[Yield]]</f>
        <v>0</v>
      </c>
      <c r="EO49" s="33" cm="1">
        <f t="array" ref="EO49">BedPlan[[#This Row],[Harvest Days April 2025]]/SUM(BedPlan[[#This Row],[Harvest Days January 2025]:[Harvest Days December 2026]])*BedPlan[[#This Row],[Yield]:[Yield]]</f>
        <v>0</v>
      </c>
      <c r="EP49" s="33" cm="1">
        <f t="array" ref="EP49">BedPlan[[#This Row],[Harvest Days May 2025]]/SUM(BedPlan[[#This Row],[Harvest Days January 2025]:[Harvest Days December 2026]])*BedPlan[[#This Row],[Yield]:[Yield]]</f>
        <v>0</v>
      </c>
      <c r="EQ49" s="33" cm="1">
        <f t="array" ref="EQ49">BedPlan[[#This Row],[Harvest Days June 2025]]/SUM(BedPlan[[#This Row],[Harvest Days January 2025]:[Harvest Days December 2026]])*BedPlan[[#This Row],[Yield]:[Yield]]</f>
        <v>0</v>
      </c>
      <c r="ER49" s="33" cm="1">
        <f t="array" ref="ER49">BedPlan[[#This Row],[Harvest Days July 2025]]/SUM(BedPlan[[#This Row],[Harvest Days January 2025]:[Harvest Days December 2026]])*BedPlan[[#This Row],[Yield]:[Yield]]</f>
        <v>0</v>
      </c>
      <c r="ES49" s="33" cm="1">
        <f t="array" ref="ES49">BedPlan[[#This Row],[Harvest Days August 2025]]/SUM(BedPlan[[#This Row],[Harvest Days January 2025]:[Harvest Days December 2026]])*BedPlan[[#This Row],[Yield]:[Yield]]</f>
        <v>100</v>
      </c>
      <c r="ET49" s="33" cm="1">
        <f t="array" ref="ET49">BedPlan[[#This Row],[Harvest Days September 2025]]/SUM(BedPlan[[#This Row],[Harvest Days January 2025]:[Harvest Days December 2026]])*BedPlan[[#This Row],[Yield]:[Yield]]</f>
        <v>0</v>
      </c>
      <c r="EU49" s="33" cm="1">
        <f t="array" ref="EU49">BedPlan[[#This Row],[Harvest Days October 2025]]/SUM(BedPlan[[#This Row],[Harvest Days January 2025]:[Harvest Days December 2026]])*BedPlan[[#This Row],[Yield]:[Yield]]</f>
        <v>0</v>
      </c>
      <c r="EV49" s="33" cm="1">
        <f t="array" ref="EV49">BedPlan[[#This Row],[Harvest Days November 2025]]/SUM(BedPlan[[#This Row],[Harvest Days January 2025]:[Harvest Days December 2026]])*BedPlan[[#This Row],[Yield]:[Yield]]</f>
        <v>0</v>
      </c>
      <c r="EW49" s="33" cm="1">
        <f t="array" ref="EW49">BedPlan[[#This Row],[Harvest Days December 2025]]/SUM(BedPlan[[#This Row],[Harvest Days January 2025]:[Harvest Days December 2026]])*BedPlan[[#This Row],[Yield]:[Yield]]</f>
        <v>0</v>
      </c>
    </row>
    <row r="50" spans="1:153" ht="15.75" customHeight="1">
      <c r="A50" s="27" t="s">
        <v>2747</v>
      </c>
      <c r="B50" s="240" t="s">
        <v>2740</v>
      </c>
      <c r="C50" t="s">
        <v>1452</v>
      </c>
      <c r="D50" s="226" cm="1">
        <f t="array" ref="D50">INDEX(Crops[],BedPlan[[#This Row],[Chart Index]],D$4,1)*BedPlan[[#This Row],[Full Bed Equivalent]]</f>
        <v>50</v>
      </c>
      <c r="E50" s="226" cm="1">
        <f t="array" ref="E50">INDEX(Crops[],BedPlan[[#This Row],[Chart Index]],E$4,1)*BedPlan[[#This Row],[Full Bed Equivalent]]</f>
        <v>100</v>
      </c>
      <c r="F50" t="str">
        <f>UPPER(LEFT(BedPlan[[#This Row],[Crop]],3))</f>
        <v>CIL</v>
      </c>
      <c r="H50" s="143" t="str" cm="1">
        <f t="array" ref="H50">INDEX(Crops[],BedPlan[[#This Row],[Chart Index]],H$4,1)</f>
        <v>Cilantro</v>
      </c>
      <c r="I50" t="s">
        <v>514</v>
      </c>
      <c r="K50" t="str" cm="1">
        <f t="array" ref="K50">IF(ISNUMBER(MATCH(BedPlan[[#This Row],[Variety]],SeedMixes[Name],)),_xlfn.TEXTJOIN(", ",TRUE,_xlfn._xlws.FILTER(SeedMixes[Variety &amp; Company],SeedMixes[Name]=BedPlan[[#This Row],[Variety]])),"")</f>
        <v>Cruiser High Mowing, Pokey Joe Uprising, Calypso Johnny's</v>
      </c>
      <c r="L50" s="33" cm="1">
        <f t="array" ref="L50">INDEX(Crops[],BedPlan[[#This Row],[Chart Index]],L$4,1)*BedPlan[[#This Row],[Full Bed Equivalent]]</f>
        <v>412.50000000000006</v>
      </c>
      <c r="N50">
        <v>0.25</v>
      </c>
      <c r="O50">
        <f>MAX(BedPlan[[#This Row],['# Of Beds]],0.5)</f>
        <v>0.5</v>
      </c>
      <c r="P50" s="31">
        <f>IF(ISNUMBER(BedPlan[[#This Row],[Planned Greenhouse Start Date]]),BedPlan[[#This Row],[Planned Greenhouse Start Date]],BedPlan[[#This Row],[Planned TP or DS Date]])</f>
        <v>45854</v>
      </c>
      <c r="Q50" s="259">
        <f>IF(BedPlan[[#This Row],[Days in Cells]]=0,"",IFERROR(_xlfn.XLOOKUP(BedPlan[[#This Row],[Follows Crop]],BedPlan[Identifier],BedPlan[Expected End of Harvest]) + 1+BedPlan[[#This Row],[Follow Offset]],BedPlan[[#This Row],[Fixed Field Start Date]])-BedPlan[[#This Row],[Days in Cells]])</f>
        <v>45854</v>
      </c>
      <c r="R50" s="259"/>
      <c r="S50" s="259">
        <f>IF(ISNUMBER(BedPlan[[#This Row],[Actual Greenhouse Date]]),BedPlan[[#This Row],[Actual Greenhouse Date]],BedPlan[[#This Row],[Planned Greenhouse Start Date]])</f>
        <v>45854</v>
      </c>
      <c r="T50" s="259">
        <f>_xlfn.XLOOKUP(BedPlan[[#This Row],[Crop]],Crops[Identifier],Crops[Target Field Date])+14*9</f>
        <v>45884</v>
      </c>
      <c r="U50" s="260"/>
      <c r="V50" s="260"/>
      <c r="W5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50" s="259"/>
      <c r="Y50" s="271">
        <f>BedPlan[[#This Row],[Actual TP or DS Date]]-BedPlan[[#This Row],[Planned TP or DS Date]]</f>
        <v>-45884</v>
      </c>
      <c r="Z50" s="259">
        <f>IF(ISNUMBER(BedPlan[[#This Row],[Actual TP or DS Date]]),BedPlan[[#This Row],[Actual TP or DS Date]],BedPlan[[#This Row],[Planned TP or DS Date]])</f>
        <v>45884</v>
      </c>
      <c r="AA50" s="260"/>
      <c r="AB50" s="259">
        <f>IF(ISNUMBER(BedPlan[[#This Row],[Greenhouse Start Date]]),BedPlan[[#This Row],[Greenhouse Start Date]]+BedPlan[[#This Row],[DTM]],BedPlan[[#This Row],[TP or DS Date]]+BedPlan[[#This Row],[DTM]])</f>
        <v>45934</v>
      </c>
      <c r="AC50" s="259"/>
      <c r="AD50" s="259">
        <f>IF(ISNUMBER(BedPlan[[#This Row],[Actual Beginning of Harvest]]),BedPlan[[#This Row],[Actual Beginning of Harvest]],BedPlan[[#This Row],[Expected Beginning of Harvest]])</f>
        <v>45934</v>
      </c>
      <c r="AE50" s="259">
        <f>BedPlan[[#This Row],[Expected Beginning of Harvest]]+BedPlan[[#This Row],[Harvest Window]]+BedPlan[[#This Row],[Additional Days of Harvest]]</f>
        <v>45948</v>
      </c>
      <c r="AF50" s="259"/>
      <c r="AG50" s="259"/>
      <c r="AH50" s="31" t="b">
        <f>IF(AND( BedPlan[[#This Row],[Expected End of Harvest]] &gt;= DATE(2025, 8, 1), BedPlan[[#This Row],[Beginning of Harvest]] &lt;= DATE(2025, 8, 31) ), TRUE, FALSE)</f>
        <v>0</v>
      </c>
      <c r="AI50" s="31"/>
      <c r="AJ50" s="31">
        <f>IF(ISNUMBER(BedPlan[[#This Row],[Actual End of Harvest]]),BedPlan[[#This Row],[Actual End of Harvest]],BedPlan[[#This Row],[Expected End of Harvest]])</f>
        <v>45948</v>
      </c>
      <c r="AK50" t="b">
        <f>OR(ISNUMBER(BedPlan[[#This Row],[Actual Greenhouse Date]]),ISNUMBER(BedPlan[[#This Row],[Actual TP or DS Date]]))</f>
        <v>0</v>
      </c>
      <c r="AL50" s="52" t="b">
        <f>IF(ISNUMBER(BedPlan[[#This Row],[Planned Greenhouse Start Date]]),OR(ISNUMBER(BedPlan[[#This Row],[Actual TP or DS Date]]),BedPlan[[#This Row],[Failed]]),"-")</f>
        <v>0</v>
      </c>
      <c r="AM50" t="b">
        <f>OR(ISNUMBER(BedPlan[[#This Row],[Actual End of Harvest]]),BedPlan[[#This Row],[Failed]])</f>
        <v>0</v>
      </c>
      <c r="AN50" t="b">
        <f>OR(BedPlan[[#This Row],[Harvest Done]],BedPlan[[#This Row],[Failed]],BedPlan[[#This Row],[Name]]="Tarp")</f>
        <v>0</v>
      </c>
      <c r="AS50" s="26" t="str">
        <f>IF(BedPlan[[#This Row],[Broadfork]],BedPlan[[#This Row],[Actual TP or DS Date]],"")</f>
        <v/>
      </c>
      <c r="AT50" s="26" t="str">
        <f>IF(BedPlan[[#This Row],[Tilther]],BedPlan[[#This Row],[Actual TP or DS Date]],"")</f>
        <v/>
      </c>
      <c r="AU50" s="26" t="str">
        <f>IF(NOT(ISBLANK(BedPlan[[#This Row],[Amend]])),BedPlan[[#This Row],[Actual TP or DS Date]],"")</f>
        <v/>
      </c>
      <c r="AV50" s="26" t="str">
        <f>IF(BedPlan[[#This Row],[Row Cover]],BedPlan[[#This Row],[Actual TP or DS Date]],"")</f>
        <v/>
      </c>
      <c r="AX50" s="26"/>
      <c r="AZ50" s="26"/>
      <c r="BB50" s="26"/>
      <c r="BC50" s="231" cm="1">
        <f t="array" ref="BC50">INDEX(Crops[],BedPlan[[#This Row],[Chart Index]],BC$4,1)*BedPlan[[#This Row],[Full Bed Equivalent]]</f>
        <v>300</v>
      </c>
      <c r="BD50" s="231" cm="1">
        <f t="array" ref="BD50">INDEX(Crops[],BedPlan[[#This Row],[Chart Index]],BD$4,1)*BedPlan[[#This Row],[Full Bed Equivalent]]</f>
        <v>4.6875</v>
      </c>
      <c r="BE50" cm="1">
        <f t="array" ref="BE50">INDEX(Crops[],BedPlan[[#This Row],[Chart Index]],BE$4,1)+BedPlan[[#This Row],[Additional Days in Cells]]+BedPlan[[#This Row],[Additional Days In Field]]</f>
        <v>80</v>
      </c>
      <c r="BG50" cm="1">
        <f t="array" ref="BG50">INDEX(Crops[],BedPlan[[#This Row],[Chart Index]],BG$4,1)</f>
        <v>14</v>
      </c>
      <c r="BH50" t="str">
        <f>IF(ISNUMBER(BedPlan[[#This Row],[Planned Greenhouse Start Date]]),"TP","DS")</f>
        <v>TP</v>
      </c>
      <c r="BI50">
        <f>BedPlan[[#This Row],['# Of Beds]]</f>
        <v>0.25</v>
      </c>
      <c r="BJ50" cm="1">
        <f t="array" ref="BJ50">INDEX(Crops[],BedPlan[[#This Row],[Chart Index]],BJ$4,1)</f>
        <v>30</v>
      </c>
      <c r="BK50" cm="1">
        <f t="array" ref="BK50">INDEX(Crops[],BedPlan[[#This Row],[Chart Index]],BK$4,1)</f>
        <v>5</v>
      </c>
      <c r="BL50" cm="1">
        <f t="array" ref="BL50">INDEX(Crops[],BedPlan[[#This Row],[Chart Index]],BL$4,1)</f>
        <v>6</v>
      </c>
      <c r="BM50" cm="1">
        <f t="array" ref="BM50">INDEX(Crops[],BedPlan[[#This Row],[Chart Index]],BM$4,1)</f>
        <v>3</v>
      </c>
      <c r="BN50" s="32" cm="1">
        <f t="array" ref="BN50">INDEX(Crops[],BedPlan[[#This Row],[Chart Index]],BN$4,1)*BedPlan[[#This Row],[Full Bed Equivalent]]</f>
        <v>125</v>
      </c>
      <c r="BO50" t="str" cm="1">
        <f t="array" ref="BO50">IF(INDEX(Crops[],BedPlan[[#This Row],[Chart Index]],BO$4,1)=0,"",INDEX(Crops[],BedPlan[[#This Row],[Chart Index]],BO$4,1))</f>
        <v/>
      </c>
      <c r="BP50">
        <f>MATCH(BedPlan[[#This Row],[Crop]],Crops[Identifier],FALSE)</f>
        <v>88</v>
      </c>
      <c r="BQ50" t="str" cm="1">
        <f t="array" ref="BQ50">INDEX(Crops[],BedPlan[[#This Row],[Chart Index]],BQ$4,1)</f>
        <v>General</v>
      </c>
      <c r="BR50" t="str" cm="1">
        <f t="array" ref="BR50">INDEX(Crops[],BedPlan[[#This Row],[Chart Index]],BR$4,1)</f>
        <v>Su</v>
      </c>
      <c r="BS50" s="32">
        <f>BedPlan[[#This Row],[Expected Beginning of Harvest]]-DATE(2023,1,1)</f>
        <v>1007</v>
      </c>
      <c r="BT50">
        <f>BedPlan[[#This Row],[Expected End of Harvest]]-BedPlan[[#This Row],[Expected Beginning of Harvest]]</f>
        <v>14</v>
      </c>
      <c r="BU50" t="str" cm="1">
        <f t="array" ref="BU50">INDEX(Crops[],BedPlan[[#This Row],[Chart Index]],BU$4,1)</f>
        <v>Herb</v>
      </c>
      <c r="BV50" cm="1">
        <f t="array" ref="BV50">INDEX(Crops[],BedPlan[[#This Row],[Chart Index]],BV$4,1)</f>
        <v>1</v>
      </c>
      <c r="BW50" t="str" cm="1">
        <f t="array" ref="BW50">INDEX(Crops[],BedPlan[[#This Row],[Chart Index]],BW$4,1)</f>
        <v>None</v>
      </c>
      <c r="BX50" cm="1">
        <f t="array" ref="BX50">INDEX(Crops[],BedPlan[[#This Row],[Chart Index]],BX$4,1)</f>
        <v>128</v>
      </c>
      <c r="BY50" cm="1">
        <f t="array" ref="BY50">INDEX(Crops[],BedPlan[[#This Row],[Chart Index]],BY$4,1)</f>
        <v>30</v>
      </c>
      <c r="BZ50" s="49" cm="1">
        <f t="array" ref="BZ50">IFERROR(INDEX(Crops[],BedPlan[[#This Row],[Chart Index]],BZ$4,1)*BedPlan[[#This Row],[Full Bed Equivalent]],"")</f>
        <v>1.07421875</v>
      </c>
      <c r="CA50" cm="1">
        <f t="array" ref="CA50">INDEX(Crops[],BedPlan[[#This Row],[Chart Index]],CA$4,1)</f>
        <v>0</v>
      </c>
      <c r="CB50" cm="1">
        <f t="array" ref="CB50">INDEX(Crops[],BedPlan[[#This Row],[Chart Index]],CB$4,1)</f>
        <v>0</v>
      </c>
      <c r="CC50" s="49" t="str" cm="1">
        <f t="array" ref="CC50">IFERROR(INDEX(Crops[],BedPlan[[#This Row],[Chart Index]],CC$4,1)*BedPlan[[#This Row],[Full Bed Equivalent]],"")</f>
        <v/>
      </c>
      <c r="CD50" cm="1">
        <f t="array" ref="CD50">INDEX(Crops[],BedPlan[[#This Row],[Chart Index]],CD$4,1)</f>
        <v>0</v>
      </c>
      <c r="CE50" cm="1">
        <f t="array" ref="CE50">IF(INDEX(Crops[],BedPlan[[#This Row],[Chart Index]],CE$4,1)="",0,INDEX(Crops[],BedPlan[[#This Row],[Chart Index]],CE$4,1))</f>
        <v>0</v>
      </c>
      <c r="CF50" s="49" t="str" cm="1">
        <f t="array" ref="CF50">IFERROR(INDEX(Crops[],BedPlan[[#This Row],[Chart Index]],CF$4,1)*BedPlan[[#This Row],[Full Bed Equivalent]],"")</f>
        <v/>
      </c>
      <c r="CG50" cm="1">
        <f t="array" ref="CG50">IF(INDEX(Crops[],BedPlan[[#This Row],[Chart Index]],CG$4,1)="",0,INDEX(Crops[],BedPlan[[#This Row],[Chart Index]],CG$4,1))</f>
        <v>1.1000000000000001</v>
      </c>
      <c r="CH50" cm="1">
        <f t="array" ref="CH50">IF(INDEX(Crops[],BedPlan[[#This Row],[Chart Index]],CH$4,1)="",0,INDEX(Crops[],BedPlan[[#This Row],[Chart Index]],CH$4,1))</f>
        <v>0</v>
      </c>
      <c r="CI50" t="str" cm="1">
        <f t="array" ref="CI50">INDEX(Crops[],BedPlan[[#This Row],[Chart Index]],CI$4,1)</f>
        <v>Field</v>
      </c>
      <c r="CJ50" s="30" t="str">
        <f>_xlfn.TEXTJOIN(CHAR(10),FALSE,BedPlan[[#This Row],[Name]],BedPlan[[#This Row],[Variety]],BedPlan[[#This Row],[Company]])</f>
        <v xml:space="preserve">Cilantro
Cilantro Mix
</v>
      </c>
      <c r="CK50" s="32">
        <f>MAX( 0, MIN(BedPlan[[#This Row],[Expected End of Harvest]], EOMONTH(CK$4, 0)) - MAX(BedPlan[[#This Row],[Beginning of Harvest]], CK$4) + 1 )</f>
        <v>0</v>
      </c>
      <c r="CL50">
        <f>MAX( 0, MIN(BedPlan[[#This Row],[Expected End of Harvest]], EOMONTH(CL$4, 0)) - MAX(BedPlan[[#This Row],[Beginning of Harvest]], CL$4) + 1 )</f>
        <v>0</v>
      </c>
      <c r="CM50">
        <f>MAX( 0, MIN(BedPlan[[#This Row],[Expected End of Harvest]], EOMONTH(CM$4, 0)) - MAX(BedPlan[[#This Row],[Beginning of Harvest]], CM$4) + 1 )</f>
        <v>0</v>
      </c>
      <c r="CN50">
        <f>MAX( 0, MIN(BedPlan[[#This Row],[Expected End of Harvest]], EOMONTH(CN$4, 0)) - MAX(BedPlan[[#This Row],[Beginning of Harvest]], CN$4) + 1 )</f>
        <v>0</v>
      </c>
      <c r="CO50">
        <f>MAX( 0, MIN(BedPlan[[#This Row],[Expected End of Harvest]], EOMONTH(CO$4, 0)) - MAX(BedPlan[[#This Row],[Beginning of Harvest]], CO$4) + 1 )</f>
        <v>0</v>
      </c>
      <c r="CP50">
        <f>MAX( 0, MIN(BedPlan[[#This Row],[Expected End of Harvest]], EOMONTH(CP$4, 0)) - MAX(BedPlan[[#This Row],[Beginning of Harvest]], CP$4) + 1 )</f>
        <v>0</v>
      </c>
      <c r="CQ50">
        <f>MAX( 0, MIN(BedPlan[[#This Row],[Expected End of Harvest]], EOMONTH(CQ$4, 0)) - MAX(BedPlan[[#This Row],[Beginning of Harvest]], CQ$4) + 1 )</f>
        <v>0</v>
      </c>
      <c r="CR50">
        <f>MAX( 0, MIN(BedPlan[[#This Row],[Expected End of Harvest]], EOMONTH(CR$4, 0)) - MAX(BedPlan[[#This Row],[Beginning of Harvest]], CR$4) + 1 )</f>
        <v>0</v>
      </c>
      <c r="CS50">
        <f>MAX( 0, MIN(BedPlan[[#This Row],[Expected End of Harvest]], EOMONTH(CS$4, 0)) - MAX(BedPlan[[#This Row],[Beginning of Harvest]], CS$4) + 1 )</f>
        <v>0</v>
      </c>
      <c r="CT50">
        <f>MAX( 0, MIN(BedPlan[[#This Row],[Expected End of Harvest]], EOMONTH(CT$4, 0)) - MAX(BedPlan[[#This Row],[Beginning of Harvest]], CT$4) + 1 )</f>
        <v>15</v>
      </c>
      <c r="CU50">
        <f>MAX( 0, MIN(BedPlan[[#This Row],[Expected End of Harvest]], EOMONTH(CU$4, 0)) - MAX(BedPlan[[#This Row],[Beginning of Harvest]], CU$4) + 1 )</f>
        <v>0</v>
      </c>
      <c r="CV50">
        <f>MAX( 0, MIN(BedPlan[[#This Row],[Expected End of Harvest]], EOMONTH(CV$4, 0)) - MAX(BedPlan[[#This Row],[Beginning of Harvest]], CV$4) + 1 )</f>
        <v>0</v>
      </c>
      <c r="CW50">
        <f>MAX( 0, MIN(BedPlan[[#This Row],[Expected End of Harvest]], EOMONTH(CW$4, 0)) - MAX(BedPlan[[#This Row],[Beginning of Harvest]], CW$4) + 1 )</f>
        <v>0</v>
      </c>
      <c r="CX50">
        <f>MAX( 0, MIN(BedPlan[[#This Row],[Expected End of Harvest]], EOMONTH(CX$4, 0)) - MAX(BedPlan[[#This Row],[Beginning of Harvest]], CX$4) + 1 )</f>
        <v>0</v>
      </c>
      <c r="CY50">
        <f>MAX( 0, MIN(BedPlan[[#This Row],[Expected End of Harvest]], EOMONTH(CY$4, 0)) - MAX(BedPlan[[#This Row],[Beginning of Harvest]], CY$4) + 1 )</f>
        <v>0</v>
      </c>
      <c r="CZ50">
        <f>MAX( 0, MIN(BedPlan[[#This Row],[Expected End of Harvest]], EOMONTH(CZ$4, 0)) - MAX(BedPlan[[#This Row],[Beginning of Harvest]], CZ$4) + 1 )</f>
        <v>0</v>
      </c>
      <c r="DA50">
        <f>MAX( 0, MIN(BedPlan[[#This Row],[Expected End of Harvest]], EOMONTH(DA$4, 0)) - MAX(BedPlan[[#This Row],[Beginning of Harvest]], DA$4) + 1 )</f>
        <v>0</v>
      </c>
      <c r="DB50">
        <f>MAX( 0, MIN(BedPlan[[#This Row],[Expected End of Harvest]], EOMONTH(DB$4, 0)) - MAX(BedPlan[[#This Row],[Beginning of Harvest]], DB$4) + 1 )</f>
        <v>0</v>
      </c>
      <c r="DC50">
        <f>MAX( 0, MIN(BedPlan[[#This Row],[Expected End of Harvest]], EOMONTH(DC$4, 0)) - MAX(BedPlan[[#This Row],[Beginning of Harvest]], DC$4) + 1 )</f>
        <v>0</v>
      </c>
      <c r="DD50">
        <f>MAX( 0, MIN(BedPlan[[#This Row],[Expected End of Harvest]], EOMONTH(DD$4, 0)) - MAX(BedPlan[[#This Row],[Beginning of Harvest]], DD$4) + 1 )</f>
        <v>0</v>
      </c>
      <c r="DE50">
        <f>MAX( 0, MIN(BedPlan[[#This Row],[Expected End of Harvest]], EOMONTH(DE$4, 0)) - MAX(BedPlan[[#This Row],[Beginning of Harvest]], DE$4) + 1 )</f>
        <v>0</v>
      </c>
      <c r="DF50">
        <f>MAX( 0, MIN(BedPlan[[#This Row],[Expected End of Harvest]], EOMONTH(DF$4, 0)) - MAX(BedPlan[[#This Row],[Beginning of Harvest]], DF$4) + 1 )</f>
        <v>0</v>
      </c>
      <c r="DG50">
        <f>MAX( 0, MIN(BedPlan[[#This Row],[Expected End of Harvest]], EOMONTH(DG$4, 0)) - MAX(BedPlan[[#This Row],[Beginning of Harvest]], DG$4) + 1 )</f>
        <v>0</v>
      </c>
      <c r="DH50">
        <f>MAX( 0, MIN(BedPlan[[#This Row],[Expected End of Harvest]], EOMONTH(DH$4, 0)) - MAX(BedPlan[[#This Row],[Beginning of Harvest]], DH$4) + 1 )</f>
        <v>0</v>
      </c>
      <c r="DI50" s="257" cm="1">
        <f t="array" ref="DI50">BedPlan[[#This Row],[Harvest Days January 2025]]/SUM(BedPlan[[#This Row],[Harvest Days January 2025]:[Harvest Days December 2026]])*BedPlan[[#This Row],[Revenue]:[Revenue]]</f>
        <v>0</v>
      </c>
      <c r="DJ50" s="257" cm="1">
        <f t="array" ref="DJ50">BedPlan[[#This Row],[Harvest Days February 2025]]/SUM(BedPlan[[#This Row],[Harvest Days January 2025]:[Harvest Days December 2026]])*BedPlan[[#This Row],[Revenue]:[Revenue]]</f>
        <v>0</v>
      </c>
      <c r="DK50" s="257" cm="1">
        <f t="array" ref="DK50">BedPlan[[#This Row],[Harvest Days March 2025]]/SUM(BedPlan[[#This Row],[Harvest Days January 2025]:[Harvest Days December 2026]])*BedPlan[[#This Row],[Revenue]:[Revenue]]</f>
        <v>0</v>
      </c>
      <c r="DL50" s="257" cm="1">
        <f t="array" ref="DL50">BedPlan[[#This Row],[Harvest Days April 2025]]/SUM(BedPlan[[#This Row],[Harvest Days January 2025]:[Harvest Days December 2026]])*BedPlan[[#This Row],[Revenue]:[Revenue]]</f>
        <v>0</v>
      </c>
      <c r="DM50" s="257" cm="1">
        <f t="array" ref="DM50">BedPlan[[#This Row],[Harvest Days May 2025]]/SUM(BedPlan[[#This Row],[Harvest Days January 2025]:[Harvest Days December 2026]])*BedPlan[[#This Row],[Revenue]:[Revenue]]</f>
        <v>0</v>
      </c>
      <c r="DN50" s="257" cm="1">
        <f t="array" ref="DN50">BedPlan[[#This Row],[Harvest Days June 2025]]/SUM(BedPlan[[#This Row],[Harvest Days January 2025]:[Harvest Days December 2026]])*BedPlan[[#This Row],[Revenue]:[Revenue]]</f>
        <v>0</v>
      </c>
      <c r="DO50" s="257" cm="1">
        <f t="array" ref="DO50">BedPlan[[#This Row],[Harvest Days July 2025]]/SUM(BedPlan[[#This Row],[Harvest Days January 2025]:[Harvest Days December 2026]])*BedPlan[[#This Row],[Revenue]:[Revenue]]</f>
        <v>0</v>
      </c>
      <c r="DP50" s="257" cm="1">
        <f t="array" ref="DP50">BedPlan[[#This Row],[Harvest Days August 2025]]/SUM(BedPlan[[#This Row],[Harvest Days January 2025]:[Harvest Days December 2026]])*BedPlan[[#This Row],[Revenue]:[Revenue]]</f>
        <v>0</v>
      </c>
      <c r="DQ50" s="257" cm="1">
        <f t="array" ref="DQ50">BedPlan[[#This Row],[Harvest Days September 2025]]/SUM(BedPlan[[#This Row],[Harvest Days January 2025]:[Harvest Days December 2026]])*BedPlan[[#This Row],[Revenue]:[Revenue]]</f>
        <v>0</v>
      </c>
      <c r="DR50" s="257" cm="1">
        <f t="array" ref="DR50">BedPlan[[#This Row],[Harvest Days October 2025]]/SUM(BedPlan[[#This Row],[Harvest Days January 2025]:[Harvest Days December 2026]])*BedPlan[[#This Row],[Revenue]:[Revenue]]</f>
        <v>300</v>
      </c>
      <c r="DS50" s="257" cm="1">
        <f t="array" ref="DS50">BedPlan[[#This Row],[Harvest Days November 2025]]/SUM(BedPlan[[#This Row],[Harvest Days January 2025]:[Harvest Days December 2026]])*BedPlan[[#This Row],[Revenue]:[Revenue]]</f>
        <v>0</v>
      </c>
      <c r="DT50" s="257" cm="1">
        <f t="array" ref="DT50">BedPlan[[#This Row],[Harvest Days December 2025]]/SUM(BedPlan[[#This Row],[Harvest Days January 2025]:[Harvest Days December 2026]])*BedPlan[[#This Row],[Revenue]:[Revenue]]</f>
        <v>0</v>
      </c>
      <c r="DU50" s="257" cm="1">
        <f t="array" ref="DU50">BedPlan[[#This Row],[Harvest Days January 2026]]/SUM(BedPlan[[#This Row],[Harvest Days January 2025]:[Harvest Days December 2026]])*BedPlan[[#This Row],[Revenue]:[Revenue]]</f>
        <v>0</v>
      </c>
      <c r="DV50" s="257" cm="1">
        <f t="array" ref="DV50">BedPlan[[#This Row],[Harvest Days February 2026]]/SUM(BedPlan[[#This Row],[Harvest Days January 2025]:[Harvest Days December 2026]])*BedPlan[[#This Row],[Revenue]:[Revenue]]</f>
        <v>0</v>
      </c>
      <c r="DW50" s="257" cm="1">
        <f t="array" ref="DW50">BedPlan[[#This Row],[Harvest Days March 2026]]/SUM(BedPlan[[#This Row],[Harvest Days January 2025]:[Harvest Days December 2026]])*BedPlan[[#This Row],[Revenue]:[Revenue]]</f>
        <v>0</v>
      </c>
      <c r="DX50" s="257" cm="1">
        <f t="array" ref="DX50">BedPlan[[#This Row],[Harvest Days April 2026]]/SUM(BedPlan[[#This Row],[Harvest Days January 2025]:[Harvest Days December 2026]])*BedPlan[[#This Row],[Revenue]:[Revenue]]</f>
        <v>0</v>
      </c>
      <c r="DY50" s="257" cm="1">
        <f t="array" ref="DY50">BedPlan[[#This Row],[Harvest Days May 2026]]/SUM(BedPlan[[#This Row],[Harvest Days January 2025]:[Harvest Days December 2026]])*BedPlan[[#This Row],[Revenue]:[Revenue]]</f>
        <v>0</v>
      </c>
      <c r="DZ50" s="257" cm="1">
        <f t="array" ref="DZ50">BedPlan[[#This Row],[Harvest Days June 2026]]/SUM(BedPlan[[#This Row],[Harvest Days January 2025]:[Harvest Days December 2026]])*BedPlan[[#This Row],[Revenue]:[Revenue]]</f>
        <v>0</v>
      </c>
      <c r="EA50" s="257" cm="1">
        <f t="array" ref="EA50">BedPlan[[#This Row],[Harvest Days July 2026]]/SUM(BedPlan[[#This Row],[Harvest Days January 2025]:[Harvest Days December 2026]])*BedPlan[[#This Row],[Revenue]:[Revenue]]</f>
        <v>0</v>
      </c>
      <c r="EB50" s="257" cm="1">
        <f t="array" ref="EB50">BedPlan[[#This Row],[Harvest Days August 2026]]/SUM(BedPlan[[#This Row],[Harvest Days January 2025]:[Harvest Days December 2026]])*BedPlan[[#This Row],[Revenue]:[Revenue]]</f>
        <v>0</v>
      </c>
      <c r="EC50" s="257" cm="1">
        <f t="array" ref="EC50">BedPlan[[#This Row],[Harvest Days September 2026]]/SUM(BedPlan[[#This Row],[Harvest Days January 2025]:[Harvest Days December 2026]])*BedPlan[[#This Row],[Revenue]:[Revenue]]</f>
        <v>0</v>
      </c>
      <c r="ED50" s="257" cm="1">
        <f t="array" ref="ED50">BedPlan[[#This Row],[Harvest Days October 2026]]/SUM(BedPlan[[#This Row],[Harvest Days January 2025]:[Harvest Days December 2026]])*BedPlan[[#This Row],[Revenue]:[Revenue]]</f>
        <v>0</v>
      </c>
      <c r="EE50" s="257" cm="1">
        <f t="array" ref="EE50">BedPlan[[#This Row],[Harvest Days November 2026]]/SUM(BedPlan[[#This Row],[Harvest Days January 2025]:[Harvest Days December 2026]])*BedPlan[[#This Row],[Revenue]:[Revenue]]</f>
        <v>0</v>
      </c>
      <c r="EF50" s="257" cm="1">
        <f t="array" ref="EF50">BedPlan[[#This Row],[Harvest Days December 2026]]/SUM(BedPlan[[#This Row],[Harvest Days January 2025]:[Harvest Days December 2026]])*BedPlan[[#This Row],[Revenue]:[Revenue]]</f>
        <v>0</v>
      </c>
      <c r="EG50" t="b">
        <f>SUM(BedPlan[[#This Row],[Revenue January 2025]:[Revenue December 2026]])=BedPlan[[#This Row],[Revenue]]</f>
        <v>1</v>
      </c>
      <c r="EH50" s="30" cm="1">
        <f t="array" ref="EH50">INDEX(Crops[],BedPlan[[#This Row],[Chart Index]],EH$4,1)*BedPlan[[#This Row],['# Of Beds]]</f>
        <v>100</v>
      </c>
      <c r="EI50" s="30" t="str" cm="1">
        <f t="array" ref="EI50">INDEX(Crops[],BedPlan[[#This Row],[Chart Index]],EI$4,1)</f>
        <v>Bunch</v>
      </c>
      <c r="EJ50" s="30" t="str" cm="1">
        <f t="array" ref="EJ50">INDEX(Crops[],BedPlan[[#This Row],[Chart Index]],EJ$4,1)</f>
        <v>Loose Leaf</v>
      </c>
      <c r="EK50" s="30" t="str">
        <f>BedPlan[[#This Row],[Name]]&amp;" "&amp;BedPlan[[#This Row],[Product]]&amp; " - " &amp;BedPlan[[#This Row],[Unit]]</f>
        <v>Cilantro Loose Leaf - Bunch</v>
      </c>
      <c r="EL50" s="33" cm="1">
        <f t="array" ref="EL50">BedPlan[[#This Row],[Harvest Days January 2025]]/SUM(BedPlan[[#This Row],[Harvest Days January 2025]:[Harvest Days December 2026]])*BedPlan[[#This Row],[Yield]:[Yield]]</f>
        <v>0</v>
      </c>
      <c r="EM50" s="33" cm="1">
        <f t="array" ref="EM50">BedPlan[[#This Row],[Harvest Days February 2025]]/SUM(BedPlan[[#This Row],[Harvest Days January 2025]:[Harvest Days December 2026]])*BedPlan[[#This Row],[Yield]:[Yield]]</f>
        <v>0</v>
      </c>
      <c r="EN50" s="33" cm="1">
        <f t="array" ref="EN50">BedPlan[[#This Row],[Harvest Days March 2025]]/SUM(BedPlan[[#This Row],[Harvest Days January 2025]:[Harvest Days December 2026]])*BedPlan[[#This Row],[Yield]:[Yield]]</f>
        <v>0</v>
      </c>
      <c r="EO50" s="33" cm="1">
        <f t="array" ref="EO50">BedPlan[[#This Row],[Harvest Days April 2025]]/SUM(BedPlan[[#This Row],[Harvest Days January 2025]:[Harvest Days December 2026]])*BedPlan[[#This Row],[Yield]:[Yield]]</f>
        <v>0</v>
      </c>
      <c r="EP50" s="33" cm="1">
        <f t="array" ref="EP50">BedPlan[[#This Row],[Harvest Days May 2025]]/SUM(BedPlan[[#This Row],[Harvest Days January 2025]:[Harvest Days December 2026]])*BedPlan[[#This Row],[Yield]:[Yield]]</f>
        <v>0</v>
      </c>
      <c r="EQ50" s="33" cm="1">
        <f t="array" ref="EQ50">BedPlan[[#This Row],[Harvest Days June 2025]]/SUM(BedPlan[[#This Row],[Harvest Days January 2025]:[Harvest Days December 2026]])*BedPlan[[#This Row],[Yield]:[Yield]]</f>
        <v>0</v>
      </c>
      <c r="ER50" s="33" cm="1">
        <f t="array" ref="ER50">BedPlan[[#This Row],[Harvest Days July 2025]]/SUM(BedPlan[[#This Row],[Harvest Days January 2025]:[Harvest Days December 2026]])*BedPlan[[#This Row],[Yield]:[Yield]]</f>
        <v>0</v>
      </c>
      <c r="ES50" s="33" cm="1">
        <f t="array" ref="ES50">BedPlan[[#This Row],[Harvest Days August 2025]]/SUM(BedPlan[[#This Row],[Harvest Days January 2025]:[Harvest Days December 2026]])*BedPlan[[#This Row],[Yield]:[Yield]]</f>
        <v>0</v>
      </c>
      <c r="ET50" s="33" cm="1">
        <f t="array" ref="ET50">BedPlan[[#This Row],[Harvest Days September 2025]]/SUM(BedPlan[[#This Row],[Harvest Days January 2025]:[Harvest Days December 2026]])*BedPlan[[#This Row],[Yield]:[Yield]]</f>
        <v>0</v>
      </c>
      <c r="EU50" s="33" cm="1">
        <f t="array" ref="EU50">BedPlan[[#This Row],[Harvest Days October 2025]]/SUM(BedPlan[[#This Row],[Harvest Days January 2025]:[Harvest Days December 2026]])*BedPlan[[#This Row],[Yield]:[Yield]]</f>
        <v>100</v>
      </c>
      <c r="EV50" s="33" cm="1">
        <f t="array" ref="EV50">BedPlan[[#This Row],[Harvest Days November 2025]]/SUM(BedPlan[[#This Row],[Harvest Days January 2025]:[Harvest Days December 2026]])*BedPlan[[#This Row],[Yield]:[Yield]]</f>
        <v>0</v>
      </c>
      <c r="EW50" s="33" cm="1">
        <f t="array" ref="EW50">BedPlan[[#This Row],[Harvest Days December 2025]]/SUM(BedPlan[[#This Row],[Harvest Days January 2025]:[Harvest Days December 2026]])*BedPlan[[#This Row],[Yield]:[Yield]]</f>
        <v>0</v>
      </c>
    </row>
    <row r="51" spans="1:153" ht="15.75" customHeight="1">
      <c r="A51" s="181" t="s">
        <v>1886</v>
      </c>
      <c r="B51" t="s">
        <v>2640</v>
      </c>
      <c r="C51" t="s">
        <v>1440</v>
      </c>
      <c r="D51" cm="1">
        <f t="array" ref="D51">INDEX(Crops[],BedPlan[[#This Row],[Chart Index]],D$4,1)*BedPlan[[#This Row],[Full Bed Equivalent]]</f>
        <v>100</v>
      </c>
      <c r="E51" cm="1">
        <f t="array" ref="E51">INDEX(Crops[],BedPlan[[#This Row],[Chart Index]],E$4,1)*BedPlan[[#This Row],[Full Bed Equivalent]]</f>
        <v>200</v>
      </c>
      <c r="F51" t="str">
        <f>UPPER(LEFT(BedPlan[[#This Row],[Crop]],3))</f>
        <v>COR</v>
      </c>
      <c r="H51" s="143" t="str" cm="1">
        <f t="array" ref="H51">INDEX(Crops[],BedPlan[[#This Row],[Chart Index]],H$4,1)</f>
        <v xml:space="preserve">Corn </v>
      </c>
      <c r="I51" t="s">
        <v>1873</v>
      </c>
      <c r="K51" t="str" cm="1">
        <f t="array" ref="K51">IF(ISNUMBER(MATCH(BedPlan[[#This Row],[Variety]],SeedMixes[Name],)),_xlfn.TEXTJOIN(", ",TRUE,_xlfn._xlws.FILTER(SeedMixes[Variety &amp; Company],SeedMixes[Name]=BedPlan[[#This Row],[Variety]])),"")</f>
        <v>Enchanted F1 High Mowing, New Mama Super Sweet Adaptive</v>
      </c>
      <c r="L51" s="33" cm="1">
        <f t="array" ref="L51">INDEX(Crops[],BedPlan[[#This Row],[Chart Index]],L$4,1)*BedPlan[[#This Row],[Full Bed Equivalent]]</f>
        <v>1040</v>
      </c>
      <c r="N51">
        <v>2</v>
      </c>
      <c r="O51">
        <f>MAX(BedPlan[[#This Row],['# Of Beds]],0.5)</f>
        <v>2</v>
      </c>
      <c r="P51" s="31">
        <f>IF(ISNUMBER(BedPlan[[#This Row],[Planned Greenhouse Start Date]]),BedPlan[[#This Row],[Planned Greenhouse Start Date]],BedPlan[[#This Row],[Planned TP or DS Date]])</f>
        <v>45823</v>
      </c>
      <c r="Q51" s="259" t="str">
        <f>IF(BedPlan[[#This Row],[Days in Cells]]=0,"",IFERROR(_xlfn.XLOOKUP(BedPlan[[#This Row],[Follows Crop]],BedPlan[Identifier],BedPlan[Expected End of Harvest]) + 1+BedPlan[[#This Row],[Follow Offset]],BedPlan[[#This Row],[Fixed Field Start Date]])-BedPlan[[#This Row],[Days in Cells]])</f>
        <v/>
      </c>
      <c r="R51" s="259"/>
      <c r="S51" s="259" t="str">
        <f>IF(ISNUMBER(BedPlan[[#This Row],[Actual Greenhouse Date]]),BedPlan[[#This Row],[Actual Greenhouse Date]],BedPlan[[#This Row],[Planned Greenhouse Start Date]])</f>
        <v/>
      </c>
      <c r="T51" s="259">
        <v>45823</v>
      </c>
      <c r="U51" s="260"/>
      <c r="V51" s="260"/>
      <c r="W5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45823</v>
      </c>
      <c r="X51" s="259">
        <v>45828</v>
      </c>
      <c r="Y51" s="271">
        <f>BedPlan[[#This Row],[Actual TP or DS Date]]-BedPlan[[#This Row],[Planned TP or DS Date]]</f>
        <v>5</v>
      </c>
      <c r="Z51" s="259">
        <f>IF(ISNUMBER(BedPlan[[#This Row],[Actual TP or DS Date]]),BedPlan[[#This Row],[Actual TP or DS Date]],BedPlan[[#This Row],[Planned TP or DS Date]])</f>
        <v>45828</v>
      </c>
      <c r="AA51" s="260"/>
      <c r="AB51" s="259">
        <f>IF(ISNUMBER(BedPlan[[#This Row],[Greenhouse Start Date]]),BedPlan[[#This Row],[Greenhouse Start Date]]+BedPlan[[#This Row],[DTM]],BedPlan[[#This Row],[TP or DS Date]]+BedPlan[[#This Row],[DTM]])</f>
        <v>45928</v>
      </c>
      <c r="AC51" s="259"/>
      <c r="AD51" s="259">
        <f>IF(ISNUMBER(BedPlan[[#This Row],[Actual Beginning of Harvest]]),BedPlan[[#This Row],[Actual Beginning of Harvest]],BedPlan[[#This Row],[Expected Beginning of Harvest]])</f>
        <v>45928</v>
      </c>
      <c r="AE51" s="259">
        <f>BedPlan[[#This Row],[Expected Beginning of Harvest]]+BedPlan[[#This Row],[Harvest Window]]+BedPlan[[#This Row],[Additional Days of Harvest]]</f>
        <v>45942</v>
      </c>
      <c r="AF51" s="259"/>
      <c r="AG51" s="259"/>
      <c r="AH51" s="31" t="b">
        <f>IF(AND( BedPlan[[#This Row],[Expected End of Harvest]] &gt;= DATE(2025, 8, 1), BedPlan[[#This Row],[Beginning of Harvest]] &lt;= DATE(2025, 8, 31) ), TRUE, FALSE)</f>
        <v>0</v>
      </c>
      <c r="AI51" s="31"/>
      <c r="AJ51" s="31">
        <f>IF(ISNUMBER(BedPlan[[#This Row],[Actual End of Harvest]]),BedPlan[[#This Row],[Actual End of Harvest]],BedPlan[[#This Row],[Expected End of Harvest]])</f>
        <v>45942</v>
      </c>
      <c r="AK51" t="b">
        <f>OR(ISNUMBER(BedPlan[[#This Row],[Actual Greenhouse Date]]),ISNUMBER(BedPlan[[#This Row],[Actual TP or DS Date]]))</f>
        <v>1</v>
      </c>
      <c r="AL51" s="52" t="str">
        <f>IF(ISNUMBER(BedPlan[[#This Row],[Planned Greenhouse Start Date]]),OR(ISNUMBER(BedPlan[[#This Row],[Actual TP or DS Date]]),BedPlan[[#This Row],[Failed]]),"-")</f>
        <v>-</v>
      </c>
      <c r="AM51" t="b">
        <f>OR(ISNUMBER(BedPlan[[#This Row],[Actual End of Harvest]]),BedPlan[[#This Row],[Failed]])</f>
        <v>0</v>
      </c>
      <c r="AN51" t="b">
        <f>OR(BedPlan[[#This Row],[Harvest Done]],BedPlan[[#This Row],[Failed]],BedPlan[[#This Row],[Name]]="Tarp")</f>
        <v>0</v>
      </c>
      <c r="AS51" s="26" t="str">
        <f>IF(BedPlan[[#This Row],[Broadfork]],BedPlan[[#This Row],[Actual TP or DS Date]],"")</f>
        <v/>
      </c>
      <c r="AT51" s="26" t="str">
        <f>IF(BedPlan[[#This Row],[Tilther]],BedPlan[[#This Row],[Actual TP or DS Date]],"")</f>
        <v/>
      </c>
      <c r="AU51" s="26" t="str">
        <f>IF(NOT(ISBLANK(BedPlan[[#This Row],[Amend]])),BedPlan[[#This Row],[Actual TP or DS Date]],"")</f>
        <v/>
      </c>
      <c r="AV51" s="26" t="str">
        <f>IF(BedPlan[[#This Row],[Row Cover]],BedPlan[[#This Row],[Actual TP or DS Date]],"")</f>
        <v/>
      </c>
      <c r="AX51" s="26"/>
      <c r="AZ51" s="26"/>
      <c r="BB51" s="26"/>
      <c r="BC51" s="231" cm="1">
        <f t="array" ref="BC51">INDEX(Crops[],BedPlan[[#This Row],[Chart Index]],BC$4,1)*BedPlan[[#This Row],[Full Bed Equivalent]]</f>
        <v>800</v>
      </c>
      <c r="BD51" s="231" cm="1">
        <f t="array" ref="BD51">INDEX(Crops[],BedPlan[[#This Row],[Chart Index]],BD$4,1)*BedPlan[[#This Row],[Full Bed Equivalent]]</f>
        <v>7.0175438596491224</v>
      </c>
      <c r="BE51" cm="1">
        <f t="array" ref="BE51">INDEX(Crops[],BedPlan[[#This Row],[Chart Index]],BE$4,1)+BedPlan[[#This Row],[Additional Days in Cells]]+BedPlan[[#This Row],[Additional Days In Field]]</f>
        <v>100</v>
      </c>
      <c r="BG51" cm="1">
        <f t="array" ref="BG51">INDEX(Crops[],BedPlan[[#This Row],[Chart Index]],BG$4,1)</f>
        <v>14</v>
      </c>
      <c r="BH51" t="str">
        <f>IF(ISNUMBER(BedPlan[[#This Row],[Planned Greenhouse Start Date]]),"TP","DS")</f>
        <v>DS</v>
      </c>
      <c r="BI51">
        <f>BedPlan[[#This Row],['# Of Beds]]</f>
        <v>2</v>
      </c>
      <c r="BJ51" cm="1">
        <f t="array" ref="BJ51">INDEX(Crops[],BedPlan[[#This Row],[Chart Index]],BJ$4,1)</f>
        <v>0</v>
      </c>
      <c r="BK51" cm="1">
        <f t="array" ref="BK51">INDEX(Crops[],BedPlan[[#This Row],[Chart Index]],BK$4,1)</f>
        <v>3</v>
      </c>
      <c r="BL51" cm="1">
        <f t="array" ref="BL51">INDEX(Crops[],BedPlan[[#This Row],[Chart Index]],BL$4,1)</f>
        <v>9</v>
      </c>
      <c r="BM51" cm="1">
        <f t="array" ref="BM51">INDEX(Crops[],BedPlan[[#This Row],[Chart Index]],BM$4,1)</f>
        <v>2</v>
      </c>
      <c r="BN51" s="32" cm="1">
        <f t="array" ref="BN51">INDEX(Crops[],BedPlan[[#This Row],[Chart Index]],BN$4,1)*BedPlan[[#This Row],[Full Bed Equivalent]]</f>
        <v>400</v>
      </c>
      <c r="BO51" t="str" cm="1">
        <f t="array" ref="BO51">IF(INDEX(Crops[],BedPlan[[#This Row],[Chart Index]],BO$4,1)=0,"",INDEX(Crops[],BedPlan[[#This Row],[Chart Index]],BO$4,1))</f>
        <v>DR</v>
      </c>
      <c r="BP51">
        <f>MATCH(BedPlan[[#This Row],[Crop]],Crops[Identifier],FALSE)</f>
        <v>94</v>
      </c>
      <c r="BQ51" t="str" cm="1">
        <f t="array" ref="BQ51">INDEX(Crops[],BedPlan[[#This Row],[Chart Index]],BQ$4,1)</f>
        <v>Sweet Early</v>
      </c>
      <c r="BR51" t="str" cm="1">
        <f t="array" ref="BR51">INDEX(Crops[],BedPlan[[#This Row],[Chart Index]],BR$4,1)</f>
        <v/>
      </c>
      <c r="BS51" s="32">
        <f>BedPlan[[#This Row],[Expected Beginning of Harvest]]-DATE(2023,1,1)</f>
        <v>1001</v>
      </c>
      <c r="BT51">
        <f>BedPlan[[#This Row],[Expected End of Harvest]]-BedPlan[[#This Row],[Expected Beginning of Harvest]]</f>
        <v>14</v>
      </c>
      <c r="BU51" t="str" cm="1">
        <f t="array" ref="BU51">INDEX(Crops[],BedPlan[[#This Row],[Chart Index]],BU$4,1)</f>
        <v>Corn</v>
      </c>
      <c r="BV51" cm="1">
        <f t="array" ref="BV51">INDEX(Crops[],BedPlan[[#This Row],[Chart Index]],BV$4,1)</f>
        <v>4</v>
      </c>
      <c r="BW51" t="str" cm="1">
        <f t="array" ref="BW51">INDEX(Crops[],BedPlan[[#This Row],[Chart Index]],BW$4,1)</f>
        <v>None</v>
      </c>
      <c r="BX51" cm="1">
        <f t="array" ref="BX51">INDEX(Crops[],BedPlan[[#This Row],[Chart Index]],BX$4,1)</f>
        <v>0</v>
      </c>
      <c r="BY51" cm="1">
        <f t="array" ref="BY51">INDEX(Crops[],BedPlan[[#This Row],[Chart Index]],BY$4,1)</f>
        <v>0</v>
      </c>
      <c r="BZ51" s="49" t="str" cm="1">
        <f t="array" ref="BZ51">IFERROR(INDEX(Crops[],BedPlan[[#This Row],[Chart Index]],BZ$4,1)*BedPlan[[#This Row],[Full Bed Equivalent]],"")</f>
        <v/>
      </c>
      <c r="CA51" cm="1">
        <f t="array" ref="CA51">INDEX(Crops[],BedPlan[[#This Row],[Chart Index]],CA$4,1)</f>
        <v>0</v>
      </c>
      <c r="CB51" cm="1">
        <f t="array" ref="CB51">INDEX(Crops[],BedPlan[[#This Row],[Chart Index]],CB$4,1)</f>
        <v>0</v>
      </c>
      <c r="CC51" s="49" t="str" cm="1">
        <f t="array" ref="CC51">IFERROR(INDEX(Crops[],BedPlan[[#This Row],[Chart Index]],CC$4,1)*BedPlan[[#This Row],[Full Bed Equivalent]],"")</f>
        <v/>
      </c>
      <c r="CD51" cm="1">
        <f t="array" ref="CD51">INDEX(Crops[],BedPlan[[#This Row],[Chart Index]],CD$4,1)</f>
        <v>0</v>
      </c>
      <c r="CE51" cm="1">
        <f t="array" ref="CE51">IF(INDEX(Crops[],BedPlan[[#This Row],[Chart Index]],CE$4,1)="",0,INDEX(Crops[],BedPlan[[#This Row],[Chart Index]],CE$4,1))</f>
        <v>0</v>
      </c>
      <c r="CF51" s="49" t="str" cm="1">
        <f t="array" ref="CF51">IFERROR(INDEX(Crops[],BedPlan[[#This Row],[Chart Index]],CF$4,1)*BedPlan[[#This Row],[Full Bed Equivalent]],"")</f>
        <v/>
      </c>
      <c r="CG51" cm="1">
        <f t="array" ref="CG51">IF(INDEX(Crops[],BedPlan[[#This Row],[Chart Index]],CG$4,1)="",0,INDEX(Crops[],BedPlan[[#This Row],[Chart Index]],CG$4,1))</f>
        <v>1.3</v>
      </c>
      <c r="CH51" cm="1">
        <f t="array" ref="CH51">IF(INDEX(Crops[],BedPlan[[#This Row],[Chart Index]],CH$4,1)="",0,INDEX(Crops[],BedPlan[[#This Row],[Chart Index]],CH$4,1))</f>
        <v>0</v>
      </c>
      <c r="CI51" t="str" cm="1">
        <f t="array" ref="CI51">INDEX(Crops[],BedPlan[[#This Row],[Chart Index]],CI$4,1)</f>
        <v>Field</v>
      </c>
      <c r="CJ51" s="30" t="str">
        <f>_xlfn.TEXTJOIN(CHAR(10),FALSE,BedPlan[[#This Row],[Name]],BedPlan[[#This Row],[Variety]],BedPlan[[#This Row],[Company]])</f>
        <v xml:space="preserve">Corn 
Corn Mix
</v>
      </c>
      <c r="CK51" s="32">
        <f>MAX( 0, MIN(BedPlan[[#This Row],[Expected End of Harvest]], EOMONTH(CK$4, 0)) - MAX(BedPlan[[#This Row],[Beginning of Harvest]], CK$4) + 1 )</f>
        <v>0</v>
      </c>
      <c r="CL51">
        <f>MAX( 0, MIN(BedPlan[[#This Row],[Expected End of Harvest]], EOMONTH(CL$4, 0)) - MAX(BedPlan[[#This Row],[Beginning of Harvest]], CL$4) + 1 )</f>
        <v>0</v>
      </c>
      <c r="CM51">
        <f>MAX( 0, MIN(BedPlan[[#This Row],[Expected End of Harvest]], EOMONTH(CM$4, 0)) - MAX(BedPlan[[#This Row],[Beginning of Harvest]], CM$4) + 1 )</f>
        <v>0</v>
      </c>
      <c r="CN51">
        <f>MAX( 0, MIN(BedPlan[[#This Row],[Expected End of Harvest]], EOMONTH(CN$4, 0)) - MAX(BedPlan[[#This Row],[Beginning of Harvest]], CN$4) + 1 )</f>
        <v>0</v>
      </c>
      <c r="CO51">
        <f>MAX( 0, MIN(BedPlan[[#This Row],[Expected End of Harvest]], EOMONTH(CO$4, 0)) - MAX(BedPlan[[#This Row],[Beginning of Harvest]], CO$4) + 1 )</f>
        <v>0</v>
      </c>
      <c r="CP51">
        <f>MAX( 0, MIN(BedPlan[[#This Row],[Expected End of Harvest]], EOMONTH(CP$4, 0)) - MAX(BedPlan[[#This Row],[Beginning of Harvest]], CP$4) + 1 )</f>
        <v>0</v>
      </c>
      <c r="CQ51">
        <f>MAX( 0, MIN(BedPlan[[#This Row],[Expected End of Harvest]], EOMONTH(CQ$4, 0)) - MAX(BedPlan[[#This Row],[Beginning of Harvest]], CQ$4) + 1 )</f>
        <v>0</v>
      </c>
      <c r="CR51">
        <f>MAX( 0, MIN(BedPlan[[#This Row],[Expected End of Harvest]], EOMONTH(CR$4, 0)) - MAX(BedPlan[[#This Row],[Beginning of Harvest]], CR$4) + 1 )</f>
        <v>0</v>
      </c>
      <c r="CS51">
        <f>MAX( 0, MIN(BedPlan[[#This Row],[Expected End of Harvest]], EOMONTH(CS$4, 0)) - MAX(BedPlan[[#This Row],[Beginning of Harvest]], CS$4) + 1 )</f>
        <v>3</v>
      </c>
      <c r="CT51">
        <f>MAX( 0, MIN(BedPlan[[#This Row],[Expected End of Harvest]], EOMONTH(CT$4, 0)) - MAX(BedPlan[[#This Row],[Beginning of Harvest]], CT$4) + 1 )</f>
        <v>12</v>
      </c>
      <c r="CU51">
        <f>MAX( 0, MIN(BedPlan[[#This Row],[Expected End of Harvest]], EOMONTH(CU$4, 0)) - MAX(BedPlan[[#This Row],[Beginning of Harvest]], CU$4) + 1 )</f>
        <v>0</v>
      </c>
      <c r="CV51">
        <f>MAX( 0, MIN(BedPlan[[#This Row],[Expected End of Harvest]], EOMONTH(CV$4, 0)) - MAX(BedPlan[[#This Row],[Beginning of Harvest]], CV$4) + 1 )</f>
        <v>0</v>
      </c>
      <c r="CW51">
        <f>MAX( 0, MIN(BedPlan[[#This Row],[Expected End of Harvest]], EOMONTH(CW$4, 0)) - MAX(BedPlan[[#This Row],[Beginning of Harvest]], CW$4) + 1 )</f>
        <v>0</v>
      </c>
      <c r="CX51">
        <f>MAX( 0, MIN(BedPlan[[#This Row],[Expected End of Harvest]], EOMONTH(CX$4, 0)) - MAX(BedPlan[[#This Row],[Beginning of Harvest]], CX$4) + 1 )</f>
        <v>0</v>
      </c>
      <c r="CY51">
        <f>MAX( 0, MIN(BedPlan[[#This Row],[Expected End of Harvest]], EOMONTH(CY$4, 0)) - MAX(BedPlan[[#This Row],[Beginning of Harvest]], CY$4) + 1 )</f>
        <v>0</v>
      </c>
      <c r="CZ51">
        <f>MAX( 0, MIN(BedPlan[[#This Row],[Expected End of Harvest]], EOMONTH(CZ$4, 0)) - MAX(BedPlan[[#This Row],[Beginning of Harvest]], CZ$4) + 1 )</f>
        <v>0</v>
      </c>
      <c r="DA51">
        <f>MAX( 0, MIN(BedPlan[[#This Row],[Expected End of Harvest]], EOMONTH(DA$4, 0)) - MAX(BedPlan[[#This Row],[Beginning of Harvest]], DA$4) + 1 )</f>
        <v>0</v>
      </c>
      <c r="DB51">
        <f>MAX( 0, MIN(BedPlan[[#This Row],[Expected End of Harvest]], EOMONTH(DB$4, 0)) - MAX(BedPlan[[#This Row],[Beginning of Harvest]], DB$4) + 1 )</f>
        <v>0</v>
      </c>
      <c r="DC51">
        <f>MAX( 0, MIN(BedPlan[[#This Row],[Expected End of Harvest]], EOMONTH(DC$4, 0)) - MAX(BedPlan[[#This Row],[Beginning of Harvest]], DC$4) + 1 )</f>
        <v>0</v>
      </c>
      <c r="DD51">
        <f>MAX( 0, MIN(BedPlan[[#This Row],[Expected End of Harvest]], EOMONTH(DD$4, 0)) - MAX(BedPlan[[#This Row],[Beginning of Harvest]], DD$4) + 1 )</f>
        <v>0</v>
      </c>
      <c r="DE51">
        <f>MAX( 0, MIN(BedPlan[[#This Row],[Expected End of Harvest]], EOMONTH(DE$4, 0)) - MAX(BedPlan[[#This Row],[Beginning of Harvest]], DE$4) + 1 )</f>
        <v>0</v>
      </c>
      <c r="DF51">
        <f>MAX( 0, MIN(BedPlan[[#This Row],[Expected End of Harvest]], EOMONTH(DF$4, 0)) - MAX(BedPlan[[#This Row],[Beginning of Harvest]], DF$4) + 1 )</f>
        <v>0</v>
      </c>
      <c r="DG51">
        <f>MAX( 0, MIN(BedPlan[[#This Row],[Expected End of Harvest]], EOMONTH(DG$4, 0)) - MAX(BedPlan[[#This Row],[Beginning of Harvest]], DG$4) + 1 )</f>
        <v>0</v>
      </c>
      <c r="DH51">
        <f>MAX( 0, MIN(BedPlan[[#This Row],[Expected End of Harvest]], EOMONTH(DH$4, 0)) - MAX(BedPlan[[#This Row],[Beginning of Harvest]], DH$4) + 1 )</f>
        <v>0</v>
      </c>
      <c r="DI51" s="257" cm="1">
        <f t="array" ref="DI51">BedPlan[[#This Row],[Harvest Days January 2025]]/SUM(BedPlan[[#This Row],[Harvest Days January 2025]:[Harvest Days December 2026]])*BedPlan[[#This Row],[Revenue]:[Revenue]]</f>
        <v>0</v>
      </c>
      <c r="DJ51" s="257" cm="1">
        <f t="array" ref="DJ51">BedPlan[[#This Row],[Harvest Days February 2025]]/SUM(BedPlan[[#This Row],[Harvest Days January 2025]:[Harvest Days December 2026]])*BedPlan[[#This Row],[Revenue]:[Revenue]]</f>
        <v>0</v>
      </c>
      <c r="DK51" s="257" cm="1">
        <f t="array" ref="DK51">BedPlan[[#This Row],[Harvest Days March 2025]]/SUM(BedPlan[[#This Row],[Harvest Days January 2025]:[Harvest Days December 2026]])*BedPlan[[#This Row],[Revenue]:[Revenue]]</f>
        <v>0</v>
      </c>
      <c r="DL51" s="257" cm="1">
        <f t="array" ref="DL51">BedPlan[[#This Row],[Harvest Days April 2025]]/SUM(BedPlan[[#This Row],[Harvest Days January 2025]:[Harvest Days December 2026]])*BedPlan[[#This Row],[Revenue]:[Revenue]]</f>
        <v>0</v>
      </c>
      <c r="DM51" s="257" cm="1">
        <f t="array" ref="DM51">BedPlan[[#This Row],[Harvest Days May 2025]]/SUM(BedPlan[[#This Row],[Harvest Days January 2025]:[Harvest Days December 2026]])*BedPlan[[#This Row],[Revenue]:[Revenue]]</f>
        <v>0</v>
      </c>
      <c r="DN51" s="257" cm="1">
        <f t="array" ref="DN51">BedPlan[[#This Row],[Harvest Days June 2025]]/SUM(BedPlan[[#This Row],[Harvest Days January 2025]:[Harvest Days December 2026]])*BedPlan[[#This Row],[Revenue]:[Revenue]]</f>
        <v>0</v>
      </c>
      <c r="DO51" s="257" cm="1">
        <f t="array" ref="DO51">BedPlan[[#This Row],[Harvest Days July 2025]]/SUM(BedPlan[[#This Row],[Harvest Days January 2025]:[Harvest Days December 2026]])*BedPlan[[#This Row],[Revenue]:[Revenue]]</f>
        <v>0</v>
      </c>
      <c r="DP51" s="257" cm="1">
        <f t="array" ref="DP51">BedPlan[[#This Row],[Harvest Days August 2025]]/SUM(BedPlan[[#This Row],[Harvest Days January 2025]:[Harvest Days December 2026]])*BedPlan[[#This Row],[Revenue]:[Revenue]]</f>
        <v>0</v>
      </c>
      <c r="DQ51" s="257" cm="1">
        <f t="array" ref="DQ51">BedPlan[[#This Row],[Harvest Days September 2025]]/SUM(BedPlan[[#This Row],[Harvest Days January 2025]:[Harvest Days December 2026]])*BedPlan[[#This Row],[Revenue]:[Revenue]]</f>
        <v>160</v>
      </c>
      <c r="DR51" s="257" cm="1">
        <f t="array" ref="DR51">BedPlan[[#This Row],[Harvest Days October 2025]]/SUM(BedPlan[[#This Row],[Harvest Days January 2025]:[Harvest Days December 2026]])*BedPlan[[#This Row],[Revenue]:[Revenue]]</f>
        <v>640</v>
      </c>
      <c r="DS51" s="257" cm="1">
        <f t="array" ref="DS51">BedPlan[[#This Row],[Harvest Days November 2025]]/SUM(BedPlan[[#This Row],[Harvest Days January 2025]:[Harvest Days December 2026]])*BedPlan[[#This Row],[Revenue]:[Revenue]]</f>
        <v>0</v>
      </c>
      <c r="DT51" s="257" cm="1">
        <f t="array" ref="DT51">BedPlan[[#This Row],[Harvest Days December 2025]]/SUM(BedPlan[[#This Row],[Harvest Days January 2025]:[Harvest Days December 2026]])*BedPlan[[#This Row],[Revenue]:[Revenue]]</f>
        <v>0</v>
      </c>
      <c r="DU51" s="257" cm="1">
        <f t="array" ref="DU51">BedPlan[[#This Row],[Harvest Days January 2026]]/SUM(BedPlan[[#This Row],[Harvest Days January 2025]:[Harvest Days December 2026]])*BedPlan[[#This Row],[Revenue]:[Revenue]]</f>
        <v>0</v>
      </c>
      <c r="DV51" s="257" cm="1">
        <f t="array" ref="DV51">BedPlan[[#This Row],[Harvest Days February 2026]]/SUM(BedPlan[[#This Row],[Harvest Days January 2025]:[Harvest Days December 2026]])*BedPlan[[#This Row],[Revenue]:[Revenue]]</f>
        <v>0</v>
      </c>
      <c r="DW51" s="257" cm="1">
        <f t="array" ref="DW51">BedPlan[[#This Row],[Harvest Days March 2026]]/SUM(BedPlan[[#This Row],[Harvest Days January 2025]:[Harvest Days December 2026]])*BedPlan[[#This Row],[Revenue]:[Revenue]]</f>
        <v>0</v>
      </c>
      <c r="DX51" s="257" cm="1">
        <f t="array" ref="DX51">BedPlan[[#This Row],[Harvest Days April 2026]]/SUM(BedPlan[[#This Row],[Harvest Days January 2025]:[Harvest Days December 2026]])*BedPlan[[#This Row],[Revenue]:[Revenue]]</f>
        <v>0</v>
      </c>
      <c r="DY51" s="257" cm="1">
        <f t="array" ref="DY51">BedPlan[[#This Row],[Harvest Days May 2026]]/SUM(BedPlan[[#This Row],[Harvest Days January 2025]:[Harvest Days December 2026]])*BedPlan[[#This Row],[Revenue]:[Revenue]]</f>
        <v>0</v>
      </c>
      <c r="DZ51" s="257" cm="1">
        <f t="array" ref="DZ51">BedPlan[[#This Row],[Harvest Days June 2026]]/SUM(BedPlan[[#This Row],[Harvest Days January 2025]:[Harvest Days December 2026]])*BedPlan[[#This Row],[Revenue]:[Revenue]]</f>
        <v>0</v>
      </c>
      <c r="EA51" s="257" cm="1">
        <f t="array" ref="EA51">BedPlan[[#This Row],[Harvest Days July 2026]]/SUM(BedPlan[[#This Row],[Harvest Days January 2025]:[Harvest Days December 2026]])*BedPlan[[#This Row],[Revenue]:[Revenue]]</f>
        <v>0</v>
      </c>
      <c r="EB51" s="257" cm="1">
        <f t="array" ref="EB51">BedPlan[[#This Row],[Harvest Days August 2026]]/SUM(BedPlan[[#This Row],[Harvest Days January 2025]:[Harvest Days December 2026]])*BedPlan[[#This Row],[Revenue]:[Revenue]]</f>
        <v>0</v>
      </c>
      <c r="EC51" s="257" cm="1">
        <f t="array" ref="EC51">BedPlan[[#This Row],[Harvest Days September 2026]]/SUM(BedPlan[[#This Row],[Harvest Days January 2025]:[Harvest Days December 2026]])*BedPlan[[#This Row],[Revenue]:[Revenue]]</f>
        <v>0</v>
      </c>
      <c r="ED51" s="257" cm="1">
        <f t="array" ref="ED51">BedPlan[[#This Row],[Harvest Days October 2026]]/SUM(BedPlan[[#This Row],[Harvest Days January 2025]:[Harvest Days December 2026]])*BedPlan[[#This Row],[Revenue]:[Revenue]]</f>
        <v>0</v>
      </c>
      <c r="EE51" s="257" cm="1">
        <f t="array" ref="EE51">BedPlan[[#This Row],[Harvest Days November 2026]]/SUM(BedPlan[[#This Row],[Harvest Days January 2025]:[Harvest Days December 2026]])*BedPlan[[#This Row],[Revenue]:[Revenue]]</f>
        <v>0</v>
      </c>
      <c r="EF51" s="257" cm="1">
        <f t="array" ref="EF51">BedPlan[[#This Row],[Harvest Days December 2026]]/SUM(BedPlan[[#This Row],[Harvest Days January 2025]:[Harvest Days December 2026]])*BedPlan[[#This Row],[Revenue]:[Revenue]]</f>
        <v>0</v>
      </c>
      <c r="EG51" t="b">
        <f>SUM(BedPlan[[#This Row],[Revenue January 2025]:[Revenue December 2026]])=BedPlan[[#This Row],[Revenue]]</f>
        <v>1</v>
      </c>
      <c r="EH51" s="30" cm="1">
        <f t="array" ref="EH51">INDEX(Crops[],BedPlan[[#This Row],[Chart Index]],EH$4,1)*BedPlan[[#This Row],['# Of Beds]]</f>
        <v>400</v>
      </c>
      <c r="EI51" s="30" t="str" cm="1">
        <f t="array" ref="EI51">INDEX(Crops[],BedPlan[[#This Row],[Chart Index]],EI$4,1)</f>
        <v>Cobs</v>
      </c>
      <c r="EJ51" s="30" t="str" cm="1">
        <f t="array" ref="EJ51">INDEX(Crops[],BedPlan[[#This Row],[Chart Index]],EJ$4,1)</f>
        <v>Mature Cob</v>
      </c>
      <c r="EK51" s="30" t="str">
        <f>BedPlan[[#This Row],[Name]]&amp;" "&amp;BedPlan[[#This Row],[Product]]&amp; " - " &amp;BedPlan[[#This Row],[Unit]]</f>
        <v>Corn  Mature Cob - Cobs</v>
      </c>
      <c r="EL51" s="33" cm="1">
        <f t="array" ref="EL51">BedPlan[[#This Row],[Harvest Days January 2025]]/SUM(BedPlan[[#This Row],[Harvest Days January 2025]:[Harvest Days December 2026]])*BedPlan[[#This Row],[Yield]:[Yield]]</f>
        <v>0</v>
      </c>
      <c r="EM51" s="33" cm="1">
        <f t="array" ref="EM51">BedPlan[[#This Row],[Harvest Days February 2025]]/SUM(BedPlan[[#This Row],[Harvest Days January 2025]:[Harvest Days December 2026]])*BedPlan[[#This Row],[Yield]:[Yield]]</f>
        <v>0</v>
      </c>
      <c r="EN51" s="33" cm="1">
        <f t="array" ref="EN51">BedPlan[[#This Row],[Harvest Days March 2025]]/SUM(BedPlan[[#This Row],[Harvest Days January 2025]:[Harvest Days December 2026]])*BedPlan[[#This Row],[Yield]:[Yield]]</f>
        <v>0</v>
      </c>
      <c r="EO51" s="33" cm="1">
        <f t="array" ref="EO51">BedPlan[[#This Row],[Harvest Days April 2025]]/SUM(BedPlan[[#This Row],[Harvest Days January 2025]:[Harvest Days December 2026]])*BedPlan[[#This Row],[Yield]:[Yield]]</f>
        <v>0</v>
      </c>
      <c r="EP51" s="33" cm="1">
        <f t="array" ref="EP51">BedPlan[[#This Row],[Harvest Days May 2025]]/SUM(BedPlan[[#This Row],[Harvest Days January 2025]:[Harvest Days December 2026]])*BedPlan[[#This Row],[Yield]:[Yield]]</f>
        <v>0</v>
      </c>
      <c r="EQ51" s="33" cm="1">
        <f t="array" ref="EQ51">BedPlan[[#This Row],[Harvest Days June 2025]]/SUM(BedPlan[[#This Row],[Harvest Days January 2025]:[Harvest Days December 2026]])*BedPlan[[#This Row],[Yield]:[Yield]]</f>
        <v>0</v>
      </c>
      <c r="ER51" s="33" cm="1">
        <f t="array" ref="ER51">BedPlan[[#This Row],[Harvest Days July 2025]]/SUM(BedPlan[[#This Row],[Harvest Days January 2025]:[Harvest Days December 2026]])*BedPlan[[#This Row],[Yield]:[Yield]]</f>
        <v>0</v>
      </c>
      <c r="ES51" s="33" cm="1">
        <f t="array" ref="ES51">BedPlan[[#This Row],[Harvest Days August 2025]]/SUM(BedPlan[[#This Row],[Harvest Days January 2025]:[Harvest Days December 2026]])*BedPlan[[#This Row],[Yield]:[Yield]]</f>
        <v>0</v>
      </c>
      <c r="ET51" s="33" cm="1">
        <f t="array" ref="ET51">BedPlan[[#This Row],[Harvest Days September 2025]]/SUM(BedPlan[[#This Row],[Harvest Days January 2025]:[Harvest Days December 2026]])*BedPlan[[#This Row],[Yield]:[Yield]]</f>
        <v>80</v>
      </c>
      <c r="EU51" s="33" cm="1">
        <f t="array" ref="EU51">BedPlan[[#This Row],[Harvest Days October 2025]]/SUM(BedPlan[[#This Row],[Harvest Days January 2025]:[Harvest Days December 2026]])*BedPlan[[#This Row],[Yield]:[Yield]]</f>
        <v>320</v>
      </c>
      <c r="EV51" s="33" cm="1">
        <f t="array" ref="EV51">BedPlan[[#This Row],[Harvest Days November 2025]]/SUM(BedPlan[[#This Row],[Harvest Days January 2025]:[Harvest Days December 2026]])*BedPlan[[#This Row],[Yield]:[Yield]]</f>
        <v>0</v>
      </c>
      <c r="EW51" s="33" cm="1">
        <f t="array" ref="EW51">BedPlan[[#This Row],[Harvest Days December 2025]]/SUM(BedPlan[[#This Row],[Harvest Days January 2025]:[Harvest Days December 2026]])*BedPlan[[#This Row],[Yield]:[Yield]]</f>
        <v>0</v>
      </c>
    </row>
    <row r="52" spans="1:153" ht="15.75" customHeight="1">
      <c r="A52" s="182" t="s">
        <v>2602</v>
      </c>
      <c r="B52" t="s">
        <v>2641</v>
      </c>
      <c r="C52" t="s">
        <v>1428</v>
      </c>
      <c r="D52" cm="1">
        <f t="array" ref="D52">INDEX(Crops[],BedPlan[[#This Row],[Chart Index]],D$4,1)*BedPlan[[#This Row],[Full Bed Equivalent]]</f>
        <v>24.999999999999996</v>
      </c>
      <c r="E52" cm="1">
        <f t="array" ref="E52">INDEX(Crops[],BedPlan[[#This Row],[Chart Index]],E$4,1)*BedPlan[[#This Row],[Full Bed Equivalent]]</f>
        <v>357.14285714285705</v>
      </c>
      <c r="F52" t="str">
        <f>UPPER(LEFT(BedPlan[[#This Row],[Crop]],3))</f>
        <v>CUC</v>
      </c>
      <c r="H52" s="143" t="str" cm="1">
        <f t="array" ref="H52">INDEX(Crops[],BedPlan[[#This Row],[Chart Index]],H$4,1)</f>
        <v>Cucumber</v>
      </c>
      <c r="I52" t="s">
        <v>2822</v>
      </c>
      <c r="K52" t="str" cm="1">
        <f t="array" ref="K52">IF(ISNUMBER(MATCH(BedPlan[[#This Row],[Variety]],SeedMixes[Name],)),_xlfn.TEXTJOIN(", ",TRUE,_xlfn._xlws.FILTER(SeedMixes[Variety &amp; Company],SeedMixes[Name]=BedPlan[[#This Row],[Variety]])),"")</f>
        <v>Tasty Green High Mowing, Shintokiwa High Mowing</v>
      </c>
      <c r="L52" s="33" cm="1">
        <f t="array" ref="L52">INDEX(Crops[],BedPlan[[#This Row],[Chart Index]],L$4,1)*BedPlan[[#This Row],[Full Bed Equivalent]]</f>
        <v>32.5</v>
      </c>
      <c r="N52">
        <v>0.75</v>
      </c>
      <c r="O52">
        <v>0.5</v>
      </c>
      <c r="P52" s="31">
        <f>IF(ISNUMBER(BedPlan[[#This Row],[Planned Greenhouse Start Date]]),BedPlan[[#This Row],[Planned Greenhouse Start Date]],BedPlan[[#This Row],[Planned TP or DS Date]])</f>
        <v>45748</v>
      </c>
      <c r="Q52" s="259">
        <f>IF(BedPlan[[#This Row],[Days in Cells]]=0,"",IFERROR(_xlfn.XLOOKUP(BedPlan[[#This Row],[Follows Crop]],BedPlan[Identifier],BedPlan[Expected End of Harvest]) + 1+BedPlan[[#This Row],[Follow Offset]],BedPlan[[#This Row],[Fixed Field Start Date]])-BedPlan[[#This Row],[Days in Cells]])</f>
        <v>45748</v>
      </c>
      <c r="R52" s="259">
        <v>45763</v>
      </c>
      <c r="S52" s="259">
        <f>IF(ISNUMBER(BedPlan[[#This Row],[Actual Greenhouse Date]]),BedPlan[[#This Row],[Actual Greenhouse Date]],BedPlan[[#This Row],[Planned Greenhouse Start Date]])</f>
        <v>45763</v>
      </c>
      <c r="T52" s="259">
        <f>_xlfn.XLOOKUP(BedPlan[[#This Row],[Crop]],Crops[Identifier],Crops[Target Field Date])</f>
        <v>45783</v>
      </c>
      <c r="U52" s="260"/>
      <c r="V52" s="260"/>
      <c r="W5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2" s="259">
        <v>45807</v>
      </c>
      <c r="Y52" s="271">
        <f>BedPlan[[#This Row],[Actual TP or DS Date]]-BedPlan[[#This Row],[Planned TP or DS Date]]</f>
        <v>9</v>
      </c>
      <c r="Z52" s="259">
        <f>IF(ISNUMBER(BedPlan[[#This Row],[Actual TP or DS Date]]),BedPlan[[#This Row],[Actual TP or DS Date]],BedPlan[[#This Row],[Planned TP or DS Date]])</f>
        <v>45807</v>
      </c>
      <c r="AA52" s="260"/>
      <c r="AB52" s="259">
        <f>IF(ISNUMBER(BedPlan[[#This Row],[Greenhouse Start Date]]),BedPlan[[#This Row],[Greenhouse Start Date]]+BedPlan[[#This Row],[DTM]],BedPlan[[#This Row],[TP or DS Date]]+BedPlan[[#This Row],[DTM]])</f>
        <v>45833</v>
      </c>
      <c r="AC52" s="259"/>
      <c r="AD52" s="259">
        <f>IF(ISNUMBER(BedPlan[[#This Row],[Actual Beginning of Harvest]]),BedPlan[[#This Row],[Actual Beginning of Harvest]],BedPlan[[#This Row],[Expected Beginning of Harvest]])</f>
        <v>45833</v>
      </c>
      <c r="AE52" s="259">
        <f>BedPlan[[#This Row],[Expected Beginning of Harvest]]+BedPlan[[#This Row],[Harvest Window]]+BedPlan[[#This Row],[Additional Days of Harvest]]</f>
        <v>45938</v>
      </c>
      <c r="AF52" s="259"/>
      <c r="AG52" s="259"/>
      <c r="AH52" s="31" t="b">
        <f>IF(AND( BedPlan[[#This Row],[Expected End of Harvest]] &gt;= DATE(2025, 8, 1), BedPlan[[#This Row],[Beginning of Harvest]] &lt;= DATE(2025, 8, 31) ), TRUE, FALSE)</f>
        <v>1</v>
      </c>
      <c r="AI52" s="31"/>
      <c r="AJ52" s="31">
        <f>IF(ISNUMBER(BedPlan[[#This Row],[Actual End of Harvest]]),BedPlan[[#This Row],[Actual End of Harvest]],BedPlan[[#This Row],[Expected End of Harvest]])</f>
        <v>45938</v>
      </c>
      <c r="AK52" t="b">
        <f>OR(ISNUMBER(BedPlan[[#This Row],[Actual Greenhouse Date]]),ISNUMBER(BedPlan[[#This Row],[Actual TP or DS Date]]))</f>
        <v>1</v>
      </c>
      <c r="AL52" s="52" t="b">
        <f>IF(ISNUMBER(BedPlan[[#This Row],[Planned Greenhouse Start Date]]),OR(ISNUMBER(BedPlan[[#This Row],[Actual TP or DS Date]]),BedPlan[[#This Row],[Failed]]),"-")</f>
        <v>1</v>
      </c>
      <c r="AM52" t="b">
        <f>OR(ISNUMBER(BedPlan[[#This Row],[Actual End of Harvest]]),BedPlan[[#This Row],[Failed]])</f>
        <v>0</v>
      </c>
      <c r="AN52" t="b">
        <f>OR(BedPlan[[#This Row],[Harvest Done]],BedPlan[[#This Row],[Failed]],BedPlan[[#This Row],[Name]]="Tarp")</f>
        <v>0</v>
      </c>
      <c r="AQ52" t="s">
        <v>3236</v>
      </c>
      <c r="AS52" s="26" t="str">
        <f>IF(BedPlan[[#This Row],[Broadfork]],BedPlan[[#This Row],[Actual TP or DS Date]],"")</f>
        <v/>
      </c>
      <c r="AT52" s="26" t="str">
        <f>IF(BedPlan[[#This Row],[Tilther]],BedPlan[[#This Row],[Actual TP or DS Date]],"")</f>
        <v/>
      </c>
      <c r="AU52" s="26">
        <f>IF(NOT(ISBLANK(BedPlan[[#This Row],[Amend]])),BedPlan[[#This Row],[Actual TP or DS Date]],"")</f>
        <v>45807</v>
      </c>
      <c r="AV52" s="26" t="str">
        <f>IF(BedPlan[[#This Row],[Row Cover]],BedPlan[[#This Row],[Actual TP or DS Date]],"")</f>
        <v/>
      </c>
      <c r="AX52" s="26"/>
      <c r="AZ52" s="26"/>
      <c r="BB52" s="26"/>
      <c r="BC52" s="231" cm="1">
        <f t="array" ref="BC52">INDEX(Crops[],BedPlan[[#This Row],[Chart Index]],BC$4,1)*BedPlan[[#This Row],[Full Bed Equivalent]]</f>
        <v>1607.1428571428567</v>
      </c>
      <c r="BD52" s="231" cm="1">
        <f t="array" ref="BD52">INDEX(Crops[],BedPlan[[#This Row],[Chart Index]],BD$4,1)*BedPlan[[#This Row],[Full Bed Equivalent]]</f>
        <v>11.479591836734691</v>
      </c>
      <c r="BE52" cm="1">
        <f t="array" ref="BE52">INDEX(Crops[],BedPlan[[#This Row],[Chart Index]],BE$4,1)+BedPlan[[#This Row],[Additional Days in Cells]]+BedPlan[[#This Row],[Additional Days In Field]]</f>
        <v>70</v>
      </c>
      <c r="BG52" cm="1">
        <f t="array" ref="BG52">INDEX(Crops[],BedPlan[[#This Row],[Chart Index]],BG$4,1)</f>
        <v>105</v>
      </c>
      <c r="BH52" t="str">
        <f>IF(ISNUMBER(BedPlan[[#This Row],[Planned Greenhouse Start Date]]),"TP","DS")</f>
        <v>TP</v>
      </c>
      <c r="BI52">
        <f>BedPlan[[#This Row],['# Of Beds]]</f>
        <v>0.75</v>
      </c>
      <c r="BJ52" cm="1">
        <f t="array" ref="BJ52">INDEX(Crops[],BedPlan[[#This Row],[Chart Index]],BJ$4,1)</f>
        <v>35</v>
      </c>
      <c r="BK52" cm="1">
        <f t="array" ref="BK52">INDEX(Crops[],BedPlan[[#This Row],[Chart Index]],BK$4,1)</f>
        <v>1</v>
      </c>
      <c r="BL52" cm="1">
        <f t="array" ref="BL52">INDEX(Crops[],BedPlan[[#This Row],[Chart Index]],BL$4,1)</f>
        <v>18</v>
      </c>
      <c r="BM52" cm="1">
        <f t="array" ref="BM52">INDEX(Crops[],BedPlan[[#This Row],[Chart Index]],BM$4,1)</f>
        <v>1</v>
      </c>
      <c r="BN52" s="32" cm="1">
        <f t="array" ref="BN52">INDEX(Crops[],BedPlan[[#This Row],[Chart Index]],BN$4,1)*BedPlan[[#This Row],[Full Bed Equivalent]]</f>
        <v>24.999999999999996</v>
      </c>
      <c r="BO52" t="str" cm="1">
        <f t="array" ref="BO52">IF(INDEX(Crops[],BedPlan[[#This Row],[Chart Index]],BO$4,1)=0,"",INDEX(Crops[],BedPlan[[#This Row],[Chart Index]],BO$4,1))</f>
        <v/>
      </c>
      <c r="BP52">
        <f>MATCH(BedPlan[[#This Row],[Crop]],Crops[Identifier],FALSE)</f>
        <v>106</v>
      </c>
      <c r="BQ52" t="str" cm="1">
        <f t="array" ref="BQ52">INDEX(Crops[],BedPlan[[#This Row],[Chart Index]],BQ$4,1)</f>
        <v>Asian Long</v>
      </c>
      <c r="BR52" t="str" cm="1">
        <f t="array" ref="BR52">INDEX(Crops[],BedPlan[[#This Row],[Chart Index]],BR$4,1)</f>
        <v/>
      </c>
      <c r="BS52" s="32">
        <f>BedPlan[[#This Row],[Expected Beginning of Harvest]]-DATE(2023,1,1)</f>
        <v>906</v>
      </c>
      <c r="BT52">
        <f>BedPlan[[#This Row],[Expected End of Harvest]]-BedPlan[[#This Row],[Expected Beginning of Harvest]]</f>
        <v>105</v>
      </c>
      <c r="BU52" t="str" cm="1">
        <f t="array" ref="BU52">INDEX(Crops[],BedPlan[[#This Row],[Chart Index]],BU$4,1)</f>
        <v>Cucumber</v>
      </c>
      <c r="BV52" cm="1">
        <f t="array" ref="BV52">INDEX(Crops[],BedPlan[[#This Row],[Chart Index]],BV$4,1)</f>
        <v>6</v>
      </c>
      <c r="BW52" cm="1">
        <f t="array" ref="BW52">INDEX(Crops[],BedPlan[[#This Row],[Chart Index]],BW$4,1)</f>
        <v>0</v>
      </c>
      <c r="BX52" cm="1">
        <f t="array" ref="BX52">INDEX(Crops[],BedPlan[[#This Row],[Chart Index]],BX$4,1)</f>
        <v>18</v>
      </c>
      <c r="BY52" cm="1">
        <f t="array" ref="BY52">INDEX(Crops[],BedPlan[[#This Row],[Chart Index]],BY$4,1)</f>
        <v>35</v>
      </c>
      <c r="BZ52" s="49" cm="1">
        <f t="array" ref="BZ52">IFERROR(INDEX(Crops[],BedPlan[[#This Row],[Chart Index]],BZ$4,1)*BedPlan[[#This Row],[Full Bed Equivalent]],"")</f>
        <v>1.8055555555555554</v>
      </c>
      <c r="CA52" cm="1">
        <f t="array" ref="CA52">INDEX(Crops[],BedPlan[[#This Row],[Chart Index]],CA$4,1)</f>
        <v>0</v>
      </c>
      <c r="CB52" cm="1">
        <f t="array" ref="CB52">INDEX(Crops[],BedPlan[[#This Row],[Chart Index]],CB$4,1)</f>
        <v>0</v>
      </c>
      <c r="CC52" s="49" t="str" cm="1">
        <f t="array" ref="CC52">IFERROR(INDEX(Crops[],BedPlan[[#This Row],[Chart Index]],CC$4,1)*BedPlan[[#This Row],[Full Bed Equivalent]],"")</f>
        <v/>
      </c>
      <c r="CD52" cm="1">
        <f t="array" ref="CD52">INDEX(Crops[],BedPlan[[#This Row],[Chart Index]],CD$4,1)</f>
        <v>0</v>
      </c>
      <c r="CE52" cm="1">
        <f t="array" ref="CE52">IF(INDEX(Crops[],BedPlan[[#This Row],[Chart Index]],CE$4,1)="",0,INDEX(Crops[],BedPlan[[#This Row],[Chart Index]],CE$4,1))</f>
        <v>0</v>
      </c>
      <c r="CF52" s="49" t="str" cm="1">
        <f t="array" ref="CF52">IFERROR(INDEX(Crops[],BedPlan[[#This Row],[Chart Index]],CF$4,1)*BedPlan[[#This Row],[Full Bed Equivalent]],"")</f>
        <v/>
      </c>
      <c r="CG52" cm="1">
        <f t="array" ref="CG52">IF(INDEX(Crops[],BedPlan[[#This Row],[Chart Index]],CG$4,1)="",0,INDEX(Crops[],BedPlan[[#This Row],[Chart Index]],CG$4,1))</f>
        <v>1.3</v>
      </c>
      <c r="CH52" cm="1">
        <f t="array" ref="CH52">IF(INDEX(Crops[],BedPlan[[#This Row],[Chart Index]],CH$4,1)="",0,INDEX(Crops[],BedPlan[[#This Row],[Chart Index]],CH$4,1))</f>
        <v>0</v>
      </c>
      <c r="CI52" t="str" cm="1">
        <f t="array" ref="CI52">INDEX(Crops[],BedPlan[[#This Row],[Chart Index]],CI$4,1)</f>
        <v>Greenhouse</v>
      </c>
      <c r="CJ52" s="30" t="str">
        <f>_xlfn.TEXTJOIN(CHAR(10),FALSE,BedPlan[[#This Row],[Name]],BedPlan[[#This Row],[Variety]],BedPlan[[#This Row],[Company]])</f>
        <v xml:space="preserve">Cucumber
Asian Cucumber Mix
</v>
      </c>
      <c r="CK52" s="32">
        <f>MAX( 0, MIN(BedPlan[[#This Row],[Expected End of Harvest]], EOMONTH(CK$4, 0)) - MAX(BedPlan[[#This Row],[Beginning of Harvest]], CK$4) + 1 )</f>
        <v>0</v>
      </c>
      <c r="CL52">
        <f>MAX( 0, MIN(BedPlan[[#This Row],[Expected End of Harvest]], EOMONTH(CL$4, 0)) - MAX(BedPlan[[#This Row],[Beginning of Harvest]], CL$4) + 1 )</f>
        <v>0</v>
      </c>
      <c r="CM52">
        <f>MAX( 0, MIN(BedPlan[[#This Row],[Expected End of Harvest]], EOMONTH(CM$4, 0)) - MAX(BedPlan[[#This Row],[Beginning of Harvest]], CM$4) + 1 )</f>
        <v>0</v>
      </c>
      <c r="CN52">
        <f>MAX( 0, MIN(BedPlan[[#This Row],[Expected End of Harvest]], EOMONTH(CN$4, 0)) - MAX(BedPlan[[#This Row],[Beginning of Harvest]], CN$4) + 1 )</f>
        <v>0</v>
      </c>
      <c r="CO52">
        <f>MAX( 0, MIN(BedPlan[[#This Row],[Expected End of Harvest]], EOMONTH(CO$4, 0)) - MAX(BedPlan[[#This Row],[Beginning of Harvest]], CO$4) + 1 )</f>
        <v>0</v>
      </c>
      <c r="CP52">
        <f>MAX( 0, MIN(BedPlan[[#This Row],[Expected End of Harvest]], EOMONTH(CP$4, 0)) - MAX(BedPlan[[#This Row],[Beginning of Harvest]], CP$4) + 1 )</f>
        <v>6</v>
      </c>
      <c r="CQ52">
        <f>MAX( 0, MIN(BedPlan[[#This Row],[Expected End of Harvest]], EOMONTH(CQ$4, 0)) - MAX(BedPlan[[#This Row],[Beginning of Harvest]], CQ$4) + 1 )</f>
        <v>31</v>
      </c>
      <c r="CR52">
        <f>MAX( 0, MIN(BedPlan[[#This Row],[Expected End of Harvest]], EOMONTH(CR$4, 0)) - MAX(BedPlan[[#This Row],[Beginning of Harvest]], CR$4) + 1 )</f>
        <v>31</v>
      </c>
      <c r="CS52">
        <f>MAX( 0, MIN(BedPlan[[#This Row],[Expected End of Harvest]], EOMONTH(CS$4, 0)) - MAX(BedPlan[[#This Row],[Beginning of Harvest]], CS$4) + 1 )</f>
        <v>30</v>
      </c>
      <c r="CT52">
        <f>MAX( 0, MIN(BedPlan[[#This Row],[Expected End of Harvest]], EOMONTH(CT$4, 0)) - MAX(BedPlan[[#This Row],[Beginning of Harvest]], CT$4) + 1 )</f>
        <v>8</v>
      </c>
      <c r="CU52">
        <f>MAX( 0, MIN(BedPlan[[#This Row],[Expected End of Harvest]], EOMONTH(CU$4, 0)) - MAX(BedPlan[[#This Row],[Beginning of Harvest]], CU$4) + 1 )</f>
        <v>0</v>
      </c>
      <c r="CV52">
        <f>MAX( 0, MIN(BedPlan[[#This Row],[Expected End of Harvest]], EOMONTH(CV$4, 0)) - MAX(BedPlan[[#This Row],[Beginning of Harvest]], CV$4) + 1 )</f>
        <v>0</v>
      </c>
      <c r="CW52">
        <f>MAX( 0, MIN(BedPlan[[#This Row],[Expected End of Harvest]], EOMONTH(CW$4, 0)) - MAX(BedPlan[[#This Row],[Beginning of Harvest]], CW$4) + 1 )</f>
        <v>0</v>
      </c>
      <c r="CX52">
        <f>MAX( 0, MIN(BedPlan[[#This Row],[Expected End of Harvest]], EOMONTH(CX$4, 0)) - MAX(BedPlan[[#This Row],[Beginning of Harvest]], CX$4) + 1 )</f>
        <v>0</v>
      </c>
      <c r="CY52">
        <f>MAX( 0, MIN(BedPlan[[#This Row],[Expected End of Harvest]], EOMONTH(CY$4, 0)) - MAX(BedPlan[[#This Row],[Beginning of Harvest]], CY$4) + 1 )</f>
        <v>0</v>
      </c>
      <c r="CZ52">
        <f>MAX( 0, MIN(BedPlan[[#This Row],[Expected End of Harvest]], EOMONTH(CZ$4, 0)) - MAX(BedPlan[[#This Row],[Beginning of Harvest]], CZ$4) + 1 )</f>
        <v>0</v>
      </c>
      <c r="DA52">
        <f>MAX( 0, MIN(BedPlan[[#This Row],[Expected End of Harvest]], EOMONTH(DA$4, 0)) - MAX(BedPlan[[#This Row],[Beginning of Harvest]], DA$4) + 1 )</f>
        <v>0</v>
      </c>
      <c r="DB52">
        <f>MAX( 0, MIN(BedPlan[[#This Row],[Expected End of Harvest]], EOMONTH(DB$4, 0)) - MAX(BedPlan[[#This Row],[Beginning of Harvest]], DB$4) + 1 )</f>
        <v>0</v>
      </c>
      <c r="DC52">
        <f>MAX( 0, MIN(BedPlan[[#This Row],[Expected End of Harvest]], EOMONTH(DC$4, 0)) - MAX(BedPlan[[#This Row],[Beginning of Harvest]], DC$4) + 1 )</f>
        <v>0</v>
      </c>
      <c r="DD52">
        <f>MAX( 0, MIN(BedPlan[[#This Row],[Expected End of Harvest]], EOMONTH(DD$4, 0)) - MAX(BedPlan[[#This Row],[Beginning of Harvest]], DD$4) + 1 )</f>
        <v>0</v>
      </c>
      <c r="DE52">
        <f>MAX( 0, MIN(BedPlan[[#This Row],[Expected End of Harvest]], EOMONTH(DE$4, 0)) - MAX(BedPlan[[#This Row],[Beginning of Harvest]], DE$4) + 1 )</f>
        <v>0</v>
      </c>
      <c r="DF52">
        <f>MAX( 0, MIN(BedPlan[[#This Row],[Expected End of Harvest]], EOMONTH(DF$4, 0)) - MAX(BedPlan[[#This Row],[Beginning of Harvest]], DF$4) + 1 )</f>
        <v>0</v>
      </c>
      <c r="DG52">
        <f>MAX( 0, MIN(BedPlan[[#This Row],[Expected End of Harvest]], EOMONTH(DG$4, 0)) - MAX(BedPlan[[#This Row],[Beginning of Harvest]], DG$4) + 1 )</f>
        <v>0</v>
      </c>
      <c r="DH52">
        <f>MAX( 0, MIN(BedPlan[[#This Row],[Expected End of Harvest]], EOMONTH(DH$4, 0)) - MAX(BedPlan[[#This Row],[Beginning of Harvest]], DH$4) + 1 )</f>
        <v>0</v>
      </c>
      <c r="DI52" s="257" cm="1">
        <f t="array" ref="DI52">BedPlan[[#This Row],[Harvest Days January 2025]]/SUM(BedPlan[[#This Row],[Harvest Days January 2025]:[Harvest Days December 2026]])*BedPlan[[#This Row],[Revenue]:[Revenue]]</f>
        <v>0</v>
      </c>
      <c r="DJ52" s="257" cm="1">
        <f t="array" ref="DJ52">BedPlan[[#This Row],[Harvest Days February 2025]]/SUM(BedPlan[[#This Row],[Harvest Days January 2025]:[Harvest Days December 2026]])*BedPlan[[#This Row],[Revenue]:[Revenue]]</f>
        <v>0</v>
      </c>
      <c r="DK52" s="257" cm="1">
        <f t="array" ref="DK52">BedPlan[[#This Row],[Harvest Days March 2025]]/SUM(BedPlan[[#This Row],[Harvest Days January 2025]:[Harvest Days December 2026]])*BedPlan[[#This Row],[Revenue]:[Revenue]]</f>
        <v>0</v>
      </c>
      <c r="DL52" s="257" cm="1">
        <f t="array" ref="DL52">BedPlan[[#This Row],[Harvest Days April 2025]]/SUM(BedPlan[[#This Row],[Harvest Days January 2025]:[Harvest Days December 2026]])*BedPlan[[#This Row],[Revenue]:[Revenue]]</f>
        <v>0</v>
      </c>
      <c r="DM52" s="257" cm="1">
        <f t="array" ref="DM52">BedPlan[[#This Row],[Harvest Days May 2025]]/SUM(BedPlan[[#This Row],[Harvest Days January 2025]:[Harvest Days December 2026]])*BedPlan[[#This Row],[Revenue]:[Revenue]]</f>
        <v>0</v>
      </c>
      <c r="DN52" s="257" cm="1">
        <f t="array" ref="DN52">BedPlan[[#This Row],[Harvest Days June 2025]]/SUM(BedPlan[[#This Row],[Harvest Days January 2025]:[Harvest Days December 2026]])*BedPlan[[#This Row],[Revenue]:[Revenue]]</f>
        <v>90.97035040431264</v>
      </c>
      <c r="DO52" s="257" cm="1">
        <f t="array" ref="DO52">BedPlan[[#This Row],[Harvest Days July 2025]]/SUM(BedPlan[[#This Row],[Harvest Days January 2025]:[Harvest Days December 2026]])*BedPlan[[#This Row],[Revenue]:[Revenue]]</f>
        <v>470.0134770889486</v>
      </c>
      <c r="DP52" s="257" cm="1">
        <f t="array" ref="DP52">BedPlan[[#This Row],[Harvest Days August 2025]]/SUM(BedPlan[[#This Row],[Harvest Days January 2025]:[Harvest Days December 2026]])*BedPlan[[#This Row],[Revenue]:[Revenue]]</f>
        <v>470.0134770889486</v>
      </c>
      <c r="DQ52" s="257" cm="1">
        <f t="array" ref="DQ52">BedPlan[[#This Row],[Harvest Days September 2025]]/SUM(BedPlan[[#This Row],[Harvest Days January 2025]:[Harvest Days December 2026]])*BedPlan[[#This Row],[Revenue]:[Revenue]]</f>
        <v>454.85175202156319</v>
      </c>
      <c r="DR52" s="257" cm="1">
        <f t="array" ref="DR52">BedPlan[[#This Row],[Harvest Days October 2025]]/SUM(BedPlan[[#This Row],[Harvest Days January 2025]:[Harvest Days December 2026]])*BedPlan[[#This Row],[Revenue]:[Revenue]]</f>
        <v>121.29380053908352</v>
      </c>
      <c r="DS52" s="257" cm="1">
        <f t="array" ref="DS52">BedPlan[[#This Row],[Harvest Days November 2025]]/SUM(BedPlan[[#This Row],[Harvest Days January 2025]:[Harvest Days December 2026]])*BedPlan[[#This Row],[Revenue]:[Revenue]]</f>
        <v>0</v>
      </c>
      <c r="DT52" s="257" cm="1">
        <f t="array" ref="DT52">BedPlan[[#This Row],[Harvest Days December 2025]]/SUM(BedPlan[[#This Row],[Harvest Days January 2025]:[Harvest Days December 2026]])*BedPlan[[#This Row],[Revenue]:[Revenue]]</f>
        <v>0</v>
      </c>
      <c r="DU52" s="257" cm="1">
        <f t="array" ref="DU52">BedPlan[[#This Row],[Harvest Days January 2026]]/SUM(BedPlan[[#This Row],[Harvest Days January 2025]:[Harvest Days December 2026]])*BedPlan[[#This Row],[Revenue]:[Revenue]]</f>
        <v>0</v>
      </c>
      <c r="DV52" s="257" cm="1">
        <f t="array" ref="DV52">BedPlan[[#This Row],[Harvest Days February 2026]]/SUM(BedPlan[[#This Row],[Harvest Days January 2025]:[Harvest Days December 2026]])*BedPlan[[#This Row],[Revenue]:[Revenue]]</f>
        <v>0</v>
      </c>
      <c r="DW52" s="257" cm="1">
        <f t="array" ref="DW52">BedPlan[[#This Row],[Harvest Days March 2026]]/SUM(BedPlan[[#This Row],[Harvest Days January 2025]:[Harvest Days December 2026]])*BedPlan[[#This Row],[Revenue]:[Revenue]]</f>
        <v>0</v>
      </c>
      <c r="DX52" s="257" cm="1">
        <f t="array" ref="DX52">BedPlan[[#This Row],[Harvest Days April 2026]]/SUM(BedPlan[[#This Row],[Harvest Days January 2025]:[Harvest Days December 2026]])*BedPlan[[#This Row],[Revenue]:[Revenue]]</f>
        <v>0</v>
      </c>
      <c r="DY52" s="257" cm="1">
        <f t="array" ref="DY52">BedPlan[[#This Row],[Harvest Days May 2026]]/SUM(BedPlan[[#This Row],[Harvest Days January 2025]:[Harvest Days December 2026]])*BedPlan[[#This Row],[Revenue]:[Revenue]]</f>
        <v>0</v>
      </c>
      <c r="DZ52" s="257" cm="1">
        <f t="array" ref="DZ52">BedPlan[[#This Row],[Harvest Days June 2026]]/SUM(BedPlan[[#This Row],[Harvest Days January 2025]:[Harvest Days December 2026]])*BedPlan[[#This Row],[Revenue]:[Revenue]]</f>
        <v>0</v>
      </c>
      <c r="EA52" s="257" cm="1">
        <f t="array" ref="EA52">BedPlan[[#This Row],[Harvest Days July 2026]]/SUM(BedPlan[[#This Row],[Harvest Days January 2025]:[Harvest Days December 2026]])*BedPlan[[#This Row],[Revenue]:[Revenue]]</f>
        <v>0</v>
      </c>
      <c r="EB52" s="257" cm="1">
        <f t="array" ref="EB52">BedPlan[[#This Row],[Harvest Days August 2026]]/SUM(BedPlan[[#This Row],[Harvest Days January 2025]:[Harvest Days December 2026]])*BedPlan[[#This Row],[Revenue]:[Revenue]]</f>
        <v>0</v>
      </c>
      <c r="EC52" s="257" cm="1">
        <f t="array" ref="EC52">BedPlan[[#This Row],[Harvest Days September 2026]]/SUM(BedPlan[[#This Row],[Harvest Days January 2025]:[Harvest Days December 2026]])*BedPlan[[#This Row],[Revenue]:[Revenue]]</f>
        <v>0</v>
      </c>
      <c r="ED52" s="257" cm="1">
        <f t="array" ref="ED52">BedPlan[[#This Row],[Harvest Days October 2026]]/SUM(BedPlan[[#This Row],[Harvest Days January 2025]:[Harvest Days December 2026]])*BedPlan[[#This Row],[Revenue]:[Revenue]]</f>
        <v>0</v>
      </c>
      <c r="EE52" s="257" cm="1">
        <f t="array" ref="EE52">BedPlan[[#This Row],[Harvest Days November 2026]]/SUM(BedPlan[[#This Row],[Harvest Days January 2025]:[Harvest Days December 2026]])*BedPlan[[#This Row],[Revenue]:[Revenue]]</f>
        <v>0</v>
      </c>
      <c r="EF52" s="257" cm="1">
        <f t="array" ref="EF52">BedPlan[[#This Row],[Harvest Days December 2026]]/SUM(BedPlan[[#This Row],[Harvest Days January 2025]:[Harvest Days December 2026]])*BedPlan[[#This Row],[Revenue]:[Revenue]]</f>
        <v>0</v>
      </c>
      <c r="EG52" t="b">
        <f>SUM(BedPlan[[#This Row],[Revenue January 2025]:[Revenue December 2026]])=BedPlan[[#This Row],[Revenue]]</f>
        <v>1</v>
      </c>
      <c r="EH52" s="30" cm="1">
        <f t="array" ref="EH52">INDEX(Crops[],BedPlan[[#This Row],[Chart Index]],EH$4,1)*BedPlan[[#This Row],['# Of Beds]]</f>
        <v>714.28571428571411</v>
      </c>
      <c r="EI52" s="30" t="str" cm="1">
        <f t="array" ref="EI52">INDEX(Crops[],BedPlan[[#This Row],[Chart Index]],EI$4,1)</f>
        <v>Fruit</v>
      </c>
      <c r="EJ52" s="30" t="str" cm="1">
        <f t="array" ref="EJ52">INDEX(Crops[],BedPlan[[#This Row],[Chart Index]],EJ$4,1)</f>
        <v>Large Fruit</v>
      </c>
      <c r="EK52" s="30" t="str">
        <f>BedPlan[[#This Row],[Name]]&amp;" "&amp;BedPlan[[#This Row],[Product]]&amp; " - " &amp;BedPlan[[#This Row],[Unit]]</f>
        <v>Cucumber Large Fruit - Fruit</v>
      </c>
      <c r="EL52" s="33" cm="1">
        <f t="array" ref="EL52">BedPlan[[#This Row],[Harvest Days January 2025]]/SUM(BedPlan[[#This Row],[Harvest Days January 2025]:[Harvest Days December 2026]])*BedPlan[[#This Row],[Yield]:[Yield]]</f>
        <v>0</v>
      </c>
      <c r="EM52" s="33" cm="1">
        <f t="array" ref="EM52">BedPlan[[#This Row],[Harvest Days February 2025]]/SUM(BedPlan[[#This Row],[Harvest Days January 2025]:[Harvest Days December 2026]])*BedPlan[[#This Row],[Yield]:[Yield]]</f>
        <v>0</v>
      </c>
      <c r="EN52" s="33" cm="1">
        <f t="array" ref="EN52">BedPlan[[#This Row],[Harvest Days March 2025]]/SUM(BedPlan[[#This Row],[Harvest Days January 2025]:[Harvest Days December 2026]])*BedPlan[[#This Row],[Yield]:[Yield]]</f>
        <v>0</v>
      </c>
      <c r="EO52" s="33" cm="1">
        <f t="array" ref="EO52">BedPlan[[#This Row],[Harvest Days April 2025]]/SUM(BedPlan[[#This Row],[Harvest Days January 2025]:[Harvest Days December 2026]])*BedPlan[[#This Row],[Yield]:[Yield]]</f>
        <v>0</v>
      </c>
      <c r="EP52" s="33" cm="1">
        <f t="array" ref="EP52">BedPlan[[#This Row],[Harvest Days May 2025]]/SUM(BedPlan[[#This Row],[Harvest Days January 2025]:[Harvest Days December 2026]])*BedPlan[[#This Row],[Yield]:[Yield]]</f>
        <v>0</v>
      </c>
      <c r="EQ52" s="33" cm="1">
        <f t="array" ref="EQ52">BedPlan[[#This Row],[Harvest Days June 2025]]/SUM(BedPlan[[#This Row],[Harvest Days January 2025]:[Harvest Days December 2026]])*BedPlan[[#This Row],[Yield]:[Yield]]</f>
        <v>40.431266846361176</v>
      </c>
      <c r="ER52" s="33" cm="1">
        <f t="array" ref="ER52">BedPlan[[#This Row],[Harvest Days July 2025]]/SUM(BedPlan[[#This Row],[Harvest Days January 2025]:[Harvest Days December 2026]])*BedPlan[[#This Row],[Yield]:[Yield]]</f>
        <v>208.89487870619939</v>
      </c>
      <c r="ES52" s="33" cm="1">
        <f t="array" ref="ES52">BedPlan[[#This Row],[Harvest Days August 2025]]/SUM(BedPlan[[#This Row],[Harvest Days January 2025]:[Harvest Days December 2026]])*BedPlan[[#This Row],[Yield]:[Yield]]</f>
        <v>208.89487870619939</v>
      </c>
      <c r="ET52" s="33" cm="1">
        <f t="array" ref="ET52">BedPlan[[#This Row],[Harvest Days September 2025]]/SUM(BedPlan[[#This Row],[Harvest Days January 2025]:[Harvest Days December 2026]])*BedPlan[[#This Row],[Yield]:[Yield]]</f>
        <v>202.15633423180589</v>
      </c>
      <c r="EU52" s="33" cm="1">
        <f t="array" ref="EU52">BedPlan[[#This Row],[Harvest Days October 2025]]/SUM(BedPlan[[#This Row],[Harvest Days January 2025]:[Harvest Days December 2026]])*BedPlan[[#This Row],[Yield]:[Yield]]</f>
        <v>53.908355795148232</v>
      </c>
      <c r="EV52" s="33" cm="1">
        <f t="array" ref="EV52">BedPlan[[#This Row],[Harvest Days November 2025]]/SUM(BedPlan[[#This Row],[Harvest Days January 2025]:[Harvest Days December 2026]])*BedPlan[[#This Row],[Yield]:[Yield]]</f>
        <v>0</v>
      </c>
      <c r="EW52" s="33" cm="1">
        <f t="array" ref="EW52">BedPlan[[#This Row],[Harvest Days December 2025]]/SUM(BedPlan[[#This Row],[Harvest Days January 2025]:[Harvest Days December 2026]])*BedPlan[[#This Row],[Yield]:[Yield]]</f>
        <v>0</v>
      </c>
    </row>
    <row r="53" spans="1:153" ht="15.75" customHeight="1">
      <c r="A53" s="182" t="s">
        <v>269</v>
      </c>
      <c r="B53" t="s">
        <v>2722</v>
      </c>
      <c r="C53" t="s">
        <v>1464</v>
      </c>
      <c r="D53" s="226" cm="1">
        <f t="array" ref="D53">INDEX(Crops[],BedPlan[[#This Row],[Chart Index]],D$4,1)*BedPlan[[#This Row],[Full Bed Equivalent]]</f>
        <v>17.5</v>
      </c>
      <c r="E53" s="226" cm="1">
        <f t="array" ref="E53">INDEX(Crops[],BedPlan[[#This Row],[Chart Index]],E$4,1)*BedPlan[[#This Row],[Full Bed Equivalent]]</f>
        <v>180</v>
      </c>
      <c r="F53" t="str">
        <f>UPPER(LEFT(BedPlan[[#This Row],[Crop]],3))</f>
        <v>CUC</v>
      </c>
      <c r="H53" s="143" t="str" cm="1">
        <f t="array" ref="H53">INDEX(Crops[],BedPlan[[#This Row],[Chart Index]],H$4,1)</f>
        <v>Cucumber</v>
      </c>
      <c r="I53" t="s">
        <v>2822</v>
      </c>
      <c r="K53" t="str" cm="1">
        <f t="array" ref="K53">IF(ISNUMBER(MATCH(BedPlan[[#This Row],[Variety]],SeedMixes[Name],)),_xlfn.TEXTJOIN(", ",TRUE,_xlfn._xlws.FILTER(SeedMixes[Variety &amp; Company],SeedMixes[Name]=BedPlan[[#This Row],[Variety]])),"")</f>
        <v>Tasty Green High Mowing, Shintokiwa High Mowing</v>
      </c>
      <c r="L53" s="33" cm="1">
        <f t="array" ref="L53">INDEX(Crops[],BedPlan[[#This Row],[Chart Index]],L$4,1)*BedPlan[[#This Row],[Full Bed Equivalent]]</f>
        <v>65</v>
      </c>
      <c r="N53">
        <f>1</f>
        <v>1</v>
      </c>
      <c r="O53">
        <f>MAX(BedPlan[[#This Row],['# Of Beds]],0.5)</f>
        <v>1</v>
      </c>
      <c r="P53" s="31">
        <f>IF(ISNUMBER(BedPlan[[#This Row],[Planned Greenhouse Start Date]]),BedPlan[[#This Row],[Planned Greenhouse Start Date]],BedPlan[[#This Row],[Planned TP or DS Date]])</f>
        <v>45758</v>
      </c>
      <c r="Q53" s="259">
        <f>IF(BedPlan[[#This Row],[Days in Cells]]=0,"",IFERROR(_xlfn.XLOOKUP(BedPlan[[#This Row],[Follows Crop]],BedPlan[Identifier],BedPlan[Expected End of Harvest]) + 1+BedPlan[[#This Row],[Follow Offset]],BedPlan[[#This Row],[Fixed Field Start Date]])-BedPlan[[#This Row],[Days in Cells]])</f>
        <v>45758</v>
      </c>
      <c r="R53" s="259">
        <v>45763</v>
      </c>
      <c r="S53" s="259">
        <f>IF(ISNUMBER(BedPlan[[#This Row],[Actual Greenhouse Date]]),BedPlan[[#This Row],[Actual Greenhouse Date]],BedPlan[[#This Row],[Planned Greenhouse Start Date]])</f>
        <v>45763</v>
      </c>
      <c r="T53" s="259">
        <f>_xlfn.XLOOKUP(BedPlan[[#This Row],[Crop]],Crops[Identifier],Crops[Target Field Date])</f>
        <v>45793</v>
      </c>
      <c r="U53" s="260"/>
      <c r="V53" s="260"/>
      <c r="W5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3" s="259">
        <v>45803</v>
      </c>
      <c r="Y53" s="271">
        <f>BedPlan[[#This Row],[Actual TP or DS Date]]-BedPlan[[#This Row],[Planned TP or DS Date]]</f>
        <v>5</v>
      </c>
      <c r="Z53" s="259">
        <f>IF(ISNUMBER(BedPlan[[#This Row],[Actual TP or DS Date]]),BedPlan[[#This Row],[Actual TP or DS Date]],BedPlan[[#This Row],[Planned TP or DS Date]])</f>
        <v>45803</v>
      </c>
      <c r="AA53" s="260"/>
      <c r="AB53" s="259">
        <f>IF(ISNUMBER(BedPlan[[#This Row],[Greenhouse Start Date]]),BedPlan[[#This Row],[Greenhouse Start Date]]+BedPlan[[#This Row],[DTM]],BedPlan[[#This Row],[TP or DS Date]]+BedPlan[[#This Row],[DTM]])</f>
        <v>45843</v>
      </c>
      <c r="AC53" s="259"/>
      <c r="AD53" s="259">
        <f>IF(ISNUMBER(BedPlan[[#This Row],[Actual Beginning of Harvest]]),BedPlan[[#This Row],[Actual Beginning of Harvest]],BedPlan[[#This Row],[Expected Beginning of Harvest]])</f>
        <v>45843</v>
      </c>
      <c r="AE53" s="259">
        <f>BedPlan[[#This Row],[Expected Beginning of Harvest]]+BedPlan[[#This Row],[Harvest Window]]+BedPlan[[#This Row],[Additional Days of Harvest]]</f>
        <v>45920</v>
      </c>
      <c r="AF53" s="259"/>
      <c r="AG53" s="259"/>
      <c r="AH53" s="31" t="b">
        <f>IF(AND( BedPlan[[#This Row],[Expected End of Harvest]] &gt;= DATE(2025, 8, 1), BedPlan[[#This Row],[Beginning of Harvest]] &lt;= DATE(2025, 8, 31) ), TRUE, FALSE)</f>
        <v>1</v>
      </c>
      <c r="AI53" s="31"/>
      <c r="AJ53" s="31">
        <f>IF(ISNUMBER(BedPlan[[#This Row],[Actual End of Harvest]]),BedPlan[[#This Row],[Actual End of Harvest]],BedPlan[[#This Row],[Expected End of Harvest]])</f>
        <v>45920</v>
      </c>
      <c r="AK53" t="b">
        <f>OR(ISNUMBER(BedPlan[[#This Row],[Actual Greenhouse Date]]),ISNUMBER(BedPlan[[#This Row],[Actual TP or DS Date]]))</f>
        <v>1</v>
      </c>
      <c r="AL53" s="52" t="b">
        <f>IF(ISNUMBER(BedPlan[[#This Row],[Planned Greenhouse Start Date]]),OR(ISNUMBER(BedPlan[[#This Row],[Actual TP or DS Date]]),BedPlan[[#This Row],[Failed]]),"-")</f>
        <v>1</v>
      </c>
      <c r="AM53" t="b">
        <f>OR(ISNUMBER(BedPlan[[#This Row],[Actual End of Harvest]]),BedPlan[[#This Row],[Failed]])</f>
        <v>0</v>
      </c>
      <c r="AN53" t="b">
        <f>OR(BedPlan[[#This Row],[Harvest Done]],BedPlan[[#This Row],[Failed]],BedPlan[[#This Row],[Name]]="Tarp")</f>
        <v>0</v>
      </c>
      <c r="AQ53" t="s">
        <v>3236</v>
      </c>
      <c r="AS53" s="26" t="str">
        <f>IF(BedPlan[[#This Row],[Broadfork]],BedPlan[[#This Row],[Actual TP or DS Date]],"")</f>
        <v/>
      </c>
      <c r="AT53" s="26" t="str">
        <f>IF(BedPlan[[#This Row],[Tilther]],BedPlan[[#This Row],[Actual TP or DS Date]],"")</f>
        <v/>
      </c>
      <c r="AU53" s="26">
        <f>IF(NOT(ISBLANK(BedPlan[[#This Row],[Amend]])),BedPlan[[#This Row],[Actual TP or DS Date]],"")</f>
        <v>45803</v>
      </c>
      <c r="AV53" s="26" t="str">
        <f>IF(BedPlan[[#This Row],[Row Cover]],BedPlan[[#This Row],[Actual TP or DS Date]],"")</f>
        <v/>
      </c>
      <c r="AX53" s="26"/>
      <c r="AZ53" s="26"/>
      <c r="BB53" s="26"/>
      <c r="BC53" s="231" cm="1">
        <f t="array" ref="BC53">INDEX(Crops[],BedPlan[[#This Row],[Chart Index]],BC$4,1)*BedPlan[[#This Row],[Full Bed Equivalent]]</f>
        <v>1080</v>
      </c>
      <c r="BD53" s="231" cm="1">
        <f t="array" ref="BD53">INDEX(Crops[],BedPlan[[#This Row],[Chart Index]],BD$4,1)*BedPlan[[#This Row],[Full Bed Equivalent]]</f>
        <v>8.8524590163934427</v>
      </c>
      <c r="BE53" cm="1">
        <f t="array" ref="BE53">INDEX(Crops[],BedPlan[[#This Row],[Chart Index]],BE$4,1)+BedPlan[[#This Row],[Additional Days in Cells]]+BedPlan[[#This Row],[Additional Days In Field]]</f>
        <v>80</v>
      </c>
      <c r="BG53" cm="1">
        <f t="array" ref="BG53">INDEX(Crops[],BedPlan[[#This Row],[Chart Index]],BG$4,1)</f>
        <v>77</v>
      </c>
      <c r="BH53" t="str">
        <f>IF(ISNUMBER(BedPlan[[#This Row],[Planned Greenhouse Start Date]]),"TP","DS")</f>
        <v>TP</v>
      </c>
      <c r="BI53">
        <f>BedPlan[[#This Row],['# Of Beds]]</f>
        <v>1</v>
      </c>
      <c r="BJ53" cm="1">
        <f t="array" ref="BJ53">INDEX(Crops[],BedPlan[[#This Row],[Chart Index]],BJ$4,1)</f>
        <v>35</v>
      </c>
      <c r="BK53" cm="1">
        <f t="array" ref="BK53">INDEX(Crops[],BedPlan[[#This Row],[Chart Index]],BK$4,1)</f>
        <v>1</v>
      </c>
      <c r="BL53" cm="1">
        <f t="array" ref="BL53">INDEX(Crops[],BedPlan[[#This Row],[Chart Index]],BL$4,1)</f>
        <v>12</v>
      </c>
      <c r="BM53" cm="1">
        <f t="array" ref="BM53">INDEX(Crops[],BedPlan[[#This Row],[Chart Index]],BM$4,1)</f>
        <v>1</v>
      </c>
      <c r="BN53" s="32" cm="1">
        <f t="array" ref="BN53">INDEX(Crops[],BedPlan[[#This Row],[Chart Index]],BN$4,1)*BedPlan[[#This Row],[Full Bed Equivalent]]</f>
        <v>50</v>
      </c>
      <c r="BO53" t="str" cm="1">
        <f t="array" ref="BO53">IF(INDEX(Crops[],BedPlan[[#This Row],[Chart Index]],BO$4,1)=0,"",INDEX(Crops[],BedPlan[[#This Row],[Chart Index]],BO$4,1))</f>
        <v>DR</v>
      </c>
      <c r="BP53">
        <f>MATCH(BedPlan[[#This Row],[Crop]],Crops[Identifier],FALSE)</f>
        <v>107</v>
      </c>
      <c r="BQ53" t="str" cm="1">
        <f t="array" ref="BQ53">INDEX(Crops[],BedPlan[[#This Row],[Chart Index]],BQ$4,1)</f>
        <v>Asian Long</v>
      </c>
      <c r="BR53" t="str" cm="1">
        <f t="array" ref="BR53">INDEX(Crops[],BedPlan[[#This Row],[Chart Index]],BR$4,1)</f>
        <v/>
      </c>
      <c r="BS53" s="32">
        <f>BedPlan[[#This Row],[Expected Beginning of Harvest]]-DATE(2023,1,1)</f>
        <v>916</v>
      </c>
      <c r="BT53">
        <f>BedPlan[[#This Row],[Expected End of Harvest]]-BedPlan[[#This Row],[Expected Beginning of Harvest]]</f>
        <v>77</v>
      </c>
      <c r="BU53" t="str" cm="1">
        <f t="array" ref="BU53">INDEX(Crops[],BedPlan[[#This Row],[Chart Index]],BU$4,1)</f>
        <v>Cucumber</v>
      </c>
      <c r="BV53" cm="1">
        <f t="array" ref="BV53">INDEX(Crops[],BedPlan[[#This Row],[Chart Index]],BV$4,1)</f>
        <v>6</v>
      </c>
      <c r="BW53" t="str" cm="1">
        <f t="array" ref="BW53">INDEX(Crops[],BedPlan[[#This Row],[Chart Index]],BW$4,1)</f>
        <v>None</v>
      </c>
      <c r="BX53" cm="1">
        <f t="array" ref="BX53">INDEX(Crops[],BedPlan[[#This Row],[Chart Index]],BX$4,1)</f>
        <v>18</v>
      </c>
      <c r="BY53" cm="1">
        <f t="array" ref="BY53">INDEX(Crops[],BedPlan[[#This Row],[Chart Index]],BY$4,1)</f>
        <v>35</v>
      </c>
      <c r="BZ53" s="49" cm="1">
        <f t="array" ref="BZ53">IFERROR(INDEX(Crops[],BedPlan[[#This Row],[Chart Index]],BZ$4,1)*BedPlan[[#This Row],[Full Bed Equivalent]],"")</f>
        <v>3.6111111111111112</v>
      </c>
      <c r="CA53" cm="1">
        <f t="array" ref="CA53">INDEX(Crops[],BedPlan[[#This Row],[Chart Index]],CA$4,1)</f>
        <v>0</v>
      </c>
      <c r="CB53" cm="1">
        <f t="array" ref="CB53">INDEX(Crops[],BedPlan[[#This Row],[Chart Index]],CB$4,1)</f>
        <v>0</v>
      </c>
      <c r="CC53" s="49" t="str" cm="1">
        <f t="array" ref="CC53">IFERROR(INDEX(Crops[],BedPlan[[#This Row],[Chart Index]],CC$4,1)*BedPlan[[#This Row],[Full Bed Equivalent]],"")</f>
        <v/>
      </c>
      <c r="CD53" cm="1">
        <f t="array" ref="CD53">INDEX(Crops[],BedPlan[[#This Row],[Chart Index]],CD$4,1)</f>
        <v>0</v>
      </c>
      <c r="CE53" cm="1">
        <f t="array" ref="CE53">IF(INDEX(Crops[],BedPlan[[#This Row],[Chart Index]],CE$4,1)="",0,INDEX(Crops[],BedPlan[[#This Row],[Chart Index]],CE$4,1))</f>
        <v>0</v>
      </c>
      <c r="CF53" s="49" t="str" cm="1">
        <f t="array" ref="CF53">IFERROR(INDEX(Crops[],BedPlan[[#This Row],[Chart Index]],CF$4,1)*BedPlan[[#This Row],[Full Bed Equivalent]],"")</f>
        <v/>
      </c>
      <c r="CG53" cm="1">
        <f t="array" ref="CG53">IF(INDEX(Crops[],BedPlan[[#This Row],[Chart Index]],CG$4,1)="",0,INDEX(Crops[],BedPlan[[#This Row],[Chart Index]],CG$4,1))</f>
        <v>1.3</v>
      </c>
      <c r="CH53" cm="1">
        <f t="array" ref="CH53">IF(INDEX(Crops[],BedPlan[[#This Row],[Chart Index]],CH$4,1)="",0,INDEX(Crops[],BedPlan[[#This Row],[Chart Index]],CH$4,1))</f>
        <v>0</v>
      </c>
      <c r="CI53" t="str" cm="1">
        <f t="array" ref="CI53">INDEX(Crops[],BedPlan[[#This Row],[Chart Index]],CI$4,1)</f>
        <v>Field</v>
      </c>
      <c r="CJ53" s="30" t="str">
        <f>_xlfn.TEXTJOIN(CHAR(10),FALSE,BedPlan[[#This Row],[Name]],BedPlan[[#This Row],[Variety]],BedPlan[[#This Row],[Company]])</f>
        <v xml:space="preserve">Cucumber
Asian Cucumber Mix
</v>
      </c>
      <c r="CK53" s="32">
        <f>MAX( 0, MIN(BedPlan[[#This Row],[Expected End of Harvest]], EOMONTH(CK$4, 0)) - MAX(BedPlan[[#This Row],[Beginning of Harvest]], CK$4) + 1 )</f>
        <v>0</v>
      </c>
      <c r="CL53">
        <f>MAX( 0, MIN(BedPlan[[#This Row],[Expected End of Harvest]], EOMONTH(CL$4, 0)) - MAX(BedPlan[[#This Row],[Beginning of Harvest]], CL$4) + 1 )</f>
        <v>0</v>
      </c>
      <c r="CM53">
        <f>MAX( 0, MIN(BedPlan[[#This Row],[Expected End of Harvest]], EOMONTH(CM$4, 0)) - MAX(BedPlan[[#This Row],[Beginning of Harvest]], CM$4) + 1 )</f>
        <v>0</v>
      </c>
      <c r="CN53">
        <f>MAX( 0, MIN(BedPlan[[#This Row],[Expected End of Harvest]], EOMONTH(CN$4, 0)) - MAX(BedPlan[[#This Row],[Beginning of Harvest]], CN$4) + 1 )</f>
        <v>0</v>
      </c>
      <c r="CO53">
        <f>MAX( 0, MIN(BedPlan[[#This Row],[Expected End of Harvest]], EOMONTH(CO$4, 0)) - MAX(BedPlan[[#This Row],[Beginning of Harvest]], CO$4) + 1 )</f>
        <v>0</v>
      </c>
      <c r="CP53">
        <f>MAX( 0, MIN(BedPlan[[#This Row],[Expected End of Harvest]], EOMONTH(CP$4, 0)) - MAX(BedPlan[[#This Row],[Beginning of Harvest]], CP$4) + 1 )</f>
        <v>0</v>
      </c>
      <c r="CQ53">
        <f>MAX( 0, MIN(BedPlan[[#This Row],[Expected End of Harvest]], EOMONTH(CQ$4, 0)) - MAX(BedPlan[[#This Row],[Beginning of Harvest]], CQ$4) + 1 )</f>
        <v>27</v>
      </c>
      <c r="CR53">
        <f>MAX( 0, MIN(BedPlan[[#This Row],[Expected End of Harvest]], EOMONTH(CR$4, 0)) - MAX(BedPlan[[#This Row],[Beginning of Harvest]], CR$4) + 1 )</f>
        <v>31</v>
      </c>
      <c r="CS53">
        <f>MAX( 0, MIN(BedPlan[[#This Row],[Expected End of Harvest]], EOMONTH(CS$4, 0)) - MAX(BedPlan[[#This Row],[Beginning of Harvest]], CS$4) + 1 )</f>
        <v>20</v>
      </c>
      <c r="CT53">
        <f>MAX( 0, MIN(BedPlan[[#This Row],[Expected End of Harvest]], EOMONTH(CT$4, 0)) - MAX(BedPlan[[#This Row],[Beginning of Harvest]], CT$4) + 1 )</f>
        <v>0</v>
      </c>
      <c r="CU53">
        <f>MAX( 0, MIN(BedPlan[[#This Row],[Expected End of Harvest]], EOMONTH(CU$4, 0)) - MAX(BedPlan[[#This Row],[Beginning of Harvest]], CU$4) + 1 )</f>
        <v>0</v>
      </c>
      <c r="CV53">
        <f>MAX( 0, MIN(BedPlan[[#This Row],[Expected End of Harvest]], EOMONTH(CV$4, 0)) - MAX(BedPlan[[#This Row],[Beginning of Harvest]], CV$4) + 1 )</f>
        <v>0</v>
      </c>
      <c r="CW53">
        <f>MAX( 0, MIN(BedPlan[[#This Row],[Expected End of Harvest]], EOMONTH(CW$4, 0)) - MAX(BedPlan[[#This Row],[Beginning of Harvest]], CW$4) + 1 )</f>
        <v>0</v>
      </c>
      <c r="CX53">
        <f>MAX( 0, MIN(BedPlan[[#This Row],[Expected End of Harvest]], EOMONTH(CX$4, 0)) - MAX(BedPlan[[#This Row],[Beginning of Harvest]], CX$4) + 1 )</f>
        <v>0</v>
      </c>
      <c r="CY53">
        <f>MAX( 0, MIN(BedPlan[[#This Row],[Expected End of Harvest]], EOMONTH(CY$4, 0)) - MAX(BedPlan[[#This Row],[Beginning of Harvest]], CY$4) + 1 )</f>
        <v>0</v>
      </c>
      <c r="CZ53">
        <f>MAX( 0, MIN(BedPlan[[#This Row],[Expected End of Harvest]], EOMONTH(CZ$4, 0)) - MAX(BedPlan[[#This Row],[Beginning of Harvest]], CZ$4) + 1 )</f>
        <v>0</v>
      </c>
      <c r="DA53">
        <f>MAX( 0, MIN(BedPlan[[#This Row],[Expected End of Harvest]], EOMONTH(DA$4, 0)) - MAX(BedPlan[[#This Row],[Beginning of Harvest]], DA$4) + 1 )</f>
        <v>0</v>
      </c>
      <c r="DB53">
        <f>MAX( 0, MIN(BedPlan[[#This Row],[Expected End of Harvest]], EOMONTH(DB$4, 0)) - MAX(BedPlan[[#This Row],[Beginning of Harvest]], DB$4) + 1 )</f>
        <v>0</v>
      </c>
      <c r="DC53">
        <f>MAX( 0, MIN(BedPlan[[#This Row],[Expected End of Harvest]], EOMONTH(DC$4, 0)) - MAX(BedPlan[[#This Row],[Beginning of Harvest]], DC$4) + 1 )</f>
        <v>0</v>
      </c>
      <c r="DD53">
        <f>MAX( 0, MIN(BedPlan[[#This Row],[Expected End of Harvest]], EOMONTH(DD$4, 0)) - MAX(BedPlan[[#This Row],[Beginning of Harvest]], DD$4) + 1 )</f>
        <v>0</v>
      </c>
      <c r="DE53">
        <f>MAX( 0, MIN(BedPlan[[#This Row],[Expected End of Harvest]], EOMONTH(DE$4, 0)) - MAX(BedPlan[[#This Row],[Beginning of Harvest]], DE$4) + 1 )</f>
        <v>0</v>
      </c>
      <c r="DF53">
        <f>MAX( 0, MIN(BedPlan[[#This Row],[Expected End of Harvest]], EOMONTH(DF$4, 0)) - MAX(BedPlan[[#This Row],[Beginning of Harvest]], DF$4) + 1 )</f>
        <v>0</v>
      </c>
      <c r="DG53">
        <f>MAX( 0, MIN(BedPlan[[#This Row],[Expected End of Harvest]], EOMONTH(DG$4, 0)) - MAX(BedPlan[[#This Row],[Beginning of Harvest]], DG$4) + 1 )</f>
        <v>0</v>
      </c>
      <c r="DH53">
        <f>MAX( 0, MIN(BedPlan[[#This Row],[Expected End of Harvest]], EOMONTH(DH$4, 0)) - MAX(BedPlan[[#This Row],[Beginning of Harvest]], DH$4) + 1 )</f>
        <v>0</v>
      </c>
      <c r="DI53" s="257" cm="1">
        <f t="array" ref="DI53">BedPlan[[#This Row],[Harvest Days January 2025]]/SUM(BedPlan[[#This Row],[Harvest Days January 2025]:[Harvest Days December 2026]])*BedPlan[[#This Row],[Revenue]:[Revenue]]</f>
        <v>0</v>
      </c>
      <c r="DJ53" s="257" cm="1">
        <f t="array" ref="DJ53">BedPlan[[#This Row],[Harvest Days February 2025]]/SUM(BedPlan[[#This Row],[Harvest Days January 2025]:[Harvest Days December 2026]])*BedPlan[[#This Row],[Revenue]:[Revenue]]</f>
        <v>0</v>
      </c>
      <c r="DK53" s="257" cm="1">
        <f t="array" ref="DK53">BedPlan[[#This Row],[Harvest Days March 2025]]/SUM(BedPlan[[#This Row],[Harvest Days January 2025]:[Harvest Days December 2026]])*BedPlan[[#This Row],[Revenue]:[Revenue]]</f>
        <v>0</v>
      </c>
      <c r="DL53" s="257" cm="1">
        <f t="array" ref="DL53">BedPlan[[#This Row],[Harvest Days April 2025]]/SUM(BedPlan[[#This Row],[Harvest Days January 2025]:[Harvest Days December 2026]])*BedPlan[[#This Row],[Revenue]:[Revenue]]</f>
        <v>0</v>
      </c>
      <c r="DM53" s="257" cm="1">
        <f t="array" ref="DM53">BedPlan[[#This Row],[Harvest Days May 2025]]/SUM(BedPlan[[#This Row],[Harvest Days January 2025]:[Harvest Days December 2026]])*BedPlan[[#This Row],[Revenue]:[Revenue]]</f>
        <v>0</v>
      </c>
      <c r="DN53" s="257" cm="1">
        <f t="array" ref="DN53">BedPlan[[#This Row],[Harvest Days June 2025]]/SUM(BedPlan[[#This Row],[Harvest Days January 2025]:[Harvest Days December 2026]])*BedPlan[[#This Row],[Revenue]:[Revenue]]</f>
        <v>0</v>
      </c>
      <c r="DO53" s="257" cm="1">
        <f t="array" ref="DO53">BedPlan[[#This Row],[Harvest Days July 2025]]/SUM(BedPlan[[#This Row],[Harvest Days January 2025]:[Harvest Days December 2026]])*BedPlan[[#This Row],[Revenue]:[Revenue]]</f>
        <v>373.84615384615381</v>
      </c>
      <c r="DP53" s="257" cm="1">
        <f t="array" ref="DP53">BedPlan[[#This Row],[Harvest Days August 2025]]/SUM(BedPlan[[#This Row],[Harvest Days January 2025]:[Harvest Days December 2026]])*BedPlan[[#This Row],[Revenue]:[Revenue]]</f>
        <v>429.23076923076923</v>
      </c>
      <c r="DQ53" s="257" cm="1">
        <f t="array" ref="DQ53">BedPlan[[#This Row],[Harvest Days September 2025]]/SUM(BedPlan[[#This Row],[Harvest Days January 2025]:[Harvest Days December 2026]])*BedPlan[[#This Row],[Revenue]:[Revenue]]</f>
        <v>276.92307692307691</v>
      </c>
      <c r="DR53" s="257" cm="1">
        <f t="array" ref="DR53">BedPlan[[#This Row],[Harvest Days October 2025]]/SUM(BedPlan[[#This Row],[Harvest Days January 2025]:[Harvest Days December 2026]])*BedPlan[[#This Row],[Revenue]:[Revenue]]</f>
        <v>0</v>
      </c>
      <c r="DS53" s="257" cm="1">
        <f t="array" ref="DS53">BedPlan[[#This Row],[Harvest Days November 2025]]/SUM(BedPlan[[#This Row],[Harvest Days January 2025]:[Harvest Days December 2026]])*BedPlan[[#This Row],[Revenue]:[Revenue]]</f>
        <v>0</v>
      </c>
      <c r="DT53" s="257" cm="1">
        <f t="array" ref="DT53">BedPlan[[#This Row],[Harvest Days December 2025]]/SUM(BedPlan[[#This Row],[Harvest Days January 2025]:[Harvest Days December 2026]])*BedPlan[[#This Row],[Revenue]:[Revenue]]</f>
        <v>0</v>
      </c>
      <c r="DU53" s="257" cm="1">
        <f t="array" ref="DU53">BedPlan[[#This Row],[Harvest Days January 2026]]/SUM(BedPlan[[#This Row],[Harvest Days January 2025]:[Harvest Days December 2026]])*BedPlan[[#This Row],[Revenue]:[Revenue]]</f>
        <v>0</v>
      </c>
      <c r="DV53" s="257" cm="1">
        <f t="array" ref="DV53">BedPlan[[#This Row],[Harvest Days February 2026]]/SUM(BedPlan[[#This Row],[Harvest Days January 2025]:[Harvest Days December 2026]])*BedPlan[[#This Row],[Revenue]:[Revenue]]</f>
        <v>0</v>
      </c>
      <c r="DW53" s="257" cm="1">
        <f t="array" ref="DW53">BedPlan[[#This Row],[Harvest Days March 2026]]/SUM(BedPlan[[#This Row],[Harvest Days January 2025]:[Harvest Days December 2026]])*BedPlan[[#This Row],[Revenue]:[Revenue]]</f>
        <v>0</v>
      </c>
      <c r="DX53" s="257" cm="1">
        <f t="array" ref="DX53">BedPlan[[#This Row],[Harvest Days April 2026]]/SUM(BedPlan[[#This Row],[Harvest Days January 2025]:[Harvest Days December 2026]])*BedPlan[[#This Row],[Revenue]:[Revenue]]</f>
        <v>0</v>
      </c>
      <c r="DY53" s="257" cm="1">
        <f t="array" ref="DY53">BedPlan[[#This Row],[Harvest Days May 2026]]/SUM(BedPlan[[#This Row],[Harvest Days January 2025]:[Harvest Days December 2026]])*BedPlan[[#This Row],[Revenue]:[Revenue]]</f>
        <v>0</v>
      </c>
      <c r="DZ53" s="257" cm="1">
        <f t="array" ref="DZ53">BedPlan[[#This Row],[Harvest Days June 2026]]/SUM(BedPlan[[#This Row],[Harvest Days January 2025]:[Harvest Days December 2026]])*BedPlan[[#This Row],[Revenue]:[Revenue]]</f>
        <v>0</v>
      </c>
      <c r="EA53" s="257" cm="1">
        <f t="array" ref="EA53">BedPlan[[#This Row],[Harvest Days July 2026]]/SUM(BedPlan[[#This Row],[Harvest Days January 2025]:[Harvest Days December 2026]])*BedPlan[[#This Row],[Revenue]:[Revenue]]</f>
        <v>0</v>
      </c>
      <c r="EB53" s="257" cm="1">
        <f t="array" ref="EB53">BedPlan[[#This Row],[Harvest Days August 2026]]/SUM(BedPlan[[#This Row],[Harvest Days January 2025]:[Harvest Days December 2026]])*BedPlan[[#This Row],[Revenue]:[Revenue]]</f>
        <v>0</v>
      </c>
      <c r="EC53" s="257" cm="1">
        <f t="array" ref="EC53">BedPlan[[#This Row],[Harvest Days September 2026]]/SUM(BedPlan[[#This Row],[Harvest Days January 2025]:[Harvest Days December 2026]])*BedPlan[[#This Row],[Revenue]:[Revenue]]</f>
        <v>0</v>
      </c>
      <c r="ED53" s="257" cm="1">
        <f t="array" ref="ED53">BedPlan[[#This Row],[Harvest Days October 2026]]/SUM(BedPlan[[#This Row],[Harvest Days January 2025]:[Harvest Days December 2026]])*BedPlan[[#This Row],[Revenue]:[Revenue]]</f>
        <v>0</v>
      </c>
      <c r="EE53" s="257" cm="1">
        <f t="array" ref="EE53">BedPlan[[#This Row],[Harvest Days November 2026]]/SUM(BedPlan[[#This Row],[Harvest Days January 2025]:[Harvest Days December 2026]])*BedPlan[[#This Row],[Revenue]:[Revenue]]</f>
        <v>0</v>
      </c>
      <c r="EF53" s="257" cm="1">
        <f t="array" ref="EF53">BedPlan[[#This Row],[Harvest Days December 2026]]/SUM(BedPlan[[#This Row],[Harvest Days January 2025]:[Harvest Days December 2026]])*BedPlan[[#This Row],[Revenue]:[Revenue]]</f>
        <v>0</v>
      </c>
      <c r="EG53" t="b">
        <f>SUM(BedPlan[[#This Row],[Revenue January 2025]:[Revenue December 2026]])=BedPlan[[#This Row],[Revenue]]</f>
        <v>1</v>
      </c>
      <c r="EH53" s="30" cm="1">
        <f t="array" ref="EH53">INDEX(Crops[],BedPlan[[#This Row],[Chart Index]],EH$4,1)*BedPlan[[#This Row],['# Of Beds]]</f>
        <v>360</v>
      </c>
      <c r="EI53" s="30" t="str" cm="1">
        <f t="array" ref="EI53">INDEX(Crops[],BedPlan[[#This Row],[Chart Index]],EI$4,1)</f>
        <v>Lb</v>
      </c>
      <c r="EJ53" s="30" t="str" cm="1">
        <f t="array" ref="EJ53">INDEX(Crops[],BedPlan[[#This Row],[Chart Index]],EJ$4,1)</f>
        <v>Ripe Fruit</v>
      </c>
      <c r="EK53" s="30" t="str">
        <f>BedPlan[[#This Row],[Name]]&amp;" "&amp;BedPlan[[#This Row],[Product]]&amp; " - " &amp;BedPlan[[#This Row],[Unit]]</f>
        <v>Cucumber Ripe Fruit - Lb</v>
      </c>
      <c r="EL53" s="33" cm="1">
        <f t="array" ref="EL53">BedPlan[[#This Row],[Harvest Days January 2025]]/SUM(BedPlan[[#This Row],[Harvest Days January 2025]:[Harvest Days December 2026]])*BedPlan[[#This Row],[Yield]:[Yield]]</f>
        <v>0</v>
      </c>
      <c r="EM53" s="33" cm="1">
        <f t="array" ref="EM53">BedPlan[[#This Row],[Harvest Days February 2025]]/SUM(BedPlan[[#This Row],[Harvest Days January 2025]:[Harvest Days December 2026]])*BedPlan[[#This Row],[Yield]:[Yield]]</f>
        <v>0</v>
      </c>
      <c r="EN53" s="33" cm="1">
        <f t="array" ref="EN53">BedPlan[[#This Row],[Harvest Days March 2025]]/SUM(BedPlan[[#This Row],[Harvest Days January 2025]:[Harvest Days December 2026]])*BedPlan[[#This Row],[Yield]:[Yield]]</f>
        <v>0</v>
      </c>
      <c r="EO53" s="33" cm="1">
        <f t="array" ref="EO53">BedPlan[[#This Row],[Harvest Days April 2025]]/SUM(BedPlan[[#This Row],[Harvest Days January 2025]:[Harvest Days December 2026]])*BedPlan[[#This Row],[Yield]:[Yield]]</f>
        <v>0</v>
      </c>
      <c r="EP53" s="33" cm="1">
        <f t="array" ref="EP53">BedPlan[[#This Row],[Harvest Days May 2025]]/SUM(BedPlan[[#This Row],[Harvest Days January 2025]:[Harvest Days December 2026]])*BedPlan[[#This Row],[Yield]:[Yield]]</f>
        <v>0</v>
      </c>
      <c r="EQ53" s="33" cm="1">
        <f t="array" ref="EQ53">BedPlan[[#This Row],[Harvest Days June 2025]]/SUM(BedPlan[[#This Row],[Harvest Days January 2025]:[Harvest Days December 2026]])*BedPlan[[#This Row],[Yield]:[Yield]]</f>
        <v>0</v>
      </c>
      <c r="ER53" s="33" cm="1">
        <f t="array" ref="ER53">BedPlan[[#This Row],[Harvest Days July 2025]]/SUM(BedPlan[[#This Row],[Harvest Days January 2025]:[Harvest Days December 2026]])*BedPlan[[#This Row],[Yield]:[Yield]]</f>
        <v>124.61538461538461</v>
      </c>
      <c r="ES53" s="33" cm="1">
        <f t="array" ref="ES53">BedPlan[[#This Row],[Harvest Days August 2025]]/SUM(BedPlan[[#This Row],[Harvest Days January 2025]:[Harvest Days December 2026]])*BedPlan[[#This Row],[Yield]:[Yield]]</f>
        <v>143.07692307692307</v>
      </c>
      <c r="ET53" s="33" cm="1">
        <f t="array" ref="ET53">BedPlan[[#This Row],[Harvest Days September 2025]]/SUM(BedPlan[[#This Row],[Harvest Days January 2025]:[Harvest Days December 2026]])*BedPlan[[#This Row],[Yield]:[Yield]]</f>
        <v>92.307692307692292</v>
      </c>
      <c r="EU53" s="33" cm="1">
        <f t="array" ref="EU53">BedPlan[[#This Row],[Harvest Days October 2025]]/SUM(BedPlan[[#This Row],[Harvest Days January 2025]:[Harvest Days December 2026]])*BedPlan[[#This Row],[Yield]:[Yield]]</f>
        <v>0</v>
      </c>
      <c r="EV53" s="33" cm="1">
        <f t="array" ref="EV53">BedPlan[[#This Row],[Harvest Days November 2025]]/SUM(BedPlan[[#This Row],[Harvest Days January 2025]:[Harvest Days December 2026]])*BedPlan[[#This Row],[Yield]:[Yield]]</f>
        <v>0</v>
      </c>
      <c r="EW53" s="33" cm="1">
        <f t="array" ref="EW53">BedPlan[[#This Row],[Harvest Days December 2025]]/SUM(BedPlan[[#This Row],[Harvest Days January 2025]:[Harvest Days December 2026]])*BedPlan[[#This Row],[Yield]:[Yield]]</f>
        <v>0</v>
      </c>
    </row>
    <row r="54" spans="1:153" ht="15.75" customHeight="1">
      <c r="A54" s="182" t="s">
        <v>2720</v>
      </c>
      <c r="B54" t="s">
        <v>2642</v>
      </c>
      <c r="C54" t="s">
        <v>1427</v>
      </c>
      <c r="D54" cm="1">
        <f t="array" ref="D54">INDEX(Crops[],BedPlan[[#This Row],[Chart Index]],D$4,1)*BedPlan[[#This Row],[Full Bed Equivalent]]</f>
        <v>12.5</v>
      </c>
      <c r="E54" cm="1">
        <f t="array" ref="E54">INDEX(Crops[],BedPlan[[#This Row],[Chart Index]],E$4,1)*BedPlan[[#This Row],[Full Bed Equivalent]]</f>
        <v>178.57142857142856</v>
      </c>
      <c r="F54" t="str">
        <f>UPPER(LEFT(BedPlan[[#This Row],[Crop]],3))</f>
        <v>CUC</v>
      </c>
      <c r="H54" s="143" t="str" cm="1">
        <f t="array" ref="H54">INDEX(Crops[],BedPlan[[#This Row],[Chart Index]],H$4,1)</f>
        <v>Cucumber</v>
      </c>
      <c r="I54" t="s">
        <v>2823</v>
      </c>
      <c r="K54" t="str" cm="1">
        <f t="array" ref="K54">IF(ISNUMBER(MATCH(BedPlan[[#This Row],[Variety]],SeedMixes[Name],)),_xlfn.TEXTJOIN(", ",TRUE,_xlfn._xlws.FILTER(SeedMixes[Variety &amp; Company],SeedMixes[Name]=BedPlan[[#This Row],[Variety]])),"")</f>
        <v>Manny High Mowing, Katrina Osborne</v>
      </c>
      <c r="L54" s="33" cm="1">
        <f t="array" ref="L54">INDEX(Crops[],BedPlan[[#This Row],[Chart Index]],L$4,1)*BedPlan[[#This Row],[Full Bed Equivalent]]</f>
        <v>16.25</v>
      </c>
      <c r="N54">
        <v>0.25</v>
      </c>
      <c r="O54">
        <f>MAX(BedPlan[[#This Row],['# Of Beds]],0.5)</f>
        <v>0.5</v>
      </c>
      <c r="P54" s="31">
        <f>IF(ISNUMBER(BedPlan[[#This Row],[Planned Greenhouse Start Date]]),BedPlan[[#This Row],[Planned Greenhouse Start Date]],BedPlan[[#This Row],[Planned TP or DS Date]])</f>
        <v>45748</v>
      </c>
      <c r="Q54" s="259">
        <f>IF(BedPlan[[#This Row],[Days in Cells]]=0,"",IFERROR(_xlfn.XLOOKUP(BedPlan[[#This Row],[Follows Crop]],BedPlan[Identifier],BedPlan[Expected End of Harvest]) + 1+BedPlan[[#This Row],[Follow Offset]],BedPlan[[#This Row],[Fixed Field Start Date]])-BedPlan[[#This Row],[Days in Cells]])</f>
        <v>45748</v>
      </c>
      <c r="R54" s="259">
        <v>45763</v>
      </c>
      <c r="S54" s="259">
        <f>IF(ISNUMBER(BedPlan[[#This Row],[Actual Greenhouse Date]]),BedPlan[[#This Row],[Actual Greenhouse Date]],BedPlan[[#This Row],[Planned Greenhouse Start Date]])</f>
        <v>45763</v>
      </c>
      <c r="T54" s="259">
        <f>_xlfn.XLOOKUP(BedPlan[[#This Row],[Crop]],Crops[Identifier],Crops[Target Field Date])</f>
        <v>45783</v>
      </c>
      <c r="U54" s="260"/>
      <c r="V54" s="260"/>
      <c r="W5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4" s="259">
        <v>45807</v>
      </c>
      <c r="Y54" s="271">
        <f>BedPlan[[#This Row],[Actual TP or DS Date]]-BedPlan[[#This Row],[Planned TP or DS Date]]</f>
        <v>9</v>
      </c>
      <c r="Z54" s="259">
        <f>IF(ISNUMBER(BedPlan[[#This Row],[Actual TP or DS Date]]),BedPlan[[#This Row],[Actual TP or DS Date]],BedPlan[[#This Row],[Planned TP or DS Date]])</f>
        <v>45807</v>
      </c>
      <c r="AA54" s="260"/>
      <c r="AB54" s="259">
        <f>IF(ISNUMBER(BedPlan[[#This Row],[Greenhouse Start Date]]),BedPlan[[#This Row],[Greenhouse Start Date]]+BedPlan[[#This Row],[DTM]],BedPlan[[#This Row],[TP or DS Date]]+BedPlan[[#This Row],[DTM]])</f>
        <v>45833</v>
      </c>
      <c r="AC54" s="259"/>
      <c r="AD54" s="259">
        <f>IF(ISNUMBER(BedPlan[[#This Row],[Actual Beginning of Harvest]]),BedPlan[[#This Row],[Actual Beginning of Harvest]],BedPlan[[#This Row],[Expected Beginning of Harvest]])</f>
        <v>45833</v>
      </c>
      <c r="AE54" s="259">
        <f>BedPlan[[#This Row],[Expected Beginning of Harvest]]+BedPlan[[#This Row],[Harvest Window]]+BedPlan[[#This Row],[Additional Days of Harvest]]</f>
        <v>45938</v>
      </c>
      <c r="AF54" s="259"/>
      <c r="AG54" s="259"/>
      <c r="AH54" s="31" t="b">
        <f>IF(AND( BedPlan[[#This Row],[Expected End of Harvest]] &gt;= DATE(2025, 8, 1), BedPlan[[#This Row],[Beginning of Harvest]] &lt;= DATE(2025, 8, 31) ), TRUE, FALSE)</f>
        <v>1</v>
      </c>
      <c r="AI54" s="31"/>
      <c r="AJ54" s="31">
        <f>IF(ISNUMBER(BedPlan[[#This Row],[Actual End of Harvest]]),BedPlan[[#This Row],[Actual End of Harvest]],BedPlan[[#This Row],[Expected End of Harvest]])</f>
        <v>45938</v>
      </c>
      <c r="AK54" t="b">
        <f>OR(ISNUMBER(BedPlan[[#This Row],[Actual Greenhouse Date]]),ISNUMBER(BedPlan[[#This Row],[Actual TP or DS Date]]))</f>
        <v>1</v>
      </c>
      <c r="AL54" s="52" t="b">
        <f>IF(ISNUMBER(BedPlan[[#This Row],[Planned Greenhouse Start Date]]),OR(ISNUMBER(BedPlan[[#This Row],[Actual TP or DS Date]]),BedPlan[[#This Row],[Failed]]),"-")</f>
        <v>1</v>
      </c>
      <c r="AM54" t="b">
        <f>OR(ISNUMBER(BedPlan[[#This Row],[Actual End of Harvest]]),BedPlan[[#This Row],[Failed]])</f>
        <v>0</v>
      </c>
      <c r="AN54" t="b">
        <f>OR(BedPlan[[#This Row],[Harvest Done]],BedPlan[[#This Row],[Failed]],BedPlan[[#This Row],[Name]]="Tarp")</f>
        <v>0</v>
      </c>
      <c r="AQ54" t="s">
        <v>3236</v>
      </c>
      <c r="AS54" s="26" t="str">
        <f>IF(BedPlan[[#This Row],[Broadfork]],BedPlan[[#This Row],[Actual TP or DS Date]],"")</f>
        <v/>
      </c>
      <c r="AT54" s="26" t="str">
        <f>IF(BedPlan[[#This Row],[Tilther]],BedPlan[[#This Row],[Actual TP or DS Date]],"")</f>
        <v/>
      </c>
      <c r="AU54" s="26">
        <f>IF(NOT(ISBLANK(BedPlan[[#This Row],[Amend]])),BedPlan[[#This Row],[Actual TP or DS Date]],"")</f>
        <v>45807</v>
      </c>
      <c r="AV54" s="26" t="str">
        <f>IF(BedPlan[[#This Row],[Row Cover]],BedPlan[[#This Row],[Actual TP or DS Date]],"")</f>
        <v/>
      </c>
      <c r="AX54" s="26"/>
      <c r="AZ54" s="26"/>
      <c r="BB54" s="26"/>
      <c r="BC54" s="231" cm="1">
        <f t="array" ref="BC54">INDEX(Crops[],BedPlan[[#This Row],[Chart Index]],BC$4,1)*BedPlan[[#This Row],[Full Bed Equivalent]]</f>
        <v>714.28571428571422</v>
      </c>
      <c r="BD54" s="231" cm="1">
        <f t="array" ref="BD54">INDEX(Crops[],BedPlan[[#This Row],[Chart Index]],BD$4,1)*BedPlan[[#This Row],[Full Bed Equivalent]]</f>
        <v>5.1020408163265305</v>
      </c>
      <c r="BE54" cm="1">
        <f t="array" ref="BE54">INDEX(Crops[],BedPlan[[#This Row],[Chart Index]],BE$4,1)+BedPlan[[#This Row],[Additional Days in Cells]]+BedPlan[[#This Row],[Additional Days In Field]]</f>
        <v>70</v>
      </c>
      <c r="BG54" cm="1">
        <f t="array" ref="BG54">INDEX(Crops[],BedPlan[[#This Row],[Chart Index]],BG$4,1)</f>
        <v>105</v>
      </c>
      <c r="BH54" t="str">
        <f>IF(ISNUMBER(BedPlan[[#This Row],[Planned Greenhouse Start Date]]),"TP","DS")</f>
        <v>TP</v>
      </c>
      <c r="BI54">
        <f>BedPlan[[#This Row],['# Of Beds]]</f>
        <v>0.25</v>
      </c>
      <c r="BJ54" cm="1">
        <f t="array" ref="BJ54">INDEX(Crops[],BedPlan[[#This Row],[Chart Index]],BJ$4,1)</f>
        <v>35</v>
      </c>
      <c r="BK54" cm="1">
        <f t="array" ref="BK54">INDEX(Crops[],BedPlan[[#This Row],[Chart Index]],BK$4,1)</f>
        <v>1</v>
      </c>
      <c r="BL54" cm="1">
        <f t="array" ref="BL54">INDEX(Crops[],BedPlan[[#This Row],[Chart Index]],BL$4,1)</f>
        <v>12</v>
      </c>
      <c r="BM54" cm="1">
        <f t="array" ref="BM54">INDEX(Crops[],BedPlan[[#This Row],[Chart Index]],BM$4,1)</f>
        <v>1</v>
      </c>
      <c r="BN54" s="32" cm="1">
        <f t="array" ref="BN54">INDEX(Crops[],BedPlan[[#This Row],[Chart Index]],BN$4,1)*BedPlan[[#This Row],[Full Bed Equivalent]]</f>
        <v>12.5</v>
      </c>
      <c r="BO54" t="str" cm="1">
        <f t="array" ref="BO54">IF(INDEX(Crops[],BedPlan[[#This Row],[Chart Index]],BO$4,1)=0,"",INDEX(Crops[],BedPlan[[#This Row],[Chart Index]],BO$4,1))</f>
        <v/>
      </c>
      <c r="BP54">
        <f>MATCH(BedPlan[[#This Row],[Crop]],Crops[Identifier],FALSE)</f>
        <v>109</v>
      </c>
      <c r="BQ54" t="str" cm="1">
        <f t="array" ref="BQ54">INDEX(Crops[],BedPlan[[#This Row],[Chart Index]],BQ$4,1)</f>
        <v>Lebanese</v>
      </c>
      <c r="BR54" t="str" cm="1">
        <f t="array" ref="BR54">INDEX(Crops[],BedPlan[[#This Row],[Chart Index]],BR$4,1)</f>
        <v/>
      </c>
      <c r="BS54" s="32">
        <f>BedPlan[[#This Row],[Expected Beginning of Harvest]]-DATE(2023,1,1)</f>
        <v>906</v>
      </c>
      <c r="BT54">
        <f>BedPlan[[#This Row],[Expected End of Harvest]]-BedPlan[[#This Row],[Expected Beginning of Harvest]]</f>
        <v>105</v>
      </c>
      <c r="BU54" cm="1">
        <f t="array" ref="BU54">INDEX(Crops[],BedPlan[[#This Row],[Chart Index]],BU$4,1)</f>
        <v>0</v>
      </c>
      <c r="BV54" cm="1">
        <f t="array" ref="BV54">INDEX(Crops[],BedPlan[[#This Row],[Chart Index]],BV$4,1)</f>
        <v>0</v>
      </c>
      <c r="BW54" cm="1">
        <f t="array" ref="BW54">INDEX(Crops[],BedPlan[[#This Row],[Chart Index]],BW$4,1)</f>
        <v>0</v>
      </c>
      <c r="BX54" cm="1">
        <f t="array" ref="BX54">INDEX(Crops[],BedPlan[[#This Row],[Chart Index]],BX$4,1)</f>
        <v>18</v>
      </c>
      <c r="BY54" cm="1">
        <f t="array" ref="BY54">INDEX(Crops[],BedPlan[[#This Row],[Chart Index]],BY$4,1)</f>
        <v>35</v>
      </c>
      <c r="BZ54" s="49" cm="1">
        <f t="array" ref="BZ54">IFERROR(INDEX(Crops[],BedPlan[[#This Row],[Chart Index]],BZ$4,1)*BedPlan[[#This Row],[Full Bed Equivalent]],"")</f>
        <v>0.90277777777777779</v>
      </c>
      <c r="CA54" cm="1">
        <f t="array" ref="CA54">INDEX(Crops[],BedPlan[[#This Row],[Chart Index]],CA$4,1)</f>
        <v>0</v>
      </c>
      <c r="CB54" cm="1">
        <f t="array" ref="CB54">INDEX(Crops[],BedPlan[[#This Row],[Chart Index]],CB$4,1)</f>
        <v>0</v>
      </c>
      <c r="CC54" s="49" t="str" cm="1">
        <f t="array" ref="CC54">IFERROR(INDEX(Crops[],BedPlan[[#This Row],[Chart Index]],CC$4,1)*BedPlan[[#This Row],[Full Bed Equivalent]],"")</f>
        <v/>
      </c>
      <c r="CD54" cm="1">
        <f t="array" ref="CD54">INDEX(Crops[],BedPlan[[#This Row],[Chart Index]],CD$4,1)</f>
        <v>0</v>
      </c>
      <c r="CE54" cm="1">
        <f t="array" ref="CE54">IF(INDEX(Crops[],BedPlan[[#This Row],[Chart Index]],CE$4,1)="",0,INDEX(Crops[],BedPlan[[#This Row],[Chart Index]],CE$4,1))</f>
        <v>0</v>
      </c>
      <c r="CF54" s="49" t="str" cm="1">
        <f t="array" ref="CF54">IFERROR(INDEX(Crops[],BedPlan[[#This Row],[Chart Index]],CF$4,1)*BedPlan[[#This Row],[Full Bed Equivalent]],"")</f>
        <v/>
      </c>
      <c r="CG54" cm="1">
        <f t="array" ref="CG54">IF(INDEX(Crops[],BedPlan[[#This Row],[Chart Index]],CG$4,1)="",0,INDEX(Crops[],BedPlan[[#This Row],[Chart Index]],CG$4,1))</f>
        <v>1.3</v>
      </c>
      <c r="CH54" cm="1">
        <f t="array" ref="CH54">IF(INDEX(Crops[],BedPlan[[#This Row],[Chart Index]],CH$4,1)="",0,INDEX(Crops[],BedPlan[[#This Row],[Chart Index]],CH$4,1))</f>
        <v>0</v>
      </c>
      <c r="CI54" t="str" cm="1">
        <f t="array" ref="CI54">INDEX(Crops[],BedPlan[[#This Row],[Chart Index]],CI$4,1)</f>
        <v>Greenhouse</v>
      </c>
      <c r="CJ54" s="30" t="str">
        <f>_xlfn.TEXTJOIN(CHAR(10),FALSE,BedPlan[[#This Row],[Name]],BedPlan[[#This Row],[Variety]],BedPlan[[#This Row],[Company]])</f>
        <v xml:space="preserve">Cucumber
Lebanese Cucumber Mix
</v>
      </c>
      <c r="CK54" s="32">
        <f>MAX( 0, MIN(BedPlan[[#This Row],[Expected End of Harvest]], EOMONTH(CK$4, 0)) - MAX(BedPlan[[#This Row],[Beginning of Harvest]], CK$4) + 1 )</f>
        <v>0</v>
      </c>
      <c r="CL54">
        <f>MAX( 0, MIN(BedPlan[[#This Row],[Expected End of Harvest]], EOMONTH(CL$4, 0)) - MAX(BedPlan[[#This Row],[Beginning of Harvest]], CL$4) + 1 )</f>
        <v>0</v>
      </c>
      <c r="CM54">
        <f>MAX( 0, MIN(BedPlan[[#This Row],[Expected End of Harvest]], EOMONTH(CM$4, 0)) - MAX(BedPlan[[#This Row],[Beginning of Harvest]], CM$4) + 1 )</f>
        <v>0</v>
      </c>
      <c r="CN54">
        <f>MAX( 0, MIN(BedPlan[[#This Row],[Expected End of Harvest]], EOMONTH(CN$4, 0)) - MAX(BedPlan[[#This Row],[Beginning of Harvest]], CN$4) + 1 )</f>
        <v>0</v>
      </c>
      <c r="CO54">
        <f>MAX( 0, MIN(BedPlan[[#This Row],[Expected End of Harvest]], EOMONTH(CO$4, 0)) - MAX(BedPlan[[#This Row],[Beginning of Harvest]], CO$4) + 1 )</f>
        <v>0</v>
      </c>
      <c r="CP54">
        <f>MAX( 0, MIN(BedPlan[[#This Row],[Expected End of Harvest]], EOMONTH(CP$4, 0)) - MAX(BedPlan[[#This Row],[Beginning of Harvest]], CP$4) + 1 )</f>
        <v>6</v>
      </c>
      <c r="CQ54">
        <f>MAX( 0, MIN(BedPlan[[#This Row],[Expected End of Harvest]], EOMONTH(CQ$4, 0)) - MAX(BedPlan[[#This Row],[Beginning of Harvest]], CQ$4) + 1 )</f>
        <v>31</v>
      </c>
      <c r="CR54">
        <f>MAX( 0, MIN(BedPlan[[#This Row],[Expected End of Harvest]], EOMONTH(CR$4, 0)) - MAX(BedPlan[[#This Row],[Beginning of Harvest]], CR$4) + 1 )</f>
        <v>31</v>
      </c>
      <c r="CS54">
        <f>MAX( 0, MIN(BedPlan[[#This Row],[Expected End of Harvest]], EOMONTH(CS$4, 0)) - MAX(BedPlan[[#This Row],[Beginning of Harvest]], CS$4) + 1 )</f>
        <v>30</v>
      </c>
      <c r="CT54">
        <f>MAX( 0, MIN(BedPlan[[#This Row],[Expected End of Harvest]], EOMONTH(CT$4, 0)) - MAX(BedPlan[[#This Row],[Beginning of Harvest]], CT$4) + 1 )</f>
        <v>8</v>
      </c>
      <c r="CU54">
        <f>MAX( 0, MIN(BedPlan[[#This Row],[Expected End of Harvest]], EOMONTH(CU$4, 0)) - MAX(BedPlan[[#This Row],[Beginning of Harvest]], CU$4) + 1 )</f>
        <v>0</v>
      </c>
      <c r="CV54">
        <f>MAX( 0, MIN(BedPlan[[#This Row],[Expected End of Harvest]], EOMONTH(CV$4, 0)) - MAX(BedPlan[[#This Row],[Beginning of Harvest]], CV$4) + 1 )</f>
        <v>0</v>
      </c>
      <c r="CW54">
        <f>MAX( 0, MIN(BedPlan[[#This Row],[Expected End of Harvest]], EOMONTH(CW$4, 0)) - MAX(BedPlan[[#This Row],[Beginning of Harvest]], CW$4) + 1 )</f>
        <v>0</v>
      </c>
      <c r="CX54">
        <f>MAX( 0, MIN(BedPlan[[#This Row],[Expected End of Harvest]], EOMONTH(CX$4, 0)) - MAX(BedPlan[[#This Row],[Beginning of Harvest]], CX$4) + 1 )</f>
        <v>0</v>
      </c>
      <c r="CY54">
        <f>MAX( 0, MIN(BedPlan[[#This Row],[Expected End of Harvest]], EOMONTH(CY$4, 0)) - MAX(BedPlan[[#This Row],[Beginning of Harvest]], CY$4) + 1 )</f>
        <v>0</v>
      </c>
      <c r="CZ54">
        <f>MAX( 0, MIN(BedPlan[[#This Row],[Expected End of Harvest]], EOMONTH(CZ$4, 0)) - MAX(BedPlan[[#This Row],[Beginning of Harvest]], CZ$4) + 1 )</f>
        <v>0</v>
      </c>
      <c r="DA54">
        <f>MAX( 0, MIN(BedPlan[[#This Row],[Expected End of Harvest]], EOMONTH(DA$4, 0)) - MAX(BedPlan[[#This Row],[Beginning of Harvest]], DA$4) + 1 )</f>
        <v>0</v>
      </c>
      <c r="DB54">
        <f>MAX( 0, MIN(BedPlan[[#This Row],[Expected End of Harvest]], EOMONTH(DB$4, 0)) - MAX(BedPlan[[#This Row],[Beginning of Harvest]], DB$4) + 1 )</f>
        <v>0</v>
      </c>
      <c r="DC54">
        <f>MAX( 0, MIN(BedPlan[[#This Row],[Expected End of Harvest]], EOMONTH(DC$4, 0)) - MAX(BedPlan[[#This Row],[Beginning of Harvest]], DC$4) + 1 )</f>
        <v>0</v>
      </c>
      <c r="DD54">
        <f>MAX( 0, MIN(BedPlan[[#This Row],[Expected End of Harvest]], EOMONTH(DD$4, 0)) - MAX(BedPlan[[#This Row],[Beginning of Harvest]], DD$4) + 1 )</f>
        <v>0</v>
      </c>
      <c r="DE54">
        <f>MAX( 0, MIN(BedPlan[[#This Row],[Expected End of Harvest]], EOMONTH(DE$4, 0)) - MAX(BedPlan[[#This Row],[Beginning of Harvest]], DE$4) + 1 )</f>
        <v>0</v>
      </c>
      <c r="DF54">
        <f>MAX( 0, MIN(BedPlan[[#This Row],[Expected End of Harvest]], EOMONTH(DF$4, 0)) - MAX(BedPlan[[#This Row],[Beginning of Harvest]], DF$4) + 1 )</f>
        <v>0</v>
      </c>
      <c r="DG54">
        <f>MAX( 0, MIN(BedPlan[[#This Row],[Expected End of Harvest]], EOMONTH(DG$4, 0)) - MAX(BedPlan[[#This Row],[Beginning of Harvest]], DG$4) + 1 )</f>
        <v>0</v>
      </c>
      <c r="DH54">
        <f>MAX( 0, MIN(BedPlan[[#This Row],[Expected End of Harvest]], EOMONTH(DH$4, 0)) - MAX(BedPlan[[#This Row],[Beginning of Harvest]], DH$4) + 1 )</f>
        <v>0</v>
      </c>
      <c r="DI54" s="257" cm="1">
        <f t="array" ref="DI54">BedPlan[[#This Row],[Harvest Days January 2025]]/SUM(BedPlan[[#This Row],[Harvest Days January 2025]:[Harvest Days December 2026]])*BedPlan[[#This Row],[Revenue]:[Revenue]]</f>
        <v>0</v>
      </c>
      <c r="DJ54" s="257" cm="1">
        <f t="array" ref="DJ54">BedPlan[[#This Row],[Harvest Days February 2025]]/SUM(BedPlan[[#This Row],[Harvest Days January 2025]:[Harvest Days December 2026]])*BedPlan[[#This Row],[Revenue]:[Revenue]]</f>
        <v>0</v>
      </c>
      <c r="DK54" s="257" cm="1">
        <f t="array" ref="DK54">BedPlan[[#This Row],[Harvest Days March 2025]]/SUM(BedPlan[[#This Row],[Harvest Days January 2025]:[Harvest Days December 2026]])*BedPlan[[#This Row],[Revenue]:[Revenue]]</f>
        <v>0</v>
      </c>
      <c r="DL54" s="257" cm="1">
        <f t="array" ref="DL54">BedPlan[[#This Row],[Harvest Days April 2025]]/SUM(BedPlan[[#This Row],[Harvest Days January 2025]:[Harvest Days December 2026]])*BedPlan[[#This Row],[Revenue]:[Revenue]]</f>
        <v>0</v>
      </c>
      <c r="DM54" s="257" cm="1">
        <f t="array" ref="DM54">BedPlan[[#This Row],[Harvest Days May 2025]]/SUM(BedPlan[[#This Row],[Harvest Days January 2025]:[Harvest Days December 2026]])*BedPlan[[#This Row],[Revenue]:[Revenue]]</f>
        <v>0</v>
      </c>
      <c r="DN54" s="257" cm="1">
        <f t="array" ref="DN54">BedPlan[[#This Row],[Harvest Days June 2025]]/SUM(BedPlan[[#This Row],[Harvest Days January 2025]:[Harvest Days December 2026]])*BedPlan[[#This Row],[Revenue]:[Revenue]]</f>
        <v>40.431266846361183</v>
      </c>
      <c r="DO54" s="257" cm="1">
        <f t="array" ref="DO54">BedPlan[[#This Row],[Harvest Days July 2025]]/SUM(BedPlan[[#This Row],[Harvest Days January 2025]:[Harvest Days December 2026]])*BedPlan[[#This Row],[Revenue]:[Revenue]]</f>
        <v>208.89487870619942</v>
      </c>
      <c r="DP54" s="257" cm="1">
        <f t="array" ref="DP54">BedPlan[[#This Row],[Harvest Days August 2025]]/SUM(BedPlan[[#This Row],[Harvest Days January 2025]:[Harvest Days December 2026]])*BedPlan[[#This Row],[Revenue]:[Revenue]]</f>
        <v>208.89487870619942</v>
      </c>
      <c r="DQ54" s="257" cm="1">
        <f t="array" ref="DQ54">BedPlan[[#This Row],[Harvest Days September 2025]]/SUM(BedPlan[[#This Row],[Harvest Days January 2025]:[Harvest Days December 2026]])*BedPlan[[#This Row],[Revenue]:[Revenue]]</f>
        <v>202.15633423180591</v>
      </c>
      <c r="DR54" s="257" cm="1">
        <f t="array" ref="DR54">BedPlan[[#This Row],[Harvest Days October 2025]]/SUM(BedPlan[[#This Row],[Harvest Days January 2025]:[Harvest Days December 2026]])*BedPlan[[#This Row],[Revenue]:[Revenue]]</f>
        <v>53.908355795148239</v>
      </c>
      <c r="DS54" s="257" cm="1">
        <f t="array" ref="DS54">BedPlan[[#This Row],[Harvest Days November 2025]]/SUM(BedPlan[[#This Row],[Harvest Days January 2025]:[Harvest Days December 2026]])*BedPlan[[#This Row],[Revenue]:[Revenue]]</f>
        <v>0</v>
      </c>
      <c r="DT54" s="257" cm="1">
        <f t="array" ref="DT54">BedPlan[[#This Row],[Harvest Days December 2025]]/SUM(BedPlan[[#This Row],[Harvest Days January 2025]:[Harvest Days December 2026]])*BedPlan[[#This Row],[Revenue]:[Revenue]]</f>
        <v>0</v>
      </c>
      <c r="DU54" s="257" cm="1">
        <f t="array" ref="DU54">BedPlan[[#This Row],[Harvest Days January 2026]]/SUM(BedPlan[[#This Row],[Harvest Days January 2025]:[Harvest Days December 2026]])*BedPlan[[#This Row],[Revenue]:[Revenue]]</f>
        <v>0</v>
      </c>
      <c r="DV54" s="257" cm="1">
        <f t="array" ref="DV54">BedPlan[[#This Row],[Harvest Days February 2026]]/SUM(BedPlan[[#This Row],[Harvest Days January 2025]:[Harvest Days December 2026]])*BedPlan[[#This Row],[Revenue]:[Revenue]]</f>
        <v>0</v>
      </c>
      <c r="DW54" s="257" cm="1">
        <f t="array" ref="DW54">BedPlan[[#This Row],[Harvest Days March 2026]]/SUM(BedPlan[[#This Row],[Harvest Days January 2025]:[Harvest Days December 2026]])*BedPlan[[#This Row],[Revenue]:[Revenue]]</f>
        <v>0</v>
      </c>
      <c r="DX54" s="257" cm="1">
        <f t="array" ref="DX54">BedPlan[[#This Row],[Harvest Days April 2026]]/SUM(BedPlan[[#This Row],[Harvest Days January 2025]:[Harvest Days December 2026]])*BedPlan[[#This Row],[Revenue]:[Revenue]]</f>
        <v>0</v>
      </c>
      <c r="DY54" s="257" cm="1">
        <f t="array" ref="DY54">BedPlan[[#This Row],[Harvest Days May 2026]]/SUM(BedPlan[[#This Row],[Harvest Days January 2025]:[Harvest Days December 2026]])*BedPlan[[#This Row],[Revenue]:[Revenue]]</f>
        <v>0</v>
      </c>
      <c r="DZ54" s="257" cm="1">
        <f t="array" ref="DZ54">BedPlan[[#This Row],[Harvest Days June 2026]]/SUM(BedPlan[[#This Row],[Harvest Days January 2025]:[Harvest Days December 2026]])*BedPlan[[#This Row],[Revenue]:[Revenue]]</f>
        <v>0</v>
      </c>
      <c r="EA54" s="257" cm="1">
        <f t="array" ref="EA54">BedPlan[[#This Row],[Harvest Days July 2026]]/SUM(BedPlan[[#This Row],[Harvest Days January 2025]:[Harvest Days December 2026]])*BedPlan[[#This Row],[Revenue]:[Revenue]]</f>
        <v>0</v>
      </c>
      <c r="EB54" s="257" cm="1">
        <f t="array" ref="EB54">BedPlan[[#This Row],[Harvest Days August 2026]]/SUM(BedPlan[[#This Row],[Harvest Days January 2025]:[Harvest Days December 2026]])*BedPlan[[#This Row],[Revenue]:[Revenue]]</f>
        <v>0</v>
      </c>
      <c r="EC54" s="257" cm="1">
        <f t="array" ref="EC54">BedPlan[[#This Row],[Harvest Days September 2026]]/SUM(BedPlan[[#This Row],[Harvest Days January 2025]:[Harvest Days December 2026]])*BedPlan[[#This Row],[Revenue]:[Revenue]]</f>
        <v>0</v>
      </c>
      <c r="ED54" s="257" cm="1">
        <f t="array" ref="ED54">BedPlan[[#This Row],[Harvest Days October 2026]]/SUM(BedPlan[[#This Row],[Harvest Days January 2025]:[Harvest Days December 2026]])*BedPlan[[#This Row],[Revenue]:[Revenue]]</f>
        <v>0</v>
      </c>
      <c r="EE54" s="257" cm="1">
        <f t="array" ref="EE54">BedPlan[[#This Row],[Harvest Days November 2026]]/SUM(BedPlan[[#This Row],[Harvest Days January 2025]:[Harvest Days December 2026]])*BedPlan[[#This Row],[Revenue]:[Revenue]]</f>
        <v>0</v>
      </c>
      <c r="EF54" s="257" cm="1">
        <f t="array" ref="EF54">BedPlan[[#This Row],[Harvest Days December 2026]]/SUM(BedPlan[[#This Row],[Harvest Days January 2025]:[Harvest Days December 2026]])*BedPlan[[#This Row],[Revenue]:[Revenue]]</f>
        <v>0</v>
      </c>
      <c r="EG54" t="b">
        <f>SUM(BedPlan[[#This Row],[Revenue January 2025]:[Revenue December 2026]])=BedPlan[[#This Row],[Revenue]]</f>
        <v>1</v>
      </c>
      <c r="EH54" s="30" cm="1">
        <f t="array" ref="EH54">INDEX(Crops[],BedPlan[[#This Row],[Chart Index]],EH$4,1)*BedPlan[[#This Row],['# Of Beds]]</f>
        <v>714.28571428571422</v>
      </c>
      <c r="EI54" s="30" t="str" cm="1">
        <f t="array" ref="EI54">INDEX(Crops[],BedPlan[[#This Row],[Chart Index]],EI$4,1)</f>
        <v>Fruit</v>
      </c>
      <c r="EJ54" s="30" t="str" cm="1">
        <f t="array" ref="EJ54">INDEX(Crops[],BedPlan[[#This Row],[Chart Index]],EJ$4,1)</f>
        <v>Small Fruit</v>
      </c>
      <c r="EK54" s="30" t="str">
        <f>BedPlan[[#This Row],[Name]]&amp;" "&amp;BedPlan[[#This Row],[Product]]&amp; " - " &amp;BedPlan[[#This Row],[Unit]]</f>
        <v>Cucumber Small Fruit - Fruit</v>
      </c>
      <c r="EL54" s="33" cm="1">
        <f t="array" ref="EL54">BedPlan[[#This Row],[Harvest Days January 2025]]/SUM(BedPlan[[#This Row],[Harvest Days January 2025]:[Harvest Days December 2026]])*BedPlan[[#This Row],[Yield]:[Yield]]</f>
        <v>0</v>
      </c>
      <c r="EM54" s="33" cm="1">
        <f t="array" ref="EM54">BedPlan[[#This Row],[Harvest Days February 2025]]/SUM(BedPlan[[#This Row],[Harvest Days January 2025]:[Harvest Days December 2026]])*BedPlan[[#This Row],[Yield]:[Yield]]</f>
        <v>0</v>
      </c>
      <c r="EN54" s="33" cm="1">
        <f t="array" ref="EN54">BedPlan[[#This Row],[Harvest Days March 2025]]/SUM(BedPlan[[#This Row],[Harvest Days January 2025]:[Harvest Days December 2026]])*BedPlan[[#This Row],[Yield]:[Yield]]</f>
        <v>0</v>
      </c>
      <c r="EO54" s="33" cm="1">
        <f t="array" ref="EO54">BedPlan[[#This Row],[Harvest Days April 2025]]/SUM(BedPlan[[#This Row],[Harvest Days January 2025]:[Harvest Days December 2026]])*BedPlan[[#This Row],[Yield]:[Yield]]</f>
        <v>0</v>
      </c>
      <c r="EP54" s="33" cm="1">
        <f t="array" ref="EP54">BedPlan[[#This Row],[Harvest Days May 2025]]/SUM(BedPlan[[#This Row],[Harvest Days January 2025]:[Harvest Days December 2026]])*BedPlan[[#This Row],[Yield]:[Yield]]</f>
        <v>0</v>
      </c>
      <c r="EQ54" s="33" cm="1">
        <f t="array" ref="EQ54">BedPlan[[#This Row],[Harvest Days June 2025]]/SUM(BedPlan[[#This Row],[Harvest Days January 2025]:[Harvest Days December 2026]])*BedPlan[[#This Row],[Yield]:[Yield]]</f>
        <v>40.431266846361183</v>
      </c>
      <c r="ER54" s="33" cm="1">
        <f t="array" ref="ER54">BedPlan[[#This Row],[Harvest Days July 2025]]/SUM(BedPlan[[#This Row],[Harvest Days January 2025]:[Harvest Days December 2026]])*BedPlan[[#This Row],[Yield]:[Yield]]</f>
        <v>208.89487870619942</v>
      </c>
      <c r="ES54" s="33" cm="1">
        <f t="array" ref="ES54">BedPlan[[#This Row],[Harvest Days August 2025]]/SUM(BedPlan[[#This Row],[Harvest Days January 2025]:[Harvest Days December 2026]])*BedPlan[[#This Row],[Yield]:[Yield]]</f>
        <v>208.89487870619942</v>
      </c>
      <c r="ET54" s="33" cm="1">
        <f t="array" ref="ET54">BedPlan[[#This Row],[Harvest Days September 2025]]/SUM(BedPlan[[#This Row],[Harvest Days January 2025]:[Harvest Days December 2026]])*BedPlan[[#This Row],[Yield]:[Yield]]</f>
        <v>202.15633423180591</v>
      </c>
      <c r="EU54" s="33" cm="1">
        <f t="array" ref="EU54">BedPlan[[#This Row],[Harvest Days October 2025]]/SUM(BedPlan[[#This Row],[Harvest Days January 2025]:[Harvest Days December 2026]])*BedPlan[[#This Row],[Yield]:[Yield]]</f>
        <v>53.908355795148239</v>
      </c>
      <c r="EV54" s="33" cm="1">
        <f t="array" ref="EV54">BedPlan[[#This Row],[Harvest Days November 2025]]/SUM(BedPlan[[#This Row],[Harvest Days January 2025]:[Harvest Days December 2026]])*BedPlan[[#This Row],[Yield]:[Yield]]</f>
        <v>0</v>
      </c>
      <c r="EW54" s="33" cm="1">
        <f t="array" ref="EW54">BedPlan[[#This Row],[Harvest Days December 2025]]/SUM(BedPlan[[#This Row],[Harvest Days January 2025]:[Harvest Days December 2026]])*BedPlan[[#This Row],[Yield]:[Yield]]</f>
        <v>0</v>
      </c>
    </row>
    <row r="55" spans="1:153" ht="15.75" customHeight="1">
      <c r="A55" s="182" t="s">
        <v>2721</v>
      </c>
      <c r="B55" t="s">
        <v>2723</v>
      </c>
      <c r="C55" t="s">
        <v>1465</v>
      </c>
      <c r="D55" s="226" cm="1">
        <f t="array" ref="D55">INDEX(Crops[],BedPlan[[#This Row],[Chart Index]],D$4,1)*BedPlan[[#This Row],[Full Bed Equivalent]]</f>
        <v>17.5</v>
      </c>
      <c r="E55" s="226" cm="1">
        <f t="array" ref="E55">INDEX(Crops[],BedPlan[[#This Row],[Chart Index]],E$4,1)*BedPlan[[#This Row],[Full Bed Equivalent]]</f>
        <v>180</v>
      </c>
      <c r="F55" t="str">
        <f>UPPER(LEFT(BedPlan[[#This Row],[Crop]],3))</f>
        <v>CUC</v>
      </c>
      <c r="H55" s="143" t="str" cm="1">
        <f t="array" ref="H55">INDEX(Crops[],BedPlan[[#This Row],[Chart Index]],H$4,1)</f>
        <v>Cucumber</v>
      </c>
      <c r="I55" t="s">
        <v>2821</v>
      </c>
      <c r="K55" t="str" cm="1">
        <f t="array" ref="K55">IF(ISNUMBER(MATCH(BedPlan[[#This Row],[Variety]],SeedMixes[Name],)),_xlfn.TEXTJOIN(", ",TRUE,_xlfn._xlws.FILTER(SeedMixes[Variety &amp; Company],SeedMixes[Name]=BedPlan[[#This Row],[Variety]])),"")</f>
        <v>Marketmore High Mowing, Corinto Johnny's</v>
      </c>
      <c r="L55" s="33" cm="1">
        <f t="array" ref="L55">INDEX(Crops[],BedPlan[[#This Row],[Chart Index]],L$4,1)*BedPlan[[#This Row],[Full Bed Equivalent]]</f>
        <v>65</v>
      </c>
      <c r="N55">
        <f>1</f>
        <v>1</v>
      </c>
      <c r="O55">
        <f>MAX(BedPlan[[#This Row],['# Of Beds]],0.5)</f>
        <v>1</v>
      </c>
      <c r="P55" s="31">
        <f>IF(ISNUMBER(BedPlan[[#This Row],[Planned Greenhouse Start Date]]),BedPlan[[#This Row],[Planned Greenhouse Start Date]],BedPlan[[#This Row],[Planned TP or DS Date]])</f>
        <v>45758</v>
      </c>
      <c r="Q55" s="259">
        <f>IF(BedPlan[[#This Row],[Days in Cells]]=0,"",IFERROR(_xlfn.XLOOKUP(BedPlan[[#This Row],[Follows Crop]],BedPlan[Identifier],BedPlan[Expected End of Harvest]) + 1+BedPlan[[#This Row],[Follow Offset]],BedPlan[[#This Row],[Fixed Field Start Date]])-BedPlan[[#This Row],[Days in Cells]])</f>
        <v>45758</v>
      </c>
      <c r="R55" s="259">
        <v>45763</v>
      </c>
      <c r="S55" s="259">
        <f>IF(ISNUMBER(BedPlan[[#This Row],[Actual Greenhouse Date]]),BedPlan[[#This Row],[Actual Greenhouse Date]],BedPlan[[#This Row],[Planned Greenhouse Start Date]])</f>
        <v>45763</v>
      </c>
      <c r="T55" s="259">
        <f>_xlfn.XLOOKUP(BedPlan[[#This Row],[Crop]],Crops[Identifier],Crops[Target Field Date])</f>
        <v>45793</v>
      </c>
      <c r="U55" s="260"/>
      <c r="V55" s="260"/>
      <c r="W5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5" s="259">
        <v>45803</v>
      </c>
      <c r="Y55" s="271">
        <f>BedPlan[[#This Row],[Actual TP or DS Date]]-BedPlan[[#This Row],[Planned TP or DS Date]]</f>
        <v>5</v>
      </c>
      <c r="Z55" s="259">
        <f>IF(ISNUMBER(BedPlan[[#This Row],[Actual TP or DS Date]]),BedPlan[[#This Row],[Actual TP or DS Date]],BedPlan[[#This Row],[Planned TP or DS Date]])</f>
        <v>45803</v>
      </c>
      <c r="AA55" s="260"/>
      <c r="AB55" s="259">
        <f>IF(ISNUMBER(BedPlan[[#This Row],[Greenhouse Start Date]]),BedPlan[[#This Row],[Greenhouse Start Date]]+BedPlan[[#This Row],[DTM]],BedPlan[[#This Row],[TP or DS Date]]+BedPlan[[#This Row],[DTM]])</f>
        <v>45843</v>
      </c>
      <c r="AC55" s="259"/>
      <c r="AD55" s="259">
        <f>IF(ISNUMBER(BedPlan[[#This Row],[Actual Beginning of Harvest]]),BedPlan[[#This Row],[Actual Beginning of Harvest]],BedPlan[[#This Row],[Expected Beginning of Harvest]])</f>
        <v>45843</v>
      </c>
      <c r="AE55" s="259">
        <f>BedPlan[[#This Row],[Expected Beginning of Harvest]]+BedPlan[[#This Row],[Harvest Window]]+BedPlan[[#This Row],[Additional Days of Harvest]]</f>
        <v>45920</v>
      </c>
      <c r="AF55" s="259"/>
      <c r="AG55" s="259"/>
      <c r="AH55" s="31" t="b">
        <f>IF(AND( BedPlan[[#This Row],[Expected End of Harvest]] &gt;= DATE(2025, 8, 1), BedPlan[[#This Row],[Beginning of Harvest]] &lt;= DATE(2025, 8, 31) ), TRUE, FALSE)</f>
        <v>1</v>
      </c>
      <c r="AI55" s="31"/>
      <c r="AJ55" s="31">
        <f>IF(ISNUMBER(BedPlan[[#This Row],[Actual End of Harvest]]),BedPlan[[#This Row],[Actual End of Harvest]],BedPlan[[#This Row],[Expected End of Harvest]])</f>
        <v>45920</v>
      </c>
      <c r="AK55" t="b">
        <f>OR(ISNUMBER(BedPlan[[#This Row],[Actual Greenhouse Date]]),ISNUMBER(BedPlan[[#This Row],[Actual TP or DS Date]]))</f>
        <v>1</v>
      </c>
      <c r="AL55" s="52" t="b">
        <f>IF(ISNUMBER(BedPlan[[#This Row],[Planned Greenhouse Start Date]]),OR(ISNUMBER(BedPlan[[#This Row],[Actual TP or DS Date]]),BedPlan[[#This Row],[Failed]]),"-")</f>
        <v>1</v>
      </c>
      <c r="AM55" t="b">
        <f>OR(ISNUMBER(BedPlan[[#This Row],[Actual End of Harvest]]),BedPlan[[#This Row],[Failed]])</f>
        <v>0</v>
      </c>
      <c r="AN55" t="b">
        <f>OR(BedPlan[[#This Row],[Harvest Done]],BedPlan[[#This Row],[Failed]],BedPlan[[#This Row],[Name]]="Tarp")</f>
        <v>0</v>
      </c>
      <c r="AQ55" t="s">
        <v>3236</v>
      </c>
      <c r="AS55" s="26" t="str">
        <f>IF(BedPlan[[#This Row],[Broadfork]],BedPlan[[#This Row],[Actual TP or DS Date]],"")</f>
        <v/>
      </c>
      <c r="AT55" s="26" t="str">
        <f>IF(BedPlan[[#This Row],[Tilther]],BedPlan[[#This Row],[Actual TP or DS Date]],"")</f>
        <v/>
      </c>
      <c r="AU55" s="26">
        <f>IF(NOT(ISBLANK(BedPlan[[#This Row],[Amend]])),BedPlan[[#This Row],[Actual TP or DS Date]],"")</f>
        <v>45803</v>
      </c>
      <c r="AV55" s="26" t="str">
        <f>IF(BedPlan[[#This Row],[Row Cover]],BedPlan[[#This Row],[Actual TP or DS Date]],"")</f>
        <v/>
      </c>
      <c r="AX55" s="26"/>
      <c r="AZ55" s="26"/>
      <c r="BB55" s="26"/>
      <c r="BC55" s="231" cm="1">
        <f t="array" ref="BC55">INDEX(Crops[],BedPlan[[#This Row],[Chart Index]],BC$4,1)*BedPlan[[#This Row],[Full Bed Equivalent]]</f>
        <v>1080</v>
      </c>
      <c r="BD55" s="231" cm="1">
        <f t="array" ref="BD55">INDEX(Crops[],BedPlan[[#This Row],[Chart Index]],BD$4,1)*BedPlan[[#This Row],[Full Bed Equivalent]]</f>
        <v>8.8524590163934427</v>
      </c>
      <c r="BE55" cm="1">
        <f t="array" ref="BE55">INDEX(Crops[],BedPlan[[#This Row],[Chart Index]],BE$4,1)+BedPlan[[#This Row],[Additional Days in Cells]]+BedPlan[[#This Row],[Additional Days In Field]]</f>
        <v>80</v>
      </c>
      <c r="BG55" cm="1">
        <f t="array" ref="BG55">INDEX(Crops[],BedPlan[[#This Row],[Chart Index]],BG$4,1)</f>
        <v>77</v>
      </c>
      <c r="BH55" t="str">
        <f>IF(ISNUMBER(BedPlan[[#This Row],[Planned Greenhouse Start Date]]),"TP","DS")</f>
        <v>TP</v>
      </c>
      <c r="BI55">
        <f>BedPlan[[#This Row],['# Of Beds]]</f>
        <v>1</v>
      </c>
      <c r="BJ55" cm="1">
        <f t="array" ref="BJ55">INDEX(Crops[],BedPlan[[#This Row],[Chart Index]],BJ$4,1)</f>
        <v>35</v>
      </c>
      <c r="BK55" cm="1">
        <f t="array" ref="BK55">INDEX(Crops[],BedPlan[[#This Row],[Chart Index]],BK$4,1)</f>
        <v>1</v>
      </c>
      <c r="BL55" cm="1">
        <f t="array" ref="BL55">INDEX(Crops[],BedPlan[[#This Row],[Chart Index]],BL$4,1)</f>
        <v>12</v>
      </c>
      <c r="BM55" cm="1">
        <f t="array" ref="BM55">INDEX(Crops[],BedPlan[[#This Row],[Chart Index]],BM$4,1)</f>
        <v>1</v>
      </c>
      <c r="BN55" s="32" cm="1">
        <f t="array" ref="BN55">INDEX(Crops[],BedPlan[[#This Row],[Chart Index]],BN$4,1)*BedPlan[[#This Row],[Full Bed Equivalent]]</f>
        <v>50</v>
      </c>
      <c r="BO55" t="str" cm="1">
        <f t="array" ref="BO55">IF(INDEX(Crops[],BedPlan[[#This Row],[Chart Index]],BO$4,1)=0,"",INDEX(Crops[],BedPlan[[#This Row],[Chart Index]],BO$4,1))</f>
        <v>DR</v>
      </c>
      <c r="BP55">
        <f>MATCH(BedPlan[[#This Row],[Crop]],Crops[Identifier],FALSE)</f>
        <v>111</v>
      </c>
      <c r="BQ55" t="str" cm="1">
        <f t="array" ref="BQ55">INDEX(Crops[],BedPlan[[#This Row],[Chart Index]],BQ$4,1)</f>
        <v>Slicer</v>
      </c>
      <c r="BR55" t="str" cm="1">
        <f t="array" ref="BR55">INDEX(Crops[],BedPlan[[#This Row],[Chart Index]],BR$4,1)</f>
        <v/>
      </c>
      <c r="BS55" s="32">
        <f>BedPlan[[#This Row],[Expected Beginning of Harvest]]-DATE(2023,1,1)</f>
        <v>916</v>
      </c>
      <c r="BT55">
        <f>BedPlan[[#This Row],[Expected End of Harvest]]-BedPlan[[#This Row],[Expected Beginning of Harvest]]</f>
        <v>77</v>
      </c>
      <c r="BU55" t="str" cm="1">
        <f t="array" ref="BU55">INDEX(Crops[],BedPlan[[#This Row],[Chart Index]],BU$4,1)</f>
        <v>Cucumber</v>
      </c>
      <c r="BV55" cm="1">
        <f t="array" ref="BV55">INDEX(Crops[],BedPlan[[#This Row],[Chart Index]],BV$4,1)</f>
        <v>6</v>
      </c>
      <c r="BW55" t="str" cm="1">
        <f t="array" ref="BW55">INDEX(Crops[],BedPlan[[#This Row],[Chart Index]],BW$4,1)</f>
        <v>None</v>
      </c>
      <c r="BX55" cm="1">
        <f t="array" ref="BX55">INDEX(Crops[],BedPlan[[#This Row],[Chart Index]],BX$4,1)</f>
        <v>18</v>
      </c>
      <c r="BY55" cm="1">
        <f t="array" ref="BY55">INDEX(Crops[],BedPlan[[#This Row],[Chart Index]],BY$4,1)</f>
        <v>35</v>
      </c>
      <c r="BZ55" s="49" cm="1">
        <f t="array" ref="BZ55">IFERROR(INDEX(Crops[],BedPlan[[#This Row],[Chart Index]],BZ$4,1)*BedPlan[[#This Row],[Full Bed Equivalent]],"")</f>
        <v>3.6111111111111112</v>
      </c>
      <c r="CA55" cm="1">
        <f t="array" ref="CA55">INDEX(Crops[],BedPlan[[#This Row],[Chart Index]],CA$4,1)</f>
        <v>0</v>
      </c>
      <c r="CB55" cm="1">
        <f t="array" ref="CB55">INDEX(Crops[],BedPlan[[#This Row],[Chart Index]],CB$4,1)</f>
        <v>0</v>
      </c>
      <c r="CC55" s="49" t="str" cm="1">
        <f t="array" ref="CC55">IFERROR(INDEX(Crops[],BedPlan[[#This Row],[Chart Index]],CC$4,1)*BedPlan[[#This Row],[Full Bed Equivalent]],"")</f>
        <v/>
      </c>
      <c r="CD55" cm="1">
        <f t="array" ref="CD55">INDEX(Crops[],BedPlan[[#This Row],[Chart Index]],CD$4,1)</f>
        <v>0</v>
      </c>
      <c r="CE55" cm="1">
        <f t="array" ref="CE55">IF(INDEX(Crops[],BedPlan[[#This Row],[Chart Index]],CE$4,1)="",0,INDEX(Crops[],BedPlan[[#This Row],[Chart Index]],CE$4,1))</f>
        <v>0</v>
      </c>
      <c r="CF55" s="49" t="str" cm="1">
        <f t="array" ref="CF55">IFERROR(INDEX(Crops[],BedPlan[[#This Row],[Chart Index]],CF$4,1)*BedPlan[[#This Row],[Full Bed Equivalent]],"")</f>
        <v/>
      </c>
      <c r="CG55" cm="1">
        <f t="array" ref="CG55">IF(INDEX(Crops[],BedPlan[[#This Row],[Chart Index]],CG$4,1)="",0,INDEX(Crops[],BedPlan[[#This Row],[Chart Index]],CG$4,1))</f>
        <v>1.3</v>
      </c>
      <c r="CH55" cm="1">
        <f t="array" ref="CH55">IF(INDEX(Crops[],BedPlan[[#This Row],[Chart Index]],CH$4,1)="",0,INDEX(Crops[],BedPlan[[#This Row],[Chart Index]],CH$4,1))</f>
        <v>0</v>
      </c>
      <c r="CI55" t="str" cm="1">
        <f t="array" ref="CI55">INDEX(Crops[],BedPlan[[#This Row],[Chart Index]],CI$4,1)</f>
        <v>Field</v>
      </c>
      <c r="CJ55" s="30" t="str">
        <f>_xlfn.TEXTJOIN(CHAR(10),FALSE,BedPlan[[#This Row],[Name]],BedPlan[[#This Row],[Variety]],BedPlan[[#This Row],[Company]])</f>
        <v xml:space="preserve">Cucumber
Slicing Cucumber Mix
</v>
      </c>
      <c r="CK55" s="32">
        <f>MAX( 0, MIN(BedPlan[[#This Row],[Expected End of Harvest]], EOMONTH(CK$4, 0)) - MAX(BedPlan[[#This Row],[Beginning of Harvest]], CK$4) + 1 )</f>
        <v>0</v>
      </c>
      <c r="CL55">
        <f>MAX( 0, MIN(BedPlan[[#This Row],[Expected End of Harvest]], EOMONTH(CL$4, 0)) - MAX(BedPlan[[#This Row],[Beginning of Harvest]], CL$4) + 1 )</f>
        <v>0</v>
      </c>
      <c r="CM55">
        <f>MAX( 0, MIN(BedPlan[[#This Row],[Expected End of Harvest]], EOMONTH(CM$4, 0)) - MAX(BedPlan[[#This Row],[Beginning of Harvest]], CM$4) + 1 )</f>
        <v>0</v>
      </c>
      <c r="CN55">
        <f>MAX( 0, MIN(BedPlan[[#This Row],[Expected End of Harvest]], EOMONTH(CN$4, 0)) - MAX(BedPlan[[#This Row],[Beginning of Harvest]], CN$4) + 1 )</f>
        <v>0</v>
      </c>
      <c r="CO55">
        <f>MAX( 0, MIN(BedPlan[[#This Row],[Expected End of Harvest]], EOMONTH(CO$4, 0)) - MAX(BedPlan[[#This Row],[Beginning of Harvest]], CO$4) + 1 )</f>
        <v>0</v>
      </c>
      <c r="CP55">
        <f>MAX( 0, MIN(BedPlan[[#This Row],[Expected End of Harvest]], EOMONTH(CP$4, 0)) - MAX(BedPlan[[#This Row],[Beginning of Harvest]], CP$4) + 1 )</f>
        <v>0</v>
      </c>
      <c r="CQ55">
        <f>MAX( 0, MIN(BedPlan[[#This Row],[Expected End of Harvest]], EOMONTH(CQ$4, 0)) - MAX(BedPlan[[#This Row],[Beginning of Harvest]], CQ$4) + 1 )</f>
        <v>27</v>
      </c>
      <c r="CR55">
        <f>MAX( 0, MIN(BedPlan[[#This Row],[Expected End of Harvest]], EOMONTH(CR$4, 0)) - MAX(BedPlan[[#This Row],[Beginning of Harvest]], CR$4) + 1 )</f>
        <v>31</v>
      </c>
      <c r="CS55">
        <f>MAX( 0, MIN(BedPlan[[#This Row],[Expected End of Harvest]], EOMONTH(CS$4, 0)) - MAX(BedPlan[[#This Row],[Beginning of Harvest]], CS$4) + 1 )</f>
        <v>20</v>
      </c>
      <c r="CT55">
        <f>MAX( 0, MIN(BedPlan[[#This Row],[Expected End of Harvest]], EOMONTH(CT$4, 0)) - MAX(BedPlan[[#This Row],[Beginning of Harvest]], CT$4) + 1 )</f>
        <v>0</v>
      </c>
      <c r="CU55">
        <f>MAX( 0, MIN(BedPlan[[#This Row],[Expected End of Harvest]], EOMONTH(CU$4, 0)) - MAX(BedPlan[[#This Row],[Beginning of Harvest]], CU$4) + 1 )</f>
        <v>0</v>
      </c>
      <c r="CV55">
        <f>MAX( 0, MIN(BedPlan[[#This Row],[Expected End of Harvest]], EOMONTH(CV$4, 0)) - MAX(BedPlan[[#This Row],[Beginning of Harvest]], CV$4) + 1 )</f>
        <v>0</v>
      </c>
      <c r="CW55">
        <f>MAX( 0, MIN(BedPlan[[#This Row],[Expected End of Harvest]], EOMONTH(CW$4, 0)) - MAX(BedPlan[[#This Row],[Beginning of Harvest]], CW$4) + 1 )</f>
        <v>0</v>
      </c>
      <c r="CX55">
        <f>MAX( 0, MIN(BedPlan[[#This Row],[Expected End of Harvest]], EOMONTH(CX$4, 0)) - MAX(BedPlan[[#This Row],[Beginning of Harvest]], CX$4) + 1 )</f>
        <v>0</v>
      </c>
      <c r="CY55">
        <f>MAX( 0, MIN(BedPlan[[#This Row],[Expected End of Harvest]], EOMONTH(CY$4, 0)) - MAX(BedPlan[[#This Row],[Beginning of Harvest]], CY$4) + 1 )</f>
        <v>0</v>
      </c>
      <c r="CZ55">
        <f>MAX( 0, MIN(BedPlan[[#This Row],[Expected End of Harvest]], EOMONTH(CZ$4, 0)) - MAX(BedPlan[[#This Row],[Beginning of Harvest]], CZ$4) + 1 )</f>
        <v>0</v>
      </c>
      <c r="DA55">
        <f>MAX( 0, MIN(BedPlan[[#This Row],[Expected End of Harvest]], EOMONTH(DA$4, 0)) - MAX(BedPlan[[#This Row],[Beginning of Harvest]], DA$4) + 1 )</f>
        <v>0</v>
      </c>
      <c r="DB55">
        <f>MAX( 0, MIN(BedPlan[[#This Row],[Expected End of Harvest]], EOMONTH(DB$4, 0)) - MAX(BedPlan[[#This Row],[Beginning of Harvest]], DB$4) + 1 )</f>
        <v>0</v>
      </c>
      <c r="DC55">
        <f>MAX( 0, MIN(BedPlan[[#This Row],[Expected End of Harvest]], EOMONTH(DC$4, 0)) - MAX(BedPlan[[#This Row],[Beginning of Harvest]], DC$4) + 1 )</f>
        <v>0</v>
      </c>
      <c r="DD55">
        <f>MAX( 0, MIN(BedPlan[[#This Row],[Expected End of Harvest]], EOMONTH(DD$4, 0)) - MAX(BedPlan[[#This Row],[Beginning of Harvest]], DD$4) + 1 )</f>
        <v>0</v>
      </c>
      <c r="DE55">
        <f>MAX( 0, MIN(BedPlan[[#This Row],[Expected End of Harvest]], EOMONTH(DE$4, 0)) - MAX(BedPlan[[#This Row],[Beginning of Harvest]], DE$4) + 1 )</f>
        <v>0</v>
      </c>
      <c r="DF55">
        <f>MAX( 0, MIN(BedPlan[[#This Row],[Expected End of Harvest]], EOMONTH(DF$4, 0)) - MAX(BedPlan[[#This Row],[Beginning of Harvest]], DF$4) + 1 )</f>
        <v>0</v>
      </c>
      <c r="DG55">
        <f>MAX( 0, MIN(BedPlan[[#This Row],[Expected End of Harvest]], EOMONTH(DG$4, 0)) - MAX(BedPlan[[#This Row],[Beginning of Harvest]], DG$4) + 1 )</f>
        <v>0</v>
      </c>
      <c r="DH55">
        <f>MAX( 0, MIN(BedPlan[[#This Row],[Expected End of Harvest]], EOMONTH(DH$4, 0)) - MAX(BedPlan[[#This Row],[Beginning of Harvest]], DH$4) + 1 )</f>
        <v>0</v>
      </c>
      <c r="DI55" s="257" cm="1">
        <f t="array" ref="DI55">BedPlan[[#This Row],[Harvest Days January 2025]]/SUM(BedPlan[[#This Row],[Harvest Days January 2025]:[Harvest Days December 2026]])*BedPlan[[#This Row],[Revenue]:[Revenue]]</f>
        <v>0</v>
      </c>
      <c r="DJ55" s="257" cm="1">
        <f t="array" ref="DJ55">BedPlan[[#This Row],[Harvest Days February 2025]]/SUM(BedPlan[[#This Row],[Harvest Days January 2025]:[Harvest Days December 2026]])*BedPlan[[#This Row],[Revenue]:[Revenue]]</f>
        <v>0</v>
      </c>
      <c r="DK55" s="257" cm="1">
        <f t="array" ref="DK55">BedPlan[[#This Row],[Harvest Days March 2025]]/SUM(BedPlan[[#This Row],[Harvest Days January 2025]:[Harvest Days December 2026]])*BedPlan[[#This Row],[Revenue]:[Revenue]]</f>
        <v>0</v>
      </c>
      <c r="DL55" s="257" cm="1">
        <f t="array" ref="DL55">BedPlan[[#This Row],[Harvest Days April 2025]]/SUM(BedPlan[[#This Row],[Harvest Days January 2025]:[Harvest Days December 2026]])*BedPlan[[#This Row],[Revenue]:[Revenue]]</f>
        <v>0</v>
      </c>
      <c r="DM55" s="257" cm="1">
        <f t="array" ref="DM55">BedPlan[[#This Row],[Harvest Days May 2025]]/SUM(BedPlan[[#This Row],[Harvest Days January 2025]:[Harvest Days December 2026]])*BedPlan[[#This Row],[Revenue]:[Revenue]]</f>
        <v>0</v>
      </c>
      <c r="DN55" s="257" cm="1">
        <f t="array" ref="DN55">BedPlan[[#This Row],[Harvest Days June 2025]]/SUM(BedPlan[[#This Row],[Harvest Days January 2025]:[Harvest Days December 2026]])*BedPlan[[#This Row],[Revenue]:[Revenue]]</f>
        <v>0</v>
      </c>
      <c r="DO55" s="257" cm="1">
        <f t="array" ref="DO55">BedPlan[[#This Row],[Harvest Days July 2025]]/SUM(BedPlan[[#This Row],[Harvest Days January 2025]:[Harvest Days December 2026]])*BedPlan[[#This Row],[Revenue]:[Revenue]]</f>
        <v>373.84615384615381</v>
      </c>
      <c r="DP55" s="257" cm="1">
        <f t="array" ref="DP55">BedPlan[[#This Row],[Harvest Days August 2025]]/SUM(BedPlan[[#This Row],[Harvest Days January 2025]:[Harvest Days December 2026]])*BedPlan[[#This Row],[Revenue]:[Revenue]]</f>
        <v>429.23076923076923</v>
      </c>
      <c r="DQ55" s="257" cm="1">
        <f t="array" ref="DQ55">BedPlan[[#This Row],[Harvest Days September 2025]]/SUM(BedPlan[[#This Row],[Harvest Days January 2025]:[Harvest Days December 2026]])*BedPlan[[#This Row],[Revenue]:[Revenue]]</f>
        <v>276.92307692307691</v>
      </c>
      <c r="DR55" s="257" cm="1">
        <f t="array" ref="DR55">BedPlan[[#This Row],[Harvest Days October 2025]]/SUM(BedPlan[[#This Row],[Harvest Days January 2025]:[Harvest Days December 2026]])*BedPlan[[#This Row],[Revenue]:[Revenue]]</f>
        <v>0</v>
      </c>
      <c r="DS55" s="257" cm="1">
        <f t="array" ref="DS55">BedPlan[[#This Row],[Harvest Days November 2025]]/SUM(BedPlan[[#This Row],[Harvest Days January 2025]:[Harvest Days December 2026]])*BedPlan[[#This Row],[Revenue]:[Revenue]]</f>
        <v>0</v>
      </c>
      <c r="DT55" s="257" cm="1">
        <f t="array" ref="DT55">BedPlan[[#This Row],[Harvest Days December 2025]]/SUM(BedPlan[[#This Row],[Harvest Days January 2025]:[Harvest Days December 2026]])*BedPlan[[#This Row],[Revenue]:[Revenue]]</f>
        <v>0</v>
      </c>
      <c r="DU55" s="257" cm="1">
        <f t="array" ref="DU55">BedPlan[[#This Row],[Harvest Days January 2026]]/SUM(BedPlan[[#This Row],[Harvest Days January 2025]:[Harvest Days December 2026]])*BedPlan[[#This Row],[Revenue]:[Revenue]]</f>
        <v>0</v>
      </c>
      <c r="DV55" s="257" cm="1">
        <f t="array" ref="DV55">BedPlan[[#This Row],[Harvest Days February 2026]]/SUM(BedPlan[[#This Row],[Harvest Days January 2025]:[Harvest Days December 2026]])*BedPlan[[#This Row],[Revenue]:[Revenue]]</f>
        <v>0</v>
      </c>
      <c r="DW55" s="257" cm="1">
        <f t="array" ref="DW55">BedPlan[[#This Row],[Harvest Days March 2026]]/SUM(BedPlan[[#This Row],[Harvest Days January 2025]:[Harvest Days December 2026]])*BedPlan[[#This Row],[Revenue]:[Revenue]]</f>
        <v>0</v>
      </c>
      <c r="DX55" s="257" cm="1">
        <f t="array" ref="DX55">BedPlan[[#This Row],[Harvest Days April 2026]]/SUM(BedPlan[[#This Row],[Harvest Days January 2025]:[Harvest Days December 2026]])*BedPlan[[#This Row],[Revenue]:[Revenue]]</f>
        <v>0</v>
      </c>
      <c r="DY55" s="257" cm="1">
        <f t="array" ref="DY55">BedPlan[[#This Row],[Harvest Days May 2026]]/SUM(BedPlan[[#This Row],[Harvest Days January 2025]:[Harvest Days December 2026]])*BedPlan[[#This Row],[Revenue]:[Revenue]]</f>
        <v>0</v>
      </c>
      <c r="DZ55" s="257" cm="1">
        <f t="array" ref="DZ55">BedPlan[[#This Row],[Harvest Days June 2026]]/SUM(BedPlan[[#This Row],[Harvest Days January 2025]:[Harvest Days December 2026]])*BedPlan[[#This Row],[Revenue]:[Revenue]]</f>
        <v>0</v>
      </c>
      <c r="EA55" s="257" cm="1">
        <f t="array" ref="EA55">BedPlan[[#This Row],[Harvest Days July 2026]]/SUM(BedPlan[[#This Row],[Harvest Days January 2025]:[Harvest Days December 2026]])*BedPlan[[#This Row],[Revenue]:[Revenue]]</f>
        <v>0</v>
      </c>
      <c r="EB55" s="257" cm="1">
        <f t="array" ref="EB55">BedPlan[[#This Row],[Harvest Days August 2026]]/SUM(BedPlan[[#This Row],[Harvest Days January 2025]:[Harvest Days December 2026]])*BedPlan[[#This Row],[Revenue]:[Revenue]]</f>
        <v>0</v>
      </c>
      <c r="EC55" s="257" cm="1">
        <f t="array" ref="EC55">BedPlan[[#This Row],[Harvest Days September 2026]]/SUM(BedPlan[[#This Row],[Harvest Days January 2025]:[Harvest Days December 2026]])*BedPlan[[#This Row],[Revenue]:[Revenue]]</f>
        <v>0</v>
      </c>
      <c r="ED55" s="257" cm="1">
        <f t="array" ref="ED55">BedPlan[[#This Row],[Harvest Days October 2026]]/SUM(BedPlan[[#This Row],[Harvest Days January 2025]:[Harvest Days December 2026]])*BedPlan[[#This Row],[Revenue]:[Revenue]]</f>
        <v>0</v>
      </c>
      <c r="EE55" s="257" cm="1">
        <f t="array" ref="EE55">BedPlan[[#This Row],[Harvest Days November 2026]]/SUM(BedPlan[[#This Row],[Harvest Days January 2025]:[Harvest Days December 2026]])*BedPlan[[#This Row],[Revenue]:[Revenue]]</f>
        <v>0</v>
      </c>
      <c r="EF55" s="257" cm="1">
        <f t="array" ref="EF55">BedPlan[[#This Row],[Harvest Days December 2026]]/SUM(BedPlan[[#This Row],[Harvest Days January 2025]:[Harvest Days December 2026]])*BedPlan[[#This Row],[Revenue]:[Revenue]]</f>
        <v>0</v>
      </c>
      <c r="EG55" t="b">
        <f>SUM(BedPlan[[#This Row],[Revenue January 2025]:[Revenue December 2026]])=BedPlan[[#This Row],[Revenue]]</f>
        <v>1</v>
      </c>
      <c r="EH55" s="30" cm="1">
        <f t="array" ref="EH55">INDEX(Crops[],BedPlan[[#This Row],[Chart Index]],EH$4,1)*BedPlan[[#This Row],['# Of Beds]]</f>
        <v>360</v>
      </c>
      <c r="EI55" s="30" t="str" cm="1">
        <f t="array" ref="EI55">INDEX(Crops[],BedPlan[[#This Row],[Chart Index]],EI$4,1)</f>
        <v>Lb</v>
      </c>
      <c r="EJ55" s="30" t="str" cm="1">
        <f t="array" ref="EJ55">INDEX(Crops[],BedPlan[[#This Row],[Chart Index]],EJ$4,1)</f>
        <v>Ripe Fruit</v>
      </c>
      <c r="EK55" s="30" t="str">
        <f>BedPlan[[#This Row],[Name]]&amp;" "&amp;BedPlan[[#This Row],[Product]]&amp; " - " &amp;BedPlan[[#This Row],[Unit]]</f>
        <v>Cucumber Ripe Fruit - Lb</v>
      </c>
      <c r="EL55" s="33" cm="1">
        <f t="array" ref="EL55">BedPlan[[#This Row],[Harvest Days January 2025]]/SUM(BedPlan[[#This Row],[Harvest Days January 2025]:[Harvest Days December 2026]])*BedPlan[[#This Row],[Yield]:[Yield]]</f>
        <v>0</v>
      </c>
      <c r="EM55" s="33" cm="1">
        <f t="array" ref="EM55">BedPlan[[#This Row],[Harvest Days February 2025]]/SUM(BedPlan[[#This Row],[Harvest Days January 2025]:[Harvest Days December 2026]])*BedPlan[[#This Row],[Yield]:[Yield]]</f>
        <v>0</v>
      </c>
      <c r="EN55" s="33" cm="1">
        <f t="array" ref="EN55">BedPlan[[#This Row],[Harvest Days March 2025]]/SUM(BedPlan[[#This Row],[Harvest Days January 2025]:[Harvest Days December 2026]])*BedPlan[[#This Row],[Yield]:[Yield]]</f>
        <v>0</v>
      </c>
      <c r="EO55" s="33" cm="1">
        <f t="array" ref="EO55">BedPlan[[#This Row],[Harvest Days April 2025]]/SUM(BedPlan[[#This Row],[Harvest Days January 2025]:[Harvest Days December 2026]])*BedPlan[[#This Row],[Yield]:[Yield]]</f>
        <v>0</v>
      </c>
      <c r="EP55" s="33" cm="1">
        <f t="array" ref="EP55">BedPlan[[#This Row],[Harvest Days May 2025]]/SUM(BedPlan[[#This Row],[Harvest Days January 2025]:[Harvest Days December 2026]])*BedPlan[[#This Row],[Yield]:[Yield]]</f>
        <v>0</v>
      </c>
      <c r="EQ55" s="33" cm="1">
        <f t="array" ref="EQ55">BedPlan[[#This Row],[Harvest Days June 2025]]/SUM(BedPlan[[#This Row],[Harvest Days January 2025]:[Harvest Days December 2026]])*BedPlan[[#This Row],[Yield]:[Yield]]</f>
        <v>0</v>
      </c>
      <c r="ER55" s="33" cm="1">
        <f t="array" ref="ER55">BedPlan[[#This Row],[Harvest Days July 2025]]/SUM(BedPlan[[#This Row],[Harvest Days January 2025]:[Harvest Days December 2026]])*BedPlan[[#This Row],[Yield]:[Yield]]</f>
        <v>124.61538461538461</v>
      </c>
      <c r="ES55" s="33" cm="1">
        <f t="array" ref="ES55">BedPlan[[#This Row],[Harvest Days August 2025]]/SUM(BedPlan[[#This Row],[Harvest Days January 2025]:[Harvest Days December 2026]])*BedPlan[[#This Row],[Yield]:[Yield]]</f>
        <v>143.07692307692307</v>
      </c>
      <c r="ET55" s="33" cm="1">
        <f t="array" ref="ET55">BedPlan[[#This Row],[Harvest Days September 2025]]/SUM(BedPlan[[#This Row],[Harvest Days January 2025]:[Harvest Days December 2026]])*BedPlan[[#This Row],[Yield]:[Yield]]</f>
        <v>92.307692307692292</v>
      </c>
      <c r="EU55" s="33" cm="1">
        <f t="array" ref="EU55">BedPlan[[#This Row],[Harvest Days October 2025]]/SUM(BedPlan[[#This Row],[Harvest Days January 2025]:[Harvest Days December 2026]])*BedPlan[[#This Row],[Yield]:[Yield]]</f>
        <v>0</v>
      </c>
      <c r="EV55" s="33" cm="1">
        <f t="array" ref="EV55">BedPlan[[#This Row],[Harvest Days November 2025]]/SUM(BedPlan[[#This Row],[Harvest Days January 2025]:[Harvest Days December 2026]])*BedPlan[[#This Row],[Yield]:[Yield]]</f>
        <v>0</v>
      </c>
      <c r="EW55" s="33" cm="1">
        <f t="array" ref="EW55">BedPlan[[#This Row],[Harvest Days December 2025]]/SUM(BedPlan[[#This Row],[Harvest Days January 2025]:[Harvest Days December 2026]])*BedPlan[[#This Row],[Yield]:[Yield]]</f>
        <v>0</v>
      </c>
    </row>
    <row r="56" spans="1:153" ht="15.75" customHeight="1">
      <c r="A56" s="182" t="s">
        <v>3273</v>
      </c>
      <c r="B56" s="240" t="s">
        <v>3274</v>
      </c>
      <c r="C56" t="s">
        <v>3256</v>
      </c>
      <c r="D56" s="226" t="e" cm="1">
        <f t="array" ref="D56">INDEX(Crops[],BedPlan[[#This Row],[Chart Index]],D$4,1)*BedPlan[[#This Row],[Full Bed Equivalent]]</f>
        <v>#DIV/0!</v>
      </c>
      <c r="E56" s="226" t="e" cm="1">
        <f t="array" ref="E56">INDEX(Crops[],BedPlan[[#This Row],[Chart Index]],E$4,1)*BedPlan[[#This Row],[Full Bed Equivalent]]</f>
        <v>#N/A</v>
      </c>
      <c r="F56" t="str">
        <f>UPPER(LEFT(BedPlan[[#This Row],[Crop]],3))</f>
        <v>DAH</v>
      </c>
      <c r="H56" s="143" t="str" cm="1">
        <f t="array" ref="H56">INDEX(Crops[],BedPlan[[#This Row],[Chart Index]],H$4,1)</f>
        <v>Dahlia</v>
      </c>
      <c r="K56" s="227"/>
      <c r="L56" s="33" cm="1">
        <f t="array" ref="L56">INDEX(Crops[],BedPlan[[#This Row],[Chart Index]],L$4,1)*BedPlan[[#This Row],[Full Bed Equivalent]]</f>
        <v>520</v>
      </c>
      <c r="N56">
        <v>4</v>
      </c>
      <c r="O56">
        <v>1</v>
      </c>
      <c r="P56" s="31">
        <f>IF(ISNUMBER(BedPlan[[#This Row],[Planned Greenhouse Start Date]]),BedPlan[[#This Row],[Planned Greenhouse Start Date]],BedPlan[[#This Row],[Planned TP or DS Date]])</f>
        <v>45748</v>
      </c>
      <c r="Q56" s="259" t="str">
        <f>IF(BedPlan[[#This Row],[Days in Cells]]=0,"",IFERROR(_xlfn.XLOOKUP(BedPlan[[#This Row],[Follows Crop]],BedPlan[Identifier],BedPlan[Expected End of Harvest]) + 1+BedPlan[[#This Row],[Follow Offset]],BedPlan[[#This Row],[Fixed Field Start Date]])-BedPlan[[#This Row],[Days in Cells]])</f>
        <v/>
      </c>
      <c r="R56" s="259"/>
      <c r="S56" s="259" t="str">
        <f>IF(ISNUMBER(BedPlan[[#This Row],[Actual Greenhouse Date]]),BedPlan[[#This Row],[Actual Greenhouse Date]],BedPlan[[#This Row],[Planned Greenhouse Start Date]])</f>
        <v/>
      </c>
      <c r="T56" s="259">
        <f>_xlfn.XLOOKUP(BedPlan[[#This Row],[Crop]],Crops[Identifier],Crops[Target Field Date])</f>
        <v>45748</v>
      </c>
      <c r="U56" s="260"/>
      <c r="V56" s="260"/>
      <c r="W5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56" s="259"/>
      <c r="Y56" s="271">
        <f>BedPlan[[#This Row],[Actual TP or DS Date]]-BedPlan[[#This Row],[Planned TP or DS Date]]</f>
        <v>-45748</v>
      </c>
      <c r="Z56" s="259">
        <f>IF(ISNUMBER(BedPlan[[#This Row],[Actual TP or DS Date]]),BedPlan[[#This Row],[Actual TP or DS Date]],BedPlan[[#This Row],[Planned TP or DS Date]])</f>
        <v>45748</v>
      </c>
      <c r="AA56" s="259"/>
      <c r="AB56" s="259">
        <f>IF(ISNUMBER(BedPlan[[#This Row],[Greenhouse Start Date]]),BedPlan[[#This Row],[Greenhouse Start Date]]+BedPlan[[#This Row],[DTM]],BedPlan[[#This Row],[TP or DS Date]]+BedPlan[[#This Row],[DTM]])</f>
        <v>45851</v>
      </c>
      <c r="AC56" s="259"/>
      <c r="AD56" s="259">
        <f>IF(ISNUMBER(BedPlan[[#This Row],[Actual Beginning of Harvest]]),BedPlan[[#This Row],[Actual Beginning of Harvest]],BedPlan[[#This Row],[Expected Beginning of Harvest]])</f>
        <v>45851</v>
      </c>
      <c r="AE56" s="259">
        <f>BedPlan[[#This Row],[Expected Beginning of Harvest]]+BedPlan[[#This Row],[Harvest Window]]+BedPlan[[#This Row],[Additional Days of Harvest]]</f>
        <v>45858</v>
      </c>
      <c r="AF56" s="259"/>
      <c r="AG56" s="259"/>
      <c r="AH56" s="34" t="b">
        <f>IF(AND( BedPlan[[#This Row],[Expected End of Harvest]] &gt;= DATE(2025, 8, 1), BedPlan[[#This Row],[Beginning of Harvest]] &lt;= DATE(2025, 8, 31) ), TRUE, FALSE)</f>
        <v>0</v>
      </c>
      <c r="AI56" s="31"/>
      <c r="AJ56" s="31">
        <f>IF(ISNUMBER(BedPlan[[#This Row],[Actual End of Harvest]]),BedPlan[[#This Row],[Actual End of Harvest]],BedPlan[[#This Row],[Expected End of Harvest]])</f>
        <v>45858</v>
      </c>
      <c r="AK56" t="b">
        <f>OR(ISNUMBER(BedPlan[[#This Row],[Actual Greenhouse Date]]),ISNUMBER(BedPlan[[#This Row],[Actual TP or DS Date]]))</f>
        <v>0</v>
      </c>
      <c r="AL56" s="52" t="str">
        <f>IF(ISNUMBER(BedPlan[[#This Row],[Planned Greenhouse Start Date]]),OR(ISNUMBER(BedPlan[[#This Row],[Actual TP or DS Date]]),BedPlan[[#This Row],[Failed]]),"-")</f>
        <v>-</v>
      </c>
      <c r="AM56" t="b">
        <f>OR(ISNUMBER(BedPlan[[#This Row],[Actual End of Harvest]]),BedPlan[[#This Row],[Failed]])</f>
        <v>0</v>
      </c>
      <c r="AN56" t="b">
        <f>OR(BedPlan[[#This Row],[Harvest Done]],BedPlan[[#This Row],[Failed]],BedPlan[[#This Row],[Name]]="Tarp")</f>
        <v>0</v>
      </c>
      <c r="AO56" s="34"/>
      <c r="AP56" s="34"/>
      <c r="AQ56" s="34"/>
      <c r="AR56" s="34"/>
      <c r="AS56" s="256" t="str">
        <f>IF(BedPlan[[#This Row],[Broadfork]],BedPlan[[#This Row],[Actual TP or DS Date]],"")</f>
        <v/>
      </c>
      <c r="AT56" s="256" t="str">
        <f>IF(BedPlan[[#This Row],[Tilther]],BedPlan[[#This Row],[Actual TP or DS Date]],"")</f>
        <v/>
      </c>
      <c r="AU56" s="256" t="str">
        <f>IF(NOT(ISBLANK(BedPlan[[#This Row],[Amend]])),BedPlan[[#This Row],[Actual TP or DS Date]],"")</f>
        <v/>
      </c>
      <c r="AV56" s="256" t="str">
        <f>IF(BedPlan[[#This Row],[Row Cover]],BedPlan[[#This Row],[Actual TP or DS Date]],"")</f>
        <v/>
      </c>
      <c r="AW56" s="34"/>
      <c r="AX56" s="256"/>
      <c r="AY56" s="34"/>
      <c r="AZ56" s="256"/>
      <c r="BA56" s="34"/>
      <c r="BB56" s="256"/>
      <c r="BC56" s="231" cm="1">
        <f t="array" ref="BC56">INDEX(Crops[],BedPlan[[#This Row],[Chart Index]],BC$4,1)*BedPlan[[#This Row],[Full Bed Equivalent]]</f>
        <v>0</v>
      </c>
      <c r="BD56" s="231" cm="1">
        <f t="array" ref="BD56">INDEX(Crops[],BedPlan[[#This Row],[Chart Index]],BD$4,1)*BedPlan[[#This Row],[Full Bed Equivalent]]</f>
        <v>0</v>
      </c>
      <c r="BE56" cm="1">
        <f t="array" ref="BE56">INDEX(Crops[],BedPlan[[#This Row],[Chart Index]],BE$4,1)+BedPlan[[#This Row],[Additional Days in Cells]]+BedPlan[[#This Row],[Additional Days In Field]]</f>
        <v>103</v>
      </c>
      <c r="BG56" cm="1">
        <f t="array" ref="BG56">INDEX(Crops[],BedPlan[[#This Row],[Chart Index]],BG$4,1)</f>
        <v>7</v>
      </c>
      <c r="BH56" t="str">
        <f>IF(ISNUMBER(BedPlan[[#This Row],[Planned Greenhouse Start Date]]),"TP","DS")</f>
        <v>DS</v>
      </c>
      <c r="BI56">
        <f>BedPlan[[#This Row],['# Of Beds]]</f>
        <v>4</v>
      </c>
      <c r="BJ56" cm="1">
        <f t="array" ref="BJ56">INDEX(Crops[],BedPlan[[#This Row],[Chart Index]],BJ$4,1)</f>
        <v>0</v>
      </c>
      <c r="BK56" cm="1">
        <f t="array" ref="BK56">INDEX(Crops[],BedPlan[[#This Row],[Chart Index]],BK$4,1)</f>
        <v>2</v>
      </c>
      <c r="BL56" cm="1">
        <f t="array" ref="BL56">INDEX(Crops[],BedPlan[[#This Row],[Chart Index]],BL$4,1)</f>
        <v>12</v>
      </c>
      <c r="BM56" cm="1">
        <f t="array" ref="BM56">INDEX(Crops[],BedPlan[[#This Row],[Chart Index]],BM$4,1)</f>
        <v>1</v>
      </c>
      <c r="BN56" s="32" cm="1">
        <f t="array" ref="BN56">INDEX(Crops[],BedPlan[[#This Row],[Chart Index]],BN$4,1)*BedPlan[[#This Row],[Full Bed Equivalent]]</f>
        <v>400</v>
      </c>
      <c r="BO56" t="str" cm="1">
        <f t="array" ref="BO56">IF(INDEX(Crops[],BedPlan[[#This Row],[Chart Index]],BO$4,1)=0,"",INDEX(Crops[],BedPlan[[#This Row],[Chart Index]],BO$4,1))</f>
        <v/>
      </c>
      <c r="BP56">
        <f>MATCH(BedPlan[[#This Row],[Crop]],Crops[Identifier],FALSE)</f>
        <v>112</v>
      </c>
      <c r="BQ56" t="str" cm="1">
        <f t="array" ref="BQ56">INDEX(Crops[],BedPlan[[#This Row],[Chart Index]],BQ$4,1)</f>
        <v>General</v>
      </c>
      <c r="BR56" t="str" cm="1">
        <f t="array" ref="BR56">INDEX(Crops[],BedPlan[[#This Row],[Chart Index]],BR$4,1)</f>
        <v/>
      </c>
      <c r="BS56" s="32">
        <f>BedPlan[[#This Row],[Expected Beginning of Harvest]]-DATE(2023,1,1)</f>
        <v>924</v>
      </c>
      <c r="BT56">
        <f>BedPlan[[#This Row],[Expected End of Harvest]]-BedPlan[[#This Row],[Expected Beginning of Harvest]]</f>
        <v>7</v>
      </c>
      <c r="BU56" cm="1">
        <f t="array" ref="BU56">INDEX(Crops[],BedPlan[[#This Row],[Chart Index]],BU$4,1)</f>
        <v>0</v>
      </c>
      <c r="BV56" cm="1">
        <f t="array" ref="BV56">INDEX(Crops[],BedPlan[[#This Row],[Chart Index]],BV$4,1)</f>
        <v>0</v>
      </c>
      <c r="BW56" cm="1">
        <f t="array" ref="BW56">INDEX(Crops[],BedPlan[[#This Row],[Chart Index]],BW$4,1)</f>
        <v>0</v>
      </c>
      <c r="BX56" cm="1">
        <f t="array" ref="BX56">INDEX(Crops[],BedPlan[[#This Row],[Chart Index]],BX$4,1)</f>
        <v>0</v>
      </c>
      <c r="BY56" cm="1">
        <f t="array" ref="BY56">INDEX(Crops[],BedPlan[[#This Row],[Chart Index]],BY$4,1)</f>
        <v>0</v>
      </c>
      <c r="BZ56" s="49" t="str" cm="1">
        <f t="array" ref="BZ56">IFERROR(INDEX(Crops[],BedPlan[[#This Row],[Chart Index]],BZ$4,1)*BedPlan[[#This Row],[Full Bed Equivalent]],"")</f>
        <v/>
      </c>
      <c r="CA56" cm="1">
        <f t="array" ref="CA56">INDEX(Crops[],BedPlan[[#This Row],[Chart Index]],CA$4,1)</f>
        <v>0</v>
      </c>
      <c r="CB56" cm="1">
        <f t="array" ref="CB56">INDEX(Crops[],BedPlan[[#This Row],[Chart Index]],CB$4,1)</f>
        <v>0</v>
      </c>
      <c r="CC56" s="49" t="str" cm="1">
        <f t="array" ref="CC56">IFERROR(INDEX(Crops[],BedPlan[[#This Row],[Chart Index]],CC$4,1)*BedPlan[[#This Row],[Full Bed Equivalent]],"")</f>
        <v/>
      </c>
      <c r="CD56" cm="1">
        <f t="array" ref="CD56">INDEX(Crops[],BedPlan[[#This Row],[Chart Index]],CD$4,1)</f>
        <v>0</v>
      </c>
      <c r="CE56" cm="1">
        <f t="array" ref="CE56">IF(INDEX(Crops[],BedPlan[[#This Row],[Chart Index]],CE$4,1)="",0,INDEX(Crops[],BedPlan[[#This Row],[Chart Index]],CE$4,1))</f>
        <v>0</v>
      </c>
      <c r="CF56" s="49" t="str" cm="1">
        <f t="array" ref="CF56">IFERROR(INDEX(Crops[],BedPlan[[#This Row],[Chart Index]],CF$4,1)*BedPlan[[#This Row],[Full Bed Equivalent]],"")</f>
        <v/>
      </c>
      <c r="CG56" cm="1">
        <f t="array" ref="CG56">IF(INDEX(Crops[],BedPlan[[#This Row],[Chart Index]],CG$4,1)="",0,INDEX(Crops[],BedPlan[[#This Row],[Chart Index]],CG$4,1))</f>
        <v>1.3</v>
      </c>
      <c r="CH56" cm="1">
        <f t="array" ref="CH56">IF(INDEX(Crops[],BedPlan[[#This Row],[Chart Index]],CH$4,1)="",0,INDEX(Crops[],BedPlan[[#This Row],[Chart Index]],CH$4,1))</f>
        <v>0</v>
      </c>
      <c r="CI56" t="str" cm="1">
        <f t="array" ref="CI56">INDEX(Crops[],BedPlan[[#This Row],[Chart Index]],CI$4,1)</f>
        <v>Field</v>
      </c>
      <c r="CJ56" s="30" t="str">
        <f>_xlfn.TEXTJOIN(CHAR(10),FALSE,BedPlan[[#This Row],[Name]],BedPlan[[#This Row],[Variety]],BedPlan[[#This Row],[Company]])</f>
        <v xml:space="preserve">Dahlia
</v>
      </c>
      <c r="CK56" s="32">
        <f>MAX( 0, MIN(BedPlan[[#This Row],[Expected End of Harvest]], EOMONTH(CK$4, 0)) - MAX(BedPlan[[#This Row],[Beginning of Harvest]], CK$4) + 1 )</f>
        <v>0</v>
      </c>
      <c r="CL56">
        <f>MAX( 0, MIN(BedPlan[[#This Row],[Expected End of Harvest]], EOMONTH(CL$4, 0)) - MAX(BedPlan[[#This Row],[Beginning of Harvest]], CL$4) + 1 )</f>
        <v>0</v>
      </c>
      <c r="CM56">
        <f>MAX( 0, MIN(BedPlan[[#This Row],[Expected End of Harvest]], EOMONTH(CM$4, 0)) - MAX(BedPlan[[#This Row],[Beginning of Harvest]], CM$4) + 1 )</f>
        <v>0</v>
      </c>
      <c r="CN56">
        <f>MAX( 0, MIN(BedPlan[[#This Row],[Expected End of Harvest]], EOMONTH(CN$4, 0)) - MAX(BedPlan[[#This Row],[Beginning of Harvest]], CN$4) + 1 )</f>
        <v>0</v>
      </c>
      <c r="CO56">
        <f>MAX( 0, MIN(BedPlan[[#This Row],[Expected End of Harvest]], EOMONTH(CO$4, 0)) - MAX(BedPlan[[#This Row],[Beginning of Harvest]], CO$4) + 1 )</f>
        <v>0</v>
      </c>
      <c r="CP56">
        <f>MAX( 0, MIN(BedPlan[[#This Row],[Expected End of Harvest]], EOMONTH(CP$4, 0)) - MAX(BedPlan[[#This Row],[Beginning of Harvest]], CP$4) + 1 )</f>
        <v>0</v>
      </c>
      <c r="CQ56">
        <f>MAX( 0, MIN(BedPlan[[#This Row],[Expected End of Harvest]], EOMONTH(CQ$4, 0)) - MAX(BedPlan[[#This Row],[Beginning of Harvest]], CQ$4) + 1 )</f>
        <v>8</v>
      </c>
      <c r="CR56">
        <f>MAX( 0, MIN(BedPlan[[#This Row],[Expected End of Harvest]], EOMONTH(CR$4, 0)) - MAX(BedPlan[[#This Row],[Beginning of Harvest]], CR$4) + 1 )</f>
        <v>0</v>
      </c>
      <c r="CS56">
        <f>MAX( 0, MIN(BedPlan[[#This Row],[Expected End of Harvest]], EOMONTH(CS$4, 0)) - MAX(BedPlan[[#This Row],[Beginning of Harvest]], CS$4) + 1 )</f>
        <v>0</v>
      </c>
      <c r="CT56">
        <f>MAX( 0, MIN(BedPlan[[#This Row],[Expected End of Harvest]], EOMONTH(CT$4, 0)) - MAX(BedPlan[[#This Row],[Beginning of Harvest]], CT$4) + 1 )</f>
        <v>0</v>
      </c>
      <c r="CU56">
        <f>MAX( 0, MIN(BedPlan[[#This Row],[Expected End of Harvest]], EOMONTH(CU$4, 0)) - MAX(BedPlan[[#This Row],[Beginning of Harvest]], CU$4) + 1 )</f>
        <v>0</v>
      </c>
      <c r="CV56">
        <f>MAX( 0, MIN(BedPlan[[#This Row],[Expected End of Harvest]], EOMONTH(CV$4, 0)) - MAX(BedPlan[[#This Row],[Beginning of Harvest]], CV$4) + 1 )</f>
        <v>0</v>
      </c>
      <c r="CW56">
        <f>MAX( 0, MIN(BedPlan[[#This Row],[Expected End of Harvest]], EOMONTH(CW$4, 0)) - MAX(BedPlan[[#This Row],[Beginning of Harvest]], CW$4) + 1 )</f>
        <v>0</v>
      </c>
      <c r="CX56">
        <f>MAX( 0, MIN(BedPlan[[#This Row],[Expected End of Harvest]], EOMONTH(CX$4, 0)) - MAX(BedPlan[[#This Row],[Beginning of Harvest]], CX$4) + 1 )</f>
        <v>0</v>
      </c>
      <c r="CY56">
        <f>MAX( 0, MIN(BedPlan[[#This Row],[Expected End of Harvest]], EOMONTH(CY$4, 0)) - MAX(BedPlan[[#This Row],[Beginning of Harvest]], CY$4) + 1 )</f>
        <v>0</v>
      </c>
      <c r="CZ56">
        <f>MAX( 0, MIN(BedPlan[[#This Row],[Expected End of Harvest]], EOMONTH(CZ$4, 0)) - MAX(BedPlan[[#This Row],[Beginning of Harvest]], CZ$4) + 1 )</f>
        <v>0</v>
      </c>
      <c r="DA56">
        <f>MAX( 0, MIN(BedPlan[[#This Row],[Expected End of Harvest]], EOMONTH(DA$4, 0)) - MAX(BedPlan[[#This Row],[Beginning of Harvest]], DA$4) + 1 )</f>
        <v>0</v>
      </c>
      <c r="DB56">
        <f>MAX( 0, MIN(BedPlan[[#This Row],[Expected End of Harvest]], EOMONTH(DB$4, 0)) - MAX(BedPlan[[#This Row],[Beginning of Harvest]], DB$4) + 1 )</f>
        <v>0</v>
      </c>
      <c r="DC56">
        <f>MAX( 0, MIN(BedPlan[[#This Row],[Expected End of Harvest]], EOMONTH(DC$4, 0)) - MAX(BedPlan[[#This Row],[Beginning of Harvest]], DC$4) + 1 )</f>
        <v>0</v>
      </c>
      <c r="DD56">
        <f>MAX( 0, MIN(BedPlan[[#This Row],[Expected End of Harvest]], EOMONTH(DD$4, 0)) - MAX(BedPlan[[#This Row],[Beginning of Harvest]], DD$4) + 1 )</f>
        <v>0</v>
      </c>
      <c r="DE56">
        <f>MAX( 0, MIN(BedPlan[[#This Row],[Expected End of Harvest]], EOMONTH(DE$4, 0)) - MAX(BedPlan[[#This Row],[Beginning of Harvest]], DE$4) + 1 )</f>
        <v>0</v>
      </c>
      <c r="DF56">
        <f>MAX( 0, MIN(BedPlan[[#This Row],[Expected End of Harvest]], EOMONTH(DF$4, 0)) - MAX(BedPlan[[#This Row],[Beginning of Harvest]], DF$4) + 1 )</f>
        <v>0</v>
      </c>
      <c r="DG56">
        <f>MAX( 0, MIN(BedPlan[[#This Row],[Expected End of Harvest]], EOMONTH(DG$4, 0)) - MAX(BedPlan[[#This Row],[Beginning of Harvest]], DG$4) + 1 )</f>
        <v>0</v>
      </c>
      <c r="DH56">
        <f>MAX( 0, MIN(BedPlan[[#This Row],[Expected End of Harvest]], EOMONTH(DH$4, 0)) - MAX(BedPlan[[#This Row],[Beginning of Harvest]], DH$4) + 1 )</f>
        <v>0</v>
      </c>
      <c r="DI56" s="257" cm="1">
        <f t="array" ref="DI56">BedPlan[[#This Row],[Harvest Days January 2025]]/SUM(BedPlan[[#This Row],[Harvest Days January 2025]:[Harvest Days December 2026]])*BedPlan[[#This Row],[Revenue]:[Revenue]]</f>
        <v>0</v>
      </c>
      <c r="DJ56" s="257" cm="1">
        <f t="array" ref="DJ56">BedPlan[[#This Row],[Harvest Days February 2025]]/SUM(BedPlan[[#This Row],[Harvest Days January 2025]:[Harvest Days December 2026]])*BedPlan[[#This Row],[Revenue]:[Revenue]]</f>
        <v>0</v>
      </c>
      <c r="DK56" s="257" cm="1">
        <f t="array" ref="DK56">BedPlan[[#This Row],[Harvest Days March 2025]]/SUM(BedPlan[[#This Row],[Harvest Days January 2025]:[Harvest Days December 2026]])*BedPlan[[#This Row],[Revenue]:[Revenue]]</f>
        <v>0</v>
      </c>
      <c r="DL56" s="257" cm="1">
        <f t="array" ref="DL56">BedPlan[[#This Row],[Harvest Days April 2025]]/SUM(BedPlan[[#This Row],[Harvest Days January 2025]:[Harvest Days December 2026]])*BedPlan[[#This Row],[Revenue]:[Revenue]]</f>
        <v>0</v>
      </c>
      <c r="DM56" s="257" cm="1">
        <f t="array" ref="DM56">BedPlan[[#This Row],[Harvest Days May 2025]]/SUM(BedPlan[[#This Row],[Harvest Days January 2025]:[Harvest Days December 2026]])*BedPlan[[#This Row],[Revenue]:[Revenue]]</f>
        <v>0</v>
      </c>
      <c r="DN56" s="257" cm="1">
        <f t="array" ref="DN56">BedPlan[[#This Row],[Harvest Days June 2025]]/SUM(BedPlan[[#This Row],[Harvest Days January 2025]:[Harvest Days December 2026]])*BedPlan[[#This Row],[Revenue]:[Revenue]]</f>
        <v>0</v>
      </c>
      <c r="DO56" s="257" cm="1">
        <f t="array" ref="DO56">BedPlan[[#This Row],[Harvest Days July 2025]]/SUM(BedPlan[[#This Row],[Harvest Days January 2025]:[Harvest Days December 2026]])*BedPlan[[#This Row],[Revenue]:[Revenue]]</f>
        <v>0</v>
      </c>
      <c r="DP56" s="257" cm="1">
        <f t="array" ref="DP56">BedPlan[[#This Row],[Harvest Days August 2025]]/SUM(BedPlan[[#This Row],[Harvest Days January 2025]:[Harvest Days December 2026]])*BedPlan[[#This Row],[Revenue]:[Revenue]]</f>
        <v>0</v>
      </c>
      <c r="DQ56" s="257" cm="1">
        <f t="array" ref="DQ56">BedPlan[[#This Row],[Harvest Days September 2025]]/SUM(BedPlan[[#This Row],[Harvest Days January 2025]:[Harvest Days December 2026]])*BedPlan[[#This Row],[Revenue]:[Revenue]]</f>
        <v>0</v>
      </c>
      <c r="DR56" s="257" cm="1">
        <f t="array" ref="DR56">BedPlan[[#This Row],[Harvest Days October 2025]]/SUM(BedPlan[[#This Row],[Harvest Days January 2025]:[Harvest Days December 2026]])*BedPlan[[#This Row],[Revenue]:[Revenue]]</f>
        <v>0</v>
      </c>
      <c r="DS56" s="257" cm="1">
        <f t="array" ref="DS56">BedPlan[[#This Row],[Harvest Days November 2025]]/SUM(BedPlan[[#This Row],[Harvest Days January 2025]:[Harvest Days December 2026]])*BedPlan[[#This Row],[Revenue]:[Revenue]]</f>
        <v>0</v>
      </c>
      <c r="DT56" s="257" cm="1">
        <f t="array" ref="DT56">BedPlan[[#This Row],[Harvest Days December 2025]]/SUM(BedPlan[[#This Row],[Harvest Days January 2025]:[Harvest Days December 2026]])*BedPlan[[#This Row],[Revenue]:[Revenue]]</f>
        <v>0</v>
      </c>
      <c r="DU56" s="257" cm="1">
        <f t="array" ref="DU56">BedPlan[[#This Row],[Harvest Days January 2026]]/SUM(BedPlan[[#This Row],[Harvest Days January 2025]:[Harvest Days December 2026]])*BedPlan[[#This Row],[Revenue]:[Revenue]]</f>
        <v>0</v>
      </c>
      <c r="DV56" s="257" cm="1">
        <f t="array" ref="DV56">BedPlan[[#This Row],[Harvest Days February 2026]]/SUM(BedPlan[[#This Row],[Harvest Days January 2025]:[Harvest Days December 2026]])*BedPlan[[#This Row],[Revenue]:[Revenue]]</f>
        <v>0</v>
      </c>
      <c r="DW56" s="257" cm="1">
        <f t="array" ref="DW56">BedPlan[[#This Row],[Harvest Days March 2026]]/SUM(BedPlan[[#This Row],[Harvest Days January 2025]:[Harvest Days December 2026]])*BedPlan[[#This Row],[Revenue]:[Revenue]]</f>
        <v>0</v>
      </c>
      <c r="DX56" s="257" cm="1">
        <f t="array" ref="DX56">BedPlan[[#This Row],[Harvest Days April 2026]]/SUM(BedPlan[[#This Row],[Harvest Days January 2025]:[Harvest Days December 2026]])*BedPlan[[#This Row],[Revenue]:[Revenue]]</f>
        <v>0</v>
      </c>
      <c r="DY56" cm="1">
        <f t="array" ref="DY56">BedPlan[[#This Row],[Harvest Days May 2026]]/SUM(BedPlan[[#This Row],[Harvest Days January 2025]:[Harvest Days December 2026]])*BedPlan[[#This Row],[Revenue]:[Revenue]]</f>
        <v>0</v>
      </c>
      <c r="DZ56" cm="1">
        <f t="array" ref="DZ56">BedPlan[[#This Row],[Harvest Days June 2026]]/SUM(BedPlan[[#This Row],[Harvest Days January 2025]:[Harvest Days December 2026]])*BedPlan[[#This Row],[Revenue]:[Revenue]]</f>
        <v>0</v>
      </c>
      <c r="EA56" cm="1">
        <f t="array" ref="EA56">BedPlan[[#This Row],[Harvest Days July 2026]]/SUM(BedPlan[[#This Row],[Harvest Days January 2025]:[Harvest Days December 2026]])*BedPlan[[#This Row],[Revenue]:[Revenue]]</f>
        <v>0</v>
      </c>
      <c r="EB56" cm="1">
        <f t="array" ref="EB56">BedPlan[[#This Row],[Harvest Days August 2026]]/SUM(BedPlan[[#This Row],[Harvest Days January 2025]:[Harvest Days December 2026]])*BedPlan[[#This Row],[Revenue]:[Revenue]]</f>
        <v>0</v>
      </c>
      <c r="EC56" cm="1">
        <f t="array" ref="EC56">BedPlan[[#This Row],[Harvest Days September 2026]]/SUM(BedPlan[[#This Row],[Harvest Days January 2025]:[Harvest Days December 2026]])*BedPlan[[#This Row],[Revenue]:[Revenue]]</f>
        <v>0</v>
      </c>
      <c r="ED56" cm="1">
        <f t="array" ref="ED56">BedPlan[[#This Row],[Harvest Days October 2026]]/SUM(BedPlan[[#This Row],[Harvest Days January 2025]:[Harvest Days December 2026]])*BedPlan[[#This Row],[Revenue]:[Revenue]]</f>
        <v>0</v>
      </c>
      <c r="EE56" cm="1">
        <f t="array" ref="EE56">BedPlan[[#This Row],[Harvest Days November 2026]]/SUM(BedPlan[[#This Row],[Harvest Days January 2025]:[Harvest Days December 2026]])*BedPlan[[#This Row],[Revenue]:[Revenue]]</f>
        <v>0</v>
      </c>
      <c r="EF56" cm="1">
        <f t="array" ref="EF56">BedPlan[[#This Row],[Harvest Days December 2026]]/SUM(BedPlan[[#This Row],[Harvest Days January 2025]:[Harvest Days December 2026]])*BedPlan[[#This Row],[Revenue]:[Revenue]]</f>
        <v>0</v>
      </c>
      <c r="EG56" t="b">
        <f>SUM(BedPlan[[#This Row],[Revenue January 2025]:[Revenue December 2026]])=BedPlan[[#This Row],[Revenue]]</f>
        <v>1</v>
      </c>
      <c r="EH56" s="30" cm="1">
        <f t="array" ref="EH56">INDEX(Crops[],BedPlan[[#This Row],[Chart Index]],EH$4,1)*BedPlan[[#This Row],['# Of Beds]]</f>
        <v>0</v>
      </c>
      <c r="EI56" s="30" t="str" cm="1">
        <f t="array" ref="EI56">INDEX(Crops[],BedPlan[[#This Row],[Chart Index]],EI$4,1)</f>
        <v>Stem</v>
      </c>
      <c r="EJ56" s="30" t="str" cm="1">
        <f t="array" ref="EJ56">INDEX(Crops[],BedPlan[[#This Row],[Chart Index]],EJ$4,1)</f>
        <v>Cut Flower</v>
      </c>
      <c r="EK56" s="30" t="str">
        <f>BedPlan[[#This Row],[Name]]&amp;" "&amp;BedPlan[[#This Row],[Product]]&amp; " - " &amp;BedPlan[[#This Row],[Unit]]</f>
        <v>Dahlia Cut Flower - Stem</v>
      </c>
      <c r="EL56" s="33" cm="1">
        <f t="array" ref="EL56">BedPlan[[#This Row],[Harvest Days January 2025]]/SUM(BedPlan[[#This Row],[Harvest Days January 2025]:[Harvest Days December 2026]])*BedPlan[[#This Row],[Yield]:[Yield]]</f>
        <v>0</v>
      </c>
      <c r="EM56" s="33" cm="1">
        <f t="array" ref="EM56">BedPlan[[#This Row],[Harvest Days February 2025]]/SUM(BedPlan[[#This Row],[Harvest Days January 2025]:[Harvest Days December 2026]])*BedPlan[[#This Row],[Yield]:[Yield]]</f>
        <v>0</v>
      </c>
      <c r="EN56" s="33" cm="1">
        <f t="array" ref="EN56">BedPlan[[#This Row],[Harvest Days March 2025]]/SUM(BedPlan[[#This Row],[Harvest Days January 2025]:[Harvest Days December 2026]])*BedPlan[[#This Row],[Yield]:[Yield]]</f>
        <v>0</v>
      </c>
      <c r="EO56" s="33" cm="1">
        <f t="array" ref="EO56">BedPlan[[#This Row],[Harvest Days April 2025]]/SUM(BedPlan[[#This Row],[Harvest Days January 2025]:[Harvest Days December 2026]])*BedPlan[[#This Row],[Yield]:[Yield]]</f>
        <v>0</v>
      </c>
      <c r="EP56" s="33" cm="1">
        <f t="array" ref="EP56">BedPlan[[#This Row],[Harvest Days May 2025]]/SUM(BedPlan[[#This Row],[Harvest Days January 2025]:[Harvest Days December 2026]])*BedPlan[[#This Row],[Yield]:[Yield]]</f>
        <v>0</v>
      </c>
      <c r="EQ56" s="33" cm="1">
        <f t="array" ref="EQ56">BedPlan[[#This Row],[Harvest Days June 2025]]/SUM(BedPlan[[#This Row],[Harvest Days January 2025]:[Harvest Days December 2026]])*BedPlan[[#This Row],[Yield]:[Yield]]</f>
        <v>0</v>
      </c>
      <c r="ER56" s="33" cm="1">
        <f t="array" ref="ER56">BedPlan[[#This Row],[Harvest Days July 2025]]/SUM(BedPlan[[#This Row],[Harvest Days January 2025]:[Harvest Days December 2026]])*BedPlan[[#This Row],[Yield]:[Yield]]</f>
        <v>0</v>
      </c>
      <c r="ES56" s="33" cm="1">
        <f t="array" ref="ES56">BedPlan[[#This Row],[Harvest Days August 2025]]/SUM(BedPlan[[#This Row],[Harvest Days January 2025]:[Harvest Days December 2026]])*BedPlan[[#This Row],[Yield]:[Yield]]</f>
        <v>0</v>
      </c>
      <c r="ET56" s="33" cm="1">
        <f t="array" ref="ET56">BedPlan[[#This Row],[Harvest Days September 2025]]/SUM(BedPlan[[#This Row],[Harvest Days January 2025]:[Harvest Days December 2026]])*BedPlan[[#This Row],[Yield]:[Yield]]</f>
        <v>0</v>
      </c>
      <c r="EU56" s="33" cm="1">
        <f t="array" ref="EU56">BedPlan[[#This Row],[Harvest Days October 2025]]/SUM(BedPlan[[#This Row],[Harvest Days January 2025]:[Harvest Days December 2026]])*BedPlan[[#This Row],[Yield]:[Yield]]</f>
        <v>0</v>
      </c>
      <c r="EV56" s="33" cm="1">
        <f t="array" ref="EV56">BedPlan[[#This Row],[Harvest Days November 2025]]/SUM(BedPlan[[#This Row],[Harvest Days January 2025]:[Harvest Days December 2026]])*BedPlan[[#This Row],[Yield]:[Yield]]</f>
        <v>0</v>
      </c>
      <c r="EW56" s="33" cm="1">
        <f t="array" ref="EW56">BedPlan[[#This Row],[Harvest Days December 2025]]/SUM(BedPlan[[#This Row],[Harvest Days January 2025]:[Harvest Days December 2026]])*BedPlan[[#This Row],[Yield]:[Yield]]</f>
        <v>0</v>
      </c>
    </row>
    <row r="57" spans="1:153" ht="15.75" customHeight="1">
      <c r="A57" s="180" t="s">
        <v>2746</v>
      </c>
      <c r="B57" s="240" t="s">
        <v>2741</v>
      </c>
      <c r="C57" t="s">
        <v>1433</v>
      </c>
      <c r="D57" s="226" cm="1">
        <f t="array" ref="D57">INDEX(Crops[],BedPlan[[#This Row],[Chart Index]],D$4,1)*BedPlan[[#This Row],[Full Bed Equivalent]]</f>
        <v>56</v>
      </c>
      <c r="E57" s="226" cm="1">
        <f t="array" ref="E57">INDEX(Crops[],BedPlan[[#This Row],[Chart Index]],E$4,1)*BedPlan[[#This Row],[Full Bed Equivalent]]</f>
        <v>160</v>
      </c>
      <c r="F57" t="str">
        <f>UPPER(LEFT(BedPlan[[#This Row],[Crop]],3))</f>
        <v>DIL</v>
      </c>
      <c r="H57" s="143" t="str" cm="1">
        <f t="array" ref="H57">INDEX(Crops[],BedPlan[[#This Row],[Chart Index]],H$4,1)</f>
        <v>Dill</v>
      </c>
      <c r="I57" t="s">
        <v>614</v>
      </c>
      <c r="K57" t="str" cm="1">
        <f t="array" ref="K57">IF(ISNUMBER(MATCH(BedPlan[[#This Row],[Variety]],SeedMixes[Name],)),_xlfn.TEXTJOIN(", ",TRUE,_xlfn._xlws.FILTER(SeedMixes[Variety &amp; Company],SeedMixes[Name]=BedPlan[[#This Row],[Variety]])),"")</f>
        <v>Thalia OG Johnny's, Bouquet OG Osborne, Ambrosia Adaptive, Green Sleeves High Mowing</v>
      </c>
      <c r="L57" s="33" cm="1">
        <f t="array" ref="L57">INDEX(Crops[],BedPlan[[#This Row],[Chart Index]],L$4,1)*BedPlan[[#This Row],[Full Bed Equivalent]]</f>
        <v>880.00000000000011</v>
      </c>
      <c r="N57">
        <v>0.25</v>
      </c>
      <c r="O57">
        <f>MAX(BedPlan[[#This Row],['# Of Beds]],0.5)</f>
        <v>0.5</v>
      </c>
      <c r="P57" s="31">
        <f>IF(ISNUMBER(BedPlan[[#This Row],[Planned Greenhouse Start Date]]),BedPlan[[#This Row],[Planned Greenhouse Start Date]],BedPlan[[#This Row],[Planned TP or DS Date]])</f>
        <v>45756</v>
      </c>
      <c r="Q57" s="259">
        <f>IF(BedPlan[[#This Row],[Days in Cells]]=0,"",IFERROR(_xlfn.XLOOKUP(BedPlan[[#This Row],[Follows Crop]],BedPlan[Identifier],BedPlan[Expected End of Harvest]) + 1+BedPlan[[#This Row],[Follow Offset]],BedPlan[[#This Row],[Fixed Field Start Date]])-BedPlan[[#This Row],[Days in Cells]])</f>
        <v>45756</v>
      </c>
      <c r="R57" s="259">
        <v>45763</v>
      </c>
      <c r="S57" s="259">
        <f>IF(ISNUMBER(BedPlan[[#This Row],[Actual Greenhouse Date]]),BedPlan[[#This Row],[Actual Greenhouse Date]],BedPlan[[#This Row],[Planned Greenhouse Start Date]])</f>
        <v>45763</v>
      </c>
      <c r="T57" s="259">
        <f>_xlfn.XLOOKUP(BedPlan[[#This Row],[Crop]],Crops[Identifier],Crops[Target Field Date])+14*2</f>
        <v>45782</v>
      </c>
      <c r="U57" s="260"/>
      <c r="V57" s="260"/>
      <c r="W5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45789</v>
      </c>
      <c r="X57" s="259">
        <v>45795</v>
      </c>
      <c r="Y57" s="271">
        <f>BedPlan[[#This Row],[Actual TP or DS Date]]-BedPlan[[#This Row],[Planned TP or DS Date]]</f>
        <v>6</v>
      </c>
      <c r="Z57" s="259">
        <f>IF(ISNUMBER(BedPlan[[#This Row],[Actual TP or DS Date]]),BedPlan[[#This Row],[Actual TP or DS Date]],BedPlan[[#This Row],[Planned TP or DS Date]])</f>
        <v>45795</v>
      </c>
      <c r="AA57" s="260">
        <v>7</v>
      </c>
      <c r="AB57" s="259">
        <f>IF(ISNUMBER(BedPlan[[#This Row],[Greenhouse Start Date]]),BedPlan[[#This Row],[Greenhouse Start Date]]+BedPlan[[#This Row],[DTM]],BedPlan[[#This Row],[TP or DS Date]]+BedPlan[[#This Row],[DTM]])</f>
        <v>45856</v>
      </c>
      <c r="AC57" s="259"/>
      <c r="AD57" s="259">
        <f>IF(ISNUMBER(BedPlan[[#This Row],[Actual Beginning of Harvest]]),BedPlan[[#This Row],[Actual Beginning of Harvest]],BedPlan[[#This Row],[Expected Beginning of Harvest]])</f>
        <v>45856</v>
      </c>
      <c r="AE57" s="259">
        <f>BedPlan[[#This Row],[Expected Beginning of Harvest]]+BedPlan[[#This Row],[Harvest Window]]+BedPlan[[#This Row],[Additional Days of Harvest]]</f>
        <v>45873</v>
      </c>
      <c r="AF57" s="259"/>
      <c r="AG57" s="259"/>
      <c r="AH57" s="31" t="b">
        <f>IF(AND( BedPlan[[#This Row],[Expected End of Harvest]] &gt;= DATE(2025, 8, 1), BedPlan[[#This Row],[Beginning of Harvest]] &lt;= DATE(2025, 8, 31) ), TRUE, FALSE)</f>
        <v>1</v>
      </c>
      <c r="AI57" s="31"/>
      <c r="AJ57" s="31">
        <f>IF(ISNUMBER(BedPlan[[#This Row],[Actual End of Harvest]]),BedPlan[[#This Row],[Actual End of Harvest]],BedPlan[[#This Row],[Expected End of Harvest]])</f>
        <v>45873</v>
      </c>
      <c r="AK57" t="b">
        <f>OR(ISNUMBER(BedPlan[[#This Row],[Actual Greenhouse Date]]),ISNUMBER(BedPlan[[#This Row],[Actual TP or DS Date]]))</f>
        <v>1</v>
      </c>
      <c r="AL57" s="52" t="b">
        <f>IF(ISNUMBER(BedPlan[[#This Row],[Planned Greenhouse Start Date]]),OR(ISNUMBER(BedPlan[[#This Row],[Actual TP or DS Date]]),BedPlan[[#This Row],[Failed]]),"-")</f>
        <v>1</v>
      </c>
      <c r="AM57" t="b">
        <f>OR(ISNUMBER(BedPlan[[#This Row],[Actual End of Harvest]]),BedPlan[[#This Row],[Failed]])</f>
        <v>0</v>
      </c>
      <c r="AN57" t="b">
        <f>OR(BedPlan[[#This Row],[Harvest Done]],BedPlan[[#This Row],[Failed]],BedPlan[[#This Row],[Name]]="Tarp")</f>
        <v>0</v>
      </c>
      <c r="AP57" t="b">
        <v>1</v>
      </c>
      <c r="AS57" s="26" t="str">
        <f>IF(BedPlan[[#This Row],[Broadfork]],BedPlan[[#This Row],[Actual TP or DS Date]],"")</f>
        <v/>
      </c>
      <c r="AT57" s="26">
        <f>IF(BedPlan[[#This Row],[Tilther]],BedPlan[[#This Row],[Actual TP or DS Date]],"")</f>
        <v>45795</v>
      </c>
      <c r="AU57" s="26" t="str">
        <f>IF(NOT(ISBLANK(BedPlan[[#This Row],[Amend]])),BedPlan[[#This Row],[Actual TP or DS Date]],"")</f>
        <v/>
      </c>
      <c r="AV57" s="26" t="str">
        <f>IF(BedPlan[[#This Row],[Row Cover]],BedPlan[[#This Row],[Actual TP or DS Date]],"")</f>
        <v/>
      </c>
      <c r="AX57" s="26"/>
      <c r="AZ57" s="26"/>
      <c r="BB57" s="26"/>
      <c r="BC57" s="231" cm="1">
        <f t="array" ref="BC57">INDEX(Crops[],BedPlan[[#This Row],[Chart Index]],BC$4,1)*BedPlan[[#This Row],[Full Bed Equivalent]]</f>
        <v>320</v>
      </c>
      <c r="BD57" s="231" cm="1">
        <f t="array" ref="BD57">INDEX(Crops[],BedPlan[[#This Row],[Chart Index]],BD$4,1)*BedPlan[[#This Row],[Full Bed Equivalent]]</f>
        <v>4.1558441558441555</v>
      </c>
      <c r="BE57" cm="1">
        <f t="array" ref="BE57">INDEX(Crops[],BedPlan[[#This Row],[Chart Index]],BE$4,1)+BedPlan[[#This Row],[Additional Days in Cells]]+BedPlan[[#This Row],[Additional Days In Field]]</f>
        <v>93</v>
      </c>
      <c r="BG57" cm="1">
        <f t="array" ref="BG57">INDEX(Crops[],BedPlan[[#This Row],[Chart Index]],BG$4,1)</f>
        <v>17</v>
      </c>
      <c r="BH57" t="str">
        <f>IF(ISNUMBER(BedPlan[[#This Row],[Planned Greenhouse Start Date]]),"TP","DS")</f>
        <v>TP</v>
      </c>
      <c r="BI57">
        <f>BedPlan[[#This Row],['# Of Beds]]</f>
        <v>0.25</v>
      </c>
      <c r="BJ57" cm="1">
        <f t="array" ref="BJ57">INDEX(Crops[],BedPlan[[#This Row],[Chart Index]],BJ$4,1)</f>
        <v>26</v>
      </c>
      <c r="BK57" cm="1">
        <f t="array" ref="BK57">INDEX(Crops[],BedPlan[[#This Row],[Chart Index]],BK$4,1)</f>
        <v>4</v>
      </c>
      <c r="BL57" cm="1">
        <f t="array" ref="BL57">INDEX(Crops[],BedPlan[[#This Row],[Chart Index]],BL$4,1)</f>
        <v>3</v>
      </c>
      <c r="BM57" cm="1">
        <f t="array" ref="BM57">INDEX(Crops[],BedPlan[[#This Row],[Chart Index]],BM$4,1)</f>
        <v>4</v>
      </c>
      <c r="BN57" s="32" cm="1">
        <f t="array" ref="BN57">INDEX(Crops[],BedPlan[[#This Row],[Chart Index]],BN$4,1)*BedPlan[[#This Row],[Full Bed Equivalent]]</f>
        <v>200</v>
      </c>
      <c r="BO57" t="str" cm="1">
        <f t="array" ref="BO57">IF(INDEX(Crops[],BedPlan[[#This Row],[Chart Index]],BO$4,1)=0,"",INDEX(Crops[],BedPlan[[#This Row],[Chart Index]],BO$4,1))</f>
        <v/>
      </c>
      <c r="BP57">
        <f>MATCH(BedPlan[[#This Row],[Crop]],Crops[Identifier],FALSE)</f>
        <v>117</v>
      </c>
      <c r="BQ57" t="str" cm="1">
        <f t="array" ref="BQ57">INDEX(Crops[],BedPlan[[#This Row],[Chart Index]],BQ$4,1)</f>
        <v>General</v>
      </c>
      <c r="BR57" t="str" cm="1">
        <f t="array" ref="BR57">INDEX(Crops[],BedPlan[[#This Row],[Chart Index]],BR$4,1)</f>
        <v>Sp</v>
      </c>
      <c r="BS57" s="32">
        <f>BedPlan[[#This Row],[Expected Beginning of Harvest]]-DATE(2023,1,1)</f>
        <v>929</v>
      </c>
      <c r="BT57">
        <f>BedPlan[[#This Row],[Expected End of Harvest]]-BedPlan[[#This Row],[Expected Beginning of Harvest]]</f>
        <v>17</v>
      </c>
      <c r="BU57" t="str" cm="1">
        <f t="array" ref="BU57">INDEX(Crops[],BedPlan[[#This Row],[Chart Index]],BU$4,1)</f>
        <v>Herb</v>
      </c>
      <c r="BV57" cm="1">
        <f t="array" ref="BV57">INDEX(Crops[],BedPlan[[#This Row],[Chart Index]],BV$4,1)</f>
        <v>4</v>
      </c>
      <c r="BW57" t="str" cm="1">
        <f t="array" ref="BW57">INDEX(Crops[],BedPlan[[#This Row],[Chart Index]],BW$4,1)</f>
        <v>None</v>
      </c>
      <c r="BX57" cm="1">
        <f t="array" ref="BX57">INDEX(Crops[],BedPlan[[#This Row],[Chart Index]],BX$4,1)</f>
        <v>128</v>
      </c>
      <c r="BY57" cm="1">
        <f t="array" ref="BY57">INDEX(Crops[],BedPlan[[#This Row],[Chart Index]],BY$4,1)</f>
        <v>26</v>
      </c>
      <c r="BZ57" s="49" cm="1">
        <f t="array" ref="BZ57">IFERROR(INDEX(Crops[],BedPlan[[#This Row],[Chart Index]],BZ$4,1)*BedPlan[[#This Row],[Full Bed Equivalent]],"")</f>
        <v>1.7187500000000002</v>
      </c>
      <c r="CA57" cm="1">
        <f t="array" ref="CA57">INDEX(Crops[],BedPlan[[#This Row],[Chart Index]],CA$4,1)</f>
        <v>0</v>
      </c>
      <c r="CB57" cm="1">
        <f t="array" ref="CB57">INDEX(Crops[],BedPlan[[#This Row],[Chart Index]],CB$4,1)</f>
        <v>0</v>
      </c>
      <c r="CC57" s="49" t="str" cm="1">
        <f t="array" ref="CC57">IFERROR(INDEX(Crops[],BedPlan[[#This Row],[Chart Index]],CC$4,1)*BedPlan[[#This Row],[Full Bed Equivalent]],"")</f>
        <v/>
      </c>
      <c r="CD57" cm="1">
        <f t="array" ref="CD57">INDEX(Crops[],BedPlan[[#This Row],[Chart Index]],CD$4,1)</f>
        <v>0</v>
      </c>
      <c r="CE57" cm="1">
        <f t="array" ref="CE57">IF(INDEX(Crops[],BedPlan[[#This Row],[Chart Index]],CE$4,1)="",0,INDEX(Crops[],BedPlan[[#This Row],[Chart Index]],CE$4,1))</f>
        <v>0</v>
      </c>
      <c r="CF57" s="49" t="str" cm="1">
        <f t="array" ref="CF57">IFERROR(INDEX(Crops[],BedPlan[[#This Row],[Chart Index]],CF$4,1)*BedPlan[[#This Row],[Full Bed Equivalent]],"")</f>
        <v/>
      </c>
      <c r="CG57" cm="1">
        <f t="array" ref="CG57">IF(INDEX(Crops[],BedPlan[[#This Row],[Chart Index]],CG$4,1)="",0,INDEX(Crops[],BedPlan[[#This Row],[Chart Index]],CG$4,1))</f>
        <v>1.1000000000000001</v>
      </c>
      <c r="CH57" cm="1">
        <f t="array" ref="CH57">IF(INDEX(Crops[],BedPlan[[#This Row],[Chart Index]],CH$4,1)="",0,INDEX(Crops[],BedPlan[[#This Row],[Chart Index]],CH$4,1))</f>
        <v>0</v>
      </c>
      <c r="CI57" t="str" cm="1">
        <f t="array" ref="CI57">INDEX(Crops[],BedPlan[[#This Row],[Chart Index]],CI$4,1)</f>
        <v>Field</v>
      </c>
      <c r="CJ57" s="30" t="str">
        <f>_xlfn.TEXTJOIN(CHAR(10),FALSE,BedPlan[[#This Row],[Name]],BedPlan[[#This Row],[Variety]],BedPlan[[#This Row],[Company]])</f>
        <v xml:space="preserve">Dill
Dill Mix
</v>
      </c>
      <c r="CK57" s="32">
        <f>MAX( 0, MIN(BedPlan[[#This Row],[Expected End of Harvest]], EOMONTH(CK$4, 0)) - MAX(BedPlan[[#This Row],[Beginning of Harvest]], CK$4) + 1 )</f>
        <v>0</v>
      </c>
      <c r="CL57">
        <f>MAX( 0, MIN(BedPlan[[#This Row],[Expected End of Harvest]], EOMONTH(CL$4, 0)) - MAX(BedPlan[[#This Row],[Beginning of Harvest]], CL$4) + 1 )</f>
        <v>0</v>
      </c>
      <c r="CM57">
        <f>MAX( 0, MIN(BedPlan[[#This Row],[Expected End of Harvest]], EOMONTH(CM$4, 0)) - MAX(BedPlan[[#This Row],[Beginning of Harvest]], CM$4) + 1 )</f>
        <v>0</v>
      </c>
      <c r="CN57">
        <f>MAX( 0, MIN(BedPlan[[#This Row],[Expected End of Harvest]], EOMONTH(CN$4, 0)) - MAX(BedPlan[[#This Row],[Beginning of Harvest]], CN$4) + 1 )</f>
        <v>0</v>
      </c>
      <c r="CO57">
        <f>MAX( 0, MIN(BedPlan[[#This Row],[Expected End of Harvest]], EOMONTH(CO$4, 0)) - MAX(BedPlan[[#This Row],[Beginning of Harvest]], CO$4) + 1 )</f>
        <v>0</v>
      </c>
      <c r="CP57">
        <f>MAX( 0, MIN(BedPlan[[#This Row],[Expected End of Harvest]], EOMONTH(CP$4, 0)) - MAX(BedPlan[[#This Row],[Beginning of Harvest]], CP$4) + 1 )</f>
        <v>0</v>
      </c>
      <c r="CQ57">
        <f>MAX( 0, MIN(BedPlan[[#This Row],[Expected End of Harvest]], EOMONTH(CQ$4, 0)) - MAX(BedPlan[[#This Row],[Beginning of Harvest]], CQ$4) + 1 )</f>
        <v>14</v>
      </c>
      <c r="CR57">
        <f>MAX( 0, MIN(BedPlan[[#This Row],[Expected End of Harvest]], EOMONTH(CR$4, 0)) - MAX(BedPlan[[#This Row],[Beginning of Harvest]], CR$4) + 1 )</f>
        <v>4</v>
      </c>
      <c r="CS57">
        <f>MAX( 0, MIN(BedPlan[[#This Row],[Expected End of Harvest]], EOMONTH(CS$4, 0)) - MAX(BedPlan[[#This Row],[Beginning of Harvest]], CS$4) + 1 )</f>
        <v>0</v>
      </c>
      <c r="CT57">
        <f>MAX( 0, MIN(BedPlan[[#This Row],[Expected End of Harvest]], EOMONTH(CT$4, 0)) - MAX(BedPlan[[#This Row],[Beginning of Harvest]], CT$4) + 1 )</f>
        <v>0</v>
      </c>
      <c r="CU57">
        <f>MAX( 0, MIN(BedPlan[[#This Row],[Expected End of Harvest]], EOMONTH(CU$4, 0)) - MAX(BedPlan[[#This Row],[Beginning of Harvest]], CU$4) + 1 )</f>
        <v>0</v>
      </c>
      <c r="CV57">
        <f>MAX( 0, MIN(BedPlan[[#This Row],[Expected End of Harvest]], EOMONTH(CV$4, 0)) - MAX(BedPlan[[#This Row],[Beginning of Harvest]], CV$4) + 1 )</f>
        <v>0</v>
      </c>
      <c r="CW57">
        <f>MAX( 0, MIN(BedPlan[[#This Row],[Expected End of Harvest]], EOMONTH(CW$4, 0)) - MAX(BedPlan[[#This Row],[Beginning of Harvest]], CW$4) + 1 )</f>
        <v>0</v>
      </c>
      <c r="CX57">
        <f>MAX( 0, MIN(BedPlan[[#This Row],[Expected End of Harvest]], EOMONTH(CX$4, 0)) - MAX(BedPlan[[#This Row],[Beginning of Harvest]], CX$4) + 1 )</f>
        <v>0</v>
      </c>
      <c r="CY57">
        <f>MAX( 0, MIN(BedPlan[[#This Row],[Expected End of Harvest]], EOMONTH(CY$4, 0)) - MAX(BedPlan[[#This Row],[Beginning of Harvest]], CY$4) + 1 )</f>
        <v>0</v>
      </c>
      <c r="CZ57">
        <f>MAX( 0, MIN(BedPlan[[#This Row],[Expected End of Harvest]], EOMONTH(CZ$4, 0)) - MAX(BedPlan[[#This Row],[Beginning of Harvest]], CZ$4) + 1 )</f>
        <v>0</v>
      </c>
      <c r="DA57">
        <f>MAX( 0, MIN(BedPlan[[#This Row],[Expected End of Harvest]], EOMONTH(DA$4, 0)) - MAX(BedPlan[[#This Row],[Beginning of Harvest]], DA$4) + 1 )</f>
        <v>0</v>
      </c>
      <c r="DB57">
        <f>MAX( 0, MIN(BedPlan[[#This Row],[Expected End of Harvest]], EOMONTH(DB$4, 0)) - MAX(BedPlan[[#This Row],[Beginning of Harvest]], DB$4) + 1 )</f>
        <v>0</v>
      </c>
      <c r="DC57">
        <f>MAX( 0, MIN(BedPlan[[#This Row],[Expected End of Harvest]], EOMONTH(DC$4, 0)) - MAX(BedPlan[[#This Row],[Beginning of Harvest]], DC$4) + 1 )</f>
        <v>0</v>
      </c>
      <c r="DD57">
        <f>MAX( 0, MIN(BedPlan[[#This Row],[Expected End of Harvest]], EOMONTH(DD$4, 0)) - MAX(BedPlan[[#This Row],[Beginning of Harvest]], DD$4) + 1 )</f>
        <v>0</v>
      </c>
      <c r="DE57">
        <f>MAX( 0, MIN(BedPlan[[#This Row],[Expected End of Harvest]], EOMONTH(DE$4, 0)) - MAX(BedPlan[[#This Row],[Beginning of Harvest]], DE$4) + 1 )</f>
        <v>0</v>
      </c>
      <c r="DF57">
        <f>MAX( 0, MIN(BedPlan[[#This Row],[Expected End of Harvest]], EOMONTH(DF$4, 0)) - MAX(BedPlan[[#This Row],[Beginning of Harvest]], DF$4) + 1 )</f>
        <v>0</v>
      </c>
      <c r="DG57">
        <f>MAX( 0, MIN(BedPlan[[#This Row],[Expected End of Harvest]], EOMONTH(DG$4, 0)) - MAX(BedPlan[[#This Row],[Beginning of Harvest]], DG$4) + 1 )</f>
        <v>0</v>
      </c>
      <c r="DH57">
        <f>MAX( 0, MIN(BedPlan[[#This Row],[Expected End of Harvest]], EOMONTH(DH$4, 0)) - MAX(BedPlan[[#This Row],[Beginning of Harvest]], DH$4) + 1 )</f>
        <v>0</v>
      </c>
      <c r="DI57" s="257" cm="1">
        <f t="array" ref="DI57">BedPlan[[#This Row],[Harvest Days January 2025]]/SUM(BedPlan[[#This Row],[Harvest Days January 2025]:[Harvest Days December 2026]])*BedPlan[[#This Row],[Revenue]:[Revenue]]</f>
        <v>0</v>
      </c>
      <c r="DJ57" s="257" cm="1">
        <f t="array" ref="DJ57">BedPlan[[#This Row],[Harvest Days February 2025]]/SUM(BedPlan[[#This Row],[Harvest Days January 2025]:[Harvest Days December 2026]])*BedPlan[[#This Row],[Revenue]:[Revenue]]</f>
        <v>0</v>
      </c>
      <c r="DK57" s="257" cm="1">
        <f t="array" ref="DK57">BedPlan[[#This Row],[Harvest Days March 2025]]/SUM(BedPlan[[#This Row],[Harvest Days January 2025]:[Harvest Days December 2026]])*BedPlan[[#This Row],[Revenue]:[Revenue]]</f>
        <v>0</v>
      </c>
      <c r="DL57" s="257" cm="1">
        <f t="array" ref="DL57">BedPlan[[#This Row],[Harvest Days April 2025]]/SUM(BedPlan[[#This Row],[Harvest Days January 2025]:[Harvest Days December 2026]])*BedPlan[[#This Row],[Revenue]:[Revenue]]</f>
        <v>0</v>
      </c>
      <c r="DM57" s="257" cm="1">
        <f t="array" ref="DM57">BedPlan[[#This Row],[Harvest Days May 2025]]/SUM(BedPlan[[#This Row],[Harvest Days January 2025]:[Harvest Days December 2026]])*BedPlan[[#This Row],[Revenue]:[Revenue]]</f>
        <v>0</v>
      </c>
      <c r="DN57" s="257" cm="1">
        <f t="array" ref="DN57">BedPlan[[#This Row],[Harvest Days June 2025]]/SUM(BedPlan[[#This Row],[Harvest Days January 2025]:[Harvest Days December 2026]])*BedPlan[[#This Row],[Revenue]:[Revenue]]</f>
        <v>0</v>
      </c>
      <c r="DO57" s="257" cm="1">
        <f t="array" ref="DO57">BedPlan[[#This Row],[Harvest Days July 2025]]/SUM(BedPlan[[#This Row],[Harvest Days January 2025]:[Harvest Days December 2026]])*BedPlan[[#This Row],[Revenue]:[Revenue]]</f>
        <v>248.88888888888889</v>
      </c>
      <c r="DP57" s="257" cm="1">
        <f t="array" ref="DP57">BedPlan[[#This Row],[Harvest Days August 2025]]/SUM(BedPlan[[#This Row],[Harvest Days January 2025]:[Harvest Days December 2026]])*BedPlan[[#This Row],[Revenue]:[Revenue]]</f>
        <v>71.111111111111114</v>
      </c>
      <c r="DQ57" s="257" cm="1">
        <f t="array" ref="DQ57">BedPlan[[#This Row],[Harvest Days September 2025]]/SUM(BedPlan[[#This Row],[Harvest Days January 2025]:[Harvest Days December 2026]])*BedPlan[[#This Row],[Revenue]:[Revenue]]</f>
        <v>0</v>
      </c>
      <c r="DR57" s="257" cm="1">
        <f t="array" ref="DR57">BedPlan[[#This Row],[Harvest Days October 2025]]/SUM(BedPlan[[#This Row],[Harvest Days January 2025]:[Harvest Days December 2026]])*BedPlan[[#This Row],[Revenue]:[Revenue]]</f>
        <v>0</v>
      </c>
      <c r="DS57" s="257" cm="1">
        <f t="array" ref="DS57">BedPlan[[#This Row],[Harvest Days November 2025]]/SUM(BedPlan[[#This Row],[Harvest Days January 2025]:[Harvest Days December 2026]])*BedPlan[[#This Row],[Revenue]:[Revenue]]</f>
        <v>0</v>
      </c>
      <c r="DT57" s="257" cm="1">
        <f t="array" ref="DT57">BedPlan[[#This Row],[Harvest Days December 2025]]/SUM(BedPlan[[#This Row],[Harvest Days January 2025]:[Harvest Days December 2026]])*BedPlan[[#This Row],[Revenue]:[Revenue]]</f>
        <v>0</v>
      </c>
      <c r="DU57" s="257" cm="1">
        <f t="array" ref="DU57">BedPlan[[#This Row],[Harvest Days January 2026]]/SUM(BedPlan[[#This Row],[Harvest Days January 2025]:[Harvest Days December 2026]])*BedPlan[[#This Row],[Revenue]:[Revenue]]</f>
        <v>0</v>
      </c>
      <c r="DV57" s="257" cm="1">
        <f t="array" ref="DV57">BedPlan[[#This Row],[Harvest Days February 2026]]/SUM(BedPlan[[#This Row],[Harvest Days January 2025]:[Harvest Days December 2026]])*BedPlan[[#This Row],[Revenue]:[Revenue]]</f>
        <v>0</v>
      </c>
      <c r="DW57" s="257" cm="1">
        <f t="array" ref="DW57">BedPlan[[#This Row],[Harvest Days March 2026]]/SUM(BedPlan[[#This Row],[Harvest Days January 2025]:[Harvest Days December 2026]])*BedPlan[[#This Row],[Revenue]:[Revenue]]</f>
        <v>0</v>
      </c>
      <c r="DX57" s="257" cm="1">
        <f t="array" ref="DX57">BedPlan[[#This Row],[Harvest Days April 2026]]/SUM(BedPlan[[#This Row],[Harvest Days January 2025]:[Harvest Days December 2026]])*BedPlan[[#This Row],[Revenue]:[Revenue]]</f>
        <v>0</v>
      </c>
      <c r="DY57" s="257" cm="1">
        <f t="array" ref="DY57">BedPlan[[#This Row],[Harvest Days May 2026]]/SUM(BedPlan[[#This Row],[Harvest Days January 2025]:[Harvest Days December 2026]])*BedPlan[[#This Row],[Revenue]:[Revenue]]</f>
        <v>0</v>
      </c>
      <c r="DZ57" s="257" cm="1">
        <f t="array" ref="DZ57">BedPlan[[#This Row],[Harvest Days June 2026]]/SUM(BedPlan[[#This Row],[Harvest Days January 2025]:[Harvest Days December 2026]])*BedPlan[[#This Row],[Revenue]:[Revenue]]</f>
        <v>0</v>
      </c>
      <c r="EA57" s="257" cm="1">
        <f t="array" ref="EA57">BedPlan[[#This Row],[Harvest Days July 2026]]/SUM(BedPlan[[#This Row],[Harvest Days January 2025]:[Harvest Days December 2026]])*BedPlan[[#This Row],[Revenue]:[Revenue]]</f>
        <v>0</v>
      </c>
      <c r="EB57" s="257" cm="1">
        <f t="array" ref="EB57">BedPlan[[#This Row],[Harvest Days August 2026]]/SUM(BedPlan[[#This Row],[Harvest Days January 2025]:[Harvest Days December 2026]])*BedPlan[[#This Row],[Revenue]:[Revenue]]</f>
        <v>0</v>
      </c>
      <c r="EC57" s="257" cm="1">
        <f t="array" ref="EC57">BedPlan[[#This Row],[Harvest Days September 2026]]/SUM(BedPlan[[#This Row],[Harvest Days January 2025]:[Harvest Days December 2026]])*BedPlan[[#This Row],[Revenue]:[Revenue]]</f>
        <v>0</v>
      </c>
      <c r="ED57" s="257" cm="1">
        <f t="array" ref="ED57">BedPlan[[#This Row],[Harvest Days October 2026]]/SUM(BedPlan[[#This Row],[Harvest Days January 2025]:[Harvest Days December 2026]])*BedPlan[[#This Row],[Revenue]:[Revenue]]</f>
        <v>0</v>
      </c>
      <c r="EE57" s="257" cm="1">
        <f t="array" ref="EE57">BedPlan[[#This Row],[Harvest Days November 2026]]/SUM(BedPlan[[#This Row],[Harvest Days January 2025]:[Harvest Days December 2026]])*BedPlan[[#This Row],[Revenue]:[Revenue]]</f>
        <v>0</v>
      </c>
      <c r="EF57" s="257" cm="1">
        <f t="array" ref="EF57">BedPlan[[#This Row],[Harvest Days December 2026]]/SUM(BedPlan[[#This Row],[Harvest Days January 2025]:[Harvest Days December 2026]])*BedPlan[[#This Row],[Revenue]:[Revenue]]</f>
        <v>0</v>
      </c>
      <c r="EG57" t="b">
        <f>SUM(BedPlan[[#This Row],[Revenue January 2025]:[Revenue December 2026]])=BedPlan[[#This Row],[Revenue]]</f>
        <v>1</v>
      </c>
      <c r="EH57" s="30" cm="1">
        <f t="array" ref="EH57">INDEX(Crops[],BedPlan[[#This Row],[Chart Index]],EH$4,1)*BedPlan[[#This Row],['# Of Beds]]</f>
        <v>160</v>
      </c>
      <c r="EI57" s="30" t="str" cm="1">
        <f t="array" ref="EI57">INDEX(Crops[],BedPlan[[#This Row],[Chart Index]],EI$4,1)</f>
        <v>Bunch</v>
      </c>
      <c r="EJ57" s="30" t="str" cm="1">
        <f t="array" ref="EJ57">INDEX(Crops[],BedPlan[[#This Row],[Chart Index]],EJ$4,1)</f>
        <v>Mature Leaf</v>
      </c>
      <c r="EK57" s="30" t="str">
        <f>BedPlan[[#This Row],[Name]]&amp;" "&amp;BedPlan[[#This Row],[Product]]&amp; " - " &amp;BedPlan[[#This Row],[Unit]]</f>
        <v>Dill Mature Leaf - Bunch</v>
      </c>
      <c r="EL57" s="33" cm="1">
        <f t="array" ref="EL57">BedPlan[[#This Row],[Harvest Days January 2025]]/SUM(BedPlan[[#This Row],[Harvest Days January 2025]:[Harvest Days December 2026]])*BedPlan[[#This Row],[Yield]:[Yield]]</f>
        <v>0</v>
      </c>
      <c r="EM57" s="33" cm="1">
        <f t="array" ref="EM57">BedPlan[[#This Row],[Harvest Days February 2025]]/SUM(BedPlan[[#This Row],[Harvest Days January 2025]:[Harvest Days December 2026]])*BedPlan[[#This Row],[Yield]:[Yield]]</f>
        <v>0</v>
      </c>
      <c r="EN57" s="33" cm="1">
        <f t="array" ref="EN57">BedPlan[[#This Row],[Harvest Days March 2025]]/SUM(BedPlan[[#This Row],[Harvest Days January 2025]:[Harvest Days December 2026]])*BedPlan[[#This Row],[Yield]:[Yield]]</f>
        <v>0</v>
      </c>
      <c r="EO57" s="33" cm="1">
        <f t="array" ref="EO57">BedPlan[[#This Row],[Harvest Days April 2025]]/SUM(BedPlan[[#This Row],[Harvest Days January 2025]:[Harvest Days December 2026]])*BedPlan[[#This Row],[Yield]:[Yield]]</f>
        <v>0</v>
      </c>
      <c r="EP57" s="33" cm="1">
        <f t="array" ref="EP57">BedPlan[[#This Row],[Harvest Days May 2025]]/SUM(BedPlan[[#This Row],[Harvest Days January 2025]:[Harvest Days December 2026]])*BedPlan[[#This Row],[Yield]:[Yield]]</f>
        <v>0</v>
      </c>
      <c r="EQ57" s="33" cm="1">
        <f t="array" ref="EQ57">BedPlan[[#This Row],[Harvest Days June 2025]]/SUM(BedPlan[[#This Row],[Harvest Days January 2025]:[Harvest Days December 2026]])*BedPlan[[#This Row],[Yield]:[Yield]]</f>
        <v>0</v>
      </c>
      <c r="ER57" s="33" cm="1">
        <f t="array" ref="ER57">BedPlan[[#This Row],[Harvest Days July 2025]]/SUM(BedPlan[[#This Row],[Harvest Days January 2025]:[Harvest Days December 2026]])*BedPlan[[#This Row],[Yield]:[Yield]]</f>
        <v>124.44444444444444</v>
      </c>
      <c r="ES57" s="33" cm="1">
        <f t="array" ref="ES57">BedPlan[[#This Row],[Harvest Days August 2025]]/SUM(BedPlan[[#This Row],[Harvest Days January 2025]:[Harvest Days December 2026]])*BedPlan[[#This Row],[Yield]:[Yield]]</f>
        <v>35.555555555555557</v>
      </c>
      <c r="ET57" s="33" cm="1">
        <f t="array" ref="ET57">BedPlan[[#This Row],[Harvest Days September 2025]]/SUM(BedPlan[[#This Row],[Harvest Days January 2025]:[Harvest Days December 2026]])*BedPlan[[#This Row],[Yield]:[Yield]]</f>
        <v>0</v>
      </c>
      <c r="EU57" s="33" cm="1">
        <f t="array" ref="EU57">BedPlan[[#This Row],[Harvest Days October 2025]]/SUM(BedPlan[[#This Row],[Harvest Days January 2025]:[Harvest Days December 2026]])*BedPlan[[#This Row],[Yield]:[Yield]]</f>
        <v>0</v>
      </c>
      <c r="EV57" s="33" cm="1">
        <f t="array" ref="EV57">BedPlan[[#This Row],[Harvest Days November 2025]]/SUM(BedPlan[[#This Row],[Harvest Days January 2025]:[Harvest Days December 2026]])*BedPlan[[#This Row],[Yield]:[Yield]]</f>
        <v>0</v>
      </c>
      <c r="EW57" s="33" cm="1">
        <f t="array" ref="EW57">BedPlan[[#This Row],[Harvest Days December 2025]]/SUM(BedPlan[[#This Row],[Harvest Days January 2025]:[Harvest Days December 2026]])*BedPlan[[#This Row],[Yield]:[Yield]]</f>
        <v>0</v>
      </c>
    </row>
    <row r="58" spans="1:153" ht="15.75" customHeight="1">
      <c r="A58" s="180" t="s">
        <v>2748</v>
      </c>
      <c r="B58" t="s">
        <v>2643</v>
      </c>
      <c r="C58" t="s">
        <v>1427</v>
      </c>
      <c r="D58" cm="1">
        <f t="array" ref="D58">INDEX(Crops[],BedPlan[[#This Row],[Chart Index]],D$4,1)*BedPlan[[#This Row],[Full Bed Equivalent]]</f>
        <v>56</v>
      </c>
      <c r="E58" cm="1">
        <f t="array" ref="E58">INDEX(Crops[],BedPlan[[#This Row],[Chart Index]],E$4,1)*BedPlan[[#This Row],[Full Bed Equivalent]]</f>
        <v>160</v>
      </c>
      <c r="F58" t="str">
        <f>UPPER(LEFT(BedPlan[[#This Row],[Crop]],3))</f>
        <v>DIL</v>
      </c>
      <c r="H58" s="143" t="str" cm="1">
        <f t="array" ref="H58">INDEX(Crops[],BedPlan[[#This Row],[Chart Index]],H$4,1)</f>
        <v>Dill</v>
      </c>
      <c r="I58" t="s">
        <v>614</v>
      </c>
      <c r="K58" t="str" cm="1">
        <f t="array" ref="K58">IF(ISNUMBER(MATCH(BedPlan[[#This Row],[Variety]],SeedMixes[Name],)),_xlfn.TEXTJOIN(", ",TRUE,_xlfn._xlws.FILTER(SeedMixes[Variety &amp; Company],SeedMixes[Name]=BedPlan[[#This Row],[Variety]])),"")</f>
        <v>Thalia OG Johnny's, Bouquet OG Osborne, Ambrosia Adaptive, Green Sleeves High Mowing</v>
      </c>
      <c r="L58" s="33" cm="1">
        <f t="array" ref="L58">INDEX(Crops[],BedPlan[[#This Row],[Chart Index]],L$4,1)*BedPlan[[#This Row],[Full Bed Equivalent]]</f>
        <v>880.00000000000011</v>
      </c>
      <c r="N58">
        <v>0.25</v>
      </c>
      <c r="O58">
        <f>MAX(BedPlan[[#This Row],['# Of Beds]],0.5)</f>
        <v>0.5</v>
      </c>
      <c r="P58" s="31">
        <f>IF(ISNUMBER(BedPlan[[#This Row],[Planned Greenhouse Start Date]]),BedPlan[[#This Row],[Planned Greenhouse Start Date]],BedPlan[[#This Row],[Planned TP or DS Date]])</f>
        <v>45728</v>
      </c>
      <c r="Q58" s="259">
        <f>IF(BedPlan[[#This Row],[Days in Cells]]=0,"",IFERROR(_xlfn.XLOOKUP(BedPlan[[#This Row],[Follows Crop]],BedPlan[Identifier],BedPlan[Expected End of Harvest]) + 1+BedPlan[[#This Row],[Follow Offset]],BedPlan[[#This Row],[Fixed Field Start Date]])-BedPlan[[#This Row],[Days in Cells]])</f>
        <v>45728</v>
      </c>
      <c r="R58" s="259">
        <v>45741</v>
      </c>
      <c r="S58" s="259">
        <f>IF(ISNUMBER(BedPlan[[#This Row],[Actual Greenhouse Date]]),BedPlan[[#This Row],[Actual Greenhouse Date]],BedPlan[[#This Row],[Planned Greenhouse Start Date]])</f>
        <v>45741</v>
      </c>
      <c r="T58" s="259">
        <f>_xlfn.XLOOKUP(BedPlan[[#This Row],[Crop]],Crops[Identifier],Crops[Target Field Date])</f>
        <v>45754</v>
      </c>
      <c r="U58" s="260"/>
      <c r="V58" s="260"/>
      <c r="W5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58" s="259">
        <v>45767</v>
      </c>
      <c r="Y58" s="271">
        <f>BedPlan[[#This Row],[Actual TP or DS Date]]-BedPlan[[#This Row],[Planned TP or DS Date]]</f>
        <v>0</v>
      </c>
      <c r="Z58" s="259">
        <f>IF(ISNUMBER(BedPlan[[#This Row],[Actual TP or DS Date]]),BedPlan[[#This Row],[Actual TP or DS Date]],BedPlan[[#This Row],[Planned TP or DS Date]])</f>
        <v>45767</v>
      </c>
      <c r="AA58" s="260"/>
      <c r="AB58" s="259">
        <f>IF(ISNUMBER(BedPlan[[#This Row],[Greenhouse Start Date]]),BedPlan[[#This Row],[Greenhouse Start Date]]+BedPlan[[#This Row],[DTM]],BedPlan[[#This Row],[TP or DS Date]]+BedPlan[[#This Row],[DTM]])</f>
        <v>45817</v>
      </c>
      <c r="AC58" s="259"/>
      <c r="AD58" s="259">
        <f>IF(ISNUMBER(BedPlan[[#This Row],[Actual Beginning of Harvest]]),BedPlan[[#This Row],[Actual Beginning of Harvest]],BedPlan[[#This Row],[Expected Beginning of Harvest]])</f>
        <v>45817</v>
      </c>
      <c r="AE58" s="259">
        <f>BedPlan[[#This Row],[Expected Beginning of Harvest]]+BedPlan[[#This Row],[Harvest Window]]+BedPlan[[#This Row],[Additional Days of Harvest]]</f>
        <v>45834</v>
      </c>
      <c r="AF58" s="259"/>
      <c r="AG58" s="259"/>
      <c r="AH58" s="31" t="b">
        <f>IF(AND( BedPlan[[#This Row],[Expected End of Harvest]] &gt;= DATE(2025, 8, 1), BedPlan[[#This Row],[Beginning of Harvest]] &lt;= DATE(2025, 8, 31) ), TRUE, FALSE)</f>
        <v>0</v>
      </c>
      <c r="AI58" s="31"/>
      <c r="AJ58" s="31">
        <f>IF(ISNUMBER(BedPlan[[#This Row],[Actual End of Harvest]]),BedPlan[[#This Row],[Actual End of Harvest]],BedPlan[[#This Row],[Expected End of Harvest]])</f>
        <v>45834</v>
      </c>
      <c r="AK58" t="b">
        <f>OR(ISNUMBER(BedPlan[[#This Row],[Actual Greenhouse Date]]),ISNUMBER(BedPlan[[#This Row],[Actual TP or DS Date]]))</f>
        <v>1</v>
      </c>
      <c r="AL58" s="52" t="b">
        <f>IF(ISNUMBER(BedPlan[[#This Row],[Planned Greenhouse Start Date]]),OR(ISNUMBER(BedPlan[[#This Row],[Actual TP or DS Date]]),BedPlan[[#This Row],[Failed]]),"-")</f>
        <v>1</v>
      </c>
      <c r="AM58" t="b">
        <f>OR(ISNUMBER(BedPlan[[#This Row],[Actual End of Harvest]]),BedPlan[[#This Row],[Failed]])</f>
        <v>0</v>
      </c>
      <c r="AN58" t="b">
        <f>OR(BedPlan[[#This Row],[Harvest Done]],BedPlan[[#This Row],[Failed]],BedPlan[[#This Row],[Name]]="Tarp")</f>
        <v>0</v>
      </c>
      <c r="AS58" s="26" t="str">
        <f>IF(BedPlan[[#This Row],[Broadfork]],BedPlan[[#This Row],[Actual TP or DS Date]],"")</f>
        <v/>
      </c>
      <c r="AT58" s="26" t="str">
        <f>IF(BedPlan[[#This Row],[Tilther]],BedPlan[[#This Row],[Actual TP or DS Date]],"")</f>
        <v/>
      </c>
      <c r="AU58" s="26" t="str">
        <f>IF(NOT(ISBLANK(BedPlan[[#This Row],[Amend]])),BedPlan[[#This Row],[Actual TP or DS Date]],"")</f>
        <v/>
      </c>
      <c r="AV58" s="26" t="str">
        <f>IF(BedPlan[[#This Row],[Row Cover]],BedPlan[[#This Row],[Actual TP or DS Date]],"")</f>
        <v/>
      </c>
      <c r="AX58" s="26"/>
      <c r="AZ58" s="26"/>
      <c r="BB58" s="26"/>
      <c r="BC58" s="231" cm="1">
        <f t="array" ref="BC58">INDEX(Crops[],BedPlan[[#This Row],[Chart Index]],BC$4,1)*BedPlan[[#This Row],[Full Bed Equivalent]]</f>
        <v>320</v>
      </c>
      <c r="BD58" s="231" cm="1">
        <f t="array" ref="BD58">INDEX(Crops[],BedPlan[[#This Row],[Chart Index]],BD$4,1)*BedPlan[[#This Row],[Full Bed Equivalent]]</f>
        <v>4.7761194029850742</v>
      </c>
      <c r="BE58" cm="1">
        <f t="array" ref="BE58">INDEX(Crops[],BedPlan[[#This Row],[Chart Index]],BE$4,1)+BedPlan[[#This Row],[Additional Days in Cells]]+BedPlan[[#This Row],[Additional Days In Field]]</f>
        <v>76</v>
      </c>
      <c r="BG58" cm="1">
        <f t="array" ref="BG58">INDEX(Crops[],BedPlan[[#This Row],[Chart Index]],BG$4,1)</f>
        <v>17</v>
      </c>
      <c r="BH58" t="str">
        <f>IF(ISNUMBER(BedPlan[[#This Row],[Planned Greenhouse Start Date]]),"TP","DS")</f>
        <v>TP</v>
      </c>
      <c r="BI58">
        <f>BedPlan[[#This Row],['# Of Beds]]</f>
        <v>0.25</v>
      </c>
      <c r="BJ58" cm="1">
        <f t="array" ref="BJ58">INDEX(Crops[],BedPlan[[#This Row],[Chart Index]],BJ$4,1)</f>
        <v>26</v>
      </c>
      <c r="BK58" cm="1">
        <f t="array" ref="BK58">INDEX(Crops[],BedPlan[[#This Row],[Chart Index]],BK$4,1)</f>
        <v>4</v>
      </c>
      <c r="BL58" cm="1">
        <f t="array" ref="BL58">INDEX(Crops[],BedPlan[[#This Row],[Chart Index]],BL$4,1)</f>
        <v>3</v>
      </c>
      <c r="BM58" cm="1">
        <f t="array" ref="BM58">INDEX(Crops[],BedPlan[[#This Row],[Chart Index]],BM$4,1)</f>
        <v>4</v>
      </c>
      <c r="BN58" s="32" cm="1">
        <f t="array" ref="BN58">INDEX(Crops[],BedPlan[[#This Row],[Chart Index]],BN$4,1)*BedPlan[[#This Row],[Full Bed Equivalent]]</f>
        <v>200</v>
      </c>
      <c r="BO58" t="str" cm="1">
        <f t="array" ref="BO58">IF(INDEX(Crops[],BedPlan[[#This Row],[Chart Index]],BO$4,1)=0,"",INDEX(Crops[],BedPlan[[#This Row],[Chart Index]],BO$4,1))</f>
        <v/>
      </c>
      <c r="BP58">
        <f>MATCH(BedPlan[[#This Row],[Crop]],Crops[Identifier],FALSE)</f>
        <v>118</v>
      </c>
      <c r="BQ58" t="str" cm="1">
        <f t="array" ref="BQ58">INDEX(Crops[],BedPlan[[#This Row],[Chart Index]],BQ$4,1)</f>
        <v>General</v>
      </c>
      <c r="BR58" t="str" cm="1">
        <f t="array" ref="BR58">INDEX(Crops[],BedPlan[[#This Row],[Chart Index]],BR$4,1)</f>
        <v>Su</v>
      </c>
      <c r="BS58" s="32">
        <f>BedPlan[[#This Row],[Expected Beginning of Harvest]]-DATE(2023,1,1)</f>
        <v>890</v>
      </c>
      <c r="BT58">
        <f>BedPlan[[#This Row],[Expected End of Harvest]]-BedPlan[[#This Row],[Expected Beginning of Harvest]]</f>
        <v>17</v>
      </c>
      <c r="BU58" t="str" cm="1">
        <f t="array" ref="BU58">INDEX(Crops[],BedPlan[[#This Row],[Chart Index]],BU$4,1)</f>
        <v>Herb</v>
      </c>
      <c r="BV58" cm="1">
        <f t="array" ref="BV58">INDEX(Crops[],BedPlan[[#This Row],[Chart Index]],BV$4,1)</f>
        <v>4</v>
      </c>
      <c r="BW58" t="str" cm="1">
        <f t="array" ref="BW58">INDEX(Crops[],BedPlan[[#This Row],[Chart Index]],BW$4,1)</f>
        <v>None</v>
      </c>
      <c r="BX58" cm="1">
        <f t="array" ref="BX58">INDEX(Crops[],BedPlan[[#This Row],[Chart Index]],BX$4,1)</f>
        <v>128</v>
      </c>
      <c r="BY58" cm="1">
        <f t="array" ref="BY58">INDEX(Crops[],BedPlan[[#This Row],[Chart Index]],BY$4,1)</f>
        <v>26</v>
      </c>
      <c r="BZ58" s="49" cm="1">
        <f t="array" ref="BZ58">IFERROR(INDEX(Crops[],BedPlan[[#This Row],[Chart Index]],BZ$4,1)*BedPlan[[#This Row],[Full Bed Equivalent]],"")</f>
        <v>1.7187500000000002</v>
      </c>
      <c r="CA58" cm="1">
        <f t="array" ref="CA58">INDEX(Crops[],BedPlan[[#This Row],[Chart Index]],CA$4,1)</f>
        <v>0</v>
      </c>
      <c r="CB58" cm="1">
        <f t="array" ref="CB58">INDEX(Crops[],BedPlan[[#This Row],[Chart Index]],CB$4,1)</f>
        <v>0</v>
      </c>
      <c r="CC58" s="49" t="str" cm="1">
        <f t="array" ref="CC58">IFERROR(INDEX(Crops[],BedPlan[[#This Row],[Chart Index]],CC$4,1)*BedPlan[[#This Row],[Full Bed Equivalent]],"")</f>
        <v/>
      </c>
      <c r="CD58" cm="1">
        <f t="array" ref="CD58">INDEX(Crops[],BedPlan[[#This Row],[Chart Index]],CD$4,1)</f>
        <v>0</v>
      </c>
      <c r="CE58" cm="1">
        <f t="array" ref="CE58">IF(INDEX(Crops[],BedPlan[[#This Row],[Chart Index]],CE$4,1)="",0,INDEX(Crops[],BedPlan[[#This Row],[Chart Index]],CE$4,1))</f>
        <v>0</v>
      </c>
      <c r="CF58" s="49" t="str" cm="1">
        <f t="array" ref="CF58">IFERROR(INDEX(Crops[],BedPlan[[#This Row],[Chart Index]],CF$4,1)*BedPlan[[#This Row],[Full Bed Equivalent]],"")</f>
        <v/>
      </c>
      <c r="CG58" cm="1">
        <f t="array" ref="CG58">IF(INDEX(Crops[],BedPlan[[#This Row],[Chart Index]],CG$4,1)="",0,INDEX(Crops[],BedPlan[[#This Row],[Chart Index]],CG$4,1))</f>
        <v>1.1000000000000001</v>
      </c>
      <c r="CH58" cm="1">
        <f t="array" ref="CH58">IF(INDEX(Crops[],BedPlan[[#This Row],[Chart Index]],CH$4,1)="",0,INDEX(Crops[],BedPlan[[#This Row],[Chart Index]],CH$4,1))</f>
        <v>0</v>
      </c>
      <c r="CI58" t="str" cm="1">
        <f t="array" ref="CI58">INDEX(Crops[],BedPlan[[#This Row],[Chart Index]],CI$4,1)</f>
        <v>Field</v>
      </c>
      <c r="CJ58" s="30" t="str">
        <f>_xlfn.TEXTJOIN(CHAR(10),FALSE,BedPlan[[#This Row],[Name]],BedPlan[[#This Row],[Variety]],BedPlan[[#This Row],[Company]])</f>
        <v xml:space="preserve">Dill
Dill Mix
</v>
      </c>
      <c r="CK58" s="32">
        <f>MAX( 0, MIN(BedPlan[[#This Row],[Expected End of Harvest]], EOMONTH(CK$4, 0)) - MAX(BedPlan[[#This Row],[Beginning of Harvest]], CK$4) + 1 )</f>
        <v>0</v>
      </c>
      <c r="CL58">
        <f>MAX( 0, MIN(BedPlan[[#This Row],[Expected End of Harvest]], EOMONTH(CL$4, 0)) - MAX(BedPlan[[#This Row],[Beginning of Harvest]], CL$4) + 1 )</f>
        <v>0</v>
      </c>
      <c r="CM58">
        <f>MAX( 0, MIN(BedPlan[[#This Row],[Expected End of Harvest]], EOMONTH(CM$4, 0)) - MAX(BedPlan[[#This Row],[Beginning of Harvest]], CM$4) + 1 )</f>
        <v>0</v>
      </c>
      <c r="CN58">
        <f>MAX( 0, MIN(BedPlan[[#This Row],[Expected End of Harvest]], EOMONTH(CN$4, 0)) - MAX(BedPlan[[#This Row],[Beginning of Harvest]], CN$4) + 1 )</f>
        <v>0</v>
      </c>
      <c r="CO58">
        <f>MAX( 0, MIN(BedPlan[[#This Row],[Expected End of Harvest]], EOMONTH(CO$4, 0)) - MAX(BedPlan[[#This Row],[Beginning of Harvest]], CO$4) + 1 )</f>
        <v>0</v>
      </c>
      <c r="CP58">
        <f>MAX( 0, MIN(BedPlan[[#This Row],[Expected End of Harvest]], EOMONTH(CP$4, 0)) - MAX(BedPlan[[#This Row],[Beginning of Harvest]], CP$4) + 1 )</f>
        <v>18</v>
      </c>
      <c r="CQ58">
        <f>MAX( 0, MIN(BedPlan[[#This Row],[Expected End of Harvest]], EOMONTH(CQ$4, 0)) - MAX(BedPlan[[#This Row],[Beginning of Harvest]], CQ$4) + 1 )</f>
        <v>0</v>
      </c>
      <c r="CR58">
        <f>MAX( 0, MIN(BedPlan[[#This Row],[Expected End of Harvest]], EOMONTH(CR$4, 0)) - MAX(BedPlan[[#This Row],[Beginning of Harvest]], CR$4) + 1 )</f>
        <v>0</v>
      </c>
      <c r="CS58">
        <f>MAX( 0, MIN(BedPlan[[#This Row],[Expected End of Harvest]], EOMONTH(CS$4, 0)) - MAX(BedPlan[[#This Row],[Beginning of Harvest]], CS$4) + 1 )</f>
        <v>0</v>
      </c>
      <c r="CT58">
        <f>MAX( 0, MIN(BedPlan[[#This Row],[Expected End of Harvest]], EOMONTH(CT$4, 0)) - MAX(BedPlan[[#This Row],[Beginning of Harvest]], CT$4) + 1 )</f>
        <v>0</v>
      </c>
      <c r="CU58">
        <f>MAX( 0, MIN(BedPlan[[#This Row],[Expected End of Harvest]], EOMONTH(CU$4, 0)) - MAX(BedPlan[[#This Row],[Beginning of Harvest]], CU$4) + 1 )</f>
        <v>0</v>
      </c>
      <c r="CV58">
        <f>MAX( 0, MIN(BedPlan[[#This Row],[Expected End of Harvest]], EOMONTH(CV$4, 0)) - MAX(BedPlan[[#This Row],[Beginning of Harvest]], CV$4) + 1 )</f>
        <v>0</v>
      </c>
      <c r="CW58">
        <f>MAX( 0, MIN(BedPlan[[#This Row],[Expected End of Harvest]], EOMONTH(CW$4, 0)) - MAX(BedPlan[[#This Row],[Beginning of Harvest]], CW$4) + 1 )</f>
        <v>0</v>
      </c>
      <c r="CX58">
        <f>MAX( 0, MIN(BedPlan[[#This Row],[Expected End of Harvest]], EOMONTH(CX$4, 0)) - MAX(BedPlan[[#This Row],[Beginning of Harvest]], CX$4) + 1 )</f>
        <v>0</v>
      </c>
      <c r="CY58">
        <f>MAX( 0, MIN(BedPlan[[#This Row],[Expected End of Harvest]], EOMONTH(CY$4, 0)) - MAX(BedPlan[[#This Row],[Beginning of Harvest]], CY$4) + 1 )</f>
        <v>0</v>
      </c>
      <c r="CZ58">
        <f>MAX( 0, MIN(BedPlan[[#This Row],[Expected End of Harvest]], EOMONTH(CZ$4, 0)) - MAX(BedPlan[[#This Row],[Beginning of Harvest]], CZ$4) + 1 )</f>
        <v>0</v>
      </c>
      <c r="DA58">
        <f>MAX( 0, MIN(BedPlan[[#This Row],[Expected End of Harvest]], EOMONTH(DA$4, 0)) - MAX(BedPlan[[#This Row],[Beginning of Harvest]], DA$4) + 1 )</f>
        <v>0</v>
      </c>
      <c r="DB58">
        <f>MAX( 0, MIN(BedPlan[[#This Row],[Expected End of Harvest]], EOMONTH(DB$4, 0)) - MAX(BedPlan[[#This Row],[Beginning of Harvest]], DB$4) + 1 )</f>
        <v>0</v>
      </c>
      <c r="DC58">
        <f>MAX( 0, MIN(BedPlan[[#This Row],[Expected End of Harvest]], EOMONTH(DC$4, 0)) - MAX(BedPlan[[#This Row],[Beginning of Harvest]], DC$4) + 1 )</f>
        <v>0</v>
      </c>
      <c r="DD58">
        <f>MAX( 0, MIN(BedPlan[[#This Row],[Expected End of Harvest]], EOMONTH(DD$4, 0)) - MAX(BedPlan[[#This Row],[Beginning of Harvest]], DD$4) + 1 )</f>
        <v>0</v>
      </c>
      <c r="DE58">
        <f>MAX( 0, MIN(BedPlan[[#This Row],[Expected End of Harvest]], EOMONTH(DE$4, 0)) - MAX(BedPlan[[#This Row],[Beginning of Harvest]], DE$4) + 1 )</f>
        <v>0</v>
      </c>
      <c r="DF58">
        <f>MAX( 0, MIN(BedPlan[[#This Row],[Expected End of Harvest]], EOMONTH(DF$4, 0)) - MAX(BedPlan[[#This Row],[Beginning of Harvest]], DF$4) + 1 )</f>
        <v>0</v>
      </c>
      <c r="DG58">
        <f>MAX( 0, MIN(BedPlan[[#This Row],[Expected End of Harvest]], EOMONTH(DG$4, 0)) - MAX(BedPlan[[#This Row],[Beginning of Harvest]], DG$4) + 1 )</f>
        <v>0</v>
      </c>
      <c r="DH58">
        <f>MAX( 0, MIN(BedPlan[[#This Row],[Expected End of Harvest]], EOMONTH(DH$4, 0)) - MAX(BedPlan[[#This Row],[Beginning of Harvest]], DH$4) + 1 )</f>
        <v>0</v>
      </c>
      <c r="DI58" s="257" cm="1">
        <f t="array" ref="DI58">BedPlan[[#This Row],[Harvest Days January 2025]]/SUM(BedPlan[[#This Row],[Harvest Days January 2025]:[Harvest Days December 2026]])*BedPlan[[#This Row],[Revenue]:[Revenue]]</f>
        <v>0</v>
      </c>
      <c r="DJ58" s="257" cm="1">
        <f t="array" ref="DJ58">BedPlan[[#This Row],[Harvest Days February 2025]]/SUM(BedPlan[[#This Row],[Harvest Days January 2025]:[Harvest Days December 2026]])*BedPlan[[#This Row],[Revenue]:[Revenue]]</f>
        <v>0</v>
      </c>
      <c r="DK58" s="257" cm="1">
        <f t="array" ref="DK58">BedPlan[[#This Row],[Harvest Days March 2025]]/SUM(BedPlan[[#This Row],[Harvest Days January 2025]:[Harvest Days December 2026]])*BedPlan[[#This Row],[Revenue]:[Revenue]]</f>
        <v>0</v>
      </c>
      <c r="DL58" s="257" cm="1">
        <f t="array" ref="DL58">BedPlan[[#This Row],[Harvest Days April 2025]]/SUM(BedPlan[[#This Row],[Harvest Days January 2025]:[Harvest Days December 2026]])*BedPlan[[#This Row],[Revenue]:[Revenue]]</f>
        <v>0</v>
      </c>
      <c r="DM58" s="257" cm="1">
        <f t="array" ref="DM58">BedPlan[[#This Row],[Harvest Days May 2025]]/SUM(BedPlan[[#This Row],[Harvest Days January 2025]:[Harvest Days December 2026]])*BedPlan[[#This Row],[Revenue]:[Revenue]]</f>
        <v>0</v>
      </c>
      <c r="DN58" s="257" cm="1">
        <f t="array" ref="DN58">BedPlan[[#This Row],[Harvest Days June 2025]]/SUM(BedPlan[[#This Row],[Harvest Days January 2025]:[Harvest Days December 2026]])*BedPlan[[#This Row],[Revenue]:[Revenue]]</f>
        <v>320</v>
      </c>
      <c r="DO58" s="257" cm="1">
        <f t="array" ref="DO58">BedPlan[[#This Row],[Harvest Days July 2025]]/SUM(BedPlan[[#This Row],[Harvest Days January 2025]:[Harvest Days December 2026]])*BedPlan[[#This Row],[Revenue]:[Revenue]]</f>
        <v>0</v>
      </c>
      <c r="DP58" s="257" cm="1">
        <f t="array" ref="DP58">BedPlan[[#This Row],[Harvest Days August 2025]]/SUM(BedPlan[[#This Row],[Harvest Days January 2025]:[Harvest Days December 2026]])*BedPlan[[#This Row],[Revenue]:[Revenue]]</f>
        <v>0</v>
      </c>
      <c r="DQ58" s="257" cm="1">
        <f t="array" ref="DQ58">BedPlan[[#This Row],[Harvest Days September 2025]]/SUM(BedPlan[[#This Row],[Harvest Days January 2025]:[Harvest Days December 2026]])*BedPlan[[#This Row],[Revenue]:[Revenue]]</f>
        <v>0</v>
      </c>
      <c r="DR58" s="257" cm="1">
        <f t="array" ref="DR58">BedPlan[[#This Row],[Harvest Days October 2025]]/SUM(BedPlan[[#This Row],[Harvest Days January 2025]:[Harvest Days December 2026]])*BedPlan[[#This Row],[Revenue]:[Revenue]]</f>
        <v>0</v>
      </c>
      <c r="DS58" s="257" cm="1">
        <f t="array" ref="DS58">BedPlan[[#This Row],[Harvest Days November 2025]]/SUM(BedPlan[[#This Row],[Harvest Days January 2025]:[Harvest Days December 2026]])*BedPlan[[#This Row],[Revenue]:[Revenue]]</f>
        <v>0</v>
      </c>
      <c r="DT58" s="257" cm="1">
        <f t="array" ref="DT58">BedPlan[[#This Row],[Harvest Days December 2025]]/SUM(BedPlan[[#This Row],[Harvest Days January 2025]:[Harvest Days December 2026]])*BedPlan[[#This Row],[Revenue]:[Revenue]]</f>
        <v>0</v>
      </c>
      <c r="DU58" s="257" cm="1">
        <f t="array" ref="DU58">BedPlan[[#This Row],[Harvest Days January 2026]]/SUM(BedPlan[[#This Row],[Harvest Days January 2025]:[Harvest Days December 2026]])*BedPlan[[#This Row],[Revenue]:[Revenue]]</f>
        <v>0</v>
      </c>
      <c r="DV58" s="257" cm="1">
        <f t="array" ref="DV58">BedPlan[[#This Row],[Harvest Days February 2026]]/SUM(BedPlan[[#This Row],[Harvest Days January 2025]:[Harvest Days December 2026]])*BedPlan[[#This Row],[Revenue]:[Revenue]]</f>
        <v>0</v>
      </c>
      <c r="DW58" s="257" cm="1">
        <f t="array" ref="DW58">BedPlan[[#This Row],[Harvest Days March 2026]]/SUM(BedPlan[[#This Row],[Harvest Days January 2025]:[Harvest Days December 2026]])*BedPlan[[#This Row],[Revenue]:[Revenue]]</f>
        <v>0</v>
      </c>
      <c r="DX58" s="257" cm="1">
        <f t="array" ref="DX58">BedPlan[[#This Row],[Harvest Days April 2026]]/SUM(BedPlan[[#This Row],[Harvest Days January 2025]:[Harvest Days December 2026]])*BedPlan[[#This Row],[Revenue]:[Revenue]]</f>
        <v>0</v>
      </c>
      <c r="DY58" s="257" cm="1">
        <f t="array" ref="DY58">BedPlan[[#This Row],[Harvest Days May 2026]]/SUM(BedPlan[[#This Row],[Harvest Days January 2025]:[Harvest Days December 2026]])*BedPlan[[#This Row],[Revenue]:[Revenue]]</f>
        <v>0</v>
      </c>
      <c r="DZ58" s="257" cm="1">
        <f t="array" ref="DZ58">BedPlan[[#This Row],[Harvest Days June 2026]]/SUM(BedPlan[[#This Row],[Harvest Days January 2025]:[Harvest Days December 2026]])*BedPlan[[#This Row],[Revenue]:[Revenue]]</f>
        <v>0</v>
      </c>
      <c r="EA58" s="257" cm="1">
        <f t="array" ref="EA58">BedPlan[[#This Row],[Harvest Days July 2026]]/SUM(BedPlan[[#This Row],[Harvest Days January 2025]:[Harvest Days December 2026]])*BedPlan[[#This Row],[Revenue]:[Revenue]]</f>
        <v>0</v>
      </c>
      <c r="EB58" s="257" cm="1">
        <f t="array" ref="EB58">BedPlan[[#This Row],[Harvest Days August 2026]]/SUM(BedPlan[[#This Row],[Harvest Days January 2025]:[Harvest Days December 2026]])*BedPlan[[#This Row],[Revenue]:[Revenue]]</f>
        <v>0</v>
      </c>
      <c r="EC58" s="257" cm="1">
        <f t="array" ref="EC58">BedPlan[[#This Row],[Harvest Days September 2026]]/SUM(BedPlan[[#This Row],[Harvest Days January 2025]:[Harvest Days December 2026]])*BedPlan[[#This Row],[Revenue]:[Revenue]]</f>
        <v>0</v>
      </c>
      <c r="ED58" s="257" cm="1">
        <f t="array" ref="ED58">BedPlan[[#This Row],[Harvest Days October 2026]]/SUM(BedPlan[[#This Row],[Harvest Days January 2025]:[Harvest Days December 2026]])*BedPlan[[#This Row],[Revenue]:[Revenue]]</f>
        <v>0</v>
      </c>
      <c r="EE58" s="257" cm="1">
        <f t="array" ref="EE58">BedPlan[[#This Row],[Harvest Days November 2026]]/SUM(BedPlan[[#This Row],[Harvest Days January 2025]:[Harvest Days December 2026]])*BedPlan[[#This Row],[Revenue]:[Revenue]]</f>
        <v>0</v>
      </c>
      <c r="EF58" s="257" cm="1">
        <f t="array" ref="EF58">BedPlan[[#This Row],[Harvest Days December 2026]]/SUM(BedPlan[[#This Row],[Harvest Days January 2025]:[Harvest Days December 2026]])*BedPlan[[#This Row],[Revenue]:[Revenue]]</f>
        <v>0</v>
      </c>
      <c r="EG58" t="b">
        <f>SUM(BedPlan[[#This Row],[Revenue January 2025]:[Revenue December 2026]])=BedPlan[[#This Row],[Revenue]]</f>
        <v>1</v>
      </c>
      <c r="EH58" s="30" cm="1">
        <f t="array" ref="EH58">INDEX(Crops[],BedPlan[[#This Row],[Chart Index]],EH$4,1)*BedPlan[[#This Row],['# Of Beds]]</f>
        <v>160</v>
      </c>
      <c r="EI58" s="30" t="str" cm="1">
        <f t="array" ref="EI58">INDEX(Crops[],BedPlan[[#This Row],[Chart Index]],EI$4,1)</f>
        <v>Bunch</v>
      </c>
      <c r="EJ58" s="30" t="str" cm="1">
        <f t="array" ref="EJ58">INDEX(Crops[],BedPlan[[#This Row],[Chart Index]],EJ$4,1)</f>
        <v>Mature Leaf</v>
      </c>
      <c r="EK58" s="30" t="str">
        <f>BedPlan[[#This Row],[Name]]&amp;" "&amp;BedPlan[[#This Row],[Product]]&amp; " - " &amp;BedPlan[[#This Row],[Unit]]</f>
        <v>Dill Mature Leaf - Bunch</v>
      </c>
      <c r="EL58" s="33" cm="1">
        <f t="array" ref="EL58">BedPlan[[#This Row],[Harvest Days January 2025]]/SUM(BedPlan[[#This Row],[Harvest Days January 2025]:[Harvest Days December 2026]])*BedPlan[[#This Row],[Yield]:[Yield]]</f>
        <v>0</v>
      </c>
      <c r="EM58" s="33" cm="1">
        <f t="array" ref="EM58">BedPlan[[#This Row],[Harvest Days February 2025]]/SUM(BedPlan[[#This Row],[Harvest Days January 2025]:[Harvest Days December 2026]])*BedPlan[[#This Row],[Yield]:[Yield]]</f>
        <v>0</v>
      </c>
      <c r="EN58" s="33" cm="1">
        <f t="array" ref="EN58">BedPlan[[#This Row],[Harvest Days March 2025]]/SUM(BedPlan[[#This Row],[Harvest Days January 2025]:[Harvest Days December 2026]])*BedPlan[[#This Row],[Yield]:[Yield]]</f>
        <v>0</v>
      </c>
      <c r="EO58" s="33" cm="1">
        <f t="array" ref="EO58">BedPlan[[#This Row],[Harvest Days April 2025]]/SUM(BedPlan[[#This Row],[Harvest Days January 2025]:[Harvest Days December 2026]])*BedPlan[[#This Row],[Yield]:[Yield]]</f>
        <v>0</v>
      </c>
      <c r="EP58" s="33" cm="1">
        <f t="array" ref="EP58">BedPlan[[#This Row],[Harvest Days May 2025]]/SUM(BedPlan[[#This Row],[Harvest Days January 2025]:[Harvest Days December 2026]])*BedPlan[[#This Row],[Yield]:[Yield]]</f>
        <v>0</v>
      </c>
      <c r="EQ58" s="33" cm="1">
        <f t="array" ref="EQ58">BedPlan[[#This Row],[Harvest Days June 2025]]/SUM(BedPlan[[#This Row],[Harvest Days January 2025]:[Harvest Days December 2026]])*BedPlan[[#This Row],[Yield]:[Yield]]</f>
        <v>160</v>
      </c>
      <c r="ER58" s="33" cm="1">
        <f t="array" ref="ER58">BedPlan[[#This Row],[Harvest Days July 2025]]/SUM(BedPlan[[#This Row],[Harvest Days January 2025]:[Harvest Days December 2026]])*BedPlan[[#This Row],[Yield]:[Yield]]</f>
        <v>0</v>
      </c>
      <c r="ES58" s="33" cm="1">
        <f t="array" ref="ES58">BedPlan[[#This Row],[Harvest Days August 2025]]/SUM(BedPlan[[#This Row],[Harvest Days January 2025]:[Harvest Days December 2026]])*BedPlan[[#This Row],[Yield]:[Yield]]</f>
        <v>0</v>
      </c>
      <c r="ET58" s="33" cm="1">
        <f t="array" ref="ET58">BedPlan[[#This Row],[Harvest Days September 2025]]/SUM(BedPlan[[#This Row],[Harvest Days January 2025]:[Harvest Days December 2026]])*BedPlan[[#This Row],[Yield]:[Yield]]</f>
        <v>0</v>
      </c>
      <c r="EU58" s="33" cm="1">
        <f t="array" ref="EU58">BedPlan[[#This Row],[Harvest Days October 2025]]/SUM(BedPlan[[#This Row],[Harvest Days January 2025]:[Harvest Days December 2026]])*BedPlan[[#This Row],[Yield]:[Yield]]</f>
        <v>0</v>
      </c>
      <c r="EV58" s="33" cm="1">
        <f t="array" ref="EV58">BedPlan[[#This Row],[Harvest Days November 2025]]/SUM(BedPlan[[#This Row],[Harvest Days January 2025]:[Harvest Days December 2026]])*BedPlan[[#This Row],[Yield]:[Yield]]</f>
        <v>0</v>
      </c>
      <c r="EW58" s="33" cm="1">
        <f t="array" ref="EW58">BedPlan[[#This Row],[Harvest Days December 2025]]/SUM(BedPlan[[#This Row],[Harvest Days January 2025]:[Harvest Days December 2026]])*BedPlan[[#This Row],[Yield]:[Yield]]</f>
        <v>0</v>
      </c>
    </row>
    <row r="59" spans="1:153" ht="15.75" customHeight="1">
      <c r="A59" s="180" t="s">
        <v>2748</v>
      </c>
      <c r="B59" t="s">
        <v>2716</v>
      </c>
      <c r="C59" t="s">
        <v>1433</v>
      </c>
      <c r="D59" cm="1">
        <f t="array" ref="D59">INDEX(Crops[],BedPlan[[#This Row],[Chart Index]],D$4,1)*BedPlan[[#This Row],[Full Bed Equivalent]]</f>
        <v>56</v>
      </c>
      <c r="E59" cm="1">
        <f t="array" ref="E59">INDEX(Crops[],BedPlan[[#This Row],[Chart Index]],E$4,1)*BedPlan[[#This Row],[Full Bed Equivalent]]</f>
        <v>160</v>
      </c>
      <c r="F59" t="str">
        <f>UPPER(LEFT(BedPlan[[#This Row],[Crop]],3))</f>
        <v>DIL</v>
      </c>
      <c r="H59" s="143" t="str" cm="1">
        <f t="array" ref="H59">INDEX(Crops[],BedPlan[[#This Row],[Chart Index]],H$4,1)</f>
        <v>Dill</v>
      </c>
      <c r="I59" t="s">
        <v>614</v>
      </c>
      <c r="K59" t="str" cm="1">
        <f t="array" ref="K59">IF(ISNUMBER(MATCH(BedPlan[[#This Row],[Variety]],SeedMixes[Name],)),_xlfn.TEXTJOIN(", ",TRUE,_xlfn._xlws.FILTER(SeedMixes[Variety &amp; Company],SeedMixes[Name]=BedPlan[[#This Row],[Variety]])),"")</f>
        <v>Thalia OG Johnny's, Bouquet OG Osborne, Ambrosia Adaptive, Green Sleeves High Mowing</v>
      </c>
      <c r="L59" s="33" cm="1">
        <f t="array" ref="L59">INDEX(Crops[],BedPlan[[#This Row],[Chart Index]],L$4,1)*BedPlan[[#This Row],[Full Bed Equivalent]]</f>
        <v>880.00000000000011</v>
      </c>
      <c r="N59">
        <v>0.25</v>
      </c>
      <c r="O59">
        <f>MAX(BedPlan[[#This Row],['# Of Beds]],0.5)</f>
        <v>0.5</v>
      </c>
      <c r="P59" s="31">
        <f>IF(ISNUMBER(BedPlan[[#This Row],[Planned Greenhouse Start Date]]),BedPlan[[#This Row],[Planned Greenhouse Start Date]],BedPlan[[#This Row],[Planned TP or DS Date]])</f>
        <v>45728</v>
      </c>
      <c r="Q59" s="259">
        <f>IF(BedPlan[[#This Row],[Days in Cells]]=0,"",IFERROR(_xlfn.XLOOKUP(BedPlan[[#This Row],[Follows Crop]],BedPlan[Identifier],BedPlan[Expected End of Harvest]) + 1+BedPlan[[#This Row],[Follow Offset]],BedPlan[[#This Row],[Fixed Field Start Date]])-BedPlan[[#This Row],[Days in Cells]])</f>
        <v>45728</v>
      </c>
      <c r="R59" s="259">
        <v>45741</v>
      </c>
      <c r="S59" s="259">
        <f>IF(ISNUMBER(BedPlan[[#This Row],[Actual Greenhouse Date]]),BedPlan[[#This Row],[Actual Greenhouse Date]],BedPlan[[#This Row],[Planned Greenhouse Start Date]])</f>
        <v>45741</v>
      </c>
      <c r="T59" s="259">
        <f>_xlfn.XLOOKUP(BedPlan[[#This Row],[Crop]],Crops[Identifier],Crops[Target Field Date])</f>
        <v>45754</v>
      </c>
      <c r="U59" s="260"/>
      <c r="V59" s="260"/>
      <c r="W5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59" s="259">
        <v>45767</v>
      </c>
      <c r="Y59" s="271">
        <f>BedPlan[[#This Row],[Actual TP or DS Date]]-BedPlan[[#This Row],[Planned TP or DS Date]]</f>
        <v>0</v>
      </c>
      <c r="Z59" s="259">
        <f>IF(ISNUMBER(BedPlan[[#This Row],[Actual TP or DS Date]]),BedPlan[[#This Row],[Actual TP or DS Date]],BedPlan[[#This Row],[Planned TP or DS Date]])</f>
        <v>45767</v>
      </c>
      <c r="AA59" s="260">
        <v>7</v>
      </c>
      <c r="AB59" s="259">
        <f>IF(ISNUMBER(BedPlan[[#This Row],[Greenhouse Start Date]]),BedPlan[[#This Row],[Greenhouse Start Date]]+BedPlan[[#This Row],[DTM]],BedPlan[[#This Row],[TP or DS Date]]+BedPlan[[#This Row],[DTM]])</f>
        <v>45824</v>
      </c>
      <c r="AC59" s="259"/>
      <c r="AD59" s="259">
        <f>IF(ISNUMBER(BedPlan[[#This Row],[Actual Beginning of Harvest]]),BedPlan[[#This Row],[Actual Beginning of Harvest]],BedPlan[[#This Row],[Expected Beginning of Harvest]])</f>
        <v>45824</v>
      </c>
      <c r="AE59" s="259">
        <f>BedPlan[[#This Row],[Expected Beginning of Harvest]]+BedPlan[[#This Row],[Harvest Window]]+BedPlan[[#This Row],[Additional Days of Harvest]]</f>
        <v>45841</v>
      </c>
      <c r="AF59" s="259"/>
      <c r="AG59" s="259"/>
      <c r="AH59" s="31" t="b">
        <f>IF(AND( BedPlan[[#This Row],[Expected End of Harvest]] &gt;= DATE(2025, 8, 1), BedPlan[[#This Row],[Beginning of Harvest]] &lt;= DATE(2025, 8, 31) ), TRUE, FALSE)</f>
        <v>0</v>
      </c>
      <c r="AI59" s="31"/>
      <c r="AJ59" s="31">
        <f>IF(ISNUMBER(BedPlan[[#This Row],[Actual End of Harvest]]),BedPlan[[#This Row],[Actual End of Harvest]],BedPlan[[#This Row],[Expected End of Harvest]])</f>
        <v>45841</v>
      </c>
      <c r="AK59" t="b">
        <f>OR(ISNUMBER(BedPlan[[#This Row],[Actual Greenhouse Date]]),ISNUMBER(BedPlan[[#This Row],[Actual TP or DS Date]]))</f>
        <v>1</v>
      </c>
      <c r="AL59" s="52" t="b">
        <f>IF(ISNUMBER(BedPlan[[#This Row],[Planned Greenhouse Start Date]]),OR(ISNUMBER(BedPlan[[#This Row],[Actual TP or DS Date]]),BedPlan[[#This Row],[Failed]]),"-")</f>
        <v>1</v>
      </c>
      <c r="AM59" t="b">
        <f>OR(ISNUMBER(BedPlan[[#This Row],[Actual End of Harvest]]),BedPlan[[#This Row],[Failed]])</f>
        <v>0</v>
      </c>
      <c r="AN59" t="b">
        <f>OR(BedPlan[[#This Row],[Harvest Done]],BedPlan[[#This Row],[Failed]],BedPlan[[#This Row],[Name]]="Tarp")</f>
        <v>0</v>
      </c>
      <c r="AS59" s="26" t="str">
        <f>IF(BedPlan[[#This Row],[Broadfork]],BedPlan[[#This Row],[Actual TP or DS Date]],"")</f>
        <v/>
      </c>
      <c r="AT59" s="26" t="str">
        <f>IF(BedPlan[[#This Row],[Tilther]],BedPlan[[#This Row],[Actual TP or DS Date]],"")</f>
        <v/>
      </c>
      <c r="AU59" s="26" t="str">
        <f>IF(NOT(ISBLANK(BedPlan[[#This Row],[Amend]])),BedPlan[[#This Row],[Actual TP or DS Date]],"")</f>
        <v/>
      </c>
      <c r="AV59" s="26" t="str">
        <f>IF(BedPlan[[#This Row],[Row Cover]],BedPlan[[#This Row],[Actual TP or DS Date]],"")</f>
        <v/>
      </c>
      <c r="AW59" t="s">
        <v>3220</v>
      </c>
      <c r="AX59" s="26">
        <v>45792</v>
      </c>
      <c r="AZ59" s="26"/>
      <c r="BB59" s="26"/>
      <c r="BC59" s="231" cm="1">
        <f t="array" ref="BC59">INDEX(Crops[],BedPlan[[#This Row],[Chart Index]],BC$4,1)*BedPlan[[#This Row],[Full Bed Equivalent]]</f>
        <v>320</v>
      </c>
      <c r="BD59" s="231" cm="1">
        <f t="array" ref="BD59">INDEX(Crops[],BedPlan[[#This Row],[Chart Index]],BD$4,1)*BedPlan[[#This Row],[Full Bed Equivalent]]</f>
        <v>4.7761194029850742</v>
      </c>
      <c r="BE59" cm="1">
        <f t="array" ref="BE59">INDEX(Crops[],BedPlan[[#This Row],[Chart Index]],BE$4,1)+BedPlan[[#This Row],[Additional Days in Cells]]+BedPlan[[#This Row],[Additional Days In Field]]</f>
        <v>83</v>
      </c>
      <c r="BG59" cm="1">
        <f t="array" ref="BG59">INDEX(Crops[],BedPlan[[#This Row],[Chart Index]],BG$4,1)</f>
        <v>17</v>
      </c>
      <c r="BH59" t="str">
        <f>IF(ISNUMBER(BedPlan[[#This Row],[Planned Greenhouse Start Date]]),"TP","DS")</f>
        <v>TP</v>
      </c>
      <c r="BI59">
        <f>BedPlan[[#This Row],['# Of Beds]]</f>
        <v>0.25</v>
      </c>
      <c r="BJ59" cm="1">
        <f t="array" ref="BJ59">INDEX(Crops[],BedPlan[[#This Row],[Chart Index]],BJ$4,1)</f>
        <v>26</v>
      </c>
      <c r="BK59" cm="1">
        <f t="array" ref="BK59">INDEX(Crops[],BedPlan[[#This Row],[Chart Index]],BK$4,1)</f>
        <v>4</v>
      </c>
      <c r="BL59" cm="1">
        <f t="array" ref="BL59">INDEX(Crops[],BedPlan[[#This Row],[Chart Index]],BL$4,1)</f>
        <v>3</v>
      </c>
      <c r="BM59" cm="1">
        <f t="array" ref="BM59">INDEX(Crops[],BedPlan[[#This Row],[Chart Index]],BM$4,1)</f>
        <v>4</v>
      </c>
      <c r="BN59" s="32" cm="1">
        <f t="array" ref="BN59">INDEX(Crops[],BedPlan[[#This Row],[Chart Index]],BN$4,1)*BedPlan[[#This Row],[Full Bed Equivalent]]</f>
        <v>200</v>
      </c>
      <c r="BO59" t="str" cm="1">
        <f t="array" ref="BO59">IF(INDEX(Crops[],BedPlan[[#This Row],[Chart Index]],BO$4,1)=0,"",INDEX(Crops[],BedPlan[[#This Row],[Chart Index]],BO$4,1))</f>
        <v/>
      </c>
      <c r="BP59">
        <f>MATCH(BedPlan[[#This Row],[Crop]],Crops[Identifier],FALSE)</f>
        <v>118</v>
      </c>
      <c r="BQ59" t="str" cm="1">
        <f t="array" ref="BQ59">INDEX(Crops[],BedPlan[[#This Row],[Chart Index]],BQ$4,1)</f>
        <v>General</v>
      </c>
      <c r="BR59" t="str" cm="1">
        <f t="array" ref="BR59">INDEX(Crops[],BedPlan[[#This Row],[Chart Index]],BR$4,1)</f>
        <v>Su</v>
      </c>
      <c r="BS59" s="32">
        <f>BedPlan[[#This Row],[Expected Beginning of Harvest]]-DATE(2023,1,1)</f>
        <v>897</v>
      </c>
      <c r="BT59">
        <f>BedPlan[[#This Row],[Expected End of Harvest]]-BedPlan[[#This Row],[Expected Beginning of Harvest]]</f>
        <v>17</v>
      </c>
      <c r="BU59" t="str" cm="1">
        <f t="array" ref="BU59">INDEX(Crops[],BedPlan[[#This Row],[Chart Index]],BU$4,1)</f>
        <v>Herb</v>
      </c>
      <c r="BV59" cm="1">
        <f t="array" ref="BV59">INDEX(Crops[],BedPlan[[#This Row],[Chart Index]],BV$4,1)</f>
        <v>4</v>
      </c>
      <c r="BW59" t="str" cm="1">
        <f t="array" ref="BW59">INDEX(Crops[],BedPlan[[#This Row],[Chart Index]],BW$4,1)</f>
        <v>None</v>
      </c>
      <c r="BX59" cm="1">
        <f t="array" ref="BX59">INDEX(Crops[],BedPlan[[#This Row],[Chart Index]],BX$4,1)</f>
        <v>128</v>
      </c>
      <c r="BY59" cm="1">
        <f t="array" ref="BY59">INDEX(Crops[],BedPlan[[#This Row],[Chart Index]],BY$4,1)</f>
        <v>26</v>
      </c>
      <c r="BZ59" s="49" cm="1">
        <f t="array" ref="BZ59">IFERROR(INDEX(Crops[],BedPlan[[#This Row],[Chart Index]],BZ$4,1)*BedPlan[[#This Row],[Full Bed Equivalent]],"")</f>
        <v>1.7187500000000002</v>
      </c>
      <c r="CA59" cm="1">
        <f t="array" ref="CA59">INDEX(Crops[],BedPlan[[#This Row],[Chart Index]],CA$4,1)</f>
        <v>0</v>
      </c>
      <c r="CB59" cm="1">
        <f t="array" ref="CB59">INDEX(Crops[],BedPlan[[#This Row],[Chart Index]],CB$4,1)</f>
        <v>0</v>
      </c>
      <c r="CC59" s="49" t="str" cm="1">
        <f t="array" ref="CC59">IFERROR(INDEX(Crops[],BedPlan[[#This Row],[Chart Index]],CC$4,1)*BedPlan[[#This Row],[Full Bed Equivalent]],"")</f>
        <v/>
      </c>
      <c r="CD59" cm="1">
        <f t="array" ref="CD59">INDEX(Crops[],BedPlan[[#This Row],[Chart Index]],CD$4,1)</f>
        <v>0</v>
      </c>
      <c r="CE59" cm="1">
        <f t="array" ref="CE59">IF(INDEX(Crops[],BedPlan[[#This Row],[Chart Index]],CE$4,1)="",0,INDEX(Crops[],BedPlan[[#This Row],[Chart Index]],CE$4,1))</f>
        <v>0</v>
      </c>
      <c r="CF59" s="49" t="str" cm="1">
        <f t="array" ref="CF59">IFERROR(INDEX(Crops[],BedPlan[[#This Row],[Chart Index]],CF$4,1)*BedPlan[[#This Row],[Full Bed Equivalent]],"")</f>
        <v/>
      </c>
      <c r="CG59" cm="1">
        <f t="array" ref="CG59">IF(INDEX(Crops[],BedPlan[[#This Row],[Chart Index]],CG$4,1)="",0,INDEX(Crops[],BedPlan[[#This Row],[Chart Index]],CG$4,1))</f>
        <v>1.1000000000000001</v>
      </c>
      <c r="CH59" cm="1">
        <f t="array" ref="CH59">IF(INDEX(Crops[],BedPlan[[#This Row],[Chart Index]],CH$4,1)="",0,INDEX(Crops[],BedPlan[[#This Row],[Chart Index]],CH$4,1))</f>
        <v>0</v>
      </c>
      <c r="CI59" t="str" cm="1">
        <f t="array" ref="CI59">INDEX(Crops[],BedPlan[[#This Row],[Chart Index]],CI$4,1)</f>
        <v>Field</v>
      </c>
      <c r="CJ59" s="30" t="str">
        <f>_xlfn.TEXTJOIN(CHAR(10),FALSE,BedPlan[[#This Row],[Name]],BedPlan[[#This Row],[Variety]],BedPlan[[#This Row],[Company]])</f>
        <v xml:space="preserve">Dill
Dill Mix
</v>
      </c>
      <c r="CK59" s="32">
        <f>MAX( 0, MIN(BedPlan[[#This Row],[Expected End of Harvest]], EOMONTH(CK$4, 0)) - MAX(BedPlan[[#This Row],[Beginning of Harvest]], CK$4) + 1 )</f>
        <v>0</v>
      </c>
      <c r="CL59">
        <f>MAX( 0, MIN(BedPlan[[#This Row],[Expected End of Harvest]], EOMONTH(CL$4, 0)) - MAX(BedPlan[[#This Row],[Beginning of Harvest]], CL$4) + 1 )</f>
        <v>0</v>
      </c>
      <c r="CM59">
        <f>MAX( 0, MIN(BedPlan[[#This Row],[Expected End of Harvest]], EOMONTH(CM$4, 0)) - MAX(BedPlan[[#This Row],[Beginning of Harvest]], CM$4) + 1 )</f>
        <v>0</v>
      </c>
      <c r="CN59">
        <f>MAX( 0, MIN(BedPlan[[#This Row],[Expected End of Harvest]], EOMONTH(CN$4, 0)) - MAX(BedPlan[[#This Row],[Beginning of Harvest]], CN$4) + 1 )</f>
        <v>0</v>
      </c>
      <c r="CO59">
        <f>MAX( 0, MIN(BedPlan[[#This Row],[Expected End of Harvest]], EOMONTH(CO$4, 0)) - MAX(BedPlan[[#This Row],[Beginning of Harvest]], CO$4) + 1 )</f>
        <v>0</v>
      </c>
      <c r="CP59">
        <f>MAX( 0, MIN(BedPlan[[#This Row],[Expected End of Harvest]], EOMONTH(CP$4, 0)) - MAX(BedPlan[[#This Row],[Beginning of Harvest]], CP$4) + 1 )</f>
        <v>15</v>
      </c>
      <c r="CQ59">
        <f>MAX( 0, MIN(BedPlan[[#This Row],[Expected End of Harvest]], EOMONTH(CQ$4, 0)) - MAX(BedPlan[[#This Row],[Beginning of Harvest]], CQ$4) + 1 )</f>
        <v>3</v>
      </c>
      <c r="CR59">
        <f>MAX( 0, MIN(BedPlan[[#This Row],[Expected End of Harvest]], EOMONTH(CR$4, 0)) - MAX(BedPlan[[#This Row],[Beginning of Harvest]], CR$4) + 1 )</f>
        <v>0</v>
      </c>
      <c r="CS59">
        <f>MAX( 0, MIN(BedPlan[[#This Row],[Expected End of Harvest]], EOMONTH(CS$4, 0)) - MAX(BedPlan[[#This Row],[Beginning of Harvest]], CS$4) + 1 )</f>
        <v>0</v>
      </c>
      <c r="CT59">
        <f>MAX( 0, MIN(BedPlan[[#This Row],[Expected End of Harvest]], EOMONTH(CT$4, 0)) - MAX(BedPlan[[#This Row],[Beginning of Harvest]], CT$4) + 1 )</f>
        <v>0</v>
      </c>
      <c r="CU59">
        <f>MAX( 0, MIN(BedPlan[[#This Row],[Expected End of Harvest]], EOMONTH(CU$4, 0)) - MAX(BedPlan[[#This Row],[Beginning of Harvest]], CU$4) + 1 )</f>
        <v>0</v>
      </c>
      <c r="CV59">
        <f>MAX( 0, MIN(BedPlan[[#This Row],[Expected End of Harvest]], EOMONTH(CV$4, 0)) - MAX(BedPlan[[#This Row],[Beginning of Harvest]], CV$4) + 1 )</f>
        <v>0</v>
      </c>
      <c r="CW59">
        <f>MAX( 0, MIN(BedPlan[[#This Row],[Expected End of Harvest]], EOMONTH(CW$4, 0)) - MAX(BedPlan[[#This Row],[Beginning of Harvest]], CW$4) + 1 )</f>
        <v>0</v>
      </c>
      <c r="CX59">
        <f>MAX( 0, MIN(BedPlan[[#This Row],[Expected End of Harvest]], EOMONTH(CX$4, 0)) - MAX(BedPlan[[#This Row],[Beginning of Harvest]], CX$4) + 1 )</f>
        <v>0</v>
      </c>
      <c r="CY59">
        <f>MAX( 0, MIN(BedPlan[[#This Row],[Expected End of Harvest]], EOMONTH(CY$4, 0)) - MAX(BedPlan[[#This Row],[Beginning of Harvest]], CY$4) + 1 )</f>
        <v>0</v>
      </c>
      <c r="CZ59">
        <f>MAX( 0, MIN(BedPlan[[#This Row],[Expected End of Harvest]], EOMONTH(CZ$4, 0)) - MAX(BedPlan[[#This Row],[Beginning of Harvest]], CZ$4) + 1 )</f>
        <v>0</v>
      </c>
      <c r="DA59">
        <f>MAX( 0, MIN(BedPlan[[#This Row],[Expected End of Harvest]], EOMONTH(DA$4, 0)) - MAX(BedPlan[[#This Row],[Beginning of Harvest]], DA$4) + 1 )</f>
        <v>0</v>
      </c>
      <c r="DB59">
        <f>MAX( 0, MIN(BedPlan[[#This Row],[Expected End of Harvest]], EOMONTH(DB$4, 0)) - MAX(BedPlan[[#This Row],[Beginning of Harvest]], DB$4) + 1 )</f>
        <v>0</v>
      </c>
      <c r="DC59">
        <f>MAX( 0, MIN(BedPlan[[#This Row],[Expected End of Harvest]], EOMONTH(DC$4, 0)) - MAX(BedPlan[[#This Row],[Beginning of Harvest]], DC$4) + 1 )</f>
        <v>0</v>
      </c>
      <c r="DD59">
        <f>MAX( 0, MIN(BedPlan[[#This Row],[Expected End of Harvest]], EOMONTH(DD$4, 0)) - MAX(BedPlan[[#This Row],[Beginning of Harvest]], DD$4) + 1 )</f>
        <v>0</v>
      </c>
      <c r="DE59">
        <f>MAX( 0, MIN(BedPlan[[#This Row],[Expected End of Harvest]], EOMONTH(DE$4, 0)) - MAX(BedPlan[[#This Row],[Beginning of Harvest]], DE$4) + 1 )</f>
        <v>0</v>
      </c>
      <c r="DF59">
        <f>MAX( 0, MIN(BedPlan[[#This Row],[Expected End of Harvest]], EOMONTH(DF$4, 0)) - MAX(BedPlan[[#This Row],[Beginning of Harvest]], DF$4) + 1 )</f>
        <v>0</v>
      </c>
      <c r="DG59">
        <f>MAX( 0, MIN(BedPlan[[#This Row],[Expected End of Harvest]], EOMONTH(DG$4, 0)) - MAX(BedPlan[[#This Row],[Beginning of Harvest]], DG$4) + 1 )</f>
        <v>0</v>
      </c>
      <c r="DH59">
        <f>MAX( 0, MIN(BedPlan[[#This Row],[Expected End of Harvest]], EOMONTH(DH$4, 0)) - MAX(BedPlan[[#This Row],[Beginning of Harvest]], DH$4) + 1 )</f>
        <v>0</v>
      </c>
      <c r="DI59" s="257" cm="1">
        <f t="array" ref="DI59">BedPlan[[#This Row],[Harvest Days January 2025]]/SUM(BedPlan[[#This Row],[Harvest Days January 2025]:[Harvest Days December 2026]])*BedPlan[[#This Row],[Revenue]:[Revenue]]</f>
        <v>0</v>
      </c>
      <c r="DJ59" s="257" cm="1">
        <f t="array" ref="DJ59">BedPlan[[#This Row],[Harvest Days February 2025]]/SUM(BedPlan[[#This Row],[Harvest Days January 2025]:[Harvest Days December 2026]])*BedPlan[[#This Row],[Revenue]:[Revenue]]</f>
        <v>0</v>
      </c>
      <c r="DK59" s="257" cm="1">
        <f t="array" ref="DK59">BedPlan[[#This Row],[Harvest Days March 2025]]/SUM(BedPlan[[#This Row],[Harvest Days January 2025]:[Harvest Days December 2026]])*BedPlan[[#This Row],[Revenue]:[Revenue]]</f>
        <v>0</v>
      </c>
      <c r="DL59" s="257" cm="1">
        <f t="array" ref="DL59">BedPlan[[#This Row],[Harvest Days April 2025]]/SUM(BedPlan[[#This Row],[Harvest Days January 2025]:[Harvest Days December 2026]])*BedPlan[[#This Row],[Revenue]:[Revenue]]</f>
        <v>0</v>
      </c>
      <c r="DM59" s="257" cm="1">
        <f t="array" ref="DM59">BedPlan[[#This Row],[Harvest Days May 2025]]/SUM(BedPlan[[#This Row],[Harvest Days January 2025]:[Harvest Days December 2026]])*BedPlan[[#This Row],[Revenue]:[Revenue]]</f>
        <v>0</v>
      </c>
      <c r="DN59" s="257" cm="1">
        <f t="array" ref="DN59">BedPlan[[#This Row],[Harvest Days June 2025]]/SUM(BedPlan[[#This Row],[Harvest Days January 2025]:[Harvest Days December 2026]])*BedPlan[[#This Row],[Revenue]:[Revenue]]</f>
        <v>266.66666666666669</v>
      </c>
      <c r="DO59" s="257" cm="1">
        <f t="array" ref="DO59">BedPlan[[#This Row],[Harvest Days July 2025]]/SUM(BedPlan[[#This Row],[Harvest Days January 2025]:[Harvest Days December 2026]])*BedPlan[[#This Row],[Revenue]:[Revenue]]</f>
        <v>53.333333333333329</v>
      </c>
      <c r="DP59" s="257" cm="1">
        <f t="array" ref="DP59">BedPlan[[#This Row],[Harvest Days August 2025]]/SUM(BedPlan[[#This Row],[Harvest Days January 2025]:[Harvest Days December 2026]])*BedPlan[[#This Row],[Revenue]:[Revenue]]</f>
        <v>0</v>
      </c>
      <c r="DQ59" s="257" cm="1">
        <f t="array" ref="DQ59">BedPlan[[#This Row],[Harvest Days September 2025]]/SUM(BedPlan[[#This Row],[Harvest Days January 2025]:[Harvest Days December 2026]])*BedPlan[[#This Row],[Revenue]:[Revenue]]</f>
        <v>0</v>
      </c>
      <c r="DR59" s="257" cm="1">
        <f t="array" ref="DR59">BedPlan[[#This Row],[Harvest Days October 2025]]/SUM(BedPlan[[#This Row],[Harvest Days January 2025]:[Harvest Days December 2026]])*BedPlan[[#This Row],[Revenue]:[Revenue]]</f>
        <v>0</v>
      </c>
      <c r="DS59" s="257" cm="1">
        <f t="array" ref="DS59">BedPlan[[#This Row],[Harvest Days November 2025]]/SUM(BedPlan[[#This Row],[Harvest Days January 2025]:[Harvest Days December 2026]])*BedPlan[[#This Row],[Revenue]:[Revenue]]</f>
        <v>0</v>
      </c>
      <c r="DT59" s="257" cm="1">
        <f t="array" ref="DT59">BedPlan[[#This Row],[Harvest Days December 2025]]/SUM(BedPlan[[#This Row],[Harvest Days January 2025]:[Harvest Days December 2026]])*BedPlan[[#This Row],[Revenue]:[Revenue]]</f>
        <v>0</v>
      </c>
      <c r="DU59" s="257" cm="1">
        <f t="array" ref="DU59">BedPlan[[#This Row],[Harvest Days January 2026]]/SUM(BedPlan[[#This Row],[Harvest Days January 2025]:[Harvest Days December 2026]])*BedPlan[[#This Row],[Revenue]:[Revenue]]</f>
        <v>0</v>
      </c>
      <c r="DV59" s="257" cm="1">
        <f t="array" ref="DV59">BedPlan[[#This Row],[Harvest Days February 2026]]/SUM(BedPlan[[#This Row],[Harvest Days January 2025]:[Harvest Days December 2026]])*BedPlan[[#This Row],[Revenue]:[Revenue]]</f>
        <v>0</v>
      </c>
      <c r="DW59" s="257" cm="1">
        <f t="array" ref="DW59">BedPlan[[#This Row],[Harvest Days March 2026]]/SUM(BedPlan[[#This Row],[Harvest Days January 2025]:[Harvest Days December 2026]])*BedPlan[[#This Row],[Revenue]:[Revenue]]</f>
        <v>0</v>
      </c>
      <c r="DX59" s="257" cm="1">
        <f t="array" ref="DX59">BedPlan[[#This Row],[Harvest Days April 2026]]/SUM(BedPlan[[#This Row],[Harvest Days January 2025]:[Harvest Days December 2026]])*BedPlan[[#This Row],[Revenue]:[Revenue]]</f>
        <v>0</v>
      </c>
      <c r="DY59" s="257" cm="1">
        <f t="array" ref="DY59">BedPlan[[#This Row],[Harvest Days May 2026]]/SUM(BedPlan[[#This Row],[Harvest Days January 2025]:[Harvest Days December 2026]])*BedPlan[[#This Row],[Revenue]:[Revenue]]</f>
        <v>0</v>
      </c>
      <c r="DZ59" s="257" cm="1">
        <f t="array" ref="DZ59">BedPlan[[#This Row],[Harvest Days June 2026]]/SUM(BedPlan[[#This Row],[Harvest Days January 2025]:[Harvest Days December 2026]])*BedPlan[[#This Row],[Revenue]:[Revenue]]</f>
        <v>0</v>
      </c>
      <c r="EA59" s="257" cm="1">
        <f t="array" ref="EA59">BedPlan[[#This Row],[Harvest Days July 2026]]/SUM(BedPlan[[#This Row],[Harvest Days January 2025]:[Harvest Days December 2026]])*BedPlan[[#This Row],[Revenue]:[Revenue]]</f>
        <v>0</v>
      </c>
      <c r="EB59" s="257" cm="1">
        <f t="array" ref="EB59">BedPlan[[#This Row],[Harvest Days August 2026]]/SUM(BedPlan[[#This Row],[Harvest Days January 2025]:[Harvest Days December 2026]])*BedPlan[[#This Row],[Revenue]:[Revenue]]</f>
        <v>0</v>
      </c>
      <c r="EC59" s="257" cm="1">
        <f t="array" ref="EC59">BedPlan[[#This Row],[Harvest Days September 2026]]/SUM(BedPlan[[#This Row],[Harvest Days January 2025]:[Harvest Days December 2026]])*BedPlan[[#This Row],[Revenue]:[Revenue]]</f>
        <v>0</v>
      </c>
      <c r="ED59" s="257" cm="1">
        <f t="array" ref="ED59">BedPlan[[#This Row],[Harvest Days October 2026]]/SUM(BedPlan[[#This Row],[Harvest Days January 2025]:[Harvest Days December 2026]])*BedPlan[[#This Row],[Revenue]:[Revenue]]</f>
        <v>0</v>
      </c>
      <c r="EE59" s="257" cm="1">
        <f t="array" ref="EE59">BedPlan[[#This Row],[Harvest Days November 2026]]/SUM(BedPlan[[#This Row],[Harvest Days January 2025]:[Harvest Days December 2026]])*BedPlan[[#This Row],[Revenue]:[Revenue]]</f>
        <v>0</v>
      </c>
      <c r="EF59" s="257" cm="1">
        <f t="array" ref="EF59">BedPlan[[#This Row],[Harvest Days December 2026]]/SUM(BedPlan[[#This Row],[Harvest Days January 2025]:[Harvest Days December 2026]])*BedPlan[[#This Row],[Revenue]:[Revenue]]</f>
        <v>0</v>
      </c>
      <c r="EG59" t="b">
        <f>SUM(BedPlan[[#This Row],[Revenue January 2025]:[Revenue December 2026]])=BedPlan[[#This Row],[Revenue]]</f>
        <v>1</v>
      </c>
      <c r="EH59" s="30" cm="1">
        <f t="array" ref="EH59">INDEX(Crops[],BedPlan[[#This Row],[Chart Index]],EH$4,1)*BedPlan[[#This Row],['# Of Beds]]</f>
        <v>160</v>
      </c>
      <c r="EI59" s="30" t="str" cm="1">
        <f t="array" ref="EI59">INDEX(Crops[],BedPlan[[#This Row],[Chart Index]],EI$4,1)</f>
        <v>Bunch</v>
      </c>
      <c r="EJ59" s="30" t="str" cm="1">
        <f t="array" ref="EJ59">INDEX(Crops[],BedPlan[[#This Row],[Chart Index]],EJ$4,1)</f>
        <v>Mature Leaf</v>
      </c>
      <c r="EK59" s="30" t="str">
        <f>BedPlan[[#This Row],[Name]]&amp;" "&amp;BedPlan[[#This Row],[Product]]&amp; " - " &amp;BedPlan[[#This Row],[Unit]]</f>
        <v>Dill Mature Leaf - Bunch</v>
      </c>
      <c r="EL59" s="33" cm="1">
        <f t="array" ref="EL59">BedPlan[[#This Row],[Harvest Days January 2025]]/SUM(BedPlan[[#This Row],[Harvest Days January 2025]:[Harvest Days December 2026]])*BedPlan[[#This Row],[Yield]:[Yield]]</f>
        <v>0</v>
      </c>
      <c r="EM59" s="33" cm="1">
        <f t="array" ref="EM59">BedPlan[[#This Row],[Harvest Days February 2025]]/SUM(BedPlan[[#This Row],[Harvest Days January 2025]:[Harvest Days December 2026]])*BedPlan[[#This Row],[Yield]:[Yield]]</f>
        <v>0</v>
      </c>
      <c r="EN59" s="33" cm="1">
        <f t="array" ref="EN59">BedPlan[[#This Row],[Harvest Days March 2025]]/SUM(BedPlan[[#This Row],[Harvest Days January 2025]:[Harvest Days December 2026]])*BedPlan[[#This Row],[Yield]:[Yield]]</f>
        <v>0</v>
      </c>
      <c r="EO59" s="33" cm="1">
        <f t="array" ref="EO59">BedPlan[[#This Row],[Harvest Days April 2025]]/SUM(BedPlan[[#This Row],[Harvest Days January 2025]:[Harvest Days December 2026]])*BedPlan[[#This Row],[Yield]:[Yield]]</f>
        <v>0</v>
      </c>
      <c r="EP59" s="33" cm="1">
        <f t="array" ref="EP59">BedPlan[[#This Row],[Harvest Days May 2025]]/SUM(BedPlan[[#This Row],[Harvest Days January 2025]:[Harvest Days December 2026]])*BedPlan[[#This Row],[Yield]:[Yield]]</f>
        <v>0</v>
      </c>
      <c r="EQ59" s="33" cm="1">
        <f t="array" ref="EQ59">BedPlan[[#This Row],[Harvest Days June 2025]]/SUM(BedPlan[[#This Row],[Harvest Days January 2025]:[Harvest Days December 2026]])*BedPlan[[#This Row],[Yield]:[Yield]]</f>
        <v>133.33333333333334</v>
      </c>
      <c r="ER59" s="33" cm="1">
        <f t="array" ref="ER59">BedPlan[[#This Row],[Harvest Days July 2025]]/SUM(BedPlan[[#This Row],[Harvest Days January 2025]:[Harvest Days December 2026]])*BedPlan[[#This Row],[Yield]:[Yield]]</f>
        <v>26.666666666666664</v>
      </c>
      <c r="ES59" s="33" cm="1">
        <f t="array" ref="ES59">BedPlan[[#This Row],[Harvest Days August 2025]]/SUM(BedPlan[[#This Row],[Harvest Days January 2025]:[Harvest Days December 2026]])*BedPlan[[#This Row],[Yield]:[Yield]]</f>
        <v>0</v>
      </c>
      <c r="ET59" s="33" cm="1">
        <f t="array" ref="ET59">BedPlan[[#This Row],[Harvest Days September 2025]]/SUM(BedPlan[[#This Row],[Harvest Days January 2025]:[Harvest Days December 2026]])*BedPlan[[#This Row],[Yield]:[Yield]]</f>
        <v>0</v>
      </c>
      <c r="EU59" s="33" cm="1">
        <f t="array" ref="EU59">BedPlan[[#This Row],[Harvest Days October 2025]]/SUM(BedPlan[[#This Row],[Harvest Days January 2025]:[Harvest Days December 2026]])*BedPlan[[#This Row],[Yield]:[Yield]]</f>
        <v>0</v>
      </c>
      <c r="EV59" s="33" cm="1">
        <f t="array" ref="EV59">BedPlan[[#This Row],[Harvest Days November 2025]]/SUM(BedPlan[[#This Row],[Harvest Days January 2025]:[Harvest Days December 2026]])*BedPlan[[#This Row],[Yield]:[Yield]]</f>
        <v>0</v>
      </c>
      <c r="EW59" s="33" cm="1">
        <f t="array" ref="EW59">BedPlan[[#This Row],[Harvest Days December 2025]]/SUM(BedPlan[[#This Row],[Harvest Days January 2025]:[Harvest Days December 2026]])*BedPlan[[#This Row],[Yield]:[Yield]]</f>
        <v>0</v>
      </c>
    </row>
    <row r="60" spans="1:153" ht="15.75" customHeight="1">
      <c r="A60" s="180" t="s">
        <v>2748</v>
      </c>
      <c r="B60" s="240" t="s">
        <v>2742</v>
      </c>
      <c r="C60" t="s">
        <v>1433</v>
      </c>
      <c r="D60" s="226" cm="1">
        <f t="array" ref="D60">INDEX(Crops[],BedPlan[[#This Row],[Chart Index]],D$4,1)*BedPlan[[#This Row],[Full Bed Equivalent]]</f>
        <v>56</v>
      </c>
      <c r="E60" s="226" cm="1">
        <f t="array" ref="E60">INDEX(Crops[],BedPlan[[#This Row],[Chart Index]],E$4,1)*BedPlan[[#This Row],[Full Bed Equivalent]]</f>
        <v>160</v>
      </c>
      <c r="F60" t="str">
        <f>UPPER(LEFT(BedPlan[[#This Row],[Crop]],3))</f>
        <v>DIL</v>
      </c>
      <c r="H60" s="143" t="str" cm="1">
        <f t="array" ref="H60">INDEX(Crops[],BedPlan[[#This Row],[Chart Index]],H$4,1)</f>
        <v>Dill</v>
      </c>
      <c r="I60" t="s">
        <v>614</v>
      </c>
      <c r="K60" t="str" cm="1">
        <f t="array" ref="K60">IF(ISNUMBER(MATCH(BedPlan[[#This Row],[Variety]],SeedMixes[Name],)),_xlfn.TEXTJOIN(", ",TRUE,_xlfn._xlws.FILTER(SeedMixes[Variety &amp; Company],SeedMixes[Name]=BedPlan[[#This Row],[Variety]])),"")</f>
        <v>Thalia OG Johnny's, Bouquet OG Osborne, Ambrosia Adaptive, Green Sleeves High Mowing</v>
      </c>
      <c r="L60" s="33" cm="1">
        <f t="array" ref="L60">INDEX(Crops[],BedPlan[[#This Row],[Chart Index]],L$4,1)*BedPlan[[#This Row],[Full Bed Equivalent]]</f>
        <v>880.00000000000011</v>
      </c>
      <c r="N60">
        <v>0.25</v>
      </c>
      <c r="O60">
        <f>MAX(BedPlan[[#This Row],['# Of Beds]],0.5)</f>
        <v>0.5</v>
      </c>
      <c r="P60" s="31">
        <f>IF(ISNUMBER(BedPlan[[#This Row],[Planned Greenhouse Start Date]]),BedPlan[[#This Row],[Planned Greenhouse Start Date]],BedPlan[[#This Row],[Planned TP or DS Date]])</f>
        <v>45770</v>
      </c>
      <c r="Q60" s="259">
        <f>IF(BedPlan[[#This Row],[Days in Cells]]=0,"",IFERROR(_xlfn.XLOOKUP(BedPlan[[#This Row],[Follows Crop]],BedPlan[Identifier],BedPlan[Expected End of Harvest]) + 1+BedPlan[[#This Row],[Follow Offset]],BedPlan[[#This Row],[Fixed Field Start Date]])-BedPlan[[#This Row],[Days in Cells]])</f>
        <v>45770</v>
      </c>
      <c r="R60" s="259">
        <v>45767</v>
      </c>
      <c r="S60" s="259">
        <f>IF(ISNUMBER(BedPlan[[#This Row],[Actual Greenhouse Date]]),BedPlan[[#This Row],[Actual Greenhouse Date]],BedPlan[[#This Row],[Planned Greenhouse Start Date]])</f>
        <v>45767</v>
      </c>
      <c r="T60" s="259">
        <f>_xlfn.XLOOKUP(BedPlan[[#This Row],[Crop]],Crops[Identifier],Crops[Target Field Date])+14*3</f>
        <v>45796</v>
      </c>
      <c r="U60" s="260"/>
      <c r="V60" s="260"/>
      <c r="W6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60" s="259">
        <v>45795</v>
      </c>
      <c r="Y60" s="271">
        <f>BedPlan[[#This Row],[Actual TP or DS Date]]-BedPlan[[#This Row],[Planned TP or DS Date]]</f>
        <v>2</v>
      </c>
      <c r="Z60" s="259">
        <f>IF(ISNUMBER(BedPlan[[#This Row],[Actual TP or DS Date]]),BedPlan[[#This Row],[Actual TP or DS Date]],BedPlan[[#This Row],[Planned TP or DS Date]])</f>
        <v>45795</v>
      </c>
      <c r="AA60" s="260"/>
      <c r="AB60" s="259">
        <f>IF(ISNUMBER(BedPlan[[#This Row],[Greenhouse Start Date]]),BedPlan[[#This Row],[Greenhouse Start Date]]+BedPlan[[#This Row],[DTM]],BedPlan[[#This Row],[TP or DS Date]]+BedPlan[[#This Row],[DTM]])</f>
        <v>45843</v>
      </c>
      <c r="AC60" s="259"/>
      <c r="AD60" s="259">
        <f>IF(ISNUMBER(BedPlan[[#This Row],[Actual Beginning of Harvest]]),BedPlan[[#This Row],[Actual Beginning of Harvest]],BedPlan[[#This Row],[Expected Beginning of Harvest]])</f>
        <v>45843</v>
      </c>
      <c r="AE60" s="259">
        <f>BedPlan[[#This Row],[Expected Beginning of Harvest]]+BedPlan[[#This Row],[Harvest Window]]+BedPlan[[#This Row],[Additional Days of Harvest]]</f>
        <v>45860</v>
      </c>
      <c r="AF60" s="259"/>
      <c r="AG60" s="259"/>
      <c r="AH60" s="31" t="b">
        <f>IF(AND( BedPlan[[#This Row],[Expected End of Harvest]] &gt;= DATE(2025, 8, 1), BedPlan[[#This Row],[Beginning of Harvest]] &lt;= DATE(2025, 8, 31) ), TRUE, FALSE)</f>
        <v>0</v>
      </c>
      <c r="AI60" s="31"/>
      <c r="AJ60" s="31">
        <f>IF(ISNUMBER(BedPlan[[#This Row],[Actual End of Harvest]]),BedPlan[[#This Row],[Actual End of Harvest]],BedPlan[[#This Row],[Expected End of Harvest]])</f>
        <v>45860</v>
      </c>
      <c r="AK60" t="b">
        <f>OR(ISNUMBER(BedPlan[[#This Row],[Actual Greenhouse Date]]),ISNUMBER(BedPlan[[#This Row],[Actual TP or DS Date]]))</f>
        <v>1</v>
      </c>
      <c r="AL60" s="52" t="b">
        <f>IF(ISNUMBER(BedPlan[[#This Row],[Planned Greenhouse Start Date]]),OR(ISNUMBER(BedPlan[[#This Row],[Actual TP or DS Date]]),BedPlan[[#This Row],[Failed]]),"-")</f>
        <v>1</v>
      </c>
      <c r="AM60" t="b">
        <f>OR(ISNUMBER(BedPlan[[#This Row],[Actual End of Harvest]]),BedPlan[[#This Row],[Failed]])</f>
        <v>0</v>
      </c>
      <c r="AN60" t="b">
        <f>OR(BedPlan[[#This Row],[Harvest Done]],BedPlan[[#This Row],[Failed]],BedPlan[[#This Row],[Name]]="Tarp")</f>
        <v>0</v>
      </c>
      <c r="AP60" t="b">
        <v>1</v>
      </c>
      <c r="AS60" s="26" t="str">
        <f>IF(BedPlan[[#This Row],[Broadfork]],BedPlan[[#This Row],[Actual TP or DS Date]],"")</f>
        <v/>
      </c>
      <c r="AT60" s="26">
        <f>IF(BedPlan[[#This Row],[Tilther]],BedPlan[[#This Row],[Actual TP or DS Date]],"")</f>
        <v>45795</v>
      </c>
      <c r="AU60" s="26" t="str">
        <f>IF(NOT(ISBLANK(BedPlan[[#This Row],[Amend]])),BedPlan[[#This Row],[Actual TP or DS Date]],"")</f>
        <v/>
      </c>
      <c r="AV60" s="26" t="str">
        <f>IF(BedPlan[[#This Row],[Row Cover]],BedPlan[[#This Row],[Actual TP or DS Date]],"")</f>
        <v/>
      </c>
      <c r="AX60" s="26"/>
      <c r="AZ60" s="26"/>
      <c r="BB60" s="26"/>
      <c r="BC60" s="231" cm="1">
        <f t="array" ref="BC60">INDEX(Crops[],BedPlan[[#This Row],[Chart Index]],BC$4,1)*BedPlan[[#This Row],[Full Bed Equivalent]]</f>
        <v>320</v>
      </c>
      <c r="BD60" s="231" cm="1">
        <f t="array" ref="BD60">INDEX(Crops[],BedPlan[[#This Row],[Chart Index]],BD$4,1)*BedPlan[[#This Row],[Full Bed Equivalent]]</f>
        <v>4.7761194029850742</v>
      </c>
      <c r="BE60" cm="1">
        <f t="array" ref="BE60">INDEX(Crops[],BedPlan[[#This Row],[Chart Index]],BE$4,1)+BedPlan[[#This Row],[Additional Days in Cells]]+BedPlan[[#This Row],[Additional Days In Field]]</f>
        <v>76</v>
      </c>
      <c r="BG60" cm="1">
        <f t="array" ref="BG60">INDEX(Crops[],BedPlan[[#This Row],[Chart Index]],BG$4,1)</f>
        <v>17</v>
      </c>
      <c r="BH60" t="str">
        <f>IF(ISNUMBER(BedPlan[[#This Row],[Planned Greenhouse Start Date]]),"TP","DS")</f>
        <v>TP</v>
      </c>
      <c r="BI60">
        <f>BedPlan[[#This Row],['# Of Beds]]</f>
        <v>0.25</v>
      </c>
      <c r="BJ60" cm="1">
        <f t="array" ref="BJ60">INDEX(Crops[],BedPlan[[#This Row],[Chart Index]],BJ$4,1)</f>
        <v>26</v>
      </c>
      <c r="BK60" cm="1">
        <f t="array" ref="BK60">INDEX(Crops[],BedPlan[[#This Row],[Chart Index]],BK$4,1)</f>
        <v>4</v>
      </c>
      <c r="BL60" cm="1">
        <f t="array" ref="BL60">INDEX(Crops[],BedPlan[[#This Row],[Chart Index]],BL$4,1)</f>
        <v>3</v>
      </c>
      <c r="BM60" cm="1">
        <f t="array" ref="BM60">INDEX(Crops[],BedPlan[[#This Row],[Chart Index]],BM$4,1)</f>
        <v>4</v>
      </c>
      <c r="BN60" s="32" cm="1">
        <f t="array" ref="BN60">INDEX(Crops[],BedPlan[[#This Row],[Chart Index]],BN$4,1)*BedPlan[[#This Row],[Full Bed Equivalent]]</f>
        <v>200</v>
      </c>
      <c r="BO60" t="str" cm="1">
        <f t="array" ref="BO60">IF(INDEX(Crops[],BedPlan[[#This Row],[Chart Index]],BO$4,1)=0,"",INDEX(Crops[],BedPlan[[#This Row],[Chart Index]],BO$4,1))</f>
        <v/>
      </c>
      <c r="BP60">
        <f>MATCH(BedPlan[[#This Row],[Crop]],Crops[Identifier],FALSE)</f>
        <v>118</v>
      </c>
      <c r="BQ60" t="str" cm="1">
        <f t="array" ref="BQ60">INDEX(Crops[],BedPlan[[#This Row],[Chart Index]],BQ$4,1)</f>
        <v>General</v>
      </c>
      <c r="BR60" t="str" cm="1">
        <f t="array" ref="BR60">INDEX(Crops[],BedPlan[[#This Row],[Chart Index]],BR$4,1)</f>
        <v>Su</v>
      </c>
      <c r="BS60" s="32">
        <f>BedPlan[[#This Row],[Expected Beginning of Harvest]]-DATE(2023,1,1)</f>
        <v>916</v>
      </c>
      <c r="BT60">
        <f>BedPlan[[#This Row],[Expected End of Harvest]]-BedPlan[[#This Row],[Expected Beginning of Harvest]]</f>
        <v>17</v>
      </c>
      <c r="BU60" t="str" cm="1">
        <f t="array" ref="BU60">INDEX(Crops[],BedPlan[[#This Row],[Chart Index]],BU$4,1)</f>
        <v>Herb</v>
      </c>
      <c r="BV60" cm="1">
        <f t="array" ref="BV60">INDEX(Crops[],BedPlan[[#This Row],[Chart Index]],BV$4,1)</f>
        <v>4</v>
      </c>
      <c r="BW60" t="str" cm="1">
        <f t="array" ref="BW60">INDEX(Crops[],BedPlan[[#This Row],[Chart Index]],BW$4,1)</f>
        <v>None</v>
      </c>
      <c r="BX60" cm="1">
        <f t="array" ref="BX60">INDEX(Crops[],BedPlan[[#This Row],[Chart Index]],BX$4,1)</f>
        <v>128</v>
      </c>
      <c r="BY60" cm="1">
        <f t="array" ref="BY60">INDEX(Crops[],BedPlan[[#This Row],[Chart Index]],BY$4,1)</f>
        <v>26</v>
      </c>
      <c r="BZ60" s="49" cm="1">
        <f t="array" ref="BZ60">IFERROR(INDEX(Crops[],BedPlan[[#This Row],[Chart Index]],BZ$4,1)*BedPlan[[#This Row],[Full Bed Equivalent]],"")</f>
        <v>1.7187500000000002</v>
      </c>
      <c r="CA60" cm="1">
        <f t="array" ref="CA60">INDEX(Crops[],BedPlan[[#This Row],[Chart Index]],CA$4,1)</f>
        <v>0</v>
      </c>
      <c r="CB60" cm="1">
        <f t="array" ref="CB60">INDEX(Crops[],BedPlan[[#This Row],[Chart Index]],CB$4,1)</f>
        <v>0</v>
      </c>
      <c r="CC60" s="49" t="str" cm="1">
        <f t="array" ref="CC60">IFERROR(INDEX(Crops[],BedPlan[[#This Row],[Chart Index]],CC$4,1)*BedPlan[[#This Row],[Full Bed Equivalent]],"")</f>
        <v/>
      </c>
      <c r="CD60" cm="1">
        <f t="array" ref="CD60">INDEX(Crops[],BedPlan[[#This Row],[Chart Index]],CD$4,1)</f>
        <v>0</v>
      </c>
      <c r="CE60" cm="1">
        <f t="array" ref="CE60">IF(INDEX(Crops[],BedPlan[[#This Row],[Chart Index]],CE$4,1)="",0,INDEX(Crops[],BedPlan[[#This Row],[Chart Index]],CE$4,1))</f>
        <v>0</v>
      </c>
      <c r="CF60" s="49" t="str" cm="1">
        <f t="array" ref="CF60">IFERROR(INDEX(Crops[],BedPlan[[#This Row],[Chart Index]],CF$4,1)*BedPlan[[#This Row],[Full Bed Equivalent]],"")</f>
        <v/>
      </c>
      <c r="CG60" cm="1">
        <f t="array" ref="CG60">IF(INDEX(Crops[],BedPlan[[#This Row],[Chart Index]],CG$4,1)="",0,INDEX(Crops[],BedPlan[[#This Row],[Chart Index]],CG$4,1))</f>
        <v>1.1000000000000001</v>
      </c>
      <c r="CH60" cm="1">
        <f t="array" ref="CH60">IF(INDEX(Crops[],BedPlan[[#This Row],[Chart Index]],CH$4,1)="",0,INDEX(Crops[],BedPlan[[#This Row],[Chart Index]],CH$4,1))</f>
        <v>0</v>
      </c>
      <c r="CI60" t="str" cm="1">
        <f t="array" ref="CI60">INDEX(Crops[],BedPlan[[#This Row],[Chart Index]],CI$4,1)</f>
        <v>Field</v>
      </c>
      <c r="CJ60" s="30" t="str">
        <f>_xlfn.TEXTJOIN(CHAR(10),FALSE,BedPlan[[#This Row],[Name]],BedPlan[[#This Row],[Variety]],BedPlan[[#This Row],[Company]])</f>
        <v xml:space="preserve">Dill
Dill Mix
</v>
      </c>
      <c r="CK60" s="32">
        <f>MAX( 0, MIN(BedPlan[[#This Row],[Expected End of Harvest]], EOMONTH(CK$4, 0)) - MAX(BedPlan[[#This Row],[Beginning of Harvest]], CK$4) + 1 )</f>
        <v>0</v>
      </c>
      <c r="CL60">
        <f>MAX( 0, MIN(BedPlan[[#This Row],[Expected End of Harvest]], EOMONTH(CL$4, 0)) - MAX(BedPlan[[#This Row],[Beginning of Harvest]], CL$4) + 1 )</f>
        <v>0</v>
      </c>
      <c r="CM60">
        <f>MAX( 0, MIN(BedPlan[[#This Row],[Expected End of Harvest]], EOMONTH(CM$4, 0)) - MAX(BedPlan[[#This Row],[Beginning of Harvest]], CM$4) + 1 )</f>
        <v>0</v>
      </c>
      <c r="CN60">
        <f>MAX( 0, MIN(BedPlan[[#This Row],[Expected End of Harvest]], EOMONTH(CN$4, 0)) - MAX(BedPlan[[#This Row],[Beginning of Harvest]], CN$4) + 1 )</f>
        <v>0</v>
      </c>
      <c r="CO60">
        <f>MAX( 0, MIN(BedPlan[[#This Row],[Expected End of Harvest]], EOMONTH(CO$4, 0)) - MAX(BedPlan[[#This Row],[Beginning of Harvest]], CO$4) + 1 )</f>
        <v>0</v>
      </c>
      <c r="CP60">
        <f>MAX( 0, MIN(BedPlan[[#This Row],[Expected End of Harvest]], EOMONTH(CP$4, 0)) - MAX(BedPlan[[#This Row],[Beginning of Harvest]], CP$4) + 1 )</f>
        <v>0</v>
      </c>
      <c r="CQ60">
        <f>MAX( 0, MIN(BedPlan[[#This Row],[Expected End of Harvest]], EOMONTH(CQ$4, 0)) - MAX(BedPlan[[#This Row],[Beginning of Harvest]], CQ$4) + 1 )</f>
        <v>18</v>
      </c>
      <c r="CR60">
        <f>MAX( 0, MIN(BedPlan[[#This Row],[Expected End of Harvest]], EOMONTH(CR$4, 0)) - MAX(BedPlan[[#This Row],[Beginning of Harvest]], CR$4) + 1 )</f>
        <v>0</v>
      </c>
      <c r="CS60">
        <f>MAX( 0, MIN(BedPlan[[#This Row],[Expected End of Harvest]], EOMONTH(CS$4, 0)) - MAX(BedPlan[[#This Row],[Beginning of Harvest]], CS$4) + 1 )</f>
        <v>0</v>
      </c>
      <c r="CT60">
        <f>MAX( 0, MIN(BedPlan[[#This Row],[Expected End of Harvest]], EOMONTH(CT$4, 0)) - MAX(BedPlan[[#This Row],[Beginning of Harvest]], CT$4) + 1 )</f>
        <v>0</v>
      </c>
      <c r="CU60">
        <f>MAX( 0, MIN(BedPlan[[#This Row],[Expected End of Harvest]], EOMONTH(CU$4, 0)) - MAX(BedPlan[[#This Row],[Beginning of Harvest]], CU$4) + 1 )</f>
        <v>0</v>
      </c>
      <c r="CV60">
        <f>MAX( 0, MIN(BedPlan[[#This Row],[Expected End of Harvest]], EOMONTH(CV$4, 0)) - MAX(BedPlan[[#This Row],[Beginning of Harvest]], CV$4) + 1 )</f>
        <v>0</v>
      </c>
      <c r="CW60">
        <f>MAX( 0, MIN(BedPlan[[#This Row],[Expected End of Harvest]], EOMONTH(CW$4, 0)) - MAX(BedPlan[[#This Row],[Beginning of Harvest]], CW$4) + 1 )</f>
        <v>0</v>
      </c>
      <c r="CX60">
        <f>MAX( 0, MIN(BedPlan[[#This Row],[Expected End of Harvest]], EOMONTH(CX$4, 0)) - MAX(BedPlan[[#This Row],[Beginning of Harvest]], CX$4) + 1 )</f>
        <v>0</v>
      </c>
      <c r="CY60">
        <f>MAX( 0, MIN(BedPlan[[#This Row],[Expected End of Harvest]], EOMONTH(CY$4, 0)) - MAX(BedPlan[[#This Row],[Beginning of Harvest]], CY$4) + 1 )</f>
        <v>0</v>
      </c>
      <c r="CZ60">
        <f>MAX( 0, MIN(BedPlan[[#This Row],[Expected End of Harvest]], EOMONTH(CZ$4, 0)) - MAX(BedPlan[[#This Row],[Beginning of Harvest]], CZ$4) + 1 )</f>
        <v>0</v>
      </c>
      <c r="DA60">
        <f>MAX( 0, MIN(BedPlan[[#This Row],[Expected End of Harvest]], EOMONTH(DA$4, 0)) - MAX(BedPlan[[#This Row],[Beginning of Harvest]], DA$4) + 1 )</f>
        <v>0</v>
      </c>
      <c r="DB60">
        <f>MAX( 0, MIN(BedPlan[[#This Row],[Expected End of Harvest]], EOMONTH(DB$4, 0)) - MAX(BedPlan[[#This Row],[Beginning of Harvest]], DB$4) + 1 )</f>
        <v>0</v>
      </c>
      <c r="DC60">
        <f>MAX( 0, MIN(BedPlan[[#This Row],[Expected End of Harvest]], EOMONTH(DC$4, 0)) - MAX(BedPlan[[#This Row],[Beginning of Harvest]], DC$4) + 1 )</f>
        <v>0</v>
      </c>
      <c r="DD60">
        <f>MAX( 0, MIN(BedPlan[[#This Row],[Expected End of Harvest]], EOMONTH(DD$4, 0)) - MAX(BedPlan[[#This Row],[Beginning of Harvest]], DD$4) + 1 )</f>
        <v>0</v>
      </c>
      <c r="DE60">
        <f>MAX( 0, MIN(BedPlan[[#This Row],[Expected End of Harvest]], EOMONTH(DE$4, 0)) - MAX(BedPlan[[#This Row],[Beginning of Harvest]], DE$4) + 1 )</f>
        <v>0</v>
      </c>
      <c r="DF60">
        <f>MAX( 0, MIN(BedPlan[[#This Row],[Expected End of Harvest]], EOMONTH(DF$4, 0)) - MAX(BedPlan[[#This Row],[Beginning of Harvest]], DF$4) + 1 )</f>
        <v>0</v>
      </c>
      <c r="DG60">
        <f>MAX( 0, MIN(BedPlan[[#This Row],[Expected End of Harvest]], EOMONTH(DG$4, 0)) - MAX(BedPlan[[#This Row],[Beginning of Harvest]], DG$4) + 1 )</f>
        <v>0</v>
      </c>
      <c r="DH60">
        <f>MAX( 0, MIN(BedPlan[[#This Row],[Expected End of Harvest]], EOMONTH(DH$4, 0)) - MAX(BedPlan[[#This Row],[Beginning of Harvest]], DH$4) + 1 )</f>
        <v>0</v>
      </c>
      <c r="DI60" s="257" cm="1">
        <f t="array" ref="DI60">BedPlan[[#This Row],[Harvest Days January 2025]]/SUM(BedPlan[[#This Row],[Harvest Days January 2025]:[Harvest Days December 2026]])*BedPlan[[#This Row],[Revenue]:[Revenue]]</f>
        <v>0</v>
      </c>
      <c r="DJ60" s="257" cm="1">
        <f t="array" ref="DJ60">BedPlan[[#This Row],[Harvest Days February 2025]]/SUM(BedPlan[[#This Row],[Harvest Days January 2025]:[Harvest Days December 2026]])*BedPlan[[#This Row],[Revenue]:[Revenue]]</f>
        <v>0</v>
      </c>
      <c r="DK60" s="257" cm="1">
        <f t="array" ref="DK60">BedPlan[[#This Row],[Harvest Days March 2025]]/SUM(BedPlan[[#This Row],[Harvest Days January 2025]:[Harvest Days December 2026]])*BedPlan[[#This Row],[Revenue]:[Revenue]]</f>
        <v>0</v>
      </c>
      <c r="DL60" s="257" cm="1">
        <f t="array" ref="DL60">BedPlan[[#This Row],[Harvest Days April 2025]]/SUM(BedPlan[[#This Row],[Harvest Days January 2025]:[Harvest Days December 2026]])*BedPlan[[#This Row],[Revenue]:[Revenue]]</f>
        <v>0</v>
      </c>
      <c r="DM60" s="257" cm="1">
        <f t="array" ref="DM60">BedPlan[[#This Row],[Harvest Days May 2025]]/SUM(BedPlan[[#This Row],[Harvest Days January 2025]:[Harvest Days December 2026]])*BedPlan[[#This Row],[Revenue]:[Revenue]]</f>
        <v>0</v>
      </c>
      <c r="DN60" s="257" cm="1">
        <f t="array" ref="DN60">BedPlan[[#This Row],[Harvest Days June 2025]]/SUM(BedPlan[[#This Row],[Harvest Days January 2025]:[Harvest Days December 2026]])*BedPlan[[#This Row],[Revenue]:[Revenue]]</f>
        <v>0</v>
      </c>
      <c r="DO60" s="257" cm="1">
        <f t="array" ref="DO60">BedPlan[[#This Row],[Harvest Days July 2025]]/SUM(BedPlan[[#This Row],[Harvest Days January 2025]:[Harvest Days December 2026]])*BedPlan[[#This Row],[Revenue]:[Revenue]]</f>
        <v>320</v>
      </c>
      <c r="DP60" s="257" cm="1">
        <f t="array" ref="DP60">BedPlan[[#This Row],[Harvest Days August 2025]]/SUM(BedPlan[[#This Row],[Harvest Days January 2025]:[Harvest Days December 2026]])*BedPlan[[#This Row],[Revenue]:[Revenue]]</f>
        <v>0</v>
      </c>
      <c r="DQ60" s="257" cm="1">
        <f t="array" ref="DQ60">BedPlan[[#This Row],[Harvest Days September 2025]]/SUM(BedPlan[[#This Row],[Harvest Days January 2025]:[Harvest Days December 2026]])*BedPlan[[#This Row],[Revenue]:[Revenue]]</f>
        <v>0</v>
      </c>
      <c r="DR60" s="257" cm="1">
        <f t="array" ref="DR60">BedPlan[[#This Row],[Harvest Days October 2025]]/SUM(BedPlan[[#This Row],[Harvest Days January 2025]:[Harvest Days December 2026]])*BedPlan[[#This Row],[Revenue]:[Revenue]]</f>
        <v>0</v>
      </c>
      <c r="DS60" s="257" cm="1">
        <f t="array" ref="DS60">BedPlan[[#This Row],[Harvest Days November 2025]]/SUM(BedPlan[[#This Row],[Harvest Days January 2025]:[Harvest Days December 2026]])*BedPlan[[#This Row],[Revenue]:[Revenue]]</f>
        <v>0</v>
      </c>
      <c r="DT60" s="257" cm="1">
        <f t="array" ref="DT60">BedPlan[[#This Row],[Harvest Days December 2025]]/SUM(BedPlan[[#This Row],[Harvest Days January 2025]:[Harvest Days December 2026]])*BedPlan[[#This Row],[Revenue]:[Revenue]]</f>
        <v>0</v>
      </c>
      <c r="DU60" s="257" cm="1">
        <f t="array" ref="DU60">BedPlan[[#This Row],[Harvest Days January 2026]]/SUM(BedPlan[[#This Row],[Harvest Days January 2025]:[Harvest Days December 2026]])*BedPlan[[#This Row],[Revenue]:[Revenue]]</f>
        <v>0</v>
      </c>
      <c r="DV60" s="257" cm="1">
        <f t="array" ref="DV60">BedPlan[[#This Row],[Harvest Days February 2026]]/SUM(BedPlan[[#This Row],[Harvest Days January 2025]:[Harvest Days December 2026]])*BedPlan[[#This Row],[Revenue]:[Revenue]]</f>
        <v>0</v>
      </c>
      <c r="DW60" s="257" cm="1">
        <f t="array" ref="DW60">BedPlan[[#This Row],[Harvest Days March 2026]]/SUM(BedPlan[[#This Row],[Harvest Days January 2025]:[Harvest Days December 2026]])*BedPlan[[#This Row],[Revenue]:[Revenue]]</f>
        <v>0</v>
      </c>
      <c r="DX60" s="257" cm="1">
        <f t="array" ref="DX60">BedPlan[[#This Row],[Harvest Days April 2026]]/SUM(BedPlan[[#This Row],[Harvest Days January 2025]:[Harvest Days December 2026]])*BedPlan[[#This Row],[Revenue]:[Revenue]]</f>
        <v>0</v>
      </c>
      <c r="DY60" s="257" cm="1">
        <f t="array" ref="DY60">BedPlan[[#This Row],[Harvest Days May 2026]]/SUM(BedPlan[[#This Row],[Harvest Days January 2025]:[Harvest Days December 2026]])*BedPlan[[#This Row],[Revenue]:[Revenue]]</f>
        <v>0</v>
      </c>
      <c r="DZ60" s="257" cm="1">
        <f t="array" ref="DZ60">BedPlan[[#This Row],[Harvest Days June 2026]]/SUM(BedPlan[[#This Row],[Harvest Days January 2025]:[Harvest Days December 2026]])*BedPlan[[#This Row],[Revenue]:[Revenue]]</f>
        <v>0</v>
      </c>
      <c r="EA60" s="257" cm="1">
        <f t="array" ref="EA60">BedPlan[[#This Row],[Harvest Days July 2026]]/SUM(BedPlan[[#This Row],[Harvest Days January 2025]:[Harvest Days December 2026]])*BedPlan[[#This Row],[Revenue]:[Revenue]]</f>
        <v>0</v>
      </c>
      <c r="EB60" s="257" cm="1">
        <f t="array" ref="EB60">BedPlan[[#This Row],[Harvest Days August 2026]]/SUM(BedPlan[[#This Row],[Harvest Days January 2025]:[Harvest Days December 2026]])*BedPlan[[#This Row],[Revenue]:[Revenue]]</f>
        <v>0</v>
      </c>
      <c r="EC60" s="257" cm="1">
        <f t="array" ref="EC60">BedPlan[[#This Row],[Harvest Days September 2026]]/SUM(BedPlan[[#This Row],[Harvest Days January 2025]:[Harvest Days December 2026]])*BedPlan[[#This Row],[Revenue]:[Revenue]]</f>
        <v>0</v>
      </c>
      <c r="ED60" s="257" cm="1">
        <f t="array" ref="ED60">BedPlan[[#This Row],[Harvest Days October 2026]]/SUM(BedPlan[[#This Row],[Harvest Days January 2025]:[Harvest Days December 2026]])*BedPlan[[#This Row],[Revenue]:[Revenue]]</f>
        <v>0</v>
      </c>
      <c r="EE60" s="257" cm="1">
        <f t="array" ref="EE60">BedPlan[[#This Row],[Harvest Days November 2026]]/SUM(BedPlan[[#This Row],[Harvest Days January 2025]:[Harvest Days December 2026]])*BedPlan[[#This Row],[Revenue]:[Revenue]]</f>
        <v>0</v>
      </c>
      <c r="EF60" s="257" cm="1">
        <f t="array" ref="EF60">BedPlan[[#This Row],[Harvest Days December 2026]]/SUM(BedPlan[[#This Row],[Harvest Days January 2025]:[Harvest Days December 2026]])*BedPlan[[#This Row],[Revenue]:[Revenue]]</f>
        <v>0</v>
      </c>
      <c r="EG60" t="b">
        <f>SUM(BedPlan[[#This Row],[Revenue January 2025]:[Revenue December 2026]])=BedPlan[[#This Row],[Revenue]]</f>
        <v>1</v>
      </c>
      <c r="EH60" s="30" cm="1">
        <f t="array" ref="EH60">INDEX(Crops[],BedPlan[[#This Row],[Chart Index]],EH$4,1)*BedPlan[[#This Row],['# Of Beds]]</f>
        <v>160</v>
      </c>
      <c r="EI60" s="30" t="str" cm="1">
        <f t="array" ref="EI60">INDEX(Crops[],BedPlan[[#This Row],[Chart Index]],EI$4,1)</f>
        <v>Bunch</v>
      </c>
      <c r="EJ60" s="30" t="str" cm="1">
        <f t="array" ref="EJ60">INDEX(Crops[],BedPlan[[#This Row],[Chart Index]],EJ$4,1)</f>
        <v>Mature Leaf</v>
      </c>
      <c r="EK60" s="30" t="str">
        <f>BedPlan[[#This Row],[Name]]&amp;" "&amp;BedPlan[[#This Row],[Product]]&amp; " - " &amp;BedPlan[[#This Row],[Unit]]</f>
        <v>Dill Mature Leaf - Bunch</v>
      </c>
      <c r="EL60" s="33" cm="1">
        <f t="array" ref="EL60">BedPlan[[#This Row],[Harvest Days January 2025]]/SUM(BedPlan[[#This Row],[Harvest Days January 2025]:[Harvest Days December 2026]])*BedPlan[[#This Row],[Yield]:[Yield]]</f>
        <v>0</v>
      </c>
      <c r="EM60" s="33" cm="1">
        <f t="array" ref="EM60">BedPlan[[#This Row],[Harvest Days February 2025]]/SUM(BedPlan[[#This Row],[Harvest Days January 2025]:[Harvest Days December 2026]])*BedPlan[[#This Row],[Yield]:[Yield]]</f>
        <v>0</v>
      </c>
      <c r="EN60" s="33" cm="1">
        <f t="array" ref="EN60">BedPlan[[#This Row],[Harvest Days March 2025]]/SUM(BedPlan[[#This Row],[Harvest Days January 2025]:[Harvest Days December 2026]])*BedPlan[[#This Row],[Yield]:[Yield]]</f>
        <v>0</v>
      </c>
      <c r="EO60" s="33" cm="1">
        <f t="array" ref="EO60">BedPlan[[#This Row],[Harvest Days April 2025]]/SUM(BedPlan[[#This Row],[Harvest Days January 2025]:[Harvest Days December 2026]])*BedPlan[[#This Row],[Yield]:[Yield]]</f>
        <v>0</v>
      </c>
      <c r="EP60" s="33" cm="1">
        <f t="array" ref="EP60">BedPlan[[#This Row],[Harvest Days May 2025]]/SUM(BedPlan[[#This Row],[Harvest Days January 2025]:[Harvest Days December 2026]])*BedPlan[[#This Row],[Yield]:[Yield]]</f>
        <v>0</v>
      </c>
      <c r="EQ60" s="33" cm="1">
        <f t="array" ref="EQ60">BedPlan[[#This Row],[Harvest Days June 2025]]/SUM(BedPlan[[#This Row],[Harvest Days January 2025]:[Harvest Days December 2026]])*BedPlan[[#This Row],[Yield]:[Yield]]</f>
        <v>0</v>
      </c>
      <c r="ER60" s="33" cm="1">
        <f t="array" ref="ER60">BedPlan[[#This Row],[Harvest Days July 2025]]/SUM(BedPlan[[#This Row],[Harvest Days January 2025]:[Harvest Days December 2026]])*BedPlan[[#This Row],[Yield]:[Yield]]</f>
        <v>160</v>
      </c>
      <c r="ES60" s="33" cm="1">
        <f t="array" ref="ES60">BedPlan[[#This Row],[Harvest Days August 2025]]/SUM(BedPlan[[#This Row],[Harvest Days January 2025]:[Harvest Days December 2026]])*BedPlan[[#This Row],[Yield]:[Yield]]</f>
        <v>0</v>
      </c>
      <c r="ET60" s="33" cm="1">
        <f t="array" ref="ET60">BedPlan[[#This Row],[Harvest Days September 2025]]/SUM(BedPlan[[#This Row],[Harvest Days January 2025]:[Harvest Days December 2026]])*BedPlan[[#This Row],[Yield]:[Yield]]</f>
        <v>0</v>
      </c>
      <c r="EU60" s="33" cm="1">
        <f t="array" ref="EU60">BedPlan[[#This Row],[Harvest Days October 2025]]/SUM(BedPlan[[#This Row],[Harvest Days January 2025]:[Harvest Days December 2026]])*BedPlan[[#This Row],[Yield]:[Yield]]</f>
        <v>0</v>
      </c>
      <c r="EV60" s="33" cm="1">
        <f t="array" ref="EV60">BedPlan[[#This Row],[Harvest Days November 2025]]/SUM(BedPlan[[#This Row],[Harvest Days January 2025]:[Harvest Days December 2026]])*BedPlan[[#This Row],[Yield]:[Yield]]</f>
        <v>0</v>
      </c>
      <c r="EW60" s="33" cm="1">
        <f t="array" ref="EW60">BedPlan[[#This Row],[Harvest Days December 2025]]/SUM(BedPlan[[#This Row],[Harvest Days January 2025]:[Harvest Days December 2026]])*BedPlan[[#This Row],[Yield]:[Yield]]</f>
        <v>0</v>
      </c>
    </row>
    <row r="61" spans="1:153" ht="15.75" customHeight="1">
      <c r="A61" s="180" t="s">
        <v>2748</v>
      </c>
      <c r="B61" s="240" t="s">
        <v>2743</v>
      </c>
      <c r="C61" t="s">
        <v>1452</v>
      </c>
      <c r="D61" s="226" cm="1">
        <f t="array" ref="D61">INDEX(Crops[],BedPlan[[#This Row],[Chart Index]],D$4,1)*BedPlan[[#This Row],[Full Bed Equivalent]]</f>
        <v>56</v>
      </c>
      <c r="E61" s="226" cm="1">
        <f t="array" ref="E61">INDEX(Crops[],BedPlan[[#This Row],[Chart Index]],E$4,1)*BedPlan[[#This Row],[Full Bed Equivalent]]</f>
        <v>160</v>
      </c>
      <c r="F61" t="str">
        <f>UPPER(LEFT(BedPlan[[#This Row],[Crop]],3))</f>
        <v>DIL</v>
      </c>
      <c r="H61" s="143" t="str" cm="1">
        <f t="array" ref="H61">INDEX(Crops[],BedPlan[[#This Row],[Chart Index]],H$4,1)</f>
        <v>Dill</v>
      </c>
      <c r="I61" t="s">
        <v>614</v>
      </c>
      <c r="K61" t="str" cm="1">
        <f t="array" ref="K61">IF(ISNUMBER(MATCH(BedPlan[[#This Row],[Variety]],SeedMixes[Name],)),_xlfn.TEXTJOIN(", ",TRUE,_xlfn._xlws.FILTER(SeedMixes[Variety &amp; Company],SeedMixes[Name]=BedPlan[[#This Row],[Variety]])),"")</f>
        <v>Thalia OG Johnny's, Bouquet OG Osborne, Ambrosia Adaptive, Green Sleeves High Mowing</v>
      </c>
      <c r="L61" s="33" cm="1">
        <f t="array" ref="L61">INDEX(Crops[],BedPlan[[#This Row],[Chart Index]],L$4,1)*BedPlan[[#This Row],[Full Bed Equivalent]]</f>
        <v>880.00000000000011</v>
      </c>
      <c r="N61">
        <v>0.25</v>
      </c>
      <c r="O61">
        <f>MAX(BedPlan[[#This Row],['# Of Beds]],0.5)</f>
        <v>0.5</v>
      </c>
      <c r="P61" s="31">
        <f>IF(ISNUMBER(BedPlan[[#This Row],[Planned Greenhouse Start Date]]),BedPlan[[#This Row],[Planned Greenhouse Start Date]],BedPlan[[#This Row],[Planned TP or DS Date]])</f>
        <v>45784</v>
      </c>
      <c r="Q61" s="259">
        <f>IF(BedPlan[[#This Row],[Days in Cells]]=0,"",IFERROR(_xlfn.XLOOKUP(BedPlan[[#This Row],[Follows Crop]],BedPlan[Identifier],BedPlan[Expected End of Harvest]) + 1+BedPlan[[#This Row],[Follow Offset]],BedPlan[[#This Row],[Fixed Field Start Date]])-BedPlan[[#This Row],[Days in Cells]])</f>
        <v>45784</v>
      </c>
      <c r="R61" s="259">
        <v>45791</v>
      </c>
      <c r="S61" s="259">
        <f>IF(ISNUMBER(BedPlan[[#This Row],[Actual Greenhouse Date]]),BedPlan[[#This Row],[Actual Greenhouse Date]],BedPlan[[#This Row],[Planned Greenhouse Start Date]])</f>
        <v>45791</v>
      </c>
      <c r="T61" s="259">
        <f>_xlfn.XLOOKUP(BedPlan[[#This Row],[Crop]],Crops[Identifier],Crops[Target Field Date])+14*4</f>
        <v>45810</v>
      </c>
      <c r="U61" s="260"/>
      <c r="V61" s="260"/>
      <c r="W6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45817</v>
      </c>
      <c r="X61" s="259"/>
      <c r="Y61" s="271">
        <f>BedPlan[[#This Row],[Actual TP or DS Date]]-BedPlan[[#This Row],[Planned TP or DS Date]]</f>
        <v>-45817</v>
      </c>
      <c r="Z61" s="259">
        <f>IF(ISNUMBER(BedPlan[[#This Row],[Actual TP or DS Date]]),BedPlan[[#This Row],[Actual TP or DS Date]],BedPlan[[#This Row],[Planned TP or DS Date]])</f>
        <v>45817</v>
      </c>
      <c r="AA61" s="260"/>
      <c r="AB61" s="259">
        <f>IF(ISNUMBER(BedPlan[[#This Row],[Greenhouse Start Date]]),BedPlan[[#This Row],[Greenhouse Start Date]]+BedPlan[[#This Row],[DTM]],BedPlan[[#This Row],[TP or DS Date]]+BedPlan[[#This Row],[DTM]])</f>
        <v>45867</v>
      </c>
      <c r="AC61" s="259"/>
      <c r="AD61" s="259">
        <f>IF(ISNUMBER(BedPlan[[#This Row],[Actual Beginning of Harvest]]),BedPlan[[#This Row],[Actual Beginning of Harvest]],BedPlan[[#This Row],[Expected Beginning of Harvest]])</f>
        <v>45867</v>
      </c>
      <c r="AE61" s="259">
        <f>BedPlan[[#This Row],[Expected Beginning of Harvest]]+BedPlan[[#This Row],[Harvest Window]]+BedPlan[[#This Row],[Additional Days of Harvest]]</f>
        <v>45884</v>
      </c>
      <c r="AF61" s="259"/>
      <c r="AG61" s="259"/>
      <c r="AH61" s="31" t="b">
        <f>IF(AND( BedPlan[[#This Row],[Expected End of Harvest]] &gt;= DATE(2025, 8, 1), BedPlan[[#This Row],[Beginning of Harvest]] &lt;= DATE(2025, 8, 31) ), TRUE, FALSE)</f>
        <v>1</v>
      </c>
      <c r="AI61" s="31"/>
      <c r="AJ61" s="31">
        <f>IF(ISNUMBER(BedPlan[[#This Row],[Actual End of Harvest]]),BedPlan[[#This Row],[Actual End of Harvest]],BedPlan[[#This Row],[Expected End of Harvest]])</f>
        <v>45884</v>
      </c>
      <c r="AK61" t="b">
        <f>OR(ISNUMBER(BedPlan[[#This Row],[Actual Greenhouse Date]]),ISNUMBER(BedPlan[[#This Row],[Actual TP or DS Date]]))</f>
        <v>1</v>
      </c>
      <c r="AL61" s="52" t="b">
        <f>IF(ISNUMBER(BedPlan[[#This Row],[Planned Greenhouse Start Date]]),OR(ISNUMBER(BedPlan[[#This Row],[Actual TP or DS Date]]),BedPlan[[#This Row],[Failed]]),"-")</f>
        <v>0</v>
      </c>
      <c r="AM61" t="b">
        <f>OR(ISNUMBER(BedPlan[[#This Row],[Actual End of Harvest]]),BedPlan[[#This Row],[Failed]])</f>
        <v>0</v>
      </c>
      <c r="AN61" t="b">
        <f>OR(BedPlan[[#This Row],[Harvest Done]],BedPlan[[#This Row],[Failed]],BedPlan[[#This Row],[Name]]="Tarp")</f>
        <v>0</v>
      </c>
      <c r="AS61" s="26" t="str">
        <f>IF(BedPlan[[#This Row],[Broadfork]],BedPlan[[#This Row],[Actual TP or DS Date]],"")</f>
        <v/>
      </c>
      <c r="AT61" s="26" t="str">
        <f>IF(BedPlan[[#This Row],[Tilther]],BedPlan[[#This Row],[Actual TP or DS Date]],"")</f>
        <v/>
      </c>
      <c r="AU61" s="26" t="str">
        <f>IF(NOT(ISBLANK(BedPlan[[#This Row],[Amend]])),BedPlan[[#This Row],[Actual TP or DS Date]],"")</f>
        <v/>
      </c>
      <c r="AV61" s="26" t="str">
        <f>IF(BedPlan[[#This Row],[Row Cover]],BedPlan[[#This Row],[Actual TP or DS Date]],"")</f>
        <v/>
      </c>
      <c r="AX61" s="26"/>
      <c r="AZ61" s="26"/>
      <c r="BB61" s="26"/>
      <c r="BC61" s="231" cm="1">
        <f t="array" ref="BC61">INDEX(Crops[],BedPlan[[#This Row],[Chart Index]],BC$4,1)*BedPlan[[#This Row],[Full Bed Equivalent]]</f>
        <v>320</v>
      </c>
      <c r="BD61" s="231" cm="1">
        <f t="array" ref="BD61">INDEX(Crops[],BedPlan[[#This Row],[Chart Index]],BD$4,1)*BedPlan[[#This Row],[Full Bed Equivalent]]</f>
        <v>4.7761194029850742</v>
      </c>
      <c r="BE61" cm="1">
        <f t="array" ref="BE61">INDEX(Crops[],BedPlan[[#This Row],[Chart Index]],BE$4,1)+BedPlan[[#This Row],[Additional Days in Cells]]+BedPlan[[#This Row],[Additional Days In Field]]</f>
        <v>76</v>
      </c>
      <c r="BG61" cm="1">
        <f t="array" ref="BG61">INDEX(Crops[],BedPlan[[#This Row],[Chart Index]],BG$4,1)</f>
        <v>17</v>
      </c>
      <c r="BH61" t="str">
        <f>IF(ISNUMBER(BedPlan[[#This Row],[Planned Greenhouse Start Date]]),"TP","DS")</f>
        <v>TP</v>
      </c>
      <c r="BI61">
        <f>BedPlan[[#This Row],['# Of Beds]]</f>
        <v>0.25</v>
      </c>
      <c r="BJ61" cm="1">
        <f t="array" ref="BJ61">INDEX(Crops[],BedPlan[[#This Row],[Chart Index]],BJ$4,1)</f>
        <v>26</v>
      </c>
      <c r="BK61" cm="1">
        <f t="array" ref="BK61">INDEX(Crops[],BedPlan[[#This Row],[Chart Index]],BK$4,1)</f>
        <v>4</v>
      </c>
      <c r="BL61" cm="1">
        <f t="array" ref="BL61">INDEX(Crops[],BedPlan[[#This Row],[Chart Index]],BL$4,1)</f>
        <v>3</v>
      </c>
      <c r="BM61" cm="1">
        <f t="array" ref="BM61">INDEX(Crops[],BedPlan[[#This Row],[Chart Index]],BM$4,1)</f>
        <v>4</v>
      </c>
      <c r="BN61" s="32" cm="1">
        <f t="array" ref="BN61">INDEX(Crops[],BedPlan[[#This Row],[Chart Index]],BN$4,1)*BedPlan[[#This Row],[Full Bed Equivalent]]</f>
        <v>200</v>
      </c>
      <c r="BO61" t="str" cm="1">
        <f t="array" ref="BO61">IF(INDEX(Crops[],BedPlan[[#This Row],[Chart Index]],BO$4,1)=0,"",INDEX(Crops[],BedPlan[[#This Row],[Chart Index]],BO$4,1))</f>
        <v/>
      </c>
      <c r="BP61">
        <f>MATCH(BedPlan[[#This Row],[Crop]],Crops[Identifier],FALSE)</f>
        <v>118</v>
      </c>
      <c r="BQ61" t="str" cm="1">
        <f t="array" ref="BQ61">INDEX(Crops[],BedPlan[[#This Row],[Chart Index]],BQ$4,1)</f>
        <v>General</v>
      </c>
      <c r="BR61" t="str" cm="1">
        <f t="array" ref="BR61">INDEX(Crops[],BedPlan[[#This Row],[Chart Index]],BR$4,1)</f>
        <v>Su</v>
      </c>
      <c r="BS61" s="32">
        <f>BedPlan[[#This Row],[Expected Beginning of Harvest]]-DATE(2023,1,1)</f>
        <v>940</v>
      </c>
      <c r="BT61">
        <f>BedPlan[[#This Row],[Expected End of Harvest]]-BedPlan[[#This Row],[Expected Beginning of Harvest]]</f>
        <v>17</v>
      </c>
      <c r="BU61" t="str" cm="1">
        <f t="array" ref="BU61">INDEX(Crops[],BedPlan[[#This Row],[Chart Index]],BU$4,1)</f>
        <v>Herb</v>
      </c>
      <c r="BV61" cm="1">
        <f t="array" ref="BV61">INDEX(Crops[],BedPlan[[#This Row],[Chart Index]],BV$4,1)</f>
        <v>4</v>
      </c>
      <c r="BW61" t="str" cm="1">
        <f t="array" ref="BW61">INDEX(Crops[],BedPlan[[#This Row],[Chart Index]],BW$4,1)</f>
        <v>None</v>
      </c>
      <c r="BX61" cm="1">
        <f t="array" ref="BX61">INDEX(Crops[],BedPlan[[#This Row],[Chart Index]],BX$4,1)</f>
        <v>128</v>
      </c>
      <c r="BY61" cm="1">
        <f t="array" ref="BY61">INDEX(Crops[],BedPlan[[#This Row],[Chart Index]],BY$4,1)</f>
        <v>26</v>
      </c>
      <c r="BZ61" s="49" cm="1">
        <f t="array" ref="BZ61">IFERROR(INDEX(Crops[],BedPlan[[#This Row],[Chart Index]],BZ$4,1)*BedPlan[[#This Row],[Full Bed Equivalent]],"")</f>
        <v>1.7187500000000002</v>
      </c>
      <c r="CA61" cm="1">
        <f t="array" ref="CA61">INDEX(Crops[],BedPlan[[#This Row],[Chart Index]],CA$4,1)</f>
        <v>0</v>
      </c>
      <c r="CB61" cm="1">
        <f t="array" ref="CB61">INDEX(Crops[],BedPlan[[#This Row],[Chart Index]],CB$4,1)</f>
        <v>0</v>
      </c>
      <c r="CC61" s="49" t="str" cm="1">
        <f t="array" ref="CC61">IFERROR(INDEX(Crops[],BedPlan[[#This Row],[Chart Index]],CC$4,1)*BedPlan[[#This Row],[Full Bed Equivalent]],"")</f>
        <v/>
      </c>
      <c r="CD61" cm="1">
        <f t="array" ref="CD61">INDEX(Crops[],BedPlan[[#This Row],[Chart Index]],CD$4,1)</f>
        <v>0</v>
      </c>
      <c r="CE61" cm="1">
        <f t="array" ref="CE61">IF(INDEX(Crops[],BedPlan[[#This Row],[Chart Index]],CE$4,1)="",0,INDEX(Crops[],BedPlan[[#This Row],[Chart Index]],CE$4,1))</f>
        <v>0</v>
      </c>
      <c r="CF61" s="49" t="str" cm="1">
        <f t="array" ref="CF61">IFERROR(INDEX(Crops[],BedPlan[[#This Row],[Chart Index]],CF$4,1)*BedPlan[[#This Row],[Full Bed Equivalent]],"")</f>
        <v/>
      </c>
      <c r="CG61" cm="1">
        <f t="array" ref="CG61">IF(INDEX(Crops[],BedPlan[[#This Row],[Chart Index]],CG$4,1)="",0,INDEX(Crops[],BedPlan[[#This Row],[Chart Index]],CG$4,1))</f>
        <v>1.1000000000000001</v>
      </c>
      <c r="CH61" cm="1">
        <f t="array" ref="CH61">IF(INDEX(Crops[],BedPlan[[#This Row],[Chart Index]],CH$4,1)="",0,INDEX(Crops[],BedPlan[[#This Row],[Chart Index]],CH$4,1))</f>
        <v>0</v>
      </c>
      <c r="CI61" t="str" cm="1">
        <f t="array" ref="CI61">INDEX(Crops[],BedPlan[[#This Row],[Chart Index]],CI$4,1)</f>
        <v>Field</v>
      </c>
      <c r="CJ61" s="30" t="str">
        <f>_xlfn.TEXTJOIN(CHAR(10),FALSE,BedPlan[[#This Row],[Name]],BedPlan[[#This Row],[Variety]],BedPlan[[#This Row],[Company]])</f>
        <v xml:space="preserve">Dill
Dill Mix
</v>
      </c>
      <c r="CK61" s="32">
        <f>MAX( 0, MIN(BedPlan[[#This Row],[Expected End of Harvest]], EOMONTH(CK$4, 0)) - MAX(BedPlan[[#This Row],[Beginning of Harvest]], CK$4) + 1 )</f>
        <v>0</v>
      </c>
      <c r="CL61">
        <f>MAX( 0, MIN(BedPlan[[#This Row],[Expected End of Harvest]], EOMONTH(CL$4, 0)) - MAX(BedPlan[[#This Row],[Beginning of Harvest]], CL$4) + 1 )</f>
        <v>0</v>
      </c>
      <c r="CM61">
        <f>MAX( 0, MIN(BedPlan[[#This Row],[Expected End of Harvest]], EOMONTH(CM$4, 0)) - MAX(BedPlan[[#This Row],[Beginning of Harvest]], CM$4) + 1 )</f>
        <v>0</v>
      </c>
      <c r="CN61">
        <f>MAX( 0, MIN(BedPlan[[#This Row],[Expected End of Harvest]], EOMONTH(CN$4, 0)) - MAX(BedPlan[[#This Row],[Beginning of Harvest]], CN$4) + 1 )</f>
        <v>0</v>
      </c>
      <c r="CO61">
        <f>MAX( 0, MIN(BedPlan[[#This Row],[Expected End of Harvest]], EOMONTH(CO$4, 0)) - MAX(BedPlan[[#This Row],[Beginning of Harvest]], CO$4) + 1 )</f>
        <v>0</v>
      </c>
      <c r="CP61">
        <f>MAX( 0, MIN(BedPlan[[#This Row],[Expected End of Harvest]], EOMONTH(CP$4, 0)) - MAX(BedPlan[[#This Row],[Beginning of Harvest]], CP$4) + 1 )</f>
        <v>0</v>
      </c>
      <c r="CQ61">
        <f>MAX( 0, MIN(BedPlan[[#This Row],[Expected End of Harvest]], EOMONTH(CQ$4, 0)) - MAX(BedPlan[[#This Row],[Beginning of Harvest]], CQ$4) + 1 )</f>
        <v>3</v>
      </c>
      <c r="CR61">
        <f>MAX( 0, MIN(BedPlan[[#This Row],[Expected End of Harvest]], EOMONTH(CR$4, 0)) - MAX(BedPlan[[#This Row],[Beginning of Harvest]], CR$4) + 1 )</f>
        <v>15</v>
      </c>
      <c r="CS61">
        <f>MAX( 0, MIN(BedPlan[[#This Row],[Expected End of Harvest]], EOMONTH(CS$4, 0)) - MAX(BedPlan[[#This Row],[Beginning of Harvest]], CS$4) + 1 )</f>
        <v>0</v>
      </c>
      <c r="CT61">
        <f>MAX( 0, MIN(BedPlan[[#This Row],[Expected End of Harvest]], EOMONTH(CT$4, 0)) - MAX(BedPlan[[#This Row],[Beginning of Harvest]], CT$4) + 1 )</f>
        <v>0</v>
      </c>
      <c r="CU61">
        <f>MAX( 0, MIN(BedPlan[[#This Row],[Expected End of Harvest]], EOMONTH(CU$4, 0)) - MAX(BedPlan[[#This Row],[Beginning of Harvest]], CU$4) + 1 )</f>
        <v>0</v>
      </c>
      <c r="CV61">
        <f>MAX( 0, MIN(BedPlan[[#This Row],[Expected End of Harvest]], EOMONTH(CV$4, 0)) - MAX(BedPlan[[#This Row],[Beginning of Harvest]], CV$4) + 1 )</f>
        <v>0</v>
      </c>
      <c r="CW61">
        <f>MAX( 0, MIN(BedPlan[[#This Row],[Expected End of Harvest]], EOMONTH(CW$4, 0)) - MAX(BedPlan[[#This Row],[Beginning of Harvest]], CW$4) + 1 )</f>
        <v>0</v>
      </c>
      <c r="CX61">
        <f>MAX( 0, MIN(BedPlan[[#This Row],[Expected End of Harvest]], EOMONTH(CX$4, 0)) - MAX(BedPlan[[#This Row],[Beginning of Harvest]], CX$4) + 1 )</f>
        <v>0</v>
      </c>
      <c r="CY61">
        <f>MAX( 0, MIN(BedPlan[[#This Row],[Expected End of Harvest]], EOMONTH(CY$4, 0)) - MAX(BedPlan[[#This Row],[Beginning of Harvest]], CY$4) + 1 )</f>
        <v>0</v>
      </c>
      <c r="CZ61">
        <f>MAX( 0, MIN(BedPlan[[#This Row],[Expected End of Harvest]], EOMONTH(CZ$4, 0)) - MAX(BedPlan[[#This Row],[Beginning of Harvest]], CZ$4) + 1 )</f>
        <v>0</v>
      </c>
      <c r="DA61">
        <f>MAX( 0, MIN(BedPlan[[#This Row],[Expected End of Harvest]], EOMONTH(DA$4, 0)) - MAX(BedPlan[[#This Row],[Beginning of Harvest]], DA$4) + 1 )</f>
        <v>0</v>
      </c>
      <c r="DB61">
        <f>MAX( 0, MIN(BedPlan[[#This Row],[Expected End of Harvest]], EOMONTH(DB$4, 0)) - MAX(BedPlan[[#This Row],[Beginning of Harvest]], DB$4) + 1 )</f>
        <v>0</v>
      </c>
      <c r="DC61">
        <f>MAX( 0, MIN(BedPlan[[#This Row],[Expected End of Harvest]], EOMONTH(DC$4, 0)) - MAX(BedPlan[[#This Row],[Beginning of Harvest]], DC$4) + 1 )</f>
        <v>0</v>
      </c>
      <c r="DD61">
        <f>MAX( 0, MIN(BedPlan[[#This Row],[Expected End of Harvest]], EOMONTH(DD$4, 0)) - MAX(BedPlan[[#This Row],[Beginning of Harvest]], DD$4) + 1 )</f>
        <v>0</v>
      </c>
      <c r="DE61">
        <f>MAX( 0, MIN(BedPlan[[#This Row],[Expected End of Harvest]], EOMONTH(DE$4, 0)) - MAX(BedPlan[[#This Row],[Beginning of Harvest]], DE$4) + 1 )</f>
        <v>0</v>
      </c>
      <c r="DF61">
        <f>MAX( 0, MIN(BedPlan[[#This Row],[Expected End of Harvest]], EOMONTH(DF$4, 0)) - MAX(BedPlan[[#This Row],[Beginning of Harvest]], DF$4) + 1 )</f>
        <v>0</v>
      </c>
      <c r="DG61">
        <f>MAX( 0, MIN(BedPlan[[#This Row],[Expected End of Harvest]], EOMONTH(DG$4, 0)) - MAX(BedPlan[[#This Row],[Beginning of Harvest]], DG$4) + 1 )</f>
        <v>0</v>
      </c>
      <c r="DH61">
        <f>MAX( 0, MIN(BedPlan[[#This Row],[Expected End of Harvest]], EOMONTH(DH$4, 0)) - MAX(BedPlan[[#This Row],[Beginning of Harvest]], DH$4) + 1 )</f>
        <v>0</v>
      </c>
      <c r="DI61" s="257" cm="1">
        <f t="array" ref="DI61">BedPlan[[#This Row],[Harvest Days January 2025]]/SUM(BedPlan[[#This Row],[Harvest Days January 2025]:[Harvest Days December 2026]])*BedPlan[[#This Row],[Revenue]:[Revenue]]</f>
        <v>0</v>
      </c>
      <c r="DJ61" s="257" cm="1">
        <f t="array" ref="DJ61">BedPlan[[#This Row],[Harvest Days February 2025]]/SUM(BedPlan[[#This Row],[Harvest Days January 2025]:[Harvest Days December 2026]])*BedPlan[[#This Row],[Revenue]:[Revenue]]</f>
        <v>0</v>
      </c>
      <c r="DK61" s="257" cm="1">
        <f t="array" ref="DK61">BedPlan[[#This Row],[Harvest Days March 2025]]/SUM(BedPlan[[#This Row],[Harvest Days January 2025]:[Harvest Days December 2026]])*BedPlan[[#This Row],[Revenue]:[Revenue]]</f>
        <v>0</v>
      </c>
      <c r="DL61" s="257" cm="1">
        <f t="array" ref="DL61">BedPlan[[#This Row],[Harvest Days April 2025]]/SUM(BedPlan[[#This Row],[Harvest Days January 2025]:[Harvest Days December 2026]])*BedPlan[[#This Row],[Revenue]:[Revenue]]</f>
        <v>0</v>
      </c>
      <c r="DM61" s="257" cm="1">
        <f t="array" ref="DM61">BedPlan[[#This Row],[Harvest Days May 2025]]/SUM(BedPlan[[#This Row],[Harvest Days January 2025]:[Harvest Days December 2026]])*BedPlan[[#This Row],[Revenue]:[Revenue]]</f>
        <v>0</v>
      </c>
      <c r="DN61" s="257" cm="1">
        <f t="array" ref="DN61">BedPlan[[#This Row],[Harvest Days June 2025]]/SUM(BedPlan[[#This Row],[Harvest Days January 2025]:[Harvest Days December 2026]])*BedPlan[[#This Row],[Revenue]:[Revenue]]</f>
        <v>0</v>
      </c>
      <c r="DO61" s="257" cm="1">
        <f t="array" ref="DO61">BedPlan[[#This Row],[Harvest Days July 2025]]/SUM(BedPlan[[#This Row],[Harvest Days January 2025]:[Harvest Days December 2026]])*BedPlan[[#This Row],[Revenue]:[Revenue]]</f>
        <v>53.333333333333329</v>
      </c>
      <c r="DP61" s="257" cm="1">
        <f t="array" ref="DP61">BedPlan[[#This Row],[Harvest Days August 2025]]/SUM(BedPlan[[#This Row],[Harvest Days January 2025]:[Harvest Days December 2026]])*BedPlan[[#This Row],[Revenue]:[Revenue]]</f>
        <v>266.66666666666669</v>
      </c>
      <c r="DQ61" s="257" cm="1">
        <f t="array" ref="DQ61">BedPlan[[#This Row],[Harvest Days September 2025]]/SUM(BedPlan[[#This Row],[Harvest Days January 2025]:[Harvest Days December 2026]])*BedPlan[[#This Row],[Revenue]:[Revenue]]</f>
        <v>0</v>
      </c>
      <c r="DR61" s="257" cm="1">
        <f t="array" ref="DR61">BedPlan[[#This Row],[Harvest Days October 2025]]/SUM(BedPlan[[#This Row],[Harvest Days January 2025]:[Harvest Days December 2026]])*BedPlan[[#This Row],[Revenue]:[Revenue]]</f>
        <v>0</v>
      </c>
      <c r="DS61" s="257" cm="1">
        <f t="array" ref="DS61">BedPlan[[#This Row],[Harvest Days November 2025]]/SUM(BedPlan[[#This Row],[Harvest Days January 2025]:[Harvest Days December 2026]])*BedPlan[[#This Row],[Revenue]:[Revenue]]</f>
        <v>0</v>
      </c>
      <c r="DT61" s="257" cm="1">
        <f t="array" ref="DT61">BedPlan[[#This Row],[Harvest Days December 2025]]/SUM(BedPlan[[#This Row],[Harvest Days January 2025]:[Harvest Days December 2026]])*BedPlan[[#This Row],[Revenue]:[Revenue]]</f>
        <v>0</v>
      </c>
      <c r="DU61" s="257" cm="1">
        <f t="array" ref="DU61">BedPlan[[#This Row],[Harvest Days January 2026]]/SUM(BedPlan[[#This Row],[Harvest Days January 2025]:[Harvest Days December 2026]])*BedPlan[[#This Row],[Revenue]:[Revenue]]</f>
        <v>0</v>
      </c>
      <c r="DV61" s="257" cm="1">
        <f t="array" ref="DV61">BedPlan[[#This Row],[Harvest Days February 2026]]/SUM(BedPlan[[#This Row],[Harvest Days January 2025]:[Harvest Days December 2026]])*BedPlan[[#This Row],[Revenue]:[Revenue]]</f>
        <v>0</v>
      </c>
      <c r="DW61" s="257" cm="1">
        <f t="array" ref="DW61">BedPlan[[#This Row],[Harvest Days March 2026]]/SUM(BedPlan[[#This Row],[Harvest Days January 2025]:[Harvest Days December 2026]])*BedPlan[[#This Row],[Revenue]:[Revenue]]</f>
        <v>0</v>
      </c>
      <c r="DX61" s="257" cm="1">
        <f t="array" ref="DX61">BedPlan[[#This Row],[Harvest Days April 2026]]/SUM(BedPlan[[#This Row],[Harvest Days January 2025]:[Harvest Days December 2026]])*BedPlan[[#This Row],[Revenue]:[Revenue]]</f>
        <v>0</v>
      </c>
      <c r="DY61" s="257" cm="1">
        <f t="array" ref="DY61">BedPlan[[#This Row],[Harvest Days May 2026]]/SUM(BedPlan[[#This Row],[Harvest Days January 2025]:[Harvest Days December 2026]])*BedPlan[[#This Row],[Revenue]:[Revenue]]</f>
        <v>0</v>
      </c>
      <c r="DZ61" s="257" cm="1">
        <f t="array" ref="DZ61">BedPlan[[#This Row],[Harvest Days June 2026]]/SUM(BedPlan[[#This Row],[Harvest Days January 2025]:[Harvest Days December 2026]])*BedPlan[[#This Row],[Revenue]:[Revenue]]</f>
        <v>0</v>
      </c>
      <c r="EA61" s="257" cm="1">
        <f t="array" ref="EA61">BedPlan[[#This Row],[Harvest Days July 2026]]/SUM(BedPlan[[#This Row],[Harvest Days January 2025]:[Harvest Days December 2026]])*BedPlan[[#This Row],[Revenue]:[Revenue]]</f>
        <v>0</v>
      </c>
      <c r="EB61" s="257" cm="1">
        <f t="array" ref="EB61">BedPlan[[#This Row],[Harvest Days August 2026]]/SUM(BedPlan[[#This Row],[Harvest Days January 2025]:[Harvest Days December 2026]])*BedPlan[[#This Row],[Revenue]:[Revenue]]</f>
        <v>0</v>
      </c>
      <c r="EC61" s="257" cm="1">
        <f t="array" ref="EC61">BedPlan[[#This Row],[Harvest Days September 2026]]/SUM(BedPlan[[#This Row],[Harvest Days January 2025]:[Harvest Days December 2026]])*BedPlan[[#This Row],[Revenue]:[Revenue]]</f>
        <v>0</v>
      </c>
      <c r="ED61" s="257" cm="1">
        <f t="array" ref="ED61">BedPlan[[#This Row],[Harvest Days October 2026]]/SUM(BedPlan[[#This Row],[Harvest Days January 2025]:[Harvest Days December 2026]])*BedPlan[[#This Row],[Revenue]:[Revenue]]</f>
        <v>0</v>
      </c>
      <c r="EE61" s="257" cm="1">
        <f t="array" ref="EE61">BedPlan[[#This Row],[Harvest Days November 2026]]/SUM(BedPlan[[#This Row],[Harvest Days January 2025]:[Harvest Days December 2026]])*BedPlan[[#This Row],[Revenue]:[Revenue]]</f>
        <v>0</v>
      </c>
      <c r="EF61" s="257" cm="1">
        <f t="array" ref="EF61">BedPlan[[#This Row],[Harvest Days December 2026]]/SUM(BedPlan[[#This Row],[Harvest Days January 2025]:[Harvest Days December 2026]])*BedPlan[[#This Row],[Revenue]:[Revenue]]</f>
        <v>0</v>
      </c>
      <c r="EG61" t="b">
        <f>SUM(BedPlan[[#This Row],[Revenue January 2025]:[Revenue December 2026]])=BedPlan[[#This Row],[Revenue]]</f>
        <v>1</v>
      </c>
      <c r="EH61" s="30" cm="1">
        <f t="array" ref="EH61">INDEX(Crops[],BedPlan[[#This Row],[Chart Index]],EH$4,1)*BedPlan[[#This Row],['# Of Beds]]</f>
        <v>160</v>
      </c>
      <c r="EI61" s="30" t="str" cm="1">
        <f t="array" ref="EI61">INDEX(Crops[],BedPlan[[#This Row],[Chart Index]],EI$4,1)</f>
        <v>Bunch</v>
      </c>
      <c r="EJ61" s="30" t="str" cm="1">
        <f t="array" ref="EJ61">INDEX(Crops[],BedPlan[[#This Row],[Chart Index]],EJ$4,1)</f>
        <v>Mature Leaf</v>
      </c>
      <c r="EK61" s="30" t="str">
        <f>BedPlan[[#This Row],[Name]]&amp;" "&amp;BedPlan[[#This Row],[Product]]&amp; " - " &amp;BedPlan[[#This Row],[Unit]]</f>
        <v>Dill Mature Leaf - Bunch</v>
      </c>
      <c r="EL61" s="33" cm="1">
        <f t="array" ref="EL61">BedPlan[[#This Row],[Harvest Days January 2025]]/SUM(BedPlan[[#This Row],[Harvest Days January 2025]:[Harvest Days December 2026]])*BedPlan[[#This Row],[Yield]:[Yield]]</f>
        <v>0</v>
      </c>
      <c r="EM61" s="33" cm="1">
        <f t="array" ref="EM61">BedPlan[[#This Row],[Harvest Days February 2025]]/SUM(BedPlan[[#This Row],[Harvest Days January 2025]:[Harvest Days December 2026]])*BedPlan[[#This Row],[Yield]:[Yield]]</f>
        <v>0</v>
      </c>
      <c r="EN61" s="33" cm="1">
        <f t="array" ref="EN61">BedPlan[[#This Row],[Harvest Days March 2025]]/SUM(BedPlan[[#This Row],[Harvest Days January 2025]:[Harvest Days December 2026]])*BedPlan[[#This Row],[Yield]:[Yield]]</f>
        <v>0</v>
      </c>
      <c r="EO61" s="33" cm="1">
        <f t="array" ref="EO61">BedPlan[[#This Row],[Harvest Days April 2025]]/SUM(BedPlan[[#This Row],[Harvest Days January 2025]:[Harvest Days December 2026]])*BedPlan[[#This Row],[Yield]:[Yield]]</f>
        <v>0</v>
      </c>
      <c r="EP61" s="33" cm="1">
        <f t="array" ref="EP61">BedPlan[[#This Row],[Harvest Days May 2025]]/SUM(BedPlan[[#This Row],[Harvest Days January 2025]:[Harvest Days December 2026]])*BedPlan[[#This Row],[Yield]:[Yield]]</f>
        <v>0</v>
      </c>
      <c r="EQ61" s="33" cm="1">
        <f t="array" ref="EQ61">BedPlan[[#This Row],[Harvest Days June 2025]]/SUM(BedPlan[[#This Row],[Harvest Days January 2025]:[Harvest Days December 2026]])*BedPlan[[#This Row],[Yield]:[Yield]]</f>
        <v>0</v>
      </c>
      <c r="ER61" s="33" cm="1">
        <f t="array" ref="ER61">BedPlan[[#This Row],[Harvest Days July 2025]]/SUM(BedPlan[[#This Row],[Harvest Days January 2025]:[Harvest Days December 2026]])*BedPlan[[#This Row],[Yield]:[Yield]]</f>
        <v>26.666666666666664</v>
      </c>
      <c r="ES61" s="33" cm="1">
        <f t="array" ref="ES61">BedPlan[[#This Row],[Harvest Days August 2025]]/SUM(BedPlan[[#This Row],[Harvest Days January 2025]:[Harvest Days December 2026]])*BedPlan[[#This Row],[Yield]:[Yield]]</f>
        <v>133.33333333333334</v>
      </c>
      <c r="ET61" s="33" cm="1">
        <f t="array" ref="ET61">BedPlan[[#This Row],[Harvest Days September 2025]]/SUM(BedPlan[[#This Row],[Harvest Days January 2025]:[Harvest Days December 2026]])*BedPlan[[#This Row],[Yield]:[Yield]]</f>
        <v>0</v>
      </c>
      <c r="EU61" s="33" cm="1">
        <f t="array" ref="EU61">BedPlan[[#This Row],[Harvest Days October 2025]]/SUM(BedPlan[[#This Row],[Harvest Days January 2025]:[Harvest Days December 2026]])*BedPlan[[#This Row],[Yield]:[Yield]]</f>
        <v>0</v>
      </c>
      <c r="EV61" s="33" cm="1">
        <f t="array" ref="EV61">BedPlan[[#This Row],[Harvest Days November 2025]]/SUM(BedPlan[[#This Row],[Harvest Days January 2025]:[Harvest Days December 2026]])*BedPlan[[#This Row],[Yield]:[Yield]]</f>
        <v>0</v>
      </c>
      <c r="EW61" s="33" cm="1">
        <f t="array" ref="EW61">BedPlan[[#This Row],[Harvest Days December 2025]]/SUM(BedPlan[[#This Row],[Harvest Days January 2025]:[Harvest Days December 2026]])*BedPlan[[#This Row],[Yield]:[Yield]]</f>
        <v>0</v>
      </c>
    </row>
    <row r="62" spans="1:153" ht="15.75" customHeight="1">
      <c r="A62" s="28" t="s">
        <v>2603</v>
      </c>
      <c r="B62" s="240" t="s">
        <v>2644</v>
      </c>
      <c r="C62" t="s">
        <v>1432</v>
      </c>
      <c r="D62" s="226" cm="1">
        <f t="array" ref="D62">INDEX(Crops[],BedPlan[[#This Row],[Chart Index]],D$4,1)*BedPlan[[#This Row],[Full Bed Equivalent]]</f>
        <v>44.44444444444445</v>
      </c>
      <c r="E62" s="226" cm="1">
        <f t="array" ref="E62">INDEX(Crops[],BedPlan[[#This Row],[Chart Index]],E$4,1)*BedPlan[[#This Row],[Full Bed Equivalent]]</f>
        <v>133.33333333333334</v>
      </c>
      <c r="F62" t="str">
        <f>UPPER(LEFT(BedPlan[[#This Row],[Crop]],3))</f>
        <v>FAV</v>
      </c>
      <c r="H62" s="143" t="str" cm="1">
        <f t="array" ref="H62">INDEX(Crops[],BedPlan[[#This Row],[Chart Index]],H$4,1)</f>
        <v>Fava Bean</v>
      </c>
      <c r="I62" t="s">
        <v>1815</v>
      </c>
      <c r="J62" t="s">
        <v>1814</v>
      </c>
      <c r="K62" t="str" cm="1">
        <f t="array" ref="K62">IF(ISNUMBER(MATCH(BedPlan[[#This Row],[Variety]],SeedMixes[Name],)),_xlfn.TEXTJOIN(", ",TRUE,_xlfn._xlws.FILTER(SeedMixes[Variety &amp; Company],SeedMixes[Name]=BedPlan[[#This Row],[Variety]])),"")</f>
        <v/>
      </c>
      <c r="L62" s="33" cm="1">
        <f t="array" ref="L62">INDEX(Crops[],BedPlan[[#This Row],[Chart Index]],L$4,1)*BedPlan[[#This Row],[Full Bed Equivalent]]</f>
        <v>173.33333333333331</v>
      </c>
      <c r="N62">
        <f>1</f>
        <v>1</v>
      </c>
      <c r="O62">
        <f>MAX(BedPlan[[#This Row],['# Of Beds]],0.5)</f>
        <v>1</v>
      </c>
      <c r="P62" s="31">
        <f>IF(ISNUMBER(BedPlan[[#This Row],[Planned Greenhouse Start Date]]),BedPlan[[#This Row],[Planned Greenhouse Start Date]],BedPlan[[#This Row],[Planned TP or DS Date]])</f>
        <v>45688</v>
      </c>
      <c r="Q62" s="259" t="str">
        <f>IF(BedPlan[[#This Row],[Days in Cells]]=0,"",IFERROR(_xlfn.XLOOKUP(BedPlan[[#This Row],[Follows Crop]],BedPlan[Identifier],BedPlan[Expected End of Harvest]) + 1+BedPlan[[#This Row],[Follow Offset]],BedPlan[[#This Row],[Fixed Field Start Date]])-BedPlan[[#This Row],[Days in Cells]])</f>
        <v/>
      </c>
      <c r="R62" s="259"/>
      <c r="S62" s="259" t="str">
        <f>IF(ISNUMBER(BedPlan[[#This Row],[Actual Greenhouse Date]]),BedPlan[[#This Row],[Actual Greenhouse Date]],BedPlan[[#This Row],[Planned Greenhouse Start Date]])</f>
        <v/>
      </c>
      <c r="T62" s="259">
        <f>_xlfn.XLOOKUP(BedPlan[[#This Row],[Crop]],Crops[Identifier],Crops[Target Field Date])</f>
        <v>45688</v>
      </c>
      <c r="U62" s="260"/>
      <c r="V62" s="260"/>
      <c r="W6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45688</v>
      </c>
      <c r="X62" s="259">
        <v>45688</v>
      </c>
      <c r="Y62" s="271">
        <f>BedPlan[[#This Row],[Actual TP or DS Date]]-BedPlan[[#This Row],[Planned TP or DS Date]]</f>
        <v>0</v>
      </c>
      <c r="Z62" s="259">
        <f>IF(ISNUMBER(BedPlan[[#This Row],[Actual TP or DS Date]]),BedPlan[[#This Row],[Actual TP or DS Date]],BedPlan[[#This Row],[Planned TP or DS Date]])</f>
        <v>45688</v>
      </c>
      <c r="AA62" s="271">
        <v>-40</v>
      </c>
      <c r="AB62" s="259">
        <f>IF(ISNUMBER(BedPlan[[#This Row],[Greenhouse Start Date]]),BedPlan[[#This Row],[Greenhouse Start Date]]+BedPlan[[#This Row],[DTM]],BedPlan[[#This Row],[TP or DS Date]]+BedPlan[[#This Row],[DTM]])</f>
        <v>45828</v>
      </c>
      <c r="AC62" s="259"/>
      <c r="AD62" s="259">
        <f>IF(ISNUMBER(BedPlan[[#This Row],[Actual Beginning of Harvest]]),BedPlan[[#This Row],[Actual Beginning of Harvest]],BedPlan[[#This Row],[Expected Beginning of Harvest]])</f>
        <v>45828</v>
      </c>
      <c r="AE62" s="259">
        <f>BedPlan[[#This Row],[Expected Beginning of Harvest]]+BedPlan[[#This Row],[Harvest Window]]+BedPlan[[#This Row],[Additional Days of Harvest]]</f>
        <v>45849</v>
      </c>
      <c r="AF62" s="259"/>
      <c r="AG62" s="259"/>
      <c r="AH62" s="31" t="b">
        <f>IF(AND( BedPlan[[#This Row],[Expected End of Harvest]] &gt;= DATE(2025, 8, 1), BedPlan[[#This Row],[Beginning of Harvest]] &lt;= DATE(2025, 8, 31) ), TRUE, FALSE)</f>
        <v>0</v>
      </c>
      <c r="AI62" s="31"/>
      <c r="AJ62" s="31">
        <f>IF(ISNUMBER(BedPlan[[#This Row],[Actual End of Harvest]]),BedPlan[[#This Row],[Actual End of Harvest]],BedPlan[[#This Row],[Expected End of Harvest]])</f>
        <v>45849</v>
      </c>
      <c r="AK62" t="b">
        <f>OR(ISNUMBER(BedPlan[[#This Row],[Actual Greenhouse Date]]),ISNUMBER(BedPlan[[#This Row],[Actual TP or DS Date]]))</f>
        <v>1</v>
      </c>
      <c r="AL62" s="52" t="str">
        <f>IF(ISNUMBER(BedPlan[[#This Row],[Planned Greenhouse Start Date]]),OR(ISNUMBER(BedPlan[[#This Row],[Actual TP or DS Date]]),BedPlan[[#This Row],[Failed]]),"-")</f>
        <v>-</v>
      </c>
      <c r="AM62" t="b">
        <f>OR(ISNUMBER(BedPlan[[#This Row],[Actual End of Harvest]]),BedPlan[[#This Row],[Failed]])</f>
        <v>0</v>
      </c>
      <c r="AN62" t="b">
        <f>OR(BedPlan[[#This Row],[Harvest Done]],BedPlan[[#This Row],[Failed]],BedPlan[[#This Row],[Name]]="Tarp")</f>
        <v>0</v>
      </c>
      <c r="AS62" s="26" t="str">
        <f>IF(BedPlan[[#This Row],[Broadfork]],BedPlan[[#This Row],[Actual TP or DS Date]],"")</f>
        <v/>
      </c>
      <c r="AT62" s="26" t="str">
        <f>IF(BedPlan[[#This Row],[Tilther]],BedPlan[[#This Row],[Actual TP or DS Date]],"")</f>
        <v/>
      </c>
      <c r="AU62" s="26" t="str">
        <f>IF(NOT(ISBLANK(BedPlan[[#This Row],[Amend]])),BedPlan[[#This Row],[Actual TP or DS Date]],"")</f>
        <v/>
      </c>
      <c r="AV62" s="26" t="str">
        <f>IF(BedPlan[[#This Row],[Row Cover]],BedPlan[[#This Row],[Actual TP or DS Date]],"")</f>
        <v/>
      </c>
      <c r="AW62" t="s">
        <v>3216</v>
      </c>
      <c r="AX62" s="26">
        <v>45716</v>
      </c>
      <c r="AZ62" s="26"/>
      <c r="BB62" s="26"/>
      <c r="BC62" s="231" cm="1">
        <f t="array" ref="BC62">INDEX(Crops[],BedPlan[[#This Row],[Chart Index]],BC$4,1)*BedPlan[[#This Row],[Full Bed Equivalent]]</f>
        <v>600</v>
      </c>
      <c r="BD62" s="231" cm="1">
        <f t="array" ref="BD62">INDEX(Crops[],BedPlan[[#This Row],[Chart Index]],BD$4,1)*BedPlan[[#This Row],[Full Bed Equivalent]]</f>
        <v>2.9850746268656718</v>
      </c>
      <c r="BE62" cm="1">
        <f t="array" ref="BE62">INDEX(Crops[],BedPlan[[#This Row],[Chart Index]],BE$4,1)+BedPlan[[#This Row],[Additional Days in Cells]]+BedPlan[[#This Row],[Additional Days In Field]]</f>
        <v>140</v>
      </c>
      <c r="BG62" cm="1">
        <f t="array" ref="BG62">INDEX(Crops[],BedPlan[[#This Row],[Chart Index]],BG$4,1)</f>
        <v>21</v>
      </c>
      <c r="BH62" t="str">
        <f>IF(ISNUMBER(BedPlan[[#This Row],[Planned Greenhouse Start Date]]),"TP","DS")</f>
        <v>DS</v>
      </c>
      <c r="BI62">
        <f>BedPlan[[#This Row],['# Of Beds]]</f>
        <v>1</v>
      </c>
      <c r="BJ62" cm="1">
        <f t="array" ref="BJ62">INDEX(Crops[],BedPlan[[#This Row],[Chart Index]],BJ$4,1)</f>
        <v>0</v>
      </c>
      <c r="BK62" cm="1">
        <f t="array" ref="BK62">INDEX(Crops[],BedPlan[[#This Row],[Chart Index]],BK$4,1)</f>
        <v>2</v>
      </c>
      <c r="BL62" cm="1">
        <f t="array" ref="BL62">INDEX(Crops[],BedPlan[[#This Row],[Chart Index]],BL$4,1)</f>
        <v>9</v>
      </c>
      <c r="BM62" cm="1">
        <f t="array" ref="BM62">INDEX(Crops[],BedPlan[[#This Row],[Chart Index]],BM$4,1)</f>
        <v>1</v>
      </c>
      <c r="BN62" s="32" cm="1">
        <f t="array" ref="BN62">INDEX(Crops[],BedPlan[[#This Row],[Chart Index]],BN$4,1)*BedPlan[[#This Row],[Full Bed Equivalent]]</f>
        <v>133.33333333333331</v>
      </c>
      <c r="BO62" t="str" cm="1">
        <f t="array" ref="BO62">IF(INDEX(Crops[],BedPlan[[#This Row],[Chart Index]],BO$4,1)=0,"",INDEX(Crops[],BedPlan[[#This Row],[Chart Index]],BO$4,1))</f>
        <v/>
      </c>
      <c r="BP62">
        <f>MATCH(BedPlan[[#This Row],[Crop]],Crops[Identifier],FALSE)</f>
        <v>126</v>
      </c>
      <c r="BQ62" t="str" cm="1">
        <f t="array" ref="BQ62">INDEX(Crops[],BedPlan[[#This Row],[Chart Index]],BQ$4,1)</f>
        <v>General</v>
      </c>
      <c r="BR62" t="str" cm="1">
        <f t="array" ref="BR62">INDEX(Crops[],BedPlan[[#This Row],[Chart Index]],BR$4,1)</f>
        <v>Sp</v>
      </c>
      <c r="BS62" s="32">
        <f>BedPlan[[#This Row],[Expected Beginning of Harvest]]-DATE(2023,1,1)</f>
        <v>901</v>
      </c>
      <c r="BT62">
        <f>BedPlan[[#This Row],[Expected End of Harvest]]-BedPlan[[#This Row],[Expected Beginning of Harvest]]</f>
        <v>21</v>
      </c>
      <c r="BU62" t="str" cm="1">
        <f t="array" ref="BU62">INDEX(Crops[],BedPlan[[#This Row],[Chart Index]],BU$4,1)</f>
        <v>Fava Bean</v>
      </c>
      <c r="BV62" cm="1">
        <f t="array" ref="BV62">INDEX(Crops[],BedPlan[[#This Row],[Chart Index]],BV$4,1)</f>
        <v>3.5</v>
      </c>
      <c r="BW62" cm="1">
        <f t="array" ref="BW62">INDEX(Crops[],BedPlan[[#This Row],[Chart Index]],BW$4,1)</f>
        <v>0</v>
      </c>
      <c r="BX62" cm="1">
        <f t="array" ref="BX62">INDEX(Crops[],BedPlan[[#This Row],[Chart Index]],BX$4,1)</f>
        <v>0</v>
      </c>
      <c r="BY62" cm="1">
        <f t="array" ref="BY62">INDEX(Crops[],BedPlan[[#This Row],[Chart Index]],BY$4,1)</f>
        <v>0</v>
      </c>
      <c r="BZ62" s="49" t="str" cm="1">
        <f t="array" ref="BZ62">IFERROR(INDEX(Crops[],BedPlan[[#This Row],[Chart Index]],BZ$4,1)*BedPlan[[#This Row],[Full Bed Equivalent]],"")</f>
        <v/>
      </c>
      <c r="CA62" cm="1">
        <f t="array" ref="CA62">INDEX(Crops[],BedPlan[[#This Row],[Chart Index]],CA$4,1)</f>
        <v>0</v>
      </c>
      <c r="CB62" cm="1">
        <f t="array" ref="CB62">INDEX(Crops[],BedPlan[[#This Row],[Chart Index]],CB$4,1)</f>
        <v>0</v>
      </c>
      <c r="CC62" s="49" t="str" cm="1">
        <f t="array" ref="CC62">IFERROR(INDEX(Crops[],BedPlan[[#This Row],[Chart Index]],CC$4,1)*BedPlan[[#This Row],[Full Bed Equivalent]],"")</f>
        <v/>
      </c>
      <c r="CD62" cm="1">
        <f t="array" ref="CD62">INDEX(Crops[],BedPlan[[#This Row],[Chart Index]],CD$4,1)</f>
        <v>0</v>
      </c>
      <c r="CE62" cm="1">
        <f t="array" ref="CE62">IF(INDEX(Crops[],BedPlan[[#This Row],[Chart Index]],CE$4,1)="",0,INDEX(Crops[],BedPlan[[#This Row],[Chart Index]],CE$4,1))</f>
        <v>0</v>
      </c>
      <c r="CF62" s="49" t="str" cm="1">
        <f t="array" ref="CF62">IFERROR(INDEX(Crops[],BedPlan[[#This Row],[Chart Index]],CF$4,1)*BedPlan[[#This Row],[Full Bed Equivalent]],"")</f>
        <v/>
      </c>
      <c r="CG62" cm="1">
        <f t="array" ref="CG62">IF(INDEX(Crops[],BedPlan[[#This Row],[Chart Index]],CG$4,1)="",0,INDEX(Crops[],BedPlan[[#This Row],[Chart Index]],CG$4,1))</f>
        <v>1</v>
      </c>
      <c r="CH62" cm="1">
        <f t="array" ref="CH62">IF(INDEX(Crops[],BedPlan[[#This Row],[Chart Index]],CH$4,1)="",0,INDEX(Crops[],BedPlan[[#This Row],[Chart Index]],CH$4,1))</f>
        <v>0</v>
      </c>
      <c r="CI62" t="str" cm="1">
        <f t="array" ref="CI62">INDEX(Crops[],BedPlan[[#This Row],[Chart Index]],CI$4,1)</f>
        <v>Field</v>
      </c>
      <c r="CJ62" s="30" t="str">
        <f>_xlfn.TEXTJOIN(CHAR(10),FALSE,BedPlan[[#This Row],[Name]],BedPlan[[#This Row],[Variety]],BedPlan[[#This Row],[Company]])</f>
        <v>Fava Bean
Aquadulce
Sustainable Seed Company</v>
      </c>
      <c r="CK62" s="32">
        <f>MAX( 0, MIN(BedPlan[[#This Row],[Expected End of Harvest]], EOMONTH(CK$4, 0)) - MAX(BedPlan[[#This Row],[Beginning of Harvest]], CK$4) + 1 )</f>
        <v>0</v>
      </c>
      <c r="CL62">
        <f>MAX( 0, MIN(BedPlan[[#This Row],[Expected End of Harvest]], EOMONTH(CL$4, 0)) - MAX(BedPlan[[#This Row],[Beginning of Harvest]], CL$4) + 1 )</f>
        <v>0</v>
      </c>
      <c r="CM62">
        <f>MAX( 0, MIN(BedPlan[[#This Row],[Expected End of Harvest]], EOMONTH(CM$4, 0)) - MAX(BedPlan[[#This Row],[Beginning of Harvest]], CM$4) + 1 )</f>
        <v>0</v>
      </c>
      <c r="CN62">
        <f>MAX( 0, MIN(BedPlan[[#This Row],[Expected End of Harvest]], EOMONTH(CN$4, 0)) - MAX(BedPlan[[#This Row],[Beginning of Harvest]], CN$4) + 1 )</f>
        <v>0</v>
      </c>
      <c r="CO62">
        <f>MAX( 0, MIN(BedPlan[[#This Row],[Expected End of Harvest]], EOMONTH(CO$4, 0)) - MAX(BedPlan[[#This Row],[Beginning of Harvest]], CO$4) + 1 )</f>
        <v>0</v>
      </c>
      <c r="CP62">
        <f>MAX( 0, MIN(BedPlan[[#This Row],[Expected End of Harvest]], EOMONTH(CP$4, 0)) - MAX(BedPlan[[#This Row],[Beginning of Harvest]], CP$4) + 1 )</f>
        <v>11</v>
      </c>
      <c r="CQ62">
        <f>MAX( 0, MIN(BedPlan[[#This Row],[Expected End of Harvest]], EOMONTH(CQ$4, 0)) - MAX(BedPlan[[#This Row],[Beginning of Harvest]], CQ$4) + 1 )</f>
        <v>11</v>
      </c>
      <c r="CR62">
        <f>MAX( 0, MIN(BedPlan[[#This Row],[Expected End of Harvest]], EOMONTH(CR$4, 0)) - MAX(BedPlan[[#This Row],[Beginning of Harvest]], CR$4) + 1 )</f>
        <v>0</v>
      </c>
      <c r="CS62">
        <f>MAX( 0, MIN(BedPlan[[#This Row],[Expected End of Harvest]], EOMONTH(CS$4, 0)) - MAX(BedPlan[[#This Row],[Beginning of Harvest]], CS$4) + 1 )</f>
        <v>0</v>
      </c>
      <c r="CT62">
        <f>MAX( 0, MIN(BedPlan[[#This Row],[Expected End of Harvest]], EOMONTH(CT$4, 0)) - MAX(BedPlan[[#This Row],[Beginning of Harvest]], CT$4) + 1 )</f>
        <v>0</v>
      </c>
      <c r="CU62">
        <f>MAX( 0, MIN(BedPlan[[#This Row],[Expected End of Harvest]], EOMONTH(CU$4, 0)) - MAX(BedPlan[[#This Row],[Beginning of Harvest]], CU$4) + 1 )</f>
        <v>0</v>
      </c>
      <c r="CV62">
        <f>MAX( 0, MIN(BedPlan[[#This Row],[Expected End of Harvest]], EOMONTH(CV$4, 0)) - MAX(BedPlan[[#This Row],[Beginning of Harvest]], CV$4) + 1 )</f>
        <v>0</v>
      </c>
      <c r="CW62">
        <f>MAX( 0, MIN(BedPlan[[#This Row],[Expected End of Harvest]], EOMONTH(CW$4, 0)) - MAX(BedPlan[[#This Row],[Beginning of Harvest]], CW$4) + 1 )</f>
        <v>0</v>
      </c>
      <c r="CX62">
        <f>MAX( 0, MIN(BedPlan[[#This Row],[Expected End of Harvest]], EOMONTH(CX$4, 0)) - MAX(BedPlan[[#This Row],[Beginning of Harvest]], CX$4) + 1 )</f>
        <v>0</v>
      </c>
      <c r="CY62">
        <f>MAX( 0, MIN(BedPlan[[#This Row],[Expected End of Harvest]], EOMONTH(CY$4, 0)) - MAX(BedPlan[[#This Row],[Beginning of Harvest]], CY$4) + 1 )</f>
        <v>0</v>
      </c>
      <c r="CZ62">
        <f>MAX( 0, MIN(BedPlan[[#This Row],[Expected End of Harvest]], EOMONTH(CZ$4, 0)) - MAX(BedPlan[[#This Row],[Beginning of Harvest]], CZ$4) + 1 )</f>
        <v>0</v>
      </c>
      <c r="DA62">
        <f>MAX( 0, MIN(BedPlan[[#This Row],[Expected End of Harvest]], EOMONTH(DA$4, 0)) - MAX(BedPlan[[#This Row],[Beginning of Harvest]], DA$4) + 1 )</f>
        <v>0</v>
      </c>
      <c r="DB62">
        <f>MAX( 0, MIN(BedPlan[[#This Row],[Expected End of Harvest]], EOMONTH(DB$4, 0)) - MAX(BedPlan[[#This Row],[Beginning of Harvest]], DB$4) + 1 )</f>
        <v>0</v>
      </c>
      <c r="DC62">
        <f>MAX( 0, MIN(BedPlan[[#This Row],[Expected End of Harvest]], EOMONTH(DC$4, 0)) - MAX(BedPlan[[#This Row],[Beginning of Harvest]], DC$4) + 1 )</f>
        <v>0</v>
      </c>
      <c r="DD62">
        <f>MAX( 0, MIN(BedPlan[[#This Row],[Expected End of Harvest]], EOMONTH(DD$4, 0)) - MAX(BedPlan[[#This Row],[Beginning of Harvest]], DD$4) + 1 )</f>
        <v>0</v>
      </c>
      <c r="DE62">
        <f>MAX( 0, MIN(BedPlan[[#This Row],[Expected End of Harvest]], EOMONTH(DE$4, 0)) - MAX(BedPlan[[#This Row],[Beginning of Harvest]], DE$4) + 1 )</f>
        <v>0</v>
      </c>
      <c r="DF62">
        <f>MAX( 0, MIN(BedPlan[[#This Row],[Expected End of Harvest]], EOMONTH(DF$4, 0)) - MAX(BedPlan[[#This Row],[Beginning of Harvest]], DF$4) + 1 )</f>
        <v>0</v>
      </c>
      <c r="DG62">
        <f>MAX( 0, MIN(BedPlan[[#This Row],[Expected End of Harvest]], EOMONTH(DG$4, 0)) - MAX(BedPlan[[#This Row],[Beginning of Harvest]], DG$4) + 1 )</f>
        <v>0</v>
      </c>
      <c r="DH62">
        <f>MAX( 0, MIN(BedPlan[[#This Row],[Expected End of Harvest]], EOMONTH(DH$4, 0)) - MAX(BedPlan[[#This Row],[Beginning of Harvest]], DH$4) + 1 )</f>
        <v>0</v>
      </c>
      <c r="DI62" s="257" cm="1">
        <f t="array" ref="DI62">BedPlan[[#This Row],[Harvest Days January 2025]]/SUM(BedPlan[[#This Row],[Harvest Days January 2025]:[Harvest Days December 2026]])*BedPlan[[#This Row],[Revenue]:[Revenue]]</f>
        <v>0</v>
      </c>
      <c r="DJ62" s="257" cm="1">
        <f t="array" ref="DJ62">BedPlan[[#This Row],[Harvest Days February 2025]]/SUM(BedPlan[[#This Row],[Harvest Days January 2025]:[Harvest Days December 2026]])*BedPlan[[#This Row],[Revenue]:[Revenue]]</f>
        <v>0</v>
      </c>
      <c r="DK62" s="257" cm="1">
        <f t="array" ref="DK62">BedPlan[[#This Row],[Harvest Days March 2025]]/SUM(BedPlan[[#This Row],[Harvest Days January 2025]:[Harvest Days December 2026]])*BedPlan[[#This Row],[Revenue]:[Revenue]]</f>
        <v>0</v>
      </c>
      <c r="DL62" s="257" cm="1">
        <f t="array" ref="DL62">BedPlan[[#This Row],[Harvest Days April 2025]]/SUM(BedPlan[[#This Row],[Harvest Days January 2025]:[Harvest Days December 2026]])*BedPlan[[#This Row],[Revenue]:[Revenue]]</f>
        <v>0</v>
      </c>
      <c r="DM62" s="257" cm="1">
        <f t="array" ref="DM62">BedPlan[[#This Row],[Harvest Days May 2025]]/SUM(BedPlan[[#This Row],[Harvest Days January 2025]:[Harvest Days December 2026]])*BedPlan[[#This Row],[Revenue]:[Revenue]]</f>
        <v>0</v>
      </c>
      <c r="DN62" s="257" cm="1">
        <f t="array" ref="DN62">BedPlan[[#This Row],[Harvest Days June 2025]]/SUM(BedPlan[[#This Row],[Harvest Days January 2025]:[Harvest Days December 2026]])*BedPlan[[#This Row],[Revenue]:[Revenue]]</f>
        <v>300</v>
      </c>
      <c r="DO62" s="257" cm="1">
        <f t="array" ref="DO62">BedPlan[[#This Row],[Harvest Days July 2025]]/SUM(BedPlan[[#This Row],[Harvest Days January 2025]:[Harvest Days December 2026]])*BedPlan[[#This Row],[Revenue]:[Revenue]]</f>
        <v>300</v>
      </c>
      <c r="DP62" s="257" cm="1">
        <f t="array" ref="DP62">BedPlan[[#This Row],[Harvest Days August 2025]]/SUM(BedPlan[[#This Row],[Harvest Days January 2025]:[Harvest Days December 2026]])*BedPlan[[#This Row],[Revenue]:[Revenue]]</f>
        <v>0</v>
      </c>
      <c r="DQ62" s="257" cm="1">
        <f t="array" ref="DQ62">BedPlan[[#This Row],[Harvest Days September 2025]]/SUM(BedPlan[[#This Row],[Harvest Days January 2025]:[Harvest Days December 2026]])*BedPlan[[#This Row],[Revenue]:[Revenue]]</f>
        <v>0</v>
      </c>
      <c r="DR62" s="257" cm="1">
        <f t="array" ref="DR62">BedPlan[[#This Row],[Harvest Days October 2025]]/SUM(BedPlan[[#This Row],[Harvest Days January 2025]:[Harvest Days December 2026]])*BedPlan[[#This Row],[Revenue]:[Revenue]]</f>
        <v>0</v>
      </c>
      <c r="DS62" s="257" cm="1">
        <f t="array" ref="DS62">BedPlan[[#This Row],[Harvest Days November 2025]]/SUM(BedPlan[[#This Row],[Harvest Days January 2025]:[Harvest Days December 2026]])*BedPlan[[#This Row],[Revenue]:[Revenue]]</f>
        <v>0</v>
      </c>
      <c r="DT62" s="257" cm="1">
        <f t="array" ref="DT62">BedPlan[[#This Row],[Harvest Days December 2025]]/SUM(BedPlan[[#This Row],[Harvest Days January 2025]:[Harvest Days December 2026]])*BedPlan[[#This Row],[Revenue]:[Revenue]]</f>
        <v>0</v>
      </c>
      <c r="DU62" s="257" cm="1">
        <f t="array" ref="DU62">BedPlan[[#This Row],[Harvest Days January 2026]]/SUM(BedPlan[[#This Row],[Harvest Days January 2025]:[Harvest Days December 2026]])*BedPlan[[#This Row],[Revenue]:[Revenue]]</f>
        <v>0</v>
      </c>
      <c r="DV62" s="257" cm="1">
        <f t="array" ref="DV62">BedPlan[[#This Row],[Harvest Days February 2026]]/SUM(BedPlan[[#This Row],[Harvest Days January 2025]:[Harvest Days December 2026]])*BedPlan[[#This Row],[Revenue]:[Revenue]]</f>
        <v>0</v>
      </c>
      <c r="DW62" s="257" cm="1">
        <f t="array" ref="DW62">BedPlan[[#This Row],[Harvest Days March 2026]]/SUM(BedPlan[[#This Row],[Harvest Days January 2025]:[Harvest Days December 2026]])*BedPlan[[#This Row],[Revenue]:[Revenue]]</f>
        <v>0</v>
      </c>
      <c r="DX62" s="257" cm="1">
        <f t="array" ref="DX62">BedPlan[[#This Row],[Harvest Days April 2026]]/SUM(BedPlan[[#This Row],[Harvest Days January 2025]:[Harvest Days December 2026]])*BedPlan[[#This Row],[Revenue]:[Revenue]]</f>
        <v>0</v>
      </c>
      <c r="DY62" s="257" cm="1">
        <f t="array" ref="DY62">BedPlan[[#This Row],[Harvest Days May 2026]]/SUM(BedPlan[[#This Row],[Harvest Days January 2025]:[Harvest Days December 2026]])*BedPlan[[#This Row],[Revenue]:[Revenue]]</f>
        <v>0</v>
      </c>
      <c r="DZ62" s="257" cm="1">
        <f t="array" ref="DZ62">BedPlan[[#This Row],[Harvest Days June 2026]]/SUM(BedPlan[[#This Row],[Harvest Days January 2025]:[Harvest Days December 2026]])*BedPlan[[#This Row],[Revenue]:[Revenue]]</f>
        <v>0</v>
      </c>
      <c r="EA62" s="257" cm="1">
        <f t="array" ref="EA62">BedPlan[[#This Row],[Harvest Days July 2026]]/SUM(BedPlan[[#This Row],[Harvest Days January 2025]:[Harvest Days December 2026]])*BedPlan[[#This Row],[Revenue]:[Revenue]]</f>
        <v>0</v>
      </c>
      <c r="EB62" s="257" cm="1">
        <f t="array" ref="EB62">BedPlan[[#This Row],[Harvest Days August 2026]]/SUM(BedPlan[[#This Row],[Harvest Days January 2025]:[Harvest Days December 2026]])*BedPlan[[#This Row],[Revenue]:[Revenue]]</f>
        <v>0</v>
      </c>
      <c r="EC62" s="257" cm="1">
        <f t="array" ref="EC62">BedPlan[[#This Row],[Harvest Days September 2026]]/SUM(BedPlan[[#This Row],[Harvest Days January 2025]:[Harvest Days December 2026]])*BedPlan[[#This Row],[Revenue]:[Revenue]]</f>
        <v>0</v>
      </c>
      <c r="ED62" s="257" cm="1">
        <f t="array" ref="ED62">BedPlan[[#This Row],[Harvest Days October 2026]]/SUM(BedPlan[[#This Row],[Harvest Days January 2025]:[Harvest Days December 2026]])*BedPlan[[#This Row],[Revenue]:[Revenue]]</f>
        <v>0</v>
      </c>
      <c r="EE62" s="257" cm="1">
        <f t="array" ref="EE62">BedPlan[[#This Row],[Harvest Days November 2026]]/SUM(BedPlan[[#This Row],[Harvest Days January 2025]:[Harvest Days December 2026]])*BedPlan[[#This Row],[Revenue]:[Revenue]]</f>
        <v>0</v>
      </c>
      <c r="EF62" s="257" cm="1">
        <f t="array" ref="EF62">BedPlan[[#This Row],[Harvest Days December 2026]]/SUM(BedPlan[[#This Row],[Harvest Days January 2025]:[Harvest Days December 2026]])*BedPlan[[#This Row],[Revenue]:[Revenue]]</f>
        <v>0</v>
      </c>
      <c r="EG62" t="b">
        <f>SUM(BedPlan[[#This Row],[Revenue January 2025]:[Revenue December 2026]])=BedPlan[[#This Row],[Revenue]]</f>
        <v>1</v>
      </c>
      <c r="EH62" s="30" cm="1">
        <f t="array" ref="EH62">INDEX(Crops[],BedPlan[[#This Row],[Chart Index]],EH$4,1)*BedPlan[[#This Row],['# Of Beds]]</f>
        <v>100</v>
      </c>
      <c r="EI62" s="30" t="str" cm="1">
        <f t="array" ref="EI62">INDEX(Crops[],BedPlan[[#This Row],[Chart Index]],EI$4,1)</f>
        <v>Lb</v>
      </c>
      <c r="EJ62" s="30" t="str" cm="1">
        <f t="array" ref="EJ62">INDEX(Crops[],BedPlan[[#This Row],[Chart Index]],EJ$4,1)</f>
        <v>Mature Pod</v>
      </c>
      <c r="EK62" s="30" t="str">
        <f>BedPlan[[#This Row],[Name]]&amp;" "&amp;BedPlan[[#This Row],[Product]]&amp; " - " &amp;BedPlan[[#This Row],[Unit]]</f>
        <v>Fava Bean Mature Pod - Lb</v>
      </c>
      <c r="EL62" s="33" cm="1">
        <f t="array" ref="EL62">BedPlan[[#This Row],[Harvest Days January 2025]]/SUM(BedPlan[[#This Row],[Harvest Days January 2025]:[Harvest Days December 2026]])*BedPlan[[#This Row],[Yield]:[Yield]]</f>
        <v>0</v>
      </c>
      <c r="EM62" s="33" cm="1">
        <f t="array" ref="EM62">BedPlan[[#This Row],[Harvest Days February 2025]]/SUM(BedPlan[[#This Row],[Harvest Days January 2025]:[Harvest Days December 2026]])*BedPlan[[#This Row],[Yield]:[Yield]]</f>
        <v>0</v>
      </c>
      <c r="EN62" s="33" cm="1">
        <f t="array" ref="EN62">BedPlan[[#This Row],[Harvest Days March 2025]]/SUM(BedPlan[[#This Row],[Harvest Days January 2025]:[Harvest Days December 2026]])*BedPlan[[#This Row],[Yield]:[Yield]]</f>
        <v>0</v>
      </c>
      <c r="EO62" s="33" cm="1">
        <f t="array" ref="EO62">BedPlan[[#This Row],[Harvest Days April 2025]]/SUM(BedPlan[[#This Row],[Harvest Days January 2025]:[Harvest Days December 2026]])*BedPlan[[#This Row],[Yield]:[Yield]]</f>
        <v>0</v>
      </c>
      <c r="EP62" s="33" cm="1">
        <f t="array" ref="EP62">BedPlan[[#This Row],[Harvest Days May 2025]]/SUM(BedPlan[[#This Row],[Harvest Days January 2025]:[Harvest Days December 2026]])*BedPlan[[#This Row],[Yield]:[Yield]]</f>
        <v>0</v>
      </c>
      <c r="EQ62" s="33" cm="1">
        <f t="array" ref="EQ62">BedPlan[[#This Row],[Harvest Days June 2025]]/SUM(BedPlan[[#This Row],[Harvest Days January 2025]:[Harvest Days December 2026]])*BedPlan[[#This Row],[Yield]:[Yield]]</f>
        <v>50</v>
      </c>
      <c r="ER62" s="33" cm="1">
        <f t="array" ref="ER62">BedPlan[[#This Row],[Harvest Days July 2025]]/SUM(BedPlan[[#This Row],[Harvest Days January 2025]:[Harvest Days December 2026]])*BedPlan[[#This Row],[Yield]:[Yield]]</f>
        <v>50</v>
      </c>
      <c r="ES62" s="33" cm="1">
        <f t="array" ref="ES62">BedPlan[[#This Row],[Harvest Days August 2025]]/SUM(BedPlan[[#This Row],[Harvest Days January 2025]:[Harvest Days December 2026]])*BedPlan[[#This Row],[Yield]:[Yield]]</f>
        <v>0</v>
      </c>
      <c r="ET62" s="33" cm="1">
        <f t="array" ref="ET62">BedPlan[[#This Row],[Harvest Days September 2025]]/SUM(BedPlan[[#This Row],[Harvest Days January 2025]:[Harvest Days December 2026]])*BedPlan[[#This Row],[Yield]:[Yield]]</f>
        <v>0</v>
      </c>
      <c r="EU62" s="33" cm="1">
        <f t="array" ref="EU62">BedPlan[[#This Row],[Harvest Days October 2025]]/SUM(BedPlan[[#This Row],[Harvest Days January 2025]:[Harvest Days December 2026]])*BedPlan[[#This Row],[Yield]:[Yield]]</f>
        <v>0</v>
      </c>
      <c r="EV62" s="33" cm="1">
        <f t="array" ref="EV62">BedPlan[[#This Row],[Harvest Days November 2025]]/SUM(BedPlan[[#This Row],[Harvest Days January 2025]:[Harvest Days December 2026]])*BedPlan[[#This Row],[Yield]:[Yield]]</f>
        <v>0</v>
      </c>
      <c r="EW62" s="33" cm="1">
        <f t="array" ref="EW62">BedPlan[[#This Row],[Harvest Days December 2025]]/SUM(BedPlan[[#This Row],[Harvest Days January 2025]:[Harvest Days December 2026]])*BedPlan[[#This Row],[Yield]:[Yield]]</f>
        <v>0</v>
      </c>
    </row>
    <row r="63" spans="1:153" ht="15.75" customHeight="1">
      <c r="A63" s="180" t="s">
        <v>1722</v>
      </c>
      <c r="B63" s="240" t="s">
        <v>2776</v>
      </c>
      <c r="C63" t="s">
        <v>1449</v>
      </c>
      <c r="D63" s="226" t="e" cm="1">
        <f t="array" ref="D63">INDEX(Crops[],BedPlan[[#This Row],[Chart Index]],D$4,1)*BedPlan[[#This Row],[Full Bed Equivalent]]</f>
        <v>#DIV/0!</v>
      </c>
      <c r="E63" s="226" t="e" cm="1">
        <f t="array" ref="E63">INDEX(Crops[],BedPlan[[#This Row],[Chart Index]],E$4,1)*BedPlan[[#This Row],[Full Bed Equivalent]]</f>
        <v>#DIV/0!</v>
      </c>
      <c r="F63" t="str">
        <f>UPPER(LEFT(BedPlan[[#This Row],[Crop]],3))</f>
        <v>FEN</v>
      </c>
      <c r="H63" s="143" t="str" cm="1">
        <f t="array" ref="H63">INDEX(Crops[],BedPlan[[#This Row],[Chart Index]],H$4,1)</f>
        <v>Fennel</v>
      </c>
      <c r="I63" t="s">
        <v>1832</v>
      </c>
      <c r="K63" t="str" cm="1">
        <f t="array" ref="K63">IF(ISNUMBER(MATCH(BedPlan[[#This Row],[Variety]],SeedMixes[Name],)),_xlfn.TEXTJOIN(", ",TRUE,_xlfn._xlws.FILTER(SeedMixes[Variety &amp; Company],SeedMixes[Name]=BedPlan[[#This Row],[Variety]])),"")</f>
        <v>Perfection Wild Garden, Solaris F1 High Mowing</v>
      </c>
      <c r="L63" s="33" cm="1">
        <f t="array" ref="L63">INDEX(Crops[],BedPlan[[#This Row],[Chart Index]],L$4,1)*BedPlan[[#This Row],[Full Bed Equivalent]]</f>
        <v>520</v>
      </c>
      <c r="N63">
        <f>1</f>
        <v>1</v>
      </c>
      <c r="O63">
        <f>MAX(BedPlan[[#This Row],['# Of Beds]],0.5)</f>
        <v>1</v>
      </c>
      <c r="P63" s="31">
        <f>IF(ISNUMBER(BedPlan[[#This Row],[Planned Greenhouse Start Date]]),BedPlan[[#This Row],[Planned Greenhouse Start Date]],BedPlan[[#This Row],[Planned TP or DS Date]])</f>
        <v>45723</v>
      </c>
      <c r="Q63" s="259">
        <f>IF(BedPlan[[#This Row],[Days in Cells]]=0,"",IFERROR(_xlfn.XLOOKUP(BedPlan[[#This Row],[Follows Crop]],BedPlan[Identifier],BedPlan[Expected End of Harvest]) + 1+BedPlan[[#This Row],[Follow Offset]],BedPlan[[#This Row],[Fixed Field Start Date]])-BedPlan[[#This Row],[Days in Cells]])</f>
        <v>45723</v>
      </c>
      <c r="R63" s="259">
        <v>45737</v>
      </c>
      <c r="S63" s="259">
        <f>IF(ISNUMBER(BedPlan[[#This Row],[Actual Greenhouse Date]]),BedPlan[[#This Row],[Actual Greenhouse Date]],BedPlan[[#This Row],[Planned Greenhouse Start Date]])</f>
        <v>45737</v>
      </c>
      <c r="T63" s="259">
        <f>_xlfn.XLOOKUP(BedPlan[[#This Row],[Crop]],Crops[Identifier],Crops[Target Field Date])</f>
        <v>45753</v>
      </c>
      <c r="U63" s="260"/>
      <c r="V63" s="260"/>
      <c r="W6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63" s="259">
        <v>45781</v>
      </c>
      <c r="Y63" s="271">
        <f>BedPlan[[#This Row],[Actual TP or DS Date]]-BedPlan[[#This Row],[Planned TP or DS Date]]</f>
        <v>14</v>
      </c>
      <c r="Z63" s="259">
        <f>IF(ISNUMBER(BedPlan[[#This Row],[Actual TP or DS Date]]),BedPlan[[#This Row],[Actual TP or DS Date]],BedPlan[[#This Row],[Planned TP or DS Date]])</f>
        <v>45781</v>
      </c>
      <c r="AA63" s="259"/>
      <c r="AB63" s="259">
        <f>IF(ISNUMBER(BedPlan[[#This Row],[Greenhouse Start Date]]),BedPlan[[#This Row],[Greenhouse Start Date]]+BedPlan[[#This Row],[DTM]],BedPlan[[#This Row],[TP or DS Date]]+BedPlan[[#This Row],[DTM]])</f>
        <v>45814</v>
      </c>
      <c r="AC63" s="259"/>
      <c r="AD63" s="259">
        <f>IF(ISNUMBER(BedPlan[[#This Row],[Actual Beginning of Harvest]]),BedPlan[[#This Row],[Actual Beginning of Harvest]],BedPlan[[#This Row],[Expected Beginning of Harvest]])</f>
        <v>45814</v>
      </c>
      <c r="AE63" s="259">
        <f>BedPlan[[#This Row],[Expected Beginning of Harvest]]+BedPlan[[#This Row],[Harvest Window]]+BedPlan[[#This Row],[Additional Days of Harvest]]</f>
        <v>45828</v>
      </c>
      <c r="AF63" s="259"/>
      <c r="AG63" s="259"/>
      <c r="AH63" s="31" t="b">
        <f>IF(AND( BedPlan[[#This Row],[Expected End of Harvest]] &gt;= DATE(2025, 8, 1), BedPlan[[#This Row],[Beginning of Harvest]] &lt;= DATE(2025, 8, 31) ), TRUE, FALSE)</f>
        <v>0</v>
      </c>
      <c r="AI63" s="31"/>
      <c r="AJ63" s="31">
        <f>IF(ISNUMBER(BedPlan[[#This Row],[Actual End of Harvest]]),BedPlan[[#This Row],[Actual End of Harvest]],BedPlan[[#This Row],[Expected End of Harvest]])</f>
        <v>45828</v>
      </c>
      <c r="AK63" t="b">
        <f>OR(ISNUMBER(BedPlan[[#This Row],[Actual Greenhouse Date]]),ISNUMBER(BedPlan[[#This Row],[Actual TP or DS Date]]))</f>
        <v>1</v>
      </c>
      <c r="AL63" s="52" t="b">
        <f>IF(ISNUMBER(BedPlan[[#This Row],[Planned Greenhouse Start Date]]),OR(ISNUMBER(BedPlan[[#This Row],[Actual TP or DS Date]]),BedPlan[[#This Row],[Failed]]),"-")</f>
        <v>1</v>
      </c>
      <c r="AM63" t="b">
        <f>OR(ISNUMBER(BedPlan[[#This Row],[Actual End of Harvest]]),BedPlan[[#This Row],[Failed]])</f>
        <v>0</v>
      </c>
      <c r="AN63" t="b">
        <f>OR(BedPlan[[#This Row],[Harvest Done]],BedPlan[[#This Row],[Failed]],BedPlan[[#This Row],[Name]]="Tarp")</f>
        <v>0</v>
      </c>
      <c r="AP63" t="b">
        <v>1</v>
      </c>
      <c r="AQ63" t="s">
        <v>3214</v>
      </c>
      <c r="AS63" s="26" t="str">
        <f>IF(BedPlan[[#This Row],[Broadfork]],BedPlan[[#This Row],[Actual TP or DS Date]],"")</f>
        <v/>
      </c>
      <c r="AT63" s="26">
        <f>IF(BedPlan[[#This Row],[Tilther]],BedPlan[[#This Row],[Actual TP or DS Date]],"")</f>
        <v>45781</v>
      </c>
      <c r="AU63" s="26">
        <f>IF(NOT(ISBLANK(BedPlan[[#This Row],[Amend]])),BedPlan[[#This Row],[Actual TP or DS Date]],"")</f>
        <v>45781</v>
      </c>
      <c r="AV63" s="26" t="str">
        <f>IF(BedPlan[[#This Row],[Row Cover]],BedPlan[[#This Row],[Actual TP or DS Date]],"")</f>
        <v/>
      </c>
      <c r="AX63" s="26"/>
      <c r="AZ63" s="26"/>
      <c r="BB63" s="26"/>
      <c r="BC63" s="231" cm="1">
        <f t="array" ref="BC63">INDEX(Crops[],BedPlan[[#This Row],[Chart Index]],BC$4,1)*BedPlan[[#This Row],[Full Bed Equivalent]]</f>
        <v>666.66666666666674</v>
      </c>
      <c r="BD63" s="231" cm="1">
        <f t="array" ref="BD63">INDEX(Crops[],BedPlan[[#This Row],[Chart Index]],BD$4,1)*BedPlan[[#This Row],[Full Bed Equivalent]]</f>
        <v>10.928961748633881</v>
      </c>
      <c r="BE63" cm="1">
        <f t="array" ref="BE63">INDEX(Crops[],BedPlan[[#This Row],[Chart Index]],BE$4,1)+BedPlan[[#This Row],[Additional Days in Cells]]+BedPlan[[#This Row],[Additional Days In Field]]</f>
        <v>77</v>
      </c>
      <c r="BG63" cm="1">
        <f t="array" ref="BG63">INDEX(Crops[],BedPlan[[#This Row],[Chart Index]],BG$4,1)</f>
        <v>14</v>
      </c>
      <c r="BH63" t="str">
        <f>IF(ISNUMBER(BedPlan[[#This Row],[Planned Greenhouse Start Date]]),"TP","DS")</f>
        <v>TP</v>
      </c>
      <c r="BI63">
        <f>BedPlan[[#This Row],['# Of Beds]]</f>
        <v>1</v>
      </c>
      <c r="BJ63" cm="1">
        <f t="array" ref="BJ63">INDEX(Crops[],BedPlan[[#This Row],[Chart Index]],BJ$4,1)</f>
        <v>30</v>
      </c>
      <c r="BK63" cm="1">
        <f t="array" ref="BK63">INDEX(Crops[],BedPlan[[#This Row],[Chart Index]],BK$4,1)</f>
        <v>4</v>
      </c>
      <c r="BL63" cm="1">
        <f t="array" ref="BL63">INDEX(Crops[],BedPlan[[#This Row],[Chart Index]],BL$4,1)</f>
        <v>6</v>
      </c>
      <c r="BM63" cm="1">
        <f t="array" ref="BM63">INDEX(Crops[],BedPlan[[#This Row],[Chart Index]],BM$4,1)</f>
        <v>1</v>
      </c>
      <c r="BN63" s="32" cm="1">
        <f t="array" ref="BN63">INDEX(Crops[],BedPlan[[#This Row],[Chart Index]],BN$4,1)*BedPlan[[#This Row],[Full Bed Equivalent]]</f>
        <v>400</v>
      </c>
      <c r="BO63" t="str" cm="1">
        <f t="array" ref="BO63">IF(INDEX(Crops[],BedPlan[[#This Row],[Chart Index]],BO$4,1)=0,"",INDEX(Crops[],BedPlan[[#This Row],[Chart Index]],BO$4,1))</f>
        <v/>
      </c>
      <c r="BP63">
        <f>MATCH(BedPlan[[#This Row],[Crop]],Crops[Identifier],FALSE)</f>
        <v>131</v>
      </c>
      <c r="BQ63" t="str" cm="1">
        <f t="array" ref="BQ63">INDEX(Crops[],BedPlan[[#This Row],[Chart Index]],BQ$4,1)</f>
        <v>General</v>
      </c>
      <c r="BR63" t="str" cm="1">
        <f t="array" ref="BR63">INDEX(Crops[],BedPlan[[#This Row],[Chart Index]],BR$4,1)</f>
        <v>Sp</v>
      </c>
      <c r="BS63" s="32">
        <f>BedPlan[[#This Row],[Expected Beginning of Harvest]]-DATE(2023,1,1)</f>
        <v>887</v>
      </c>
      <c r="BT63">
        <f>BedPlan[[#This Row],[Expected End of Harvest]]-BedPlan[[#This Row],[Expected Beginning of Harvest]]</f>
        <v>14</v>
      </c>
      <c r="BU63" t="str" cm="1">
        <f t="array" ref="BU63">INDEX(Crops[],BedPlan[[#This Row],[Chart Index]],BU$4,1)</f>
        <v>Fennel</v>
      </c>
      <c r="BV63" cm="1">
        <f t="array" ref="BV63">INDEX(Crops[],BedPlan[[#This Row],[Chart Index]],BV$4,1)</f>
        <v>2.5</v>
      </c>
      <c r="BW63" t="str" cm="1">
        <f t="array" ref="BW63">INDEX(Crops[],BedPlan[[#This Row],[Chart Index]],BW$4,1)</f>
        <v>None</v>
      </c>
      <c r="BX63" cm="1">
        <f t="array" ref="BX63">INDEX(Crops[],BedPlan[[#This Row],[Chart Index]],BX$4,1)</f>
        <v>128</v>
      </c>
      <c r="BY63" cm="1">
        <f t="array" ref="BY63">INDEX(Crops[],BedPlan[[#This Row],[Chart Index]],BY$4,1)</f>
        <v>30</v>
      </c>
      <c r="BZ63" s="49" cm="1">
        <f t="array" ref="BZ63">IFERROR(INDEX(Crops[],BedPlan[[#This Row],[Chart Index]],BZ$4,1)*BedPlan[[#This Row],[Full Bed Equivalent]],"")</f>
        <v>4.0625</v>
      </c>
      <c r="CA63" cm="1">
        <f t="array" ref="CA63">INDEX(Crops[],BedPlan[[#This Row],[Chart Index]],CA$4,1)</f>
        <v>0</v>
      </c>
      <c r="CB63" cm="1">
        <f t="array" ref="CB63">INDEX(Crops[],BedPlan[[#This Row],[Chart Index]],CB$4,1)</f>
        <v>0</v>
      </c>
      <c r="CC63" s="49" t="str" cm="1">
        <f t="array" ref="CC63">IFERROR(INDEX(Crops[],BedPlan[[#This Row],[Chart Index]],CC$4,1)*BedPlan[[#This Row],[Full Bed Equivalent]],"")</f>
        <v/>
      </c>
      <c r="CD63" cm="1">
        <f t="array" ref="CD63">INDEX(Crops[],BedPlan[[#This Row],[Chart Index]],CD$4,1)</f>
        <v>0</v>
      </c>
      <c r="CE63" cm="1">
        <f t="array" ref="CE63">IF(INDEX(Crops[],BedPlan[[#This Row],[Chart Index]],CE$4,1)="",0,INDEX(Crops[],BedPlan[[#This Row],[Chart Index]],CE$4,1))</f>
        <v>0</v>
      </c>
      <c r="CF63" s="49" t="str" cm="1">
        <f t="array" ref="CF63">IFERROR(INDEX(Crops[],BedPlan[[#This Row],[Chart Index]],CF$4,1)*BedPlan[[#This Row],[Full Bed Equivalent]],"")</f>
        <v/>
      </c>
      <c r="CG63" cm="1">
        <f t="array" ref="CG63">IF(INDEX(Crops[],BedPlan[[#This Row],[Chart Index]],CG$4,1)="",0,INDEX(Crops[],BedPlan[[#This Row],[Chart Index]],CG$4,1))</f>
        <v>1.3</v>
      </c>
      <c r="CH63" cm="1">
        <f t="array" ref="CH63">IF(INDEX(Crops[],BedPlan[[#This Row],[Chart Index]],CH$4,1)="",0,INDEX(Crops[],BedPlan[[#This Row],[Chart Index]],CH$4,1))</f>
        <v>10</v>
      </c>
      <c r="CI63" t="str" cm="1">
        <f t="array" ref="CI63">INDEX(Crops[],BedPlan[[#This Row],[Chart Index]],CI$4,1)</f>
        <v>Field</v>
      </c>
      <c r="CJ63" s="30" t="str">
        <f>_xlfn.TEXTJOIN(CHAR(10),FALSE,BedPlan[[#This Row],[Name]],BedPlan[[#This Row],[Variety]],BedPlan[[#This Row],[Company]])</f>
        <v xml:space="preserve">Fennel
Fennel Mix
</v>
      </c>
      <c r="CK63" s="32">
        <f>MAX( 0, MIN(BedPlan[[#This Row],[Expected End of Harvest]], EOMONTH(CK$4, 0)) - MAX(BedPlan[[#This Row],[Beginning of Harvest]], CK$4) + 1 )</f>
        <v>0</v>
      </c>
      <c r="CL63">
        <f>MAX( 0, MIN(BedPlan[[#This Row],[Expected End of Harvest]], EOMONTH(CL$4, 0)) - MAX(BedPlan[[#This Row],[Beginning of Harvest]], CL$4) + 1 )</f>
        <v>0</v>
      </c>
      <c r="CM63">
        <f>MAX( 0, MIN(BedPlan[[#This Row],[Expected End of Harvest]], EOMONTH(CM$4, 0)) - MAX(BedPlan[[#This Row],[Beginning of Harvest]], CM$4) + 1 )</f>
        <v>0</v>
      </c>
      <c r="CN63">
        <f>MAX( 0, MIN(BedPlan[[#This Row],[Expected End of Harvest]], EOMONTH(CN$4, 0)) - MAX(BedPlan[[#This Row],[Beginning of Harvest]], CN$4) + 1 )</f>
        <v>0</v>
      </c>
      <c r="CO63">
        <f>MAX( 0, MIN(BedPlan[[#This Row],[Expected End of Harvest]], EOMONTH(CO$4, 0)) - MAX(BedPlan[[#This Row],[Beginning of Harvest]], CO$4) + 1 )</f>
        <v>0</v>
      </c>
      <c r="CP63">
        <f>MAX( 0, MIN(BedPlan[[#This Row],[Expected End of Harvest]], EOMONTH(CP$4, 0)) - MAX(BedPlan[[#This Row],[Beginning of Harvest]], CP$4) + 1 )</f>
        <v>15</v>
      </c>
      <c r="CQ63">
        <f>MAX( 0, MIN(BedPlan[[#This Row],[Expected End of Harvest]], EOMONTH(CQ$4, 0)) - MAX(BedPlan[[#This Row],[Beginning of Harvest]], CQ$4) + 1 )</f>
        <v>0</v>
      </c>
      <c r="CR63">
        <f>MAX( 0, MIN(BedPlan[[#This Row],[Expected End of Harvest]], EOMONTH(CR$4, 0)) - MAX(BedPlan[[#This Row],[Beginning of Harvest]], CR$4) + 1 )</f>
        <v>0</v>
      </c>
      <c r="CS63">
        <f>MAX( 0, MIN(BedPlan[[#This Row],[Expected End of Harvest]], EOMONTH(CS$4, 0)) - MAX(BedPlan[[#This Row],[Beginning of Harvest]], CS$4) + 1 )</f>
        <v>0</v>
      </c>
      <c r="CT63">
        <f>MAX( 0, MIN(BedPlan[[#This Row],[Expected End of Harvest]], EOMONTH(CT$4, 0)) - MAX(BedPlan[[#This Row],[Beginning of Harvest]], CT$4) + 1 )</f>
        <v>0</v>
      </c>
      <c r="CU63">
        <f>MAX( 0, MIN(BedPlan[[#This Row],[Expected End of Harvest]], EOMONTH(CU$4, 0)) - MAX(BedPlan[[#This Row],[Beginning of Harvest]], CU$4) + 1 )</f>
        <v>0</v>
      </c>
      <c r="CV63">
        <f>MAX( 0, MIN(BedPlan[[#This Row],[Expected End of Harvest]], EOMONTH(CV$4, 0)) - MAX(BedPlan[[#This Row],[Beginning of Harvest]], CV$4) + 1 )</f>
        <v>0</v>
      </c>
      <c r="CW63">
        <f>MAX( 0, MIN(BedPlan[[#This Row],[Expected End of Harvest]], EOMONTH(CW$4, 0)) - MAX(BedPlan[[#This Row],[Beginning of Harvest]], CW$4) + 1 )</f>
        <v>0</v>
      </c>
      <c r="CX63">
        <f>MAX( 0, MIN(BedPlan[[#This Row],[Expected End of Harvest]], EOMONTH(CX$4, 0)) - MAX(BedPlan[[#This Row],[Beginning of Harvest]], CX$4) + 1 )</f>
        <v>0</v>
      </c>
      <c r="CY63">
        <f>MAX( 0, MIN(BedPlan[[#This Row],[Expected End of Harvest]], EOMONTH(CY$4, 0)) - MAX(BedPlan[[#This Row],[Beginning of Harvest]], CY$4) + 1 )</f>
        <v>0</v>
      </c>
      <c r="CZ63">
        <f>MAX( 0, MIN(BedPlan[[#This Row],[Expected End of Harvest]], EOMONTH(CZ$4, 0)) - MAX(BedPlan[[#This Row],[Beginning of Harvest]], CZ$4) + 1 )</f>
        <v>0</v>
      </c>
      <c r="DA63">
        <f>MAX( 0, MIN(BedPlan[[#This Row],[Expected End of Harvest]], EOMONTH(DA$4, 0)) - MAX(BedPlan[[#This Row],[Beginning of Harvest]], DA$4) + 1 )</f>
        <v>0</v>
      </c>
      <c r="DB63">
        <f>MAX( 0, MIN(BedPlan[[#This Row],[Expected End of Harvest]], EOMONTH(DB$4, 0)) - MAX(BedPlan[[#This Row],[Beginning of Harvest]], DB$4) + 1 )</f>
        <v>0</v>
      </c>
      <c r="DC63">
        <f>MAX( 0, MIN(BedPlan[[#This Row],[Expected End of Harvest]], EOMONTH(DC$4, 0)) - MAX(BedPlan[[#This Row],[Beginning of Harvest]], DC$4) + 1 )</f>
        <v>0</v>
      </c>
      <c r="DD63">
        <f>MAX( 0, MIN(BedPlan[[#This Row],[Expected End of Harvest]], EOMONTH(DD$4, 0)) - MAX(BedPlan[[#This Row],[Beginning of Harvest]], DD$4) + 1 )</f>
        <v>0</v>
      </c>
      <c r="DE63">
        <f>MAX( 0, MIN(BedPlan[[#This Row],[Expected End of Harvest]], EOMONTH(DE$4, 0)) - MAX(BedPlan[[#This Row],[Beginning of Harvest]], DE$4) + 1 )</f>
        <v>0</v>
      </c>
      <c r="DF63">
        <f>MAX( 0, MIN(BedPlan[[#This Row],[Expected End of Harvest]], EOMONTH(DF$4, 0)) - MAX(BedPlan[[#This Row],[Beginning of Harvest]], DF$4) + 1 )</f>
        <v>0</v>
      </c>
      <c r="DG63">
        <f>MAX( 0, MIN(BedPlan[[#This Row],[Expected End of Harvest]], EOMONTH(DG$4, 0)) - MAX(BedPlan[[#This Row],[Beginning of Harvest]], DG$4) + 1 )</f>
        <v>0</v>
      </c>
      <c r="DH63">
        <f>MAX( 0, MIN(BedPlan[[#This Row],[Expected End of Harvest]], EOMONTH(DH$4, 0)) - MAX(BedPlan[[#This Row],[Beginning of Harvest]], DH$4) + 1 )</f>
        <v>0</v>
      </c>
      <c r="DI63" s="257" cm="1">
        <f t="array" ref="DI63">BedPlan[[#This Row],[Harvest Days January 2025]]/SUM(BedPlan[[#This Row],[Harvest Days January 2025]:[Harvest Days December 2026]])*BedPlan[[#This Row],[Revenue]:[Revenue]]</f>
        <v>0</v>
      </c>
      <c r="DJ63" s="257" cm="1">
        <f t="array" ref="DJ63">BedPlan[[#This Row],[Harvest Days February 2025]]/SUM(BedPlan[[#This Row],[Harvest Days January 2025]:[Harvest Days December 2026]])*BedPlan[[#This Row],[Revenue]:[Revenue]]</f>
        <v>0</v>
      </c>
      <c r="DK63" s="257" cm="1">
        <f t="array" ref="DK63">BedPlan[[#This Row],[Harvest Days March 2025]]/SUM(BedPlan[[#This Row],[Harvest Days January 2025]:[Harvest Days December 2026]])*BedPlan[[#This Row],[Revenue]:[Revenue]]</f>
        <v>0</v>
      </c>
      <c r="DL63" s="257" cm="1">
        <f t="array" ref="DL63">BedPlan[[#This Row],[Harvest Days April 2025]]/SUM(BedPlan[[#This Row],[Harvest Days January 2025]:[Harvest Days December 2026]])*BedPlan[[#This Row],[Revenue]:[Revenue]]</f>
        <v>0</v>
      </c>
      <c r="DM63" s="257" cm="1">
        <f t="array" ref="DM63">BedPlan[[#This Row],[Harvest Days May 2025]]/SUM(BedPlan[[#This Row],[Harvest Days January 2025]:[Harvest Days December 2026]])*BedPlan[[#This Row],[Revenue]:[Revenue]]</f>
        <v>0</v>
      </c>
      <c r="DN63" s="257" cm="1">
        <f t="array" ref="DN63">BedPlan[[#This Row],[Harvest Days June 2025]]/SUM(BedPlan[[#This Row],[Harvest Days January 2025]:[Harvest Days December 2026]])*BedPlan[[#This Row],[Revenue]:[Revenue]]</f>
        <v>666.66666666666674</v>
      </c>
      <c r="DO63" s="257" cm="1">
        <f t="array" ref="DO63">BedPlan[[#This Row],[Harvest Days July 2025]]/SUM(BedPlan[[#This Row],[Harvest Days January 2025]:[Harvest Days December 2026]])*BedPlan[[#This Row],[Revenue]:[Revenue]]</f>
        <v>0</v>
      </c>
      <c r="DP63" s="257" cm="1">
        <f t="array" ref="DP63">BedPlan[[#This Row],[Harvest Days August 2025]]/SUM(BedPlan[[#This Row],[Harvest Days January 2025]:[Harvest Days December 2026]])*BedPlan[[#This Row],[Revenue]:[Revenue]]</f>
        <v>0</v>
      </c>
      <c r="DQ63" s="257" cm="1">
        <f t="array" ref="DQ63">BedPlan[[#This Row],[Harvest Days September 2025]]/SUM(BedPlan[[#This Row],[Harvest Days January 2025]:[Harvest Days December 2026]])*BedPlan[[#This Row],[Revenue]:[Revenue]]</f>
        <v>0</v>
      </c>
      <c r="DR63" s="257" cm="1">
        <f t="array" ref="DR63">BedPlan[[#This Row],[Harvest Days October 2025]]/SUM(BedPlan[[#This Row],[Harvest Days January 2025]:[Harvest Days December 2026]])*BedPlan[[#This Row],[Revenue]:[Revenue]]</f>
        <v>0</v>
      </c>
      <c r="DS63" s="257" cm="1">
        <f t="array" ref="DS63">BedPlan[[#This Row],[Harvest Days November 2025]]/SUM(BedPlan[[#This Row],[Harvest Days January 2025]:[Harvest Days December 2026]])*BedPlan[[#This Row],[Revenue]:[Revenue]]</f>
        <v>0</v>
      </c>
      <c r="DT63" s="257" cm="1">
        <f t="array" ref="DT63">BedPlan[[#This Row],[Harvest Days December 2025]]/SUM(BedPlan[[#This Row],[Harvest Days January 2025]:[Harvest Days December 2026]])*BedPlan[[#This Row],[Revenue]:[Revenue]]</f>
        <v>0</v>
      </c>
      <c r="DU63" s="257" cm="1">
        <f t="array" ref="DU63">BedPlan[[#This Row],[Harvest Days January 2026]]/SUM(BedPlan[[#This Row],[Harvest Days January 2025]:[Harvest Days December 2026]])*BedPlan[[#This Row],[Revenue]:[Revenue]]</f>
        <v>0</v>
      </c>
      <c r="DV63" s="257" cm="1">
        <f t="array" ref="DV63">BedPlan[[#This Row],[Harvest Days February 2026]]/SUM(BedPlan[[#This Row],[Harvest Days January 2025]:[Harvest Days December 2026]])*BedPlan[[#This Row],[Revenue]:[Revenue]]</f>
        <v>0</v>
      </c>
      <c r="DW63" s="257" cm="1">
        <f t="array" ref="DW63">BedPlan[[#This Row],[Harvest Days March 2026]]/SUM(BedPlan[[#This Row],[Harvest Days January 2025]:[Harvest Days December 2026]])*BedPlan[[#This Row],[Revenue]:[Revenue]]</f>
        <v>0</v>
      </c>
      <c r="DX63" s="257" cm="1">
        <f t="array" ref="DX63">BedPlan[[#This Row],[Harvest Days April 2026]]/SUM(BedPlan[[#This Row],[Harvest Days January 2025]:[Harvest Days December 2026]])*BedPlan[[#This Row],[Revenue]:[Revenue]]</f>
        <v>0</v>
      </c>
      <c r="DY63" s="257" cm="1">
        <f t="array" ref="DY63">BedPlan[[#This Row],[Harvest Days May 2026]]/SUM(BedPlan[[#This Row],[Harvest Days January 2025]:[Harvest Days December 2026]])*BedPlan[[#This Row],[Revenue]:[Revenue]]</f>
        <v>0</v>
      </c>
      <c r="DZ63" s="257" cm="1">
        <f t="array" ref="DZ63">BedPlan[[#This Row],[Harvest Days June 2026]]/SUM(BedPlan[[#This Row],[Harvest Days January 2025]:[Harvest Days December 2026]])*BedPlan[[#This Row],[Revenue]:[Revenue]]</f>
        <v>0</v>
      </c>
      <c r="EA63" s="257" cm="1">
        <f t="array" ref="EA63">BedPlan[[#This Row],[Harvest Days July 2026]]/SUM(BedPlan[[#This Row],[Harvest Days January 2025]:[Harvest Days December 2026]])*BedPlan[[#This Row],[Revenue]:[Revenue]]</f>
        <v>0</v>
      </c>
      <c r="EB63" s="257" cm="1">
        <f t="array" ref="EB63">BedPlan[[#This Row],[Harvest Days August 2026]]/SUM(BedPlan[[#This Row],[Harvest Days January 2025]:[Harvest Days December 2026]])*BedPlan[[#This Row],[Revenue]:[Revenue]]</f>
        <v>0</v>
      </c>
      <c r="EC63" s="257" cm="1">
        <f t="array" ref="EC63">BedPlan[[#This Row],[Harvest Days September 2026]]/SUM(BedPlan[[#This Row],[Harvest Days January 2025]:[Harvest Days December 2026]])*BedPlan[[#This Row],[Revenue]:[Revenue]]</f>
        <v>0</v>
      </c>
      <c r="ED63" s="257" cm="1">
        <f t="array" ref="ED63">BedPlan[[#This Row],[Harvest Days October 2026]]/SUM(BedPlan[[#This Row],[Harvest Days January 2025]:[Harvest Days December 2026]])*BedPlan[[#This Row],[Revenue]:[Revenue]]</f>
        <v>0</v>
      </c>
      <c r="EE63" s="257" cm="1">
        <f t="array" ref="EE63">BedPlan[[#This Row],[Harvest Days November 2026]]/SUM(BedPlan[[#This Row],[Harvest Days January 2025]:[Harvest Days December 2026]])*BedPlan[[#This Row],[Revenue]:[Revenue]]</f>
        <v>0</v>
      </c>
      <c r="EF63" s="257" cm="1">
        <f t="array" ref="EF63">BedPlan[[#This Row],[Harvest Days December 2026]]/SUM(BedPlan[[#This Row],[Harvest Days January 2025]:[Harvest Days December 2026]])*BedPlan[[#This Row],[Revenue]:[Revenue]]</f>
        <v>0</v>
      </c>
      <c r="EG63" t="b">
        <f>SUM(BedPlan[[#This Row],[Revenue January 2025]:[Revenue December 2026]])=BedPlan[[#This Row],[Revenue]]</f>
        <v>1</v>
      </c>
      <c r="EH63" s="30" cm="1">
        <f t="array" ref="EH63">INDEX(Crops[],BedPlan[[#This Row],[Chart Index]],EH$4,1)*BedPlan[[#This Row],['# Of Beds]]</f>
        <v>400</v>
      </c>
      <c r="EI63" s="30" t="str" cm="1">
        <f t="array" ref="EI63">INDEX(Crops[],BedPlan[[#This Row],[Chart Index]],EI$4,1)</f>
        <v>Bulb</v>
      </c>
      <c r="EJ63" s="30" t="str" cm="1">
        <f t="array" ref="EJ63">INDEX(Crops[],BedPlan[[#This Row],[Chart Index]],EJ$4,1)</f>
        <v>Mini Bulb</v>
      </c>
      <c r="EK63" s="30" t="str">
        <f>BedPlan[[#This Row],[Name]]&amp;" "&amp;BedPlan[[#This Row],[Product]]&amp; " - " &amp;BedPlan[[#This Row],[Unit]]</f>
        <v>Fennel Mini Bulb - Bulb</v>
      </c>
      <c r="EL63" s="33" cm="1">
        <f t="array" ref="EL63">BedPlan[[#This Row],[Harvest Days January 2025]]/SUM(BedPlan[[#This Row],[Harvest Days January 2025]:[Harvest Days December 2026]])*BedPlan[[#This Row],[Yield]:[Yield]]</f>
        <v>0</v>
      </c>
      <c r="EM63" s="33" cm="1">
        <f t="array" ref="EM63">BedPlan[[#This Row],[Harvest Days February 2025]]/SUM(BedPlan[[#This Row],[Harvest Days January 2025]:[Harvest Days December 2026]])*BedPlan[[#This Row],[Yield]:[Yield]]</f>
        <v>0</v>
      </c>
      <c r="EN63" s="33" cm="1">
        <f t="array" ref="EN63">BedPlan[[#This Row],[Harvest Days March 2025]]/SUM(BedPlan[[#This Row],[Harvest Days January 2025]:[Harvest Days December 2026]])*BedPlan[[#This Row],[Yield]:[Yield]]</f>
        <v>0</v>
      </c>
      <c r="EO63" s="33" cm="1">
        <f t="array" ref="EO63">BedPlan[[#This Row],[Harvest Days April 2025]]/SUM(BedPlan[[#This Row],[Harvest Days January 2025]:[Harvest Days December 2026]])*BedPlan[[#This Row],[Yield]:[Yield]]</f>
        <v>0</v>
      </c>
      <c r="EP63" s="33" cm="1">
        <f t="array" ref="EP63">BedPlan[[#This Row],[Harvest Days May 2025]]/SUM(BedPlan[[#This Row],[Harvest Days January 2025]:[Harvest Days December 2026]])*BedPlan[[#This Row],[Yield]:[Yield]]</f>
        <v>0</v>
      </c>
      <c r="EQ63" s="33" cm="1">
        <f t="array" ref="EQ63">BedPlan[[#This Row],[Harvest Days June 2025]]/SUM(BedPlan[[#This Row],[Harvest Days January 2025]:[Harvest Days December 2026]])*BedPlan[[#This Row],[Yield]:[Yield]]</f>
        <v>400</v>
      </c>
      <c r="ER63" s="33" cm="1">
        <f t="array" ref="ER63">BedPlan[[#This Row],[Harvest Days July 2025]]/SUM(BedPlan[[#This Row],[Harvest Days January 2025]:[Harvest Days December 2026]])*BedPlan[[#This Row],[Yield]:[Yield]]</f>
        <v>0</v>
      </c>
      <c r="ES63" s="33" cm="1">
        <f t="array" ref="ES63">BedPlan[[#This Row],[Harvest Days August 2025]]/SUM(BedPlan[[#This Row],[Harvest Days January 2025]:[Harvest Days December 2026]])*BedPlan[[#This Row],[Yield]:[Yield]]</f>
        <v>0</v>
      </c>
      <c r="ET63" s="33" cm="1">
        <f t="array" ref="ET63">BedPlan[[#This Row],[Harvest Days September 2025]]/SUM(BedPlan[[#This Row],[Harvest Days January 2025]:[Harvest Days December 2026]])*BedPlan[[#This Row],[Yield]:[Yield]]</f>
        <v>0</v>
      </c>
      <c r="EU63" s="33" cm="1">
        <f t="array" ref="EU63">BedPlan[[#This Row],[Harvest Days October 2025]]/SUM(BedPlan[[#This Row],[Harvest Days January 2025]:[Harvest Days December 2026]])*BedPlan[[#This Row],[Yield]:[Yield]]</f>
        <v>0</v>
      </c>
      <c r="EV63" s="33" cm="1">
        <f t="array" ref="EV63">BedPlan[[#This Row],[Harvest Days November 2025]]/SUM(BedPlan[[#This Row],[Harvest Days January 2025]:[Harvest Days December 2026]])*BedPlan[[#This Row],[Yield]:[Yield]]</f>
        <v>0</v>
      </c>
      <c r="EW63" s="33" cm="1">
        <f t="array" ref="EW63">BedPlan[[#This Row],[Harvest Days December 2025]]/SUM(BedPlan[[#This Row],[Harvest Days January 2025]:[Harvest Days December 2026]])*BedPlan[[#This Row],[Yield]:[Yield]]</f>
        <v>0</v>
      </c>
    </row>
    <row r="64" spans="1:153" ht="15.75" customHeight="1">
      <c r="A64" s="185" t="s">
        <v>2724</v>
      </c>
      <c r="B64" s="240" t="s">
        <v>2725</v>
      </c>
      <c r="C64" t="s">
        <v>1496</v>
      </c>
      <c r="D64" s="226" t="e" cm="1">
        <f t="array" ref="D64">INDEX(Crops[],BedPlan[[#This Row],[Chart Index]],D$4,1)*BedPlan[[#This Row],[Full Bed Equivalent]]</f>
        <v>#DIV/0!</v>
      </c>
      <c r="E64" s="226" cm="1">
        <f t="array" ref="E64">INDEX(Crops[],BedPlan[[#This Row],[Chart Index]],E$4,1)*BedPlan[[#This Row],[Full Bed Equivalent]]</f>
        <v>128.57142857142858</v>
      </c>
      <c r="F64" t="str">
        <f>UPPER(LEFT(BedPlan[[#This Row],[Crop]],3))</f>
        <v>GAR</v>
      </c>
      <c r="H64" s="143" t="str" cm="1">
        <f t="array" ref="H64">INDEX(Crops[],BedPlan[[#This Row],[Chart Index]],H$4,1)</f>
        <v>Garlic</v>
      </c>
      <c r="I64" t="s">
        <v>2863</v>
      </c>
      <c r="K64" t="str" cm="1">
        <f t="array" ref="K64">IF(ISNUMBER(MATCH(BedPlan[[#This Row],[Variety]],SeedMixes[Name],)),_xlfn.TEXTJOIN(", ",TRUE,_xlfn._xlws.FILTER(SeedMixes[Variety &amp; Company],SeedMixes[Name]=BedPlan[[#This Row],[Variety]])),"")</f>
        <v/>
      </c>
      <c r="L64" s="33" cm="1">
        <f t="array" ref="L64">INDEX(Crops[],BedPlan[[#This Row],[Chart Index]],L$4,1)*BedPlan[[#This Row],[Full Bed Equivalent]]</f>
        <v>900</v>
      </c>
      <c r="N64">
        <f>1</f>
        <v>1</v>
      </c>
      <c r="O64">
        <f>MAX(BedPlan[[#This Row],['# Of Beds]],0.5)</f>
        <v>1</v>
      </c>
      <c r="P64" s="31">
        <v>41994</v>
      </c>
      <c r="Q64" s="259" t="str">
        <f>IF(BedPlan[[#This Row],[Days in Cells]]=0,"",IFERROR(_xlfn.XLOOKUP(BedPlan[[#This Row],[Follows Crop]],BedPlan[Identifier],BedPlan[Expected End of Harvest]) + 1+BedPlan[[#This Row],[Follow Offset]],BedPlan[[#This Row],[Fixed Field Start Date]])-BedPlan[[#This Row],[Days in Cells]])</f>
        <v/>
      </c>
      <c r="R64" s="259"/>
      <c r="S64" s="259" t="str">
        <f>IF(ISNUMBER(BedPlan[[#This Row],[Actual Greenhouse Date]]),BedPlan[[#This Row],[Actual Greenhouse Date]],BedPlan[[#This Row],[Planned Greenhouse Start Date]])</f>
        <v/>
      </c>
      <c r="T64" s="259">
        <f>_xlfn.XLOOKUP(BedPlan[[#This Row],[Crop]],Crops[Identifier],Crops[Target Field Date])</f>
        <v>45888</v>
      </c>
      <c r="U64" s="260"/>
      <c r="V64" s="260"/>
      <c r="W6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45888</v>
      </c>
      <c r="X64" s="259">
        <v>45647</v>
      </c>
      <c r="Y64" s="271">
        <f>BedPlan[[#This Row],[Actual TP or DS Date]]-BedPlan[[#This Row],[Planned TP or DS Date]]</f>
        <v>-241</v>
      </c>
      <c r="Z64" s="259">
        <f>IF(ISNUMBER(BedPlan[[#This Row],[Actual TP or DS Date]]),BedPlan[[#This Row],[Actual TP or DS Date]],BedPlan[[#This Row],[Planned TP or DS Date]])</f>
        <v>45647</v>
      </c>
      <c r="AA64" s="260"/>
      <c r="AB64" s="259">
        <v>45778</v>
      </c>
      <c r="AC64" s="259"/>
      <c r="AD64" s="259">
        <f>IF(ISNUMBER(BedPlan[[#This Row],[Actual Beginning of Harvest]]),BedPlan[[#This Row],[Actual Beginning of Harvest]],BedPlan[[#This Row],[Expected Beginning of Harvest]])</f>
        <v>45778</v>
      </c>
      <c r="AE64" s="259">
        <v>45807</v>
      </c>
      <c r="AF64" s="259"/>
      <c r="AG64" s="259"/>
      <c r="AH64" s="31" t="b">
        <f>IF(AND( BedPlan[[#This Row],[Expected End of Harvest]] &gt;= DATE(2025, 8, 1), BedPlan[[#This Row],[Beginning of Harvest]] &lt;= DATE(2025, 8, 31) ), TRUE, FALSE)</f>
        <v>0</v>
      </c>
      <c r="AI64" s="31"/>
      <c r="AJ64" s="31">
        <f>IF(ISNUMBER(BedPlan[[#This Row],[Actual End of Harvest]]),BedPlan[[#This Row],[Actual End of Harvest]],BedPlan[[#This Row],[Expected End of Harvest]])</f>
        <v>45807</v>
      </c>
      <c r="AK64" t="b">
        <f>OR(ISNUMBER(BedPlan[[#This Row],[Actual Greenhouse Date]]),ISNUMBER(BedPlan[[#This Row],[Actual TP or DS Date]]))</f>
        <v>1</v>
      </c>
      <c r="AL64" s="52" t="str">
        <f>IF(ISNUMBER(BedPlan[[#This Row],[Planned Greenhouse Start Date]]),OR(ISNUMBER(BedPlan[[#This Row],[Actual TP or DS Date]]),BedPlan[[#This Row],[Failed]]),"-")</f>
        <v>-</v>
      </c>
      <c r="AM64" t="b">
        <f>OR(ISNUMBER(BedPlan[[#This Row],[Actual End of Harvest]]),BedPlan[[#This Row],[Failed]])</f>
        <v>0</v>
      </c>
      <c r="AN64" t="b">
        <f>OR(BedPlan[[#This Row],[Harvest Done]],BedPlan[[#This Row],[Failed]],BedPlan[[#This Row],[Name]]="Tarp")</f>
        <v>0</v>
      </c>
      <c r="AS64" s="26" t="str">
        <f>IF(BedPlan[[#This Row],[Broadfork]],BedPlan[[#This Row],[Actual TP or DS Date]],"")</f>
        <v/>
      </c>
      <c r="AT64" s="26" t="str">
        <f>IF(BedPlan[[#This Row],[Tilther]],BedPlan[[#This Row],[Actual TP or DS Date]],"")</f>
        <v/>
      </c>
      <c r="AU64" s="26" t="str">
        <f>IF(NOT(ISBLANK(BedPlan[[#This Row],[Amend]])),BedPlan[[#This Row],[Actual TP or DS Date]],"")</f>
        <v/>
      </c>
      <c r="AV64" s="26" t="str">
        <f>IF(BedPlan[[#This Row],[Row Cover]],BedPlan[[#This Row],[Actual TP or DS Date]],"")</f>
        <v/>
      </c>
      <c r="AW64" t="s">
        <v>3215</v>
      </c>
      <c r="AX64" s="26">
        <v>45781</v>
      </c>
      <c r="AZ64" s="26"/>
      <c r="BB64" s="26"/>
      <c r="BC64" s="231" cm="1">
        <f t="array" ref="BC64">INDEX(Crops[],BedPlan[[#This Row],[Chart Index]],BC$4,1)*BedPlan[[#This Row],[Full Bed Equivalent]]</f>
        <v>642.85714285714289</v>
      </c>
      <c r="BD64" s="231" cm="1">
        <f t="array" ref="BD64">INDEX(Crops[],BedPlan[[#This Row],[Chart Index]],BD$4,1)*BedPlan[[#This Row],[Full Bed Equivalent]]</f>
        <v>2.6026604973973395</v>
      </c>
      <c r="BE64" cm="1">
        <f t="array" ref="BE64">INDEX(Crops[],BedPlan[[#This Row],[Chart Index]],BE$4,1)+BedPlan[[#This Row],[Additional Days in Cells]]+BedPlan[[#This Row],[Additional Days In Field]]</f>
        <v>240</v>
      </c>
      <c r="BG64" cm="1">
        <f t="array" ref="BG64">INDEX(Crops[],BedPlan[[#This Row],[Chart Index]],BG$4,1)</f>
        <v>7</v>
      </c>
      <c r="BH64" t="str">
        <f>IF(ISNUMBER(BedPlan[[#This Row],[Planned Greenhouse Start Date]]),"TP","DS")</f>
        <v>DS</v>
      </c>
      <c r="BI64">
        <f>BedPlan[[#This Row],['# Of Beds]]</f>
        <v>1</v>
      </c>
      <c r="BJ64" cm="1">
        <f t="array" ref="BJ64">INDEX(Crops[],BedPlan[[#This Row],[Chart Index]],BJ$4,1)</f>
        <v>0</v>
      </c>
      <c r="BK64" cm="1">
        <f t="array" ref="BK64">INDEX(Crops[],BedPlan[[#This Row],[Chart Index]],BK$4,1)</f>
        <v>3</v>
      </c>
      <c r="BL64" cm="1">
        <f t="array" ref="BL64">INDEX(Crops[],BedPlan[[#This Row],[Chart Index]],BL$4,1)</f>
        <v>2</v>
      </c>
      <c r="BM64" cm="1">
        <f t="array" ref="BM64">INDEX(Crops[],BedPlan[[#This Row],[Chart Index]],BM$4,1)</f>
        <v>1</v>
      </c>
      <c r="BN64" s="32" cm="1">
        <f t="array" ref="BN64">INDEX(Crops[],BedPlan[[#This Row],[Chart Index]],BN$4,1)*BedPlan[[#This Row],[Full Bed Equivalent]]</f>
        <v>900</v>
      </c>
      <c r="BO64" t="str" cm="1">
        <f t="array" ref="BO64">IF(INDEX(Crops[],BedPlan[[#This Row],[Chart Index]],BO$4,1)=0,"",INDEX(Crops[],BedPlan[[#This Row],[Chart Index]],BO$4,1))</f>
        <v/>
      </c>
      <c r="BP64">
        <f>MATCH(BedPlan[[#This Row],[Crop]],Crops[Identifier],FALSE)</f>
        <v>135</v>
      </c>
      <c r="BQ64" t="str" cm="1">
        <f t="array" ref="BQ64">INDEX(Crops[],BedPlan[[#This Row],[Chart Index]],BQ$4,1)</f>
        <v>Green</v>
      </c>
      <c r="BR64" t="str" cm="1">
        <f t="array" ref="BR64">INDEX(Crops[],BedPlan[[#This Row],[Chart Index]],BR$4,1)</f>
        <v>Ow</v>
      </c>
      <c r="BS64" s="32">
        <f>BedPlan[[#This Row],[Expected Beginning of Harvest]]-DATE(2023,1,1)</f>
        <v>851</v>
      </c>
      <c r="BT64">
        <f>BedPlan[[#This Row],[Expected End of Harvest]]-BedPlan[[#This Row],[Expected Beginning of Harvest]]</f>
        <v>29</v>
      </c>
      <c r="BU64" t="str" cm="1">
        <f t="array" ref="BU64">INDEX(Crops[],BedPlan[[#This Row],[Chart Index]],BU$4,1)</f>
        <v>Garlic</v>
      </c>
      <c r="BV64" cm="1">
        <f t="array" ref="BV64">INDEX(Crops[],BedPlan[[#This Row],[Chart Index]],BV$4,1)</f>
        <v>2</v>
      </c>
      <c r="BW64" t="str" cm="1">
        <f t="array" ref="BW64">INDEX(Crops[],BedPlan[[#This Row],[Chart Index]],BW$4,1)</f>
        <v>None</v>
      </c>
      <c r="BX64" cm="1">
        <f t="array" ref="BX64">INDEX(Crops[],BedPlan[[#This Row],[Chart Index]],BX$4,1)</f>
        <v>0</v>
      </c>
      <c r="BY64" cm="1">
        <f t="array" ref="BY64">INDEX(Crops[],BedPlan[[#This Row],[Chart Index]],BY$4,1)</f>
        <v>0</v>
      </c>
      <c r="BZ64" s="49" t="str" cm="1">
        <f t="array" ref="BZ64">IFERROR(INDEX(Crops[],BedPlan[[#This Row],[Chart Index]],BZ$4,1)*BedPlan[[#This Row],[Full Bed Equivalent]],"")</f>
        <v/>
      </c>
      <c r="CA64" cm="1">
        <f t="array" ref="CA64">INDEX(Crops[],BedPlan[[#This Row],[Chart Index]],CA$4,1)</f>
        <v>0</v>
      </c>
      <c r="CB64" cm="1">
        <f t="array" ref="CB64">INDEX(Crops[],BedPlan[[#This Row],[Chart Index]],CB$4,1)</f>
        <v>0</v>
      </c>
      <c r="CC64" s="49" t="str" cm="1">
        <f t="array" ref="CC64">IFERROR(INDEX(Crops[],BedPlan[[#This Row],[Chart Index]],CC$4,1)*BedPlan[[#This Row],[Full Bed Equivalent]],"")</f>
        <v/>
      </c>
      <c r="CD64" cm="1">
        <f t="array" ref="CD64">INDEX(Crops[],BedPlan[[#This Row],[Chart Index]],CD$4,1)</f>
        <v>0</v>
      </c>
      <c r="CE64" cm="1">
        <f t="array" ref="CE64">IF(INDEX(Crops[],BedPlan[[#This Row],[Chart Index]],CE$4,1)="",0,INDEX(Crops[],BedPlan[[#This Row],[Chart Index]],CE$4,1))</f>
        <v>0</v>
      </c>
      <c r="CF64" s="49" t="str" cm="1">
        <f t="array" ref="CF64">IFERROR(INDEX(Crops[],BedPlan[[#This Row],[Chart Index]],CF$4,1)*BedPlan[[#This Row],[Full Bed Equivalent]],"")</f>
        <v/>
      </c>
      <c r="CG64" cm="1">
        <f t="array" ref="CG64">IF(INDEX(Crops[],BedPlan[[#This Row],[Chart Index]],CG$4,1)="",0,INDEX(Crops[],BedPlan[[#This Row],[Chart Index]],CG$4,1))</f>
        <v>1</v>
      </c>
      <c r="CH64" cm="1">
        <f t="array" ref="CH64">IF(INDEX(Crops[],BedPlan[[#This Row],[Chart Index]],CH$4,1)="",0,INDEX(Crops[],BedPlan[[#This Row],[Chart Index]],CH$4,1))</f>
        <v>0</v>
      </c>
      <c r="CI64" t="str" cm="1">
        <f t="array" ref="CI64">INDEX(Crops[],BedPlan[[#This Row],[Chart Index]],CI$4,1)</f>
        <v>Field</v>
      </c>
      <c r="CJ64" s="30" t="str">
        <f>_xlfn.TEXTJOIN(CHAR(10),FALSE,BedPlan[[#This Row],[Name]],BedPlan[[#This Row],[Variety]],BedPlan[[#This Row],[Company]])</f>
        <v xml:space="preserve">Garlic
Saved Seed
</v>
      </c>
      <c r="CK64" s="32">
        <f>MAX( 0, MIN(BedPlan[[#This Row],[Expected End of Harvest]], EOMONTH(CK$4, 0)) - MAX(BedPlan[[#This Row],[Beginning of Harvest]], CK$4) + 1 )</f>
        <v>0</v>
      </c>
      <c r="CL64">
        <f>MAX( 0, MIN(BedPlan[[#This Row],[Expected End of Harvest]], EOMONTH(CL$4, 0)) - MAX(BedPlan[[#This Row],[Beginning of Harvest]], CL$4) + 1 )</f>
        <v>0</v>
      </c>
      <c r="CM64">
        <f>MAX( 0, MIN(BedPlan[[#This Row],[Expected End of Harvest]], EOMONTH(CM$4, 0)) - MAX(BedPlan[[#This Row],[Beginning of Harvest]], CM$4) + 1 )</f>
        <v>0</v>
      </c>
      <c r="CN64">
        <f>MAX( 0, MIN(BedPlan[[#This Row],[Expected End of Harvest]], EOMONTH(CN$4, 0)) - MAX(BedPlan[[#This Row],[Beginning of Harvest]], CN$4) + 1 )</f>
        <v>0</v>
      </c>
      <c r="CO64">
        <f>MAX( 0, MIN(BedPlan[[#This Row],[Expected End of Harvest]], EOMONTH(CO$4, 0)) - MAX(BedPlan[[#This Row],[Beginning of Harvest]], CO$4) + 1 )</f>
        <v>30</v>
      </c>
      <c r="CP64">
        <f>MAX( 0, MIN(BedPlan[[#This Row],[Expected End of Harvest]], EOMONTH(CP$4, 0)) - MAX(BedPlan[[#This Row],[Beginning of Harvest]], CP$4) + 1 )</f>
        <v>0</v>
      </c>
      <c r="CQ64">
        <f>MAX( 0, MIN(BedPlan[[#This Row],[Expected End of Harvest]], EOMONTH(CQ$4, 0)) - MAX(BedPlan[[#This Row],[Beginning of Harvest]], CQ$4) + 1 )</f>
        <v>0</v>
      </c>
      <c r="CR64">
        <f>MAX( 0, MIN(BedPlan[[#This Row],[Expected End of Harvest]], EOMONTH(CR$4, 0)) - MAX(BedPlan[[#This Row],[Beginning of Harvest]], CR$4) + 1 )</f>
        <v>0</v>
      </c>
      <c r="CS64">
        <f>MAX( 0, MIN(BedPlan[[#This Row],[Expected End of Harvest]], EOMONTH(CS$4, 0)) - MAX(BedPlan[[#This Row],[Beginning of Harvest]], CS$4) + 1 )</f>
        <v>0</v>
      </c>
      <c r="CT64">
        <f>MAX( 0, MIN(BedPlan[[#This Row],[Expected End of Harvest]], EOMONTH(CT$4, 0)) - MAX(BedPlan[[#This Row],[Beginning of Harvest]], CT$4) + 1 )</f>
        <v>0</v>
      </c>
      <c r="CU64">
        <f>MAX( 0, MIN(BedPlan[[#This Row],[Expected End of Harvest]], EOMONTH(CU$4, 0)) - MAX(BedPlan[[#This Row],[Beginning of Harvest]], CU$4) + 1 )</f>
        <v>0</v>
      </c>
      <c r="CV64">
        <f>MAX( 0, MIN(BedPlan[[#This Row],[Expected End of Harvest]], EOMONTH(CV$4, 0)) - MAX(BedPlan[[#This Row],[Beginning of Harvest]], CV$4) + 1 )</f>
        <v>0</v>
      </c>
      <c r="CW64">
        <f>MAX( 0, MIN(BedPlan[[#This Row],[Expected End of Harvest]], EOMONTH(CW$4, 0)) - MAX(BedPlan[[#This Row],[Beginning of Harvest]], CW$4) + 1 )</f>
        <v>0</v>
      </c>
      <c r="CX64">
        <f>MAX( 0, MIN(BedPlan[[#This Row],[Expected End of Harvest]], EOMONTH(CX$4, 0)) - MAX(BedPlan[[#This Row],[Beginning of Harvest]], CX$4) + 1 )</f>
        <v>0</v>
      </c>
      <c r="CY64">
        <f>MAX( 0, MIN(BedPlan[[#This Row],[Expected End of Harvest]], EOMONTH(CY$4, 0)) - MAX(BedPlan[[#This Row],[Beginning of Harvest]], CY$4) + 1 )</f>
        <v>0</v>
      </c>
      <c r="CZ64">
        <f>MAX( 0, MIN(BedPlan[[#This Row],[Expected End of Harvest]], EOMONTH(CZ$4, 0)) - MAX(BedPlan[[#This Row],[Beginning of Harvest]], CZ$4) + 1 )</f>
        <v>0</v>
      </c>
      <c r="DA64">
        <f>MAX( 0, MIN(BedPlan[[#This Row],[Expected End of Harvest]], EOMONTH(DA$4, 0)) - MAX(BedPlan[[#This Row],[Beginning of Harvest]], DA$4) + 1 )</f>
        <v>0</v>
      </c>
      <c r="DB64">
        <f>MAX( 0, MIN(BedPlan[[#This Row],[Expected End of Harvest]], EOMONTH(DB$4, 0)) - MAX(BedPlan[[#This Row],[Beginning of Harvest]], DB$4) + 1 )</f>
        <v>0</v>
      </c>
      <c r="DC64">
        <f>MAX( 0, MIN(BedPlan[[#This Row],[Expected End of Harvest]], EOMONTH(DC$4, 0)) - MAX(BedPlan[[#This Row],[Beginning of Harvest]], DC$4) + 1 )</f>
        <v>0</v>
      </c>
      <c r="DD64">
        <f>MAX( 0, MIN(BedPlan[[#This Row],[Expected End of Harvest]], EOMONTH(DD$4, 0)) - MAX(BedPlan[[#This Row],[Beginning of Harvest]], DD$4) + 1 )</f>
        <v>0</v>
      </c>
      <c r="DE64">
        <f>MAX( 0, MIN(BedPlan[[#This Row],[Expected End of Harvest]], EOMONTH(DE$4, 0)) - MAX(BedPlan[[#This Row],[Beginning of Harvest]], DE$4) + 1 )</f>
        <v>0</v>
      </c>
      <c r="DF64">
        <f>MAX( 0, MIN(BedPlan[[#This Row],[Expected End of Harvest]], EOMONTH(DF$4, 0)) - MAX(BedPlan[[#This Row],[Beginning of Harvest]], DF$4) + 1 )</f>
        <v>0</v>
      </c>
      <c r="DG64">
        <f>MAX( 0, MIN(BedPlan[[#This Row],[Expected End of Harvest]], EOMONTH(DG$4, 0)) - MAX(BedPlan[[#This Row],[Beginning of Harvest]], DG$4) + 1 )</f>
        <v>0</v>
      </c>
      <c r="DH64">
        <f>MAX( 0, MIN(BedPlan[[#This Row],[Expected End of Harvest]], EOMONTH(DH$4, 0)) - MAX(BedPlan[[#This Row],[Beginning of Harvest]], DH$4) + 1 )</f>
        <v>0</v>
      </c>
      <c r="DI64" s="257" cm="1">
        <f t="array" ref="DI64">BedPlan[[#This Row],[Harvest Days January 2025]]/SUM(BedPlan[[#This Row],[Harvest Days January 2025]:[Harvest Days December 2026]])*BedPlan[[#This Row],[Revenue]:[Revenue]]</f>
        <v>0</v>
      </c>
      <c r="DJ64" s="257" cm="1">
        <f t="array" ref="DJ64">BedPlan[[#This Row],[Harvest Days February 2025]]/SUM(BedPlan[[#This Row],[Harvest Days January 2025]:[Harvest Days December 2026]])*BedPlan[[#This Row],[Revenue]:[Revenue]]</f>
        <v>0</v>
      </c>
      <c r="DK64" s="257" cm="1">
        <f t="array" ref="DK64">BedPlan[[#This Row],[Harvest Days March 2025]]/SUM(BedPlan[[#This Row],[Harvest Days January 2025]:[Harvest Days December 2026]])*BedPlan[[#This Row],[Revenue]:[Revenue]]</f>
        <v>0</v>
      </c>
      <c r="DL64" s="257" cm="1">
        <f t="array" ref="DL64">BedPlan[[#This Row],[Harvest Days April 2025]]/SUM(BedPlan[[#This Row],[Harvest Days January 2025]:[Harvest Days December 2026]])*BedPlan[[#This Row],[Revenue]:[Revenue]]</f>
        <v>0</v>
      </c>
      <c r="DM64" s="257" cm="1">
        <f t="array" ref="DM64">BedPlan[[#This Row],[Harvest Days May 2025]]/SUM(BedPlan[[#This Row],[Harvest Days January 2025]:[Harvest Days December 2026]])*BedPlan[[#This Row],[Revenue]:[Revenue]]</f>
        <v>642.85714285714289</v>
      </c>
      <c r="DN64" s="257" cm="1">
        <f t="array" ref="DN64">BedPlan[[#This Row],[Harvest Days June 2025]]/SUM(BedPlan[[#This Row],[Harvest Days January 2025]:[Harvest Days December 2026]])*BedPlan[[#This Row],[Revenue]:[Revenue]]</f>
        <v>0</v>
      </c>
      <c r="DO64" s="257" cm="1">
        <f t="array" ref="DO64">BedPlan[[#This Row],[Harvest Days July 2025]]/SUM(BedPlan[[#This Row],[Harvest Days January 2025]:[Harvest Days December 2026]])*BedPlan[[#This Row],[Revenue]:[Revenue]]</f>
        <v>0</v>
      </c>
      <c r="DP64" s="257" cm="1">
        <f t="array" ref="DP64">BedPlan[[#This Row],[Harvest Days August 2025]]/SUM(BedPlan[[#This Row],[Harvest Days January 2025]:[Harvest Days December 2026]])*BedPlan[[#This Row],[Revenue]:[Revenue]]</f>
        <v>0</v>
      </c>
      <c r="DQ64" s="257" cm="1">
        <f t="array" ref="DQ64">BedPlan[[#This Row],[Harvest Days September 2025]]/SUM(BedPlan[[#This Row],[Harvest Days January 2025]:[Harvest Days December 2026]])*BedPlan[[#This Row],[Revenue]:[Revenue]]</f>
        <v>0</v>
      </c>
      <c r="DR64" s="257" cm="1">
        <f t="array" ref="DR64">BedPlan[[#This Row],[Harvest Days October 2025]]/SUM(BedPlan[[#This Row],[Harvest Days January 2025]:[Harvest Days December 2026]])*BedPlan[[#This Row],[Revenue]:[Revenue]]</f>
        <v>0</v>
      </c>
      <c r="DS64" s="257" cm="1">
        <f t="array" ref="DS64">BedPlan[[#This Row],[Harvest Days November 2025]]/SUM(BedPlan[[#This Row],[Harvest Days January 2025]:[Harvest Days December 2026]])*BedPlan[[#This Row],[Revenue]:[Revenue]]</f>
        <v>0</v>
      </c>
      <c r="DT64" s="257" cm="1">
        <f t="array" ref="DT64">BedPlan[[#This Row],[Harvest Days December 2025]]/SUM(BedPlan[[#This Row],[Harvest Days January 2025]:[Harvest Days December 2026]])*BedPlan[[#This Row],[Revenue]:[Revenue]]</f>
        <v>0</v>
      </c>
      <c r="DU64" s="257" cm="1">
        <f t="array" ref="DU64">BedPlan[[#This Row],[Harvest Days January 2026]]/SUM(BedPlan[[#This Row],[Harvest Days January 2025]:[Harvest Days December 2026]])*BedPlan[[#This Row],[Revenue]:[Revenue]]</f>
        <v>0</v>
      </c>
      <c r="DV64" s="257" cm="1">
        <f t="array" ref="DV64">BedPlan[[#This Row],[Harvest Days February 2026]]/SUM(BedPlan[[#This Row],[Harvest Days January 2025]:[Harvest Days December 2026]])*BedPlan[[#This Row],[Revenue]:[Revenue]]</f>
        <v>0</v>
      </c>
      <c r="DW64" s="257" cm="1">
        <f t="array" ref="DW64">BedPlan[[#This Row],[Harvest Days March 2026]]/SUM(BedPlan[[#This Row],[Harvest Days January 2025]:[Harvest Days December 2026]])*BedPlan[[#This Row],[Revenue]:[Revenue]]</f>
        <v>0</v>
      </c>
      <c r="DX64" s="257" cm="1">
        <f t="array" ref="DX64">BedPlan[[#This Row],[Harvest Days April 2026]]/SUM(BedPlan[[#This Row],[Harvest Days January 2025]:[Harvest Days December 2026]])*BedPlan[[#This Row],[Revenue]:[Revenue]]</f>
        <v>0</v>
      </c>
      <c r="DY64" s="257" cm="1">
        <f t="array" ref="DY64">BedPlan[[#This Row],[Harvest Days May 2026]]/SUM(BedPlan[[#This Row],[Harvest Days January 2025]:[Harvest Days December 2026]])*BedPlan[[#This Row],[Revenue]:[Revenue]]</f>
        <v>0</v>
      </c>
      <c r="DZ64" s="257" cm="1">
        <f t="array" ref="DZ64">BedPlan[[#This Row],[Harvest Days June 2026]]/SUM(BedPlan[[#This Row],[Harvest Days January 2025]:[Harvest Days December 2026]])*BedPlan[[#This Row],[Revenue]:[Revenue]]</f>
        <v>0</v>
      </c>
      <c r="EA64" s="257" cm="1">
        <f t="array" ref="EA64">BedPlan[[#This Row],[Harvest Days July 2026]]/SUM(BedPlan[[#This Row],[Harvest Days January 2025]:[Harvest Days December 2026]])*BedPlan[[#This Row],[Revenue]:[Revenue]]</f>
        <v>0</v>
      </c>
      <c r="EB64" s="257" cm="1">
        <f t="array" ref="EB64">BedPlan[[#This Row],[Harvest Days August 2026]]/SUM(BedPlan[[#This Row],[Harvest Days January 2025]:[Harvest Days December 2026]])*BedPlan[[#This Row],[Revenue]:[Revenue]]</f>
        <v>0</v>
      </c>
      <c r="EC64" s="257" cm="1">
        <f t="array" ref="EC64">BedPlan[[#This Row],[Harvest Days September 2026]]/SUM(BedPlan[[#This Row],[Harvest Days January 2025]:[Harvest Days December 2026]])*BedPlan[[#This Row],[Revenue]:[Revenue]]</f>
        <v>0</v>
      </c>
      <c r="ED64" s="257" cm="1">
        <f t="array" ref="ED64">BedPlan[[#This Row],[Harvest Days October 2026]]/SUM(BedPlan[[#This Row],[Harvest Days January 2025]:[Harvest Days December 2026]])*BedPlan[[#This Row],[Revenue]:[Revenue]]</f>
        <v>0</v>
      </c>
      <c r="EE64" s="257" cm="1">
        <f t="array" ref="EE64">BedPlan[[#This Row],[Harvest Days November 2026]]/SUM(BedPlan[[#This Row],[Harvest Days January 2025]:[Harvest Days December 2026]])*BedPlan[[#This Row],[Revenue]:[Revenue]]</f>
        <v>0</v>
      </c>
      <c r="EF64" s="257" cm="1">
        <f t="array" ref="EF64">BedPlan[[#This Row],[Harvest Days December 2026]]/SUM(BedPlan[[#This Row],[Harvest Days January 2025]:[Harvest Days December 2026]])*BedPlan[[#This Row],[Revenue]:[Revenue]]</f>
        <v>0</v>
      </c>
      <c r="EG64" t="b">
        <f>SUM(BedPlan[[#This Row],[Revenue January 2025]:[Revenue December 2026]])=BedPlan[[#This Row],[Revenue]]</f>
        <v>1</v>
      </c>
      <c r="EH64" s="30" cm="1">
        <f t="array" ref="EH64">INDEX(Crops[],BedPlan[[#This Row],[Chart Index]],EH$4,1)*BedPlan[[#This Row],['# Of Beds]]</f>
        <v>128.57142857142858</v>
      </c>
      <c r="EI64" s="30" t="str" cm="1">
        <f t="array" ref="EI64">INDEX(Crops[],BedPlan[[#This Row],[Chart Index]],EI$4,1)</f>
        <v>Bunch</v>
      </c>
      <c r="EJ64" s="30" t="str" cm="1">
        <f t="array" ref="EJ64">INDEX(Crops[],BedPlan[[#This Row],[Chart Index]],EJ$4,1)</f>
        <v>Young Bulb</v>
      </c>
      <c r="EK64" s="30" t="str">
        <f>BedPlan[[#This Row],[Name]]&amp;" "&amp;BedPlan[[#This Row],[Product]]&amp; " - " &amp;BedPlan[[#This Row],[Unit]]</f>
        <v>Garlic Young Bulb - Bunch</v>
      </c>
      <c r="EL64" s="33" cm="1">
        <f t="array" ref="EL64">BedPlan[[#This Row],[Harvest Days January 2025]]/SUM(BedPlan[[#This Row],[Harvest Days January 2025]:[Harvest Days December 2026]])*BedPlan[[#This Row],[Yield]:[Yield]]</f>
        <v>0</v>
      </c>
      <c r="EM64" s="33" cm="1">
        <f t="array" ref="EM64">BedPlan[[#This Row],[Harvest Days February 2025]]/SUM(BedPlan[[#This Row],[Harvest Days January 2025]:[Harvest Days December 2026]])*BedPlan[[#This Row],[Yield]:[Yield]]</f>
        <v>0</v>
      </c>
      <c r="EN64" s="33" cm="1">
        <f t="array" ref="EN64">BedPlan[[#This Row],[Harvest Days March 2025]]/SUM(BedPlan[[#This Row],[Harvest Days January 2025]:[Harvest Days December 2026]])*BedPlan[[#This Row],[Yield]:[Yield]]</f>
        <v>0</v>
      </c>
      <c r="EO64" s="33" cm="1">
        <f t="array" ref="EO64">BedPlan[[#This Row],[Harvest Days April 2025]]/SUM(BedPlan[[#This Row],[Harvest Days January 2025]:[Harvest Days December 2026]])*BedPlan[[#This Row],[Yield]:[Yield]]</f>
        <v>0</v>
      </c>
      <c r="EP64" s="33" cm="1">
        <f t="array" ref="EP64">BedPlan[[#This Row],[Harvest Days May 2025]]/SUM(BedPlan[[#This Row],[Harvest Days January 2025]:[Harvest Days December 2026]])*BedPlan[[#This Row],[Yield]:[Yield]]</f>
        <v>128.57142857142858</v>
      </c>
      <c r="EQ64" s="33" cm="1">
        <f t="array" ref="EQ64">BedPlan[[#This Row],[Harvest Days June 2025]]/SUM(BedPlan[[#This Row],[Harvest Days January 2025]:[Harvest Days December 2026]])*BedPlan[[#This Row],[Yield]:[Yield]]</f>
        <v>0</v>
      </c>
      <c r="ER64" s="33" cm="1">
        <f t="array" ref="ER64">BedPlan[[#This Row],[Harvest Days July 2025]]/SUM(BedPlan[[#This Row],[Harvest Days January 2025]:[Harvest Days December 2026]])*BedPlan[[#This Row],[Yield]:[Yield]]</f>
        <v>0</v>
      </c>
      <c r="ES64" s="33" cm="1">
        <f t="array" ref="ES64">BedPlan[[#This Row],[Harvest Days August 2025]]/SUM(BedPlan[[#This Row],[Harvest Days January 2025]:[Harvest Days December 2026]])*BedPlan[[#This Row],[Yield]:[Yield]]</f>
        <v>0</v>
      </c>
      <c r="ET64" s="33" cm="1">
        <f t="array" ref="ET64">BedPlan[[#This Row],[Harvest Days September 2025]]/SUM(BedPlan[[#This Row],[Harvest Days January 2025]:[Harvest Days December 2026]])*BedPlan[[#This Row],[Yield]:[Yield]]</f>
        <v>0</v>
      </c>
      <c r="EU64" s="33" cm="1">
        <f t="array" ref="EU64">BedPlan[[#This Row],[Harvest Days October 2025]]/SUM(BedPlan[[#This Row],[Harvest Days January 2025]:[Harvest Days December 2026]])*BedPlan[[#This Row],[Yield]:[Yield]]</f>
        <v>0</v>
      </c>
      <c r="EV64" s="33" cm="1">
        <f t="array" ref="EV64">BedPlan[[#This Row],[Harvest Days November 2025]]/SUM(BedPlan[[#This Row],[Harvest Days January 2025]:[Harvest Days December 2026]])*BedPlan[[#This Row],[Yield]:[Yield]]</f>
        <v>0</v>
      </c>
      <c r="EW64" s="33" cm="1">
        <f t="array" ref="EW64">BedPlan[[#This Row],[Harvest Days December 2025]]/SUM(BedPlan[[#This Row],[Harvest Days January 2025]:[Harvest Days December 2026]])*BedPlan[[#This Row],[Yield]:[Yield]]</f>
        <v>0</v>
      </c>
    </row>
    <row r="65" spans="1:153" ht="15.75" customHeight="1">
      <c r="A65" s="185" t="s">
        <v>1533</v>
      </c>
      <c r="B65" t="s">
        <v>1799</v>
      </c>
      <c r="C65" s="226" t="s">
        <v>1493</v>
      </c>
      <c r="D65" s="226" cm="1">
        <f t="array" ref="D65">INDEX(Crops[],BedPlan[[#This Row],[Chart Index]],D$4,1)*BedPlan[[#This Row],[Full Bed Equivalent]]</f>
        <v>85.714285714285708</v>
      </c>
      <c r="E65" s="226" cm="1">
        <f t="array" ref="E65">INDEX(Crops[],BedPlan[[#This Row],[Chart Index]],E$4,1)*BedPlan[[#This Row],[Full Bed Equivalent]]</f>
        <v>85.714285714285708</v>
      </c>
      <c r="F65" s="34" t="s">
        <v>2693</v>
      </c>
      <c r="G65" s="227" t="s">
        <v>2694</v>
      </c>
      <c r="H65" s="143" t="s">
        <v>80</v>
      </c>
      <c r="I65" s="227" t="s">
        <v>2863</v>
      </c>
      <c r="J65" s="227"/>
      <c r="K65" s="34" t="s">
        <v>212</v>
      </c>
      <c r="L65" s="229">
        <v>300</v>
      </c>
      <c r="N65" s="227">
        <v>2</v>
      </c>
      <c r="O65" s="227">
        <f>MAX(BedPlan[[#This Row],['# Of Beds]],0.5)</f>
        <v>2</v>
      </c>
      <c r="P65" s="31">
        <v>45647</v>
      </c>
      <c r="Q65" s="261" t="str">
        <f>IF(BedPlan[[#This Row],[Days in Cells]]=0,"",IFERROR(_xlfn.XLOOKUP(BedPlan[[#This Row],[Follows Crop]],BedPlan[Identifier],BedPlan[Expected End of Harvest]) + 1+BedPlan[[#This Row],[Follow Offset]],BedPlan[[#This Row],[Fixed Field Start Date]])-BedPlan[[#This Row],[Days in Cells]])</f>
        <v/>
      </c>
      <c r="R65" s="261"/>
      <c r="S65" s="261" t="s">
        <v>212</v>
      </c>
      <c r="T65" s="262">
        <v>45523</v>
      </c>
      <c r="U65" s="263"/>
      <c r="V65" s="263"/>
      <c r="W65"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45523</v>
      </c>
      <c r="X65" s="259">
        <v>45647</v>
      </c>
      <c r="Y65" s="271">
        <f>BedPlan[[#This Row],[Actual TP or DS Date]]-BedPlan[[#This Row],[Planned TP or DS Date]]</f>
        <v>124</v>
      </c>
      <c r="Z65" s="259">
        <f>IF(ISNUMBER(BedPlan[[#This Row],[Actual TP or DS Date]]),BedPlan[[#This Row],[Actual TP or DS Date]],BedPlan[[#This Row],[Planned TP or DS Date]])</f>
        <v>45647</v>
      </c>
      <c r="AA65" s="264"/>
      <c r="AB65" s="259">
        <v>45809</v>
      </c>
      <c r="AC65" s="265"/>
      <c r="AD65" s="259">
        <f>IF(ISNUMBER(BedPlan[[#This Row],[Actual Beginning of Harvest]]),BedPlan[[#This Row],[Actual Beginning of Harvest]],BedPlan[[#This Row],[Expected Beginning of Harvest]])</f>
        <v>45809</v>
      </c>
      <c r="AE65" s="259">
        <v>45823</v>
      </c>
      <c r="AF65" s="265"/>
      <c r="AG65" s="261"/>
      <c r="AH65" s="230" t="b">
        <f>IF(AND( BedPlan[[#This Row],[Expected End of Harvest]] &gt;= DATE(2025, 8, 1), BedPlan[[#This Row],[Beginning of Harvest]] &lt;= DATE(2025, 8, 31) ), TRUE, FALSE)</f>
        <v>0</v>
      </c>
      <c r="AI65" s="230"/>
      <c r="AJ65" s="31">
        <f>IF(ISNUMBER(BedPlan[[#This Row],[Actual End of Harvest]]),BedPlan[[#This Row],[Actual End of Harvest]],BedPlan[[#This Row],[Expected End of Harvest]])</f>
        <v>45823</v>
      </c>
      <c r="AK65" s="34" t="b">
        <v>0</v>
      </c>
      <c r="AL65" s="34" t="s">
        <v>2692</v>
      </c>
      <c r="AM65" s="34" t="b">
        <v>0</v>
      </c>
      <c r="AN65" s="34" t="b">
        <v>0</v>
      </c>
      <c r="AO65" s="34"/>
      <c r="AP65" s="34"/>
      <c r="AQ65" s="34"/>
      <c r="AR65" s="34"/>
      <c r="AS65" s="256" t="str">
        <f>IF(BedPlan[[#This Row],[Broadfork]],BedPlan[[#This Row],[Actual TP or DS Date]],"")</f>
        <v/>
      </c>
      <c r="AT65" s="256" t="str">
        <f>IF(BedPlan[[#This Row],[Tilther]],BedPlan[[#This Row],[Actual TP or DS Date]],"")</f>
        <v/>
      </c>
      <c r="AU65" s="256" t="str">
        <f>IF(NOT(ISBLANK(BedPlan[[#This Row],[Amend]])),BedPlan[[#This Row],[Actual TP or DS Date]],"")</f>
        <v/>
      </c>
      <c r="AV65" s="256" t="str">
        <f>IF(BedPlan[[#This Row],[Row Cover]],BedPlan[[#This Row],[Actual TP or DS Date]],"")</f>
        <v/>
      </c>
      <c r="AW65" s="34"/>
      <c r="AX65" s="256"/>
      <c r="AY65" s="34"/>
      <c r="AZ65" s="256"/>
      <c r="BA65" s="34"/>
      <c r="BB65" s="256"/>
      <c r="BC65" s="231" cm="1">
        <f t="array" ref="BC65">INDEX(Crops[],BedPlan[[#This Row],[Chart Index]],BC$4,1)*BedPlan[[#This Row],[Full Bed Equivalent]]</f>
        <v>1542.8571428571427</v>
      </c>
      <c r="BD65" s="231" cm="1">
        <f t="array" ref="BD65">INDEX(Crops[],BedPlan[[#This Row],[Chart Index]],BD$4,1)*BedPlan[[#This Row],[Full Bed Equivalent]]</f>
        <v>5.5698813821557493</v>
      </c>
      <c r="BE65" cm="1">
        <f t="array" ref="BE65">INDEX(Crops[],BedPlan[[#This Row],[Chart Index]],BE$4,1)+BedPlan[[#This Row],[Additional Days in Cells]]+BedPlan[[#This Row],[Additional Days In Field]]</f>
        <v>270</v>
      </c>
      <c r="BG65" cm="1">
        <f t="array" ref="BG65">INDEX(Crops[],BedPlan[[#This Row],[Chart Index]],BG$4,1)</f>
        <v>7</v>
      </c>
      <c r="BH65" t="str">
        <f>IF(ISNUMBER(BedPlan[[#This Row],[Planned Greenhouse Start Date]]),"TP","DS")</f>
        <v>DS</v>
      </c>
      <c r="BI65">
        <f>BedPlan[[#This Row],['# Of Beds]]</f>
        <v>2</v>
      </c>
      <c r="BJ65" cm="1">
        <f t="array" ref="BJ65">INDEX(Crops[],BedPlan[[#This Row],[Chart Index]],BJ$4,1)</f>
        <v>0</v>
      </c>
      <c r="BK65" cm="1">
        <f t="array" ref="BK65">INDEX(Crops[],BedPlan[[#This Row],[Chart Index]],BK$4,1)</f>
        <v>3</v>
      </c>
      <c r="BL65" cm="1">
        <f t="array" ref="BL65">INDEX(Crops[],BedPlan[[#This Row],[Chart Index]],BL$4,1)</f>
        <v>6</v>
      </c>
      <c r="BM65" cm="1">
        <f t="array" ref="BM65">INDEX(Crops[],BedPlan[[#This Row],[Chart Index]],BM$4,1)</f>
        <v>1</v>
      </c>
      <c r="BN65" s="32" cm="1">
        <f t="array" ref="BN65">INDEX(Crops[],BedPlan[[#This Row],[Chart Index]],BN$4,1)*BedPlan[[#This Row],[Full Bed Equivalent]]</f>
        <v>600</v>
      </c>
      <c r="BO65" t="str" cm="1">
        <f t="array" ref="BO65">IF(INDEX(Crops[],BedPlan[[#This Row],[Chart Index]],BO$4,1)=0,"",INDEX(Crops[],BedPlan[[#This Row],[Chart Index]],BO$4,1))</f>
        <v/>
      </c>
      <c r="BP65">
        <f>MATCH(BedPlan[[#This Row],[Crop]],Crops[Identifier],FALSE)</f>
        <v>136</v>
      </c>
      <c r="BQ65" t="str" cm="1">
        <f t="array" ref="BQ65">INDEX(Crops[],BedPlan[[#This Row],[Chart Index]],BQ$4,1)</f>
        <v>Hardneck</v>
      </c>
      <c r="BR65" t="str" cm="1">
        <f t="array" ref="BR65">INDEX(Crops[],BedPlan[[#This Row],[Chart Index]],BR$4,1)</f>
        <v>Ow</v>
      </c>
      <c r="BS65" s="32">
        <f>BedPlan[[#This Row],[Expected Beginning of Harvest]]-DATE(2023,1,1)</f>
        <v>882</v>
      </c>
      <c r="BT65">
        <f>BedPlan[[#This Row],[Expected End of Harvest]]-BedPlan[[#This Row],[Expected Beginning of Harvest]]</f>
        <v>14</v>
      </c>
      <c r="BU65" t="str" cm="1">
        <f t="array" ref="BU65">INDEX(Crops[],BedPlan[[#This Row],[Chart Index]],BU$4,1)</f>
        <v>Garlic</v>
      </c>
      <c r="BV65" cm="1">
        <f t="array" ref="BV65">INDEX(Crops[],BedPlan[[#This Row],[Chart Index]],BV$4,1)</f>
        <v>2</v>
      </c>
      <c r="BW65" t="str" cm="1">
        <f t="array" ref="BW65">INDEX(Crops[],BedPlan[[#This Row],[Chart Index]],BW$4,1)</f>
        <v>None</v>
      </c>
      <c r="BX65" cm="1">
        <f t="array" ref="BX65">INDEX(Crops[],BedPlan[[#This Row],[Chart Index]],BX$4,1)</f>
        <v>0</v>
      </c>
      <c r="BY65" cm="1">
        <f t="array" ref="BY65">INDEX(Crops[],BedPlan[[#This Row],[Chart Index]],BY$4,1)</f>
        <v>0</v>
      </c>
      <c r="BZ65" s="49" t="str" cm="1">
        <f t="array" ref="BZ65">IFERROR(INDEX(Crops[],BedPlan[[#This Row],[Chart Index]],BZ$4,1)*BedPlan[[#This Row],[Full Bed Equivalent]],"")</f>
        <v/>
      </c>
      <c r="CA65" cm="1">
        <f t="array" ref="CA65">INDEX(Crops[],BedPlan[[#This Row],[Chart Index]],CA$4,1)</f>
        <v>0</v>
      </c>
      <c r="CB65" cm="1">
        <f t="array" ref="CB65">INDEX(Crops[],BedPlan[[#This Row],[Chart Index]],CB$4,1)</f>
        <v>0</v>
      </c>
      <c r="CC65" s="49" t="str" cm="1">
        <f t="array" ref="CC65">IFERROR(INDEX(Crops[],BedPlan[[#This Row],[Chart Index]],CC$4,1)*BedPlan[[#This Row],[Full Bed Equivalent]],"")</f>
        <v/>
      </c>
      <c r="CD65" cm="1">
        <f t="array" ref="CD65">INDEX(Crops[],BedPlan[[#This Row],[Chart Index]],CD$4,1)</f>
        <v>0</v>
      </c>
      <c r="CE65" cm="1">
        <f t="array" ref="CE65">IF(INDEX(Crops[],BedPlan[[#This Row],[Chart Index]],CE$4,1)="",0,INDEX(Crops[],BedPlan[[#This Row],[Chart Index]],CE$4,1))</f>
        <v>0</v>
      </c>
      <c r="CF65" s="49" t="str" cm="1">
        <f t="array" ref="CF65">IFERROR(INDEX(Crops[],BedPlan[[#This Row],[Chart Index]],CF$4,1)*BedPlan[[#This Row],[Full Bed Equivalent]],"")</f>
        <v/>
      </c>
      <c r="CG65" cm="1">
        <f t="array" ref="CG65">IF(INDEX(Crops[],BedPlan[[#This Row],[Chart Index]],CG$4,1)="",0,INDEX(Crops[],BedPlan[[#This Row],[Chart Index]],CG$4,1))</f>
        <v>1</v>
      </c>
      <c r="CH65" cm="1">
        <f t="array" ref="CH65">IF(INDEX(Crops[],BedPlan[[#This Row],[Chart Index]],CH$4,1)="",0,INDEX(Crops[],BedPlan[[#This Row],[Chart Index]],CH$4,1))</f>
        <v>0</v>
      </c>
      <c r="CI65" t="str" cm="1">
        <f t="array" ref="CI65">INDEX(Crops[],BedPlan[[#This Row],[Chart Index]],CI$4,1)</f>
        <v>Field</v>
      </c>
      <c r="CJ65" s="30" t="str">
        <f>_xlfn.TEXTJOIN(CHAR(10),FALSE,BedPlan[[#This Row],[Name]],BedPlan[[#This Row],[Variety]],BedPlan[[#This Row],[Company]])</f>
        <v xml:space="preserve">Garlic
Saved Seed
</v>
      </c>
      <c r="CK65" s="32">
        <f>MAX( 0, MIN(BedPlan[[#This Row],[Expected End of Harvest]], EOMONTH(CK$4, 0)) - MAX(BedPlan[[#This Row],[Beginning of Harvest]], CK$4) + 1 )</f>
        <v>0</v>
      </c>
      <c r="CL65">
        <f>MAX( 0, MIN(BedPlan[[#This Row],[Expected End of Harvest]], EOMONTH(CL$4, 0)) - MAX(BedPlan[[#This Row],[Beginning of Harvest]], CL$4) + 1 )</f>
        <v>0</v>
      </c>
      <c r="CM65">
        <f>MAX( 0, MIN(BedPlan[[#This Row],[Expected End of Harvest]], EOMONTH(CM$4, 0)) - MAX(BedPlan[[#This Row],[Beginning of Harvest]], CM$4) + 1 )</f>
        <v>0</v>
      </c>
      <c r="CN65">
        <f>MAX( 0, MIN(BedPlan[[#This Row],[Expected End of Harvest]], EOMONTH(CN$4, 0)) - MAX(BedPlan[[#This Row],[Beginning of Harvest]], CN$4) + 1 )</f>
        <v>0</v>
      </c>
      <c r="CO65">
        <f>MAX( 0, MIN(BedPlan[[#This Row],[Expected End of Harvest]], EOMONTH(CO$4, 0)) - MAX(BedPlan[[#This Row],[Beginning of Harvest]], CO$4) + 1 )</f>
        <v>0</v>
      </c>
      <c r="CP65">
        <f>MAX( 0, MIN(BedPlan[[#This Row],[Expected End of Harvest]], EOMONTH(CP$4, 0)) - MAX(BedPlan[[#This Row],[Beginning of Harvest]], CP$4) + 1 )</f>
        <v>15</v>
      </c>
      <c r="CQ65">
        <f>MAX( 0, MIN(BedPlan[[#This Row],[Expected End of Harvest]], EOMONTH(CQ$4, 0)) - MAX(BedPlan[[#This Row],[Beginning of Harvest]], CQ$4) + 1 )</f>
        <v>0</v>
      </c>
      <c r="CR65">
        <f>MAX( 0, MIN(BedPlan[[#This Row],[Expected End of Harvest]], EOMONTH(CR$4, 0)) - MAX(BedPlan[[#This Row],[Beginning of Harvest]], CR$4) + 1 )</f>
        <v>0</v>
      </c>
      <c r="CS65">
        <f>MAX( 0, MIN(BedPlan[[#This Row],[Expected End of Harvest]], EOMONTH(CS$4, 0)) - MAX(BedPlan[[#This Row],[Beginning of Harvest]], CS$4) + 1 )</f>
        <v>0</v>
      </c>
      <c r="CT65">
        <f>MAX( 0, MIN(BedPlan[[#This Row],[Expected End of Harvest]], EOMONTH(CT$4, 0)) - MAX(BedPlan[[#This Row],[Beginning of Harvest]], CT$4) + 1 )</f>
        <v>0</v>
      </c>
      <c r="CU65">
        <f>MAX( 0, MIN(BedPlan[[#This Row],[Expected End of Harvest]], EOMONTH(CU$4, 0)) - MAX(BedPlan[[#This Row],[Beginning of Harvest]], CU$4) + 1 )</f>
        <v>0</v>
      </c>
      <c r="CV65">
        <f>MAX( 0, MIN(BedPlan[[#This Row],[Expected End of Harvest]], EOMONTH(CV$4, 0)) - MAX(BedPlan[[#This Row],[Beginning of Harvest]], CV$4) + 1 )</f>
        <v>0</v>
      </c>
      <c r="CW65">
        <f>MAX( 0, MIN(BedPlan[[#This Row],[Expected End of Harvest]], EOMONTH(CW$4, 0)) - MAX(BedPlan[[#This Row],[Beginning of Harvest]], CW$4) + 1 )</f>
        <v>0</v>
      </c>
      <c r="CX65">
        <f>MAX( 0, MIN(BedPlan[[#This Row],[Expected End of Harvest]], EOMONTH(CX$4, 0)) - MAX(BedPlan[[#This Row],[Beginning of Harvest]], CX$4) + 1 )</f>
        <v>0</v>
      </c>
      <c r="CY65">
        <f>MAX( 0, MIN(BedPlan[[#This Row],[Expected End of Harvest]], EOMONTH(CY$4, 0)) - MAX(BedPlan[[#This Row],[Beginning of Harvest]], CY$4) + 1 )</f>
        <v>0</v>
      </c>
      <c r="CZ65">
        <f>MAX( 0, MIN(BedPlan[[#This Row],[Expected End of Harvest]], EOMONTH(CZ$4, 0)) - MAX(BedPlan[[#This Row],[Beginning of Harvest]], CZ$4) + 1 )</f>
        <v>0</v>
      </c>
      <c r="DA65">
        <f>MAX( 0, MIN(BedPlan[[#This Row],[Expected End of Harvest]], EOMONTH(DA$4, 0)) - MAX(BedPlan[[#This Row],[Beginning of Harvest]], DA$4) + 1 )</f>
        <v>0</v>
      </c>
      <c r="DB65">
        <f>MAX( 0, MIN(BedPlan[[#This Row],[Expected End of Harvest]], EOMONTH(DB$4, 0)) - MAX(BedPlan[[#This Row],[Beginning of Harvest]], DB$4) + 1 )</f>
        <v>0</v>
      </c>
      <c r="DC65">
        <f>MAX( 0, MIN(BedPlan[[#This Row],[Expected End of Harvest]], EOMONTH(DC$4, 0)) - MAX(BedPlan[[#This Row],[Beginning of Harvest]], DC$4) + 1 )</f>
        <v>0</v>
      </c>
      <c r="DD65">
        <f>MAX( 0, MIN(BedPlan[[#This Row],[Expected End of Harvest]], EOMONTH(DD$4, 0)) - MAX(BedPlan[[#This Row],[Beginning of Harvest]], DD$4) + 1 )</f>
        <v>0</v>
      </c>
      <c r="DE65">
        <f>MAX( 0, MIN(BedPlan[[#This Row],[Expected End of Harvest]], EOMONTH(DE$4, 0)) - MAX(BedPlan[[#This Row],[Beginning of Harvest]], DE$4) + 1 )</f>
        <v>0</v>
      </c>
      <c r="DF65">
        <f>MAX( 0, MIN(BedPlan[[#This Row],[Expected End of Harvest]], EOMONTH(DF$4, 0)) - MAX(BedPlan[[#This Row],[Beginning of Harvest]], DF$4) + 1 )</f>
        <v>0</v>
      </c>
      <c r="DG65">
        <f>MAX( 0, MIN(BedPlan[[#This Row],[Expected End of Harvest]], EOMONTH(DG$4, 0)) - MAX(BedPlan[[#This Row],[Beginning of Harvest]], DG$4) + 1 )</f>
        <v>0</v>
      </c>
      <c r="DH65">
        <f>MAX( 0, MIN(BedPlan[[#This Row],[Expected End of Harvest]], EOMONTH(DH$4, 0)) - MAX(BedPlan[[#This Row],[Beginning of Harvest]], DH$4) + 1 )</f>
        <v>0</v>
      </c>
      <c r="DI65" s="257" cm="1">
        <f t="array" ref="DI65">BedPlan[[#This Row],[Harvest Days January 2025]]/SUM(BedPlan[[#This Row],[Harvest Days January 2025]:[Harvest Days December 2026]])*BedPlan[[#This Row],[Revenue]:[Revenue]]</f>
        <v>0</v>
      </c>
      <c r="DJ65" s="257" cm="1">
        <f t="array" ref="DJ65">BedPlan[[#This Row],[Harvest Days February 2025]]/SUM(BedPlan[[#This Row],[Harvest Days January 2025]:[Harvest Days December 2026]])*BedPlan[[#This Row],[Revenue]:[Revenue]]</f>
        <v>0</v>
      </c>
      <c r="DK65" s="257" cm="1">
        <f t="array" ref="DK65">BedPlan[[#This Row],[Harvest Days March 2025]]/SUM(BedPlan[[#This Row],[Harvest Days January 2025]:[Harvest Days December 2026]])*BedPlan[[#This Row],[Revenue]:[Revenue]]</f>
        <v>0</v>
      </c>
      <c r="DL65" s="257" cm="1">
        <f t="array" ref="DL65">BedPlan[[#This Row],[Harvest Days April 2025]]/SUM(BedPlan[[#This Row],[Harvest Days January 2025]:[Harvest Days December 2026]])*BedPlan[[#This Row],[Revenue]:[Revenue]]</f>
        <v>0</v>
      </c>
      <c r="DM65" s="257" cm="1">
        <f t="array" ref="DM65">BedPlan[[#This Row],[Harvest Days May 2025]]/SUM(BedPlan[[#This Row],[Harvest Days January 2025]:[Harvest Days December 2026]])*BedPlan[[#This Row],[Revenue]:[Revenue]]</f>
        <v>0</v>
      </c>
      <c r="DN65" s="257" cm="1">
        <f t="array" ref="DN65">BedPlan[[#This Row],[Harvest Days June 2025]]/SUM(BedPlan[[#This Row],[Harvest Days January 2025]:[Harvest Days December 2026]])*BedPlan[[#This Row],[Revenue]:[Revenue]]</f>
        <v>1542.8571428571427</v>
      </c>
      <c r="DO65" s="257" cm="1">
        <f t="array" ref="DO65">BedPlan[[#This Row],[Harvest Days July 2025]]/SUM(BedPlan[[#This Row],[Harvest Days January 2025]:[Harvest Days December 2026]])*BedPlan[[#This Row],[Revenue]:[Revenue]]</f>
        <v>0</v>
      </c>
      <c r="DP65" s="257" cm="1">
        <f t="array" ref="DP65">BedPlan[[#This Row],[Harvest Days August 2025]]/SUM(BedPlan[[#This Row],[Harvest Days January 2025]:[Harvest Days December 2026]])*BedPlan[[#This Row],[Revenue]:[Revenue]]</f>
        <v>0</v>
      </c>
      <c r="DQ65" s="257" cm="1">
        <f t="array" ref="DQ65">BedPlan[[#This Row],[Harvest Days September 2025]]/SUM(BedPlan[[#This Row],[Harvest Days January 2025]:[Harvest Days December 2026]])*BedPlan[[#This Row],[Revenue]:[Revenue]]</f>
        <v>0</v>
      </c>
      <c r="DR65" s="257" cm="1">
        <f t="array" ref="DR65">BedPlan[[#This Row],[Harvest Days October 2025]]/SUM(BedPlan[[#This Row],[Harvest Days January 2025]:[Harvest Days December 2026]])*BedPlan[[#This Row],[Revenue]:[Revenue]]</f>
        <v>0</v>
      </c>
      <c r="DS65" s="257" cm="1">
        <f t="array" ref="DS65">BedPlan[[#This Row],[Harvest Days November 2025]]/SUM(BedPlan[[#This Row],[Harvest Days January 2025]:[Harvest Days December 2026]])*BedPlan[[#This Row],[Revenue]:[Revenue]]</f>
        <v>0</v>
      </c>
      <c r="DT65" s="257" cm="1">
        <f t="array" ref="DT65">BedPlan[[#This Row],[Harvest Days December 2025]]/SUM(BedPlan[[#This Row],[Harvest Days January 2025]:[Harvest Days December 2026]])*BedPlan[[#This Row],[Revenue]:[Revenue]]</f>
        <v>0</v>
      </c>
      <c r="DU65" s="257" cm="1">
        <f t="array" ref="DU65">BedPlan[[#This Row],[Harvest Days January 2026]]/SUM(BedPlan[[#This Row],[Harvest Days January 2025]:[Harvest Days December 2026]])*BedPlan[[#This Row],[Revenue]:[Revenue]]</f>
        <v>0</v>
      </c>
      <c r="DV65" s="257" cm="1">
        <f t="array" ref="DV65">BedPlan[[#This Row],[Harvest Days February 2026]]/SUM(BedPlan[[#This Row],[Harvest Days January 2025]:[Harvest Days December 2026]])*BedPlan[[#This Row],[Revenue]:[Revenue]]</f>
        <v>0</v>
      </c>
      <c r="DW65" s="257" cm="1">
        <f t="array" ref="DW65">BedPlan[[#This Row],[Harvest Days March 2026]]/SUM(BedPlan[[#This Row],[Harvest Days January 2025]:[Harvest Days December 2026]])*BedPlan[[#This Row],[Revenue]:[Revenue]]</f>
        <v>0</v>
      </c>
      <c r="DX65" s="257" cm="1">
        <f t="array" ref="DX65">BedPlan[[#This Row],[Harvest Days April 2026]]/SUM(BedPlan[[#This Row],[Harvest Days January 2025]:[Harvest Days December 2026]])*BedPlan[[#This Row],[Revenue]:[Revenue]]</f>
        <v>0</v>
      </c>
      <c r="DY65" s="257" cm="1">
        <f t="array" ref="DY65">BedPlan[[#This Row],[Harvest Days May 2026]]/SUM(BedPlan[[#This Row],[Harvest Days January 2025]:[Harvest Days December 2026]])*BedPlan[[#This Row],[Revenue]:[Revenue]]</f>
        <v>0</v>
      </c>
      <c r="DZ65" s="257" cm="1">
        <f t="array" ref="DZ65">BedPlan[[#This Row],[Harvest Days June 2026]]/SUM(BedPlan[[#This Row],[Harvest Days January 2025]:[Harvest Days December 2026]])*BedPlan[[#This Row],[Revenue]:[Revenue]]</f>
        <v>0</v>
      </c>
      <c r="EA65" s="257" cm="1">
        <f t="array" ref="EA65">BedPlan[[#This Row],[Harvest Days July 2026]]/SUM(BedPlan[[#This Row],[Harvest Days January 2025]:[Harvest Days December 2026]])*BedPlan[[#This Row],[Revenue]:[Revenue]]</f>
        <v>0</v>
      </c>
      <c r="EB65" s="257" cm="1">
        <f t="array" ref="EB65">BedPlan[[#This Row],[Harvest Days August 2026]]/SUM(BedPlan[[#This Row],[Harvest Days January 2025]:[Harvest Days December 2026]])*BedPlan[[#This Row],[Revenue]:[Revenue]]</f>
        <v>0</v>
      </c>
      <c r="EC65" s="257" cm="1">
        <f t="array" ref="EC65">BedPlan[[#This Row],[Harvest Days September 2026]]/SUM(BedPlan[[#This Row],[Harvest Days January 2025]:[Harvest Days December 2026]])*BedPlan[[#This Row],[Revenue]:[Revenue]]</f>
        <v>0</v>
      </c>
      <c r="ED65" s="257" cm="1">
        <f t="array" ref="ED65">BedPlan[[#This Row],[Harvest Days October 2026]]/SUM(BedPlan[[#This Row],[Harvest Days January 2025]:[Harvest Days December 2026]])*BedPlan[[#This Row],[Revenue]:[Revenue]]</f>
        <v>0</v>
      </c>
      <c r="EE65" s="257" cm="1">
        <f t="array" ref="EE65">BedPlan[[#This Row],[Harvest Days November 2026]]/SUM(BedPlan[[#This Row],[Harvest Days January 2025]:[Harvest Days December 2026]])*BedPlan[[#This Row],[Revenue]:[Revenue]]</f>
        <v>0</v>
      </c>
      <c r="EF65" s="257" cm="1">
        <f t="array" ref="EF65">BedPlan[[#This Row],[Harvest Days December 2026]]/SUM(BedPlan[[#This Row],[Harvest Days January 2025]:[Harvest Days December 2026]])*BedPlan[[#This Row],[Revenue]:[Revenue]]</f>
        <v>0</v>
      </c>
      <c r="EG65" t="b">
        <f>SUM(BedPlan[[#This Row],[Revenue January 2025]:[Revenue December 2026]])=BedPlan[[#This Row],[Revenue]]</f>
        <v>1</v>
      </c>
      <c r="EH65" s="30" cm="1">
        <f t="array" ref="EH65">INDEX(Crops[],BedPlan[[#This Row],[Chart Index]],EH$4,1)*BedPlan[[#This Row],['# Of Beds]]</f>
        <v>85.714285714285708</v>
      </c>
      <c r="EI65" s="30" t="str" cm="1">
        <f t="array" ref="EI65">INDEX(Crops[],BedPlan[[#This Row],[Chart Index]],EI$4,1)</f>
        <v>Lb</v>
      </c>
      <c r="EJ65" s="30" t="str" cm="1">
        <f t="array" ref="EJ65">INDEX(Crops[],BedPlan[[#This Row],[Chart Index]],EJ$4,1)</f>
        <v>Storage Bulb</v>
      </c>
      <c r="EK65" s="30" t="str">
        <f>BedPlan[[#This Row],[Name]]&amp;" "&amp;BedPlan[[#This Row],[Product]]&amp; " - " &amp;BedPlan[[#This Row],[Unit]]</f>
        <v>Garlic Storage Bulb - Lb</v>
      </c>
      <c r="EL65" s="33" cm="1">
        <f t="array" ref="EL65">BedPlan[[#This Row],[Harvest Days January 2025]]/SUM(BedPlan[[#This Row],[Harvest Days January 2025]:[Harvest Days December 2026]])*BedPlan[[#This Row],[Yield]:[Yield]]</f>
        <v>0</v>
      </c>
      <c r="EM65" s="33" cm="1">
        <f t="array" ref="EM65">BedPlan[[#This Row],[Harvest Days February 2025]]/SUM(BedPlan[[#This Row],[Harvest Days January 2025]:[Harvest Days December 2026]])*BedPlan[[#This Row],[Yield]:[Yield]]</f>
        <v>0</v>
      </c>
      <c r="EN65" s="33" cm="1">
        <f t="array" ref="EN65">BedPlan[[#This Row],[Harvest Days March 2025]]/SUM(BedPlan[[#This Row],[Harvest Days January 2025]:[Harvest Days December 2026]])*BedPlan[[#This Row],[Yield]:[Yield]]</f>
        <v>0</v>
      </c>
      <c r="EO65" s="33" cm="1">
        <f t="array" ref="EO65">BedPlan[[#This Row],[Harvest Days April 2025]]/SUM(BedPlan[[#This Row],[Harvest Days January 2025]:[Harvest Days December 2026]])*BedPlan[[#This Row],[Yield]:[Yield]]</f>
        <v>0</v>
      </c>
      <c r="EP65" s="33" cm="1">
        <f t="array" ref="EP65">BedPlan[[#This Row],[Harvest Days May 2025]]/SUM(BedPlan[[#This Row],[Harvest Days January 2025]:[Harvest Days December 2026]])*BedPlan[[#This Row],[Yield]:[Yield]]</f>
        <v>0</v>
      </c>
      <c r="EQ65" s="33" cm="1">
        <f t="array" ref="EQ65">BedPlan[[#This Row],[Harvest Days June 2025]]/SUM(BedPlan[[#This Row],[Harvest Days January 2025]:[Harvest Days December 2026]])*BedPlan[[#This Row],[Yield]:[Yield]]</f>
        <v>85.714285714285708</v>
      </c>
      <c r="ER65" s="33" cm="1">
        <f t="array" ref="ER65">BedPlan[[#This Row],[Harvest Days July 2025]]/SUM(BedPlan[[#This Row],[Harvest Days January 2025]:[Harvest Days December 2026]])*BedPlan[[#This Row],[Yield]:[Yield]]</f>
        <v>0</v>
      </c>
      <c r="ES65" s="33" cm="1">
        <f t="array" ref="ES65">BedPlan[[#This Row],[Harvest Days August 2025]]/SUM(BedPlan[[#This Row],[Harvest Days January 2025]:[Harvest Days December 2026]])*BedPlan[[#This Row],[Yield]:[Yield]]</f>
        <v>0</v>
      </c>
      <c r="ET65" s="33" cm="1">
        <f t="array" ref="ET65">BedPlan[[#This Row],[Harvest Days September 2025]]/SUM(BedPlan[[#This Row],[Harvest Days January 2025]:[Harvest Days December 2026]])*BedPlan[[#This Row],[Yield]:[Yield]]</f>
        <v>0</v>
      </c>
      <c r="EU65" s="33" cm="1">
        <f t="array" ref="EU65">BedPlan[[#This Row],[Harvest Days October 2025]]/SUM(BedPlan[[#This Row],[Harvest Days January 2025]:[Harvest Days December 2026]])*BedPlan[[#This Row],[Yield]:[Yield]]</f>
        <v>0</v>
      </c>
      <c r="EV65" s="33" cm="1">
        <f t="array" ref="EV65">BedPlan[[#This Row],[Harvest Days November 2025]]/SUM(BedPlan[[#This Row],[Harvest Days January 2025]:[Harvest Days December 2026]])*BedPlan[[#This Row],[Yield]:[Yield]]</f>
        <v>0</v>
      </c>
      <c r="EW65" s="33" cm="1">
        <f t="array" ref="EW65">BedPlan[[#This Row],[Harvest Days December 2025]]/SUM(BedPlan[[#This Row],[Harvest Days January 2025]:[Harvest Days December 2026]])*BedPlan[[#This Row],[Yield]:[Yield]]</f>
        <v>0</v>
      </c>
    </row>
    <row r="66" spans="1:153" ht="15.75" customHeight="1">
      <c r="A66" s="185" t="s">
        <v>1532</v>
      </c>
      <c r="B66" t="s">
        <v>1800</v>
      </c>
      <c r="C66" s="226" t="s">
        <v>1495</v>
      </c>
      <c r="D66" s="226" cm="1">
        <f t="array" ref="D66">INDEX(Crops[],BedPlan[[#This Row],[Chart Index]],D$4,1)*BedPlan[[#This Row],[Full Bed Equivalent]]</f>
        <v>42.857142857142854</v>
      </c>
      <c r="E66" s="226" cm="1">
        <f t="array" ref="E66">INDEX(Crops[],BedPlan[[#This Row],[Chart Index]],E$4,1)*BedPlan[[#This Row],[Full Bed Equivalent]]</f>
        <v>42.857142857142854</v>
      </c>
      <c r="F66" s="34" t="s">
        <v>2693</v>
      </c>
      <c r="G66" s="227" t="s">
        <v>2695</v>
      </c>
      <c r="H66" s="143" t="s">
        <v>80</v>
      </c>
      <c r="I66" s="227" t="s">
        <v>2863</v>
      </c>
      <c r="J66" s="227"/>
      <c r="K66" s="34" t="s">
        <v>212</v>
      </c>
      <c r="L66" s="229">
        <v>300</v>
      </c>
      <c r="N66" s="227">
        <v>1</v>
      </c>
      <c r="O66" s="227">
        <f>MAX(BedPlan[[#This Row],['# Of Beds]],0.5)</f>
        <v>1</v>
      </c>
      <c r="P66" s="31">
        <v>45647</v>
      </c>
      <c r="Q66" s="261" t="str">
        <f>IF(BedPlan[[#This Row],[Days in Cells]]=0,"",IFERROR(_xlfn.XLOOKUP(BedPlan[[#This Row],[Follows Crop]],BedPlan[Identifier],BedPlan[Expected End of Harvest]) + 1+BedPlan[[#This Row],[Follow Offset]],BedPlan[[#This Row],[Fixed Field Start Date]])-BedPlan[[#This Row],[Days in Cells]])</f>
        <v/>
      </c>
      <c r="R66" s="261"/>
      <c r="S66" s="261" t="s">
        <v>212</v>
      </c>
      <c r="T66" s="262">
        <v>45523</v>
      </c>
      <c r="U66" s="263"/>
      <c r="V66" s="263"/>
      <c r="W66"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45523</v>
      </c>
      <c r="X66" s="259">
        <v>45647</v>
      </c>
      <c r="Y66" s="271">
        <f>BedPlan[[#This Row],[Actual TP or DS Date]]-BedPlan[[#This Row],[Planned TP or DS Date]]</f>
        <v>124</v>
      </c>
      <c r="Z66" s="259">
        <f>IF(ISNUMBER(BedPlan[[#This Row],[Actual TP or DS Date]]),BedPlan[[#This Row],[Actual TP or DS Date]],BedPlan[[#This Row],[Planned TP or DS Date]])</f>
        <v>45647</v>
      </c>
      <c r="AA66" s="264"/>
      <c r="AB66" s="259">
        <v>45823</v>
      </c>
      <c r="AC66" s="265"/>
      <c r="AD66" s="259">
        <f>IF(ISNUMBER(BedPlan[[#This Row],[Actual Beginning of Harvest]]),BedPlan[[#This Row],[Actual Beginning of Harvest]],BedPlan[[#This Row],[Expected Beginning of Harvest]])</f>
        <v>45823</v>
      </c>
      <c r="AE66" s="259">
        <v>45833</v>
      </c>
      <c r="AF66" s="265"/>
      <c r="AG66" s="261"/>
      <c r="AH66" s="230" t="b">
        <f>IF(AND( BedPlan[[#This Row],[Expected End of Harvest]] &gt;= DATE(2025, 8, 1), BedPlan[[#This Row],[Beginning of Harvest]] &lt;= DATE(2025, 8, 31) ), TRUE, FALSE)</f>
        <v>0</v>
      </c>
      <c r="AI66" s="230"/>
      <c r="AJ66" s="31">
        <f>IF(ISNUMBER(BedPlan[[#This Row],[Actual End of Harvest]]),BedPlan[[#This Row],[Actual End of Harvest]],BedPlan[[#This Row],[Expected End of Harvest]])</f>
        <v>45833</v>
      </c>
      <c r="AK66" s="34" t="b">
        <v>0</v>
      </c>
      <c r="AL66" s="34" t="s">
        <v>2692</v>
      </c>
      <c r="AM66" s="34" t="b">
        <v>0</v>
      </c>
      <c r="AN66" s="34" t="b">
        <v>0</v>
      </c>
      <c r="AO66" s="34"/>
      <c r="AP66" s="34"/>
      <c r="AQ66" s="34"/>
      <c r="AR66" s="34"/>
      <c r="AS66" s="256" t="str">
        <f>IF(BedPlan[[#This Row],[Broadfork]],BedPlan[[#This Row],[Actual TP or DS Date]],"")</f>
        <v/>
      </c>
      <c r="AT66" s="256" t="str">
        <f>IF(BedPlan[[#This Row],[Tilther]],BedPlan[[#This Row],[Actual TP or DS Date]],"")</f>
        <v/>
      </c>
      <c r="AU66" s="256" t="str">
        <f>IF(NOT(ISBLANK(BedPlan[[#This Row],[Amend]])),BedPlan[[#This Row],[Actual TP or DS Date]],"")</f>
        <v/>
      </c>
      <c r="AV66" s="256" t="str">
        <f>IF(BedPlan[[#This Row],[Row Cover]],BedPlan[[#This Row],[Actual TP or DS Date]],"")</f>
        <v/>
      </c>
      <c r="AW66" s="34"/>
      <c r="AX66" s="256"/>
      <c r="AY66" s="34"/>
      <c r="AZ66" s="256"/>
      <c r="BA66" s="34"/>
      <c r="BB66" s="256"/>
      <c r="BC66" s="231" cm="1">
        <f t="array" ref="BC66">INDEX(Crops[],BedPlan[[#This Row],[Chart Index]],BC$4,1)*BedPlan[[#This Row],[Full Bed Equivalent]]</f>
        <v>771.42857142857133</v>
      </c>
      <c r="BD66" s="231" cm="1">
        <f t="array" ref="BD66">INDEX(Crops[],BedPlan[[#This Row],[Chart Index]],BD$4,1)*BedPlan[[#This Row],[Full Bed Equivalent]]</f>
        <v>3.1231925968768071</v>
      </c>
      <c r="BE66" cm="1">
        <f t="array" ref="BE66">INDEX(Crops[],BedPlan[[#This Row],[Chart Index]],BE$4,1)+BedPlan[[#This Row],[Additional Days in Cells]]+BedPlan[[#This Row],[Additional Days In Field]]</f>
        <v>240</v>
      </c>
      <c r="BG66" cm="1">
        <f t="array" ref="BG66">INDEX(Crops[],BedPlan[[#This Row],[Chart Index]],BG$4,1)</f>
        <v>7</v>
      </c>
      <c r="BH66" t="str">
        <f>IF(ISNUMBER(BedPlan[[#This Row],[Planned Greenhouse Start Date]]),"TP","DS")</f>
        <v>DS</v>
      </c>
      <c r="BI66">
        <f>BedPlan[[#This Row],['# Of Beds]]</f>
        <v>1</v>
      </c>
      <c r="BJ66" cm="1">
        <f t="array" ref="BJ66">INDEX(Crops[],BedPlan[[#This Row],[Chart Index]],BJ$4,1)</f>
        <v>0</v>
      </c>
      <c r="BK66" cm="1">
        <f t="array" ref="BK66">INDEX(Crops[],BedPlan[[#This Row],[Chart Index]],BK$4,1)</f>
        <v>3</v>
      </c>
      <c r="BL66" cm="1">
        <f t="array" ref="BL66">INDEX(Crops[],BedPlan[[#This Row],[Chart Index]],BL$4,1)</f>
        <v>6</v>
      </c>
      <c r="BM66" cm="1">
        <f t="array" ref="BM66">INDEX(Crops[],BedPlan[[#This Row],[Chart Index]],BM$4,1)</f>
        <v>1</v>
      </c>
      <c r="BN66" s="32" cm="1">
        <f t="array" ref="BN66">INDEX(Crops[],BedPlan[[#This Row],[Chart Index]],BN$4,1)*BedPlan[[#This Row],[Full Bed Equivalent]]</f>
        <v>300</v>
      </c>
      <c r="BO66" t="str" cm="1">
        <f t="array" ref="BO66">IF(INDEX(Crops[],BedPlan[[#This Row],[Chart Index]],BO$4,1)=0,"",INDEX(Crops[],BedPlan[[#This Row],[Chart Index]],BO$4,1))</f>
        <v/>
      </c>
      <c r="BP66">
        <f>MATCH(BedPlan[[#This Row],[Crop]],Crops[Identifier],FALSE)</f>
        <v>137</v>
      </c>
      <c r="BQ66" t="str" cm="1">
        <f t="array" ref="BQ66">INDEX(Crops[],BedPlan[[#This Row],[Chart Index]],BQ$4,1)</f>
        <v>Softneck</v>
      </c>
      <c r="BR66" t="str" cm="1">
        <f t="array" ref="BR66">INDEX(Crops[],BedPlan[[#This Row],[Chart Index]],BR$4,1)</f>
        <v>Ow</v>
      </c>
      <c r="BS66" s="32">
        <f>BedPlan[[#This Row],[Expected Beginning of Harvest]]-DATE(2023,1,1)</f>
        <v>896</v>
      </c>
      <c r="BT66">
        <f>BedPlan[[#This Row],[Expected End of Harvest]]-BedPlan[[#This Row],[Expected Beginning of Harvest]]</f>
        <v>10</v>
      </c>
      <c r="BU66" t="str" cm="1">
        <f t="array" ref="BU66">INDEX(Crops[],BedPlan[[#This Row],[Chart Index]],BU$4,1)</f>
        <v>Garlic</v>
      </c>
      <c r="BV66" cm="1">
        <f t="array" ref="BV66">INDEX(Crops[],BedPlan[[#This Row],[Chart Index]],BV$4,1)</f>
        <v>2</v>
      </c>
      <c r="BW66" t="str" cm="1">
        <f t="array" ref="BW66">INDEX(Crops[],BedPlan[[#This Row],[Chart Index]],BW$4,1)</f>
        <v>None</v>
      </c>
      <c r="BX66" cm="1">
        <f t="array" ref="BX66">INDEX(Crops[],BedPlan[[#This Row],[Chart Index]],BX$4,1)</f>
        <v>0</v>
      </c>
      <c r="BY66" cm="1">
        <f t="array" ref="BY66">INDEX(Crops[],BedPlan[[#This Row],[Chart Index]],BY$4,1)</f>
        <v>0</v>
      </c>
      <c r="BZ66" s="49" t="str" cm="1">
        <f t="array" ref="BZ66">IFERROR(INDEX(Crops[],BedPlan[[#This Row],[Chart Index]],BZ$4,1)*BedPlan[[#This Row],[Full Bed Equivalent]],"")</f>
        <v/>
      </c>
      <c r="CA66" cm="1">
        <f t="array" ref="CA66">INDEX(Crops[],BedPlan[[#This Row],[Chart Index]],CA$4,1)</f>
        <v>0</v>
      </c>
      <c r="CB66" cm="1">
        <f t="array" ref="CB66">INDEX(Crops[],BedPlan[[#This Row],[Chart Index]],CB$4,1)</f>
        <v>0</v>
      </c>
      <c r="CC66" s="49" t="str" cm="1">
        <f t="array" ref="CC66">IFERROR(INDEX(Crops[],BedPlan[[#This Row],[Chart Index]],CC$4,1)*BedPlan[[#This Row],[Full Bed Equivalent]],"")</f>
        <v/>
      </c>
      <c r="CD66" cm="1">
        <f t="array" ref="CD66">INDEX(Crops[],BedPlan[[#This Row],[Chart Index]],CD$4,1)</f>
        <v>0</v>
      </c>
      <c r="CE66" cm="1">
        <f t="array" ref="CE66">IF(INDEX(Crops[],BedPlan[[#This Row],[Chart Index]],CE$4,1)="",0,INDEX(Crops[],BedPlan[[#This Row],[Chart Index]],CE$4,1))</f>
        <v>0</v>
      </c>
      <c r="CF66" s="49" t="str" cm="1">
        <f t="array" ref="CF66">IFERROR(INDEX(Crops[],BedPlan[[#This Row],[Chart Index]],CF$4,1)*BedPlan[[#This Row],[Full Bed Equivalent]],"")</f>
        <v/>
      </c>
      <c r="CG66" cm="1">
        <f t="array" ref="CG66">IF(INDEX(Crops[],BedPlan[[#This Row],[Chart Index]],CG$4,1)="",0,INDEX(Crops[],BedPlan[[#This Row],[Chart Index]],CG$4,1))</f>
        <v>1</v>
      </c>
      <c r="CH66" cm="1">
        <f t="array" ref="CH66">IF(INDEX(Crops[],BedPlan[[#This Row],[Chart Index]],CH$4,1)="",0,INDEX(Crops[],BedPlan[[#This Row],[Chart Index]],CH$4,1))</f>
        <v>0</v>
      </c>
      <c r="CI66" t="str" cm="1">
        <f t="array" ref="CI66">INDEX(Crops[],BedPlan[[#This Row],[Chart Index]],CI$4,1)</f>
        <v>Field</v>
      </c>
      <c r="CJ66" s="30" t="str">
        <f>_xlfn.TEXTJOIN(CHAR(10),FALSE,BedPlan[[#This Row],[Name]],BedPlan[[#This Row],[Variety]],BedPlan[[#This Row],[Company]])</f>
        <v xml:space="preserve">Garlic
Saved Seed
</v>
      </c>
      <c r="CK66" s="32">
        <f>MAX( 0, MIN(BedPlan[[#This Row],[Expected End of Harvest]], EOMONTH(CK$4, 0)) - MAX(BedPlan[[#This Row],[Beginning of Harvest]], CK$4) + 1 )</f>
        <v>0</v>
      </c>
      <c r="CL66">
        <f>MAX( 0, MIN(BedPlan[[#This Row],[Expected End of Harvest]], EOMONTH(CL$4, 0)) - MAX(BedPlan[[#This Row],[Beginning of Harvest]], CL$4) + 1 )</f>
        <v>0</v>
      </c>
      <c r="CM66">
        <f>MAX( 0, MIN(BedPlan[[#This Row],[Expected End of Harvest]], EOMONTH(CM$4, 0)) - MAX(BedPlan[[#This Row],[Beginning of Harvest]], CM$4) + 1 )</f>
        <v>0</v>
      </c>
      <c r="CN66">
        <f>MAX( 0, MIN(BedPlan[[#This Row],[Expected End of Harvest]], EOMONTH(CN$4, 0)) - MAX(BedPlan[[#This Row],[Beginning of Harvest]], CN$4) + 1 )</f>
        <v>0</v>
      </c>
      <c r="CO66">
        <f>MAX( 0, MIN(BedPlan[[#This Row],[Expected End of Harvest]], EOMONTH(CO$4, 0)) - MAX(BedPlan[[#This Row],[Beginning of Harvest]], CO$4) + 1 )</f>
        <v>0</v>
      </c>
      <c r="CP66">
        <f>MAX( 0, MIN(BedPlan[[#This Row],[Expected End of Harvest]], EOMONTH(CP$4, 0)) - MAX(BedPlan[[#This Row],[Beginning of Harvest]], CP$4) + 1 )</f>
        <v>11</v>
      </c>
      <c r="CQ66">
        <f>MAX( 0, MIN(BedPlan[[#This Row],[Expected End of Harvest]], EOMONTH(CQ$4, 0)) - MAX(BedPlan[[#This Row],[Beginning of Harvest]], CQ$4) + 1 )</f>
        <v>0</v>
      </c>
      <c r="CR66">
        <f>MAX( 0, MIN(BedPlan[[#This Row],[Expected End of Harvest]], EOMONTH(CR$4, 0)) - MAX(BedPlan[[#This Row],[Beginning of Harvest]], CR$4) + 1 )</f>
        <v>0</v>
      </c>
      <c r="CS66">
        <f>MAX( 0, MIN(BedPlan[[#This Row],[Expected End of Harvest]], EOMONTH(CS$4, 0)) - MAX(BedPlan[[#This Row],[Beginning of Harvest]], CS$4) + 1 )</f>
        <v>0</v>
      </c>
      <c r="CT66">
        <f>MAX( 0, MIN(BedPlan[[#This Row],[Expected End of Harvest]], EOMONTH(CT$4, 0)) - MAX(BedPlan[[#This Row],[Beginning of Harvest]], CT$4) + 1 )</f>
        <v>0</v>
      </c>
      <c r="CU66">
        <f>MAX( 0, MIN(BedPlan[[#This Row],[Expected End of Harvest]], EOMONTH(CU$4, 0)) - MAX(BedPlan[[#This Row],[Beginning of Harvest]], CU$4) + 1 )</f>
        <v>0</v>
      </c>
      <c r="CV66">
        <f>MAX( 0, MIN(BedPlan[[#This Row],[Expected End of Harvest]], EOMONTH(CV$4, 0)) - MAX(BedPlan[[#This Row],[Beginning of Harvest]], CV$4) + 1 )</f>
        <v>0</v>
      </c>
      <c r="CW66">
        <f>MAX( 0, MIN(BedPlan[[#This Row],[Expected End of Harvest]], EOMONTH(CW$4, 0)) - MAX(BedPlan[[#This Row],[Beginning of Harvest]], CW$4) + 1 )</f>
        <v>0</v>
      </c>
      <c r="CX66">
        <f>MAX( 0, MIN(BedPlan[[#This Row],[Expected End of Harvest]], EOMONTH(CX$4, 0)) - MAX(BedPlan[[#This Row],[Beginning of Harvest]], CX$4) + 1 )</f>
        <v>0</v>
      </c>
      <c r="CY66">
        <f>MAX( 0, MIN(BedPlan[[#This Row],[Expected End of Harvest]], EOMONTH(CY$4, 0)) - MAX(BedPlan[[#This Row],[Beginning of Harvest]], CY$4) + 1 )</f>
        <v>0</v>
      </c>
      <c r="CZ66">
        <f>MAX( 0, MIN(BedPlan[[#This Row],[Expected End of Harvest]], EOMONTH(CZ$4, 0)) - MAX(BedPlan[[#This Row],[Beginning of Harvest]], CZ$4) + 1 )</f>
        <v>0</v>
      </c>
      <c r="DA66">
        <f>MAX( 0, MIN(BedPlan[[#This Row],[Expected End of Harvest]], EOMONTH(DA$4, 0)) - MAX(BedPlan[[#This Row],[Beginning of Harvest]], DA$4) + 1 )</f>
        <v>0</v>
      </c>
      <c r="DB66">
        <f>MAX( 0, MIN(BedPlan[[#This Row],[Expected End of Harvest]], EOMONTH(DB$4, 0)) - MAX(BedPlan[[#This Row],[Beginning of Harvest]], DB$4) + 1 )</f>
        <v>0</v>
      </c>
      <c r="DC66">
        <f>MAX( 0, MIN(BedPlan[[#This Row],[Expected End of Harvest]], EOMONTH(DC$4, 0)) - MAX(BedPlan[[#This Row],[Beginning of Harvest]], DC$4) + 1 )</f>
        <v>0</v>
      </c>
      <c r="DD66">
        <f>MAX( 0, MIN(BedPlan[[#This Row],[Expected End of Harvest]], EOMONTH(DD$4, 0)) - MAX(BedPlan[[#This Row],[Beginning of Harvest]], DD$4) + 1 )</f>
        <v>0</v>
      </c>
      <c r="DE66">
        <f>MAX( 0, MIN(BedPlan[[#This Row],[Expected End of Harvest]], EOMONTH(DE$4, 0)) - MAX(BedPlan[[#This Row],[Beginning of Harvest]], DE$4) + 1 )</f>
        <v>0</v>
      </c>
      <c r="DF66">
        <f>MAX( 0, MIN(BedPlan[[#This Row],[Expected End of Harvest]], EOMONTH(DF$4, 0)) - MAX(BedPlan[[#This Row],[Beginning of Harvest]], DF$4) + 1 )</f>
        <v>0</v>
      </c>
      <c r="DG66">
        <f>MAX( 0, MIN(BedPlan[[#This Row],[Expected End of Harvest]], EOMONTH(DG$4, 0)) - MAX(BedPlan[[#This Row],[Beginning of Harvest]], DG$4) + 1 )</f>
        <v>0</v>
      </c>
      <c r="DH66">
        <f>MAX( 0, MIN(BedPlan[[#This Row],[Expected End of Harvest]], EOMONTH(DH$4, 0)) - MAX(BedPlan[[#This Row],[Beginning of Harvest]], DH$4) + 1 )</f>
        <v>0</v>
      </c>
      <c r="DI66" s="257" cm="1">
        <f t="array" ref="DI66">BedPlan[[#This Row],[Harvest Days January 2025]]/SUM(BedPlan[[#This Row],[Harvest Days January 2025]:[Harvest Days December 2026]])*BedPlan[[#This Row],[Revenue]:[Revenue]]</f>
        <v>0</v>
      </c>
      <c r="DJ66" s="257" cm="1">
        <f t="array" ref="DJ66">BedPlan[[#This Row],[Harvest Days February 2025]]/SUM(BedPlan[[#This Row],[Harvest Days January 2025]:[Harvest Days December 2026]])*BedPlan[[#This Row],[Revenue]:[Revenue]]</f>
        <v>0</v>
      </c>
      <c r="DK66" s="257" cm="1">
        <f t="array" ref="DK66">BedPlan[[#This Row],[Harvest Days March 2025]]/SUM(BedPlan[[#This Row],[Harvest Days January 2025]:[Harvest Days December 2026]])*BedPlan[[#This Row],[Revenue]:[Revenue]]</f>
        <v>0</v>
      </c>
      <c r="DL66" s="257" cm="1">
        <f t="array" ref="DL66">BedPlan[[#This Row],[Harvest Days April 2025]]/SUM(BedPlan[[#This Row],[Harvest Days January 2025]:[Harvest Days December 2026]])*BedPlan[[#This Row],[Revenue]:[Revenue]]</f>
        <v>0</v>
      </c>
      <c r="DM66" s="257" cm="1">
        <f t="array" ref="DM66">BedPlan[[#This Row],[Harvest Days May 2025]]/SUM(BedPlan[[#This Row],[Harvest Days January 2025]:[Harvest Days December 2026]])*BedPlan[[#This Row],[Revenue]:[Revenue]]</f>
        <v>0</v>
      </c>
      <c r="DN66" s="257" cm="1">
        <f t="array" ref="DN66">BedPlan[[#This Row],[Harvest Days June 2025]]/SUM(BedPlan[[#This Row],[Harvest Days January 2025]:[Harvest Days December 2026]])*BedPlan[[#This Row],[Revenue]:[Revenue]]</f>
        <v>771.42857142857133</v>
      </c>
      <c r="DO66" s="257" cm="1">
        <f t="array" ref="DO66">BedPlan[[#This Row],[Harvest Days July 2025]]/SUM(BedPlan[[#This Row],[Harvest Days January 2025]:[Harvest Days December 2026]])*BedPlan[[#This Row],[Revenue]:[Revenue]]</f>
        <v>0</v>
      </c>
      <c r="DP66" s="257" cm="1">
        <f t="array" ref="DP66">BedPlan[[#This Row],[Harvest Days August 2025]]/SUM(BedPlan[[#This Row],[Harvest Days January 2025]:[Harvest Days December 2026]])*BedPlan[[#This Row],[Revenue]:[Revenue]]</f>
        <v>0</v>
      </c>
      <c r="DQ66" s="257" cm="1">
        <f t="array" ref="DQ66">BedPlan[[#This Row],[Harvest Days September 2025]]/SUM(BedPlan[[#This Row],[Harvest Days January 2025]:[Harvest Days December 2026]])*BedPlan[[#This Row],[Revenue]:[Revenue]]</f>
        <v>0</v>
      </c>
      <c r="DR66" s="257" cm="1">
        <f t="array" ref="DR66">BedPlan[[#This Row],[Harvest Days October 2025]]/SUM(BedPlan[[#This Row],[Harvest Days January 2025]:[Harvest Days December 2026]])*BedPlan[[#This Row],[Revenue]:[Revenue]]</f>
        <v>0</v>
      </c>
      <c r="DS66" s="257" cm="1">
        <f t="array" ref="DS66">BedPlan[[#This Row],[Harvest Days November 2025]]/SUM(BedPlan[[#This Row],[Harvest Days January 2025]:[Harvest Days December 2026]])*BedPlan[[#This Row],[Revenue]:[Revenue]]</f>
        <v>0</v>
      </c>
      <c r="DT66" s="257" cm="1">
        <f t="array" ref="DT66">BedPlan[[#This Row],[Harvest Days December 2025]]/SUM(BedPlan[[#This Row],[Harvest Days January 2025]:[Harvest Days December 2026]])*BedPlan[[#This Row],[Revenue]:[Revenue]]</f>
        <v>0</v>
      </c>
      <c r="DU66" s="257" cm="1">
        <f t="array" ref="DU66">BedPlan[[#This Row],[Harvest Days January 2026]]/SUM(BedPlan[[#This Row],[Harvest Days January 2025]:[Harvest Days December 2026]])*BedPlan[[#This Row],[Revenue]:[Revenue]]</f>
        <v>0</v>
      </c>
      <c r="DV66" s="257" cm="1">
        <f t="array" ref="DV66">BedPlan[[#This Row],[Harvest Days February 2026]]/SUM(BedPlan[[#This Row],[Harvest Days January 2025]:[Harvest Days December 2026]])*BedPlan[[#This Row],[Revenue]:[Revenue]]</f>
        <v>0</v>
      </c>
      <c r="DW66" s="257" cm="1">
        <f t="array" ref="DW66">BedPlan[[#This Row],[Harvest Days March 2026]]/SUM(BedPlan[[#This Row],[Harvest Days January 2025]:[Harvest Days December 2026]])*BedPlan[[#This Row],[Revenue]:[Revenue]]</f>
        <v>0</v>
      </c>
      <c r="DX66" s="257" cm="1">
        <f t="array" ref="DX66">BedPlan[[#This Row],[Harvest Days April 2026]]/SUM(BedPlan[[#This Row],[Harvest Days January 2025]:[Harvest Days December 2026]])*BedPlan[[#This Row],[Revenue]:[Revenue]]</f>
        <v>0</v>
      </c>
      <c r="DY66" s="257" cm="1">
        <f t="array" ref="DY66">BedPlan[[#This Row],[Harvest Days May 2026]]/SUM(BedPlan[[#This Row],[Harvest Days January 2025]:[Harvest Days December 2026]])*BedPlan[[#This Row],[Revenue]:[Revenue]]</f>
        <v>0</v>
      </c>
      <c r="DZ66" s="257" cm="1">
        <f t="array" ref="DZ66">BedPlan[[#This Row],[Harvest Days June 2026]]/SUM(BedPlan[[#This Row],[Harvest Days January 2025]:[Harvest Days December 2026]])*BedPlan[[#This Row],[Revenue]:[Revenue]]</f>
        <v>0</v>
      </c>
      <c r="EA66" s="257" cm="1">
        <f t="array" ref="EA66">BedPlan[[#This Row],[Harvest Days July 2026]]/SUM(BedPlan[[#This Row],[Harvest Days January 2025]:[Harvest Days December 2026]])*BedPlan[[#This Row],[Revenue]:[Revenue]]</f>
        <v>0</v>
      </c>
      <c r="EB66" s="257" cm="1">
        <f t="array" ref="EB66">BedPlan[[#This Row],[Harvest Days August 2026]]/SUM(BedPlan[[#This Row],[Harvest Days January 2025]:[Harvest Days December 2026]])*BedPlan[[#This Row],[Revenue]:[Revenue]]</f>
        <v>0</v>
      </c>
      <c r="EC66" s="257" cm="1">
        <f t="array" ref="EC66">BedPlan[[#This Row],[Harvest Days September 2026]]/SUM(BedPlan[[#This Row],[Harvest Days January 2025]:[Harvest Days December 2026]])*BedPlan[[#This Row],[Revenue]:[Revenue]]</f>
        <v>0</v>
      </c>
      <c r="ED66" s="257" cm="1">
        <f t="array" ref="ED66">BedPlan[[#This Row],[Harvest Days October 2026]]/SUM(BedPlan[[#This Row],[Harvest Days January 2025]:[Harvest Days December 2026]])*BedPlan[[#This Row],[Revenue]:[Revenue]]</f>
        <v>0</v>
      </c>
      <c r="EE66" s="257" cm="1">
        <f t="array" ref="EE66">BedPlan[[#This Row],[Harvest Days November 2026]]/SUM(BedPlan[[#This Row],[Harvest Days January 2025]:[Harvest Days December 2026]])*BedPlan[[#This Row],[Revenue]:[Revenue]]</f>
        <v>0</v>
      </c>
      <c r="EF66" s="257" cm="1">
        <f t="array" ref="EF66">BedPlan[[#This Row],[Harvest Days December 2026]]/SUM(BedPlan[[#This Row],[Harvest Days January 2025]:[Harvest Days December 2026]])*BedPlan[[#This Row],[Revenue]:[Revenue]]</f>
        <v>0</v>
      </c>
      <c r="EG66" t="b">
        <f>SUM(BedPlan[[#This Row],[Revenue January 2025]:[Revenue December 2026]])=BedPlan[[#This Row],[Revenue]]</f>
        <v>1</v>
      </c>
      <c r="EH66" s="30" cm="1">
        <f t="array" ref="EH66">INDEX(Crops[],BedPlan[[#This Row],[Chart Index]],EH$4,1)*BedPlan[[#This Row],['# Of Beds]]</f>
        <v>42.857142857142854</v>
      </c>
      <c r="EI66" s="30" t="str" cm="1">
        <f t="array" ref="EI66">INDEX(Crops[],BedPlan[[#This Row],[Chart Index]],EI$4,1)</f>
        <v>Lb</v>
      </c>
      <c r="EJ66" s="30" t="str" cm="1">
        <f t="array" ref="EJ66">INDEX(Crops[],BedPlan[[#This Row],[Chart Index]],EJ$4,1)</f>
        <v>Storage Bulb</v>
      </c>
      <c r="EK66" s="30" t="str">
        <f>BedPlan[[#This Row],[Name]]&amp;" "&amp;BedPlan[[#This Row],[Product]]&amp; " - " &amp;BedPlan[[#This Row],[Unit]]</f>
        <v>Garlic Storage Bulb - Lb</v>
      </c>
      <c r="EL66" s="33" cm="1">
        <f t="array" ref="EL66">BedPlan[[#This Row],[Harvest Days January 2025]]/SUM(BedPlan[[#This Row],[Harvest Days January 2025]:[Harvest Days December 2026]])*BedPlan[[#This Row],[Yield]:[Yield]]</f>
        <v>0</v>
      </c>
      <c r="EM66" s="33" cm="1">
        <f t="array" ref="EM66">BedPlan[[#This Row],[Harvest Days February 2025]]/SUM(BedPlan[[#This Row],[Harvest Days January 2025]:[Harvest Days December 2026]])*BedPlan[[#This Row],[Yield]:[Yield]]</f>
        <v>0</v>
      </c>
      <c r="EN66" s="33" cm="1">
        <f t="array" ref="EN66">BedPlan[[#This Row],[Harvest Days March 2025]]/SUM(BedPlan[[#This Row],[Harvest Days January 2025]:[Harvest Days December 2026]])*BedPlan[[#This Row],[Yield]:[Yield]]</f>
        <v>0</v>
      </c>
      <c r="EO66" s="33" cm="1">
        <f t="array" ref="EO66">BedPlan[[#This Row],[Harvest Days April 2025]]/SUM(BedPlan[[#This Row],[Harvest Days January 2025]:[Harvest Days December 2026]])*BedPlan[[#This Row],[Yield]:[Yield]]</f>
        <v>0</v>
      </c>
      <c r="EP66" s="33" cm="1">
        <f t="array" ref="EP66">BedPlan[[#This Row],[Harvest Days May 2025]]/SUM(BedPlan[[#This Row],[Harvest Days January 2025]:[Harvest Days December 2026]])*BedPlan[[#This Row],[Yield]:[Yield]]</f>
        <v>0</v>
      </c>
      <c r="EQ66" s="33" cm="1">
        <f t="array" ref="EQ66">BedPlan[[#This Row],[Harvest Days June 2025]]/SUM(BedPlan[[#This Row],[Harvest Days January 2025]:[Harvest Days December 2026]])*BedPlan[[#This Row],[Yield]:[Yield]]</f>
        <v>42.857142857142854</v>
      </c>
      <c r="ER66" s="33" cm="1">
        <f t="array" ref="ER66">BedPlan[[#This Row],[Harvest Days July 2025]]/SUM(BedPlan[[#This Row],[Harvest Days January 2025]:[Harvest Days December 2026]])*BedPlan[[#This Row],[Yield]:[Yield]]</f>
        <v>0</v>
      </c>
      <c r="ES66" s="33" cm="1">
        <f t="array" ref="ES66">BedPlan[[#This Row],[Harvest Days August 2025]]/SUM(BedPlan[[#This Row],[Harvest Days January 2025]:[Harvest Days December 2026]])*BedPlan[[#This Row],[Yield]:[Yield]]</f>
        <v>0</v>
      </c>
      <c r="ET66" s="33" cm="1">
        <f t="array" ref="ET66">BedPlan[[#This Row],[Harvest Days September 2025]]/SUM(BedPlan[[#This Row],[Harvest Days January 2025]:[Harvest Days December 2026]])*BedPlan[[#This Row],[Yield]:[Yield]]</f>
        <v>0</v>
      </c>
      <c r="EU66" s="33" cm="1">
        <f t="array" ref="EU66">BedPlan[[#This Row],[Harvest Days October 2025]]/SUM(BedPlan[[#This Row],[Harvest Days January 2025]:[Harvest Days December 2026]])*BedPlan[[#This Row],[Yield]:[Yield]]</f>
        <v>0</v>
      </c>
      <c r="EV66" s="33" cm="1">
        <f t="array" ref="EV66">BedPlan[[#This Row],[Harvest Days November 2025]]/SUM(BedPlan[[#This Row],[Harvest Days January 2025]:[Harvest Days December 2026]])*BedPlan[[#This Row],[Yield]:[Yield]]</f>
        <v>0</v>
      </c>
      <c r="EW66" s="33" cm="1">
        <f t="array" ref="EW66">BedPlan[[#This Row],[Harvest Days December 2025]]/SUM(BedPlan[[#This Row],[Harvest Days January 2025]:[Harvest Days December 2026]])*BedPlan[[#This Row],[Yield]:[Yield]]</f>
        <v>0</v>
      </c>
    </row>
    <row r="67" spans="1:153" ht="15.75" customHeight="1">
      <c r="A67" s="190" t="s">
        <v>3103</v>
      </c>
      <c r="B67" t="s">
        <v>2645</v>
      </c>
      <c r="C67" t="s">
        <v>1429</v>
      </c>
      <c r="D67" cm="1">
        <f t="array" ref="D67">INDEX(Crops[],BedPlan[[#This Row],[Chart Index]],D$4,1)*BedPlan[[#This Row],[Full Bed Equivalent]]</f>
        <v>11.428571428571429</v>
      </c>
      <c r="E67" cm="1">
        <f t="array" ref="E67">INDEX(Crops[],BedPlan[[#This Row],[Chart Index]],E$4,1)*BedPlan[[#This Row],[Full Bed Equivalent]]</f>
        <v>160</v>
      </c>
      <c r="F67" t="str">
        <f>UPPER(LEFT(BedPlan[[#This Row],[Crop]],3))</f>
        <v>GOO</v>
      </c>
      <c r="H67" s="143" t="str" cm="1">
        <f t="array" ref="H67">INDEX(Crops[],BedPlan[[#This Row],[Chart Index]],H$4,1)</f>
        <v>Gooseberry</v>
      </c>
      <c r="I67" t="s">
        <v>2855</v>
      </c>
      <c r="J67" t="s">
        <v>501</v>
      </c>
      <c r="K67" t="str" cm="1">
        <f t="array" ref="K67">IF(ISNUMBER(MATCH(BedPlan[[#This Row],[Variety]],SeedMixes[Name],)),_xlfn.TEXTJOIN(", ",TRUE,_xlfn._xlws.FILTER(SeedMixes[Variety &amp; Company],SeedMixes[Name]=BedPlan[[#This Row],[Variety]])),"")</f>
        <v/>
      </c>
      <c r="L67" s="33" cm="1">
        <f t="array" ref="L67">INDEX(Crops[],BedPlan[[#This Row],[Chart Index]],L$4,1)*BedPlan[[#This Row],[Full Bed Equivalent]]</f>
        <v>13</v>
      </c>
      <c r="N67">
        <v>0.5</v>
      </c>
      <c r="O67">
        <f>MAX(BedPlan[[#This Row],['# Of Beds]],0.5)</f>
        <v>0.5</v>
      </c>
      <c r="P67" s="31">
        <f>IF(ISNUMBER(BedPlan[[#This Row],[Planned Greenhouse Start Date]]),BedPlan[[#This Row],[Planned Greenhouse Start Date]],BedPlan[[#This Row],[Planned TP or DS Date]])</f>
        <v>45748</v>
      </c>
      <c r="Q67" s="259">
        <f>IF(BedPlan[[#This Row],[Days in Cells]]=0,"",IFERROR(_xlfn.XLOOKUP(BedPlan[[#This Row],[Follows Crop]],BedPlan[Identifier],BedPlan[Expected End of Harvest]) + 1+BedPlan[[#This Row],[Follow Offset]],BedPlan[[#This Row],[Fixed Field Start Date]])-BedPlan[[#This Row],[Days in Cells]])</f>
        <v>45748</v>
      </c>
      <c r="R67" s="259"/>
      <c r="S67" s="259">
        <f>IF(ISNUMBER(BedPlan[[#This Row],[Actual Greenhouse Date]]),BedPlan[[#This Row],[Actual Greenhouse Date]],BedPlan[[#This Row],[Planned Greenhouse Start Date]])</f>
        <v>45748</v>
      </c>
      <c r="T67" s="259">
        <f>_xlfn.XLOOKUP(BedPlan[[#This Row],[Crop]],Crops[Identifier],Crops[Target Field Date])</f>
        <v>45801</v>
      </c>
      <c r="U67" s="260"/>
      <c r="V67" s="260"/>
      <c r="W6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45801</v>
      </c>
      <c r="X67" s="259">
        <v>45658</v>
      </c>
      <c r="Y67" s="271">
        <f>BedPlan[[#This Row],[Actual TP or DS Date]]-BedPlan[[#This Row],[Planned TP or DS Date]]</f>
        <v>-143</v>
      </c>
      <c r="Z67" s="259">
        <f>IF(ISNUMBER(BedPlan[[#This Row],[Actual TP or DS Date]]),BedPlan[[#This Row],[Actual TP or DS Date]],BedPlan[[#This Row],[Planned TP or DS Date]])</f>
        <v>45658</v>
      </c>
      <c r="AA67" s="260"/>
      <c r="AB67" s="259">
        <f>IF(ISNUMBER(BedPlan[[#This Row],[Greenhouse Start Date]]),BedPlan[[#This Row],[Greenhouse Start Date]]+BedPlan[[#This Row],[DTM]],BedPlan[[#This Row],[TP or DS Date]]+BedPlan[[#This Row],[DTM]])</f>
        <v>45906</v>
      </c>
      <c r="AC67" s="259"/>
      <c r="AD67" s="259">
        <f>IF(ISNUMBER(BedPlan[[#This Row],[Actual Beginning of Harvest]]),BedPlan[[#This Row],[Actual Beginning of Harvest]],BedPlan[[#This Row],[Expected Beginning of Harvest]])</f>
        <v>45906</v>
      </c>
      <c r="AE67" s="259">
        <f>BedPlan[[#This Row],[Expected Beginning of Harvest]]+BedPlan[[#This Row],[Harvest Window]]+BedPlan[[#This Row],[Additional Days of Harvest]]</f>
        <v>46004</v>
      </c>
      <c r="AF67" s="259"/>
      <c r="AG67" s="259"/>
      <c r="AH67" s="31" t="b">
        <f>IF(AND( BedPlan[[#This Row],[Expected End of Harvest]] &gt;= DATE(2025, 8, 1), BedPlan[[#This Row],[Beginning of Harvest]] &lt;= DATE(2025, 8, 31) ), TRUE, FALSE)</f>
        <v>0</v>
      </c>
      <c r="AI67" s="31"/>
      <c r="AJ67" s="31">
        <f>IF(ISNUMBER(BedPlan[[#This Row],[Actual End of Harvest]]),BedPlan[[#This Row],[Actual End of Harvest]],BedPlan[[#This Row],[Expected End of Harvest]])</f>
        <v>46004</v>
      </c>
      <c r="AK67" t="b">
        <f>OR(ISNUMBER(BedPlan[[#This Row],[Actual Greenhouse Date]]),ISNUMBER(BedPlan[[#This Row],[Actual TP or DS Date]]))</f>
        <v>1</v>
      </c>
      <c r="AL67" s="52" t="b">
        <f>IF(ISNUMBER(BedPlan[[#This Row],[Planned Greenhouse Start Date]]),OR(ISNUMBER(BedPlan[[#This Row],[Actual TP or DS Date]]),BedPlan[[#This Row],[Failed]]),"-")</f>
        <v>1</v>
      </c>
      <c r="AM67" t="b">
        <f>OR(ISNUMBER(BedPlan[[#This Row],[Actual End of Harvest]]),BedPlan[[#This Row],[Failed]])</f>
        <v>0</v>
      </c>
      <c r="AN67" t="b">
        <f>OR(BedPlan[[#This Row],[Harvest Done]],BedPlan[[#This Row],[Failed]],BedPlan[[#This Row],[Name]]="Tarp")</f>
        <v>0</v>
      </c>
      <c r="AS67" s="26" t="str">
        <f>IF(BedPlan[[#This Row],[Broadfork]],BedPlan[[#This Row],[Actual TP or DS Date]],"")</f>
        <v/>
      </c>
      <c r="AT67" s="26" t="str">
        <f>IF(BedPlan[[#This Row],[Tilther]],BedPlan[[#This Row],[Actual TP or DS Date]],"")</f>
        <v/>
      </c>
      <c r="AU67" s="26" t="str">
        <f>IF(NOT(ISBLANK(BedPlan[[#This Row],[Amend]])),BedPlan[[#This Row],[Actual TP or DS Date]],"")</f>
        <v/>
      </c>
      <c r="AV67" s="26" t="str">
        <f>IF(BedPlan[[#This Row],[Row Cover]],BedPlan[[#This Row],[Actual TP or DS Date]],"")</f>
        <v/>
      </c>
      <c r="AX67" s="26"/>
      <c r="AZ67" s="26"/>
      <c r="BB67" s="26"/>
      <c r="BC67" s="231" cm="1">
        <f t="array" ref="BC67">INDEX(Crops[],BedPlan[[#This Row],[Chart Index]],BC$4,1)*BedPlan[[#This Row],[Full Bed Equivalent]]</f>
        <v>640</v>
      </c>
      <c r="BD67" s="231" cm="1">
        <f t="array" ref="BD67">INDEX(Crops[],BedPlan[[#This Row],[Chart Index]],BD$4,1)*BedPlan[[#This Row],[Full Bed Equivalent]]</f>
        <v>3.1527093596059115</v>
      </c>
      <c r="BE67" cm="1">
        <f t="array" ref="BE67">INDEX(Crops[],BedPlan[[#This Row],[Chart Index]],BE$4,1)+BedPlan[[#This Row],[Additional Days in Cells]]+BedPlan[[#This Row],[Additional Days In Field]]</f>
        <v>158</v>
      </c>
      <c r="BG67" cm="1">
        <f t="array" ref="BG67">INDEX(Crops[],BedPlan[[#This Row],[Chart Index]],BG$4,1)</f>
        <v>98</v>
      </c>
      <c r="BH67" t="str">
        <f>IF(ISNUMBER(BedPlan[[#This Row],[Planned Greenhouse Start Date]]),"TP","DS")</f>
        <v>TP</v>
      </c>
      <c r="BI67">
        <f>BedPlan[[#This Row],['# Of Beds]]</f>
        <v>0.5</v>
      </c>
      <c r="BJ67" cm="1">
        <f t="array" ref="BJ67">INDEX(Crops[],BedPlan[[#This Row],[Chart Index]],BJ$4,1)</f>
        <v>53</v>
      </c>
      <c r="BK67" cm="1">
        <f t="array" ref="BK67">INDEX(Crops[],BedPlan[[#This Row],[Chart Index]],BK$4,1)</f>
        <v>1</v>
      </c>
      <c r="BL67" cm="1">
        <f t="array" ref="BL67">INDEX(Crops[],BedPlan[[#This Row],[Chart Index]],BL$4,1)</f>
        <v>30</v>
      </c>
      <c r="BM67" cm="1">
        <f t="array" ref="BM67">INDEX(Crops[],BedPlan[[#This Row],[Chart Index]],BM$4,1)</f>
        <v>1</v>
      </c>
      <c r="BN67" s="32" cm="1">
        <f t="array" ref="BN67">INDEX(Crops[],BedPlan[[#This Row],[Chart Index]],BN$4,1)*BedPlan[[#This Row],[Full Bed Equivalent]]</f>
        <v>10</v>
      </c>
      <c r="BO67" t="str" cm="1">
        <f t="array" ref="BO67">IF(INDEX(Crops[],BedPlan[[#This Row],[Chart Index]],BO$4,1)=0,"",INDEX(Crops[],BedPlan[[#This Row],[Chart Index]],BO$4,1))</f>
        <v/>
      </c>
      <c r="BP67">
        <f>MATCH(BedPlan[[#This Row],[Crop]],Crops[Identifier],FALSE)</f>
        <v>140</v>
      </c>
      <c r="BQ67" t="str" cm="1">
        <f t="array" ref="BQ67">INDEX(Crops[],BedPlan[[#This Row],[Chart Index]],BQ$4,1)</f>
        <v>Cape</v>
      </c>
      <c r="BR67" t="str" cm="1">
        <f t="array" ref="BR67">INDEX(Crops[],BedPlan[[#This Row],[Chart Index]],BR$4,1)</f>
        <v/>
      </c>
      <c r="BS67" s="32">
        <f>BedPlan[[#This Row],[Expected Beginning of Harvest]]-DATE(2023,1,1)</f>
        <v>979</v>
      </c>
      <c r="BT67">
        <f>BedPlan[[#This Row],[Expected End of Harvest]]-BedPlan[[#This Row],[Expected Beginning of Harvest]]</f>
        <v>98</v>
      </c>
      <c r="BU67" cm="1">
        <f t="array" ref="BU67">INDEX(Crops[],BedPlan[[#This Row],[Chart Index]],BU$4,1)</f>
        <v>0</v>
      </c>
      <c r="BV67" cm="1">
        <f t="array" ref="BV67">INDEX(Crops[],BedPlan[[#This Row],[Chart Index]],BV$4,1)</f>
        <v>0</v>
      </c>
      <c r="BW67" cm="1">
        <f t="array" ref="BW67">INDEX(Crops[],BedPlan[[#This Row],[Chart Index]],BW$4,1)</f>
        <v>0</v>
      </c>
      <c r="BX67" cm="1">
        <f t="array" ref="BX67">INDEX(Crops[],BedPlan[[#This Row],[Chart Index]],BX$4,1)</f>
        <v>72</v>
      </c>
      <c r="BY67" cm="1">
        <f t="array" ref="BY67">INDEX(Crops[],BedPlan[[#This Row],[Chart Index]],BY$4,1)</f>
        <v>21</v>
      </c>
      <c r="BZ67" s="49" cm="1">
        <f t="array" ref="BZ67">IFERROR(INDEX(Crops[],BedPlan[[#This Row],[Chart Index]],BZ$4,1)*BedPlan[[#This Row],[Full Bed Equivalent]],"")</f>
        <v>0.18055555555555558</v>
      </c>
      <c r="CA67" cm="1">
        <f t="array" ref="CA67">INDEX(Crops[],BedPlan[[#This Row],[Chart Index]],CA$4,1)</f>
        <v>21</v>
      </c>
      <c r="CB67" cm="1">
        <f t="array" ref="CB67">INDEX(Crops[],BedPlan[[#This Row],[Chart Index]],CB$4,1)</f>
        <v>18</v>
      </c>
      <c r="CC67" s="49" cm="1">
        <f t="array" ref="CC67">IFERROR(INDEX(Crops[],BedPlan[[#This Row],[Chart Index]],CC$4,1)*BedPlan[[#This Row],[Full Bed Equivalent]],"")</f>
        <v>0.61904761904761907</v>
      </c>
      <c r="CD67" cm="1">
        <f t="array" ref="CD67">INDEX(Crops[],BedPlan[[#This Row],[Chart Index]],CD$4,1)</f>
        <v>9</v>
      </c>
      <c r="CE67" cm="1">
        <f t="array" ref="CE67">IF(INDEX(Crops[],BedPlan[[#This Row],[Chart Index]],CE$4,1)="",0,INDEX(Crops[],BedPlan[[#This Row],[Chart Index]],CE$4,1))</f>
        <v>14</v>
      </c>
      <c r="CF67" s="49" cm="1">
        <f t="array" ref="CF67">IFERROR(INDEX(Crops[],BedPlan[[#This Row],[Chart Index]],CF$4,1)*BedPlan[[#This Row],[Full Bed Equivalent]],"")</f>
        <v>1.4444444444444446</v>
      </c>
      <c r="CG67" cm="1">
        <f t="array" ref="CG67">IF(INDEX(Crops[],BedPlan[[#This Row],[Chart Index]],CG$4,1)="",0,INDEX(Crops[],BedPlan[[#This Row],[Chart Index]],CG$4,1))</f>
        <v>1.3</v>
      </c>
      <c r="CH67" cm="1">
        <f t="array" ref="CH67">IF(INDEX(Crops[],BedPlan[[#This Row],[Chart Index]],CH$4,1)="",0,INDEX(Crops[],BedPlan[[#This Row],[Chart Index]],CH$4,1))</f>
        <v>0</v>
      </c>
      <c r="CI67" t="str" cm="1">
        <f t="array" ref="CI67">INDEX(Crops[],BedPlan[[#This Row],[Chart Index]],CI$4,1)</f>
        <v>Field</v>
      </c>
      <c r="CJ67" s="30" t="str">
        <f>_xlfn.TEXTJOIN(CHAR(10),FALSE,BedPlan[[#This Row],[Name]],BedPlan[[#This Row],[Variety]],BedPlan[[#This Row],[Company]])</f>
        <v>Gooseberry
Peruvian Ground Cherry
Garden Hoard</v>
      </c>
      <c r="CK67" s="32">
        <f>MAX( 0, MIN(BedPlan[[#This Row],[Expected End of Harvest]], EOMONTH(CK$4, 0)) - MAX(BedPlan[[#This Row],[Beginning of Harvest]], CK$4) + 1 )</f>
        <v>0</v>
      </c>
      <c r="CL67">
        <f>MAX( 0, MIN(BedPlan[[#This Row],[Expected End of Harvest]], EOMONTH(CL$4, 0)) - MAX(BedPlan[[#This Row],[Beginning of Harvest]], CL$4) + 1 )</f>
        <v>0</v>
      </c>
      <c r="CM67">
        <f>MAX( 0, MIN(BedPlan[[#This Row],[Expected End of Harvest]], EOMONTH(CM$4, 0)) - MAX(BedPlan[[#This Row],[Beginning of Harvest]], CM$4) + 1 )</f>
        <v>0</v>
      </c>
      <c r="CN67">
        <f>MAX( 0, MIN(BedPlan[[#This Row],[Expected End of Harvest]], EOMONTH(CN$4, 0)) - MAX(BedPlan[[#This Row],[Beginning of Harvest]], CN$4) + 1 )</f>
        <v>0</v>
      </c>
      <c r="CO67">
        <f>MAX( 0, MIN(BedPlan[[#This Row],[Expected End of Harvest]], EOMONTH(CO$4, 0)) - MAX(BedPlan[[#This Row],[Beginning of Harvest]], CO$4) + 1 )</f>
        <v>0</v>
      </c>
      <c r="CP67">
        <f>MAX( 0, MIN(BedPlan[[#This Row],[Expected End of Harvest]], EOMONTH(CP$4, 0)) - MAX(BedPlan[[#This Row],[Beginning of Harvest]], CP$4) + 1 )</f>
        <v>0</v>
      </c>
      <c r="CQ67">
        <f>MAX( 0, MIN(BedPlan[[#This Row],[Expected End of Harvest]], EOMONTH(CQ$4, 0)) - MAX(BedPlan[[#This Row],[Beginning of Harvest]], CQ$4) + 1 )</f>
        <v>0</v>
      </c>
      <c r="CR67">
        <f>MAX( 0, MIN(BedPlan[[#This Row],[Expected End of Harvest]], EOMONTH(CR$4, 0)) - MAX(BedPlan[[#This Row],[Beginning of Harvest]], CR$4) + 1 )</f>
        <v>0</v>
      </c>
      <c r="CS67">
        <f>MAX( 0, MIN(BedPlan[[#This Row],[Expected End of Harvest]], EOMONTH(CS$4, 0)) - MAX(BedPlan[[#This Row],[Beginning of Harvest]], CS$4) + 1 )</f>
        <v>25</v>
      </c>
      <c r="CT67">
        <f>MAX( 0, MIN(BedPlan[[#This Row],[Expected End of Harvest]], EOMONTH(CT$4, 0)) - MAX(BedPlan[[#This Row],[Beginning of Harvest]], CT$4) + 1 )</f>
        <v>31</v>
      </c>
      <c r="CU67">
        <f>MAX( 0, MIN(BedPlan[[#This Row],[Expected End of Harvest]], EOMONTH(CU$4, 0)) - MAX(BedPlan[[#This Row],[Beginning of Harvest]], CU$4) + 1 )</f>
        <v>30</v>
      </c>
      <c r="CV67">
        <f>MAX( 0, MIN(BedPlan[[#This Row],[Expected End of Harvest]], EOMONTH(CV$4, 0)) - MAX(BedPlan[[#This Row],[Beginning of Harvest]], CV$4) + 1 )</f>
        <v>13</v>
      </c>
      <c r="CW67">
        <f>MAX( 0, MIN(BedPlan[[#This Row],[Expected End of Harvest]], EOMONTH(CW$4, 0)) - MAX(BedPlan[[#This Row],[Beginning of Harvest]], CW$4) + 1 )</f>
        <v>0</v>
      </c>
      <c r="CX67">
        <f>MAX( 0, MIN(BedPlan[[#This Row],[Expected End of Harvest]], EOMONTH(CX$4, 0)) - MAX(BedPlan[[#This Row],[Beginning of Harvest]], CX$4) + 1 )</f>
        <v>0</v>
      </c>
      <c r="CY67">
        <f>MAX( 0, MIN(BedPlan[[#This Row],[Expected End of Harvest]], EOMONTH(CY$4, 0)) - MAX(BedPlan[[#This Row],[Beginning of Harvest]], CY$4) + 1 )</f>
        <v>0</v>
      </c>
      <c r="CZ67">
        <f>MAX( 0, MIN(BedPlan[[#This Row],[Expected End of Harvest]], EOMONTH(CZ$4, 0)) - MAX(BedPlan[[#This Row],[Beginning of Harvest]], CZ$4) + 1 )</f>
        <v>0</v>
      </c>
      <c r="DA67">
        <f>MAX( 0, MIN(BedPlan[[#This Row],[Expected End of Harvest]], EOMONTH(DA$4, 0)) - MAX(BedPlan[[#This Row],[Beginning of Harvest]], DA$4) + 1 )</f>
        <v>0</v>
      </c>
      <c r="DB67">
        <f>MAX( 0, MIN(BedPlan[[#This Row],[Expected End of Harvest]], EOMONTH(DB$4, 0)) - MAX(BedPlan[[#This Row],[Beginning of Harvest]], DB$4) + 1 )</f>
        <v>0</v>
      </c>
      <c r="DC67">
        <f>MAX( 0, MIN(BedPlan[[#This Row],[Expected End of Harvest]], EOMONTH(DC$4, 0)) - MAX(BedPlan[[#This Row],[Beginning of Harvest]], DC$4) + 1 )</f>
        <v>0</v>
      </c>
      <c r="DD67">
        <f>MAX( 0, MIN(BedPlan[[#This Row],[Expected End of Harvest]], EOMONTH(DD$4, 0)) - MAX(BedPlan[[#This Row],[Beginning of Harvest]], DD$4) + 1 )</f>
        <v>0</v>
      </c>
      <c r="DE67">
        <f>MAX( 0, MIN(BedPlan[[#This Row],[Expected End of Harvest]], EOMONTH(DE$4, 0)) - MAX(BedPlan[[#This Row],[Beginning of Harvest]], DE$4) + 1 )</f>
        <v>0</v>
      </c>
      <c r="DF67">
        <f>MAX( 0, MIN(BedPlan[[#This Row],[Expected End of Harvest]], EOMONTH(DF$4, 0)) - MAX(BedPlan[[#This Row],[Beginning of Harvest]], DF$4) + 1 )</f>
        <v>0</v>
      </c>
      <c r="DG67">
        <f>MAX( 0, MIN(BedPlan[[#This Row],[Expected End of Harvest]], EOMONTH(DG$4, 0)) - MAX(BedPlan[[#This Row],[Beginning of Harvest]], DG$4) + 1 )</f>
        <v>0</v>
      </c>
      <c r="DH67">
        <f>MAX( 0, MIN(BedPlan[[#This Row],[Expected End of Harvest]], EOMONTH(DH$4, 0)) - MAX(BedPlan[[#This Row],[Beginning of Harvest]], DH$4) + 1 )</f>
        <v>0</v>
      </c>
      <c r="DI67" s="257" cm="1">
        <f t="array" ref="DI67">BedPlan[[#This Row],[Harvest Days January 2025]]/SUM(BedPlan[[#This Row],[Harvest Days January 2025]:[Harvest Days December 2026]])*BedPlan[[#This Row],[Revenue]:[Revenue]]</f>
        <v>0</v>
      </c>
      <c r="DJ67" s="257" cm="1">
        <f t="array" ref="DJ67">BedPlan[[#This Row],[Harvest Days February 2025]]/SUM(BedPlan[[#This Row],[Harvest Days January 2025]:[Harvest Days December 2026]])*BedPlan[[#This Row],[Revenue]:[Revenue]]</f>
        <v>0</v>
      </c>
      <c r="DK67" s="257" cm="1">
        <f t="array" ref="DK67">BedPlan[[#This Row],[Harvest Days March 2025]]/SUM(BedPlan[[#This Row],[Harvest Days January 2025]:[Harvest Days December 2026]])*BedPlan[[#This Row],[Revenue]:[Revenue]]</f>
        <v>0</v>
      </c>
      <c r="DL67" s="257" cm="1">
        <f t="array" ref="DL67">BedPlan[[#This Row],[Harvest Days April 2025]]/SUM(BedPlan[[#This Row],[Harvest Days January 2025]:[Harvest Days December 2026]])*BedPlan[[#This Row],[Revenue]:[Revenue]]</f>
        <v>0</v>
      </c>
      <c r="DM67" s="257" cm="1">
        <f t="array" ref="DM67">BedPlan[[#This Row],[Harvest Days May 2025]]/SUM(BedPlan[[#This Row],[Harvest Days January 2025]:[Harvest Days December 2026]])*BedPlan[[#This Row],[Revenue]:[Revenue]]</f>
        <v>0</v>
      </c>
      <c r="DN67" s="257" cm="1">
        <f t="array" ref="DN67">BedPlan[[#This Row],[Harvest Days June 2025]]/SUM(BedPlan[[#This Row],[Harvest Days January 2025]:[Harvest Days December 2026]])*BedPlan[[#This Row],[Revenue]:[Revenue]]</f>
        <v>0</v>
      </c>
      <c r="DO67" s="257" cm="1">
        <f t="array" ref="DO67">BedPlan[[#This Row],[Harvest Days July 2025]]/SUM(BedPlan[[#This Row],[Harvest Days January 2025]:[Harvest Days December 2026]])*BedPlan[[#This Row],[Revenue]:[Revenue]]</f>
        <v>0</v>
      </c>
      <c r="DP67" s="257" cm="1">
        <f t="array" ref="DP67">BedPlan[[#This Row],[Harvest Days August 2025]]/SUM(BedPlan[[#This Row],[Harvest Days January 2025]:[Harvest Days December 2026]])*BedPlan[[#This Row],[Revenue]:[Revenue]]</f>
        <v>0</v>
      </c>
      <c r="DQ67" s="257" cm="1">
        <f t="array" ref="DQ67">BedPlan[[#This Row],[Harvest Days September 2025]]/SUM(BedPlan[[#This Row],[Harvest Days January 2025]:[Harvest Days December 2026]])*BedPlan[[#This Row],[Revenue]:[Revenue]]</f>
        <v>161.61616161616163</v>
      </c>
      <c r="DR67" s="257" cm="1">
        <f t="array" ref="DR67">BedPlan[[#This Row],[Harvest Days October 2025]]/SUM(BedPlan[[#This Row],[Harvest Days January 2025]:[Harvest Days December 2026]])*BedPlan[[#This Row],[Revenue]:[Revenue]]</f>
        <v>200.40404040404042</v>
      </c>
      <c r="DS67" s="257" cm="1">
        <f t="array" ref="DS67">BedPlan[[#This Row],[Harvest Days November 2025]]/SUM(BedPlan[[#This Row],[Harvest Days January 2025]:[Harvest Days December 2026]])*BedPlan[[#This Row],[Revenue]:[Revenue]]</f>
        <v>193.93939393939394</v>
      </c>
      <c r="DT67" s="257" cm="1">
        <f t="array" ref="DT67">BedPlan[[#This Row],[Harvest Days December 2025]]/SUM(BedPlan[[#This Row],[Harvest Days January 2025]:[Harvest Days December 2026]])*BedPlan[[#This Row],[Revenue]:[Revenue]]</f>
        <v>84.040404040404042</v>
      </c>
      <c r="DU67" s="257" cm="1">
        <f t="array" ref="DU67">BedPlan[[#This Row],[Harvest Days January 2026]]/SUM(BedPlan[[#This Row],[Harvest Days January 2025]:[Harvest Days December 2026]])*BedPlan[[#This Row],[Revenue]:[Revenue]]</f>
        <v>0</v>
      </c>
      <c r="DV67" s="257" cm="1">
        <f t="array" ref="DV67">BedPlan[[#This Row],[Harvest Days February 2026]]/SUM(BedPlan[[#This Row],[Harvest Days January 2025]:[Harvest Days December 2026]])*BedPlan[[#This Row],[Revenue]:[Revenue]]</f>
        <v>0</v>
      </c>
      <c r="DW67" s="257" cm="1">
        <f t="array" ref="DW67">BedPlan[[#This Row],[Harvest Days March 2026]]/SUM(BedPlan[[#This Row],[Harvest Days January 2025]:[Harvest Days December 2026]])*BedPlan[[#This Row],[Revenue]:[Revenue]]</f>
        <v>0</v>
      </c>
      <c r="DX67" s="257" cm="1">
        <f t="array" ref="DX67">BedPlan[[#This Row],[Harvest Days April 2026]]/SUM(BedPlan[[#This Row],[Harvest Days January 2025]:[Harvest Days December 2026]])*BedPlan[[#This Row],[Revenue]:[Revenue]]</f>
        <v>0</v>
      </c>
      <c r="DY67" s="257" cm="1">
        <f t="array" ref="DY67">BedPlan[[#This Row],[Harvest Days May 2026]]/SUM(BedPlan[[#This Row],[Harvest Days January 2025]:[Harvest Days December 2026]])*BedPlan[[#This Row],[Revenue]:[Revenue]]</f>
        <v>0</v>
      </c>
      <c r="DZ67" s="257" cm="1">
        <f t="array" ref="DZ67">BedPlan[[#This Row],[Harvest Days June 2026]]/SUM(BedPlan[[#This Row],[Harvest Days January 2025]:[Harvest Days December 2026]])*BedPlan[[#This Row],[Revenue]:[Revenue]]</f>
        <v>0</v>
      </c>
      <c r="EA67" s="257" cm="1">
        <f t="array" ref="EA67">BedPlan[[#This Row],[Harvest Days July 2026]]/SUM(BedPlan[[#This Row],[Harvest Days January 2025]:[Harvest Days December 2026]])*BedPlan[[#This Row],[Revenue]:[Revenue]]</f>
        <v>0</v>
      </c>
      <c r="EB67" s="257" cm="1">
        <f t="array" ref="EB67">BedPlan[[#This Row],[Harvest Days August 2026]]/SUM(BedPlan[[#This Row],[Harvest Days January 2025]:[Harvest Days December 2026]])*BedPlan[[#This Row],[Revenue]:[Revenue]]</f>
        <v>0</v>
      </c>
      <c r="EC67" s="257" cm="1">
        <f t="array" ref="EC67">BedPlan[[#This Row],[Harvest Days September 2026]]/SUM(BedPlan[[#This Row],[Harvest Days January 2025]:[Harvest Days December 2026]])*BedPlan[[#This Row],[Revenue]:[Revenue]]</f>
        <v>0</v>
      </c>
      <c r="ED67" s="257" cm="1">
        <f t="array" ref="ED67">BedPlan[[#This Row],[Harvest Days October 2026]]/SUM(BedPlan[[#This Row],[Harvest Days January 2025]:[Harvest Days December 2026]])*BedPlan[[#This Row],[Revenue]:[Revenue]]</f>
        <v>0</v>
      </c>
      <c r="EE67" s="257" cm="1">
        <f t="array" ref="EE67">BedPlan[[#This Row],[Harvest Days November 2026]]/SUM(BedPlan[[#This Row],[Harvest Days January 2025]:[Harvest Days December 2026]])*BedPlan[[#This Row],[Revenue]:[Revenue]]</f>
        <v>0</v>
      </c>
      <c r="EF67" s="257" cm="1">
        <f t="array" ref="EF67">BedPlan[[#This Row],[Harvest Days December 2026]]/SUM(BedPlan[[#This Row],[Harvest Days January 2025]:[Harvest Days December 2026]])*BedPlan[[#This Row],[Revenue]:[Revenue]]</f>
        <v>0</v>
      </c>
      <c r="EG67" t="b">
        <f>SUM(BedPlan[[#This Row],[Revenue January 2025]:[Revenue December 2026]])=BedPlan[[#This Row],[Revenue]]</f>
        <v>1</v>
      </c>
      <c r="EH67" s="30" cm="1">
        <f t="array" ref="EH67">INDEX(Crops[],BedPlan[[#This Row],[Chart Index]],EH$4,1)*BedPlan[[#This Row],['# Of Beds]]</f>
        <v>80</v>
      </c>
      <c r="EI67" s="30" t="str" cm="1">
        <f t="array" ref="EI67">INDEX(Crops[],BedPlan[[#This Row],[Chart Index]],EI$4,1)</f>
        <v>Pint</v>
      </c>
      <c r="EJ67" s="30" t="str" cm="1">
        <f t="array" ref="EJ67">INDEX(Crops[],BedPlan[[#This Row],[Chart Index]],EJ$4,1)</f>
        <v>Mature Berry</v>
      </c>
      <c r="EK67" s="30" t="str">
        <f>BedPlan[[#This Row],[Name]]&amp;" "&amp;BedPlan[[#This Row],[Product]]&amp; " - " &amp;BedPlan[[#This Row],[Unit]]</f>
        <v>Gooseberry Mature Berry - Pint</v>
      </c>
      <c r="EL67" s="33" cm="1">
        <f t="array" ref="EL67">BedPlan[[#This Row],[Harvest Days January 2025]]/SUM(BedPlan[[#This Row],[Harvest Days January 2025]:[Harvest Days December 2026]])*BedPlan[[#This Row],[Yield]:[Yield]]</f>
        <v>0</v>
      </c>
      <c r="EM67" s="33" cm="1">
        <f t="array" ref="EM67">BedPlan[[#This Row],[Harvest Days February 2025]]/SUM(BedPlan[[#This Row],[Harvest Days January 2025]:[Harvest Days December 2026]])*BedPlan[[#This Row],[Yield]:[Yield]]</f>
        <v>0</v>
      </c>
      <c r="EN67" s="33" cm="1">
        <f t="array" ref="EN67">BedPlan[[#This Row],[Harvest Days March 2025]]/SUM(BedPlan[[#This Row],[Harvest Days January 2025]:[Harvest Days December 2026]])*BedPlan[[#This Row],[Yield]:[Yield]]</f>
        <v>0</v>
      </c>
      <c r="EO67" s="33" cm="1">
        <f t="array" ref="EO67">BedPlan[[#This Row],[Harvest Days April 2025]]/SUM(BedPlan[[#This Row],[Harvest Days January 2025]:[Harvest Days December 2026]])*BedPlan[[#This Row],[Yield]:[Yield]]</f>
        <v>0</v>
      </c>
      <c r="EP67" s="33" cm="1">
        <f t="array" ref="EP67">BedPlan[[#This Row],[Harvest Days May 2025]]/SUM(BedPlan[[#This Row],[Harvest Days January 2025]:[Harvest Days December 2026]])*BedPlan[[#This Row],[Yield]:[Yield]]</f>
        <v>0</v>
      </c>
      <c r="EQ67" s="33" cm="1">
        <f t="array" ref="EQ67">BedPlan[[#This Row],[Harvest Days June 2025]]/SUM(BedPlan[[#This Row],[Harvest Days January 2025]:[Harvest Days December 2026]])*BedPlan[[#This Row],[Yield]:[Yield]]</f>
        <v>0</v>
      </c>
      <c r="ER67" s="33" cm="1">
        <f t="array" ref="ER67">BedPlan[[#This Row],[Harvest Days July 2025]]/SUM(BedPlan[[#This Row],[Harvest Days January 2025]:[Harvest Days December 2026]])*BedPlan[[#This Row],[Yield]:[Yield]]</f>
        <v>0</v>
      </c>
      <c r="ES67" s="33" cm="1">
        <f t="array" ref="ES67">BedPlan[[#This Row],[Harvest Days August 2025]]/SUM(BedPlan[[#This Row],[Harvest Days January 2025]:[Harvest Days December 2026]])*BedPlan[[#This Row],[Yield]:[Yield]]</f>
        <v>0</v>
      </c>
      <c r="ET67" s="33" cm="1">
        <f t="array" ref="ET67">BedPlan[[#This Row],[Harvest Days September 2025]]/SUM(BedPlan[[#This Row],[Harvest Days January 2025]:[Harvest Days December 2026]])*BedPlan[[#This Row],[Yield]:[Yield]]</f>
        <v>20.202020202020204</v>
      </c>
      <c r="EU67" s="33" cm="1">
        <f t="array" ref="EU67">BedPlan[[#This Row],[Harvest Days October 2025]]/SUM(BedPlan[[#This Row],[Harvest Days January 2025]:[Harvest Days December 2026]])*BedPlan[[#This Row],[Yield]:[Yield]]</f>
        <v>25.050505050505052</v>
      </c>
      <c r="EV67" s="33" cm="1">
        <f t="array" ref="EV67">BedPlan[[#This Row],[Harvest Days November 2025]]/SUM(BedPlan[[#This Row],[Harvest Days January 2025]:[Harvest Days December 2026]])*BedPlan[[#This Row],[Yield]:[Yield]]</f>
        <v>24.242424242424242</v>
      </c>
      <c r="EW67" s="33" cm="1">
        <f t="array" ref="EW67">BedPlan[[#This Row],[Harvest Days December 2025]]/SUM(BedPlan[[#This Row],[Harvest Days January 2025]:[Harvest Days December 2026]])*BedPlan[[#This Row],[Yield]:[Yield]]</f>
        <v>10.505050505050505</v>
      </c>
    </row>
    <row r="68" spans="1:153" ht="15.75" customHeight="1">
      <c r="A68" s="191" t="s">
        <v>2228</v>
      </c>
      <c r="B68" t="s">
        <v>2646</v>
      </c>
      <c r="C68" t="s">
        <v>1434</v>
      </c>
      <c r="D68" cm="1">
        <f t="array" ref="D68">INDEX(Crops[],BedPlan[[#This Row],[Chart Index]],D$4,1)*BedPlan[[#This Row],[Full Bed Equivalent]]</f>
        <v>66.666666666666657</v>
      </c>
      <c r="E68" cm="1">
        <f t="array" ref="E68">INDEX(Crops[],BedPlan[[#This Row],[Chart Index]],E$4,1)*BedPlan[[#This Row],[Full Bed Equivalent]]</f>
        <v>533.33333333333326</v>
      </c>
      <c r="F68" t="str">
        <f>UPPER(LEFT(BedPlan[[#This Row],[Crop]],3))</f>
        <v>KAL</v>
      </c>
      <c r="H68" s="143" t="str" cm="1">
        <f t="array" ref="H68">INDEX(Crops[],BedPlan[[#This Row],[Chart Index]],H$4,1)</f>
        <v>Kale</v>
      </c>
      <c r="I68" t="s">
        <v>1912</v>
      </c>
      <c r="K68" t="str" cm="1">
        <f t="array" ref="K68">IF(ISNUMBER(MATCH(BedPlan[[#This Row],[Variety]],SeedMixes[Name],)),_xlfn.TEXTJOIN(", ",TRUE,_xlfn._xlws.FILTER(SeedMixes[Variety &amp; Company],SeedMixes[Name]=BedPlan[[#This Row],[Variety]])),"")</f>
        <v>Black Jack F1 High Mowing, Dazzling Blue High Mowing, Red Russian High Mowing</v>
      </c>
      <c r="L68" s="33" cm="1">
        <f t="array" ref="L68">INDEX(Crops[],BedPlan[[#This Row],[Chart Index]],L$4,1)*BedPlan[[#This Row],[Full Bed Equivalent]]</f>
        <v>293.33333333333331</v>
      </c>
      <c r="N68">
        <v>2</v>
      </c>
      <c r="O68">
        <f>MAX(BedPlan[[#This Row],['# Of Beds]],0.5)</f>
        <v>2</v>
      </c>
      <c r="P68" s="31">
        <f>IF(ISNUMBER(BedPlan[[#This Row],[Planned Greenhouse Start Date]]),BedPlan[[#This Row],[Planned Greenhouse Start Date]],BedPlan[[#This Row],[Planned TP or DS Date]])</f>
        <v>45738</v>
      </c>
      <c r="Q68" s="259">
        <f>IF(BedPlan[[#This Row],[Days in Cells]]=0,"",IFERROR(_xlfn.XLOOKUP(BedPlan[[#This Row],[Follows Crop]],BedPlan[Identifier],BedPlan[Expected End of Harvest]) + 1+BedPlan[[#This Row],[Follow Offset]],BedPlan[[#This Row],[Fixed Field Start Date]])-BedPlan[[#This Row],[Days in Cells]])</f>
        <v>45738</v>
      </c>
      <c r="R68" s="259">
        <v>45748</v>
      </c>
      <c r="S68" s="259">
        <f>IF(ISNUMBER(BedPlan[[#This Row],[Actual Greenhouse Date]]),BedPlan[[#This Row],[Actual Greenhouse Date]],BedPlan[[#This Row],[Planned Greenhouse Start Date]])</f>
        <v>45748</v>
      </c>
      <c r="T68" s="259">
        <f>_xlfn.XLOOKUP(BedPlan[[#This Row],[Crop]],Crops[Identifier],Crops[Target Field Date])</f>
        <v>45773</v>
      </c>
      <c r="U68" s="260"/>
      <c r="V68" s="260"/>
      <c r="W6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68" s="259">
        <v>45775</v>
      </c>
      <c r="Y68" s="271">
        <f>BedPlan[[#This Row],[Actual TP or DS Date]]-BedPlan[[#This Row],[Planned TP or DS Date]]</f>
        <v>-8</v>
      </c>
      <c r="Z68" s="259">
        <f>IF(ISNUMBER(BedPlan[[#This Row],[Actual TP or DS Date]]),BedPlan[[#This Row],[Actual TP or DS Date]],BedPlan[[#This Row],[Planned TP or DS Date]])</f>
        <v>45775</v>
      </c>
      <c r="AA68" s="260"/>
      <c r="AB68" s="259">
        <f>IF(ISNUMBER(BedPlan[[#This Row],[Greenhouse Start Date]]),BedPlan[[#This Row],[Greenhouse Start Date]]+BedPlan[[#This Row],[DTM]],BedPlan[[#This Row],[TP or DS Date]]+BedPlan[[#This Row],[DTM]])</f>
        <v>45838</v>
      </c>
      <c r="AC68" s="259"/>
      <c r="AD68" s="259">
        <f>IF(ISNUMBER(BedPlan[[#This Row],[Actual Beginning of Harvest]]),BedPlan[[#This Row],[Actual Beginning of Harvest]],BedPlan[[#This Row],[Expected Beginning of Harvest]])</f>
        <v>45838</v>
      </c>
      <c r="AE68" s="259">
        <f>BedPlan[[#This Row],[Expected Beginning of Harvest]]+BedPlan[[#This Row],[Harvest Window]]+BedPlan[[#This Row],[Additional Days of Harvest]]</f>
        <v>45894</v>
      </c>
      <c r="AF68" s="259"/>
      <c r="AG68" s="259"/>
      <c r="AH68" s="31" t="b">
        <f>IF(AND( BedPlan[[#This Row],[Expected End of Harvest]] &gt;= DATE(2025, 8, 1), BedPlan[[#This Row],[Beginning of Harvest]] &lt;= DATE(2025, 8, 31) ), TRUE, FALSE)</f>
        <v>1</v>
      </c>
      <c r="AI68" s="31"/>
      <c r="AJ68" s="31">
        <f>IF(ISNUMBER(BedPlan[[#This Row],[Actual End of Harvest]]),BedPlan[[#This Row],[Actual End of Harvest]],BedPlan[[#This Row],[Expected End of Harvest]])</f>
        <v>45894</v>
      </c>
      <c r="AK68" t="b">
        <f>OR(ISNUMBER(BedPlan[[#This Row],[Actual Greenhouse Date]]),ISNUMBER(BedPlan[[#This Row],[Actual TP or DS Date]]))</f>
        <v>1</v>
      </c>
      <c r="AL68" s="52" t="b">
        <f>IF(ISNUMBER(BedPlan[[#This Row],[Planned Greenhouse Start Date]]),OR(ISNUMBER(BedPlan[[#This Row],[Actual TP or DS Date]]),BedPlan[[#This Row],[Failed]]),"-")</f>
        <v>1</v>
      </c>
      <c r="AM68" t="b">
        <f>OR(ISNUMBER(BedPlan[[#This Row],[Actual End of Harvest]]),BedPlan[[#This Row],[Failed]])</f>
        <v>0</v>
      </c>
      <c r="AN68" t="b">
        <f>OR(BedPlan[[#This Row],[Harvest Done]],BedPlan[[#This Row],[Failed]],BedPlan[[#This Row],[Name]]="Tarp")</f>
        <v>0</v>
      </c>
      <c r="AO68" t="b">
        <v>1</v>
      </c>
      <c r="AP68" t="b">
        <v>1</v>
      </c>
      <c r="AS68" s="26">
        <f>IF(BedPlan[[#This Row],[Broadfork]],BedPlan[[#This Row],[Actual TP or DS Date]],"")</f>
        <v>45775</v>
      </c>
      <c r="AT68" s="26">
        <f>IF(BedPlan[[#This Row],[Tilther]],BedPlan[[#This Row],[Actual TP or DS Date]],"")</f>
        <v>45775</v>
      </c>
      <c r="AU68" s="26" t="str">
        <f>IF(NOT(ISBLANK(BedPlan[[#This Row],[Amend]])),BedPlan[[#This Row],[Actual TP or DS Date]],"")</f>
        <v/>
      </c>
      <c r="AV68" s="26" t="str">
        <f>IF(BedPlan[[#This Row],[Row Cover]],BedPlan[[#This Row],[Actual TP or DS Date]],"")</f>
        <v/>
      </c>
      <c r="AW68" t="s">
        <v>3227</v>
      </c>
      <c r="AX68" s="26">
        <v>45809</v>
      </c>
      <c r="AZ68" s="26"/>
      <c r="BB68" s="26"/>
      <c r="BC68" s="231" cm="1">
        <f t="array" ref="BC68">INDEX(Crops[],BedPlan[[#This Row],[Chart Index]],BC$4,1)*BedPlan[[#This Row],[Full Bed Equivalent]]</f>
        <v>1599.9999999999998</v>
      </c>
      <c r="BD68" s="231" cm="1">
        <f t="array" ref="BD68">INDEX(Crops[],BedPlan[[#This Row],[Chart Index]],BD$4,1)*BedPlan[[#This Row],[Full Bed Equivalent]]</f>
        <v>14.414414414414413</v>
      </c>
      <c r="BE68" cm="1">
        <f t="array" ref="BE68">INDEX(Crops[],BedPlan[[#This Row],[Chart Index]],BE$4,1)+BedPlan[[#This Row],[Additional Days in Cells]]+BedPlan[[#This Row],[Additional Days In Field]]</f>
        <v>90</v>
      </c>
      <c r="BG68" cm="1">
        <f t="array" ref="BG68">INDEX(Crops[],BedPlan[[#This Row],[Chart Index]],BG$4,1)</f>
        <v>56</v>
      </c>
      <c r="BH68" t="str">
        <f>IF(ISNUMBER(BedPlan[[#This Row],[Planned Greenhouse Start Date]]),"TP","DS")</f>
        <v>TP</v>
      </c>
      <c r="BI68">
        <f>BedPlan[[#This Row],['# Of Beds]]</f>
        <v>2</v>
      </c>
      <c r="BJ68" cm="1">
        <f t="array" ref="BJ68">INDEX(Crops[],BedPlan[[#This Row],[Chart Index]],BJ$4,1)</f>
        <v>35</v>
      </c>
      <c r="BK68" cm="1">
        <f t="array" ref="BK68">INDEX(Crops[],BedPlan[[#This Row],[Chart Index]],BK$4,1)</f>
        <v>2</v>
      </c>
      <c r="BL68" cm="1">
        <f t="array" ref="BL68">INDEX(Crops[],BedPlan[[#This Row],[Chart Index]],BL$4,1)</f>
        <v>18</v>
      </c>
      <c r="BM68" cm="1">
        <f t="array" ref="BM68">INDEX(Crops[],BedPlan[[#This Row],[Chart Index]],BM$4,1)</f>
        <v>2</v>
      </c>
      <c r="BN68" s="32" cm="1">
        <f t="array" ref="BN68">INDEX(Crops[],BedPlan[[#This Row],[Chart Index]],BN$4,1)*BedPlan[[#This Row],[Full Bed Equivalent]]</f>
        <v>133.33333333333331</v>
      </c>
      <c r="BO68" t="str" cm="1">
        <f t="array" ref="BO68">IF(INDEX(Crops[],BedPlan[[#This Row],[Chart Index]],BO$4,1)=0,"",INDEX(Crops[],BedPlan[[#This Row],[Chart Index]],BO$4,1))</f>
        <v/>
      </c>
      <c r="BP68">
        <f>MATCH(BedPlan[[#This Row],[Crop]],Crops[Identifier],FALSE)</f>
        <v>155</v>
      </c>
      <c r="BQ68" t="str" cm="1">
        <f t="array" ref="BQ68">INDEX(Crops[],BedPlan[[#This Row],[Chart Index]],BQ$4,1)</f>
        <v>General</v>
      </c>
      <c r="BR68" t="str" cm="1">
        <f t="array" ref="BR68">INDEX(Crops[],BedPlan[[#This Row],[Chart Index]],BR$4,1)</f>
        <v>Sp</v>
      </c>
      <c r="BS68" s="32">
        <f>BedPlan[[#This Row],[Expected Beginning of Harvest]]-DATE(2023,1,1)</f>
        <v>911</v>
      </c>
      <c r="BT68">
        <f>BedPlan[[#This Row],[Expected End of Harvest]]-BedPlan[[#This Row],[Expected Beginning of Harvest]]</f>
        <v>56</v>
      </c>
      <c r="BU68" t="str" cm="1">
        <f t="array" ref="BU68">INDEX(Crops[],BedPlan[[#This Row],[Chart Index]],BU$4,1)</f>
        <v>Brassica</v>
      </c>
      <c r="BV68" cm="1">
        <f t="array" ref="BV68">INDEX(Crops[],BedPlan[[#This Row],[Chart Index]],BV$4,1)</f>
        <v>3</v>
      </c>
      <c r="BW68" t="str" cm="1">
        <f t="array" ref="BW68">INDEX(Crops[],BedPlan[[#This Row],[Chart Index]],BW$4,1)</f>
        <v>AMAP</v>
      </c>
      <c r="BX68" cm="1">
        <f t="array" ref="BX68">INDEX(Crops[],BedPlan[[#This Row],[Chart Index]],BX$4,1)</f>
        <v>72</v>
      </c>
      <c r="BY68" cm="1">
        <f t="array" ref="BY68">INDEX(Crops[],BedPlan[[#This Row],[Chart Index]],BY$4,1)</f>
        <v>35</v>
      </c>
      <c r="BZ68" s="49" cm="1">
        <f t="array" ref="BZ68">IFERROR(INDEX(Crops[],BedPlan[[#This Row],[Chart Index]],BZ$4,1)*BedPlan[[#This Row],[Full Bed Equivalent]],"")</f>
        <v>2.0370370370370368</v>
      </c>
      <c r="CA68" cm="1">
        <f t="array" ref="CA68">INDEX(Crops[],BedPlan[[#This Row],[Chart Index]],CA$4,1)</f>
        <v>0</v>
      </c>
      <c r="CB68" cm="1">
        <f t="array" ref="CB68">INDEX(Crops[],BedPlan[[#This Row],[Chart Index]],CB$4,1)</f>
        <v>0</v>
      </c>
      <c r="CC68" s="49" t="str" cm="1">
        <f t="array" ref="CC68">IFERROR(INDEX(Crops[],BedPlan[[#This Row],[Chart Index]],CC$4,1)*BedPlan[[#This Row],[Full Bed Equivalent]],"")</f>
        <v/>
      </c>
      <c r="CD68" cm="1">
        <f t="array" ref="CD68">INDEX(Crops[],BedPlan[[#This Row],[Chart Index]],CD$4,1)</f>
        <v>0</v>
      </c>
      <c r="CE68" cm="1">
        <f t="array" ref="CE68">IF(INDEX(Crops[],BedPlan[[#This Row],[Chart Index]],CE$4,1)="",0,INDEX(Crops[],BedPlan[[#This Row],[Chart Index]],CE$4,1))</f>
        <v>0</v>
      </c>
      <c r="CF68" s="49" t="str" cm="1">
        <f t="array" ref="CF68">IFERROR(INDEX(Crops[],BedPlan[[#This Row],[Chart Index]],CF$4,1)*BedPlan[[#This Row],[Full Bed Equivalent]],"")</f>
        <v/>
      </c>
      <c r="CG68" cm="1">
        <f t="array" ref="CG68">IF(INDEX(Crops[],BedPlan[[#This Row],[Chart Index]],CG$4,1)="",0,INDEX(Crops[],BedPlan[[#This Row],[Chart Index]],CG$4,1))</f>
        <v>1.1000000000000001</v>
      </c>
      <c r="CH68" cm="1">
        <f t="array" ref="CH68">IF(INDEX(Crops[],BedPlan[[#This Row],[Chart Index]],CH$4,1)="",0,INDEX(Crops[],BedPlan[[#This Row],[Chart Index]],CH$4,1))</f>
        <v>0</v>
      </c>
      <c r="CI68" t="str" cm="1">
        <f t="array" ref="CI68">INDEX(Crops[],BedPlan[[#This Row],[Chart Index]],CI$4,1)</f>
        <v>Field</v>
      </c>
      <c r="CJ68" s="30" t="str">
        <f>_xlfn.TEXTJOIN(CHAR(10),FALSE,BedPlan[[#This Row],[Name]],BedPlan[[#This Row],[Variety]],BedPlan[[#This Row],[Company]])</f>
        <v xml:space="preserve">Kale
Warm Kale Mix
</v>
      </c>
      <c r="CK68" s="32">
        <f>MAX( 0, MIN(BedPlan[[#This Row],[Expected End of Harvest]], EOMONTH(CK$4, 0)) - MAX(BedPlan[[#This Row],[Beginning of Harvest]], CK$4) + 1 )</f>
        <v>0</v>
      </c>
      <c r="CL68">
        <f>MAX( 0, MIN(BedPlan[[#This Row],[Expected End of Harvest]], EOMONTH(CL$4, 0)) - MAX(BedPlan[[#This Row],[Beginning of Harvest]], CL$4) + 1 )</f>
        <v>0</v>
      </c>
      <c r="CM68">
        <f>MAX( 0, MIN(BedPlan[[#This Row],[Expected End of Harvest]], EOMONTH(CM$4, 0)) - MAX(BedPlan[[#This Row],[Beginning of Harvest]], CM$4) + 1 )</f>
        <v>0</v>
      </c>
      <c r="CN68">
        <f>MAX( 0, MIN(BedPlan[[#This Row],[Expected End of Harvest]], EOMONTH(CN$4, 0)) - MAX(BedPlan[[#This Row],[Beginning of Harvest]], CN$4) + 1 )</f>
        <v>0</v>
      </c>
      <c r="CO68">
        <f>MAX( 0, MIN(BedPlan[[#This Row],[Expected End of Harvest]], EOMONTH(CO$4, 0)) - MAX(BedPlan[[#This Row],[Beginning of Harvest]], CO$4) + 1 )</f>
        <v>0</v>
      </c>
      <c r="CP68">
        <f>MAX( 0, MIN(BedPlan[[#This Row],[Expected End of Harvest]], EOMONTH(CP$4, 0)) - MAX(BedPlan[[#This Row],[Beginning of Harvest]], CP$4) + 1 )</f>
        <v>1</v>
      </c>
      <c r="CQ68">
        <f>MAX( 0, MIN(BedPlan[[#This Row],[Expected End of Harvest]], EOMONTH(CQ$4, 0)) - MAX(BedPlan[[#This Row],[Beginning of Harvest]], CQ$4) + 1 )</f>
        <v>31</v>
      </c>
      <c r="CR68">
        <f>MAX( 0, MIN(BedPlan[[#This Row],[Expected End of Harvest]], EOMONTH(CR$4, 0)) - MAX(BedPlan[[#This Row],[Beginning of Harvest]], CR$4) + 1 )</f>
        <v>25</v>
      </c>
      <c r="CS68">
        <f>MAX( 0, MIN(BedPlan[[#This Row],[Expected End of Harvest]], EOMONTH(CS$4, 0)) - MAX(BedPlan[[#This Row],[Beginning of Harvest]], CS$4) + 1 )</f>
        <v>0</v>
      </c>
      <c r="CT68">
        <f>MAX( 0, MIN(BedPlan[[#This Row],[Expected End of Harvest]], EOMONTH(CT$4, 0)) - MAX(BedPlan[[#This Row],[Beginning of Harvest]], CT$4) + 1 )</f>
        <v>0</v>
      </c>
      <c r="CU68">
        <f>MAX( 0, MIN(BedPlan[[#This Row],[Expected End of Harvest]], EOMONTH(CU$4, 0)) - MAX(BedPlan[[#This Row],[Beginning of Harvest]], CU$4) + 1 )</f>
        <v>0</v>
      </c>
      <c r="CV68">
        <f>MAX( 0, MIN(BedPlan[[#This Row],[Expected End of Harvest]], EOMONTH(CV$4, 0)) - MAX(BedPlan[[#This Row],[Beginning of Harvest]], CV$4) + 1 )</f>
        <v>0</v>
      </c>
      <c r="CW68">
        <f>MAX( 0, MIN(BedPlan[[#This Row],[Expected End of Harvest]], EOMONTH(CW$4, 0)) - MAX(BedPlan[[#This Row],[Beginning of Harvest]], CW$4) + 1 )</f>
        <v>0</v>
      </c>
      <c r="CX68">
        <f>MAX( 0, MIN(BedPlan[[#This Row],[Expected End of Harvest]], EOMONTH(CX$4, 0)) - MAX(BedPlan[[#This Row],[Beginning of Harvest]], CX$4) + 1 )</f>
        <v>0</v>
      </c>
      <c r="CY68">
        <f>MAX( 0, MIN(BedPlan[[#This Row],[Expected End of Harvest]], EOMONTH(CY$4, 0)) - MAX(BedPlan[[#This Row],[Beginning of Harvest]], CY$4) + 1 )</f>
        <v>0</v>
      </c>
      <c r="CZ68">
        <f>MAX( 0, MIN(BedPlan[[#This Row],[Expected End of Harvest]], EOMONTH(CZ$4, 0)) - MAX(BedPlan[[#This Row],[Beginning of Harvest]], CZ$4) + 1 )</f>
        <v>0</v>
      </c>
      <c r="DA68">
        <f>MAX( 0, MIN(BedPlan[[#This Row],[Expected End of Harvest]], EOMONTH(DA$4, 0)) - MAX(BedPlan[[#This Row],[Beginning of Harvest]], DA$4) + 1 )</f>
        <v>0</v>
      </c>
      <c r="DB68">
        <f>MAX( 0, MIN(BedPlan[[#This Row],[Expected End of Harvest]], EOMONTH(DB$4, 0)) - MAX(BedPlan[[#This Row],[Beginning of Harvest]], DB$4) + 1 )</f>
        <v>0</v>
      </c>
      <c r="DC68">
        <f>MAX( 0, MIN(BedPlan[[#This Row],[Expected End of Harvest]], EOMONTH(DC$4, 0)) - MAX(BedPlan[[#This Row],[Beginning of Harvest]], DC$4) + 1 )</f>
        <v>0</v>
      </c>
      <c r="DD68">
        <f>MAX( 0, MIN(BedPlan[[#This Row],[Expected End of Harvest]], EOMONTH(DD$4, 0)) - MAX(BedPlan[[#This Row],[Beginning of Harvest]], DD$4) + 1 )</f>
        <v>0</v>
      </c>
      <c r="DE68">
        <f>MAX( 0, MIN(BedPlan[[#This Row],[Expected End of Harvest]], EOMONTH(DE$4, 0)) - MAX(BedPlan[[#This Row],[Beginning of Harvest]], DE$4) + 1 )</f>
        <v>0</v>
      </c>
      <c r="DF68">
        <f>MAX( 0, MIN(BedPlan[[#This Row],[Expected End of Harvest]], EOMONTH(DF$4, 0)) - MAX(BedPlan[[#This Row],[Beginning of Harvest]], DF$4) + 1 )</f>
        <v>0</v>
      </c>
      <c r="DG68">
        <f>MAX( 0, MIN(BedPlan[[#This Row],[Expected End of Harvest]], EOMONTH(DG$4, 0)) - MAX(BedPlan[[#This Row],[Beginning of Harvest]], DG$4) + 1 )</f>
        <v>0</v>
      </c>
      <c r="DH68">
        <f>MAX( 0, MIN(BedPlan[[#This Row],[Expected End of Harvest]], EOMONTH(DH$4, 0)) - MAX(BedPlan[[#This Row],[Beginning of Harvest]], DH$4) + 1 )</f>
        <v>0</v>
      </c>
      <c r="DI68" s="257" cm="1">
        <f t="array" ref="DI68">BedPlan[[#This Row],[Harvest Days January 2025]]/SUM(BedPlan[[#This Row],[Harvest Days January 2025]:[Harvest Days December 2026]])*BedPlan[[#This Row],[Revenue]:[Revenue]]</f>
        <v>0</v>
      </c>
      <c r="DJ68" s="257" cm="1">
        <f t="array" ref="DJ68">BedPlan[[#This Row],[Harvest Days February 2025]]/SUM(BedPlan[[#This Row],[Harvest Days January 2025]:[Harvest Days December 2026]])*BedPlan[[#This Row],[Revenue]:[Revenue]]</f>
        <v>0</v>
      </c>
      <c r="DK68" s="257" cm="1">
        <f t="array" ref="DK68">BedPlan[[#This Row],[Harvest Days March 2025]]/SUM(BedPlan[[#This Row],[Harvest Days January 2025]:[Harvest Days December 2026]])*BedPlan[[#This Row],[Revenue]:[Revenue]]</f>
        <v>0</v>
      </c>
      <c r="DL68" s="257" cm="1">
        <f t="array" ref="DL68">BedPlan[[#This Row],[Harvest Days April 2025]]/SUM(BedPlan[[#This Row],[Harvest Days January 2025]:[Harvest Days December 2026]])*BedPlan[[#This Row],[Revenue]:[Revenue]]</f>
        <v>0</v>
      </c>
      <c r="DM68" s="257" cm="1">
        <f t="array" ref="DM68">BedPlan[[#This Row],[Harvest Days May 2025]]/SUM(BedPlan[[#This Row],[Harvest Days January 2025]:[Harvest Days December 2026]])*BedPlan[[#This Row],[Revenue]:[Revenue]]</f>
        <v>0</v>
      </c>
      <c r="DN68" s="257" cm="1">
        <f t="array" ref="DN68">BedPlan[[#This Row],[Harvest Days June 2025]]/SUM(BedPlan[[#This Row],[Harvest Days January 2025]:[Harvest Days December 2026]])*BedPlan[[#This Row],[Revenue]:[Revenue]]</f>
        <v>28.070175438596486</v>
      </c>
      <c r="DO68" s="257" cm="1">
        <f t="array" ref="DO68">BedPlan[[#This Row],[Harvest Days July 2025]]/SUM(BedPlan[[#This Row],[Harvest Days January 2025]:[Harvest Days December 2026]])*BedPlan[[#This Row],[Revenue]:[Revenue]]</f>
        <v>870.17543859649118</v>
      </c>
      <c r="DP68" s="257" cm="1">
        <f t="array" ref="DP68">BedPlan[[#This Row],[Harvest Days August 2025]]/SUM(BedPlan[[#This Row],[Harvest Days January 2025]:[Harvest Days December 2026]])*BedPlan[[#This Row],[Revenue]:[Revenue]]</f>
        <v>701.7543859649121</v>
      </c>
      <c r="DQ68" s="257" cm="1">
        <f t="array" ref="DQ68">BedPlan[[#This Row],[Harvest Days September 2025]]/SUM(BedPlan[[#This Row],[Harvest Days January 2025]:[Harvest Days December 2026]])*BedPlan[[#This Row],[Revenue]:[Revenue]]</f>
        <v>0</v>
      </c>
      <c r="DR68" s="257" cm="1">
        <f t="array" ref="DR68">BedPlan[[#This Row],[Harvest Days October 2025]]/SUM(BedPlan[[#This Row],[Harvest Days January 2025]:[Harvest Days December 2026]])*BedPlan[[#This Row],[Revenue]:[Revenue]]</f>
        <v>0</v>
      </c>
      <c r="DS68" s="257" cm="1">
        <f t="array" ref="DS68">BedPlan[[#This Row],[Harvest Days November 2025]]/SUM(BedPlan[[#This Row],[Harvest Days January 2025]:[Harvest Days December 2026]])*BedPlan[[#This Row],[Revenue]:[Revenue]]</f>
        <v>0</v>
      </c>
      <c r="DT68" s="257" cm="1">
        <f t="array" ref="DT68">BedPlan[[#This Row],[Harvest Days December 2025]]/SUM(BedPlan[[#This Row],[Harvest Days January 2025]:[Harvest Days December 2026]])*BedPlan[[#This Row],[Revenue]:[Revenue]]</f>
        <v>0</v>
      </c>
      <c r="DU68" s="257" cm="1">
        <f t="array" ref="DU68">BedPlan[[#This Row],[Harvest Days January 2026]]/SUM(BedPlan[[#This Row],[Harvest Days January 2025]:[Harvest Days December 2026]])*BedPlan[[#This Row],[Revenue]:[Revenue]]</f>
        <v>0</v>
      </c>
      <c r="DV68" s="257" cm="1">
        <f t="array" ref="DV68">BedPlan[[#This Row],[Harvest Days February 2026]]/SUM(BedPlan[[#This Row],[Harvest Days January 2025]:[Harvest Days December 2026]])*BedPlan[[#This Row],[Revenue]:[Revenue]]</f>
        <v>0</v>
      </c>
      <c r="DW68" s="257" cm="1">
        <f t="array" ref="DW68">BedPlan[[#This Row],[Harvest Days March 2026]]/SUM(BedPlan[[#This Row],[Harvest Days January 2025]:[Harvest Days December 2026]])*BedPlan[[#This Row],[Revenue]:[Revenue]]</f>
        <v>0</v>
      </c>
      <c r="DX68" s="257" cm="1">
        <f t="array" ref="DX68">BedPlan[[#This Row],[Harvest Days April 2026]]/SUM(BedPlan[[#This Row],[Harvest Days January 2025]:[Harvest Days December 2026]])*BedPlan[[#This Row],[Revenue]:[Revenue]]</f>
        <v>0</v>
      </c>
      <c r="DY68" s="257" cm="1">
        <f t="array" ref="DY68">BedPlan[[#This Row],[Harvest Days May 2026]]/SUM(BedPlan[[#This Row],[Harvest Days January 2025]:[Harvest Days December 2026]])*BedPlan[[#This Row],[Revenue]:[Revenue]]</f>
        <v>0</v>
      </c>
      <c r="DZ68" s="257" cm="1">
        <f t="array" ref="DZ68">BedPlan[[#This Row],[Harvest Days June 2026]]/SUM(BedPlan[[#This Row],[Harvest Days January 2025]:[Harvest Days December 2026]])*BedPlan[[#This Row],[Revenue]:[Revenue]]</f>
        <v>0</v>
      </c>
      <c r="EA68" s="257" cm="1">
        <f t="array" ref="EA68">BedPlan[[#This Row],[Harvest Days July 2026]]/SUM(BedPlan[[#This Row],[Harvest Days January 2025]:[Harvest Days December 2026]])*BedPlan[[#This Row],[Revenue]:[Revenue]]</f>
        <v>0</v>
      </c>
      <c r="EB68" s="257" cm="1">
        <f t="array" ref="EB68">BedPlan[[#This Row],[Harvest Days August 2026]]/SUM(BedPlan[[#This Row],[Harvest Days January 2025]:[Harvest Days December 2026]])*BedPlan[[#This Row],[Revenue]:[Revenue]]</f>
        <v>0</v>
      </c>
      <c r="EC68" s="257" cm="1">
        <f t="array" ref="EC68">BedPlan[[#This Row],[Harvest Days September 2026]]/SUM(BedPlan[[#This Row],[Harvest Days January 2025]:[Harvest Days December 2026]])*BedPlan[[#This Row],[Revenue]:[Revenue]]</f>
        <v>0</v>
      </c>
      <c r="ED68" s="257" cm="1">
        <f t="array" ref="ED68">BedPlan[[#This Row],[Harvest Days October 2026]]/SUM(BedPlan[[#This Row],[Harvest Days January 2025]:[Harvest Days December 2026]])*BedPlan[[#This Row],[Revenue]:[Revenue]]</f>
        <v>0</v>
      </c>
      <c r="EE68" s="257" cm="1">
        <f t="array" ref="EE68">BedPlan[[#This Row],[Harvest Days November 2026]]/SUM(BedPlan[[#This Row],[Harvest Days January 2025]:[Harvest Days December 2026]])*BedPlan[[#This Row],[Revenue]:[Revenue]]</f>
        <v>0</v>
      </c>
      <c r="EF68" s="257" cm="1">
        <f t="array" ref="EF68">BedPlan[[#This Row],[Harvest Days December 2026]]/SUM(BedPlan[[#This Row],[Harvest Days January 2025]:[Harvest Days December 2026]])*BedPlan[[#This Row],[Revenue]:[Revenue]]</f>
        <v>0</v>
      </c>
      <c r="EG68" t="b">
        <f>SUM(BedPlan[[#This Row],[Revenue January 2025]:[Revenue December 2026]])=BedPlan[[#This Row],[Revenue]]</f>
        <v>1</v>
      </c>
      <c r="EH68" s="30" cm="1">
        <f t="array" ref="EH68">INDEX(Crops[],BedPlan[[#This Row],[Chart Index]],EH$4,1)*BedPlan[[#This Row],['# Of Beds]]</f>
        <v>533.33333333333326</v>
      </c>
      <c r="EI68" s="30" t="str" cm="1">
        <f t="array" ref="EI68">INDEX(Crops[],BedPlan[[#This Row],[Chart Index]],EI$4,1)</f>
        <v>Bunch</v>
      </c>
      <c r="EJ68" s="30" t="str" cm="1">
        <f t="array" ref="EJ68">INDEX(Crops[],BedPlan[[#This Row],[Chart Index]],EJ$4,1)</f>
        <v>Mature Leaf</v>
      </c>
      <c r="EK68" s="30" t="str">
        <f>BedPlan[[#This Row],[Name]]&amp;" "&amp;BedPlan[[#This Row],[Product]]&amp; " - " &amp;BedPlan[[#This Row],[Unit]]</f>
        <v>Kale Mature Leaf - Bunch</v>
      </c>
      <c r="EL68" s="33" cm="1">
        <f t="array" ref="EL68">BedPlan[[#This Row],[Harvest Days January 2025]]/SUM(BedPlan[[#This Row],[Harvest Days January 2025]:[Harvest Days December 2026]])*BedPlan[[#This Row],[Yield]:[Yield]]</f>
        <v>0</v>
      </c>
      <c r="EM68" s="33" cm="1">
        <f t="array" ref="EM68">BedPlan[[#This Row],[Harvest Days February 2025]]/SUM(BedPlan[[#This Row],[Harvest Days January 2025]:[Harvest Days December 2026]])*BedPlan[[#This Row],[Yield]:[Yield]]</f>
        <v>0</v>
      </c>
      <c r="EN68" s="33" cm="1">
        <f t="array" ref="EN68">BedPlan[[#This Row],[Harvest Days March 2025]]/SUM(BedPlan[[#This Row],[Harvest Days January 2025]:[Harvest Days December 2026]])*BedPlan[[#This Row],[Yield]:[Yield]]</f>
        <v>0</v>
      </c>
      <c r="EO68" s="33" cm="1">
        <f t="array" ref="EO68">BedPlan[[#This Row],[Harvest Days April 2025]]/SUM(BedPlan[[#This Row],[Harvest Days January 2025]:[Harvest Days December 2026]])*BedPlan[[#This Row],[Yield]:[Yield]]</f>
        <v>0</v>
      </c>
      <c r="EP68" s="33" cm="1">
        <f t="array" ref="EP68">BedPlan[[#This Row],[Harvest Days May 2025]]/SUM(BedPlan[[#This Row],[Harvest Days January 2025]:[Harvest Days December 2026]])*BedPlan[[#This Row],[Yield]:[Yield]]</f>
        <v>0</v>
      </c>
      <c r="EQ68" s="33" cm="1">
        <f t="array" ref="EQ68">BedPlan[[#This Row],[Harvest Days June 2025]]/SUM(BedPlan[[#This Row],[Harvest Days January 2025]:[Harvest Days December 2026]])*BedPlan[[#This Row],[Yield]:[Yield]]</f>
        <v>9.3567251461988281</v>
      </c>
      <c r="ER68" s="33" cm="1">
        <f t="array" ref="ER68">BedPlan[[#This Row],[Harvest Days July 2025]]/SUM(BedPlan[[#This Row],[Harvest Days January 2025]:[Harvest Days December 2026]])*BedPlan[[#This Row],[Yield]:[Yield]]</f>
        <v>290.05847953216369</v>
      </c>
      <c r="ES68" s="33" cm="1">
        <f t="array" ref="ES68">BedPlan[[#This Row],[Harvest Days August 2025]]/SUM(BedPlan[[#This Row],[Harvest Days January 2025]:[Harvest Days December 2026]])*BedPlan[[#This Row],[Yield]:[Yield]]</f>
        <v>233.9181286549707</v>
      </c>
      <c r="ET68" s="33" cm="1">
        <f t="array" ref="ET68">BedPlan[[#This Row],[Harvest Days September 2025]]/SUM(BedPlan[[#This Row],[Harvest Days January 2025]:[Harvest Days December 2026]])*BedPlan[[#This Row],[Yield]:[Yield]]</f>
        <v>0</v>
      </c>
      <c r="EU68" s="33" cm="1">
        <f t="array" ref="EU68">BedPlan[[#This Row],[Harvest Days October 2025]]/SUM(BedPlan[[#This Row],[Harvest Days January 2025]:[Harvest Days December 2026]])*BedPlan[[#This Row],[Yield]:[Yield]]</f>
        <v>0</v>
      </c>
      <c r="EV68" s="33" cm="1">
        <f t="array" ref="EV68">BedPlan[[#This Row],[Harvest Days November 2025]]/SUM(BedPlan[[#This Row],[Harvest Days January 2025]:[Harvest Days December 2026]])*BedPlan[[#This Row],[Yield]:[Yield]]</f>
        <v>0</v>
      </c>
      <c r="EW68" s="33" cm="1">
        <f t="array" ref="EW68">BedPlan[[#This Row],[Harvest Days December 2025]]/SUM(BedPlan[[#This Row],[Harvest Days January 2025]:[Harvest Days December 2026]])*BedPlan[[#This Row],[Yield]:[Yield]]</f>
        <v>0</v>
      </c>
    </row>
    <row r="69" spans="1:153" ht="15.75" customHeight="1">
      <c r="A69" s="191" t="s">
        <v>1916</v>
      </c>
      <c r="B69" t="s">
        <v>2647</v>
      </c>
      <c r="C69" t="s">
        <v>1424</v>
      </c>
      <c r="D69" cm="1">
        <f t="array" ref="D69">INDEX(Crops[],BedPlan[[#This Row],[Chart Index]],D$4,1)*BedPlan[[#This Row],[Full Bed Equivalent]]</f>
        <v>150</v>
      </c>
      <c r="E69" cm="1">
        <f t="array" ref="E69">INDEX(Crops[],BedPlan[[#This Row],[Chart Index]],E$4,1)*BedPlan[[#This Row],[Full Bed Equivalent]]</f>
        <v>300</v>
      </c>
      <c r="F69" t="str">
        <f>UPPER(LEFT(BedPlan[[#This Row],[Crop]],3))</f>
        <v>KOH</v>
      </c>
      <c r="H69" s="143" t="str" cm="1">
        <f t="array" ref="H69">INDEX(Crops[],BedPlan[[#This Row],[Chart Index]],H$4,1)</f>
        <v>Kohlrabi</v>
      </c>
      <c r="I69" t="s">
        <v>1918</v>
      </c>
      <c r="K69" t="str" cm="1">
        <f t="array" ref="K69">IF(ISNUMBER(MATCH(BedPlan[[#This Row],[Variety]],SeedMixes[Name],)),_xlfn.TEXTJOIN(", ",TRUE,_xlfn._xlws.FILTER(SeedMixes[Variety &amp; Company],SeedMixes[Name]=BedPlan[[#This Row],[Variety]])),"")</f>
        <v>Kolibri F1 Johnny's, Konan F1 Johnny's</v>
      </c>
      <c r="L69" s="33" cm="1">
        <f t="array" ref="L69">INDEX(Crops[],BedPlan[[#This Row],[Chart Index]],L$4,1)*BedPlan[[#This Row],[Full Bed Equivalent]]</f>
        <v>390</v>
      </c>
      <c r="N69">
        <f>1</f>
        <v>1</v>
      </c>
      <c r="O69">
        <f>MAX(BedPlan[[#This Row],['# Of Beds]],0.5)</f>
        <v>1</v>
      </c>
      <c r="P69" s="31">
        <f>IF(ISNUMBER(BedPlan[[#This Row],[Planned Greenhouse Start Date]]),BedPlan[[#This Row],[Planned Greenhouse Start Date]],BedPlan[[#This Row],[Planned TP or DS Date]])</f>
        <v>45823</v>
      </c>
      <c r="Q69" s="259">
        <f>IF(BedPlan[[#This Row],[Days in Cells]]=0,"",IFERROR(_xlfn.XLOOKUP(BedPlan[[#This Row],[Follows Crop]],BedPlan[Identifier],BedPlan[Expected End of Harvest]) + 1+BedPlan[[#This Row],[Follow Offset]],BedPlan[[#This Row],[Fixed Field Start Date]])-BedPlan[[#This Row],[Days in Cells]])</f>
        <v>45823</v>
      </c>
      <c r="R69" s="259">
        <v>45841</v>
      </c>
      <c r="S69" s="259">
        <f>IF(ISNUMBER(BedPlan[[#This Row],[Actual Greenhouse Date]]),BedPlan[[#This Row],[Actual Greenhouse Date]],BedPlan[[#This Row],[Planned Greenhouse Start Date]])</f>
        <v>45841</v>
      </c>
      <c r="T69" s="259">
        <f>_xlfn.XLOOKUP(BedPlan[[#This Row],[Crop]],Crops[Identifier],Crops[Target Field Date])</f>
        <v>45848</v>
      </c>
      <c r="U69" s="260"/>
      <c r="V69" s="260"/>
      <c r="W6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45866</v>
      </c>
      <c r="X69" s="259"/>
      <c r="Y69" s="271">
        <f>BedPlan[[#This Row],[Actual TP or DS Date]]-BedPlan[[#This Row],[Planned TP or DS Date]]</f>
        <v>-45866</v>
      </c>
      <c r="Z69" s="259">
        <f>IF(ISNUMBER(BedPlan[[#This Row],[Actual TP or DS Date]]),BedPlan[[#This Row],[Actual TP or DS Date]],BedPlan[[#This Row],[Planned TP or DS Date]])</f>
        <v>45866</v>
      </c>
      <c r="AA69" s="260"/>
      <c r="AB69" s="259">
        <f>IF(ISNUMBER(BedPlan[[#This Row],[Greenhouse Start Date]]),BedPlan[[#This Row],[Greenhouse Start Date]]+BedPlan[[#This Row],[DTM]],BedPlan[[#This Row],[TP or DS Date]]+BedPlan[[#This Row],[DTM]])</f>
        <v>45914</v>
      </c>
      <c r="AC69" s="259"/>
      <c r="AD69" s="259">
        <f>IF(ISNUMBER(BedPlan[[#This Row],[Actual Beginning of Harvest]]),BedPlan[[#This Row],[Actual Beginning of Harvest]],BedPlan[[#This Row],[Expected Beginning of Harvest]])</f>
        <v>45914</v>
      </c>
      <c r="AE69" s="259">
        <f>BedPlan[[#This Row],[Expected Beginning of Harvest]]+BedPlan[[#This Row],[Harvest Window]]+BedPlan[[#This Row],[Additional Days of Harvest]]</f>
        <v>45928</v>
      </c>
      <c r="AF69" s="259"/>
      <c r="AG69" s="259"/>
      <c r="AH69" s="31" t="b">
        <f>IF(AND( BedPlan[[#This Row],[Expected End of Harvest]] &gt;= DATE(2025, 8, 1), BedPlan[[#This Row],[Beginning of Harvest]] &lt;= DATE(2025, 8, 31) ), TRUE, FALSE)</f>
        <v>0</v>
      </c>
      <c r="AI69" s="31"/>
      <c r="AJ69" s="31">
        <f>IF(ISNUMBER(BedPlan[[#This Row],[Actual End of Harvest]]),BedPlan[[#This Row],[Actual End of Harvest]],BedPlan[[#This Row],[Expected End of Harvest]])</f>
        <v>45928</v>
      </c>
      <c r="AK69" t="b">
        <f>OR(ISNUMBER(BedPlan[[#This Row],[Actual Greenhouse Date]]),ISNUMBER(BedPlan[[#This Row],[Actual TP or DS Date]]))</f>
        <v>1</v>
      </c>
      <c r="AL69" s="52" t="b">
        <f>IF(ISNUMBER(BedPlan[[#This Row],[Planned Greenhouse Start Date]]),OR(ISNUMBER(BedPlan[[#This Row],[Actual TP or DS Date]]),BedPlan[[#This Row],[Failed]]),"-")</f>
        <v>0</v>
      </c>
      <c r="AM69" t="b">
        <f>OR(ISNUMBER(BedPlan[[#This Row],[Actual End of Harvest]]),BedPlan[[#This Row],[Failed]])</f>
        <v>0</v>
      </c>
      <c r="AN69" t="b">
        <f>OR(BedPlan[[#This Row],[Harvest Done]],BedPlan[[#This Row],[Failed]],BedPlan[[#This Row],[Name]]="Tarp")</f>
        <v>0</v>
      </c>
      <c r="AS69" s="26" t="str">
        <f>IF(BedPlan[[#This Row],[Broadfork]],BedPlan[[#This Row],[Actual TP or DS Date]],"")</f>
        <v/>
      </c>
      <c r="AT69" s="26" t="str">
        <f>IF(BedPlan[[#This Row],[Tilther]],BedPlan[[#This Row],[Actual TP or DS Date]],"")</f>
        <v/>
      </c>
      <c r="AU69" s="26" t="str">
        <f>IF(NOT(ISBLANK(BedPlan[[#This Row],[Amend]])),BedPlan[[#This Row],[Actual TP or DS Date]],"")</f>
        <v/>
      </c>
      <c r="AV69" s="26" t="str">
        <f>IF(BedPlan[[#This Row],[Row Cover]],BedPlan[[#This Row],[Actual TP or DS Date]],"")</f>
        <v/>
      </c>
      <c r="AX69" s="26"/>
      <c r="AZ69" s="26"/>
      <c r="BB69" s="26"/>
      <c r="BC69" s="231" cm="1">
        <f t="array" ref="BC69">INDEX(Crops[],BedPlan[[#This Row],[Chart Index]],BC$4,1)*BedPlan[[#This Row],[Full Bed Equivalent]]</f>
        <v>600</v>
      </c>
      <c r="BD69" s="231" cm="1">
        <f t="array" ref="BD69">INDEX(Crops[],BedPlan[[#This Row],[Chart Index]],BD$4,1)*BedPlan[[#This Row],[Full Bed Equivalent]]</f>
        <v>9.67741935483871</v>
      </c>
      <c r="BE69" cm="1">
        <f t="array" ref="BE69">INDEX(Crops[],BedPlan[[#This Row],[Chart Index]],BE$4,1)+BedPlan[[#This Row],[Additional Days in Cells]]+BedPlan[[#This Row],[Additional Days In Field]]</f>
        <v>73</v>
      </c>
      <c r="BG69" cm="1">
        <f t="array" ref="BG69">INDEX(Crops[],BedPlan[[#This Row],[Chart Index]],BG$4,1)</f>
        <v>14</v>
      </c>
      <c r="BH69" t="str">
        <f>IF(ISNUMBER(BedPlan[[#This Row],[Planned Greenhouse Start Date]]),"TP","DS")</f>
        <v>TP</v>
      </c>
      <c r="BI69">
        <f>BedPlan[[#This Row],['# Of Beds]]</f>
        <v>1</v>
      </c>
      <c r="BJ69" cm="1">
        <f t="array" ref="BJ69">INDEX(Crops[],BedPlan[[#This Row],[Chart Index]],BJ$4,1)</f>
        <v>25</v>
      </c>
      <c r="BK69" cm="1">
        <f t="array" ref="BK69">INDEX(Crops[],BedPlan[[#This Row],[Chart Index]],BK$4,1)</f>
        <v>2</v>
      </c>
      <c r="BL69" cm="1">
        <f t="array" ref="BL69">INDEX(Crops[],BedPlan[[#This Row],[Chart Index]],BL$4,1)</f>
        <v>4</v>
      </c>
      <c r="BM69" cm="1">
        <f t="array" ref="BM69">INDEX(Crops[],BedPlan[[#This Row],[Chart Index]],BM$4,1)</f>
        <v>1</v>
      </c>
      <c r="BN69" s="32" cm="1">
        <f t="array" ref="BN69">INDEX(Crops[],BedPlan[[#This Row],[Chart Index]],BN$4,1)*BedPlan[[#This Row],[Full Bed Equivalent]]</f>
        <v>300</v>
      </c>
      <c r="BO69" t="str" cm="1">
        <f t="array" ref="BO69">IF(INDEX(Crops[],BedPlan[[#This Row],[Chart Index]],BO$4,1)=0,"",INDEX(Crops[],BedPlan[[#This Row],[Chart Index]],BO$4,1))</f>
        <v/>
      </c>
      <c r="BP69">
        <f>MATCH(BedPlan[[#This Row],[Crop]],Crops[Identifier],FALSE)</f>
        <v>157</v>
      </c>
      <c r="BQ69" t="str" cm="1">
        <f t="array" ref="BQ69">INDEX(Crops[],BedPlan[[#This Row],[Chart Index]],BQ$4,1)</f>
        <v>Sm</v>
      </c>
      <c r="BR69" t="str" cm="1">
        <f t="array" ref="BR69">INDEX(Crops[],BedPlan[[#This Row],[Chart Index]],BR$4,1)</f>
        <v>Fa</v>
      </c>
      <c r="BS69" s="32">
        <f>BedPlan[[#This Row],[Expected Beginning of Harvest]]-DATE(2023,1,1)</f>
        <v>987</v>
      </c>
      <c r="BT69">
        <f>BedPlan[[#This Row],[Expected End of Harvest]]-BedPlan[[#This Row],[Expected Beginning of Harvest]]</f>
        <v>14</v>
      </c>
      <c r="BU69" t="str" cm="1">
        <f t="array" ref="BU69">INDEX(Crops[],BedPlan[[#This Row],[Chart Index]],BU$4,1)</f>
        <v>Brassica</v>
      </c>
      <c r="BV69" cm="1">
        <f t="array" ref="BV69">INDEX(Crops[],BedPlan[[#This Row],[Chart Index]],BV$4,1)</f>
        <v>2</v>
      </c>
      <c r="BW69" t="str" cm="1">
        <f t="array" ref="BW69">INDEX(Crops[],BedPlan[[#This Row],[Chart Index]],BW$4,1)</f>
        <v>AMAP</v>
      </c>
      <c r="BX69" cm="1">
        <f t="array" ref="BX69">INDEX(Crops[],BedPlan[[#This Row],[Chart Index]],BX$4,1)</f>
        <v>128</v>
      </c>
      <c r="BY69" cm="1">
        <f t="array" ref="BY69">INDEX(Crops[],BedPlan[[#This Row],[Chart Index]],BY$4,1)</f>
        <v>25</v>
      </c>
      <c r="BZ69" s="49" cm="1">
        <f t="array" ref="BZ69">IFERROR(INDEX(Crops[],BedPlan[[#This Row],[Chart Index]],BZ$4,1)*BedPlan[[#This Row],[Full Bed Equivalent]],"")</f>
        <v>3.046875</v>
      </c>
      <c r="CA69" cm="1">
        <f t="array" ref="CA69">INDEX(Crops[],BedPlan[[#This Row],[Chart Index]],CA$4,1)</f>
        <v>0</v>
      </c>
      <c r="CB69" cm="1">
        <f t="array" ref="CB69">INDEX(Crops[],BedPlan[[#This Row],[Chart Index]],CB$4,1)</f>
        <v>0</v>
      </c>
      <c r="CC69" s="49" t="str" cm="1">
        <f t="array" ref="CC69">IFERROR(INDEX(Crops[],BedPlan[[#This Row],[Chart Index]],CC$4,1)*BedPlan[[#This Row],[Full Bed Equivalent]],"")</f>
        <v/>
      </c>
      <c r="CD69" cm="1">
        <f t="array" ref="CD69">INDEX(Crops[],BedPlan[[#This Row],[Chart Index]],CD$4,1)</f>
        <v>0</v>
      </c>
      <c r="CE69" cm="1">
        <f t="array" ref="CE69">IF(INDEX(Crops[],BedPlan[[#This Row],[Chart Index]],CE$4,1)="",0,INDEX(Crops[],BedPlan[[#This Row],[Chart Index]],CE$4,1))</f>
        <v>0</v>
      </c>
      <c r="CF69" s="49" t="str" cm="1">
        <f t="array" ref="CF69">IFERROR(INDEX(Crops[],BedPlan[[#This Row],[Chart Index]],CF$4,1)*BedPlan[[#This Row],[Full Bed Equivalent]],"")</f>
        <v/>
      </c>
      <c r="CG69" cm="1">
        <f t="array" ref="CG69">IF(INDEX(Crops[],BedPlan[[#This Row],[Chart Index]],CG$4,1)="",0,INDEX(Crops[],BedPlan[[#This Row],[Chart Index]],CG$4,1))</f>
        <v>1.3</v>
      </c>
      <c r="CH69" cm="1">
        <f t="array" ref="CH69">IF(INDEX(Crops[],BedPlan[[#This Row],[Chart Index]],CH$4,1)="",0,INDEX(Crops[],BedPlan[[#This Row],[Chart Index]],CH$4,1))</f>
        <v>0</v>
      </c>
      <c r="CI69" t="str" cm="1">
        <f t="array" ref="CI69">INDEX(Crops[],BedPlan[[#This Row],[Chart Index]],CI$4,1)</f>
        <v>Field</v>
      </c>
      <c r="CJ69" s="30" t="str">
        <f>_xlfn.TEXTJOIN(CHAR(10),FALSE,BedPlan[[#This Row],[Name]],BedPlan[[#This Row],[Variety]],BedPlan[[#This Row],[Company]])</f>
        <v xml:space="preserve">Kohlrabi
Fresh Kholrabi Mix
</v>
      </c>
      <c r="CK69" s="32">
        <f>MAX( 0, MIN(BedPlan[[#This Row],[Expected End of Harvest]], EOMONTH(CK$4, 0)) - MAX(BedPlan[[#This Row],[Beginning of Harvest]], CK$4) + 1 )</f>
        <v>0</v>
      </c>
      <c r="CL69">
        <f>MAX( 0, MIN(BedPlan[[#This Row],[Expected End of Harvest]], EOMONTH(CL$4, 0)) - MAX(BedPlan[[#This Row],[Beginning of Harvest]], CL$4) + 1 )</f>
        <v>0</v>
      </c>
      <c r="CM69">
        <f>MAX( 0, MIN(BedPlan[[#This Row],[Expected End of Harvest]], EOMONTH(CM$4, 0)) - MAX(BedPlan[[#This Row],[Beginning of Harvest]], CM$4) + 1 )</f>
        <v>0</v>
      </c>
      <c r="CN69">
        <f>MAX( 0, MIN(BedPlan[[#This Row],[Expected End of Harvest]], EOMONTH(CN$4, 0)) - MAX(BedPlan[[#This Row],[Beginning of Harvest]], CN$4) + 1 )</f>
        <v>0</v>
      </c>
      <c r="CO69">
        <f>MAX( 0, MIN(BedPlan[[#This Row],[Expected End of Harvest]], EOMONTH(CO$4, 0)) - MAX(BedPlan[[#This Row],[Beginning of Harvest]], CO$4) + 1 )</f>
        <v>0</v>
      </c>
      <c r="CP69">
        <f>MAX( 0, MIN(BedPlan[[#This Row],[Expected End of Harvest]], EOMONTH(CP$4, 0)) - MAX(BedPlan[[#This Row],[Beginning of Harvest]], CP$4) + 1 )</f>
        <v>0</v>
      </c>
      <c r="CQ69">
        <f>MAX( 0, MIN(BedPlan[[#This Row],[Expected End of Harvest]], EOMONTH(CQ$4, 0)) - MAX(BedPlan[[#This Row],[Beginning of Harvest]], CQ$4) + 1 )</f>
        <v>0</v>
      </c>
      <c r="CR69">
        <f>MAX( 0, MIN(BedPlan[[#This Row],[Expected End of Harvest]], EOMONTH(CR$4, 0)) - MAX(BedPlan[[#This Row],[Beginning of Harvest]], CR$4) + 1 )</f>
        <v>0</v>
      </c>
      <c r="CS69">
        <f>MAX( 0, MIN(BedPlan[[#This Row],[Expected End of Harvest]], EOMONTH(CS$4, 0)) - MAX(BedPlan[[#This Row],[Beginning of Harvest]], CS$4) + 1 )</f>
        <v>15</v>
      </c>
      <c r="CT69">
        <f>MAX( 0, MIN(BedPlan[[#This Row],[Expected End of Harvest]], EOMONTH(CT$4, 0)) - MAX(BedPlan[[#This Row],[Beginning of Harvest]], CT$4) + 1 )</f>
        <v>0</v>
      </c>
      <c r="CU69">
        <f>MAX( 0, MIN(BedPlan[[#This Row],[Expected End of Harvest]], EOMONTH(CU$4, 0)) - MAX(BedPlan[[#This Row],[Beginning of Harvest]], CU$4) + 1 )</f>
        <v>0</v>
      </c>
      <c r="CV69">
        <f>MAX( 0, MIN(BedPlan[[#This Row],[Expected End of Harvest]], EOMONTH(CV$4, 0)) - MAX(BedPlan[[#This Row],[Beginning of Harvest]], CV$4) + 1 )</f>
        <v>0</v>
      </c>
      <c r="CW69">
        <f>MAX( 0, MIN(BedPlan[[#This Row],[Expected End of Harvest]], EOMONTH(CW$4, 0)) - MAX(BedPlan[[#This Row],[Beginning of Harvest]], CW$4) + 1 )</f>
        <v>0</v>
      </c>
      <c r="CX69">
        <f>MAX( 0, MIN(BedPlan[[#This Row],[Expected End of Harvest]], EOMONTH(CX$4, 0)) - MAX(BedPlan[[#This Row],[Beginning of Harvest]], CX$4) + 1 )</f>
        <v>0</v>
      </c>
      <c r="CY69">
        <f>MAX( 0, MIN(BedPlan[[#This Row],[Expected End of Harvest]], EOMONTH(CY$4, 0)) - MAX(BedPlan[[#This Row],[Beginning of Harvest]], CY$4) + 1 )</f>
        <v>0</v>
      </c>
      <c r="CZ69">
        <f>MAX( 0, MIN(BedPlan[[#This Row],[Expected End of Harvest]], EOMONTH(CZ$4, 0)) - MAX(BedPlan[[#This Row],[Beginning of Harvest]], CZ$4) + 1 )</f>
        <v>0</v>
      </c>
      <c r="DA69">
        <f>MAX( 0, MIN(BedPlan[[#This Row],[Expected End of Harvest]], EOMONTH(DA$4, 0)) - MAX(BedPlan[[#This Row],[Beginning of Harvest]], DA$4) + 1 )</f>
        <v>0</v>
      </c>
      <c r="DB69">
        <f>MAX( 0, MIN(BedPlan[[#This Row],[Expected End of Harvest]], EOMONTH(DB$4, 0)) - MAX(BedPlan[[#This Row],[Beginning of Harvest]], DB$4) + 1 )</f>
        <v>0</v>
      </c>
      <c r="DC69">
        <f>MAX( 0, MIN(BedPlan[[#This Row],[Expected End of Harvest]], EOMONTH(DC$4, 0)) - MAX(BedPlan[[#This Row],[Beginning of Harvest]], DC$4) + 1 )</f>
        <v>0</v>
      </c>
      <c r="DD69">
        <f>MAX( 0, MIN(BedPlan[[#This Row],[Expected End of Harvest]], EOMONTH(DD$4, 0)) - MAX(BedPlan[[#This Row],[Beginning of Harvest]], DD$4) + 1 )</f>
        <v>0</v>
      </c>
      <c r="DE69">
        <f>MAX( 0, MIN(BedPlan[[#This Row],[Expected End of Harvest]], EOMONTH(DE$4, 0)) - MAX(BedPlan[[#This Row],[Beginning of Harvest]], DE$4) + 1 )</f>
        <v>0</v>
      </c>
      <c r="DF69">
        <f>MAX( 0, MIN(BedPlan[[#This Row],[Expected End of Harvest]], EOMONTH(DF$4, 0)) - MAX(BedPlan[[#This Row],[Beginning of Harvest]], DF$4) + 1 )</f>
        <v>0</v>
      </c>
      <c r="DG69">
        <f>MAX( 0, MIN(BedPlan[[#This Row],[Expected End of Harvest]], EOMONTH(DG$4, 0)) - MAX(BedPlan[[#This Row],[Beginning of Harvest]], DG$4) + 1 )</f>
        <v>0</v>
      </c>
      <c r="DH69">
        <f>MAX( 0, MIN(BedPlan[[#This Row],[Expected End of Harvest]], EOMONTH(DH$4, 0)) - MAX(BedPlan[[#This Row],[Beginning of Harvest]], DH$4) + 1 )</f>
        <v>0</v>
      </c>
      <c r="DI69" s="257" cm="1">
        <f t="array" ref="DI69">BedPlan[[#This Row],[Harvest Days January 2025]]/SUM(BedPlan[[#This Row],[Harvest Days January 2025]:[Harvest Days December 2026]])*BedPlan[[#This Row],[Revenue]:[Revenue]]</f>
        <v>0</v>
      </c>
      <c r="DJ69" s="257" cm="1">
        <f t="array" ref="DJ69">BedPlan[[#This Row],[Harvest Days February 2025]]/SUM(BedPlan[[#This Row],[Harvest Days January 2025]:[Harvest Days December 2026]])*BedPlan[[#This Row],[Revenue]:[Revenue]]</f>
        <v>0</v>
      </c>
      <c r="DK69" s="257" cm="1">
        <f t="array" ref="DK69">BedPlan[[#This Row],[Harvest Days March 2025]]/SUM(BedPlan[[#This Row],[Harvest Days January 2025]:[Harvest Days December 2026]])*BedPlan[[#This Row],[Revenue]:[Revenue]]</f>
        <v>0</v>
      </c>
      <c r="DL69" s="257" cm="1">
        <f t="array" ref="DL69">BedPlan[[#This Row],[Harvest Days April 2025]]/SUM(BedPlan[[#This Row],[Harvest Days January 2025]:[Harvest Days December 2026]])*BedPlan[[#This Row],[Revenue]:[Revenue]]</f>
        <v>0</v>
      </c>
      <c r="DM69" s="257" cm="1">
        <f t="array" ref="DM69">BedPlan[[#This Row],[Harvest Days May 2025]]/SUM(BedPlan[[#This Row],[Harvest Days January 2025]:[Harvest Days December 2026]])*BedPlan[[#This Row],[Revenue]:[Revenue]]</f>
        <v>0</v>
      </c>
      <c r="DN69" s="257" cm="1">
        <f t="array" ref="DN69">BedPlan[[#This Row],[Harvest Days June 2025]]/SUM(BedPlan[[#This Row],[Harvest Days January 2025]:[Harvest Days December 2026]])*BedPlan[[#This Row],[Revenue]:[Revenue]]</f>
        <v>0</v>
      </c>
      <c r="DO69" s="257" cm="1">
        <f t="array" ref="DO69">BedPlan[[#This Row],[Harvest Days July 2025]]/SUM(BedPlan[[#This Row],[Harvest Days January 2025]:[Harvest Days December 2026]])*BedPlan[[#This Row],[Revenue]:[Revenue]]</f>
        <v>0</v>
      </c>
      <c r="DP69" s="257" cm="1">
        <f t="array" ref="DP69">BedPlan[[#This Row],[Harvest Days August 2025]]/SUM(BedPlan[[#This Row],[Harvest Days January 2025]:[Harvest Days December 2026]])*BedPlan[[#This Row],[Revenue]:[Revenue]]</f>
        <v>0</v>
      </c>
      <c r="DQ69" s="257" cm="1">
        <f t="array" ref="DQ69">BedPlan[[#This Row],[Harvest Days September 2025]]/SUM(BedPlan[[#This Row],[Harvest Days January 2025]:[Harvest Days December 2026]])*BedPlan[[#This Row],[Revenue]:[Revenue]]</f>
        <v>600</v>
      </c>
      <c r="DR69" s="257" cm="1">
        <f t="array" ref="DR69">BedPlan[[#This Row],[Harvest Days October 2025]]/SUM(BedPlan[[#This Row],[Harvest Days January 2025]:[Harvest Days December 2026]])*BedPlan[[#This Row],[Revenue]:[Revenue]]</f>
        <v>0</v>
      </c>
      <c r="DS69" s="257" cm="1">
        <f t="array" ref="DS69">BedPlan[[#This Row],[Harvest Days November 2025]]/SUM(BedPlan[[#This Row],[Harvest Days January 2025]:[Harvest Days December 2026]])*BedPlan[[#This Row],[Revenue]:[Revenue]]</f>
        <v>0</v>
      </c>
      <c r="DT69" s="257" cm="1">
        <f t="array" ref="DT69">BedPlan[[#This Row],[Harvest Days December 2025]]/SUM(BedPlan[[#This Row],[Harvest Days January 2025]:[Harvest Days December 2026]])*BedPlan[[#This Row],[Revenue]:[Revenue]]</f>
        <v>0</v>
      </c>
      <c r="DU69" s="257" cm="1">
        <f t="array" ref="DU69">BedPlan[[#This Row],[Harvest Days January 2026]]/SUM(BedPlan[[#This Row],[Harvest Days January 2025]:[Harvest Days December 2026]])*BedPlan[[#This Row],[Revenue]:[Revenue]]</f>
        <v>0</v>
      </c>
      <c r="DV69" s="257" cm="1">
        <f t="array" ref="DV69">BedPlan[[#This Row],[Harvest Days February 2026]]/SUM(BedPlan[[#This Row],[Harvest Days January 2025]:[Harvest Days December 2026]])*BedPlan[[#This Row],[Revenue]:[Revenue]]</f>
        <v>0</v>
      </c>
      <c r="DW69" s="257" cm="1">
        <f t="array" ref="DW69">BedPlan[[#This Row],[Harvest Days March 2026]]/SUM(BedPlan[[#This Row],[Harvest Days January 2025]:[Harvest Days December 2026]])*BedPlan[[#This Row],[Revenue]:[Revenue]]</f>
        <v>0</v>
      </c>
      <c r="DX69" s="257" cm="1">
        <f t="array" ref="DX69">BedPlan[[#This Row],[Harvest Days April 2026]]/SUM(BedPlan[[#This Row],[Harvest Days January 2025]:[Harvest Days December 2026]])*BedPlan[[#This Row],[Revenue]:[Revenue]]</f>
        <v>0</v>
      </c>
      <c r="DY69" s="257" cm="1">
        <f t="array" ref="DY69">BedPlan[[#This Row],[Harvest Days May 2026]]/SUM(BedPlan[[#This Row],[Harvest Days January 2025]:[Harvest Days December 2026]])*BedPlan[[#This Row],[Revenue]:[Revenue]]</f>
        <v>0</v>
      </c>
      <c r="DZ69" s="257" cm="1">
        <f t="array" ref="DZ69">BedPlan[[#This Row],[Harvest Days June 2026]]/SUM(BedPlan[[#This Row],[Harvest Days January 2025]:[Harvest Days December 2026]])*BedPlan[[#This Row],[Revenue]:[Revenue]]</f>
        <v>0</v>
      </c>
      <c r="EA69" s="257" cm="1">
        <f t="array" ref="EA69">BedPlan[[#This Row],[Harvest Days July 2026]]/SUM(BedPlan[[#This Row],[Harvest Days January 2025]:[Harvest Days December 2026]])*BedPlan[[#This Row],[Revenue]:[Revenue]]</f>
        <v>0</v>
      </c>
      <c r="EB69" s="257" cm="1">
        <f t="array" ref="EB69">BedPlan[[#This Row],[Harvest Days August 2026]]/SUM(BedPlan[[#This Row],[Harvest Days January 2025]:[Harvest Days December 2026]])*BedPlan[[#This Row],[Revenue]:[Revenue]]</f>
        <v>0</v>
      </c>
      <c r="EC69" s="257" cm="1">
        <f t="array" ref="EC69">BedPlan[[#This Row],[Harvest Days September 2026]]/SUM(BedPlan[[#This Row],[Harvest Days January 2025]:[Harvest Days December 2026]])*BedPlan[[#This Row],[Revenue]:[Revenue]]</f>
        <v>0</v>
      </c>
      <c r="ED69" s="257" cm="1">
        <f t="array" ref="ED69">BedPlan[[#This Row],[Harvest Days October 2026]]/SUM(BedPlan[[#This Row],[Harvest Days January 2025]:[Harvest Days December 2026]])*BedPlan[[#This Row],[Revenue]:[Revenue]]</f>
        <v>0</v>
      </c>
      <c r="EE69" s="257" cm="1">
        <f t="array" ref="EE69">BedPlan[[#This Row],[Harvest Days November 2026]]/SUM(BedPlan[[#This Row],[Harvest Days January 2025]:[Harvest Days December 2026]])*BedPlan[[#This Row],[Revenue]:[Revenue]]</f>
        <v>0</v>
      </c>
      <c r="EF69" s="257" cm="1">
        <f t="array" ref="EF69">BedPlan[[#This Row],[Harvest Days December 2026]]/SUM(BedPlan[[#This Row],[Harvest Days January 2025]:[Harvest Days December 2026]])*BedPlan[[#This Row],[Revenue]:[Revenue]]</f>
        <v>0</v>
      </c>
      <c r="EG69" t="b">
        <f>SUM(BedPlan[[#This Row],[Revenue January 2025]:[Revenue December 2026]])=BedPlan[[#This Row],[Revenue]]</f>
        <v>1</v>
      </c>
      <c r="EH69" s="30" cm="1">
        <f t="array" ref="EH69">INDEX(Crops[],BedPlan[[#This Row],[Chart Index]],EH$4,1)*BedPlan[[#This Row],['# Of Beds]]</f>
        <v>300</v>
      </c>
      <c r="EI69" s="30" t="str" cm="1">
        <f t="array" ref="EI69">INDEX(Crops[],BedPlan[[#This Row],[Chart Index]],EI$4,1)</f>
        <v>Bulb</v>
      </c>
      <c r="EJ69" s="30" t="str" cm="1">
        <f t="array" ref="EJ69">INDEX(Crops[],BedPlan[[#This Row],[Chart Index]],EJ$4,1)</f>
        <v>Storage Bulb</v>
      </c>
      <c r="EK69" s="30" t="str">
        <f>BedPlan[[#This Row],[Name]]&amp;" "&amp;BedPlan[[#This Row],[Product]]&amp; " - " &amp;BedPlan[[#This Row],[Unit]]</f>
        <v>Kohlrabi Storage Bulb - Bulb</v>
      </c>
      <c r="EL69" s="33" cm="1">
        <f t="array" ref="EL69">BedPlan[[#This Row],[Harvest Days January 2025]]/SUM(BedPlan[[#This Row],[Harvest Days January 2025]:[Harvest Days December 2026]])*BedPlan[[#This Row],[Yield]:[Yield]]</f>
        <v>0</v>
      </c>
      <c r="EM69" s="33" cm="1">
        <f t="array" ref="EM69">BedPlan[[#This Row],[Harvest Days February 2025]]/SUM(BedPlan[[#This Row],[Harvest Days January 2025]:[Harvest Days December 2026]])*BedPlan[[#This Row],[Yield]:[Yield]]</f>
        <v>0</v>
      </c>
      <c r="EN69" s="33" cm="1">
        <f t="array" ref="EN69">BedPlan[[#This Row],[Harvest Days March 2025]]/SUM(BedPlan[[#This Row],[Harvest Days January 2025]:[Harvest Days December 2026]])*BedPlan[[#This Row],[Yield]:[Yield]]</f>
        <v>0</v>
      </c>
      <c r="EO69" s="33" cm="1">
        <f t="array" ref="EO69">BedPlan[[#This Row],[Harvest Days April 2025]]/SUM(BedPlan[[#This Row],[Harvest Days January 2025]:[Harvest Days December 2026]])*BedPlan[[#This Row],[Yield]:[Yield]]</f>
        <v>0</v>
      </c>
      <c r="EP69" s="33" cm="1">
        <f t="array" ref="EP69">BedPlan[[#This Row],[Harvest Days May 2025]]/SUM(BedPlan[[#This Row],[Harvest Days January 2025]:[Harvest Days December 2026]])*BedPlan[[#This Row],[Yield]:[Yield]]</f>
        <v>0</v>
      </c>
      <c r="EQ69" s="33" cm="1">
        <f t="array" ref="EQ69">BedPlan[[#This Row],[Harvest Days June 2025]]/SUM(BedPlan[[#This Row],[Harvest Days January 2025]:[Harvest Days December 2026]])*BedPlan[[#This Row],[Yield]:[Yield]]</f>
        <v>0</v>
      </c>
      <c r="ER69" s="33" cm="1">
        <f t="array" ref="ER69">BedPlan[[#This Row],[Harvest Days July 2025]]/SUM(BedPlan[[#This Row],[Harvest Days January 2025]:[Harvest Days December 2026]])*BedPlan[[#This Row],[Yield]:[Yield]]</f>
        <v>0</v>
      </c>
      <c r="ES69" s="33" cm="1">
        <f t="array" ref="ES69">BedPlan[[#This Row],[Harvest Days August 2025]]/SUM(BedPlan[[#This Row],[Harvest Days January 2025]:[Harvest Days December 2026]])*BedPlan[[#This Row],[Yield]:[Yield]]</f>
        <v>0</v>
      </c>
      <c r="ET69" s="33" cm="1">
        <f t="array" ref="ET69">BedPlan[[#This Row],[Harvest Days September 2025]]/SUM(BedPlan[[#This Row],[Harvest Days January 2025]:[Harvest Days December 2026]])*BedPlan[[#This Row],[Yield]:[Yield]]</f>
        <v>300</v>
      </c>
      <c r="EU69" s="33" cm="1">
        <f t="array" ref="EU69">BedPlan[[#This Row],[Harvest Days October 2025]]/SUM(BedPlan[[#This Row],[Harvest Days January 2025]:[Harvest Days December 2026]])*BedPlan[[#This Row],[Yield]:[Yield]]</f>
        <v>0</v>
      </c>
      <c r="EV69" s="33" cm="1">
        <f t="array" ref="EV69">BedPlan[[#This Row],[Harvest Days November 2025]]/SUM(BedPlan[[#This Row],[Harvest Days January 2025]:[Harvest Days December 2026]])*BedPlan[[#This Row],[Yield]:[Yield]]</f>
        <v>0</v>
      </c>
      <c r="EW69" s="33" cm="1">
        <f t="array" ref="EW69">BedPlan[[#This Row],[Harvest Days December 2025]]/SUM(BedPlan[[#This Row],[Harvest Days January 2025]:[Harvest Days December 2026]])*BedPlan[[#This Row],[Yield]:[Yield]]</f>
        <v>0</v>
      </c>
    </row>
    <row r="70" spans="1:153" ht="15.75" customHeight="1">
      <c r="A70" s="191" t="s">
        <v>2604</v>
      </c>
      <c r="B70" t="s">
        <v>2648</v>
      </c>
      <c r="C70" t="s">
        <v>1425</v>
      </c>
      <c r="D70" cm="1">
        <f t="array" ref="D70">INDEX(Crops[],BedPlan[[#This Row],[Chart Index]],D$4,1)*BedPlan[[#This Row],[Full Bed Equivalent]]</f>
        <v>150</v>
      </c>
      <c r="E70" cm="1">
        <f t="array" ref="E70">INDEX(Crops[],BedPlan[[#This Row],[Chart Index]],E$4,1)*BedPlan[[#This Row],[Full Bed Equivalent]]</f>
        <v>300</v>
      </c>
      <c r="F70" t="str">
        <f>UPPER(LEFT(BedPlan[[#This Row],[Crop]],3))</f>
        <v>KOH</v>
      </c>
      <c r="H70" s="143" t="str" cm="1">
        <f t="array" ref="H70">INDEX(Crops[],BedPlan[[#This Row],[Chart Index]],H$4,1)</f>
        <v>Kohlrabi</v>
      </c>
      <c r="I70" t="s">
        <v>1918</v>
      </c>
      <c r="K70" t="str" cm="1">
        <f t="array" ref="K70">IF(ISNUMBER(MATCH(BedPlan[[#This Row],[Variety]],SeedMixes[Name],)),_xlfn.TEXTJOIN(", ",TRUE,_xlfn._xlws.FILTER(SeedMixes[Variety &amp; Company],SeedMixes[Name]=BedPlan[[#This Row],[Variety]])),"")</f>
        <v>Kolibri F1 Johnny's, Konan F1 Johnny's</v>
      </c>
      <c r="L70" s="33" cm="1">
        <f t="array" ref="L70">INDEX(Crops[],BedPlan[[#This Row],[Chart Index]],L$4,1)*BedPlan[[#This Row],[Full Bed Equivalent]]</f>
        <v>390</v>
      </c>
      <c r="N70">
        <f>1</f>
        <v>1</v>
      </c>
      <c r="O70">
        <f>MAX(BedPlan[[#This Row],['# Of Beds]],0.5)</f>
        <v>1</v>
      </c>
      <c r="P70" s="31">
        <f>IF(ISNUMBER(BedPlan[[#This Row],[Planned Greenhouse Start Date]]),BedPlan[[#This Row],[Planned Greenhouse Start Date]],BedPlan[[#This Row],[Planned TP or DS Date]])</f>
        <v>45718</v>
      </c>
      <c r="Q70" s="259">
        <f>IF(BedPlan[[#This Row],[Days in Cells]]=0,"",IFERROR(_xlfn.XLOOKUP(BedPlan[[#This Row],[Follows Crop]],BedPlan[Identifier],BedPlan[Expected End of Harvest]) + 1+BedPlan[[#This Row],[Follow Offset]],BedPlan[[#This Row],[Fixed Field Start Date]])-BedPlan[[#This Row],[Days in Cells]])</f>
        <v>45718</v>
      </c>
      <c r="R70" s="259">
        <v>45741</v>
      </c>
      <c r="S70" s="259">
        <f>IF(ISNUMBER(BedPlan[[#This Row],[Actual Greenhouse Date]]),BedPlan[[#This Row],[Actual Greenhouse Date]],BedPlan[[#This Row],[Planned Greenhouse Start Date]])</f>
        <v>45741</v>
      </c>
      <c r="T70" s="259">
        <f>_xlfn.XLOOKUP(BedPlan[[#This Row],[Crop]],Crops[Identifier],Crops[Target Field Date])</f>
        <v>45743</v>
      </c>
      <c r="U70" s="260"/>
      <c r="V70" s="260"/>
      <c r="W7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45766</v>
      </c>
      <c r="X70" s="259">
        <v>45767</v>
      </c>
      <c r="Y70" s="271">
        <f>BedPlan[[#This Row],[Actual TP or DS Date]]-BedPlan[[#This Row],[Planned TP or DS Date]]</f>
        <v>1</v>
      </c>
      <c r="Z70" s="259">
        <f>IF(ISNUMBER(BedPlan[[#This Row],[Actual TP or DS Date]]),BedPlan[[#This Row],[Actual TP or DS Date]],BedPlan[[#This Row],[Planned TP or DS Date]])</f>
        <v>45767</v>
      </c>
      <c r="AA70" s="260"/>
      <c r="AB70" s="259">
        <f>IF(ISNUMBER(BedPlan[[#This Row],[Greenhouse Start Date]]),BedPlan[[#This Row],[Greenhouse Start Date]]+BedPlan[[#This Row],[DTM]],BedPlan[[#This Row],[TP or DS Date]]+BedPlan[[#This Row],[DTM]])</f>
        <v>45796</v>
      </c>
      <c r="AC70" s="259"/>
      <c r="AD70" s="259">
        <f>IF(ISNUMBER(BedPlan[[#This Row],[Actual Beginning of Harvest]]),BedPlan[[#This Row],[Actual Beginning of Harvest]],BedPlan[[#This Row],[Expected Beginning of Harvest]])</f>
        <v>45796</v>
      </c>
      <c r="AE70" s="259">
        <f>BedPlan[[#This Row],[Expected Beginning of Harvest]]+BedPlan[[#This Row],[Harvest Window]]+BedPlan[[#This Row],[Additional Days of Harvest]]</f>
        <v>45810</v>
      </c>
      <c r="AF70" s="259"/>
      <c r="AG70" s="259"/>
      <c r="AH70" s="31" t="b">
        <f>IF(AND( BedPlan[[#This Row],[Expected End of Harvest]] &gt;= DATE(2025, 8, 1), BedPlan[[#This Row],[Beginning of Harvest]] &lt;= DATE(2025, 8, 31) ), TRUE, FALSE)</f>
        <v>0</v>
      </c>
      <c r="AI70" s="31"/>
      <c r="AJ70" s="31">
        <f>IF(ISNUMBER(BedPlan[[#This Row],[Actual End of Harvest]]),BedPlan[[#This Row],[Actual End of Harvest]],BedPlan[[#This Row],[Expected End of Harvest]])</f>
        <v>45810</v>
      </c>
      <c r="AK70" t="b">
        <f>OR(ISNUMBER(BedPlan[[#This Row],[Actual Greenhouse Date]]),ISNUMBER(BedPlan[[#This Row],[Actual TP or DS Date]]))</f>
        <v>1</v>
      </c>
      <c r="AL70" s="52" t="b">
        <f>IF(ISNUMBER(BedPlan[[#This Row],[Planned Greenhouse Start Date]]),OR(ISNUMBER(BedPlan[[#This Row],[Actual TP or DS Date]]),BedPlan[[#This Row],[Failed]]),"-")</f>
        <v>1</v>
      </c>
      <c r="AM70" t="b">
        <f>OR(ISNUMBER(BedPlan[[#This Row],[Actual End of Harvest]]),BedPlan[[#This Row],[Failed]])</f>
        <v>0</v>
      </c>
      <c r="AN70" t="b">
        <f>OR(BedPlan[[#This Row],[Harvest Done]],BedPlan[[#This Row],[Failed]],BedPlan[[#This Row],[Name]]="Tarp")</f>
        <v>0</v>
      </c>
      <c r="AS70" s="26" t="str">
        <f>IF(BedPlan[[#This Row],[Broadfork]],BedPlan[[#This Row],[Actual TP or DS Date]],"")</f>
        <v/>
      </c>
      <c r="AT70" s="26" t="str">
        <f>IF(BedPlan[[#This Row],[Tilther]],BedPlan[[#This Row],[Actual TP or DS Date]],"")</f>
        <v/>
      </c>
      <c r="AU70" s="26" t="str">
        <f>IF(NOT(ISBLANK(BedPlan[[#This Row],[Amend]])),BedPlan[[#This Row],[Actual TP or DS Date]],"")</f>
        <v/>
      </c>
      <c r="AV70" s="26" t="str">
        <f>IF(BedPlan[[#This Row],[Row Cover]],BedPlan[[#This Row],[Actual TP or DS Date]],"")</f>
        <v/>
      </c>
      <c r="AW70" t="s">
        <v>3222</v>
      </c>
      <c r="AX70" s="26">
        <v>45815</v>
      </c>
      <c r="AY70" t="s">
        <v>3223</v>
      </c>
      <c r="AZ70" s="26">
        <v>45828</v>
      </c>
      <c r="BB70" s="26"/>
      <c r="BC70" s="231" cm="1">
        <f t="array" ref="BC70">INDEX(Crops[],BedPlan[[#This Row],[Chart Index]],BC$4,1)*BedPlan[[#This Row],[Full Bed Equivalent]]</f>
        <v>600</v>
      </c>
      <c r="BD70" s="231" cm="1">
        <f t="array" ref="BD70">INDEX(Crops[],BedPlan[[#This Row],[Chart Index]],BD$4,1)*BedPlan[[#This Row],[Full Bed Equivalent]]</f>
        <v>13.636363636363637</v>
      </c>
      <c r="BE70" cm="1">
        <f t="array" ref="BE70">INDEX(Crops[],BedPlan[[#This Row],[Chart Index]],BE$4,1)+BedPlan[[#This Row],[Additional Days in Cells]]+BedPlan[[#This Row],[Additional Days In Field]]</f>
        <v>55</v>
      </c>
      <c r="BG70" cm="1">
        <f t="array" ref="BG70">INDEX(Crops[],BedPlan[[#This Row],[Chart Index]],BG$4,1)</f>
        <v>14</v>
      </c>
      <c r="BH70" t="str">
        <f>IF(ISNUMBER(BedPlan[[#This Row],[Planned Greenhouse Start Date]]),"TP","DS")</f>
        <v>TP</v>
      </c>
      <c r="BI70">
        <f>BedPlan[[#This Row],['# Of Beds]]</f>
        <v>1</v>
      </c>
      <c r="BJ70" cm="1">
        <f t="array" ref="BJ70">INDEX(Crops[],BedPlan[[#This Row],[Chart Index]],BJ$4,1)</f>
        <v>25</v>
      </c>
      <c r="BK70" cm="1">
        <f t="array" ref="BK70">INDEX(Crops[],BedPlan[[#This Row],[Chart Index]],BK$4,1)</f>
        <v>2</v>
      </c>
      <c r="BL70" cm="1">
        <f t="array" ref="BL70">INDEX(Crops[],BedPlan[[#This Row],[Chart Index]],BL$4,1)</f>
        <v>4</v>
      </c>
      <c r="BM70" cm="1">
        <f t="array" ref="BM70">INDEX(Crops[],BedPlan[[#This Row],[Chart Index]],BM$4,1)</f>
        <v>1</v>
      </c>
      <c r="BN70" s="32" cm="1">
        <f t="array" ref="BN70">INDEX(Crops[],BedPlan[[#This Row],[Chart Index]],BN$4,1)*BedPlan[[#This Row],[Full Bed Equivalent]]</f>
        <v>300</v>
      </c>
      <c r="BO70" t="str" cm="1">
        <f t="array" ref="BO70">IF(INDEX(Crops[],BedPlan[[#This Row],[Chart Index]],BO$4,1)=0,"",INDEX(Crops[],BedPlan[[#This Row],[Chart Index]],BO$4,1))</f>
        <v/>
      </c>
      <c r="BP70">
        <f>MATCH(BedPlan[[#This Row],[Crop]],Crops[Identifier],FALSE)</f>
        <v>158</v>
      </c>
      <c r="BQ70" t="str" cm="1">
        <f t="array" ref="BQ70">INDEX(Crops[],BedPlan[[#This Row],[Chart Index]],BQ$4,1)</f>
        <v>Sm</v>
      </c>
      <c r="BR70" t="str" cm="1">
        <f t="array" ref="BR70">INDEX(Crops[],BedPlan[[#This Row],[Chart Index]],BR$4,1)</f>
        <v>Sp</v>
      </c>
      <c r="BS70" s="32">
        <f>BedPlan[[#This Row],[Expected Beginning of Harvest]]-DATE(2023,1,1)</f>
        <v>869</v>
      </c>
      <c r="BT70">
        <f>BedPlan[[#This Row],[Expected End of Harvest]]-BedPlan[[#This Row],[Expected Beginning of Harvest]]</f>
        <v>14</v>
      </c>
      <c r="BU70" cm="1">
        <f t="array" ref="BU70">INDEX(Crops[],BedPlan[[#This Row],[Chart Index]],BU$4,1)</f>
        <v>0</v>
      </c>
      <c r="BV70" cm="1">
        <f t="array" ref="BV70">INDEX(Crops[],BedPlan[[#This Row],[Chart Index]],BV$4,1)</f>
        <v>0</v>
      </c>
      <c r="BW70" t="str" cm="1">
        <f t="array" ref="BW70">INDEX(Crops[],BedPlan[[#This Row],[Chart Index]],BW$4,1)</f>
        <v>AMAP</v>
      </c>
      <c r="BX70" cm="1">
        <f t="array" ref="BX70">INDEX(Crops[],BedPlan[[#This Row],[Chart Index]],BX$4,1)</f>
        <v>128</v>
      </c>
      <c r="BY70" cm="1">
        <f t="array" ref="BY70">INDEX(Crops[],BedPlan[[#This Row],[Chart Index]],BY$4,1)</f>
        <v>25</v>
      </c>
      <c r="BZ70" s="49" cm="1">
        <f t="array" ref="BZ70">IFERROR(INDEX(Crops[],BedPlan[[#This Row],[Chart Index]],BZ$4,1)*BedPlan[[#This Row],[Full Bed Equivalent]],"")</f>
        <v>3.046875</v>
      </c>
      <c r="CA70" cm="1">
        <f t="array" ref="CA70">INDEX(Crops[],BedPlan[[#This Row],[Chart Index]],CA$4,1)</f>
        <v>0</v>
      </c>
      <c r="CB70" cm="1">
        <f t="array" ref="CB70">INDEX(Crops[],BedPlan[[#This Row],[Chart Index]],CB$4,1)</f>
        <v>0</v>
      </c>
      <c r="CC70" s="49" t="str" cm="1">
        <f t="array" ref="CC70">IFERROR(INDEX(Crops[],BedPlan[[#This Row],[Chart Index]],CC$4,1)*BedPlan[[#This Row],[Full Bed Equivalent]],"")</f>
        <v/>
      </c>
      <c r="CD70" cm="1">
        <f t="array" ref="CD70">INDEX(Crops[],BedPlan[[#This Row],[Chart Index]],CD$4,1)</f>
        <v>0</v>
      </c>
      <c r="CE70" cm="1">
        <f t="array" ref="CE70">IF(INDEX(Crops[],BedPlan[[#This Row],[Chart Index]],CE$4,1)="",0,INDEX(Crops[],BedPlan[[#This Row],[Chart Index]],CE$4,1))</f>
        <v>0</v>
      </c>
      <c r="CF70" s="49" t="str" cm="1">
        <f t="array" ref="CF70">IFERROR(INDEX(Crops[],BedPlan[[#This Row],[Chart Index]],CF$4,1)*BedPlan[[#This Row],[Full Bed Equivalent]],"")</f>
        <v/>
      </c>
      <c r="CG70" cm="1">
        <f t="array" ref="CG70">IF(INDEX(Crops[],BedPlan[[#This Row],[Chart Index]],CG$4,1)="",0,INDEX(Crops[],BedPlan[[#This Row],[Chart Index]],CG$4,1))</f>
        <v>1.3</v>
      </c>
      <c r="CH70" cm="1">
        <f t="array" ref="CH70">IF(INDEX(Crops[],BedPlan[[#This Row],[Chart Index]],CH$4,1)="",0,INDEX(Crops[],BedPlan[[#This Row],[Chart Index]],CH$4,1))</f>
        <v>0</v>
      </c>
      <c r="CI70" t="str" cm="1">
        <f t="array" ref="CI70">INDEX(Crops[],BedPlan[[#This Row],[Chart Index]],CI$4,1)</f>
        <v>Field</v>
      </c>
      <c r="CJ70" s="30" t="str">
        <f>_xlfn.TEXTJOIN(CHAR(10),FALSE,BedPlan[[#This Row],[Name]],BedPlan[[#This Row],[Variety]],BedPlan[[#This Row],[Company]])</f>
        <v xml:space="preserve">Kohlrabi
Fresh Kholrabi Mix
</v>
      </c>
      <c r="CK70" s="32">
        <f>MAX( 0, MIN(BedPlan[[#This Row],[Expected End of Harvest]], EOMONTH(CK$4, 0)) - MAX(BedPlan[[#This Row],[Beginning of Harvest]], CK$4) + 1 )</f>
        <v>0</v>
      </c>
      <c r="CL70">
        <f>MAX( 0, MIN(BedPlan[[#This Row],[Expected End of Harvest]], EOMONTH(CL$4, 0)) - MAX(BedPlan[[#This Row],[Beginning of Harvest]], CL$4) + 1 )</f>
        <v>0</v>
      </c>
      <c r="CM70">
        <f>MAX( 0, MIN(BedPlan[[#This Row],[Expected End of Harvest]], EOMONTH(CM$4, 0)) - MAX(BedPlan[[#This Row],[Beginning of Harvest]], CM$4) + 1 )</f>
        <v>0</v>
      </c>
      <c r="CN70">
        <f>MAX( 0, MIN(BedPlan[[#This Row],[Expected End of Harvest]], EOMONTH(CN$4, 0)) - MAX(BedPlan[[#This Row],[Beginning of Harvest]], CN$4) + 1 )</f>
        <v>0</v>
      </c>
      <c r="CO70">
        <f>MAX( 0, MIN(BedPlan[[#This Row],[Expected End of Harvest]], EOMONTH(CO$4, 0)) - MAX(BedPlan[[#This Row],[Beginning of Harvest]], CO$4) + 1 )</f>
        <v>13</v>
      </c>
      <c r="CP70">
        <f>MAX( 0, MIN(BedPlan[[#This Row],[Expected End of Harvest]], EOMONTH(CP$4, 0)) - MAX(BedPlan[[#This Row],[Beginning of Harvest]], CP$4) + 1 )</f>
        <v>2</v>
      </c>
      <c r="CQ70">
        <f>MAX( 0, MIN(BedPlan[[#This Row],[Expected End of Harvest]], EOMONTH(CQ$4, 0)) - MAX(BedPlan[[#This Row],[Beginning of Harvest]], CQ$4) + 1 )</f>
        <v>0</v>
      </c>
      <c r="CR70">
        <f>MAX( 0, MIN(BedPlan[[#This Row],[Expected End of Harvest]], EOMONTH(CR$4, 0)) - MAX(BedPlan[[#This Row],[Beginning of Harvest]], CR$4) + 1 )</f>
        <v>0</v>
      </c>
      <c r="CS70">
        <f>MAX( 0, MIN(BedPlan[[#This Row],[Expected End of Harvest]], EOMONTH(CS$4, 0)) - MAX(BedPlan[[#This Row],[Beginning of Harvest]], CS$4) + 1 )</f>
        <v>0</v>
      </c>
      <c r="CT70">
        <f>MAX( 0, MIN(BedPlan[[#This Row],[Expected End of Harvest]], EOMONTH(CT$4, 0)) - MAX(BedPlan[[#This Row],[Beginning of Harvest]], CT$4) + 1 )</f>
        <v>0</v>
      </c>
      <c r="CU70">
        <f>MAX( 0, MIN(BedPlan[[#This Row],[Expected End of Harvest]], EOMONTH(CU$4, 0)) - MAX(BedPlan[[#This Row],[Beginning of Harvest]], CU$4) + 1 )</f>
        <v>0</v>
      </c>
      <c r="CV70">
        <f>MAX( 0, MIN(BedPlan[[#This Row],[Expected End of Harvest]], EOMONTH(CV$4, 0)) - MAX(BedPlan[[#This Row],[Beginning of Harvest]], CV$4) + 1 )</f>
        <v>0</v>
      </c>
      <c r="CW70">
        <f>MAX( 0, MIN(BedPlan[[#This Row],[Expected End of Harvest]], EOMONTH(CW$4, 0)) - MAX(BedPlan[[#This Row],[Beginning of Harvest]], CW$4) + 1 )</f>
        <v>0</v>
      </c>
      <c r="CX70">
        <f>MAX( 0, MIN(BedPlan[[#This Row],[Expected End of Harvest]], EOMONTH(CX$4, 0)) - MAX(BedPlan[[#This Row],[Beginning of Harvest]], CX$4) + 1 )</f>
        <v>0</v>
      </c>
      <c r="CY70">
        <f>MAX( 0, MIN(BedPlan[[#This Row],[Expected End of Harvest]], EOMONTH(CY$4, 0)) - MAX(BedPlan[[#This Row],[Beginning of Harvest]], CY$4) + 1 )</f>
        <v>0</v>
      </c>
      <c r="CZ70">
        <f>MAX( 0, MIN(BedPlan[[#This Row],[Expected End of Harvest]], EOMONTH(CZ$4, 0)) - MAX(BedPlan[[#This Row],[Beginning of Harvest]], CZ$4) + 1 )</f>
        <v>0</v>
      </c>
      <c r="DA70">
        <f>MAX( 0, MIN(BedPlan[[#This Row],[Expected End of Harvest]], EOMONTH(DA$4, 0)) - MAX(BedPlan[[#This Row],[Beginning of Harvest]], DA$4) + 1 )</f>
        <v>0</v>
      </c>
      <c r="DB70">
        <f>MAX( 0, MIN(BedPlan[[#This Row],[Expected End of Harvest]], EOMONTH(DB$4, 0)) - MAX(BedPlan[[#This Row],[Beginning of Harvest]], DB$4) + 1 )</f>
        <v>0</v>
      </c>
      <c r="DC70">
        <f>MAX( 0, MIN(BedPlan[[#This Row],[Expected End of Harvest]], EOMONTH(DC$4, 0)) - MAX(BedPlan[[#This Row],[Beginning of Harvest]], DC$4) + 1 )</f>
        <v>0</v>
      </c>
      <c r="DD70">
        <f>MAX( 0, MIN(BedPlan[[#This Row],[Expected End of Harvest]], EOMONTH(DD$4, 0)) - MAX(BedPlan[[#This Row],[Beginning of Harvest]], DD$4) + 1 )</f>
        <v>0</v>
      </c>
      <c r="DE70">
        <f>MAX( 0, MIN(BedPlan[[#This Row],[Expected End of Harvest]], EOMONTH(DE$4, 0)) - MAX(BedPlan[[#This Row],[Beginning of Harvest]], DE$4) + 1 )</f>
        <v>0</v>
      </c>
      <c r="DF70">
        <f>MAX( 0, MIN(BedPlan[[#This Row],[Expected End of Harvest]], EOMONTH(DF$4, 0)) - MAX(BedPlan[[#This Row],[Beginning of Harvest]], DF$4) + 1 )</f>
        <v>0</v>
      </c>
      <c r="DG70">
        <f>MAX( 0, MIN(BedPlan[[#This Row],[Expected End of Harvest]], EOMONTH(DG$4, 0)) - MAX(BedPlan[[#This Row],[Beginning of Harvest]], DG$4) + 1 )</f>
        <v>0</v>
      </c>
      <c r="DH70">
        <f>MAX( 0, MIN(BedPlan[[#This Row],[Expected End of Harvest]], EOMONTH(DH$4, 0)) - MAX(BedPlan[[#This Row],[Beginning of Harvest]], DH$4) + 1 )</f>
        <v>0</v>
      </c>
      <c r="DI70" s="257" cm="1">
        <f t="array" ref="DI70">BedPlan[[#This Row],[Harvest Days January 2025]]/SUM(BedPlan[[#This Row],[Harvest Days January 2025]:[Harvest Days December 2026]])*BedPlan[[#This Row],[Revenue]:[Revenue]]</f>
        <v>0</v>
      </c>
      <c r="DJ70" s="257" cm="1">
        <f t="array" ref="DJ70">BedPlan[[#This Row],[Harvest Days February 2025]]/SUM(BedPlan[[#This Row],[Harvest Days January 2025]:[Harvest Days December 2026]])*BedPlan[[#This Row],[Revenue]:[Revenue]]</f>
        <v>0</v>
      </c>
      <c r="DK70" s="257" cm="1">
        <f t="array" ref="DK70">BedPlan[[#This Row],[Harvest Days March 2025]]/SUM(BedPlan[[#This Row],[Harvest Days January 2025]:[Harvest Days December 2026]])*BedPlan[[#This Row],[Revenue]:[Revenue]]</f>
        <v>0</v>
      </c>
      <c r="DL70" s="257" cm="1">
        <f t="array" ref="DL70">BedPlan[[#This Row],[Harvest Days April 2025]]/SUM(BedPlan[[#This Row],[Harvest Days January 2025]:[Harvest Days December 2026]])*BedPlan[[#This Row],[Revenue]:[Revenue]]</f>
        <v>0</v>
      </c>
      <c r="DM70" s="257" cm="1">
        <f t="array" ref="DM70">BedPlan[[#This Row],[Harvest Days May 2025]]/SUM(BedPlan[[#This Row],[Harvest Days January 2025]:[Harvest Days December 2026]])*BedPlan[[#This Row],[Revenue]:[Revenue]]</f>
        <v>520</v>
      </c>
      <c r="DN70" s="257" cm="1">
        <f t="array" ref="DN70">BedPlan[[#This Row],[Harvest Days June 2025]]/SUM(BedPlan[[#This Row],[Harvest Days January 2025]:[Harvest Days December 2026]])*BedPlan[[#This Row],[Revenue]:[Revenue]]</f>
        <v>80</v>
      </c>
      <c r="DO70" s="257" cm="1">
        <f t="array" ref="DO70">BedPlan[[#This Row],[Harvest Days July 2025]]/SUM(BedPlan[[#This Row],[Harvest Days January 2025]:[Harvest Days December 2026]])*BedPlan[[#This Row],[Revenue]:[Revenue]]</f>
        <v>0</v>
      </c>
      <c r="DP70" s="257" cm="1">
        <f t="array" ref="DP70">BedPlan[[#This Row],[Harvest Days August 2025]]/SUM(BedPlan[[#This Row],[Harvest Days January 2025]:[Harvest Days December 2026]])*BedPlan[[#This Row],[Revenue]:[Revenue]]</f>
        <v>0</v>
      </c>
      <c r="DQ70" s="257" cm="1">
        <f t="array" ref="DQ70">BedPlan[[#This Row],[Harvest Days September 2025]]/SUM(BedPlan[[#This Row],[Harvest Days January 2025]:[Harvest Days December 2026]])*BedPlan[[#This Row],[Revenue]:[Revenue]]</f>
        <v>0</v>
      </c>
      <c r="DR70" s="257" cm="1">
        <f t="array" ref="DR70">BedPlan[[#This Row],[Harvest Days October 2025]]/SUM(BedPlan[[#This Row],[Harvest Days January 2025]:[Harvest Days December 2026]])*BedPlan[[#This Row],[Revenue]:[Revenue]]</f>
        <v>0</v>
      </c>
      <c r="DS70" s="257" cm="1">
        <f t="array" ref="DS70">BedPlan[[#This Row],[Harvest Days November 2025]]/SUM(BedPlan[[#This Row],[Harvest Days January 2025]:[Harvest Days December 2026]])*BedPlan[[#This Row],[Revenue]:[Revenue]]</f>
        <v>0</v>
      </c>
      <c r="DT70" s="257" cm="1">
        <f t="array" ref="DT70">BedPlan[[#This Row],[Harvest Days December 2025]]/SUM(BedPlan[[#This Row],[Harvest Days January 2025]:[Harvest Days December 2026]])*BedPlan[[#This Row],[Revenue]:[Revenue]]</f>
        <v>0</v>
      </c>
      <c r="DU70" s="257" cm="1">
        <f t="array" ref="DU70">BedPlan[[#This Row],[Harvest Days January 2026]]/SUM(BedPlan[[#This Row],[Harvest Days January 2025]:[Harvest Days December 2026]])*BedPlan[[#This Row],[Revenue]:[Revenue]]</f>
        <v>0</v>
      </c>
      <c r="DV70" s="257" cm="1">
        <f t="array" ref="DV70">BedPlan[[#This Row],[Harvest Days February 2026]]/SUM(BedPlan[[#This Row],[Harvest Days January 2025]:[Harvest Days December 2026]])*BedPlan[[#This Row],[Revenue]:[Revenue]]</f>
        <v>0</v>
      </c>
      <c r="DW70" s="257" cm="1">
        <f t="array" ref="DW70">BedPlan[[#This Row],[Harvest Days March 2026]]/SUM(BedPlan[[#This Row],[Harvest Days January 2025]:[Harvest Days December 2026]])*BedPlan[[#This Row],[Revenue]:[Revenue]]</f>
        <v>0</v>
      </c>
      <c r="DX70" s="257" cm="1">
        <f t="array" ref="DX70">BedPlan[[#This Row],[Harvest Days April 2026]]/SUM(BedPlan[[#This Row],[Harvest Days January 2025]:[Harvest Days December 2026]])*BedPlan[[#This Row],[Revenue]:[Revenue]]</f>
        <v>0</v>
      </c>
      <c r="DY70" s="257" cm="1">
        <f t="array" ref="DY70">BedPlan[[#This Row],[Harvest Days May 2026]]/SUM(BedPlan[[#This Row],[Harvest Days January 2025]:[Harvest Days December 2026]])*BedPlan[[#This Row],[Revenue]:[Revenue]]</f>
        <v>0</v>
      </c>
      <c r="DZ70" s="257" cm="1">
        <f t="array" ref="DZ70">BedPlan[[#This Row],[Harvest Days June 2026]]/SUM(BedPlan[[#This Row],[Harvest Days January 2025]:[Harvest Days December 2026]])*BedPlan[[#This Row],[Revenue]:[Revenue]]</f>
        <v>0</v>
      </c>
      <c r="EA70" s="257" cm="1">
        <f t="array" ref="EA70">BedPlan[[#This Row],[Harvest Days July 2026]]/SUM(BedPlan[[#This Row],[Harvest Days January 2025]:[Harvest Days December 2026]])*BedPlan[[#This Row],[Revenue]:[Revenue]]</f>
        <v>0</v>
      </c>
      <c r="EB70" s="257" cm="1">
        <f t="array" ref="EB70">BedPlan[[#This Row],[Harvest Days August 2026]]/SUM(BedPlan[[#This Row],[Harvest Days January 2025]:[Harvest Days December 2026]])*BedPlan[[#This Row],[Revenue]:[Revenue]]</f>
        <v>0</v>
      </c>
      <c r="EC70" s="257" cm="1">
        <f t="array" ref="EC70">BedPlan[[#This Row],[Harvest Days September 2026]]/SUM(BedPlan[[#This Row],[Harvest Days January 2025]:[Harvest Days December 2026]])*BedPlan[[#This Row],[Revenue]:[Revenue]]</f>
        <v>0</v>
      </c>
      <c r="ED70" s="257" cm="1">
        <f t="array" ref="ED70">BedPlan[[#This Row],[Harvest Days October 2026]]/SUM(BedPlan[[#This Row],[Harvest Days January 2025]:[Harvest Days December 2026]])*BedPlan[[#This Row],[Revenue]:[Revenue]]</f>
        <v>0</v>
      </c>
      <c r="EE70" s="257" cm="1">
        <f t="array" ref="EE70">BedPlan[[#This Row],[Harvest Days November 2026]]/SUM(BedPlan[[#This Row],[Harvest Days January 2025]:[Harvest Days December 2026]])*BedPlan[[#This Row],[Revenue]:[Revenue]]</f>
        <v>0</v>
      </c>
      <c r="EF70" s="257" cm="1">
        <f t="array" ref="EF70">BedPlan[[#This Row],[Harvest Days December 2026]]/SUM(BedPlan[[#This Row],[Harvest Days January 2025]:[Harvest Days December 2026]])*BedPlan[[#This Row],[Revenue]:[Revenue]]</f>
        <v>0</v>
      </c>
      <c r="EG70" t="b">
        <f>SUM(BedPlan[[#This Row],[Revenue January 2025]:[Revenue December 2026]])=BedPlan[[#This Row],[Revenue]]</f>
        <v>1</v>
      </c>
      <c r="EH70" s="30" cm="1">
        <f t="array" ref="EH70">INDEX(Crops[],BedPlan[[#This Row],[Chart Index]],EH$4,1)*BedPlan[[#This Row],['# Of Beds]]</f>
        <v>300</v>
      </c>
      <c r="EI70" s="30" t="str" cm="1">
        <f t="array" ref="EI70">INDEX(Crops[],BedPlan[[#This Row],[Chart Index]],EI$4,1)</f>
        <v>Bulb</v>
      </c>
      <c r="EJ70" s="30" t="str" cm="1">
        <f t="array" ref="EJ70">INDEX(Crops[],BedPlan[[#This Row],[Chart Index]],EJ$4,1)</f>
        <v>Storage Bulb</v>
      </c>
      <c r="EK70" s="30" t="str">
        <f>BedPlan[[#This Row],[Name]]&amp;" "&amp;BedPlan[[#This Row],[Product]]&amp; " - " &amp;BedPlan[[#This Row],[Unit]]</f>
        <v>Kohlrabi Storage Bulb - Bulb</v>
      </c>
      <c r="EL70" s="33" cm="1">
        <f t="array" ref="EL70">BedPlan[[#This Row],[Harvest Days January 2025]]/SUM(BedPlan[[#This Row],[Harvest Days January 2025]:[Harvest Days December 2026]])*BedPlan[[#This Row],[Yield]:[Yield]]</f>
        <v>0</v>
      </c>
      <c r="EM70" s="33" cm="1">
        <f t="array" ref="EM70">BedPlan[[#This Row],[Harvest Days February 2025]]/SUM(BedPlan[[#This Row],[Harvest Days January 2025]:[Harvest Days December 2026]])*BedPlan[[#This Row],[Yield]:[Yield]]</f>
        <v>0</v>
      </c>
      <c r="EN70" s="33" cm="1">
        <f t="array" ref="EN70">BedPlan[[#This Row],[Harvest Days March 2025]]/SUM(BedPlan[[#This Row],[Harvest Days January 2025]:[Harvest Days December 2026]])*BedPlan[[#This Row],[Yield]:[Yield]]</f>
        <v>0</v>
      </c>
      <c r="EO70" s="33" cm="1">
        <f t="array" ref="EO70">BedPlan[[#This Row],[Harvest Days April 2025]]/SUM(BedPlan[[#This Row],[Harvest Days January 2025]:[Harvest Days December 2026]])*BedPlan[[#This Row],[Yield]:[Yield]]</f>
        <v>0</v>
      </c>
      <c r="EP70" s="33" cm="1">
        <f t="array" ref="EP70">BedPlan[[#This Row],[Harvest Days May 2025]]/SUM(BedPlan[[#This Row],[Harvest Days January 2025]:[Harvest Days December 2026]])*BedPlan[[#This Row],[Yield]:[Yield]]</f>
        <v>260</v>
      </c>
      <c r="EQ70" s="33" cm="1">
        <f t="array" ref="EQ70">BedPlan[[#This Row],[Harvest Days June 2025]]/SUM(BedPlan[[#This Row],[Harvest Days January 2025]:[Harvest Days December 2026]])*BedPlan[[#This Row],[Yield]:[Yield]]</f>
        <v>40</v>
      </c>
      <c r="ER70" s="33" cm="1">
        <f t="array" ref="ER70">BedPlan[[#This Row],[Harvest Days July 2025]]/SUM(BedPlan[[#This Row],[Harvest Days January 2025]:[Harvest Days December 2026]])*BedPlan[[#This Row],[Yield]:[Yield]]</f>
        <v>0</v>
      </c>
      <c r="ES70" s="33" cm="1">
        <f t="array" ref="ES70">BedPlan[[#This Row],[Harvest Days August 2025]]/SUM(BedPlan[[#This Row],[Harvest Days January 2025]:[Harvest Days December 2026]])*BedPlan[[#This Row],[Yield]:[Yield]]</f>
        <v>0</v>
      </c>
      <c r="ET70" s="33" cm="1">
        <f t="array" ref="ET70">BedPlan[[#This Row],[Harvest Days September 2025]]/SUM(BedPlan[[#This Row],[Harvest Days January 2025]:[Harvest Days December 2026]])*BedPlan[[#This Row],[Yield]:[Yield]]</f>
        <v>0</v>
      </c>
      <c r="EU70" s="33" cm="1">
        <f t="array" ref="EU70">BedPlan[[#This Row],[Harvest Days October 2025]]/SUM(BedPlan[[#This Row],[Harvest Days January 2025]:[Harvest Days December 2026]])*BedPlan[[#This Row],[Yield]:[Yield]]</f>
        <v>0</v>
      </c>
      <c r="EV70" s="33" cm="1">
        <f t="array" ref="EV70">BedPlan[[#This Row],[Harvest Days November 2025]]/SUM(BedPlan[[#This Row],[Harvest Days January 2025]:[Harvest Days December 2026]])*BedPlan[[#This Row],[Yield]:[Yield]]</f>
        <v>0</v>
      </c>
      <c r="EW70" s="33" cm="1">
        <f t="array" ref="EW70">BedPlan[[#This Row],[Harvest Days December 2025]]/SUM(BedPlan[[#This Row],[Harvest Days January 2025]:[Harvest Days December 2026]])*BedPlan[[#This Row],[Yield]:[Yield]]</f>
        <v>0</v>
      </c>
    </row>
    <row r="71" spans="1:153" ht="15.75" customHeight="1">
      <c r="A71" s="185" t="s">
        <v>3101</v>
      </c>
      <c r="B71" t="s">
        <v>2649</v>
      </c>
      <c r="C71" t="s">
        <v>1474</v>
      </c>
      <c r="D71" cm="1">
        <f t="array" ref="D71">INDEX(Crops[],BedPlan[[#This Row],[Chart Index]],D$4,1)*BedPlan[[#This Row],[Full Bed Equivalent]]</f>
        <v>133.33333333333331</v>
      </c>
      <c r="E71" cm="1">
        <f t="array" ref="E71">INDEX(Crops[],BedPlan[[#This Row],[Chart Index]],E$4,1)*BedPlan[[#This Row],[Full Bed Equivalent]]</f>
        <v>533.33333333333326</v>
      </c>
      <c r="F71" t="str">
        <f>UPPER(LEFT(BedPlan[[#This Row],[Crop]],3))</f>
        <v>LEE</v>
      </c>
      <c r="H71" s="143" t="str" cm="1">
        <f t="array" ref="H71">INDEX(Crops[],BedPlan[[#This Row],[Chart Index]],H$4,1)</f>
        <v>Leek</v>
      </c>
      <c r="I71" t="s">
        <v>2856</v>
      </c>
      <c r="K71" t="str" cm="1">
        <f t="array" ref="K71">IF(ISNUMBER(MATCH(BedPlan[[#This Row],[Variety]],SeedMixes[Name],)),_xlfn.TEXTJOIN(", ",TRUE,_xlfn._xlws.FILTER(SeedMixes[Variety &amp; Company],SeedMixes[Name]=BedPlan[[#This Row],[Variety]])),"")</f>
        <v>King Richard Johnny's, Lancia Osborne, Chinook OG Territorial</v>
      </c>
      <c r="L71" s="33" cm="1">
        <f t="array" ref="L71">INDEX(Crops[],BedPlan[[#This Row],[Chart Index]],L$4,1)*BedPlan[[#This Row],[Full Bed Equivalent]]</f>
        <v>3466.6666666666661</v>
      </c>
      <c r="N71">
        <v>2</v>
      </c>
      <c r="O71">
        <f>MAX(BedPlan[[#This Row],['# Of Beds]],0.5)</f>
        <v>2</v>
      </c>
      <c r="P71" s="31">
        <f>IF(ISNUMBER(BedPlan[[#This Row],[Planned Greenhouse Start Date]]),BedPlan[[#This Row],[Planned Greenhouse Start Date]],BedPlan[[#This Row],[Planned TP or DS Date]])</f>
        <v>45748</v>
      </c>
      <c r="Q71" s="259">
        <f>IF(BedPlan[[#This Row],[Days in Cells]]=0,"",IFERROR(_xlfn.XLOOKUP(BedPlan[[#This Row],[Follows Crop]],BedPlan[Identifier],BedPlan[Expected End of Harvest]) + 1+BedPlan[[#This Row],[Follow Offset]],BedPlan[[#This Row],[Fixed Field Start Date]])-BedPlan[[#This Row],[Days in Cells]])</f>
        <v>45748</v>
      </c>
      <c r="R71" s="259">
        <v>45762</v>
      </c>
      <c r="S71" s="259">
        <f>IF(ISNUMBER(BedPlan[[#This Row],[Actual Greenhouse Date]]),BedPlan[[#This Row],[Actual Greenhouse Date]],BedPlan[[#This Row],[Planned Greenhouse Start Date]])</f>
        <v>45762</v>
      </c>
      <c r="T71" s="259">
        <f>_xlfn.XLOOKUP(BedPlan[[#This Row],[Crop]],Crops[Identifier],Crops[Target Field Date])</f>
        <v>45808</v>
      </c>
      <c r="U71" s="260"/>
      <c r="V71" s="260"/>
      <c r="W7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45822</v>
      </c>
      <c r="X71" s="259">
        <v>45836</v>
      </c>
      <c r="Y71" s="271">
        <f>BedPlan[[#This Row],[Actual TP or DS Date]]-BedPlan[[#This Row],[Planned TP or DS Date]]</f>
        <v>14</v>
      </c>
      <c r="Z71" s="259">
        <f>IF(ISNUMBER(BedPlan[[#This Row],[Actual TP or DS Date]]),BedPlan[[#This Row],[Actual TP or DS Date]],BedPlan[[#This Row],[Planned TP or DS Date]])</f>
        <v>45836</v>
      </c>
      <c r="AA71" s="260"/>
      <c r="AB71" s="259">
        <f>IF(ISNUMBER(BedPlan[[#This Row],[Greenhouse Start Date]]),BedPlan[[#This Row],[Greenhouse Start Date]]+BedPlan[[#This Row],[DTM]],BedPlan[[#This Row],[TP or DS Date]]+BedPlan[[#This Row],[DTM]])</f>
        <v>45904</v>
      </c>
      <c r="AC71" s="259"/>
      <c r="AD71" s="259">
        <f>IF(ISNUMBER(BedPlan[[#This Row],[Actual Beginning of Harvest]]),BedPlan[[#This Row],[Actual Beginning of Harvest]],BedPlan[[#This Row],[Expected Beginning of Harvest]])</f>
        <v>45904</v>
      </c>
      <c r="AE71" s="259">
        <f>BedPlan[[#This Row],[Expected Beginning of Harvest]]+BedPlan[[#This Row],[Harvest Window]]+BedPlan[[#This Row],[Additional Days of Harvest]]</f>
        <v>45932</v>
      </c>
      <c r="AF71" s="259"/>
      <c r="AG71" s="259"/>
      <c r="AH71" s="31" t="b">
        <f>IF(AND( BedPlan[[#This Row],[Expected End of Harvest]] &gt;= DATE(2025, 8, 1), BedPlan[[#This Row],[Beginning of Harvest]] &lt;= DATE(2025, 8, 31) ), TRUE, FALSE)</f>
        <v>0</v>
      </c>
      <c r="AI71" s="31"/>
      <c r="AJ71" s="31">
        <f>IF(ISNUMBER(BedPlan[[#This Row],[Actual End of Harvest]]),BedPlan[[#This Row],[Actual End of Harvest]],BedPlan[[#This Row],[Expected End of Harvest]])</f>
        <v>45932</v>
      </c>
      <c r="AK71" t="b">
        <f>OR(ISNUMBER(BedPlan[[#This Row],[Actual Greenhouse Date]]),ISNUMBER(BedPlan[[#This Row],[Actual TP or DS Date]]))</f>
        <v>1</v>
      </c>
      <c r="AL71" s="52" t="b">
        <f>IF(ISNUMBER(BedPlan[[#This Row],[Planned Greenhouse Start Date]]),OR(ISNUMBER(BedPlan[[#This Row],[Actual TP or DS Date]]),BedPlan[[#This Row],[Failed]]),"-")</f>
        <v>1</v>
      </c>
      <c r="AM71" t="b">
        <f>OR(ISNUMBER(BedPlan[[#This Row],[Actual End of Harvest]]),BedPlan[[#This Row],[Failed]])</f>
        <v>0</v>
      </c>
      <c r="AN71" t="b">
        <f>OR(BedPlan[[#This Row],[Harvest Done]],BedPlan[[#This Row],[Failed]],BedPlan[[#This Row],[Name]]="Tarp")</f>
        <v>0</v>
      </c>
      <c r="AO71" t="b">
        <v>1</v>
      </c>
      <c r="AP71" t="b">
        <v>1</v>
      </c>
      <c r="AS71" s="26">
        <v>45813</v>
      </c>
      <c r="AT71" s="26">
        <v>45813</v>
      </c>
      <c r="AU71" s="26" t="str">
        <f>IF(NOT(ISBLANK(BedPlan[[#This Row],[Amend]])),BedPlan[[#This Row],[Actual TP or DS Date]],"")</f>
        <v/>
      </c>
      <c r="AV71" s="26" t="str">
        <f>IF(BedPlan[[#This Row],[Row Cover]],BedPlan[[#This Row],[Actual TP or DS Date]],"")</f>
        <v/>
      </c>
      <c r="AX71" s="26"/>
      <c r="AZ71" s="26"/>
      <c r="BB71" s="26"/>
      <c r="BC71" s="231" cm="1">
        <f t="array" ref="BC71">INDEX(Crops[],BedPlan[[#This Row],[Chart Index]],BC$4,1)*BedPlan[[#This Row],[Full Bed Equivalent]]</f>
        <v>2666.6666666666661</v>
      </c>
      <c r="BD71" s="231" cm="1">
        <f t="array" ref="BD71">INDEX(Crops[],BedPlan[[#This Row],[Chart Index]],BD$4,1)*BedPlan[[#This Row],[Full Bed Equivalent]]</f>
        <v>24.242424242424239</v>
      </c>
      <c r="BE71" cm="1">
        <f t="array" ref="BE71">INDEX(Crops[],BedPlan[[#This Row],[Chart Index]],BE$4,1)+BedPlan[[#This Row],[Additional Days in Cells]]+BedPlan[[#This Row],[Additional Days In Field]]</f>
        <v>142</v>
      </c>
      <c r="BG71" cm="1">
        <f t="array" ref="BG71">INDEX(Crops[],BedPlan[[#This Row],[Chart Index]],BG$4,1)</f>
        <v>28</v>
      </c>
      <c r="BH71" t="str">
        <f>IF(ISNUMBER(BedPlan[[#This Row],[Planned Greenhouse Start Date]]),"TP","DS")</f>
        <v>TP</v>
      </c>
      <c r="BI71">
        <f>BedPlan[[#This Row],['# Of Beds]]</f>
        <v>2</v>
      </c>
      <c r="BJ71" cm="1">
        <f t="array" ref="BJ71">INDEX(Crops[],BedPlan[[#This Row],[Chart Index]],BJ$4,1)</f>
        <v>60</v>
      </c>
      <c r="BK71" cm="1">
        <f t="array" ref="BK71">INDEX(Crops[],BedPlan[[#This Row],[Chart Index]],BK$4,1)</f>
        <v>4</v>
      </c>
      <c r="BL71" cm="1">
        <f t="array" ref="BL71">INDEX(Crops[],BedPlan[[#This Row],[Chart Index]],BL$4,1)</f>
        <v>9</v>
      </c>
      <c r="BM71" cm="1">
        <f t="array" ref="BM71">INDEX(Crops[],BedPlan[[#This Row],[Chart Index]],BM$4,1)</f>
        <v>5</v>
      </c>
      <c r="BN71" s="32" cm="1">
        <f t="array" ref="BN71">INDEX(Crops[],BedPlan[[#This Row],[Chart Index]],BN$4,1)*BedPlan[[#This Row],[Full Bed Equivalent]]</f>
        <v>533.33333333333326</v>
      </c>
      <c r="BO71" t="str" cm="1">
        <f t="array" ref="BO71">IF(INDEX(Crops[],BedPlan[[#This Row],[Chart Index]],BO$4,1)=0,"",INDEX(Crops[],BedPlan[[#This Row],[Chart Index]],BO$4,1))</f>
        <v/>
      </c>
      <c r="BP71">
        <f>MATCH(BedPlan[[#This Row],[Crop]],Crops[Identifier],FALSE)</f>
        <v>169</v>
      </c>
      <c r="BQ71" t="str" cm="1">
        <f t="array" ref="BQ71">INDEX(Crops[],BedPlan[[#This Row],[Chart Index]],BQ$4,1)</f>
        <v>General</v>
      </c>
      <c r="BR71" t="str" cm="1">
        <f t="array" ref="BR71">INDEX(Crops[],BedPlan[[#This Row],[Chart Index]],BR$4,1)</f>
        <v>Su</v>
      </c>
      <c r="BS71" s="32">
        <f>BedPlan[[#This Row],[Expected Beginning of Harvest]]-DATE(2023,1,1)</f>
        <v>977</v>
      </c>
      <c r="BT71">
        <f>BedPlan[[#This Row],[Expected End of Harvest]]-BedPlan[[#This Row],[Expected Beginning of Harvest]]</f>
        <v>28</v>
      </c>
      <c r="BU71" cm="1">
        <f t="array" ref="BU71">INDEX(Crops[],BedPlan[[#This Row],[Chart Index]],BU$4,1)</f>
        <v>0</v>
      </c>
      <c r="BV71" cm="1">
        <f t="array" ref="BV71">INDEX(Crops[],BedPlan[[#This Row],[Chart Index]],BV$4,1)</f>
        <v>0</v>
      </c>
      <c r="BW71" cm="1">
        <f t="array" ref="BW71">INDEX(Crops[],BedPlan[[#This Row],[Chart Index]],BW$4,1)</f>
        <v>0</v>
      </c>
      <c r="BX71" cm="1">
        <f t="array" ref="BX71">INDEX(Crops[],BedPlan[[#This Row],[Chart Index]],BX$4,1)</f>
        <v>400</v>
      </c>
      <c r="BY71" cm="1">
        <f t="array" ref="BY71">INDEX(Crops[],BedPlan[[#This Row],[Chart Index]],BY$4,1)</f>
        <v>60</v>
      </c>
      <c r="BZ71" s="49" cm="1">
        <f t="array" ref="BZ71">IFERROR(INDEX(Crops[],BedPlan[[#This Row],[Chart Index]],BZ$4,1)*BedPlan[[#This Row],[Full Bed Equivalent]],"")</f>
        <v>1.7333333333333329</v>
      </c>
      <c r="CA71" cm="1">
        <f t="array" ref="CA71">INDEX(Crops[],BedPlan[[#This Row],[Chart Index]],CA$4,1)</f>
        <v>0</v>
      </c>
      <c r="CB71" cm="1">
        <f t="array" ref="CB71">INDEX(Crops[],BedPlan[[#This Row],[Chart Index]],CB$4,1)</f>
        <v>0</v>
      </c>
      <c r="CC71" s="49" t="str" cm="1">
        <f t="array" ref="CC71">IFERROR(INDEX(Crops[],BedPlan[[#This Row],[Chart Index]],CC$4,1)*BedPlan[[#This Row],[Full Bed Equivalent]],"")</f>
        <v/>
      </c>
      <c r="CD71" cm="1">
        <f t="array" ref="CD71">INDEX(Crops[],BedPlan[[#This Row],[Chart Index]],CD$4,1)</f>
        <v>0</v>
      </c>
      <c r="CE71" cm="1">
        <f t="array" ref="CE71">IF(INDEX(Crops[],BedPlan[[#This Row],[Chart Index]],CE$4,1)="",0,INDEX(Crops[],BedPlan[[#This Row],[Chart Index]],CE$4,1))</f>
        <v>0</v>
      </c>
      <c r="CF71" s="49" t="str" cm="1">
        <f t="array" ref="CF71">IFERROR(INDEX(Crops[],BedPlan[[#This Row],[Chart Index]],CF$4,1)*BedPlan[[#This Row],[Full Bed Equivalent]],"")</f>
        <v/>
      </c>
      <c r="CG71" cm="1">
        <f t="array" ref="CG71">IF(INDEX(Crops[],BedPlan[[#This Row],[Chart Index]],CG$4,1)="",0,INDEX(Crops[],BedPlan[[#This Row],[Chart Index]],CG$4,1))</f>
        <v>1.3</v>
      </c>
      <c r="CH71" cm="1">
        <f t="array" ref="CH71">IF(INDEX(Crops[],BedPlan[[#This Row],[Chart Index]],CH$4,1)="",0,INDEX(Crops[],BedPlan[[#This Row],[Chart Index]],CH$4,1))</f>
        <v>0</v>
      </c>
      <c r="CI71" t="str" cm="1">
        <f t="array" ref="CI71">INDEX(Crops[],BedPlan[[#This Row],[Chart Index]],CI$4,1)</f>
        <v>Field</v>
      </c>
      <c r="CJ71" s="30" t="str">
        <f>_xlfn.TEXTJOIN(CHAR(10),FALSE,BedPlan[[#This Row],[Name]],BedPlan[[#This Row],[Variety]],BedPlan[[#This Row],[Company]])</f>
        <v xml:space="preserve">Leek
Summer Leek Mix
</v>
      </c>
      <c r="CK71" s="32">
        <f>MAX( 0, MIN(BedPlan[[#This Row],[Expected End of Harvest]], EOMONTH(CK$4, 0)) - MAX(BedPlan[[#This Row],[Beginning of Harvest]], CK$4) + 1 )</f>
        <v>0</v>
      </c>
      <c r="CL71">
        <f>MAX( 0, MIN(BedPlan[[#This Row],[Expected End of Harvest]], EOMONTH(CL$4, 0)) - MAX(BedPlan[[#This Row],[Beginning of Harvest]], CL$4) + 1 )</f>
        <v>0</v>
      </c>
      <c r="CM71">
        <f>MAX( 0, MIN(BedPlan[[#This Row],[Expected End of Harvest]], EOMONTH(CM$4, 0)) - MAX(BedPlan[[#This Row],[Beginning of Harvest]], CM$4) + 1 )</f>
        <v>0</v>
      </c>
      <c r="CN71">
        <f>MAX( 0, MIN(BedPlan[[#This Row],[Expected End of Harvest]], EOMONTH(CN$4, 0)) - MAX(BedPlan[[#This Row],[Beginning of Harvest]], CN$4) + 1 )</f>
        <v>0</v>
      </c>
      <c r="CO71">
        <f>MAX( 0, MIN(BedPlan[[#This Row],[Expected End of Harvest]], EOMONTH(CO$4, 0)) - MAX(BedPlan[[#This Row],[Beginning of Harvest]], CO$4) + 1 )</f>
        <v>0</v>
      </c>
      <c r="CP71">
        <f>MAX( 0, MIN(BedPlan[[#This Row],[Expected End of Harvest]], EOMONTH(CP$4, 0)) - MAX(BedPlan[[#This Row],[Beginning of Harvest]], CP$4) + 1 )</f>
        <v>0</v>
      </c>
      <c r="CQ71">
        <f>MAX( 0, MIN(BedPlan[[#This Row],[Expected End of Harvest]], EOMONTH(CQ$4, 0)) - MAX(BedPlan[[#This Row],[Beginning of Harvest]], CQ$4) + 1 )</f>
        <v>0</v>
      </c>
      <c r="CR71">
        <f>MAX( 0, MIN(BedPlan[[#This Row],[Expected End of Harvest]], EOMONTH(CR$4, 0)) - MAX(BedPlan[[#This Row],[Beginning of Harvest]], CR$4) + 1 )</f>
        <v>0</v>
      </c>
      <c r="CS71">
        <f>MAX( 0, MIN(BedPlan[[#This Row],[Expected End of Harvest]], EOMONTH(CS$4, 0)) - MAX(BedPlan[[#This Row],[Beginning of Harvest]], CS$4) + 1 )</f>
        <v>27</v>
      </c>
      <c r="CT71">
        <f>MAX( 0, MIN(BedPlan[[#This Row],[Expected End of Harvest]], EOMONTH(CT$4, 0)) - MAX(BedPlan[[#This Row],[Beginning of Harvest]], CT$4) + 1 )</f>
        <v>2</v>
      </c>
      <c r="CU71">
        <f>MAX( 0, MIN(BedPlan[[#This Row],[Expected End of Harvest]], EOMONTH(CU$4, 0)) - MAX(BedPlan[[#This Row],[Beginning of Harvest]], CU$4) + 1 )</f>
        <v>0</v>
      </c>
      <c r="CV71">
        <f>MAX( 0, MIN(BedPlan[[#This Row],[Expected End of Harvest]], EOMONTH(CV$4, 0)) - MAX(BedPlan[[#This Row],[Beginning of Harvest]], CV$4) + 1 )</f>
        <v>0</v>
      </c>
      <c r="CW71">
        <f>MAX( 0, MIN(BedPlan[[#This Row],[Expected End of Harvest]], EOMONTH(CW$4, 0)) - MAX(BedPlan[[#This Row],[Beginning of Harvest]], CW$4) + 1 )</f>
        <v>0</v>
      </c>
      <c r="CX71">
        <f>MAX( 0, MIN(BedPlan[[#This Row],[Expected End of Harvest]], EOMONTH(CX$4, 0)) - MAX(BedPlan[[#This Row],[Beginning of Harvest]], CX$4) + 1 )</f>
        <v>0</v>
      </c>
      <c r="CY71">
        <f>MAX( 0, MIN(BedPlan[[#This Row],[Expected End of Harvest]], EOMONTH(CY$4, 0)) - MAX(BedPlan[[#This Row],[Beginning of Harvest]], CY$4) + 1 )</f>
        <v>0</v>
      </c>
      <c r="CZ71">
        <f>MAX( 0, MIN(BedPlan[[#This Row],[Expected End of Harvest]], EOMONTH(CZ$4, 0)) - MAX(BedPlan[[#This Row],[Beginning of Harvest]], CZ$4) + 1 )</f>
        <v>0</v>
      </c>
      <c r="DA71">
        <f>MAX( 0, MIN(BedPlan[[#This Row],[Expected End of Harvest]], EOMONTH(DA$4, 0)) - MAX(BedPlan[[#This Row],[Beginning of Harvest]], DA$4) + 1 )</f>
        <v>0</v>
      </c>
      <c r="DB71">
        <f>MAX( 0, MIN(BedPlan[[#This Row],[Expected End of Harvest]], EOMONTH(DB$4, 0)) - MAX(BedPlan[[#This Row],[Beginning of Harvest]], DB$4) + 1 )</f>
        <v>0</v>
      </c>
      <c r="DC71">
        <f>MAX( 0, MIN(BedPlan[[#This Row],[Expected End of Harvest]], EOMONTH(DC$4, 0)) - MAX(BedPlan[[#This Row],[Beginning of Harvest]], DC$4) + 1 )</f>
        <v>0</v>
      </c>
      <c r="DD71">
        <f>MAX( 0, MIN(BedPlan[[#This Row],[Expected End of Harvest]], EOMONTH(DD$4, 0)) - MAX(BedPlan[[#This Row],[Beginning of Harvest]], DD$4) + 1 )</f>
        <v>0</v>
      </c>
      <c r="DE71">
        <f>MAX( 0, MIN(BedPlan[[#This Row],[Expected End of Harvest]], EOMONTH(DE$4, 0)) - MAX(BedPlan[[#This Row],[Beginning of Harvest]], DE$4) + 1 )</f>
        <v>0</v>
      </c>
      <c r="DF71">
        <f>MAX( 0, MIN(BedPlan[[#This Row],[Expected End of Harvest]], EOMONTH(DF$4, 0)) - MAX(BedPlan[[#This Row],[Beginning of Harvest]], DF$4) + 1 )</f>
        <v>0</v>
      </c>
      <c r="DG71">
        <f>MAX( 0, MIN(BedPlan[[#This Row],[Expected End of Harvest]], EOMONTH(DG$4, 0)) - MAX(BedPlan[[#This Row],[Beginning of Harvest]], DG$4) + 1 )</f>
        <v>0</v>
      </c>
      <c r="DH71">
        <f>MAX( 0, MIN(BedPlan[[#This Row],[Expected End of Harvest]], EOMONTH(DH$4, 0)) - MAX(BedPlan[[#This Row],[Beginning of Harvest]], DH$4) + 1 )</f>
        <v>0</v>
      </c>
      <c r="DI71" s="257" cm="1">
        <f t="array" ref="DI71">BedPlan[[#This Row],[Harvest Days January 2025]]/SUM(BedPlan[[#This Row],[Harvest Days January 2025]:[Harvest Days December 2026]])*BedPlan[[#This Row],[Revenue]:[Revenue]]</f>
        <v>0</v>
      </c>
      <c r="DJ71" s="257" cm="1">
        <f t="array" ref="DJ71">BedPlan[[#This Row],[Harvest Days February 2025]]/SUM(BedPlan[[#This Row],[Harvest Days January 2025]:[Harvest Days December 2026]])*BedPlan[[#This Row],[Revenue]:[Revenue]]</f>
        <v>0</v>
      </c>
      <c r="DK71" s="257" cm="1">
        <f t="array" ref="DK71">BedPlan[[#This Row],[Harvest Days March 2025]]/SUM(BedPlan[[#This Row],[Harvest Days January 2025]:[Harvest Days December 2026]])*BedPlan[[#This Row],[Revenue]:[Revenue]]</f>
        <v>0</v>
      </c>
      <c r="DL71" s="257" cm="1">
        <f t="array" ref="DL71">BedPlan[[#This Row],[Harvest Days April 2025]]/SUM(BedPlan[[#This Row],[Harvest Days January 2025]:[Harvest Days December 2026]])*BedPlan[[#This Row],[Revenue]:[Revenue]]</f>
        <v>0</v>
      </c>
      <c r="DM71" s="257" cm="1">
        <f t="array" ref="DM71">BedPlan[[#This Row],[Harvest Days May 2025]]/SUM(BedPlan[[#This Row],[Harvest Days January 2025]:[Harvest Days December 2026]])*BedPlan[[#This Row],[Revenue]:[Revenue]]</f>
        <v>0</v>
      </c>
      <c r="DN71" s="257" cm="1">
        <f t="array" ref="DN71">BedPlan[[#This Row],[Harvest Days June 2025]]/SUM(BedPlan[[#This Row],[Harvest Days January 2025]:[Harvest Days December 2026]])*BedPlan[[#This Row],[Revenue]:[Revenue]]</f>
        <v>0</v>
      </c>
      <c r="DO71" s="257" cm="1">
        <f t="array" ref="DO71">BedPlan[[#This Row],[Harvest Days July 2025]]/SUM(BedPlan[[#This Row],[Harvest Days January 2025]:[Harvest Days December 2026]])*BedPlan[[#This Row],[Revenue]:[Revenue]]</f>
        <v>0</v>
      </c>
      <c r="DP71" s="257" cm="1">
        <f t="array" ref="DP71">BedPlan[[#This Row],[Harvest Days August 2025]]/SUM(BedPlan[[#This Row],[Harvest Days January 2025]:[Harvest Days December 2026]])*BedPlan[[#This Row],[Revenue]:[Revenue]]</f>
        <v>0</v>
      </c>
      <c r="DQ71" s="257" cm="1">
        <f t="array" ref="DQ71">BedPlan[[#This Row],[Harvest Days September 2025]]/SUM(BedPlan[[#This Row],[Harvest Days January 2025]:[Harvest Days December 2026]])*BedPlan[[#This Row],[Revenue]:[Revenue]]</f>
        <v>2482.7586206896544</v>
      </c>
      <c r="DR71" s="257" cm="1">
        <f t="array" ref="DR71">BedPlan[[#This Row],[Harvest Days October 2025]]/SUM(BedPlan[[#This Row],[Harvest Days January 2025]:[Harvest Days December 2026]])*BedPlan[[#This Row],[Revenue]:[Revenue]]</f>
        <v>183.90804597701145</v>
      </c>
      <c r="DS71" s="257" cm="1">
        <f t="array" ref="DS71">BedPlan[[#This Row],[Harvest Days November 2025]]/SUM(BedPlan[[#This Row],[Harvest Days January 2025]:[Harvest Days December 2026]])*BedPlan[[#This Row],[Revenue]:[Revenue]]</f>
        <v>0</v>
      </c>
      <c r="DT71" s="257" cm="1">
        <f t="array" ref="DT71">BedPlan[[#This Row],[Harvest Days December 2025]]/SUM(BedPlan[[#This Row],[Harvest Days January 2025]:[Harvest Days December 2026]])*BedPlan[[#This Row],[Revenue]:[Revenue]]</f>
        <v>0</v>
      </c>
      <c r="DU71" s="257" cm="1">
        <f t="array" ref="DU71">BedPlan[[#This Row],[Harvest Days January 2026]]/SUM(BedPlan[[#This Row],[Harvest Days January 2025]:[Harvest Days December 2026]])*BedPlan[[#This Row],[Revenue]:[Revenue]]</f>
        <v>0</v>
      </c>
      <c r="DV71" s="257" cm="1">
        <f t="array" ref="DV71">BedPlan[[#This Row],[Harvest Days February 2026]]/SUM(BedPlan[[#This Row],[Harvest Days January 2025]:[Harvest Days December 2026]])*BedPlan[[#This Row],[Revenue]:[Revenue]]</f>
        <v>0</v>
      </c>
      <c r="DW71" s="257" cm="1">
        <f t="array" ref="DW71">BedPlan[[#This Row],[Harvest Days March 2026]]/SUM(BedPlan[[#This Row],[Harvest Days January 2025]:[Harvest Days December 2026]])*BedPlan[[#This Row],[Revenue]:[Revenue]]</f>
        <v>0</v>
      </c>
      <c r="DX71" s="257" cm="1">
        <f t="array" ref="DX71">BedPlan[[#This Row],[Harvest Days April 2026]]/SUM(BedPlan[[#This Row],[Harvest Days January 2025]:[Harvest Days December 2026]])*BedPlan[[#This Row],[Revenue]:[Revenue]]</f>
        <v>0</v>
      </c>
      <c r="DY71" s="257" cm="1">
        <f t="array" ref="DY71">BedPlan[[#This Row],[Harvest Days May 2026]]/SUM(BedPlan[[#This Row],[Harvest Days January 2025]:[Harvest Days December 2026]])*BedPlan[[#This Row],[Revenue]:[Revenue]]</f>
        <v>0</v>
      </c>
      <c r="DZ71" s="257" cm="1">
        <f t="array" ref="DZ71">BedPlan[[#This Row],[Harvest Days June 2026]]/SUM(BedPlan[[#This Row],[Harvest Days January 2025]:[Harvest Days December 2026]])*BedPlan[[#This Row],[Revenue]:[Revenue]]</f>
        <v>0</v>
      </c>
      <c r="EA71" s="257" cm="1">
        <f t="array" ref="EA71">BedPlan[[#This Row],[Harvest Days July 2026]]/SUM(BedPlan[[#This Row],[Harvest Days January 2025]:[Harvest Days December 2026]])*BedPlan[[#This Row],[Revenue]:[Revenue]]</f>
        <v>0</v>
      </c>
      <c r="EB71" s="257" cm="1">
        <f t="array" ref="EB71">BedPlan[[#This Row],[Harvest Days August 2026]]/SUM(BedPlan[[#This Row],[Harvest Days January 2025]:[Harvest Days December 2026]])*BedPlan[[#This Row],[Revenue]:[Revenue]]</f>
        <v>0</v>
      </c>
      <c r="EC71" s="257" cm="1">
        <f t="array" ref="EC71">BedPlan[[#This Row],[Harvest Days September 2026]]/SUM(BedPlan[[#This Row],[Harvest Days January 2025]:[Harvest Days December 2026]])*BedPlan[[#This Row],[Revenue]:[Revenue]]</f>
        <v>0</v>
      </c>
      <c r="ED71" s="257" cm="1">
        <f t="array" ref="ED71">BedPlan[[#This Row],[Harvest Days October 2026]]/SUM(BedPlan[[#This Row],[Harvest Days January 2025]:[Harvest Days December 2026]])*BedPlan[[#This Row],[Revenue]:[Revenue]]</f>
        <v>0</v>
      </c>
      <c r="EE71" s="257" cm="1">
        <f t="array" ref="EE71">BedPlan[[#This Row],[Harvest Days November 2026]]/SUM(BedPlan[[#This Row],[Harvest Days January 2025]:[Harvest Days December 2026]])*BedPlan[[#This Row],[Revenue]:[Revenue]]</f>
        <v>0</v>
      </c>
      <c r="EF71" s="257" cm="1">
        <f t="array" ref="EF71">BedPlan[[#This Row],[Harvest Days December 2026]]/SUM(BedPlan[[#This Row],[Harvest Days January 2025]:[Harvest Days December 2026]])*BedPlan[[#This Row],[Revenue]:[Revenue]]</f>
        <v>0</v>
      </c>
      <c r="EG71" t="b">
        <f>SUM(BedPlan[[#This Row],[Revenue January 2025]:[Revenue December 2026]])=BedPlan[[#This Row],[Revenue]]</f>
        <v>1</v>
      </c>
      <c r="EH71" s="30" cm="1">
        <f t="array" ref="EH71">INDEX(Crops[],BedPlan[[#This Row],[Chart Index]],EH$4,1)*BedPlan[[#This Row],['# Of Beds]]</f>
        <v>533.33333333333326</v>
      </c>
      <c r="EI71" s="30" t="str" cm="1">
        <f t="array" ref="EI71">INDEX(Crops[],BedPlan[[#This Row],[Chart Index]],EI$4,1)</f>
        <v>Bunch</v>
      </c>
      <c r="EJ71" s="30" t="str" cm="1">
        <f t="array" ref="EJ71">INDEX(Crops[],BedPlan[[#This Row],[Chart Index]],EJ$4,1)</f>
        <v>Mature Stalk</v>
      </c>
      <c r="EK71" s="30" t="str">
        <f>BedPlan[[#This Row],[Name]]&amp;" "&amp;BedPlan[[#This Row],[Product]]&amp; " - " &amp;BedPlan[[#This Row],[Unit]]</f>
        <v>Leek Mature Stalk - Bunch</v>
      </c>
      <c r="EL71" s="33" cm="1">
        <f t="array" ref="EL71">BedPlan[[#This Row],[Harvest Days January 2025]]/SUM(BedPlan[[#This Row],[Harvest Days January 2025]:[Harvest Days December 2026]])*BedPlan[[#This Row],[Yield]:[Yield]]</f>
        <v>0</v>
      </c>
      <c r="EM71" s="33" cm="1">
        <f t="array" ref="EM71">BedPlan[[#This Row],[Harvest Days February 2025]]/SUM(BedPlan[[#This Row],[Harvest Days January 2025]:[Harvest Days December 2026]])*BedPlan[[#This Row],[Yield]:[Yield]]</f>
        <v>0</v>
      </c>
      <c r="EN71" s="33" cm="1">
        <f t="array" ref="EN71">BedPlan[[#This Row],[Harvest Days March 2025]]/SUM(BedPlan[[#This Row],[Harvest Days January 2025]:[Harvest Days December 2026]])*BedPlan[[#This Row],[Yield]:[Yield]]</f>
        <v>0</v>
      </c>
      <c r="EO71" s="33" cm="1">
        <f t="array" ref="EO71">BedPlan[[#This Row],[Harvest Days April 2025]]/SUM(BedPlan[[#This Row],[Harvest Days January 2025]:[Harvest Days December 2026]])*BedPlan[[#This Row],[Yield]:[Yield]]</f>
        <v>0</v>
      </c>
      <c r="EP71" s="33" cm="1">
        <f t="array" ref="EP71">BedPlan[[#This Row],[Harvest Days May 2025]]/SUM(BedPlan[[#This Row],[Harvest Days January 2025]:[Harvest Days December 2026]])*BedPlan[[#This Row],[Yield]:[Yield]]</f>
        <v>0</v>
      </c>
      <c r="EQ71" s="33" cm="1">
        <f t="array" ref="EQ71">BedPlan[[#This Row],[Harvest Days June 2025]]/SUM(BedPlan[[#This Row],[Harvest Days January 2025]:[Harvest Days December 2026]])*BedPlan[[#This Row],[Yield]:[Yield]]</f>
        <v>0</v>
      </c>
      <c r="ER71" s="33" cm="1">
        <f t="array" ref="ER71">BedPlan[[#This Row],[Harvest Days July 2025]]/SUM(BedPlan[[#This Row],[Harvest Days January 2025]:[Harvest Days December 2026]])*BedPlan[[#This Row],[Yield]:[Yield]]</f>
        <v>0</v>
      </c>
      <c r="ES71" s="33" cm="1">
        <f t="array" ref="ES71">BedPlan[[#This Row],[Harvest Days August 2025]]/SUM(BedPlan[[#This Row],[Harvest Days January 2025]:[Harvest Days December 2026]])*BedPlan[[#This Row],[Yield]:[Yield]]</f>
        <v>0</v>
      </c>
      <c r="ET71" s="33" cm="1">
        <f t="array" ref="ET71">BedPlan[[#This Row],[Harvest Days September 2025]]/SUM(BedPlan[[#This Row],[Harvest Days January 2025]:[Harvest Days December 2026]])*BedPlan[[#This Row],[Yield]:[Yield]]</f>
        <v>496.55172413793093</v>
      </c>
      <c r="EU71" s="33" cm="1">
        <f t="array" ref="EU71">BedPlan[[#This Row],[Harvest Days October 2025]]/SUM(BedPlan[[#This Row],[Harvest Days January 2025]:[Harvest Days December 2026]])*BedPlan[[#This Row],[Yield]:[Yield]]</f>
        <v>36.781609195402297</v>
      </c>
      <c r="EV71" s="33" cm="1">
        <f t="array" ref="EV71">BedPlan[[#This Row],[Harvest Days November 2025]]/SUM(BedPlan[[#This Row],[Harvest Days January 2025]:[Harvest Days December 2026]])*BedPlan[[#This Row],[Yield]:[Yield]]</f>
        <v>0</v>
      </c>
      <c r="EW71" s="33" cm="1">
        <f t="array" ref="EW71">BedPlan[[#This Row],[Harvest Days December 2025]]/SUM(BedPlan[[#This Row],[Harvest Days January 2025]:[Harvest Days December 2026]])*BedPlan[[#This Row],[Yield]:[Yield]]</f>
        <v>0</v>
      </c>
    </row>
    <row r="72" spans="1:153" ht="15.75" customHeight="1">
      <c r="A72" s="184" t="s">
        <v>402</v>
      </c>
      <c r="B72" t="s">
        <v>2650</v>
      </c>
      <c r="C72" t="s">
        <v>1485</v>
      </c>
      <c r="D72" cm="1">
        <f t="array" ref="D72">INDEX(Crops[],BedPlan[[#This Row],[Chart Index]],D$4,1)*BedPlan[[#This Row],[Full Bed Equivalent]]</f>
        <v>80</v>
      </c>
      <c r="E72" cm="1">
        <f t="array" ref="E72">INDEX(Crops[],BedPlan[[#This Row],[Chart Index]],E$4,1)*BedPlan[[#This Row],[Full Bed Equivalent]]</f>
        <v>800</v>
      </c>
      <c r="F72" t="str">
        <f>UPPER(LEFT(BedPlan[[#This Row],[Crop]],3))</f>
        <v>LEM</v>
      </c>
      <c r="H72" s="143" t="str" cm="1">
        <f t="array" ref="H72">INDEX(Crops[],BedPlan[[#This Row],[Chart Index]],H$4,1)</f>
        <v>Lemongrass</v>
      </c>
      <c r="I72" t="s">
        <v>1877</v>
      </c>
      <c r="J72" t="s">
        <v>490</v>
      </c>
      <c r="K72" t="str" cm="1">
        <f t="array" ref="K72">IF(ISNUMBER(MATCH(BedPlan[[#This Row],[Variety]],SeedMixes[Name],)),_xlfn.TEXTJOIN(", ",TRUE,_xlfn._xlws.FILTER(SeedMixes[Variety &amp; Company],SeedMixes[Name]=BedPlan[[#This Row],[Variety]])),"")</f>
        <v/>
      </c>
      <c r="L72" s="33" cm="1">
        <f t="array" ref="L72">INDEX(Crops[],BedPlan[[#This Row],[Chart Index]],L$4,1)*BedPlan[[#This Row],[Full Bed Equivalent]]</f>
        <v>130</v>
      </c>
      <c r="N72">
        <v>1</v>
      </c>
      <c r="O72">
        <f>MAX(BedPlan[[#This Row],['# Of Beds]],0.5)</f>
        <v>1</v>
      </c>
      <c r="P72" s="31">
        <f>IF(ISNUMBER(BedPlan[[#This Row],[Planned Greenhouse Start Date]]),BedPlan[[#This Row],[Planned Greenhouse Start Date]],BedPlan[[#This Row],[Planned TP or DS Date]])</f>
        <v>45738</v>
      </c>
      <c r="Q72" s="259">
        <f>IF(BedPlan[[#This Row],[Days in Cells]]=0,"",IFERROR(_xlfn.XLOOKUP(BedPlan[[#This Row],[Follows Crop]],BedPlan[Identifier],BedPlan[Expected End of Harvest]) + 1+BedPlan[[#This Row],[Follow Offset]],BedPlan[[#This Row],[Fixed Field Start Date]])-BedPlan[[#This Row],[Days in Cells]])</f>
        <v>45738</v>
      </c>
      <c r="R72" s="259">
        <v>45748</v>
      </c>
      <c r="S72" s="259">
        <f>IF(ISNUMBER(BedPlan[[#This Row],[Actual Greenhouse Date]]),BedPlan[[#This Row],[Actual Greenhouse Date]],BedPlan[[#This Row],[Planned Greenhouse Start Date]])</f>
        <v>45748</v>
      </c>
      <c r="T72" s="259">
        <f>_xlfn.XLOOKUP(BedPlan[[#This Row],[Crop]],Crops[Identifier],Crops[Target Field Date])</f>
        <v>45778</v>
      </c>
      <c r="U72" s="260"/>
      <c r="V72" s="260"/>
      <c r="W7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45788</v>
      </c>
      <c r="X72" s="259">
        <v>45808</v>
      </c>
      <c r="Y72" s="271">
        <f>BedPlan[[#This Row],[Actual TP or DS Date]]-BedPlan[[#This Row],[Planned TP or DS Date]]</f>
        <v>20</v>
      </c>
      <c r="Z72" s="259">
        <f>IF(ISNUMBER(BedPlan[[#This Row],[Actual TP or DS Date]]),BedPlan[[#This Row],[Actual TP or DS Date]],BedPlan[[#This Row],[Planned TP or DS Date]])</f>
        <v>45808</v>
      </c>
      <c r="AA72" s="260"/>
      <c r="AB72" s="259">
        <f>IF(ISNUMBER(BedPlan[[#This Row],[Greenhouse Start Date]]),BedPlan[[#This Row],[Greenhouse Start Date]]+BedPlan[[#This Row],[DTM]],BedPlan[[#This Row],[TP or DS Date]]+BedPlan[[#This Row],[DTM]])</f>
        <v>45868</v>
      </c>
      <c r="AC72" s="259"/>
      <c r="AD72" s="259">
        <f>IF(ISNUMBER(BedPlan[[#This Row],[Actual Beginning of Harvest]]),BedPlan[[#This Row],[Actual Beginning of Harvest]],BedPlan[[#This Row],[Expected Beginning of Harvest]])</f>
        <v>45868</v>
      </c>
      <c r="AE72" s="259">
        <f>BedPlan[[#This Row],[Expected Beginning of Harvest]]+BedPlan[[#This Row],[Harvest Window]]+BedPlan[[#This Row],[Additional Days of Harvest]]</f>
        <v>45931</v>
      </c>
      <c r="AF72" s="259"/>
      <c r="AG72" s="259"/>
      <c r="AH72" s="31" t="b">
        <f>IF(AND( BedPlan[[#This Row],[Expected End of Harvest]] &gt;= DATE(2025, 8, 1), BedPlan[[#This Row],[Beginning of Harvest]] &lt;= DATE(2025, 8, 31) ), TRUE, FALSE)</f>
        <v>1</v>
      </c>
      <c r="AI72" s="31"/>
      <c r="AJ72" s="31">
        <f>IF(ISNUMBER(BedPlan[[#This Row],[Actual End of Harvest]]),BedPlan[[#This Row],[Actual End of Harvest]],BedPlan[[#This Row],[Expected End of Harvest]])</f>
        <v>45931</v>
      </c>
      <c r="AK72" t="b">
        <f>OR(ISNUMBER(BedPlan[[#This Row],[Actual Greenhouse Date]]),ISNUMBER(BedPlan[[#This Row],[Actual TP or DS Date]]))</f>
        <v>1</v>
      </c>
      <c r="AL72" s="52" t="b">
        <f>IF(ISNUMBER(BedPlan[[#This Row],[Planned Greenhouse Start Date]]),OR(ISNUMBER(BedPlan[[#This Row],[Actual TP or DS Date]]),BedPlan[[#This Row],[Failed]]),"-")</f>
        <v>1</v>
      </c>
      <c r="AM72" t="b">
        <f>OR(ISNUMBER(BedPlan[[#This Row],[Actual End of Harvest]]),BedPlan[[#This Row],[Failed]])</f>
        <v>0</v>
      </c>
      <c r="AN72" t="b">
        <f>OR(BedPlan[[#This Row],[Harvest Done]],BedPlan[[#This Row],[Failed]],BedPlan[[#This Row],[Name]]="Tarp")</f>
        <v>0</v>
      </c>
      <c r="AQ72" t="s">
        <v>3214</v>
      </c>
      <c r="AS72" s="26" t="str">
        <f>IF(BedPlan[[#This Row],[Broadfork]],BedPlan[[#This Row],[Actual TP or DS Date]],"")</f>
        <v/>
      </c>
      <c r="AT72" s="26" t="str">
        <f>IF(BedPlan[[#This Row],[Tilther]],BedPlan[[#This Row],[Actual TP or DS Date]],"")</f>
        <v/>
      </c>
      <c r="AU72" s="26">
        <f>IF(NOT(ISBLANK(BedPlan[[#This Row],[Amend]])),BedPlan[[#This Row],[Actual TP or DS Date]],"")</f>
        <v>45808</v>
      </c>
      <c r="AV72" s="26" t="str">
        <f>IF(BedPlan[[#This Row],[Row Cover]],BedPlan[[#This Row],[Actual TP or DS Date]],"")</f>
        <v/>
      </c>
      <c r="AX72" s="26"/>
      <c r="AZ72" s="26"/>
      <c r="BB72" s="26"/>
      <c r="BC72" s="231" cm="1">
        <f t="array" ref="BC72">INDEX(Crops[],BedPlan[[#This Row],[Chart Index]],BC$4,1)*BedPlan[[#This Row],[Full Bed Equivalent]]</f>
        <v>2400</v>
      </c>
      <c r="BD72" s="231" cm="1">
        <f t="array" ref="BD72">INDEX(Crops[],BedPlan[[#This Row],[Chart Index]],BD$4,1)*BedPlan[[#This Row],[Full Bed Equivalent]]</f>
        <v>16.783216783216783</v>
      </c>
      <c r="BE72" cm="1">
        <f t="array" ref="BE72">INDEX(Crops[],BedPlan[[#This Row],[Chart Index]],BE$4,1)+BedPlan[[#This Row],[Additional Days in Cells]]+BedPlan[[#This Row],[Additional Days In Field]]</f>
        <v>120</v>
      </c>
      <c r="BG72" cm="1">
        <f t="array" ref="BG72">INDEX(Crops[],BedPlan[[#This Row],[Chart Index]],BG$4,1)</f>
        <v>63</v>
      </c>
      <c r="BH72" t="str">
        <f>IF(ISNUMBER(BedPlan[[#This Row],[Planned Greenhouse Start Date]]),"TP","DS")</f>
        <v>TP</v>
      </c>
      <c r="BI72">
        <f>BedPlan[[#This Row],['# Of Beds]]</f>
        <v>1</v>
      </c>
      <c r="BJ72" cm="1">
        <f t="array" ref="BJ72">INDEX(Crops[],BedPlan[[#This Row],[Chart Index]],BJ$4,1)</f>
        <v>40</v>
      </c>
      <c r="BK72" cm="1">
        <f t="array" ref="BK72">INDEX(Crops[],BedPlan[[#This Row],[Chart Index]],BK$4,1)</f>
        <v>2</v>
      </c>
      <c r="BL72" cm="1">
        <f t="array" ref="BL72">INDEX(Crops[],BedPlan[[#This Row],[Chart Index]],BL$4,1)</f>
        <v>12</v>
      </c>
      <c r="BM72" cm="1">
        <f t="array" ref="BM72">INDEX(Crops[],BedPlan[[#This Row],[Chart Index]],BM$4,1)</f>
        <v>1</v>
      </c>
      <c r="BN72" s="32" cm="1">
        <f t="array" ref="BN72">INDEX(Crops[],BedPlan[[#This Row],[Chart Index]],BN$4,1)*BedPlan[[#This Row],[Full Bed Equivalent]]</f>
        <v>100</v>
      </c>
      <c r="BO72" t="str" cm="1">
        <f t="array" ref="BO72">IF(INDEX(Crops[],BedPlan[[#This Row],[Chart Index]],BO$4,1)=0,"",INDEX(Crops[],BedPlan[[#This Row],[Chart Index]],BO$4,1))</f>
        <v/>
      </c>
      <c r="BP72">
        <f>MATCH(BedPlan[[#This Row],[Crop]],Crops[Identifier],FALSE)</f>
        <v>171</v>
      </c>
      <c r="BQ72" t="str" cm="1">
        <f t="array" ref="BQ72">INDEX(Crops[],BedPlan[[#This Row],[Chart Index]],BQ$4,1)</f>
        <v>General</v>
      </c>
      <c r="BR72" t="str" cm="1">
        <f t="array" ref="BR72">INDEX(Crops[],BedPlan[[#This Row],[Chart Index]],BR$4,1)</f>
        <v>SpSu</v>
      </c>
      <c r="BS72" s="32">
        <f>BedPlan[[#This Row],[Expected Beginning of Harvest]]-DATE(2023,1,1)</f>
        <v>941</v>
      </c>
      <c r="BT72">
        <f>BedPlan[[#This Row],[Expected End of Harvest]]-BedPlan[[#This Row],[Expected Beginning of Harvest]]</f>
        <v>63</v>
      </c>
      <c r="BU72" t="str" cm="1">
        <f t="array" ref="BU72">INDEX(Crops[],BedPlan[[#This Row],[Chart Index]],BU$4,1)</f>
        <v>Herb</v>
      </c>
      <c r="BV72" cm="1">
        <f t="array" ref="BV72">INDEX(Crops[],BedPlan[[#This Row],[Chart Index]],BV$4,1)</f>
        <v>4</v>
      </c>
      <c r="BW72" t="str" cm="1">
        <f t="array" ref="BW72">INDEX(Crops[],BedPlan[[#This Row],[Chart Index]],BW$4,1)</f>
        <v>None</v>
      </c>
      <c r="BX72" cm="1">
        <f t="array" ref="BX72">INDEX(Crops[],BedPlan[[#This Row],[Chart Index]],BX$4,1)</f>
        <v>72</v>
      </c>
      <c r="BY72" cm="1">
        <f t="array" ref="BY72">INDEX(Crops[],BedPlan[[#This Row],[Chart Index]],BY$4,1)</f>
        <v>40</v>
      </c>
      <c r="BZ72" s="49" cm="1">
        <f t="array" ref="BZ72">IFERROR(INDEX(Crops[],BedPlan[[#This Row],[Chart Index]],BZ$4,1)*BedPlan[[#This Row],[Full Bed Equivalent]],"")</f>
        <v>1.8055555555555556</v>
      </c>
      <c r="CA72" cm="1">
        <f t="array" ref="CA72">INDEX(Crops[],BedPlan[[#This Row],[Chart Index]],CA$4,1)</f>
        <v>0</v>
      </c>
      <c r="CB72" cm="1">
        <f t="array" ref="CB72">INDEX(Crops[],BedPlan[[#This Row],[Chart Index]],CB$4,1)</f>
        <v>0</v>
      </c>
      <c r="CC72" s="49" t="str" cm="1">
        <f t="array" ref="CC72">IFERROR(INDEX(Crops[],BedPlan[[#This Row],[Chart Index]],CC$4,1)*BedPlan[[#This Row],[Full Bed Equivalent]],"")</f>
        <v/>
      </c>
      <c r="CD72" cm="1">
        <f t="array" ref="CD72">INDEX(Crops[],BedPlan[[#This Row],[Chart Index]],CD$4,1)</f>
        <v>0</v>
      </c>
      <c r="CE72" cm="1">
        <f t="array" ref="CE72">IF(INDEX(Crops[],BedPlan[[#This Row],[Chart Index]],CE$4,1)="",0,INDEX(Crops[],BedPlan[[#This Row],[Chart Index]],CE$4,1))</f>
        <v>0</v>
      </c>
      <c r="CF72" s="49" t="str" cm="1">
        <f t="array" ref="CF72">IFERROR(INDEX(Crops[],BedPlan[[#This Row],[Chart Index]],CF$4,1)*BedPlan[[#This Row],[Full Bed Equivalent]],"")</f>
        <v/>
      </c>
      <c r="CG72" cm="1">
        <f t="array" ref="CG72">IF(INDEX(Crops[],BedPlan[[#This Row],[Chart Index]],CG$4,1)="",0,INDEX(Crops[],BedPlan[[#This Row],[Chart Index]],CG$4,1))</f>
        <v>1.3</v>
      </c>
      <c r="CH72" cm="1">
        <f t="array" ref="CH72">IF(INDEX(Crops[],BedPlan[[#This Row],[Chart Index]],CH$4,1)="",0,INDEX(Crops[],BedPlan[[#This Row],[Chart Index]],CH$4,1))</f>
        <v>10</v>
      </c>
      <c r="CI72" t="str" cm="1">
        <f t="array" ref="CI72">INDEX(Crops[],BedPlan[[#This Row],[Chart Index]],CI$4,1)</f>
        <v>Field</v>
      </c>
      <c r="CJ72" s="30" t="str">
        <f>_xlfn.TEXTJOIN(CHAR(10),FALSE,BedPlan[[#This Row],[Name]],BedPlan[[#This Row],[Variety]],BedPlan[[#This Row],[Company]])</f>
        <v>Lemongrass
East Indian Lemongrass
Johnny's</v>
      </c>
      <c r="CK72" s="32">
        <f>MAX( 0, MIN(BedPlan[[#This Row],[Expected End of Harvest]], EOMONTH(CK$4, 0)) - MAX(BedPlan[[#This Row],[Beginning of Harvest]], CK$4) + 1 )</f>
        <v>0</v>
      </c>
      <c r="CL72">
        <f>MAX( 0, MIN(BedPlan[[#This Row],[Expected End of Harvest]], EOMONTH(CL$4, 0)) - MAX(BedPlan[[#This Row],[Beginning of Harvest]], CL$4) + 1 )</f>
        <v>0</v>
      </c>
      <c r="CM72">
        <f>MAX( 0, MIN(BedPlan[[#This Row],[Expected End of Harvest]], EOMONTH(CM$4, 0)) - MAX(BedPlan[[#This Row],[Beginning of Harvest]], CM$4) + 1 )</f>
        <v>0</v>
      </c>
      <c r="CN72">
        <f>MAX( 0, MIN(BedPlan[[#This Row],[Expected End of Harvest]], EOMONTH(CN$4, 0)) - MAX(BedPlan[[#This Row],[Beginning of Harvest]], CN$4) + 1 )</f>
        <v>0</v>
      </c>
      <c r="CO72">
        <f>MAX( 0, MIN(BedPlan[[#This Row],[Expected End of Harvest]], EOMONTH(CO$4, 0)) - MAX(BedPlan[[#This Row],[Beginning of Harvest]], CO$4) + 1 )</f>
        <v>0</v>
      </c>
      <c r="CP72">
        <f>MAX( 0, MIN(BedPlan[[#This Row],[Expected End of Harvest]], EOMONTH(CP$4, 0)) - MAX(BedPlan[[#This Row],[Beginning of Harvest]], CP$4) + 1 )</f>
        <v>0</v>
      </c>
      <c r="CQ72">
        <f>MAX( 0, MIN(BedPlan[[#This Row],[Expected End of Harvest]], EOMONTH(CQ$4, 0)) - MAX(BedPlan[[#This Row],[Beginning of Harvest]], CQ$4) + 1 )</f>
        <v>2</v>
      </c>
      <c r="CR72">
        <f>MAX( 0, MIN(BedPlan[[#This Row],[Expected End of Harvest]], EOMONTH(CR$4, 0)) - MAX(BedPlan[[#This Row],[Beginning of Harvest]], CR$4) + 1 )</f>
        <v>31</v>
      </c>
      <c r="CS72">
        <f>MAX( 0, MIN(BedPlan[[#This Row],[Expected End of Harvest]], EOMONTH(CS$4, 0)) - MAX(BedPlan[[#This Row],[Beginning of Harvest]], CS$4) + 1 )</f>
        <v>30</v>
      </c>
      <c r="CT72">
        <f>MAX( 0, MIN(BedPlan[[#This Row],[Expected End of Harvest]], EOMONTH(CT$4, 0)) - MAX(BedPlan[[#This Row],[Beginning of Harvest]], CT$4) + 1 )</f>
        <v>1</v>
      </c>
      <c r="CU72">
        <f>MAX( 0, MIN(BedPlan[[#This Row],[Expected End of Harvest]], EOMONTH(CU$4, 0)) - MAX(BedPlan[[#This Row],[Beginning of Harvest]], CU$4) + 1 )</f>
        <v>0</v>
      </c>
      <c r="CV72">
        <f>MAX( 0, MIN(BedPlan[[#This Row],[Expected End of Harvest]], EOMONTH(CV$4, 0)) - MAX(BedPlan[[#This Row],[Beginning of Harvest]], CV$4) + 1 )</f>
        <v>0</v>
      </c>
      <c r="CW72">
        <f>MAX( 0, MIN(BedPlan[[#This Row],[Expected End of Harvest]], EOMONTH(CW$4, 0)) - MAX(BedPlan[[#This Row],[Beginning of Harvest]], CW$4) + 1 )</f>
        <v>0</v>
      </c>
      <c r="CX72">
        <f>MAX( 0, MIN(BedPlan[[#This Row],[Expected End of Harvest]], EOMONTH(CX$4, 0)) - MAX(BedPlan[[#This Row],[Beginning of Harvest]], CX$4) + 1 )</f>
        <v>0</v>
      </c>
      <c r="CY72">
        <f>MAX( 0, MIN(BedPlan[[#This Row],[Expected End of Harvest]], EOMONTH(CY$4, 0)) - MAX(BedPlan[[#This Row],[Beginning of Harvest]], CY$4) + 1 )</f>
        <v>0</v>
      </c>
      <c r="CZ72">
        <f>MAX( 0, MIN(BedPlan[[#This Row],[Expected End of Harvest]], EOMONTH(CZ$4, 0)) - MAX(BedPlan[[#This Row],[Beginning of Harvest]], CZ$4) + 1 )</f>
        <v>0</v>
      </c>
      <c r="DA72">
        <f>MAX( 0, MIN(BedPlan[[#This Row],[Expected End of Harvest]], EOMONTH(DA$4, 0)) - MAX(BedPlan[[#This Row],[Beginning of Harvest]], DA$4) + 1 )</f>
        <v>0</v>
      </c>
      <c r="DB72">
        <f>MAX( 0, MIN(BedPlan[[#This Row],[Expected End of Harvest]], EOMONTH(DB$4, 0)) - MAX(BedPlan[[#This Row],[Beginning of Harvest]], DB$4) + 1 )</f>
        <v>0</v>
      </c>
      <c r="DC72">
        <f>MAX( 0, MIN(BedPlan[[#This Row],[Expected End of Harvest]], EOMONTH(DC$4, 0)) - MAX(BedPlan[[#This Row],[Beginning of Harvest]], DC$4) + 1 )</f>
        <v>0</v>
      </c>
      <c r="DD72">
        <f>MAX( 0, MIN(BedPlan[[#This Row],[Expected End of Harvest]], EOMONTH(DD$4, 0)) - MAX(BedPlan[[#This Row],[Beginning of Harvest]], DD$4) + 1 )</f>
        <v>0</v>
      </c>
      <c r="DE72">
        <f>MAX( 0, MIN(BedPlan[[#This Row],[Expected End of Harvest]], EOMONTH(DE$4, 0)) - MAX(BedPlan[[#This Row],[Beginning of Harvest]], DE$4) + 1 )</f>
        <v>0</v>
      </c>
      <c r="DF72">
        <f>MAX( 0, MIN(BedPlan[[#This Row],[Expected End of Harvest]], EOMONTH(DF$4, 0)) - MAX(BedPlan[[#This Row],[Beginning of Harvest]], DF$4) + 1 )</f>
        <v>0</v>
      </c>
      <c r="DG72">
        <f>MAX( 0, MIN(BedPlan[[#This Row],[Expected End of Harvest]], EOMONTH(DG$4, 0)) - MAX(BedPlan[[#This Row],[Beginning of Harvest]], DG$4) + 1 )</f>
        <v>0</v>
      </c>
      <c r="DH72">
        <f>MAX( 0, MIN(BedPlan[[#This Row],[Expected End of Harvest]], EOMONTH(DH$4, 0)) - MAX(BedPlan[[#This Row],[Beginning of Harvest]], DH$4) + 1 )</f>
        <v>0</v>
      </c>
      <c r="DI72" s="257" cm="1">
        <f t="array" ref="DI72">BedPlan[[#This Row],[Harvest Days January 2025]]/SUM(BedPlan[[#This Row],[Harvest Days January 2025]:[Harvest Days December 2026]])*BedPlan[[#This Row],[Revenue]:[Revenue]]</f>
        <v>0</v>
      </c>
      <c r="DJ72" s="257" cm="1">
        <f t="array" ref="DJ72">BedPlan[[#This Row],[Harvest Days February 2025]]/SUM(BedPlan[[#This Row],[Harvest Days January 2025]:[Harvest Days December 2026]])*BedPlan[[#This Row],[Revenue]:[Revenue]]</f>
        <v>0</v>
      </c>
      <c r="DK72" s="257" cm="1">
        <f t="array" ref="DK72">BedPlan[[#This Row],[Harvest Days March 2025]]/SUM(BedPlan[[#This Row],[Harvest Days January 2025]:[Harvest Days December 2026]])*BedPlan[[#This Row],[Revenue]:[Revenue]]</f>
        <v>0</v>
      </c>
      <c r="DL72" s="257" cm="1">
        <f t="array" ref="DL72">BedPlan[[#This Row],[Harvest Days April 2025]]/SUM(BedPlan[[#This Row],[Harvest Days January 2025]:[Harvest Days December 2026]])*BedPlan[[#This Row],[Revenue]:[Revenue]]</f>
        <v>0</v>
      </c>
      <c r="DM72" s="257" cm="1">
        <f t="array" ref="DM72">BedPlan[[#This Row],[Harvest Days May 2025]]/SUM(BedPlan[[#This Row],[Harvest Days January 2025]:[Harvest Days December 2026]])*BedPlan[[#This Row],[Revenue]:[Revenue]]</f>
        <v>0</v>
      </c>
      <c r="DN72" s="257" cm="1">
        <f t="array" ref="DN72">BedPlan[[#This Row],[Harvest Days June 2025]]/SUM(BedPlan[[#This Row],[Harvest Days January 2025]:[Harvest Days December 2026]])*BedPlan[[#This Row],[Revenue]:[Revenue]]</f>
        <v>0</v>
      </c>
      <c r="DO72" s="257" cm="1">
        <f t="array" ref="DO72">BedPlan[[#This Row],[Harvest Days July 2025]]/SUM(BedPlan[[#This Row],[Harvest Days January 2025]:[Harvest Days December 2026]])*BedPlan[[#This Row],[Revenue]:[Revenue]]</f>
        <v>75</v>
      </c>
      <c r="DP72" s="257" cm="1">
        <f t="array" ref="DP72">BedPlan[[#This Row],[Harvest Days August 2025]]/SUM(BedPlan[[#This Row],[Harvest Days January 2025]:[Harvest Days December 2026]])*BedPlan[[#This Row],[Revenue]:[Revenue]]</f>
        <v>1162.5</v>
      </c>
      <c r="DQ72" s="257" cm="1">
        <f t="array" ref="DQ72">BedPlan[[#This Row],[Harvest Days September 2025]]/SUM(BedPlan[[#This Row],[Harvest Days January 2025]:[Harvest Days December 2026]])*BedPlan[[#This Row],[Revenue]:[Revenue]]</f>
        <v>1125</v>
      </c>
      <c r="DR72" s="257" cm="1">
        <f t="array" ref="DR72">BedPlan[[#This Row],[Harvest Days October 2025]]/SUM(BedPlan[[#This Row],[Harvest Days January 2025]:[Harvest Days December 2026]])*BedPlan[[#This Row],[Revenue]:[Revenue]]</f>
        <v>37.5</v>
      </c>
      <c r="DS72" s="257" cm="1">
        <f t="array" ref="DS72">BedPlan[[#This Row],[Harvest Days November 2025]]/SUM(BedPlan[[#This Row],[Harvest Days January 2025]:[Harvest Days December 2026]])*BedPlan[[#This Row],[Revenue]:[Revenue]]</f>
        <v>0</v>
      </c>
      <c r="DT72" s="257" cm="1">
        <f t="array" ref="DT72">BedPlan[[#This Row],[Harvest Days December 2025]]/SUM(BedPlan[[#This Row],[Harvest Days January 2025]:[Harvest Days December 2026]])*BedPlan[[#This Row],[Revenue]:[Revenue]]</f>
        <v>0</v>
      </c>
      <c r="DU72" s="257" cm="1">
        <f t="array" ref="DU72">BedPlan[[#This Row],[Harvest Days January 2026]]/SUM(BedPlan[[#This Row],[Harvest Days January 2025]:[Harvest Days December 2026]])*BedPlan[[#This Row],[Revenue]:[Revenue]]</f>
        <v>0</v>
      </c>
      <c r="DV72" s="257" cm="1">
        <f t="array" ref="DV72">BedPlan[[#This Row],[Harvest Days February 2026]]/SUM(BedPlan[[#This Row],[Harvest Days January 2025]:[Harvest Days December 2026]])*BedPlan[[#This Row],[Revenue]:[Revenue]]</f>
        <v>0</v>
      </c>
      <c r="DW72" s="257" cm="1">
        <f t="array" ref="DW72">BedPlan[[#This Row],[Harvest Days March 2026]]/SUM(BedPlan[[#This Row],[Harvest Days January 2025]:[Harvest Days December 2026]])*BedPlan[[#This Row],[Revenue]:[Revenue]]</f>
        <v>0</v>
      </c>
      <c r="DX72" s="257" cm="1">
        <f t="array" ref="DX72">BedPlan[[#This Row],[Harvest Days April 2026]]/SUM(BedPlan[[#This Row],[Harvest Days January 2025]:[Harvest Days December 2026]])*BedPlan[[#This Row],[Revenue]:[Revenue]]</f>
        <v>0</v>
      </c>
      <c r="DY72" s="257" cm="1">
        <f t="array" ref="DY72">BedPlan[[#This Row],[Harvest Days May 2026]]/SUM(BedPlan[[#This Row],[Harvest Days January 2025]:[Harvest Days December 2026]])*BedPlan[[#This Row],[Revenue]:[Revenue]]</f>
        <v>0</v>
      </c>
      <c r="DZ72" s="257" cm="1">
        <f t="array" ref="DZ72">BedPlan[[#This Row],[Harvest Days June 2026]]/SUM(BedPlan[[#This Row],[Harvest Days January 2025]:[Harvest Days December 2026]])*BedPlan[[#This Row],[Revenue]:[Revenue]]</f>
        <v>0</v>
      </c>
      <c r="EA72" s="257" cm="1">
        <f t="array" ref="EA72">BedPlan[[#This Row],[Harvest Days July 2026]]/SUM(BedPlan[[#This Row],[Harvest Days January 2025]:[Harvest Days December 2026]])*BedPlan[[#This Row],[Revenue]:[Revenue]]</f>
        <v>0</v>
      </c>
      <c r="EB72" s="257" cm="1">
        <f t="array" ref="EB72">BedPlan[[#This Row],[Harvest Days August 2026]]/SUM(BedPlan[[#This Row],[Harvest Days January 2025]:[Harvest Days December 2026]])*BedPlan[[#This Row],[Revenue]:[Revenue]]</f>
        <v>0</v>
      </c>
      <c r="EC72" s="257" cm="1">
        <f t="array" ref="EC72">BedPlan[[#This Row],[Harvest Days September 2026]]/SUM(BedPlan[[#This Row],[Harvest Days January 2025]:[Harvest Days December 2026]])*BedPlan[[#This Row],[Revenue]:[Revenue]]</f>
        <v>0</v>
      </c>
      <c r="ED72" s="257" cm="1">
        <f t="array" ref="ED72">BedPlan[[#This Row],[Harvest Days October 2026]]/SUM(BedPlan[[#This Row],[Harvest Days January 2025]:[Harvest Days December 2026]])*BedPlan[[#This Row],[Revenue]:[Revenue]]</f>
        <v>0</v>
      </c>
      <c r="EE72" s="257" cm="1">
        <f t="array" ref="EE72">BedPlan[[#This Row],[Harvest Days November 2026]]/SUM(BedPlan[[#This Row],[Harvest Days January 2025]:[Harvest Days December 2026]])*BedPlan[[#This Row],[Revenue]:[Revenue]]</f>
        <v>0</v>
      </c>
      <c r="EF72" s="257" cm="1">
        <f t="array" ref="EF72">BedPlan[[#This Row],[Harvest Days December 2026]]/SUM(BedPlan[[#This Row],[Harvest Days January 2025]:[Harvest Days December 2026]])*BedPlan[[#This Row],[Revenue]:[Revenue]]</f>
        <v>0</v>
      </c>
      <c r="EG72" t="b">
        <f>SUM(BedPlan[[#This Row],[Revenue January 2025]:[Revenue December 2026]])=BedPlan[[#This Row],[Revenue]]</f>
        <v>1</v>
      </c>
      <c r="EH72" s="30" cm="1">
        <f t="array" ref="EH72">INDEX(Crops[],BedPlan[[#This Row],[Chart Index]],EH$4,1)*BedPlan[[#This Row],['# Of Beds]]</f>
        <v>800</v>
      </c>
      <c r="EI72" s="30" t="str" cm="1">
        <f t="array" ref="EI72">INDEX(Crops[],BedPlan[[#This Row],[Chart Index]],EI$4,1)</f>
        <v>Bunch</v>
      </c>
      <c r="EJ72" s="30" t="str" cm="1">
        <f t="array" ref="EJ72">INDEX(Crops[],BedPlan[[#This Row],[Chart Index]],EJ$4,1)</f>
        <v>Mature Stalks</v>
      </c>
      <c r="EK72" s="30" t="str">
        <f>BedPlan[[#This Row],[Name]]&amp;" "&amp;BedPlan[[#This Row],[Product]]&amp; " - " &amp;BedPlan[[#This Row],[Unit]]</f>
        <v>Lemongrass Mature Stalks - Bunch</v>
      </c>
      <c r="EL72" s="33" cm="1">
        <f t="array" ref="EL72">BedPlan[[#This Row],[Harvest Days January 2025]]/SUM(BedPlan[[#This Row],[Harvest Days January 2025]:[Harvest Days December 2026]])*BedPlan[[#This Row],[Yield]:[Yield]]</f>
        <v>0</v>
      </c>
      <c r="EM72" s="33" cm="1">
        <f t="array" ref="EM72">BedPlan[[#This Row],[Harvest Days February 2025]]/SUM(BedPlan[[#This Row],[Harvest Days January 2025]:[Harvest Days December 2026]])*BedPlan[[#This Row],[Yield]:[Yield]]</f>
        <v>0</v>
      </c>
      <c r="EN72" s="33" cm="1">
        <f t="array" ref="EN72">BedPlan[[#This Row],[Harvest Days March 2025]]/SUM(BedPlan[[#This Row],[Harvest Days January 2025]:[Harvest Days December 2026]])*BedPlan[[#This Row],[Yield]:[Yield]]</f>
        <v>0</v>
      </c>
      <c r="EO72" s="33" cm="1">
        <f t="array" ref="EO72">BedPlan[[#This Row],[Harvest Days April 2025]]/SUM(BedPlan[[#This Row],[Harvest Days January 2025]:[Harvest Days December 2026]])*BedPlan[[#This Row],[Yield]:[Yield]]</f>
        <v>0</v>
      </c>
      <c r="EP72" s="33" cm="1">
        <f t="array" ref="EP72">BedPlan[[#This Row],[Harvest Days May 2025]]/SUM(BedPlan[[#This Row],[Harvest Days January 2025]:[Harvest Days December 2026]])*BedPlan[[#This Row],[Yield]:[Yield]]</f>
        <v>0</v>
      </c>
      <c r="EQ72" s="33" cm="1">
        <f t="array" ref="EQ72">BedPlan[[#This Row],[Harvest Days June 2025]]/SUM(BedPlan[[#This Row],[Harvest Days January 2025]:[Harvest Days December 2026]])*BedPlan[[#This Row],[Yield]:[Yield]]</f>
        <v>0</v>
      </c>
      <c r="ER72" s="33" cm="1">
        <f t="array" ref="ER72">BedPlan[[#This Row],[Harvest Days July 2025]]/SUM(BedPlan[[#This Row],[Harvest Days January 2025]:[Harvest Days December 2026]])*BedPlan[[#This Row],[Yield]:[Yield]]</f>
        <v>25</v>
      </c>
      <c r="ES72" s="33" cm="1">
        <f t="array" ref="ES72">BedPlan[[#This Row],[Harvest Days August 2025]]/SUM(BedPlan[[#This Row],[Harvest Days January 2025]:[Harvest Days December 2026]])*BedPlan[[#This Row],[Yield]:[Yield]]</f>
        <v>387.5</v>
      </c>
      <c r="ET72" s="33" cm="1">
        <f t="array" ref="ET72">BedPlan[[#This Row],[Harvest Days September 2025]]/SUM(BedPlan[[#This Row],[Harvest Days January 2025]:[Harvest Days December 2026]])*BedPlan[[#This Row],[Yield]:[Yield]]</f>
        <v>375</v>
      </c>
      <c r="EU72" s="33" cm="1">
        <f t="array" ref="EU72">BedPlan[[#This Row],[Harvest Days October 2025]]/SUM(BedPlan[[#This Row],[Harvest Days January 2025]:[Harvest Days December 2026]])*BedPlan[[#This Row],[Yield]:[Yield]]</f>
        <v>12.5</v>
      </c>
      <c r="EV72" s="33" cm="1">
        <f t="array" ref="EV72">BedPlan[[#This Row],[Harvest Days November 2025]]/SUM(BedPlan[[#This Row],[Harvest Days January 2025]:[Harvest Days December 2026]])*BedPlan[[#This Row],[Yield]:[Yield]]</f>
        <v>0</v>
      </c>
      <c r="EW72" s="33" cm="1">
        <f t="array" ref="EW72">BedPlan[[#This Row],[Harvest Days December 2025]]/SUM(BedPlan[[#This Row],[Harvest Days January 2025]:[Harvest Days December 2026]])*BedPlan[[#This Row],[Yield]:[Yield]]</f>
        <v>0</v>
      </c>
    </row>
    <row r="73" spans="1:153" ht="15.75" customHeight="1">
      <c r="A73" s="179" t="s">
        <v>2729</v>
      </c>
      <c r="B73" s="240" t="s">
        <v>2730</v>
      </c>
      <c r="C73" t="s">
        <v>1457</v>
      </c>
      <c r="D73" s="226" cm="1">
        <f t="array" ref="D73">INDEX(Crops[],BedPlan[[#This Row],[Chart Index]],D$4,1)*BedPlan[[#This Row],[Full Bed Equivalent]]</f>
        <v>53.333333333333329</v>
      </c>
      <c r="E73" s="226" cm="1">
        <f t="array" ref="E73">INDEX(Crops[],BedPlan[[#This Row],[Chart Index]],E$4,1)*BedPlan[[#This Row],[Full Bed Equivalent]]</f>
        <v>106.66666666666666</v>
      </c>
      <c r="F73" t="str">
        <f>UPPER(LEFT(BedPlan[[#This Row],[Crop]],3))</f>
        <v>LET</v>
      </c>
      <c r="H73" s="143" t="str" cm="1">
        <f t="array" ref="H73">INDEX(Crops[],BedPlan[[#This Row],[Chart Index]],H$4,1)</f>
        <v>Lettuce</v>
      </c>
      <c r="I73" t="s">
        <v>542</v>
      </c>
      <c r="J73" t="s">
        <v>526</v>
      </c>
      <c r="K73" t="str" cm="1">
        <f t="array" ref="K73">IF(ISNUMBER(MATCH(BedPlan[[#This Row],[Variety]],SeedMixes[Name],)),_xlfn.TEXTJOIN(", ",TRUE,_xlfn._xlws.FILTER(SeedMixes[Variety &amp; Company],SeedMixes[Name]=BedPlan[[#This Row],[Variety]])),"")</f>
        <v/>
      </c>
      <c r="L73" s="33" cm="1">
        <f t="array" ref="L73">INDEX(Crops[],BedPlan[[#This Row],[Chart Index]],L$4,1)*BedPlan[[#This Row],[Full Bed Equivalent]]</f>
        <v>180.26666666666665</v>
      </c>
      <c r="N73">
        <v>0.4</v>
      </c>
      <c r="O73">
        <v>1</v>
      </c>
      <c r="P73" s="31">
        <f>IF(ISNUMBER(BedPlan[[#This Row],[Planned Greenhouse Start Date]]),BedPlan[[#This Row],[Planned Greenhouse Start Date]],BedPlan[[#This Row],[Planned TP or DS Date]])</f>
        <v>45728</v>
      </c>
      <c r="Q73" s="259">
        <f>IF(BedPlan[[#This Row],[Days in Cells]]=0,"",IFERROR(_xlfn.XLOOKUP(BedPlan[[#This Row],[Follows Crop]],BedPlan[Identifier],BedPlan[Expected End of Harvest]) + 1+BedPlan[[#This Row],[Follow Offset]],BedPlan[[#This Row],[Fixed Field Start Date]])-BedPlan[[#This Row],[Days in Cells]])</f>
        <v>45728</v>
      </c>
      <c r="R73" s="259">
        <v>45748</v>
      </c>
      <c r="S73" s="259">
        <f>IF(ISNUMBER(BedPlan[[#This Row],[Actual Greenhouse Date]]),BedPlan[[#This Row],[Actual Greenhouse Date]],BedPlan[[#This Row],[Planned Greenhouse Start Date]])</f>
        <v>45748</v>
      </c>
      <c r="T73" s="259">
        <f>_xlfn.XLOOKUP(BedPlan[[#This Row],[Crop]],Crops[Identifier],Crops[Target Field Date])</f>
        <v>45758</v>
      </c>
      <c r="U73" s="260"/>
      <c r="V73" s="260"/>
      <c r="W7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45778</v>
      </c>
      <c r="X73" s="259">
        <v>45787</v>
      </c>
      <c r="Y73" s="271">
        <f>BedPlan[[#This Row],[Actual TP or DS Date]]-BedPlan[[#This Row],[Planned TP or DS Date]]</f>
        <v>9</v>
      </c>
      <c r="Z73" s="259">
        <f>IF(ISNUMBER(BedPlan[[#This Row],[Actual TP or DS Date]]),BedPlan[[#This Row],[Actual TP or DS Date]],BedPlan[[#This Row],[Planned TP or DS Date]])</f>
        <v>45787</v>
      </c>
      <c r="AA73" s="260"/>
      <c r="AB73" s="259">
        <f>IF(ISNUMBER(BedPlan[[#This Row],[Greenhouse Start Date]]),BedPlan[[#This Row],[Greenhouse Start Date]]+BedPlan[[#This Row],[DTM]],BedPlan[[#This Row],[TP or DS Date]]+BedPlan[[#This Row],[DTM]])</f>
        <v>45843</v>
      </c>
      <c r="AC73" s="259"/>
      <c r="AD73" s="259">
        <f>IF(ISNUMBER(BedPlan[[#This Row],[Actual Beginning of Harvest]]),BedPlan[[#This Row],[Actual Beginning of Harvest]],BedPlan[[#This Row],[Expected Beginning of Harvest]])</f>
        <v>45843</v>
      </c>
      <c r="AE73" s="259">
        <f>BedPlan[[#This Row],[Expected Beginning of Harvest]]+BedPlan[[#This Row],[Harvest Window]]+BedPlan[[#This Row],[Additional Days of Harvest]]</f>
        <v>45857</v>
      </c>
      <c r="AF73" s="259"/>
      <c r="AG73" s="259"/>
      <c r="AH73" s="31" t="b">
        <f>IF(AND( BedPlan[[#This Row],[Expected End of Harvest]] &gt;= DATE(2025, 8, 1), BedPlan[[#This Row],[Beginning of Harvest]] &lt;= DATE(2025, 8, 31) ), TRUE, FALSE)</f>
        <v>0</v>
      </c>
      <c r="AI73" s="31"/>
      <c r="AJ73" s="31">
        <f>IF(ISNUMBER(BedPlan[[#This Row],[Actual End of Harvest]]),BedPlan[[#This Row],[Actual End of Harvest]],BedPlan[[#This Row],[Expected End of Harvest]])</f>
        <v>45857</v>
      </c>
      <c r="AK73" t="b">
        <f>OR(ISNUMBER(BedPlan[[#This Row],[Actual Greenhouse Date]]),ISNUMBER(BedPlan[[#This Row],[Actual TP or DS Date]]))</f>
        <v>1</v>
      </c>
      <c r="AL73" s="52" t="b">
        <f>IF(ISNUMBER(BedPlan[[#This Row],[Planned Greenhouse Start Date]]),OR(ISNUMBER(BedPlan[[#This Row],[Actual TP or DS Date]]),BedPlan[[#This Row],[Failed]]),"-")</f>
        <v>1</v>
      </c>
      <c r="AM73" t="b">
        <f>OR(ISNUMBER(BedPlan[[#This Row],[Actual End of Harvest]]),BedPlan[[#This Row],[Failed]])</f>
        <v>0</v>
      </c>
      <c r="AN73" t="b">
        <f>OR(BedPlan[[#This Row],[Harvest Done]],BedPlan[[#This Row],[Failed]],BedPlan[[#This Row],[Name]]="Tarp")</f>
        <v>0</v>
      </c>
      <c r="AO73" t="b">
        <v>1</v>
      </c>
      <c r="AP73" t="b">
        <v>1</v>
      </c>
      <c r="AQ73" t="s">
        <v>3214</v>
      </c>
      <c r="AS73" s="26">
        <f>IF(BedPlan[[#This Row],[Broadfork]],BedPlan[[#This Row],[Actual TP or DS Date]],"")</f>
        <v>45787</v>
      </c>
      <c r="AT73" s="26">
        <f>IF(BedPlan[[#This Row],[Tilther]],BedPlan[[#This Row],[Actual TP or DS Date]],"")</f>
        <v>45787</v>
      </c>
      <c r="AU73" s="26">
        <f>IF(NOT(ISBLANK(BedPlan[[#This Row],[Amend]])),BedPlan[[#This Row],[Actual TP or DS Date]],"")</f>
        <v>45787</v>
      </c>
      <c r="AV73" s="26" t="str">
        <f>IF(BedPlan[[#This Row],[Row Cover]],BedPlan[[#This Row],[Actual TP or DS Date]],"")</f>
        <v/>
      </c>
      <c r="AX73" s="26"/>
      <c r="AZ73" s="26"/>
      <c r="BB73" s="26"/>
      <c r="BC73" s="231" cm="1">
        <f t="array" ref="BC73">INDEX(Crops[],BedPlan[[#This Row],[Chart Index]],BC$4,1)*BedPlan[[#This Row],[Full Bed Equivalent]]</f>
        <v>426.66666666666663</v>
      </c>
      <c r="BD73" s="231" cm="1">
        <f t="array" ref="BD73">INDEX(Crops[],BedPlan[[#This Row],[Chart Index]],BD$4,1)*BedPlan[[#This Row],[Full Bed Equivalent]]</f>
        <v>5.4008438818565399</v>
      </c>
      <c r="BE73" cm="1">
        <f t="array" ref="BE73">INDEX(Crops[],BedPlan[[#This Row],[Chart Index]],BE$4,1)+BedPlan[[#This Row],[Additional Days in Cells]]+BedPlan[[#This Row],[Additional Days In Field]]</f>
        <v>95</v>
      </c>
      <c r="BG73" cm="1">
        <f t="array" ref="BG73">INDEX(Crops[],BedPlan[[#This Row],[Chart Index]],BG$4,1)</f>
        <v>14</v>
      </c>
      <c r="BH73" t="str">
        <f>IF(ISNUMBER(BedPlan[[#This Row],[Planned Greenhouse Start Date]]),"TP","DS")</f>
        <v>TP</v>
      </c>
      <c r="BI73">
        <f>BedPlan[[#This Row],['# Of Beds]]</f>
        <v>0.4</v>
      </c>
      <c r="BJ73" cm="1">
        <f t="array" ref="BJ73">INDEX(Crops[],BedPlan[[#This Row],[Chart Index]],BJ$4,1)</f>
        <v>30</v>
      </c>
      <c r="BK73" cm="1">
        <f t="array" ref="BK73">INDEX(Crops[],BedPlan[[#This Row],[Chart Index]],BK$4,1)</f>
        <v>4</v>
      </c>
      <c r="BL73" cm="1">
        <f t="array" ref="BL73">INDEX(Crops[],BedPlan[[#This Row],[Chart Index]],BL$4,1)</f>
        <v>9</v>
      </c>
      <c r="BM73" cm="1">
        <f t="array" ref="BM73">INDEX(Crops[],BedPlan[[#This Row],[Chart Index]],BM$4,1)</f>
        <v>1</v>
      </c>
      <c r="BN73" s="32" cm="1">
        <f t="array" ref="BN73">INDEX(Crops[],BedPlan[[#This Row],[Chart Index]],BN$4,1)*BedPlan[[#This Row],[Full Bed Equivalent]]</f>
        <v>106.66666666666666</v>
      </c>
      <c r="BO73" t="str" cm="1">
        <f t="array" ref="BO73">IF(INDEX(Crops[],BedPlan[[#This Row],[Chart Index]],BO$4,1)=0,"",INDEX(Crops[],BedPlan[[#This Row],[Chart Index]],BO$4,1))</f>
        <v/>
      </c>
      <c r="BP73">
        <f>MATCH(BedPlan[[#This Row],[Crop]],Crops[Identifier],FALSE)</f>
        <v>174</v>
      </c>
      <c r="BQ73" t="str" cm="1">
        <f t="array" ref="BQ73">INDEX(Crops[],BedPlan[[#This Row],[Chart Index]],BQ$4,1)</f>
        <v>4x9</v>
      </c>
      <c r="BR73" t="str" cm="1">
        <f t="array" ref="BR73">INDEX(Crops[],BedPlan[[#This Row],[Chart Index]],BR$4,1)</f>
        <v>Sp</v>
      </c>
      <c r="BS73" s="32">
        <f>BedPlan[[#This Row],[Expected Beginning of Harvest]]-DATE(2023,1,1)</f>
        <v>916</v>
      </c>
      <c r="BT73">
        <f>BedPlan[[#This Row],[Expected End of Harvest]]-BedPlan[[#This Row],[Expected Beginning of Harvest]]</f>
        <v>14</v>
      </c>
      <c r="BU73" t="str" cm="1">
        <f t="array" ref="BU73">INDEX(Crops[],BedPlan[[#This Row],[Chart Index]],BU$4,1)</f>
        <v>Green</v>
      </c>
      <c r="BV73" cm="1">
        <f t="array" ref="BV73">INDEX(Crops[],BedPlan[[#This Row],[Chart Index]],BV$4,1)</f>
        <v>1</v>
      </c>
      <c r="BW73" t="str" cm="1">
        <f t="array" ref="BW73">INDEX(Crops[],BedPlan[[#This Row],[Chart Index]],BW$4,1)</f>
        <v>None</v>
      </c>
      <c r="BX73" cm="1">
        <f t="array" ref="BX73">INDEX(Crops[],BedPlan[[#This Row],[Chart Index]],BX$4,1)</f>
        <v>128</v>
      </c>
      <c r="BY73" cm="1">
        <f t="array" ref="BY73">INDEX(Crops[],BedPlan[[#This Row],[Chart Index]],BY$4,1)</f>
        <v>30</v>
      </c>
      <c r="BZ73" s="49" cm="1">
        <f t="array" ref="BZ73">IFERROR(INDEX(Crops[],BedPlan[[#This Row],[Chart Index]],BZ$4,1)*BedPlan[[#This Row],[Full Bed Equivalent]],"")</f>
        <v>1.0833333333333333</v>
      </c>
      <c r="CA73" cm="1">
        <f t="array" ref="CA73">INDEX(Crops[],BedPlan[[#This Row],[Chart Index]],CA$4,1)</f>
        <v>0</v>
      </c>
      <c r="CB73" cm="1">
        <f t="array" ref="CB73">INDEX(Crops[],BedPlan[[#This Row],[Chart Index]],CB$4,1)</f>
        <v>0</v>
      </c>
      <c r="CC73" s="49" t="str" cm="1">
        <f t="array" ref="CC73">IFERROR(INDEX(Crops[],BedPlan[[#This Row],[Chart Index]],CC$4,1)*BedPlan[[#This Row],[Full Bed Equivalent]],"")</f>
        <v/>
      </c>
      <c r="CD73" cm="1">
        <f t="array" ref="CD73">INDEX(Crops[],BedPlan[[#This Row],[Chart Index]],CD$4,1)</f>
        <v>0</v>
      </c>
      <c r="CE73" cm="1">
        <f t="array" ref="CE73">IF(INDEX(Crops[],BedPlan[[#This Row],[Chart Index]],CE$4,1)="",0,INDEX(Crops[],BedPlan[[#This Row],[Chart Index]],CE$4,1))</f>
        <v>0</v>
      </c>
      <c r="CF73" s="49" t="str" cm="1">
        <f t="array" ref="CF73">IFERROR(INDEX(Crops[],BedPlan[[#This Row],[Chart Index]],CF$4,1)*BedPlan[[#This Row],[Full Bed Equivalent]],"")</f>
        <v/>
      </c>
      <c r="CG73" cm="1">
        <f t="array" ref="CG73">IF(INDEX(Crops[],BedPlan[[#This Row],[Chart Index]],CG$4,1)="",0,INDEX(Crops[],BedPlan[[#This Row],[Chart Index]],CG$4,1))</f>
        <v>1.3</v>
      </c>
      <c r="CH73" cm="1">
        <f t="array" ref="CH73">IF(INDEX(Crops[],BedPlan[[#This Row],[Chart Index]],CH$4,1)="",0,INDEX(Crops[],BedPlan[[#This Row],[Chart Index]],CH$4,1))</f>
        <v>0</v>
      </c>
      <c r="CI73" t="str" cm="1">
        <f t="array" ref="CI73">INDEX(Crops[],BedPlan[[#This Row],[Chart Index]],CI$4,1)</f>
        <v>Field</v>
      </c>
      <c r="CJ73" s="30" t="str">
        <f>_xlfn.TEXTJOIN(CHAR(10),FALSE,BedPlan[[#This Row],[Name]],BedPlan[[#This Row],[Variety]],BedPlan[[#This Row],[Company]])</f>
        <v>Lettuce
Brown Goldring
Wild Garden</v>
      </c>
      <c r="CK73" s="32">
        <f>MAX( 0, MIN(BedPlan[[#This Row],[Expected End of Harvest]], EOMONTH(CK$4, 0)) - MAX(BedPlan[[#This Row],[Beginning of Harvest]], CK$4) + 1 )</f>
        <v>0</v>
      </c>
      <c r="CL73">
        <f>MAX( 0, MIN(BedPlan[[#This Row],[Expected End of Harvest]], EOMONTH(CL$4, 0)) - MAX(BedPlan[[#This Row],[Beginning of Harvest]], CL$4) + 1 )</f>
        <v>0</v>
      </c>
      <c r="CM73">
        <f>MAX( 0, MIN(BedPlan[[#This Row],[Expected End of Harvest]], EOMONTH(CM$4, 0)) - MAX(BedPlan[[#This Row],[Beginning of Harvest]], CM$4) + 1 )</f>
        <v>0</v>
      </c>
      <c r="CN73">
        <f>MAX( 0, MIN(BedPlan[[#This Row],[Expected End of Harvest]], EOMONTH(CN$4, 0)) - MAX(BedPlan[[#This Row],[Beginning of Harvest]], CN$4) + 1 )</f>
        <v>0</v>
      </c>
      <c r="CO73">
        <f>MAX( 0, MIN(BedPlan[[#This Row],[Expected End of Harvest]], EOMONTH(CO$4, 0)) - MAX(BedPlan[[#This Row],[Beginning of Harvest]], CO$4) + 1 )</f>
        <v>0</v>
      </c>
      <c r="CP73">
        <f>MAX( 0, MIN(BedPlan[[#This Row],[Expected End of Harvest]], EOMONTH(CP$4, 0)) - MAX(BedPlan[[#This Row],[Beginning of Harvest]], CP$4) + 1 )</f>
        <v>0</v>
      </c>
      <c r="CQ73">
        <f>MAX( 0, MIN(BedPlan[[#This Row],[Expected End of Harvest]], EOMONTH(CQ$4, 0)) - MAX(BedPlan[[#This Row],[Beginning of Harvest]], CQ$4) + 1 )</f>
        <v>15</v>
      </c>
      <c r="CR73">
        <f>MAX( 0, MIN(BedPlan[[#This Row],[Expected End of Harvest]], EOMONTH(CR$4, 0)) - MAX(BedPlan[[#This Row],[Beginning of Harvest]], CR$4) + 1 )</f>
        <v>0</v>
      </c>
      <c r="CS73">
        <f>MAX( 0, MIN(BedPlan[[#This Row],[Expected End of Harvest]], EOMONTH(CS$4, 0)) - MAX(BedPlan[[#This Row],[Beginning of Harvest]], CS$4) + 1 )</f>
        <v>0</v>
      </c>
      <c r="CT73">
        <f>MAX( 0, MIN(BedPlan[[#This Row],[Expected End of Harvest]], EOMONTH(CT$4, 0)) - MAX(BedPlan[[#This Row],[Beginning of Harvest]], CT$4) + 1 )</f>
        <v>0</v>
      </c>
      <c r="CU73">
        <f>MAX( 0, MIN(BedPlan[[#This Row],[Expected End of Harvest]], EOMONTH(CU$4, 0)) - MAX(BedPlan[[#This Row],[Beginning of Harvest]], CU$4) + 1 )</f>
        <v>0</v>
      </c>
      <c r="CV73">
        <f>MAX( 0, MIN(BedPlan[[#This Row],[Expected End of Harvest]], EOMONTH(CV$4, 0)) - MAX(BedPlan[[#This Row],[Beginning of Harvest]], CV$4) + 1 )</f>
        <v>0</v>
      </c>
      <c r="CW73">
        <f>MAX( 0, MIN(BedPlan[[#This Row],[Expected End of Harvest]], EOMONTH(CW$4, 0)) - MAX(BedPlan[[#This Row],[Beginning of Harvest]], CW$4) + 1 )</f>
        <v>0</v>
      </c>
      <c r="CX73">
        <f>MAX( 0, MIN(BedPlan[[#This Row],[Expected End of Harvest]], EOMONTH(CX$4, 0)) - MAX(BedPlan[[#This Row],[Beginning of Harvest]], CX$4) + 1 )</f>
        <v>0</v>
      </c>
      <c r="CY73">
        <f>MAX( 0, MIN(BedPlan[[#This Row],[Expected End of Harvest]], EOMONTH(CY$4, 0)) - MAX(BedPlan[[#This Row],[Beginning of Harvest]], CY$4) + 1 )</f>
        <v>0</v>
      </c>
      <c r="CZ73">
        <f>MAX( 0, MIN(BedPlan[[#This Row],[Expected End of Harvest]], EOMONTH(CZ$4, 0)) - MAX(BedPlan[[#This Row],[Beginning of Harvest]], CZ$4) + 1 )</f>
        <v>0</v>
      </c>
      <c r="DA73">
        <f>MAX( 0, MIN(BedPlan[[#This Row],[Expected End of Harvest]], EOMONTH(DA$4, 0)) - MAX(BedPlan[[#This Row],[Beginning of Harvest]], DA$4) + 1 )</f>
        <v>0</v>
      </c>
      <c r="DB73">
        <f>MAX( 0, MIN(BedPlan[[#This Row],[Expected End of Harvest]], EOMONTH(DB$4, 0)) - MAX(BedPlan[[#This Row],[Beginning of Harvest]], DB$4) + 1 )</f>
        <v>0</v>
      </c>
      <c r="DC73">
        <f>MAX( 0, MIN(BedPlan[[#This Row],[Expected End of Harvest]], EOMONTH(DC$4, 0)) - MAX(BedPlan[[#This Row],[Beginning of Harvest]], DC$4) + 1 )</f>
        <v>0</v>
      </c>
      <c r="DD73">
        <f>MAX( 0, MIN(BedPlan[[#This Row],[Expected End of Harvest]], EOMONTH(DD$4, 0)) - MAX(BedPlan[[#This Row],[Beginning of Harvest]], DD$4) + 1 )</f>
        <v>0</v>
      </c>
      <c r="DE73">
        <f>MAX( 0, MIN(BedPlan[[#This Row],[Expected End of Harvest]], EOMONTH(DE$4, 0)) - MAX(BedPlan[[#This Row],[Beginning of Harvest]], DE$4) + 1 )</f>
        <v>0</v>
      </c>
      <c r="DF73">
        <f>MAX( 0, MIN(BedPlan[[#This Row],[Expected End of Harvest]], EOMONTH(DF$4, 0)) - MAX(BedPlan[[#This Row],[Beginning of Harvest]], DF$4) + 1 )</f>
        <v>0</v>
      </c>
      <c r="DG73">
        <f>MAX( 0, MIN(BedPlan[[#This Row],[Expected End of Harvest]], EOMONTH(DG$4, 0)) - MAX(BedPlan[[#This Row],[Beginning of Harvest]], DG$4) + 1 )</f>
        <v>0</v>
      </c>
      <c r="DH73">
        <f>MAX( 0, MIN(BedPlan[[#This Row],[Expected End of Harvest]], EOMONTH(DH$4, 0)) - MAX(BedPlan[[#This Row],[Beginning of Harvest]], DH$4) + 1 )</f>
        <v>0</v>
      </c>
      <c r="DI73" s="257" cm="1">
        <f t="array" ref="DI73">BedPlan[[#This Row],[Harvest Days January 2025]]/SUM(BedPlan[[#This Row],[Harvest Days January 2025]:[Harvest Days December 2026]])*BedPlan[[#This Row],[Revenue]:[Revenue]]</f>
        <v>0</v>
      </c>
      <c r="DJ73" s="257" cm="1">
        <f t="array" ref="DJ73">BedPlan[[#This Row],[Harvest Days February 2025]]/SUM(BedPlan[[#This Row],[Harvest Days January 2025]:[Harvest Days December 2026]])*BedPlan[[#This Row],[Revenue]:[Revenue]]</f>
        <v>0</v>
      </c>
      <c r="DK73" s="257" cm="1">
        <f t="array" ref="DK73">BedPlan[[#This Row],[Harvest Days March 2025]]/SUM(BedPlan[[#This Row],[Harvest Days January 2025]:[Harvest Days December 2026]])*BedPlan[[#This Row],[Revenue]:[Revenue]]</f>
        <v>0</v>
      </c>
      <c r="DL73" s="257" cm="1">
        <f t="array" ref="DL73">BedPlan[[#This Row],[Harvest Days April 2025]]/SUM(BedPlan[[#This Row],[Harvest Days January 2025]:[Harvest Days December 2026]])*BedPlan[[#This Row],[Revenue]:[Revenue]]</f>
        <v>0</v>
      </c>
      <c r="DM73" s="257" cm="1">
        <f t="array" ref="DM73">BedPlan[[#This Row],[Harvest Days May 2025]]/SUM(BedPlan[[#This Row],[Harvest Days January 2025]:[Harvest Days December 2026]])*BedPlan[[#This Row],[Revenue]:[Revenue]]</f>
        <v>0</v>
      </c>
      <c r="DN73" s="257" cm="1">
        <f t="array" ref="DN73">BedPlan[[#This Row],[Harvest Days June 2025]]/SUM(BedPlan[[#This Row],[Harvest Days January 2025]:[Harvest Days December 2026]])*BedPlan[[#This Row],[Revenue]:[Revenue]]</f>
        <v>0</v>
      </c>
      <c r="DO73" s="257" cm="1">
        <f t="array" ref="DO73">BedPlan[[#This Row],[Harvest Days July 2025]]/SUM(BedPlan[[#This Row],[Harvest Days January 2025]:[Harvest Days December 2026]])*BedPlan[[#This Row],[Revenue]:[Revenue]]</f>
        <v>426.66666666666663</v>
      </c>
      <c r="DP73" s="257" cm="1">
        <f t="array" ref="DP73">BedPlan[[#This Row],[Harvest Days August 2025]]/SUM(BedPlan[[#This Row],[Harvest Days January 2025]:[Harvest Days December 2026]])*BedPlan[[#This Row],[Revenue]:[Revenue]]</f>
        <v>0</v>
      </c>
      <c r="DQ73" s="257" cm="1">
        <f t="array" ref="DQ73">BedPlan[[#This Row],[Harvest Days September 2025]]/SUM(BedPlan[[#This Row],[Harvest Days January 2025]:[Harvest Days December 2026]])*BedPlan[[#This Row],[Revenue]:[Revenue]]</f>
        <v>0</v>
      </c>
      <c r="DR73" s="257" cm="1">
        <f t="array" ref="DR73">BedPlan[[#This Row],[Harvest Days October 2025]]/SUM(BedPlan[[#This Row],[Harvest Days January 2025]:[Harvest Days December 2026]])*BedPlan[[#This Row],[Revenue]:[Revenue]]</f>
        <v>0</v>
      </c>
      <c r="DS73" s="257" cm="1">
        <f t="array" ref="DS73">BedPlan[[#This Row],[Harvest Days November 2025]]/SUM(BedPlan[[#This Row],[Harvest Days January 2025]:[Harvest Days December 2026]])*BedPlan[[#This Row],[Revenue]:[Revenue]]</f>
        <v>0</v>
      </c>
      <c r="DT73" s="257" cm="1">
        <f t="array" ref="DT73">BedPlan[[#This Row],[Harvest Days December 2025]]/SUM(BedPlan[[#This Row],[Harvest Days January 2025]:[Harvest Days December 2026]])*BedPlan[[#This Row],[Revenue]:[Revenue]]</f>
        <v>0</v>
      </c>
      <c r="DU73" s="257" cm="1">
        <f t="array" ref="DU73">BedPlan[[#This Row],[Harvest Days January 2026]]/SUM(BedPlan[[#This Row],[Harvest Days January 2025]:[Harvest Days December 2026]])*BedPlan[[#This Row],[Revenue]:[Revenue]]</f>
        <v>0</v>
      </c>
      <c r="DV73" s="257" cm="1">
        <f t="array" ref="DV73">BedPlan[[#This Row],[Harvest Days February 2026]]/SUM(BedPlan[[#This Row],[Harvest Days January 2025]:[Harvest Days December 2026]])*BedPlan[[#This Row],[Revenue]:[Revenue]]</f>
        <v>0</v>
      </c>
      <c r="DW73" s="257" cm="1">
        <f t="array" ref="DW73">BedPlan[[#This Row],[Harvest Days March 2026]]/SUM(BedPlan[[#This Row],[Harvest Days January 2025]:[Harvest Days December 2026]])*BedPlan[[#This Row],[Revenue]:[Revenue]]</f>
        <v>0</v>
      </c>
      <c r="DX73" s="257" cm="1">
        <f t="array" ref="DX73">BedPlan[[#This Row],[Harvest Days April 2026]]/SUM(BedPlan[[#This Row],[Harvest Days January 2025]:[Harvest Days December 2026]])*BedPlan[[#This Row],[Revenue]:[Revenue]]</f>
        <v>0</v>
      </c>
      <c r="DY73" s="257" cm="1">
        <f t="array" ref="DY73">BedPlan[[#This Row],[Harvest Days May 2026]]/SUM(BedPlan[[#This Row],[Harvest Days January 2025]:[Harvest Days December 2026]])*BedPlan[[#This Row],[Revenue]:[Revenue]]</f>
        <v>0</v>
      </c>
      <c r="DZ73" s="257" cm="1">
        <f t="array" ref="DZ73">BedPlan[[#This Row],[Harvest Days June 2026]]/SUM(BedPlan[[#This Row],[Harvest Days January 2025]:[Harvest Days December 2026]])*BedPlan[[#This Row],[Revenue]:[Revenue]]</f>
        <v>0</v>
      </c>
      <c r="EA73" s="257" cm="1">
        <f t="array" ref="EA73">BedPlan[[#This Row],[Harvest Days July 2026]]/SUM(BedPlan[[#This Row],[Harvest Days January 2025]:[Harvest Days December 2026]])*BedPlan[[#This Row],[Revenue]:[Revenue]]</f>
        <v>0</v>
      </c>
      <c r="EB73" s="257" cm="1">
        <f t="array" ref="EB73">BedPlan[[#This Row],[Harvest Days August 2026]]/SUM(BedPlan[[#This Row],[Harvest Days January 2025]:[Harvest Days December 2026]])*BedPlan[[#This Row],[Revenue]:[Revenue]]</f>
        <v>0</v>
      </c>
      <c r="EC73" s="257" cm="1">
        <f t="array" ref="EC73">BedPlan[[#This Row],[Harvest Days September 2026]]/SUM(BedPlan[[#This Row],[Harvest Days January 2025]:[Harvest Days December 2026]])*BedPlan[[#This Row],[Revenue]:[Revenue]]</f>
        <v>0</v>
      </c>
      <c r="ED73" s="257" cm="1">
        <f t="array" ref="ED73">BedPlan[[#This Row],[Harvest Days October 2026]]/SUM(BedPlan[[#This Row],[Harvest Days January 2025]:[Harvest Days December 2026]])*BedPlan[[#This Row],[Revenue]:[Revenue]]</f>
        <v>0</v>
      </c>
      <c r="EE73" s="257" cm="1">
        <f t="array" ref="EE73">BedPlan[[#This Row],[Harvest Days November 2026]]/SUM(BedPlan[[#This Row],[Harvest Days January 2025]:[Harvest Days December 2026]])*BedPlan[[#This Row],[Revenue]:[Revenue]]</f>
        <v>0</v>
      </c>
      <c r="EF73" s="257" cm="1">
        <f t="array" ref="EF73">BedPlan[[#This Row],[Harvest Days December 2026]]/SUM(BedPlan[[#This Row],[Harvest Days January 2025]:[Harvest Days December 2026]])*BedPlan[[#This Row],[Revenue]:[Revenue]]</f>
        <v>0</v>
      </c>
      <c r="EG73" t="b">
        <f>SUM(BedPlan[[#This Row],[Revenue January 2025]:[Revenue December 2026]])=BedPlan[[#This Row],[Revenue]]</f>
        <v>1</v>
      </c>
      <c r="EH73" s="30" cm="1">
        <f t="array" ref="EH73">INDEX(Crops[],BedPlan[[#This Row],[Chart Index]],EH$4,1)*BedPlan[[#This Row],['# Of Beds]]</f>
        <v>106.66666666666666</v>
      </c>
      <c r="EI73" s="30" t="str" cm="1">
        <f t="array" ref="EI73">INDEX(Crops[],BedPlan[[#This Row],[Chart Index]],EI$4,1)</f>
        <v>Head</v>
      </c>
      <c r="EJ73" s="30" t="str" cm="1">
        <f t="array" ref="EJ73">INDEX(Crops[],BedPlan[[#This Row],[Chart Index]],EJ$4,1)</f>
        <v>Mature Head</v>
      </c>
      <c r="EK73" s="30" t="str">
        <f>BedPlan[[#This Row],[Name]]&amp;" "&amp;BedPlan[[#This Row],[Product]]&amp; " - " &amp;BedPlan[[#This Row],[Unit]]</f>
        <v>Lettuce Mature Head - Head</v>
      </c>
      <c r="EL73" s="33" cm="1">
        <f t="array" ref="EL73">BedPlan[[#This Row],[Harvest Days January 2025]]/SUM(BedPlan[[#This Row],[Harvest Days January 2025]:[Harvest Days December 2026]])*BedPlan[[#This Row],[Yield]:[Yield]]</f>
        <v>0</v>
      </c>
      <c r="EM73" s="33" cm="1">
        <f t="array" ref="EM73">BedPlan[[#This Row],[Harvest Days February 2025]]/SUM(BedPlan[[#This Row],[Harvest Days January 2025]:[Harvest Days December 2026]])*BedPlan[[#This Row],[Yield]:[Yield]]</f>
        <v>0</v>
      </c>
      <c r="EN73" s="33" cm="1">
        <f t="array" ref="EN73">BedPlan[[#This Row],[Harvest Days March 2025]]/SUM(BedPlan[[#This Row],[Harvest Days January 2025]:[Harvest Days December 2026]])*BedPlan[[#This Row],[Yield]:[Yield]]</f>
        <v>0</v>
      </c>
      <c r="EO73" s="33" cm="1">
        <f t="array" ref="EO73">BedPlan[[#This Row],[Harvest Days April 2025]]/SUM(BedPlan[[#This Row],[Harvest Days January 2025]:[Harvest Days December 2026]])*BedPlan[[#This Row],[Yield]:[Yield]]</f>
        <v>0</v>
      </c>
      <c r="EP73" s="33" cm="1">
        <f t="array" ref="EP73">BedPlan[[#This Row],[Harvest Days May 2025]]/SUM(BedPlan[[#This Row],[Harvest Days January 2025]:[Harvest Days December 2026]])*BedPlan[[#This Row],[Yield]:[Yield]]</f>
        <v>0</v>
      </c>
      <c r="EQ73" s="33" cm="1">
        <f t="array" ref="EQ73">BedPlan[[#This Row],[Harvest Days June 2025]]/SUM(BedPlan[[#This Row],[Harvest Days January 2025]:[Harvest Days December 2026]])*BedPlan[[#This Row],[Yield]:[Yield]]</f>
        <v>0</v>
      </c>
      <c r="ER73" s="33" cm="1">
        <f t="array" ref="ER73">BedPlan[[#This Row],[Harvest Days July 2025]]/SUM(BedPlan[[#This Row],[Harvest Days January 2025]:[Harvest Days December 2026]])*BedPlan[[#This Row],[Yield]:[Yield]]</f>
        <v>106.66666666666666</v>
      </c>
      <c r="ES73" s="33" cm="1">
        <f t="array" ref="ES73">BedPlan[[#This Row],[Harvest Days August 2025]]/SUM(BedPlan[[#This Row],[Harvest Days January 2025]:[Harvest Days December 2026]])*BedPlan[[#This Row],[Yield]:[Yield]]</f>
        <v>0</v>
      </c>
      <c r="ET73" s="33" cm="1">
        <f t="array" ref="ET73">BedPlan[[#This Row],[Harvest Days September 2025]]/SUM(BedPlan[[#This Row],[Harvest Days January 2025]:[Harvest Days December 2026]])*BedPlan[[#This Row],[Yield]:[Yield]]</f>
        <v>0</v>
      </c>
      <c r="EU73" s="33" cm="1">
        <f t="array" ref="EU73">BedPlan[[#This Row],[Harvest Days October 2025]]/SUM(BedPlan[[#This Row],[Harvest Days January 2025]:[Harvest Days December 2026]])*BedPlan[[#This Row],[Yield]:[Yield]]</f>
        <v>0</v>
      </c>
      <c r="EV73" s="33" cm="1">
        <f t="array" ref="EV73">BedPlan[[#This Row],[Harvest Days November 2025]]/SUM(BedPlan[[#This Row],[Harvest Days January 2025]:[Harvest Days December 2026]])*BedPlan[[#This Row],[Yield]:[Yield]]</f>
        <v>0</v>
      </c>
      <c r="EW73" s="33" cm="1">
        <f t="array" ref="EW73">BedPlan[[#This Row],[Harvest Days December 2025]]/SUM(BedPlan[[#This Row],[Harvest Days January 2025]:[Harvest Days December 2026]])*BedPlan[[#This Row],[Yield]:[Yield]]</f>
        <v>0</v>
      </c>
    </row>
    <row r="74" spans="1:153" ht="15.75" customHeight="1">
      <c r="A74" s="179" t="s">
        <v>2729</v>
      </c>
      <c r="B74" s="240" t="s">
        <v>2731</v>
      </c>
      <c r="C74" t="s">
        <v>1456</v>
      </c>
      <c r="D74" s="226" cm="1">
        <f t="array" ref="D74">INDEX(Crops[],BedPlan[[#This Row],[Chart Index]],D$4,1)*BedPlan[[#This Row],[Full Bed Equivalent]]</f>
        <v>53.333333333333329</v>
      </c>
      <c r="E74" s="226" cm="1">
        <f t="array" ref="E74">INDEX(Crops[],BedPlan[[#This Row],[Chart Index]],E$4,1)*BedPlan[[#This Row],[Full Bed Equivalent]]</f>
        <v>106.66666666666666</v>
      </c>
      <c r="F74" t="str">
        <f>UPPER(LEFT(BedPlan[[#This Row],[Crop]],3))</f>
        <v>LET</v>
      </c>
      <c r="H74" s="143" t="str" cm="1">
        <f t="array" ref="H74">INDEX(Crops[],BedPlan[[#This Row],[Chart Index]],H$4,1)</f>
        <v>Lettuce</v>
      </c>
      <c r="I74" t="s">
        <v>1819</v>
      </c>
      <c r="J74" t="s">
        <v>482</v>
      </c>
      <c r="K74" t="str" cm="1">
        <f t="array" ref="K74">IF(ISNUMBER(MATCH(BedPlan[[#This Row],[Variety]],SeedMixes[Name],)),_xlfn.TEXTJOIN(", ",TRUE,_xlfn._xlws.FILTER(SeedMixes[Variety &amp; Company],SeedMixes[Name]=BedPlan[[#This Row],[Variety]])),"")</f>
        <v/>
      </c>
      <c r="L74" s="33" cm="1">
        <f t="array" ref="L74">INDEX(Crops[],BedPlan[[#This Row],[Chart Index]],L$4,1)*BedPlan[[#This Row],[Full Bed Equivalent]]</f>
        <v>180.26666666666665</v>
      </c>
      <c r="N74">
        <v>0.4</v>
      </c>
      <c r="O74">
        <v>1</v>
      </c>
      <c r="P74" s="31">
        <f>IF(ISNUMBER(BedPlan[[#This Row],[Planned Greenhouse Start Date]]),BedPlan[[#This Row],[Planned Greenhouse Start Date]],BedPlan[[#This Row],[Planned TP or DS Date]])</f>
        <v>45749</v>
      </c>
      <c r="Q74" s="259">
        <f>IF(BedPlan[[#This Row],[Days in Cells]]=0,"",IFERROR(_xlfn.XLOOKUP(BedPlan[[#This Row],[Follows Crop]],BedPlan[Identifier],BedPlan[Expected End of Harvest]) + 1+BedPlan[[#This Row],[Follow Offset]],BedPlan[[#This Row],[Fixed Field Start Date]])-BedPlan[[#This Row],[Days in Cells]])</f>
        <v>45749</v>
      </c>
      <c r="R74" s="259">
        <v>45763</v>
      </c>
      <c r="S74" s="259">
        <f>IF(ISNUMBER(BedPlan[[#This Row],[Actual Greenhouse Date]]),BedPlan[[#This Row],[Actual Greenhouse Date]],BedPlan[[#This Row],[Planned Greenhouse Start Date]])</f>
        <v>45763</v>
      </c>
      <c r="T74" s="259">
        <f>_xlfn.XLOOKUP(BedPlan[[#This Row],[Crop]],Crops[Identifier],Crops[Target Field Date])+21*1</f>
        <v>45779</v>
      </c>
      <c r="U74" s="260"/>
      <c r="V74" s="260"/>
      <c r="W7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74" s="259">
        <v>45787</v>
      </c>
      <c r="Y74" s="271">
        <f>BedPlan[[#This Row],[Actual TP or DS Date]]-BedPlan[[#This Row],[Planned TP or DS Date]]</f>
        <v>-6</v>
      </c>
      <c r="Z74" s="259">
        <f>IF(ISNUMBER(BedPlan[[#This Row],[Actual TP or DS Date]]),BedPlan[[#This Row],[Actual TP or DS Date]],BedPlan[[#This Row],[Planned TP or DS Date]])</f>
        <v>45787</v>
      </c>
      <c r="AA74" s="260">
        <v>-7</v>
      </c>
      <c r="AB74" s="259">
        <f>IF(ISNUMBER(BedPlan[[#This Row],[Greenhouse Start Date]]),BedPlan[[#This Row],[Greenhouse Start Date]]+BedPlan[[#This Row],[DTM]],BedPlan[[#This Row],[TP or DS Date]]+BedPlan[[#This Row],[DTM]])</f>
        <v>45851</v>
      </c>
      <c r="AC74" s="259"/>
      <c r="AD74" s="259">
        <f>IF(ISNUMBER(BedPlan[[#This Row],[Actual Beginning of Harvest]]),BedPlan[[#This Row],[Actual Beginning of Harvest]],BedPlan[[#This Row],[Expected Beginning of Harvest]])</f>
        <v>45851</v>
      </c>
      <c r="AE74" s="259">
        <f>BedPlan[[#This Row],[Expected Beginning of Harvest]]+BedPlan[[#This Row],[Harvest Window]]+BedPlan[[#This Row],[Additional Days of Harvest]]</f>
        <v>45865</v>
      </c>
      <c r="AF74" s="259"/>
      <c r="AG74" s="259"/>
      <c r="AH74" s="31" t="b">
        <f>IF(AND( BedPlan[[#This Row],[Expected End of Harvest]] &gt;= DATE(2025, 8, 1), BedPlan[[#This Row],[Beginning of Harvest]] &lt;= DATE(2025, 8, 31) ), TRUE, FALSE)</f>
        <v>0</v>
      </c>
      <c r="AI74" s="31"/>
      <c r="AJ74" s="31">
        <f>IF(ISNUMBER(BedPlan[[#This Row],[Actual End of Harvest]]),BedPlan[[#This Row],[Actual End of Harvest]],BedPlan[[#This Row],[Expected End of Harvest]])</f>
        <v>45865</v>
      </c>
      <c r="AK74" t="b">
        <f>OR(ISNUMBER(BedPlan[[#This Row],[Actual Greenhouse Date]]),ISNUMBER(BedPlan[[#This Row],[Actual TP or DS Date]]))</f>
        <v>1</v>
      </c>
      <c r="AL74" s="52" t="b">
        <f>IF(ISNUMBER(BedPlan[[#This Row],[Planned Greenhouse Start Date]]),OR(ISNUMBER(BedPlan[[#This Row],[Actual TP or DS Date]]),BedPlan[[#This Row],[Failed]]),"-")</f>
        <v>1</v>
      </c>
      <c r="AM74" t="b">
        <f>OR(ISNUMBER(BedPlan[[#This Row],[Actual End of Harvest]]),BedPlan[[#This Row],[Failed]])</f>
        <v>0</v>
      </c>
      <c r="AN74" t="b">
        <f>OR(BedPlan[[#This Row],[Harvest Done]],BedPlan[[#This Row],[Failed]],BedPlan[[#This Row],[Name]]="Tarp")</f>
        <v>0</v>
      </c>
      <c r="AO74" t="b">
        <v>1</v>
      </c>
      <c r="AP74" t="b">
        <v>1</v>
      </c>
      <c r="AQ74" t="s">
        <v>3214</v>
      </c>
      <c r="AS74" s="26">
        <f>IF(BedPlan[[#This Row],[Broadfork]],BedPlan[[#This Row],[Actual TP or DS Date]],"")</f>
        <v>45787</v>
      </c>
      <c r="AT74" s="26">
        <f>IF(BedPlan[[#This Row],[Tilther]],BedPlan[[#This Row],[Actual TP or DS Date]],"")</f>
        <v>45787</v>
      </c>
      <c r="AU74" s="26">
        <f>IF(NOT(ISBLANK(BedPlan[[#This Row],[Amend]])),BedPlan[[#This Row],[Actual TP or DS Date]],"")</f>
        <v>45787</v>
      </c>
      <c r="AV74" s="26" t="str">
        <f>IF(BedPlan[[#This Row],[Row Cover]],BedPlan[[#This Row],[Actual TP or DS Date]],"")</f>
        <v/>
      </c>
      <c r="AX74" s="26"/>
      <c r="AZ74" s="26"/>
      <c r="BB74" s="26"/>
      <c r="BC74" s="231" cm="1">
        <f t="array" ref="BC74">INDEX(Crops[],BedPlan[[#This Row],[Chart Index]],BC$4,1)*BedPlan[[#This Row],[Full Bed Equivalent]]</f>
        <v>426.66666666666663</v>
      </c>
      <c r="BD74" s="231" cm="1">
        <f t="array" ref="BD74">INDEX(Crops[],BedPlan[[#This Row],[Chart Index]],BD$4,1)*BedPlan[[#This Row],[Full Bed Equivalent]]</f>
        <v>5.4008438818565399</v>
      </c>
      <c r="BE74" cm="1">
        <f t="array" ref="BE74">INDEX(Crops[],BedPlan[[#This Row],[Chart Index]],BE$4,1)+BedPlan[[#This Row],[Additional Days in Cells]]+BedPlan[[#This Row],[Additional Days In Field]]</f>
        <v>88</v>
      </c>
      <c r="BG74" cm="1">
        <f t="array" ref="BG74">INDEX(Crops[],BedPlan[[#This Row],[Chart Index]],BG$4,1)</f>
        <v>14</v>
      </c>
      <c r="BH74" t="str">
        <f>IF(ISNUMBER(BedPlan[[#This Row],[Planned Greenhouse Start Date]]),"TP","DS")</f>
        <v>TP</v>
      </c>
      <c r="BI74">
        <f>BedPlan[[#This Row],['# Of Beds]]</f>
        <v>0.4</v>
      </c>
      <c r="BJ74" cm="1">
        <f t="array" ref="BJ74">INDEX(Crops[],BedPlan[[#This Row],[Chart Index]],BJ$4,1)</f>
        <v>30</v>
      </c>
      <c r="BK74" cm="1">
        <f t="array" ref="BK74">INDEX(Crops[],BedPlan[[#This Row],[Chart Index]],BK$4,1)</f>
        <v>4</v>
      </c>
      <c r="BL74" cm="1">
        <f t="array" ref="BL74">INDEX(Crops[],BedPlan[[#This Row],[Chart Index]],BL$4,1)</f>
        <v>9</v>
      </c>
      <c r="BM74" cm="1">
        <f t="array" ref="BM74">INDEX(Crops[],BedPlan[[#This Row],[Chart Index]],BM$4,1)</f>
        <v>1</v>
      </c>
      <c r="BN74" s="32" cm="1">
        <f t="array" ref="BN74">INDEX(Crops[],BedPlan[[#This Row],[Chart Index]],BN$4,1)*BedPlan[[#This Row],[Full Bed Equivalent]]</f>
        <v>106.66666666666666</v>
      </c>
      <c r="BO74" t="str" cm="1">
        <f t="array" ref="BO74">IF(INDEX(Crops[],BedPlan[[#This Row],[Chart Index]],BO$4,1)=0,"",INDEX(Crops[],BedPlan[[#This Row],[Chart Index]],BO$4,1))</f>
        <v/>
      </c>
      <c r="BP74">
        <f>MATCH(BedPlan[[#This Row],[Crop]],Crops[Identifier],FALSE)</f>
        <v>174</v>
      </c>
      <c r="BQ74" t="str" cm="1">
        <f t="array" ref="BQ74">INDEX(Crops[],BedPlan[[#This Row],[Chart Index]],BQ$4,1)</f>
        <v>4x9</v>
      </c>
      <c r="BR74" t="str" cm="1">
        <f t="array" ref="BR74">INDEX(Crops[],BedPlan[[#This Row],[Chart Index]],BR$4,1)</f>
        <v>Sp</v>
      </c>
      <c r="BS74" s="32">
        <f>BedPlan[[#This Row],[Expected Beginning of Harvest]]-DATE(2023,1,1)</f>
        <v>924</v>
      </c>
      <c r="BT74">
        <f>BedPlan[[#This Row],[Expected End of Harvest]]-BedPlan[[#This Row],[Expected Beginning of Harvest]]</f>
        <v>14</v>
      </c>
      <c r="BU74" t="str" cm="1">
        <f t="array" ref="BU74">INDEX(Crops[],BedPlan[[#This Row],[Chart Index]],BU$4,1)</f>
        <v>Green</v>
      </c>
      <c r="BV74" cm="1">
        <f t="array" ref="BV74">INDEX(Crops[],BedPlan[[#This Row],[Chart Index]],BV$4,1)</f>
        <v>1</v>
      </c>
      <c r="BW74" t="str" cm="1">
        <f t="array" ref="BW74">INDEX(Crops[],BedPlan[[#This Row],[Chart Index]],BW$4,1)</f>
        <v>None</v>
      </c>
      <c r="BX74" cm="1">
        <f t="array" ref="BX74">INDEX(Crops[],BedPlan[[#This Row],[Chart Index]],BX$4,1)</f>
        <v>128</v>
      </c>
      <c r="BY74" cm="1">
        <f t="array" ref="BY74">INDEX(Crops[],BedPlan[[#This Row],[Chart Index]],BY$4,1)</f>
        <v>30</v>
      </c>
      <c r="BZ74" s="49" cm="1">
        <f t="array" ref="BZ74">IFERROR(INDEX(Crops[],BedPlan[[#This Row],[Chart Index]],BZ$4,1)*BedPlan[[#This Row],[Full Bed Equivalent]],"")</f>
        <v>1.0833333333333333</v>
      </c>
      <c r="CA74" cm="1">
        <f t="array" ref="CA74">INDEX(Crops[],BedPlan[[#This Row],[Chart Index]],CA$4,1)</f>
        <v>0</v>
      </c>
      <c r="CB74" cm="1">
        <f t="array" ref="CB74">INDEX(Crops[],BedPlan[[#This Row],[Chart Index]],CB$4,1)</f>
        <v>0</v>
      </c>
      <c r="CC74" s="49" t="str" cm="1">
        <f t="array" ref="CC74">IFERROR(INDEX(Crops[],BedPlan[[#This Row],[Chart Index]],CC$4,1)*BedPlan[[#This Row],[Full Bed Equivalent]],"")</f>
        <v/>
      </c>
      <c r="CD74" cm="1">
        <f t="array" ref="CD74">INDEX(Crops[],BedPlan[[#This Row],[Chart Index]],CD$4,1)</f>
        <v>0</v>
      </c>
      <c r="CE74" cm="1">
        <f t="array" ref="CE74">IF(INDEX(Crops[],BedPlan[[#This Row],[Chart Index]],CE$4,1)="",0,INDEX(Crops[],BedPlan[[#This Row],[Chart Index]],CE$4,1))</f>
        <v>0</v>
      </c>
      <c r="CF74" s="49" t="str" cm="1">
        <f t="array" ref="CF74">IFERROR(INDEX(Crops[],BedPlan[[#This Row],[Chart Index]],CF$4,1)*BedPlan[[#This Row],[Full Bed Equivalent]],"")</f>
        <v/>
      </c>
      <c r="CG74" cm="1">
        <f t="array" ref="CG74">IF(INDEX(Crops[],BedPlan[[#This Row],[Chart Index]],CG$4,1)="",0,INDEX(Crops[],BedPlan[[#This Row],[Chart Index]],CG$4,1))</f>
        <v>1.3</v>
      </c>
      <c r="CH74" cm="1">
        <f t="array" ref="CH74">IF(INDEX(Crops[],BedPlan[[#This Row],[Chart Index]],CH$4,1)="",0,INDEX(Crops[],BedPlan[[#This Row],[Chart Index]],CH$4,1))</f>
        <v>0</v>
      </c>
      <c r="CI74" t="str" cm="1">
        <f t="array" ref="CI74">INDEX(Crops[],BedPlan[[#This Row],[Chart Index]],CI$4,1)</f>
        <v>Field</v>
      </c>
      <c r="CJ74" s="30" t="str">
        <f>_xlfn.TEXTJOIN(CHAR(10),FALSE,BedPlan[[#This Row],[Name]],BedPlan[[#This Row],[Variety]],BedPlan[[#This Row],[Company]])</f>
        <v>Lettuce
Rouge D'Hiver
High Mowing</v>
      </c>
      <c r="CK74" s="32">
        <f>MAX( 0, MIN(BedPlan[[#This Row],[Expected End of Harvest]], EOMONTH(CK$4, 0)) - MAX(BedPlan[[#This Row],[Beginning of Harvest]], CK$4) + 1 )</f>
        <v>0</v>
      </c>
      <c r="CL74">
        <f>MAX( 0, MIN(BedPlan[[#This Row],[Expected End of Harvest]], EOMONTH(CL$4, 0)) - MAX(BedPlan[[#This Row],[Beginning of Harvest]], CL$4) + 1 )</f>
        <v>0</v>
      </c>
      <c r="CM74">
        <f>MAX( 0, MIN(BedPlan[[#This Row],[Expected End of Harvest]], EOMONTH(CM$4, 0)) - MAX(BedPlan[[#This Row],[Beginning of Harvest]], CM$4) + 1 )</f>
        <v>0</v>
      </c>
      <c r="CN74">
        <f>MAX( 0, MIN(BedPlan[[#This Row],[Expected End of Harvest]], EOMONTH(CN$4, 0)) - MAX(BedPlan[[#This Row],[Beginning of Harvest]], CN$4) + 1 )</f>
        <v>0</v>
      </c>
      <c r="CO74">
        <f>MAX( 0, MIN(BedPlan[[#This Row],[Expected End of Harvest]], EOMONTH(CO$4, 0)) - MAX(BedPlan[[#This Row],[Beginning of Harvest]], CO$4) + 1 )</f>
        <v>0</v>
      </c>
      <c r="CP74">
        <f>MAX( 0, MIN(BedPlan[[#This Row],[Expected End of Harvest]], EOMONTH(CP$4, 0)) - MAX(BedPlan[[#This Row],[Beginning of Harvest]], CP$4) + 1 )</f>
        <v>0</v>
      </c>
      <c r="CQ74">
        <f>MAX( 0, MIN(BedPlan[[#This Row],[Expected End of Harvest]], EOMONTH(CQ$4, 0)) - MAX(BedPlan[[#This Row],[Beginning of Harvest]], CQ$4) + 1 )</f>
        <v>15</v>
      </c>
      <c r="CR74">
        <f>MAX( 0, MIN(BedPlan[[#This Row],[Expected End of Harvest]], EOMONTH(CR$4, 0)) - MAX(BedPlan[[#This Row],[Beginning of Harvest]], CR$4) + 1 )</f>
        <v>0</v>
      </c>
      <c r="CS74">
        <f>MAX( 0, MIN(BedPlan[[#This Row],[Expected End of Harvest]], EOMONTH(CS$4, 0)) - MAX(BedPlan[[#This Row],[Beginning of Harvest]], CS$4) + 1 )</f>
        <v>0</v>
      </c>
      <c r="CT74">
        <f>MAX( 0, MIN(BedPlan[[#This Row],[Expected End of Harvest]], EOMONTH(CT$4, 0)) - MAX(BedPlan[[#This Row],[Beginning of Harvest]], CT$4) + 1 )</f>
        <v>0</v>
      </c>
      <c r="CU74">
        <f>MAX( 0, MIN(BedPlan[[#This Row],[Expected End of Harvest]], EOMONTH(CU$4, 0)) - MAX(BedPlan[[#This Row],[Beginning of Harvest]], CU$4) + 1 )</f>
        <v>0</v>
      </c>
      <c r="CV74">
        <f>MAX( 0, MIN(BedPlan[[#This Row],[Expected End of Harvest]], EOMONTH(CV$4, 0)) - MAX(BedPlan[[#This Row],[Beginning of Harvest]], CV$4) + 1 )</f>
        <v>0</v>
      </c>
      <c r="CW74">
        <f>MAX( 0, MIN(BedPlan[[#This Row],[Expected End of Harvest]], EOMONTH(CW$4, 0)) - MAX(BedPlan[[#This Row],[Beginning of Harvest]], CW$4) + 1 )</f>
        <v>0</v>
      </c>
      <c r="CX74">
        <f>MAX( 0, MIN(BedPlan[[#This Row],[Expected End of Harvest]], EOMONTH(CX$4, 0)) - MAX(BedPlan[[#This Row],[Beginning of Harvest]], CX$4) + 1 )</f>
        <v>0</v>
      </c>
      <c r="CY74">
        <f>MAX( 0, MIN(BedPlan[[#This Row],[Expected End of Harvest]], EOMONTH(CY$4, 0)) - MAX(BedPlan[[#This Row],[Beginning of Harvest]], CY$4) + 1 )</f>
        <v>0</v>
      </c>
      <c r="CZ74">
        <f>MAX( 0, MIN(BedPlan[[#This Row],[Expected End of Harvest]], EOMONTH(CZ$4, 0)) - MAX(BedPlan[[#This Row],[Beginning of Harvest]], CZ$4) + 1 )</f>
        <v>0</v>
      </c>
      <c r="DA74">
        <f>MAX( 0, MIN(BedPlan[[#This Row],[Expected End of Harvest]], EOMONTH(DA$4, 0)) - MAX(BedPlan[[#This Row],[Beginning of Harvest]], DA$4) + 1 )</f>
        <v>0</v>
      </c>
      <c r="DB74">
        <f>MAX( 0, MIN(BedPlan[[#This Row],[Expected End of Harvest]], EOMONTH(DB$4, 0)) - MAX(BedPlan[[#This Row],[Beginning of Harvest]], DB$4) + 1 )</f>
        <v>0</v>
      </c>
      <c r="DC74">
        <f>MAX( 0, MIN(BedPlan[[#This Row],[Expected End of Harvest]], EOMONTH(DC$4, 0)) - MAX(BedPlan[[#This Row],[Beginning of Harvest]], DC$4) + 1 )</f>
        <v>0</v>
      </c>
      <c r="DD74">
        <f>MAX( 0, MIN(BedPlan[[#This Row],[Expected End of Harvest]], EOMONTH(DD$4, 0)) - MAX(BedPlan[[#This Row],[Beginning of Harvest]], DD$4) + 1 )</f>
        <v>0</v>
      </c>
      <c r="DE74">
        <f>MAX( 0, MIN(BedPlan[[#This Row],[Expected End of Harvest]], EOMONTH(DE$4, 0)) - MAX(BedPlan[[#This Row],[Beginning of Harvest]], DE$4) + 1 )</f>
        <v>0</v>
      </c>
      <c r="DF74">
        <f>MAX( 0, MIN(BedPlan[[#This Row],[Expected End of Harvest]], EOMONTH(DF$4, 0)) - MAX(BedPlan[[#This Row],[Beginning of Harvest]], DF$4) + 1 )</f>
        <v>0</v>
      </c>
      <c r="DG74">
        <f>MAX( 0, MIN(BedPlan[[#This Row],[Expected End of Harvest]], EOMONTH(DG$4, 0)) - MAX(BedPlan[[#This Row],[Beginning of Harvest]], DG$4) + 1 )</f>
        <v>0</v>
      </c>
      <c r="DH74">
        <f>MAX( 0, MIN(BedPlan[[#This Row],[Expected End of Harvest]], EOMONTH(DH$4, 0)) - MAX(BedPlan[[#This Row],[Beginning of Harvest]], DH$4) + 1 )</f>
        <v>0</v>
      </c>
      <c r="DI74" s="257" cm="1">
        <f t="array" ref="DI74">BedPlan[[#This Row],[Harvest Days January 2025]]/SUM(BedPlan[[#This Row],[Harvest Days January 2025]:[Harvest Days December 2026]])*BedPlan[[#This Row],[Revenue]:[Revenue]]</f>
        <v>0</v>
      </c>
      <c r="DJ74" s="257" cm="1">
        <f t="array" ref="DJ74">BedPlan[[#This Row],[Harvest Days February 2025]]/SUM(BedPlan[[#This Row],[Harvest Days January 2025]:[Harvest Days December 2026]])*BedPlan[[#This Row],[Revenue]:[Revenue]]</f>
        <v>0</v>
      </c>
      <c r="DK74" s="257" cm="1">
        <f t="array" ref="DK74">BedPlan[[#This Row],[Harvest Days March 2025]]/SUM(BedPlan[[#This Row],[Harvest Days January 2025]:[Harvest Days December 2026]])*BedPlan[[#This Row],[Revenue]:[Revenue]]</f>
        <v>0</v>
      </c>
      <c r="DL74" s="257" cm="1">
        <f t="array" ref="DL74">BedPlan[[#This Row],[Harvest Days April 2025]]/SUM(BedPlan[[#This Row],[Harvest Days January 2025]:[Harvest Days December 2026]])*BedPlan[[#This Row],[Revenue]:[Revenue]]</f>
        <v>0</v>
      </c>
      <c r="DM74" s="257" cm="1">
        <f t="array" ref="DM74">BedPlan[[#This Row],[Harvest Days May 2025]]/SUM(BedPlan[[#This Row],[Harvest Days January 2025]:[Harvest Days December 2026]])*BedPlan[[#This Row],[Revenue]:[Revenue]]</f>
        <v>0</v>
      </c>
      <c r="DN74" s="257" cm="1">
        <f t="array" ref="DN74">BedPlan[[#This Row],[Harvest Days June 2025]]/SUM(BedPlan[[#This Row],[Harvest Days January 2025]:[Harvest Days December 2026]])*BedPlan[[#This Row],[Revenue]:[Revenue]]</f>
        <v>0</v>
      </c>
      <c r="DO74" s="257" cm="1">
        <f t="array" ref="DO74">BedPlan[[#This Row],[Harvest Days July 2025]]/SUM(BedPlan[[#This Row],[Harvest Days January 2025]:[Harvest Days December 2026]])*BedPlan[[#This Row],[Revenue]:[Revenue]]</f>
        <v>426.66666666666663</v>
      </c>
      <c r="DP74" s="257" cm="1">
        <f t="array" ref="DP74">BedPlan[[#This Row],[Harvest Days August 2025]]/SUM(BedPlan[[#This Row],[Harvest Days January 2025]:[Harvest Days December 2026]])*BedPlan[[#This Row],[Revenue]:[Revenue]]</f>
        <v>0</v>
      </c>
      <c r="DQ74" s="257" cm="1">
        <f t="array" ref="DQ74">BedPlan[[#This Row],[Harvest Days September 2025]]/SUM(BedPlan[[#This Row],[Harvest Days January 2025]:[Harvest Days December 2026]])*BedPlan[[#This Row],[Revenue]:[Revenue]]</f>
        <v>0</v>
      </c>
      <c r="DR74" s="257" cm="1">
        <f t="array" ref="DR74">BedPlan[[#This Row],[Harvest Days October 2025]]/SUM(BedPlan[[#This Row],[Harvest Days January 2025]:[Harvest Days December 2026]])*BedPlan[[#This Row],[Revenue]:[Revenue]]</f>
        <v>0</v>
      </c>
      <c r="DS74" s="257" cm="1">
        <f t="array" ref="DS74">BedPlan[[#This Row],[Harvest Days November 2025]]/SUM(BedPlan[[#This Row],[Harvest Days January 2025]:[Harvest Days December 2026]])*BedPlan[[#This Row],[Revenue]:[Revenue]]</f>
        <v>0</v>
      </c>
      <c r="DT74" s="257" cm="1">
        <f t="array" ref="DT74">BedPlan[[#This Row],[Harvest Days December 2025]]/SUM(BedPlan[[#This Row],[Harvest Days January 2025]:[Harvest Days December 2026]])*BedPlan[[#This Row],[Revenue]:[Revenue]]</f>
        <v>0</v>
      </c>
      <c r="DU74" s="257" cm="1">
        <f t="array" ref="DU74">BedPlan[[#This Row],[Harvest Days January 2026]]/SUM(BedPlan[[#This Row],[Harvest Days January 2025]:[Harvest Days December 2026]])*BedPlan[[#This Row],[Revenue]:[Revenue]]</f>
        <v>0</v>
      </c>
      <c r="DV74" s="257" cm="1">
        <f t="array" ref="DV74">BedPlan[[#This Row],[Harvest Days February 2026]]/SUM(BedPlan[[#This Row],[Harvest Days January 2025]:[Harvest Days December 2026]])*BedPlan[[#This Row],[Revenue]:[Revenue]]</f>
        <v>0</v>
      </c>
      <c r="DW74" s="257" cm="1">
        <f t="array" ref="DW74">BedPlan[[#This Row],[Harvest Days March 2026]]/SUM(BedPlan[[#This Row],[Harvest Days January 2025]:[Harvest Days December 2026]])*BedPlan[[#This Row],[Revenue]:[Revenue]]</f>
        <v>0</v>
      </c>
      <c r="DX74" s="257" cm="1">
        <f t="array" ref="DX74">BedPlan[[#This Row],[Harvest Days April 2026]]/SUM(BedPlan[[#This Row],[Harvest Days January 2025]:[Harvest Days December 2026]])*BedPlan[[#This Row],[Revenue]:[Revenue]]</f>
        <v>0</v>
      </c>
      <c r="DY74" s="257" cm="1">
        <f t="array" ref="DY74">BedPlan[[#This Row],[Harvest Days May 2026]]/SUM(BedPlan[[#This Row],[Harvest Days January 2025]:[Harvest Days December 2026]])*BedPlan[[#This Row],[Revenue]:[Revenue]]</f>
        <v>0</v>
      </c>
      <c r="DZ74" s="257" cm="1">
        <f t="array" ref="DZ74">BedPlan[[#This Row],[Harvest Days June 2026]]/SUM(BedPlan[[#This Row],[Harvest Days January 2025]:[Harvest Days December 2026]])*BedPlan[[#This Row],[Revenue]:[Revenue]]</f>
        <v>0</v>
      </c>
      <c r="EA74" s="257" cm="1">
        <f t="array" ref="EA74">BedPlan[[#This Row],[Harvest Days July 2026]]/SUM(BedPlan[[#This Row],[Harvest Days January 2025]:[Harvest Days December 2026]])*BedPlan[[#This Row],[Revenue]:[Revenue]]</f>
        <v>0</v>
      </c>
      <c r="EB74" s="257" cm="1">
        <f t="array" ref="EB74">BedPlan[[#This Row],[Harvest Days August 2026]]/SUM(BedPlan[[#This Row],[Harvest Days January 2025]:[Harvest Days December 2026]])*BedPlan[[#This Row],[Revenue]:[Revenue]]</f>
        <v>0</v>
      </c>
      <c r="EC74" s="257" cm="1">
        <f t="array" ref="EC74">BedPlan[[#This Row],[Harvest Days September 2026]]/SUM(BedPlan[[#This Row],[Harvest Days January 2025]:[Harvest Days December 2026]])*BedPlan[[#This Row],[Revenue]:[Revenue]]</f>
        <v>0</v>
      </c>
      <c r="ED74" s="257" cm="1">
        <f t="array" ref="ED74">BedPlan[[#This Row],[Harvest Days October 2026]]/SUM(BedPlan[[#This Row],[Harvest Days January 2025]:[Harvest Days December 2026]])*BedPlan[[#This Row],[Revenue]:[Revenue]]</f>
        <v>0</v>
      </c>
      <c r="EE74" s="257" cm="1">
        <f t="array" ref="EE74">BedPlan[[#This Row],[Harvest Days November 2026]]/SUM(BedPlan[[#This Row],[Harvest Days January 2025]:[Harvest Days December 2026]])*BedPlan[[#This Row],[Revenue]:[Revenue]]</f>
        <v>0</v>
      </c>
      <c r="EF74" s="257" cm="1">
        <f t="array" ref="EF74">BedPlan[[#This Row],[Harvest Days December 2026]]/SUM(BedPlan[[#This Row],[Harvest Days January 2025]:[Harvest Days December 2026]])*BedPlan[[#This Row],[Revenue]:[Revenue]]</f>
        <v>0</v>
      </c>
      <c r="EG74" t="b">
        <f>SUM(BedPlan[[#This Row],[Revenue January 2025]:[Revenue December 2026]])=BedPlan[[#This Row],[Revenue]]</f>
        <v>1</v>
      </c>
      <c r="EH74" s="30" cm="1">
        <f t="array" ref="EH74">INDEX(Crops[],BedPlan[[#This Row],[Chart Index]],EH$4,1)*BedPlan[[#This Row],['# Of Beds]]</f>
        <v>106.66666666666666</v>
      </c>
      <c r="EI74" s="30" t="str" cm="1">
        <f t="array" ref="EI74">INDEX(Crops[],BedPlan[[#This Row],[Chart Index]],EI$4,1)</f>
        <v>Head</v>
      </c>
      <c r="EJ74" s="30" t="str" cm="1">
        <f t="array" ref="EJ74">INDEX(Crops[],BedPlan[[#This Row],[Chart Index]],EJ$4,1)</f>
        <v>Mature Head</v>
      </c>
      <c r="EK74" s="30" t="str">
        <f>BedPlan[[#This Row],[Name]]&amp;" "&amp;BedPlan[[#This Row],[Product]]&amp; " - " &amp;BedPlan[[#This Row],[Unit]]</f>
        <v>Lettuce Mature Head - Head</v>
      </c>
      <c r="EL74" s="33" cm="1">
        <f t="array" ref="EL74">BedPlan[[#This Row],[Harvest Days January 2025]]/SUM(BedPlan[[#This Row],[Harvest Days January 2025]:[Harvest Days December 2026]])*BedPlan[[#This Row],[Yield]:[Yield]]</f>
        <v>0</v>
      </c>
      <c r="EM74" s="33" cm="1">
        <f t="array" ref="EM74">BedPlan[[#This Row],[Harvest Days February 2025]]/SUM(BedPlan[[#This Row],[Harvest Days January 2025]:[Harvest Days December 2026]])*BedPlan[[#This Row],[Yield]:[Yield]]</f>
        <v>0</v>
      </c>
      <c r="EN74" s="33" cm="1">
        <f t="array" ref="EN74">BedPlan[[#This Row],[Harvest Days March 2025]]/SUM(BedPlan[[#This Row],[Harvest Days January 2025]:[Harvest Days December 2026]])*BedPlan[[#This Row],[Yield]:[Yield]]</f>
        <v>0</v>
      </c>
      <c r="EO74" s="33" cm="1">
        <f t="array" ref="EO74">BedPlan[[#This Row],[Harvest Days April 2025]]/SUM(BedPlan[[#This Row],[Harvest Days January 2025]:[Harvest Days December 2026]])*BedPlan[[#This Row],[Yield]:[Yield]]</f>
        <v>0</v>
      </c>
      <c r="EP74" s="33" cm="1">
        <f t="array" ref="EP74">BedPlan[[#This Row],[Harvest Days May 2025]]/SUM(BedPlan[[#This Row],[Harvest Days January 2025]:[Harvest Days December 2026]])*BedPlan[[#This Row],[Yield]:[Yield]]</f>
        <v>0</v>
      </c>
      <c r="EQ74" s="33" cm="1">
        <f t="array" ref="EQ74">BedPlan[[#This Row],[Harvest Days June 2025]]/SUM(BedPlan[[#This Row],[Harvest Days January 2025]:[Harvest Days December 2026]])*BedPlan[[#This Row],[Yield]:[Yield]]</f>
        <v>0</v>
      </c>
      <c r="ER74" s="33" cm="1">
        <f t="array" ref="ER74">BedPlan[[#This Row],[Harvest Days July 2025]]/SUM(BedPlan[[#This Row],[Harvest Days January 2025]:[Harvest Days December 2026]])*BedPlan[[#This Row],[Yield]:[Yield]]</f>
        <v>106.66666666666666</v>
      </c>
      <c r="ES74" s="33" cm="1">
        <f t="array" ref="ES74">BedPlan[[#This Row],[Harvest Days August 2025]]/SUM(BedPlan[[#This Row],[Harvest Days January 2025]:[Harvest Days December 2026]])*BedPlan[[#This Row],[Yield]:[Yield]]</f>
        <v>0</v>
      </c>
      <c r="ET74" s="33" cm="1">
        <f t="array" ref="ET74">BedPlan[[#This Row],[Harvest Days September 2025]]/SUM(BedPlan[[#This Row],[Harvest Days January 2025]:[Harvest Days December 2026]])*BedPlan[[#This Row],[Yield]:[Yield]]</f>
        <v>0</v>
      </c>
      <c r="EU74" s="33" cm="1">
        <f t="array" ref="EU74">BedPlan[[#This Row],[Harvest Days October 2025]]/SUM(BedPlan[[#This Row],[Harvest Days January 2025]:[Harvest Days December 2026]])*BedPlan[[#This Row],[Yield]:[Yield]]</f>
        <v>0</v>
      </c>
      <c r="EV74" s="33" cm="1">
        <f t="array" ref="EV74">BedPlan[[#This Row],[Harvest Days November 2025]]/SUM(BedPlan[[#This Row],[Harvest Days January 2025]:[Harvest Days December 2026]])*BedPlan[[#This Row],[Yield]:[Yield]]</f>
        <v>0</v>
      </c>
      <c r="EW74" s="33" cm="1">
        <f t="array" ref="EW74">BedPlan[[#This Row],[Harvest Days December 2025]]/SUM(BedPlan[[#This Row],[Harvest Days January 2025]:[Harvest Days December 2026]])*BedPlan[[#This Row],[Yield]:[Yield]]</f>
        <v>0</v>
      </c>
    </row>
    <row r="75" spans="1:153" ht="15.75" customHeight="1">
      <c r="A75" s="179" t="s">
        <v>2729</v>
      </c>
      <c r="B75" s="240" t="s">
        <v>2732</v>
      </c>
      <c r="C75" t="s">
        <v>1461</v>
      </c>
      <c r="D75" s="226" cm="1">
        <f t="array" ref="D75">INDEX(Crops[],BedPlan[[#This Row],[Chart Index]],D$4,1)*BedPlan[[#This Row],[Full Bed Equivalent]]</f>
        <v>53.333333333333329</v>
      </c>
      <c r="E75" s="226" cm="1">
        <f t="array" ref="E75">INDEX(Crops[],BedPlan[[#This Row],[Chart Index]],E$4,1)*BedPlan[[#This Row],[Full Bed Equivalent]]</f>
        <v>106.66666666666666</v>
      </c>
      <c r="F75" t="str">
        <f>UPPER(LEFT(BedPlan[[#This Row],[Crop]],3))</f>
        <v>LET</v>
      </c>
      <c r="H75" s="143" t="str" cm="1">
        <f t="array" ref="H75">INDEX(Crops[],BedPlan[[#This Row],[Chart Index]],H$4,1)</f>
        <v>Lettuce</v>
      </c>
      <c r="I75" t="s">
        <v>540</v>
      </c>
      <c r="J75" t="s">
        <v>526</v>
      </c>
      <c r="K75" t="str" cm="1">
        <f t="array" ref="K75">IF(ISNUMBER(MATCH(BedPlan[[#This Row],[Variety]],SeedMixes[Name],)),_xlfn.TEXTJOIN(", ",TRUE,_xlfn._xlws.FILTER(SeedMixes[Variety &amp; Company],SeedMixes[Name]=BedPlan[[#This Row],[Variety]])),"")</f>
        <v/>
      </c>
      <c r="L75" s="33" cm="1">
        <f t="array" ref="L75">INDEX(Crops[],BedPlan[[#This Row],[Chart Index]],L$4,1)*BedPlan[[#This Row],[Full Bed Equivalent]]</f>
        <v>180.26666666666665</v>
      </c>
      <c r="N75">
        <v>0.4</v>
      </c>
      <c r="O75">
        <v>1</v>
      </c>
      <c r="P75" s="31">
        <f>IF(ISNUMBER(BedPlan[[#This Row],[Planned Greenhouse Start Date]]),BedPlan[[#This Row],[Planned Greenhouse Start Date]],BedPlan[[#This Row],[Planned TP or DS Date]])</f>
        <v>45770</v>
      </c>
      <c r="Q75" s="259">
        <f>IF(BedPlan[[#This Row],[Days in Cells]]=0,"",IFERROR(_xlfn.XLOOKUP(BedPlan[[#This Row],[Follows Crop]],BedPlan[Identifier],BedPlan[Expected End of Harvest]) + 1+BedPlan[[#This Row],[Follow Offset]],BedPlan[[#This Row],[Fixed Field Start Date]])-BedPlan[[#This Row],[Days in Cells]])</f>
        <v>45770</v>
      </c>
      <c r="R75" s="259">
        <v>45771</v>
      </c>
      <c r="S75" s="259">
        <f>IF(ISNUMBER(BedPlan[[#This Row],[Actual Greenhouse Date]]),BedPlan[[#This Row],[Actual Greenhouse Date]],BedPlan[[#This Row],[Planned Greenhouse Start Date]])</f>
        <v>45771</v>
      </c>
      <c r="T75" s="259">
        <f>_xlfn.XLOOKUP(BedPlan[[#This Row],[Crop]],Crops[Identifier],Crops[Target Field Date])+21*2</f>
        <v>45800</v>
      </c>
      <c r="U75" s="260"/>
      <c r="V75" s="260"/>
      <c r="W7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45801</v>
      </c>
      <c r="X75" s="259">
        <v>45814</v>
      </c>
      <c r="Y75" s="271">
        <f>BedPlan[[#This Row],[Actual TP or DS Date]]-BedPlan[[#This Row],[Planned TP or DS Date]]</f>
        <v>13</v>
      </c>
      <c r="Z75" s="259">
        <f>IF(ISNUMBER(BedPlan[[#This Row],[Actual TP or DS Date]]),BedPlan[[#This Row],[Actual TP or DS Date]],BedPlan[[#This Row],[Planned TP or DS Date]])</f>
        <v>45814</v>
      </c>
      <c r="AA75" s="260">
        <v>-14</v>
      </c>
      <c r="AB75" s="259">
        <f>IF(ISNUMBER(BedPlan[[#This Row],[Greenhouse Start Date]]),BedPlan[[#This Row],[Greenhouse Start Date]]+BedPlan[[#This Row],[DTM]],BedPlan[[#This Row],[TP or DS Date]]+BedPlan[[#This Row],[DTM]])</f>
        <v>45852</v>
      </c>
      <c r="AC75" s="259"/>
      <c r="AD75" s="259">
        <f>IF(ISNUMBER(BedPlan[[#This Row],[Actual Beginning of Harvest]]),BedPlan[[#This Row],[Actual Beginning of Harvest]],BedPlan[[#This Row],[Expected Beginning of Harvest]])</f>
        <v>45852</v>
      </c>
      <c r="AE75" s="259">
        <f>BedPlan[[#This Row],[Expected Beginning of Harvest]]+BedPlan[[#This Row],[Harvest Window]]+BedPlan[[#This Row],[Additional Days of Harvest]]</f>
        <v>45866</v>
      </c>
      <c r="AF75" s="259"/>
      <c r="AG75" s="259"/>
      <c r="AH75" s="31" t="b">
        <f>IF(AND( BedPlan[[#This Row],[Expected End of Harvest]] &gt;= DATE(2025, 8, 1), BedPlan[[#This Row],[Beginning of Harvest]] &lt;= DATE(2025, 8, 31) ), TRUE, FALSE)</f>
        <v>0</v>
      </c>
      <c r="AI75" s="31"/>
      <c r="AJ75" s="31">
        <f>IF(ISNUMBER(BedPlan[[#This Row],[Actual End of Harvest]]),BedPlan[[#This Row],[Actual End of Harvest]],BedPlan[[#This Row],[Expected End of Harvest]])</f>
        <v>45866</v>
      </c>
      <c r="AK75" t="b">
        <f>OR(ISNUMBER(BedPlan[[#This Row],[Actual Greenhouse Date]]),ISNUMBER(BedPlan[[#This Row],[Actual TP or DS Date]]))</f>
        <v>1</v>
      </c>
      <c r="AL75" s="52" t="b">
        <f>IF(ISNUMBER(BedPlan[[#This Row],[Planned Greenhouse Start Date]]),OR(ISNUMBER(BedPlan[[#This Row],[Actual TP or DS Date]]),BedPlan[[#This Row],[Failed]]),"-")</f>
        <v>1</v>
      </c>
      <c r="AM75" t="b">
        <f>OR(ISNUMBER(BedPlan[[#This Row],[Actual End of Harvest]]),BedPlan[[#This Row],[Failed]])</f>
        <v>0</v>
      </c>
      <c r="AN75" t="b">
        <f>OR(BedPlan[[#This Row],[Harvest Done]],BedPlan[[#This Row],[Failed]],BedPlan[[#This Row],[Name]]="Tarp")</f>
        <v>0</v>
      </c>
      <c r="AQ75" t="s">
        <v>3214</v>
      </c>
      <c r="AS75" s="26" t="str">
        <f>IF(BedPlan[[#This Row],[Broadfork]],BedPlan[[#This Row],[Actual TP or DS Date]],"")</f>
        <v/>
      </c>
      <c r="AT75" s="26" t="str">
        <f>IF(BedPlan[[#This Row],[Tilther]],BedPlan[[#This Row],[Actual TP or DS Date]],"")</f>
        <v/>
      </c>
      <c r="AU75" s="26">
        <f>IF(NOT(ISBLANK(BedPlan[[#This Row],[Amend]])),BedPlan[[#This Row],[Actual TP or DS Date]],"")</f>
        <v>45814</v>
      </c>
      <c r="AV75" s="26" t="str">
        <f>IF(BedPlan[[#This Row],[Row Cover]],BedPlan[[#This Row],[Actual TP or DS Date]],"")</f>
        <v/>
      </c>
      <c r="AX75" s="26"/>
      <c r="AZ75" s="26"/>
      <c r="BB75" s="26"/>
      <c r="BC75" s="231" cm="1">
        <f t="array" ref="BC75">INDEX(Crops[],BedPlan[[#This Row],[Chart Index]],BC$4,1)*BedPlan[[#This Row],[Full Bed Equivalent]]</f>
        <v>426.66666666666663</v>
      </c>
      <c r="BD75" s="231" cm="1">
        <f t="array" ref="BD75">INDEX(Crops[],BedPlan[[#This Row],[Chart Index]],BD$4,1)*BedPlan[[#This Row],[Full Bed Equivalent]]</f>
        <v>5.4008438818565399</v>
      </c>
      <c r="BE75" cm="1">
        <f t="array" ref="BE75">INDEX(Crops[],BedPlan[[#This Row],[Chart Index]],BE$4,1)+BedPlan[[#This Row],[Additional Days in Cells]]+BedPlan[[#This Row],[Additional Days In Field]]</f>
        <v>81</v>
      </c>
      <c r="BG75" cm="1">
        <f t="array" ref="BG75">INDEX(Crops[],BedPlan[[#This Row],[Chart Index]],BG$4,1)</f>
        <v>14</v>
      </c>
      <c r="BH75" t="str">
        <f>IF(ISNUMBER(BedPlan[[#This Row],[Planned Greenhouse Start Date]]),"TP","DS")</f>
        <v>TP</v>
      </c>
      <c r="BI75">
        <f>BedPlan[[#This Row],['# Of Beds]]</f>
        <v>0.4</v>
      </c>
      <c r="BJ75" cm="1">
        <f t="array" ref="BJ75">INDEX(Crops[],BedPlan[[#This Row],[Chart Index]],BJ$4,1)</f>
        <v>30</v>
      </c>
      <c r="BK75" cm="1">
        <f t="array" ref="BK75">INDEX(Crops[],BedPlan[[#This Row],[Chart Index]],BK$4,1)</f>
        <v>4</v>
      </c>
      <c r="BL75" cm="1">
        <f t="array" ref="BL75">INDEX(Crops[],BedPlan[[#This Row],[Chart Index]],BL$4,1)</f>
        <v>9</v>
      </c>
      <c r="BM75" cm="1">
        <f t="array" ref="BM75">INDEX(Crops[],BedPlan[[#This Row],[Chart Index]],BM$4,1)</f>
        <v>1</v>
      </c>
      <c r="BN75" s="32" cm="1">
        <f t="array" ref="BN75">INDEX(Crops[],BedPlan[[#This Row],[Chart Index]],BN$4,1)*BedPlan[[#This Row],[Full Bed Equivalent]]</f>
        <v>106.66666666666666</v>
      </c>
      <c r="BO75" t="str" cm="1">
        <f t="array" ref="BO75">IF(INDEX(Crops[],BedPlan[[#This Row],[Chart Index]],BO$4,1)=0,"",INDEX(Crops[],BedPlan[[#This Row],[Chart Index]],BO$4,1))</f>
        <v/>
      </c>
      <c r="BP75">
        <f>MATCH(BedPlan[[#This Row],[Crop]],Crops[Identifier],FALSE)</f>
        <v>174</v>
      </c>
      <c r="BQ75" t="str" cm="1">
        <f t="array" ref="BQ75">INDEX(Crops[],BedPlan[[#This Row],[Chart Index]],BQ$4,1)</f>
        <v>4x9</v>
      </c>
      <c r="BR75" t="str" cm="1">
        <f t="array" ref="BR75">INDEX(Crops[],BedPlan[[#This Row],[Chart Index]],BR$4,1)</f>
        <v>Sp</v>
      </c>
      <c r="BS75" s="32">
        <f>BedPlan[[#This Row],[Expected Beginning of Harvest]]-DATE(2023,1,1)</f>
        <v>925</v>
      </c>
      <c r="BT75">
        <f>BedPlan[[#This Row],[Expected End of Harvest]]-BedPlan[[#This Row],[Expected Beginning of Harvest]]</f>
        <v>14</v>
      </c>
      <c r="BU75" t="str" cm="1">
        <f t="array" ref="BU75">INDEX(Crops[],BedPlan[[#This Row],[Chart Index]],BU$4,1)</f>
        <v>Green</v>
      </c>
      <c r="BV75" cm="1">
        <f t="array" ref="BV75">INDEX(Crops[],BedPlan[[#This Row],[Chart Index]],BV$4,1)</f>
        <v>1</v>
      </c>
      <c r="BW75" t="str" cm="1">
        <f t="array" ref="BW75">INDEX(Crops[],BedPlan[[#This Row],[Chart Index]],BW$4,1)</f>
        <v>None</v>
      </c>
      <c r="BX75" cm="1">
        <f t="array" ref="BX75">INDEX(Crops[],BedPlan[[#This Row],[Chart Index]],BX$4,1)</f>
        <v>128</v>
      </c>
      <c r="BY75" cm="1">
        <f t="array" ref="BY75">INDEX(Crops[],BedPlan[[#This Row],[Chart Index]],BY$4,1)</f>
        <v>30</v>
      </c>
      <c r="BZ75" s="49" cm="1">
        <f t="array" ref="BZ75">IFERROR(INDEX(Crops[],BedPlan[[#This Row],[Chart Index]],BZ$4,1)*BedPlan[[#This Row],[Full Bed Equivalent]],"")</f>
        <v>1.0833333333333333</v>
      </c>
      <c r="CA75" cm="1">
        <f t="array" ref="CA75">INDEX(Crops[],BedPlan[[#This Row],[Chart Index]],CA$4,1)</f>
        <v>0</v>
      </c>
      <c r="CB75" cm="1">
        <f t="array" ref="CB75">INDEX(Crops[],BedPlan[[#This Row],[Chart Index]],CB$4,1)</f>
        <v>0</v>
      </c>
      <c r="CC75" s="49" t="str" cm="1">
        <f t="array" ref="CC75">IFERROR(INDEX(Crops[],BedPlan[[#This Row],[Chart Index]],CC$4,1)*BedPlan[[#This Row],[Full Bed Equivalent]],"")</f>
        <v/>
      </c>
      <c r="CD75" cm="1">
        <f t="array" ref="CD75">INDEX(Crops[],BedPlan[[#This Row],[Chart Index]],CD$4,1)</f>
        <v>0</v>
      </c>
      <c r="CE75" cm="1">
        <f t="array" ref="CE75">IF(INDEX(Crops[],BedPlan[[#This Row],[Chart Index]],CE$4,1)="",0,INDEX(Crops[],BedPlan[[#This Row],[Chart Index]],CE$4,1))</f>
        <v>0</v>
      </c>
      <c r="CF75" s="49" t="str" cm="1">
        <f t="array" ref="CF75">IFERROR(INDEX(Crops[],BedPlan[[#This Row],[Chart Index]],CF$4,1)*BedPlan[[#This Row],[Full Bed Equivalent]],"")</f>
        <v/>
      </c>
      <c r="CG75" cm="1">
        <f t="array" ref="CG75">IF(INDEX(Crops[],BedPlan[[#This Row],[Chart Index]],CG$4,1)="",0,INDEX(Crops[],BedPlan[[#This Row],[Chart Index]],CG$4,1))</f>
        <v>1.3</v>
      </c>
      <c r="CH75" cm="1">
        <f t="array" ref="CH75">IF(INDEX(Crops[],BedPlan[[#This Row],[Chart Index]],CH$4,1)="",0,INDEX(Crops[],BedPlan[[#This Row],[Chart Index]],CH$4,1))</f>
        <v>0</v>
      </c>
      <c r="CI75" t="str" cm="1">
        <f t="array" ref="CI75">INDEX(Crops[],BedPlan[[#This Row],[Chart Index]],CI$4,1)</f>
        <v>Field</v>
      </c>
      <c r="CJ75" s="30" t="str">
        <f>_xlfn.TEXTJOIN(CHAR(10),FALSE,BedPlan[[#This Row],[Name]],BedPlan[[#This Row],[Variety]],BedPlan[[#This Row],[Company]])</f>
        <v>Lettuce
Jester
Wild Garden</v>
      </c>
      <c r="CK75" s="32">
        <f>MAX( 0, MIN(BedPlan[[#This Row],[Expected End of Harvest]], EOMONTH(CK$4, 0)) - MAX(BedPlan[[#This Row],[Beginning of Harvest]], CK$4) + 1 )</f>
        <v>0</v>
      </c>
      <c r="CL75">
        <f>MAX( 0, MIN(BedPlan[[#This Row],[Expected End of Harvest]], EOMONTH(CL$4, 0)) - MAX(BedPlan[[#This Row],[Beginning of Harvest]], CL$4) + 1 )</f>
        <v>0</v>
      </c>
      <c r="CM75">
        <f>MAX( 0, MIN(BedPlan[[#This Row],[Expected End of Harvest]], EOMONTH(CM$4, 0)) - MAX(BedPlan[[#This Row],[Beginning of Harvest]], CM$4) + 1 )</f>
        <v>0</v>
      </c>
      <c r="CN75">
        <f>MAX( 0, MIN(BedPlan[[#This Row],[Expected End of Harvest]], EOMONTH(CN$4, 0)) - MAX(BedPlan[[#This Row],[Beginning of Harvest]], CN$4) + 1 )</f>
        <v>0</v>
      </c>
      <c r="CO75">
        <f>MAX( 0, MIN(BedPlan[[#This Row],[Expected End of Harvest]], EOMONTH(CO$4, 0)) - MAX(BedPlan[[#This Row],[Beginning of Harvest]], CO$4) + 1 )</f>
        <v>0</v>
      </c>
      <c r="CP75">
        <f>MAX( 0, MIN(BedPlan[[#This Row],[Expected End of Harvest]], EOMONTH(CP$4, 0)) - MAX(BedPlan[[#This Row],[Beginning of Harvest]], CP$4) + 1 )</f>
        <v>0</v>
      </c>
      <c r="CQ75">
        <f>MAX( 0, MIN(BedPlan[[#This Row],[Expected End of Harvest]], EOMONTH(CQ$4, 0)) - MAX(BedPlan[[#This Row],[Beginning of Harvest]], CQ$4) + 1 )</f>
        <v>15</v>
      </c>
      <c r="CR75">
        <f>MAX( 0, MIN(BedPlan[[#This Row],[Expected End of Harvest]], EOMONTH(CR$4, 0)) - MAX(BedPlan[[#This Row],[Beginning of Harvest]], CR$4) + 1 )</f>
        <v>0</v>
      </c>
      <c r="CS75">
        <f>MAX( 0, MIN(BedPlan[[#This Row],[Expected End of Harvest]], EOMONTH(CS$4, 0)) - MAX(BedPlan[[#This Row],[Beginning of Harvest]], CS$4) + 1 )</f>
        <v>0</v>
      </c>
      <c r="CT75">
        <f>MAX( 0, MIN(BedPlan[[#This Row],[Expected End of Harvest]], EOMONTH(CT$4, 0)) - MAX(BedPlan[[#This Row],[Beginning of Harvest]], CT$4) + 1 )</f>
        <v>0</v>
      </c>
      <c r="CU75">
        <f>MAX( 0, MIN(BedPlan[[#This Row],[Expected End of Harvest]], EOMONTH(CU$4, 0)) - MAX(BedPlan[[#This Row],[Beginning of Harvest]], CU$4) + 1 )</f>
        <v>0</v>
      </c>
      <c r="CV75">
        <f>MAX( 0, MIN(BedPlan[[#This Row],[Expected End of Harvest]], EOMONTH(CV$4, 0)) - MAX(BedPlan[[#This Row],[Beginning of Harvest]], CV$4) + 1 )</f>
        <v>0</v>
      </c>
      <c r="CW75">
        <f>MAX( 0, MIN(BedPlan[[#This Row],[Expected End of Harvest]], EOMONTH(CW$4, 0)) - MAX(BedPlan[[#This Row],[Beginning of Harvest]], CW$4) + 1 )</f>
        <v>0</v>
      </c>
      <c r="CX75">
        <f>MAX( 0, MIN(BedPlan[[#This Row],[Expected End of Harvest]], EOMONTH(CX$4, 0)) - MAX(BedPlan[[#This Row],[Beginning of Harvest]], CX$4) + 1 )</f>
        <v>0</v>
      </c>
      <c r="CY75">
        <f>MAX( 0, MIN(BedPlan[[#This Row],[Expected End of Harvest]], EOMONTH(CY$4, 0)) - MAX(BedPlan[[#This Row],[Beginning of Harvest]], CY$4) + 1 )</f>
        <v>0</v>
      </c>
      <c r="CZ75">
        <f>MAX( 0, MIN(BedPlan[[#This Row],[Expected End of Harvest]], EOMONTH(CZ$4, 0)) - MAX(BedPlan[[#This Row],[Beginning of Harvest]], CZ$4) + 1 )</f>
        <v>0</v>
      </c>
      <c r="DA75">
        <f>MAX( 0, MIN(BedPlan[[#This Row],[Expected End of Harvest]], EOMONTH(DA$4, 0)) - MAX(BedPlan[[#This Row],[Beginning of Harvest]], DA$4) + 1 )</f>
        <v>0</v>
      </c>
      <c r="DB75">
        <f>MAX( 0, MIN(BedPlan[[#This Row],[Expected End of Harvest]], EOMONTH(DB$4, 0)) - MAX(BedPlan[[#This Row],[Beginning of Harvest]], DB$4) + 1 )</f>
        <v>0</v>
      </c>
      <c r="DC75">
        <f>MAX( 0, MIN(BedPlan[[#This Row],[Expected End of Harvest]], EOMONTH(DC$4, 0)) - MAX(BedPlan[[#This Row],[Beginning of Harvest]], DC$4) + 1 )</f>
        <v>0</v>
      </c>
      <c r="DD75">
        <f>MAX( 0, MIN(BedPlan[[#This Row],[Expected End of Harvest]], EOMONTH(DD$4, 0)) - MAX(BedPlan[[#This Row],[Beginning of Harvest]], DD$4) + 1 )</f>
        <v>0</v>
      </c>
      <c r="DE75">
        <f>MAX( 0, MIN(BedPlan[[#This Row],[Expected End of Harvest]], EOMONTH(DE$4, 0)) - MAX(BedPlan[[#This Row],[Beginning of Harvest]], DE$4) + 1 )</f>
        <v>0</v>
      </c>
      <c r="DF75">
        <f>MAX( 0, MIN(BedPlan[[#This Row],[Expected End of Harvest]], EOMONTH(DF$4, 0)) - MAX(BedPlan[[#This Row],[Beginning of Harvest]], DF$4) + 1 )</f>
        <v>0</v>
      </c>
      <c r="DG75">
        <f>MAX( 0, MIN(BedPlan[[#This Row],[Expected End of Harvest]], EOMONTH(DG$4, 0)) - MAX(BedPlan[[#This Row],[Beginning of Harvest]], DG$4) + 1 )</f>
        <v>0</v>
      </c>
      <c r="DH75">
        <f>MAX( 0, MIN(BedPlan[[#This Row],[Expected End of Harvest]], EOMONTH(DH$4, 0)) - MAX(BedPlan[[#This Row],[Beginning of Harvest]], DH$4) + 1 )</f>
        <v>0</v>
      </c>
      <c r="DI75" s="257" cm="1">
        <f t="array" ref="DI75">BedPlan[[#This Row],[Harvest Days January 2025]]/SUM(BedPlan[[#This Row],[Harvest Days January 2025]:[Harvest Days December 2026]])*BedPlan[[#This Row],[Revenue]:[Revenue]]</f>
        <v>0</v>
      </c>
      <c r="DJ75" s="257" cm="1">
        <f t="array" ref="DJ75">BedPlan[[#This Row],[Harvest Days February 2025]]/SUM(BedPlan[[#This Row],[Harvest Days January 2025]:[Harvest Days December 2026]])*BedPlan[[#This Row],[Revenue]:[Revenue]]</f>
        <v>0</v>
      </c>
      <c r="DK75" s="257" cm="1">
        <f t="array" ref="DK75">BedPlan[[#This Row],[Harvest Days March 2025]]/SUM(BedPlan[[#This Row],[Harvest Days January 2025]:[Harvest Days December 2026]])*BedPlan[[#This Row],[Revenue]:[Revenue]]</f>
        <v>0</v>
      </c>
      <c r="DL75" s="257" cm="1">
        <f t="array" ref="DL75">BedPlan[[#This Row],[Harvest Days April 2025]]/SUM(BedPlan[[#This Row],[Harvest Days January 2025]:[Harvest Days December 2026]])*BedPlan[[#This Row],[Revenue]:[Revenue]]</f>
        <v>0</v>
      </c>
      <c r="DM75" s="257" cm="1">
        <f t="array" ref="DM75">BedPlan[[#This Row],[Harvest Days May 2025]]/SUM(BedPlan[[#This Row],[Harvest Days January 2025]:[Harvest Days December 2026]])*BedPlan[[#This Row],[Revenue]:[Revenue]]</f>
        <v>0</v>
      </c>
      <c r="DN75" s="257" cm="1">
        <f t="array" ref="DN75">BedPlan[[#This Row],[Harvest Days June 2025]]/SUM(BedPlan[[#This Row],[Harvest Days January 2025]:[Harvest Days December 2026]])*BedPlan[[#This Row],[Revenue]:[Revenue]]</f>
        <v>0</v>
      </c>
      <c r="DO75" s="257" cm="1">
        <f t="array" ref="DO75">BedPlan[[#This Row],[Harvest Days July 2025]]/SUM(BedPlan[[#This Row],[Harvest Days January 2025]:[Harvest Days December 2026]])*BedPlan[[#This Row],[Revenue]:[Revenue]]</f>
        <v>426.66666666666663</v>
      </c>
      <c r="DP75" s="257" cm="1">
        <f t="array" ref="DP75">BedPlan[[#This Row],[Harvest Days August 2025]]/SUM(BedPlan[[#This Row],[Harvest Days January 2025]:[Harvest Days December 2026]])*BedPlan[[#This Row],[Revenue]:[Revenue]]</f>
        <v>0</v>
      </c>
      <c r="DQ75" s="257" cm="1">
        <f t="array" ref="DQ75">BedPlan[[#This Row],[Harvest Days September 2025]]/SUM(BedPlan[[#This Row],[Harvest Days January 2025]:[Harvest Days December 2026]])*BedPlan[[#This Row],[Revenue]:[Revenue]]</f>
        <v>0</v>
      </c>
      <c r="DR75" s="257" cm="1">
        <f t="array" ref="DR75">BedPlan[[#This Row],[Harvest Days October 2025]]/SUM(BedPlan[[#This Row],[Harvest Days January 2025]:[Harvest Days December 2026]])*BedPlan[[#This Row],[Revenue]:[Revenue]]</f>
        <v>0</v>
      </c>
      <c r="DS75" s="257" cm="1">
        <f t="array" ref="DS75">BedPlan[[#This Row],[Harvest Days November 2025]]/SUM(BedPlan[[#This Row],[Harvest Days January 2025]:[Harvest Days December 2026]])*BedPlan[[#This Row],[Revenue]:[Revenue]]</f>
        <v>0</v>
      </c>
      <c r="DT75" s="257" cm="1">
        <f t="array" ref="DT75">BedPlan[[#This Row],[Harvest Days December 2025]]/SUM(BedPlan[[#This Row],[Harvest Days January 2025]:[Harvest Days December 2026]])*BedPlan[[#This Row],[Revenue]:[Revenue]]</f>
        <v>0</v>
      </c>
      <c r="DU75" s="257" cm="1">
        <f t="array" ref="DU75">BedPlan[[#This Row],[Harvest Days January 2026]]/SUM(BedPlan[[#This Row],[Harvest Days January 2025]:[Harvest Days December 2026]])*BedPlan[[#This Row],[Revenue]:[Revenue]]</f>
        <v>0</v>
      </c>
      <c r="DV75" s="257" cm="1">
        <f t="array" ref="DV75">BedPlan[[#This Row],[Harvest Days February 2026]]/SUM(BedPlan[[#This Row],[Harvest Days January 2025]:[Harvest Days December 2026]])*BedPlan[[#This Row],[Revenue]:[Revenue]]</f>
        <v>0</v>
      </c>
      <c r="DW75" s="257" cm="1">
        <f t="array" ref="DW75">BedPlan[[#This Row],[Harvest Days March 2026]]/SUM(BedPlan[[#This Row],[Harvest Days January 2025]:[Harvest Days December 2026]])*BedPlan[[#This Row],[Revenue]:[Revenue]]</f>
        <v>0</v>
      </c>
      <c r="DX75" s="257" cm="1">
        <f t="array" ref="DX75">BedPlan[[#This Row],[Harvest Days April 2026]]/SUM(BedPlan[[#This Row],[Harvest Days January 2025]:[Harvest Days December 2026]])*BedPlan[[#This Row],[Revenue]:[Revenue]]</f>
        <v>0</v>
      </c>
      <c r="DY75" s="257" cm="1">
        <f t="array" ref="DY75">BedPlan[[#This Row],[Harvest Days May 2026]]/SUM(BedPlan[[#This Row],[Harvest Days January 2025]:[Harvest Days December 2026]])*BedPlan[[#This Row],[Revenue]:[Revenue]]</f>
        <v>0</v>
      </c>
      <c r="DZ75" s="257" cm="1">
        <f t="array" ref="DZ75">BedPlan[[#This Row],[Harvest Days June 2026]]/SUM(BedPlan[[#This Row],[Harvest Days January 2025]:[Harvest Days December 2026]])*BedPlan[[#This Row],[Revenue]:[Revenue]]</f>
        <v>0</v>
      </c>
      <c r="EA75" s="257" cm="1">
        <f t="array" ref="EA75">BedPlan[[#This Row],[Harvest Days July 2026]]/SUM(BedPlan[[#This Row],[Harvest Days January 2025]:[Harvest Days December 2026]])*BedPlan[[#This Row],[Revenue]:[Revenue]]</f>
        <v>0</v>
      </c>
      <c r="EB75" s="257" cm="1">
        <f t="array" ref="EB75">BedPlan[[#This Row],[Harvest Days August 2026]]/SUM(BedPlan[[#This Row],[Harvest Days January 2025]:[Harvest Days December 2026]])*BedPlan[[#This Row],[Revenue]:[Revenue]]</f>
        <v>0</v>
      </c>
      <c r="EC75" s="257" cm="1">
        <f t="array" ref="EC75">BedPlan[[#This Row],[Harvest Days September 2026]]/SUM(BedPlan[[#This Row],[Harvest Days January 2025]:[Harvest Days December 2026]])*BedPlan[[#This Row],[Revenue]:[Revenue]]</f>
        <v>0</v>
      </c>
      <c r="ED75" s="257" cm="1">
        <f t="array" ref="ED75">BedPlan[[#This Row],[Harvest Days October 2026]]/SUM(BedPlan[[#This Row],[Harvest Days January 2025]:[Harvest Days December 2026]])*BedPlan[[#This Row],[Revenue]:[Revenue]]</f>
        <v>0</v>
      </c>
      <c r="EE75" s="257" cm="1">
        <f t="array" ref="EE75">BedPlan[[#This Row],[Harvest Days November 2026]]/SUM(BedPlan[[#This Row],[Harvest Days January 2025]:[Harvest Days December 2026]])*BedPlan[[#This Row],[Revenue]:[Revenue]]</f>
        <v>0</v>
      </c>
      <c r="EF75" s="257" cm="1">
        <f t="array" ref="EF75">BedPlan[[#This Row],[Harvest Days December 2026]]/SUM(BedPlan[[#This Row],[Harvest Days January 2025]:[Harvest Days December 2026]])*BedPlan[[#This Row],[Revenue]:[Revenue]]</f>
        <v>0</v>
      </c>
      <c r="EG75" t="b">
        <f>SUM(BedPlan[[#This Row],[Revenue January 2025]:[Revenue December 2026]])=BedPlan[[#This Row],[Revenue]]</f>
        <v>1</v>
      </c>
      <c r="EH75" s="30" cm="1">
        <f t="array" ref="EH75">INDEX(Crops[],BedPlan[[#This Row],[Chart Index]],EH$4,1)*BedPlan[[#This Row],['# Of Beds]]</f>
        <v>106.66666666666666</v>
      </c>
      <c r="EI75" s="30" t="str" cm="1">
        <f t="array" ref="EI75">INDEX(Crops[],BedPlan[[#This Row],[Chart Index]],EI$4,1)</f>
        <v>Head</v>
      </c>
      <c r="EJ75" s="30" t="str" cm="1">
        <f t="array" ref="EJ75">INDEX(Crops[],BedPlan[[#This Row],[Chart Index]],EJ$4,1)</f>
        <v>Mature Head</v>
      </c>
      <c r="EK75" s="30" t="str">
        <f>BedPlan[[#This Row],[Name]]&amp;" "&amp;BedPlan[[#This Row],[Product]]&amp; " - " &amp;BedPlan[[#This Row],[Unit]]</f>
        <v>Lettuce Mature Head - Head</v>
      </c>
      <c r="EL75" s="33" cm="1">
        <f t="array" ref="EL75">BedPlan[[#This Row],[Harvest Days January 2025]]/SUM(BedPlan[[#This Row],[Harvest Days January 2025]:[Harvest Days December 2026]])*BedPlan[[#This Row],[Yield]:[Yield]]</f>
        <v>0</v>
      </c>
      <c r="EM75" s="33" cm="1">
        <f t="array" ref="EM75">BedPlan[[#This Row],[Harvest Days February 2025]]/SUM(BedPlan[[#This Row],[Harvest Days January 2025]:[Harvest Days December 2026]])*BedPlan[[#This Row],[Yield]:[Yield]]</f>
        <v>0</v>
      </c>
      <c r="EN75" s="33" cm="1">
        <f t="array" ref="EN75">BedPlan[[#This Row],[Harvest Days March 2025]]/SUM(BedPlan[[#This Row],[Harvest Days January 2025]:[Harvest Days December 2026]])*BedPlan[[#This Row],[Yield]:[Yield]]</f>
        <v>0</v>
      </c>
      <c r="EO75" s="33" cm="1">
        <f t="array" ref="EO75">BedPlan[[#This Row],[Harvest Days April 2025]]/SUM(BedPlan[[#This Row],[Harvest Days January 2025]:[Harvest Days December 2026]])*BedPlan[[#This Row],[Yield]:[Yield]]</f>
        <v>0</v>
      </c>
      <c r="EP75" s="33" cm="1">
        <f t="array" ref="EP75">BedPlan[[#This Row],[Harvest Days May 2025]]/SUM(BedPlan[[#This Row],[Harvest Days January 2025]:[Harvest Days December 2026]])*BedPlan[[#This Row],[Yield]:[Yield]]</f>
        <v>0</v>
      </c>
      <c r="EQ75" s="33" cm="1">
        <f t="array" ref="EQ75">BedPlan[[#This Row],[Harvest Days June 2025]]/SUM(BedPlan[[#This Row],[Harvest Days January 2025]:[Harvest Days December 2026]])*BedPlan[[#This Row],[Yield]:[Yield]]</f>
        <v>0</v>
      </c>
      <c r="ER75" s="33" cm="1">
        <f t="array" ref="ER75">BedPlan[[#This Row],[Harvest Days July 2025]]/SUM(BedPlan[[#This Row],[Harvest Days January 2025]:[Harvest Days December 2026]])*BedPlan[[#This Row],[Yield]:[Yield]]</f>
        <v>106.66666666666666</v>
      </c>
      <c r="ES75" s="33" cm="1">
        <f t="array" ref="ES75">BedPlan[[#This Row],[Harvest Days August 2025]]/SUM(BedPlan[[#This Row],[Harvest Days January 2025]:[Harvest Days December 2026]])*BedPlan[[#This Row],[Yield]:[Yield]]</f>
        <v>0</v>
      </c>
      <c r="ET75" s="33" cm="1">
        <f t="array" ref="ET75">BedPlan[[#This Row],[Harvest Days September 2025]]/SUM(BedPlan[[#This Row],[Harvest Days January 2025]:[Harvest Days December 2026]])*BedPlan[[#This Row],[Yield]:[Yield]]</f>
        <v>0</v>
      </c>
      <c r="EU75" s="33" cm="1">
        <f t="array" ref="EU75">BedPlan[[#This Row],[Harvest Days October 2025]]/SUM(BedPlan[[#This Row],[Harvest Days January 2025]:[Harvest Days December 2026]])*BedPlan[[#This Row],[Yield]:[Yield]]</f>
        <v>0</v>
      </c>
      <c r="EV75" s="33" cm="1">
        <f t="array" ref="EV75">BedPlan[[#This Row],[Harvest Days November 2025]]/SUM(BedPlan[[#This Row],[Harvest Days January 2025]:[Harvest Days December 2026]])*BedPlan[[#This Row],[Yield]:[Yield]]</f>
        <v>0</v>
      </c>
      <c r="EW75" s="33" cm="1">
        <f t="array" ref="EW75">BedPlan[[#This Row],[Harvest Days December 2025]]/SUM(BedPlan[[#This Row],[Harvest Days January 2025]:[Harvest Days December 2026]])*BedPlan[[#This Row],[Yield]:[Yield]]</f>
        <v>0</v>
      </c>
    </row>
    <row r="76" spans="1:153" ht="15.75" customHeight="1">
      <c r="A76" s="179" t="s">
        <v>2729</v>
      </c>
      <c r="B76" s="240" t="s">
        <v>3188</v>
      </c>
      <c r="C76" t="s">
        <v>1487</v>
      </c>
      <c r="D76" s="226" cm="1">
        <f t="array" ref="D76">INDEX(Crops[],BedPlan[[#This Row],[Chart Index]],D$4,1)*BedPlan[[#This Row],[Full Bed Equivalent]]</f>
        <v>133.33333333333331</v>
      </c>
      <c r="E76" s="226" cm="1">
        <f t="array" ref="E76">INDEX(Crops[],BedPlan[[#This Row],[Chart Index]],E$4,1)*BedPlan[[#This Row],[Full Bed Equivalent]]</f>
        <v>266.66666666666663</v>
      </c>
      <c r="F76" t="str">
        <f>UPPER(LEFT(BedPlan[[#This Row],[Crop]],3))</f>
        <v>LET</v>
      </c>
      <c r="H76" s="143" t="str" cm="1">
        <f t="array" ref="H76">INDEX(Crops[],BedPlan[[#This Row],[Chart Index]],H$4,1)</f>
        <v>Lettuce</v>
      </c>
      <c r="I76" t="s">
        <v>2816</v>
      </c>
      <c r="K76" t="str" cm="1">
        <f t="array" ref="K76">IF(ISNUMBER(MATCH(BedPlan[[#This Row],[Variety]],SeedMixes[Name],)),_xlfn.TEXTJOIN(", ",TRUE,_xlfn._xlws.FILTER(SeedMixes[Variety &amp; Company],SeedMixes[Name]=BedPlan[[#This Row],[Variety]])),"")</f>
        <v>Jester Wild Garden, Rouge D'Hiver High Mowing, Brown Goldring Wild Garden, Truchas - Pelleted Osborne, Xalbadora Johnny's</v>
      </c>
      <c r="L76" s="33" cm="1">
        <f t="array" ref="L76">INDEX(Crops[],BedPlan[[#This Row],[Chart Index]],L$4,1)*BedPlan[[#This Row],[Full Bed Equivalent]]</f>
        <v>450.66666666666663</v>
      </c>
      <c r="N76">
        <f>1</f>
        <v>1</v>
      </c>
      <c r="O76">
        <f>MAX(BedPlan[[#This Row],['# Of Beds]],0.5)</f>
        <v>1</v>
      </c>
      <c r="P76" s="31">
        <f>IF(ISNUMBER(BedPlan[[#This Row],[Planned Greenhouse Start Date]]),BedPlan[[#This Row],[Planned Greenhouse Start Date]],BedPlan[[#This Row],[Planned TP or DS Date]])</f>
        <v>45779</v>
      </c>
      <c r="Q76" s="259">
        <f>IF(BedPlan[[#This Row],[Days in Cells]]=0,"",IFERROR(_xlfn.XLOOKUP(BedPlan[[#This Row],[Follows Crop]],BedPlan[Identifier],BedPlan[Expected End of Harvest]) + 1+BedPlan[[#This Row],[Follow Offset]],BedPlan[[#This Row],[Fixed Field Start Date]])-BedPlan[[#This Row],[Days in Cells]])</f>
        <v>45779</v>
      </c>
      <c r="R76" s="259">
        <v>45796</v>
      </c>
      <c r="S76" s="259">
        <f>IF(ISNUMBER(BedPlan[[#This Row],[Actual Greenhouse Date]]),BedPlan[[#This Row],[Actual Greenhouse Date]],BedPlan[[#This Row],[Planned Greenhouse Start Date]])</f>
        <v>45796</v>
      </c>
      <c r="T76" s="259">
        <v>45809</v>
      </c>
      <c r="U76" s="260"/>
      <c r="V76" s="260"/>
      <c r="W7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45826</v>
      </c>
      <c r="X76" s="259"/>
      <c r="Y76" s="271">
        <f>BedPlan[[#This Row],[Actual TP or DS Date]]-BedPlan[[#This Row],[Planned TP or DS Date]]</f>
        <v>-45826</v>
      </c>
      <c r="Z76" s="259">
        <f>IF(ISNUMBER(BedPlan[[#This Row],[Actual TP or DS Date]]),BedPlan[[#This Row],[Actual TP or DS Date]],BedPlan[[#This Row],[Planned TP or DS Date]])</f>
        <v>45826</v>
      </c>
      <c r="AA76" s="260">
        <v>-21</v>
      </c>
      <c r="AB76" s="259">
        <f>IF(ISNUMBER(BedPlan[[#This Row],[Greenhouse Start Date]]),BedPlan[[#This Row],[Greenhouse Start Date]]+BedPlan[[#This Row],[DTM]],BedPlan[[#This Row],[TP or DS Date]]+BedPlan[[#This Row],[DTM]])</f>
        <v>45870</v>
      </c>
      <c r="AC76" s="259"/>
      <c r="AD76" s="259">
        <f>IF(ISNUMBER(BedPlan[[#This Row],[Actual Beginning of Harvest]]),BedPlan[[#This Row],[Actual Beginning of Harvest]],BedPlan[[#This Row],[Expected Beginning of Harvest]])</f>
        <v>45870</v>
      </c>
      <c r="AE76" s="259">
        <f>BedPlan[[#This Row],[Expected Beginning of Harvest]]+BedPlan[[#This Row],[Harvest Window]]+BedPlan[[#This Row],[Additional Days of Harvest]]</f>
        <v>45884</v>
      </c>
      <c r="AF76" s="259"/>
      <c r="AG76" s="259"/>
      <c r="AH76" s="31" t="b">
        <f>IF(AND( BedPlan[[#This Row],[Expected End of Harvest]] &gt;= DATE(2025, 8, 1), BedPlan[[#This Row],[Beginning of Harvest]] &lt;= DATE(2025, 8, 31) ), TRUE, FALSE)</f>
        <v>1</v>
      </c>
      <c r="AI76" s="31"/>
      <c r="AJ76" s="31">
        <f>IF(ISNUMBER(BedPlan[[#This Row],[Actual End of Harvest]]),BedPlan[[#This Row],[Actual End of Harvest]],BedPlan[[#This Row],[Expected End of Harvest]])</f>
        <v>45884</v>
      </c>
      <c r="AK76" t="b">
        <f>OR(ISNUMBER(BedPlan[[#This Row],[Actual Greenhouse Date]]),ISNUMBER(BedPlan[[#This Row],[Actual TP or DS Date]]))</f>
        <v>1</v>
      </c>
      <c r="AL76" s="52" t="b">
        <f>IF(ISNUMBER(BedPlan[[#This Row],[Planned Greenhouse Start Date]]),OR(ISNUMBER(BedPlan[[#This Row],[Actual TP or DS Date]]),BedPlan[[#This Row],[Failed]]),"-")</f>
        <v>0</v>
      </c>
      <c r="AM76" t="b">
        <f>OR(ISNUMBER(BedPlan[[#This Row],[Actual End of Harvest]]),BedPlan[[#This Row],[Failed]])</f>
        <v>0</v>
      </c>
      <c r="AN76" t="b">
        <f>OR(BedPlan[[#This Row],[Harvest Done]],BedPlan[[#This Row],[Failed]],BedPlan[[#This Row],[Name]]="Tarp")</f>
        <v>0</v>
      </c>
      <c r="AS76" s="26" t="str">
        <f>IF(BedPlan[[#This Row],[Broadfork]],BedPlan[[#This Row],[Actual TP or DS Date]],"")</f>
        <v/>
      </c>
      <c r="AT76" s="26" t="str">
        <f>IF(BedPlan[[#This Row],[Tilther]],BedPlan[[#This Row],[Actual TP or DS Date]],"")</f>
        <v/>
      </c>
      <c r="AU76" s="26" t="str">
        <f>IF(NOT(ISBLANK(BedPlan[[#This Row],[Amend]])),BedPlan[[#This Row],[Actual TP or DS Date]],"")</f>
        <v/>
      </c>
      <c r="AV76" s="26" t="str">
        <f>IF(BedPlan[[#This Row],[Row Cover]],BedPlan[[#This Row],[Actual TP or DS Date]],"")</f>
        <v/>
      </c>
      <c r="AX76" s="26"/>
      <c r="AZ76" s="26"/>
      <c r="BB76" s="26"/>
      <c r="BC76" s="231" cm="1">
        <f t="array" ref="BC76">INDEX(Crops[],BedPlan[[#This Row],[Chart Index]],BC$4,1)*BedPlan[[#This Row],[Full Bed Equivalent]]</f>
        <v>1066.6666666666665</v>
      </c>
      <c r="BD76" s="231" cm="1">
        <f t="array" ref="BD76">INDEX(Crops[],BedPlan[[#This Row],[Chart Index]],BD$4,1)*BedPlan[[#This Row],[Full Bed Equivalent]]</f>
        <v>13.502109704641349</v>
      </c>
      <c r="BE76" cm="1">
        <f t="array" ref="BE76">INDEX(Crops[],BedPlan[[#This Row],[Chart Index]],BE$4,1)+BedPlan[[#This Row],[Additional Days in Cells]]+BedPlan[[#This Row],[Additional Days In Field]]</f>
        <v>74</v>
      </c>
      <c r="BG76" cm="1">
        <f t="array" ref="BG76">INDEX(Crops[],BedPlan[[#This Row],[Chart Index]],BG$4,1)</f>
        <v>14</v>
      </c>
      <c r="BH76" t="str">
        <f>IF(ISNUMBER(BedPlan[[#This Row],[Planned Greenhouse Start Date]]),"TP","DS")</f>
        <v>TP</v>
      </c>
      <c r="BI76">
        <f>BedPlan[[#This Row],['# Of Beds]]</f>
        <v>1</v>
      </c>
      <c r="BJ76" cm="1">
        <f t="array" ref="BJ76">INDEX(Crops[],BedPlan[[#This Row],[Chart Index]],BJ$4,1)</f>
        <v>30</v>
      </c>
      <c r="BK76" cm="1">
        <f t="array" ref="BK76">INDEX(Crops[],BedPlan[[#This Row],[Chart Index]],BK$4,1)</f>
        <v>4</v>
      </c>
      <c r="BL76" cm="1">
        <f t="array" ref="BL76">INDEX(Crops[],BedPlan[[#This Row],[Chart Index]],BL$4,1)</f>
        <v>9</v>
      </c>
      <c r="BM76" cm="1">
        <f t="array" ref="BM76">INDEX(Crops[],BedPlan[[#This Row],[Chart Index]],BM$4,1)</f>
        <v>1</v>
      </c>
      <c r="BN76" s="32" cm="1">
        <f t="array" ref="BN76">INDEX(Crops[],BedPlan[[#This Row],[Chart Index]],BN$4,1)*BedPlan[[#This Row],[Full Bed Equivalent]]</f>
        <v>266.66666666666663</v>
      </c>
      <c r="BO76" t="str" cm="1">
        <f t="array" ref="BO76">IF(INDEX(Crops[],BedPlan[[#This Row],[Chart Index]],BO$4,1)=0,"",INDEX(Crops[],BedPlan[[#This Row],[Chart Index]],BO$4,1))</f>
        <v/>
      </c>
      <c r="BP76">
        <f>MATCH(BedPlan[[#This Row],[Crop]],Crops[Identifier],FALSE)</f>
        <v>174</v>
      </c>
      <c r="BQ76" t="str" cm="1">
        <f t="array" ref="BQ76">INDEX(Crops[],BedPlan[[#This Row],[Chart Index]],BQ$4,1)</f>
        <v>4x9</v>
      </c>
      <c r="BR76" t="str" cm="1">
        <f t="array" ref="BR76">INDEX(Crops[],BedPlan[[#This Row],[Chart Index]],BR$4,1)</f>
        <v>Sp</v>
      </c>
      <c r="BS76" s="32">
        <f>BedPlan[[#This Row],[Expected Beginning of Harvest]]-DATE(2023,1,1)</f>
        <v>943</v>
      </c>
      <c r="BT76">
        <f>BedPlan[[#This Row],[Expected End of Harvest]]-BedPlan[[#This Row],[Expected Beginning of Harvest]]</f>
        <v>14</v>
      </c>
      <c r="BU76" t="str" cm="1">
        <f t="array" ref="BU76">INDEX(Crops[],BedPlan[[#This Row],[Chart Index]],BU$4,1)</f>
        <v>Green</v>
      </c>
      <c r="BV76" cm="1">
        <f t="array" ref="BV76">INDEX(Crops[],BedPlan[[#This Row],[Chart Index]],BV$4,1)</f>
        <v>1</v>
      </c>
      <c r="BW76" t="str" cm="1">
        <f t="array" ref="BW76">INDEX(Crops[],BedPlan[[#This Row],[Chart Index]],BW$4,1)</f>
        <v>None</v>
      </c>
      <c r="BX76" cm="1">
        <f t="array" ref="BX76">INDEX(Crops[],BedPlan[[#This Row],[Chart Index]],BX$4,1)</f>
        <v>128</v>
      </c>
      <c r="BY76" cm="1">
        <f t="array" ref="BY76">INDEX(Crops[],BedPlan[[#This Row],[Chart Index]],BY$4,1)</f>
        <v>30</v>
      </c>
      <c r="BZ76" s="49" cm="1">
        <f t="array" ref="BZ76">IFERROR(INDEX(Crops[],BedPlan[[#This Row],[Chart Index]],BZ$4,1)*BedPlan[[#This Row],[Full Bed Equivalent]],"")</f>
        <v>2.708333333333333</v>
      </c>
      <c r="CA76" cm="1">
        <f t="array" ref="CA76">INDEX(Crops[],BedPlan[[#This Row],[Chart Index]],CA$4,1)</f>
        <v>0</v>
      </c>
      <c r="CB76" cm="1">
        <f t="array" ref="CB76">INDEX(Crops[],BedPlan[[#This Row],[Chart Index]],CB$4,1)</f>
        <v>0</v>
      </c>
      <c r="CC76" s="49" t="str" cm="1">
        <f t="array" ref="CC76">IFERROR(INDEX(Crops[],BedPlan[[#This Row],[Chart Index]],CC$4,1)*BedPlan[[#This Row],[Full Bed Equivalent]],"")</f>
        <v/>
      </c>
      <c r="CD76" cm="1">
        <f t="array" ref="CD76">INDEX(Crops[],BedPlan[[#This Row],[Chart Index]],CD$4,1)</f>
        <v>0</v>
      </c>
      <c r="CE76" cm="1">
        <f t="array" ref="CE76">IF(INDEX(Crops[],BedPlan[[#This Row],[Chart Index]],CE$4,1)="",0,INDEX(Crops[],BedPlan[[#This Row],[Chart Index]],CE$4,1))</f>
        <v>0</v>
      </c>
      <c r="CF76" s="49" t="str" cm="1">
        <f t="array" ref="CF76">IFERROR(INDEX(Crops[],BedPlan[[#This Row],[Chart Index]],CF$4,1)*BedPlan[[#This Row],[Full Bed Equivalent]],"")</f>
        <v/>
      </c>
      <c r="CG76" cm="1">
        <f t="array" ref="CG76">IF(INDEX(Crops[],BedPlan[[#This Row],[Chart Index]],CG$4,1)="",0,INDEX(Crops[],BedPlan[[#This Row],[Chart Index]],CG$4,1))</f>
        <v>1.3</v>
      </c>
      <c r="CH76" cm="1">
        <f t="array" ref="CH76">IF(INDEX(Crops[],BedPlan[[#This Row],[Chart Index]],CH$4,1)="",0,INDEX(Crops[],BedPlan[[#This Row],[Chart Index]],CH$4,1))</f>
        <v>0</v>
      </c>
      <c r="CI76" t="str" cm="1">
        <f t="array" ref="CI76">INDEX(Crops[],BedPlan[[#This Row],[Chart Index]],CI$4,1)</f>
        <v>Field</v>
      </c>
      <c r="CJ76" s="30" t="str">
        <f>_xlfn.TEXTJOIN(CHAR(10),FALSE,BedPlan[[#This Row],[Name]],BedPlan[[#This Row],[Variety]],BedPlan[[#This Row],[Company]])</f>
        <v xml:space="preserve">Lettuce
Cool Lettuce Mix
</v>
      </c>
      <c r="CK76" s="32">
        <f>MAX( 0, MIN(BedPlan[[#This Row],[Expected End of Harvest]], EOMONTH(CK$4, 0)) - MAX(BedPlan[[#This Row],[Beginning of Harvest]], CK$4) + 1 )</f>
        <v>0</v>
      </c>
      <c r="CL76">
        <f>MAX( 0, MIN(BedPlan[[#This Row],[Expected End of Harvest]], EOMONTH(CL$4, 0)) - MAX(BedPlan[[#This Row],[Beginning of Harvest]], CL$4) + 1 )</f>
        <v>0</v>
      </c>
      <c r="CM76">
        <f>MAX( 0, MIN(BedPlan[[#This Row],[Expected End of Harvest]], EOMONTH(CM$4, 0)) - MAX(BedPlan[[#This Row],[Beginning of Harvest]], CM$4) + 1 )</f>
        <v>0</v>
      </c>
      <c r="CN76">
        <f>MAX( 0, MIN(BedPlan[[#This Row],[Expected End of Harvest]], EOMONTH(CN$4, 0)) - MAX(BedPlan[[#This Row],[Beginning of Harvest]], CN$4) + 1 )</f>
        <v>0</v>
      </c>
      <c r="CO76">
        <f>MAX( 0, MIN(BedPlan[[#This Row],[Expected End of Harvest]], EOMONTH(CO$4, 0)) - MAX(BedPlan[[#This Row],[Beginning of Harvest]], CO$4) + 1 )</f>
        <v>0</v>
      </c>
      <c r="CP76">
        <f>MAX( 0, MIN(BedPlan[[#This Row],[Expected End of Harvest]], EOMONTH(CP$4, 0)) - MAX(BedPlan[[#This Row],[Beginning of Harvest]], CP$4) + 1 )</f>
        <v>0</v>
      </c>
      <c r="CQ76">
        <f>MAX( 0, MIN(BedPlan[[#This Row],[Expected End of Harvest]], EOMONTH(CQ$4, 0)) - MAX(BedPlan[[#This Row],[Beginning of Harvest]], CQ$4) + 1 )</f>
        <v>0</v>
      </c>
      <c r="CR76">
        <f>MAX( 0, MIN(BedPlan[[#This Row],[Expected End of Harvest]], EOMONTH(CR$4, 0)) - MAX(BedPlan[[#This Row],[Beginning of Harvest]], CR$4) + 1 )</f>
        <v>15</v>
      </c>
      <c r="CS76">
        <f>MAX( 0, MIN(BedPlan[[#This Row],[Expected End of Harvest]], EOMONTH(CS$4, 0)) - MAX(BedPlan[[#This Row],[Beginning of Harvest]], CS$4) + 1 )</f>
        <v>0</v>
      </c>
      <c r="CT76">
        <f>MAX( 0, MIN(BedPlan[[#This Row],[Expected End of Harvest]], EOMONTH(CT$4, 0)) - MAX(BedPlan[[#This Row],[Beginning of Harvest]], CT$4) + 1 )</f>
        <v>0</v>
      </c>
      <c r="CU76">
        <f>MAX( 0, MIN(BedPlan[[#This Row],[Expected End of Harvest]], EOMONTH(CU$4, 0)) - MAX(BedPlan[[#This Row],[Beginning of Harvest]], CU$4) + 1 )</f>
        <v>0</v>
      </c>
      <c r="CV76">
        <f>MAX( 0, MIN(BedPlan[[#This Row],[Expected End of Harvest]], EOMONTH(CV$4, 0)) - MAX(BedPlan[[#This Row],[Beginning of Harvest]], CV$4) + 1 )</f>
        <v>0</v>
      </c>
      <c r="CW76">
        <f>MAX( 0, MIN(BedPlan[[#This Row],[Expected End of Harvest]], EOMONTH(CW$4, 0)) - MAX(BedPlan[[#This Row],[Beginning of Harvest]], CW$4) + 1 )</f>
        <v>0</v>
      </c>
      <c r="CX76">
        <f>MAX( 0, MIN(BedPlan[[#This Row],[Expected End of Harvest]], EOMONTH(CX$4, 0)) - MAX(BedPlan[[#This Row],[Beginning of Harvest]], CX$4) + 1 )</f>
        <v>0</v>
      </c>
      <c r="CY76">
        <f>MAX( 0, MIN(BedPlan[[#This Row],[Expected End of Harvest]], EOMONTH(CY$4, 0)) - MAX(BedPlan[[#This Row],[Beginning of Harvest]], CY$4) + 1 )</f>
        <v>0</v>
      </c>
      <c r="CZ76">
        <f>MAX( 0, MIN(BedPlan[[#This Row],[Expected End of Harvest]], EOMONTH(CZ$4, 0)) - MAX(BedPlan[[#This Row],[Beginning of Harvest]], CZ$4) + 1 )</f>
        <v>0</v>
      </c>
      <c r="DA76">
        <f>MAX( 0, MIN(BedPlan[[#This Row],[Expected End of Harvest]], EOMONTH(DA$4, 0)) - MAX(BedPlan[[#This Row],[Beginning of Harvest]], DA$4) + 1 )</f>
        <v>0</v>
      </c>
      <c r="DB76">
        <f>MAX( 0, MIN(BedPlan[[#This Row],[Expected End of Harvest]], EOMONTH(DB$4, 0)) - MAX(BedPlan[[#This Row],[Beginning of Harvest]], DB$4) + 1 )</f>
        <v>0</v>
      </c>
      <c r="DC76">
        <f>MAX( 0, MIN(BedPlan[[#This Row],[Expected End of Harvest]], EOMONTH(DC$4, 0)) - MAX(BedPlan[[#This Row],[Beginning of Harvest]], DC$4) + 1 )</f>
        <v>0</v>
      </c>
      <c r="DD76">
        <f>MAX( 0, MIN(BedPlan[[#This Row],[Expected End of Harvest]], EOMONTH(DD$4, 0)) - MAX(BedPlan[[#This Row],[Beginning of Harvest]], DD$4) + 1 )</f>
        <v>0</v>
      </c>
      <c r="DE76">
        <f>MAX( 0, MIN(BedPlan[[#This Row],[Expected End of Harvest]], EOMONTH(DE$4, 0)) - MAX(BedPlan[[#This Row],[Beginning of Harvest]], DE$4) + 1 )</f>
        <v>0</v>
      </c>
      <c r="DF76">
        <f>MAX( 0, MIN(BedPlan[[#This Row],[Expected End of Harvest]], EOMONTH(DF$4, 0)) - MAX(BedPlan[[#This Row],[Beginning of Harvest]], DF$4) + 1 )</f>
        <v>0</v>
      </c>
      <c r="DG76">
        <f>MAX( 0, MIN(BedPlan[[#This Row],[Expected End of Harvest]], EOMONTH(DG$4, 0)) - MAX(BedPlan[[#This Row],[Beginning of Harvest]], DG$4) + 1 )</f>
        <v>0</v>
      </c>
      <c r="DH76">
        <f>MAX( 0, MIN(BedPlan[[#This Row],[Expected End of Harvest]], EOMONTH(DH$4, 0)) - MAX(BedPlan[[#This Row],[Beginning of Harvest]], DH$4) + 1 )</f>
        <v>0</v>
      </c>
      <c r="DI76" s="257" cm="1">
        <f t="array" ref="DI76">BedPlan[[#This Row],[Harvest Days January 2025]]/SUM(BedPlan[[#This Row],[Harvest Days January 2025]:[Harvest Days December 2026]])*BedPlan[[#This Row],[Revenue]:[Revenue]]</f>
        <v>0</v>
      </c>
      <c r="DJ76" s="257" cm="1">
        <f t="array" ref="DJ76">BedPlan[[#This Row],[Harvest Days February 2025]]/SUM(BedPlan[[#This Row],[Harvest Days January 2025]:[Harvest Days December 2026]])*BedPlan[[#This Row],[Revenue]:[Revenue]]</f>
        <v>0</v>
      </c>
      <c r="DK76" s="257" cm="1">
        <f t="array" ref="DK76">BedPlan[[#This Row],[Harvest Days March 2025]]/SUM(BedPlan[[#This Row],[Harvest Days January 2025]:[Harvest Days December 2026]])*BedPlan[[#This Row],[Revenue]:[Revenue]]</f>
        <v>0</v>
      </c>
      <c r="DL76" s="257" cm="1">
        <f t="array" ref="DL76">BedPlan[[#This Row],[Harvest Days April 2025]]/SUM(BedPlan[[#This Row],[Harvest Days January 2025]:[Harvest Days December 2026]])*BedPlan[[#This Row],[Revenue]:[Revenue]]</f>
        <v>0</v>
      </c>
      <c r="DM76" s="257" cm="1">
        <f t="array" ref="DM76">BedPlan[[#This Row],[Harvest Days May 2025]]/SUM(BedPlan[[#This Row],[Harvest Days January 2025]:[Harvest Days December 2026]])*BedPlan[[#This Row],[Revenue]:[Revenue]]</f>
        <v>0</v>
      </c>
      <c r="DN76" s="257" cm="1">
        <f t="array" ref="DN76">BedPlan[[#This Row],[Harvest Days June 2025]]/SUM(BedPlan[[#This Row],[Harvest Days January 2025]:[Harvest Days December 2026]])*BedPlan[[#This Row],[Revenue]:[Revenue]]</f>
        <v>0</v>
      </c>
      <c r="DO76" s="257" cm="1">
        <f t="array" ref="DO76">BedPlan[[#This Row],[Harvest Days July 2025]]/SUM(BedPlan[[#This Row],[Harvest Days January 2025]:[Harvest Days December 2026]])*BedPlan[[#This Row],[Revenue]:[Revenue]]</f>
        <v>0</v>
      </c>
      <c r="DP76" s="257" cm="1">
        <f t="array" ref="DP76">BedPlan[[#This Row],[Harvest Days August 2025]]/SUM(BedPlan[[#This Row],[Harvest Days January 2025]:[Harvest Days December 2026]])*BedPlan[[#This Row],[Revenue]:[Revenue]]</f>
        <v>1066.6666666666665</v>
      </c>
      <c r="DQ76" s="257" cm="1">
        <f t="array" ref="DQ76">BedPlan[[#This Row],[Harvest Days September 2025]]/SUM(BedPlan[[#This Row],[Harvest Days January 2025]:[Harvest Days December 2026]])*BedPlan[[#This Row],[Revenue]:[Revenue]]</f>
        <v>0</v>
      </c>
      <c r="DR76" s="257" cm="1">
        <f t="array" ref="DR76">BedPlan[[#This Row],[Harvest Days October 2025]]/SUM(BedPlan[[#This Row],[Harvest Days January 2025]:[Harvest Days December 2026]])*BedPlan[[#This Row],[Revenue]:[Revenue]]</f>
        <v>0</v>
      </c>
      <c r="DS76" s="257" cm="1">
        <f t="array" ref="DS76">BedPlan[[#This Row],[Harvest Days November 2025]]/SUM(BedPlan[[#This Row],[Harvest Days January 2025]:[Harvest Days December 2026]])*BedPlan[[#This Row],[Revenue]:[Revenue]]</f>
        <v>0</v>
      </c>
      <c r="DT76" s="257" cm="1">
        <f t="array" ref="DT76">BedPlan[[#This Row],[Harvest Days December 2025]]/SUM(BedPlan[[#This Row],[Harvest Days January 2025]:[Harvest Days December 2026]])*BedPlan[[#This Row],[Revenue]:[Revenue]]</f>
        <v>0</v>
      </c>
      <c r="DU76" s="257" cm="1">
        <f t="array" ref="DU76">BedPlan[[#This Row],[Harvest Days January 2026]]/SUM(BedPlan[[#This Row],[Harvest Days January 2025]:[Harvest Days December 2026]])*BedPlan[[#This Row],[Revenue]:[Revenue]]</f>
        <v>0</v>
      </c>
      <c r="DV76" s="257" cm="1">
        <f t="array" ref="DV76">BedPlan[[#This Row],[Harvest Days February 2026]]/SUM(BedPlan[[#This Row],[Harvest Days January 2025]:[Harvest Days December 2026]])*BedPlan[[#This Row],[Revenue]:[Revenue]]</f>
        <v>0</v>
      </c>
      <c r="DW76" s="257" cm="1">
        <f t="array" ref="DW76">BedPlan[[#This Row],[Harvest Days March 2026]]/SUM(BedPlan[[#This Row],[Harvest Days January 2025]:[Harvest Days December 2026]])*BedPlan[[#This Row],[Revenue]:[Revenue]]</f>
        <v>0</v>
      </c>
      <c r="DX76" s="257" cm="1">
        <f t="array" ref="DX76">BedPlan[[#This Row],[Harvest Days April 2026]]/SUM(BedPlan[[#This Row],[Harvest Days January 2025]:[Harvest Days December 2026]])*BedPlan[[#This Row],[Revenue]:[Revenue]]</f>
        <v>0</v>
      </c>
      <c r="DY76" s="257" cm="1">
        <f t="array" ref="DY76">BedPlan[[#This Row],[Harvest Days May 2026]]/SUM(BedPlan[[#This Row],[Harvest Days January 2025]:[Harvest Days December 2026]])*BedPlan[[#This Row],[Revenue]:[Revenue]]</f>
        <v>0</v>
      </c>
      <c r="DZ76" s="257" cm="1">
        <f t="array" ref="DZ76">BedPlan[[#This Row],[Harvest Days June 2026]]/SUM(BedPlan[[#This Row],[Harvest Days January 2025]:[Harvest Days December 2026]])*BedPlan[[#This Row],[Revenue]:[Revenue]]</f>
        <v>0</v>
      </c>
      <c r="EA76" s="257" cm="1">
        <f t="array" ref="EA76">BedPlan[[#This Row],[Harvest Days July 2026]]/SUM(BedPlan[[#This Row],[Harvest Days January 2025]:[Harvest Days December 2026]])*BedPlan[[#This Row],[Revenue]:[Revenue]]</f>
        <v>0</v>
      </c>
      <c r="EB76" s="257" cm="1">
        <f t="array" ref="EB76">BedPlan[[#This Row],[Harvest Days August 2026]]/SUM(BedPlan[[#This Row],[Harvest Days January 2025]:[Harvest Days December 2026]])*BedPlan[[#This Row],[Revenue]:[Revenue]]</f>
        <v>0</v>
      </c>
      <c r="EC76" s="257" cm="1">
        <f t="array" ref="EC76">BedPlan[[#This Row],[Harvest Days September 2026]]/SUM(BedPlan[[#This Row],[Harvest Days January 2025]:[Harvest Days December 2026]])*BedPlan[[#This Row],[Revenue]:[Revenue]]</f>
        <v>0</v>
      </c>
      <c r="ED76" s="257" cm="1">
        <f t="array" ref="ED76">BedPlan[[#This Row],[Harvest Days October 2026]]/SUM(BedPlan[[#This Row],[Harvest Days January 2025]:[Harvest Days December 2026]])*BedPlan[[#This Row],[Revenue]:[Revenue]]</f>
        <v>0</v>
      </c>
      <c r="EE76" s="257" cm="1">
        <f t="array" ref="EE76">BedPlan[[#This Row],[Harvest Days November 2026]]/SUM(BedPlan[[#This Row],[Harvest Days January 2025]:[Harvest Days December 2026]])*BedPlan[[#This Row],[Revenue]:[Revenue]]</f>
        <v>0</v>
      </c>
      <c r="EF76" s="257" cm="1">
        <f t="array" ref="EF76">BedPlan[[#This Row],[Harvest Days December 2026]]/SUM(BedPlan[[#This Row],[Harvest Days January 2025]:[Harvest Days December 2026]])*BedPlan[[#This Row],[Revenue]:[Revenue]]</f>
        <v>0</v>
      </c>
      <c r="EG76" t="b">
        <f>SUM(BedPlan[[#This Row],[Revenue January 2025]:[Revenue December 2026]])=BedPlan[[#This Row],[Revenue]]</f>
        <v>1</v>
      </c>
      <c r="EH76" s="30" cm="1">
        <f t="array" ref="EH76">INDEX(Crops[],BedPlan[[#This Row],[Chart Index]],EH$4,1)*BedPlan[[#This Row],['# Of Beds]]</f>
        <v>266.66666666666663</v>
      </c>
      <c r="EI76" s="30" t="str" cm="1">
        <f t="array" ref="EI76">INDEX(Crops[],BedPlan[[#This Row],[Chart Index]],EI$4,1)</f>
        <v>Head</v>
      </c>
      <c r="EJ76" s="30" t="str" cm="1">
        <f t="array" ref="EJ76">INDEX(Crops[],BedPlan[[#This Row],[Chart Index]],EJ$4,1)</f>
        <v>Mature Head</v>
      </c>
      <c r="EK76" s="30" t="str">
        <f>BedPlan[[#This Row],[Name]]&amp;" "&amp;BedPlan[[#This Row],[Product]]&amp; " - " &amp;BedPlan[[#This Row],[Unit]]</f>
        <v>Lettuce Mature Head - Head</v>
      </c>
      <c r="EL76" s="33" cm="1">
        <f t="array" ref="EL76">BedPlan[[#This Row],[Harvest Days January 2025]]/SUM(BedPlan[[#This Row],[Harvest Days January 2025]:[Harvest Days December 2026]])*BedPlan[[#This Row],[Yield]:[Yield]]</f>
        <v>0</v>
      </c>
      <c r="EM76" s="33" cm="1">
        <f t="array" ref="EM76">BedPlan[[#This Row],[Harvest Days February 2025]]/SUM(BedPlan[[#This Row],[Harvest Days January 2025]:[Harvest Days December 2026]])*BedPlan[[#This Row],[Yield]:[Yield]]</f>
        <v>0</v>
      </c>
      <c r="EN76" s="33" cm="1">
        <f t="array" ref="EN76">BedPlan[[#This Row],[Harvest Days March 2025]]/SUM(BedPlan[[#This Row],[Harvest Days January 2025]:[Harvest Days December 2026]])*BedPlan[[#This Row],[Yield]:[Yield]]</f>
        <v>0</v>
      </c>
      <c r="EO76" s="33" cm="1">
        <f t="array" ref="EO76">BedPlan[[#This Row],[Harvest Days April 2025]]/SUM(BedPlan[[#This Row],[Harvest Days January 2025]:[Harvest Days December 2026]])*BedPlan[[#This Row],[Yield]:[Yield]]</f>
        <v>0</v>
      </c>
      <c r="EP76" s="33" cm="1">
        <f t="array" ref="EP76">BedPlan[[#This Row],[Harvest Days May 2025]]/SUM(BedPlan[[#This Row],[Harvest Days January 2025]:[Harvest Days December 2026]])*BedPlan[[#This Row],[Yield]:[Yield]]</f>
        <v>0</v>
      </c>
      <c r="EQ76" s="33" cm="1">
        <f t="array" ref="EQ76">BedPlan[[#This Row],[Harvest Days June 2025]]/SUM(BedPlan[[#This Row],[Harvest Days January 2025]:[Harvest Days December 2026]])*BedPlan[[#This Row],[Yield]:[Yield]]</f>
        <v>0</v>
      </c>
      <c r="ER76" s="33" cm="1">
        <f t="array" ref="ER76">BedPlan[[#This Row],[Harvest Days July 2025]]/SUM(BedPlan[[#This Row],[Harvest Days January 2025]:[Harvest Days December 2026]])*BedPlan[[#This Row],[Yield]:[Yield]]</f>
        <v>0</v>
      </c>
      <c r="ES76" s="33" cm="1">
        <f t="array" ref="ES76">BedPlan[[#This Row],[Harvest Days August 2025]]/SUM(BedPlan[[#This Row],[Harvest Days January 2025]:[Harvest Days December 2026]])*BedPlan[[#This Row],[Yield]:[Yield]]</f>
        <v>266.66666666666663</v>
      </c>
      <c r="ET76" s="33" cm="1">
        <f t="array" ref="ET76">BedPlan[[#This Row],[Harvest Days September 2025]]/SUM(BedPlan[[#This Row],[Harvest Days January 2025]:[Harvest Days December 2026]])*BedPlan[[#This Row],[Yield]:[Yield]]</f>
        <v>0</v>
      </c>
      <c r="EU76" s="33" cm="1">
        <f t="array" ref="EU76">BedPlan[[#This Row],[Harvest Days October 2025]]/SUM(BedPlan[[#This Row],[Harvest Days January 2025]:[Harvest Days December 2026]])*BedPlan[[#This Row],[Yield]:[Yield]]</f>
        <v>0</v>
      </c>
      <c r="EV76" s="33" cm="1">
        <f t="array" ref="EV76">BedPlan[[#This Row],[Harvest Days November 2025]]/SUM(BedPlan[[#This Row],[Harvest Days January 2025]:[Harvest Days December 2026]])*BedPlan[[#This Row],[Yield]:[Yield]]</f>
        <v>0</v>
      </c>
      <c r="EW76" s="33" cm="1">
        <f t="array" ref="EW76">BedPlan[[#This Row],[Harvest Days December 2025]]/SUM(BedPlan[[#This Row],[Harvest Days January 2025]:[Harvest Days December 2026]])*BedPlan[[#This Row],[Yield]:[Yield]]</f>
        <v>0</v>
      </c>
    </row>
    <row r="77" spans="1:153" ht="15.75" customHeight="1">
      <c r="A77" s="179" t="s">
        <v>2729</v>
      </c>
      <c r="B77" s="240" t="s">
        <v>2733</v>
      </c>
      <c r="C77" t="s">
        <v>1463</v>
      </c>
      <c r="D77" s="226" cm="1">
        <f t="array" ref="D77">INDEX(Crops[],BedPlan[[#This Row],[Chart Index]],D$4,1)*BedPlan[[#This Row],[Full Bed Equivalent]]</f>
        <v>53.333333333333329</v>
      </c>
      <c r="E77" s="226" cm="1">
        <f t="array" ref="E77">INDEX(Crops[],BedPlan[[#This Row],[Chart Index]],E$4,1)*BedPlan[[#This Row],[Full Bed Equivalent]]</f>
        <v>106.66666666666666</v>
      </c>
      <c r="F77" t="str">
        <f>UPPER(LEFT(BedPlan[[#This Row],[Crop]],3))</f>
        <v>LET</v>
      </c>
      <c r="H77" s="143" t="str" cm="1">
        <f t="array" ref="H77">INDEX(Crops[],BedPlan[[#This Row],[Chart Index]],H$4,1)</f>
        <v>Lettuce</v>
      </c>
      <c r="I77" t="s">
        <v>2229</v>
      </c>
      <c r="J77" t="s">
        <v>503</v>
      </c>
      <c r="K77" t="str" cm="1">
        <f t="array" ref="K77">IF(ISNUMBER(MATCH(BedPlan[[#This Row],[Variety]],SeedMixes[Name],)),_xlfn.TEXTJOIN(", ",TRUE,_xlfn._xlws.FILTER(SeedMixes[Variety &amp; Company],SeedMixes[Name]=BedPlan[[#This Row],[Variety]])),"")</f>
        <v/>
      </c>
      <c r="L77" s="33" cm="1">
        <f t="array" ref="L77">INDEX(Crops[],BedPlan[[#This Row],[Chart Index]],L$4,1)*BedPlan[[#This Row],[Full Bed Equivalent]]</f>
        <v>180.26666666666665</v>
      </c>
      <c r="N77">
        <v>0.4</v>
      </c>
      <c r="O77">
        <v>1</v>
      </c>
      <c r="P77" s="31">
        <f>IF(ISNUMBER(BedPlan[[#This Row],[Planned Greenhouse Start Date]]),BedPlan[[#This Row],[Planned Greenhouse Start Date]],BedPlan[[#This Row],[Planned TP or DS Date]])</f>
        <v>45791</v>
      </c>
      <c r="Q77" s="259">
        <f>IF(BedPlan[[#This Row],[Days in Cells]]=0,"",IFERROR(_xlfn.XLOOKUP(BedPlan[[#This Row],[Follows Crop]],BedPlan[Identifier],BedPlan[Expected End of Harvest]) + 1+BedPlan[[#This Row],[Follow Offset]],BedPlan[[#This Row],[Fixed Field Start Date]])-BedPlan[[#This Row],[Days in Cells]])</f>
        <v>45791</v>
      </c>
      <c r="R77" s="259">
        <v>45791</v>
      </c>
      <c r="S77" s="259">
        <f>IF(ISNUMBER(BedPlan[[#This Row],[Actual Greenhouse Date]]),BedPlan[[#This Row],[Actual Greenhouse Date]],BedPlan[[#This Row],[Planned Greenhouse Start Date]])</f>
        <v>45791</v>
      </c>
      <c r="T77" s="259">
        <f>_xlfn.XLOOKUP(BedPlan[[#This Row],[Crop]],Crops[Identifier],Crops[Target Field Date])+21*3</f>
        <v>45821</v>
      </c>
      <c r="U77" s="260"/>
      <c r="V77" s="260"/>
      <c r="W7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45821</v>
      </c>
      <c r="X77" s="259"/>
      <c r="Y77" s="271">
        <f>BedPlan[[#This Row],[Actual TP or DS Date]]-BedPlan[[#This Row],[Planned TP or DS Date]]</f>
        <v>-45821</v>
      </c>
      <c r="Z77" s="259">
        <f>IF(ISNUMBER(BedPlan[[#This Row],[Actual TP or DS Date]]),BedPlan[[#This Row],[Actual TP or DS Date]],BedPlan[[#This Row],[Planned TP or DS Date]])</f>
        <v>45821</v>
      </c>
      <c r="AA77" s="260">
        <v>-21</v>
      </c>
      <c r="AB77" s="259">
        <f>IF(ISNUMBER(BedPlan[[#This Row],[Greenhouse Start Date]]),BedPlan[[#This Row],[Greenhouse Start Date]]+BedPlan[[#This Row],[DTM]],BedPlan[[#This Row],[TP or DS Date]]+BedPlan[[#This Row],[DTM]])</f>
        <v>45865</v>
      </c>
      <c r="AC77" s="259"/>
      <c r="AD77" s="259">
        <f>IF(ISNUMBER(BedPlan[[#This Row],[Actual Beginning of Harvest]]),BedPlan[[#This Row],[Actual Beginning of Harvest]],BedPlan[[#This Row],[Expected Beginning of Harvest]])</f>
        <v>45865</v>
      </c>
      <c r="AE77" s="259">
        <f>BedPlan[[#This Row],[Expected Beginning of Harvest]]+BedPlan[[#This Row],[Harvest Window]]+BedPlan[[#This Row],[Additional Days of Harvest]]</f>
        <v>45879</v>
      </c>
      <c r="AF77" s="259"/>
      <c r="AG77" s="259"/>
      <c r="AH77" s="31" t="b">
        <f>IF(AND( BedPlan[[#This Row],[Expected End of Harvest]] &gt;= DATE(2025, 8, 1), BedPlan[[#This Row],[Beginning of Harvest]] &lt;= DATE(2025, 8, 31) ), TRUE, FALSE)</f>
        <v>1</v>
      </c>
      <c r="AI77" s="31"/>
      <c r="AJ77" s="31">
        <f>IF(ISNUMBER(BedPlan[[#This Row],[Actual End of Harvest]]),BedPlan[[#This Row],[Actual End of Harvest]],BedPlan[[#This Row],[Expected End of Harvest]])</f>
        <v>45879</v>
      </c>
      <c r="AK77" t="b">
        <f>OR(ISNUMBER(BedPlan[[#This Row],[Actual Greenhouse Date]]),ISNUMBER(BedPlan[[#This Row],[Actual TP or DS Date]]))</f>
        <v>1</v>
      </c>
      <c r="AL77" s="52" t="b">
        <f>IF(ISNUMBER(BedPlan[[#This Row],[Planned Greenhouse Start Date]]),OR(ISNUMBER(BedPlan[[#This Row],[Actual TP or DS Date]]),BedPlan[[#This Row],[Failed]]),"-")</f>
        <v>0</v>
      </c>
      <c r="AM77" t="b">
        <f>OR(ISNUMBER(BedPlan[[#This Row],[Actual End of Harvest]]),BedPlan[[#This Row],[Failed]])</f>
        <v>0</v>
      </c>
      <c r="AN77" t="b">
        <f>OR(BedPlan[[#This Row],[Harvest Done]],BedPlan[[#This Row],[Failed]],BedPlan[[#This Row],[Name]]="Tarp")</f>
        <v>0</v>
      </c>
      <c r="AS77" s="26" t="str">
        <f>IF(BedPlan[[#This Row],[Broadfork]],BedPlan[[#This Row],[Actual TP or DS Date]],"")</f>
        <v/>
      </c>
      <c r="AT77" s="26" t="str">
        <f>IF(BedPlan[[#This Row],[Tilther]],BedPlan[[#This Row],[Actual TP or DS Date]],"")</f>
        <v/>
      </c>
      <c r="AU77" s="26" t="str">
        <f>IF(NOT(ISBLANK(BedPlan[[#This Row],[Amend]])),BedPlan[[#This Row],[Actual TP or DS Date]],"")</f>
        <v/>
      </c>
      <c r="AV77" s="26" t="str">
        <f>IF(BedPlan[[#This Row],[Row Cover]],BedPlan[[#This Row],[Actual TP or DS Date]],"")</f>
        <v/>
      </c>
      <c r="AX77" s="26"/>
      <c r="AZ77" s="26"/>
      <c r="BB77" s="26"/>
      <c r="BC77" s="231" cm="1">
        <f t="array" ref="BC77">INDEX(Crops[],BedPlan[[#This Row],[Chart Index]],BC$4,1)*BedPlan[[#This Row],[Full Bed Equivalent]]</f>
        <v>426.66666666666663</v>
      </c>
      <c r="BD77" s="231" cm="1">
        <f t="array" ref="BD77">INDEX(Crops[],BedPlan[[#This Row],[Chart Index]],BD$4,1)*BedPlan[[#This Row],[Full Bed Equivalent]]</f>
        <v>5.4008438818565399</v>
      </c>
      <c r="BE77" cm="1">
        <f t="array" ref="BE77">INDEX(Crops[],BedPlan[[#This Row],[Chart Index]],BE$4,1)+BedPlan[[#This Row],[Additional Days in Cells]]+BedPlan[[#This Row],[Additional Days In Field]]</f>
        <v>74</v>
      </c>
      <c r="BG77" cm="1">
        <f t="array" ref="BG77">INDEX(Crops[],BedPlan[[#This Row],[Chart Index]],BG$4,1)</f>
        <v>14</v>
      </c>
      <c r="BH77" t="str">
        <f>IF(ISNUMBER(BedPlan[[#This Row],[Planned Greenhouse Start Date]]),"TP","DS")</f>
        <v>TP</v>
      </c>
      <c r="BI77">
        <f>BedPlan[[#This Row],['# Of Beds]]</f>
        <v>0.4</v>
      </c>
      <c r="BJ77" cm="1">
        <f t="array" ref="BJ77">INDEX(Crops[],BedPlan[[#This Row],[Chart Index]],BJ$4,1)</f>
        <v>30</v>
      </c>
      <c r="BK77" cm="1">
        <f t="array" ref="BK77">INDEX(Crops[],BedPlan[[#This Row],[Chart Index]],BK$4,1)</f>
        <v>4</v>
      </c>
      <c r="BL77" cm="1">
        <f t="array" ref="BL77">INDEX(Crops[],BedPlan[[#This Row],[Chart Index]],BL$4,1)</f>
        <v>9</v>
      </c>
      <c r="BM77" cm="1">
        <f t="array" ref="BM77">INDEX(Crops[],BedPlan[[#This Row],[Chart Index]],BM$4,1)</f>
        <v>1</v>
      </c>
      <c r="BN77" s="32" cm="1">
        <f t="array" ref="BN77">INDEX(Crops[],BedPlan[[#This Row],[Chart Index]],BN$4,1)*BedPlan[[#This Row],[Full Bed Equivalent]]</f>
        <v>106.66666666666666</v>
      </c>
      <c r="BO77" t="str" cm="1">
        <f t="array" ref="BO77">IF(INDEX(Crops[],BedPlan[[#This Row],[Chart Index]],BO$4,1)=0,"",INDEX(Crops[],BedPlan[[#This Row],[Chart Index]],BO$4,1))</f>
        <v/>
      </c>
      <c r="BP77">
        <f>MATCH(BedPlan[[#This Row],[Crop]],Crops[Identifier],FALSE)</f>
        <v>174</v>
      </c>
      <c r="BQ77" t="str" cm="1">
        <f t="array" ref="BQ77">INDEX(Crops[],BedPlan[[#This Row],[Chart Index]],BQ$4,1)</f>
        <v>4x9</v>
      </c>
      <c r="BR77" t="str" cm="1">
        <f t="array" ref="BR77">INDEX(Crops[],BedPlan[[#This Row],[Chart Index]],BR$4,1)</f>
        <v>Sp</v>
      </c>
      <c r="BS77" s="32">
        <f>BedPlan[[#This Row],[Expected Beginning of Harvest]]-DATE(2023,1,1)</f>
        <v>938</v>
      </c>
      <c r="BT77">
        <f>BedPlan[[#This Row],[Expected End of Harvest]]-BedPlan[[#This Row],[Expected Beginning of Harvest]]</f>
        <v>14</v>
      </c>
      <c r="BU77" t="str" cm="1">
        <f t="array" ref="BU77">INDEX(Crops[],BedPlan[[#This Row],[Chart Index]],BU$4,1)</f>
        <v>Green</v>
      </c>
      <c r="BV77" cm="1">
        <f t="array" ref="BV77">INDEX(Crops[],BedPlan[[#This Row],[Chart Index]],BV$4,1)</f>
        <v>1</v>
      </c>
      <c r="BW77" t="str" cm="1">
        <f t="array" ref="BW77">INDEX(Crops[],BedPlan[[#This Row],[Chart Index]],BW$4,1)</f>
        <v>None</v>
      </c>
      <c r="BX77" cm="1">
        <f t="array" ref="BX77">INDEX(Crops[],BedPlan[[#This Row],[Chart Index]],BX$4,1)</f>
        <v>128</v>
      </c>
      <c r="BY77" cm="1">
        <f t="array" ref="BY77">INDEX(Crops[],BedPlan[[#This Row],[Chart Index]],BY$4,1)</f>
        <v>30</v>
      </c>
      <c r="BZ77" s="49" cm="1">
        <f t="array" ref="BZ77">IFERROR(INDEX(Crops[],BedPlan[[#This Row],[Chart Index]],BZ$4,1)*BedPlan[[#This Row],[Full Bed Equivalent]],"")</f>
        <v>1.0833333333333333</v>
      </c>
      <c r="CA77" cm="1">
        <f t="array" ref="CA77">INDEX(Crops[],BedPlan[[#This Row],[Chart Index]],CA$4,1)</f>
        <v>0</v>
      </c>
      <c r="CB77" cm="1">
        <f t="array" ref="CB77">INDEX(Crops[],BedPlan[[#This Row],[Chart Index]],CB$4,1)</f>
        <v>0</v>
      </c>
      <c r="CC77" s="49" t="str" cm="1">
        <f t="array" ref="CC77">IFERROR(INDEX(Crops[],BedPlan[[#This Row],[Chart Index]],CC$4,1)*BedPlan[[#This Row],[Full Bed Equivalent]],"")</f>
        <v/>
      </c>
      <c r="CD77" cm="1">
        <f t="array" ref="CD77">INDEX(Crops[],BedPlan[[#This Row],[Chart Index]],CD$4,1)</f>
        <v>0</v>
      </c>
      <c r="CE77" cm="1">
        <f t="array" ref="CE77">IF(INDEX(Crops[],BedPlan[[#This Row],[Chart Index]],CE$4,1)="",0,INDEX(Crops[],BedPlan[[#This Row],[Chart Index]],CE$4,1))</f>
        <v>0</v>
      </c>
      <c r="CF77" s="49" t="str" cm="1">
        <f t="array" ref="CF77">IFERROR(INDEX(Crops[],BedPlan[[#This Row],[Chart Index]],CF$4,1)*BedPlan[[#This Row],[Full Bed Equivalent]],"")</f>
        <v/>
      </c>
      <c r="CG77" cm="1">
        <f t="array" ref="CG77">IF(INDEX(Crops[],BedPlan[[#This Row],[Chart Index]],CG$4,1)="",0,INDEX(Crops[],BedPlan[[#This Row],[Chart Index]],CG$4,1))</f>
        <v>1.3</v>
      </c>
      <c r="CH77" cm="1">
        <f t="array" ref="CH77">IF(INDEX(Crops[],BedPlan[[#This Row],[Chart Index]],CH$4,1)="",0,INDEX(Crops[],BedPlan[[#This Row],[Chart Index]],CH$4,1))</f>
        <v>0</v>
      </c>
      <c r="CI77" t="str" cm="1">
        <f t="array" ref="CI77">INDEX(Crops[],BedPlan[[#This Row],[Chart Index]],CI$4,1)</f>
        <v>Field</v>
      </c>
      <c r="CJ77" s="30" t="str">
        <f>_xlfn.TEXTJOIN(CHAR(10),FALSE,BedPlan[[#This Row],[Name]],BedPlan[[#This Row],[Variety]],BedPlan[[#This Row],[Company]])</f>
        <v>Lettuce
Truchas - Pelleted
Osborne</v>
      </c>
      <c r="CK77" s="32">
        <f>MAX( 0, MIN(BedPlan[[#This Row],[Expected End of Harvest]], EOMONTH(CK$4, 0)) - MAX(BedPlan[[#This Row],[Beginning of Harvest]], CK$4) + 1 )</f>
        <v>0</v>
      </c>
      <c r="CL77">
        <f>MAX( 0, MIN(BedPlan[[#This Row],[Expected End of Harvest]], EOMONTH(CL$4, 0)) - MAX(BedPlan[[#This Row],[Beginning of Harvest]], CL$4) + 1 )</f>
        <v>0</v>
      </c>
      <c r="CM77">
        <f>MAX( 0, MIN(BedPlan[[#This Row],[Expected End of Harvest]], EOMONTH(CM$4, 0)) - MAX(BedPlan[[#This Row],[Beginning of Harvest]], CM$4) + 1 )</f>
        <v>0</v>
      </c>
      <c r="CN77">
        <f>MAX( 0, MIN(BedPlan[[#This Row],[Expected End of Harvest]], EOMONTH(CN$4, 0)) - MAX(BedPlan[[#This Row],[Beginning of Harvest]], CN$4) + 1 )</f>
        <v>0</v>
      </c>
      <c r="CO77">
        <f>MAX( 0, MIN(BedPlan[[#This Row],[Expected End of Harvest]], EOMONTH(CO$4, 0)) - MAX(BedPlan[[#This Row],[Beginning of Harvest]], CO$4) + 1 )</f>
        <v>0</v>
      </c>
      <c r="CP77">
        <f>MAX( 0, MIN(BedPlan[[#This Row],[Expected End of Harvest]], EOMONTH(CP$4, 0)) - MAX(BedPlan[[#This Row],[Beginning of Harvest]], CP$4) + 1 )</f>
        <v>0</v>
      </c>
      <c r="CQ77">
        <f>MAX( 0, MIN(BedPlan[[#This Row],[Expected End of Harvest]], EOMONTH(CQ$4, 0)) - MAX(BedPlan[[#This Row],[Beginning of Harvest]], CQ$4) + 1 )</f>
        <v>5</v>
      </c>
      <c r="CR77">
        <f>MAX( 0, MIN(BedPlan[[#This Row],[Expected End of Harvest]], EOMONTH(CR$4, 0)) - MAX(BedPlan[[#This Row],[Beginning of Harvest]], CR$4) + 1 )</f>
        <v>10</v>
      </c>
      <c r="CS77">
        <f>MAX( 0, MIN(BedPlan[[#This Row],[Expected End of Harvest]], EOMONTH(CS$4, 0)) - MAX(BedPlan[[#This Row],[Beginning of Harvest]], CS$4) + 1 )</f>
        <v>0</v>
      </c>
      <c r="CT77">
        <f>MAX( 0, MIN(BedPlan[[#This Row],[Expected End of Harvest]], EOMONTH(CT$4, 0)) - MAX(BedPlan[[#This Row],[Beginning of Harvest]], CT$4) + 1 )</f>
        <v>0</v>
      </c>
      <c r="CU77">
        <f>MAX( 0, MIN(BedPlan[[#This Row],[Expected End of Harvest]], EOMONTH(CU$4, 0)) - MAX(BedPlan[[#This Row],[Beginning of Harvest]], CU$4) + 1 )</f>
        <v>0</v>
      </c>
      <c r="CV77">
        <f>MAX( 0, MIN(BedPlan[[#This Row],[Expected End of Harvest]], EOMONTH(CV$4, 0)) - MAX(BedPlan[[#This Row],[Beginning of Harvest]], CV$4) + 1 )</f>
        <v>0</v>
      </c>
      <c r="CW77">
        <f>MAX( 0, MIN(BedPlan[[#This Row],[Expected End of Harvest]], EOMONTH(CW$4, 0)) - MAX(BedPlan[[#This Row],[Beginning of Harvest]], CW$4) + 1 )</f>
        <v>0</v>
      </c>
      <c r="CX77">
        <f>MAX( 0, MIN(BedPlan[[#This Row],[Expected End of Harvest]], EOMONTH(CX$4, 0)) - MAX(BedPlan[[#This Row],[Beginning of Harvest]], CX$4) + 1 )</f>
        <v>0</v>
      </c>
      <c r="CY77">
        <f>MAX( 0, MIN(BedPlan[[#This Row],[Expected End of Harvest]], EOMONTH(CY$4, 0)) - MAX(BedPlan[[#This Row],[Beginning of Harvest]], CY$4) + 1 )</f>
        <v>0</v>
      </c>
      <c r="CZ77">
        <f>MAX( 0, MIN(BedPlan[[#This Row],[Expected End of Harvest]], EOMONTH(CZ$4, 0)) - MAX(BedPlan[[#This Row],[Beginning of Harvest]], CZ$4) + 1 )</f>
        <v>0</v>
      </c>
      <c r="DA77">
        <f>MAX( 0, MIN(BedPlan[[#This Row],[Expected End of Harvest]], EOMONTH(DA$4, 0)) - MAX(BedPlan[[#This Row],[Beginning of Harvest]], DA$4) + 1 )</f>
        <v>0</v>
      </c>
      <c r="DB77">
        <f>MAX( 0, MIN(BedPlan[[#This Row],[Expected End of Harvest]], EOMONTH(DB$4, 0)) - MAX(BedPlan[[#This Row],[Beginning of Harvest]], DB$4) + 1 )</f>
        <v>0</v>
      </c>
      <c r="DC77">
        <f>MAX( 0, MIN(BedPlan[[#This Row],[Expected End of Harvest]], EOMONTH(DC$4, 0)) - MAX(BedPlan[[#This Row],[Beginning of Harvest]], DC$4) + 1 )</f>
        <v>0</v>
      </c>
      <c r="DD77">
        <f>MAX( 0, MIN(BedPlan[[#This Row],[Expected End of Harvest]], EOMONTH(DD$4, 0)) - MAX(BedPlan[[#This Row],[Beginning of Harvest]], DD$4) + 1 )</f>
        <v>0</v>
      </c>
      <c r="DE77">
        <f>MAX( 0, MIN(BedPlan[[#This Row],[Expected End of Harvest]], EOMONTH(DE$4, 0)) - MAX(BedPlan[[#This Row],[Beginning of Harvest]], DE$4) + 1 )</f>
        <v>0</v>
      </c>
      <c r="DF77">
        <f>MAX( 0, MIN(BedPlan[[#This Row],[Expected End of Harvest]], EOMONTH(DF$4, 0)) - MAX(BedPlan[[#This Row],[Beginning of Harvest]], DF$4) + 1 )</f>
        <v>0</v>
      </c>
      <c r="DG77">
        <f>MAX( 0, MIN(BedPlan[[#This Row],[Expected End of Harvest]], EOMONTH(DG$4, 0)) - MAX(BedPlan[[#This Row],[Beginning of Harvest]], DG$4) + 1 )</f>
        <v>0</v>
      </c>
      <c r="DH77">
        <f>MAX( 0, MIN(BedPlan[[#This Row],[Expected End of Harvest]], EOMONTH(DH$4, 0)) - MAX(BedPlan[[#This Row],[Beginning of Harvest]], DH$4) + 1 )</f>
        <v>0</v>
      </c>
      <c r="DI77" s="257" cm="1">
        <f t="array" ref="DI77">BedPlan[[#This Row],[Harvest Days January 2025]]/SUM(BedPlan[[#This Row],[Harvest Days January 2025]:[Harvest Days December 2026]])*BedPlan[[#This Row],[Revenue]:[Revenue]]</f>
        <v>0</v>
      </c>
      <c r="DJ77" s="257" cm="1">
        <f t="array" ref="DJ77">BedPlan[[#This Row],[Harvest Days February 2025]]/SUM(BedPlan[[#This Row],[Harvest Days January 2025]:[Harvest Days December 2026]])*BedPlan[[#This Row],[Revenue]:[Revenue]]</f>
        <v>0</v>
      </c>
      <c r="DK77" s="257" cm="1">
        <f t="array" ref="DK77">BedPlan[[#This Row],[Harvest Days March 2025]]/SUM(BedPlan[[#This Row],[Harvest Days January 2025]:[Harvest Days December 2026]])*BedPlan[[#This Row],[Revenue]:[Revenue]]</f>
        <v>0</v>
      </c>
      <c r="DL77" s="257" cm="1">
        <f t="array" ref="DL77">BedPlan[[#This Row],[Harvest Days April 2025]]/SUM(BedPlan[[#This Row],[Harvest Days January 2025]:[Harvest Days December 2026]])*BedPlan[[#This Row],[Revenue]:[Revenue]]</f>
        <v>0</v>
      </c>
      <c r="DM77" s="257" cm="1">
        <f t="array" ref="DM77">BedPlan[[#This Row],[Harvest Days May 2025]]/SUM(BedPlan[[#This Row],[Harvest Days January 2025]:[Harvest Days December 2026]])*BedPlan[[#This Row],[Revenue]:[Revenue]]</f>
        <v>0</v>
      </c>
      <c r="DN77" s="257" cm="1">
        <f t="array" ref="DN77">BedPlan[[#This Row],[Harvest Days June 2025]]/SUM(BedPlan[[#This Row],[Harvest Days January 2025]:[Harvest Days December 2026]])*BedPlan[[#This Row],[Revenue]:[Revenue]]</f>
        <v>0</v>
      </c>
      <c r="DO77" s="257" cm="1">
        <f t="array" ref="DO77">BedPlan[[#This Row],[Harvest Days July 2025]]/SUM(BedPlan[[#This Row],[Harvest Days January 2025]:[Harvest Days December 2026]])*BedPlan[[#This Row],[Revenue]:[Revenue]]</f>
        <v>142.2222222222222</v>
      </c>
      <c r="DP77" s="257" cm="1">
        <f t="array" ref="DP77">BedPlan[[#This Row],[Harvest Days August 2025]]/SUM(BedPlan[[#This Row],[Harvest Days January 2025]:[Harvest Days December 2026]])*BedPlan[[#This Row],[Revenue]:[Revenue]]</f>
        <v>284.4444444444444</v>
      </c>
      <c r="DQ77" s="257" cm="1">
        <f t="array" ref="DQ77">BedPlan[[#This Row],[Harvest Days September 2025]]/SUM(BedPlan[[#This Row],[Harvest Days January 2025]:[Harvest Days December 2026]])*BedPlan[[#This Row],[Revenue]:[Revenue]]</f>
        <v>0</v>
      </c>
      <c r="DR77" s="257" cm="1">
        <f t="array" ref="DR77">BedPlan[[#This Row],[Harvest Days October 2025]]/SUM(BedPlan[[#This Row],[Harvest Days January 2025]:[Harvest Days December 2026]])*BedPlan[[#This Row],[Revenue]:[Revenue]]</f>
        <v>0</v>
      </c>
      <c r="DS77" s="257" cm="1">
        <f t="array" ref="DS77">BedPlan[[#This Row],[Harvest Days November 2025]]/SUM(BedPlan[[#This Row],[Harvest Days January 2025]:[Harvest Days December 2026]])*BedPlan[[#This Row],[Revenue]:[Revenue]]</f>
        <v>0</v>
      </c>
      <c r="DT77" s="257" cm="1">
        <f t="array" ref="DT77">BedPlan[[#This Row],[Harvest Days December 2025]]/SUM(BedPlan[[#This Row],[Harvest Days January 2025]:[Harvest Days December 2026]])*BedPlan[[#This Row],[Revenue]:[Revenue]]</f>
        <v>0</v>
      </c>
      <c r="DU77" s="257" cm="1">
        <f t="array" ref="DU77">BedPlan[[#This Row],[Harvest Days January 2026]]/SUM(BedPlan[[#This Row],[Harvest Days January 2025]:[Harvest Days December 2026]])*BedPlan[[#This Row],[Revenue]:[Revenue]]</f>
        <v>0</v>
      </c>
      <c r="DV77" s="257" cm="1">
        <f t="array" ref="DV77">BedPlan[[#This Row],[Harvest Days February 2026]]/SUM(BedPlan[[#This Row],[Harvest Days January 2025]:[Harvest Days December 2026]])*BedPlan[[#This Row],[Revenue]:[Revenue]]</f>
        <v>0</v>
      </c>
      <c r="DW77" s="257" cm="1">
        <f t="array" ref="DW77">BedPlan[[#This Row],[Harvest Days March 2026]]/SUM(BedPlan[[#This Row],[Harvest Days January 2025]:[Harvest Days December 2026]])*BedPlan[[#This Row],[Revenue]:[Revenue]]</f>
        <v>0</v>
      </c>
      <c r="DX77" s="257" cm="1">
        <f t="array" ref="DX77">BedPlan[[#This Row],[Harvest Days April 2026]]/SUM(BedPlan[[#This Row],[Harvest Days January 2025]:[Harvest Days December 2026]])*BedPlan[[#This Row],[Revenue]:[Revenue]]</f>
        <v>0</v>
      </c>
      <c r="DY77" s="257" cm="1">
        <f t="array" ref="DY77">BedPlan[[#This Row],[Harvest Days May 2026]]/SUM(BedPlan[[#This Row],[Harvest Days January 2025]:[Harvest Days December 2026]])*BedPlan[[#This Row],[Revenue]:[Revenue]]</f>
        <v>0</v>
      </c>
      <c r="DZ77" s="257" cm="1">
        <f t="array" ref="DZ77">BedPlan[[#This Row],[Harvest Days June 2026]]/SUM(BedPlan[[#This Row],[Harvest Days January 2025]:[Harvest Days December 2026]])*BedPlan[[#This Row],[Revenue]:[Revenue]]</f>
        <v>0</v>
      </c>
      <c r="EA77" s="257" cm="1">
        <f t="array" ref="EA77">BedPlan[[#This Row],[Harvest Days July 2026]]/SUM(BedPlan[[#This Row],[Harvest Days January 2025]:[Harvest Days December 2026]])*BedPlan[[#This Row],[Revenue]:[Revenue]]</f>
        <v>0</v>
      </c>
      <c r="EB77" s="257" cm="1">
        <f t="array" ref="EB77">BedPlan[[#This Row],[Harvest Days August 2026]]/SUM(BedPlan[[#This Row],[Harvest Days January 2025]:[Harvest Days December 2026]])*BedPlan[[#This Row],[Revenue]:[Revenue]]</f>
        <v>0</v>
      </c>
      <c r="EC77" s="257" cm="1">
        <f t="array" ref="EC77">BedPlan[[#This Row],[Harvest Days September 2026]]/SUM(BedPlan[[#This Row],[Harvest Days January 2025]:[Harvest Days December 2026]])*BedPlan[[#This Row],[Revenue]:[Revenue]]</f>
        <v>0</v>
      </c>
      <c r="ED77" s="257" cm="1">
        <f t="array" ref="ED77">BedPlan[[#This Row],[Harvest Days October 2026]]/SUM(BedPlan[[#This Row],[Harvest Days January 2025]:[Harvest Days December 2026]])*BedPlan[[#This Row],[Revenue]:[Revenue]]</f>
        <v>0</v>
      </c>
      <c r="EE77" s="257" cm="1">
        <f t="array" ref="EE77">BedPlan[[#This Row],[Harvest Days November 2026]]/SUM(BedPlan[[#This Row],[Harvest Days January 2025]:[Harvest Days December 2026]])*BedPlan[[#This Row],[Revenue]:[Revenue]]</f>
        <v>0</v>
      </c>
      <c r="EF77" s="257" cm="1">
        <f t="array" ref="EF77">BedPlan[[#This Row],[Harvest Days December 2026]]/SUM(BedPlan[[#This Row],[Harvest Days January 2025]:[Harvest Days December 2026]])*BedPlan[[#This Row],[Revenue]:[Revenue]]</f>
        <v>0</v>
      </c>
      <c r="EG77" t="b">
        <f>SUM(BedPlan[[#This Row],[Revenue January 2025]:[Revenue December 2026]])=BedPlan[[#This Row],[Revenue]]</f>
        <v>1</v>
      </c>
      <c r="EH77" s="30" cm="1">
        <f t="array" ref="EH77">INDEX(Crops[],BedPlan[[#This Row],[Chart Index]],EH$4,1)*BedPlan[[#This Row],['# Of Beds]]</f>
        <v>106.66666666666666</v>
      </c>
      <c r="EI77" s="30" t="str" cm="1">
        <f t="array" ref="EI77">INDEX(Crops[],BedPlan[[#This Row],[Chart Index]],EI$4,1)</f>
        <v>Head</v>
      </c>
      <c r="EJ77" s="30" t="str" cm="1">
        <f t="array" ref="EJ77">INDEX(Crops[],BedPlan[[#This Row],[Chart Index]],EJ$4,1)</f>
        <v>Mature Head</v>
      </c>
      <c r="EK77" s="30" t="str">
        <f>BedPlan[[#This Row],[Name]]&amp;" "&amp;BedPlan[[#This Row],[Product]]&amp; " - " &amp;BedPlan[[#This Row],[Unit]]</f>
        <v>Lettuce Mature Head - Head</v>
      </c>
      <c r="EL77" s="33" cm="1">
        <f t="array" ref="EL77">BedPlan[[#This Row],[Harvest Days January 2025]]/SUM(BedPlan[[#This Row],[Harvest Days January 2025]:[Harvest Days December 2026]])*BedPlan[[#This Row],[Yield]:[Yield]]</f>
        <v>0</v>
      </c>
      <c r="EM77" s="33" cm="1">
        <f t="array" ref="EM77">BedPlan[[#This Row],[Harvest Days February 2025]]/SUM(BedPlan[[#This Row],[Harvest Days January 2025]:[Harvest Days December 2026]])*BedPlan[[#This Row],[Yield]:[Yield]]</f>
        <v>0</v>
      </c>
      <c r="EN77" s="33" cm="1">
        <f t="array" ref="EN77">BedPlan[[#This Row],[Harvest Days March 2025]]/SUM(BedPlan[[#This Row],[Harvest Days January 2025]:[Harvest Days December 2026]])*BedPlan[[#This Row],[Yield]:[Yield]]</f>
        <v>0</v>
      </c>
      <c r="EO77" s="33" cm="1">
        <f t="array" ref="EO77">BedPlan[[#This Row],[Harvest Days April 2025]]/SUM(BedPlan[[#This Row],[Harvest Days January 2025]:[Harvest Days December 2026]])*BedPlan[[#This Row],[Yield]:[Yield]]</f>
        <v>0</v>
      </c>
      <c r="EP77" s="33" cm="1">
        <f t="array" ref="EP77">BedPlan[[#This Row],[Harvest Days May 2025]]/SUM(BedPlan[[#This Row],[Harvest Days January 2025]:[Harvest Days December 2026]])*BedPlan[[#This Row],[Yield]:[Yield]]</f>
        <v>0</v>
      </c>
      <c r="EQ77" s="33" cm="1">
        <f t="array" ref="EQ77">BedPlan[[#This Row],[Harvest Days June 2025]]/SUM(BedPlan[[#This Row],[Harvest Days January 2025]:[Harvest Days December 2026]])*BedPlan[[#This Row],[Yield]:[Yield]]</f>
        <v>0</v>
      </c>
      <c r="ER77" s="33" cm="1">
        <f t="array" ref="ER77">BedPlan[[#This Row],[Harvest Days July 2025]]/SUM(BedPlan[[#This Row],[Harvest Days January 2025]:[Harvest Days December 2026]])*BedPlan[[#This Row],[Yield]:[Yield]]</f>
        <v>35.55555555555555</v>
      </c>
      <c r="ES77" s="33" cm="1">
        <f t="array" ref="ES77">BedPlan[[#This Row],[Harvest Days August 2025]]/SUM(BedPlan[[#This Row],[Harvest Days January 2025]:[Harvest Days December 2026]])*BedPlan[[#This Row],[Yield]:[Yield]]</f>
        <v>71.1111111111111</v>
      </c>
      <c r="ET77" s="33" cm="1">
        <f t="array" ref="ET77">BedPlan[[#This Row],[Harvest Days September 2025]]/SUM(BedPlan[[#This Row],[Harvest Days January 2025]:[Harvest Days December 2026]])*BedPlan[[#This Row],[Yield]:[Yield]]</f>
        <v>0</v>
      </c>
      <c r="EU77" s="33" cm="1">
        <f t="array" ref="EU77">BedPlan[[#This Row],[Harvest Days October 2025]]/SUM(BedPlan[[#This Row],[Harvest Days January 2025]:[Harvest Days December 2026]])*BedPlan[[#This Row],[Yield]:[Yield]]</f>
        <v>0</v>
      </c>
      <c r="EV77" s="33" cm="1">
        <f t="array" ref="EV77">BedPlan[[#This Row],[Harvest Days November 2025]]/SUM(BedPlan[[#This Row],[Harvest Days January 2025]:[Harvest Days December 2026]])*BedPlan[[#This Row],[Yield]:[Yield]]</f>
        <v>0</v>
      </c>
      <c r="EW77" s="33" cm="1">
        <f t="array" ref="EW77">BedPlan[[#This Row],[Harvest Days December 2025]]/SUM(BedPlan[[#This Row],[Harvest Days January 2025]:[Harvest Days December 2026]])*BedPlan[[#This Row],[Yield]:[Yield]]</f>
        <v>0</v>
      </c>
    </row>
    <row r="78" spans="1:153" ht="15.75" customHeight="1">
      <c r="A78" s="179" t="s">
        <v>2775</v>
      </c>
      <c r="B78" s="240" t="s">
        <v>2772</v>
      </c>
      <c r="C78" t="s">
        <v>1462</v>
      </c>
      <c r="D78" s="226" cm="1">
        <f t="array" ref="D78">INDEX(Crops[],BedPlan[[#This Row],[Chart Index]],D$4,1)*BedPlan[[#This Row],[Full Bed Equivalent]]</f>
        <v>53.333333333333329</v>
      </c>
      <c r="E78" s="226" cm="1">
        <f t="array" ref="E78">INDEX(Crops[],BedPlan[[#This Row],[Chart Index]],E$4,1)*BedPlan[[#This Row],[Full Bed Equivalent]]</f>
        <v>106.66666666666666</v>
      </c>
      <c r="F78" t="str">
        <f>UPPER(LEFT(BedPlan[[#This Row],[Crop]],3))</f>
        <v>LET</v>
      </c>
      <c r="H78" s="143" t="str" cm="1">
        <f t="array" ref="H78">INDEX(Crops[],BedPlan[[#This Row],[Chart Index]],H$4,1)</f>
        <v>Lettuce</v>
      </c>
      <c r="I78" t="s">
        <v>2815</v>
      </c>
      <c r="J78" t="s">
        <v>484</v>
      </c>
      <c r="K78" t="str" cm="1">
        <f t="array" ref="K78">IF(ISNUMBER(MATCH(BedPlan[[#This Row],[Variety]],SeedMixes[Name],)),_xlfn.TEXTJOIN(", ",TRUE,_xlfn._xlws.FILTER(SeedMixes[Variety &amp; Company],SeedMixes[Name]=BedPlan[[#This Row],[Variety]])),"")</f>
        <v/>
      </c>
      <c r="L78" s="33" cm="1">
        <f t="array" ref="L78">INDEX(Crops[],BedPlan[[#This Row],[Chart Index]],L$4,1)*BedPlan[[#This Row],[Full Bed Equivalent]]</f>
        <v>180.26666666666665</v>
      </c>
      <c r="N78">
        <v>0.4</v>
      </c>
      <c r="O78">
        <v>1</v>
      </c>
      <c r="P78" s="31">
        <f>IF(ISNUMBER(BedPlan[[#This Row],[Planned Greenhouse Start Date]]),BedPlan[[#This Row],[Planned Greenhouse Start Date]],BedPlan[[#This Row],[Planned TP or DS Date]])</f>
        <v>45812</v>
      </c>
      <c r="Q78" s="259">
        <f>IF(BedPlan[[#This Row],[Days in Cells]]=0,"",IFERROR(_xlfn.XLOOKUP(BedPlan[[#This Row],[Follows Crop]],BedPlan[Identifier],BedPlan[Expected End of Harvest]) + 1+BedPlan[[#This Row],[Follow Offset]],BedPlan[[#This Row],[Fixed Field Start Date]])-BedPlan[[#This Row],[Days in Cells]])</f>
        <v>45812</v>
      </c>
      <c r="R78" s="259">
        <v>45839</v>
      </c>
      <c r="S78" s="259">
        <f>IF(ISNUMBER(BedPlan[[#This Row],[Actual Greenhouse Date]]),BedPlan[[#This Row],[Actual Greenhouse Date]],BedPlan[[#This Row],[Planned Greenhouse Start Date]])</f>
        <v>45839</v>
      </c>
      <c r="T78" s="259">
        <v>45842</v>
      </c>
      <c r="U78" s="260"/>
      <c r="V78" s="260"/>
      <c r="W7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45869</v>
      </c>
      <c r="X78" s="259"/>
      <c r="Y78" s="271">
        <f>BedPlan[[#This Row],[Actual TP or DS Date]]-BedPlan[[#This Row],[Planned TP or DS Date]]</f>
        <v>-45869</v>
      </c>
      <c r="Z78" s="259">
        <f>IF(ISNUMBER(BedPlan[[#This Row],[Actual TP or DS Date]]),BedPlan[[#This Row],[Actual TP or DS Date]],BedPlan[[#This Row],[Planned TP or DS Date]])</f>
        <v>45869</v>
      </c>
      <c r="AA78" s="259"/>
      <c r="AB78" s="259">
        <f>IF(ISNUMBER(BedPlan[[#This Row],[Greenhouse Start Date]]),BedPlan[[#This Row],[Greenhouse Start Date]]+BedPlan[[#This Row],[DTM]],BedPlan[[#This Row],[TP or DS Date]]+BedPlan[[#This Row],[DTM]])</f>
        <v>45909</v>
      </c>
      <c r="AC78" s="259"/>
      <c r="AD78" s="259">
        <f>IF(ISNUMBER(BedPlan[[#This Row],[Actual Beginning of Harvest]]),BedPlan[[#This Row],[Actual Beginning of Harvest]],BedPlan[[#This Row],[Expected Beginning of Harvest]])</f>
        <v>45909</v>
      </c>
      <c r="AE78" s="259">
        <f>BedPlan[[#This Row],[Expected Beginning of Harvest]]+BedPlan[[#This Row],[Harvest Window]]+BedPlan[[#This Row],[Additional Days of Harvest]]</f>
        <v>45923</v>
      </c>
      <c r="AF78" s="259"/>
      <c r="AG78" s="259"/>
      <c r="AH78" s="31" t="b">
        <f>IF(AND( BedPlan[[#This Row],[Expected End of Harvest]] &gt;= DATE(2025, 8, 1), BedPlan[[#This Row],[Beginning of Harvest]] &lt;= DATE(2025, 8, 31) ), TRUE, FALSE)</f>
        <v>0</v>
      </c>
      <c r="AI78" s="31"/>
      <c r="AJ78" s="31">
        <f>IF(ISNUMBER(BedPlan[[#This Row],[Actual End of Harvest]]),BedPlan[[#This Row],[Actual End of Harvest]],BedPlan[[#This Row],[Expected End of Harvest]])</f>
        <v>45923</v>
      </c>
      <c r="AK78" t="b">
        <f>OR(ISNUMBER(BedPlan[[#This Row],[Actual Greenhouse Date]]),ISNUMBER(BedPlan[[#This Row],[Actual TP or DS Date]]))</f>
        <v>1</v>
      </c>
      <c r="AL78" s="52" t="b">
        <f>IF(ISNUMBER(BedPlan[[#This Row],[Planned Greenhouse Start Date]]),OR(ISNUMBER(BedPlan[[#This Row],[Actual TP or DS Date]]),BedPlan[[#This Row],[Failed]]),"-")</f>
        <v>0</v>
      </c>
      <c r="AM78" t="b">
        <f>OR(ISNUMBER(BedPlan[[#This Row],[Actual End of Harvest]]),BedPlan[[#This Row],[Failed]])</f>
        <v>0</v>
      </c>
      <c r="AN78" t="b">
        <f>OR(BedPlan[[#This Row],[Harvest Done]],BedPlan[[#This Row],[Failed]],BedPlan[[#This Row],[Name]]="Tarp")</f>
        <v>0</v>
      </c>
      <c r="AS78" s="26" t="str">
        <f>IF(BedPlan[[#This Row],[Broadfork]],BedPlan[[#This Row],[Actual TP or DS Date]],"")</f>
        <v/>
      </c>
      <c r="AT78" s="26" t="str">
        <f>IF(BedPlan[[#This Row],[Tilther]],BedPlan[[#This Row],[Actual TP or DS Date]],"")</f>
        <v/>
      </c>
      <c r="AU78" s="26" t="str">
        <f>IF(NOT(ISBLANK(BedPlan[[#This Row],[Amend]])),BedPlan[[#This Row],[Actual TP or DS Date]],"")</f>
        <v/>
      </c>
      <c r="AV78" s="26" t="str">
        <f>IF(BedPlan[[#This Row],[Row Cover]],BedPlan[[#This Row],[Actual TP or DS Date]],"")</f>
        <v/>
      </c>
      <c r="AX78" s="26"/>
      <c r="AZ78" s="26"/>
      <c r="BB78" s="26"/>
      <c r="BC78" s="231" cm="1">
        <f t="array" ref="BC78">INDEX(Crops[],BedPlan[[#This Row],[Chart Index]],BC$4,1)*BedPlan[[#This Row],[Full Bed Equivalent]]</f>
        <v>426.66666666666663</v>
      </c>
      <c r="BD78" s="231" cm="1">
        <f t="array" ref="BD78">INDEX(Crops[],BedPlan[[#This Row],[Chart Index]],BD$4,1)*BedPlan[[#This Row],[Full Bed Equivalent]]</f>
        <v>7.9012345679012341</v>
      </c>
      <c r="BE78" cm="1">
        <f t="array" ref="BE78">INDEX(Crops[],BedPlan[[#This Row],[Chart Index]],BE$4,1)+BedPlan[[#This Row],[Additional Days in Cells]]+BedPlan[[#This Row],[Additional Days In Field]]</f>
        <v>70</v>
      </c>
      <c r="BG78" cm="1">
        <f t="array" ref="BG78">INDEX(Crops[],BedPlan[[#This Row],[Chart Index]],BG$4,1)</f>
        <v>14</v>
      </c>
      <c r="BH78" t="str">
        <f>IF(ISNUMBER(BedPlan[[#This Row],[Planned Greenhouse Start Date]]),"TP","DS")</f>
        <v>TP</v>
      </c>
      <c r="BI78">
        <f>BedPlan[[#This Row],['# Of Beds]]</f>
        <v>0.4</v>
      </c>
      <c r="BJ78" cm="1">
        <f t="array" ref="BJ78">INDEX(Crops[],BedPlan[[#This Row],[Chart Index]],BJ$4,1)</f>
        <v>30</v>
      </c>
      <c r="BK78" cm="1">
        <f t="array" ref="BK78">INDEX(Crops[],BedPlan[[#This Row],[Chart Index]],BK$4,1)</f>
        <v>4</v>
      </c>
      <c r="BL78" cm="1">
        <f t="array" ref="BL78">INDEX(Crops[],BedPlan[[#This Row],[Chart Index]],BL$4,1)</f>
        <v>9</v>
      </c>
      <c r="BM78" cm="1">
        <f t="array" ref="BM78">INDEX(Crops[],BedPlan[[#This Row],[Chart Index]],BM$4,1)</f>
        <v>1</v>
      </c>
      <c r="BN78" s="32" cm="1">
        <f t="array" ref="BN78">INDEX(Crops[],BedPlan[[#This Row],[Chart Index]],BN$4,1)*BedPlan[[#This Row],[Full Bed Equivalent]]</f>
        <v>106.66666666666666</v>
      </c>
      <c r="BO78" t="str" cm="1">
        <f t="array" ref="BO78">IF(INDEX(Crops[],BedPlan[[#This Row],[Chart Index]],BO$4,1)=0,"",INDEX(Crops[],BedPlan[[#This Row],[Chart Index]],BO$4,1))</f>
        <v/>
      </c>
      <c r="BP78">
        <f>MATCH(BedPlan[[#This Row],[Crop]],Crops[Identifier],FALSE)</f>
        <v>175</v>
      </c>
      <c r="BQ78" t="str" cm="1">
        <f t="array" ref="BQ78">INDEX(Crops[],BedPlan[[#This Row],[Chart Index]],BQ$4,1)</f>
        <v>4x9</v>
      </c>
      <c r="BR78" t="str" cm="1">
        <f t="array" ref="BR78">INDEX(Crops[],BedPlan[[#This Row],[Chart Index]],BR$4,1)</f>
        <v>SuFa</v>
      </c>
      <c r="BS78" s="32">
        <f>BedPlan[[#This Row],[Expected Beginning of Harvest]]-DATE(2023,1,1)</f>
        <v>982</v>
      </c>
      <c r="BT78">
        <f>BedPlan[[#This Row],[Expected End of Harvest]]-BedPlan[[#This Row],[Expected Beginning of Harvest]]</f>
        <v>14</v>
      </c>
      <c r="BU78" t="str" cm="1">
        <f t="array" ref="BU78">INDEX(Crops[],BedPlan[[#This Row],[Chart Index]],BU$4,1)</f>
        <v>Green</v>
      </c>
      <c r="BV78" cm="1">
        <f t="array" ref="BV78">INDEX(Crops[],BedPlan[[#This Row],[Chart Index]],BV$4,1)</f>
        <v>1</v>
      </c>
      <c r="BW78" t="str" cm="1">
        <f t="array" ref="BW78">INDEX(Crops[],BedPlan[[#This Row],[Chart Index]],BW$4,1)</f>
        <v>None</v>
      </c>
      <c r="BX78" cm="1">
        <f t="array" ref="BX78">INDEX(Crops[],BedPlan[[#This Row],[Chart Index]],BX$4,1)</f>
        <v>128</v>
      </c>
      <c r="BY78" cm="1">
        <f t="array" ref="BY78">INDEX(Crops[],BedPlan[[#This Row],[Chart Index]],BY$4,1)</f>
        <v>30</v>
      </c>
      <c r="BZ78" s="49" cm="1">
        <f t="array" ref="BZ78">IFERROR(INDEX(Crops[],BedPlan[[#This Row],[Chart Index]],BZ$4,1)*BedPlan[[#This Row],[Full Bed Equivalent]],"")</f>
        <v>1.0833333333333333</v>
      </c>
      <c r="CA78" cm="1">
        <f t="array" ref="CA78">INDEX(Crops[],BedPlan[[#This Row],[Chart Index]],CA$4,1)</f>
        <v>0</v>
      </c>
      <c r="CB78" cm="1">
        <f t="array" ref="CB78">INDEX(Crops[],BedPlan[[#This Row],[Chart Index]],CB$4,1)</f>
        <v>0</v>
      </c>
      <c r="CC78" s="49" t="str" cm="1">
        <f t="array" ref="CC78">IFERROR(INDEX(Crops[],BedPlan[[#This Row],[Chart Index]],CC$4,1)*BedPlan[[#This Row],[Full Bed Equivalent]],"")</f>
        <v/>
      </c>
      <c r="CD78" cm="1">
        <f t="array" ref="CD78">INDEX(Crops[],BedPlan[[#This Row],[Chart Index]],CD$4,1)</f>
        <v>0</v>
      </c>
      <c r="CE78" cm="1">
        <f t="array" ref="CE78">IF(INDEX(Crops[],BedPlan[[#This Row],[Chart Index]],CE$4,1)="",0,INDEX(Crops[],BedPlan[[#This Row],[Chart Index]],CE$4,1))</f>
        <v>0</v>
      </c>
      <c r="CF78" s="49" t="str" cm="1">
        <f t="array" ref="CF78">IFERROR(INDEX(Crops[],BedPlan[[#This Row],[Chart Index]],CF$4,1)*BedPlan[[#This Row],[Full Bed Equivalent]],"")</f>
        <v/>
      </c>
      <c r="CG78" cm="1">
        <f t="array" ref="CG78">IF(INDEX(Crops[],BedPlan[[#This Row],[Chart Index]],CG$4,1)="",0,INDEX(Crops[],BedPlan[[#This Row],[Chart Index]],CG$4,1))</f>
        <v>1.3</v>
      </c>
      <c r="CH78" cm="1">
        <f t="array" ref="CH78">IF(INDEX(Crops[],BedPlan[[#This Row],[Chart Index]],CH$4,1)="",0,INDEX(Crops[],BedPlan[[#This Row],[Chart Index]],CH$4,1))</f>
        <v>0</v>
      </c>
      <c r="CI78" t="str" cm="1">
        <f t="array" ref="CI78">INDEX(Crops[],BedPlan[[#This Row],[Chart Index]],CI$4,1)</f>
        <v>Field</v>
      </c>
      <c r="CJ78" s="30" t="str">
        <f>_xlfn.TEXTJOIN(CHAR(10),FALSE,BedPlan[[#This Row],[Name]],BedPlan[[#This Row],[Variety]],BedPlan[[#This Row],[Company]])</f>
        <v>Lettuce
Summertime
Uprising</v>
      </c>
      <c r="CK78" s="32">
        <f>MAX( 0, MIN(BedPlan[[#This Row],[Expected End of Harvest]], EOMONTH(CK$4, 0)) - MAX(BedPlan[[#This Row],[Beginning of Harvest]], CK$4) + 1 )</f>
        <v>0</v>
      </c>
      <c r="CL78">
        <f>MAX( 0, MIN(BedPlan[[#This Row],[Expected End of Harvest]], EOMONTH(CL$4, 0)) - MAX(BedPlan[[#This Row],[Beginning of Harvest]], CL$4) + 1 )</f>
        <v>0</v>
      </c>
      <c r="CM78">
        <f>MAX( 0, MIN(BedPlan[[#This Row],[Expected End of Harvest]], EOMONTH(CM$4, 0)) - MAX(BedPlan[[#This Row],[Beginning of Harvest]], CM$4) + 1 )</f>
        <v>0</v>
      </c>
      <c r="CN78">
        <f>MAX( 0, MIN(BedPlan[[#This Row],[Expected End of Harvest]], EOMONTH(CN$4, 0)) - MAX(BedPlan[[#This Row],[Beginning of Harvest]], CN$4) + 1 )</f>
        <v>0</v>
      </c>
      <c r="CO78">
        <f>MAX( 0, MIN(BedPlan[[#This Row],[Expected End of Harvest]], EOMONTH(CO$4, 0)) - MAX(BedPlan[[#This Row],[Beginning of Harvest]], CO$4) + 1 )</f>
        <v>0</v>
      </c>
      <c r="CP78">
        <f>MAX( 0, MIN(BedPlan[[#This Row],[Expected End of Harvest]], EOMONTH(CP$4, 0)) - MAX(BedPlan[[#This Row],[Beginning of Harvest]], CP$4) + 1 )</f>
        <v>0</v>
      </c>
      <c r="CQ78">
        <f>MAX( 0, MIN(BedPlan[[#This Row],[Expected End of Harvest]], EOMONTH(CQ$4, 0)) - MAX(BedPlan[[#This Row],[Beginning of Harvest]], CQ$4) + 1 )</f>
        <v>0</v>
      </c>
      <c r="CR78">
        <f>MAX( 0, MIN(BedPlan[[#This Row],[Expected End of Harvest]], EOMONTH(CR$4, 0)) - MAX(BedPlan[[#This Row],[Beginning of Harvest]], CR$4) + 1 )</f>
        <v>0</v>
      </c>
      <c r="CS78">
        <f>MAX( 0, MIN(BedPlan[[#This Row],[Expected End of Harvest]], EOMONTH(CS$4, 0)) - MAX(BedPlan[[#This Row],[Beginning of Harvest]], CS$4) + 1 )</f>
        <v>15</v>
      </c>
      <c r="CT78">
        <f>MAX( 0, MIN(BedPlan[[#This Row],[Expected End of Harvest]], EOMONTH(CT$4, 0)) - MAX(BedPlan[[#This Row],[Beginning of Harvest]], CT$4) + 1 )</f>
        <v>0</v>
      </c>
      <c r="CU78">
        <f>MAX( 0, MIN(BedPlan[[#This Row],[Expected End of Harvest]], EOMONTH(CU$4, 0)) - MAX(BedPlan[[#This Row],[Beginning of Harvest]], CU$4) + 1 )</f>
        <v>0</v>
      </c>
      <c r="CV78">
        <f>MAX( 0, MIN(BedPlan[[#This Row],[Expected End of Harvest]], EOMONTH(CV$4, 0)) - MAX(BedPlan[[#This Row],[Beginning of Harvest]], CV$4) + 1 )</f>
        <v>0</v>
      </c>
      <c r="CW78">
        <f>MAX( 0, MIN(BedPlan[[#This Row],[Expected End of Harvest]], EOMONTH(CW$4, 0)) - MAX(BedPlan[[#This Row],[Beginning of Harvest]], CW$4) + 1 )</f>
        <v>0</v>
      </c>
      <c r="CX78">
        <f>MAX( 0, MIN(BedPlan[[#This Row],[Expected End of Harvest]], EOMONTH(CX$4, 0)) - MAX(BedPlan[[#This Row],[Beginning of Harvest]], CX$4) + 1 )</f>
        <v>0</v>
      </c>
      <c r="CY78">
        <f>MAX( 0, MIN(BedPlan[[#This Row],[Expected End of Harvest]], EOMONTH(CY$4, 0)) - MAX(BedPlan[[#This Row],[Beginning of Harvest]], CY$4) + 1 )</f>
        <v>0</v>
      </c>
      <c r="CZ78">
        <f>MAX( 0, MIN(BedPlan[[#This Row],[Expected End of Harvest]], EOMONTH(CZ$4, 0)) - MAX(BedPlan[[#This Row],[Beginning of Harvest]], CZ$4) + 1 )</f>
        <v>0</v>
      </c>
      <c r="DA78">
        <f>MAX( 0, MIN(BedPlan[[#This Row],[Expected End of Harvest]], EOMONTH(DA$4, 0)) - MAX(BedPlan[[#This Row],[Beginning of Harvest]], DA$4) + 1 )</f>
        <v>0</v>
      </c>
      <c r="DB78">
        <f>MAX( 0, MIN(BedPlan[[#This Row],[Expected End of Harvest]], EOMONTH(DB$4, 0)) - MAX(BedPlan[[#This Row],[Beginning of Harvest]], DB$4) + 1 )</f>
        <v>0</v>
      </c>
      <c r="DC78">
        <f>MAX( 0, MIN(BedPlan[[#This Row],[Expected End of Harvest]], EOMONTH(DC$4, 0)) - MAX(BedPlan[[#This Row],[Beginning of Harvest]], DC$4) + 1 )</f>
        <v>0</v>
      </c>
      <c r="DD78">
        <f>MAX( 0, MIN(BedPlan[[#This Row],[Expected End of Harvest]], EOMONTH(DD$4, 0)) - MAX(BedPlan[[#This Row],[Beginning of Harvest]], DD$4) + 1 )</f>
        <v>0</v>
      </c>
      <c r="DE78">
        <f>MAX( 0, MIN(BedPlan[[#This Row],[Expected End of Harvest]], EOMONTH(DE$4, 0)) - MAX(BedPlan[[#This Row],[Beginning of Harvest]], DE$4) + 1 )</f>
        <v>0</v>
      </c>
      <c r="DF78">
        <f>MAX( 0, MIN(BedPlan[[#This Row],[Expected End of Harvest]], EOMONTH(DF$4, 0)) - MAX(BedPlan[[#This Row],[Beginning of Harvest]], DF$4) + 1 )</f>
        <v>0</v>
      </c>
      <c r="DG78">
        <f>MAX( 0, MIN(BedPlan[[#This Row],[Expected End of Harvest]], EOMONTH(DG$4, 0)) - MAX(BedPlan[[#This Row],[Beginning of Harvest]], DG$4) + 1 )</f>
        <v>0</v>
      </c>
      <c r="DH78">
        <f>MAX( 0, MIN(BedPlan[[#This Row],[Expected End of Harvest]], EOMONTH(DH$4, 0)) - MAX(BedPlan[[#This Row],[Beginning of Harvest]], DH$4) + 1 )</f>
        <v>0</v>
      </c>
      <c r="DI78" s="257" cm="1">
        <f t="array" ref="DI78">BedPlan[[#This Row],[Harvest Days January 2025]]/SUM(BedPlan[[#This Row],[Harvest Days January 2025]:[Harvest Days December 2026]])*BedPlan[[#This Row],[Revenue]:[Revenue]]</f>
        <v>0</v>
      </c>
      <c r="DJ78" s="257" cm="1">
        <f t="array" ref="DJ78">BedPlan[[#This Row],[Harvest Days February 2025]]/SUM(BedPlan[[#This Row],[Harvest Days January 2025]:[Harvest Days December 2026]])*BedPlan[[#This Row],[Revenue]:[Revenue]]</f>
        <v>0</v>
      </c>
      <c r="DK78" s="257" cm="1">
        <f t="array" ref="DK78">BedPlan[[#This Row],[Harvest Days March 2025]]/SUM(BedPlan[[#This Row],[Harvest Days January 2025]:[Harvest Days December 2026]])*BedPlan[[#This Row],[Revenue]:[Revenue]]</f>
        <v>0</v>
      </c>
      <c r="DL78" s="257" cm="1">
        <f t="array" ref="DL78">BedPlan[[#This Row],[Harvest Days April 2025]]/SUM(BedPlan[[#This Row],[Harvest Days January 2025]:[Harvest Days December 2026]])*BedPlan[[#This Row],[Revenue]:[Revenue]]</f>
        <v>0</v>
      </c>
      <c r="DM78" s="257" cm="1">
        <f t="array" ref="DM78">BedPlan[[#This Row],[Harvest Days May 2025]]/SUM(BedPlan[[#This Row],[Harvest Days January 2025]:[Harvest Days December 2026]])*BedPlan[[#This Row],[Revenue]:[Revenue]]</f>
        <v>0</v>
      </c>
      <c r="DN78" s="257" cm="1">
        <f t="array" ref="DN78">BedPlan[[#This Row],[Harvest Days June 2025]]/SUM(BedPlan[[#This Row],[Harvest Days January 2025]:[Harvest Days December 2026]])*BedPlan[[#This Row],[Revenue]:[Revenue]]</f>
        <v>0</v>
      </c>
      <c r="DO78" s="257" cm="1">
        <f t="array" ref="DO78">BedPlan[[#This Row],[Harvest Days July 2025]]/SUM(BedPlan[[#This Row],[Harvest Days January 2025]:[Harvest Days December 2026]])*BedPlan[[#This Row],[Revenue]:[Revenue]]</f>
        <v>0</v>
      </c>
      <c r="DP78" s="257" cm="1">
        <f t="array" ref="DP78">BedPlan[[#This Row],[Harvest Days August 2025]]/SUM(BedPlan[[#This Row],[Harvest Days January 2025]:[Harvest Days December 2026]])*BedPlan[[#This Row],[Revenue]:[Revenue]]</f>
        <v>0</v>
      </c>
      <c r="DQ78" s="257" cm="1">
        <f t="array" ref="DQ78">BedPlan[[#This Row],[Harvest Days September 2025]]/SUM(BedPlan[[#This Row],[Harvest Days January 2025]:[Harvest Days December 2026]])*BedPlan[[#This Row],[Revenue]:[Revenue]]</f>
        <v>426.66666666666663</v>
      </c>
      <c r="DR78" s="257" cm="1">
        <f t="array" ref="DR78">BedPlan[[#This Row],[Harvest Days October 2025]]/SUM(BedPlan[[#This Row],[Harvest Days January 2025]:[Harvest Days December 2026]])*BedPlan[[#This Row],[Revenue]:[Revenue]]</f>
        <v>0</v>
      </c>
      <c r="DS78" s="257" cm="1">
        <f t="array" ref="DS78">BedPlan[[#This Row],[Harvest Days November 2025]]/SUM(BedPlan[[#This Row],[Harvest Days January 2025]:[Harvest Days December 2026]])*BedPlan[[#This Row],[Revenue]:[Revenue]]</f>
        <v>0</v>
      </c>
      <c r="DT78" s="257" cm="1">
        <f t="array" ref="DT78">BedPlan[[#This Row],[Harvest Days December 2025]]/SUM(BedPlan[[#This Row],[Harvest Days January 2025]:[Harvest Days December 2026]])*BedPlan[[#This Row],[Revenue]:[Revenue]]</f>
        <v>0</v>
      </c>
      <c r="DU78" s="257" cm="1">
        <f t="array" ref="DU78">BedPlan[[#This Row],[Harvest Days January 2026]]/SUM(BedPlan[[#This Row],[Harvest Days January 2025]:[Harvest Days December 2026]])*BedPlan[[#This Row],[Revenue]:[Revenue]]</f>
        <v>0</v>
      </c>
      <c r="DV78" s="257" cm="1">
        <f t="array" ref="DV78">BedPlan[[#This Row],[Harvest Days February 2026]]/SUM(BedPlan[[#This Row],[Harvest Days January 2025]:[Harvest Days December 2026]])*BedPlan[[#This Row],[Revenue]:[Revenue]]</f>
        <v>0</v>
      </c>
      <c r="DW78" s="257" cm="1">
        <f t="array" ref="DW78">BedPlan[[#This Row],[Harvest Days March 2026]]/SUM(BedPlan[[#This Row],[Harvest Days January 2025]:[Harvest Days December 2026]])*BedPlan[[#This Row],[Revenue]:[Revenue]]</f>
        <v>0</v>
      </c>
      <c r="DX78" s="257" cm="1">
        <f t="array" ref="DX78">BedPlan[[#This Row],[Harvest Days April 2026]]/SUM(BedPlan[[#This Row],[Harvest Days January 2025]:[Harvest Days December 2026]])*BedPlan[[#This Row],[Revenue]:[Revenue]]</f>
        <v>0</v>
      </c>
      <c r="DY78" s="257" cm="1">
        <f t="array" ref="DY78">BedPlan[[#This Row],[Harvest Days May 2026]]/SUM(BedPlan[[#This Row],[Harvest Days January 2025]:[Harvest Days December 2026]])*BedPlan[[#This Row],[Revenue]:[Revenue]]</f>
        <v>0</v>
      </c>
      <c r="DZ78" s="257" cm="1">
        <f t="array" ref="DZ78">BedPlan[[#This Row],[Harvest Days June 2026]]/SUM(BedPlan[[#This Row],[Harvest Days January 2025]:[Harvest Days December 2026]])*BedPlan[[#This Row],[Revenue]:[Revenue]]</f>
        <v>0</v>
      </c>
      <c r="EA78" s="257" cm="1">
        <f t="array" ref="EA78">BedPlan[[#This Row],[Harvest Days July 2026]]/SUM(BedPlan[[#This Row],[Harvest Days January 2025]:[Harvest Days December 2026]])*BedPlan[[#This Row],[Revenue]:[Revenue]]</f>
        <v>0</v>
      </c>
      <c r="EB78" s="257" cm="1">
        <f t="array" ref="EB78">BedPlan[[#This Row],[Harvest Days August 2026]]/SUM(BedPlan[[#This Row],[Harvest Days January 2025]:[Harvest Days December 2026]])*BedPlan[[#This Row],[Revenue]:[Revenue]]</f>
        <v>0</v>
      </c>
      <c r="EC78" s="257" cm="1">
        <f t="array" ref="EC78">BedPlan[[#This Row],[Harvest Days September 2026]]/SUM(BedPlan[[#This Row],[Harvest Days January 2025]:[Harvest Days December 2026]])*BedPlan[[#This Row],[Revenue]:[Revenue]]</f>
        <v>0</v>
      </c>
      <c r="ED78" s="257" cm="1">
        <f t="array" ref="ED78">BedPlan[[#This Row],[Harvest Days October 2026]]/SUM(BedPlan[[#This Row],[Harvest Days January 2025]:[Harvest Days December 2026]])*BedPlan[[#This Row],[Revenue]:[Revenue]]</f>
        <v>0</v>
      </c>
      <c r="EE78" s="257" cm="1">
        <f t="array" ref="EE78">BedPlan[[#This Row],[Harvest Days November 2026]]/SUM(BedPlan[[#This Row],[Harvest Days January 2025]:[Harvest Days December 2026]])*BedPlan[[#This Row],[Revenue]:[Revenue]]</f>
        <v>0</v>
      </c>
      <c r="EF78" s="257" cm="1">
        <f t="array" ref="EF78">BedPlan[[#This Row],[Harvest Days December 2026]]/SUM(BedPlan[[#This Row],[Harvest Days January 2025]:[Harvest Days December 2026]])*BedPlan[[#This Row],[Revenue]:[Revenue]]</f>
        <v>0</v>
      </c>
      <c r="EG78" t="b">
        <f>SUM(BedPlan[[#This Row],[Revenue January 2025]:[Revenue December 2026]])=BedPlan[[#This Row],[Revenue]]</f>
        <v>1</v>
      </c>
      <c r="EH78" s="30" cm="1">
        <f t="array" ref="EH78">INDEX(Crops[],BedPlan[[#This Row],[Chart Index]],EH$4,1)*BedPlan[[#This Row],['# Of Beds]]</f>
        <v>106.66666666666666</v>
      </c>
      <c r="EI78" s="30" t="str" cm="1">
        <f t="array" ref="EI78">INDEX(Crops[],BedPlan[[#This Row],[Chart Index]],EI$4,1)</f>
        <v>Head</v>
      </c>
      <c r="EJ78" s="30" t="str" cm="1">
        <f t="array" ref="EJ78">INDEX(Crops[],BedPlan[[#This Row],[Chart Index]],EJ$4,1)</f>
        <v>Mature Head</v>
      </c>
      <c r="EK78" s="30" t="str">
        <f>BedPlan[[#This Row],[Name]]&amp;" "&amp;BedPlan[[#This Row],[Product]]&amp; " - " &amp;BedPlan[[#This Row],[Unit]]</f>
        <v>Lettuce Mature Head - Head</v>
      </c>
      <c r="EL78" s="33" cm="1">
        <f t="array" ref="EL78">BedPlan[[#This Row],[Harvest Days January 2025]]/SUM(BedPlan[[#This Row],[Harvest Days January 2025]:[Harvest Days December 2026]])*BedPlan[[#This Row],[Yield]:[Yield]]</f>
        <v>0</v>
      </c>
      <c r="EM78" s="33" cm="1">
        <f t="array" ref="EM78">BedPlan[[#This Row],[Harvest Days February 2025]]/SUM(BedPlan[[#This Row],[Harvest Days January 2025]:[Harvest Days December 2026]])*BedPlan[[#This Row],[Yield]:[Yield]]</f>
        <v>0</v>
      </c>
      <c r="EN78" s="33" cm="1">
        <f t="array" ref="EN78">BedPlan[[#This Row],[Harvest Days March 2025]]/SUM(BedPlan[[#This Row],[Harvest Days January 2025]:[Harvest Days December 2026]])*BedPlan[[#This Row],[Yield]:[Yield]]</f>
        <v>0</v>
      </c>
      <c r="EO78" s="33" cm="1">
        <f t="array" ref="EO78">BedPlan[[#This Row],[Harvest Days April 2025]]/SUM(BedPlan[[#This Row],[Harvest Days January 2025]:[Harvest Days December 2026]])*BedPlan[[#This Row],[Yield]:[Yield]]</f>
        <v>0</v>
      </c>
      <c r="EP78" s="33" cm="1">
        <f t="array" ref="EP78">BedPlan[[#This Row],[Harvest Days May 2025]]/SUM(BedPlan[[#This Row],[Harvest Days January 2025]:[Harvest Days December 2026]])*BedPlan[[#This Row],[Yield]:[Yield]]</f>
        <v>0</v>
      </c>
      <c r="EQ78" s="33" cm="1">
        <f t="array" ref="EQ78">BedPlan[[#This Row],[Harvest Days June 2025]]/SUM(BedPlan[[#This Row],[Harvest Days January 2025]:[Harvest Days December 2026]])*BedPlan[[#This Row],[Yield]:[Yield]]</f>
        <v>0</v>
      </c>
      <c r="ER78" s="33" cm="1">
        <f t="array" ref="ER78">BedPlan[[#This Row],[Harvest Days July 2025]]/SUM(BedPlan[[#This Row],[Harvest Days January 2025]:[Harvest Days December 2026]])*BedPlan[[#This Row],[Yield]:[Yield]]</f>
        <v>0</v>
      </c>
      <c r="ES78" s="33" cm="1">
        <f t="array" ref="ES78">BedPlan[[#This Row],[Harvest Days August 2025]]/SUM(BedPlan[[#This Row],[Harvest Days January 2025]:[Harvest Days December 2026]])*BedPlan[[#This Row],[Yield]:[Yield]]</f>
        <v>0</v>
      </c>
      <c r="ET78" s="33" cm="1">
        <f t="array" ref="ET78">BedPlan[[#This Row],[Harvest Days September 2025]]/SUM(BedPlan[[#This Row],[Harvest Days January 2025]:[Harvest Days December 2026]])*BedPlan[[#This Row],[Yield]:[Yield]]</f>
        <v>106.66666666666666</v>
      </c>
      <c r="EU78" s="33" cm="1">
        <f t="array" ref="EU78">BedPlan[[#This Row],[Harvest Days October 2025]]/SUM(BedPlan[[#This Row],[Harvest Days January 2025]:[Harvest Days December 2026]])*BedPlan[[#This Row],[Yield]:[Yield]]</f>
        <v>0</v>
      </c>
      <c r="EV78" s="33" cm="1">
        <f t="array" ref="EV78">BedPlan[[#This Row],[Harvest Days November 2025]]/SUM(BedPlan[[#This Row],[Harvest Days January 2025]:[Harvest Days December 2026]])*BedPlan[[#This Row],[Yield]:[Yield]]</f>
        <v>0</v>
      </c>
      <c r="EW78" s="33" cm="1">
        <f t="array" ref="EW78">BedPlan[[#This Row],[Harvest Days December 2025]]/SUM(BedPlan[[#This Row],[Harvest Days January 2025]:[Harvest Days December 2026]])*BedPlan[[#This Row],[Yield]:[Yield]]</f>
        <v>0</v>
      </c>
    </row>
    <row r="79" spans="1:153" ht="15.75" customHeight="1">
      <c r="A79" s="179" t="s">
        <v>2775</v>
      </c>
      <c r="B79" s="240" t="s">
        <v>2774</v>
      </c>
      <c r="C79" t="s">
        <v>1463</v>
      </c>
      <c r="D79" s="226" cm="1">
        <f t="array" ref="D79">INDEX(Crops[],BedPlan[[#This Row],[Chart Index]],D$4,1)*BedPlan[[#This Row],[Full Bed Equivalent]]</f>
        <v>53.333333333333329</v>
      </c>
      <c r="E79" s="226" cm="1">
        <f t="array" ref="E79">INDEX(Crops[],BedPlan[[#This Row],[Chart Index]],E$4,1)*BedPlan[[#This Row],[Full Bed Equivalent]]</f>
        <v>106.66666666666666</v>
      </c>
      <c r="F79" t="str">
        <f>UPPER(LEFT(BedPlan[[#This Row],[Crop]],3))</f>
        <v>LET</v>
      </c>
      <c r="H79" s="143" t="str" cm="1">
        <f t="array" ref="H79">INDEX(Crops[],BedPlan[[#This Row],[Chart Index]],H$4,1)</f>
        <v>Lettuce</v>
      </c>
      <c r="I79" t="s">
        <v>1542</v>
      </c>
      <c r="J79" t="s">
        <v>482</v>
      </c>
      <c r="K79" t="str" cm="1">
        <f t="array" ref="K79">IF(ISNUMBER(MATCH(BedPlan[[#This Row],[Variety]],SeedMixes[Name],)),_xlfn.TEXTJOIN(", ",TRUE,_xlfn._xlws.FILTER(SeedMixes[Variety &amp; Company],SeedMixes[Name]=BedPlan[[#This Row],[Variety]])),"")</f>
        <v/>
      </c>
      <c r="L79" s="33" cm="1">
        <f t="array" ref="L79">INDEX(Crops[],BedPlan[[#This Row],[Chart Index]],L$4,1)*BedPlan[[#This Row],[Full Bed Equivalent]]</f>
        <v>180.26666666666665</v>
      </c>
      <c r="N79">
        <v>0.4</v>
      </c>
      <c r="O79">
        <v>1</v>
      </c>
      <c r="P79" s="31">
        <f>IF(ISNUMBER(BedPlan[[#This Row],[Planned Greenhouse Start Date]]),BedPlan[[#This Row],[Planned Greenhouse Start Date]],BedPlan[[#This Row],[Planned TP or DS Date]])</f>
        <v>45854</v>
      </c>
      <c r="Q79" s="259">
        <f>IF(BedPlan[[#This Row],[Days in Cells]]=0,"",IFERROR(_xlfn.XLOOKUP(BedPlan[[#This Row],[Follows Crop]],BedPlan[Identifier],BedPlan[Expected End of Harvest]) + 1+BedPlan[[#This Row],[Follow Offset]],BedPlan[[#This Row],[Fixed Field Start Date]])-BedPlan[[#This Row],[Days in Cells]])</f>
        <v>45854</v>
      </c>
      <c r="R79" s="259"/>
      <c r="S79" s="259">
        <f>IF(ISNUMBER(BedPlan[[#This Row],[Actual Greenhouse Date]]),BedPlan[[#This Row],[Actual Greenhouse Date]],BedPlan[[#This Row],[Planned Greenhouse Start Date]])</f>
        <v>45854</v>
      </c>
      <c r="T79" s="259">
        <v>45884</v>
      </c>
      <c r="U79" s="260"/>
      <c r="V79" s="260"/>
      <c r="W7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79" s="259"/>
      <c r="Y79" s="271">
        <f>BedPlan[[#This Row],[Actual TP or DS Date]]-BedPlan[[#This Row],[Planned TP or DS Date]]</f>
        <v>-45884</v>
      </c>
      <c r="Z79" s="259">
        <f>IF(ISNUMBER(BedPlan[[#This Row],[Actual TP or DS Date]]),BedPlan[[#This Row],[Actual TP or DS Date]],BedPlan[[#This Row],[Planned TP or DS Date]])</f>
        <v>45884</v>
      </c>
      <c r="AA79" s="259"/>
      <c r="AB79" s="259">
        <f>IF(ISNUMBER(BedPlan[[#This Row],[Greenhouse Start Date]]),BedPlan[[#This Row],[Greenhouse Start Date]]+BedPlan[[#This Row],[DTM]],BedPlan[[#This Row],[TP or DS Date]]+BedPlan[[#This Row],[DTM]])</f>
        <v>45924</v>
      </c>
      <c r="AC79" s="259"/>
      <c r="AD79" s="259">
        <f>IF(ISNUMBER(BedPlan[[#This Row],[Actual Beginning of Harvest]]),BedPlan[[#This Row],[Actual Beginning of Harvest]],BedPlan[[#This Row],[Expected Beginning of Harvest]])</f>
        <v>45924</v>
      </c>
      <c r="AE79" s="259">
        <f>BedPlan[[#This Row],[Expected Beginning of Harvest]]+BedPlan[[#This Row],[Harvest Window]]+BedPlan[[#This Row],[Additional Days of Harvest]]</f>
        <v>45938</v>
      </c>
      <c r="AF79" s="259"/>
      <c r="AG79" s="259"/>
      <c r="AH79" s="31" t="b">
        <f>IF(AND( BedPlan[[#This Row],[Expected End of Harvest]] &gt;= DATE(2025, 8, 1), BedPlan[[#This Row],[Beginning of Harvest]] &lt;= DATE(2025, 8, 31) ), TRUE, FALSE)</f>
        <v>0</v>
      </c>
      <c r="AI79" s="31"/>
      <c r="AJ79" s="31">
        <f>IF(ISNUMBER(BedPlan[[#This Row],[Actual End of Harvest]]),BedPlan[[#This Row],[Actual End of Harvest]],BedPlan[[#This Row],[Expected End of Harvest]])</f>
        <v>45938</v>
      </c>
      <c r="AK79" t="b">
        <f>OR(ISNUMBER(BedPlan[[#This Row],[Actual Greenhouse Date]]),ISNUMBER(BedPlan[[#This Row],[Actual TP or DS Date]]))</f>
        <v>0</v>
      </c>
      <c r="AL79" s="52" t="b">
        <f>IF(ISNUMBER(BedPlan[[#This Row],[Planned Greenhouse Start Date]]),OR(ISNUMBER(BedPlan[[#This Row],[Actual TP or DS Date]]),BedPlan[[#This Row],[Failed]]),"-")</f>
        <v>0</v>
      </c>
      <c r="AM79" t="b">
        <f>OR(ISNUMBER(BedPlan[[#This Row],[Actual End of Harvest]]),BedPlan[[#This Row],[Failed]])</f>
        <v>0</v>
      </c>
      <c r="AN79" t="b">
        <f>OR(BedPlan[[#This Row],[Harvest Done]],BedPlan[[#This Row],[Failed]],BedPlan[[#This Row],[Name]]="Tarp")</f>
        <v>0</v>
      </c>
      <c r="AS79" s="26" t="str">
        <f>IF(BedPlan[[#This Row],[Broadfork]],BedPlan[[#This Row],[Actual TP or DS Date]],"")</f>
        <v/>
      </c>
      <c r="AT79" s="26" t="str">
        <f>IF(BedPlan[[#This Row],[Tilther]],BedPlan[[#This Row],[Actual TP or DS Date]],"")</f>
        <v/>
      </c>
      <c r="AU79" s="26" t="str">
        <f>IF(NOT(ISBLANK(BedPlan[[#This Row],[Amend]])),BedPlan[[#This Row],[Actual TP or DS Date]],"")</f>
        <v/>
      </c>
      <c r="AV79" s="26" t="str">
        <f>IF(BedPlan[[#This Row],[Row Cover]],BedPlan[[#This Row],[Actual TP or DS Date]],"")</f>
        <v/>
      </c>
      <c r="AX79" s="26"/>
      <c r="AZ79" s="26"/>
      <c r="BB79" s="26"/>
      <c r="BC79" s="231" cm="1">
        <f t="array" ref="BC79">INDEX(Crops[],BedPlan[[#This Row],[Chart Index]],BC$4,1)*BedPlan[[#This Row],[Full Bed Equivalent]]</f>
        <v>426.66666666666663</v>
      </c>
      <c r="BD79" s="231" cm="1">
        <f t="array" ref="BD79">INDEX(Crops[],BedPlan[[#This Row],[Chart Index]],BD$4,1)*BedPlan[[#This Row],[Full Bed Equivalent]]</f>
        <v>7.9012345679012341</v>
      </c>
      <c r="BE79" cm="1">
        <f t="array" ref="BE79">INDEX(Crops[],BedPlan[[#This Row],[Chart Index]],BE$4,1)+BedPlan[[#This Row],[Additional Days in Cells]]+BedPlan[[#This Row],[Additional Days In Field]]</f>
        <v>70</v>
      </c>
      <c r="BG79" cm="1">
        <f t="array" ref="BG79">INDEX(Crops[],BedPlan[[#This Row],[Chart Index]],BG$4,1)</f>
        <v>14</v>
      </c>
      <c r="BH79" t="str">
        <f>IF(ISNUMBER(BedPlan[[#This Row],[Planned Greenhouse Start Date]]),"TP","DS")</f>
        <v>TP</v>
      </c>
      <c r="BI79">
        <f>BedPlan[[#This Row],['# Of Beds]]</f>
        <v>0.4</v>
      </c>
      <c r="BJ79" cm="1">
        <f t="array" ref="BJ79">INDEX(Crops[],BedPlan[[#This Row],[Chart Index]],BJ$4,1)</f>
        <v>30</v>
      </c>
      <c r="BK79" cm="1">
        <f t="array" ref="BK79">INDEX(Crops[],BedPlan[[#This Row],[Chart Index]],BK$4,1)</f>
        <v>4</v>
      </c>
      <c r="BL79" cm="1">
        <f t="array" ref="BL79">INDEX(Crops[],BedPlan[[#This Row],[Chart Index]],BL$4,1)</f>
        <v>9</v>
      </c>
      <c r="BM79" cm="1">
        <f t="array" ref="BM79">INDEX(Crops[],BedPlan[[#This Row],[Chart Index]],BM$4,1)</f>
        <v>1</v>
      </c>
      <c r="BN79" s="32" cm="1">
        <f t="array" ref="BN79">INDEX(Crops[],BedPlan[[#This Row],[Chart Index]],BN$4,1)*BedPlan[[#This Row],[Full Bed Equivalent]]</f>
        <v>106.66666666666666</v>
      </c>
      <c r="BO79" t="str" cm="1">
        <f t="array" ref="BO79">IF(INDEX(Crops[],BedPlan[[#This Row],[Chart Index]],BO$4,1)=0,"",INDEX(Crops[],BedPlan[[#This Row],[Chart Index]],BO$4,1))</f>
        <v/>
      </c>
      <c r="BP79">
        <f>MATCH(BedPlan[[#This Row],[Crop]],Crops[Identifier],FALSE)</f>
        <v>175</v>
      </c>
      <c r="BQ79" t="str" cm="1">
        <f t="array" ref="BQ79">INDEX(Crops[],BedPlan[[#This Row],[Chart Index]],BQ$4,1)</f>
        <v>4x9</v>
      </c>
      <c r="BR79" t="str" cm="1">
        <f t="array" ref="BR79">INDEX(Crops[],BedPlan[[#This Row],[Chart Index]],BR$4,1)</f>
        <v>SuFa</v>
      </c>
      <c r="BS79" s="32">
        <f>BedPlan[[#This Row],[Expected Beginning of Harvest]]-DATE(2023,1,1)</f>
        <v>997</v>
      </c>
      <c r="BT79">
        <f>BedPlan[[#This Row],[Expected End of Harvest]]-BedPlan[[#This Row],[Expected Beginning of Harvest]]</f>
        <v>14</v>
      </c>
      <c r="BU79" t="str" cm="1">
        <f t="array" ref="BU79">INDEX(Crops[],BedPlan[[#This Row],[Chart Index]],BU$4,1)</f>
        <v>Green</v>
      </c>
      <c r="BV79" cm="1">
        <f t="array" ref="BV79">INDEX(Crops[],BedPlan[[#This Row],[Chart Index]],BV$4,1)</f>
        <v>1</v>
      </c>
      <c r="BW79" t="str" cm="1">
        <f t="array" ref="BW79">INDEX(Crops[],BedPlan[[#This Row],[Chart Index]],BW$4,1)</f>
        <v>None</v>
      </c>
      <c r="BX79" cm="1">
        <f t="array" ref="BX79">INDEX(Crops[],BedPlan[[#This Row],[Chart Index]],BX$4,1)</f>
        <v>128</v>
      </c>
      <c r="BY79" cm="1">
        <f t="array" ref="BY79">INDEX(Crops[],BedPlan[[#This Row],[Chart Index]],BY$4,1)</f>
        <v>30</v>
      </c>
      <c r="BZ79" s="49" cm="1">
        <f t="array" ref="BZ79">IFERROR(INDEX(Crops[],BedPlan[[#This Row],[Chart Index]],BZ$4,1)*BedPlan[[#This Row],[Full Bed Equivalent]],"")</f>
        <v>1.0833333333333333</v>
      </c>
      <c r="CA79" cm="1">
        <f t="array" ref="CA79">INDEX(Crops[],BedPlan[[#This Row],[Chart Index]],CA$4,1)</f>
        <v>0</v>
      </c>
      <c r="CB79" cm="1">
        <f t="array" ref="CB79">INDEX(Crops[],BedPlan[[#This Row],[Chart Index]],CB$4,1)</f>
        <v>0</v>
      </c>
      <c r="CC79" s="49" t="str" cm="1">
        <f t="array" ref="CC79">IFERROR(INDEX(Crops[],BedPlan[[#This Row],[Chart Index]],CC$4,1)*BedPlan[[#This Row],[Full Bed Equivalent]],"")</f>
        <v/>
      </c>
      <c r="CD79" cm="1">
        <f t="array" ref="CD79">INDEX(Crops[],BedPlan[[#This Row],[Chart Index]],CD$4,1)</f>
        <v>0</v>
      </c>
      <c r="CE79" cm="1">
        <f t="array" ref="CE79">IF(INDEX(Crops[],BedPlan[[#This Row],[Chart Index]],CE$4,1)="",0,INDEX(Crops[],BedPlan[[#This Row],[Chart Index]],CE$4,1))</f>
        <v>0</v>
      </c>
      <c r="CF79" s="49" t="str" cm="1">
        <f t="array" ref="CF79">IFERROR(INDEX(Crops[],BedPlan[[#This Row],[Chart Index]],CF$4,1)*BedPlan[[#This Row],[Full Bed Equivalent]],"")</f>
        <v/>
      </c>
      <c r="CG79" cm="1">
        <f t="array" ref="CG79">IF(INDEX(Crops[],BedPlan[[#This Row],[Chart Index]],CG$4,1)="",0,INDEX(Crops[],BedPlan[[#This Row],[Chart Index]],CG$4,1))</f>
        <v>1.3</v>
      </c>
      <c r="CH79" cm="1">
        <f t="array" ref="CH79">IF(INDEX(Crops[],BedPlan[[#This Row],[Chart Index]],CH$4,1)="",0,INDEX(Crops[],BedPlan[[#This Row],[Chart Index]],CH$4,1))</f>
        <v>0</v>
      </c>
      <c r="CI79" t="str" cm="1">
        <f t="array" ref="CI79">INDEX(Crops[],BedPlan[[#This Row],[Chart Index]],CI$4,1)</f>
        <v>Field</v>
      </c>
      <c r="CJ79" s="30" t="str">
        <f>_xlfn.TEXTJOIN(CHAR(10),FALSE,BedPlan[[#This Row],[Name]],BedPlan[[#This Row],[Variety]],BedPlan[[#This Row],[Company]])</f>
        <v>Lettuce
Lovelock
High Mowing</v>
      </c>
      <c r="CK79" s="32">
        <f>MAX( 0, MIN(BedPlan[[#This Row],[Expected End of Harvest]], EOMONTH(CK$4, 0)) - MAX(BedPlan[[#This Row],[Beginning of Harvest]], CK$4) + 1 )</f>
        <v>0</v>
      </c>
      <c r="CL79">
        <f>MAX( 0, MIN(BedPlan[[#This Row],[Expected End of Harvest]], EOMONTH(CL$4, 0)) - MAX(BedPlan[[#This Row],[Beginning of Harvest]], CL$4) + 1 )</f>
        <v>0</v>
      </c>
      <c r="CM79">
        <f>MAX( 0, MIN(BedPlan[[#This Row],[Expected End of Harvest]], EOMONTH(CM$4, 0)) - MAX(BedPlan[[#This Row],[Beginning of Harvest]], CM$4) + 1 )</f>
        <v>0</v>
      </c>
      <c r="CN79">
        <f>MAX( 0, MIN(BedPlan[[#This Row],[Expected End of Harvest]], EOMONTH(CN$4, 0)) - MAX(BedPlan[[#This Row],[Beginning of Harvest]], CN$4) + 1 )</f>
        <v>0</v>
      </c>
      <c r="CO79">
        <f>MAX( 0, MIN(BedPlan[[#This Row],[Expected End of Harvest]], EOMONTH(CO$4, 0)) - MAX(BedPlan[[#This Row],[Beginning of Harvest]], CO$4) + 1 )</f>
        <v>0</v>
      </c>
      <c r="CP79">
        <f>MAX( 0, MIN(BedPlan[[#This Row],[Expected End of Harvest]], EOMONTH(CP$4, 0)) - MAX(BedPlan[[#This Row],[Beginning of Harvest]], CP$4) + 1 )</f>
        <v>0</v>
      </c>
      <c r="CQ79">
        <f>MAX( 0, MIN(BedPlan[[#This Row],[Expected End of Harvest]], EOMONTH(CQ$4, 0)) - MAX(BedPlan[[#This Row],[Beginning of Harvest]], CQ$4) + 1 )</f>
        <v>0</v>
      </c>
      <c r="CR79">
        <f>MAX( 0, MIN(BedPlan[[#This Row],[Expected End of Harvest]], EOMONTH(CR$4, 0)) - MAX(BedPlan[[#This Row],[Beginning of Harvest]], CR$4) + 1 )</f>
        <v>0</v>
      </c>
      <c r="CS79">
        <f>MAX( 0, MIN(BedPlan[[#This Row],[Expected End of Harvest]], EOMONTH(CS$4, 0)) - MAX(BedPlan[[#This Row],[Beginning of Harvest]], CS$4) + 1 )</f>
        <v>7</v>
      </c>
      <c r="CT79">
        <f>MAX( 0, MIN(BedPlan[[#This Row],[Expected End of Harvest]], EOMONTH(CT$4, 0)) - MAX(BedPlan[[#This Row],[Beginning of Harvest]], CT$4) + 1 )</f>
        <v>8</v>
      </c>
      <c r="CU79">
        <f>MAX( 0, MIN(BedPlan[[#This Row],[Expected End of Harvest]], EOMONTH(CU$4, 0)) - MAX(BedPlan[[#This Row],[Beginning of Harvest]], CU$4) + 1 )</f>
        <v>0</v>
      </c>
      <c r="CV79">
        <f>MAX( 0, MIN(BedPlan[[#This Row],[Expected End of Harvest]], EOMONTH(CV$4, 0)) - MAX(BedPlan[[#This Row],[Beginning of Harvest]], CV$4) + 1 )</f>
        <v>0</v>
      </c>
      <c r="CW79">
        <f>MAX( 0, MIN(BedPlan[[#This Row],[Expected End of Harvest]], EOMONTH(CW$4, 0)) - MAX(BedPlan[[#This Row],[Beginning of Harvest]], CW$4) + 1 )</f>
        <v>0</v>
      </c>
      <c r="CX79">
        <f>MAX( 0, MIN(BedPlan[[#This Row],[Expected End of Harvest]], EOMONTH(CX$4, 0)) - MAX(BedPlan[[#This Row],[Beginning of Harvest]], CX$4) + 1 )</f>
        <v>0</v>
      </c>
      <c r="CY79">
        <f>MAX( 0, MIN(BedPlan[[#This Row],[Expected End of Harvest]], EOMONTH(CY$4, 0)) - MAX(BedPlan[[#This Row],[Beginning of Harvest]], CY$4) + 1 )</f>
        <v>0</v>
      </c>
      <c r="CZ79">
        <f>MAX( 0, MIN(BedPlan[[#This Row],[Expected End of Harvest]], EOMONTH(CZ$4, 0)) - MAX(BedPlan[[#This Row],[Beginning of Harvest]], CZ$4) + 1 )</f>
        <v>0</v>
      </c>
      <c r="DA79">
        <f>MAX( 0, MIN(BedPlan[[#This Row],[Expected End of Harvest]], EOMONTH(DA$4, 0)) - MAX(BedPlan[[#This Row],[Beginning of Harvest]], DA$4) + 1 )</f>
        <v>0</v>
      </c>
      <c r="DB79">
        <f>MAX( 0, MIN(BedPlan[[#This Row],[Expected End of Harvest]], EOMONTH(DB$4, 0)) - MAX(BedPlan[[#This Row],[Beginning of Harvest]], DB$4) + 1 )</f>
        <v>0</v>
      </c>
      <c r="DC79">
        <f>MAX( 0, MIN(BedPlan[[#This Row],[Expected End of Harvest]], EOMONTH(DC$4, 0)) - MAX(BedPlan[[#This Row],[Beginning of Harvest]], DC$4) + 1 )</f>
        <v>0</v>
      </c>
      <c r="DD79">
        <f>MAX( 0, MIN(BedPlan[[#This Row],[Expected End of Harvest]], EOMONTH(DD$4, 0)) - MAX(BedPlan[[#This Row],[Beginning of Harvest]], DD$4) + 1 )</f>
        <v>0</v>
      </c>
      <c r="DE79">
        <f>MAX( 0, MIN(BedPlan[[#This Row],[Expected End of Harvest]], EOMONTH(DE$4, 0)) - MAX(BedPlan[[#This Row],[Beginning of Harvest]], DE$4) + 1 )</f>
        <v>0</v>
      </c>
      <c r="DF79">
        <f>MAX( 0, MIN(BedPlan[[#This Row],[Expected End of Harvest]], EOMONTH(DF$4, 0)) - MAX(BedPlan[[#This Row],[Beginning of Harvest]], DF$4) + 1 )</f>
        <v>0</v>
      </c>
      <c r="DG79">
        <f>MAX( 0, MIN(BedPlan[[#This Row],[Expected End of Harvest]], EOMONTH(DG$4, 0)) - MAX(BedPlan[[#This Row],[Beginning of Harvest]], DG$4) + 1 )</f>
        <v>0</v>
      </c>
      <c r="DH79">
        <f>MAX( 0, MIN(BedPlan[[#This Row],[Expected End of Harvest]], EOMONTH(DH$4, 0)) - MAX(BedPlan[[#This Row],[Beginning of Harvest]], DH$4) + 1 )</f>
        <v>0</v>
      </c>
      <c r="DI79" s="257" cm="1">
        <f t="array" ref="DI79">BedPlan[[#This Row],[Harvest Days January 2025]]/SUM(BedPlan[[#This Row],[Harvest Days January 2025]:[Harvest Days December 2026]])*BedPlan[[#This Row],[Revenue]:[Revenue]]</f>
        <v>0</v>
      </c>
      <c r="DJ79" s="257" cm="1">
        <f t="array" ref="DJ79">BedPlan[[#This Row],[Harvest Days February 2025]]/SUM(BedPlan[[#This Row],[Harvest Days January 2025]:[Harvest Days December 2026]])*BedPlan[[#This Row],[Revenue]:[Revenue]]</f>
        <v>0</v>
      </c>
      <c r="DK79" s="257" cm="1">
        <f t="array" ref="DK79">BedPlan[[#This Row],[Harvest Days March 2025]]/SUM(BedPlan[[#This Row],[Harvest Days January 2025]:[Harvest Days December 2026]])*BedPlan[[#This Row],[Revenue]:[Revenue]]</f>
        <v>0</v>
      </c>
      <c r="DL79" s="257" cm="1">
        <f t="array" ref="DL79">BedPlan[[#This Row],[Harvest Days April 2025]]/SUM(BedPlan[[#This Row],[Harvest Days January 2025]:[Harvest Days December 2026]])*BedPlan[[#This Row],[Revenue]:[Revenue]]</f>
        <v>0</v>
      </c>
      <c r="DM79" s="257" cm="1">
        <f t="array" ref="DM79">BedPlan[[#This Row],[Harvest Days May 2025]]/SUM(BedPlan[[#This Row],[Harvest Days January 2025]:[Harvest Days December 2026]])*BedPlan[[#This Row],[Revenue]:[Revenue]]</f>
        <v>0</v>
      </c>
      <c r="DN79" s="257" cm="1">
        <f t="array" ref="DN79">BedPlan[[#This Row],[Harvest Days June 2025]]/SUM(BedPlan[[#This Row],[Harvest Days January 2025]:[Harvest Days December 2026]])*BedPlan[[#This Row],[Revenue]:[Revenue]]</f>
        <v>0</v>
      </c>
      <c r="DO79" s="257" cm="1">
        <f t="array" ref="DO79">BedPlan[[#This Row],[Harvest Days July 2025]]/SUM(BedPlan[[#This Row],[Harvest Days January 2025]:[Harvest Days December 2026]])*BedPlan[[#This Row],[Revenue]:[Revenue]]</f>
        <v>0</v>
      </c>
      <c r="DP79" s="257" cm="1">
        <f t="array" ref="DP79">BedPlan[[#This Row],[Harvest Days August 2025]]/SUM(BedPlan[[#This Row],[Harvest Days January 2025]:[Harvest Days December 2026]])*BedPlan[[#This Row],[Revenue]:[Revenue]]</f>
        <v>0</v>
      </c>
      <c r="DQ79" s="257" cm="1">
        <f t="array" ref="DQ79">BedPlan[[#This Row],[Harvest Days September 2025]]/SUM(BedPlan[[#This Row],[Harvest Days January 2025]:[Harvest Days December 2026]])*BedPlan[[#This Row],[Revenue]:[Revenue]]</f>
        <v>199.11111111111109</v>
      </c>
      <c r="DR79" s="257" cm="1">
        <f t="array" ref="DR79">BedPlan[[#This Row],[Harvest Days October 2025]]/SUM(BedPlan[[#This Row],[Harvest Days January 2025]:[Harvest Days December 2026]])*BedPlan[[#This Row],[Revenue]:[Revenue]]</f>
        <v>227.55555555555554</v>
      </c>
      <c r="DS79" s="257" cm="1">
        <f t="array" ref="DS79">BedPlan[[#This Row],[Harvest Days November 2025]]/SUM(BedPlan[[#This Row],[Harvest Days January 2025]:[Harvest Days December 2026]])*BedPlan[[#This Row],[Revenue]:[Revenue]]</f>
        <v>0</v>
      </c>
      <c r="DT79" s="257" cm="1">
        <f t="array" ref="DT79">BedPlan[[#This Row],[Harvest Days December 2025]]/SUM(BedPlan[[#This Row],[Harvest Days January 2025]:[Harvest Days December 2026]])*BedPlan[[#This Row],[Revenue]:[Revenue]]</f>
        <v>0</v>
      </c>
      <c r="DU79" s="257" cm="1">
        <f t="array" ref="DU79">BedPlan[[#This Row],[Harvest Days January 2026]]/SUM(BedPlan[[#This Row],[Harvest Days January 2025]:[Harvest Days December 2026]])*BedPlan[[#This Row],[Revenue]:[Revenue]]</f>
        <v>0</v>
      </c>
      <c r="DV79" s="257" cm="1">
        <f t="array" ref="DV79">BedPlan[[#This Row],[Harvest Days February 2026]]/SUM(BedPlan[[#This Row],[Harvest Days January 2025]:[Harvest Days December 2026]])*BedPlan[[#This Row],[Revenue]:[Revenue]]</f>
        <v>0</v>
      </c>
      <c r="DW79" s="257" cm="1">
        <f t="array" ref="DW79">BedPlan[[#This Row],[Harvest Days March 2026]]/SUM(BedPlan[[#This Row],[Harvest Days January 2025]:[Harvest Days December 2026]])*BedPlan[[#This Row],[Revenue]:[Revenue]]</f>
        <v>0</v>
      </c>
      <c r="DX79" s="257" cm="1">
        <f t="array" ref="DX79">BedPlan[[#This Row],[Harvest Days April 2026]]/SUM(BedPlan[[#This Row],[Harvest Days January 2025]:[Harvest Days December 2026]])*BedPlan[[#This Row],[Revenue]:[Revenue]]</f>
        <v>0</v>
      </c>
      <c r="DY79" s="257" cm="1">
        <f t="array" ref="DY79">BedPlan[[#This Row],[Harvest Days May 2026]]/SUM(BedPlan[[#This Row],[Harvest Days January 2025]:[Harvest Days December 2026]])*BedPlan[[#This Row],[Revenue]:[Revenue]]</f>
        <v>0</v>
      </c>
      <c r="DZ79" s="257" cm="1">
        <f t="array" ref="DZ79">BedPlan[[#This Row],[Harvest Days June 2026]]/SUM(BedPlan[[#This Row],[Harvest Days January 2025]:[Harvest Days December 2026]])*BedPlan[[#This Row],[Revenue]:[Revenue]]</f>
        <v>0</v>
      </c>
      <c r="EA79" s="257" cm="1">
        <f t="array" ref="EA79">BedPlan[[#This Row],[Harvest Days July 2026]]/SUM(BedPlan[[#This Row],[Harvest Days January 2025]:[Harvest Days December 2026]])*BedPlan[[#This Row],[Revenue]:[Revenue]]</f>
        <v>0</v>
      </c>
      <c r="EB79" s="257" cm="1">
        <f t="array" ref="EB79">BedPlan[[#This Row],[Harvest Days August 2026]]/SUM(BedPlan[[#This Row],[Harvest Days January 2025]:[Harvest Days December 2026]])*BedPlan[[#This Row],[Revenue]:[Revenue]]</f>
        <v>0</v>
      </c>
      <c r="EC79" s="257" cm="1">
        <f t="array" ref="EC79">BedPlan[[#This Row],[Harvest Days September 2026]]/SUM(BedPlan[[#This Row],[Harvest Days January 2025]:[Harvest Days December 2026]])*BedPlan[[#This Row],[Revenue]:[Revenue]]</f>
        <v>0</v>
      </c>
      <c r="ED79" s="257" cm="1">
        <f t="array" ref="ED79">BedPlan[[#This Row],[Harvest Days October 2026]]/SUM(BedPlan[[#This Row],[Harvest Days January 2025]:[Harvest Days December 2026]])*BedPlan[[#This Row],[Revenue]:[Revenue]]</f>
        <v>0</v>
      </c>
      <c r="EE79" s="257" cm="1">
        <f t="array" ref="EE79">BedPlan[[#This Row],[Harvest Days November 2026]]/SUM(BedPlan[[#This Row],[Harvest Days January 2025]:[Harvest Days December 2026]])*BedPlan[[#This Row],[Revenue]:[Revenue]]</f>
        <v>0</v>
      </c>
      <c r="EF79" s="257" cm="1">
        <f t="array" ref="EF79">BedPlan[[#This Row],[Harvest Days December 2026]]/SUM(BedPlan[[#This Row],[Harvest Days January 2025]:[Harvest Days December 2026]])*BedPlan[[#This Row],[Revenue]:[Revenue]]</f>
        <v>0</v>
      </c>
      <c r="EG79" t="b">
        <f>SUM(BedPlan[[#This Row],[Revenue January 2025]:[Revenue December 2026]])=BedPlan[[#This Row],[Revenue]]</f>
        <v>1</v>
      </c>
      <c r="EH79" s="30" cm="1">
        <f t="array" ref="EH79">INDEX(Crops[],BedPlan[[#This Row],[Chart Index]],EH$4,1)*BedPlan[[#This Row],['# Of Beds]]</f>
        <v>106.66666666666666</v>
      </c>
      <c r="EI79" s="30" t="str" cm="1">
        <f t="array" ref="EI79">INDEX(Crops[],BedPlan[[#This Row],[Chart Index]],EI$4,1)</f>
        <v>Head</v>
      </c>
      <c r="EJ79" s="30" t="str" cm="1">
        <f t="array" ref="EJ79">INDEX(Crops[],BedPlan[[#This Row],[Chart Index]],EJ$4,1)</f>
        <v>Mature Head</v>
      </c>
      <c r="EK79" s="30" t="str">
        <f>BedPlan[[#This Row],[Name]]&amp;" "&amp;BedPlan[[#This Row],[Product]]&amp; " - " &amp;BedPlan[[#This Row],[Unit]]</f>
        <v>Lettuce Mature Head - Head</v>
      </c>
      <c r="EL79" s="33" cm="1">
        <f t="array" ref="EL79">BedPlan[[#This Row],[Harvest Days January 2025]]/SUM(BedPlan[[#This Row],[Harvest Days January 2025]:[Harvest Days December 2026]])*BedPlan[[#This Row],[Yield]:[Yield]]</f>
        <v>0</v>
      </c>
      <c r="EM79" s="33" cm="1">
        <f t="array" ref="EM79">BedPlan[[#This Row],[Harvest Days February 2025]]/SUM(BedPlan[[#This Row],[Harvest Days January 2025]:[Harvest Days December 2026]])*BedPlan[[#This Row],[Yield]:[Yield]]</f>
        <v>0</v>
      </c>
      <c r="EN79" s="33" cm="1">
        <f t="array" ref="EN79">BedPlan[[#This Row],[Harvest Days March 2025]]/SUM(BedPlan[[#This Row],[Harvest Days January 2025]:[Harvest Days December 2026]])*BedPlan[[#This Row],[Yield]:[Yield]]</f>
        <v>0</v>
      </c>
      <c r="EO79" s="33" cm="1">
        <f t="array" ref="EO79">BedPlan[[#This Row],[Harvest Days April 2025]]/SUM(BedPlan[[#This Row],[Harvest Days January 2025]:[Harvest Days December 2026]])*BedPlan[[#This Row],[Yield]:[Yield]]</f>
        <v>0</v>
      </c>
      <c r="EP79" s="33" cm="1">
        <f t="array" ref="EP79">BedPlan[[#This Row],[Harvest Days May 2025]]/SUM(BedPlan[[#This Row],[Harvest Days January 2025]:[Harvest Days December 2026]])*BedPlan[[#This Row],[Yield]:[Yield]]</f>
        <v>0</v>
      </c>
      <c r="EQ79" s="33" cm="1">
        <f t="array" ref="EQ79">BedPlan[[#This Row],[Harvest Days June 2025]]/SUM(BedPlan[[#This Row],[Harvest Days January 2025]:[Harvest Days December 2026]])*BedPlan[[#This Row],[Yield]:[Yield]]</f>
        <v>0</v>
      </c>
      <c r="ER79" s="33" cm="1">
        <f t="array" ref="ER79">BedPlan[[#This Row],[Harvest Days July 2025]]/SUM(BedPlan[[#This Row],[Harvest Days January 2025]:[Harvest Days December 2026]])*BedPlan[[#This Row],[Yield]:[Yield]]</f>
        <v>0</v>
      </c>
      <c r="ES79" s="33" cm="1">
        <f t="array" ref="ES79">BedPlan[[#This Row],[Harvest Days August 2025]]/SUM(BedPlan[[#This Row],[Harvest Days January 2025]:[Harvest Days December 2026]])*BedPlan[[#This Row],[Yield]:[Yield]]</f>
        <v>0</v>
      </c>
      <c r="ET79" s="33" cm="1">
        <f t="array" ref="ET79">BedPlan[[#This Row],[Harvest Days September 2025]]/SUM(BedPlan[[#This Row],[Harvest Days January 2025]:[Harvest Days December 2026]])*BedPlan[[#This Row],[Yield]:[Yield]]</f>
        <v>49.777777777777771</v>
      </c>
      <c r="EU79" s="33" cm="1">
        <f t="array" ref="EU79">BedPlan[[#This Row],[Harvest Days October 2025]]/SUM(BedPlan[[#This Row],[Harvest Days January 2025]:[Harvest Days December 2026]])*BedPlan[[#This Row],[Yield]:[Yield]]</f>
        <v>56.888888888888886</v>
      </c>
      <c r="EV79" s="33" cm="1">
        <f t="array" ref="EV79">BedPlan[[#This Row],[Harvest Days November 2025]]/SUM(BedPlan[[#This Row],[Harvest Days January 2025]:[Harvest Days December 2026]])*BedPlan[[#This Row],[Yield]:[Yield]]</f>
        <v>0</v>
      </c>
      <c r="EW79" s="33" cm="1">
        <f t="array" ref="EW79">BedPlan[[#This Row],[Harvest Days December 2025]]/SUM(BedPlan[[#This Row],[Harvest Days January 2025]:[Harvest Days December 2026]])*BedPlan[[#This Row],[Yield]:[Yield]]</f>
        <v>0</v>
      </c>
    </row>
    <row r="80" spans="1:153" ht="15.75" customHeight="1">
      <c r="A80" s="179" t="s">
        <v>2607</v>
      </c>
      <c r="B80" t="s">
        <v>2651</v>
      </c>
      <c r="C80" t="s">
        <v>1469</v>
      </c>
      <c r="D80" cm="1">
        <f t="array" ref="D80">INDEX(Crops[],BedPlan[[#This Row],[Chart Index]],D$4,1)*BedPlan[[#This Row],[Full Bed Equivalent]]</f>
        <v>83.274074074074065</v>
      </c>
      <c r="E80" cm="1">
        <f t="array" ref="E80">INDEX(Crops[],BedPlan[[#This Row],[Chart Index]],E$4,1)*BedPlan[[#This Row],[Full Bed Equivalent]]</f>
        <v>356.88888888888886</v>
      </c>
      <c r="F80" t="str">
        <f>UPPER(LEFT(BedPlan[[#This Row],[Crop]],3))</f>
        <v>LET</v>
      </c>
      <c r="H80" s="143" t="str" cm="1">
        <f t="array" ref="H80">INDEX(Crops[],BedPlan[[#This Row],[Chart Index]],H$4,1)</f>
        <v>Lettuce</v>
      </c>
      <c r="I80" t="s">
        <v>2304</v>
      </c>
      <c r="K80" t="str" cm="1">
        <f t="array" ref="K80">IF(ISNUMBER(MATCH(BedPlan[[#This Row],[Variety]],SeedMixes[Name],)),_xlfn.TEXTJOIN(", ",TRUE,_xlfn._xlws.FILTER(SeedMixes[Variety &amp; Company],SeedMixes[Name]=BedPlan[[#This Row],[Variety]])),"")</f>
        <v>Green Sweet Crisp Johnny's, Intercut Johnny's, Red Sweet Crisp Johnny's, Salanova Red Oak Leaf Johnny's</v>
      </c>
      <c r="L80" s="33" cm="1">
        <f t="array" ref="L80">INDEX(Crops[],BedPlan[[#This Row],[Chart Index]],L$4,1)*BedPlan[[#This Row],[Full Bed Equivalent]]</f>
        <v>901.33333333333326</v>
      </c>
      <c r="N80">
        <v>2</v>
      </c>
      <c r="O80">
        <f>MAX(BedPlan[[#This Row],['# Of Beds]],0.5)</f>
        <v>2</v>
      </c>
      <c r="P80" s="31">
        <f>IF(ISNUMBER(BedPlan[[#This Row],[Planned Greenhouse Start Date]]),BedPlan[[#This Row],[Planned Greenhouse Start Date]],BedPlan[[#This Row],[Planned TP or DS Date]])</f>
        <v>45728</v>
      </c>
      <c r="Q80" s="259">
        <f>IF(BedPlan[[#This Row],[Days in Cells]]=0,"",IFERROR(_xlfn.XLOOKUP(BedPlan[[#This Row],[Follows Crop]],BedPlan[Identifier],BedPlan[Expected End of Harvest]) + 1+BedPlan[[#This Row],[Follow Offset]],BedPlan[[#This Row],[Fixed Field Start Date]])-BedPlan[[#This Row],[Days in Cells]])</f>
        <v>45728</v>
      </c>
      <c r="R80" s="259">
        <v>45746</v>
      </c>
      <c r="S80" s="259">
        <f>IF(ISNUMBER(BedPlan[[#This Row],[Actual Greenhouse Date]]),BedPlan[[#This Row],[Actual Greenhouse Date]],BedPlan[[#This Row],[Planned Greenhouse Start Date]])</f>
        <v>45746</v>
      </c>
      <c r="T80" s="259">
        <f>_xlfn.XLOOKUP(BedPlan[[#This Row],[Crop]],Crops[Identifier],Crops[Target Field Date])</f>
        <v>45758</v>
      </c>
      <c r="U80" s="260"/>
      <c r="V80" s="260"/>
      <c r="W8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45776</v>
      </c>
      <c r="X80" s="259">
        <v>45785</v>
      </c>
      <c r="Y80" s="271">
        <f>BedPlan[[#This Row],[Actual TP or DS Date]]-BedPlan[[#This Row],[Planned TP or DS Date]]</f>
        <v>9</v>
      </c>
      <c r="Z80" s="259">
        <f>IF(ISNUMBER(BedPlan[[#This Row],[Actual TP or DS Date]]),BedPlan[[#This Row],[Actual TP or DS Date]],BedPlan[[#This Row],[Planned TP or DS Date]])</f>
        <v>45785</v>
      </c>
      <c r="AA80" s="260"/>
      <c r="AB80" s="259">
        <f>IF(ISNUMBER(BedPlan[[#This Row],[Greenhouse Start Date]]),BedPlan[[#This Row],[Greenhouse Start Date]]+BedPlan[[#This Row],[DTM]],BedPlan[[#This Row],[TP or DS Date]]+BedPlan[[#This Row],[DTM]])</f>
        <v>45831</v>
      </c>
      <c r="AC80" s="259"/>
      <c r="AD80" s="259">
        <f>IF(ISNUMBER(BedPlan[[#This Row],[Actual Beginning of Harvest]]),BedPlan[[#This Row],[Actual Beginning of Harvest]],BedPlan[[#This Row],[Expected Beginning of Harvest]])</f>
        <v>45831</v>
      </c>
      <c r="AE80" s="259">
        <v>45842</v>
      </c>
      <c r="AF80" s="259"/>
      <c r="AG80" s="259"/>
      <c r="AH80" s="31" t="b">
        <f>IF(AND( BedPlan[[#This Row],[Expected End of Harvest]] &gt;= DATE(2025, 8, 1), BedPlan[[#This Row],[Beginning of Harvest]] &lt;= DATE(2025, 8, 31) ), TRUE, FALSE)</f>
        <v>0</v>
      </c>
      <c r="AI80" s="31"/>
      <c r="AJ80" s="31">
        <f>IF(ISNUMBER(BedPlan[[#This Row],[Actual End of Harvest]]),BedPlan[[#This Row],[Actual End of Harvest]],BedPlan[[#This Row],[Expected End of Harvest]])</f>
        <v>45842</v>
      </c>
      <c r="AK80" t="b">
        <f>OR(ISNUMBER(BedPlan[[#This Row],[Actual Greenhouse Date]]),ISNUMBER(BedPlan[[#This Row],[Actual TP or DS Date]]))</f>
        <v>1</v>
      </c>
      <c r="AL80" s="52" t="b">
        <f>IF(ISNUMBER(BedPlan[[#This Row],[Planned Greenhouse Start Date]]),OR(ISNUMBER(BedPlan[[#This Row],[Actual TP or DS Date]]),BedPlan[[#This Row],[Failed]]),"-")</f>
        <v>1</v>
      </c>
      <c r="AM80" t="b">
        <f>OR(ISNUMBER(BedPlan[[#This Row],[Actual End of Harvest]]),BedPlan[[#This Row],[Failed]])</f>
        <v>0</v>
      </c>
      <c r="AN80" t="b">
        <f>OR(BedPlan[[#This Row],[Harvest Done]],BedPlan[[#This Row],[Failed]],BedPlan[[#This Row],[Name]]="Tarp")</f>
        <v>0</v>
      </c>
      <c r="AO80" t="b">
        <v>1</v>
      </c>
      <c r="AP80" t="b">
        <v>1</v>
      </c>
      <c r="AQ80" t="s">
        <v>3214</v>
      </c>
      <c r="AS80" s="26">
        <f>IF(BedPlan[[#This Row],[Broadfork]],BedPlan[[#This Row],[Actual TP or DS Date]],"")</f>
        <v>45785</v>
      </c>
      <c r="AT80" s="26">
        <f>IF(BedPlan[[#This Row],[Tilther]],BedPlan[[#This Row],[Actual TP or DS Date]],"")</f>
        <v>45785</v>
      </c>
      <c r="AU80" s="26">
        <f>IF(NOT(ISBLANK(BedPlan[[#This Row],[Amend]])),BedPlan[[#This Row],[Actual TP or DS Date]],"")</f>
        <v>45785</v>
      </c>
      <c r="AV80" s="26" t="str">
        <f>IF(BedPlan[[#This Row],[Row Cover]],BedPlan[[#This Row],[Actual TP or DS Date]],"")</f>
        <v/>
      </c>
      <c r="AX80" s="26"/>
      <c r="AZ80" s="26"/>
      <c r="BB80" s="26"/>
      <c r="BC80" s="231" cm="1">
        <f t="array" ref="BC80">INDEX(Crops[],BedPlan[[#This Row],[Chart Index]],BC$4,1)*BedPlan[[#This Row],[Full Bed Equivalent]]</f>
        <v>2676.6666666666661</v>
      </c>
      <c r="BD80" s="231" cm="1">
        <f t="array" ref="BD80">INDEX(Crops[],BedPlan[[#This Row],[Chart Index]],BD$4,1)*BedPlan[[#This Row],[Full Bed Equivalent]]</f>
        <v>32.642276422764219</v>
      </c>
      <c r="BE80" cm="1">
        <f t="array" ref="BE80">INDEX(Crops[],BedPlan[[#This Row],[Chart Index]],BE$4,1)+BedPlan[[#This Row],[Additional Days in Cells]]+BedPlan[[#This Row],[Additional Days In Field]]</f>
        <v>85</v>
      </c>
      <c r="BG80" cm="1">
        <f t="array" ref="BG80">INDEX(Crops[],BedPlan[[#This Row],[Chart Index]],BG$4,1)</f>
        <v>27</v>
      </c>
      <c r="BH80" t="str">
        <f>IF(ISNUMBER(BedPlan[[#This Row],[Planned Greenhouse Start Date]]),"TP","DS")</f>
        <v>TP</v>
      </c>
      <c r="BI80">
        <f>BedPlan[[#This Row],['# Of Beds]]</f>
        <v>2</v>
      </c>
      <c r="BJ80" cm="1">
        <f t="array" ref="BJ80">INDEX(Crops[],BedPlan[[#This Row],[Chart Index]],BJ$4,1)</f>
        <v>30</v>
      </c>
      <c r="BK80" cm="1">
        <f t="array" ref="BK80">INDEX(Crops[],BedPlan[[#This Row],[Chart Index]],BK$4,1)</f>
        <v>4</v>
      </c>
      <c r="BL80" cm="1">
        <f t="array" ref="BL80">INDEX(Crops[],BedPlan[[#This Row],[Chart Index]],BL$4,1)</f>
        <v>9</v>
      </c>
      <c r="BM80" cm="1">
        <f t="array" ref="BM80">INDEX(Crops[],BedPlan[[#This Row],[Chart Index]],BM$4,1)</f>
        <v>1</v>
      </c>
      <c r="BN80" s="32" cm="1">
        <f t="array" ref="BN80">INDEX(Crops[],BedPlan[[#This Row],[Chart Index]],BN$4,1)*BedPlan[[#This Row],[Full Bed Equivalent]]</f>
        <v>533.33333333333326</v>
      </c>
      <c r="BO80" t="str" cm="1">
        <f t="array" ref="BO80">IF(INDEX(Crops[],BedPlan[[#This Row],[Chart Index]],BO$4,1)=0,"",INDEX(Crops[],BedPlan[[#This Row],[Chart Index]],BO$4,1))</f>
        <v/>
      </c>
      <c r="BP80">
        <f>MATCH(BedPlan[[#This Row],[Crop]],Crops[Identifier],FALSE)</f>
        <v>191</v>
      </c>
      <c r="BQ80" t="str" cm="1">
        <f t="array" ref="BQ80">INDEX(Crops[],BedPlan[[#This Row],[Chart Index]],BQ$4,1)</f>
        <v>Salanova</v>
      </c>
      <c r="BR80" t="str" cm="1">
        <f t="array" ref="BR80">INDEX(Crops[],BedPlan[[#This Row],[Chart Index]],BR$4,1)</f>
        <v>Sp</v>
      </c>
      <c r="BS80" s="32">
        <f>BedPlan[[#This Row],[Expected Beginning of Harvest]]-DATE(2023,1,1)</f>
        <v>904</v>
      </c>
      <c r="BT80">
        <f>BedPlan[[#This Row],[Expected End of Harvest]]-BedPlan[[#This Row],[Expected Beginning of Harvest]]</f>
        <v>11</v>
      </c>
      <c r="BU80" cm="1">
        <f t="array" ref="BU80">INDEX(Crops[],BedPlan[[#This Row],[Chart Index]],BU$4,1)</f>
        <v>0</v>
      </c>
      <c r="BV80" cm="1">
        <f t="array" ref="BV80">INDEX(Crops[],BedPlan[[#This Row],[Chart Index]],BV$4,1)</f>
        <v>0</v>
      </c>
      <c r="BW80" cm="1">
        <f t="array" ref="BW80">INDEX(Crops[],BedPlan[[#This Row],[Chart Index]],BW$4,1)</f>
        <v>0</v>
      </c>
      <c r="BX80" cm="1">
        <f t="array" ref="BX80">INDEX(Crops[],BedPlan[[#This Row],[Chart Index]],BX$4,1)</f>
        <v>128</v>
      </c>
      <c r="BY80" cm="1">
        <f t="array" ref="BY80">INDEX(Crops[],BedPlan[[#This Row],[Chart Index]],BY$4,1)</f>
        <v>30</v>
      </c>
      <c r="BZ80" s="49" cm="1">
        <f t="array" ref="BZ80">IFERROR(INDEX(Crops[],BedPlan[[#This Row],[Chart Index]],BZ$4,1)*BedPlan[[#This Row],[Full Bed Equivalent]],"")</f>
        <v>5.4166666666666661</v>
      </c>
      <c r="CA80" cm="1">
        <f t="array" ref="CA80">INDEX(Crops[],BedPlan[[#This Row],[Chart Index]],CA$4,1)</f>
        <v>0</v>
      </c>
      <c r="CB80" cm="1">
        <f t="array" ref="CB80">INDEX(Crops[],BedPlan[[#This Row],[Chart Index]],CB$4,1)</f>
        <v>0</v>
      </c>
      <c r="CC80" s="49" t="str" cm="1">
        <f t="array" ref="CC80">IFERROR(INDEX(Crops[],BedPlan[[#This Row],[Chart Index]],CC$4,1)*BedPlan[[#This Row],[Full Bed Equivalent]],"")</f>
        <v/>
      </c>
      <c r="CD80" cm="1">
        <f t="array" ref="CD80">INDEX(Crops[],BedPlan[[#This Row],[Chart Index]],CD$4,1)</f>
        <v>0</v>
      </c>
      <c r="CE80" cm="1">
        <f t="array" ref="CE80">IF(INDEX(Crops[],BedPlan[[#This Row],[Chart Index]],CE$4,1)="",0,INDEX(Crops[],BedPlan[[#This Row],[Chart Index]],CE$4,1))</f>
        <v>0</v>
      </c>
      <c r="CF80" s="49" t="str" cm="1">
        <f t="array" ref="CF80">IFERROR(INDEX(Crops[],BedPlan[[#This Row],[Chart Index]],CF$4,1)*BedPlan[[#This Row],[Full Bed Equivalent]],"")</f>
        <v/>
      </c>
      <c r="CG80" cm="1">
        <f t="array" ref="CG80">IF(INDEX(Crops[],BedPlan[[#This Row],[Chart Index]],CG$4,1)="",0,INDEX(Crops[],BedPlan[[#This Row],[Chart Index]],CG$4,1))</f>
        <v>1.3</v>
      </c>
      <c r="CH80" cm="1">
        <f t="array" ref="CH80">IF(INDEX(Crops[],BedPlan[[#This Row],[Chart Index]],CH$4,1)="",0,INDEX(Crops[],BedPlan[[#This Row],[Chart Index]],CH$4,1))</f>
        <v>0</v>
      </c>
      <c r="CI80" t="str" cm="1">
        <f t="array" ref="CI80">INDEX(Crops[],BedPlan[[#This Row],[Chart Index]],CI$4,1)</f>
        <v>Field</v>
      </c>
      <c r="CJ80" s="30" t="str">
        <f>_xlfn.TEXTJOIN(CHAR(10),FALSE,BedPlan[[#This Row],[Name]],BedPlan[[#This Row],[Variety]],BedPlan[[#This Row],[Company]])</f>
        <v xml:space="preserve">Lettuce
Salanova Mix
</v>
      </c>
      <c r="CK80" s="32">
        <f>MAX( 0, MIN(BedPlan[[#This Row],[Expected End of Harvest]], EOMONTH(CK$4, 0)) - MAX(BedPlan[[#This Row],[Beginning of Harvest]], CK$4) + 1 )</f>
        <v>0</v>
      </c>
      <c r="CL80">
        <f>MAX( 0, MIN(BedPlan[[#This Row],[Expected End of Harvest]], EOMONTH(CL$4, 0)) - MAX(BedPlan[[#This Row],[Beginning of Harvest]], CL$4) + 1 )</f>
        <v>0</v>
      </c>
      <c r="CM80">
        <f>MAX( 0, MIN(BedPlan[[#This Row],[Expected End of Harvest]], EOMONTH(CM$4, 0)) - MAX(BedPlan[[#This Row],[Beginning of Harvest]], CM$4) + 1 )</f>
        <v>0</v>
      </c>
      <c r="CN80">
        <f>MAX( 0, MIN(BedPlan[[#This Row],[Expected End of Harvest]], EOMONTH(CN$4, 0)) - MAX(BedPlan[[#This Row],[Beginning of Harvest]], CN$4) + 1 )</f>
        <v>0</v>
      </c>
      <c r="CO80">
        <f>MAX( 0, MIN(BedPlan[[#This Row],[Expected End of Harvest]], EOMONTH(CO$4, 0)) - MAX(BedPlan[[#This Row],[Beginning of Harvest]], CO$4) + 1 )</f>
        <v>0</v>
      </c>
      <c r="CP80">
        <f>MAX( 0, MIN(BedPlan[[#This Row],[Expected End of Harvest]], EOMONTH(CP$4, 0)) - MAX(BedPlan[[#This Row],[Beginning of Harvest]], CP$4) + 1 )</f>
        <v>8</v>
      </c>
      <c r="CQ80">
        <f>MAX( 0, MIN(BedPlan[[#This Row],[Expected End of Harvest]], EOMONTH(CQ$4, 0)) - MAX(BedPlan[[#This Row],[Beginning of Harvest]], CQ$4) + 1 )</f>
        <v>4</v>
      </c>
      <c r="CR80">
        <f>MAX( 0, MIN(BedPlan[[#This Row],[Expected End of Harvest]], EOMONTH(CR$4, 0)) - MAX(BedPlan[[#This Row],[Beginning of Harvest]], CR$4) + 1 )</f>
        <v>0</v>
      </c>
      <c r="CS80">
        <f>MAX( 0, MIN(BedPlan[[#This Row],[Expected End of Harvest]], EOMONTH(CS$4, 0)) - MAX(BedPlan[[#This Row],[Beginning of Harvest]], CS$4) + 1 )</f>
        <v>0</v>
      </c>
      <c r="CT80">
        <f>MAX( 0, MIN(BedPlan[[#This Row],[Expected End of Harvest]], EOMONTH(CT$4, 0)) - MAX(BedPlan[[#This Row],[Beginning of Harvest]], CT$4) + 1 )</f>
        <v>0</v>
      </c>
      <c r="CU80">
        <f>MAX( 0, MIN(BedPlan[[#This Row],[Expected End of Harvest]], EOMONTH(CU$4, 0)) - MAX(BedPlan[[#This Row],[Beginning of Harvest]], CU$4) + 1 )</f>
        <v>0</v>
      </c>
      <c r="CV80">
        <f>MAX( 0, MIN(BedPlan[[#This Row],[Expected End of Harvest]], EOMONTH(CV$4, 0)) - MAX(BedPlan[[#This Row],[Beginning of Harvest]], CV$4) + 1 )</f>
        <v>0</v>
      </c>
      <c r="CW80">
        <f>MAX( 0, MIN(BedPlan[[#This Row],[Expected End of Harvest]], EOMONTH(CW$4, 0)) - MAX(BedPlan[[#This Row],[Beginning of Harvest]], CW$4) + 1 )</f>
        <v>0</v>
      </c>
      <c r="CX80">
        <f>MAX( 0, MIN(BedPlan[[#This Row],[Expected End of Harvest]], EOMONTH(CX$4, 0)) - MAX(BedPlan[[#This Row],[Beginning of Harvest]], CX$4) + 1 )</f>
        <v>0</v>
      </c>
      <c r="CY80">
        <f>MAX( 0, MIN(BedPlan[[#This Row],[Expected End of Harvest]], EOMONTH(CY$4, 0)) - MAX(BedPlan[[#This Row],[Beginning of Harvest]], CY$4) + 1 )</f>
        <v>0</v>
      </c>
      <c r="CZ80">
        <f>MAX( 0, MIN(BedPlan[[#This Row],[Expected End of Harvest]], EOMONTH(CZ$4, 0)) - MAX(BedPlan[[#This Row],[Beginning of Harvest]], CZ$4) + 1 )</f>
        <v>0</v>
      </c>
      <c r="DA80">
        <f>MAX( 0, MIN(BedPlan[[#This Row],[Expected End of Harvest]], EOMONTH(DA$4, 0)) - MAX(BedPlan[[#This Row],[Beginning of Harvest]], DA$4) + 1 )</f>
        <v>0</v>
      </c>
      <c r="DB80">
        <f>MAX( 0, MIN(BedPlan[[#This Row],[Expected End of Harvest]], EOMONTH(DB$4, 0)) - MAX(BedPlan[[#This Row],[Beginning of Harvest]], DB$4) + 1 )</f>
        <v>0</v>
      </c>
      <c r="DC80">
        <f>MAX( 0, MIN(BedPlan[[#This Row],[Expected End of Harvest]], EOMONTH(DC$4, 0)) - MAX(BedPlan[[#This Row],[Beginning of Harvest]], DC$4) + 1 )</f>
        <v>0</v>
      </c>
      <c r="DD80">
        <f>MAX( 0, MIN(BedPlan[[#This Row],[Expected End of Harvest]], EOMONTH(DD$4, 0)) - MAX(BedPlan[[#This Row],[Beginning of Harvest]], DD$4) + 1 )</f>
        <v>0</v>
      </c>
      <c r="DE80">
        <f>MAX( 0, MIN(BedPlan[[#This Row],[Expected End of Harvest]], EOMONTH(DE$4, 0)) - MAX(BedPlan[[#This Row],[Beginning of Harvest]], DE$4) + 1 )</f>
        <v>0</v>
      </c>
      <c r="DF80">
        <f>MAX( 0, MIN(BedPlan[[#This Row],[Expected End of Harvest]], EOMONTH(DF$4, 0)) - MAX(BedPlan[[#This Row],[Beginning of Harvest]], DF$4) + 1 )</f>
        <v>0</v>
      </c>
      <c r="DG80">
        <f>MAX( 0, MIN(BedPlan[[#This Row],[Expected End of Harvest]], EOMONTH(DG$4, 0)) - MAX(BedPlan[[#This Row],[Beginning of Harvest]], DG$4) + 1 )</f>
        <v>0</v>
      </c>
      <c r="DH80">
        <f>MAX( 0, MIN(BedPlan[[#This Row],[Expected End of Harvest]], EOMONTH(DH$4, 0)) - MAX(BedPlan[[#This Row],[Beginning of Harvest]], DH$4) + 1 )</f>
        <v>0</v>
      </c>
      <c r="DI80" s="257" cm="1">
        <f t="array" ref="DI80">BedPlan[[#This Row],[Harvest Days January 2025]]/SUM(BedPlan[[#This Row],[Harvest Days January 2025]:[Harvest Days December 2026]])*BedPlan[[#This Row],[Revenue]:[Revenue]]</f>
        <v>0</v>
      </c>
      <c r="DJ80" s="257" cm="1">
        <f t="array" ref="DJ80">BedPlan[[#This Row],[Harvest Days February 2025]]/SUM(BedPlan[[#This Row],[Harvest Days January 2025]:[Harvest Days December 2026]])*BedPlan[[#This Row],[Revenue]:[Revenue]]</f>
        <v>0</v>
      </c>
      <c r="DK80" s="257" cm="1">
        <f t="array" ref="DK80">BedPlan[[#This Row],[Harvest Days March 2025]]/SUM(BedPlan[[#This Row],[Harvest Days January 2025]:[Harvest Days December 2026]])*BedPlan[[#This Row],[Revenue]:[Revenue]]</f>
        <v>0</v>
      </c>
      <c r="DL80" s="257" cm="1">
        <f t="array" ref="DL80">BedPlan[[#This Row],[Harvest Days April 2025]]/SUM(BedPlan[[#This Row],[Harvest Days January 2025]:[Harvest Days December 2026]])*BedPlan[[#This Row],[Revenue]:[Revenue]]</f>
        <v>0</v>
      </c>
      <c r="DM80" s="257" cm="1">
        <f t="array" ref="DM80">BedPlan[[#This Row],[Harvest Days May 2025]]/SUM(BedPlan[[#This Row],[Harvest Days January 2025]:[Harvest Days December 2026]])*BedPlan[[#This Row],[Revenue]:[Revenue]]</f>
        <v>0</v>
      </c>
      <c r="DN80" s="257" cm="1">
        <f t="array" ref="DN80">BedPlan[[#This Row],[Harvest Days June 2025]]/SUM(BedPlan[[#This Row],[Harvest Days January 2025]:[Harvest Days December 2026]])*BedPlan[[#This Row],[Revenue]:[Revenue]]</f>
        <v>1784.4444444444439</v>
      </c>
      <c r="DO80" s="257" cm="1">
        <f t="array" ref="DO80">BedPlan[[#This Row],[Harvest Days July 2025]]/SUM(BedPlan[[#This Row],[Harvest Days January 2025]:[Harvest Days December 2026]])*BedPlan[[#This Row],[Revenue]:[Revenue]]</f>
        <v>892.22222222222194</v>
      </c>
      <c r="DP80" s="257" cm="1">
        <f t="array" ref="DP80">BedPlan[[#This Row],[Harvest Days August 2025]]/SUM(BedPlan[[#This Row],[Harvest Days January 2025]:[Harvest Days December 2026]])*BedPlan[[#This Row],[Revenue]:[Revenue]]</f>
        <v>0</v>
      </c>
      <c r="DQ80" s="257" cm="1">
        <f t="array" ref="DQ80">BedPlan[[#This Row],[Harvest Days September 2025]]/SUM(BedPlan[[#This Row],[Harvest Days January 2025]:[Harvest Days December 2026]])*BedPlan[[#This Row],[Revenue]:[Revenue]]</f>
        <v>0</v>
      </c>
      <c r="DR80" s="257" cm="1">
        <f t="array" ref="DR80">BedPlan[[#This Row],[Harvest Days October 2025]]/SUM(BedPlan[[#This Row],[Harvest Days January 2025]:[Harvest Days December 2026]])*BedPlan[[#This Row],[Revenue]:[Revenue]]</f>
        <v>0</v>
      </c>
      <c r="DS80" s="257" cm="1">
        <f t="array" ref="DS80">BedPlan[[#This Row],[Harvest Days November 2025]]/SUM(BedPlan[[#This Row],[Harvest Days January 2025]:[Harvest Days December 2026]])*BedPlan[[#This Row],[Revenue]:[Revenue]]</f>
        <v>0</v>
      </c>
      <c r="DT80" s="257" cm="1">
        <f t="array" ref="DT80">BedPlan[[#This Row],[Harvest Days December 2025]]/SUM(BedPlan[[#This Row],[Harvest Days January 2025]:[Harvest Days December 2026]])*BedPlan[[#This Row],[Revenue]:[Revenue]]</f>
        <v>0</v>
      </c>
      <c r="DU80" s="257" cm="1">
        <f t="array" ref="DU80">BedPlan[[#This Row],[Harvest Days January 2026]]/SUM(BedPlan[[#This Row],[Harvest Days January 2025]:[Harvest Days December 2026]])*BedPlan[[#This Row],[Revenue]:[Revenue]]</f>
        <v>0</v>
      </c>
      <c r="DV80" s="257" cm="1">
        <f t="array" ref="DV80">BedPlan[[#This Row],[Harvest Days February 2026]]/SUM(BedPlan[[#This Row],[Harvest Days January 2025]:[Harvest Days December 2026]])*BedPlan[[#This Row],[Revenue]:[Revenue]]</f>
        <v>0</v>
      </c>
      <c r="DW80" s="257" cm="1">
        <f t="array" ref="DW80">BedPlan[[#This Row],[Harvest Days March 2026]]/SUM(BedPlan[[#This Row],[Harvest Days January 2025]:[Harvest Days December 2026]])*BedPlan[[#This Row],[Revenue]:[Revenue]]</f>
        <v>0</v>
      </c>
      <c r="DX80" s="257" cm="1">
        <f t="array" ref="DX80">BedPlan[[#This Row],[Harvest Days April 2026]]/SUM(BedPlan[[#This Row],[Harvest Days January 2025]:[Harvest Days December 2026]])*BedPlan[[#This Row],[Revenue]:[Revenue]]</f>
        <v>0</v>
      </c>
      <c r="DY80" s="257" cm="1">
        <f t="array" ref="DY80">BedPlan[[#This Row],[Harvest Days May 2026]]/SUM(BedPlan[[#This Row],[Harvest Days January 2025]:[Harvest Days December 2026]])*BedPlan[[#This Row],[Revenue]:[Revenue]]</f>
        <v>0</v>
      </c>
      <c r="DZ80" s="257" cm="1">
        <f t="array" ref="DZ80">BedPlan[[#This Row],[Harvest Days June 2026]]/SUM(BedPlan[[#This Row],[Harvest Days January 2025]:[Harvest Days December 2026]])*BedPlan[[#This Row],[Revenue]:[Revenue]]</f>
        <v>0</v>
      </c>
      <c r="EA80" s="257" cm="1">
        <f t="array" ref="EA80">BedPlan[[#This Row],[Harvest Days July 2026]]/SUM(BedPlan[[#This Row],[Harvest Days January 2025]:[Harvest Days December 2026]])*BedPlan[[#This Row],[Revenue]:[Revenue]]</f>
        <v>0</v>
      </c>
      <c r="EB80" s="257" cm="1">
        <f t="array" ref="EB80">BedPlan[[#This Row],[Harvest Days August 2026]]/SUM(BedPlan[[#This Row],[Harvest Days January 2025]:[Harvest Days December 2026]])*BedPlan[[#This Row],[Revenue]:[Revenue]]</f>
        <v>0</v>
      </c>
      <c r="EC80" s="257" cm="1">
        <f t="array" ref="EC80">BedPlan[[#This Row],[Harvest Days September 2026]]/SUM(BedPlan[[#This Row],[Harvest Days January 2025]:[Harvest Days December 2026]])*BedPlan[[#This Row],[Revenue]:[Revenue]]</f>
        <v>0</v>
      </c>
      <c r="ED80" s="257" cm="1">
        <f t="array" ref="ED80">BedPlan[[#This Row],[Harvest Days October 2026]]/SUM(BedPlan[[#This Row],[Harvest Days January 2025]:[Harvest Days December 2026]])*BedPlan[[#This Row],[Revenue]:[Revenue]]</f>
        <v>0</v>
      </c>
      <c r="EE80" s="257" cm="1">
        <f t="array" ref="EE80">BedPlan[[#This Row],[Harvest Days November 2026]]/SUM(BedPlan[[#This Row],[Harvest Days January 2025]:[Harvest Days December 2026]])*BedPlan[[#This Row],[Revenue]:[Revenue]]</f>
        <v>0</v>
      </c>
      <c r="EF80" s="257" cm="1">
        <f t="array" ref="EF80">BedPlan[[#This Row],[Harvest Days December 2026]]/SUM(BedPlan[[#This Row],[Harvest Days January 2025]:[Harvest Days December 2026]])*BedPlan[[#This Row],[Revenue]:[Revenue]]</f>
        <v>0</v>
      </c>
      <c r="EG80" t="b">
        <f>SUM(BedPlan[[#This Row],[Revenue January 2025]:[Revenue December 2026]])=BedPlan[[#This Row],[Revenue]]</f>
        <v>1</v>
      </c>
      <c r="EH80" s="30" cm="1">
        <f t="array" ref="EH80">INDEX(Crops[],BedPlan[[#This Row],[Chart Index]],EH$4,1)*BedPlan[[#This Row],['# Of Beds]]</f>
        <v>267.66666666666663</v>
      </c>
      <c r="EI80" s="30" t="str" cm="1">
        <f t="array" ref="EI80">INDEX(Crops[],BedPlan[[#This Row],[Chart Index]],EI$4,1)</f>
        <v>Lb</v>
      </c>
      <c r="EJ80" s="30" t="str" cm="1">
        <f t="array" ref="EJ80">INDEX(Crops[],BedPlan[[#This Row],[Chart Index]],EJ$4,1)</f>
        <v>Loose Leaf</v>
      </c>
      <c r="EK80" s="30" t="str">
        <f>BedPlan[[#This Row],[Name]]&amp;" "&amp;BedPlan[[#This Row],[Product]]&amp; " - " &amp;BedPlan[[#This Row],[Unit]]</f>
        <v>Lettuce Loose Leaf - Lb</v>
      </c>
      <c r="EL80" s="33" cm="1">
        <f t="array" ref="EL80">BedPlan[[#This Row],[Harvest Days January 2025]]/SUM(BedPlan[[#This Row],[Harvest Days January 2025]:[Harvest Days December 2026]])*BedPlan[[#This Row],[Yield]:[Yield]]</f>
        <v>0</v>
      </c>
      <c r="EM80" s="33" cm="1">
        <f t="array" ref="EM80">BedPlan[[#This Row],[Harvest Days February 2025]]/SUM(BedPlan[[#This Row],[Harvest Days January 2025]:[Harvest Days December 2026]])*BedPlan[[#This Row],[Yield]:[Yield]]</f>
        <v>0</v>
      </c>
      <c r="EN80" s="33" cm="1">
        <f t="array" ref="EN80">BedPlan[[#This Row],[Harvest Days March 2025]]/SUM(BedPlan[[#This Row],[Harvest Days January 2025]:[Harvest Days December 2026]])*BedPlan[[#This Row],[Yield]:[Yield]]</f>
        <v>0</v>
      </c>
      <c r="EO80" s="33" cm="1">
        <f t="array" ref="EO80">BedPlan[[#This Row],[Harvest Days April 2025]]/SUM(BedPlan[[#This Row],[Harvest Days January 2025]:[Harvest Days December 2026]])*BedPlan[[#This Row],[Yield]:[Yield]]</f>
        <v>0</v>
      </c>
      <c r="EP80" s="33" cm="1">
        <f t="array" ref="EP80">BedPlan[[#This Row],[Harvest Days May 2025]]/SUM(BedPlan[[#This Row],[Harvest Days January 2025]:[Harvest Days December 2026]])*BedPlan[[#This Row],[Yield]:[Yield]]</f>
        <v>0</v>
      </c>
      <c r="EQ80" s="33" cm="1">
        <f t="array" ref="EQ80">BedPlan[[#This Row],[Harvest Days June 2025]]/SUM(BedPlan[[#This Row],[Harvest Days January 2025]:[Harvest Days December 2026]])*BedPlan[[#This Row],[Yield]:[Yield]]</f>
        <v>178.4444444444444</v>
      </c>
      <c r="ER80" s="33" cm="1">
        <f t="array" ref="ER80">BedPlan[[#This Row],[Harvest Days July 2025]]/SUM(BedPlan[[#This Row],[Harvest Days January 2025]:[Harvest Days December 2026]])*BedPlan[[#This Row],[Yield]:[Yield]]</f>
        <v>89.2222222222222</v>
      </c>
      <c r="ES80" s="33" cm="1">
        <f t="array" ref="ES80">BedPlan[[#This Row],[Harvest Days August 2025]]/SUM(BedPlan[[#This Row],[Harvest Days January 2025]:[Harvest Days December 2026]])*BedPlan[[#This Row],[Yield]:[Yield]]</f>
        <v>0</v>
      </c>
      <c r="ET80" s="33" cm="1">
        <f t="array" ref="ET80">BedPlan[[#This Row],[Harvest Days September 2025]]/SUM(BedPlan[[#This Row],[Harvest Days January 2025]:[Harvest Days December 2026]])*BedPlan[[#This Row],[Yield]:[Yield]]</f>
        <v>0</v>
      </c>
      <c r="EU80" s="33" cm="1">
        <f t="array" ref="EU80">BedPlan[[#This Row],[Harvest Days October 2025]]/SUM(BedPlan[[#This Row],[Harvest Days January 2025]:[Harvest Days December 2026]])*BedPlan[[#This Row],[Yield]:[Yield]]</f>
        <v>0</v>
      </c>
      <c r="EV80" s="33" cm="1">
        <f t="array" ref="EV80">BedPlan[[#This Row],[Harvest Days November 2025]]/SUM(BedPlan[[#This Row],[Harvest Days January 2025]:[Harvest Days December 2026]])*BedPlan[[#This Row],[Yield]:[Yield]]</f>
        <v>0</v>
      </c>
      <c r="EW80" s="33" cm="1">
        <f t="array" ref="EW80">BedPlan[[#This Row],[Harvest Days December 2025]]/SUM(BedPlan[[#This Row],[Harvest Days January 2025]:[Harvest Days December 2026]])*BedPlan[[#This Row],[Yield]:[Yield]]</f>
        <v>0</v>
      </c>
    </row>
    <row r="81" spans="1:153" ht="15.75" customHeight="1">
      <c r="A81" s="179" t="s">
        <v>2303</v>
      </c>
      <c r="B81" s="240" t="s">
        <v>2766</v>
      </c>
      <c r="C81" t="s">
        <v>1476</v>
      </c>
      <c r="D81" s="226" cm="1">
        <f t="array" ref="D81">INDEX(Crops[],BedPlan[[#This Row],[Chart Index]],D$4,1)*BedPlan[[#This Row],[Full Bed Equivalent]]</f>
        <v>41.714814814814808</v>
      </c>
      <c r="E81" s="226" cm="1">
        <f t="array" ref="E81">INDEX(Crops[],BedPlan[[#This Row],[Chart Index]],E$4,1)*BedPlan[[#This Row],[Full Bed Equivalent]]</f>
        <v>178.77777777777774</v>
      </c>
      <c r="F81" t="str">
        <f>UPPER(LEFT(BedPlan[[#This Row],[Crop]],3))</f>
        <v>LET</v>
      </c>
      <c r="H81" s="143" t="str" cm="1">
        <f t="array" ref="H81">INDEX(Crops[],BedPlan[[#This Row],[Chart Index]],H$4,1)</f>
        <v>Lettuce</v>
      </c>
      <c r="I81" t="s">
        <v>2304</v>
      </c>
      <c r="K81" t="str" cm="1">
        <f t="array" ref="K81">IF(ISNUMBER(MATCH(BedPlan[[#This Row],[Variety]],SeedMixes[Name],)),_xlfn.TEXTJOIN(", ",TRUE,_xlfn._xlws.FILTER(SeedMixes[Variety &amp; Company],SeedMixes[Name]=BedPlan[[#This Row],[Variety]])),"")</f>
        <v>Green Sweet Crisp Johnny's, Intercut Johnny's, Red Sweet Crisp Johnny's, Salanova Red Oak Leaf Johnny's</v>
      </c>
      <c r="L81" s="33" cm="1">
        <f t="array" ref="L81">INDEX(Crops[],BedPlan[[#This Row],[Chart Index]],L$4,1)*BedPlan[[#This Row],[Full Bed Equivalent]]</f>
        <v>450.66666666666663</v>
      </c>
      <c r="N81">
        <f>1</f>
        <v>1</v>
      </c>
      <c r="O81">
        <f>MAX(BedPlan[[#This Row],['# Of Beds]],0.5)</f>
        <v>1</v>
      </c>
      <c r="P81" s="31">
        <f>IF(ISNUMBER(BedPlan[[#This Row],[Planned Greenhouse Start Date]]),BedPlan[[#This Row],[Planned Greenhouse Start Date]],BedPlan[[#This Row],[Planned TP or DS Date]])</f>
        <v>45748</v>
      </c>
      <c r="Q81" s="259">
        <f>IF(BedPlan[[#This Row],[Days in Cells]]=0,"",IFERROR(_xlfn.XLOOKUP(BedPlan[[#This Row],[Follows Crop]],BedPlan[Identifier],BedPlan[Expected End of Harvest]) + 1+BedPlan[[#This Row],[Follow Offset]],BedPlan[[#This Row],[Fixed Field Start Date]])-BedPlan[[#This Row],[Days in Cells]])</f>
        <v>45748</v>
      </c>
      <c r="R81" s="259">
        <v>45763</v>
      </c>
      <c r="S81" s="259">
        <f>IF(ISNUMBER(BedPlan[[#This Row],[Actual Greenhouse Date]]),BedPlan[[#This Row],[Actual Greenhouse Date]],BedPlan[[#This Row],[Planned Greenhouse Start Date]])</f>
        <v>45763</v>
      </c>
      <c r="T81" s="259">
        <f>_xlfn.XLOOKUP(BedPlan[[#This Row],[Crop]],Crops[Identifier],Crops[Target Field Date])</f>
        <v>45778</v>
      </c>
      <c r="U81" s="260"/>
      <c r="V81" s="260"/>
      <c r="W8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81" s="259">
        <v>45789</v>
      </c>
      <c r="Y81" s="271">
        <f>BedPlan[[#This Row],[Actual TP or DS Date]]-BedPlan[[#This Row],[Planned TP or DS Date]]</f>
        <v>-4</v>
      </c>
      <c r="Z81" s="259">
        <f>IF(ISNUMBER(BedPlan[[#This Row],[Actual TP or DS Date]]),BedPlan[[#This Row],[Actual TP or DS Date]],BedPlan[[#This Row],[Planned TP or DS Date]])</f>
        <v>45789</v>
      </c>
      <c r="AA81" s="259"/>
      <c r="AB81" s="259">
        <f>IF(ISNUMBER(BedPlan[[#This Row],[Greenhouse Start Date]]),BedPlan[[#This Row],[Greenhouse Start Date]]+BedPlan[[#This Row],[DTM]],BedPlan[[#This Row],[TP or DS Date]]+BedPlan[[#This Row],[DTM]])</f>
        <v>45833</v>
      </c>
      <c r="AC81" s="259"/>
      <c r="AD81" s="259">
        <f>IF(ISNUMBER(BedPlan[[#This Row],[Actual Beginning of Harvest]]),BedPlan[[#This Row],[Actual Beginning of Harvest]],BedPlan[[#This Row],[Expected Beginning of Harvest]])</f>
        <v>45833</v>
      </c>
      <c r="AE81" s="259">
        <f>BedPlan[[#This Row],[Expected Beginning of Harvest]]+BedPlan[[#This Row],[Harvest Window]]+BedPlan[[#This Row],[Additional Days of Harvest]]</f>
        <v>45860</v>
      </c>
      <c r="AF81" s="259"/>
      <c r="AG81" s="259"/>
      <c r="AH81" s="31" t="b">
        <f>IF(AND( BedPlan[[#This Row],[Expected End of Harvest]] &gt;= DATE(2025, 8, 1), BedPlan[[#This Row],[Beginning of Harvest]] &lt;= DATE(2025, 8, 31) ), TRUE, FALSE)</f>
        <v>0</v>
      </c>
      <c r="AI81" s="31"/>
      <c r="AJ81" s="31">
        <f>IF(ISNUMBER(BedPlan[[#This Row],[Actual End of Harvest]]),BedPlan[[#This Row],[Actual End of Harvest]],BedPlan[[#This Row],[Expected End of Harvest]])</f>
        <v>45860</v>
      </c>
      <c r="AK81" t="b">
        <f>OR(ISNUMBER(BedPlan[[#This Row],[Actual Greenhouse Date]]),ISNUMBER(BedPlan[[#This Row],[Actual TP or DS Date]]))</f>
        <v>1</v>
      </c>
      <c r="AL81" s="52" t="b">
        <f>IF(ISNUMBER(BedPlan[[#This Row],[Planned Greenhouse Start Date]]),OR(ISNUMBER(BedPlan[[#This Row],[Actual TP or DS Date]]),BedPlan[[#This Row],[Failed]]),"-")</f>
        <v>1</v>
      </c>
      <c r="AM81" t="b">
        <f>OR(ISNUMBER(BedPlan[[#This Row],[Actual End of Harvest]]),BedPlan[[#This Row],[Failed]])</f>
        <v>0</v>
      </c>
      <c r="AN81" t="b">
        <f>OR(BedPlan[[#This Row],[Harvest Done]],BedPlan[[#This Row],[Failed]],BedPlan[[#This Row],[Name]]="Tarp")</f>
        <v>0</v>
      </c>
      <c r="AO81" t="b">
        <v>1</v>
      </c>
      <c r="AP81" t="b">
        <v>1</v>
      </c>
      <c r="AQ81" t="s">
        <v>3214</v>
      </c>
      <c r="AS81" s="26">
        <f>IF(BedPlan[[#This Row],[Broadfork]],BedPlan[[#This Row],[Actual TP or DS Date]],"")</f>
        <v>45789</v>
      </c>
      <c r="AT81" s="26">
        <f>IF(BedPlan[[#This Row],[Tilther]],BedPlan[[#This Row],[Actual TP or DS Date]],"")</f>
        <v>45789</v>
      </c>
      <c r="AU81" s="26">
        <f>IF(NOT(ISBLANK(BedPlan[[#This Row],[Amend]])),BedPlan[[#This Row],[Actual TP or DS Date]],"")</f>
        <v>45789</v>
      </c>
      <c r="AV81" s="26" t="str">
        <f>IF(BedPlan[[#This Row],[Row Cover]],BedPlan[[#This Row],[Actual TP or DS Date]],"")</f>
        <v/>
      </c>
      <c r="AX81" s="26"/>
      <c r="AZ81" s="26"/>
      <c r="BB81" s="26"/>
      <c r="BC81" s="231" cm="1">
        <f t="array" ref="BC81">INDEX(Crops[],BedPlan[[#This Row],[Chart Index]],BC$4,1)*BedPlan[[#This Row],[Full Bed Equivalent]]</f>
        <v>1340.833333333333</v>
      </c>
      <c r="BD81" s="231" cm="1">
        <f t="array" ref="BD81">INDEX(Crops[],BedPlan[[#This Row],[Chart Index]],BD$4,1)*BedPlan[[#This Row],[Full Bed Equivalent]]</f>
        <v>20.012437810945269</v>
      </c>
      <c r="BE81" cm="1">
        <f t="array" ref="BE81">INDEX(Crops[],BedPlan[[#This Row],[Chart Index]],BE$4,1)+BedPlan[[#This Row],[Additional Days in Cells]]+BedPlan[[#This Row],[Additional Days In Field]]</f>
        <v>70</v>
      </c>
      <c r="BG81" cm="1">
        <f t="array" ref="BG81">INDEX(Crops[],BedPlan[[#This Row],[Chart Index]],BG$4,1)</f>
        <v>27</v>
      </c>
      <c r="BH81" t="str">
        <f>IF(ISNUMBER(BedPlan[[#This Row],[Planned Greenhouse Start Date]]),"TP","DS")</f>
        <v>TP</v>
      </c>
      <c r="BI81">
        <f>BedPlan[[#This Row],['# Of Beds]]</f>
        <v>1</v>
      </c>
      <c r="BJ81" cm="1">
        <f t="array" ref="BJ81">INDEX(Crops[],BedPlan[[#This Row],[Chart Index]],BJ$4,1)</f>
        <v>30</v>
      </c>
      <c r="BK81" cm="1">
        <f t="array" ref="BK81">INDEX(Crops[],BedPlan[[#This Row],[Chart Index]],BK$4,1)</f>
        <v>4</v>
      </c>
      <c r="BL81" cm="1">
        <f t="array" ref="BL81">INDEX(Crops[],BedPlan[[#This Row],[Chart Index]],BL$4,1)</f>
        <v>9</v>
      </c>
      <c r="BM81" cm="1">
        <f t="array" ref="BM81">INDEX(Crops[],BedPlan[[#This Row],[Chart Index]],BM$4,1)</f>
        <v>1</v>
      </c>
      <c r="BN81" s="32" cm="1">
        <f t="array" ref="BN81">INDEX(Crops[],BedPlan[[#This Row],[Chart Index]],BN$4,1)*BedPlan[[#This Row],[Full Bed Equivalent]]</f>
        <v>266.66666666666663</v>
      </c>
      <c r="BO81" t="str" cm="1">
        <f t="array" ref="BO81">IF(INDEX(Crops[],BedPlan[[#This Row],[Chart Index]],BO$4,1)=0,"",INDEX(Crops[],BedPlan[[#This Row],[Chart Index]],BO$4,1))</f>
        <v/>
      </c>
      <c r="BP81">
        <f>MATCH(BedPlan[[#This Row],[Crop]],Crops[Identifier],FALSE)</f>
        <v>192</v>
      </c>
      <c r="BQ81" t="str" cm="1">
        <f t="array" ref="BQ81">INDEX(Crops[],BedPlan[[#This Row],[Chart Index]],BQ$4,1)</f>
        <v>Salanova</v>
      </c>
      <c r="BR81" t="str" cm="1">
        <f t="array" ref="BR81">INDEX(Crops[],BedPlan[[#This Row],[Chart Index]],BR$4,1)</f>
        <v>SuFa</v>
      </c>
      <c r="BS81" s="32">
        <f>BedPlan[[#This Row],[Expected Beginning of Harvest]]-DATE(2023,1,1)</f>
        <v>906</v>
      </c>
      <c r="BT81">
        <f>BedPlan[[#This Row],[Expected End of Harvest]]-BedPlan[[#This Row],[Expected Beginning of Harvest]]</f>
        <v>27</v>
      </c>
      <c r="BU81" cm="1">
        <f t="array" ref="BU81">INDEX(Crops[],BedPlan[[#This Row],[Chart Index]],BU$4,1)</f>
        <v>0</v>
      </c>
      <c r="BV81" cm="1">
        <f t="array" ref="BV81">INDEX(Crops[],BedPlan[[#This Row],[Chart Index]],BV$4,1)</f>
        <v>0</v>
      </c>
      <c r="BW81" cm="1">
        <f t="array" ref="BW81">INDEX(Crops[],BedPlan[[#This Row],[Chart Index]],BW$4,1)</f>
        <v>0</v>
      </c>
      <c r="BX81" cm="1">
        <f t="array" ref="BX81">INDEX(Crops[],BedPlan[[#This Row],[Chart Index]],BX$4,1)</f>
        <v>128</v>
      </c>
      <c r="BY81" cm="1">
        <f t="array" ref="BY81">INDEX(Crops[],BedPlan[[#This Row],[Chart Index]],BY$4,1)</f>
        <v>30</v>
      </c>
      <c r="BZ81" s="49" cm="1">
        <f t="array" ref="BZ81">IFERROR(INDEX(Crops[],BedPlan[[#This Row],[Chart Index]],BZ$4,1)*BedPlan[[#This Row],[Full Bed Equivalent]],"")</f>
        <v>2.708333333333333</v>
      </c>
      <c r="CA81" cm="1">
        <f t="array" ref="CA81">INDEX(Crops[],BedPlan[[#This Row],[Chart Index]],CA$4,1)</f>
        <v>0</v>
      </c>
      <c r="CB81" cm="1">
        <f t="array" ref="CB81">INDEX(Crops[],BedPlan[[#This Row],[Chart Index]],CB$4,1)</f>
        <v>0</v>
      </c>
      <c r="CC81" s="49" t="str" cm="1">
        <f t="array" ref="CC81">IFERROR(INDEX(Crops[],BedPlan[[#This Row],[Chart Index]],CC$4,1)*BedPlan[[#This Row],[Full Bed Equivalent]],"")</f>
        <v/>
      </c>
      <c r="CD81" cm="1">
        <f t="array" ref="CD81">INDEX(Crops[],BedPlan[[#This Row],[Chart Index]],CD$4,1)</f>
        <v>0</v>
      </c>
      <c r="CE81" cm="1">
        <f t="array" ref="CE81">IF(INDEX(Crops[],BedPlan[[#This Row],[Chart Index]],CE$4,1)="",0,INDEX(Crops[],BedPlan[[#This Row],[Chart Index]],CE$4,1))</f>
        <v>0</v>
      </c>
      <c r="CF81" s="49" t="str" cm="1">
        <f t="array" ref="CF81">IFERROR(INDEX(Crops[],BedPlan[[#This Row],[Chart Index]],CF$4,1)*BedPlan[[#This Row],[Full Bed Equivalent]],"")</f>
        <v/>
      </c>
      <c r="CG81" cm="1">
        <f t="array" ref="CG81">IF(INDEX(Crops[],BedPlan[[#This Row],[Chart Index]],CG$4,1)="",0,INDEX(Crops[],BedPlan[[#This Row],[Chart Index]],CG$4,1))</f>
        <v>1.3</v>
      </c>
      <c r="CH81" cm="1">
        <f t="array" ref="CH81">IF(INDEX(Crops[],BedPlan[[#This Row],[Chart Index]],CH$4,1)="",0,INDEX(Crops[],BedPlan[[#This Row],[Chart Index]],CH$4,1))</f>
        <v>0</v>
      </c>
      <c r="CI81" t="str" cm="1">
        <f t="array" ref="CI81">INDEX(Crops[],BedPlan[[#This Row],[Chart Index]],CI$4,1)</f>
        <v>Field</v>
      </c>
      <c r="CJ81" s="30" t="str">
        <f>_xlfn.TEXTJOIN(CHAR(10),FALSE,BedPlan[[#This Row],[Name]],BedPlan[[#This Row],[Variety]],BedPlan[[#This Row],[Company]])</f>
        <v xml:space="preserve">Lettuce
Salanova Mix
</v>
      </c>
      <c r="CK81" s="32">
        <f>MAX( 0, MIN(BedPlan[[#This Row],[Expected End of Harvest]], EOMONTH(CK$4, 0)) - MAX(BedPlan[[#This Row],[Beginning of Harvest]], CK$4) + 1 )</f>
        <v>0</v>
      </c>
      <c r="CL81">
        <f>MAX( 0, MIN(BedPlan[[#This Row],[Expected End of Harvest]], EOMONTH(CL$4, 0)) - MAX(BedPlan[[#This Row],[Beginning of Harvest]], CL$4) + 1 )</f>
        <v>0</v>
      </c>
      <c r="CM81">
        <f>MAX( 0, MIN(BedPlan[[#This Row],[Expected End of Harvest]], EOMONTH(CM$4, 0)) - MAX(BedPlan[[#This Row],[Beginning of Harvest]], CM$4) + 1 )</f>
        <v>0</v>
      </c>
      <c r="CN81">
        <f>MAX( 0, MIN(BedPlan[[#This Row],[Expected End of Harvest]], EOMONTH(CN$4, 0)) - MAX(BedPlan[[#This Row],[Beginning of Harvest]], CN$4) + 1 )</f>
        <v>0</v>
      </c>
      <c r="CO81">
        <f>MAX( 0, MIN(BedPlan[[#This Row],[Expected End of Harvest]], EOMONTH(CO$4, 0)) - MAX(BedPlan[[#This Row],[Beginning of Harvest]], CO$4) + 1 )</f>
        <v>0</v>
      </c>
      <c r="CP81">
        <f>MAX( 0, MIN(BedPlan[[#This Row],[Expected End of Harvest]], EOMONTH(CP$4, 0)) - MAX(BedPlan[[#This Row],[Beginning of Harvest]], CP$4) + 1 )</f>
        <v>6</v>
      </c>
      <c r="CQ81">
        <f>MAX( 0, MIN(BedPlan[[#This Row],[Expected End of Harvest]], EOMONTH(CQ$4, 0)) - MAX(BedPlan[[#This Row],[Beginning of Harvest]], CQ$4) + 1 )</f>
        <v>22</v>
      </c>
      <c r="CR81">
        <f>MAX( 0, MIN(BedPlan[[#This Row],[Expected End of Harvest]], EOMONTH(CR$4, 0)) - MAX(BedPlan[[#This Row],[Beginning of Harvest]], CR$4) + 1 )</f>
        <v>0</v>
      </c>
      <c r="CS81">
        <f>MAX( 0, MIN(BedPlan[[#This Row],[Expected End of Harvest]], EOMONTH(CS$4, 0)) - MAX(BedPlan[[#This Row],[Beginning of Harvest]], CS$4) + 1 )</f>
        <v>0</v>
      </c>
      <c r="CT81">
        <f>MAX( 0, MIN(BedPlan[[#This Row],[Expected End of Harvest]], EOMONTH(CT$4, 0)) - MAX(BedPlan[[#This Row],[Beginning of Harvest]], CT$4) + 1 )</f>
        <v>0</v>
      </c>
      <c r="CU81">
        <f>MAX( 0, MIN(BedPlan[[#This Row],[Expected End of Harvest]], EOMONTH(CU$4, 0)) - MAX(BedPlan[[#This Row],[Beginning of Harvest]], CU$4) + 1 )</f>
        <v>0</v>
      </c>
      <c r="CV81">
        <f>MAX( 0, MIN(BedPlan[[#This Row],[Expected End of Harvest]], EOMONTH(CV$4, 0)) - MAX(BedPlan[[#This Row],[Beginning of Harvest]], CV$4) + 1 )</f>
        <v>0</v>
      </c>
      <c r="CW81">
        <f>MAX( 0, MIN(BedPlan[[#This Row],[Expected End of Harvest]], EOMONTH(CW$4, 0)) - MAX(BedPlan[[#This Row],[Beginning of Harvest]], CW$4) + 1 )</f>
        <v>0</v>
      </c>
      <c r="CX81">
        <f>MAX( 0, MIN(BedPlan[[#This Row],[Expected End of Harvest]], EOMONTH(CX$4, 0)) - MAX(BedPlan[[#This Row],[Beginning of Harvest]], CX$4) + 1 )</f>
        <v>0</v>
      </c>
      <c r="CY81">
        <f>MAX( 0, MIN(BedPlan[[#This Row],[Expected End of Harvest]], EOMONTH(CY$4, 0)) - MAX(BedPlan[[#This Row],[Beginning of Harvest]], CY$4) + 1 )</f>
        <v>0</v>
      </c>
      <c r="CZ81">
        <f>MAX( 0, MIN(BedPlan[[#This Row],[Expected End of Harvest]], EOMONTH(CZ$4, 0)) - MAX(BedPlan[[#This Row],[Beginning of Harvest]], CZ$4) + 1 )</f>
        <v>0</v>
      </c>
      <c r="DA81">
        <f>MAX( 0, MIN(BedPlan[[#This Row],[Expected End of Harvest]], EOMONTH(DA$4, 0)) - MAX(BedPlan[[#This Row],[Beginning of Harvest]], DA$4) + 1 )</f>
        <v>0</v>
      </c>
      <c r="DB81">
        <f>MAX( 0, MIN(BedPlan[[#This Row],[Expected End of Harvest]], EOMONTH(DB$4, 0)) - MAX(BedPlan[[#This Row],[Beginning of Harvest]], DB$4) + 1 )</f>
        <v>0</v>
      </c>
      <c r="DC81">
        <f>MAX( 0, MIN(BedPlan[[#This Row],[Expected End of Harvest]], EOMONTH(DC$4, 0)) - MAX(BedPlan[[#This Row],[Beginning of Harvest]], DC$4) + 1 )</f>
        <v>0</v>
      </c>
      <c r="DD81">
        <f>MAX( 0, MIN(BedPlan[[#This Row],[Expected End of Harvest]], EOMONTH(DD$4, 0)) - MAX(BedPlan[[#This Row],[Beginning of Harvest]], DD$4) + 1 )</f>
        <v>0</v>
      </c>
      <c r="DE81">
        <f>MAX( 0, MIN(BedPlan[[#This Row],[Expected End of Harvest]], EOMONTH(DE$4, 0)) - MAX(BedPlan[[#This Row],[Beginning of Harvest]], DE$4) + 1 )</f>
        <v>0</v>
      </c>
      <c r="DF81">
        <f>MAX( 0, MIN(BedPlan[[#This Row],[Expected End of Harvest]], EOMONTH(DF$4, 0)) - MAX(BedPlan[[#This Row],[Beginning of Harvest]], DF$4) + 1 )</f>
        <v>0</v>
      </c>
      <c r="DG81">
        <f>MAX( 0, MIN(BedPlan[[#This Row],[Expected End of Harvest]], EOMONTH(DG$4, 0)) - MAX(BedPlan[[#This Row],[Beginning of Harvest]], DG$4) + 1 )</f>
        <v>0</v>
      </c>
      <c r="DH81">
        <f>MAX( 0, MIN(BedPlan[[#This Row],[Expected End of Harvest]], EOMONTH(DH$4, 0)) - MAX(BedPlan[[#This Row],[Beginning of Harvest]], DH$4) + 1 )</f>
        <v>0</v>
      </c>
      <c r="DI81" s="257" cm="1">
        <f t="array" ref="DI81">BedPlan[[#This Row],[Harvest Days January 2025]]/SUM(BedPlan[[#This Row],[Harvest Days January 2025]:[Harvest Days December 2026]])*BedPlan[[#This Row],[Revenue]:[Revenue]]</f>
        <v>0</v>
      </c>
      <c r="DJ81" s="257" cm="1">
        <f t="array" ref="DJ81">BedPlan[[#This Row],[Harvest Days February 2025]]/SUM(BedPlan[[#This Row],[Harvest Days January 2025]:[Harvest Days December 2026]])*BedPlan[[#This Row],[Revenue]:[Revenue]]</f>
        <v>0</v>
      </c>
      <c r="DK81" s="257" cm="1">
        <f t="array" ref="DK81">BedPlan[[#This Row],[Harvest Days March 2025]]/SUM(BedPlan[[#This Row],[Harvest Days January 2025]:[Harvest Days December 2026]])*BedPlan[[#This Row],[Revenue]:[Revenue]]</f>
        <v>0</v>
      </c>
      <c r="DL81" s="257" cm="1">
        <f t="array" ref="DL81">BedPlan[[#This Row],[Harvest Days April 2025]]/SUM(BedPlan[[#This Row],[Harvest Days January 2025]:[Harvest Days December 2026]])*BedPlan[[#This Row],[Revenue]:[Revenue]]</f>
        <v>0</v>
      </c>
      <c r="DM81" s="257" cm="1">
        <f t="array" ref="DM81">BedPlan[[#This Row],[Harvest Days May 2025]]/SUM(BedPlan[[#This Row],[Harvest Days January 2025]:[Harvest Days December 2026]])*BedPlan[[#This Row],[Revenue]:[Revenue]]</f>
        <v>0</v>
      </c>
      <c r="DN81" s="257" cm="1">
        <f t="array" ref="DN81">BedPlan[[#This Row],[Harvest Days June 2025]]/SUM(BedPlan[[#This Row],[Harvest Days January 2025]:[Harvest Days December 2026]])*BedPlan[[#This Row],[Revenue]:[Revenue]]</f>
        <v>287.3214285714285</v>
      </c>
      <c r="DO81" s="257" cm="1">
        <f t="array" ref="DO81">BedPlan[[#This Row],[Harvest Days July 2025]]/SUM(BedPlan[[#This Row],[Harvest Days January 2025]:[Harvest Days December 2026]])*BedPlan[[#This Row],[Revenue]:[Revenue]]</f>
        <v>1053.5119047619046</v>
      </c>
      <c r="DP81" s="257" cm="1">
        <f t="array" ref="DP81">BedPlan[[#This Row],[Harvest Days August 2025]]/SUM(BedPlan[[#This Row],[Harvest Days January 2025]:[Harvest Days December 2026]])*BedPlan[[#This Row],[Revenue]:[Revenue]]</f>
        <v>0</v>
      </c>
      <c r="DQ81" s="257" cm="1">
        <f t="array" ref="DQ81">BedPlan[[#This Row],[Harvest Days September 2025]]/SUM(BedPlan[[#This Row],[Harvest Days January 2025]:[Harvest Days December 2026]])*BedPlan[[#This Row],[Revenue]:[Revenue]]</f>
        <v>0</v>
      </c>
      <c r="DR81" s="257" cm="1">
        <f t="array" ref="DR81">BedPlan[[#This Row],[Harvest Days October 2025]]/SUM(BedPlan[[#This Row],[Harvest Days January 2025]:[Harvest Days December 2026]])*BedPlan[[#This Row],[Revenue]:[Revenue]]</f>
        <v>0</v>
      </c>
      <c r="DS81" s="257" cm="1">
        <f t="array" ref="DS81">BedPlan[[#This Row],[Harvest Days November 2025]]/SUM(BedPlan[[#This Row],[Harvest Days January 2025]:[Harvest Days December 2026]])*BedPlan[[#This Row],[Revenue]:[Revenue]]</f>
        <v>0</v>
      </c>
      <c r="DT81" s="257" cm="1">
        <f t="array" ref="DT81">BedPlan[[#This Row],[Harvest Days December 2025]]/SUM(BedPlan[[#This Row],[Harvest Days January 2025]:[Harvest Days December 2026]])*BedPlan[[#This Row],[Revenue]:[Revenue]]</f>
        <v>0</v>
      </c>
      <c r="DU81" s="257" cm="1">
        <f t="array" ref="DU81">BedPlan[[#This Row],[Harvest Days January 2026]]/SUM(BedPlan[[#This Row],[Harvest Days January 2025]:[Harvest Days December 2026]])*BedPlan[[#This Row],[Revenue]:[Revenue]]</f>
        <v>0</v>
      </c>
      <c r="DV81" s="257" cm="1">
        <f t="array" ref="DV81">BedPlan[[#This Row],[Harvest Days February 2026]]/SUM(BedPlan[[#This Row],[Harvest Days January 2025]:[Harvest Days December 2026]])*BedPlan[[#This Row],[Revenue]:[Revenue]]</f>
        <v>0</v>
      </c>
      <c r="DW81" s="257" cm="1">
        <f t="array" ref="DW81">BedPlan[[#This Row],[Harvest Days March 2026]]/SUM(BedPlan[[#This Row],[Harvest Days January 2025]:[Harvest Days December 2026]])*BedPlan[[#This Row],[Revenue]:[Revenue]]</f>
        <v>0</v>
      </c>
      <c r="DX81" s="257" cm="1">
        <f t="array" ref="DX81">BedPlan[[#This Row],[Harvest Days April 2026]]/SUM(BedPlan[[#This Row],[Harvest Days January 2025]:[Harvest Days December 2026]])*BedPlan[[#This Row],[Revenue]:[Revenue]]</f>
        <v>0</v>
      </c>
      <c r="DY81" s="257" cm="1">
        <f t="array" ref="DY81">BedPlan[[#This Row],[Harvest Days May 2026]]/SUM(BedPlan[[#This Row],[Harvest Days January 2025]:[Harvest Days December 2026]])*BedPlan[[#This Row],[Revenue]:[Revenue]]</f>
        <v>0</v>
      </c>
      <c r="DZ81" s="257" cm="1">
        <f t="array" ref="DZ81">BedPlan[[#This Row],[Harvest Days June 2026]]/SUM(BedPlan[[#This Row],[Harvest Days January 2025]:[Harvest Days December 2026]])*BedPlan[[#This Row],[Revenue]:[Revenue]]</f>
        <v>0</v>
      </c>
      <c r="EA81" s="257" cm="1">
        <f t="array" ref="EA81">BedPlan[[#This Row],[Harvest Days July 2026]]/SUM(BedPlan[[#This Row],[Harvest Days January 2025]:[Harvest Days December 2026]])*BedPlan[[#This Row],[Revenue]:[Revenue]]</f>
        <v>0</v>
      </c>
      <c r="EB81" s="257" cm="1">
        <f t="array" ref="EB81">BedPlan[[#This Row],[Harvest Days August 2026]]/SUM(BedPlan[[#This Row],[Harvest Days January 2025]:[Harvest Days December 2026]])*BedPlan[[#This Row],[Revenue]:[Revenue]]</f>
        <v>0</v>
      </c>
      <c r="EC81" s="257" cm="1">
        <f t="array" ref="EC81">BedPlan[[#This Row],[Harvest Days September 2026]]/SUM(BedPlan[[#This Row],[Harvest Days January 2025]:[Harvest Days December 2026]])*BedPlan[[#This Row],[Revenue]:[Revenue]]</f>
        <v>0</v>
      </c>
      <c r="ED81" s="257" cm="1">
        <f t="array" ref="ED81">BedPlan[[#This Row],[Harvest Days October 2026]]/SUM(BedPlan[[#This Row],[Harvest Days January 2025]:[Harvest Days December 2026]])*BedPlan[[#This Row],[Revenue]:[Revenue]]</f>
        <v>0</v>
      </c>
      <c r="EE81" s="257" cm="1">
        <f t="array" ref="EE81">BedPlan[[#This Row],[Harvest Days November 2026]]/SUM(BedPlan[[#This Row],[Harvest Days January 2025]:[Harvest Days December 2026]])*BedPlan[[#This Row],[Revenue]:[Revenue]]</f>
        <v>0</v>
      </c>
      <c r="EF81" s="257" cm="1">
        <f t="array" ref="EF81">BedPlan[[#This Row],[Harvest Days December 2026]]/SUM(BedPlan[[#This Row],[Harvest Days January 2025]:[Harvest Days December 2026]])*BedPlan[[#This Row],[Revenue]:[Revenue]]</f>
        <v>0</v>
      </c>
      <c r="EG81" t="b">
        <f>SUM(BedPlan[[#This Row],[Revenue January 2025]:[Revenue December 2026]])=BedPlan[[#This Row],[Revenue]]</f>
        <v>1</v>
      </c>
      <c r="EH81" s="30" cm="1">
        <f t="array" ref="EH81">INDEX(Crops[],BedPlan[[#This Row],[Chart Index]],EH$4,1)*BedPlan[[#This Row],['# Of Beds]]</f>
        <v>134.08333333333331</v>
      </c>
      <c r="EI81" s="30" t="str" cm="1">
        <f t="array" ref="EI81">INDEX(Crops[],BedPlan[[#This Row],[Chart Index]],EI$4,1)</f>
        <v>Lb</v>
      </c>
      <c r="EJ81" s="30" t="str" cm="1">
        <f t="array" ref="EJ81">INDEX(Crops[],BedPlan[[#This Row],[Chart Index]],EJ$4,1)</f>
        <v>Loose Leaf</v>
      </c>
      <c r="EK81" s="30" t="str">
        <f>BedPlan[[#This Row],[Name]]&amp;" "&amp;BedPlan[[#This Row],[Product]]&amp; " - " &amp;BedPlan[[#This Row],[Unit]]</f>
        <v>Lettuce Loose Leaf - Lb</v>
      </c>
      <c r="EL81" s="33" cm="1">
        <f t="array" ref="EL81">BedPlan[[#This Row],[Harvest Days January 2025]]/SUM(BedPlan[[#This Row],[Harvest Days January 2025]:[Harvest Days December 2026]])*BedPlan[[#This Row],[Yield]:[Yield]]</f>
        <v>0</v>
      </c>
      <c r="EM81" s="33" cm="1">
        <f t="array" ref="EM81">BedPlan[[#This Row],[Harvest Days February 2025]]/SUM(BedPlan[[#This Row],[Harvest Days January 2025]:[Harvest Days December 2026]])*BedPlan[[#This Row],[Yield]:[Yield]]</f>
        <v>0</v>
      </c>
      <c r="EN81" s="33" cm="1">
        <f t="array" ref="EN81">BedPlan[[#This Row],[Harvest Days March 2025]]/SUM(BedPlan[[#This Row],[Harvest Days January 2025]:[Harvest Days December 2026]])*BedPlan[[#This Row],[Yield]:[Yield]]</f>
        <v>0</v>
      </c>
      <c r="EO81" s="33" cm="1">
        <f t="array" ref="EO81">BedPlan[[#This Row],[Harvest Days April 2025]]/SUM(BedPlan[[#This Row],[Harvest Days January 2025]:[Harvest Days December 2026]])*BedPlan[[#This Row],[Yield]:[Yield]]</f>
        <v>0</v>
      </c>
      <c r="EP81" s="33" cm="1">
        <f t="array" ref="EP81">BedPlan[[#This Row],[Harvest Days May 2025]]/SUM(BedPlan[[#This Row],[Harvest Days January 2025]:[Harvest Days December 2026]])*BedPlan[[#This Row],[Yield]:[Yield]]</f>
        <v>0</v>
      </c>
      <c r="EQ81" s="33" cm="1">
        <f t="array" ref="EQ81">BedPlan[[#This Row],[Harvest Days June 2025]]/SUM(BedPlan[[#This Row],[Harvest Days January 2025]:[Harvest Days December 2026]])*BedPlan[[#This Row],[Yield]:[Yield]]</f>
        <v>28.732142857142851</v>
      </c>
      <c r="ER81" s="33" cm="1">
        <f t="array" ref="ER81">BedPlan[[#This Row],[Harvest Days July 2025]]/SUM(BedPlan[[#This Row],[Harvest Days January 2025]:[Harvest Days December 2026]])*BedPlan[[#This Row],[Yield]:[Yield]]</f>
        <v>105.35119047619045</v>
      </c>
      <c r="ES81" s="33" cm="1">
        <f t="array" ref="ES81">BedPlan[[#This Row],[Harvest Days August 2025]]/SUM(BedPlan[[#This Row],[Harvest Days January 2025]:[Harvest Days December 2026]])*BedPlan[[#This Row],[Yield]:[Yield]]</f>
        <v>0</v>
      </c>
      <c r="ET81" s="33" cm="1">
        <f t="array" ref="ET81">BedPlan[[#This Row],[Harvest Days September 2025]]/SUM(BedPlan[[#This Row],[Harvest Days January 2025]:[Harvest Days December 2026]])*BedPlan[[#This Row],[Yield]:[Yield]]</f>
        <v>0</v>
      </c>
      <c r="EU81" s="33" cm="1">
        <f t="array" ref="EU81">BedPlan[[#This Row],[Harvest Days October 2025]]/SUM(BedPlan[[#This Row],[Harvest Days January 2025]:[Harvest Days December 2026]])*BedPlan[[#This Row],[Yield]:[Yield]]</f>
        <v>0</v>
      </c>
      <c r="EV81" s="33" cm="1">
        <f t="array" ref="EV81">BedPlan[[#This Row],[Harvest Days November 2025]]/SUM(BedPlan[[#This Row],[Harvest Days January 2025]:[Harvest Days December 2026]])*BedPlan[[#This Row],[Yield]:[Yield]]</f>
        <v>0</v>
      </c>
      <c r="EW81" s="33" cm="1">
        <f t="array" ref="EW81">BedPlan[[#This Row],[Harvest Days December 2025]]/SUM(BedPlan[[#This Row],[Harvest Days January 2025]:[Harvest Days December 2026]])*BedPlan[[#This Row],[Yield]:[Yield]]</f>
        <v>0</v>
      </c>
    </row>
    <row r="82" spans="1:153" ht="15.75" customHeight="1">
      <c r="A82" s="179" t="s">
        <v>2303</v>
      </c>
      <c r="B82" s="240" t="s">
        <v>2767</v>
      </c>
      <c r="C82" t="s">
        <v>1477</v>
      </c>
      <c r="D82" s="226" cm="1">
        <f t="array" ref="D82">INDEX(Crops[],BedPlan[[#This Row],[Chart Index]],D$4,1)*BedPlan[[#This Row],[Full Bed Equivalent]]</f>
        <v>41.714814814814808</v>
      </c>
      <c r="E82" s="226" cm="1">
        <f t="array" ref="E82">INDEX(Crops[],BedPlan[[#This Row],[Chart Index]],E$4,1)*BedPlan[[#This Row],[Full Bed Equivalent]]</f>
        <v>178.77777777777774</v>
      </c>
      <c r="F82" t="str">
        <f>UPPER(LEFT(BedPlan[[#This Row],[Crop]],3))</f>
        <v>LET</v>
      </c>
      <c r="H82" s="143" t="str" cm="1">
        <f t="array" ref="H82">INDEX(Crops[],BedPlan[[#This Row],[Chart Index]],H$4,1)</f>
        <v>Lettuce</v>
      </c>
      <c r="I82" t="s">
        <v>2304</v>
      </c>
      <c r="K82" t="str" cm="1">
        <f t="array" ref="K82">IF(ISNUMBER(MATCH(BedPlan[[#This Row],[Variety]],SeedMixes[Name],)),_xlfn.TEXTJOIN(", ",TRUE,_xlfn._xlws.FILTER(SeedMixes[Variety &amp; Company],SeedMixes[Name]=BedPlan[[#This Row],[Variety]])),"")</f>
        <v>Green Sweet Crisp Johnny's, Intercut Johnny's, Red Sweet Crisp Johnny's, Salanova Red Oak Leaf Johnny's</v>
      </c>
      <c r="L82" s="33" cm="1">
        <f t="array" ref="L82">INDEX(Crops[],BedPlan[[#This Row],[Chart Index]],L$4,1)*BedPlan[[#This Row],[Full Bed Equivalent]]</f>
        <v>450.66666666666663</v>
      </c>
      <c r="N82">
        <f>1</f>
        <v>1</v>
      </c>
      <c r="O82">
        <f>MAX(BedPlan[[#This Row],['# Of Beds]],0.5)</f>
        <v>1</v>
      </c>
      <c r="P82" s="31">
        <f>IF(ISNUMBER(BedPlan[[#This Row],[Planned Greenhouse Start Date]]),BedPlan[[#This Row],[Planned Greenhouse Start Date]],BedPlan[[#This Row],[Planned TP or DS Date]])</f>
        <v>45769</v>
      </c>
      <c r="Q82" s="259">
        <f>IF(BedPlan[[#This Row],[Days in Cells]]=0,"",IFERROR(_xlfn.XLOOKUP(BedPlan[[#This Row],[Follows Crop]],BedPlan[Identifier],BedPlan[Expected End of Harvest]) + 1+BedPlan[[#This Row],[Follow Offset]],BedPlan[[#This Row],[Fixed Field Start Date]])-BedPlan[[#This Row],[Days in Cells]])</f>
        <v>45769</v>
      </c>
      <c r="R82" s="259">
        <v>45767</v>
      </c>
      <c r="S82" s="259">
        <f>IF(ISNUMBER(BedPlan[[#This Row],[Actual Greenhouse Date]]),BedPlan[[#This Row],[Actual Greenhouse Date]],BedPlan[[#This Row],[Planned Greenhouse Start Date]])</f>
        <v>45767</v>
      </c>
      <c r="T82" s="259">
        <f>_xlfn.XLOOKUP(BedPlan[[#This Row],[Crop]],Crops[Identifier],Crops[Target Field Date])+21</f>
        <v>45799</v>
      </c>
      <c r="U82" s="260"/>
      <c r="V82" s="260"/>
      <c r="W8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45797</v>
      </c>
      <c r="X82" s="259">
        <v>45795</v>
      </c>
      <c r="Y82" s="271">
        <f>BedPlan[[#This Row],[Actual TP or DS Date]]-BedPlan[[#This Row],[Planned TP or DS Date]]</f>
        <v>-2</v>
      </c>
      <c r="Z82" s="259">
        <f>IF(ISNUMBER(BedPlan[[#This Row],[Actual TP or DS Date]]),BedPlan[[#This Row],[Actual TP or DS Date]],BedPlan[[#This Row],[Planned TP or DS Date]])</f>
        <v>45795</v>
      </c>
      <c r="AA82" s="259"/>
      <c r="AB82" s="259">
        <f>IF(ISNUMBER(BedPlan[[#This Row],[Greenhouse Start Date]]),BedPlan[[#This Row],[Greenhouse Start Date]]+BedPlan[[#This Row],[DTM]],BedPlan[[#This Row],[TP or DS Date]]+BedPlan[[#This Row],[DTM]])</f>
        <v>45837</v>
      </c>
      <c r="AC82" s="259"/>
      <c r="AD82" s="259">
        <f>IF(ISNUMBER(BedPlan[[#This Row],[Actual Beginning of Harvest]]),BedPlan[[#This Row],[Actual Beginning of Harvest]],BedPlan[[#This Row],[Expected Beginning of Harvest]])</f>
        <v>45837</v>
      </c>
      <c r="AE82" s="259">
        <f>BedPlan[[#This Row],[Expected Beginning of Harvest]]+BedPlan[[#This Row],[Harvest Window]]+BedPlan[[#This Row],[Additional Days of Harvest]]</f>
        <v>45864</v>
      </c>
      <c r="AF82" s="259"/>
      <c r="AG82" s="259"/>
      <c r="AH82" s="31" t="b">
        <f>IF(AND( BedPlan[[#This Row],[Expected End of Harvest]] &gt;= DATE(2025, 8, 1), BedPlan[[#This Row],[Beginning of Harvest]] &lt;= DATE(2025, 8, 31) ), TRUE, FALSE)</f>
        <v>0</v>
      </c>
      <c r="AI82" s="31"/>
      <c r="AJ82" s="31">
        <f>IF(ISNUMBER(BedPlan[[#This Row],[Actual End of Harvest]]),BedPlan[[#This Row],[Actual End of Harvest]],BedPlan[[#This Row],[Expected End of Harvest]])</f>
        <v>45864</v>
      </c>
      <c r="AK82" t="b">
        <f>OR(ISNUMBER(BedPlan[[#This Row],[Actual Greenhouse Date]]),ISNUMBER(BedPlan[[#This Row],[Actual TP or DS Date]]))</f>
        <v>1</v>
      </c>
      <c r="AL82" s="52" t="b">
        <f>IF(ISNUMBER(BedPlan[[#This Row],[Planned Greenhouse Start Date]]),OR(ISNUMBER(BedPlan[[#This Row],[Actual TP or DS Date]]),BedPlan[[#This Row],[Failed]]),"-")</f>
        <v>1</v>
      </c>
      <c r="AM82" t="b">
        <f>OR(ISNUMBER(BedPlan[[#This Row],[Actual End of Harvest]]),BedPlan[[#This Row],[Failed]])</f>
        <v>0</v>
      </c>
      <c r="AN82" t="b">
        <f>OR(BedPlan[[#This Row],[Harvest Done]],BedPlan[[#This Row],[Failed]],BedPlan[[#This Row],[Name]]="Tarp")</f>
        <v>0</v>
      </c>
      <c r="AO82" t="b">
        <v>1</v>
      </c>
      <c r="AP82" t="b">
        <v>1</v>
      </c>
      <c r="AQ82" t="s">
        <v>3214</v>
      </c>
      <c r="AS82" s="26">
        <f>IF(BedPlan[[#This Row],[Broadfork]],BedPlan[[#This Row],[Actual TP or DS Date]],"")</f>
        <v>45795</v>
      </c>
      <c r="AT82" s="26">
        <f>IF(BedPlan[[#This Row],[Tilther]],BedPlan[[#This Row],[Actual TP or DS Date]],"")</f>
        <v>45795</v>
      </c>
      <c r="AU82" s="26">
        <f>IF(NOT(ISBLANK(BedPlan[[#This Row],[Amend]])),BedPlan[[#This Row],[Actual TP or DS Date]],"")</f>
        <v>45795</v>
      </c>
      <c r="AV82" s="26" t="str">
        <f>IF(BedPlan[[#This Row],[Row Cover]],BedPlan[[#This Row],[Actual TP or DS Date]],"")</f>
        <v/>
      </c>
      <c r="AX82" s="26"/>
      <c r="AZ82" s="26"/>
      <c r="BB82" s="26"/>
      <c r="BC82" s="231" cm="1">
        <f t="array" ref="BC82">INDEX(Crops[],BedPlan[[#This Row],[Chart Index]],BC$4,1)*BedPlan[[#This Row],[Full Bed Equivalent]]</f>
        <v>1340.833333333333</v>
      </c>
      <c r="BD82" s="231" cm="1">
        <f t="array" ref="BD82">INDEX(Crops[],BedPlan[[#This Row],[Chart Index]],BD$4,1)*BedPlan[[#This Row],[Full Bed Equivalent]]</f>
        <v>20.012437810945269</v>
      </c>
      <c r="BE82" cm="1">
        <f t="array" ref="BE82">INDEX(Crops[],BedPlan[[#This Row],[Chart Index]],BE$4,1)+BedPlan[[#This Row],[Additional Days in Cells]]+BedPlan[[#This Row],[Additional Days In Field]]</f>
        <v>70</v>
      </c>
      <c r="BG82" cm="1">
        <f t="array" ref="BG82">INDEX(Crops[],BedPlan[[#This Row],[Chart Index]],BG$4,1)</f>
        <v>27</v>
      </c>
      <c r="BH82" t="str">
        <f>IF(ISNUMBER(BedPlan[[#This Row],[Planned Greenhouse Start Date]]),"TP","DS")</f>
        <v>TP</v>
      </c>
      <c r="BI82">
        <f>BedPlan[[#This Row],['# Of Beds]]</f>
        <v>1</v>
      </c>
      <c r="BJ82" cm="1">
        <f t="array" ref="BJ82">INDEX(Crops[],BedPlan[[#This Row],[Chart Index]],BJ$4,1)</f>
        <v>30</v>
      </c>
      <c r="BK82" cm="1">
        <f t="array" ref="BK82">INDEX(Crops[],BedPlan[[#This Row],[Chart Index]],BK$4,1)</f>
        <v>4</v>
      </c>
      <c r="BL82" cm="1">
        <f t="array" ref="BL82">INDEX(Crops[],BedPlan[[#This Row],[Chart Index]],BL$4,1)</f>
        <v>9</v>
      </c>
      <c r="BM82" cm="1">
        <f t="array" ref="BM82">INDEX(Crops[],BedPlan[[#This Row],[Chart Index]],BM$4,1)</f>
        <v>1</v>
      </c>
      <c r="BN82" s="32" cm="1">
        <f t="array" ref="BN82">INDEX(Crops[],BedPlan[[#This Row],[Chart Index]],BN$4,1)*BedPlan[[#This Row],[Full Bed Equivalent]]</f>
        <v>266.66666666666663</v>
      </c>
      <c r="BO82" t="str" cm="1">
        <f t="array" ref="BO82">IF(INDEX(Crops[],BedPlan[[#This Row],[Chart Index]],BO$4,1)=0,"",INDEX(Crops[],BedPlan[[#This Row],[Chart Index]],BO$4,1))</f>
        <v/>
      </c>
      <c r="BP82">
        <f>MATCH(BedPlan[[#This Row],[Crop]],Crops[Identifier],FALSE)</f>
        <v>192</v>
      </c>
      <c r="BQ82" t="str" cm="1">
        <f t="array" ref="BQ82">INDEX(Crops[],BedPlan[[#This Row],[Chart Index]],BQ$4,1)</f>
        <v>Salanova</v>
      </c>
      <c r="BR82" t="str" cm="1">
        <f t="array" ref="BR82">INDEX(Crops[],BedPlan[[#This Row],[Chart Index]],BR$4,1)</f>
        <v>SuFa</v>
      </c>
      <c r="BS82" s="32">
        <f>BedPlan[[#This Row],[Expected Beginning of Harvest]]-DATE(2023,1,1)</f>
        <v>910</v>
      </c>
      <c r="BT82">
        <f>BedPlan[[#This Row],[Expected End of Harvest]]-BedPlan[[#This Row],[Expected Beginning of Harvest]]</f>
        <v>27</v>
      </c>
      <c r="BU82" cm="1">
        <f t="array" ref="BU82">INDEX(Crops[],BedPlan[[#This Row],[Chart Index]],BU$4,1)</f>
        <v>0</v>
      </c>
      <c r="BV82" cm="1">
        <f t="array" ref="BV82">INDEX(Crops[],BedPlan[[#This Row],[Chart Index]],BV$4,1)</f>
        <v>0</v>
      </c>
      <c r="BW82" cm="1">
        <f t="array" ref="BW82">INDEX(Crops[],BedPlan[[#This Row],[Chart Index]],BW$4,1)</f>
        <v>0</v>
      </c>
      <c r="BX82" cm="1">
        <f t="array" ref="BX82">INDEX(Crops[],BedPlan[[#This Row],[Chart Index]],BX$4,1)</f>
        <v>128</v>
      </c>
      <c r="BY82" cm="1">
        <f t="array" ref="BY82">INDEX(Crops[],BedPlan[[#This Row],[Chart Index]],BY$4,1)</f>
        <v>30</v>
      </c>
      <c r="BZ82" s="49" cm="1">
        <f t="array" ref="BZ82">IFERROR(INDEX(Crops[],BedPlan[[#This Row],[Chart Index]],BZ$4,1)*BedPlan[[#This Row],[Full Bed Equivalent]],"")</f>
        <v>2.708333333333333</v>
      </c>
      <c r="CA82" cm="1">
        <f t="array" ref="CA82">INDEX(Crops[],BedPlan[[#This Row],[Chart Index]],CA$4,1)</f>
        <v>0</v>
      </c>
      <c r="CB82" cm="1">
        <f t="array" ref="CB82">INDEX(Crops[],BedPlan[[#This Row],[Chart Index]],CB$4,1)</f>
        <v>0</v>
      </c>
      <c r="CC82" s="49" t="str" cm="1">
        <f t="array" ref="CC82">IFERROR(INDEX(Crops[],BedPlan[[#This Row],[Chart Index]],CC$4,1)*BedPlan[[#This Row],[Full Bed Equivalent]],"")</f>
        <v/>
      </c>
      <c r="CD82" cm="1">
        <f t="array" ref="CD82">INDEX(Crops[],BedPlan[[#This Row],[Chart Index]],CD$4,1)</f>
        <v>0</v>
      </c>
      <c r="CE82" cm="1">
        <f t="array" ref="CE82">IF(INDEX(Crops[],BedPlan[[#This Row],[Chart Index]],CE$4,1)="",0,INDEX(Crops[],BedPlan[[#This Row],[Chart Index]],CE$4,1))</f>
        <v>0</v>
      </c>
      <c r="CF82" s="49" t="str" cm="1">
        <f t="array" ref="CF82">IFERROR(INDEX(Crops[],BedPlan[[#This Row],[Chart Index]],CF$4,1)*BedPlan[[#This Row],[Full Bed Equivalent]],"")</f>
        <v/>
      </c>
      <c r="CG82" cm="1">
        <f t="array" ref="CG82">IF(INDEX(Crops[],BedPlan[[#This Row],[Chart Index]],CG$4,1)="",0,INDEX(Crops[],BedPlan[[#This Row],[Chart Index]],CG$4,1))</f>
        <v>1.3</v>
      </c>
      <c r="CH82" cm="1">
        <f t="array" ref="CH82">IF(INDEX(Crops[],BedPlan[[#This Row],[Chart Index]],CH$4,1)="",0,INDEX(Crops[],BedPlan[[#This Row],[Chart Index]],CH$4,1))</f>
        <v>0</v>
      </c>
      <c r="CI82" t="str" cm="1">
        <f t="array" ref="CI82">INDEX(Crops[],BedPlan[[#This Row],[Chart Index]],CI$4,1)</f>
        <v>Field</v>
      </c>
      <c r="CJ82" s="30" t="str">
        <f>_xlfn.TEXTJOIN(CHAR(10),FALSE,BedPlan[[#This Row],[Name]],BedPlan[[#This Row],[Variety]],BedPlan[[#This Row],[Company]])</f>
        <v xml:space="preserve">Lettuce
Salanova Mix
</v>
      </c>
      <c r="CK82" s="32">
        <f>MAX( 0, MIN(BedPlan[[#This Row],[Expected End of Harvest]], EOMONTH(CK$4, 0)) - MAX(BedPlan[[#This Row],[Beginning of Harvest]], CK$4) + 1 )</f>
        <v>0</v>
      </c>
      <c r="CL82">
        <f>MAX( 0, MIN(BedPlan[[#This Row],[Expected End of Harvest]], EOMONTH(CL$4, 0)) - MAX(BedPlan[[#This Row],[Beginning of Harvest]], CL$4) + 1 )</f>
        <v>0</v>
      </c>
      <c r="CM82">
        <f>MAX( 0, MIN(BedPlan[[#This Row],[Expected End of Harvest]], EOMONTH(CM$4, 0)) - MAX(BedPlan[[#This Row],[Beginning of Harvest]], CM$4) + 1 )</f>
        <v>0</v>
      </c>
      <c r="CN82">
        <f>MAX( 0, MIN(BedPlan[[#This Row],[Expected End of Harvest]], EOMONTH(CN$4, 0)) - MAX(BedPlan[[#This Row],[Beginning of Harvest]], CN$4) + 1 )</f>
        <v>0</v>
      </c>
      <c r="CO82">
        <f>MAX( 0, MIN(BedPlan[[#This Row],[Expected End of Harvest]], EOMONTH(CO$4, 0)) - MAX(BedPlan[[#This Row],[Beginning of Harvest]], CO$4) + 1 )</f>
        <v>0</v>
      </c>
      <c r="CP82">
        <f>MAX( 0, MIN(BedPlan[[#This Row],[Expected End of Harvest]], EOMONTH(CP$4, 0)) - MAX(BedPlan[[#This Row],[Beginning of Harvest]], CP$4) + 1 )</f>
        <v>2</v>
      </c>
      <c r="CQ82">
        <f>MAX( 0, MIN(BedPlan[[#This Row],[Expected End of Harvest]], EOMONTH(CQ$4, 0)) - MAX(BedPlan[[#This Row],[Beginning of Harvest]], CQ$4) + 1 )</f>
        <v>26</v>
      </c>
      <c r="CR82">
        <f>MAX( 0, MIN(BedPlan[[#This Row],[Expected End of Harvest]], EOMONTH(CR$4, 0)) - MAX(BedPlan[[#This Row],[Beginning of Harvest]], CR$4) + 1 )</f>
        <v>0</v>
      </c>
      <c r="CS82">
        <f>MAX( 0, MIN(BedPlan[[#This Row],[Expected End of Harvest]], EOMONTH(CS$4, 0)) - MAX(BedPlan[[#This Row],[Beginning of Harvest]], CS$4) + 1 )</f>
        <v>0</v>
      </c>
      <c r="CT82">
        <f>MAX( 0, MIN(BedPlan[[#This Row],[Expected End of Harvest]], EOMONTH(CT$4, 0)) - MAX(BedPlan[[#This Row],[Beginning of Harvest]], CT$4) + 1 )</f>
        <v>0</v>
      </c>
      <c r="CU82">
        <f>MAX( 0, MIN(BedPlan[[#This Row],[Expected End of Harvest]], EOMONTH(CU$4, 0)) - MAX(BedPlan[[#This Row],[Beginning of Harvest]], CU$4) + 1 )</f>
        <v>0</v>
      </c>
      <c r="CV82">
        <f>MAX( 0, MIN(BedPlan[[#This Row],[Expected End of Harvest]], EOMONTH(CV$4, 0)) - MAX(BedPlan[[#This Row],[Beginning of Harvest]], CV$4) + 1 )</f>
        <v>0</v>
      </c>
      <c r="CW82">
        <f>MAX( 0, MIN(BedPlan[[#This Row],[Expected End of Harvest]], EOMONTH(CW$4, 0)) - MAX(BedPlan[[#This Row],[Beginning of Harvest]], CW$4) + 1 )</f>
        <v>0</v>
      </c>
      <c r="CX82">
        <f>MAX( 0, MIN(BedPlan[[#This Row],[Expected End of Harvest]], EOMONTH(CX$4, 0)) - MAX(BedPlan[[#This Row],[Beginning of Harvest]], CX$4) + 1 )</f>
        <v>0</v>
      </c>
      <c r="CY82">
        <f>MAX( 0, MIN(BedPlan[[#This Row],[Expected End of Harvest]], EOMONTH(CY$4, 0)) - MAX(BedPlan[[#This Row],[Beginning of Harvest]], CY$4) + 1 )</f>
        <v>0</v>
      </c>
      <c r="CZ82">
        <f>MAX( 0, MIN(BedPlan[[#This Row],[Expected End of Harvest]], EOMONTH(CZ$4, 0)) - MAX(BedPlan[[#This Row],[Beginning of Harvest]], CZ$4) + 1 )</f>
        <v>0</v>
      </c>
      <c r="DA82">
        <f>MAX( 0, MIN(BedPlan[[#This Row],[Expected End of Harvest]], EOMONTH(DA$4, 0)) - MAX(BedPlan[[#This Row],[Beginning of Harvest]], DA$4) + 1 )</f>
        <v>0</v>
      </c>
      <c r="DB82">
        <f>MAX( 0, MIN(BedPlan[[#This Row],[Expected End of Harvest]], EOMONTH(DB$4, 0)) - MAX(BedPlan[[#This Row],[Beginning of Harvest]], DB$4) + 1 )</f>
        <v>0</v>
      </c>
      <c r="DC82">
        <f>MAX( 0, MIN(BedPlan[[#This Row],[Expected End of Harvest]], EOMONTH(DC$4, 0)) - MAX(BedPlan[[#This Row],[Beginning of Harvest]], DC$4) + 1 )</f>
        <v>0</v>
      </c>
      <c r="DD82">
        <f>MAX( 0, MIN(BedPlan[[#This Row],[Expected End of Harvest]], EOMONTH(DD$4, 0)) - MAX(BedPlan[[#This Row],[Beginning of Harvest]], DD$4) + 1 )</f>
        <v>0</v>
      </c>
      <c r="DE82">
        <f>MAX( 0, MIN(BedPlan[[#This Row],[Expected End of Harvest]], EOMONTH(DE$4, 0)) - MAX(BedPlan[[#This Row],[Beginning of Harvest]], DE$4) + 1 )</f>
        <v>0</v>
      </c>
      <c r="DF82">
        <f>MAX( 0, MIN(BedPlan[[#This Row],[Expected End of Harvest]], EOMONTH(DF$4, 0)) - MAX(BedPlan[[#This Row],[Beginning of Harvest]], DF$4) + 1 )</f>
        <v>0</v>
      </c>
      <c r="DG82">
        <f>MAX( 0, MIN(BedPlan[[#This Row],[Expected End of Harvest]], EOMONTH(DG$4, 0)) - MAX(BedPlan[[#This Row],[Beginning of Harvest]], DG$4) + 1 )</f>
        <v>0</v>
      </c>
      <c r="DH82">
        <f>MAX( 0, MIN(BedPlan[[#This Row],[Expected End of Harvest]], EOMONTH(DH$4, 0)) - MAX(BedPlan[[#This Row],[Beginning of Harvest]], DH$4) + 1 )</f>
        <v>0</v>
      </c>
      <c r="DI82" s="257" cm="1">
        <f t="array" ref="DI82">BedPlan[[#This Row],[Harvest Days January 2025]]/SUM(BedPlan[[#This Row],[Harvest Days January 2025]:[Harvest Days December 2026]])*BedPlan[[#This Row],[Revenue]:[Revenue]]</f>
        <v>0</v>
      </c>
      <c r="DJ82" s="257" cm="1">
        <f t="array" ref="DJ82">BedPlan[[#This Row],[Harvest Days February 2025]]/SUM(BedPlan[[#This Row],[Harvest Days January 2025]:[Harvest Days December 2026]])*BedPlan[[#This Row],[Revenue]:[Revenue]]</f>
        <v>0</v>
      </c>
      <c r="DK82" s="257" cm="1">
        <f t="array" ref="DK82">BedPlan[[#This Row],[Harvest Days March 2025]]/SUM(BedPlan[[#This Row],[Harvest Days January 2025]:[Harvest Days December 2026]])*BedPlan[[#This Row],[Revenue]:[Revenue]]</f>
        <v>0</v>
      </c>
      <c r="DL82" s="257" cm="1">
        <f t="array" ref="DL82">BedPlan[[#This Row],[Harvest Days April 2025]]/SUM(BedPlan[[#This Row],[Harvest Days January 2025]:[Harvest Days December 2026]])*BedPlan[[#This Row],[Revenue]:[Revenue]]</f>
        <v>0</v>
      </c>
      <c r="DM82" s="257" cm="1">
        <f t="array" ref="DM82">BedPlan[[#This Row],[Harvest Days May 2025]]/SUM(BedPlan[[#This Row],[Harvest Days January 2025]:[Harvest Days December 2026]])*BedPlan[[#This Row],[Revenue]:[Revenue]]</f>
        <v>0</v>
      </c>
      <c r="DN82" s="257" cm="1">
        <f t="array" ref="DN82">BedPlan[[#This Row],[Harvest Days June 2025]]/SUM(BedPlan[[#This Row],[Harvest Days January 2025]:[Harvest Days December 2026]])*BedPlan[[#This Row],[Revenue]:[Revenue]]</f>
        <v>95.77380952380949</v>
      </c>
      <c r="DO82" s="257" cm="1">
        <f t="array" ref="DO82">BedPlan[[#This Row],[Harvest Days July 2025]]/SUM(BedPlan[[#This Row],[Harvest Days January 2025]:[Harvest Days December 2026]])*BedPlan[[#This Row],[Revenue]:[Revenue]]</f>
        <v>1245.0595238095236</v>
      </c>
      <c r="DP82" s="257" cm="1">
        <f t="array" ref="DP82">BedPlan[[#This Row],[Harvest Days August 2025]]/SUM(BedPlan[[#This Row],[Harvest Days January 2025]:[Harvest Days December 2026]])*BedPlan[[#This Row],[Revenue]:[Revenue]]</f>
        <v>0</v>
      </c>
      <c r="DQ82" s="257" cm="1">
        <f t="array" ref="DQ82">BedPlan[[#This Row],[Harvest Days September 2025]]/SUM(BedPlan[[#This Row],[Harvest Days January 2025]:[Harvest Days December 2026]])*BedPlan[[#This Row],[Revenue]:[Revenue]]</f>
        <v>0</v>
      </c>
      <c r="DR82" s="257" cm="1">
        <f t="array" ref="DR82">BedPlan[[#This Row],[Harvest Days October 2025]]/SUM(BedPlan[[#This Row],[Harvest Days January 2025]:[Harvest Days December 2026]])*BedPlan[[#This Row],[Revenue]:[Revenue]]</f>
        <v>0</v>
      </c>
      <c r="DS82" s="257" cm="1">
        <f t="array" ref="DS82">BedPlan[[#This Row],[Harvest Days November 2025]]/SUM(BedPlan[[#This Row],[Harvest Days January 2025]:[Harvest Days December 2026]])*BedPlan[[#This Row],[Revenue]:[Revenue]]</f>
        <v>0</v>
      </c>
      <c r="DT82" s="257" cm="1">
        <f t="array" ref="DT82">BedPlan[[#This Row],[Harvest Days December 2025]]/SUM(BedPlan[[#This Row],[Harvest Days January 2025]:[Harvest Days December 2026]])*BedPlan[[#This Row],[Revenue]:[Revenue]]</f>
        <v>0</v>
      </c>
      <c r="DU82" s="257" cm="1">
        <f t="array" ref="DU82">BedPlan[[#This Row],[Harvest Days January 2026]]/SUM(BedPlan[[#This Row],[Harvest Days January 2025]:[Harvest Days December 2026]])*BedPlan[[#This Row],[Revenue]:[Revenue]]</f>
        <v>0</v>
      </c>
      <c r="DV82" s="257" cm="1">
        <f t="array" ref="DV82">BedPlan[[#This Row],[Harvest Days February 2026]]/SUM(BedPlan[[#This Row],[Harvest Days January 2025]:[Harvest Days December 2026]])*BedPlan[[#This Row],[Revenue]:[Revenue]]</f>
        <v>0</v>
      </c>
      <c r="DW82" s="257" cm="1">
        <f t="array" ref="DW82">BedPlan[[#This Row],[Harvest Days March 2026]]/SUM(BedPlan[[#This Row],[Harvest Days January 2025]:[Harvest Days December 2026]])*BedPlan[[#This Row],[Revenue]:[Revenue]]</f>
        <v>0</v>
      </c>
      <c r="DX82" s="257" cm="1">
        <f t="array" ref="DX82">BedPlan[[#This Row],[Harvest Days April 2026]]/SUM(BedPlan[[#This Row],[Harvest Days January 2025]:[Harvest Days December 2026]])*BedPlan[[#This Row],[Revenue]:[Revenue]]</f>
        <v>0</v>
      </c>
      <c r="DY82" s="257" cm="1">
        <f t="array" ref="DY82">BedPlan[[#This Row],[Harvest Days May 2026]]/SUM(BedPlan[[#This Row],[Harvest Days January 2025]:[Harvest Days December 2026]])*BedPlan[[#This Row],[Revenue]:[Revenue]]</f>
        <v>0</v>
      </c>
      <c r="DZ82" s="257" cm="1">
        <f t="array" ref="DZ82">BedPlan[[#This Row],[Harvest Days June 2026]]/SUM(BedPlan[[#This Row],[Harvest Days January 2025]:[Harvest Days December 2026]])*BedPlan[[#This Row],[Revenue]:[Revenue]]</f>
        <v>0</v>
      </c>
      <c r="EA82" s="257" cm="1">
        <f t="array" ref="EA82">BedPlan[[#This Row],[Harvest Days July 2026]]/SUM(BedPlan[[#This Row],[Harvest Days January 2025]:[Harvest Days December 2026]])*BedPlan[[#This Row],[Revenue]:[Revenue]]</f>
        <v>0</v>
      </c>
      <c r="EB82" s="257" cm="1">
        <f t="array" ref="EB82">BedPlan[[#This Row],[Harvest Days August 2026]]/SUM(BedPlan[[#This Row],[Harvest Days January 2025]:[Harvest Days December 2026]])*BedPlan[[#This Row],[Revenue]:[Revenue]]</f>
        <v>0</v>
      </c>
      <c r="EC82" s="257" cm="1">
        <f t="array" ref="EC82">BedPlan[[#This Row],[Harvest Days September 2026]]/SUM(BedPlan[[#This Row],[Harvest Days January 2025]:[Harvest Days December 2026]])*BedPlan[[#This Row],[Revenue]:[Revenue]]</f>
        <v>0</v>
      </c>
      <c r="ED82" s="257" cm="1">
        <f t="array" ref="ED82">BedPlan[[#This Row],[Harvest Days October 2026]]/SUM(BedPlan[[#This Row],[Harvest Days January 2025]:[Harvest Days December 2026]])*BedPlan[[#This Row],[Revenue]:[Revenue]]</f>
        <v>0</v>
      </c>
      <c r="EE82" s="257" cm="1">
        <f t="array" ref="EE82">BedPlan[[#This Row],[Harvest Days November 2026]]/SUM(BedPlan[[#This Row],[Harvest Days January 2025]:[Harvest Days December 2026]])*BedPlan[[#This Row],[Revenue]:[Revenue]]</f>
        <v>0</v>
      </c>
      <c r="EF82" s="257" cm="1">
        <f t="array" ref="EF82">BedPlan[[#This Row],[Harvest Days December 2026]]/SUM(BedPlan[[#This Row],[Harvest Days January 2025]:[Harvest Days December 2026]])*BedPlan[[#This Row],[Revenue]:[Revenue]]</f>
        <v>0</v>
      </c>
      <c r="EG82" t="b">
        <f>SUM(BedPlan[[#This Row],[Revenue January 2025]:[Revenue December 2026]])=BedPlan[[#This Row],[Revenue]]</f>
        <v>1</v>
      </c>
      <c r="EH82" s="30" cm="1">
        <f t="array" ref="EH82">INDEX(Crops[],BedPlan[[#This Row],[Chart Index]],EH$4,1)*BedPlan[[#This Row],['# Of Beds]]</f>
        <v>134.08333333333331</v>
      </c>
      <c r="EI82" s="30" t="str" cm="1">
        <f t="array" ref="EI82">INDEX(Crops[],BedPlan[[#This Row],[Chart Index]],EI$4,1)</f>
        <v>Lb</v>
      </c>
      <c r="EJ82" s="30" t="str" cm="1">
        <f t="array" ref="EJ82">INDEX(Crops[],BedPlan[[#This Row],[Chart Index]],EJ$4,1)</f>
        <v>Loose Leaf</v>
      </c>
      <c r="EK82" s="30" t="str">
        <f>BedPlan[[#This Row],[Name]]&amp;" "&amp;BedPlan[[#This Row],[Product]]&amp; " - " &amp;BedPlan[[#This Row],[Unit]]</f>
        <v>Lettuce Loose Leaf - Lb</v>
      </c>
      <c r="EL82" s="33" cm="1">
        <f t="array" ref="EL82">BedPlan[[#This Row],[Harvest Days January 2025]]/SUM(BedPlan[[#This Row],[Harvest Days January 2025]:[Harvest Days December 2026]])*BedPlan[[#This Row],[Yield]:[Yield]]</f>
        <v>0</v>
      </c>
      <c r="EM82" s="33" cm="1">
        <f t="array" ref="EM82">BedPlan[[#This Row],[Harvest Days February 2025]]/SUM(BedPlan[[#This Row],[Harvest Days January 2025]:[Harvest Days December 2026]])*BedPlan[[#This Row],[Yield]:[Yield]]</f>
        <v>0</v>
      </c>
      <c r="EN82" s="33" cm="1">
        <f t="array" ref="EN82">BedPlan[[#This Row],[Harvest Days March 2025]]/SUM(BedPlan[[#This Row],[Harvest Days January 2025]:[Harvest Days December 2026]])*BedPlan[[#This Row],[Yield]:[Yield]]</f>
        <v>0</v>
      </c>
      <c r="EO82" s="33" cm="1">
        <f t="array" ref="EO82">BedPlan[[#This Row],[Harvest Days April 2025]]/SUM(BedPlan[[#This Row],[Harvest Days January 2025]:[Harvest Days December 2026]])*BedPlan[[#This Row],[Yield]:[Yield]]</f>
        <v>0</v>
      </c>
      <c r="EP82" s="33" cm="1">
        <f t="array" ref="EP82">BedPlan[[#This Row],[Harvest Days May 2025]]/SUM(BedPlan[[#This Row],[Harvest Days January 2025]:[Harvest Days December 2026]])*BedPlan[[#This Row],[Yield]:[Yield]]</f>
        <v>0</v>
      </c>
      <c r="EQ82" s="33" cm="1">
        <f t="array" ref="EQ82">BedPlan[[#This Row],[Harvest Days June 2025]]/SUM(BedPlan[[#This Row],[Harvest Days January 2025]:[Harvest Days December 2026]])*BedPlan[[#This Row],[Yield]:[Yield]]</f>
        <v>9.5773809523809508</v>
      </c>
      <c r="ER82" s="33" cm="1">
        <f t="array" ref="ER82">BedPlan[[#This Row],[Harvest Days July 2025]]/SUM(BedPlan[[#This Row],[Harvest Days January 2025]:[Harvest Days December 2026]])*BedPlan[[#This Row],[Yield]:[Yield]]</f>
        <v>124.50595238095237</v>
      </c>
      <c r="ES82" s="33" cm="1">
        <f t="array" ref="ES82">BedPlan[[#This Row],[Harvest Days August 2025]]/SUM(BedPlan[[#This Row],[Harvest Days January 2025]:[Harvest Days December 2026]])*BedPlan[[#This Row],[Yield]:[Yield]]</f>
        <v>0</v>
      </c>
      <c r="ET82" s="33" cm="1">
        <f t="array" ref="ET82">BedPlan[[#This Row],[Harvest Days September 2025]]/SUM(BedPlan[[#This Row],[Harvest Days January 2025]:[Harvest Days December 2026]])*BedPlan[[#This Row],[Yield]:[Yield]]</f>
        <v>0</v>
      </c>
      <c r="EU82" s="33" cm="1">
        <f t="array" ref="EU82">BedPlan[[#This Row],[Harvest Days October 2025]]/SUM(BedPlan[[#This Row],[Harvest Days January 2025]:[Harvest Days December 2026]])*BedPlan[[#This Row],[Yield]:[Yield]]</f>
        <v>0</v>
      </c>
      <c r="EV82" s="33" cm="1">
        <f t="array" ref="EV82">BedPlan[[#This Row],[Harvest Days November 2025]]/SUM(BedPlan[[#This Row],[Harvest Days January 2025]:[Harvest Days December 2026]])*BedPlan[[#This Row],[Yield]:[Yield]]</f>
        <v>0</v>
      </c>
      <c r="EW82" s="33" cm="1">
        <f t="array" ref="EW82">BedPlan[[#This Row],[Harvest Days December 2025]]/SUM(BedPlan[[#This Row],[Harvest Days January 2025]:[Harvest Days December 2026]])*BedPlan[[#This Row],[Yield]:[Yield]]</f>
        <v>0</v>
      </c>
    </row>
    <row r="83" spans="1:153" ht="15.75" customHeight="1">
      <c r="A83" s="179" t="s">
        <v>2303</v>
      </c>
      <c r="B83" s="240" t="s">
        <v>2769</v>
      </c>
      <c r="C83" t="s">
        <v>1477</v>
      </c>
      <c r="D83" s="226" cm="1">
        <f t="array" ref="D83">INDEX(Crops[],BedPlan[[#This Row],[Chart Index]],D$4,1)*BedPlan[[#This Row],[Full Bed Equivalent]]</f>
        <v>41.714814814814808</v>
      </c>
      <c r="E83" s="226" cm="1">
        <f t="array" ref="E83">INDEX(Crops[],BedPlan[[#This Row],[Chart Index]],E$4,1)*BedPlan[[#This Row],[Full Bed Equivalent]]</f>
        <v>178.77777777777774</v>
      </c>
      <c r="F83" t="str">
        <f>UPPER(LEFT(BedPlan[[#This Row],[Crop]],3))</f>
        <v>LET</v>
      </c>
      <c r="H83" s="143" t="str" cm="1">
        <f t="array" ref="H83">INDEX(Crops[],BedPlan[[#This Row],[Chart Index]],H$4,1)</f>
        <v>Lettuce</v>
      </c>
      <c r="I83" t="s">
        <v>2304</v>
      </c>
      <c r="K83" t="str" cm="1">
        <f t="array" ref="K83">IF(ISNUMBER(MATCH(BedPlan[[#This Row],[Variety]],SeedMixes[Name],)),_xlfn.TEXTJOIN(", ",TRUE,_xlfn._xlws.FILTER(SeedMixes[Variety &amp; Company],SeedMixes[Name]=BedPlan[[#This Row],[Variety]])),"")</f>
        <v>Green Sweet Crisp Johnny's, Intercut Johnny's, Red Sweet Crisp Johnny's, Salanova Red Oak Leaf Johnny's</v>
      </c>
      <c r="L83" s="33" cm="1">
        <f t="array" ref="L83">INDEX(Crops[],BedPlan[[#This Row],[Chart Index]],L$4,1)*BedPlan[[#This Row],[Full Bed Equivalent]]</f>
        <v>450.66666666666663</v>
      </c>
      <c r="N83">
        <f>1</f>
        <v>1</v>
      </c>
      <c r="O83">
        <f>MAX(BedPlan[[#This Row],['# Of Beds]],0.5)</f>
        <v>1</v>
      </c>
      <c r="P83" s="31">
        <f>IF(ISNUMBER(BedPlan[[#This Row],[Planned Greenhouse Start Date]]),BedPlan[[#This Row],[Planned Greenhouse Start Date]],BedPlan[[#This Row],[Planned TP or DS Date]])</f>
        <v>45811</v>
      </c>
      <c r="Q83" s="259">
        <f>IF(BedPlan[[#This Row],[Days in Cells]]=0,"",IFERROR(_xlfn.XLOOKUP(BedPlan[[#This Row],[Follows Crop]],BedPlan[Identifier],BedPlan[Expected End of Harvest]) + 1+BedPlan[[#This Row],[Follow Offset]],BedPlan[[#This Row],[Fixed Field Start Date]])-BedPlan[[#This Row],[Days in Cells]])</f>
        <v>45811</v>
      </c>
      <c r="R83" s="259">
        <v>45839</v>
      </c>
      <c r="S83" s="259">
        <f>IF(ISNUMBER(BedPlan[[#This Row],[Actual Greenhouse Date]]),BedPlan[[#This Row],[Actual Greenhouse Date]],BedPlan[[#This Row],[Planned Greenhouse Start Date]])</f>
        <v>45839</v>
      </c>
      <c r="T83" s="259">
        <f>_xlfn.XLOOKUP(BedPlan[[#This Row],[Crop]],Crops[Identifier],Crops[Target Field Date])+63</f>
        <v>45841</v>
      </c>
      <c r="U83" s="260"/>
      <c r="V83" s="260"/>
      <c r="W8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45869</v>
      </c>
      <c r="X83" s="259"/>
      <c r="Y83" s="271">
        <f>BedPlan[[#This Row],[Actual TP or DS Date]]-BedPlan[[#This Row],[Planned TP or DS Date]]</f>
        <v>-45869</v>
      </c>
      <c r="Z83" s="259">
        <f>IF(ISNUMBER(BedPlan[[#This Row],[Actual TP or DS Date]]),BedPlan[[#This Row],[Actual TP or DS Date]],BedPlan[[#This Row],[Planned TP or DS Date]])</f>
        <v>45869</v>
      </c>
      <c r="AA83" s="259"/>
      <c r="AB83" s="259">
        <f>IF(ISNUMBER(BedPlan[[#This Row],[Greenhouse Start Date]]),BedPlan[[#This Row],[Greenhouse Start Date]]+BedPlan[[#This Row],[DTM]],BedPlan[[#This Row],[TP or DS Date]]+BedPlan[[#This Row],[DTM]])</f>
        <v>45909</v>
      </c>
      <c r="AC83" s="259"/>
      <c r="AD83" s="259">
        <f>IF(ISNUMBER(BedPlan[[#This Row],[Actual Beginning of Harvest]]),BedPlan[[#This Row],[Actual Beginning of Harvest]],BedPlan[[#This Row],[Expected Beginning of Harvest]])</f>
        <v>45909</v>
      </c>
      <c r="AE83" s="259">
        <f>BedPlan[[#This Row],[Expected Beginning of Harvest]]+BedPlan[[#This Row],[Harvest Window]]+BedPlan[[#This Row],[Additional Days of Harvest]]</f>
        <v>45936</v>
      </c>
      <c r="AF83" s="259"/>
      <c r="AG83" s="259"/>
      <c r="AH83" s="31" t="b">
        <f>IF(AND( BedPlan[[#This Row],[Expected End of Harvest]] &gt;= DATE(2025, 8, 1), BedPlan[[#This Row],[Beginning of Harvest]] &lt;= DATE(2025, 8, 31) ), TRUE, FALSE)</f>
        <v>0</v>
      </c>
      <c r="AI83" s="31"/>
      <c r="AJ83" s="31">
        <f>IF(ISNUMBER(BedPlan[[#This Row],[Actual End of Harvest]]),BedPlan[[#This Row],[Actual End of Harvest]],BedPlan[[#This Row],[Expected End of Harvest]])</f>
        <v>45936</v>
      </c>
      <c r="AK83" t="b">
        <f>OR(ISNUMBER(BedPlan[[#This Row],[Actual Greenhouse Date]]),ISNUMBER(BedPlan[[#This Row],[Actual TP or DS Date]]))</f>
        <v>1</v>
      </c>
      <c r="AL83" s="52" t="b">
        <f>IF(ISNUMBER(BedPlan[[#This Row],[Planned Greenhouse Start Date]]),OR(ISNUMBER(BedPlan[[#This Row],[Actual TP or DS Date]]),BedPlan[[#This Row],[Failed]]),"-")</f>
        <v>0</v>
      </c>
      <c r="AM83" t="b">
        <f>OR(ISNUMBER(BedPlan[[#This Row],[Actual End of Harvest]]),BedPlan[[#This Row],[Failed]])</f>
        <v>0</v>
      </c>
      <c r="AN83" t="b">
        <f>OR(BedPlan[[#This Row],[Harvest Done]],BedPlan[[#This Row],[Failed]],BedPlan[[#This Row],[Name]]="Tarp")</f>
        <v>0</v>
      </c>
      <c r="AS83" s="26" t="str">
        <f>IF(BedPlan[[#This Row],[Broadfork]],BedPlan[[#This Row],[Actual TP or DS Date]],"")</f>
        <v/>
      </c>
      <c r="AT83" s="26" t="str">
        <f>IF(BedPlan[[#This Row],[Tilther]],BedPlan[[#This Row],[Actual TP or DS Date]],"")</f>
        <v/>
      </c>
      <c r="AU83" s="26" t="str">
        <f>IF(NOT(ISBLANK(BedPlan[[#This Row],[Amend]])),BedPlan[[#This Row],[Actual TP or DS Date]],"")</f>
        <v/>
      </c>
      <c r="AV83" s="26" t="str">
        <f>IF(BedPlan[[#This Row],[Row Cover]],BedPlan[[#This Row],[Actual TP or DS Date]],"")</f>
        <v/>
      </c>
      <c r="AX83" s="26"/>
      <c r="AZ83" s="26"/>
      <c r="BB83" s="26"/>
      <c r="BC83" s="231" cm="1">
        <f t="array" ref="BC83">INDEX(Crops[],BedPlan[[#This Row],[Chart Index]],BC$4,1)*BedPlan[[#This Row],[Full Bed Equivalent]]</f>
        <v>1340.833333333333</v>
      </c>
      <c r="BD83" s="231" cm="1">
        <f t="array" ref="BD83">INDEX(Crops[],BedPlan[[#This Row],[Chart Index]],BD$4,1)*BedPlan[[#This Row],[Full Bed Equivalent]]</f>
        <v>20.012437810945269</v>
      </c>
      <c r="BE83" cm="1">
        <f t="array" ref="BE83">INDEX(Crops[],BedPlan[[#This Row],[Chart Index]],BE$4,1)+BedPlan[[#This Row],[Additional Days in Cells]]+BedPlan[[#This Row],[Additional Days In Field]]</f>
        <v>70</v>
      </c>
      <c r="BG83" cm="1">
        <f t="array" ref="BG83">INDEX(Crops[],BedPlan[[#This Row],[Chart Index]],BG$4,1)</f>
        <v>27</v>
      </c>
      <c r="BH83" t="str">
        <f>IF(ISNUMBER(BedPlan[[#This Row],[Planned Greenhouse Start Date]]),"TP","DS")</f>
        <v>TP</v>
      </c>
      <c r="BI83">
        <f>BedPlan[[#This Row],['# Of Beds]]</f>
        <v>1</v>
      </c>
      <c r="BJ83" cm="1">
        <f t="array" ref="BJ83">INDEX(Crops[],BedPlan[[#This Row],[Chart Index]],BJ$4,1)</f>
        <v>30</v>
      </c>
      <c r="BK83" cm="1">
        <f t="array" ref="BK83">INDEX(Crops[],BedPlan[[#This Row],[Chart Index]],BK$4,1)</f>
        <v>4</v>
      </c>
      <c r="BL83" cm="1">
        <f t="array" ref="BL83">INDEX(Crops[],BedPlan[[#This Row],[Chart Index]],BL$4,1)</f>
        <v>9</v>
      </c>
      <c r="BM83" cm="1">
        <f t="array" ref="BM83">INDEX(Crops[],BedPlan[[#This Row],[Chart Index]],BM$4,1)</f>
        <v>1</v>
      </c>
      <c r="BN83" s="32" cm="1">
        <f t="array" ref="BN83">INDEX(Crops[],BedPlan[[#This Row],[Chart Index]],BN$4,1)*BedPlan[[#This Row],[Full Bed Equivalent]]</f>
        <v>266.66666666666663</v>
      </c>
      <c r="BO83" t="str" cm="1">
        <f t="array" ref="BO83">IF(INDEX(Crops[],BedPlan[[#This Row],[Chart Index]],BO$4,1)=0,"",INDEX(Crops[],BedPlan[[#This Row],[Chart Index]],BO$4,1))</f>
        <v/>
      </c>
      <c r="BP83">
        <f>MATCH(BedPlan[[#This Row],[Crop]],Crops[Identifier],FALSE)</f>
        <v>192</v>
      </c>
      <c r="BQ83" t="str" cm="1">
        <f t="array" ref="BQ83">INDEX(Crops[],BedPlan[[#This Row],[Chart Index]],BQ$4,1)</f>
        <v>Salanova</v>
      </c>
      <c r="BR83" t="str" cm="1">
        <f t="array" ref="BR83">INDEX(Crops[],BedPlan[[#This Row],[Chart Index]],BR$4,1)</f>
        <v>SuFa</v>
      </c>
      <c r="BS83" s="32">
        <f>BedPlan[[#This Row],[Expected Beginning of Harvest]]-DATE(2023,1,1)</f>
        <v>982</v>
      </c>
      <c r="BT83">
        <f>BedPlan[[#This Row],[Expected End of Harvest]]-BedPlan[[#This Row],[Expected Beginning of Harvest]]</f>
        <v>27</v>
      </c>
      <c r="BU83" cm="1">
        <f t="array" ref="BU83">INDEX(Crops[],BedPlan[[#This Row],[Chart Index]],BU$4,1)</f>
        <v>0</v>
      </c>
      <c r="BV83" cm="1">
        <f t="array" ref="BV83">INDEX(Crops[],BedPlan[[#This Row],[Chart Index]],BV$4,1)</f>
        <v>0</v>
      </c>
      <c r="BW83" cm="1">
        <f t="array" ref="BW83">INDEX(Crops[],BedPlan[[#This Row],[Chart Index]],BW$4,1)</f>
        <v>0</v>
      </c>
      <c r="BX83" cm="1">
        <f t="array" ref="BX83">INDEX(Crops[],BedPlan[[#This Row],[Chart Index]],BX$4,1)</f>
        <v>128</v>
      </c>
      <c r="BY83" cm="1">
        <f t="array" ref="BY83">INDEX(Crops[],BedPlan[[#This Row],[Chart Index]],BY$4,1)</f>
        <v>30</v>
      </c>
      <c r="BZ83" s="49" cm="1">
        <f t="array" ref="BZ83">IFERROR(INDEX(Crops[],BedPlan[[#This Row],[Chart Index]],BZ$4,1)*BedPlan[[#This Row],[Full Bed Equivalent]],"")</f>
        <v>2.708333333333333</v>
      </c>
      <c r="CA83" cm="1">
        <f t="array" ref="CA83">INDEX(Crops[],BedPlan[[#This Row],[Chart Index]],CA$4,1)</f>
        <v>0</v>
      </c>
      <c r="CB83" cm="1">
        <f t="array" ref="CB83">INDEX(Crops[],BedPlan[[#This Row],[Chart Index]],CB$4,1)</f>
        <v>0</v>
      </c>
      <c r="CC83" s="49" t="str" cm="1">
        <f t="array" ref="CC83">IFERROR(INDEX(Crops[],BedPlan[[#This Row],[Chart Index]],CC$4,1)*BedPlan[[#This Row],[Full Bed Equivalent]],"")</f>
        <v/>
      </c>
      <c r="CD83" cm="1">
        <f t="array" ref="CD83">INDEX(Crops[],BedPlan[[#This Row],[Chart Index]],CD$4,1)</f>
        <v>0</v>
      </c>
      <c r="CE83" cm="1">
        <f t="array" ref="CE83">IF(INDEX(Crops[],BedPlan[[#This Row],[Chart Index]],CE$4,1)="",0,INDEX(Crops[],BedPlan[[#This Row],[Chart Index]],CE$4,1))</f>
        <v>0</v>
      </c>
      <c r="CF83" s="49" t="str" cm="1">
        <f t="array" ref="CF83">IFERROR(INDEX(Crops[],BedPlan[[#This Row],[Chart Index]],CF$4,1)*BedPlan[[#This Row],[Full Bed Equivalent]],"")</f>
        <v/>
      </c>
      <c r="CG83" cm="1">
        <f t="array" ref="CG83">IF(INDEX(Crops[],BedPlan[[#This Row],[Chart Index]],CG$4,1)="",0,INDEX(Crops[],BedPlan[[#This Row],[Chart Index]],CG$4,1))</f>
        <v>1.3</v>
      </c>
      <c r="CH83" cm="1">
        <f t="array" ref="CH83">IF(INDEX(Crops[],BedPlan[[#This Row],[Chart Index]],CH$4,1)="",0,INDEX(Crops[],BedPlan[[#This Row],[Chart Index]],CH$4,1))</f>
        <v>0</v>
      </c>
      <c r="CI83" t="str" cm="1">
        <f t="array" ref="CI83">INDEX(Crops[],BedPlan[[#This Row],[Chart Index]],CI$4,1)</f>
        <v>Field</v>
      </c>
      <c r="CJ83" s="30" t="str">
        <f>_xlfn.TEXTJOIN(CHAR(10),FALSE,BedPlan[[#This Row],[Name]],BedPlan[[#This Row],[Variety]],BedPlan[[#This Row],[Company]])</f>
        <v xml:space="preserve">Lettuce
Salanova Mix
</v>
      </c>
      <c r="CK83" s="32">
        <f>MAX( 0, MIN(BedPlan[[#This Row],[Expected End of Harvest]], EOMONTH(CK$4, 0)) - MAX(BedPlan[[#This Row],[Beginning of Harvest]], CK$4) + 1 )</f>
        <v>0</v>
      </c>
      <c r="CL83">
        <f>MAX( 0, MIN(BedPlan[[#This Row],[Expected End of Harvest]], EOMONTH(CL$4, 0)) - MAX(BedPlan[[#This Row],[Beginning of Harvest]], CL$4) + 1 )</f>
        <v>0</v>
      </c>
      <c r="CM83">
        <f>MAX( 0, MIN(BedPlan[[#This Row],[Expected End of Harvest]], EOMONTH(CM$4, 0)) - MAX(BedPlan[[#This Row],[Beginning of Harvest]], CM$4) + 1 )</f>
        <v>0</v>
      </c>
      <c r="CN83">
        <f>MAX( 0, MIN(BedPlan[[#This Row],[Expected End of Harvest]], EOMONTH(CN$4, 0)) - MAX(BedPlan[[#This Row],[Beginning of Harvest]], CN$4) + 1 )</f>
        <v>0</v>
      </c>
      <c r="CO83">
        <f>MAX( 0, MIN(BedPlan[[#This Row],[Expected End of Harvest]], EOMONTH(CO$4, 0)) - MAX(BedPlan[[#This Row],[Beginning of Harvest]], CO$4) + 1 )</f>
        <v>0</v>
      </c>
      <c r="CP83">
        <f>MAX( 0, MIN(BedPlan[[#This Row],[Expected End of Harvest]], EOMONTH(CP$4, 0)) - MAX(BedPlan[[#This Row],[Beginning of Harvest]], CP$4) + 1 )</f>
        <v>0</v>
      </c>
      <c r="CQ83">
        <f>MAX( 0, MIN(BedPlan[[#This Row],[Expected End of Harvest]], EOMONTH(CQ$4, 0)) - MAX(BedPlan[[#This Row],[Beginning of Harvest]], CQ$4) + 1 )</f>
        <v>0</v>
      </c>
      <c r="CR83">
        <f>MAX( 0, MIN(BedPlan[[#This Row],[Expected End of Harvest]], EOMONTH(CR$4, 0)) - MAX(BedPlan[[#This Row],[Beginning of Harvest]], CR$4) + 1 )</f>
        <v>0</v>
      </c>
      <c r="CS83">
        <f>MAX( 0, MIN(BedPlan[[#This Row],[Expected End of Harvest]], EOMONTH(CS$4, 0)) - MAX(BedPlan[[#This Row],[Beginning of Harvest]], CS$4) + 1 )</f>
        <v>22</v>
      </c>
      <c r="CT83">
        <f>MAX( 0, MIN(BedPlan[[#This Row],[Expected End of Harvest]], EOMONTH(CT$4, 0)) - MAX(BedPlan[[#This Row],[Beginning of Harvest]], CT$4) + 1 )</f>
        <v>6</v>
      </c>
      <c r="CU83">
        <f>MAX( 0, MIN(BedPlan[[#This Row],[Expected End of Harvest]], EOMONTH(CU$4, 0)) - MAX(BedPlan[[#This Row],[Beginning of Harvest]], CU$4) + 1 )</f>
        <v>0</v>
      </c>
      <c r="CV83">
        <f>MAX( 0, MIN(BedPlan[[#This Row],[Expected End of Harvest]], EOMONTH(CV$4, 0)) - MAX(BedPlan[[#This Row],[Beginning of Harvest]], CV$4) + 1 )</f>
        <v>0</v>
      </c>
      <c r="CW83">
        <f>MAX( 0, MIN(BedPlan[[#This Row],[Expected End of Harvest]], EOMONTH(CW$4, 0)) - MAX(BedPlan[[#This Row],[Beginning of Harvest]], CW$4) + 1 )</f>
        <v>0</v>
      </c>
      <c r="CX83">
        <f>MAX( 0, MIN(BedPlan[[#This Row],[Expected End of Harvest]], EOMONTH(CX$4, 0)) - MAX(BedPlan[[#This Row],[Beginning of Harvest]], CX$4) + 1 )</f>
        <v>0</v>
      </c>
      <c r="CY83">
        <f>MAX( 0, MIN(BedPlan[[#This Row],[Expected End of Harvest]], EOMONTH(CY$4, 0)) - MAX(BedPlan[[#This Row],[Beginning of Harvest]], CY$4) + 1 )</f>
        <v>0</v>
      </c>
      <c r="CZ83">
        <f>MAX( 0, MIN(BedPlan[[#This Row],[Expected End of Harvest]], EOMONTH(CZ$4, 0)) - MAX(BedPlan[[#This Row],[Beginning of Harvest]], CZ$4) + 1 )</f>
        <v>0</v>
      </c>
      <c r="DA83">
        <f>MAX( 0, MIN(BedPlan[[#This Row],[Expected End of Harvest]], EOMONTH(DA$4, 0)) - MAX(BedPlan[[#This Row],[Beginning of Harvest]], DA$4) + 1 )</f>
        <v>0</v>
      </c>
      <c r="DB83">
        <f>MAX( 0, MIN(BedPlan[[#This Row],[Expected End of Harvest]], EOMONTH(DB$4, 0)) - MAX(BedPlan[[#This Row],[Beginning of Harvest]], DB$4) + 1 )</f>
        <v>0</v>
      </c>
      <c r="DC83">
        <f>MAX( 0, MIN(BedPlan[[#This Row],[Expected End of Harvest]], EOMONTH(DC$4, 0)) - MAX(BedPlan[[#This Row],[Beginning of Harvest]], DC$4) + 1 )</f>
        <v>0</v>
      </c>
      <c r="DD83">
        <f>MAX( 0, MIN(BedPlan[[#This Row],[Expected End of Harvest]], EOMONTH(DD$4, 0)) - MAX(BedPlan[[#This Row],[Beginning of Harvest]], DD$4) + 1 )</f>
        <v>0</v>
      </c>
      <c r="DE83">
        <f>MAX( 0, MIN(BedPlan[[#This Row],[Expected End of Harvest]], EOMONTH(DE$4, 0)) - MAX(BedPlan[[#This Row],[Beginning of Harvest]], DE$4) + 1 )</f>
        <v>0</v>
      </c>
      <c r="DF83">
        <f>MAX( 0, MIN(BedPlan[[#This Row],[Expected End of Harvest]], EOMONTH(DF$4, 0)) - MAX(BedPlan[[#This Row],[Beginning of Harvest]], DF$4) + 1 )</f>
        <v>0</v>
      </c>
      <c r="DG83">
        <f>MAX( 0, MIN(BedPlan[[#This Row],[Expected End of Harvest]], EOMONTH(DG$4, 0)) - MAX(BedPlan[[#This Row],[Beginning of Harvest]], DG$4) + 1 )</f>
        <v>0</v>
      </c>
      <c r="DH83">
        <f>MAX( 0, MIN(BedPlan[[#This Row],[Expected End of Harvest]], EOMONTH(DH$4, 0)) - MAX(BedPlan[[#This Row],[Beginning of Harvest]], DH$4) + 1 )</f>
        <v>0</v>
      </c>
      <c r="DI83" s="257" cm="1">
        <f t="array" ref="DI83">BedPlan[[#This Row],[Harvest Days January 2025]]/SUM(BedPlan[[#This Row],[Harvest Days January 2025]:[Harvest Days December 2026]])*BedPlan[[#This Row],[Revenue]:[Revenue]]</f>
        <v>0</v>
      </c>
      <c r="DJ83" s="257" cm="1">
        <f t="array" ref="DJ83">BedPlan[[#This Row],[Harvest Days February 2025]]/SUM(BedPlan[[#This Row],[Harvest Days January 2025]:[Harvest Days December 2026]])*BedPlan[[#This Row],[Revenue]:[Revenue]]</f>
        <v>0</v>
      </c>
      <c r="DK83" s="257" cm="1">
        <f t="array" ref="DK83">BedPlan[[#This Row],[Harvest Days March 2025]]/SUM(BedPlan[[#This Row],[Harvest Days January 2025]:[Harvest Days December 2026]])*BedPlan[[#This Row],[Revenue]:[Revenue]]</f>
        <v>0</v>
      </c>
      <c r="DL83" s="257" cm="1">
        <f t="array" ref="DL83">BedPlan[[#This Row],[Harvest Days April 2025]]/SUM(BedPlan[[#This Row],[Harvest Days January 2025]:[Harvest Days December 2026]])*BedPlan[[#This Row],[Revenue]:[Revenue]]</f>
        <v>0</v>
      </c>
      <c r="DM83" s="257" cm="1">
        <f t="array" ref="DM83">BedPlan[[#This Row],[Harvest Days May 2025]]/SUM(BedPlan[[#This Row],[Harvest Days January 2025]:[Harvest Days December 2026]])*BedPlan[[#This Row],[Revenue]:[Revenue]]</f>
        <v>0</v>
      </c>
      <c r="DN83" s="257" cm="1">
        <f t="array" ref="DN83">BedPlan[[#This Row],[Harvest Days June 2025]]/SUM(BedPlan[[#This Row],[Harvest Days January 2025]:[Harvest Days December 2026]])*BedPlan[[#This Row],[Revenue]:[Revenue]]</f>
        <v>0</v>
      </c>
      <c r="DO83" s="257" cm="1">
        <f t="array" ref="DO83">BedPlan[[#This Row],[Harvest Days July 2025]]/SUM(BedPlan[[#This Row],[Harvest Days January 2025]:[Harvest Days December 2026]])*BedPlan[[#This Row],[Revenue]:[Revenue]]</f>
        <v>0</v>
      </c>
      <c r="DP83" s="257" cm="1">
        <f t="array" ref="DP83">BedPlan[[#This Row],[Harvest Days August 2025]]/SUM(BedPlan[[#This Row],[Harvest Days January 2025]:[Harvest Days December 2026]])*BedPlan[[#This Row],[Revenue]:[Revenue]]</f>
        <v>0</v>
      </c>
      <c r="DQ83" s="257" cm="1">
        <f t="array" ref="DQ83">BedPlan[[#This Row],[Harvest Days September 2025]]/SUM(BedPlan[[#This Row],[Harvest Days January 2025]:[Harvest Days December 2026]])*BedPlan[[#This Row],[Revenue]:[Revenue]]</f>
        <v>1053.5119047619046</v>
      </c>
      <c r="DR83" s="257" cm="1">
        <f t="array" ref="DR83">BedPlan[[#This Row],[Harvest Days October 2025]]/SUM(BedPlan[[#This Row],[Harvest Days January 2025]:[Harvest Days December 2026]])*BedPlan[[#This Row],[Revenue]:[Revenue]]</f>
        <v>287.3214285714285</v>
      </c>
      <c r="DS83" s="257" cm="1">
        <f t="array" ref="DS83">BedPlan[[#This Row],[Harvest Days November 2025]]/SUM(BedPlan[[#This Row],[Harvest Days January 2025]:[Harvest Days December 2026]])*BedPlan[[#This Row],[Revenue]:[Revenue]]</f>
        <v>0</v>
      </c>
      <c r="DT83" s="257" cm="1">
        <f t="array" ref="DT83">BedPlan[[#This Row],[Harvest Days December 2025]]/SUM(BedPlan[[#This Row],[Harvest Days January 2025]:[Harvest Days December 2026]])*BedPlan[[#This Row],[Revenue]:[Revenue]]</f>
        <v>0</v>
      </c>
      <c r="DU83" s="257" cm="1">
        <f t="array" ref="DU83">BedPlan[[#This Row],[Harvest Days January 2026]]/SUM(BedPlan[[#This Row],[Harvest Days January 2025]:[Harvest Days December 2026]])*BedPlan[[#This Row],[Revenue]:[Revenue]]</f>
        <v>0</v>
      </c>
      <c r="DV83" s="257" cm="1">
        <f t="array" ref="DV83">BedPlan[[#This Row],[Harvest Days February 2026]]/SUM(BedPlan[[#This Row],[Harvest Days January 2025]:[Harvest Days December 2026]])*BedPlan[[#This Row],[Revenue]:[Revenue]]</f>
        <v>0</v>
      </c>
      <c r="DW83" s="257" cm="1">
        <f t="array" ref="DW83">BedPlan[[#This Row],[Harvest Days March 2026]]/SUM(BedPlan[[#This Row],[Harvest Days January 2025]:[Harvest Days December 2026]])*BedPlan[[#This Row],[Revenue]:[Revenue]]</f>
        <v>0</v>
      </c>
      <c r="DX83" s="257" cm="1">
        <f t="array" ref="DX83">BedPlan[[#This Row],[Harvest Days April 2026]]/SUM(BedPlan[[#This Row],[Harvest Days January 2025]:[Harvest Days December 2026]])*BedPlan[[#This Row],[Revenue]:[Revenue]]</f>
        <v>0</v>
      </c>
      <c r="DY83" s="257" cm="1">
        <f t="array" ref="DY83">BedPlan[[#This Row],[Harvest Days May 2026]]/SUM(BedPlan[[#This Row],[Harvest Days January 2025]:[Harvest Days December 2026]])*BedPlan[[#This Row],[Revenue]:[Revenue]]</f>
        <v>0</v>
      </c>
      <c r="DZ83" s="257" cm="1">
        <f t="array" ref="DZ83">BedPlan[[#This Row],[Harvest Days June 2026]]/SUM(BedPlan[[#This Row],[Harvest Days January 2025]:[Harvest Days December 2026]])*BedPlan[[#This Row],[Revenue]:[Revenue]]</f>
        <v>0</v>
      </c>
      <c r="EA83" s="257" cm="1">
        <f t="array" ref="EA83">BedPlan[[#This Row],[Harvest Days July 2026]]/SUM(BedPlan[[#This Row],[Harvest Days January 2025]:[Harvest Days December 2026]])*BedPlan[[#This Row],[Revenue]:[Revenue]]</f>
        <v>0</v>
      </c>
      <c r="EB83" s="257" cm="1">
        <f t="array" ref="EB83">BedPlan[[#This Row],[Harvest Days August 2026]]/SUM(BedPlan[[#This Row],[Harvest Days January 2025]:[Harvest Days December 2026]])*BedPlan[[#This Row],[Revenue]:[Revenue]]</f>
        <v>0</v>
      </c>
      <c r="EC83" s="257" cm="1">
        <f t="array" ref="EC83">BedPlan[[#This Row],[Harvest Days September 2026]]/SUM(BedPlan[[#This Row],[Harvest Days January 2025]:[Harvest Days December 2026]])*BedPlan[[#This Row],[Revenue]:[Revenue]]</f>
        <v>0</v>
      </c>
      <c r="ED83" s="257" cm="1">
        <f t="array" ref="ED83">BedPlan[[#This Row],[Harvest Days October 2026]]/SUM(BedPlan[[#This Row],[Harvest Days January 2025]:[Harvest Days December 2026]])*BedPlan[[#This Row],[Revenue]:[Revenue]]</f>
        <v>0</v>
      </c>
      <c r="EE83" s="257" cm="1">
        <f t="array" ref="EE83">BedPlan[[#This Row],[Harvest Days November 2026]]/SUM(BedPlan[[#This Row],[Harvest Days January 2025]:[Harvest Days December 2026]])*BedPlan[[#This Row],[Revenue]:[Revenue]]</f>
        <v>0</v>
      </c>
      <c r="EF83" s="257" cm="1">
        <f t="array" ref="EF83">BedPlan[[#This Row],[Harvest Days December 2026]]/SUM(BedPlan[[#This Row],[Harvest Days January 2025]:[Harvest Days December 2026]])*BedPlan[[#This Row],[Revenue]:[Revenue]]</f>
        <v>0</v>
      </c>
      <c r="EG83" t="b">
        <f>SUM(BedPlan[[#This Row],[Revenue January 2025]:[Revenue December 2026]])=BedPlan[[#This Row],[Revenue]]</f>
        <v>1</v>
      </c>
      <c r="EH83" s="30" cm="1">
        <f t="array" ref="EH83">INDEX(Crops[],BedPlan[[#This Row],[Chart Index]],EH$4,1)*BedPlan[[#This Row],['# Of Beds]]</f>
        <v>134.08333333333331</v>
      </c>
      <c r="EI83" s="30" t="str" cm="1">
        <f t="array" ref="EI83">INDEX(Crops[],BedPlan[[#This Row],[Chart Index]],EI$4,1)</f>
        <v>Lb</v>
      </c>
      <c r="EJ83" s="30" t="str" cm="1">
        <f t="array" ref="EJ83">INDEX(Crops[],BedPlan[[#This Row],[Chart Index]],EJ$4,1)</f>
        <v>Loose Leaf</v>
      </c>
      <c r="EK83" s="30" t="str">
        <f>BedPlan[[#This Row],[Name]]&amp;" "&amp;BedPlan[[#This Row],[Product]]&amp; " - " &amp;BedPlan[[#This Row],[Unit]]</f>
        <v>Lettuce Loose Leaf - Lb</v>
      </c>
      <c r="EL83" s="33" cm="1">
        <f t="array" ref="EL83">BedPlan[[#This Row],[Harvest Days January 2025]]/SUM(BedPlan[[#This Row],[Harvest Days January 2025]:[Harvest Days December 2026]])*BedPlan[[#This Row],[Yield]:[Yield]]</f>
        <v>0</v>
      </c>
      <c r="EM83" s="33" cm="1">
        <f t="array" ref="EM83">BedPlan[[#This Row],[Harvest Days February 2025]]/SUM(BedPlan[[#This Row],[Harvest Days January 2025]:[Harvest Days December 2026]])*BedPlan[[#This Row],[Yield]:[Yield]]</f>
        <v>0</v>
      </c>
      <c r="EN83" s="33" cm="1">
        <f t="array" ref="EN83">BedPlan[[#This Row],[Harvest Days March 2025]]/SUM(BedPlan[[#This Row],[Harvest Days January 2025]:[Harvest Days December 2026]])*BedPlan[[#This Row],[Yield]:[Yield]]</f>
        <v>0</v>
      </c>
      <c r="EO83" s="33" cm="1">
        <f t="array" ref="EO83">BedPlan[[#This Row],[Harvest Days April 2025]]/SUM(BedPlan[[#This Row],[Harvest Days January 2025]:[Harvest Days December 2026]])*BedPlan[[#This Row],[Yield]:[Yield]]</f>
        <v>0</v>
      </c>
      <c r="EP83" s="33" cm="1">
        <f t="array" ref="EP83">BedPlan[[#This Row],[Harvest Days May 2025]]/SUM(BedPlan[[#This Row],[Harvest Days January 2025]:[Harvest Days December 2026]])*BedPlan[[#This Row],[Yield]:[Yield]]</f>
        <v>0</v>
      </c>
      <c r="EQ83" s="33" cm="1">
        <f t="array" ref="EQ83">BedPlan[[#This Row],[Harvest Days June 2025]]/SUM(BedPlan[[#This Row],[Harvest Days January 2025]:[Harvest Days December 2026]])*BedPlan[[#This Row],[Yield]:[Yield]]</f>
        <v>0</v>
      </c>
      <c r="ER83" s="33" cm="1">
        <f t="array" ref="ER83">BedPlan[[#This Row],[Harvest Days July 2025]]/SUM(BedPlan[[#This Row],[Harvest Days January 2025]:[Harvest Days December 2026]])*BedPlan[[#This Row],[Yield]:[Yield]]</f>
        <v>0</v>
      </c>
      <c r="ES83" s="33" cm="1">
        <f t="array" ref="ES83">BedPlan[[#This Row],[Harvest Days August 2025]]/SUM(BedPlan[[#This Row],[Harvest Days January 2025]:[Harvest Days December 2026]])*BedPlan[[#This Row],[Yield]:[Yield]]</f>
        <v>0</v>
      </c>
      <c r="ET83" s="33" cm="1">
        <f t="array" ref="ET83">BedPlan[[#This Row],[Harvest Days September 2025]]/SUM(BedPlan[[#This Row],[Harvest Days January 2025]:[Harvest Days December 2026]])*BedPlan[[#This Row],[Yield]:[Yield]]</f>
        <v>105.35119047619045</v>
      </c>
      <c r="EU83" s="33" cm="1">
        <f t="array" ref="EU83">BedPlan[[#This Row],[Harvest Days October 2025]]/SUM(BedPlan[[#This Row],[Harvest Days January 2025]:[Harvest Days December 2026]])*BedPlan[[#This Row],[Yield]:[Yield]]</f>
        <v>28.732142857142851</v>
      </c>
      <c r="EV83" s="33" cm="1">
        <f t="array" ref="EV83">BedPlan[[#This Row],[Harvest Days November 2025]]/SUM(BedPlan[[#This Row],[Harvest Days January 2025]:[Harvest Days December 2026]])*BedPlan[[#This Row],[Yield]:[Yield]]</f>
        <v>0</v>
      </c>
      <c r="EW83" s="33" cm="1">
        <f t="array" ref="EW83">BedPlan[[#This Row],[Harvest Days December 2025]]/SUM(BedPlan[[#This Row],[Harvest Days January 2025]:[Harvest Days December 2026]])*BedPlan[[#This Row],[Yield]:[Yield]]</f>
        <v>0</v>
      </c>
    </row>
    <row r="84" spans="1:153" ht="15.75" customHeight="1">
      <c r="A84" s="179" t="s">
        <v>2303</v>
      </c>
      <c r="B84" s="240" t="s">
        <v>2771</v>
      </c>
      <c r="C84" t="s">
        <v>1476</v>
      </c>
      <c r="D84" s="226" cm="1">
        <f t="array" ref="D84">INDEX(Crops[],BedPlan[[#This Row],[Chart Index]],D$4,1)*BedPlan[[#This Row],[Full Bed Equivalent]]</f>
        <v>41.714814814814808</v>
      </c>
      <c r="E84" s="226" cm="1">
        <f t="array" ref="E84">INDEX(Crops[],BedPlan[[#This Row],[Chart Index]],E$4,1)*BedPlan[[#This Row],[Full Bed Equivalent]]</f>
        <v>178.77777777777774</v>
      </c>
      <c r="F84" t="str">
        <f>UPPER(LEFT(BedPlan[[#This Row],[Crop]],3))</f>
        <v>LET</v>
      </c>
      <c r="H84" s="143" t="str" cm="1">
        <f t="array" ref="H84">INDEX(Crops[],BedPlan[[#This Row],[Chart Index]],H$4,1)</f>
        <v>Lettuce</v>
      </c>
      <c r="I84" t="s">
        <v>2304</v>
      </c>
      <c r="K84" t="str" cm="1">
        <f t="array" ref="K84">IF(ISNUMBER(MATCH(BedPlan[[#This Row],[Variety]],SeedMixes[Name],)),_xlfn.TEXTJOIN(", ",TRUE,_xlfn._xlws.FILTER(SeedMixes[Variety &amp; Company],SeedMixes[Name]=BedPlan[[#This Row],[Variety]])),"")</f>
        <v>Green Sweet Crisp Johnny's, Intercut Johnny's, Red Sweet Crisp Johnny's, Salanova Red Oak Leaf Johnny's</v>
      </c>
      <c r="L84" s="33" cm="1">
        <f t="array" ref="L84">INDEX(Crops[],BedPlan[[#This Row],[Chart Index]],L$4,1)*BedPlan[[#This Row],[Full Bed Equivalent]]</f>
        <v>450.66666666666663</v>
      </c>
      <c r="N84">
        <f>1</f>
        <v>1</v>
      </c>
      <c r="O84">
        <f>MAX(BedPlan[[#This Row],['# Of Beds]],0.5)</f>
        <v>1</v>
      </c>
      <c r="P84" s="31">
        <f>IF(ISNUMBER(BedPlan[[#This Row],[Planned Greenhouse Start Date]]),BedPlan[[#This Row],[Planned Greenhouse Start Date]],BedPlan[[#This Row],[Planned TP or DS Date]])</f>
        <v>45853</v>
      </c>
      <c r="Q84" s="259">
        <f>IF(BedPlan[[#This Row],[Days in Cells]]=0,"",IFERROR(_xlfn.XLOOKUP(BedPlan[[#This Row],[Follows Crop]],BedPlan[Identifier],BedPlan[Expected End of Harvest]) + 1+BedPlan[[#This Row],[Follow Offset]],BedPlan[[#This Row],[Fixed Field Start Date]])-BedPlan[[#This Row],[Days in Cells]])</f>
        <v>45853</v>
      </c>
      <c r="R84" s="259"/>
      <c r="S84" s="259">
        <f>IF(ISNUMBER(BedPlan[[#This Row],[Actual Greenhouse Date]]),BedPlan[[#This Row],[Actual Greenhouse Date]],BedPlan[[#This Row],[Planned Greenhouse Start Date]])</f>
        <v>45853</v>
      </c>
      <c r="T84" s="259">
        <f>_xlfn.XLOOKUP(BedPlan[[#This Row],[Crop]],Crops[Identifier],Crops[Target Field Date])+105</f>
        <v>45883</v>
      </c>
      <c r="U84" s="260"/>
      <c r="V84" s="260"/>
      <c r="W8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45883</v>
      </c>
      <c r="X84" s="259"/>
      <c r="Y84" s="271">
        <f>BedPlan[[#This Row],[Actual TP or DS Date]]-BedPlan[[#This Row],[Planned TP or DS Date]]</f>
        <v>-45883</v>
      </c>
      <c r="Z84" s="259">
        <f>IF(ISNUMBER(BedPlan[[#This Row],[Actual TP or DS Date]]),BedPlan[[#This Row],[Actual TP or DS Date]],BedPlan[[#This Row],[Planned TP or DS Date]])</f>
        <v>45883</v>
      </c>
      <c r="AA84" s="259"/>
      <c r="AB84" s="259">
        <f>IF(ISNUMBER(BedPlan[[#This Row],[Greenhouse Start Date]]),BedPlan[[#This Row],[Greenhouse Start Date]]+BedPlan[[#This Row],[DTM]],BedPlan[[#This Row],[TP or DS Date]]+BedPlan[[#This Row],[DTM]])</f>
        <v>45923</v>
      </c>
      <c r="AC84" s="259"/>
      <c r="AD84" s="259">
        <f>IF(ISNUMBER(BedPlan[[#This Row],[Actual Beginning of Harvest]]),BedPlan[[#This Row],[Actual Beginning of Harvest]],BedPlan[[#This Row],[Expected Beginning of Harvest]])</f>
        <v>45923</v>
      </c>
      <c r="AE84" s="259">
        <f>BedPlan[[#This Row],[Expected Beginning of Harvest]]+BedPlan[[#This Row],[Harvest Window]]+BedPlan[[#This Row],[Additional Days of Harvest]]</f>
        <v>45950</v>
      </c>
      <c r="AF84" s="259"/>
      <c r="AG84" s="259"/>
      <c r="AH84" s="31" t="b">
        <f>IF(AND( BedPlan[[#This Row],[Expected End of Harvest]] &gt;= DATE(2025, 8, 1), BedPlan[[#This Row],[Beginning of Harvest]] &lt;= DATE(2025, 8, 31) ), TRUE, FALSE)</f>
        <v>0</v>
      </c>
      <c r="AI84" s="31"/>
      <c r="AJ84" s="31">
        <f>IF(ISNUMBER(BedPlan[[#This Row],[Actual End of Harvest]]),BedPlan[[#This Row],[Actual End of Harvest]],BedPlan[[#This Row],[Expected End of Harvest]])</f>
        <v>45950</v>
      </c>
      <c r="AK84" t="b">
        <f>OR(ISNUMBER(BedPlan[[#This Row],[Actual Greenhouse Date]]),ISNUMBER(BedPlan[[#This Row],[Actual TP or DS Date]]))</f>
        <v>0</v>
      </c>
      <c r="AL84" s="52" t="b">
        <f>IF(ISNUMBER(BedPlan[[#This Row],[Planned Greenhouse Start Date]]),OR(ISNUMBER(BedPlan[[#This Row],[Actual TP or DS Date]]),BedPlan[[#This Row],[Failed]]),"-")</f>
        <v>0</v>
      </c>
      <c r="AM84" t="b">
        <f>OR(ISNUMBER(BedPlan[[#This Row],[Actual End of Harvest]]),BedPlan[[#This Row],[Failed]])</f>
        <v>0</v>
      </c>
      <c r="AN84" t="b">
        <f>OR(BedPlan[[#This Row],[Harvest Done]],BedPlan[[#This Row],[Failed]],BedPlan[[#This Row],[Name]]="Tarp")</f>
        <v>0</v>
      </c>
      <c r="AS84" s="26" t="str">
        <f>IF(BedPlan[[#This Row],[Broadfork]],BedPlan[[#This Row],[Actual TP or DS Date]],"")</f>
        <v/>
      </c>
      <c r="AT84" s="26" t="str">
        <f>IF(BedPlan[[#This Row],[Tilther]],BedPlan[[#This Row],[Actual TP or DS Date]],"")</f>
        <v/>
      </c>
      <c r="AU84" s="26" t="str">
        <f>IF(NOT(ISBLANK(BedPlan[[#This Row],[Amend]])),BedPlan[[#This Row],[Actual TP or DS Date]],"")</f>
        <v/>
      </c>
      <c r="AV84" s="26" t="str">
        <f>IF(BedPlan[[#This Row],[Row Cover]],BedPlan[[#This Row],[Actual TP or DS Date]],"")</f>
        <v/>
      </c>
      <c r="AX84" s="26"/>
      <c r="AZ84" s="26"/>
      <c r="BB84" s="26"/>
      <c r="BC84" s="231" cm="1">
        <f t="array" ref="BC84">INDEX(Crops[],BedPlan[[#This Row],[Chart Index]],BC$4,1)*BedPlan[[#This Row],[Full Bed Equivalent]]</f>
        <v>1340.833333333333</v>
      </c>
      <c r="BD84" s="231" cm="1">
        <f t="array" ref="BD84">INDEX(Crops[],BedPlan[[#This Row],[Chart Index]],BD$4,1)*BedPlan[[#This Row],[Full Bed Equivalent]]</f>
        <v>20.012437810945269</v>
      </c>
      <c r="BE84" cm="1">
        <f t="array" ref="BE84">INDEX(Crops[],BedPlan[[#This Row],[Chart Index]],BE$4,1)+BedPlan[[#This Row],[Additional Days in Cells]]+BedPlan[[#This Row],[Additional Days In Field]]</f>
        <v>70</v>
      </c>
      <c r="BG84" cm="1">
        <f t="array" ref="BG84">INDEX(Crops[],BedPlan[[#This Row],[Chart Index]],BG$4,1)</f>
        <v>27</v>
      </c>
      <c r="BH84" t="str">
        <f>IF(ISNUMBER(BedPlan[[#This Row],[Planned Greenhouse Start Date]]),"TP","DS")</f>
        <v>TP</v>
      </c>
      <c r="BI84">
        <f>BedPlan[[#This Row],['# Of Beds]]</f>
        <v>1</v>
      </c>
      <c r="BJ84" cm="1">
        <f t="array" ref="BJ84">INDEX(Crops[],BedPlan[[#This Row],[Chart Index]],BJ$4,1)</f>
        <v>30</v>
      </c>
      <c r="BK84" cm="1">
        <f t="array" ref="BK84">INDEX(Crops[],BedPlan[[#This Row],[Chart Index]],BK$4,1)</f>
        <v>4</v>
      </c>
      <c r="BL84" cm="1">
        <f t="array" ref="BL84">INDEX(Crops[],BedPlan[[#This Row],[Chart Index]],BL$4,1)</f>
        <v>9</v>
      </c>
      <c r="BM84" cm="1">
        <f t="array" ref="BM84">INDEX(Crops[],BedPlan[[#This Row],[Chart Index]],BM$4,1)</f>
        <v>1</v>
      </c>
      <c r="BN84" s="32" cm="1">
        <f t="array" ref="BN84">INDEX(Crops[],BedPlan[[#This Row],[Chart Index]],BN$4,1)*BedPlan[[#This Row],[Full Bed Equivalent]]</f>
        <v>266.66666666666663</v>
      </c>
      <c r="BO84" t="str" cm="1">
        <f t="array" ref="BO84">IF(INDEX(Crops[],BedPlan[[#This Row],[Chart Index]],BO$4,1)=0,"",INDEX(Crops[],BedPlan[[#This Row],[Chart Index]],BO$4,1))</f>
        <v/>
      </c>
      <c r="BP84">
        <f>MATCH(BedPlan[[#This Row],[Crop]],Crops[Identifier],FALSE)</f>
        <v>192</v>
      </c>
      <c r="BQ84" t="str" cm="1">
        <f t="array" ref="BQ84">INDEX(Crops[],BedPlan[[#This Row],[Chart Index]],BQ$4,1)</f>
        <v>Salanova</v>
      </c>
      <c r="BR84" t="str" cm="1">
        <f t="array" ref="BR84">INDEX(Crops[],BedPlan[[#This Row],[Chart Index]],BR$4,1)</f>
        <v>SuFa</v>
      </c>
      <c r="BS84" s="32">
        <f>BedPlan[[#This Row],[Expected Beginning of Harvest]]-DATE(2023,1,1)</f>
        <v>996</v>
      </c>
      <c r="BT84">
        <f>BedPlan[[#This Row],[Expected End of Harvest]]-BedPlan[[#This Row],[Expected Beginning of Harvest]]</f>
        <v>27</v>
      </c>
      <c r="BU84" cm="1">
        <f t="array" ref="BU84">INDEX(Crops[],BedPlan[[#This Row],[Chart Index]],BU$4,1)</f>
        <v>0</v>
      </c>
      <c r="BV84" cm="1">
        <f t="array" ref="BV84">INDEX(Crops[],BedPlan[[#This Row],[Chart Index]],BV$4,1)</f>
        <v>0</v>
      </c>
      <c r="BW84" cm="1">
        <f t="array" ref="BW84">INDEX(Crops[],BedPlan[[#This Row],[Chart Index]],BW$4,1)</f>
        <v>0</v>
      </c>
      <c r="BX84" cm="1">
        <f t="array" ref="BX84">INDEX(Crops[],BedPlan[[#This Row],[Chart Index]],BX$4,1)</f>
        <v>128</v>
      </c>
      <c r="BY84" cm="1">
        <f t="array" ref="BY84">INDEX(Crops[],BedPlan[[#This Row],[Chart Index]],BY$4,1)</f>
        <v>30</v>
      </c>
      <c r="BZ84" s="49" cm="1">
        <f t="array" ref="BZ84">IFERROR(INDEX(Crops[],BedPlan[[#This Row],[Chart Index]],BZ$4,1)*BedPlan[[#This Row],[Full Bed Equivalent]],"")</f>
        <v>2.708333333333333</v>
      </c>
      <c r="CA84" cm="1">
        <f t="array" ref="CA84">INDEX(Crops[],BedPlan[[#This Row],[Chart Index]],CA$4,1)</f>
        <v>0</v>
      </c>
      <c r="CB84" cm="1">
        <f t="array" ref="CB84">INDEX(Crops[],BedPlan[[#This Row],[Chart Index]],CB$4,1)</f>
        <v>0</v>
      </c>
      <c r="CC84" s="49" t="str" cm="1">
        <f t="array" ref="CC84">IFERROR(INDEX(Crops[],BedPlan[[#This Row],[Chart Index]],CC$4,1)*BedPlan[[#This Row],[Full Bed Equivalent]],"")</f>
        <v/>
      </c>
      <c r="CD84" cm="1">
        <f t="array" ref="CD84">INDEX(Crops[],BedPlan[[#This Row],[Chart Index]],CD$4,1)</f>
        <v>0</v>
      </c>
      <c r="CE84" cm="1">
        <f t="array" ref="CE84">IF(INDEX(Crops[],BedPlan[[#This Row],[Chart Index]],CE$4,1)="",0,INDEX(Crops[],BedPlan[[#This Row],[Chart Index]],CE$4,1))</f>
        <v>0</v>
      </c>
      <c r="CF84" s="49" t="str" cm="1">
        <f t="array" ref="CF84">IFERROR(INDEX(Crops[],BedPlan[[#This Row],[Chart Index]],CF$4,1)*BedPlan[[#This Row],[Full Bed Equivalent]],"")</f>
        <v/>
      </c>
      <c r="CG84" cm="1">
        <f t="array" ref="CG84">IF(INDEX(Crops[],BedPlan[[#This Row],[Chart Index]],CG$4,1)="",0,INDEX(Crops[],BedPlan[[#This Row],[Chart Index]],CG$4,1))</f>
        <v>1.3</v>
      </c>
      <c r="CH84" cm="1">
        <f t="array" ref="CH84">IF(INDEX(Crops[],BedPlan[[#This Row],[Chart Index]],CH$4,1)="",0,INDEX(Crops[],BedPlan[[#This Row],[Chart Index]],CH$4,1))</f>
        <v>0</v>
      </c>
      <c r="CI84" t="str" cm="1">
        <f t="array" ref="CI84">INDEX(Crops[],BedPlan[[#This Row],[Chart Index]],CI$4,1)</f>
        <v>Field</v>
      </c>
      <c r="CJ84" s="30" t="str">
        <f>_xlfn.TEXTJOIN(CHAR(10),FALSE,BedPlan[[#This Row],[Name]],BedPlan[[#This Row],[Variety]],BedPlan[[#This Row],[Company]])</f>
        <v xml:space="preserve">Lettuce
Salanova Mix
</v>
      </c>
      <c r="CK84" s="32">
        <f>MAX( 0, MIN(BedPlan[[#This Row],[Expected End of Harvest]], EOMONTH(CK$4, 0)) - MAX(BedPlan[[#This Row],[Beginning of Harvest]], CK$4) + 1 )</f>
        <v>0</v>
      </c>
      <c r="CL84">
        <f>MAX( 0, MIN(BedPlan[[#This Row],[Expected End of Harvest]], EOMONTH(CL$4, 0)) - MAX(BedPlan[[#This Row],[Beginning of Harvest]], CL$4) + 1 )</f>
        <v>0</v>
      </c>
      <c r="CM84">
        <f>MAX( 0, MIN(BedPlan[[#This Row],[Expected End of Harvest]], EOMONTH(CM$4, 0)) - MAX(BedPlan[[#This Row],[Beginning of Harvest]], CM$4) + 1 )</f>
        <v>0</v>
      </c>
      <c r="CN84">
        <f>MAX( 0, MIN(BedPlan[[#This Row],[Expected End of Harvest]], EOMONTH(CN$4, 0)) - MAX(BedPlan[[#This Row],[Beginning of Harvest]], CN$4) + 1 )</f>
        <v>0</v>
      </c>
      <c r="CO84">
        <f>MAX( 0, MIN(BedPlan[[#This Row],[Expected End of Harvest]], EOMONTH(CO$4, 0)) - MAX(BedPlan[[#This Row],[Beginning of Harvest]], CO$4) + 1 )</f>
        <v>0</v>
      </c>
      <c r="CP84">
        <f>MAX( 0, MIN(BedPlan[[#This Row],[Expected End of Harvest]], EOMONTH(CP$4, 0)) - MAX(BedPlan[[#This Row],[Beginning of Harvest]], CP$4) + 1 )</f>
        <v>0</v>
      </c>
      <c r="CQ84">
        <f>MAX( 0, MIN(BedPlan[[#This Row],[Expected End of Harvest]], EOMONTH(CQ$4, 0)) - MAX(BedPlan[[#This Row],[Beginning of Harvest]], CQ$4) + 1 )</f>
        <v>0</v>
      </c>
      <c r="CR84">
        <f>MAX( 0, MIN(BedPlan[[#This Row],[Expected End of Harvest]], EOMONTH(CR$4, 0)) - MAX(BedPlan[[#This Row],[Beginning of Harvest]], CR$4) + 1 )</f>
        <v>0</v>
      </c>
      <c r="CS84">
        <f>MAX( 0, MIN(BedPlan[[#This Row],[Expected End of Harvest]], EOMONTH(CS$4, 0)) - MAX(BedPlan[[#This Row],[Beginning of Harvest]], CS$4) + 1 )</f>
        <v>8</v>
      </c>
      <c r="CT84">
        <f>MAX( 0, MIN(BedPlan[[#This Row],[Expected End of Harvest]], EOMONTH(CT$4, 0)) - MAX(BedPlan[[#This Row],[Beginning of Harvest]], CT$4) + 1 )</f>
        <v>20</v>
      </c>
      <c r="CU84">
        <f>MAX( 0, MIN(BedPlan[[#This Row],[Expected End of Harvest]], EOMONTH(CU$4, 0)) - MAX(BedPlan[[#This Row],[Beginning of Harvest]], CU$4) + 1 )</f>
        <v>0</v>
      </c>
      <c r="CV84">
        <f>MAX( 0, MIN(BedPlan[[#This Row],[Expected End of Harvest]], EOMONTH(CV$4, 0)) - MAX(BedPlan[[#This Row],[Beginning of Harvest]], CV$4) + 1 )</f>
        <v>0</v>
      </c>
      <c r="CW84">
        <f>MAX( 0, MIN(BedPlan[[#This Row],[Expected End of Harvest]], EOMONTH(CW$4, 0)) - MAX(BedPlan[[#This Row],[Beginning of Harvest]], CW$4) + 1 )</f>
        <v>0</v>
      </c>
      <c r="CX84">
        <f>MAX( 0, MIN(BedPlan[[#This Row],[Expected End of Harvest]], EOMONTH(CX$4, 0)) - MAX(BedPlan[[#This Row],[Beginning of Harvest]], CX$4) + 1 )</f>
        <v>0</v>
      </c>
      <c r="CY84">
        <f>MAX( 0, MIN(BedPlan[[#This Row],[Expected End of Harvest]], EOMONTH(CY$4, 0)) - MAX(BedPlan[[#This Row],[Beginning of Harvest]], CY$4) + 1 )</f>
        <v>0</v>
      </c>
      <c r="CZ84">
        <f>MAX( 0, MIN(BedPlan[[#This Row],[Expected End of Harvest]], EOMONTH(CZ$4, 0)) - MAX(BedPlan[[#This Row],[Beginning of Harvest]], CZ$4) + 1 )</f>
        <v>0</v>
      </c>
      <c r="DA84">
        <f>MAX( 0, MIN(BedPlan[[#This Row],[Expected End of Harvest]], EOMONTH(DA$4, 0)) - MAX(BedPlan[[#This Row],[Beginning of Harvest]], DA$4) + 1 )</f>
        <v>0</v>
      </c>
      <c r="DB84">
        <f>MAX( 0, MIN(BedPlan[[#This Row],[Expected End of Harvest]], EOMONTH(DB$4, 0)) - MAX(BedPlan[[#This Row],[Beginning of Harvest]], DB$4) + 1 )</f>
        <v>0</v>
      </c>
      <c r="DC84">
        <f>MAX( 0, MIN(BedPlan[[#This Row],[Expected End of Harvest]], EOMONTH(DC$4, 0)) - MAX(BedPlan[[#This Row],[Beginning of Harvest]], DC$4) + 1 )</f>
        <v>0</v>
      </c>
      <c r="DD84">
        <f>MAX( 0, MIN(BedPlan[[#This Row],[Expected End of Harvest]], EOMONTH(DD$4, 0)) - MAX(BedPlan[[#This Row],[Beginning of Harvest]], DD$4) + 1 )</f>
        <v>0</v>
      </c>
      <c r="DE84">
        <f>MAX( 0, MIN(BedPlan[[#This Row],[Expected End of Harvest]], EOMONTH(DE$4, 0)) - MAX(BedPlan[[#This Row],[Beginning of Harvest]], DE$4) + 1 )</f>
        <v>0</v>
      </c>
      <c r="DF84">
        <f>MAX( 0, MIN(BedPlan[[#This Row],[Expected End of Harvest]], EOMONTH(DF$4, 0)) - MAX(BedPlan[[#This Row],[Beginning of Harvest]], DF$4) + 1 )</f>
        <v>0</v>
      </c>
      <c r="DG84">
        <f>MAX( 0, MIN(BedPlan[[#This Row],[Expected End of Harvest]], EOMONTH(DG$4, 0)) - MAX(BedPlan[[#This Row],[Beginning of Harvest]], DG$4) + 1 )</f>
        <v>0</v>
      </c>
      <c r="DH84">
        <f>MAX( 0, MIN(BedPlan[[#This Row],[Expected End of Harvest]], EOMONTH(DH$4, 0)) - MAX(BedPlan[[#This Row],[Beginning of Harvest]], DH$4) + 1 )</f>
        <v>0</v>
      </c>
      <c r="DI84" s="257" cm="1">
        <f t="array" ref="DI84">BedPlan[[#This Row],[Harvest Days January 2025]]/SUM(BedPlan[[#This Row],[Harvest Days January 2025]:[Harvest Days December 2026]])*BedPlan[[#This Row],[Revenue]:[Revenue]]</f>
        <v>0</v>
      </c>
      <c r="DJ84" s="257" cm="1">
        <f t="array" ref="DJ84">BedPlan[[#This Row],[Harvest Days February 2025]]/SUM(BedPlan[[#This Row],[Harvest Days January 2025]:[Harvest Days December 2026]])*BedPlan[[#This Row],[Revenue]:[Revenue]]</f>
        <v>0</v>
      </c>
      <c r="DK84" s="257" cm="1">
        <f t="array" ref="DK84">BedPlan[[#This Row],[Harvest Days March 2025]]/SUM(BedPlan[[#This Row],[Harvest Days January 2025]:[Harvest Days December 2026]])*BedPlan[[#This Row],[Revenue]:[Revenue]]</f>
        <v>0</v>
      </c>
      <c r="DL84" s="257" cm="1">
        <f t="array" ref="DL84">BedPlan[[#This Row],[Harvest Days April 2025]]/SUM(BedPlan[[#This Row],[Harvest Days January 2025]:[Harvest Days December 2026]])*BedPlan[[#This Row],[Revenue]:[Revenue]]</f>
        <v>0</v>
      </c>
      <c r="DM84" s="257" cm="1">
        <f t="array" ref="DM84">BedPlan[[#This Row],[Harvest Days May 2025]]/SUM(BedPlan[[#This Row],[Harvest Days January 2025]:[Harvest Days December 2026]])*BedPlan[[#This Row],[Revenue]:[Revenue]]</f>
        <v>0</v>
      </c>
      <c r="DN84" s="257" cm="1">
        <f t="array" ref="DN84">BedPlan[[#This Row],[Harvest Days June 2025]]/SUM(BedPlan[[#This Row],[Harvest Days January 2025]:[Harvest Days December 2026]])*BedPlan[[#This Row],[Revenue]:[Revenue]]</f>
        <v>0</v>
      </c>
      <c r="DO84" s="257" cm="1">
        <f t="array" ref="DO84">BedPlan[[#This Row],[Harvest Days July 2025]]/SUM(BedPlan[[#This Row],[Harvest Days January 2025]:[Harvest Days December 2026]])*BedPlan[[#This Row],[Revenue]:[Revenue]]</f>
        <v>0</v>
      </c>
      <c r="DP84" s="257" cm="1">
        <f t="array" ref="DP84">BedPlan[[#This Row],[Harvest Days August 2025]]/SUM(BedPlan[[#This Row],[Harvest Days January 2025]:[Harvest Days December 2026]])*BedPlan[[#This Row],[Revenue]:[Revenue]]</f>
        <v>0</v>
      </c>
      <c r="DQ84" s="257" cm="1">
        <f t="array" ref="DQ84">BedPlan[[#This Row],[Harvest Days September 2025]]/SUM(BedPlan[[#This Row],[Harvest Days January 2025]:[Harvest Days December 2026]])*BedPlan[[#This Row],[Revenue]:[Revenue]]</f>
        <v>383.09523809523796</v>
      </c>
      <c r="DR84" s="257" cm="1">
        <f t="array" ref="DR84">BedPlan[[#This Row],[Harvest Days October 2025]]/SUM(BedPlan[[#This Row],[Harvest Days January 2025]:[Harvest Days December 2026]])*BedPlan[[#This Row],[Revenue]:[Revenue]]</f>
        <v>957.73809523809507</v>
      </c>
      <c r="DS84" s="257" cm="1">
        <f t="array" ref="DS84">BedPlan[[#This Row],[Harvest Days November 2025]]/SUM(BedPlan[[#This Row],[Harvest Days January 2025]:[Harvest Days December 2026]])*BedPlan[[#This Row],[Revenue]:[Revenue]]</f>
        <v>0</v>
      </c>
      <c r="DT84" s="257" cm="1">
        <f t="array" ref="DT84">BedPlan[[#This Row],[Harvest Days December 2025]]/SUM(BedPlan[[#This Row],[Harvest Days January 2025]:[Harvest Days December 2026]])*BedPlan[[#This Row],[Revenue]:[Revenue]]</f>
        <v>0</v>
      </c>
      <c r="DU84" s="257" cm="1">
        <f t="array" ref="DU84">BedPlan[[#This Row],[Harvest Days January 2026]]/SUM(BedPlan[[#This Row],[Harvest Days January 2025]:[Harvest Days December 2026]])*BedPlan[[#This Row],[Revenue]:[Revenue]]</f>
        <v>0</v>
      </c>
      <c r="DV84" s="257" cm="1">
        <f t="array" ref="DV84">BedPlan[[#This Row],[Harvest Days February 2026]]/SUM(BedPlan[[#This Row],[Harvest Days January 2025]:[Harvest Days December 2026]])*BedPlan[[#This Row],[Revenue]:[Revenue]]</f>
        <v>0</v>
      </c>
      <c r="DW84" s="257" cm="1">
        <f t="array" ref="DW84">BedPlan[[#This Row],[Harvest Days March 2026]]/SUM(BedPlan[[#This Row],[Harvest Days January 2025]:[Harvest Days December 2026]])*BedPlan[[#This Row],[Revenue]:[Revenue]]</f>
        <v>0</v>
      </c>
      <c r="DX84" s="257" cm="1">
        <f t="array" ref="DX84">BedPlan[[#This Row],[Harvest Days April 2026]]/SUM(BedPlan[[#This Row],[Harvest Days January 2025]:[Harvest Days December 2026]])*BedPlan[[#This Row],[Revenue]:[Revenue]]</f>
        <v>0</v>
      </c>
      <c r="DY84" s="257" cm="1">
        <f t="array" ref="DY84">BedPlan[[#This Row],[Harvest Days May 2026]]/SUM(BedPlan[[#This Row],[Harvest Days January 2025]:[Harvest Days December 2026]])*BedPlan[[#This Row],[Revenue]:[Revenue]]</f>
        <v>0</v>
      </c>
      <c r="DZ84" s="257" cm="1">
        <f t="array" ref="DZ84">BedPlan[[#This Row],[Harvest Days June 2026]]/SUM(BedPlan[[#This Row],[Harvest Days January 2025]:[Harvest Days December 2026]])*BedPlan[[#This Row],[Revenue]:[Revenue]]</f>
        <v>0</v>
      </c>
      <c r="EA84" s="257" cm="1">
        <f t="array" ref="EA84">BedPlan[[#This Row],[Harvest Days July 2026]]/SUM(BedPlan[[#This Row],[Harvest Days January 2025]:[Harvest Days December 2026]])*BedPlan[[#This Row],[Revenue]:[Revenue]]</f>
        <v>0</v>
      </c>
      <c r="EB84" s="257" cm="1">
        <f t="array" ref="EB84">BedPlan[[#This Row],[Harvest Days August 2026]]/SUM(BedPlan[[#This Row],[Harvest Days January 2025]:[Harvest Days December 2026]])*BedPlan[[#This Row],[Revenue]:[Revenue]]</f>
        <v>0</v>
      </c>
      <c r="EC84" s="257" cm="1">
        <f t="array" ref="EC84">BedPlan[[#This Row],[Harvest Days September 2026]]/SUM(BedPlan[[#This Row],[Harvest Days January 2025]:[Harvest Days December 2026]])*BedPlan[[#This Row],[Revenue]:[Revenue]]</f>
        <v>0</v>
      </c>
      <c r="ED84" s="257" cm="1">
        <f t="array" ref="ED84">BedPlan[[#This Row],[Harvest Days October 2026]]/SUM(BedPlan[[#This Row],[Harvest Days January 2025]:[Harvest Days December 2026]])*BedPlan[[#This Row],[Revenue]:[Revenue]]</f>
        <v>0</v>
      </c>
      <c r="EE84" s="257" cm="1">
        <f t="array" ref="EE84">BedPlan[[#This Row],[Harvest Days November 2026]]/SUM(BedPlan[[#This Row],[Harvest Days January 2025]:[Harvest Days December 2026]])*BedPlan[[#This Row],[Revenue]:[Revenue]]</f>
        <v>0</v>
      </c>
      <c r="EF84" s="257" cm="1">
        <f t="array" ref="EF84">BedPlan[[#This Row],[Harvest Days December 2026]]/SUM(BedPlan[[#This Row],[Harvest Days January 2025]:[Harvest Days December 2026]])*BedPlan[[#This Row],[Revenue]:[Revenue]]</f>
        <v>0</v>
      </c>
      <c r="EG84" t="b">
        <f>SUM(BedPlan[[#This Row],[Revenue January 2025]:[Revenue December 2026]])=BedPlan[[#This Row],[Revenue]]</f>
        <v>1</v>
      </c>
      <c r="EH84" s="30" cm="1">
        <f t="array" ref="EH84">INDEX(Crops[],BedPlan[[#This Row],[Chart Index]],EH$4,1)*BedPlan[[#This Row],['# Of Beds]]</f>
        <v>134.08333333333331</v>
      </c>
      <c r="EI84" s="30" t="str" cm="1">
        <f t="array" ref="EI84">INDEX(Crops[],BedPlan[[#This Row],[Chart Index]],EI$4,1)</f>
        <v>Lb</v>
      </c>
      <c r="EJ84" s="30" t="str" cm="1">
        <f t="array" ref="EJ84">INDEX(Crops[],BedPlan[[#This Row],[Chart Index]],EJ$4,1)</f>
        <v>Loose Leaf</v>
      </c>
      <c r="EK84" s="30" t="str">
        <f>BedPlan[[#This Row],[Name]]&amp;" "&amp;BedPlan[[#This Row],[Product]]&amp; " - " &amp;BedPlan[[#This Row],[Unit]]</f>
        <v>Lettuce Loose Leaf - Lb</v>
      </c>
      <c r="EL84" s="33" cm="1">
        <f t="array" ref="EL84">BedPlan[[#This Row],[Harvest Days January 2025]]/SUM(BedPlan[[#This Row],[Harvest Days January 2025]:[Harvest Days December 2026]])*BedPlan[[#This Row],[Yield]:[Yield]]</f>
        <v>0</v>
      </c>
      <c r="EM84" s="33" cm="1">
        <f t="array" ref="EM84">BedPlan[[#This Row],[Harvest Days February 2025]]/SUM(BedPlan[[#This Row],[Harvest Days January 2025]:[Harvest Days December 2026]])*BedPlan[[#This Row],[Yield]:[Yield]]</f>
        <v>0</v>
      </c>
      <c r="EN84" s="33" cm="1">
        <f t="array" ref="EN84">BedPlan[[#This Row],[Harvest Days March 2025]]/SUM(BedPlan[[#This Row],[Harvest Days January 2025]:[Harvest Days December 2026]])*BedPlan[[#This Row],[Yield]:[Yield]]</f>
        <v>0</v>
      </c>
      <c r="EO84" s="33" cm="1">
        <f t="array" ref="EO84">BedPlan[[#This Row],[Harvest Days April 2025]]/SUM(BedPlan[[#This Row],[Harvest Days January 2025]:[Harvest Days December 2026]])*BedPlan[[#This Row],[Yield]:[Yield]]</f>
        <v>0</v>
      </c>
      <c r="EP84" s="33" cm="1">
        <f t="array" ref="EP84">BedPlan[[#This Row],[Harvest Days May 2025]]/SUM(BedPlan[[#This Row],[Harvest Days January 2025]:[Harvest Days December 2026]])*BedPlan[[#This Row],[Yield]:[Yield]]</f>
        <v>0</v>
      </c>
      <c r="EQ84" s="33" cm="1">
        <f t="array" ref="EQ84">BedPlan[[#This Row],[Harvest Days June 2025]]/SUM(BedPlan[[#This Row],[Harvest Days January 2025]:[Harvest Days December 2026]])*BedPlan[[#This Row],[Yield]:[Yield]]</f>
        <v>0</v>
      </c>
      <c r="ER84" s="33" cm="1">
        <f t="array" ref="ER84">BedPlan[[#This Row],[Harvest Days July 2025]]/SUM(BedPlan[[#This Row],[Harvest Days January 2025]:[Harvest Days December 2026]])*BedPlan[[#This Row],[Yield]:[Yield]]</f>
        <v>0</v>
      </c>
      <c r="ES84" s="33" cm="1">
        <f t="array" ref="ES84">BedPlan[[#This Row],[Harvest Days August 2025]]/SUM(BedPlan[[#This Row],[Harvest Days January 2025]:[Harvest Days December 2026]])*BedPlan[[#This Row],[Yield]:[Yield]]</f>
        <v>0</v>
      </c>
      <c r="ET84" s="33" cm="1">
        <f t="array" ref="ET84">BedPlan[[#This Row],[Harvest Days September 2025]]/SUM(BedPlan[[#This Row],[Harvest Days January 2025]:[Harvest Days December 2026]])*BedPlan[[#This Row],[Yield]:[Yield]]</f>
        <v>38.309523809523803</v>
      </c>
      <c r="EU84" s="33" cm="1">
        <f t="array" ref="EU84">BedPlan[[#This Row],[Harvest Days October 2025]]/SUM(BedPlan[[#This Row],[Harvest Days January 2025]:[Harvest Days December 2026]])*BedPlan[[#This Row],[Yield]:[Yield]]</f>
        <v>95.773809523809518</v>
      </c>
      <c r="EV84" s="33" cm="1">
        <f t="array" ref="EV84">BedPlan[[#This Row],[Harvest Days November 2025]]/SUM(BedPlan[[#This Row],[Harvest Days January 2025]:[Harvest Days December 2026]])*BedPlan[[#This Row],[Yield]:[Yield]]</f>
        <v>0</v>
      </c>
      <c r="EW84" s="33" cm="1">
        <f t="array" ref="EW84">BedPlan[[#This Row],[Harvest Days December 2025]]/SUM(BedPlan[[#This Row],[Harvest Days January 2025]:[Harvest Days December 2026]])*BedPlan[[#This Row],[Yield]:[Yield]]</f>
        <v>0</v>
      </c>
    </row>
    <row r="85" spans="1:153" ht="15.75" customHeight="1">
      <c r="A85" s="179" t="s">
        <v>2727</v>
      </c>
      <c r="B85" t="s">
        <v>2709</v>
      </c>
      <c r="C85" t="s">
        <v>1429</v>
      </c>
      <c r="D85" cm="1">
        <f t="array" ref="D85">INDEX(Crops[],BedPlan[[#This Row],[Chart Index]],D$4,1)*BedPlan[[#This Row],[Full Bed Equivalent]]</f>
        <v>49.871111111111098</v>
      </c>
      <c r="E85" cm="1">
        <f t="array" ref="E85">INDEX(Crops[],BedPlan[[#This Row],[Chart Index]],E$4,1)*BedPlan[[#This Row],[Full Bed Equivalent]]</f>
        <v>356.22222222222217</v>
      </c>
      <c r="F85" t="str">
        <f>UPPER(LEFT(BedPlan[[#This Row],[Crop]],3))</f>
        <v>LET</v>
      </c>
      <c r="H85" s="143" t="str" cm="1">
        <f t="array" ref="H85">INDEX(Crops[],BedPlan[[#This Row],[Chart Index]],H$4,1)</f>
        <v>Lettuce</v>
      </c>
      <c r="I85" t="s">
        <v>2304</v>
      </c>
      <c r="K85" t="str" cm="1">
        <f t="array" ref="K85">IF(ISNUMBER(MATCH(BedPlan[[#This Row],[Variety]],SeedMixes[Name],)),_xlfn.TEXTJOIN(", ",TRUE,_xlfn._xlws.FILTER(SeedMixes[Variety &amp; Company],SeedMixes[Name]=BedPlan[[#This Row],[Variety]])),"")</f>
        <v>Green Sweet Crisp Johnny's, Intercut Johnny's, Red Sweet Crisp Johnny's, Salanova Red Oak Leaf Johnny's</v>
      </c>
      <c r="L85" s="33" cm="1">
        <f t="array" ref="L85">INDEX(Crops[],BedPlan[[#This Row],[Chart Index]],L$4,1)*BedPlan[[#This Row],[Full Bed Equivalent]]</f>
        <v>450.66666666666663</v>
      </c>
      <c r="N85">
        <f>1</f>
        <v>1</v>
      </c>
      <c r="O85">
        <f>MAX(BedPlan[[#This Row],['# Of Beds]],0.5)</f>
        <v>1</v>
      </c>
      <c r="P85" s="31">
        <f>IF(ISNUMBER(BedPlan[[#This Row],[Planned Greenhouse Start Date]]),BedPlan[[#This Row],[Planned Greenhouse Start Date]],BedPlan[[#This Row],[Planned TP or DS Date]])</f>
        <v>45713</v>
      </c>
      <c r="Q85" s="259">
        <f>IF(BedPlan[[#This Row],[Days in Cells]]=0,"",IFERROR(_xlfn.XLOOKUP(BedPlan[[#This Row],[Follows Crop]],BedPlan[Identifier],BedPlan[Expected End of Harvest]) + 1+BedPlan[[#This Row],[Follow Offset]],BedPlan[[#This Row],[Fixed Field Start Date]])-BedPlan[[#This Row],[Days in Cells]])</f>
        <v>45713</v>
      </c>
      <c r="R85" s="259">
        <v>45744</v>
      </c>
      <c r="S85" s="259">
        <f>IF(ISNUMBER(BedPlan[[#This Row],[Actual Greenhouse Date]]),BedPlan[[#This Row],[Actual Greenhouse Date]],BedPlan[[#This Row],[Planned Greenhouse Start Date]])</f>
        <v>45744</v>
      </c>
      <c r="T85" s="259">
        <f>_xlfn.XLOOKUP(BedPlan[[#This Row],[Crop]],Crops[Identifier],Crops[Target Field Date])</f>
        <v>45743</v>
      </c>
      <c r="U85" s="260"/>
      <c r="V85" s="260"/>
      <c r="W8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85" s="259">
        <v>45775</v>
      </c>
      <c r="Y85" s="271">
        <f>BedPlan[[#This Row],[Actual TP or DS Date]]-BedPlan[[#This Row],[Planned TP or DS Date]]</f>
        <v>1</v>
      </c>
      <c r="Z85" s="259">
        <f>IF(ISNUMBER(BedPlan[[#This Row],[Actual TP or DS Date]]),BedPlan[[#This Row],[Actual TP or DS Date]],BedPlan[[#This Row],[Planned TP or DS Date]])</f>
        <v>45775</v>
      </c>
      <c r="AA85" s="260"/>
      <c r="AB85" s="259">
        <f>IF(ISNUMBER(BedPlan[[#This Row],[Greenhouse Start Date]]),BedPlan[[#This Row],[Greenhouse Start Date]]+BedPlan[[#This Row],[DTM]],BedPlan[[#This Row],[TP or DS Date]]+BedPlan[[#This Row],[DTM]])</f>
        <v>45829</v>
      </c>
      <c r="AC85" s="259"/>
      <c r="AD85" s="259">
        <f>IF(ISNUMBER(BedPlan[[#This Row],[Actual Beginning of Harvest]]),BedPlan[[#This Row],[Actual Beginning of Harvest]],BedPlan[[#This Row],[Expected Beginning of Harvest]])</f>
        <v>45829</v>
      </c>
      <c r="AE85" s="259">
        <v>45842</v>
      </c>
      <c r="AF85" s="259"/>
      <c r="AG85" s="259"/>
      <c r="AH85" s="31" t="b">
        <f>IF(AND( BedPlan[[#This Row],[Expected End of Harvest]] &gt;= DATE(2025, 8, 1), BedPlan[[#This Row],[Beginning of Harvest]] &lt;= DATE(2025, 8, 31) ), TRUE, FALSE)</f>
        <v>0</v>
      </c>
      <c r="AI85" s="31"/>
      <c r="AJ85" s="31">
        <f>IF(ISNUMBER(BedPlan[[#This Row],[Actual End of Harvest]]),BedPlan[[#This Row],[Actual End of Harvest]],BedPlan[[#This Row],[Expected End of Harvest]])</f>
        <v>45842</v>
      </c>
      <c r="AK85" t="b">
        <f>OR(ISNUMBER(BedPlan[[#This Row],[Actual Greenhouse Date]]),ISNUMBER(BedPlan[[#This Row],[Actual TP or DS Date]]))</f>
        <v>1</v>
      </c>
      <c r="AL85" s="52" t="b">
        <f>IF(ISNUMBER(BedPlan[[#This Row],[Planned Greenhouse Start Date]]),OR(ISNUMBER(BedPlan[[#This Row],[Actual TP or DS Date]]),BedPlan[[#This Row],[Failed]]),"-")</f>
        <v>1</v>
      </c>
      <c r="AM85" t="b">
        <f>OR(ISNUMBER(BedPlan[[#This Row],[Actual End of Harvest]]),BedPlan[[#This Row],[Failed]])</f>
        <v>0</v>
      </c>
      <c r="AN85" t="b">
        <f>OR(BedPlan[[#This Row],[Harvest Done]],BedPlan[[#This Row],[Failed]],BedPlan[[#This Row],[Name]]="Tarp")</f>
        <v>0</v>
      </c>
      <c r="AO85" t="b">
        <v>1</v>
      </c>
      <c r="AQ85" t="s">
        <v>3212</v>
      </c>
      <c r="AR85" t="b">
        <v>1</v>
      </c>
      <c r="AS85" s="26">
        <f>IF(BedPlan[[#This Row],[Broadfork]],BedPlan[[#This Row],[Actual TP or DS Date]],"")</f>
        <v>45775</v>
      </c>
      <c r="AT85" s="26" t="str">
        <f>IF(BedPlan[[#This Row],[Tilther]],BedPlan[[#This Row],[Actual TP or DS Date]],"")</f>
        <v/>
      </c>
      <c r="AU85" s="26">
        <f>IF(NOT(ISBLANK(BedPlan[[#This Row],[Amend]])),BedPlan[[#This Row],[Actual TP or DS Date]],"")</f>
        <v>45775</v>
      </c>
      <c r="AV85" s="26">
        <f>IF(BedPlan[[#This Row],[Row Cover]],BedPlan[[#This Row],[Actual TP or DS Date]],"")</f>
        <v>45775</v>
      </c>
      <c r="AX85" s="26"/>
      <c r="AZ85" s="26"/>
      <c r="BB85" s="26"/>
      <c r="BC85" s="231" cm="1">
        <f t="array" ref="BC85">INDEX(Crops[],BedPlan[[#This Row],[Chart Index]],BC$4,1)*BedPlan[[#This Row],[Full Bed Equivalent]]</f>
        <v>2671.6666666666661</v>
      </c>
      <c r="BD85" s="231" cm="1">
        <f t="array" ref="BD85">INDEX(Crops[],BedPlan[[#This Row],[Chart Index]],BD$4,1)*BedPlan[[#This Row],[Full Bed Equivalent]]</f>
        <v>26.192810457516334</v>
      </c>
      <c r="BE85" cm="1">
        <f t="array" ref="BE85">INDEX(Crops[],BedPlan[[#This Row],[Chart Index]],BE$4,1)+BedPlan[[#This Row],[Additional Days in Cells]]+BedPlan[[#This Row],[Additional Days In Field]]</f>
        <v>85</v>
      </c>
      <c r="BG85" cm="1">
        <f t="array" ref="BG85">INDEX(Crops[],BedPlan[[#This Row],[Chart Index]],BG$4,1)</f>
        <v>47</v>
      </c>
      <c r="BH85" t="str">
        <f>IF(ISNUMBER(BedPlan[[#This Row],[Planned Greenhouse Start Date]]),"TP","DS")</f>
        <v>TP</v>
      </c>
      <c r="BI85">
        <f>BedPlan[[#This Row],['# Of Beds]]</f>
        <v>1</v>
      </c>
      <c r="BJ85" cm="1">
        <f t="array" ref="BJ85">INDEX(Crops[],BedPlan[[#This Row],[Chart Index]],BJ$4,1)</f>
        <v>30</v>
      </c>
      <c r="BK85" cm="1">
        <f t="array" ref="BK85">INDEX(Crops[],BedPlan[[#This Row],[Chart Index]],BK$4,1)</f>
        <v>4</v>
      </c>
      <c r="BL85" cm="1">
        <f t="array" ref="BL85">INDEX(Crops[],BedPlan[[#This Row],[Chart Index]],BL$4,1)</f>
        <v>9</v>
      </c>
      <c r="BM85" cm="1">
        <f t="array" ref="BM85">INDEX(Crops[],BedPlan[[#This Row],[Chart Index]],BM$4,1)</f>
        <v>1</v>
      </c>
      <c r="BN85" s="32" cm="1">
        <f t="array" ref="BN85">INDEX(Crops[],BedPlan[[#This Row],[Chart Index]],BN$4,1)*BedPlan[[#This Row],[Full Bed Equivalent]]</f>
        <v>266.66666666666663</v>
      </c>
      <c r="BO85" t="str" cm="1">
        <f t="array" ref="BO85">IF(INDEX(Crops[],BedPlan[[#This Row],[Chart Index]],BO$4,1)=0,"",INDEX(Crops[],BedPlan[[#This Row],[Chart Index]],BO$4,1))</f>
        <v/>
      </c>
      <c r="BP85">
        <f>MATCH(BedPlan[[#This Row],[Crop]],Crops[Identifier],FALSE)</f>
        <v>193</v>
      </c>
      <c r="BQ85" t="str" cm="1">
        <f t="array" ref="BQ85">INDEX(Crops[],BedPlan[[#This Row],[Chart Index]],BQ$4,1)</f>
        <v>Salanova</v>
      </c>
      <c r="BR85" t="str" cm="1">
        <f t="array" ref="BR85">INDEX(Crops[],BedPlan[[#This Row],[Chart Index]],BR$4,1)</f>
        <v>Sp</v>
      </c>
      <c r="BS85" s="32">
        <f>BedPlan[[#This Row],[Expected Beginning of Harvest]]-DATE(2023,1,1)</f>
        <v>902</v>
      </c>
      <c r="BT85">
        <f>BedPlan[[#This Row],[Expected End of Harvest]]-BedPlan[[#This Row],[Expected Beginning of Harvest]]</f>
        <v>13</v>
      </c>
      <c r="BU85" cm="1">
        <f t="array" ref="BU85">INDEX(Crops[],BedPlan[[#This Row],[Chart Index]],BU$4,1)</f>
        <v>0</v>
      </c>
      <c r="BV85" cm="1">
        <f t="array" ref="BV85">INDEX(Crops[],BedPlan[[#This Row],[Chart Index]],BV$4,1)</f>
        <v>0</v>
      </c>
      <c r="BW85" cm="1">
        <f t="array" ref="BW85">INDEX(Crops[],BedPlan[[#This Row],[Chart Index]],BW$4,1)</f>
        <v>0</v>
      </c>
      <c r="BX85" cm="1">
        <f t="array" ref="BX85">INDEX(Crops[],BedPlan[[#This Row],[Chart Index]],BX$4,1)</f>
        <v>128</v>
      </c>
      <c r="BY85" cm="1">
        <f t="array" ref="BY85">INDEX(Crops[],BedPlan[[#This Row],[Chart Index]],BY$4,1)</f>
        <v>30</v>
      </c>
      <c r="BZ85" s="49" cm="1">
        <f t="array" ref="BZ85">IFERROR(INDEX(Crops[],BedPlan[[#This Row],[Chart Index]],BZ$4,1)*BedPlan[[#This Row],[Full Bed Equivalent]],"")</f>
        <v>2.708333333333333</v>
      </c>
      <c r="CA85" cm="1">
        <f t="array" ref="CA85">INDEX(Crops[],BedPlan[[#This Row],[Chart Index]],CA$4,1)</f>
        <v>0</v>
      </c>
      <c r="CB85" cm="1">
        <f t="array" ref="CB85">INDEX(Crops[],BedPlan[[#This Row],[Chart Index]],CB$4,1)</f>
        <v>0</v>
      </c>
      <c r="CC85" s="49" t="str" cm="1">
        <f t="array" ref="CC85">IFERROR(INDEX(Crops[],BedPlan[[#This Row],[Chart Index]],CC$4,1)*BedPlan[[#This Row],[Full Bed Equivalent]],"")</f>
        <v/>
      </c>
      <c r="CD85" cm="1">
        <f t="array" ref="CD85">INDEX(Crops[],BedPlan[[#This Row],[Chart Index]],CD$4,1)</f>
        <v>0</v>
      </c>
      <c r="CE85" cm="1">
        <f t="array" ref="CE85">IF(INDEX(Crops[],BedPlan[[#This Row],[Chart Index]],CE$4,1)="",0,INDEX(Crops[],BedPlan[[#This Row],[Chart Index]],CE$4,1))</f>
        <v>0</v>
      </c>
      <c r="CF85" s="49" t="str" cm="1">
        <f t="array" ref="CF85">IFERROR(INDEX(Crops[],BedPlan[[#This Row],[Chart Index]],CF$4,1)*BedPlan[[#This Row],[Full Bed Equivalent]],"")</f>
        <v/>
      </c>
      <c r="CG85" cm="1">
        <f t="array" ref="CG85">IF(INDEX(Crops[],BedPlan[[#This Row],[Chart Index]],CG$4,1)="",0,INDEX(Crops[],BedPlan[[#This Row],[Chart Index]],CG$4,1))</f>
        <v>1.3</v>
      </c>
      <c r="CH85" cm="1">
        <f t="array" ref="CH85">IF(INDEX(Crops[],BedPlan[[#This Row],[Chart Index]],CH$4,1)="",0,INDEX(Crops[],BedPlan[[#This Row],[Chart Index]],CH$4,1))</f>
        <v>0</v>
      </c>
      <c r="CI85" t="str" cm="1">
        <f t="array" ref="CI85">INDEX(Crops[],BedPlan[[#This Row],[Chart Index]],CI$4,1)</f>
        <v>Tunnel</v>
      </c>
      <c r="CJ85" s="30" t="str">
        <f>_xlfn.TEXTJOIN(CHAR(10),FALSE,BedPlan[[#This Row],[Name]],BedPlan[[#This Row],[Variety]],BedPlan[[#This Row],[Company]])</f>
        <v xml:space="preserve">Lettuce
Salanova Mix
</v>
      </c>
      <c r="CK85" s="32">
        <f>MAX( 0, MIN(BedPlan[[#This Row],[Expected End of Harvest]], EOMONTH(CK$4, 0)) - MAX(BedPlan[[#This Row],[Beginning of Harvest]], CK$4) + 1 )</f>
        <v>0</v>
      </c>
      <c r="CL85">
        <f>MAX( 0, MIN(BedPlan[[#This Row],[Expected End of Harvest]], EOMONTH(CL$4, 0)) - MAX(BedPlan[[#This Row],[Beginning of Harvest]], CL$4) + 1 )</f>
        <v>0</v>
      </c>
      <c r="CM85">
        <f>MAX( 0, MIN(BedPlan[[#This Row],[Expected End of Harvest]], EOMONTH(CM$4, 0)) - MAX(BedPlan[[#This Row],[Beginning of Harvest]], CM$4) + 1 )</f>
        <v>0</v>
      </c>
      <c r="CN85">
        <f>MAX( 0, MIN(BedPlan[[#This Row],[Expected End of Harvest]], EOMONTH(CN$4, 0)) - MAX(BedPlan[[#This Row],[Beginning of Harvest]], CN$4) + 1 )</f>
        <v>0</v>
      </c>
      <c r="CO85">
        <f>MAX( 0, MIN(BedPlan[[#This Row],[Expected End of Harvest]], EOMONTH(CO$4, 0)) - MAX(BedPlan[[#This Row],[Beginning of Harvest]], CO$4) + 1 )</f>
        <v>0</v>
      </c>
      <c r="CP85">
        <f>MAX( 0, MIN(BedPlan[[#This Row],[Expected End of Harvest]], EOMONTH(CP$4, 0)) - MAX(BedPlan[[#This Row],[Beginning of Harvest]], CP$4) + 1 )</f>
        <v>10</v>
      </c>
      <c r="CQ85">
        <f>MAX( 0, MIN(BedPlan[[#This Row],[Expected End of Harvest]], EOMONTH(CQ$4, 0)) - MAX(BedPlan[[#This Row],[Beginning of Harvest]], CQ$4) + 1 )</f>
        <v>4</v>
      </c>
      <c r="CR85">
        <f>MAX( 0, MIN(BedPlan[[#This Row],[Expected End of Harvest]], EOMONTH(CR$4, 0)) - MAX(BedPlan[[#This Row],[Beginning of Harvest]], CR$4) + 1 )</f>
        <v>0</v>
      </c>
      <c r="CS85">
        <f>MAX( 0, MIN(BedPlan[[#This Row],[Expected End of Harvest]], EOMONTH(CS$4, 0)) - MAX(BedPlan[[#This Row],[Beginning of Harvest]], CS$4) + 1 )</f>
        <v>0</v>
      </c>
      <c r="CT85">
        <f>MAX( 0, MIN(BedPlan[[#This Row],[Expected End of Harvest]], EOMONTH(CT$4, 0)) - MAX(BedPlan[[#This Row],[Beginning of Harvest]], CT$4) + 1 )</f>
        <v>0</v>
      </c>
      <c r="CU85">
        <f>MAX( 0, MIN(BedPlan[[#This Row],[Expected End of Harvest]], EOMONTH(CU$4, 0)) - MAX(BedPlan[[#This Row],[Beginning of Harvest]], CU$4) + 1 )</f>
        <v>0</v>
      </c>
      <c r="CV85">
        <f>MAX( 0, MIN(BedPlan[[#This Row],[Expected End of Harvest]], EOMONTH(CV$4, 0)) - MAX(BedPlan[[#This Row],[Beginning of Harvest]], CV$4) + 1 )</f>
        <v>0</v>
      </c>
      <c r="CW85">
        <f>MAX( 0, MIN(BedPlan[[#This Row],[Expected End of Harvest]], EOMONTH(CW$4, 0)) - MAX(BedPlan[[#This Row],[Beginning of Harvest]], CW$4) + 1 )</f>
        <v>0</v>
      </c>
      <c r="CX85">
        <f>MAX( 0, MIN(BedPlan[[#This Row],[Expected End of Harvest]], EOMONTH(CX$4, 0)) - MAX(BedPlan[[#This Row],[Beginning of Harvest]], CX$4) + 1 )</f>
        <v>0</v>
      </c>
      <c r="CY85">
        <f>MAX( 0, MIN(BedPlan[[#This Row],[Expected End of Harvest]], EOMONTH(CY$4, 0)) - MAX(BedPlan[[#This Row],[Beginning of Harvest]], CY$4) + 1 )</f>
        <v>0</v>
      </c>
      <c r="CZ85">
        <f>MAX( 0, MIN(BedPlan[[#This Row],[Expected End of Harvest]], EOMONTH(CZ$4, 0)) - MAX(BedPlan[[#This Row],[Beginning of Harvest]], CZ$4) + 1 )</f>
        <v>0</v>
      </c>
      <c r="DA85">
        <f>MAX( 0, MIN(BedPlan[[#This Row],[Expected End of Harvest]], EOMONTH(DA$4, 0)) - MAX(BedPlan[[#This Row],[Beginning of Harvest]], DA$4) + 1 )</f>
        <v>0</v>
      </c>
      <c r="DB85">
        <f>MAX( 0, MIN(BedPlan[[#This Row],[Expected End of Harvest]], EOMONTH(DB$4, 0)) - MAX(BedPlan[[#This Row],[Beginning of Harvest]], DB$4) + 1 )</f>
        <v>0</v>
      </c>
      <c r="DC85">
        <f>MAX( 0, MIN(BedPlan[[#This Row],[Expected End of Harvest]], EOMONTH(DC$4, 0)) - MAX(BedPlan[[#This Row],[Beginning of Harvest]], DC$4) + 1 )</f>
        <v>0</v>
      </c>
      <c r="DD85">
        <f>MAX( 0, MIN(BedPlan[[#This Row],[Expected End of Harvest]], EOMONTH(DD$4, 0)) - MAX(BedPlan[[#This Row],[Beginning of Harvest]], DD$4) + 1 )</f>
        <v>0</v>
      </c>
      <c r="DE85">
        <f>MAX( 0, MIN(BedPlan[[#This Row],[Expected End of Harvest]], EOMONTH(DE$4, 0)) - MAX(BedPlan[[#This Row],[Beginning of Harvest]], DE$4) + 1 )</f>
        <v>0</v>
      </c>
      <c r="DF85">
        <f>MAX( 0, MIN(BedPlan[[#This Row],[Expected End of Harvest]], EOMONTH(DF$4, 0)) - MAX(BedPlan[[#This Row],[Beginning of Harvest]], DF$4) + 1 )</f>
        <v>0</v>
      </c>
      <c r="DG85">
        <f>MAX( 0, MIN(BedPlan[[#This Row],[Expected End of Harvest]], EOMONTH(DG$4, 0)) - MAX(BedPlan[[#This Row],[Beginning of Harvest]], DG$4) + 1 )</f>
        <v>0</v>
      </c>
      <c r="DH85">
        <f>MAX( 0, MIN(BedPlan[[#This Row],[Expected End of Harvest]], EOMONTH(DH$4, 0)) - MAX(BedPlan[[#This Row],[Beginning of Harvest]], DH$4) + 1 )</f>
        <v>0</v>
      </c>
      <c r="DI85" s="257" cm="1">
        <f t="array" ref="DI85">BedPlan[[#This Row],[Harvest Days January 2025]]/SUM(BedPlan[[#This Row],[Harvest Days January 2025]:[Harvest Days December 2026]])*BedPlan[[#This Row],[Revenue]:[Revenue]]</f>
        <v>0</v>
      </c>
      <c r="DJ85" s="257" cm="1">
        <f t="array" ref="DJ85">BedPlan[[#This Row],[Harvest Days February 2025]]/SUM(BedPlan[[#This Row],[Harvest Days January 2025]:[Harvest Days December 2026]])*BedPlan[[#This Row],[Revenue]:[Revenue]]</f>
        <v>0</v>
      </c>
      <c r="DK85" s="257" cm="1">
        <f t="array" ref="DK85">BedPlan[[#This Row],[Harvest Days March 2025]]/SUM(BedPlan[[#This Row],[Harvest Days January 2025]:[Harvest Days December 2026]])*BedPlan[[#This Row],[Revenue]:[Revenue]]</f>
        <v>0</v>
      </c>
      <c r="DL85" s="257" cm="1">
        <f t="array" ref="DL85">BedPlan[[#This Row],[Harvest Days April 2025]]/SUM(BedPlan[[#This Row],[Harvest Days January 2025]:[Harvest Days December 2026]])*BedPlan[[#This Row],[Revenue]:[Revenue]]</f>
        <v>0</v>
      </c>
      <c r="DM85" s="257" cm="1">
        <f t="array" ref="DM85">BedPlan[[#This Row],[Harvest Days May 2025]]/SUM(BedPlan[[#This Row],[Harvest Days January 2025]:[Harvest Days December 2026]])*BedPlan[[#This Row],[Revenue]:[Revenue]]</f>
        <v>0</v>
      </c>
      <c r="DN85" s="257" cm="1">
        <f t="array" ref="DN85">BedPlan[[#This Row],[Harvest Days June 2025]]/SUM(BedPlan[[#This Row],[Harvest Days January 2025]:[Harvest Days December 2026]])*BedPlan[[#This Row],[Revenue]:[Revenue]]</f>
        <v>1908.333333333333</v>
      </c>
      <c r="DO85" s="257" cm="1">
        <f t="array" ref="DO85">BedPlan[[#This Row],[Harvest Days July 2025]]/SUM(BedPlan[[#This Row],[Harvest Days January 2025]:[Harvest Days December 2026]])*BedPlan[[#This Row],[Revenue]:[Revenue]]</f>
        <v>763.33333333333314</v>
      </c>
      <c r="DP85" s="257" cm="1">
        <f t="array" ref="DP85">BedPlan[[#This Row],[Harvest Days August 2025]]/SUM(BedPlan[[#This Row],[Harvest Days January 2025]:[Harvest Days December 2026]])*BedPlan[[#This Row],[Revenue]:[Revenue]]</f>
        <v>0</v>
      </c>
      <c r="DQ85" s="257" cm="1">
        <f t="array" ref="DQ85">BedPlan[[#This Row],[Harvest Days September 2025]]/SUM(BedPlan[[#This Row],[Harvest Days January 2025]:[Harvest Days December 2026]])*BedPlan[[#This Row],[Revenue]:[Revenue]]</f>
        <v>0</v>
      </c>
      <c r="DR85" s="257" cm="1">
        <f t="array" ref="DR85">BedPlan[[#This Row],[Harvest Days October 2025]]/SUM(BedPlan[[#This Row],[Harvest Days January 2025]:[Harvest Days December 2026]])*BedPlan[[#This Row],[Revenue]:[Revenue]]</f>
        <v>0</v>
      </c>
      <c r="DS85" s="257" cm="1">
        <f t="array" ref="DS85">BedPlan[[#This Row],[Harvest Days November 2025]]/SUM(BedPlan[[#This Row],[Harvest Days January 2025]:[Harvest Days December 2026]])*BedPlan[[#This Row],[Revenue]:[Revenue]]</f>
        <v>0</v>
      </c>
      <c r="DT85" s="257" cm="1">
        <f t="array" ref="DT85">BedPlan[[#This Row],[Harvest Days December 2025]]/SUM(BedPlan[[#This Row],[Harvest Days January 2025]:[Harvest Days December 2026]])*BedPlan[[#This Row],[Revenue]:[Revenue]]</f>
        <v>0</v>
      </c>
      <c r="DU85" s="257" cm="1">
        <f t="array" ref="DU85">BedPlan[[#This Row],[Harvest Days January 2026]]/SUM(BedPlan[[#This Row],[Harvest Days January 2025]:[Harvest Days December 2026]])*BedPlan[[#This Row],[Revenue]:[Revenue]]</f>
        <v>0</v>
      </c>
      <c r="DV85" s="257" cm="1">
        <f t="array" ref="DV85">BedPlan[[#This Row],[Harvest Days February 2026]]/SUM(BedPlan[[#This Row],[Harvest Days January 2025]:[Harvest Days December 2026]])*BedPlan[[#This Row],[Revenue]:[Revenue]]</f>
        <v>0</v>
      </c>
      <c r="DW85" s="257" cm="1">
        <f t="array" ref="DW85">BedPlan[[#This Row],[Harvest Days March 2026]]/SUM(BedPlan[[#This Row],[Harvest Days January 2025]:[Harvest Days December 2026]])*BedPlan[[#This Row],[Revenue]:[Revenue]]</f>
        <v>0</v>
      </c>
      <c r="DX85" s="257" cm="1">
        <f t="array" ref="DX85">BedPlan[[#This Row],[Harvest Days April 2026]]/SUM(BedPlan[[#This Row],[Harvest Days January 2025]:[Harvest Days December 2026]])*BedPlan[[#This Row],[Revenue]:[Revenue]]</f>
        <v>0</v>
      </c>
      <c r="DY85" s="257" cm="1">
        <f t="array" ref="DY85">BedPlan[[#This Row],[Harvest Days May 2026]]/SUM(BedPlan[[#This Row],[Harvest Days January 2025]:[Harvest Days December 2026]])*BedPlan[[#This Row],[Revenue]:[Revenue]]</f>
        <v>0</v>
      </c>
      <c r="DZ85" s="257" cm="1">
        <f t="array" ref="DZ85">BedPlan[[#This Row],[Harvest Days June 2026]]/SUM(BedPlan[[#This Row],[Harvest Days January 2025]:[Harvest Days December 2026]])*BedPlan[[#This Row],[Revenue]:[Revenue]]</f>
        <v>0</v>
      </c>
      <c r="EA85" s="257" cm="1">
        <f t="array" ref="EA85">BedPlan[[#This Row],[Harvest Days July 2026]]/SUM(BedPlan[[#This Row],[Harvest Days January 2025]:[Harvest Days December 2026]])*BedPlan[[#This Row],[Revenue]:[Revenue]]</f>
        <v>0</v>
      </c>
      <c r="EB85" s="257" cm="1">
        <f t="array" ref="EB85">BedPlan[[#This Row],[Harvest Days August 2026]]/SUM(BedPlan[[#This Row],[Harvest Days January 2025]:[Harvest Days December 2026]])*BedPlan[[#This Row],[Revenue]:[Revenue]]</f>
        <v>0</v>
      </c>
      <c r="EC85" s="257" cm="1">
        <f t="array" ref="EC85">BedPlan[[#This Row],[Harvest Days September 2026]]/SUM(BedPlan[[#This Row],[Harvest Days January 2025]:[Harvest Days December 2026]])*BedPlan[[#This Row],[Revenue]:[Revenue]]</f>
        <v>0</v>
      </c>
      <c r="ED85" s="257" cm="1">
        <f t="array" ref="ED85">BedPlan[[#This Row],[Harvest Days October 2026]]/SUM(BedPlan[[#This Row],[Harvest Days January 2025]:[Harvest Days December 2026]])*BedPlan[[#This Row],[Revenue]:[Revenue]]</f>
        <v>0</v>
      </c>
      <c r="EE85" s="257" cm="1">
        <f t="array" ref="EE85">BedPlan[[#This Row],[Harvest Days November 2026]]/SUM(BedPlan[[#This Row],[Harvest Days January 2025]:[Harvest Days December 2026]])*BedPlan[[#This Row],[Revenue]:[Revenue]]</f>
        <v>0</v>
      </c>
      <c r="EF85" s="257" cm="1">
        <f t="array" ref="EF85">BedPlan[[#This Row],[Harvest Days December 2026]]/SUM(BedPlan[[#This Row],[Harvest Days January 2025]:[Harvest Days December 2026]])*BedPlan[[#This Row],[Revenue]:[Revenue]]</f>
        <v>0</v>
      </c>
      <c r="EG85" t="b">
        <f>SUM(BedPlan[[#This Row],[Revenue January 2025]:[Revenue December 2026]])=BedPlan[[#This Row],[Revenue]]</f>
        <v>1</v>
      </c>
      <c r="EH85" s="30" cm="1">
        <f t="array" ref="EH85">INDEX(Crops[],BedPlan[[#This Row],[Chart Index]],EH$4,1)*BedPlan[[#This Row],['# Of Beds]]</f>
        <v>267.16666666666663</v>
      </c>
      <c r="EI85" s="30" t="str" cm="1">
        <f t="array" ref="EI85">INDEX(Crops[],BedPlan[[#This Row],[Chart Index]],EI$4,1)</f>
        <v>Lb</v>
      </c>
      <c r="EJ85" s="30" t="str" cm="1">
        <f t="array" ref="EJ85">INDEX(Crops[],BedPlan[[#This Row],[Chart Index]],EJ$4,1)</f>
        <v>Loose Leaf</v>
      </c>
      <c r="EK85" s="30" t="str">
        <f>BedPlan[[#This Row],[Name]]&amp;" "&amp;BedPlan[[#This Row],[Product]]&amp; " - " &amp;BedPlan[[#This Row],[Unit]]</f>
        <v>Lettuce Loose Leaf - Lb</v>
      </c>
      <c r="EL85" s="33" cm="1">
        <f t="array" ref="EL85">BedPlan[[#This Row],[Harvest Days January 2025]]/SUM(BedPlan[[#This Row],[Harvest Days January 2025]:[Harvest Days December 2026]])*BedPlan[[#This Row],[Yield]:[Yield]]</f>
        <v>0</v>
      </c>
      <c r="EM85" s="33" cm="1">
        <f t="array" ref="EM85">BedPlan[[#This Row],[Harvest Days February 2025]]/SUM(BedPlan[[#This Row],[Harvest Days January 2025]:[Harvest Days December 2026]])*BedPlan[[#This Row],[Yield]:[Yield]]</f>
        <v>0</v>
      </c>
      <c r="EN85" s="33" cm="1">
        <f t="array" ref="EN85">BedPlan[[#This Row],[Harvest Days March 2025]]/SUM(BedPlan[[#This Row],[Harvest Days January 2025]:[Harvest Days December 2026]])*BedPlan[[#This Row],[Yield]:[Yield]]</f>
        <v>0</v>
      </c>
      <c r="EO85" s="33" cm="1">
        <f t="array" ref="EO85">BedPlan[[#This Row],[Harvest Days April 2025]]/SUM(BedPlan[[#This Row],[Harvest Days January 2025]:[Harvest Days December 2026]])*BedPlan[[#This Row],[Yield]:[Yield]]</f>
        <v>0</v>
      </c>
      <c r="EP85" s="33" cm="1">
        <f t="array" ref="EP85">BedPlan[[#This Row],[Harvest Days May 2025]]/SUM(BedPlan[[#This Row],[Harvest Days January 2025]:[Harvest Days December 2026]])*BedPlan[[#This Row],[Yield]:[Yield]]</f>
        <v>0</v>
      </c>
      <c r="EQ85" s="33" cm="1">
        <f t="array" ref="EQ85">BedPlan[[#This Row],[Harvest Days June 2025]]/SUM(BedPlan[[#This Row],[Harvest Days January 2025]:[Harvest Days December 2026]])*BedPlan[[#This Row],[Yield]:[Yield]]</f>
        <v>190.83333333333331</v>
      </c>
      <c r="ER85" s="33" cm="1">
        <f t="array" ref="ER85">BedPlan[[#This Row],[Harvest Days July 2025]]/SUM(BedPlan[[#This Row],[Harvest Days January 2025]:[Harvest Days December 2026]])*BedPlan[[#This Row],[Yield]:[Yield]]</f>
        <v>76.333333333333314</v>
      </c>
      <c r="ES85" s="33" cm="1">
        <f t="array" ref="ES85">BedPlan[[#This Row],[Harvest Days August 2025]]/SUM(BedPlan[[#This Row],[Harvest Days January 2025]:[Harvest Days December 2026]])*BedPlan[[#This Row],[Yield]:[Yield]]</f>
        <v>0</v>
      </c>
      <c r="ET85" s="33" cm="1">
        <f t="array" ref="ET85">BedPlan[[#This Row],[Harvest Days September 2025]]/SUM(BedPlan[[#This Row],[Harvest Days January 2025]:[Harvest Days December 2026]])*BedPlan[[#This Row],[Yield]:[Yield]]</f>
        <v>0</v>
      </c>
      <c r="EU85" s="33" cm="1">
        <f t="array" ref="EU85">BedPlan[[#This Row],[Harvest Days October 2025]]/SUM(BedPlan[[#This Row],[Harvest Days January 2025]:[Harvest Days December 2026]])*BedPlan[[#This Row],[Yield]:[Yield]]</f>
        <v>0</v>
      </c>
      <c r="EV85" s="33" cm="1">
        <f t="array" ref="EV85">BedPlan[[#This Row],[Harvest Days November 2025]]/SUM(BedPlan[[#This Row],[Harvest Days January 2025]:[Harvest Days December 2026]])*BedPlan[[#This Row],[Yield]:[Yield]]</f>
        <v>0</v>
      </c>
      <c r="EW85" s="33" cm="1">
        <f t="array" ref="EW85">BedPlan[[#This Row],[Harvest Days December 2025]]/SUM(BedPlan[[#This Row],[Harvest Days January 2025]:[Harvest Days December 2026]])*BedPlan[[#This Row],[Yield]:[Yield]]</f>
        <v>0</v>
      </c>
    </row>
    <row r="86" spans="1:153" ht="15.75" customHeight="1">
      <c r="A86" s="192" t="s">
        <v>1528</v>
      </c>
      <c r="B86" t="s">
        <v>1801</v>
      </c>
      <c r="C86" s="226" t="s">
        <v>1504</v>
      </c>
      <c r="D86" s="226" t="e" cm="1">
        <f t="array" ref="D86">INDEX(Crops[],BedPlan[[#This Row],[Chart Index]],D$4,1)*BedPlan[[#This Row],[Full Bed Equivalent]]</f>
        <v>#DIV/0!</v>
      </c>
      <c r="E86" s="226" t="e" cm="1">
        <f t="array" ref="E86">INDEX(Crops[],BedPlan[[#This Row],[Chart Index]],E$4,1)*BedPlan[[#This Row],[Full Bed Equivalent]]</f>
        <v>#DIV/0!</v>
      </c>
      <c r="F86" s="34" t="s">
        <v>2696</v>
      </c>
      <c r="G86" s="227" t="s">
        <v>1521</v>
      </c>
      <c r="H86" s="143" t="s">
        <v>95</v>
      </c>
      <c r="I86" s="227" t="s">
        <v>1521</v>
      </c>
      <c r="J86" s="227"/>
      <c r="K86" s="34" t="s">
        <v>212</v>
      </c>
      <c r="L86" s="229">
        <v>0</v>
      </c>
      <c r="N86" s="227">
        <v>0.4</v>
      </c>
      <c r="O86" s="227">
        <f>MAX(BedPlan[[#This Row],['# Of Beds]],0.5)</f>
        <v>0.5</v>
      </c>
      <c r="P86" s="230">
        <v>45292</v>
      </c>
      <c r="Q86" s="261" t="str">
        <f>IF(BedPlan[[#This Row],[Days in Cells]]=0,"",IFERROR(_xlfn.XLOOKUP(BedPlan[[#This Row],[Follows Crop]],BedPlan[Identifier],BedPlan[Expected End of Harvest]) + 1+BedPlan[[#This Row],[Follow Offset]],BedPlan[[#This Row],[Fixed Field Start Date]])-BedPlan[[#This Row],[Days in Cells]])</f>
        <v/>
      </c>
      <c r="R86" s="261">
        <v>45292</v>
      </c>
      <c r="S86" s="261">
        <v>45292</v>
      </c>
      <c r="T86" s="262">
        <v>45318</v>
      </c>
      <c r="U86" s="263"/>
      <c r="V86" s="263"/>
      <c r="W86"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45292</v>
      </c>
      <c r="X86" s="265">
        <v>45292</v>
      </c>
      <c r="Y86" s="270">
        <f>BedPlan[[#This Row],[Actual TP or DS Date]]-BedPlan[[#This Row],[Planned TP or DS Date]]</f>
        <v>0</v>
      </c>
      <c r="Z86" s="261">
        <v>45292</v>
      </c>
      <c r="AA86" s="264"/>
      <c r="AB86" s="261">
        <v>45417</v>
      </c>
      <c r="AC86" s="265">
        <v>45392</v>
      </c>
      <c r="AD86" s="261">
        <v>45392</v>
      </c>
      <c r="AE86" s="261">
        <v>45677</v>
      </c>
      <c r="AF86" s="265"/>
      <c r="AG86" s="261">
        <v>99</v>
      </c>
      <c r="AH86" s="230" t="b">
        <f>IF(AND( BedPlan[[#This Row],[Expected End of Harvest]] &gt;= DATE(2025, 8, 1), BedPlan[[#This Row],[Beginning of Harvest]] &lt;= DATE(2025, 8, 31) ), TRUE, FALSE)</f>
        <v>0</v>
      </c>
      <c r="AI86" s="230"/>
      <c r="AJ86" s="31">
        <f>IF(ISNUMBER(BedPlan[[#This Row],[Actual End of Harvest]]),BedPlan[[#This Row],[Actual End of Harvest]],BedPlan[[#This Row],[Expected End of Harvest]])</f>
        <v>45677</v>
      </c>
      <c r="AK86" s="34" t="b">
        <v>1</v>
      </c>
      <c r="AL86" s="34" t="b">
        <v>1</v>
      </c>
      <c r="AM86" s="34" t="b">
        <v>0</v>
      </c>
      <c r="AN86" s="34" t="b">
        <v>0</v>
      </c>
      <c r="AO86" s="34"/>
      <c r="AP86" s="34"/>
      <c r="AQ86" s="34"/>
      <c r="AR86" s="34"/>
      <c r="AS86" s="256" t="str">
        <f>IF(BedPlan[[#This Row],[Broadfork]],BedPlan[[#This Row],[Actual TP or DS Date]],"")</f>
        <v/>
      </c>
      <c r="AT86" s="256" t="str">
        <f>IF(BedPlan[[#This Row],[Tilther]],BedPlan[[#This Row],[Actual TP or DS Date]],"")</f>
        <v/>
      </c>
      <c r="AU86" s="256" t="str">
        <f>IF(NOT(ISBLANK(BedPlan[[#This Row],[Amend]])),BedPlan[[#This Row],[Actual TP or DS Date]],"")</f>
        <v/>
      </c>
      <c r="AV86" s="256" t="str">
        <f>IF(BedPlan[[#This Row],[Row Cover]],BedPlan[[#This Row],[Actual TP or DS Date]],"")</f>
        <v/>
      </c>
      <c r="AW86" s="34"/>
      <c r="AX86" s="256"/>
      <c r="AY86" s="34"/>
      <c r="AZ86" s="256"/>
      <c r="BA86" s="34"/>
      <c r="BB86" s="256"/>
      <c r="BC86" s="231" cm="1">
        <f t="array" ref="BC86">INDEX(Crops[],BedPlan[[#This Row],[Chart Index]],BC$4,1)*BedPlan[[#This Row],[Full Bed Equivalent]]</f>
        <v>479.99999999999994</v>
      </c>
      <c r="BD86" s="231" cm="1">
        <f t="array" ref="BD86">INDEX(Crops[],BedPlan[[#This Row],[Chart Index]],BD$4,1)*BedPlan[[#This Row],[Full Bed Equivalent]]</f>
        <v>1.6783216783216781</v>
      </c>
      <c r="BE86" cm="1">
        <f t="array" ref="BE86">INDEX(Crops[],BedPlan[[#This Row],[Chart Index]],BE$4,1)+BedPlan[[#This Row],[Additional Days in Cells]]+BedPlan[[#This Row],[Additional Days In Field]]</f>
        <v>125</v>
      </c>
      <c r="BG86" cm="1">
        <f t="array" ref="BG86">INDEX(Crops[],BedPlan[[#This Row],[Chart Index]],BG$4,1)</f>
        <v>161</v>
      </c>
      <c r="BH86" t="str">
        <f>IF(ISNUMBER(BedPlan[[#This Row],[Planned Greenhouse Start Date]]),"TP","DS")</f>
        <v>DS</v>
      </c>
      <c r="BI86">
        <f>BedPlan[[#This Row],['# Of Beds]]</f>
        <v>0.4</v>
      </c>
      <c r="BJ86" cm="1">
        <f t="array" ref="BJ86">INDEX(Crops[],BedPlan[[#This Row],[Chart Index]],BJ$4,1)</f>
        <v>0</v>
      </c>
      <c r="BK86" cm="1">
        <f t="array" ref="BK86">INDEX(Crops[],BedPlan[[#This Row],[Chart Index]],BK$4,1)</f>
        <v>1</v>
      </c>
      <c r="BL86" cm="1">
        <f t="array" ref="BL86">INDEX(Crops[],BedPlan[[#This Row],[Chart Index]],BL$4,1)</f>
        <v>18</v>
      </c>
      <c r="BM86" cm="1">
        <f t="array" ref="BM86">INDEX(Crops[],BedPlan[[#This Row],[Chart Index]],BM$4,1)</f>
        <v>1</v>
      </c>
      <c r="BN86" s="32" cm="1">
        <f t="array" ref="BN86">INDEX(Crops[],BedPlan[[#This Row],[Chart Index]],BN$4,1)*BedPlan[[#This Row],[Full Bed Equivalent]]</f>
        <v>13.333333333333332</v>
      </c>
      <c r="BO86" t="str" cm="1">
        <f t="array" ref="BO86">IF(INDEX(Crops[],BedPlan[[#This Row],[Chart Index]],BO$4,1)=0,"",INDEX(Crops[],BedPlan[[#This Row],[Chart Index]],BO$4,1))</f>
        <v/>
      </c>
      <c r="BP86">
        <f>MATCH(BedPlan[[#This Row],[Crop]],Crops[Identifier],FALSE)</f>
        <v>196</v>
      </c>
      <c r="BQ86" t="str" cm="1">
        <f t="array" ref="BQ86">INDEX(Crops[],BedPlan[[#This Row],[Chart Index]],BQ$4,1)</f>
        <v>Perennial</v>
      </c>
      <c r="BR86" cm="1">
        <f t="array" ref="BR86">INDEX(Crops[],BedPlan[[#This Row],[Chart Index]],BR$4,1)</f>
        <v>0</v>
      </c>
      <c r="BS86" s="32">
        <f>BedPlan[[#This Row],[Expected Beginning of Harvest]]-DATE(2023,1,1)</f>
        <v>490</v>
      </c>
      <c r="BT86">
        <f>BedPlan[[#This Row],[Expected End of Harvest]]-BedPlan[[#This Row],[Expected Beginning of Harvest]]</f>
        <v>260</v>
      </c>
      <c r="BU86" t="str" cm="1">
        <f t="array" ref="BU86">INDEX(Crops[],BedPlan[[#This Row],[Chart Index]],BU$4,1)</f>
        <v>Herb</v>
      </c>
      <c r="BV86" cm="1">
        <f t="array" ref="BV86">INDEX(Crops[],BedPlan[[#This Row],[Chart Index]],BV$4,1)</f>
        <v>6</v>
      </c>
      <c r="BW86" t="str" cm="1">
        <f t="array" ref="BW86">INDEX(Crops[],BedPlan[[#This Row],[Chart Index]],BW$4,1)</f>
        <v>None</v>
      </c>
      <c r="BX86" cm="1">
        <f t="array" ref="BX86">INDEX(Crops[],BedPlan[[#This Row],[Chart Index]],BX$4,1)</f>
        <v>0</v>
      </c>
      <c r="BY86" cm="1">
        <f t="array" ref="BY86">INDEX(Crops[],BedPlan[[#This Row],[Chart Index]],BY$4,1)</f>
        <v>0</v>
      </c>
      <c r="BZ86" s="49" t="str" cm="1">
        <f t="array" ref="BZ86">IFERROR(INDEX(Crops[],BedPlan[[#This Row],[Chart Index]],BZ$4,1)*BedPlan[[#This Row],[Full Bed Equivalent]],"")</f>
        <v/>
      </c>
      <c r="CA86" cm="1">
        <f t="array" ref="CA86">INDEX(Crops[],BedPlan[[#This Row],[Chart Index]],CA$4,1)</f>
        <v>0</v>
      </c>
      <c r="CB86" cm="1">
        <f t="array" ref="CB86">INDEX(Crops[],BedPlan[[#This Row],[Chart Index]],CB$4,1)</f>
        <v>0</v>
      </c>
      <c r="CC86" s="49" t="str" cm="1">
        <f t="array" ref="CC86">IFERROR(INDEX(Crops[],BedPlan[[#This Row],[Chart Index]],CC$4,1)*BedPlan[[#This Row],[Full Bed Equivalent]],"")</f>
        <v/>
      </c>
      <c r="CD86" cm="1">
        <f t="array" ref="CD86">INDEX(Crops[],BedPlan[[#This Row],[Chart Index]],CD$4,1)</f>
        <v>0</v>
      </c>
      <c r="CE86" cm="1">
        <f t="array" ref="CE86">IF(INDEX(Crops[],BedPlan[[#This Row],[Chart Index]],CE$4,1)="",0,INDEX(Crops[],BedPlan[[#This Row],[Chart Index]],CE$4,1))</f>
        <v>0</v>
      </c>
      <c r="CF86" s="49" t="str" cm="1">
        <f t="array" ref="CF86">IFERROR(INDEX(Crops[],BedPlan[[#This Row],[Chart Index]],CF$4,1)*BedPlan[[#This Row],[Full Bed Equivalent]],"")</f>
        <v/>
      </c>
      <c r="CG86" cm="1">
        <f t="array" ref="CG86">IF(INDEX(Crops[],BedPlan[[#This Row],[Chart Index]],CG$4,1)="",0,INDEX(Crops[],BedPlan[[#This Row],[Chart Index]],CG$4,1))</f>
        <v>0</v>
      </c>
      <c r="CH86" cm="1">
        <f t="array" ref="CH86">IF(INDEX(Crops[],BedPlan[[#This Row],[Chart Index]],CH$4,1)="",0,INDEX(Crops[],BedPlan[[#This Row],[Chart Index]],CH$4,1))</f>
        <v>0</v>
      </c>
      <c r="CI86" t="str" cm="1">
        <f t="array" ref="CI86">INDEX(Crops[],BedPlan[[#This Row],[Chart Index]],CI$4,1)</f>
        <v>Field</v>
      </c>
      <c r="CJ86" s="30" t="str">
        <f>_xlfn.TEXTJOIN(CHAR(10),FALSE,BedPlan[[#This Row],[Name]],BedPlan[[#This Row],[Variety]],BedPlan[[#This Row],[Company]])</f>
        <v xml:space="preserve">Lovage
Perennial
</v>
      </c>
      <c r="CK86" s="32">
        <f>MAX( 0, MIN(BedPlan[[#This Row],[Expected End of Harvest]], EOMONTH(CK$4, 0)) - MAX(BedPlan[[#This Row],[Beginning of Harvest]], CK$4) + 1 )</f>
        <v>20</v>
      </c>
      <c r="CL86">
        <f>MAX( 0, MIN(BedPlan[[#This Row],[Expected End of Harvest]], EOMONTH(CL$4, 0)) - MAX(BedPlan[[#This Row],[Beginning of Harvest]], CL$4) + 1 )</f>
        <v>0</v>
      </c>
      <c r="CM86">
        <f>MAX( 0, MIN(BedPlan[[#This Row],[Expected End of Harvest]], EOMONTH(CM$4, 0)) - MAX(BedPlan[[#This Row],[Beginning of Harvest]], CM$4) + 1 )</f>
        <v>0</v>
      </c>
      <c r="CN86">
        <f>MAX( 0, MIN(BedPlan[[#This Row],[Expected End of Harvest]], EOMONTH(CN$4, 0)) - MAX(BedPlan[[#This Row],[Beginning of Harvest]], CN$4) + 1 )</f>
        <v>0</v>
      </c>
      <c r="CO86">
        <f>MAX( 0, MIN(BedPlan[[#This Row],[Expected End of Harvest]], EOMONTH(CO$4, 0)) - MAX(BedPlan[[#This Row],[Beginning of Harvest]], CO$4) + 1 )</f>
        <v>0</v>
      </c>
      <c r="CP86">
        <f>MAX( 0, MIN(BedPlan[[#This Row],[Expected End of Harvest]], EOMONTH(CP$4, 0)) - MAX(BedPlan[[#This Row],[Beginning of Harvest]], CP$4) + 1 )</f>
        <v>0</v>
      </c>
      <c r="CQ86">
        <f>MAX( 0, MIN(BedPlan[[#This Row],[Expected End of Harvest]], EOMONTH(CQ$4, 0)) - MAX(BedPlan[[#This Row],[Beginning of Harvest]], CQ$4) + 1 )</f>
        <v>0</v>
      </c>
      <c r="CR86">
        <f>MAX( 0, MIN(BedPlan[[#This Row],[Expected End of Harvest]], EOMONTH(CR$4, 0)) - MAX(BedPlan[[#This Row],[Beginning of Harvest]], CR$4) + 1 )</f>
        <v>0</v>
      </c>
      <c r="CS86">
        <f>MAX( 0, MIN(BedPlan[[#This Row],[Expected End of Harvest]], EOMONTH(CS$4, 0)) - MAX(BedPlan[[#This Row],[Beginning of Harvest]], CS$4) + 1 )</f>
        <v>0</v>
      </c>
      <c r="CT86">
        <f>MAX( 0, MIN(BedPlan[[#This Row],[Expected End of Harvest]], EOMONTH(CT$4, 0)) - MAX(BedPlan[[#This Row],[Beginning of Harvest]], CT$4) + 1 )</f>
        <v>0</v>
      </c>
      <c r="CU86">
        <f>MAX( 0, MIN(BedPlan[[#This Row],[Expected End of Harvest]], EOMONTH(CU$4, 0)) - MAX(BedPlan[[#This Row],[Beginning of Harvest]], CU$4) + 1 )</f>
        <v>0</v>
      </c>
      <c r="CV86">
        <f>MAX( 0, MIN(BedPlan[[#This Row],[Expected End of Harvest]], EOMONTH(CV$4, 0)) - MAX(BedPlan[[#This Row],[Beginning of Harvest]], CV$4) + 1 )</f>
        <v>0</v>
      </c>
      <c r="CW86">
        <f>MAX( 0, MIN(BedPlan[[#This Row],[Expected End of Harvest]], EOMONTH(CW$4, 0)) - MAX(BedPlan[[#This Row],[Beginning of Harvest]], CW$4) + 1 )</f>
        <v>0</v>
      </c>
      <c r="CX86">
        <f>MAX( 0, MIN(BedPlan[[#This Row],[Expected End of Harvest]], EOMONTH(CX$4, 0)) - MAX(BedPlan[[#This Row],[Beginning of Harvest]], CX$4) + 1 )</f>
        <v>0</v>
      </c>
      <c r="CY86">
        <f>MAX( 0, MIN(BedPlan[[#This Row],[Expected End of Harvest]], EOMONTH(CY$4, 0)) - MAX(BedPlan[[#This Row],[Beginning of Harvest]], CY$4) + 1 )</f>
        <v>0</v>
      </c>
      <c r="CZ86">
        <f>MAX( 0, MIN(BedPlan[[#This Row],[Expected End of Harvest]], EOMONTH(CZ$4, 0)) - MAX(BedPlan[[#This Row],[Beginning of Harvest]], CZ$4) + 1 )</f>
        <v>0</v>
      </c>
      <c r="DA86">
        <f>MAX( 0, MIN(BedPlan[[#This Row],[Expected End of Harvest]], EOMONTH(DA$4, 0)) - MAX(BedPlan[[#This Row],[Beginning of Harvest]], DA$4) + 1 )</f>
        <v>0</v>
      </c>
      <c r="DB86">
        <f>MAX( 0, MIN(BedPlan[[#This Row],[Expected End of Harvest]], EOMONTH(DB$4, 0)) - MAX(BedPlan[[#This Row],[Beginning of Harvest]], DB$4) + 1 )</f>
        <v>0</v>
      </c>
      <c r="DC86">
        <f>MAX( 0, MIN(BedPlan[[#This Row],[Expected End of Harvest]], EOMONTH(DC$4, 0)) - MAX(BedPlan[[#This Row],[Beginning of Harvest]], DC$4) + 1 )</f>
        <v>0</v>
      </c>
      <c r="DD86">
        <f>MAX( 0, MIN(BedPlan[[#This Row],[Expected End of Harvest]], EOMONTH(DD$4, 0)) - MAX(BedPlan[[#This Row],[Beginning of Harvest]], DD$4) + 1 )</f>
        <v>0</v>
      </c>
      <c r="DE86">
        <f>MAX( 0, MIN(BedPlan[[#This Row],[Expected End of Harvest]], EOMONTH(DE$4, 0)) - MAX(BedPlan[[#This Row],[Beginning of Harvest]], DE$4) + 1 )</f>
        <v>0</v>
      </c>
      <c r="DF86">
        <f>MAX( 0, MIN(BedPlan[[#This Row],[Expected End of Harvest]], EOMONTH(DF$4, 0)) - MAX(BedPlan[[#This Row],[Beginning of Harvest]], DF$4) + 1 )</f>
        <v>0</v>
      </c>
      <c r="DG86">
        <f>MAX( 0, MIN(BedPlan[[#This Row],[Expected End of Harvest]], EOMONTH(DG$4, 0)) - MAX(BedPlan[[#This Row],[Beginning of Harvest]], DG$4) + 1 )</f>
        <v>0</v>
      </c>
      <c r="DH86">
        <f>MAX( 0, MIN(BedPlan[[#This Row],[Expected End of Harvest]], EOMONTH(DH$4, 0)) - MAX(BedPlan[[#This Row],[Beginning of Harvest]], DH$4) + 1 )</f>
        <v>0</v>
      </c>
      <c r="DI86" s="257" cm="1">
        <f t="array" ref="DI86">BedPlan[[#This Row],[Harvest Days January 2025]]/SUM(BedPlan[[#This Row],[Harvest Days January 2025]:[Harvest Days December 2026]])*BedPlan[[#This Row],[Revenue]:[Revenue]]</f>
        <v>479.99999999999994</v>
      </c>
      <c r="DJ86" s="257" cm="1">
        <f t="array" ref="DJ86">BedPlan[[#This Row],[Harvest Days February 2025]]/SUM(BedPlan[[#This Row],[Harvest Days January 2025]:[Harvest Days December 2026]])*BedPlan[[#This Row],[Revenue]:[Revenue]]</f>
        <v>0</v>
      </c>
      <c r="DK86" s="257" cm="1">
        <f t="array" ref="DK86">BedPlan[[#This Row],[Harvest Days March 2025]]/SUM(BedPlan[[#This Row],[Harvest Days January 2025]:[Harvest Days December 2026]])*BedPlan[[#This Row],[Revenue]:[Revenue]]</f>
        <v>0</v>
      </c>
      <c r="DL86" s="257" cm="1">
        <f t="array" ref="DL86">BedPlan[[#This Row],[Harvest Days April 2025]]/SUM(BedPlan[[#This Row],[Harvest Days January 2025]:[Harvest Days December 2026]])*BedPlan[[#This Row],[Revenue]:[Revenue]]</f>
        <v>0</v>
      </c>
      <c r="DM86" s="257" cm="1">
        <f t="array" ref="DM86">BedPlan[[#This Row],[Harvest Days May 2025]]/SUM(BedPlan[[#This Row],[Harvest Days January 2025]:[Harvest Days December 2026]])*BedPlan[[#This Row],[Revenue]:[Revenue]]</f>
        <v>0</v>
      </c>
      <c r="DN86" s="257" cm="1">
        <f t="array" ref="DN86">BedPlan[[#This Row],[Harvest Days June 2025]]/SUM(BedPlan[[#This Row],[Harvest Days January 2025]:[Harvest Days December 2026]])*BedPlan[[#This Row],[Revenue]:[Revenue]]</f>
        <v>0</v>
      </c>
      <c r="DO86" s="257" cm="1">
        <f t="array" ref="DO86">BedPlan[[#This Row],[Harvest Days July 2025]]/SUM(BedPlan[[#This Row],[Harvest Days January 2025]:[Harvest Days December 2026]])*BedPlan[[#This Row],[Revenue]:[Revenue]]</f>
        <v>0</v>
      </c>
      <c r="DP86" s="257" cm="1">
        <f t="array" ref="DP86">BedPlan[[#This Row],[Harvest Days August 2025]]/SUM(BedPlan[[#This Row],[Harvest Days January 2025]:[Harvest Days December 2026]])*BedPlan[[#This Row],[Revenue]:[Revenue]]</f>
        <v>0</v>
      </c>
      <c r="DQ86" s="257" cm="1">
        <f t="array" ref="DQ86">BedPlan[[#This Row],[Harvest Days September 2025]]/SUM(BedPlan[[#This Row],[Harvest Days January 2025]:[Harvest Days December 2026]])*BedPlan[[#This Row],[Revenue]:[Revenue]]</f>
        <v>0</v>
      </c>
      <c r="DR86" s="257" cm="1">
        <f t="array" ref="DR86">BedPlan[[#This Row],[Harvest Days October 2025]]/SUM(BedPlan[[#This Row],[Harvest Days January 2025]:[Harvest Days December 2026]])*BedPlan[[#This Row],[Revenue]:[Revenue]]</f>
        <v>0</v>
      </c>
      <c r="DS86" s="257" cm="1">
        <f t="array" ref="DS86">BedPlan[[#This Row],[Harvest Days November 2025]]/SUM(BedPlan[[#This Row],[Harvest Days January 2025]:[Harvest Days December 2026]])*BedPlan[[#This Row],[Revenue]:[Revenue]]</f>
        <v>0</v>
      </c>
      <c r="DT86" s="257" cm="1">
        <f t="array" ref="DT86">BedPlan[[#This Row],[Harvest Days December 2025]]/SUM(BedPlan[[#This Row],[Harvest Days January 2025]:[Harvest Days December 2026]])*BedPlan[[#This Row],[Revenue]:[Revenue]]</f>
        <v>0</v>
      </c>
      <c r="DU86" s="257" cm="1">
        <f t="array" ref="DU86">BedPlan[[#This Row],[Harvest Days January 2026]]/SUM(BedPlan[[#This Row],[Harvest Days January 2025]:[Harvest Days December 2026]])*BedPlan[[#This Row],[Revenue]:[Revenue]]</f>
        <v>0</v>
      </c>
      <c r="DV86" s="257" cm="1">
        <f t="array" ref="DV86">BedPlan[[#This Row],[Harvest Days February 2026]]/SUM(BedPlan[[#This Row],[Harvest Days January 2025]:[Harvest Days December 2026]])*BedPlan[[#This Row],[Revenue]:[Revenue]]</f>
        <v>0</v>
      </c>
      <c r="DW86" s="257" cm="1">
        <f t="array" ref="DW86">BedPlan[[#This Row],[Harvest Days March 2026]]/SUM(BedPlan[[#This Row],[Harvest Days January 2025]:[Harvest Days December 2026]])*BedPlan[[#This Row],[Revenue]:[Revenue]]</f>
        <v>0</v>
      </c>
      <c r="DX86" s="257" cm="1">
        <f t="array" ref="DX86">BedPlan[[#This Row],[Harvest Days April 2026]]/SUM(BedPlan[[#This Row],[Harvest Days January 2025]:[Harvest Days December 2026]])*BedPlan[[#This Row],[Revenue]:[Revenue]]</f>
        <v>0</v>
      </c>
      <c r="DY86" s="257" cm="1">
        <f t="array" ref="DY86">BedPlan[[#This Row],[Harvest Days May 2026]]/SUM(BedPlan[[#This Row],[Harvest Days January 2025]:[Harvest Days December 2026]])*BedPlan[[#This Row],[Revenue]:[Revenue]]</f>
        <v>0</v>
      </c>
      <c r="DZ86" s="257" cm="1">
        <f t="array" ref="DZ86">BedPlan[[#This Row],[Harvest Days June 2026]]/SUM(BedPlan[[#This Row],[Harvest Days January 2025]:[Harvest Days December 2026]])*BedPlan[[#This Row],[Revenue]:[Revenue]]</f>
        <v>0</v>
      </c>
      <c r="EA86" s="257" cm="1">
        <f t="array" ref="EA86">BedPlan[[#This Row],[Harvest Days July 2026]]/SUM(BedPlan[[#This Row],[Harvest Days January 2025]:[Harvest Days December 2026]])*BedPlan[[#This Row],[Revenue]:[Revenue]]</f>
        <v>0</v>
      </c>
      <c r="EB86" s="257" cm="1">
        <f t="array" ref="EB86">BedPlan[[#This Row],[Harvest Days August 2026]]/SUM(BedPlan[[#This Row],[Harvest Days January 2025]:[Harvest Days December 2026]])*BedPlan[[#This Row],[Revenue]:[Revenue]]</f>
        <v>0</v>
      </c>
      <c r="EC86" s="257" cm="1">
        <f t="array" ref="EC86">BedPlan[[#This Row],[Harvest Days September 2026]]/SUM(BedPlan[[#This Row],[Harvest Days January 2025]:[Harvest Days December 2026]])*BedPlan[[#This Row],[Revenue]:[Revenue]]</f>
        <v>0</v>
      </c>
      <c r="ED86" s="257" cm="1">
        <f t="array" ref="ED86">BedPlan[[#This Row],[Harvest Days October 2026]]/SUM(BedPlan[[#This Row],[Harvest Days January 2025]:[Harvest Days December 2026]])*BedPlan[[#This Row],[Revenue]:[Revenue]]</f>
        <v>0</v>
      </c>
      <c r="EE86" s="257" cm="1">
        <f t="array" ref="EE86">BedPlan[[#This Row],[Harvest Days November 2026]]/SUM(BedPlan[[#This Row],[Harvest Days January 2025]:[Harvest Days December 2026]])*BedPlan[[#This Row],[Revenue]:[Revenue]]</f>
        <v>0</v>
      </c>
      <c r="EF86" s="257" cm="1">
        <f t="array" ref="EF86">BedPlan[[#This Row],[Harvest Days December 2026]]/SUM(BedPlan[[#This Row],[Harvest Days January 2025]:[Harvest Days December 2026]])*BedPlan[[#This Row],[Revenue]:[Revenue]]</f>
        <v>0</v>
      </c>
      <c r="EG86" t="b">
        <f>SUM(BedPlan[[#This Row],[Revenue January 2025]:[Revenue December 2026]])=BedPlan[[#This Row],[Revenue]]</f>
        <v>1</v>
      </c>
      <c r="EH86" s="30" cm="1">
        <f t="array" ref="EH86">INDEX(Crops[],BedPlan[[#This Row],[Chart Index]],EH$4,1)*BedPlan[[#This Row],['# Of Beds]]</f>
        <v>160</v>
      </c>
      <c r="EI86" s="30" t="str" cm="1">
        <f t="array" ref="EI86">INDEX(Crops[],BedPlan[[#This Row],[Chart Index]],EI$4,1)</f>
        <v>Bunch</v>
      </c>
      <c r="EJ86" s="30" t="str" cm="1">
        <f t="array" ref="EJ86">INDEX(Crops[],BedPlan[[#This Row],[Chart Index]],EJ$4,1)</f>
        <v>Mature Leaf</v>
      </c>
      <c r="EK86" s="30" t="str">
        <f>BedPlan[[#This Row],[Name]]&amp;" "&amp;BedPlan[[#This Row],[Product]]&amp; " - " &amp;BedPlan[[#This Row],[Unit]]</f>
        <v>Lovage Mature Leaf - Bunch</v>
      </c>
      <c r="EL86" s="33" cm="1">
        <f t="array" ref="EL86">BedPlan[[#This Row],[Harvest Days January 2025]]/SUM(BedPlan[[#This Row],[Harvest Days January 2025]:[Harvest Days December 2026]])*BedPlan[[#This Row],[Yield]:[Yield]]</f>
        <v>160</v>
      </c>
      <c r="EM86" s="33" cm="1">
        <f t="array" ref="EM86">BedPlan[[#This Row],[Harvest Days February 2025]]/SUM(BedPlan[[#This Row],[Harvest Days January 2025]:[Harvest Days December 2026]])*BedPlan[[#This Row],[Yield]:[Yield]]</f>
        <v>0</v>
      </c>
      <c r="EN86" s="33" cm="1">
        <f t="array" ref="EN86">BedPlan[[#This Row],[Harvest Days March 2025]]/SUM(BedPlan[[#This Row],[Harvest Days January 2025]:[Harvest Days December 2026]])*BedPlan[[#This Row],[Yield]:[Yield]]</f>
        <v>0</v>
      </c>
      <c r="EO86" s="33" cm="1">
        <f t="array" ref="EO86">BedPlan[[#This Row],[Harvest Days April 2025]]/SUM(BedPlan[[#This Row],[Harvest Days January 2025]:[Harvest Days December 2026]])*BedPlan[[#This Row],[Yield]:[Yield]]</f>
        <v>0</v>
      </c>
      <c r="EP86" s="33" cm="1">
        <f t="array" ref="EP86">BedPlan[[#This Row],[Harvest Days May 2025]]/SUM(BedPlan[[#This Row],[Harvest Days January 2025]:[Harvest Days December 2026]])*BedPlan[[#This Row],[Yield]:[Yield]]</f>
        <v>0</v>
      </c>
      <c r="EQ86" s="33" cm="1">
        <f t="array" ref="EQ86">BedPlan[[#This Row],[Harvest Days June 2025]]/SUM(BedPlan[[#This Row],[Harvest Days January 2025]:[Harvest Days December 2026]])*BedPlan[[#This Row],[Yield]:[Yield]]</f>
        <v>0</v>
      </c>
      <c r="ER86" s="33" cm="1">
        <f t="array" ref="ER86">BedPlan[[#This Row],[Harvest Days July 2025]]/SUM(BedPlan[[#This Row],[Harvest Days January 2025]:[Harvest Days December 2026]])*BedPlan[[#This Row],[Yield]:[Yield]]</f>
        <v>0</v>
      </c>
      <c r="ES86" s="33" cm="1">
        <f t="array" ref="ES86">BedPlan[[#This Row],[Harvest Days August 2025]]/SUM(BedPlan[[#This Row],[Harvest Days January 2025]:[Harvest Days December 2026]])*BedPlan[[#This Row],[Yield]:[Yield]]</f>
        <v>0</v>
      </c>
      <c r="ET86" s="33" cm="1">
        <f t="array" ref="ET86">BedPlan[[#This Row],[Harvest Days September 2025]]/SUM(BedPlan[[#This Row],[Harvest Days January 2025]:[Harvest Days December 2026]])*BedPlan[[#This Row],[Yield]:[Yield]]</f>
        <v>0</v>
      </c>
      <c r="EU86" s="33" cm="1">
        <f t="array" ref="EU86">BedPlan[[#This Row],[Harvest Days October 2025]]/SUM(BedPlan[[#This Row],[Harvest Days January 2025]:[Harvest Days December 2026]])*BedPlan[[#This Row],[Yield]:[Yield]]</f>
        <v>0</v>
      </c>
      <c r="EV86" s="33" cm="1">
        <f t="array" ref="EV86">BedPlan[[#This Row],[Harvest Days November 2025]]/SUM(BedPlan[[#This Row],[Harvest Days January 2025]:[Harvest Days December 2026]])*BedPlan[[#This Row],[Yield]:[Yield]]</f>
        <v>0</v>
      </c>
      <c r="EW86" s="33" cm="1">
        <f t="array" ref="EW86">BedPlan[[#This Row],[Harvest Days December 2025]]/SUM(BedPlan[[#This Row],[Harvest Days January 2025]:[Harvest Days December 2026]])*BedPlan[[#This Row],[Yield]:[Yield]]</f>
        <v>0</v>
      </c>
    </row>
    <row r="87" spans="1:153" ht="15.75" customHeight="1">
      <c r="A87" s="189" t="s">
        <v>2713</v>
      </c>
      <c r="B87" s="240" t="s">
        <v>2714</v>
      </c>
      <c r="C87" t="s">
        <v>1427</v>
      </c>
      <c r="D87" cm="1">
        <f t="array" ref="D87">INDEX(Crops[],BedPlan[[#This Row],[Chart Index]],D$4,1)*BedPlan[[#This Row],[Full Bed Equivalent]]</f>
        <v>18.75</v>
      </c>
      <c r="E87" cm="1">
        <f t="array" ref="E87">INDEX(Crops[],BedPlan[[#This Row],[Chart Index]],E$4,1)*BedPlan[[#This Row],[Full Bed Equivalent]]</f>
        <v>112.5</v>
      </c>
      <c r="F87" t="str">
        <f>UPPER(LEFT(BedPlan[[#This Row],[Crop]],3))</f>
        <v>MAG</v>
      </c>
      <c r="H87" s="143" t="str" cm="1">
        <f t="array" ref="H87">INDEX(Crops[],BedPlan[[#This Row],[Chart Index]],H$4,1)</f>
        <v>Magenta Spreen</v>
      </c>
      <c r="I87" s="143" t="s">
        <v>1793</v>
      </c>
      <c r="J87" t="s">
        <v>488</v>
      </c>
      <c r="K87" t="str" cm="1">
        <f t="array" ref="K87">IF(ISNUMBER(MATCH(BedPlan[[#This Row],[Variety]],SeedMixes[Name],)),_xlfn.TEXTJOIN(", ",TRUE,_xlfn._xlws.FILTER(SeedMixes[Variety &amp; Company],SeedMixes[Name]=BedPlan[[#This Row],[Variety]])),"")</f>
        <v/>
      </c>
      <c r="L87" s="33" cm="1">
        <f t="array" ref="L87">INDEX(Crops[],BedPlan[[#This Row],[Chart Index]],L$4,1)*BedPlan[[#This Row],[Full Bed Equivalent]]</f>
        <v>390</v>
      </c>
      <c r="N87">
        <v>0.25</v>
      </c>
      <c r="O87">
        <f>MAX(BedPlan[[#This Row],['# Of Beds]],0.5)</f>
        <v>0.5</v>
      </c>
      <c r="P87" s="31">
        <f>IF(ISNUMBER(BedPlan[[#This Row],[Planned Greenhouse Start Date]]),BedPlan[[#This Row],[Planned Greenhouse Start Date]],BedPlan[[#This Row],[Planned TP or DS Date]])</f>
        <v>45733</v>
      </c>
      <c r="Q87" s="259" t="str">
        <f>IF(BedPlan[[#This Row],[Days in Cells]]=0,"",IFERROR(_xlfn.XLOOKUP(BedPlan[[#This Row],[Follows Crop]],BedPlan[Identifier],BedPlan[Expected End of Harvest]) + 1+BedPlan[[#This Row],[Follow Offset]],BedPlan[[#This Row],[Fixed Field Start Date]])-BedPlan[[#This Row],[Days in Cells]])</f>
        <v/>
      </c>
      <c r="R87" s="259"/>
      <c r="S87" s="259" t="str">
        <f>IF(ISNUMBER(BedPlan[[#This Row],[Actual Greenhouse Date]]),BedPlan[[#This Row],[Actual Greenhouse Date]],BedPlan[[#This Row],[Planned Greenhouse Start Date]])</f>
        <v/>
      </c>
      <c r="T87" s="259">
        <f>_xlfn.XLOOKUP(BedPlan[[#This Row],[Crop]],Crops[Identifier],Crops[Target Field Date])</f>
        <v>45733</v>
      </c>
      <c r="U87" s="260"/>
      <c r="V87" s="260"/>
      <c r="W8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45733</v>
      </c>
      <c r="X87" s="259">
        <v>45741</v>
      </c>
      <c r="Y87" s="271">
        <f>BedPlan[[#This Row],[Actual TP or DS Date]]-BedPlan[[#This Row],[Planned TP or DS Date]]</f>
        <v>8</v>
      </c>
      <c r="Z87" s="259">
        <f>IF(ISNUMBER(BedPlan[[#This Row],[Actual TP or DS Date]]),BedPlan[[#This Row],[Actual TP or DS Date]],BedPlan[[#This Row],[Planned TP or DS Date]])</f>
        <v>45741</v>
      </c>
      <c r="AA87" s="260"/>
      <c r="AB87" s="259">
        <f>IF(ISNUMBER(BedPlan[[#This Row],[Greenhouse Start Date]]),BedPlan[[#This Row],[Greenhouse Start Date]]+BedPlan[[#This Row],[DTM]],BedPlan[[#This Row],[TP or DS Date]]+BedPlan[[#This Row],[DTM]])</f>
        <v>45801</v>
      </c>
      <c r="AC87" s="259"/>
      <c r="AD87" s="259">
        <f>IF(ISNUMBER(BedPlan[[#This Row],[Actual Beginning of Harvest]]),BedPlan[[#This Row],[Actual Beginning of Harvest]],BedPlan[[#This Row],[Expected Beginning of Harvest]])</f>
        <v>45801</v>
      </c>
      <c r="AE87" s="259">
        <f>BedPlan[[#This Row],[Expected Beginning of Harvest]]+BedPlan[[#This Row],[Harvest Window]]+BedPlan[[#This Row],[Additional Days of Harvest]]</f>
        <v>45836</v>
      </c>
      <c r="AF87" s="259"/>
      <c r="AG87" s="259"/>
      <c r="AH87" s="31" t="b">
        <f>IF(AND( BedPlan[[#This Row],[Expected End of Harvest]] &gt;= DATE(2025, 8, 1), BedPlan[[#This Row],[Beginning of Harvest]] &lt;= DATE(2025, 8, 31) ), TRUE, FALSE)</f>
        <v>0</v>
      </c>
      <c r="AI87" s="31"/>
      <c r="AJ87" s="31">
        <f>IF(ISNUMBER(BedPlan[[#This Row],[Actual End of Harvest]]),BedPlan[[#This Row],[Actual End of Harvest]],BedPlan[[#This Row],[Expected End of Harvest]])</f>
        <v>45836</v>
      </c>
      <c r="AK87" t="b">
        <f>OR(ISNUMBER(BedPlan[[#This Row],[Actual Greenhouse Date]]),ISNUMBER(BedPlan[[#This Row],[Actual TP or DS Date]]))</f>
        <v>1</v>
      </c>
      <c r="AL87" t="str">
        <f>IF(ISNUMBER(BedPlan[[#This Row],[Planned Greenhouse Start Date]]),OR(ISNUMBER(BedPlan[[#This Row],[Actual TP or DS Date]]),BedPlan[[#This Row],[Failed]]),"-")</f>
        <v>-</v>
      </c>
      <c r="AM87" t="b">
        <f>OR(ISNUMBER(BedPlan[[#This Row],[Actual End of Harvest]]),BedPlan[[#This Row],[Failed]])</f>
        <v>0</v>
      </c>
      <c r="AN87" t="b">
        <f>OR(BedPlan[[#This Row],[Harvest Done]],BedPlan[[#This Row],[Failed]],BedPlan[[#This Row],[Name]]="Tarp")</f>
        <v>0</v>
      </c>
      <c r="AO87" t="b">
        <v>1</v>
      </c>
      <c r="AQ87" t="s">
        <v>3212</v>
      </c>
      <c r="AR87" t="b">
        <v>1</v>
      </c>
      <c r="AS87" s="26">
        <f>IF(BedPlan[[#This Row],[Broadfork]],BedPlan[[#This Row],[Actual TP or DS Date]],"")</f>
        <v>45741</v>
      </c>
      <c r="AT87" s="26" t="str">
        <f>IF(BedPlan[[#This Row],[Tilther]],BedPlan[[#This Row],[Actual TP or DS Date]],"")</f>
        <v/>
      </c>
      <c r="AU87" s="26">
        <f>IF(NOT(ISBLANK(BedPlan[[#This Row],[Amend]])),BedPlan[[#This Row],[Actual TP or DS Date]],"")</f>
        <v>45741</v>
      </c>
      <c r="AV87" s="26">
        <f>IF(BedPlan[[#This Row],[Row Cover]],BedPlan[[#This Row],[Actual TP or DS Date]],"")</f>
        <v>45741</v>
      </c>
      <c r="AX87" s="26"/>
      <c r="AZ87" s="26"/>
      <c r="BB87" s="26"/>
      <c r="BC87" s="36" cm="1">
        <f t="array" ref="BC87">INDEX(Crops[],BedPlan[[#This Row],[Chart Index]],BC$4,1)*BedPlan[[#This Row],[Full Bed Equivalent]]</f>
        <v>337.5</v>
      </c>
      <c r="BD87" s="36" cm="1">
        <f t="array" ref="BD87">INDEX(Crops[],BedPlan[[#This Row],[Chart Index]],BD$4,1)*BedPlan[[#This Row],[Full Bed Equivalent]]</f>
        <v>3.5526315789473686</v>
      </c>
      <c r="BE87" cm="1">
        <f t="array" ref="BE87">INDEX(Crops[],BedPlan[[#This Row],[Chart Index]],BE$4,1)+BedPlan[[#This Row],[Additional Days in Cells]]+BedPlan[[#This Row],[Additional Days In Field]]</f>
        <v>60</v>
      </c>
      <c r="BG87" cm="1">
        <f t="array" ref="BG87">INDEX(Crops[],BedPlan[[#This Row],[Chart Index]],BG$4,1)</f>
        <v>35</v>
      </c>
      <c r="BH87" t="str">
        <f>IF(ISNUMBER(BedPlan[[#This Row],[Planned Greenhouse Start Date]]),"TP","DS")</f>
        <v>DS</v>
      </c>
      <c r="BI87">
        <f>BedPlan[[#This Row],['# Of Beds]]</f>
        <v>0.25</v>
      </c>
      <c r="BJ87" cm="1">
        <f t="array" ref="BJ87">INDEX(Crops[],BedPlan[[#This Row],[Chart Index]],BJ$4,1)</f>
        <v>0</v>
      </c>
      <c r="BK87" cm="1">
        <f t="array" ref="BK87">INDEX(Crops[],BedPlan[[#This Row],[Chart Index]],BK$4,1)</f>
        <v>4</v>
      </c>
      <c r="BL87" cm="1">
        <f t="array" ref="BL87">INDEX(Crops[],BedPlan[[#This Row],[Chart Index]],BL$4,1)</f>
        <v>2</v>
      </c>
      <c r="BM87" cm="1">
        <f t="array" ref="BM87">INDEX(Crops[],BedPlan[[#This Row],[Chart Index]],BM$4,1)</f>
        <v>1</v>
      </c>
      <c r="BN87" s="32" cm="1">
        <f t="array" ref="BN87">INDEX(Crops[],BedPlan[[#This Row],[Chart Index]],BN$4,1)*BedPlan[[#This Row],[Full Bed Equivalent]]</f>
        <v>300</v>
      </c>
      <c r="BO87" t="str" cm="1">
        <f t="array" ref="BO87">IF(INDEX(Crops[],BedPlan[[#This Row],[Chart Index]],BO$4,1)=0,"",INDEX(Crops[],BedPlan[[#This Row],[Chart Index]],BO$4,1))</f>
        <v/>
      </c>
      <c r="BP87">
        <f>MATCH(BedPlan[[#This Row],[Crop]],Crops[Identifier],FALSE)</f>
        <v>199</v>
      </c>
      <c r="BQ87" t="str" cm="1">
        <f t="array" ref="BQ87">INDEX(Crops[],BedPlan[[#This Row],[Chart Index]],BQ$4,1)</f>
        <v>General</v>
      </c>
      <c r="BR87" t="str" cm="1">
        <f t="array" ref="BR87">INDEX(Crops[],BedPlan[[#This Row],[Chart Index]],BR$4,1)</f>
        <v>Sp</v>
      </c>
      <c r="BS87" s="32">
        <f>BedPlan[[#This Row],[Expected Beginning of Harvest]]-DATE(2023,1,1)</f>
        <v>874</v>
      </c>
      <c r="BT87">
        <f>BedPlan[[#This Row],[Expected End of Harvest]]-BedPlan[[#This Row],[Expected Beginning of Harvest]]</f>
        <v>35</v>
      </c>
      <c r="BU87" t="str" cm="1">
        <f t="array" ref="BU87">INDEX(Crops[],BedPlan[[#This Row],[Chart Index]],BU$4,1)</f>
        <v>Flower</v>
      </c>
      <c r="BV87" cm="1">
        <f t="array" ref="BV87">INDEX(Crops[],BedPlan[[#This Row],[Chart Index]],BV$4,1)</f>
        <v>7</v>
      </c>
      <c r="BW87" cm="1">
        <f t="array" ref="BW87">INDEX(Crops[],BedPlan[[#This Row],[Chart Index]],BW$4,1)</f>
        <v>0</v>
      </c>
      <c r="BX87" cm="1">
        <f t="array" ref="BX87">INDEX(Crops[],BedPlan[[#This Row],[Chart Index]],BX$4,1)</f>
        <v>0</v>
      </c>
      <c r="BY87" cm="1">
        <f t="array" ref="BY87">INDEX(Crops[],BedPlan[[#This Row],[Chart Index]],BY$4,1)</f>
        <v>0</v>
      </c>
      <c r="BZ87" s="49" cm="1">
        <f t="array" ref="BZ87">IFERROR(INDEX(Crops[],BedPlan[[#This Row],[Chart Index]],BZ$4,1)*BedPlan[[#This Row],[Full Bed Equivalent]],"")</f>
        <v>0</v>
      </c>
      <c r="CA87" cm="1">
        <f t="array" ref="CA87">INDEX(Crops[],BedPlan[[#This Row],[Chart Index]],CA$4,1)</f>
        <v>0</v>
      </c>
      <c r="CB87" cm="1">
        <f t="array" ref="CB87">INDEX(Crops[],BedPlan[[#This Row],[Chart Index]],CB$4,1)</f>
        <v>0</v>
      </c>
      <c r="CC87" s="49" t="str" cm="1">
        <f t="array" ref="CC87">IFERROR(INDEX(Crops[],BedPlan[[#This Row],[Chart Index]],CC$4,1)*BedPlan[[#This Row],[Full Bed Equivalent]],"")</f>
        <v/>
      </c>
      <c r="CD87" cm="1">
        <f t="array" ref="CD87">INDEX(Crops[],BedPlan[[#This Row],[Chart Index]],CD$4,1)</f>
        <v>0</v>
      </c>
      <c r="CE87" cm="1">
        <f t="array" ref="CE87">IF(INDEX(Crops[],BedPlan[[#This Row],[Chart Index]],CE$4,1)="",0,INDEX(Crops[],BedPlan[[#This Row],[Chart Index]],CE$4,1))</f>
        <v>0</v>
      </c>
      <c r="CF87" s="49" t="str" cm="1">
        <f t="array" ref="CF87">IFERROR(INDEX(Crops[],BedPlan[[#This Row],[Chart Index]],CF$4,1)*BedPlan[[#This Row],[Full Bed Equivalent]],"")</f>
        <v/>
      </c>
      <c r="CG87" cm="1">
        <f t="array" ref="CG87">IF(INDEX(Crops[],BedPlan[[#This Row],[Chart Index]],CG$4,1)="",0,INDEX(Crops[],BedPlan[[#This Row],[Chart Index]],CG$4,1))</f>
        <v>1.3</v>
      </c>
      <c r="CH87" cm="1">
        <f t="array" ref="CH87">IF(INDEX(Crops[],BedPlan[[#This Row],[Chart Index]],CH$4,1)="",0,INDEX(Crops[],BedPlan[[#This Row],[Chart Index]],CH$4,1))</f>
        <v>0</v>
      </c>
      <c r="CI87" cm="1">
        <f t="array" ref="CI87">INDEX(Crops[],BedPlan[[#This Row],[Chart Index]],CI$4,1)</f>
        <v>0</v>
      </c>
      <c r="CJ87" t="str">
        <f>_xlfn.TEXTJOIN(CHAR(10),FALSE,BedPlan[[#This Row],[Name]],BedPlan[[#This Row],[Variety]],BedPlan[[#This Row],[Company]])</f>
        <v>Magenta Spreen
Magenta Spreen
Adaptive</v>
      </c>
      <c r="CK87" s="32">
        <f>MAX( 0, MIN(BedPlan[[#This Row],[Expected End of Harvest]], EOMONTH(CK$4, 0)) - MAX(BedPlan[[#This Row],[Beginning of Harvest]], CK$4) + 1 )</f>
        <v>0</v>
      </c>
      <c r="CL87">
        <f>MAX( 0, MIN(BedPlan[[#This Row],[Expected End of Harvest]], EOMONTH(CL$4, 0)) - MAX(BedPlan[[#This Row],[Beginning of Harvest]], CL$4) + 1 )</f>
        <v>0</v>
      </c>
      <c r="CM87">
        <f>MAX( 0, MIN(BedPlan[[#This Row],[Expected End of Harvest]], EOMONTH(CM$4, 0)) - MAX(BedPlan[[#This Row],[Beginning of Harvest]], CM$4) + 1 )</f>
        <v>0</v>
      </c>
      <c r="CN87">
        <f>MAX( 0, MIN(BedPlan[[#This Row],[Expected End of Harvest]], EOMONTH(CN$4, 0)) - MAX(BedPlan[[#This Row],[Beginning of Harvest]], CN$4) + 1 )</f>
        <v>0</v>
      </c>
      <c r="CO87">
        <f>MAX( 0, MIN(BedPlan[[#This Row],[Expected End of Harvest]], EOMONTH(CO$4, 0)) - MAX(BedPlan[[#This Row],[Beginning of Harvest]], CO$4) + 1 )</f>
        <v>8</v>
      </c>
      <c r="CP87">
        <f>MAX( 0, MIN(BedPlan[[#This Row],[Expected End of Harvest]], EOMONTH(CP$4, 0)) - MAX(BedPlan[[#This Row],[Beginning of Harvest]], CP$4) + 1 )</f>
        <v>28</v>
      </c>
      <c r="CQ87">
        <f>MAX( 0, MIN(BedPlan[[#This Row],[Expected End of Harvest]], EOMONTH(CQ$4, 0)) - MAX(BedPlan[[#This Row],[Beginning of Harvest]], CQ$4) + 1 )</f>
        <v>0</v>
      </c>
      <c r="CR87">
        <f>MAX( 0, MIN(BedPlan[[#This Row],[Expected End of Harvest]], EOMONTH(CR$4, 0)) - MAX(BedPlan[[#This Row],[Beginning of Harvest]], CR$4) + 1 )</f>
        <v>0</v>
      </c>
      <c r="CS87">
        <f>MAX( 0, MIN(BedPlan[[#This Row],[Expected End of Harvest]], EOMONTH(CS$4, 0)) - MAX(BedPlan[[#This Row],[Beginning of Harvest]], CS$4) + 1 )</f>
        <v>0</v>
      </c>
      <c r="CT87">
        <f>MAX( 0, MIN(BedPlan[[#This Row],[Expected End of Harvest]], EOMONTH(CT$4, 0)) - MAX(BedPlan[[#This Row],[Beginning of Harvest]], CT$4) + 1 )</f>
        <v>0</v>
      </c>
      <c r="CU87">
        <f>MAX( 0, MIN(BedPlan[[#This Row],[Expected End of Harvest]], EOMONTH(CU$4, 0)) - MAX(BedPlan[[#This Row],[Beginning of Harvest]], CU$4) + 1 )</f>
        <v>0</v>
      </c>
      <c r="CV87">
        <f>MAX( 0, MIN(BedPlan[[#This Row],[Expected End of Harvest]], EOMONTH(CV$4, 0)) - MAX(BedPlan[[#This Row],[Beginning of Harvest]], CV$4) + 1 )</f>
        <v>0</v>
      </c>
      <c r="CW87">
        <f>MAX( 0, MIN(BedPlan[[#This Row],[Expected End of Harvest]], EOMONTH(CW$4, 0)) - MAX(BedPlan[[#This Row],[Beginning of Harvest]], CW$4) + 1 )</f>
        <v>0</v>
      </c>
      <c r="CX87">
        <f>MAX( 0, MIN(BedPlan[[#This Row],[Expected End of Harvest]], EOMONTH(CX$4, 0)) - MAX(BedPlan[[#This Row],[Beginning of Harvest]], CX$4) + 1 )</f>
        <v>0</v>
      </c>
      <c r="CY87">
        <f>MAX( 0, MIN(BedPlan[[#This Row],[Expected End of Harvest]], EOMONTH(CY$4, 0)) - MAX(BedPlan[[#This Row],[Beginning of Harvest]], CY$4) + 1 )</f>
        <v>0</v>
      </c>
      <c r="CZ87">
        <f>MAX( 0, MIN(BedPlan[[#This Row],[Expected End of Harvest]], EOMONTH(CZ$4, 0)) - MAX(BedPlan[[#This Row],[Beginning of Harvest]], CZ$4) + 1 )</f>
        <v>0</v>
      </c>
      <c r="DA87">
        <f>MAX( 0, MIN(BedPlan[[#This Row],[Expected End of Harvest]], EOMONTH(DA$4, 0)) - MAX(BedPlan[[#This Row],[Beginning of Harvest]], DA$4) + 1 )</f>
        <v>0</v>
      </c>
      <c r="DB87">
        <f>MAX( 0, MIN(BedPlan[[#This Row],[Expected End of Harvest]], EOMONTH(DB$4, 0)) - MAX(BedPlan[[#This Row],[Beginning of Harvest]], DB$4) + 1 )</f>
        <v>0</v>
      </c>
      <c r="DC87">
        <f>MAX( 0, MIN(BedPlan[[#This Row],[Expected End of Harvest]], EOMONTH(DC$4, 0)) - MAX(BedPlan[[#This Row],[Beginning of Harvest]], DC$4) + 1 )</f>
        <v>0</v>
      </c>
      <c r="DD87">
        <f>MAX( 0, MIN(BedPlan[[#This Row],[Expected End of Harvest]], EOMONTH(DD$4, 0)) - MAX(BedPlan[[#This Row],[Beginning of Harvest]], DD$4) + 1 )</f>
        <v>0</v>
      </c>
      <c r="DE87">
        <f>MAX( 0, MIN(BedPlan[[#This Row],[Expected End of Harvest]], EOMONTH(DE$4, 0)) - MAX(BedPlan[[#This Row],[Beginning of Harvest]], DE$4) + 1 )</f>
        <v>0</v>
      </c>
      <c r="DF87">
        <f>MAX( 0, MIN(BedPlan[[#This Row],[Expected End of Harvest]], EOMONTH(DF$4, 0)) - MAX(BedPlan[[#This Row],[Beginning of Harvest]], DF$4) + 1 )</f>
        <v>0</v>
      </c>
      <c r="DG87">
        <f>MAX( 0, MIN(BedPlan[[#This Row],[Expected End of Harvest]], EOMONTH(DG$4, 0)) - MAX(BedPlan[[#This Row],[Beginning of Harvest]], DG$4) + 1 )</f>
        <v>0</v>
      </c>
      <c r="DH87">
        <f>MAX( 0, MIN(BedPlan[[#This Row],[Expected End of Harvest]], EOMONTH(DH$4, 0)) - MAX(BedPlan[[#This Row],[Beginning of Harvest]], DH$4) + 1 )</f>
        <v>0</v>
      </c>
      <c r="DI87" s="257" cm="1">
        <f t="array" ref="DI87">BedPlan[[#This Row],[Harvest Days January 2025]]/SUM(BedPlan[[#This Row],[Harvest Days January 2025]:[Harvest Days December 2026]])*BedPlan[[#This Row],[Revenue]:[Revenue]]</f>
        <v>0</v>
      </c>
      <c r="DJ87" s="257" cm="1">
        <f t="array" ref="DJ87">BedPlan[[#This Row],[Harvest Days February 2025]]/SUM(BedPlan[[#This Row],[Harvest Days January 2025]:[Harvest Days December 2026]])*BedPlan[[#This Row],[Revenue]:[Revenue]]</f>
        <v>0</v>
      </c>
      <c r="DK87" s="257" cm="1">
        <f t="array" ref="DK87">BedPlan[[#This Row],[Harvest Days March 2025]]/SUM(BedPlan[[#This Row],[Harvest Days January 2025]:[Harvest Days December 2026]])*BedPlan[[#This Row],[Revenue]:[Revenue]]</f>
        <v>0</v>
      </c>
      <c r="DL87" s="257" cm="1">
        <f t="array" ref="DL87">BedPlan[[#This Row],[Harvest Days April 2025]]/SUM(BedPlan[[#This Row],[Harvest Days January 2025]:[Harvest Days December 2026]])*BedPlan[[#This Row],[Revenue]:[Revenue]]</f>
        <v>0</v>
      </c>
      <c r="DM87" s="257" cm="1">
        <f t="array" ref="DM87">BedPlan[[#This Row],[Harvest Days May 2025]]/SUM(BedPlan[[#This Row],[Harvest Days January 2025]:[Harvest Days December 2026]])*BedPlan[[#This Row],[Revenue]:[Revenue]]</f>
        <v>75</v>
      </c>
      <c r="DN87" s="257" cm="1">
        <f t="array" ref="DN87">BedPlan[[#This Row],[Harvest Days June 2025]]/SUM(BedPlan[[#This Row],[Harvest Days January 2025]:[Harvest Days December 2026]])*BedPlan[[#This Row],[Revenue]:[Revenue]]</f>
        <v>262.5</v>
      </c>
      <c r="DO87" s="257" cm="1">
        <f t="array" ref="DO87">BedPlan[[#This Row],[Harvest Days July 2025]]/SUM(BedPlan[[#This Row],[Harvest Days January 2025]:[Harvest Days December 2026]])*BedPlan[[#This Row],[Revenue]:[Revenue]]</f>
        <v>0</v>
      </c>
      <c r="DP87" s="257" cm="1">
        <f t="array" ref="DP87">BedPlan[[#This Row],[Harvest Days August 2025]]/SUM(BedPlan[[#This Row],[Harvest Days January 2025]:[Harvest Days December 2026]])*BedPlan[[#This Row],[Revenue]:[Revenue]]</f>
        <v>0</v>
      </c>
      <c r="DQ87" s="257" cm="1">
        <f t="array" ref="DQ87">BedPlan[[#This Row],[Harvest Days September 2025]]/SUM(BedPlan[[#This Row],[Harvest Days January 2025]:[Harvest Days December 2026]])*BedPlan[[#This Row],[Revenue]:[Revenue]]</f>
        <v>0</v>
      </c>
      <c r="DR87" s="257" cm="1">
        <f t="array" ref="DR87">BedPlan[[#This Row],[Harvest Days October 2025]]/SUM(BedPlan[[#This Row],[Harvest Days January 2025]:[Harvest Days December 2026]])*BedPlan[[#This Row],[Revenue]:[Revenue]]</f>
        <v>0</v>
      </c>
      <c r="DS87" s="257" cm="1">
        <f t="array" ref="DS87">BedPlan[[#This Row],[Harvest Days November 2025]]/SUM(BedPlan[[#This Row],[Harvest Days January 2025]:[Harvest Days December 2026]])*BedPlan[[#This Row],[Revenue]:[Revenue]]</f>
        <v>0</v>
      </c>
      <c r="DT87" s="257" cm="1">
        <f t="array" ref="DT87">BedPlan[[#This Row],[Harvest Days December 2025]]/SUM(BedPlan[[#This Row],[Harvest Days January 2025]:[Harvest Days December 2026]])*BedPlan[[#This Row],[Revenue]:[Revenue]]</f>
        <v>0</v>
      </c>
      <c r="DU87" s="257" cm="1">
        <f t="array" ref="DU87">BedPlan[[#This Row],[Harvest Days January 2026]]/SUM(BedPlan[[#This Row],[Harvest Days January 2025]:[Harvest Days December 2026]])*BedPlan[[#This Row],[Revenue]:[Revenue]]</f>
        <v>0</v>
      </c>
      <c r="DV87" s="257" cm="1">
        <f t="array" ref="DV87">BedPlan[[#This Row],[Harvest Days February 2026]]/SUM(BedPlan[[#This Row],[Harvest Days January 2025]:[Harvest Days December 2026]])*BedPlan[[#This Row],[Revenue]:[Revenue]]</f>
        <v>0</v>
      </c>
      <c r="DW87" s="257" cm="1">
        <f t="array" ref="DW87">BedPlan[[#This Row],[Harvest Days March 2026]]/SUM(BedPlan[[#This Row],[Harvest Days January 2025]:[Harvest Days December 2026]])*BedPlan[[#This Row],[Revenue]:[Revenue]]</f>
        <v>0</v>
      </c>
      <c r="DX87" s="257" cm="1">
        <f t="array" ref="DX87">BedPlan[[#This Row],[Harvest Days April 2026]]/SUM(BedPlan[[#This Row],[Harvest Days January 2025]:[Harvest Days December 2026]])*BedPlan[[#This Row],[Revenue]:[Revenue]]</f>
        <v>0</v>
      </c>
      <c r="DY87" s="257" cm="1">
        <f t="array" ref="DY87">BedPlan[[#This Row],[Harvest Days May 2026]]/SUM(BedPlan[[#This Row],[Harvest Days January 2025]:[Harvest Days December 2026]])*BedPlan[[#This Row],[Revenue]:[Revenue]]</f>
        <v>0</v>
      </c>
      <c r="DZ87" s="257" cm="1">
        <f t="array" ref="DZ87">BedPlan[[#This Row],[Harvest Days June 2026]]/SUM(BedPlan[[#This Row],[Harvest Days January 2025]:[Harvest Days December 2026]])*BedPlan[[#This Row],[Revenue]:[Revenue]]</f>
        <v>0</v>
      </c>
      <c r="EA87" s="257" cm="1">
        <f t="array" ref="EA87">BedPlan[[#This Row],[Harvest Days July 2026]]/SUM(BedPlan[[#This Row],[Harvest Days January 2025]:[Harvest Days December 2026]])*BedPlan[[#This Row],[Revenue]:[Revenue]]</f>
        <v>0</v>
      </c>
      <c r="EB87" s="257" cm="1">
        <f t="array" ref="EB87">BedPlan[[#This Row],[Harvest Days August 2026]]/SUM(BedPlan[[#This Row],[Harvest Days January 2025]:[Harvest Days December 2026]])*BedPlan[[#This Row],[Revenue]:[Revenue]]</f>
        <v>0</v>
      </c>
      <c r="EC87" s="257" cm="1">
        <f t="array" ref="EC87">BedPlan[[#This Row],[Harvest Days September 2026]]/SUM(BedPlan[[#This Row],[Harvest Days January 2025]:[Harvest Days December 2026]])*BedPlan[[#This Row],[Revenue]:[Revenue]]</f>
        <v>0</v>
      </c>
      <c r="ED87" s="257" cm="1">
        <f t="array" ref="ED87">BedPlan[[#This Row],[Harvest Days October 2026]]/SUM(BedPlan[[#This Row],[Harvest Days January 2025]:[Harvest Days December 2026]])*BedPlan[[#This Row],[Revenue]:[Revenue]]</f>
        <v>0</v>
      </c>
      <c r="EE87" s="257" cm="1">
        <f t="array" ref="EE87">BedPlan[[#This Row],[Harvest Days November 2026]]/SUM(BedPlan[[#This Row],[Harvest Days January 2025]:[Harvest Days December 2026]])*BedPlan[[#This Row],[Revenue]:[Revenue]]</f>
        <v>0</v>
      </c>
      <c r="EF87" s="257" cm="1">
        <f t="array" ref="EF87">BedPlan[[#This Row],[Harvest Days December 2026]]/SUM(BedPlan[[#This Row],[Harvest Days January 2025]:[Harvest Days December 2026]])*BedPlan[[#This Row],[Revenue]:[Revenue]]</f>
        <v>0</v>
      </c>
      <c r="EG87" t="b">
        <f>SUM(BedPlan[[#This Row],[Revenue January 2025]:[Revenue December 2026]])=BedPlan[[#This Row],[Revenue]]</f>
        <v>1</v>
      </c>
      <c r="EH87" cm="1">
        <f t="array" ref="EH87">INDEX(Crops[],BedPlan[[#This Row],[Chart Index]],EH$4,1)*BedPlan[[#This Row],['# Of Beds]]</f>
        <v>112.5</v>
      </c>
      <c r="EI87" t="str" cm="1">
        <f t="array" ref="EI87">INDEX(Crops[],BedPlan[[#This Row],[Chart Index]],EI$4,1)</f>
        <v>Bunch</v>
      </c>
      <c r="EJ87" t="str" cm="1">
        <f t="array" ref="EJ87">INDEX(Crops[],BedPlan[[#This Row],[Chart Index]],EJ$4,1)</f>
        <v>Young Stem</v>
      </c>
      <c r="EK87" t="str">
        <f>BedPlan[[#This Row],[Name]]&amp;" "&amp;BedPlan[[#This Row],[Product]]&amp; " - " &amp;BedPlan[[#This Row],[Unit]]</f>
        <v>Magenta Spreen Young Stem - Bunch</v>
      </c>
      <c r="EL87" s="33" cm="1">
        <f t="array" ref="EL87">BedPlan[[#This Row],[Harvest Days January 2025]]/SUM(BedPlan[[#This Row],[Harvest Days January 2025]:[Harvest Days December 2026]])*BedPlan[[#This Row],[Yield]:[Yield]]</f>
        <v>0</v>
      </c>
      <c r="EM87" s="33" cm="1">
        <f t="array" ref="EM87">BedPlan[[#This Row],[Harvest Days February 2025]]/SUM(BedPlan[[#This Row],[Harvest Days January 2025]:[Harvest Days December 2026]])*BedPlan[[#This Row],[Yield]:[Yield]]</f>
        <v>0</v>
      </c>
      <c r="EN87" s="33" cm="1">
        <f t="array" ref="EN87">BedPlan[[#This Row],[Harvest Days March 2025]]/SUM(BedPlan[[#This Row],[Harvest Days January 2025]:[Harvest Days December 2026]])*BedPlan[[#This Row],[Yield]:[Yield]]</f>
        <v>0</v>
      </c>
      <c r="EO87" s="33" cm="1">
        <f t="array" ref="EO87">BedPlan[[#This Row],[Harvest Days April 2025]]/SUM(BedPlan[[#This Row],[Harvest Days January 2025]:[Harvest Days December 2026]])*BedPlan[[#This Row],[Yield]:[Yield]]</f>
        <v>0</v>
      </c>
      <c r="EP87" s="33" cm="1">
        <f t="array" ref="EP87">BedPlan[[#This Row],[Harvest Days May 2025]]/SUM(BedPlan[[#This Row],[Harvest Days January 2025]:[Harvest Days December 2026]])*BedPlan[[#This Row],[Yield]:[Yield]]</f>
        <v>25</v>
      </c>
      <c r="EQ87" s="33" cm="1">
        <f t="array" ref="EQ87">BedPlan[[#This Row],[Harvest Days June 2025]]/SUM(BedPlan[[#This Row],[Harvest Days January 2025]:[Harvest Days December 2026]])*BedPlan[[#This Row],[Yield]:[Yield]]</f>
        <v>87.5</v>
      </c>
      <c r="ER87" s="33" cm="1">
        <f t="array" ref="ER87">BedPlan[[#This Row],[Harvest Days July 2025]]/SUM(BedPlan[[#This Row],[Harvest Days January 2025]:[Harvest Days December 2026]])*BedPlan[[#This Row],[Yield]:[Yield]]</f>
        <v>0</v>
      </c>
      <c r="ES87" s="33" cm="1">
        <f t="array" ref="ES87">BedPlan[[#This Row],[Harvest Days August 2025]]/SUM(BedPlan[[#This Row],[Harvest Days January 2025]:[Harvest Days December 2026]])*BedPlan[[#This Row],[Yield]:[Yield]]</f>
        <v>0</v>
      </c>
      <c r="ET87" s="33" cm="1">
        <f t="array" ref="ET87">BedPlan[[#This Row],[Harvest Days September 2025]]/SUM(BedPlan[[#This Row],[Harvest Days January 2025]:[Harvest Days December 2026]])*BedPlan[[#This Row],[Yield]:[Yield]]</f>
        <v>0</v>
      </c>
      <c r="EU87" s="33" cm="1">
        <f t="array" ref="EU87">BedPlan[[#This Row],[Harvest Days October 2025]]/SUM(BedPlan[[#This Row],[Harvest Days January 2025]:[Harvest Days December 2026]])*BedPlan[[#This Row],[Yield]:[Yield]]</f>
        <v>0</v>
      </c>
      <c r="EV87" s="33" cm="1">
        <f t="array" ref="EV87">BedPlan[[#This Row],[Harvest Days November 2025]]/SUM(BedPlan[[#This Row],[Harvest Days January 2025]:[Harvest Days December 2026]])*BedPlan[[#This Row],[Yield]:[Yield]]</f>
        <v>0</v>
      </c>
      <c r="EW87" s="33" cm="1">
        <f t="array" ref="EW87">BedPlan[[#This Row],[Harvest Days December 2025]]/SUM(BedPlan[[#This Row],[Harvest Days January 2025]:[Harvest Days December 2026]])*BedPlan[[#This Row],[Yield]:[Yield]]</f>
        <v>0</v>
      </c>
    </row>
    <row r="88" spans="1:153" ht="15.75" customHeight="1">
      <c r="A88" s="182" t="s">
        <v>270</v>
      </c>
      <c r="B88" t="s">
        <v>2652</v>
      </c>
      <c r="C88" t="s">
        <v>1438</v>
      </c>
      <c r="D88" cm="1">
        <f t="array" ref="D88">INDEX(Crops[],BedPlan[[#This Row],[Chart Index]],D$4,1)*BedPlan[[#This Row],[Full Bed Equivalent]]</f>
        <v>66.666666666666671</v>
      </c>
      <c r="E88" cm="1">
        <f t="array" ref="E88">INDEX(Crops[],BedPlan[[#This Row],[Chart Index]],E$4,1)*BedPlan[[#This Row],[Full Bed Equivalent]]</f>
        <v>200</v>
      </c>
      <c r="F88" t="str">
        <f>UPPER(LEFT(BedPlan[[#This Row],[Crop]],3))</f>
        <v>MEL</v>
      </c>
      <c r="H88" s="143" t="str" cm="1">
        <f t="array" ref="H88">INDEX(Crops[],BedPlan[[#This Row],[Chart Index]],H$4,1)</f>
        <v>Melon</v>
      </c>
      <c r="I88" t="s">
        <v>1839</v>
      </c>
      <c r="K88" t="str" cm="1">
        <f t="array" ref="K88">IF(ISNUMBER(MATCH(BedPlan[[#This Row],[Variety]],SeedMixes[Name],)),_xlfn.TEXTJOIN(", ",TRUE,_xlfn._xlws.FILTER(SeedMixes[Variety &amp; Company],SeedMixes[Name]=BedPlan[[#This Row],[Variety]])),"")</f>
        <v>Divergent F1 Johnny's, True Love High Mowing, Triton Johnny's, Divergent F1 Osborne</v>
      </c>
      <c r="L88" s="33" cm="1">
        <f t="array" ref="L88">INDEX(Crops[],BedPlan[[#This Row],[Chart Index]],L$4,1)*BedPlan[[#This Row],[Full Bed Equivalent]]</f>
        <v>65</v>
      </c>
      <c r="N88">
        <v>2</v>
      </c>
      <c r="O88">
        <f>MAX(BedPlan[[#This Row],['# Of Beds]],0.5)</f>
        <v>2</v>
      </c>
      <c r="P88" s="31">
        <f>IF(ISNUMBER(BedPlan[[#This Row],[Planned Greenhouse Start Date]]),BedPlan[[#This Row],[Planned Greenhouse Start Date]],BedPlan[[#This Row],[Planned TP or DS Date]])</f>
        <v>45763</v>
      </c>
      <c r="Q88" s="259">
        <f>IF(BedPlan[[#This Row],[Days in Cells]]=0,"",IFERROR(_xlfn.XLOOKUP(BedPlan[[#This Row],[Follows Crop]],BedPlan[Identifier],BedPlan[Expected End of Harvest]) + 1+BedPlan[[#This Row],[Follow Offset]],BedPlan[[#This Row],[Fixed Field Start Date]])-BedPlan[[#This Row],[Days in Cells]])</f>
        <v>45763</v>
      </c>
      <c r="R88" s="259">
        <v>45763</v>
      </c>
      <c r="S88" s="259">
        <f>IF(ISNUMBER(BedPlan[[#This Row],[Actual Greenhouse Date]]),BedPlan[[#This Row],[Actual Greenhouse Date]],BedPlan[[#This Row],[Planned Greenhouse Start Date]])</f>
        <v>45763</v>
      </c>
      <c r="T88" s="259">
        <f>_xlfn.XLOOKUP(BedPlan[[#This Row],[Crop]],Crops[Identifier],Crops[Target Field Date])</f>
        <v>45784</v>
      </c>
      <c r="U88" s="260"/>
      <c r="V88" s="260"/>
      <c r="W8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45784</v>
      </c>
      <c r="X88" s="259">
        <v>45804</v>
      </c>
      <c r="Y88" s="271">
        <f>BedPlan[[#This Row],[Actual TP or DS Date]]-BedPlan[[#This Row],[Planned TP or DS Date]]</f>
        <v>20</v>
      </c>
      <c r="Z88" s="259">
        <f>IF(ISNUMBER(BedPlan[[#This Row],[Actual TP or DS Date]]),BedPlan[[#This Row],[Actual TP or DS Date]],BedPlan[[#This Row],[Planned TP or DS Date]])</f>
        <v>45804</v>
      </c>
      <c r="AA88" s="260"/>
      <c r="AB88" s="259">
        <f>IF(ISNUMBER(BedPlan[[#This Row],[Greenhouse Start Date]]),BedPlan[[#This Row],[Greenhouse Start Date]]+BedPlan[[#This Row],[DTM]],BedPlan[[#This Row],[TP or DS Date]]+BedPlan[[#This Row],[DTM]])</f>
        <v>45874</v>
      </c>
      <c r="AC88" s="259"/>
      <c r="AD88" s="259">
        <f>IF(ISNUMBER(BedPlan[[#This Row],[Actual Beginning of Harvest]]),BedPlan[[#This Row],[Actual Beginning of Harvest]],BedPlan[[#This Row],[Expected Beginning of Harvest]])</f>
        <v>45874</v>
      </c>
      <c r="AE88" s="259">
        <f>BedPlan[[#This Row],[Expected Beginning of Harvest]]+BedPlan[[#This Row],[Harvest Window]]+BedPlan[[#This Row],[Additional Days of Harvest]]</f>
        <v>45895</v>
      </c>
      <c r="AF88" s="259"/>
      <c r="AG88" s="259"/>
      <c r="AH88" s="31" t="b">
        <f>IF(AND( BedPlan[[#This Row],[Expected End of Harvest]] &gt;= DATE(2025, 8, 1), BedPlan[[#This Row],[Beginning of Harvest]] &lt;= DATE(2025, 8, 31) ), TRUE, FALSE)</f>
        <v>1</v>
      </c>
      <c r="AI88" s="31"/>
      <c r="AJ88" s="31">
        <f>IF(ISNUMBER(BedPlan[[#This Row],[Actual End of Harvest]]),BedPlan[[#This Row],[Actual End of Harvest]],BedPlan[[#This Row],[Expected End of Harvest]])</f>
        <v>45895</v>
      </c>
      <c r="AK88" t="b">
        <f>OR(ISNUMBER(BedPlan[[#This Row],[Actual Greenhouse Date]]),ISNUMBER(BedPlan[[#This Row],[Actual TP or DS Date]]))</f>
        <v>1</v>
      </c>
      <c r="AL88" s="52" t="b">
        <f>IF(ISNUMBER(BedPlan[[#This Row],[Planned Greenhouse Start Date]]),OR(ISNUMBER(BedPlan[[#This Row],[Actual TP or DS Date]]),BedPlan[[#This Row],[Failed]]),"-")</f>
        <v>1</v>
      </c>
      <c r="AM88" t="b">
        <f>OR(ISNUMBER(BedPlan[[#This Row],[Actual End of Harvest]]),BedPlan[[#This Row],[Failed]])</f>
        <v>0</v>
      </c>
      <c r="AN88" t="b">
        <f>OR(BedPlan[[#This Row],[Harvest Done]],BedPlan[[#This Row],[Failed]],BedPlan[[#This Row],[Name]]="Tarp")</f>
        <v>0</v>
      </c>
      <c r="AQ88" t="s">
        <v>3236</v>
      </c>
      <c r="AS88" s="26" t="str">
        <f>IF(BedPlan[[#This Row],[Broadfork]],BedPlan[[#This Row],[Actual TP or DS Date]],"")</f>
        <v/>
      </c>
      <c r="AT88" s="26" t="str">
        <f>IF(BedPlan[[#This Row],[Tilther]],BedPlan[[#This Row],[Actual TP or DS Date]],"")</f>
        <v/>
      </c>
      <c r="AU88" s="26">
        <f>IF(NOT(ISBLANK(BedPlan[[#This Row],[Amend]])),BedPlan[[#This Row],[Actual TP or DS Date]],"")</f>
        <v>45804</v>
      </c>
      <c r="AV88" s="26" t="str">
        <f>IF(BedPlan[[#This Row],[Row Cover]],BedPlan[[#This Row],[Actual TP or DS Date]],"")</f>
        <v/>
      </c>
      <c r="AX88" s="26"/>
      <c r="AZ88" s="26"/>
      <c r="BB88" s="26"/>
      <c r="BC88" s="231" cm="1">
        <f t="array" ref="BC88">INDEX(Crops[],BedPlan[[#This Row],[Chart Index]],BC$4,1)*BedPlan[[#This Row],[Full Bed Equivalent]]</f>
        <v>900</v>
      </c>
      <c r="BD88" s="231" cm="1">
        <f t="array" ref="BD88">INDEX(Crops[],BedPlan[[#This Row],[Chart Index]],BD$4,1)*BedPlan[[#This Row],[Full Bed Equivalent]]</f>
        <v>8.1081081081081088</v>
      </c>
      <c r="BE88" cm="1">
        <f t="array" ref="BE88">INDEX(Crops[],BedPlan[[#This Row],[Chart Index]],BE$4,1)+BedPlan[[#This Row],[Additional Days in Cells]]+BedPlan[[#This Row],[Additional Days In Field]]</f>
        <v>111</v>
      </c>
      <c r="BG88" cm="1">
        <f t="array" ref="BG88">INDEX(Crops[],BedPlan[[#This Row],[Chart Index]],BG$4,1)</f>
        <v>21</v>
      </c>
      <c r="BH88" t="str">
        <f>IF(ISNUMBER(BedPlan[[#This Row],[Planned Greenhouse Start Date]]),"TP","DS")</f>
        <v>TP</v>
      </c>
      <c r="BI88">
        <f>BedPlan[[#This Row],['# Of Beds]]</f>
        <v>2</v>
      </c>
      <c r="BJ88" cm="1">
        <f t="array" ref="BJ88">INDEX(Crops[],BedPlan[[#This Row],[Chart Index]],BJ$4,1)</f>
        <v>21</v>
      </c>
      <c r="BK88" cm="1">
        <f t="array" ref="BK88">INDEX(Crops[],BedPlan[[#This Row],[Chart Index]],BK$4,1)</f>
        <v>1</v>
      </c>
      <c r="BL88" cm="1">
        <f t="array" ref="BL88">INDEX(Crops[],BedPlan[[#This Row],[Chart Index]],BL$4,1)</f>
        <v>24</v>
      </c>
      <c r="BM88" cm="1">
        <f t="array" ref="BM88">INDEX(Crops[],BedPlan[[#This Row],[Chart Index]],BM$4,1)</f>
        <v>1</v>
      </c>
      <c r="BN88" s="32" cm="1">
        <f t="array" ref="BN88">INDEX(Crops[],BedPlan[[#This Row],[Chart Index]],BN$4,1)*BedPlan[[#This Row],[Full Bed Equivalent]]</f>
        <v>50</v>
      </c>
      <c r="BO88" t="str" cm="1">
        <f t="array" ref="BO88">IF(INDEX(Crops[],BedPlan[[#This Row],[Chart Index]],BO$4,1)=0,"",INDEX(Crops[],BedPlan[[#This Row],[Chart Index]],BO$4,1))</f>
        <v>DR</v>
      </c>
      <c r="BP88">
        <f>MATCH(BedPlan[[#This Row],[Crop]],Crops[Identifier],FALSE)</f>
        <v>210</v>
      </c>
      <c r="BQ88" t="str" cm="1">
        <f t="array" ref="BQ88">INDEX(Crops[],BedPlan[[#This Row],[Chart Index]],BQ$4,1)</f>
        <v>General</v>
      </c>
      <c r="BR88" t="str" cm="1">
        <f t="array" ref="BR88">INDEX(Crops[],BedPlan[[#This Row],[Chart Index]],BR$4,1)</f>
        <v/>
      </c>
      <c r="BS88" s="32">
        <f>BedPlan[[#This Row],[Expected Beginning of Harvest]]-DATE(2023,1,1)</f>
        <v>947</v>
      </c>
      <c r="BT88">
        <f>BedPlan[[#This Row],[Expected End of Harvest]]-BedPlan[[#This Row],[Expected Beginning of Harvest]]</f>
        <v>21</v>
      </c>
      <c r="BU88" t="str" cm="1">
        <f t="array" ref="BU88">INDEX(Crops[],BedPlan[[#This Row],[Chart Index]],BU$4,1)</f>
        <v>Melon</v>
      </c>
      <c r="BV88" cm="1">
        <f t="array" ref="BV88">INDEX(Crops[],BedPlan[[#This Row],[Chart Index]],BV$4,1)</f>
        <v>2</v>
      </c>
      <c r="BW88" t="str" cm="1">
        <f t="array" ref="BW88">INDEX(Crops[],BedPlan[[#This Row],[Chart Index]],BW$4,1)</f>
        <v>None</v>
      </c>
      <c r="BX88" cm="1">
        <f t="array" ref="BX88">INDEX(Crops[],BedPlan[[#This Row],[Chart Index]],BX$4,1)</f>
        <v>50</v>
      </c>
      <c r="BY88" cm="1">
        <f t="array" ref="BY88">INDEX(Crops[],BedPlan[[#This Row],[Chart Index]],BY$4,1)</f>
        <v>21</v>
      </c>
      <c r="BZ88" s="49" cm="1">
        <f t="array" ref="BZ88">IFERROR(INDEX(Crops[],BedPlan[[#This Row],[Chart Index]],BZ$4,1)*BedPlan[[#This Row],[Full Bed Equivalent]],"")</f>
        <v>1.3</v>
      </c>
      <c r="CA88" cm="1">
        <f t="array" ref="CA88">INDEX(Crops[],BedPlan[[#This Row],[Chart Index]],CA$4,1)</f>
        <v>0</v>
      </c>
      <c r="CB88" cm="1">
        <f t="array" ref="CB88">INDEX(Crops[],BedPlan[[#This Row],[Chart Index]],CB$4,1)</f>
        <v>0</v>
      </c>
      <c r="CC88" s="49" t="str" cm="1">
        <f t="array" ref="CC88">IFERROR(INDEX(Crops[],BedPlan[[#This Row],[Chart Index]],CC$4,1)*BedPlan[[#This Row],[Full Bed Equivalent]],"")</f>
        <v/>
      </c>
      <c r="CD88" cm="1">
        <f t="array" ref="CD88">INDEX(Crops[],BedPlan[[#This Row],[Chart Index]],CD$4,1)</f>
        <v>0</v>
      </c>
      <c r="CE88" cm="1">
        <f t="array" ref="CE88">IF(INDEX(Crops[],BedPlan[[#This Row],[Chart Index]],CE$4,1)="",0,INDEX(Crops[],BedPlan[[#This Row],[Chart Index]],CE$4,1))</f>
        <v>0</v>
      </c>
      <c r="CF88" s="49" t="str" cm="1">
        <f t="array" ref="CF88">IFERROR(INDEX(Crops[],BedPlan[[#This Row],[Chart Index]],CF$4,1)*BedPlan[[#This Row],[Full Bed Equivalent]],"")</f>
        <v/>
      </c>
      <c r="CG88" cm="1">
        <f t="array" ref="CG88">IF(INDEX(Crops[],BedPlan[[#This Row],[Chart Index]],CG$4,1)="",0,INDEX(Crops[],BedPlan[[#This Row],[Chart Index]],CG$4,1))</f>
        <v>1.3</v>
      </c>
      <c r="CH88" cm="1">
        <f t="array" ref="CH88">IF(INDEX(Crops[],BedPlan[[#This Row],[Chart Index]],CH$4,1)="",0,INDEX(Crops[],BedPlan[[#This Row],[Chart Index]],CH$4,1))</f>
        <v>7</v>
      </c>
      <c r="CI88" t="str" cm="1">
        <f t="array" ref="CI88">INDEX(Crops[],BedPlan[[#This Row],[Chart Index]],CI$4,1)</f>
        <v>Field</v>
      </c>
      <c r="CJ88" s="30" t="str">
        <f>_xlfn.TEXTJOIN(CHAR(10),FALSE,BedPlan[[#This Row],[Name]],BedPlan[[#This Row],[Variety]],BedPlan[[#This Row],[Company]])</f>
        <v xml:space="preserve">Melon
Melon Mix
</v>
      </c>
      <c r="CK88" s="32">
        <f>MAX( 0, MIN(BedPlan[[#This Row],[Expected End of Harvest]], EOMONTH(CK$4, 0)) - MAX(BedPlan[[#This Row],[Beginning of Harvest]], CK$4) + 1 )</f>
        <v>0</v>
      </c>
      <c r="CL88">
        <f>MAX( 0, MIN(BedPlan[[#This Row],[Expected End of Harvest]], EOMONTH(CL$4, 0)) - MAX(BedPlan[[#This Row],[Beginning of Harvest]], CL$4) + 1 )</f>
        <v>0</v>
      </c>
      <c r="CM88">
        <f>MAX( 0, MIN(BedPlan[[#This Row],[Expected End of Harvest]], EOMONTH(CM$4, 0)) - MAX(BedPlan[[#This Row],[Beginning of Harvest]], CM$4) + 1 )</f>
        <v>0</v>
      </c>
      <c r="CN88">
        <f>MAX( 0, MIN(BedPlan[[#This Row],[Expected End of Harvest]], EOMONTH(CN$4, 0)) - MAX(BedPlan[[#This Row],[Beginning of Harvest]], CN$4) + 1 )</f>
        <v>0</v>
      </c>
      <c r="CO88">
        <f>MAX( 0, MIN(BedPlan[[#This Row],[Expected End of Harvest]], EOMONTH(CO$4, 0)) - MAX(BedPlan[[#This Row],[Beginning of Harvest]], CO$4) + 1 )</f>
        <v>0</v>
      </c>
      <c r="CP88">
        <f>MAX( 0, MIN(BedPlan[[#This Row],[Expected End of Harvest]], EOMONTH(CP$4, 0)) - MAX(BedPlan[[#This Row],[Beginning of Harvest]], CP$4) + 1 )</f>
        <v>0</v>
      </c>
      <c r="CQ88">
        <f>MAX( 0, MIN(BedPlan[[#This Row],[Expected End of Harvest]], EOMONTH(CQ$4, 0)) - MAX(BedPlan[[#This Row],[Beginning of Harvest]], CQ$4) + 1 )</f>
        <v>0</v>
      </c>
      <c r="CR88">
        <f>MAX( 0, MIN(BedPlan[[#This Row],[Expected End of Harvest]], EOMONTH(CR$4, 0)) - MAX(BedPlan[[#This Row],[Beginning of Harvest]], CR$4) + 1 )</f>
        <v>22</v>
      </c>
      <c r="CS88">
        <f>MAX( 0, MIN(BedPlan[[#This Row],[Expected End of Harvest]], EOMONTH(CS$4, 0)) - MAX(BedPlan[[#This Row],[Beginning of Harvest]], CS$4) + 1 )</f>
        <v>0</v>
      </c>
      <c r="CT88">
        <f>MAX( 0, MIN(BedPlan[[#This Row],[Expected End of Harvest]], EOMONTH(CT$4, 0)) - MAX(BedPlan[[#This Row],[Beginning of Harvest]], CT$4) + 1 )</f>
        <v>0</v>
      </c>
      <c r="CU88">
        <f>MAX( 0, MIN(BedPlan[[#This Row],[Expected End of Harvest]], EOMONTH(CU$4, 0)) - MAX(BedPlan[[#This Row],[Beginning of Harvest]], CU$4) + 1 )</f>
        <v>0</v>
      </c>
      <c r="CV88">
        <f>MAX( 0, MIN(BedPlan[[#This Row],[Expected End of Harvest]], EOMONTH(CV$4, 0)) - MAX(BedPlan[[#This Row],[Beginning of Harvest]], CV$4) + 1 )</f>
        <v>0</v>
      </c>
      <c r="CW88">
        <f>MAX( 0, MIN(BedPlan[[#This Row],[Expected End of Harvest]], EOMONTH(CW$4, 0)) - MAX(BedPlan[[#This Row],[Beginning of Harvest]], CW$4) + 1 )</f>
        <v>0</v>
      </c>
      <c r="CX88">
        <f>MAX( 0, MIN(BedPlan[[#This Row],[Expected End of Harvest]], EOMONTH(CX$4, 0)) - MAX(BedPlan[[#This Row],[Beginning of Harvest]], CX$4) + 1 )</f>
        <v>0</v>
      </c>
      <c r="CY88">
        <f>MAX( 0, MIN(BedPlan[[#This Row],[Expected End of Harvest]], EOMONTH(CY$4, 0)) - MAX(BedPlan[[#This Row],[Beginning of Harvest]], CY$4) + 1 )</f>
        <v>0</v>
      </c>
      <c r="CZ88">
        <f>MAX( 0, MIN(BedPlan[[#This Row],[Expected End of Harvest]], EOMONTH(CZ$4, 0)) - MAX(BedPlan[[#This Row],[Beginning of Harvest]], CZ$4) + 1 )</f>
        <v>0</v>
      </c>
      <c r="DA88">
        <f>MAX( 0, MIN(BedPlan[[#This Row],[Expected End of Harvest]], EOMONTH(DA$4, 0)) - MAX(BedPlan[[#This Row],[Beginning of Harvest]], DA$4) + 1 )</f>
        <v>0</v>
      </c>
      <c r="DB88">
        <f>MAX( 0, MIN(BedPlan[[#This Row],[Expected End of Harvest]], EOMONTH(DB$4, 0)) - MAX(BedPlan[[#This Row],[Beginning of Harvest]], DB$4) + 1 )</f>
        <v>0</v>
      </c>
      <c r="DC88">
        <f>MAX( 0, MIN(BedPlan[[#This Row],[Expected End of Harvest]], EOMONTH(DC$4, 0)) - MAX(BedPlan[[#This Row],[Beginning of Harvest]], DC$4) + 1 )</f>
        <v>0</v>
      </c>
      <c r="DD88">
        <f>MAX( 0, MIN(BedPlan[[#This Row],[Expected End of Harvest]], EOMONTH(DD$4, 0)) - MAX(BedPlan[[#This Row],[Beginning of Harvest]], DD$4) + 1 )</f>
        <v>0</v>
      </c>
      <c r="DE88">
        <f>MAX( 0, MIN(BedPlan[[#This Row],[Expected End of Harvest]], EOMONTH(DE$4, 0)) - MAX(BedPlan[[#This Row],[Beginning of Harvest]], DE$4) + 1 )</f>
        <v>0</v>
      </c>
      <c r="DF88">
        <f>MAX( 0, MIN(BedPlan[[#This Row],[Expected End of Harvest]], EOMONTH(DF$4, 0)) - MAX(BedPlan[[#This Row],[Beginning of Harvest]], DF$4) + 1 )</f>
        <v>0</v>
      </c>
      <c r="DG88">
        <f>MAX( 0, MIN(BedPlan[[#This Row],[Expected End of Harvest]], EOMONTH(DG$4, 0)) - MAX(BedPlan[[#This Row],[Beginning of Harvest]], DG$4) + 1 )</f>
        <v>0</v>
      </c>
      <c r="DH88">
        <f>MAX( 0, MIN(BedPlan[[#This Row],[Expected End of Harvest]], EOMONTH(DH$4, 0)) - MAX(BedPlan[[#This Row],[Beginning of Harvest]], DH$4) + 1 )</f>
        <v>0</v>
      </c>
      <c r="DI88" s="257" cm="1">
        <f t="array" ref="DI88">BedPlan[[#This Row],[Harvest Days January 2025]]/SUM(BedPlan[[#This Row],[Harvest Days January 2025]:[Harvest Days December 2026]])*BedPlan[[#This Row],[Revenue]:[Revenue]]</f>
        <v>0</v>
      </c>
      <c r="DJ88" s="257" cm="1">
        <f t="array" ref="DJ88">BedPlan[[#This Row],[Harvest Days February 2025]]/SUM(BedPlan[[#This Row],[Harvest Days January 2025]:[Harvest Days December 2026]])*BedPlan[[#This Row],[Revenue]:[Revenue]]</f>
        <v>0</v>
      </c>
      <c r="DK88" s="257" cm="1">
        <f t="array" ref="DK88">BedPlan[[#This Row],[Harvest Days March 2025]]/SUM(BedPlan[[#This Row],[Harvest Days January 2025]:[Harvest Days December 2026]])*BedPlan[[#This Row],[Revenue]:[Revenue]]</f>
        <v>0</v>
      </c>
      <c r="DL88" s="257" cm="1">
        <f t="array" ref="DL88">BedPlan[[#This Row],[Harvest Days April 2025]]/SUM(BedPlan[[#This Row],[Harvest Days January 2025]:[Harvest Days December 2026]])*BedPlan[[#This Row],[Revenue]:[Revenue]]</f>
        <v>0</v>
      </c>
      <c r="DM88" s="257" cm="1">
        <f t="array" ref="DM88">BedPlan[[#This Row],[Harvest Days May 2025]]/SUM(BedPlan[[#This Row],[Harvest Days January 2025]:[Harvest Days December 2026]])*BedPlan[[#This Row],[Revenue]:[Revenue]]</f>
        <v>0</v>
      </c>
      <c r="DN88" s="257" cm="1">
        <f t="array" ref="DN88">BedPlan[[#This Row],[Harvest Days June 2025]]/SUM(BedPlan[[#This Row],[Harvest Days January 2025]:[Harvest Days December 2026]])*BedPlan[[#This Row],[Revenue]:[Revenue]]</f>
        <v>0</v>
      </c>
      <c r="DO88" s="257" cm="1">
        <f t="array" ref="DO88">BedPlan[[#This Row],[Harvest Days July 2025]]/SUM(BedPlan[[#This Row],[Harvest Days January 2025]:[Harvest Days December 2026]])*BedPlan[[#This Row],[Revenue]:[Revenue]]</f>
        <v>0</v>
      </c>
      <c r="DP88" s="257" cm="1">
        <f t="array" ref="DP88">BedPlan[[#This Row],[Harvest Days August 2025]]/SUM(BedPlan[[#This Row],[Harvest Days January 2025]:[Harvest Days December 2026]])*BedPlan[[#This Row],[Revenue]:[Revenue]]</f>
        <v>900</v>
      </c>
      <c r="DQ88" s="257" cm="1">
        <f t="array" ref="DQ88">BedPlan[[#This Row],[Harvest Days September 2025]]/SUM(BedPlan[[#This Row],[Harvest Days January 2025]:[Harvest Days December 2026]])*BedPlan[[#This Row],[Revenue]:[Revenue]]</f>
        <v>0</v>
      </c>
      <c r="DR88" s="257" cm="1">
        <f t="array" ref="DR88">BedPlan[[#This Row],[Harvest Days October 2025]]/SUM(BedPlan[[#This Row],[Harvest Days January 2025]:[Harvest Days December 2026]])*BedPlan[[#This Row],[Revenue]:[Revenue]]</f>
        <v>0</v>
      </c>
      <c r="DS88" s="257" cm="1">
        <f t="array" ref="DS88">BedPlan[[#This Row],[Harvest Days November 2025]]/SUM(BedPlan[[#This Row],[Harvest Days January 2025]:[Harvest Days December 2026]])*BedPlan[[#This Row],[Revenue]:[Revenue]]</f>
        <v>0</v>
      </c>
      <c r="DT88" s="257" cm="1">
        <f t="array" ref="DT88">BedPlan[[#This Row],[Harvest Days December 2025]]/SUM(BedPlan[[#This Row],[Harvest Days January 2025]:[Harvest Days December 2026]])*BedPlan[[#This Row],[Revenue]:[Revenue]]</f>
        <v>0</v>
      </c>
      <c r="DU88" s="257" cm="1">
        <f t="array" ref="DU88">BedPlan[[#This Row],[Harvest Days January 2026]]/SUM(BedPlan[[#This Row],[Harvest Days January 2025]:[Harvest Days December 2026]])*BedPlan[[#This Row],[Revenue]:[Revenue]]</f>
        <v>0</v>
      </c>
      <c r="DV88" s="257" cm="1">
        <f t="array" ref="DV88">BedPlan[[#This Row],[Harvest Days February 2026]]/SUM(BedPlan[[#This Row],[Harvest Days January 2025]:[Harvest Days December 2026]])*BedPlan[[#This Row],[Revenue]:[Revenue]]</f>
        <v>0</v>
      </c>
      <c r="DW88" s="257" cm="1">
        <f t="array" ref="DW88">BedPlan[[#This Row],[Harvest Days March 2026]]/SUM(BedPlan[[#This Row],[Harvest Days January 2025]:[Harvest Days December 2026]])*BedPlan[[#This Row],[Revenue]:[Revenue]]</f>
        <v>0</v>
      </c>
      <c r="DX88" s="257" cm="1">
        <f t="array" ref="DX88">BedPlan[[#This Row],[Harvest Days April 2026]]/SUM(BedPlan[[#This Row],[Harvest Days January 2025]:[Harvest Days December 2026]])*BedPlan[[#This Row],[Revenue]:[Revenue]]</f>
        <v>0</v>
      </c>
      <c r="DY88" s="257" cm="1">
        <f t="array" ref="DY88">BedPlan[[#This Row],[Harvest Days May 2026]]/SUM(BedPlan[[#This Row],[Harvest Days January 2025]:[Harvest Days December 2026]])*BedPlan[[#This Row],[Revenue]:[Revenue]]</f>
        <v>0</v>
      </c>
      <c r="DZ88" s="257" cm="1">
        <f t="array" ref="DZ88">BedPlan[[#This Row],[Harvest Days June 2026]]/SUM(BedPlan[[#This Row],[Harvest Days January 2025]:[Harvest Days December 2026]])*BedPlan[[#This Row],[Revenue]:[Revenue]]</f>
        <v>0</v>
      </c>
      <c r="EA88" s="257" cm="1">
        <f t="array" ref="EA88">BedPlan[[#This Row],[Harvest Days July 2026]]/SUM(BedPlan[[#This Row],[Harvest Days January 2025]:[Harvest Days December 2026]])*BedPlan[[#This Row],[Revenue]:[Revenue]]</f>
        <v>0</v>
      </c>
      <c r="EB88" s="257" cm="1">
        <f t="array" ref="EB88">BedPlan[[#This Row],[Harvest Days August 2026]]/SUM(BedPlan[[#This Row],[Harvest Days January 2025]:[Harvest Days December 2026]])*BedPlan[[#This Row],[Revenue]:[Revenue]]</f>
        <v>0</v>
      </c>
      <c r="EC88" s="257" cm="1">
        <f t="array" ref="EC88">BedPlan[[#This Row],[Harvest Days September 2026]]/SUM(BedPlan[[#This Row],[Harvest Days January 2025]:[Harvest Days December 2026]])*BedPlan[[#This Row],[Revenue]:[Revenue]]</f>
        <v>0</v>
      </c>
      <c r="ED88" s="257" cm="1">
        <f t="array" ref="ED88">BedPlan[[#This Row],[Harvest Days October 2026]]/SUM(BedPlan[[#This Row],[Harvest Days January 2025]:[Harvest Days December 2026]])*BedPlan[[#This Row],[Revenue]:[Revenue]]</f>
        <v>0</v>
      </c>
      <c r="EE88" s="257" cm="1">
        <f t="array" ref="EE88">BedPlan[[#This Row],[Harvest Days November 2026]]/SUM(BedPlan[[#This Row],[Harvest Days January 2025]:[Harvest Days December 2026]])*BedPlan[[#This Row],[Revenue]:[Revenue]]</f>
        <v>0</v>
      </c>
      <c r="EF88" s="257" cm="1">
        <f t="array" ref="EF88">BedPlan[[#This Row],[Harvest Days December 2026]]/SUM(BedPlan[[#This Row],[Harvest Days January 2025]:[Harvest Days December 2026]])*BedPlan[[#This Row],[Revenue]:[Revenue]]</f>
        <v>0</v>
      </c>
      <c r="EG88" t="b">
        <f>SUM(BedPlan[[#This Row],[Revenue January 2025]:[Revenue December 2026]])=BedPlan[[#This Row],[Revenue]]</f>
        <v>1</v>
      </c>
      <c r="EH88" s="30" cm="1">
        <f t="array" ref="EH88">INDEX(Crops[],BedPlan[[#This Row],[Chart Index]],EH$4,1)*BedPlan[[#This Row],['# Of Beds]]</f>
        <v>600</v>
      </c>
      <c r="EI88" s="30" t="str" cm="1">
        <f t="array" ref="EI88">INDEX(Crops[],BedPlan[[#This Row],[Chart Index]],EI$4,1)</f>
        <v>Lb</v>
      </c>
      <c r="EJ88" s="30" t="str" cm="1">
        <f t="array" ref="EJ88">INDEX(Crops[],BedPlan[[#This Row],[Chart Index]],EJ$4,1)</f>
        <v>Ripe Fruit</v>
      </c>
      <c r="EK88" s="30" t="str">
        <f>BedPlan[[#This Row],[Name]]&amp;" "&amp;BedPlan[[#This Row],[Product]]&amp; " - " &amp;BedPlan[[#This Row],[Unit]]</f>
        <v>Melon Ripe Fruit - Lb</v>
      </c>
      <c r="EL88" s="33" cm="1">
        <f t="array" ref="EL88">BedPlan[[#This Row],[Harvest Days January 2025]]/SUM(BedPlan[[#This Row],[Harvest Days January 2025]:[Harvest Days December 2026]])*BedPlan[[#This Row],[Yield]:[Yield]]</f>
        <v>0</v>
      </c>
      <c r="EM88" s="33" cm="1">
        <f t="array" ref="EM88">BedPlan[[#This Row],[Harvest Days February 2025]]/SUM(BedPlan[[#This Row],[Harvest Days January 2025]:[Harvest Days December 2026]])*BedPlan[[#This Row],[Yield]:[Yield]]</f>
        <v>0</v>
      </c>
      <c r="EN88" s="33" cm="1">
        <f t="array" ref="EN88">BedPlan[[#This Row],[Harvest Days March 2025]]/SUM(BedPlan[[#This Row],[Harvest Days January 2025]:[Harvest Days December 2026]])*BedPlan[[#This Row],[Yield]:[Yield]]</f>
        <v>0</v>
      </c>
      <c r="EO88" s="33" cm="1">
        <f t="array" ref="EO88">BedPlan[[#This Row],[Harvest Days April 2025]]/SUM(BedPlan[[#This Row],[Harvest Days January 2025]:[Harvest Days December 2026]])*BedPlan[[#This Row],[Yield]:[Yield]]</f>
        <v>0</v>
      </c>
      <c r="EP88" s="33" cm="1">
        <f t="array" ref="EP88">BedPlan[[#This Row],[Harvest Days May 2025]]/SUM(BedPlan[[#This Row],[Harvest Days January 2025]:[Harvest Days December 2026]])*BedPlan[[#This Row],[Yield]:[Yield]]</f>
        <v>0</v>
      </c>
      <c r="EQ88" s="33" cm="1">
        <f t="array" ref="EQ88">BedPlan[[#This Row],[Harvest Days June 2025]]/SUM(BedPlan[[#This Row],[Harvest Days January 2025]:[Harvest Days December 2026]])*BedPlan[[#This Row],[Yield]:[Yield]]</f>
        <v>0</v>
      </c>
      <c r="ER88" s="33" cm="1">
        <f t="array" ref="ER88">BedPlan[[#This Row],[Harvest Days July 2025]]/SUM(BedPlan[[#This Row],[Harvest Days January 2025]:[Harvest Days December 2026]])*BedPlan[[#This Row],[Yield]:[Yield]]</f>
        <v>0</v>
      </c>
      <c r="ES88" s="33" cm="1">
        <f t="array" ref="ES88">BedPlan[[#This Row],[Harvest Days August 2025]]/SUM(BedPlan[[#This Row],[Harvest Days January 2025]:[Harvest Days December 2026]])*BedPlan[[#This Row],[Yield]:[Yield]]</f>
        <v>600</v>
      </c>
      <c r="ET88" s="33" cm="1">
        <f t="array" ref="ET88">BedPlan[[#This Row],[Harvest Days September 2025]]/SUM(BedPlan[[#This Row],[Harvest Days January 2025]:[Harvest Days December 2026]])*BedPlan[[#This Row],[Yield]:[Yield]]</f>
        <v>0</v>
      </c>
      <c r="EU88" s="33" cm="1">
        <f t="array" ref="EU88">BedPlan[[#This Row],[Harvest Days October 2025]]/SUM(BedPlan[[#This Row],[Harvest Days January 2025]:[Harvest Days December 2026]])*BedPlan[[#This Row],[Yield]:[Yield]]</f>
        <v>0</v>
      </c>
      <c r="EV88" s="33" cm="1">
        <f t="array" ref="EV88">BedPlan[[#This Row],[Harvest Days November 2025]]/SUM(BedPlan[[#This Row],[Harvest Days January 2025]:[Harvest Days December 2026]])*BedPlan[[#This Row],[Yield]:[Yield]]</f>
        <v>0</v>
      </c>
      <c r="EW88" s="33" cm="1">
        <f t="array" ref="EW88">BedPlan[[#This Row],[Harvest Days December 2025]]/SUM(BedPlan[[#This Row],[Harvest Days January 2025]:[Harvest Days December 2026]])*BedPlan[[#This Row],[Yield]:[Yield]]</f>
        <v>0</v>
      </c>
    </row>
    <row r="89" spans="1:153" ht="15.75" customHeight="1">
      <c r="A89" s="185" t="s">
        <v>1803</v>
      </c>
      <c r="B89" t="s">
        <v>2653</v>
      </c>
      <c r="C89" t="s">
        <v>1466</v>
      </c>
      <c r="D89" cm="1">
        <f t="array" ref="D89">INDEX(Crops[],BedPlan[[#This Row],[Chart Index]],D$4,1)*BedPlan[[#This Row],[Full Bed Equivalent]]</f>
        <v>103.125</v>
      </c>
      <c r="E89" cm="1">
        <f t="array" ref="E89">INDEX(Crops[],BedPlan[[#This Row],[Chart Index]],E$4,1)*BedPlan[[#This Row],[Full Bed Equivalent]]</f>
        <v>206.25</v>
      </c>
      <c r="F89" t="str">
        <f>UPPER(LEFT(BedPlan[[#This Row],[Crop]],3))</f>
        <v>ONI</v>
      </c>
      <c r="H89" s="143" t="str" cm="1">
        <f t="array" ref="H89">INDEX(Crops[],BedPlan[[#This Row],[Chart Index]],H$4,1)</f>
        <v>Onion</v>
      </c>
      <c r="I89" t="s">
        <v>2818</v>
      </c>
      <c r="K89" t="str" cm="1">
        <f t="array" ref="K89">IF(ISNUMBER(MATCH(BedPlan[[#This Row],[Variety]],SeedMixes[Name],)),_xlfn.TEXTJOIN(", ",TRUE,_xlfn._xlws.FILTER(SeedMixes[Variety &amp; Company],SeedMixes[Name]=BedPlan[[#This Row],[Variety]])),"")</f>
        <v>Cortland F1 High Mowing, Sedona F1 High Mowing, Red Spring Johnny's</v>
      </c>
      <c r="L89" s="33" cm="1">
        <f t="array" ref="L89">INDEX(Crops[],BedPlan[[#This Row],[Chart Index]],L$4,1)*BedPlan[[#This Row],[Full Bed Equivalent]]</f>
        <v>990.00000000000011</v>
      </c>
      <c r="N89">
        <f>1</f>
        <v>1</v>
      </c>
      <c r="O89">
        <f>MAX(BedPlan[[#This Row],['# Of Beds]],0.5)</f>
        <v>1</v>
      </c>
      <c r="P89" s="31">
        <f>IF(ISNUMBER(BedPlan[[#This Row],[Planned Greenhouse Start Date]]),BedPlan[[#This Row],[Planned Greenhouse Start Date]],BedPlan[[#This Row],[Planned TP or DS Date]])</f>
        <v>45718</v>
      </c>
      <c r="Q89" s="259">
        <f>IF(BedPlan[[#This Row],[Days in Cells]]=0,"",IFERROR(_xlfn.XLOOKUP(BedPlan[[#This Row],[Follows Crop]],BedPlan[Identifier],BedPlan[Expected End of Harvest]) + 1+BedPlan[[#This Row],[Follow Offset]],BedPlan[[#This Row],[Fixed Field Start Date]])-BedPlan[[#This Row],[Days in Cells]])</f>
        <v>45718</v>
      </c>
      <c r="R89" s="259">
        <v>45737</v>
      </c>
      <c r="S89" s="259">
        <f>IF(ISNUMBER(BedPlan[[#This Row],[Actual Greenhouse Date]]),BedPlan[[#This Row],[Actual Greenhouse Date]],BedPlan[[#This Row],[Planned Greenhouse Start Date]])</f>
        <v>45737</v>
      </c>
      <c r="T89" s="259">
        <f>_xlfn.XLOOKUP(BedPlan[[#This Row],[Crop]],Crops[Identifier],Crops[Target Field Date])</f>
        <v>45760</v>
      </c>
      <c r="U89" s="260"/>
      <c r="V89" s="260"/>
      <c r="W8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45779</v>
      </c>
      <c r="X89" s="259">
        <v>45782</v>
      </c>
      <c r="Y89" s="271">
        <f>BedPlan[[#This Row],[Actual TP or DS Date]]-BedPlan[[#This Row],[Planned TP or DS Date]]</f>
        <v>3</v>
      </c>
      <c r="Z89" s="259">
        <f>IF(ISNUMBER(BedPlan[[#This Row],[Actual TP or DS Date]]),BedPlan[[#This Row],[Actual TP or DS Date]],BedPlan[[#This Row],[Planned TP or DS Date]])</f>
        <v>45782</v>
      </c>
      <c r="AA89" s="260"/>
      <c r="AB89" s="259">
        <f>IF(ISNUMBER(BedPlan[[#This Row],[Greenhouse Start Date]]),BedPlan[[#This Row],[Greenhouse Start Date]]+BedPlan[[#This Row],[DTM]],BedPlan[[#This Row],[TP or DS Date]]+BedPlan[[#This Row],[DTM]])</f>
        <v>45872</v>
      </c>
      <c r="AC89" s="259"/>
      <c r="AD89" s="259">
        <f>IF(ISNUMBER(BedPlan[[#This Row],[Actual Beginning of Harvest]]),BedPlan[[#This Row],[Actual Beginning of Harvest]],BedPlan[[#This Row],[Expected Beginning of Harvest]])</f>
        <v>45872</v>
      </c>
      <c r="AE89" s="259">
        <f>BedPlan[[#This Row],[Expected Beginning of Harvest]]+BedPlan[[#This Row],[Harvest Window]]+BedPlan[[#This Row],[Additional Days of Harvest]]</f>
        <v>45886</v>
      </c>
      <c r="AF89" s="259"/>
      <c r="AG89" s="259"/>
      <c r="AH89" s="31" t="b">
        <f>IF(AND( BedPlan[[#This Row],[Expected End of Harvest]] &gt;= DATE(2025, 8, 1), BedPlan[[#This Row],[Beginning of Harvest]] &lt;= DATE(2025, 8, 31) ), TRUE, FALSE)</f>
        <v>1</v>
      </c>
      <c r="AI89" s="31"/>
      <c r="AJ89" s="31">
        <f>IF(ISNUMBER(BedPlan[[#This Row],[Actual End of Harvest]]),BedPlan[[#This Row],[Actual End of Harvest]],BedPlan[[#This Row],[Expected End of Harvest]])</f>
        <v>45886</v>
      </c>
      <c r="AK89" t="b">
        <f>OR(ISNUMBER(BedPlan[[#This Row],[Actual Greenhouse Date]]),ISNUMBER(BedPlan[[#This Row],[Actual TP or DS Date]]))</f>
        <v>1</v>
      </c>
      <c r="AL89" s="52" t="b">
        <f>IF(ISNUMBER(BedPlan[[#This Row],[Planned Greenhouse Start Date]]),OR(ISNUMBER(BedPlan[[#This Row],[Actual TP or DS Date]]),BedPlan[[#This Row],[Failed]]),"-")</f>
        <v>1</v>
      </c>
      <c r="AM89" t="b">
        <f>OR(ISNUMBER(BedPlan[[#This Row],[Actual End of Harvest]]),BedPlan[[#This Row],[Failed]])</f>
        <v>0</v>
      </c>
      <c r="AN89" t="b">
        <f>OR(BedPlan[[#This Row],[Harvest Done]],BedPlan[[#This Row],[Failed]],BedPlan[[#This Row],[Name]]="Tarp")</f>
        <v>0</v>
      </c>
      <c r="AO89" t="b">
        <v>1</v>
      </c>
      <c r="AP89" t="b">
        <v>1</v>
      </c>
      <c r="AQ89" t="b">
        <v>1</v>
      </c>
      <c r="AS89" s="26">
        <f>IF(BedPlan[[#This Row],[Broadfork]],BedPlan[[#This Row],[Actual TP or DS Date]],"")</f>
        <v>45782</v>
      </c>
      <c r="AT89" s="26">
        <f>IF(BedPlan[[#This Row],[Tilther]],BedPlan[[#This Row],[Actual TP or DS Date]],"")</f>
        <v>45782</v>
      </c>
      <c r="AU89" s="26">
        <f>IF(NOT(ISBLANK(BedPlan[[#This Row],[Amend]])),BedPlan[[#This Row],[Actual TP or DS Date]],"")</f>
        <v>45782</v>
      </c>
      <c r="AV89" s="26" t="str">
        <f>IF(BedPlan[[#This Row],[Row Cover]],BedPlan[[#This Row],[Actual TP or DS Date]],"")</f>
        <v/>
      </c>
      <c r="AW89" t="s">
        <v>3231</v>
      </c>
      <c r="AX89" s="26">
        <v>45782</v>
      </c>
      <c r="AZ89" s="26"/>
      <c r="BB89" s="26"/>
      <c r="BC89" s="231" cm="1">
        <f t="array" ref="BC89">INDEX(Crops[],BedPlan[[#This Row],[Chart Index]],BC$4,1)*BedPlan[[#This Row],[Full Bed Equivalent]]</f>
        <v>618.75</v>
      </c>
      <c r="BD89" s="231" cm="1">
        <f t="array" ref="BD89">INDEX(Crops[],BedPlan[[#This Row],[Chart Index]],BD$4,1)*BedPlan[[#This Row],[Full Bed Equivalent]]</f>
        <v>5.7827102803738315</v>
      </c>
      <c r="BE89" cm="1">
        <f t="array" ref="BE89">INDEX(Crops[],BedPlan[[#This Row],[Chart Index]],BE$4,1)+BedPlan[[#This Row],[Additional Days in Cells]]+BedPlan[[#This Row],[Additional Days In Field]]</f>
        <v>135</v>
      </c>
      <c r="BG89" cm="1">
        <f t="array" ref="BG89">INDEX(Crops[],BedPlan[[#This Row],[Chart Index]],BG$4,1)</f>
        <v>14</v>
      </c>
      <c r="BH89" t="str">
        <f>IF(ISNUMBER(BedPlan[[#This Row],[Planned Greenhouse Start Date]]),"TP","DS")</f>
        <v>TP</v>
      </c>
      <c r="BI89">
        <f>BedPlan[[#This Row],['# Of Beds]]</f>
        <v>1</v>
      </c>
      <c r="BJ89" cm="1">
        <f t="array" ref="BJ89">INDEX(Crops[],BedPlan[[#This Row],[Chart Index]],BJ$4,1)</f>
        <v>42</v>
      </c>
      <c r="BK89" cm="1">
        <f t="array" ref="BK89">INDEX(Crops[],BedPlan[[#This Row],[Chart Index]],BK$4,1)</f>
        <v>3</v>
      </c>
      <c r="BL89" cm="1">
        <f t="array" ref="BL89">INDEX(Crops[],BedPlan[[#This Row],[Chart Index]],BL$4,1)</f>
        <v>12</v>
      </c>
      <c r="BM89" cm="1">
        <f t="array" ref="BM89">INDEX(Crops[],BedPlan[[#This Row],[Chart Index]],BM$4,1)</f>
        <v>6</v>
      </c>
      <c r="BN89" s="32" cm="1">
        <f t="array" ref="BN89">INDEX(Crops[],BedPlan[[#This Row],[Chart Index]],BN$4,1)*BedPlan[[#This Row],[Full Bed Equivalent]]</f>
        <v>150</v>
      </c>
      <c r="BO89" t="str" cm="1">
        <f t="array" ref="BO89">IF(INDEX(Crops[],BedPlan[[#This Row],[Chart Index]],BO$4,1)=0,"",INDEX(Crops[],BedPlan[[#This Row],[Chart Index]],BO$4,1))</f>
        <v/>
      </c>
      <c r="BP89">
        <f>MATCH(BedPlan[[#This Row],[Crop]],Crops[Identifier],FALSE)</f>
        <v>223</v>
      </c>
      <c r="BQ89" t="str" cm="1">
        <f t="array" ref="BQ89">INDEX(Crops[],BedPlan[[#This Row],[Chart Index]],BQ$4,1)</f>
        <v>General</v>
      </c>
      <c r="BR89" t="str" cm="1">
        <f t="array" ref="BR89">INDEX(Crops[],BedPlan[[#This Row],[Chart Index]],BR$4,1)</f>
        <v>SpSu</v>
      </c>
      <c r="BS89" s="32">
        <f>BedPlan[[#This Row],[Expected Beginning of Harvest]]-DATE(2023,1,1)</f>
        <v>945</v>
      </c>
      <c r="BT89">
        <f>BedPlan[[#This Row],[Expected End of Harvest]]-BedPlan[[#This Row],[Expected Beginning of Harvest]]</f>
        <v>14</v>
      </c>
      <c r="BU89" t="str" cm="1">
        <f t="array" ref="BU89">INDEX(Crops[],BedPlan[[#This Row],[Chart Index]],BU$4,1)</f>
        <v>Onion</v>
      </c>
      <c r="BV89" cm="1">
        <f t="array" ref="BV89">INDEX(Crops[],BedPlan[[#This Row],[Chart Index]],BV$4,1)</f>
        <v>0</v>
      </c>
      <c r="BW89" cm="1">
        <f t="array" ref="BW89">INDEX(Crops[],BedPlan[[#This Row],[Chart Index]],BW$4,1)</f>
        <v>0</v>
      </c>
      <c r="BX89" cm="1">
        <f t="array" ref="BX89">INDEX(Crops[],BedPlan[[#This Row],[Chart Index]],BX$4,1)</f>
        <v>128</v>
      </c>
      <c r="BY89" cm="1">
        <f t="array" ref="BY89">INDEX(Crops[],BedPlan[[#This Row],[Chart Index]],BY$4,1)</f>
        <v>42</v>
      </c>
      <c r="BZ89" s="49" cm="1">
        <f t="array" ref="BZ89">IFERROR(INDEX(Crops[],BedPlan[[#This Row],[Chart Index]],BZ$4,1)*BedPlan[[#This Row],[Full Bed Equivalent]],"")</f>
        <v>1.2890625</v>
      </c>
      <c r="CA89" cm="1">
        <f t="array" ref="CA89">INDEX(Crops[],BedPlan[[#This Row],[Chart Index]],CA$4,1)</f>
        <v>0</v>
      </c>
      <c r="CB89" cm="1">
        <f t="array" ref="CB89">INDEX(Crops[],BedPlan[[#This Row],[Chart Index]],CB$4,1)</f>
        <v>0</v>
      </c>
      <c r="CC89" s="49" t="str" cm="1">
        <f t="array" ref="CC89">IFERROR(INDEX(Crops[],BedPlan[[#This Row],[Chart Index]],CC$4,1)*BedPlan[[#This Row],[Full Bed Equivalent]],"")</f>
        <v/>
      </c>
      <c r="CD89" cm="1">
        <f t="array" ref="CD89">INDEX(Crops[],BedPlan[[#This Row],[Chart Index]],CD$4,1)</f>
        <v>0</v>
      </c>
      <c r="CE89" cm="1">
        <f t="array" ref="CE89">IF(INDEX(Crops[],BedPlan[[#This Row],[Chart Index]],CE$4,1)="",0,INDEX(Crops[],BedPlan[[#This Row],[Chart Index]],CE$4,1))</f>
        <v>0</v>
      </c>
      <c r="CF89" s="49" t="str" cm="1">
        <f t="array" ref="CF89">IFERROR(INDEX(Crops[],BedPlan[[#This Row],[Chart Index]],CF$4,1)*BedPlan[[#This Row],[Full Bed Equivalent]],"")</f>
        <v/>
      </c>
      <c r="CG89" cm="1">
        <f t="array" ref="CG89">IF(INDEX(Crops[],BedPlan[[#This Row],[Chart Index]],CG$4,1)="",0,INDEX(Crops[],BedPlan[[#This Row],[Chart Index]],CG$4,1))</f>
        <v>1.1000000000000001</v>
      </c>
      <c r="CH89" cm="1">
        <f t="array" ref="CH89">IF(INDEX(Crops[],BedPlan[[#This Row],[Chart Index]],CH$4,1)="",0,INDEX(Crops[],BedPlan[[#This Row],[Chart Index]],CH$4,1))</f>
        <v>0</v>
      </c>
      <c r="CI89" t="str" cm="1">
        <f t="array" ref="CI89">INDEX(Crops[],BedPlan[[#This Row],[Chart Index]],CI$4,1)</f>
        <v>Field</v>
      </c>
      <c r="CJ89" s="30" t="str">
        <f>_xlfn.TEXTJOIN(CHAR(10),FALSE,BedPlan[[#This Row],[Name]],BedPlan[[#This Row],[Variety]],BedPlan[[#This Row],[Company]])</f>
        <v xml:space="preserve">Onion
Rot Resistant Onions Mix
</v>
      </c>
      <c r="CK89" s="32">
        <f>MAX( 0, MIN(BedPlan[[#This Row],[Expected End of Harvest]], EOMONTH(CK$4, 0)) - MAX(BedPlan[[#This Row],[Beginning of Harvest]], CK$4) + 1 )</f>
        <v>0</v>
      </c>
      <c r="CL89">
        <f>MAX( 0, MIN(BedPlan[[#This Row],[Expected End of Harvest]], EOMONTH(CL$4, 0)) - MAX(BedPlan[[#This Row],[Beginning of Harvest]], CL$4) + 1 )</f>
        <v>0</v>
      </c>
      <c r="CM89">
        <f>MAX( 0, MIN(BedPlan[[#This Row],[Expected End of Harvest]], EOMONTH(CM$4, 0)) - MAX(BedPlan[[#This Row],[Beginning of Harvest]], CM$4) + 1 )</f>
        <v>0</v>
      </c>
      <c r="CN89">
        <f>MAX( 0, MIN(BedPlan[[#This Row],[Expected End of Harvest]], EOMONTH(CN$4, 0)) - MAX(BedPlan[[#This Row],[Beginning of Harvest]], CN$4) + 1 )</f>
        <v>0</v>
      </c>
      <c r="CO89">
        <f>MAX( 0, MIN(BedPlan[[#This Row],[Expected End of Harvest]], EOMONTH(CO$4, 0)) - MAX(BedPlan[[#This Row],[Beginning of Harvest]], CO$4) + 1 )</f>
        <v>0</v>
      </c>
      <c r="CP89">
        <f>MAX( 0, MIN(BedPlan[[#This Row],[Expected End of Harvest]], EOMONTH(CP$4, 0)) - MAX(BedPlan[[#This Row],[Beginning of Harvest]], CP$4) + 1 )</f>
        <v>0</v>
      </c>
      <c r="CQ89">
        <f>MAX( 0, MIN(BedPlan[[#This Row],[Expected End of Harvest]], EOMONTH(CQ$4, 0)) - MAX(BedPlan[[#This Row],[Beginning of Harvest]], CQ$4) + 1 )</f>
        <v>0</v>
      </c>
      <c r="CR89">
        <f>MAX( 0, MIN(BedPlan[[#This Row],[Expected End of Harvest]], EOMONTH(CR$4, 0)) - MAX(BedPlan[[#This Row],[Beginning of Harvest]], CR$4) + 1 )</f>
        <v>15</v>
      </c>
      <c r="CS89">
        <f>MAX( 0, MIN(BedPlan[[#This Row],[Expected End of Harvest]], EOMONTH(CS$4, 0)) - MAX(BedPlan[[#This Row],[Beginning of Harvest]], CS$4) + 1 )</f>
        <v>0</v>
      </c>
      <c r="CT89">
        <f>MAX( 0, MIN(BedPlan[[#This Row],[Expected End of Harvest]], EOMONTH(CT$4, 0)) - MAX(BedPlan[[#This Row],[Beginning of Harvest]], CT$4) + 1 )</f>
        <v>0</v>
      </c>
      <c r="CU89">
        <f>MAX( 0, MIN(BedPlan[[#This Row],[Expected End of Harvest]], EOMONTH(CU$4, 0)) - MAX(BedPlan[[#This Row],[Beginning of Harvest]], CU$4) + 1 )</f>
        <v>0</v>
      </c>
      <c r="CV89">
        <f>MAX( 0, MIN(BedPlan[[#This Row],[Expected End of Harvest]], EOMONTH(CV$4, 0)) - MAX(BedPlan[[#This Row],[Beginning of Harvest]], CV$4) + 1 )</f>
        <v>0</v>
      </c>
      <c r="CW89">
        <f>MAX( 0, MIN(BedPlan[[#This Row],[Expected End of Harvest]], EOMONTH(CW$4, 0)) - MAX(BedPlan[[#This Row],[Beginning of Harvest]], CW$4) + 1 )</f>
        <v>0</v>
      </c>
      <c r="CX89">
        <f>MAX( 0, MIN(BedPlan[[#This Row],[Expected End of Harvest]], EOMONTH(CX$4, 0)) - MAX(BedPlan[[#This Row],[Beginning of Harvest]], CX$4) + 1 )</f>
        <v>0</v>
      </c>
      <c r="CY89">
        <f>MAX( 0, MIN(BedPlan[[#This Row],[Expected End of Harvest]], EOMONTH(CY$4, 0)) - MAX(BedPlan[[#This Row],[Beginning of Harvest]], CY$4) + 1 )</f>
        <v>0</v>
      </c>
      <c r="CZ89">
        <f>MAX( 0, MIN(BedPlan[[#This Row],[Expected End of Harvest]], EOMONTH(CZ$4, 0)) - MAX(BedPlan[[#This Row],[Beginning of Harvest]], CZ$4) + 1 )</f>
        <v>0</v>
      </c>
      <c r="DA89">
        <f>MAX( 0, MIN(BedPlan[[#This Row],[Expected End of Harvest]], EOMONTH(DA$4, 0)) - MAX(BedPlan[[#This Row],[Beginning of Harvest]], DA$4) + 1 )</f>
        <v>0</v>
      </c>
      <c r="DB89">
        <f>MAX( 0, MIN(BedPlan[[#This Row],[Expected End of Harvest]], EOMONTH(DB$4, 0)) - MAX(BedPlan[[#This Row],[Beginning of Harvest]], DB$4) + 1 )</f>
        <v>0</v>
      </c>
      <c r="DC89">
        <f>MAX( 0, MIN(BedPlan[[#This Row],[Expected End of Harvest]], EOMONTH(DC$4, 0)) - MAX(BedPlan[[#This Row],[Beginning of Harvest]], DC$4) + 1 )</f>
        <v>0</v>
      </c>
      <c r="DD89">
        <f>MAX( 0, MIN(BedPlan[[#This Row],[Expected End of Harvest]], EOMONTH(DD$4, 0)) - MAX(BedPlan[[#This Row],[Beginning of Harvest]], DD$4) + 1 )</f>
        <v>0</v>
      </c>
      <c r="DE89">
        <f>MAX( 0, MIN(BedPlan[[#This Row],[Expected End of Harvest]], EOMONTH(DE$4, 0)) - MAX(BedPlan[[#This Row],[Beginning of Harvest]], DE$4) + 1 )</f>
        <v>0</v>
      </c>
      <c r="DF89">
        <f>MAX( 0, MIN(BedPlan[[#This Row],[Expected End of Harvest]], EOMONTH(DF$4, 0)) - MAX(BedPlan[[#This Row],[Beginning of Harvest]], DF$4) + 1 )</f>
        <v>0</v>
      </c>
      <c r="DG89">
        <f>MAX( 0, MIN(BedPlan[[#This Row],[Expected End of Harvest]], EOMONTH(DG$4, 0)) - MAX(BedPlan[[#This Row],[Beginning of Harvest]], DG$4) + 1 )</f>
        <v>0</v>
      </c>
      <c r="DH89">
        <f>MAX( 0, MIN(BedPlan[[#This Row],[Expected End of Harvest]], EOMONTH(DH$4, 0)) - MAX(BedPlan[[#This Row],[Beginning of Harvest]], DH$4) + 1 )</f>
        <v>0</v>
      </c>
      <c r="DI89" s="257" cm="1">
        <f t="array" ref="DI89">BedPlan[[#This Row],[Harvest Days January 2025]]/SUM(BedPlan[[#This Row],[Harvest Days January 2025]:[Harvest Days December 2026]])*BedPlan[[#This Row],[Revenue]:[Revenue]]</f>
        <v>0</v>
      </c>
      <c r="DJ89" s="257" cm="1">
        <f t="array" ref="DJ89">BedPlan[[#This Row],[Harvest Days February 2025]]/SUM(BedPlan[[#This Row],[Harvest Days January 2025]:[Harvest Days December 2026]])*BedPlan[[#This Row],[Revenue]:[Revenue]]</f>
        <v>0</v>
      </c>
      <c r="DK89" s="257" cm="1">
        <f t="array" ref="DK89">BedPlan[[#This Row],[Harvest Days March 2025]]/SUM(BedPlan[[#This Row],[Harvest Days January 2025]:[Harvest Days December 2026]])*BedPlan[[#This Row],[Revenue]:[Revenue]]</f>
        <v>0</v>
      </c>
      <c r="DL89" s="257" cm="1">
        <f t="array" ref="DL89">BedPlan[[#This Row],[Harvest Days April 2025]]/SUM(BedPlan[[#This Row],[Harvest Days January 2025]:[Harvest Days December 2026]])*BedPlan[[#This Row],[Revenue]:[Revenue]]</f>
        <v>0</v>
      </c>
      <c r="DM89" s="257" cm="1">
        <f t="array" ref="DM89">BedPlan[[#This Row],[Harvest Days May 2025]]/SUM(BedPlan[[#This Row],[Harvest Days January 2025]:[Harvest Days December 2026]])*BedPlan[[#This Row],[Revenue]:[Revenue]]</f>
        <v>0</v>
      </c>
      <c r="DN89" s="257" cm="1">
        <f t="array" ref="DN89">BedPlan[[#This Row],[Harvest Days June 2025]]/SUM(BedPlan[[#This Row],[Harvest Days January 2025]:[Harvest Days December 2026]])*BedPlan[[#This Row],[Revenue]:[Revenue]]</f>
        <v>0</v>
      </c>
      <c r="DO89" s="257" cm="1">
        <f t="array" ref="DO89">BedPlan[[#This Row],[Harvest Days July 2025]]/SUM(BedPlan[[#This Row],[Harvest Days January 2025]:[Harvest Days December 2026]])*BedPlan[[#This Row],[Revenue]:[Revenue]]</f>
        <v>0</v>
      </c>
      <c r="DP89" s="257" cm="1">
        <f t="array" ref="DP89">BedPlan[[#This Row],[Harvest Days August 2025]]/SUM(BedPlan[[#This Row],[Harvest Days January 2025]:[Harvest Days December 2026]])*BedPlan[[#This Row],[Revenue]:[Revenue]]</f>
        <v>618.75</v>
      </c>
      <c r="DQ89" s="257" cm="1">
        <f t="array" ref="DQ89">BedPlan[[#This Row],[Harvest Days September 2025]]/SUM(BedPlan[[#This Row],[Harvest Days January 2025]:[Harvest Days December 2026]])*BedPlan[[#This Row],[Revenue]:[Revenue]]</f>
        <v>0</v>
      </c>
      <c r="DR89" s="257" cm="1">
        <f t="array" ref="DR89">BedPlan[[#This Row],[Harvest Days October 2025]]/SUM(BedPlan[[#This Row],[Harvest Days January 2025]:[Harvest Days December 2026]])*BedPlan[[#This Row],[Revenue]:[Revenue]]</f>
        <v>0</v>
      </c>
      <c r="DS89" s="257" cm="1">
        <f t="array" ref="DS89">BedPlan[[#This Row],[Harvest Days November 2025]]/SUM(BedPlan[[#This Row],[Harvest Days January 2025]:[Harvest Days December 2026]])*BedPlan[[#This Row],[Revenue]:[Revenue]]</f>
        <v>0</v>
      </c>
      <c r="DT89" s="257" cm="1">
        <f t="array" ref="DT89">BedPlan[[#This Row],[Harvest Days December 2025]]/SUM(BedPlan[[#This Row],[Harvest Days January 2025]:[Harvest Days December 2026]])*BedPlan[[#This Row],[Revenue]:[Revenue]]</f>
        <v>0</v>
      </c>
      <c r="DU89" s="257" cm="1">
        <f t="array" ref="DU89">BedPlan[[#This Row],[Harvest Days January 2026]]/SUM(BedPlan[[#This Row],[Harvest Days January 2025]:[Harvest Days December 2026]])*BedPlan[[#This Row],[Revenue]:[Revenue]]</f>
        <v>0</v>
      </c>
      <c r="DV89" s="257" cm="1">
        <f t="array" ref="DV89">BedPlan[[#This Row],[Harvest Days February 2026]]/SUM(BedPlan[[#This Row],[Harvest Days January 2025]:[Harvest Days December 2026]])*BedPlan[[#This Row],[Revenue]:[Revenue]]</f>
        <v>0</v>
      </c>
      <c r="DW89" s="257" cm="1">
        <f t="array" ref="DW89">BedPlan[[#This Row],[Harvest Days March 2026]]/SUM(BedPlan[[#This Row],[Harvest Days January 2025]:[Harvest Days December 2026]])*BedPlan[[#This Row],[Revenue]:[Revenue]]</f>
        <v>0</v>
      </c>
      <c r="DX89" s="257" cm="1">
        <f t="array" ref="DX89">BedPlan[[#This Row],[Harvest Days April 2026]]/SUM(BedPlan[[#This Row],[Harvest Days January 2025]:[Harvest Days December 2026]])*BedPlan[[#This Row],[Revenue]:[Revenue]]</f>
        <v>0</v>
      </c>
      <c r="DY89" s="257" cm="1">
        <f t="array" ref="DY89">BedPlan[[#This Row],[Harvest Days May 2026]]/SUM(BedPlan[[#This Row],[Harvest Days January 2025]:[Harvest Days December 2026]])*BedPlan[[#This Row],[Revenue]:[Revenue]]</f>
        <v>0</v>
      </c>
      <c r="DZ89" s="257" cm="1">
        <f t="array" ref="DZ89">BedPlan[[#This Row],[Harvest Days June 2026]]/SUM(BedPlan[[#This Row],[Harvest Days January 2025]:[Harvest Days December 2026]])*BedPlan[[#This Row],[Revenue]:[Revenue]]</f>
        <v>0</v>
      </c>
      <c r="EA89" s="257" cm="1">
        <f t="array" ref="EA89">BedPlan[[#This Row],[Harvest Days July 2026]]/SUM(BedPlan[[#This Row],[Harvest Days January 2025]:[Harvest Days December 2026]])*BedPlan[[#This Row],[Revenue]:[Revenue]]</f>
        <v>0</v>
      </c>
      <c r="EB89" s="257" cm="1">
        <f t="array" ref="EB89">BedPlan[[#This Row],[Harvest Days August 2026]]/SUM(BedPlan[[#This Row],[Harvest Days January 2025]:[Harvest Days December 2026]])*BedPlan[[#This Row],[Revenue]:[Revenue]]</f>
        <v>0</v>
      </c>
      <c r="EC89" s="257" cm="1">
        <f t="array" ref="EC89">BedPlan[[#This Row],[Harvest Days September 2026]]/SUM(BedPlan[[#This Row],[Harvest Days January 2025]:[Harvest Days December 2026]])*BedPlan[[#This Row],[Revenue]:[Revenue]]</f>
        <v>0</v>
      </c>
      <c r="ED89" s="257" cm="1">
        <f t="array" ref="ED89">BedPlan[[#This Row],[Harvest Days October 2026]]/SUM(BedPlan[[#This Row],[Harvest Days January 2025]:[Harvest Days December 2026]])*BedPlan[[#This Row],[Revenue]:[Revenue]]</f>
        <v>0</v>
      </c>
      <c r="EE89" s="257" cm="1">
        <f t="array" ref="EE89">BedPlan[[#This Row],[Harvest Days November 2026]]/SUM(BedPlan[[#This Row],[Harvest Days January 2025]:[Harvest Days December 2026]])*BedPlan[[#This Row],[Revenue]:[Revenue]]</f>
        <v>0</v>
      </c>
      <c r="EF89" s="257" cm="1">
        <f t="array" ref="EF89">BedPlan[[#This Row],[Harvest Days December 2026]]/SUM(BedPlan[[#This Row],[Harvest Days January 2025]:[Harvest Days December 2026]])*BedPlan[[#This Row],[Revenue]:[Revenue]]</f>
        <v>0</v>
      </c>
      <c r="EG89" t="b">
        <f>SUM(BedPlan[[#This Row],[Revenue January 2025]:[Revenue December 2026]])=BedPlan[[#This Row],[Revenue]]</f>
        <v>1</v>
      </c>
      <c r="EH89" s="30" cm="1">
        <f t="array" ref="EH89">INDEX(Crops[],BedPlan[[#This Row],[Chart Index]],EH$4,1)*BedPlan[[#This Row],['# Of Beds]]</f>
        <v>206.25</v>
      </c>
      <c r="EI89" s="30" t="str" cm="1">
        <f t="array" ref="EI89">INDEX(Crops[],BedPlan[[#This Row],[Chart Index]],EI$4,1)</f>
        <v>Lb</v>
      </c>
      <c r="EJ89" s="30" t="str" cm="1">
        <f t="array" ref="EJ89">INDEX(Crops[],BedPlan[[#This Row],[Chart Index]],EJ$4,1)</f>
        <v>Mature Bulb</v>
      </c>
      <c r="EK89" s="30" t="str">
        <f>BedPlan[[#This Row],[Name]]&amp;" "&amp;BedPlan[[#This Row],[Product]]&amp; " - " &amp;BedPlan[[#This Row],[Unit]]</f>
        <v>Onion Mature Bulb - Lb</v>
      </c>
      <c r="EL89" s="33" cm="1">
        <f t="array" ref="EL89">BedPlan[[#This Row],[Harvest Days January 2025]]/SUM(BedPlan[[#This Row],[Harvest Days January 2025]:[Harvest Days December 2026]])*BedPlan[[#This Row],[Yield]:[Yield]]</f>
        <v>0</v>
      </c>
      <c r="EM89" s="33" cm="1">
        <f t="array" ref="EM89">BedPlan[[#This Row],[Harvest Days February 2025]]/SUM(BedPlan[[#This Row],[Harvest Days January 2025]:[Harvest Days December 2026]])*BedPlan[[#This Row],[Yield]:[Yield]]</f>
        <v>0</v>
      </c>
      <c r="EN89" s="33" cm="1">
        <f t="array" ref="EN89">BedPlan[[#This Row],[Harvest Days March 2025]]/SUM(BedPlan[[#This Row],[Harvest Days January 2025]:[Harvest Days December 2026]])*BedPlan[[#This Row],[Yield]:[Yield]]</f>
        <v>0</v>
      </c>
      <c r="EO89" s="33" cm="1">
        <f t="array" ref="EO89">BedPlan[[#This Row],[Harvest Days April 2025]]/SUM(BedPlan[[#This Row],[Harvest Days January 2025]:[Harvest Days December 2026]])*BedPlan[[#This Row],[Yield]:[Yield]]</f>
        <v>0</v>
      </c>
      <c r="EP89" s="33" cm="1">
        <f t="array" ref="EP89">BedPlan[[#This Row],[Harvest Days May 2025]]/SUM(BedPlan[[#This Row],[Harvest Days January 2025]:[Harvest Days December 2026]])*BedPlan[[#This Row],[Yield]:[Yield]]</f>
        <v>0</v>
      </c>
      <c r="EQ89" s="33" cm="1">
        <f t="array" ref="EQ89">BedPlan[[#This Row],[Harvest Days June 2025]]/SUM(BedPlan[[#This Row],[Harvest Days January 2025]:[Harvest Days December 2026]])*BedPlan[[#This Row],[Yield]:[Yield]]</f>
        <v>0</v>
      </c>
      <c r="ER89" s="33" cm="1">
        <f t="array" ref="ER89">BedPlan[[#This Row],[Harvest Days July 2025]]/SUM(BedPlan[[#This Row],[Harvest Days January 2025]:[Harvest Days December 2026]])*BedPlan[[#This Row],[Yield]:[Yield]]</f>
        <v>0</v>
      </c>
      <c r="ES89" s="33" cm="1">
        <f t="array" ref="ES89">BedPlan[[#This Row],[Harvest Days August 2025]]/SUM(BedPlan[[#This Row],[Harvest Days January 2025]:[Harvest Days December 2026]])*BedPlan[[#This Row],[Yield]:[Yield]]</f>
        <v>206.25</v>
      </c>
      <c r="ET89" s="33" cm="1">
        <f t="array" ref="ET89">BedPlan[[#This Row],[Harvest Days September 2025]]/SUM(BedPlan[[#This Row],[Harvest Days January 2025]:[Harvest Days December 2026]])*BedPlan[[#This Row],[Yield]:[Yield]]</f>
        <v>0</v>
      </c>
      <c r="EU89" s="33" cm="1">
        <f t="array" ref="EU89">BedPlan[[#This Row],[Harvest Days October 2025]]/SUM(BedPlan[[#This Row],[Harvest Days January 2025]:[Harvest Days December 2026]])*BedPlan[[#This Row],[Yield]:[Yield]]</f>
        <v>0</v>
      </c>
      <c r="EV89" s="33" cm="1">
        <f t="array" ref="EV89">BedPlan[[#This Row],[Harvest Days November 2025]]/SUM(BedPlan[[#This Row],[Harvest Days January 2025]:[Harvest Days December 2026]])*BedPlan[[#This Row],[Yield]:[Yield]]</f>
        <v>0</v>
      </c>
      <c r="EW89" s="33" cm="1">
        <f t="array" ref="EW89">BedPlan[[#This Row],[Harvest Days December 2025]]/SUM(BedPlan[[#This Row],[Harvest Days January 2025]:[Harvest Days December 2026]])*BedPlan[[#This Row],[Yield]:[Yield]]</f>
        <v>0</v>
      </c>
    </row>
    <row r="90" spans="1:153" ht="15.75" customHeight="1">
      <c r="A90" s="185" t="s">
        <v>2608</v>
      </c>
      <c r="B90" t="s">
        <v>2654</v>
      </c>
      <c r="C90" t="s">
        <v>1431</v>
      </c>
      <c r="D90" cm="1">
        <f t="array" ref="D90">INDEX(Crops[],BedPlan[[#This Row],[Chart Index]],D$4,1)*BedPlan[[#This Row],[Full Bed Equivalent]]</f>
        <v>18.75</v>
      </c>
      <c r="E90" cm="1">
        <f t="array" ref="E90">INDEX(Crops[],BedPlan[[#This Row],[Chart Index]],E$4,1)*BedPlan[[#This Row],[Full Bed Equivalent]]</f>
        <v>150</v>
      </c>
      <c r="F90" t="str">
        <f>UPPER(LEFT(BedPlan[[#This Row],[Crop]],3))</f>
        <v>ONI</v>
      </c>
      <c r="H90" s="143" t="str" cm="1">
        <f t="array" ref="H90">INDEX(Crops[],BedPlan[[#This Row],[Chart Index]],H$4,1)</f>
        <v>Onion</v>
      </c>
      <c r="I90" t="s">
        <v>2818</v>
      </c>
      <c r="K90" t="str" cm="1">
        <f t="array" ref="K90">IF(ISNUMBER(MATCH(BedPlan[[#This Row],[Variety]],SeedMixes[Name],)),_xlfn.TEXTJOIN(", ",TRUE,_xlfn._xlws.FILTER(SeedMixes[Variety &amp; Company],SeedMixes[Name]=BedPlan[[#This Row],[Variety]])),"")</f>
        <v>Cortland F1 High Mowing, Sedona F1 High Mowing, Red Spring Johnny's</v>
      </c>
      <c r="L90" s="33" cm="1">
        <f t="array" ref="L90">INDEX(Crops[],BedPlan[[#This Row],[Chart Index]],L$4,1)*BedPlan[[#This Row],[Full Bed Equivalent]]</f>
        <v>1650.0000000000002</v>
      </c>
      <c r="N90">
        <f>1</f>
        <v>1</v>
      </c>
      <c r="O90">
        <f>MAX(BedPlan[[#This Row],['# Of Beds]],0.5)</f>
        <v>1</v>
      </c>
      <c r="P90" s="31">
        <f>IF(ISNUMBER(BedPlan[[#This Row],[Planned Greenhouse Start Date]]),BedPlan[[#This Row],[Planned Greenhouse Start Date]],BedPlan[[#This Row],[Planned TP or DS Date]])</f>
        <v>45713</v>
      </c>
      <c r="Q90" s="259">
        <f>IF(BedPlan[[#This Row],[Days in Cells]]=0,"",IFERROR(_xlfn.XLOOKUP(BedPlan[[#This Row],[Follows Crop]],BedPlan[Identifier],BedPlan[Expected End of Harvest]) + 1+BedPlan[[#This Row],[Follow Offset]],BedPlan[[#This Row],[Fixed Field Start Date]])-BedPlan[[#This Row],[Days in Cells]])</f>
        <v>45713</v>
      </c>
      <c r="R90" s="259">
        <v>45737</v>
      </c>
      <c r="S90" s="259">
        <f>IF(ISNUMBER(BedPlan[[#This Row],[Actual Greenhouse Date]]),BedPlan[[#This Row],[Actual Greenhouse Date]],BedPlan[[#This Row],[Planned Greenhouse Start Date]])</f>
        <v>45737</v>
      </c>
      <c r="T90" s="259">
        <f>_xlfn.XLOOKUP(BedPlan[[#This Row],[Crop]],Crops[Identifier],Crops[Target Field Date])</f>
        <v>45741</v>
      </c>
      <c r="U90" s="260"/>
      <c r="V90" s="260"/>
      <c r="W9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45765</v>
      </c>
      <c r="X90" s="259">
        <v>45767</v>
      </c>
      <c r="Y90" s="271">
        <f>BedPlan[[#This Row],[Actual TP or DS Date]]-BedPlan[[#This Row],[Planned TP or DS Date]]</f>
        <v>2</v>
      </c>
      <c r="Z90" s="259">
        <f>IF(ISNUMBER(BedPlan[[#This Row],[Actual TP or DS Date]]),BedPlan[[#This Row],[Actual TP or DS Date]],BedPlan[[#This Row],[Planned TP or DS Date]])</f>
        <v>45767</v>
      </c>
      <c r="AA90" s="260"/>
      <c r="AB90" s="259">
        <f>IF(ISNUMBER(BedPlan[[#This Row],[Greenhouse Start Date]]),BedPlan[[#This Row],[Greenhouse Start Date]]+BedPlan[[#This Row],[DTM]],BedPlan[[#This Row],[TP or DS Date]]+BedPlan[[#This Row],[DTM]])</f>
        <v>45827</v>
      </c>
      <c r="AC90" s="259"/>
      <c r="AD90" s="259">
        <f>IF(ISNUMBER(BedPlan[[#This Row],[Actual Beginning of Harvest]]),BedPlan[[#This Row],[Actual Beginning of Harvest]],BedPlan[[#This Row],[Expected Beginning of Harvest]])</f>
        <v>45827</v>
      </c>
      <c r="AE90" s="259">
        <f>BedPlan[[#This Row],[Expected Beginning of Harvest]]+BedPlan[[#This Row],[Harvest Window]]+BedPlan[[#This Row],[Additional Days of Harvest]]</f>
        <v>45883</v>
      </c>
      <c r="AF90" s="259"/>
      <c r="AG90" s="259"/>
      <c r="AH90" s="31" t="b">
        <f>IF(AND( BedPlan[[#This Row],[Expected End of Harvest]] &gt;= DATE(2025, 8, 1), BedPlan[[#This Row],[Beginning of Harvest]] &lt;= DATE(2025, 8, 31) ), TRUE, FALSE)</f>
        <v>1</v>
      </c>
      <c r="AI90" s="31"/>
      <c r="AJ90" s="31">
        <f>IF(ISNUMBER(BedPlan[[#This Row],[Actual End of Harvest]]),BedPlan[[#This Row],[Actual End of Harvest]],BedPlan[[#This Row],[Expected End of Harvest]])</f>
        <v>45883</v>
      </c>
      <c r="AK90" t="b">
        <f>OR(ISNUMBER(BedPlan[[#This Row],[Actual Greenhouse Date]]),ISNUMBER(BedPlan[[#This Row],[Actual TP or DS Date]]))</f>
        <v>1</v>
      </c>
      <c r="AL90" s="52" t="b">
        <f>IF(ISNUMBER(BedPlan[[#This Row],[Planned Greenhouse Start Date]]),OR(ISNUMBER(BedPlan[[#This Row],[Actual TP or DS Date]]),BedPlan[[#This Row],[Failed]]),"-")</f>
        <v>1</v>
      </c>
      <c r="AM90" t="b">
        <f>OR(ISNUMBER(BedPlan[[#This Row],[Actual End of Harvest]]),BedPlan[[#This Row],[Failed]])</f>
        <v>0</v>
      </c>
      <c r="AN90" t="b">
        <f>OR(BedPlan[[#This Row],[Harvest Done]],BedPlan[[#This Row],[Failed]],BedPlan[[#This Row],[Name]]="Tarp")</f>
        <v>0</v>
      </c>
      <c r="AO90" t="b">
        <v>1</v>
      </c>
      <c r="AP90" t="b">
        <v>1</v>
      </c>
      <c r="AQ90" t="s">
        <v>3214</v>
      </c>
      <c r="AS90" s="26">
        <f>IF(BedPlan[[#This Row],[Broadfork]],BedPlan[[#This Row],[Actual TP or DS Date]],"")</f>
        <v>45767</v>
      </c>
      <c r="AT90" s="26">
        <f>IF(BedPlan[[#This Row],[Tilther]],BedPlan[[#This Row],[Actual TP or DS Date]],"")</f>
        <v>45767</v>
      </c>
      <c r="AU90" s="26">
        <f>IF(NOT(ISBLANK(BedPlan[[#This Row],[Amend]])),BedPlan[[#This Row],[Actual TP or DS Date]],"")</f>
        <v>45767</v>
      </c>
      <c r="AV90" s="26" t="str">
        <f>IF(BedPlan[[#This Row],[Row Cover]],BedPlan[[#This Row],[Actual TP or DS Date]],"")</f>
        <v/>
      </c>
      <c r="AX90" s="26"/>
      <c r="AZ90" s="26"/>
      <c r="BB90" s="26"/>
      <c r="BC90" s="231" cm="1">
        <f t="array" ref="BC90">INDEX(Crops[],BedPlan[[#This Row],[Chart Index]],BC$4,1)*BedPlan[[#This Row],[Full Bed Equivalent]]</f>
        <v>600</v>
      </c>
      <c r="BD90" s="231" cm="1">
        <f t="array" ref="BD90">INDEX(Crops[],BedPlan[[#This Row],[Chart Index]],BD$4,1)*BedPlan[[#This Row],[Full Bed Equivalent]]</f>
        <v>5.0847457627118642</v>
      </c>
      <c r="BE90" cm="1">
        <f t="array" ref="BE90">INDEX(Crops[],BedPlan[[#This Row],[Chart Index]],BE$4,1)+BedPlan[[#This Row],[Additional Days in Cells]]+BedPlan[[#This Row],[Additional Days In Field]]</f>
        <v>90</v>
      </c>
      <c r="BG90" cm="1">
        <f t="array" ref="BG90">INDEX(Crops[],BedPlan[[#This Row],[Chart Index]],BG$4,1)</f>
        <v>56</v>
      </c>
      <c r="BH90" t="str">
        <f>IF(ISNUMBER(BedPlan[[#This Row],[Planned Greenhouse Start Date]]),"TP","DS")</f>
        <v>TP</v>
      </c>
      <c r="BI90">
        <f>BedPlan[[#This Row],['# Of Beds]]</f>
        <v>1</v>
      </c>
      <c r="BJ90" cm="1">
        <f t="array" ref="BJ90">INDEX(Crops[],BedPlan[[#This Row],[Chart Index]],BJ$4,1)</f>
        <v>28</v>
      </c>
      <c r="BK90" cm="1">
        <f t="array" ref="BK90">INDEX(Crops[],BedPlan[[#This Row],[Chart Index]],BK$4,1)</f>
        <v>3</v>
      </c>
      <c r="BL90" cm="1">
        <f t="array" ref="BL90">INDEX(Crops[],BedPlan[[#This Row],[Chart Index]],BL$4,1)</f>
        <v>12</v>
      </c>
      <c r="BM90" cm="1">
        <f t="array" ref="BM90">INDEX(Crops[],BedPlan[[#This Row],[Chart Index]],BM$4,1)</f>
        <v>10</v>
      </c>
      <c r="BN90" s="32" cm="1">
        <f t="array" ref="BN90">INDEX(Crops[],BedPlan[[#This Row],[Chart Index]],BN$4,1)*BedPlan[[#This Row],[Full Bed Equivalent]]</f>
        <v>150</v>
      </c>
      <c r="BO90" t="str" cm="1">
        <f t="array" ref="BO90">IF(INDEX(Crops[],BedPlan[[#This Row],[Chart Index]],BO$4,1)=0,"",INDEX(Crops[],BedPlan[[#This Row],[Chart Index]],BO$4,1))</f>
        <v/>
      </c>
      <c r="BP90">
        <f>MATCH(BedPlan[[#This Row],[Crop]],Crops[Identifier],FALSE)</f>
        <v>224</v>
      </c>
      <c r="BQ90" t="str" cm="1">
        <f t="array" ref="BQ90">INDEX(Crops[],BedPlan[[#This Row],[Chart Index]],BQ$4,1)</f>
        <v>Salad Early</v>
      </c>
      <c r="BR90" t="str" cm="1">
        <f t="array" ref="BR90">INDEX(Crops[],BedPlan[[#This Row],[Chart Index]],BR$4,1)</f>
        <v>Sp</v>
      </c>
      <c r="BS90" s="32">
        <f>BedPlan[[#This Row],[Expected Beginning of Harvest]]-DATE(2023,1,1)</f>
        <v>900</v>
      </c>
      <c r="BT90">
        <f>BedPlan[[#This Row],[Expected End of Harvest]]-BedPlan[[#This Row],[Expected Beginning of Harvest]]</f>
        <v>56</v>
      </c>
      <c r="BU90" t="str" cm="1">
        <f t="array" ref="BU90">INDEX(Crops[],BedPlan[[#This Row],[Chart Index]],BU$4,1)</f>
        <v>Onion</v>
      </c>
      <c r="BV90" cm="1">
        <f t="array" ref="BV90">INDEX(Crops[],BedPlan[[#This Row],[Chart Index]],BV$4,1)</f>
        <v>2</v>
      </c>
      <c r="BW90" t="str" cm="1">
        <f t="array" ref="BW90">INDEX(Crops[],BedPlan[[#This Row],[Chart Index]],BW$4,1)</f>
        <v>None</v>
      </c>
      <c r="BX90" cm="1">
        <f t="array" ref="BX90">INDEX(Crops[],BedPlan[[#This Row],[Chart Index]],BX$4,1)</f>
        <v>128</v>
      </c>
      <c r="BY90" cm="1">
        <f t="array" ref="BY90">INDEX(Crops[],BedPlan[[#This Row],[Chart Index]],BY$4,1)</f>
        <v>28</v>
      </c>
      <c r="BZ90" s="49" cm="1">
        <f t="array" ref="BZ90">IFERROR(INDEX(Crops[],BedPlan[[#This Row],[Chart Index]],BZ$4,1)*BedPlan[[#This Row],[Full Bed Equivalent]],"")</f>
        <v>1.2890625</v>
      </c>
      <c r="CA90" cm="1">
        <f t="array" ref="CA90">INDEX(Crops[],BedPlan[[#This Row],[Chart Index]],CA$4,1)</f>
        <v>0</v>
      </c>
      <c r="CB90" cm="1">
        <f t="array" ref="CB90">INDEX(Crops[],BedPlan[[#This Row],[Chart Index]],CB$4,1)</f>
        <v>0</v>
      </c>
      <c r="CC90" s="49" t="str" cm="1">
        <f t="array" ref="CC90">IFERROR(INDEX(Crops[],BedPlan[[#This Row],[Chart Index]],CC$4,1)*BedPlan[[#This Row],[Full Bed Equivalent]],"")</f>
        <v/>
      </c>
      <c r="CD90" cm="1">
        <f t="array" ref="CD90">INDEX(Crops[],BedPlan[[#This Row],[Chart Index]],CD$4,1)</f>
        <v>0</v>
      </c>
      <c r="CE90" cm="1">
        <f t="array" ref="CE90">IF(INDEX(Crops[],BedPlan[[#This Row],[Chart Index]],CE$4,1)="",0,INDEX(Crops[],BedPlan[[#This Row],[Chart Index]],CE$4,1))</f>
        <v>0</v>
      </c>
      <c r="CF90" s="49" t="str" cm="1">
        <f t="array" ref="CF90">IFERROR(INDEX(Crops[],BedPlan[[#This Row],[Chart Index]],CF$4,1)*BedPlan[[#This Row],[Full Bed Equivalent]],"")</f>
        <v/>
      </c>
      <c r="CG90" cm="1">
        <f t="array" ref="CG90">IF(INDEX(Crops[],BedPlan[[#This Row],[Chart Index]],CG$4,1)="",0,INDEX(Crops[],BedPlan[[#This Row],[Chart Index]],CG$4,1))</f>
        <v>1.1000000000000001</v>
      </c>
      <c r="CH90" cm="1">
        <f t="array" ref="CH90">IF(INDEX(Crops[],BedPlan[[#This Row],[Chart Index]],CH$4,1)="",0,INDEX(Crops[],BedPlan[[#This Row],[Chart Index]],CH$4,1))</f>
        <v>0</v>
      </c>
      <c r="CI90" t="str" cm="1">
        <f t="array" ref="CI90">INDEX(Crops[],BedPlan[[#This Row],[Chart Index]],CI$4,1)</f>
        <v>Field</v>
      </c>
      <c r="CJ90" s="30" t="str">
        <f>_xlfn.TEXTJOIN(CHAR(10),FALSE,BedPlan[[#This Row],[Name]],BedPlan[[#This Row],[Variety]],BedPlan[[#This Row],[Company]])</f>
        <v xml:space="preserve">Onion
Rot Resistant Onions Mix
</v>
      </c>
      <c r="CK90" s="32">
        <f>MAX( 0, MIN(BedPlan[[#This Row],[Expected End of Harvest]], EOMONTH(CK$4, 0)) - MAX(BedPlan[[#This Row],[Beginning of Harvest]], CK$4) + 1 )</f>
        <v>0</v>
      </c>
      <c r="CL90">
        <f>MAX( 0, MIN(BedPlan[[#This Row],[Expected End of Harvest]], EOMONTH(CL$4, 0)) - MAX(BedPlan[[#This Row],[Beginning of Harvest]], CL$4) + 1 )</f>
        <v>0</v>
      </c>
      <c r="CM90">
        <f>MAX( 0, MIN(BedPlan[[#This Row],[Expected End of Harvest]], EOMONTH(CM$4, 0)) - MAX(BedPlan[[#This Row],[Beginning of Harvest]], CM$4) + 1 )</f>
        <v>0</v>
      </c>
      <c r="CN90">
        <f>MAX( 0, MIN(BedPlan[[#This Row],[Expected End of Harvest]], EOMONTH(CN$4, 0)) - MAX(BedPlan[[#This Row],[Beginning of Harvest]], CN$4) + 1 )</f>
        <v>0</v>
      </c>
      <c r="CO90">
        <f>MAX( 0, MIN(BedPlan[[#This Row],[Expected End of Harvest]], EOMONTH(CO$4, 0)) - MAX(BedPlan[[#This Row],[Beginning of Harvest]], CO$4) + 1 )</f>
        <v>0</v>
      </c>
      <c r="CP90">
        <f>MAX( 0, MIN(BedPlan[[#This Row],[Expected End of Harvest]], EOMONTH(CP$4, 0)) - MAX(BedPlan[[#This Row],[Beginning of Harvest]], CP$4) + 1 )</f>
        <v>12</v>
      </c>
      <c r="CQ90">
        <f>MAX( 0, MIN(BedPlan[[#This Row],[Expected End of Harvest]], EOMONTH(CQ$4, 0)) - MAX(BedPlan[[#This Row],[Beginning of Harvest]], CQ$4) + 1 )</f>
        <v>31</v>
      </c>
      <c r="CR90">
        <f>MAX( 0, MIN(BedPlan[[#This Row],[Expected End of Harvest]], EOMONTH(CR$4, 0)) - MAX(BedPlan[[#This Row],[Beginning of Harvest]], CR$4) + 1 )</f>
        <v>14</v>
      </c>
      <c r="CS90">
        <f>MAX( 0, MIN(BedPlan[[#This Row],[Expected End of Harvest]], EOMONTH(CS$4, 0)) - MAX(BedPlan[[#This Row],[Beginning of Harvest]], CS$4) + 1 )</f>
        <v>0</v>
      </c>
      <c r="CT90">
        <f>MAX( 0, MIN(BedPlan[[#This Row],[Expected End of Harvest]], EOMONTH(CT$4, 0)) - MAX(BedPlan[[#This Row],[Beginning of Harvest]], CT$4) + 1 )</f>
        <v>0</v>
      </c>
      <c r="CU90">
        <f>MAX( 0, MIN(BedPlan[[#This Row],[Expected End of Harvest]], EOMONTH(CU$4, 0)) - MAX(BedPlan[[#This Row],[Beginning of Harvest]], CU$4) + 1 )</f>
        <v>0</v>
      </c>
      <c r="CV90">
        <f>MAX( 0, MIN(BedPlan[[#This Row],[Expected End of Harvest]], EOMONTH(CV$4, 0)) - MAX(BedPlan[[#This Row],[Beginning of Harvest]], CV$4) + 1 )</f>
        <v>0</v>
      </c>
      <c r="CW90">
        <f>MAX( 0, MIN(BedPlan[[#This Row],[Expected End of Harvest]], EOMONTH(CW$4, 0)) - MAX(BedPlan[[#This Row],[Beginning of Harvest]], CW$4) + 1 )</f>
        <v>0</v>
      </c>
      <c r="CX90">
        <f>MAX( 0, MIN(BedPlan[[#This Row],[Expected End of Harvest]], EOMONTH(CX$4, 0)) - MAX(BedPlan[[#This Row],[Beginning of Harvest]], CX$4) + 1 )</f>
        <v>0</v>
      </c>
      <c r="CY90">
        <f>MAX( 0, MIN(BedPlan[[#This Row],[Expected End of Harvest]], EOMONTH(CY$4, 0)) - MAX(BedPlan[[#This Row],[Beginning of Harvest]], CY$4) + 1 )</f>
        <v>0</v>
      </c>
      <c r="CZ90">
        <f>MAX( 0, MIN(BedPlan[[#This Row],[Expected End of Harvest]], EOMONTH(CZ$4, 0)) - MAX(BedPlan[[#This Row],[Beginning of Harvest]], CZ$4) + 1 )</f>
        <v>0</v>
      </c>
      <c r="DA90">
        <f>MAX( 0, MIN(BedPlan[[#This Row],[Expected End of Harvest]], EOMONTH(DA$4, 0)) - MAX(BedPlan[[#This Row],[Beginning of Harvest]], DA$4) + 1 )</f>
        <v>0</v>
      </c>
      <c r="DB90">
        <f>MAX( 0, MIN(BedPlan[[#This Row],[Expected End of Harvest]], EOMONTH(DB$4, 0)) - MAX(BedPlan[[#This Row],[Beginning of Harvest]], DB$4) + 1 )</f>
        <v>0</v>
      </c>
      <c r="DC90">
        <f>MAX( 0, MIN(BedPlan[[#This Row],[Expected End of Harvest]], EOMONTH(DC$4, 0)) - MAX(BedPlan[[#This Row],[Beginning of Harvest]], DC$4) + 1 )</f>
        <v>0</v>
      </c>
      <c r="DD90">
        <f>MAX( 0, MIN(BedPlan[[#This Row],[Expected End of Harvest]], EOMONTH(DD$4, 0)) - MAX(BedPlan[[#This Row],[Beginning of Harvest]], DD$4) + 1 )</f>
        <v>0</v>
      </c>
      <c r="DE90">
        <f>MAX( 0, MIN(BedPlan[[#This Row],[Expected End of Harvest]], EOMONTH(DE$4, 0)) - MAX(BedPlan[[#This Row],[Beginning of Harvest]], DE$4) + 1 )</f>
        <v>0</v>
      </c>
      <c r="DF90">
        <f>MAX( 0, MIN(BedPlan[[#This Row],[Expected End of Harvest]], EOMONTH(DF$4, 0)) - MAX(BedPlan[[#This Row],[Beginning of Harvest]], DF$4) + 1 )</f>
        <v>0</v>
      </c>
      <c r="DG90">
        <f>MAX( 0, MIN(BedPlan[[#This Row],[Expected End of Harvest]], EOMONTH(DG$4, 0)) - MAX(BedPlan[[#This Row],[Beginning of Harvest]], DG$4) + 1 )</f>
        <v>0</v>
      </c>
      <c r="DH90">
        <f>MAX( 0, MIN(BedPlan[[#This Row],[Expected End of Harvest]], EOMONTH(DH$4, 0)) - MAX(BedPlan[[#This Row],[Beginning of Harvest]], DH$4) + 1 )</f>
        <v>0</v>
      </c>
      <c r="DI90" s="257" cm="1">
        <f t="array" ref="DI90">BedPlan[[#This Row],[Harvest Days January 2025]]/SUM(BedPlan[[#This Row],[Harvest Days January 2025]:[Harvest Days December 2026]])*BedPlan[[#This Row],[Revenue]:[Revenue]]</f>
        <v>0</v>
      </c>
      <c r="DJ90" s="257" cm="1">
        <f t="array" ref="DJ90">BedPlan[[#This Row],[Harvest Days February 2025]]/SUM(BedPlan[[#This Row],[Harvest Days January 2025]:[Harvest Days December 2026]])*BedPlan[[#This Row],[Revenue]:[Revenue]]</f>
        <v>0</v>
      </c>
      <c r="DK90" s="257" cm="1">
        <f t="array" ref="DK90">BedPlan[[#This Row],[Harvest Days March 2025]]/SUM(BedPlan[[#This Row],[Harvest Days January 2025]:[Harvest Days December 2026]])*BedPlan[[#This Row],[Revenue]:[Revenue]]</f>
        <v>0</v>
      </c>
      <c r="DL90" s="257" cm="1">
        <f t="array" ref="DL90">BedPlan[[#This Row],[Harvest Days April 2025]]/SUM(BedPlan[[#This Row],[Harvest Days January 2025]:[Harvest Days December 2026]])*BedPlan[[#This Row],[Revenue]:[Revenue]]</f>
        <v>0</v>
      </c>
      <c r="DM90" s="257" cm="1">
        <f t="array" ref="DM90">BedPlan[[#This Row],[Harvest Days May 2025]]/SUM(BedPlan[[#This Row],[Harvest Days January 2025]:[Harvest Days December 2026]])*BedPlan[[#This Row],[Revenue]:[Revenue]]</f>
        <v>0</v>
      </c>
      <c r="DN90" s="257" cm="1">
        <f t="array" ref="DN90">BedPlan[[#This Row],[Harvest Days June 2025]]/SUM(BedPlan[[#This Row],[Harvest Days January 2025]:[Harvest Days December 2026]])*BedPlan[[#This Row],[Revenue]:[Revenue]]</f>
        <v>126.31578947368421</v>
      </c>
      <c r="DO90" s="257" cm="1">
        <f t="array" ref="DO90">BedPlan[[#This Row],[Harvest Days July 2025]]/SUM(BedPlan[[#This Row],[Harvest Days January 2025]:[Harvest Days December 2026]])*BedPlan[[#This Row],[Revenue]:[Revenue]]</f>
        <v>326.31578947368422</v>
      </c>
      <c r="DP90" s="257" cm="1">
        <f t="array" ref="DP90">BedPlan[[#This Row],[Harvest Days August 2025]]/SUM(BedPlan[[#This Row],[Harvest Days January 2025]:[Harvest Days December 2026]])*BedPlan[[#This Row],[Revenue]:[Revenue]]</f>
        <v>147.36842105263156</v>
      </c>
      <c r="DQ90" s="257" cm="1">
        <f t="array" ref="DQ90">BedPlan[[#This Row],[Harvest Days September 2025]]/SUM(BedPlan[[#This Row],[Harvest Days January 2025]:[Harvest Days December 2026]])*BedPlan[[#This Row],[Revenue]:[Revenue]]</f>
        <v>0</v>
      </c>
      <c r="DR90" s="257" cm="1">
        <f t="array" ref="DR90">BedPlan[[#This Row],[Harvest Days October 2025]]/SUM(BedPlan[[#This Row],[Harvest Days January 2025]:[Harvest Days December 2026]])*BedPlan[[#This Row],[Revenue]:[Revenue]]</f>
        <v>0</v>
      </c>
      <c r="DS90" s="257" cm="1">
        <f t="array" ref="DS90">BedPlan[[#This Row],[Harvest Days November 2025]]/SUM(BedPlan[[#This Row],[Harvest Days January 2025]:[Harvest Days December 2026]])*BedPlan[[#This Row],[Revenue]:[Revenue]]</f>
        <v>0</v>
      </c>
      <c r="DT90" s="257" cm="1">
        <f t="array" ref="DT90">BedPlan[[#This Row],[Harvest Days December 2025]]/SUM(BedPlan[[#This Row],[Harvest Days January 2025]:[Harvest Days December 2026]])*BedPlan[[#This Row],[Revenue]:[Revenue]]</f>
        <v>0</v>
      </c>
      <c r="DU90" s="257" cm="1">
        <f t="array" ref="DU90">BedPlan[[#This Row],[Harvest Days January 2026]]/SUM(BedPlan[[#This Row],[Harvest Days January 2025]:[Harvest Days December 2026]])*BedPlan[[#This Row],[Revenue]:[Revenue]]</f>
        <v>0</v>
      </c>
      <c r="DV90" s="257" cm="1">
        <f t="array" ref="DV90">BedPlan[[#This Row],[Harvest Days February 2026]]/SUM(BedPlan[[#This Row],[Harvest Days January 2025]:[Harvest Days December 2026]])*BedPlan[[#This Row],[Revenue]:[Revenue]]</f>
        <v>0</v>
      </c>
      <c r="DW90" s="257" cm="1">
        <f t="array" ref="DW90">BedPlan[[#This Row],[Harvest Days March 2026]]/SUM(BedPlan[[#This Row],[Harvest Days January 2025]:[Harvest Days December 2026]])*BedPlan[[#This Row],[Revenue]:[Revenue]]</f>
        <v>0</v>
      </c>
      <c r="DX90" s="257" cm="1">
        <f t="array" ref="DX90">BedPlan[[#This Row],[Harvest Days April 2026]]/SUM(BedPlan[[#This Row],[Harvest Days January 2025]:[Harvest Days December 2026]])*BedPlan[[#This Row],[Revenue]:[Revenue]]</f>
        <v>0</v>
      </c>
      <c r="DY90" s="257" cm="1">
        <f t="array" ref="DY90">BedPlan[[#This Row],[Harvest Days May 2026]]/SUM(BedPlan[[#This Row],[Harvest Days January 2025]:[Harvest Days December 2026]])*BedPlan[[#This Row],[Revenue]:[Revenue]]</f>
        <v>0</v>
      </c>
      <c r="DZ90" s="257" cm="1">
        <f t="array" ref="DZ90">BedPlan[[#This Row],[Harvest Days June 2026]]/SUM(BedPlan[[#This Row],[Harvest Days January 2025]:[Harvest Days December 2026]])*BedPlan[[#This Row],[Revenue]:[Revenue]]</f>
        <v>0</v>
      </c>
      <c r="EA90" s="257" cm="1">
        <f t="array" ref="EA90">BedPlan[[#This Row],[Harvest Days July 2026]]/SUM(BedPlan[[#This Row],[Harvest Days January 2025]:[Harvest Days December 2026]])*BedPlan[[#This Row],[Revenue]:[Revenue]]</f>
        <v>0</v>
      </c>
      <c r="EB90" s="257" cm="1">
        <f t="array" ref="EB90">BedPlan[[#This Row],[Harvest Days August 2026]]/SUM(BedPlan[[#This Row],[Harvest Days January 2025]:[Harvest Days December 2026]])*BedPlan[[#This Row],[Revenue]:[Revenue]]</f>
        <v>0</v>
      </c>
      <c r="EC90" s="257" cm="1">
        <f t="array" ref="EC90">BedPlan[[#This Row],[Harvest Days September 2026]]/SUM(BedPlan[[#This Row],[Harvest Days January 2025]:[Harvest Days December 2026]])*BedPlan[[#This Row],[Revenue]:[Revenue]]</f>
        <v>0</v>
      </c>
      <c r="ED90" s="257" cm="1">
        <f t="array" ref="ED90">BedPlan[[#This Row],[Harvest Days October 2026]]/SUM(BedPlan[[#This Row],[Harvest Days January 2025]:[Harvest Days December 2026]])*BedPlan[[#This Row],[Revenue]:[Revenue]]</f>
        <v>0</v>
      </c>
      <c r="EE90" s="257" cm="1">
        <f t="array" ref="EE90">BedPlan[[#This Row],[Harvest Days November 2026]]/SUM(BedPlan[[#This Row],[Harvest Days January 2025]:[Harvest Days December 2026]])*BedPlan[[#This Row],[Revenue]:[Revenue]]</f>
        <v>0</v>
      </c>
      <c r="EF90" s="257" cm="1">
        <f t="array" ref="EF90">BedPlan[[#This Row],[Harvest Days December 2026]]/SUM(BedPlan[[#This Row],[Harvest Days January 2025]:[Harvest Days December 2026]])*BedPlan[[#This Row],[Revenue]:[Revenue]]</f>
        <v>0</v>
      </c>
      <c r="EG90" t="b">
        <f>SUM(BedPlan[[#This Row],[Revenue January 2025]:[Revenue December 2026]])=BedPlan[[#This Row],[Revenue]]</f>
        <v>1</v>
      </c>
      <c r="EH90" s="30" cm="1">
        <f t="array" ref="EH90">INDEX(Crops[],BedPlan[[#This Row],[Chart Index]],EH$4,1)*BedPlan[[#This Row],['# Of Beds]]</f>
        <v>150</v>
      </c>
      <c r="EI90" s="30" t="str" cm="1">
        <f t="array" ref="EI90">INDEX(Crops[],BedPlan[[#This Row],[Chart Index]],EI$4,1)</f>
        <v>Bunch</v>
      </c>
      <c r="EJ90" s="30" t="str" cm="1">
        <f t="array" ref="EJ90">INDEX(Crops[],BedPlan[[#This Row],[Chart Index]],EJ$4,1)</f>
        <v>Young Bulb</v>
      </c>
      <c r="EK90" s="30" t="str">
        <f>BedPlan[[#This Row],[Name]]&amp;" "&amp;BedPlan[[#This Row],[Product]]&amp; " - " &amp;BedPlan[[#This Row],[Unit]]</f>
        <v>Onion Young Bulb - Bunch</v>
      </c>
      <c r="EL90" s="33" cm="1">
        <f t="array" ref="EL90">BedPlan[[#This Row],[Harvest Days January 2025]]/SUM(BedPlan[[#This Row],[Harvest Days January 2025]:[Harvest Days December 2026]])*BedPlan[[#This Row],[Yield]:[Yield]]</f>
        <v>0</v>
      </c>
      <c r="EM90" s="33" cm="1">
        <f t="array" ref="EM90">BedPlan[[#This Row],[Harvest Days February 2025]]/SUM(BedPlan[[#This Row],[Harvest Days January 2025]:[Harvest Days December 2026]])*BedPlan[[#This Row],[Yield]:[Yield]]</f>
        <v>0</v>
      </c>
      <c r="EN90" s="33" cm="1">
        <f t="array" ref="EN90">BedPlan[[#This Row],[Harvest Days March 2025]]/SUM(BedPlan[[#This Row],[Harvest Days January 2025]:[Harvest Days December 2026]])*BedPlan[[#This Row],[Yield]:[Yield]]</f>
        <v>0</v>
      </c>
      <c r="EO90" s="33" cm="1">
        <f t="array" ref="EO90">BedPlan[[#This Row],[Harvest Days April 2025]]/SUM(BedPlan[[#This Row],[Harvest Days January 2025]:[Harvest Days December 2026]])*BedPlan[[#This Row],[Yield]:[Yield]]</f>
        <v>0</v>
      </c>
      <c r="EP90" s="33" cm="1">
        <f t="array" ref="EP90">BedPlan[[#This Row],[Harvest Days May 2025]]/SUM(BedPlan[[#This Row],[Harvest Days January 2025]:[Harvest Days December 2026]])*BedPlan[[#This Row],[Yield]:[Yield]]</f>
        <v>0</v>
      </c>
      <c r="EQ90" s="33" cm="1">
        <f t="array" ref="EQ90">BedPlan[[#This Row],[Harvest Days June 2025]]/SUM(BedPlan[[#This Row],[Harvest Days January 2025]:[Harvest Days December 2026]])*BedPlan[[#This Row],[Yield]:[Yield]]</f>
        <v>31.578947368421051</v>
      </c>
      <c r="ER90" s="33" cm="1">
        <f t="array" ref="ER90">BedPlan[[#This Row],[Harvest Days July 2025]]/SUM(BedPlan[[#This Row],[Harvest Days January 2025]:[Harvest Days December 2026]])*BedPlan[[#This Row],[Yield]:[Yield]]</f>
        <v>81.578947368421055</v>
      </c>
      <c r="ES90" s="33" cm="1">
        <f t="array" ref="ES90">BedPlan[[#This Row],[Harvest Days August 2025]]/SUM(BedPlan[[#This Row],[Harvest Days January 2025]:[Harvest Days December 2026]])*BedPlan[[#This Row],[Yield]:[Yield]]</f>
        <v>36.84210526315789</v>
      </c>
      <c r="ET90" s="33" cm="1">
        <f t="array" ref="ET90">BedPlan[[#This Row],[Harvest Days September 2025]]/SUM(BedPlan[[#This Row],[Harvest Days January 2025]:[Harvest Days December 2026]])*BedPlan[[#This Row],[Yield]:[Yield]]</f>
        <v>0</v>
      </c>
      <c r="EU90" s="33" cm="1">
        <f t="array" ref="EU90">BedPlan[[#This Row],[Harvest Days October 2025]]/SUM(BedPlan[[#This Row],[Harvest Days January 2025]:[Harvest Days December 2026]])*BedPlan[[#This Row],[Yield]:[Yield]]</f>
        <v>0</v>
      </c>
      <c r="EV90" s="33" cm="1">
        <f t="array" ref="EV90">BedPlan[[#This Row],[Harvest Days November 2025]]/SUM(BedPlan[[#This Row],[Harvest Days January 2025]:[Harvest Days December 2026]])*BedPlan[[#This Row],[Yield]:[Yield]]</f>
        <v>0</v>
      </c>
      <c r="EW90" s="33" cm="1">
        <f t="array" ref="EW90">BedPlan[[#This Row],[Harvest Days December 2025]]/SUM(BedPlan[[#This Row],[Harvest Days January 2025]:[Harvest Days December 2026]])*BedPlan[[#This Row],[Yield]:[Yield]]</f>
        <v>0</v>
      </c>
    </row>
    <row r="91" spans="1:153" ht="15.75" customHeight="1">
      <c r="A91" s="185" t="s">
        <v>1711</v>
      </c>
      <c r="B91" t="s">
        <v>2655</v>
      </c>
      <c r="C91" t="s">
        <v>1443</v>
      </c>
      <c r="D91" cm="1">
        <f t="array" ref="D91">INDEX(Crops[],BedPlan[[#This Row],[Chart Index]],D$4,1)*BedPlan[[#This Row],[Full Bed Equivalent]]</f>
        <v>18.75</v>
      </c>
      <c r="E91" cm="1">
        <f t="array" ref="E91">INDEX(Crops[],BedPlan[[#This Row],[Chart Index]],E$4,1)*BedPlan[[#This Row],[Full Bed Equivalent]]</f>
        <v>150</v>
      </c>
      <c r="F91" t="str">
        <f>UPPER(LEFT(BedPlan[[#This Row],[Crop]],3))</f>
        <v>ONI</v>
      </c>
      <c r="H91" s="143" t="str" cm="1">
        <f t="array" ref="H91">INDEX(Crops[],BedPlan[[#This Row],[Chart Index]],H$4,1)</f>
        <v>Onion</v>
      </c>
      <c r="I91" t="s">
        <v>2818</v>
      </c>
      <c r="K91" t="str" cm="1">
        <f t="array" ref="K91">IF(ISNUMBER(MATCH(BedPlan[[#This Row],[Variety]],SeedMixes[Name],)),_xlfn.TEXTJOIN(", ",TRUE,_xlfn._xlws.FILTER(SeedMixes[Variety &amp; Company],SeedMixes[Name]=BedPlan[[#This Row],[Variety]])),"")</f>
        <v>Cortland F1 High Mowing, Sedona F1 High Mowing, Red Spring Johnny's</v>
      </c>
      <c r="L91" s="33" cm="1">
        <f t="array" ref="L91">INDEX(Crops[],BedPlan[[#This Row],[Chart Index]],L$4,1)*BedPlan[[#This Row],[Full Bed Equivalent]]</f>
        <v>1650.0000000000002</v>
      </c>
      <c r="N91">
        <f>1</f>
        <v>1</v>
      </c>
      <c r="O91">
        <f>MAX(BedPlan[[#This Row],['# Of Beds]],0.5)</f>
        <v>1</v>
      </c>
      <c r="P91" s="31">
        <f>IF(ISNUMBER(BedPlan[[#This Row],[Planned Greenhouse Start Date]]),BedPlan[[#This Row],[Planned Greenhouse Start Date]],BedPlan[[#This Row],[Planned TP or DS Date]])</f>
        <v>45738</v>
      </c>
      <c r="Q91" s="259">
        <f>IF(BedPlan[[#This Row],[Days in Cells]]=0,"",IFERROR(_xlfn.XLOOKUP(BedPlan[[#This Row],[Follows Crop]],BedPlan[Identifier],BedPlan[Expected End of Harvest]) + 1+BedPlan[[#This Row],[Follow Offset]],BedPlan[[#This Row],[Fixed Field Start Date]])-BedPlan[[#This Row],[Days in Cells]])</f>
        <v>45738</v>
      </c>
      <c r="R91" s="259">
        <v>45744</v>
      </c>
      <c r="S91" s="259">
        <f>IF(ISNUMBER(BedPlan[[#This Row],[Actual Greenhouse Date]]),BedPlan[[#This Row],[Actual Greenhouse Date]],BedPlan[[#This Row],[Planned Greenhouse Start Date]])</f>
        <v>45744</v>
      </c>
      <c r="T91" s="259">
        <f>_xlfn.XLOOKUP(BedPlan[[#This Row],[Crop]],Crops[Identifier],Crops[Target Field Date])</f>
        <v>45766</v>
      </c>
      <c r="U91" s="260"/>
      <c r="V91" s="260"/>
      <c r="W9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45772</v>
      </c>
      <c r="X91" s="259">
        <v>45769</v>
      </c>
      <c r="Y91" s="271">
        <f>BedPlan[[#This Row],[Actual TP or DS Date]]-BedPlan[[#This Row],[Planned TP or DS Date]]</f>
        <v>-3</v>
      </c>
      <c r="Z91" s="259">
        <f>IF(ISNUMBER(BedPlan[[#This Row],[Actual TP or DS Date]]),BedPlan[[#This Row],[Actual TP or DS Date]],BedPlan[[#This Row],[Planned TP or DS Date]])</f>
        <v>45769</v>
      </c>
      <c r="AA91" s="260"/>
      <c r="AB91" s="259">
        <f>IF(ISNUMBER(BedPlan[[#This Row],[Greenhouse Start Date]]),BedPlan[[#This Row],[Greenhouse Start Date]]+BedPlan[[#This Row],[DTM]],BedPlan[[#This Row],[TP or DS Date]]+BedPlan[[#This Row],[DTM]])</f>
        <v>45834</v>
      </c>
      <c r="AC91" s="259"/>
      <c r="AD91" s="259">
        <f>IF(ISNUMBER(BedPlan[[#This Row],[Actual Beginning of Harvest]]),BedPlan[[#This Row],[Actual Beginning of Harvest]],BedPlan[[#This Row],[Expected Beginning of Harvest]])</f>
        <v>45834</v>
      </c>
      <c r="AE91" s="259">
        <f>BedPlan[[#This Row],[Expected Beginning of Harvest]]+BedPlan[[#This Row],[Harvest Window]]+BedPlan[[#This Row],[Additional Days of Harvest]]</f>
        <v>45890</v>
      </c>
      <c r="AF91" s="259"/>
      <c r="AG91" s="259"/>
      <c r="AH91" s="31" t="b">
        <f>IF(AND( BedPlan[[#This Row],[Expected End of Harvest]] &gt;= DATE(2025, 8, 1), BedPlan[[#This Row],[Beginning of Harvest]] &lt;= DATE(2025, 8, 31) ), TRUE, FALSE)</f>
        <v>1</v>
      </c>
      <c r="AI91" s="31"/>
      <c r="AJ91" s="31">
        <f>IF(ISNUMBER(BedPlan[[#This Row],[Actual End of Harvest]]),BedPlan[[#This Row],[Actual End of Harvest]],BedPlan[[#This Row],[Expected End of Harvest]])</f>
        <v>45890</v>
      </c>
      <c r="AK91" t="b">
        <f>OR(ISNUMBER(BedPlan[[#This Row],[Actual Greenhouse Date]]),ISNUMBER(BedPlan[[#This Row],[Actual TP or DS Date]]))</f>
        <v>1</v>
      </c>
      <c r="AL91" s="52" t="b">
        <f>IF(ISNUMBER(BedPlan[[#This Row],[Planned Greenhouse Start Date]]),OR(ISNUMBER(BedPlan[[#This Row],[Actual TP or DS Date]]),BedPlan[[#This Row],[Failed]]),"-")</f>
        <v>1</v>
      </c>
      <c r="AM91" t="b">
        <f>OR(ISNUMBER(BedPlan[[#This Row],[Actual End of Harvest]]),BedPlan[[#This Row],[Failed]])</f>
        <v>0</v>
      </c>
      <c r="AN91" t="b">
        <f>OR(BedPlan[[#This Row],[Harvest Done]],BedPlan[[#This Row],[Failed]],BedPlan[[#This Row],[Name]]="Tarp")</f>
        <v>0</v>
      </c>
      <c r="AO91" t="b">
        <v>1</v>
      </c>
      <c r="AP91" t="b">
        <v>1</v>
      </c>
      <c r="AQ91" t="s">
        <v>3214</v>
      </c>
      <c r="AS91" s="26">
        <f>IF(BedPlan[[#This Row],[Broadfork]],BedPlan[[#This Row],[Actual TP or DS Date]],"")</f>
        <v>45769</v>
      </c>
      <c r="AT91" s="26">
        <f>IF(BedPlan[[#This Row],[Tilther]],BedPlan[[#This Row],[Actual TP or DS Date]],"")</f>
        <v>45769</v>
      </c>
      <c r="AU91" s="26">
        <f>IF(NOT(ISBLANK(BedPlan[[#This Row],[Amend]])),BedPlan[[#This Row],[Actual TP or DS Date]],"")</f>
        <v>45769</v>
      </c>
      <c r="AV91" s="26" t="str">
        <f>IF(BedPlan[[#This Row],[Row Cover]],BedPlan[[#This Row],[Actual TP or DS Date]],"")</f>
        <v/>
      </c>
      <c r="AX91" s="26"/>
      <c r="AZ91" s="26"/>
      <c r="BB91" s="26"/>
      <c r="BC91" s="231" cm="1">
        <f t="array" ref="BC91">INDEX(Crops[],BedPlan[[#This Row],[Chart Index]],BC$4,1)*BedPlan[[#This Row],[Full Bed Equivalent]]</f>
        <v>600</v>
      </c>
      <c r="BD91" s="231" cm="1">
        <f t="array" ref="BD91">INDEX(Crops[],BedPlan[[#This Row],[Chart Index]],BD$4,1)*BedPlan[[#This Row],[Full Bed Equivalent]]</f>
        <v>5.0847457627118642</v>
      </c>
      <c r="BE91" cm="1">
        <f t="array" ref="BE91">INDEX(Crops[],BedPlan[[#This Row],[Chart Index]],BE$4,1)+BedPlan[[#This Row],[Additional Days in Cells]]+BedPlan[[#This Row],[Additional Days In Field]]</f>
        <v>90</v>
      </c>
      <c r="BG91" cm="1">
        <f t="array" ref="BG91">INDEX(Crops[],BedPlan[[#This Row],[Chart Index]],BG$4,1)</f>
        <v>56</v>
      </c>
      <c r="BH91" t="str">
        <f>IF(ISNUMBER(BedPlan[[#This Row],[Planned Greenhouse Start Date]]),"TP","DS")</f>
        <v>TP</v>
      </c>
      <c r="BI91">
        <f>BedPlan[[#This Row],['# Of Beds]]</f>
        <v>1</v>
      </c>
      <c r="BJ91" cm="1">
        <f t="array" ref="BJ91">INDEX(Crops[],BedPlan[[#This Row],[Chart Index]],BJ$4,1)</f>
        <v>28</v>
      </c>
      <c r="BK91" cm="1">
        <f t="array" ref="BK91">INDEX(Crops[],BedPlan[[#This Row],[Chart Index]],BK$4,1)</f>
        <v>3</v>
      </c>
      <c r="BL91" cm="1">
        <f t="array" ref="BL91">INDEX(Crops[],BedPlan[[#This Row],[Chart Index]],BL$4,1)</f>
        <v>12</v>
      </c>
      <c r="BM91" cm="1">
        <f t="array" ref="BM91">INDEX(Crops[],BedPlan[[#This Row],[Chart Index]],BM$4,1)</f>
        <v>10</v>
      </c>
      <c r="BN91" s="32" cm="1">
        <f t="array" ref="BN91">INDEX(Crops[],BedPlan[[#This Row],[Chart Index]],BN$4,1)*BedPlan[[#This Row],[Full Bed Equivalent]]</f>
        <v>150</v>
      </c>
      <c r="BO91" t="str" cm="1">
        <f t="array" ref="BO91">IF(INDEX(Crops[],BedPlan[[#This Row],[Chart Index]],BO$4,1)=0,"",INDEX(Crops[],BedPlan[[#This Row],[Chart Index]],BO$4,1))</f>
        <v/>
      </c>
      <c r="BP91">
        <f>MATCH(BedPlan[[#This Row],[Crop]],Crops[Identifier],FALSE)</f>
        <v>225</v>
      </c>
      <c r="BQ91" t="str" cm="1">
        <f t="array" ref="BQ91">INDEX(Crops[],BedPlan[[#This Row],[Chart Index]],BQ$4,1)</f>
        <v>Salad Late</v>
      </c>
      <c r="BR91" t="str" cm="1">
        <f t="array" ref="BR91">INDEX(Crops[],BedPlan[[#This Row],[Chart Index]],BR$4,1)</f>
        <v>Sp</v>
      </c>
      <c r="BS91" s="32">
        <f>BedPlan[[#This Row],[Expected Beginning of Harvest]]-DATE(2023,1,1)</f>
        <v>907</v>
      </c>
      <c r="BT91">
        <f>BedPlan[[#This Row],[Expected End of Harvest]]-BedPlan[[#This Row],[Expected Beginning of Harvest]]</f>
        <v>56</v>
      </c>
      <c r="BU91" t="str" cm="1">
        <f t="array" ref="BU91">INDEX(Crops[],BedPlan[[#This Row],[Chart Index]],BU$4,1)</f>
        <v>Onion</v>
      </c>
      <c r="BV91" cm="1">
        <f t="array" ref="BV91">INDEX(Crops[],BedPlan[[#This Row],[Chart Index]],BV$4,1)</f>
        <v>2</v>
      </c>
      <c r="BW91" t="str" cm="1">
        <f t="array" ref="BW91">INDEX(Crops[],BedPlan[[#This Row],[Chart Index]],BW$4,1)</f>
        <v>None</v>
      </c>
      <c r="BX91" cm="1">
        <f t="array" ref="BX91">INDEX(Crops[],BedPlan[[#This Row],[Chart Index]],BX$4,1)</f>
        <v>128</v>
      </c>
      <c r="BY91" cm="1">
        <f t="array" ref="BY91">INDEX(Crops[],BedPlan[[#This Row],[Chart Index]],BY$4,1)</f>
        <v>28</v>
      </c>
      <c r="BZ91" s="49" cm="1">
        <f t="array" ref="BZ91">IFERROR(INDEX(Crops[],BedPlan[[#This Row],[Chart Index]],BZ$4,1)*BedPlan[[#This Row],[Full Bed Equivalent]],"")</f>
        <v>1.2890625</v>
      </c>
      <c r="CA91" cm="1">
        <f t="array" ref="CA91">INDEX(Crops[],BedPlan[[#This Row],[Chart Index]],CA$4,1)</f>
        <v>0</v>
      </c>
      <c r="CB91" cm="1">
        <f t="array" ref="CB91">INDEX(Crops[],BedPlan[[#This Row],[Chart Index]],CB$4,1)</f>
        <v>0</v>
      </c>
      <c r="CC91" s="49" t="str" cm="1">
        <f t="array" ref="CC91">IFERROR(INDEX(Crops[],BedPlan[[#This Row],[Chart Index]],CC$4,1)*BedPlan[[#This Row],[Full Bed Equivalent]],"")</f>
        <v/>
      </c>
      <c r="CD91" cm="1">
        <f t="array" ref="CD91">INDEX(Crops[],BedPlan[[#This Row],[Chart Index]],CD$4,1)</f>
        <v>0</v>
      </c>
      <c r="CE91" cm="1">
        <f t="array" ref="CE91">IF(INDEX(Crops[],BedPlan[[#This Row],[Chart Index]],CE$4,1)="",0,INDEX(Crops[],BedPlan[[#This Row],[Chart Index]],CE$4,1))</f>
        <v>0</v>
      </c>
      <c r="CF91" s="49" t="str" cm="1">
        <f t="array" ref="CF91">IFERROR(INDEX(Crops[],BedPlan[[#This Row],[Chart Index]],CF$4,1)*BedPlan[[#This Row],[Full Bed Equivalent]],"")</f>
        <v/>
      </c>
      <c r="CG91" cm="1">
        <f t="array" ref="CG91">IF(INDEX(Crops[],BedPlan[[#This Row],[Chart Index]],CG$4,1)="",0,INDEX(Crops[],BedPlan[[#This Row],[Chart Index]],CG$4,1))</f>
        <v>1.1000000000000001</v>
      </c>
      <c r="CH91" cm="1">
        <f t="array" ref="CH91">IF(INDEX(Crops[],BedPlan[[#This Row],[Chart Index]],CH$4,1)="",0,INDEX(Crops[],BedPlan[[#This Row],[Chart Index]],CH$4,1))</f>
        <v>0</v>
      </c>
      <c r="CI91" t="str" cm="1">
        <f t="array" ref="CI91">INDEX(Crops[],BedPlan[[#This Row],[Chart Index]],CI$4,1)</f>
        <v>Field</v>
      </c>
      <c r="CJ91" s="30" t="str">
        <f>_xlfn.TEXTJOIN(CHAR(10),FALSE,BedPlan[[#This Row],[Name]],BedPlan[[#This Row],[Variety]],BedPlan[[#This Row],[Company]])</f>
        <v xml:space="preserve">Onion
Rot Resistant Onions Mix
</v>
      </c>
      <c r="CK91" s="32">
        <f>MAX( 0, MIN(BedPlan[[#This Row],[Expected End of Harvest]], EOMONTH(CK$4, 0)) - MAX(BedPlan[[#This Row],[Beginning of Harvest]], CK$4) + 1 )</f>
        <v>0</v>
      </c>
      <c r="CL91">
        <f>MAX( 0, MIN(BedPlan[[#This Row],[Expected End of Harvest]], EOMONTH(CL$4, 0)) - MAX(BedPlan[[#This Row],[Beginning of Harvest]], CL$4) + 1 )</f>
        <v>0</v>
      </c>
      <c r="CM91">
        <f>MAX( 0, MIN(BedPlan[[#This Row],[Expected End of Harvest]], EOMONTH(CM$4, 0)) - MAX(BedPlan[[#This Row],[Beginning of Harvest]], CM$4) + 1 )</f>
        <v>0</v>
      </c>
      <c r="CN91">
        <f>MAX( 0, MIN(BedPlan[[#This Row],[Expected End of Harvest]], EOMONTH(CN$4, 0)) - MAX(BedPlan[[#This Row],[Beginning of Harvest]], CN$4) + 1 )</f>
        <v>0</v>
      </c>
      <c r="CO91">
        <f>MAX( 0, MIN(BedPlan[[#This Row],[Expected End of Harvest]], EOMONTH(CO$4, 0)) - MAX(BedPlan[[#This Row],[Beginning of Harvest]], CO$4) + 1 )</f>
        <v>0</v>
      </c>
      <c r="CP91">
        <f>MAX( 0, MIN(BedPlan[[#This Row],[Expected End of Harvest]], EOMONTH(CP$4, 0)) - MAX(BedPlan[[#This Row],[Beginning of Harvest]], CP$4) + 1 )</f>
        <v>5</v>
      </c>
      <c r="CQ91">
        <f>MAX( 0, MIN(BedPlan[[#This Row],[Expected End of Harvest]], EOMONTH(CQ$4, 0)) - MAX(BedPlan[[#This Row],[Beginning of Harvest]], CQ$4) + 1 )</f>
        <v>31</v>
      </c>
      <c r="CR91">
        <f>MAX( 0, MIN(BedPlan[[#This Row],[Expected End of Harvest]], EOMONTH(CR$4, 0)) - MAX(BedPlan[[#This Row],[Beginning of Harvest]], CR$4) + 1 )</f>
        <v>21</v>
      </c>
      <c r="CS91">
        <f>MAX( 0, MIN(BedPlan[[#This Row],[Expected End of Harvest]], EOMONTH(CS$4, 0)) - MAX(BedPlan[[#This Row],[Beginning of Harvest]], CS$4) + 1 )</f>
        <v>0</v>
      </c>
      <c r="CT91">
        <f>MAX( 0, MIN(BedPlan[[#This Row],[Expected End of Harvest]], EOMONTH(CT$4, 0)) - MAX(BedPlan[[#This Row],[Beginning of Harvest]], CT$4) + 1 )</f>
        <v>0</v>
      </c>
      <c r="CU91">
        <f>MAX( 0, MIN(BedPlan[[#This Row],[Expected End of Harvest]], EOMONTH(CU$4, 0)) - MAX(BedPlan[[#This Row],[Beginning of Harvest]], CU$4) + 1 )</f>
        <v>0</v>
      </c>
      <c r="CV91">
        <f>MAX( 0, MIN(BedPlan[[#This Row],[Expected End of Harvest]], EOMONTH(CV$4, 0)) - MAX(BedPlan[[#This Row],[Beginning of Harvest]], CV$4) + 1 )</f>
        <v>0</v>
      </c>
      <c r="CW91">
        <f>MAX( 0, MIN(BedPlan[[#This Row],[Expected End of Harvest]], EOMONTH(CW$4, 0)) - MAX(BedPlan[[#This Row],[Beginning of Harvest]], CW$4) + 1 )</f>
        <v>0</v>
      </c>
      <c r="CX91">
        <f>MAX( 0, MIN(BedPlan[[#This Row],[Expected End of Harvest]], EOMONTH(CX$4, 0)) - MAX(BedPlan[[#This Row],[Beginning of Harvest]], CX$4) + 1 )</f>
        <v>0</v>
      </c>
      <c r="CY91">
        <f>MAX( 0, MIN(BedPlan[[#This Row],[Expected End of Harvest]], EOMONTH(CY$4, 0)) - MAX(BedPlan[[#This Row],[Beginning of Harvest]], CY$4) + 1 )</f>
        <v>0</v>
      </c>
      <c r="CZ91">
        <f>MAX( 0, MIN(BedPlan[[#This Row],[Expected End of Harvest]], EOMONTH(CZ$4, 0)) - MAX(BedPlan[[#This Row],[Beginning of Harvest]], CZ$4) + 1 )</f>
        <v>0</v>
      </c>
      <c r="DA91">
        <f>MAX( 0, MIN(BedPlan[[#This Row],[Expected End of Harvest]], EOMONTH(DA$4, 0)) - MAX(BedPlan[[#This Row],[Beginning of Harvest]], DA$4) + 1 )</f>
        <v>0</v>
      </c>
      <c r="DB91">
        <f>MAX( 0, MIN(BedPlan[[#This Row],[Expected End of Harvest]], EOMONTH(DB$4, 0)) - MAX(BedPlan[[#This Row],[Beginning of Harvest]], DB$4) + 1 )</f>
        <v>0</v>
      </c>
      <c r="DC91">
        <f>MAX( 0, MIN(BedPlan[[#This Row],[Expected End of Harvest]], EOMONTH(DC$4, 0)) - MAX(BedPlan[[#This Row],[Beginning of Harvest]], DC$4) + 1 )</f>
        <v>0</v>
      </c>
      <c r="DD91">
        <f>MAX( 0, MIN(BedPlan[[#This Row],[Expected End of Harvest]], EOMONTH(DD$4, 0)) - MAX(BedPlan[[#This Row],[Beginning of Harvest]], DD$4) + 1 )</f>
        <v>0</v>
      </c>
      <c r="DE91">
        <f>MAX( 0, MIN(BedPlan[[#This Row],[Expected End of Harvest]], EOMONTH(DE$4, 0)) - MAX(BedPlan[[#This Row],[Beginning of Harvest]], DE$4) + 1 )</f>
        <v>0</v>
      </c>
      <c r="DF91">
        <f>MAX( 0, MIN(BedPlan[[#This Row],[Expected End of Harvest]], EOMONTH(DF$4, 0)) - MAX(BedPlan[[#This Row],[Beginning of Harvest]], DF$4) + 1 )</f>
        <v>0</v>
      </c>
      <c r="DG91">
        <f>MAX( 0, MIN(BedPlan[[#This Row],[Expected End of Harvest]], EOMONTH(DG$4, 0)) - MAX(BedPlan[[#This Row],[Beginning of Harvest]], DG$4) + 1 )</f>
        <v>0</v>
      </c>
      <c r="DH91">
        <f>MAX( 0, MIN(BedPlan[[#This Row],[Expected End of Harvest]], EOMONTH(DH$4, 0)) - MAX(BedPlan[[#This Row],[Beginning of Harvest]], DH$4) + 1 )</f>
        <v>0</v>
      </c>
      <c r="DI91" s="257" cm="1">
        <f t="array" ref="DI91">BedPlan[[#This Row],[Harvest Days January 2025]]/SUM(BedPlan[[#This Row],[Harvest Days January 2025]:[Harvest Days December 2026]])*BedPlan[[#This Row],[Revenue]:[Revenue]]</f>
        <v>0</v>
      </c>
      <c r="DJ91" s="257" cm="1">
        <f t="array" ref="DJ91">BedPlan[[#This Row],[Harvest Days February 2025]]/SUM(BedPlan[[#This Row],[Harvest Days January 2025]:[Harvest Days December 2026]])*BedPlan[[#This Row],[Revenue]:[Revenue]]</f>
        <v>0</v>
      </c>
      <c r="DK91" s="257" cm="1">
        <f t="array" ref="DK91">BedPlan[[#This Row],[Harvest Days March 2025]]/SUM(BedPlan[[#This Row],[Harvest Days January 2025]:[Harvest Days December 2026]])*BedPlan[[#This Row],[Revenue]:[Revenue]]</f>
        <v>0</v>
      </c>
      <c r="DL91" s="257" cm="1">
        <f t="array" ref="DL91">BedPlan[[#This Row],[Harvest Days April 2025]]/SUM(BedPlan[[#This Row],[Harvest Days January 2025]:[Harvest Days December 2026]])*BedPlan[[#This Row],[Revenue]:[Revenue]]</f>
        <v>0</v>
      </c>
      <c r="DM91" s="257" cm="1">
        <f t="array" ref="DM91">BedPlan[[#This Row],[Harvest Days May 2025]]/SUM(BedPlan[[#This Row],[Harvest Days January 2025]:[Harvest Days December 2026]])*BedPlan[[#This Row],[Revenue]:[Revenue]]</f>
        <v>0</v>
      </c>
      <c r="DN91" s="257" cm="1">
        <f t="array" ref="DN91">BedPlan[[#This Row],[Harvest Days June 2025]]/SUM(BedPlan[[#This Row],[Harvest Days January 2025]:[Harvest Days December 2026]])*BedPlan[[#This Row],[Revenue]:[Revenue]]</f>
        <v>52.631578947368418</v>
      </c>
      <c r="DO91" s="257" cm="1">
        <f t="array" ref="DO91">BedPlan[[#This Row],[Harvest Days July 2025]]/SUM(BedPlan[[#This Row],[Harvest Days January 2025]:[Harvest Days December 2026]])*BedPlan[[#This Row],[Revenue]:[Revenue]]</f>
        <v>326.31578947368422</v>
      </c>
      <c r="DP91" s="257" cm="1">
        <f t="array" ref="DP91">BedPlan[[#This Row],[Harvest Days August 2025]]/SUM(BedPlan[[#This Row],[Harvest Days January 2025]:[Harvest Days December 2026]])*BedPlan[[#This Row],[Revenue]:[Revenue]]</f>
        <v>221.05263157894737</v>
      </c>
      <c r="DQ91" s="257" cm="1">
        <f t="array" ref="DQ91">BedPlan[[#This Row],[Harvest Days September 2025]]/SUM(BedPlan[[#This Row],[Harvest Days January 2025]:[Harvest Days December 2026]])*BedPlan[[#This Row],[Revenue]:[Revenue]]</f>
        <v>0</v>
      </c>
      <c r="DR91" s="257" cm="1">
        <f t="array" ref="DR91">BedPlan[[#This Row],[Harvest Days October 2025]]/SUM(BedPlan[[#This Row],[Harvest Days January 2025]:[Harvest Days December 2026]])*BedPlan[[#This Row],[Revenue]:[Revenue]]</f>
        <v>0</v>
      </c>
      <c r="DS91" s="257" cm="1">
        <f t="array" ref="DS91">BedPlan[[#This Row],[Harvest Days November 2025]]/SUM(BedPlan[[#This Row],[Harvest Days January 2025]:[Harvest Days December 2026]])*BedPlan[[#This Row],[Revenue]:[Revenue]]</f>
        <v>0</v>
      </c>
      <c r="DT91" s="257" cm="1">
        <f t="array" ref="DT91">BedPlan[[#This Row],[Harvest Days December 2025]]/SUM(BedPlan[[#This Row],[Harvest Days January 2025]:[Harvest Days December 2026]])*BedPlan[[#This Row],[Revenue]:[Revenue]]</f>
        <v>0</v>
      </c>
      <c r="DU91" s="257" cm="1">
        <f t="array" ref="DU91">BedPlan[[#This Row],[Harvest Days January 2026]]/SUM(BedPlan[[#This Row],[Harvest Days January 2025]:[Harvest Days December 2026]])*BedPlan[[#This Row],[Revenue]:[Revenue]]</f>
        <v>0</v>
      </c>
      <c r="DV91" s="257" cm="1">
        <f t="array" ref="DV91">BedPlan[[#This Row],[Harvest Days February 2026]]/SUM(BedPlan[[#This Row],[Harvest Days January 2025]:[Harvest Days December 2026]])*BedPlan[[#This Row],[Revenue]:[Revenue]]</f>
        <v>0</v>
      </c>
      <c r="DW91" s="257" cm="1">
        <f t="array" ref="DW91">BedPlan[[#This Row],[Harvest Days March 2026]]/SUM(BedPlan[[#This Row],[Harvest Days January 2025]:[Harvest Days December 2026]])*BedPlan[[#This Row],[Revenue]:[Revenue]]</f>
        <v>0</v>
      </c>
      <c r="DX91" s="257" cm="1">
        <f t="array" ref="DX91">BedPlan[[#This Row],[Harvest Days April 2026]]/SUM(BedPlan[[#This Row],[Harvest Days January 2025]:[Harvest Days December 2026]])*BedPlan[[#This Row],[Revenue]:[Revenue]]</f>
        <v>0</v>
      </c>
      <c r="DY91" s="257" cm="1">
        <f t="array" ref="DY91">BedPlan[[#This Row],[Harvest Days May 2026]]/SUM(BedPlan[[#This Row],[Harvest Days January 2025]:[Harvest Days December 2026]])*BedPlan[[#This Row],[Revenue]:[Revenue]]</f>
        <v>0</v>
      </c>
      <c r="DZ91" s="257" cm="1">
        <f t="array" ref="DZ91">BedPlan[[#This Row],[Harvest Days June 2026]]/SUM(BedPlan[[#This Row],[Harvest Days January 2025]:[Harvest Days December 2026]])*BedPlan[[#This Row],[Revenue]:[Revenue]]</f>
        <v>0</v>
      </c>
      <c r="EA91" s="257" cm="1">
        <f t="array" ref="EA91">BedPlan[[#This Row],[Harvest Days July 2026]]/SUM(BedPlan[[#This Row],[Harvest Days January 2025]:[Harvest Days December 2026]])*BedPlan[[#This Row],[Revenue]:[Revenue]]</f>
        <v>0</v>
      </c>
      <c r="EB91" s="257" cm="1">
        <f t="array" ref="EB91">BedPlan[[#This Row],[Harvest Days August 2026]]/SUM(BedPlan[[#This Row],[Harvest Days January 2025]:[Harvest Days December 2026]])*BedPlan[[#This Row],[Revenue]:[Revenue]]</f>
        <v>0</v>
      </c>
      <c r="EC91" s="257" cm="1">
        <f t="array" ref="EC91">BedPlan[[#This Row],[Harvest Days September 2026]]/SUM(BedPlan[[#This Row],[Harvest Days January 2025]:[Harvest Days December 2026]])*BedPlan[[#This Row],[Revenue]:[Revenue]]</f>
        <v>0</v>
      </c>
      <c r="ED91" s="257" cm="1">
        <f t="array" ref="ED91">BedPlan[[#This Row],[Harvest Days October 2026]]/SUM(BedPlan[[#This Row],[Harvest Days January 2025]:[Harvest Days December 2026]])*BedPlan[[#This Row],[Revenue]:[Revenue]]</f>
        <v>0</v>
      </c>
      <c r="EE91" s="257" cm="1">
        <f t="array" ref="EE91">BedPlan[[#This Row],[Harvest Days November 2026]]/SUM(BedPlan[[#This Row],[Harvest Days January 2025]:[Harvest Days December 2026]])*BedPlan[[#This Row],[Revenue]:[Revenue]]</f>
        <v>0</v>
      </c>
      <c r="EF91" s="257" cm="1">
        <f t="array" ref="EF91">BedPlan[[#This Row],[Harvest Days December 2026]]/SUM(BedPlan[[#This Row],[Harvest Days January 2025]:[Harvest Days December 2026]])*BedPlan[[#This Row],[Revenue]:[Revenue]]</f>
        <v>0</v>
      </c>
      <c r="EG91" t="b">
        <f>SUM(BedPlan[[#This Row],[Revenue January 2025]:[Revenue December 2026]])=BedPlan[[#This Row],[Revenue]]</f>
        <v>1</v>
      </c>
      <c r="EH91" s="30" cm="1">
        <f t="array" ref="EH91">INDEX(Crops[],BedPlan[[#This Row],[Chart Index]],EH$4,1)*BedPlan[[#This Row],['# Of Beds]]</f>
        <v>150</v>
      </c>
      <c r="EI91" s="30" t="str" cm="1">
        <f t="array" ref="EI91">INDEX(Crops[],BedPlan[[#This Row],[Chart Index]],EI$4,1)</f>
        <v>Bunch</v>
      </c>
      <c r="EJ91" s="30" t="str" cm="1">
        <f t="array" ref="EJ91">INDEX(Crops[],BedPlan[[#This Row],[Chart Index]],EJ$4,1)</f>
        <v>Young Bulb</v>
      </c>
      <c r="EK91" s="30" t="str">
        <f>BedPlan[[#This Row],[Name]]&amp;" "&amp;BedPlan[[#This Row],[Product]]&amp; " - " &amp;BedPlan[[#This Row],[Unit]]</f>
        <v>Onion Young Bulb - Bunch</v>
      </c>
      <c r="EL91" s="33" cm="1">
        <f t="array" ref="EL91">BedPlan[[#This Row],[Harvest Days January 2025]]/SUM(BedPlan[[#This Row],[Harvest Days January 2025]:[Harvest Days December 2026]])*BedPlan[[#This Row],[Yield]:[Yield]]</f>
        <v>0</v>
      </c>
      <c r="EM91" s="33" cm="1">
        <f t="array" ref="EM91">BedPlan[[#This Row],[Harvest Days February 2025]]/SUM(BedPlan[[#This Row],[Harvest Days January 2025]:[Harvest Days December 2026]])*BedPlan[[#This Row],[Yield]:[Yield]]</f>
        <v>0</v>
      </c>
      <c r="EN91" s="33" cm="1">
        <f t="array" ref="EN91">BedPlan[[#This Row],[Harvest Days March 2025]]/SUM(BedPlan[[#This Row],[Harvest Days January 2025]:[Harvest Days December 2026]])*BedPlan[[#This Row],[Yield]:[Yield]]</f>
        <v>0</v>
      </c>
      <c r="EO91" s="33" cm="1">
        <f t="array" ref="EO91">BedPlan[[#This Row],[Harvest Days April 2025]]/SUM(BedPlan[[#This Row],[Harvest Days January 2025]:[Harvest Days December 2026]])*BedPlan[[#This Row],[Yield]:[Yield]]</f>
        <v>0</v>
      </c>
      <c r="EP91" s="33" cm="1">
        <f t="array" ref="EP91">BedPlan[[#This Row],[Harvest Days May 2025]]/SUM(BedPlan[[#This Row],[Harvest Days January 2025]:[Harvest Days December 2026]])*BedPlan[[#This Row],[Yield]:[Yield]]</f>
        <v>0</v>
      </c>
      <c r="EQ91" s="33" cm="1">
        <f t="array" ref="EQ91">BedPlan[[#This Row],[Harvest Days June 2025]]/SUM(BedPlan[[#This Row],[Harvest Days January 2025]:[Harvest Days December 2026]])*BedPlan[[#This Row],[Yield]:[Yield]]</f>
        <v>13.157894736842104</v>
      </c>
      <c r="ER91" s="33" cm="1">
        <f t="array" ref="ER91">BedPlan[[#This Row],[Harvest Days July 2025]]/SUM(BedPlan[[#This Row],[Harvest Days January 2025]:[Harvest Days December 2026]])*BedPlan[[#This Row],[Yield]:[Yield]]</f>
        <v>81.578947368421055</v>
      </c>
      <c r="ES91" s="33" cm="1">
        <f t="array" ref="ES91">BedPlan[[#This Row],[Harvest Days August 2025]]/SUM(BedPlan[[#This Row],[Harvest Days January 2025]:[Harvest Days December 2026]])*BedPlan[[#This Row],[Yield]:[Yield]]</f>
        <v>55.263157894736842</v>
      </c>
      <c r="ET91" s="33" cm="1">
        <f t="array" ref="ET91">BedPlan[[#This Row],[Harvest Days September 2025]]/SUM(BedPlan[[#This Row],[Harvest Days January 2025]:[Harvest Days December 2026]])*BedPlan[[#This Row],[Yield]:[Yield]]</f>
        <v>0</v>
      </c>
      <c r="EU91" s="33" cm="1">
        <f t="array" ref="EU91">BedPlan[[#This Row],[Harvest Days October 2025]]/SUM(BedPlan[[#This Row],[Harvest Days January 2025]:[Harvest Days December 2026]])*BedPlan[[#This Row],[Yield]:[Yield]]</f>
        <v>0</v>
      </c>
      <c r="EV91" s="33" cm="1">
        <f t="array" ref="EV91">BedPlan[[#This Row],[Harvest Days November 2025]]/SUM(BedPlan[[#This Row],[Harvest Days January 2025]:[Harvest Days December 2026]])*BedPlan[[#This Row],[Yield]:[Yield]]</f>
        <v>0</v>
      </c>
      <c r="EW91" s="33" cm="1">
        <f t="array" ref="EW91">BedPlan[[#This Row],[Harvest Days December 2025]]/SUM(BedPlan[[#This Row],[Harvest Days January 2025]:[Harvest Days December 2026]])*BedPlan[[#This Row],[Yield]:[Yield]]</f>
        <v>0</v>
      </c>
    </row>
    <row r="92" spans="1:153" ht="15.75" customHeight="1">
      <c r="A92" s="192" t="s">
        <v>1748</v>
      </c>
      <c r="B92" t="s">
        <v>2656</v>
      </c>
      <c r="C92" t="s">
        <v>1764</v>
      </c>
      <c r="D92" cm="1">
        <f t="array" ref="D92">INDEX(Crops[],BedPlan[[#This Row],[Chart Index]],D$4,1)*BedPlan[[#This Row],[Full Bed Equivalent]]</f>
        <v>50</v>
      </c>
      <c r="E92" cm="1">
        <f t="array" ref="E92">INDEX(Crops[],BedPlan[[#This Row],[Chart Index]],E$4,1)*BedPlan[[#This Row],[Full Bed Equivalent]]</f>
        <v>900</v>
      </c>
      <c r="F92" t="str">
        <f>UPPER(LEFT(BedPlan[[#This Row],[Crop]],3))</f>
        <v>PAR</v>
      </c>
      <c r="H92" s="143" t="str" cm="1">
        <f t="array" ref="H92">INDEX(Crops[],BedPlan[[#This Row],[Chart Index]],H$4,1)</f>
        <v>Parsley</v>
      </c>
      <c r="I92" t="s">
        <v>1880</v>
      </c>
      <c r="K92" t="str" cm="1">
        <f t="array" ref="K92">IF(ISNUMBER(MATCH(BedPlan[[#This Row],[Variety]],SeedMixes[Name],)),_xlfn.TEXTJOIN(", ",TRUE,_xlfn._xlws.FILTER(SeedMixes[Variety &amp; Company],SeedMixes[Name]=BedPlan[[#This Row],[Variety]])),"")</f>
        <v>Einfache Schnitt 3 Adaptive, Giant of Italy Johnny's, Laica High Mowing, Moss Curled Wild Garden, Forest Green Adaptive</v>
      </c>
      <c r="L92" s="33" cm="1">
        <f t="array" ref="L92">INDEX(Crops[],BedPlan[[#This Row],[Chart Index]],L$4,1)*BedPlan[[#This Row],[Full Bed Equivalent]]</f>
        <v>780</v>
      </c>
      <c r="N92">
        <f>1</f>
        <v>1</v>
      </c>
      <c r="O92">
        <f>MAX(BedPlan[[#This Row],['# Of Beds]],0.5)</f>
        <v>1</v>
      </c>
      <c r="P92" s="31">
        <f>IF(ISNUMBER(BedPlan[[#This Row],[Planned Greenhouse Start Date]]),BedPlan[[#This Row],[Planned Greenhouse Start Date]],BedPlan[[#This Row],[Planned TP or DS Date]])</f>
        <v>45738</v>
      </c>
      <c r="Q92" s="259">
        <f>IF(BedPlan[[#This Row],[Days in Cells]]=0,"",IFERROR(_xlfn.XLOOKUP(BedPlan[[#This Row],[Follows Crop]],BedPlan[Identifier],BedPlan[Expected End of Harvest]) + 1+BedPlan[[#This Row],[Follow Offset]],BedPlan[[#This Row],[Fixed Field Start Date]])-BedPlan[[#This Row],[Days in Cells]])</f>
        <v>45738</v>
      </c>
      <c r="R92" s="259">
        <v>45748</v>
      </c>
      <c r="S92" s="259">
        <f>IF(ISNUMBER(BedPlan[[#This Row],[Actual Greenhouse Date]]),BedPlan[[#This Row],[Actual Greenhouse Date]],BedPlan[[#This Row],[Planned Greenhouse Start Date]])</f>
        <v>45748</v>
      </c>
      <c r="T92" s="259">
        <f>_xlfn.XLOOKUP(BedPlan[[#This Row],[Crop]],Crops[Identifier],Crops[Target Field Date])</f>
        <v>45773</v>
      </c>
      <c r="U92" s="260"/>
      <c r="V92" s="260"/>
      <c r="W9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92" s="259">
        <v>45813</v>
      </c>
      <c r="Y92" s="271">
        <f>BedPlan[[#This Row],[Actual TP or DS Date]]-BedPlan[[#This Row],[Planned TP or DS Date]]</f>
        <v>30</v>
      </c>
      <c r="Z92" s="259">
        <f>IF(ISNUMBER(BedPlan[[#This Row],[Actual TP or DS Date]]),BedPlan[[#This Row],[Actual TP or DS Date]],BedPlan[[#This Row],[Planned TP or DS Date]])</f>
        <v>45813</v>
      </c>
      <c r="AA92" s="260"/>
      <c r="AB92" s="259">
        <f>IF(ISNUMBER(BedPlan[[#This Row],[Greenhouse Start Date]]),BedPlan[[#This Row],[Greenhouse Start Date]]+BedPlan[[#This Row],[DTM]],BedPlan[[#This Row],[TP or DS Date]]+BedPlan[[#This Row],[DTM]])</f>
        <v>45823</v>
      </c>
      <c r="AC92" s="259"/>
      <c r="AD92" s="259">
        <f>IF(ISNUMBER(BedPlan[[#This Row],[Actual Beginning of Harvest]]),BedPlan[[#This Row],[Actual Beginning of Harvest]],BedPlan[[#This Row],[Expected Beginning of Harvest]])</f>
        <v>45823</v>
      </c>
      <c r="AE92" s="259">
        <f>BedPlan[[#This Row],[Expected Beginning of Harvest]]+BedPlan[[#This Row],[Harvest Window]]+BedPlan[[#This Row],[Additional Days of Harvest]]</f>
        <v>45942</v>
      </c>
      <c r="AF92" s="259"/>
      <c r="AG92" s="259"/>
      <c r="AH92" s="31" t="b">
        <f>IF(AND( BedPlan[[#This Row],[Expected End of Harvest]] &gt;= DATE(2025, 8, 1), BedPlan[[#This Row],[Beginning of Harvest]] &lt;= DATE(2025, 8, 31) ), TRUE, FALSE)</f>
        <v>1</v>
      </c>
      <c r="AI92" s="31"/>
      <c r="AJ92" s="31">
        <f>IF(ISNUMBER(BedPlan[[#This Row],[Actual End of Harvest]]),BedPlan[[#This Row],[Actual End of Harvest]],BedPlan[[#This Row],[Expected End of Harvest]])</f>
        <v>45942</v>
      </c>
      <c r="AK92" t="b">
        <f>OR(ISNUMBER(BedPlan[[#This Row],[Actual Greenhouse Date]]),ISNUMBER(BedPlan[[#This Row],[Actual TP or DS Date]]))</f>
        <v>1</v>
      </c>
      <c r="AL92" s="52" t="b">
        <f>IF(ISNUMBER(BedPlan[[#This Row],[Planned Greenhouse Start Date]]),OR(ISNUMBER(BedPlan[[#This Row],[Actual TP or DS Date]]),BedPlan[[#This Row],[Failed]]),"-")</f>
        <v>1</v>
      </c>
      <c r="AM92" t="b">
        <f>OR(ISNUMBER(BedPlan[[#This Row],[Actual End of Harvest]]),BedPlan[[#This Row],[Failed]])</f>
        <v>0</v>
      </c>
      <c r="AN92" t="b">
        <f>OR(BedPlan[[#This Row],[Harvest Done]],BedPlan[[#This Row],[Failed]],BedPlan[[#This Row],[Name]]="Tarp")</f>
        <v>0</v>
      </c>
      <c r="AP92" t="b">
        <v>1</v>
      </c>
      <c r="AQ92" t="s">
        <v>3214</v>
      </c>
      <c r="AS92" s="26" t="str">
        <f>IF(BedPlan[[#This Row],[Broadfork]],BedPlan[[#This Row],[Actual TP or DS Date]],"")</f>
        <v/>
      </c>
      <c r="AT92" s="26">
        <f>IF(BedPlan[[#This Row],[Tilther]],BedPlan[[#This Row],[Actual TP or DS Date]],"")</f>
        <v>45813</v>
      </c>
      <c r="AU92" s="26">
        <f>IF(NOT(ISBLANK(BedPlan[[#This Row],[Amend]])),BedPlan[[#This Row],[Actual TP or DS Date]],"")</f>
        <v>45813</v>
      </c>
      <c r="AV92" s="26" t="str">
        <f>IF(BedPlan[[#This Row],[Row Cover]],BedPlan[[#This Row],[Actual TP or DS Date]],"")</f>
        <v/>
      </c>
      <c r="AX92" s="26"/>
      <c r="AZ92" s="26"/>
      <c r="BB92" s="26"/>
      <c r="BC92" s="231" cm="1">
        <f t="array" ref="BC92">INDEX(Crops[],BedPlan[[#This Row],[Chart Index]],BC$4,1)*BedPlan[[#This Row],[Full Bed Equivalent]]</f>
        <v>2250</v>
      </c>
      <c r="BD92" s="231" cm="1">
        <f t="array" ref="BD92">INDEX(Crops[],BedPlan[[#This Row],[Chart Index]],BD$4,1)*BedPlan[[#This Row],[Full Bed Equivalent]]</f>
        <v>14.150943396226415</v>
      </c>
      <c r="BE92" cm="1">
        <f t="array" ref="BE92">INDEX(Crops[],BedPlan[[#This Row],[Chart Index]],BE$4,1)+BedPlan[[#This Row],[Additional Days in Cells]]+BedPlan[[#This Row],[Additional Days In Field]]</f>
        <v>75</v>
      </c>
      <c r="BG92" cm="1">
        <f t="array" ref="BG92">INDEX(Crops[],BedPlan[[#This Row],[Chart Index]],BG$4,1)</f>
        <v>119</v>
      </c>
      <c r="BH92" t="str">
        <f>IF(ISNUMBER(BedPlan[[#This Row],[Planned Greenhouse Start Date]]),"TP","DS")</f>
        <v>TP</v>
      </c>
      <c r="BI92">
        <f>BedPlan[[#This Row],['# Of Beds]]</f>
        <v>1</v>
      </c>
      <c r="BJ92" cm="1">
        <f t="array" ref="BJ92">INDEX(Crops[],BedPlan[[#This Row],[Chart Index]],BJ$4,1)</f>
        <v>35</v>
      </c>
      <c r="BK92" cm="1">
        <f t="array" ref="BK92">INDEX(Crops[],BedPlan[[#This Row],[Chart Index]],BK$4,1)</f>
        <v>3</v>
      </c>
      <c r="BL92" cm="1">
        <f t="array" ref="BL92">INDEX(Crops[],BedPlan[[#This Row],[Chart Index]],BL$4,1)</f>
        <v>9</v>
      </c>
      <c r="BM92" cm="1">
        <f t="array" ref="BM92">INDEX(Crops[],BedPlan[[#This Row],[Chart Index]],BM$4,1)</f>
        <v>3</v>
      </c>
      <c r="BN92" s="32" cm="1">
        <f t="array" ref="BN92">INDEX(Crops[],BedPlan[[#This Row],[Chart Index]],BN$4,1)*BedPlan[[#This Row],[Full Bed Equivalent]]</f>
        <v>200</v>
      </c>
      <c r="BO92" t="str" cm="1">
        <f t="array" ref="BO92">IF(INDEX(Crops[],BedPlan[[#This Row],[Chart Index]],BO$4,1)=0,"",INDEX(Crops[],BedPlan[[#This Row],[Chart Index]],BO$4,1))</f>
        <v/>
      </c>
      <c r="BP92">
        <f>MATCH(BedPlan[[#This Row],[Crop]],Crops[Identifier],FALSE)</f>
        <v>230</v>
      </c>
      <c r="BQ92" t="str" cm="1">
        <f t="array" ref="BQ92">INDEX(Crops[],BedPlan[[#This Row],[Chart Index]],BQ$4,1)</f>
        <v>General</v>
      </c>
      <c r="BR92" t="str" cm="1">
        <f t="array" ref="BR92">INDEX(Crops[],BedPlan[[#This Row],[Chart Index]],BR$4,1)</f>
        <v>Sp</v>
      </c>
      <c r="BS92" s="32">
        <f>BedPlan[[#This Row],[Expected Beginning of Harvest]]-DATE(2023,1,1)</f>
        <v>896</v>
      </c>
      <c r="BT92">
        <f>BedPlan[[#This Row],[Expected End of Harvest]]-BedPlan[[#This Row],[Expected Beginning of Harvest]]</f>
        <v>119</v>
      </c>
      <c r="BU92" t="str" cm="1">
        <f t="array" ref="BU92">INDEX(Crops[],BedPlan[[#This Row],[Chart Index]],BU$4,1)</f>
        <v>Herb</v>
      </c>
      <c r="BV92" cm="1">
        <f t="array" ref="BV92">INDEX(Crops[],BedPlan[[#This Row],[Chart Index]],BV$4,1)</f>
        <v>24</v>
      </c>
      <c r="BW92" t="str" cm="1">
        <f t="array" ref="BW92">INDEX(Crops[],BedPlan[[#This Row],[Chart Index]],BW$4,1)</f>
        <v>None</v>
      </c>
      <c r="BX92" cm="1">
        <f t="array" ref="BX92">INDEX(Crops[],BedPlan[[#This Row],[Chart Index]],BX$4,1)</f>
        <v>128</v>
      </c>
      <c r="BY92" cm="1">
        <f t="array" ref="BY92">INDEX(Crops[],BedPlan[[#This Row],[Chart Index]],BY$4,1)</f>
        <v>35</v>
      </c>
      <c r="BZ92" s="49" cm="1">
        <f t="array" ref="BZ92">IFERROR(INDEX(Crops[],BedPlan[[#This Row],[Chart Index]],BZ$4,1)*BedPlan[[#This Row],[Full Bed Equivalent]],"")</f>
        <v>2.03125</v>
      </c>
      <c r="CA92" cm="1">
        <f t="array" ref="CA92">INDEX(Crops[],BedPlan[[#This Row],[Chart Index]],CA$4,1)</f>
        <v>0</v>
      </c>
      <c r="CB92" cm="1">
        <f t="array" ref="CB92">INDEX(Crops[],BedPlan[[#This Row],[Chart Index]],CB$4,1)</f>
        <v>0</v>
      </c>
      <c r="CC92" s="49" cm="1">
        <f t="array" ref="CC92">IFERROR(INDEX(Crops[],BedPlan[[#This Row],[Chart Index]],CC$4,1)*BedPlan[[#This Row],[Full Bed Equivalent]],"")</f>
        <v>0</v>
      </c>
      <c r="CD92" cm="1">
        <f t="array" ref="CD92">INDEX(Crops[],BedPlan[[#This Row],[Chart Index]],CD$4,1)</f>
        <v>0</v>
      </c>
      <c r="CE92" cm="1">
        <f t="array" ref="CE92">IF(INDEX(Crops[],BedPlan[[#This Row],[Chart Index]],CE$4,1)="",0,INDEX(Crops[],BedPlan[[#This Row],[Chart Index]],CE$4,1))</f>
        <v>0</v>
      </c>
      <c r="CF92" s="49" t="str" cm="1">
        <f t="array" ref="CF92">IFERROR(INDEX(Crops[],BedPlan[[#This Row],[Chart Index]],CF$4,1)*BedPlan[[#This Row],[Full Bed Equivalent]],"")</f>
        <v/>
      </c>
      <c r="CG92" cm="1">
        <f t="array" ref="CG92">IF(INDEX(Crops[],BedPlan[[#This Row],[Chart Index]],CG$4,1)="",0,INDEX(Crops[],BedPlan[[#This Row],[Chart Index]],CG$4,1))</f>
        <v>1.3</v>
      </c>
      <c r="CH92" cm="1">
        <f t="array" ref="CH92">IF(INDEX(Crops[],BedPlan[[#This Row],[Chart Index]],CH$4,1)="",0,INDEX(Crops[],BedPlan[[#This Row],[Chart Index]],CH$4,1))</f>
        <v>24</v>
      </c>
      <c r="CI92" t="str" cm="1">
        <f t="array" ref="CI92">INDEX(Crops[],BedPlan[[#This Row],[Chart Index]],CI$4,1)</f>
        <v>Field</v>
      </c>
      <c r="CJ92" s="30" t="str">
        <f>_xlfn.TEXTJOIN(CHAR(10),FALSE,BedPlan[[#This Row],[Name]],BedPlan[[#This Row],[Variety]],BedPlan[[#This Row],[Company]])</f>
        <v xml:space="preserve">Parsley
Parsley Mix
</v>
      </c>
      <c r="CK92" s="32">
        <f>MAX( 0, MIN(BedPlan[[#This Row],[Expected End of Harvest]], EOMONTH(CK$4, 0)) - MAX(BedPlan[[#This Row],[Beginning of Harvest]], CK$4) + 1 )</f>
        <v>0</v>
      </c>
      <c r="CL92">
        <f>MAX( 0, MIN(BedPlan[[#This Row],[Expected End of Harvest]], EOMONTH(CL$4, 0)) - MAX(BedPlan[[#This Row],[Beginning of Harvest]], CL$4) + 1 )</f>
        <v>0</v>
      </c>
      <c r="CM92">
        <f>MAX( 0, MIN(BedPlan[[#This Row],[Expected End of Harvest]], EOMONTH(CM$4, 0)) - MAX(BedPlan[[#This Row],[Beginning of Harvest]], CM$4) + 1 )</f>
        <v>0</v>
      </c>
      <c r="CN92">
        <f>MAX( 0, MIN(BedPlan[[#This Row],[Expected End of Harvest]], EOMONTH(CN$4, 0)) - MAX(BedPlan[[#This Row],[Beginning of Harvest]], CN$4) + 1 )</f>
        <v>0</v>
      </c>
      <c r="CO92">
        <f>MAX( 0, MIN(BedPlan[[#This Row],[Expected End of Harvest]], EOMONTH(CO$4, 0)) - MAX(BedPlan[[#This Row],[Beginning of Harvest]], CO$4) + 1 )</f>
        <v>0</v>
      </c>
      <c r="CP92">
        <f>MAX( 0, MIN(BedPlan[[#This Row],[Expected End of Harvest]], EOMONTH(CP$4, 0)) - MAX(BedPlan[[#This Row],[Beginning of Harvest]], CP$4) + 1 )</f>
        <v>16</v>
      </c>
      <c r="CQ92">
        <f>MAX( 0, MIN(BedPlan[[#This Row],[Expected End of Harvest]], EOMONTH(CQ$4, 0)) - MAX(BedPlan[[#This Row],[Beginning of Harvest]], CQ$4) + 1 )</f>
        <v>31</v>
      </c>
      <c r="CR92">
        <f>MAX( 0, MIN(BedPlan[[#This Row],[Expected End of Harvest]], EOMONTH(CR$4, 0)) - MAX(BedPlan[[#This Row],[Beginning of Harvest]], CR$4) + 1 )</f>
        <v>31</v>
      </c>
      <c r="CS92">
        <f>MAX( 0, MIN(BedPlan[[#This Row],[Expected End of Harvest]], EOMONTH(CS$4, 0)) - MAX(BedPlan[[#This Row],[Beginning of Harvest]], CS$4) + 1 )</f>
        <v>30</v>
      </c>
      <c r="CT92">
        <f>MAX( 0, MIN(BedPlan[[#This Row],[Expected End of Harvest]], EOMONTH(CT$4, 0)) - MAX(BedPlan[[#This Row],[Beginning of Harvest]], CT$4) + 1 )</f>
        <v>12</v>
      </c>
      <c r="CU92">
        <f>MAX( 0, MIN(BedPlan[[#This Row],[Expected End of Harvest]], EOMONTH(CU$4, 0)) - MAX(BedPlan[[#This Row],[Beginning of Harvest]], CU$4) + 1 )</f>
        <v>0</v>
      </c>
      <c r="CV92">
        <f>MAX( 0, MIN(BedPlan[[#This Row],[Expected End of Harvest]], EOMONTH(CV$4, 0)) - MAX(BedPlan[[#This Row],[Beginning of Harvest]], CV$4) + 1 )</f>
        <v>0</v>
      </c>
      <c r="CW92">
        <f>MAX( 0, MIN(BedPlan[[#This Row],[Expected End of Harvest]], EOMONTH(CW$4, 0)) - MAX(BedPlan[[#This Row],[Beginning of Harvest]], CW$4) + 1 )</f>
        <v>0</v>
      </c>
      <c r="CX92">
        <f>MAX( 0, MIN(BedPlan[[#This Row],[Expected End of Harvest]], EOMONTH(CX$4, 0)) - MAX(BedPlan[[#This Row],[Beginning of Harvest]], CX$4) + 1 )</f>
        <v>0</v>
      </c>
      <c r="CY92">
        <f>MAX( 0, MIN(BedPlan[[#This Row],[Expected End of Harvest]], EOMONTH(CY$4, 0)) - MAX(BedPlan[[#This Row],[Beginning of Harvest]], CY$4) + 1 )</f>
        <v>0</v>
      </c>
      <c r="CZ92">
        <f>MAX( 0, MIN(BedPlan[[#This Row],[Expected End of Harvest]], EOMONTH(CZ$4, 0)) - MAX(BedPlan[[#This Row],[Beginning of Harvest]], CZ$4) + 1 )</f>
        <v>0</v>
      </c>
      <c r="DA92">
        <f>MAX( 0, MIN(BedPlan[[#This Row],[Expected End of Harvest]], EOMONTH(DA$4, 0)) - MAX(BedPlan[[#This Row],[Beginning of Harvest]], DA$4) + 1 )</f>
        <v>0</v>
      </c>
      <c r="DB92">
        <f>MAX( 0, MIN(BedPlan[[#This Row],[Expected End of Harvest]], EOMONTH(DB$4, 0)) - MAX(BedPlan[[#This Row],[Beginning of Harvest]], DB$4) + 1 )</f>
        <v>0</v>
      </c>
      <c r="DC92">
        <f>MAX( 0, MIN(BedPlan[[#This Row],[Expected End of Harvest]], EOMONTH(DC$4, 0)) - MAX(BedPlan[[#This Row],[Beginning of Harvest]], DC$4) + 1 )</f>
        <v>0</v>
      </c>
      <c r="DD92">
        <f>MAX( 0, MIN(BedPlan[[#This Row],[Expected End of Harvest]], EOMONTH(DD$4, 0)) - MAX(BedPlan[[#This Row],[Beginning of Harvest]], DD$4) + 1 )</f>
        <v>0</v>
      </c>
      <c r="DE92">
        <f>MAX( 0, MIN(BedPlan[[#This Row],[Expected End of Harvest]], EOMONTH(DE$4, 0)) - MAX(BedPlan[[#This Row],[Beginning of Harvest]], DE$4) + 1 )</f>
        <v>0</v>
      </c>
      <c r="DF92">
        <f>MAX( 0, MIN(BedPlan[[#This Row],[Expected End of Harvest]], EOMONTH(DF$4, 0)) - MAX(BedPlan[[#This Row],[Beginning of Harvest]], DF$4) + 1 )</f>
        <v>0</v>
      </c>
      <c r="DG92">
        <f>MAX( 0, MIN(BedPlan[[#This Row],[Expected End of Harvest]], EOMONTH(DG$4, 0)) - MAX(BedPlan[[#This Row],[Beginning of Harvest]], DG$4) + 1 )</f>
        <v>0</v>
      </c>
      <c r="DH92">
        <f>MAX( 0, MIN(BedPlan[[#This Row],[Expected End of Harvest]], EOMONTH(DH$4, 0)) - MAX(BedPlan[[#This Row],[Beginning of Harvest]], DH$4) + 1 )</f>
        <v>0</v>
      </c>
      <c r="DI92" s="257" cm="1">
        <f t="array" ref="DI92">BedPlan[[#This Row],[Harvest Days January 2025]]/SUM(BedPlan[[#This Row],[Harvest Days January 2025]:[Harvest Days December 2026]])*BedPlan[[#This Row],[Revenue]:[Revenue]]</f>
        <v>0</v>
      </c>
      <c r="DJ92" s="257" cm="1">
        <f t="array" ref="DJ92">BedPlan[[#This Row],[Harvest Days February 2025]]/SUM(BedPlan[[#This Row],[Harvest Days January 2025]:[Harvest Days December 2026]])*BedPlan[[#This Row],[Revenue]:[Revenue]]</f>
        <v>0</v>
      </c>
      <c r="DK92" s="257" cm="1">
        <f t="array" ref="DK92">BedPlan[[#This Row],[Harvest Days March 2025]]/SUM(BedPlan[[#This Row],[Harvest Days January 2025]:[Harvest Days December 2026]])*BedPlan[[#This Row],[Revenue]:[Revenue]]</f>
        <v>0</v>
      </c>
      <c r="DL92" s="257" cm="1">
        <f t="array" ref="DL92">BedPlan[[#This Row],[Harvest Days April 2025]]/SUM(BedPlan[[#This Row],[Harvest Days January 2025]:[Harvest Days December 2026]])*BedPlan[[#This Row],[Revenue]:[Revenue]]</f>
        <v>0</v>
      </c>
      <c r="DM92" s="257" cm="1">
        <f t="array" ref="DM92">BedPlan[[#This Row],[Harvest Days May 2025]]/SUM(BedPlan[[#This Row],[Harvest Days January 2025]:[Harvest Days December 2026]])*BedPlan[[#This Row],[Revenue]:[Revenue]]</f>
        <v>0</v>
      </c>
      <c r="DN92" s="257" cm="1">
        <f t="array" ref="DN92">BedPlan[[#This Row],[Harvest Days June 2025]]/SUM(BedPlan[[#This Row],[Harvest Days January 2025]:[Harvest Days December 2026]])*BedPlan[[#This Row],[Revenue]:[Revenue]]</f>
        <v>300</v>
      </c>
      <c r="DO92" s="257" cm="1">
        <f t="array" ref="DO92">BedPlan[[#This Row],[Harvest Days July 2025]]/SUM(BedPlan[[#This Row],[Harvest Days January 2025]:[Harvest Days December 2026]])*BedPlan[[#This Row],[Revenue]:[Revenue]]</f>
        <v>581.25000000000011</v>
      </c>
      <c r="DP92" s="257" cm="1">
        <f t="array" ref="DP92">BedPlan[[#This Row],[Harvest Days August 2025]]/SUM(BedPlan[[#This Row],[Harvest Days January 2025]:[Harvest Days December 2026]])*BedPlan[[#This Row],[Revenue]:[Revenue]]</f>
        <v>581.25000000000011</v>
      </c>
      <c r="DQ92" s="257" cm="1">
        <f t="array" ref="DQ92">BedPlan[[#This Row],[Harvest Days September 2025]]/SUM(BedPlan[[#This Row],[Harvest Days January 2025]:[Harvest Days December 2026]])*BedPlan[[#This Row],[Revenue]:[Revenue]]</f>
        <v>562.5</v>
      </c>
      <c r="DR92" s="257" cm="1">
        <f t="array" ref="DR92">BedPlan[[#This Row],[Harvest Days October 2025]]/SUM(BedPlan[[#This Row],[Harvest Days January 2025]:[Harvest Days December 2026]])*BedPlan[[#This Row],[Revenue]:[Revenue]]</f>
        <v>225</v>
      </c>
      <c r="DS92" s="257" cm="1">
        <f t="array" ref="DS92">BedPlan[[#This Row],[Harvest Days November 2025]]/SUM(BedPlan[[#This Row],[Harvest Days January 2025]:[Harvest Days December 2026]])*BedPlan[[#This Row],[Revenue]:[Revenue]]</f>
        <v>0</v>
      </c>
      <c r="DT92" s="257" cm="1">
        <f t="array" ref="DT92">BedPlan[[#This Row],[Harvest Days December 2025]]/SUM(BedPlan[[#This Row],[Harvest Days January 2025]:[Harvest Days December 2026]])*BedPlan[[#This Row],[Revenue]:[Revenue]]</f>
        <v>0</v>
      </c>
      <c r="DU92" s="257" cm="1">
        <f t="array" ref="DU92">BedPlan[[#This Row],[Harvest Days January 2026]]/SUM(BedPlan[[#This Row],[Harvest Days January 2025]:[Harvest Days December 2026]])*BedPlan[[#This Row],[Revenue]:[Revenue]]</f>
        <v>0</v>
      </c>
      <c r="DV92" s="257" cm="1">
        <f t="array" ref="DV92">BedPlan[[#This Row],[Harvest Days February 2026]]/SUM(BedPlan[[#This Row],[Harvest Days January 2025]:[Harvest Days December 2026]])*BedPlan[[#This Row],[Revenue]:[Revenue]]</f>
        <v>0</v>
      </c>
      <c r="DW92" s="257" cm="1">
        <f t="array" ref="DW92">BedPlan[[#This Row],[Harvest Days March 2026]]/SUM(BedPlan[[#This Row],[Harvest Days January 2025]:[Harvest Days December 2026]])*BedPlan[[#This Row],[Revenue]:[Revenue]]</f>
        <v>0</v>
      </c>
      <c r="DX92" s="257" cm="1">
        <f t="array" ref="DX92">BedPlan[[#This Row],[Harvest Days April 2026]]/SUM(BedPlan[[#This Row],[Harvest Days January 2025]:[Harvest Days December 2026]])*BedPlan[[#This Row],[Revenue]:[Revenue]]</f>
        <v>0</v>
      </c>
      <c r="DY92" s="257" cm="1">
        <f t="array" ref="DY92">BedPlan[[#This Row],[Harvest Days May 2026]]/SUM(BedPlan[[#This Row],[Harvest Days January 2025]:[Harvest Days December 2026]])*BedPlan[[#This Row],[Revenue]:[Revenue]]</f>
        <v>0</v>
      </c>
      <c r="DZ92" s="257" cm="1">
        <f t="array" ref="DZ92">BedPlan[[#This Row],[Harvest Days June 2026]]/SUM(BedPlan[[#This Row],[Harvest Days January 2025]:[Harvest Days December 2026]])*BedPlan[[#This Row],[Revenue]:[Revenue]]</f>
        <v>0</v>
      </c>
      <c r="EA92" s="257" cm="1">
        <f t="array" ref="EA92">BedPlan[[#This Row],[Harvest Days July 2026]]/SUM(BedPlan[[#This Row],[Harvest Days January 2025]:[Harvest Days December 2026]])*BedPlan[[#This Row],[Revenue]:[Revenue]]</f>
        <v>0</v>
      </c>
      <c r="EB92" s="257" cm="1">
        <f t="array" ref="EB92">BedPlan[[#This Row],[Harvest Days August 2026]]/SUM(BedPlan[[#This Row],[Harvest Days January 2025]:[Harvest Days December 2026]])*BedPlan[[#This Row],[Revenue]:[Revenue]]</f>
        <v>0</v>
      </c>
      <c r="EC92" s="257" cm="1">
        <f t="array" ref="EC92">BedPlan[[#This Row],[Harvest Days September 2026]]/SUM(BedPlan[[#This Row],[Harvest Days January 2025]:[Harvest Days December 2026]])*BedPlan[[#This Row],[Revenue]:[Revenue]]</f>
        <v>0</v>
      </c>
      <c r="ED92" s="257" cm="1">
        <f t="array" ref="ED92">BedPlan[[#This Row],[Harvest Days October 2026]]/SUM(BedPlan[[#This Row],[Harvest Days January 2025]:[Harvest Days December 2026]])*BedPlan[[#This Row],[Revenue]:[Revenue]]</f>
        <v>0</v>
      </c>
      <c r="EE92" s="257" cm="1">
        <f t="array" ref="EE92">BedPlan[[#This Row],[Harvest Days November 2026]]/SUM(BedPlan[[#This Row],[Harvest Days January 2025]:[Harvest Days December 2026]])*BedPlan[[#This Row],[Revenue]:[Revenue]]</f>
        <v>0</v>
      </c>
      <c r="EF92" s="257" cm="1">
        <f t="array" ref="EF92">BedPlan[[#This Row],[Harvest Days December 2026]]/SUM(BedPlan[[#This Row],[Harvest Days January 2025]:[Harvest Days December 2026]])*BedPlan[[#This Row],[Revenue]:[Revenue]]</f>
        <v>0</v>
      </c>
      <c r="EG92" t="b">
        <f>SUM(BedPlan[[#This Row],[Revenue January 2025]:[Revenue December 2026]])=BedPlan[[#This Row],[Revenue]]</f>
        <v>1</v>
      </c>
      <c r="EH92" s="30" cm="1">
        <f t="array" ref="EH92">INDEX(Crops[],BedPlan[[#This Row],[Chart Index]],EH$4,1)*BedPlan[[#This Row],['# Of Beds]]</f>
        <v>900</v>
      </c>
      <c r="EI92" s="30" t="str" cm="1">
        <f t="array" ref="EI92">INDEX(Crops[],BedPlan[[#This Row],[Chart Index]],EI$4,1)</f>
        <v>Bunch</v>
      </c>
      <c r="EJ92" s="30" t="str" cm="1">
        <f t="array" ref="EJ92">INDEX(Crops[],BedPlan[[#This Row],[Chart Index]],EJ$4,1)</f>
        <v>Mature Leaf</v>
      </c>
      <c r="EK92" s="30" t="str">
        <f>BedPlan[[#This Row],[Name]]&amp;" "&amp;BedPlan[[#This Row],[Product]]&amp; " - " &amp;BedPlan[[#This Row],[Unit]]</f>
        <v>Parsley Mature Leaf - Bunch</v>
      </c>
      <c r="EL92" s="33" cm="1">
        <f t="array" ref="EL92">BedPlan[[#This Row],[Harvest Days January 2025]]/SUM(BedPlan[[#This Row],[Harvest Days January 2025]:[Harvest Days December 2026]])*BedPlan[[#This Row],[Yield]:[Yield]]</f>
        <v>0</v>
      </c>
      <c r="EM92" s="33" cm="1">
        <f t="array" ref="EM92">BedPlan[[#This Row],[Harvest Days February 2025]]/SUM(BedPlan[[#This Row],[Harvest Days January 2025]:[Harvest Days December 2026]])*BedPlan[[#This Row],[Yield]:[Yield]]</f>
        <v>0</v>
      </c>
      <c r="EN92" s="33" cm="1">
        <f t="array" ref="EN92">BedPlan[[#This Row],[Harvest Days March 2025]]/SUM(BedPlan[[#This Row],[Harvest Days January 2025]:[Harvest Days December 2026]])*BedPlan[[#This Row],[Yield]:[Yield]]</f>
        <v>0</v>
      </c>
      <c r="EO92" s="33" cm="1">
        <f t="array" ref="EO92">BedPlan[[#This Row],[Harvest Days April 2025]]/SUM(BedPlan[[#This Row],[Harvest Days January 2025]:[Harvest Days December 2026]])*BedPlan[[#This Row],[Yield]:[Yield]]</f>
        <v>0</v>
      </c>
      <c r="EP92" s="33" cm="1">
        <f t="array" ref="EP92">BedPlan[[#This Row],[Harvest Days May 2025]]/SUM(BedPlan[[#This Row],[Harvest Days January 2025]:[Harvest Days December 2026]])*BedPlan[[#This Row],[Yield]:[Yield]]</f>
        <v>0</v>
      </c>
      <c r="EQ92" s="33" cm="1">
        <f t="array" ref="EQ92">BedPlan[[#This Row],[Harvest Days June 2025]]/SUM(BedPlan[[#This Row],[Harvest Days January 2025]:[Harvest Days December 2026]])*BedPlan[[#This Row],[Yield]:[Yield]]</f>
        <v>120</v>
      </c>
      <c r="ER92" s="33" cm="1">
        <f t="array" ref="ER92">BedPlan[[#This Row],[Harvest Days July 2025]]/SUM(BedPlan[[#This Row],[Harvest Days January 2025]:[Harvest Days December 2026]])*BedPlan[[#This Row],[Yield]:[Yield]]</f>
        <v>232.50000000000003</v>
      </c>
      <c r="ES92" s="33" cm="1">
        <f t="array" ref="ES92">BedPlan[[#This Row],[Harvest Days August 2025]]/SUM(BedPlan[[#This Row],[Harvest Days January 2025]:[Harvest Days December 2026]])*BedPlan[[#This Row],[Yield]:[Yield]]</f>
        <v>232.50000000000003</v>
      </c>
      <c r="ET92" s="33" cm="1">
        <f t="array" ref="ET92">BedPlan[[#This Row],[Harvest Days September 2025]]/SUM(BedPlan[[#This Row],[Harvest Days January 2025]:[Harvest Days December 2026]])*BedPlan[[#This Row],[Yield]:[Yield]]</f>
        <v>225</v>
      </c>
      <c r="EU92" s="33" cm="1">
        <f t="array" ref="EU92">BedPlan[[#This Row],[Harvest Days October 2025]]/SUM(BedPlan[[#This Row],[Harvest Days January 2025]:[Harvest Days December 2026]])*BedPlan[[#This Row],[Yield]:[Yield]]</f>
        <v>90</v>
      </c>
      <c r="EV92" s="33" cm="1">
        <f t="array" ref="EV92">BedPlan[[#This Row],[Harvest Days November 2025]]/SUM(BedPlan[[#This Row],[Harvest Days January 2025]:[Harvest Days December 2026]])*BedPlan[[#This Row],[Yield]:[Yield]]</f>
        <v>0</v>
      </c>
      <c r="EW92" s="33" cm="1">
        <f t="array" ref="EW92">BedPlan[[#This Row],[Harvest Days December 2025]]/SUM(BedPlan[[#This Row],[Harvest Days January 2025]:[Harvest Days December 2026]])*BedPlan[[#This Row],[Yield]:[Yield]]</f>
        <v>0</v>
      </c>
    </row>
    <row r="93" spans="1:153" ht="15.75" customHeight="1">
      <c r="A93" s="28" t="s">
        <v>2609</v>
      </c>
      <c r="B93" t="s">
        <v>2658</v>
      </c>
      <c r="C93" t="s">
        <v>1489</v>
      </c>
      <c r="D93" cm="1">
        <f t="array" ref="D93">INDEX(Crops[],BedPlan[[#This Row],[Chart Index]],D$4,1)*BedPlan[[#This Row],[Full Bed Equivalent]]</f>
        <v>25</v>
      </c>
      <c r="E93" cm="1">
        <f t="array" ref="E93">INDEX(Crops[],BedPlan[[#This Row],[Chart Index]],E$4,1)*BedPlan[[#This Row],[Full Bed Equivalent]]</f>
        <v>100</v>
      </c>
      <c r="F93" t="str">
        <f>UPPER(LEFT(BedPlan[[#This Row],[Crop]],3))</f>
        <v>PEA</v>
      </c>
      <c r="H93" s="143" t="str" cm="1">
        <f t="array" ref="H93">INDEX(Crops[],BedPlan[[#This Row],[Chart Index]],H$4,1)</f>
        <v>Peas</v>
      </c>
      <c r="I93" t="s">
        <v>2859</v>
      </c>
      <c r="K93" t="str" cm="1">
        <f t="array" ref="K93">IF(ISNUMBER(MATCH(BedPlan[[#This Row],[Variety]],SeedMixes[Name],)),_xlfn.TEXTJOIN(", ",TRUE,_xlfn._xlws.FILTER(SeedMixes[Variety &amp; Company],SeedMixes[Name]=BedPlan[[#This Row],[Variety]])),"")</f>
        <v>Super Sugar Snap Johnny's, Cascadia OG Territorial, SS 141 Osborne</v>
      </c>
      <c r="L93" s="33" cm="1">
        <f t="array" ref="L93">INDEX(Crops[],BedPlan[[#This Row],[Chart Index]],L$4,1)*BedPlan[[#This Row],[Full Bed Equivalent]]</f>
        <v>1040</v>
      </c>
      <c r="N93">
        <v>2</v>
      </c>
      <c r="O93">
        <f>MAX(BedPlan[[#This Row],['# Of Beds]],0.5)</f>
        <v>2</v>
      </c>
      <c r="P93" s="31">
        <f>IF(ISNUMBER(BedPlan[[#This Row],[Planned Greenhouse Start Date]]),BedPlan[[#This Row],[Planned Greenhouse Start Date]],BedPlan[[#This Row],[Planned TP or DS Date]])</f>
        <v>45718</v>
      </c>
      <c r="Q93" s="259">
        <f>IF(BedPlan[[#This Row],[Days in Cells]]=0,"",IFERROR(_xlfn.XLOOKUP(BedPlan[[#This Row],[Follows Crop]],BedPlan[Identifier],BedPlan[Expected End of Harvest]) + 1+BedPlan[[#This Row],[Follow Offset]],BedPlan[[#This Row],[Fixed Field Start Date]])-BedPlan[[#This Row],[Days in Cells]])</f>
        <v>45718</v>
      </c>
      <c r="R93" s="259">
        <v>45737</v>
      </c>
      <c r="S93" s="259">
        <f>IF(ISNUMBER(BedPlan[[#This Row],[Actual Greenhouse Date]]),BedPlan[[#This Row],[Actual Greenhouse Date]],BedPlan[[#This Row],[Planned Greenhouse Start Date]])</f>
        <v>45737</v>
      </c>
      <c r="T93" s="259">
        <f>_xlfn.XLOOKUP(BedPlan[[#This Row],[Crop]],Crops[Identifier],Crops[Target Field Date])</f>
        <v>45739</v>
      </c>
      <c r="U93" s="260"/>
      <c r="V93" s="260"/>
      <c r="W9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45758</v>
      </c>
      <c r="X93" s="259">
        <v>45749</v>
      </c>
      <c r="Y93" s="271">
        <f>BedPlan[[#This Row],[Actual TP or DS Date]]-BedPlan[[#This Row],[Planned TP or DS Date]]</f>
        <v>-9</v>
      </c>
      <c r="Z93" s="259">
        <f>IF(ISNUMBER(BedPlan[[#This Row],[Actual TP or DS Date]]),BedPlan[[#This Row],[Actual TP or DS Date]],BedPlan[[#This Row],[Planned TP or DS Date]])</f>
        <v>45749</v>
      </c>
      <c r="AA93" s="260"/>
      <c r="AB93" s="259">
        <f>IF(ISNUMBER(BedPlan[[#This Row],[Greenhouse Start Date]]),BedPlan[[#This Row],[Greenhouse Start Date]]+BedPlan[[#This Row],[DTM]],BedPlan[[#This Row],[TP or DS Date]]+BedPlan[[#This Row],[DTM]])</f>
        <v>45817</v>
      </c>
      <c r="AC93" s="259"/>
      <c r="AD93" s="259">
        <f>IF(ISNUMBER(BedPlan[[#This Row],[Actual Beginning of Harvest]]),BedPlan[[#This Row],[Actual Beginning of Harvest]],BedPlan[[#This Row],[Expected Beginning of Harvest]])</f>
        <v>45817</v>
      </c>
      <c r="AE93" s="259">
        <f>BedPlan[[#This Row],[Expected Beginning of Harvest]]+BedPlan[[#This Row],[Harvest Window]]+BedPlan[[#This Row],[Additional Days of Harvest]]</f>
        <v>45850</v>
      </c>
      <c r="AF93" s="259"/>
      <c r="AG93" s="259"/>
      <c r="AH93" s="31" t="b">
        <f>IF(AND( BedPlan[[#This Row],[Expected End of Harvest]] &gt;= DATE(2025, 8, 1), BedPlan[[#This Row],[Beginning of Harvest]] &lt;= DATE(2025, 8, 31) ), TRUE, FALSE)</f>
        <v>0</v>
      </c>
      <c r="AI93" s="31"/>
      <c r="AJ93" s="31">
        <f>IF(ISNUMBER(BedPlan[[#This Row],[Actual End of Harvest]]),BedPlan[[#This Row],[Actual End of Harvest]],BedPlan[[#This Row],[Expected End of Harvest]])</f>
        <v>45850</v>
      </c>
      <c r="AK93" t="b">
        <f>OR(ISNUMBER(BedPlan[[#This Row],[Actual Greenhouse Date]]),ISNUMBER(BedPlan[[#This Row],[Actual TP or DS Date]]))</f>
        <v>1</v>
      </c>
      <c r="AL93" s="52" t="b">
        <f>IF(ISNUMBER(BedPlan[[#This Row],[Planned Greenhouse Start Date]]),OR(ISNUMBER(BedPlan[[#This Row],[Actual TP or DS Date]]),BedPlan[[#This Row],[Failed]]),"-")</f>
        <v>1</v>
      </c>
      <c r="AM93" t="b">
        <f>OR(ISNUMBER(BedPlan[[#This Row],[Actual End of Harvest]]),BedPlan[[#This Row],[Failed]])</f>
        <v>0</v>
      </c>
      <c r="AN93" t="b">
        <f>OR(BedPlan[[#This Row],[Harvest Done]],BedPlan[[#This Row],[Failed]],BedPlan[[#This Row],[Name]]="Tarp")</f>
        <v>0</v>
      </c>
      <c r="AQ93" t="s">
        <v>3214</v>
      </c>
      <c r="AR93" t="b">
        <v>1</v>
      </c>
      <c r="AS93" s="26" t="str">
        <f>IF(BedPlan[[#This Row],[Broadfork]],BedPlan[[#This Row],[Actual TP or DS Date]],"")</f>
        <v/>
      </c>
      <c r="AT93" s="26" t="str">
        <f>IF(BedPlan[[#This Row],[Tilther]],BedPlan[[#This Row],[Actual TP or DS Date]],"")</f>
        <v/>
      </c>
      <c r="AU93" s="26">
        <f>IF(NOT(ISBLANK(BedPlan[[#This Row],[Amend]])),BedPlan[[#This Row],[Actual TP or DS Date]],"")</f>
        <v>45749</v>
      </c>
      <c r="AV93" s="26">
        <f>IF(BedPlan[[#This Row],[Row Cover]],BedPlan[[#This Row],[Actual TP or DS Date]],"")</f>
        <v>45749</v>
      </c>
      <c r="AW93" t="s">
        <v>3239</v>
      </c>
      <c r="AX93" s="26">
        <v>45758</v>
      </c>
      <c r="AY93" t="s">
        <v>3240</v>
      </c>
      <c r="AZ93" s="26">
        <v>45830</v>
      </c>
      <c r="BB93" s="26"/>
      <c r="BC93" s="231" cm="1">
        <f t="array" ref="BC93">INDEX(Crops[],BedPlan[[#This Row],[Chart Index]],BC$4,1)*BedPlan[[#This Row],[Full Bed Equivalent]]</f>
        <v>475</v>
      </c>
      <c r="BD93" s="231" cm="1">
        <f t="array" ref="BD93">INDEX(Crops[],BedPlan[[#This Row],[Chart Index]],BD$4,1)*BedPlan[[#This Row],[Full Bed Equivalent]]</f>
        <v>5.1630434782608692</v>
      </c>
      <c r="BE93" cm="1">
        <f t="array" ref="BE93">INDEX(Crops[],BedPlan[[#This Row],[Chart Index]],BE$4,1)+BedPlan[[#This Row],[Additional Days in Cells]]+BedPlan[[#This Row],[Additional Days In Field]]</f>
        <v>80</v>
      </c>
      <c r="BG93" cm="1">
        <f t="array" ref="BG93">INDEX(Crops[],BedPlan[[#This Row],[Chart Index]],BG$4,1)</f>
        <v>33</v>
      </c>
      <c r="BH93" t="str">
        <f>IF(ISNUMBER(BedPlan[[#This Row],[Planned Greenhouse Start Date]]),"TP","DS")</f>
        <v>TP</v>
      </c>
      <c r="BI93">
        <f>BedPlan[[#This Row],['# Of Beds]]</f>
        <v>2</v>
      </c>
      <c r="BJ93" cm="1">
        <f t="array" ref="BJ93">INDEX(Crops[],BedPlan[[#This Row],[Chart Index]],BJ$4,1)</f>
        <v>21</v>
      </c>
      <c r="BK93" cm="1">
        <f t="array" ref="BK93">INDEX(Crops[],BedPlan[[#This Row],[Chart Index]],BK$4,1)</f>
        <v>2</v>
      </c>
      <c r="BL93" cm="1">
        <f t="array" ref="BL93">INDEX(Crops[],BedPlan[[#This Row],[Chart Index]],BL$4,1)</f>
        <v>9</v>
      </c>
      <c r="BM93" cm="1">
        <f t="array" ref="BM93">INDEX(Crops[],BedPlan[[#This Row],[Chart Index]],BM$4,1)</f>
        <v>3</v>
      </c>
      <c r="BN93" s="32" cm="1">
        <f t="array" ref="BN93">INDEX(Crops[],BedPlan[[#This Row],[Chart Index]],BN$4,1)*BedPlan[[#This Row],[Full Bed Equivalent]]</f>
        <v>266.66666666666663</v>
      </c>
      <c r="BO93" t="str" cm="1">
        <f t="array" ref="BO93">IF(INDEX(Crops[],BedPlan[[#This Row],[Chart Index]],BO$4,1)=0,"",INDEX(Crops[],BedPlan[[#This Row],[Chart Index]],BO$4,1))</f>
        <v/>
      </c>
      <c r="BP93">
        <f>MATCH(BedPlan[[#This Row],[Crop]],Crops[Identifier],FALSE)</f>
        <v>238</v>
      </c>
      <c r="BQ93" t="str" cm="1">
        <f t="array" ref="BQ93">INDEX(Crops[],BedPlan[[#This Row],[Chart Index]],BQ$4,1)</f>
        <v>Snap</v>
      </c>
      <c r="BR93" t="str" cm="1">
        <f t="array" ref="BR93">INDEX(Crops[],BedPlan[[#This Row],[Chart Index]],BR$4,1)</f>
        <v>SpSu</v>
      </c>
      <c r="BS93" s="32">
        <f>BedPlan[[#This Row],[Expected Beginning of Harvest]]-DATE(2023,1,1)</f>
        <v>890</v>
      </c>
      <c r="BT93">
        <f>BedPlan[[#This Row],[Expected End of Harvest]]-BedPlan[[#This Row],[Expected Beginning of Harvest]]</f>
        <v>33</v>
      </c>
      <c r="BU93" cm="1">
        <f t="array" ref="BU93">INDEX(Crops[],BedPlan[[#This Row],[Chart Index]],BU$4,1)</f>
        <v>0</v>
      </c>
      <c r="BV93" cm="1">
        <f t="array" ref="BV93">INDEX(Crops[],BedPlan[[#This Row],[Chart Index]],BV$4,1)</f>
        <v>0</v>
      </c>
      <c r="BW93" cm="1">
        <f t="array" ref="BW93">INDEX(Crops[],BedPlan[[#This Row],[Chart Index]],BW$4,1)</f>
        <v>0</v>
      </c>
      <c r="BX93" cm="1">
        <f t="array" ref="BX93">INDEX(Crops[],BedPlan[[#This Row],[Chart Index]],BX$4,1)</f>
        <v>128</v>
      </c>
      <c r="BY93" cm="1">
        <f t="array" ref="BY93">INDEX(Crops[],BedPlan[[#This Row],[Chart Index]],BY$4,1)</f>
        <v>21</v>
      </c>
      <c r="BZ93" s="49" cm="1">
        <f t="array" ref="BZ93">IFERROR(INDEX(Crops[],BedPlan[[#This Row],[Chart Index]],BZ$4,1)*BedPlan[[#This Row],[Full Bed Equivalent]],"")</f>
        <v>2.708333333333333</v>
      </c>
      <c r="CA93" cm="1">
        <f t="array" ref="CA93">INDEX(Crops[],BedPlan[[#This Row],[Chart Index]],CA$4,1)</f>
        <v>0</v>
      </c>
      <c r="CB93" cm="1">
        <f t="array" ref="CB93">INDEX(Crops[],BedPlan[[#This Row],[Chart Index]],CB$4,1)</f>
        <v>0</v>
      </c>
      <c r="CC93" s="49" t="str" cm="1">
        <f t="array" ref="CC93">IFERROR(INDEX(Crops[],BedPlan[[#This Row],[Chart Index]],CC$4,1)*BedPlan[[#This Row],[Full Bed Equivalent]],"")</f>
        <v/>
      </c>
      <c r="CD93" cm="1">
        <f t="array" ref="CD93">INDEX(Crops[],BedPlan[[#This Row],[Chart Index]],CD$4,1)</f>
        <v>0</v>
      </c>
      <c r="CE93" cm="1">
        <f t="array" ref="CE93">IF(INDEX(Crops[],BedPlan[[#This Row],[Chart Index]],CE$4,1)="",0,INDEX(Crops[],BedPlan[[#This Row],[Chart Index]],CE$4,1))</f>
        <v>0</v>
      </c>
      <c r="CF93" s="49" t="str" cm="1">
        <f t="array" ref="CF93">IFERROR(INDEX(Crops[],BedPlan[[#This Row],[Chart Index]],CF$4,1)*BedPlan[[#This Row],[Full Bed Equivalent]],"")</f>
        <v/>
      </c>
      <c r="CG93" cm="1">
        <f t="array" ref="CG93">IF(INDEX(Crops[],BedPlan[[#This Row],[Chart Index]],CG$4,1)="",0,INDEX(Crops[],BedPlan[[#This Row],[Chart Index]],CG$4,1))</f>
        <v>1.3</v>
      </c>
      <c r="CH93" cm="1">
        <f t="array" ref="CH93">IF(INDEX(Crops[],BedPlan[[#This Row],[Chart Index]],CH$4,1)="",0,INDEX(Crops[],BedPlan[[#This Row],[Chart Index]],CH$4,1))</f>
        <v>0</v>
      </c>
      <c r="CI93" t="str" cm="1">
        <f t="array" ref="CI93">INDEX(Crops[],BedPlan[[#This Row],[Chart Index]],CI$4,1)</f>
        <v>Field</v>
      </c>
      <c r="CJ93" s="30" t="str">
        <f>_xlfn.TEXTJOIN(CHAR(10),FALSE,BedPlan[[#This Row],[Name]],BedPlan[[#This Row],[Variety]],BedPlan[[#This Row],[Company]])</f>
        <v xml:space="preserve">Peas
Snap Pea Mix
</v>
      </c>
      <c r="CK93" s="32">
        <f>MAX( 0, MIN(BedPlan[[#This Row],[Expected End of Harvest]], EOMONTH(CK$4, 0)) - MAX(BedPlan[[#This Row],[Beginning of Harvest]], CK$4) + 1 )</f>
        <v>0</v>
      </c>
      <c r="CL93">
        <f>MAX( 0, MIN(BedPlan[[#This Row],[Expected End of Harvest]], EOMONTH(CL$4, 0)) - MAX(BedPlan[[#This Row],[Beginning of Harvest]], CL$4) + 1 )</f>
        <v>0</v>
      </c>
      <c r="CM93">
        <f>MAX( 0, MIN(BedPlan[[#This Row],[Expected End of Harvest]], EOMONTH(CM$4, 0)) - MAX(BedPlan[[#This Row],[Beginning of Harvest]], CM$4) + 1 )</f>
        <v>0</v>
      </c>
      <c r="CN93">
        <f>MAX( 0, MIN(BedPlan[[#This Row],[Expected End of Harvest]], EOMONTH(CN$4, 0)) - MAX(BedPlan[[#This Row],[Beginning of Harvest]], CN$4) + 1 )</f>
        <v>0</v>
      </c>
      <c r="CO93">
        <f>MAX( 0, MIN(BedPlan[[#This Row],[Expected End of Harvest]], EOMONTH(CO$4, 0)) - MAX(BedPlan[[#This Row],[Beginning of Harvest]], CO$4) + 1 )</f>
        <v>0</v>
      </c>
      <c r="CP93">
        <f>MAX( 0, MIN(BedPlan[[#This Row],[Expected End of Harvest]], EOMONTH(CP$4, 0)) - MAX(BedPlan[[#This Row],[Beginning of Harvest]], CP$4) + 1 )</f>
        <v>22</v>
      </c>
      <c r="CQ93">
        <f>MAX( 0, MIN(BedPlan[[#This Row],[Expected End of Harvest]], EOMONTH(CQ$4, 0)) - MAX(BedPlan[[#This Row],[Beginning of Harvest]], CQ$4) + 1 )</f>
        <v>12</v>
      </c>
      <c r="CR93">
        <f>MAX( 0, MIN(BedPlan[[#This Row],[Expected End of Harvest]], EOMONTH(CR$4, 0)) - MAX(BedPlan[[#This Row],[Beginning of Harvest]], CR$4) + 1 )</f>
        <v>0</v>
      </c>
      <c r="CS93">
        <f>MAX( 0, MIN(BedPlan[[#This Row],[Expected End of Harvest]], EOMONTH(CS$4, 0)) - MAX(BedPlan[[#This Row],[Beginning of Harvest]], CS$4) + 1 )</f>
        <v>0</v>
      </c>
      <c r="CT93">
        <f>MAX( 0, MIN(BedPlan[[#This Row],[Expected End of Harvest]], EOMONTH(CT$4, 0)) - MAX(BedPlan[[#This Row],[Beginning of Harvest]], CT$4) + 1 )</f>
        <v>0</v>
      </c>
      <c r="CU93">
        <f>MAX( 0, MIN(BedPlan[[#This Row],[Expected End of Harvest]], EOMONTH(CU$4, 0)) - MAX(BedPlan[[#This Row],[Beginning of Harvest]], CU$4) + 1 )</f>
        <v>0</v>
      </c>
      <c r="CV93">
        <f>MAX( 0, MIN(BedPlan[[#This Row],[Expected End of Harvest]], EOMONTH(CV$4, 0)) - MAX(BedPlan[[#This Row],[Beginning of Harvest]], CV$4) + 1 )</f>
        <v>0</v>
      </c>
      <c r="CW93">
        <f>MAX( 0, MIN(BedPlan[[#This Row],[Expected End of Harvest]], EOMONTH(CW$4, 0)) - MAX(BedPlan[[#This Row],[Beginning of Harvest]], CW$4) + 1 )</f>
        <v>0</v>
      </c>
      <c r="CX93">
        <f>MAX( 0, MIN(BedPlan[[#This Row],[Expected End of Harvest]], EOMONTH(CX$4, 0)) - MAX(BedPlan[[#This Row],[Beginning of Harvest]], CX$4) + 1 )</f>
        <v>0</v>
      </c>
      <c r="CY93">
        <f>MAX( 0, MIN(BedPlan[[#This Row],[Expected End of Harvest]], EOMONTH(CY$4, 0)) - MAX(BedPlan[[#This Row],[Beginning of Harvest]], CY$4) + 1 )</f>
        <v>0</v>
      </c>
      <c r="CZ93">
        <f>MAX( 0, MIN(BedPlan[[#This Row],[Expected End of Harvest]], EOMONTH(CZ$4, 0)) - MAX(BedPlan[[#This Row],[Beginning of Harvest]], CZ$4) + 1 )</f>
        <v>0</v>
      </c>
      <c r="DA93">
        <f>MAX( 0, MIN(BedPlan[[#This Row],[Expected End of Harvest]], EOMONTH(DA$4, 0)) - MAX(BedPlan[[#This Row],[Beginning of Harvest]], DA$4) + 1 )</f>
        <v>0</v>
      </c>
      <c r="DB93">
        <f>MAX( 0, MIN(BedPlan[[#This Row],[Expected End of Harvest]], EOMONTH(DB$4, 0)) - MAX(BedPlan[[#This Row],[Beginning of Harvest]], DB$4) + 1 )</f>
        <v>0</v>
      </c>
      <c r="DC93">
        <f>MAX( 0, MIN(BedPlan[[#This Row],[Expected End of Harvest]], EOMONTH(DC$4, 0)) - MAX(BedPlan[[#This Row],[Beginning of Harvest]], DC$4) + 1 )</f>
        <v>0</v>
      </c>
      <c r="DD93">
        <f>MAX( 0, MIN(BedPlan[[#This Row],[Expected End of Harvest]], EOMONTH(DD$4, 0)) - MAX(BedPlan[[#This Row],[Beginning of Harvest]], DD$4) + 1 )</f>
        <v>0</v>
      </c>
      <c r="DE93">
        <f>MAX( 0, MIN(BedPlan[[#This Row],[Expected End of Harvest]], EOMONTH(DE$4, 0)) - MAX(BedPlan[[#This Row],[Beginning of Harvest]], DE$4) + 1 )</f>
        <v>0</v>
      </c>
      <c r="DF93">
        <f>MAX( 0, MIN(BedPlan[[#This Row],[Expected End of Harvest]], EOMONTH(DF$4, 0)) - MAX(BedPlan[[#This Row],[Beginning of Harvest]], DF$4) + 1 )</f>
        <v>0</v>
      </c>
      <c r="DG93">
        <f>MAX( 0, MIN(BedPlan[[#This Row],[Expected End of Harvest]], EOMONTH(DG$4, 0)) - MAX(BedPlan[[#This Row],[Beginning of Harvest]], DG$4) + 1 )</f>
        <v>0</v>
      </c>
      <c r="DH93">
        <f>MAX( 0, MIN(BedPlan[[#This Row],[Expected End of Harvest]], EOMONTH(DH$4, 0)) - MAX(BedPlan[[#This Row],[Beginning of Harvest]], DH$4) + 1 )</f>
        <v>0</v>
      </c>
      <c r="DI93" s="257" cm="1">
        <f t="array" ref="DI93">BedPlan[[#This Row],[Harvest Days January 2025]]/SUM(BedPlan[[#This Row],[Harvest Days January 2025]:[Harvest Days December 2026]])*BedPlan[[#This Row],[Revenue]:[Revenue]]</f>
        <v>0</v>
      </c>
      <c r="DJ93" s="257" cm="1">
        <f t="array" ref="DJ93">BedPlan[[#This Row],[Harvest Days February 2025]]/SUM(BedPlan[[#This Row],[Harvest Days January 2025]:[Harvest Days December 2026]])*BedPlan[[#This Row],[Revenue]:[Revenue]]</f>
        <v>0</v>
      </c>
      <c r="DK93" s="257" cm="1">
        <f t="array" ref="DK93">BedPlan[[#This Row],[Harvest Days March 2025]]/SUM(BedPlan[[#This Row],[Harvest Days January 2025]:[Harvest Days December 2026]])*BedPlan[[#This Row],[Revenue]:[Revenue]]</f>
        <v>0</v>
      </c>
      <c r="DL93" s="257" cm="1">
        <f t="array" ref="DL93">BedPlan[[#This Row],[Harvest Days April 2025]]/SUM(BedPlan[[#This Row],[Harvest Days January 2025]:[Harvest Days December 2026]])*BedPlan[[#This Row],[Revenue]:[Revenue]]</f>
        <v>0</v>
      </c>
      <c r="DM93" s="257" cm="1">
        <f t="array" ref="DM93">BedPlan[[#This Row],[Harvest Days May 2025]]/SUM(BedPlan[[#This Row],[Harvest Days January 2025]:[Harvest Days December 2026]])*BedPlan[[#This Row],[Revenue]:[Revenue]]</f>
        <v>0</v>
      </c>
      <c r="DN93" s="257" cm="1">
        <f t="array" ref="DN93">BedPlan[[#This Row],[Harvest Days June 2025]]/SUM(BedPlan[[#This Row],[Harvest Days January 2025]:[Harvest Days December 2026]])*BedPlan[[#This Row],[Revenue]:[Revenue]]</f>
        <v>307.35294117647061</v>
      </c>
      <c r="DO93" s="257" cm="1">
        <f t="array" ref="DO93">BedPlan[[#This Row],[Harvest Days July 2025]]/SUM(BedPlan[[#This Row],[Harvest Days January 2025]:[Harvest Days December 2026]])*BedPlan[[#This Row],[Revenue]:[Revenue]]</f>
        <v>167.64705882352942</v>
      </c>
      <c r="DP93" s="257" cm="1">
        <f t="array" ref="DP93">BedPlan[[#This Row],[Harvest Days August 2025]]/SUM(BedPlan[[#This Row],[Harvest Days January 2025]:[Harvest Days December 2026]])*BedPlan[[#This Row],[Revenue]:[Revenue]]</f>
        <v>0</v>
      </c>
      <c r="DQ93" s="257" cm="1">
        <f t="array" ref="DQ93">BedPlan[[#This Row],[Harvest Days September 2025]]/SUM(BedPlan[[#This Row],[Harvest Days January 2025]:[Harvest Days December 2026]])*BedPlan[[#This Row],[Revenue]:[Revenue]]</f>
        <v>0</v>
      </c>
      <c r="DR93" s="257" cm="1">
        <f t="array" ref="DR93">BedPlan[[#This Row],[Harvest Days October 2025]]/SUM(BedPlan[[#This Row],[Harvest Days January 2025]:[Harvest Days December 2026]])*BedPlan[[#This Row],[Revenue]:[Revenue]]</f>
        <v>0</v>
      </c>
      <c r="DS93" s="257" cm="1">
        <f t="array" ref="DS93">BedPlan[[#This Row],[Harvest Days November 2025]]/SUM(BedPlan[[#This Row],[Harvest Days January 2025]:[Harvest Days December 2026]])*BedPlan[[#This Row],[Revenue]:[Revenue]]</f>
        <v>0</v>
      </c>
      <c r="DT93" s="257" cm="1">
        <f t="array" ref="DT93">BedPlan[[#This Row],[Harvest Days December 2025]]/SUM(BedPlan[[#This Row],[Harvest Days January 2025]:[Harvest Days December 2026]])*BedPlan[[#This Row],[Revenue]:[Revenue]]</f>
        <v>0</v>
      </c>
      <c r="DU93" s="257" cm="1">
        <f t="array" ref="DU93">BedPlan[[#This Row],[Harvest Days January 2026]]/SUM(BedPlan[[#This Row],[Harvest Days January 2025]:[Harvest Days December 2026]])*BedPlan[[#This Row],[Revenue]:[Revenue]]</f>
        <v>0</v>
      </c>
      <c r="DV93" s="257" cm="1">
        <f t="array" ref="DV93">BedPlan[[#This Row],[Harvest Days February 2026]]/SUM(BedPlan[[#This Row],[Harvest Days January 2025]:[Harvest Days December 2026]])*BedPlan[[#This Row],[Revenue]:[Revenue]]</f>
        <v>0</v>
      </c>
      <c r="DW93" s="257" cm="1">
        <f t="array" ref="DW93">BedPlan[[#This Row],[Harvest Days March 2026]]/SUM(BedPlan[[#This Row],[Harvest Days January 2025]:[Harvest Days December 2026]])*BedPlan[[#This Row],[Revenue]:[Revenue]]</f>
        <v>0</v>
      </c>
      <c r="DX93" s="257" cm="1">
        <f t="array" ref="DX93">BedPlan[[#This Row],[Harvest Days April 2026]]/SUM(BedPlan[[#This Row],[Harvest Days January 2025]:[Harvest Days December 2026]])*BedPlan[[#This Row],[Revenue]:[Revenue]]</f>
        <v>0</v>
      </c>
      <c r="DY93" s="257" cm="1">
        <f t="array" ref="DY93">BedPlan[[#This Row],[Harvest Days May 2026]]/SUM(BedPlan[[#This Row],[Harvest Days January 2025]:[Harvest Days December 2026]])*BedPlan[[#This Row],[Revenue]:[Revenue]]</f>
        <v>0</v>
      </c>
      <c r="DZ93" s="257" cm="1">
        <f t="array" ref="DZ93">BedPlan[[#This Row],[Harvest Days June 2026]]/SUM(BedPlan[[#This Row],[Harvest Days January 2025]:[Harvest Days December 2026]])*BedPlan[[#This Row],[Revenue]:[Revenue]]</f>
        <v>0</v>
      </c>
      <c r="EA93" s="257" cm="1">
        <f t="array" ref="EA93">BedPlan[[#This Row],[Harvest Days July 2026]]/SUM(BedPlan[[#This Row],[Harvest Days January 2025]:[Harvest Days December 2026]])*BedPlan[[#This Row],[Revenue]:[Revenue]]</f>
        <v>0</v>
      </c>
      <c r="EB93" s="257" cm="1">
        <f t="array" ref="EB93">BedPlan[[#This Row],[Harvest Days August 2026]]/SUM(BedPlan[[#This Row],[Harvest Days January 2025]:[Harvest Days December 2026]])*BedPlan[[#This Row],[Revenue]:[Revenue]]</f>
        <v>0</v>
      </c>
      <c r="EC93" s="257" cm="1">
        <f t="array" ref="EC93">BedPlan[[#This Row],[Harvest Days September 2026]]/SUM(BedPlan[[#This Row],[Harvest Days January 2025]:[Harvest Days December 2026]])*BedPlan[[#This Row],[Revenue]:[Revenue]]</f>
        <v>0</v>
      </c>
      <c r="ED93" s="257" cm="1">
        <f t="array" ref="ED93">BedPlan[[#This Row],[Harvest Days October 2026]]/SUM(BedPlan[[#This Row],[Harvest Days January 2025]:[Harvest Days December 2026]])*BedPlan[[#This Row],[Revenue]:[Revenue]]</f>
        <v>0</v>
      </c>
      <c r="EE93" s="257" cm="1">
        <f t="array" ref="EE93">BedPlan[[#This Row],[Harvest Days November 2026]]/SUM(BedPlan[[#This Row],[Harvest Days January 2025]:[Harvest Days December 2026]])*BedPlan[[#This Row],[Revenue]:[Revenue]]</f>
        <v>0</v>
      </c>
      <c r="EF93" s="257" cm="1">
        <f t="array" ref="EF93">BedPlan[[#This Row],[Harvest Days December 2026]]/SUM(BedPlan[[#This Row],[Harvest Days January 2025]:[Harvest Days December 2026]])*BedPlan[[#This Row],[Revenue]:[Revenue]]</f>
        <v>0</v>
      </c>
      <c r="EG93" t="b">
        <f>SUM(BedPlan[[#This Row],[Revenue January 2025]:[Revenue December 2026]])=BedPlan[[#This Row],[Revenue]]</f>
        <v>1</v>
      </c>
      <c r="EH93" s="30" cm="1">
        <f t="array" ref="EH93">INDEX(Crops[],BedPlan[[#This Row],[Chart Index]],EH$4,1)*BedPlan[[#This Row],['# Of Beds]]</f>
        <v>50</v>
      </c>
      <c r="EI93" s="30" t="str" cm="1">
        <f t="array" ref="EI93">INDEX(Crops[],BedPlan[[#This Row],[Chart Index]],EI$4,1)</f>
        <v>Lb</v>
      </c>
      <c r="EJ93" s="30" t="str" cm="1">
        <f t="array" ref="EJ93">INDEX(Crops[],BedPlan[[#This Row],[Chart Index]],EJ$4,1)</f>
        <v>Young Pod</v>
      </c>
      <c r="EK93" s="30" t="str">
        <f>BedPlan[[#This Row],[Name]]&amp;" "&amp;BedPlan[[#This Row],[Product]]&amp; " - " &amp;BedPlan[[#This Row],[Unit]]</f>
        <v>Peas Young Pod - Lb</v>
      </c>
      <c r="EL93" s="33" cm="1">
        <f t="array" ref="EL93">BedPlan[[#This Row],[Harvest Days January 2025]]/SUM(BedPlan[[#This Row],[Harvest Days January 2025]:[Harvest Days December 2026]])*BedPlan[[#This Row],[Yield]:[Yield]]</f>
        <v>0</v>
      </c>
      <c r="EM93" s="33" cm="1">
        <f t="array" ref="EM93">BedPlan[[#This Row],[Harvest Days February 2025]]/SUM(BedPlan[[#This Row],[Harvest Days January 2025]:[Harvest Days December 2026]])*BedPlan[[#This Row],[Yield]:[Yield]]</f>
        <v>0</v>
      </c>
      <c r="EN93" s="33" cm="1">
        <f t="array" ref="EN93">BedPlan[[#This Row],[Harvest Days March 2025]]/SUM(BedPlan[[#This Row],[Harvest Days January 2025]:[Harvest Days December 2026]])*BedPlan[[#This Row],[Yield]:[Yield]]</f>
        <v>0</v>
      </c>
      <c r="EO93" s="33" cm="1">
        <f t="array" ref="EO93">BedPlan[[#This Row],[Harvest Days April 2025]]/SUM(BedPlan[[#This Row],[Harvest Days January 2025]:[Harvest Days December 2026]])*BedPlan[[#This Row],[Yield]:[Yield]]</f>
        <v>0</v>
      </c>
      <c r="EP93" s="33" cm="1">
        <f t="array" ref="EP93">BedPlan[[#This Row],[Harvest Days May 2025]]/SUM(BedPlan[[#This Row],[Harvest Days January 2025]:[Harvest Days December 2026]])*BedPlan[[#This Row],[Yield]:[Yield]]</f>
        <v>0</v>
      </c>
      <c r="EQ93" s="33" cm="1">
        <f t="array" ref="EQ93">BedPlan[[#This Row],[Harvest Days June 2025]]/SUM(BedPlan[[#This Row],[Harvest Days January 2025]:[Harvest Days December 2026]])*BedPlan[[#This Row],[Yield]:[Yield]]</f>
        <v>32.352941176470587</v>
      </c>
      <c r="ER93" s="33" cm="1">
        <f t="array" ref="ER93">BedPlan[[#This Row],[Harvest Days July 2025]]/SUM(BedPlan[[#This Row],[Harvest Days January 2025]:[Harvest Days December 2026]])*BedPlan[[#This Row],[Yield]:[Yield]]</f>
        <v>17.647058823529413</v>
      </c>
      <c r="ES93" s="33" cm="1">
        <f t="array" ref="ES93">BedPlan[[#This Row],[Harvest Days August 2025]]/SUM(BedPlan[[#This Row],[Harvest Days January 2025]:[Harvest Days December 2026]])*BedPlan[[#This Row],[Yield]:[Yield]]</f>
        <v>0</v>
      </c>
      <c r="ET93" s="33" cm="1">
        <f t="array" ref="ET93">BedPlan[[#This Row],[Harvest Days September 2025]]/SUM(BedPlan[[#This Row],[Harvest Days January 2025]:[Harvest Days December 2026]])*BedPlan[[#This Row],[Yield]:[Yield]]</f>
        <v>0</v>
      </c>
      <c r="EU93" s="33" cm="1">
        <f t="array" ref="EU93">BedPlan[[#This Row],[Harvest Days October 2025]]/SUM(BedPlan[[#This Row],[Harvest Days January 2025]:[Harvest Days December 2026]])*BedPlan[[#This Row],[Yield]:[Yield]]</f>
        <v>0</v>
      </c>
      <c r="EV93" s="33" cm="1">
        <f t="array" ref="EV93">BedPlan[[#This Row],[Harvest Days November 2025]]/SUM(BedPlan[[#This Row],[Harvest Days January 2025]:[Harvest Days December 2026]])*BedPlan[[#This Row],[Yield]:[Yield]]</f>
        <v>0</v>
      </c>
      <c r="EW93" s="33" cm="1">
        <f t="array" ref="EW93">BedPlan[[#This Row],[Harvest Days December 2025]]/SUM(BedPlan[[#This Row],[Harvest Days January 2025]:[Harvest Days December 2026]])*BedPlan[[#This Row],[Yield]:[Yield]]</f>
        <v>0</v>
      </c>
    </row>
    <row r="94" spans="1:153" ht="15.75" customHeight="1">
      <c r="A94" s="190" t="s">
        <v>2610</v>
      </c>
      <c r="B94" t="s">
        <v>2659</v>
      </c>
      <c r="C94" t="s">
        <v>1488</v>
      </c>
      <c r="D94" cm="1">
        <f t="array" ref="D94">INDEX(Crops[],BedPlan[[#This Row],[Chart Index]],D$4,1)*BedPlan[[#This Row],[Full Bed Equivalent]]</f>
        <v>14.062500000000002</v>
      </c>
      <c r="E94" cm="1">
        <f t="array" ref="E94">INDEX(Crops[],BedPlan[[#This Row],[Chart Index]],E$4,1)*BedPlan[[#This Row],[Full Bed Equivalent]]</f>
        <v>140.625</v>
      </c>
      <c r="F94" t="str">
        <f>UPPER(LEFT(BedPlan[[#This Row],[Crop]],3))</f>
        <v>PEP</v>
      </c>
      <c r="H94" s="143" t="str" cm="1">
        <f t="array" ref="H94">INDEX(Crops[],BedPlan[[#This Row],[Chart Index]],H$4,1)</f>
        <v>Pepper</v>
      </c>
      <c r="I94" t="s">
        <v>848</v>
      </c>
      <c r="J94" t="s">
        <v>503</v>
      </c>
      <c r="K94" t="str" cm="1">
        <f t="array" ref="K94">IF(ISNUMBER(MATCH(BedPlan[[#This Row],[Variety]],SeedMixes[Name],)),_xlfn.TEXTJOIN(", ",TRUE,_xlfn._xlws.FILTER(SeedMixes[Variety &amp; Company],SeedMixes[Name]=BedPlan[[#This Row],[Variety]])),"")</f>
        <v/>
      </c>
      <c r="L94" s="33" cm="1">
        <f t="array" ref="L94">INDEX(Crops[],BedPlan[[#This Row],[Chart Index]],L$4,1)*BedPlan[[#This Row],[Full Bed Equivalent]]</f>
        <v>65</v>
      </c>
      <c r="N94">
        <v>0.5</v>
      </c>
      <c r="O94">
        <f>MAX(BedPlan[[#This Row],['# Of Beds]],0.5)</f>
        <v>0.5</v>
      </c>
      <c r="P94" s="31">
        <f>IF(ISNUMBER(BedPlan[[#This Row],[Planned Greenhouse Start Date]]),BedPlan[[#This Row],[Planned Greenhouse Start Date]],BedPlan[[#This Row],[Planned TP or DS Date]])</f>
        <v>45723</v>
      </c>
      <c r="Q94" s="259">
        <f>IF(BedPlan[[#This Row],[Days in Cells]]=0,"",IFERROR(_xlfn.XLOOKUP(BedPlan[[#This Row],[Follows Crop]],BedPlan[Identifier],BedPlan[Expected End of Harvest]) + 1+BedPlan[[#This Row],[Follow Offset]],BedPlan[[#This Row],[Fixed Field Start Date]])-BedPlan[[#This Row],[Days in Cells]])</f>
        <v>45723</v>
      </c>
      <c r="R94" s="259">
        <v>45737</v>
      </c>
      <c r="S94" s="259">
        <f>IF(ISNUMBER(BedPlan[[#This Row],[Actual Greenhouse Date]]),BedPlan[[#This Row],[Actual Greenhouse Date]],BedPlan[[#This Row],[Planned Greenhouse Start Date]])</f>
        <v>45737</v>
      </c>
      <c r="T94" s="259">
        <f>_xlfn.XLOOKUP(BedPlan[[#This Row],[Crop]],Crops[Identifier],Crops[Target Field Date])</f>
        <v>45813</v>
      </c>
      <c r="U94" s="260"/>
      <c r="V94" s="260"/>
      <c r="W9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4" s="259">
        <v>45826</v>
      </c>
      <c r="Y94" s="271">
        <f>BedPlan[[#This Row],[Actual TP or DS Date]]-BedPlan[[#This Row],[Planned TP or DS Date]]</f>
        <v>-1</v>
      </c>
      <c r="Z94" s="259">
        <f>IF(ISNUMBER(BedPlan[[#This Row],[Actual TP or DS Date]]),BedPlan[[#This Row],[Actual TP or DS Date]],BedPlan[[#This Row],[Planned TP or DS Date]])</f>
        <v>45826</v>
      </c>
      <c r="AA94" s="260"/>
      <c r="AB94" s="259">
        <f>IF(ISNUMBER(BedPlan[[#This Row],[Greenhouse Start Date]]),BedPlan[[#This Row],[Greenhouse Start Date]]+BedPlan[[#This Row],[DTM]],BedPlan[[#This Row],[TP or DS Date]]+BedPlan[[#This Row],[DTM]])</f>
        <v>45887</v>
      </c>
      <c r="AC94" s="259"/>
      <c r="AD94" s="259">
        <f>IF(ISNUMBER(BedPlan[[#This Row],[Actual Beginning of Harvest]]),BedPlan[[#This Row],[Actual Beginning of Harvest]],BedPlan[[#This Row],[Expected Beginning of Harvest]])</f>
        <v>45887</v>
      </c>
      <c r="AE94" s="259">
        <f>BedPlan[[#This Row],[Expected Beginning of Harvest]]+BedPlan[[#This Row],[Harvest Window]]+BedPlan[[#This Row],[Additional Days of Harvest]]</f>
        <v>45957</v>
      </c>
      <c r="AF94" s="259"/>
      <c r="AG94" s="259"/>
      <c r="AH94" s="31" t="b">
        <f>IF(AND( BedPlan[[#This Row],[Expected End of Harvest]] &gt;= DATE(2025, 8, 1), BedPlan[[#This Row],[Beginning of Harvest]] &lt;= DATE(2025, 8, 31) ), TRUE, FALSE)</f>
        <v>1</v>
      </c>
      <c r="AI94" s="31"/>
      <c r="AJ94" s="31">
        <f>IF(ISNUMBER(BedPlan[[#This Row],[Actual End of Harvest]]),BedPlan[[#This Row],[Actual End of Harvest]],BedPlan[[#This Row],[Expected End of Harvest]])</f>
        <v>45957</v>
      </c>
      <c r="AK94" t="b">
        <f>OR(ISNUMBER(BedPlan[[#This Row],[Actual Greenhouse Date]]),ISNUMBER(BedPlan[[#This Row],[Actual TP or DS Date]]))</f>
        <v>1</v>
      </c>
      <c r="AL94" s="52" t="b">
        <f>IF(ISNUMBER(BedPlan[[#This Row],[Planned Greenhouse Start Date]]),OR(ISNUMBER(BedPlan[[#This Row],[Actual TP or DS Date]]),BedPlan[[#This Row],[Failed]]),"-")</f>
        <v>1</v>
      </c>
      <c r="AM94" t="b">
        <f>OR(ISNUMBER(BedPlan[[#This Row],[Actual End of Harvest]]),BedPlan[[#This Row],[Failed]])</f>
        <v>0</v>
      </c>
      <c r="AN94" t="b">
        <f>OR(BedPlan[[#This Row],[Harvest Done]],BedPlan[[#This Row],[Failed]],BedPlan[[#This Row],[Name]]="Tarp")</f>
        <v>0</v>
      </c>
      <c r="AQ94" t="s">
        <v>3237</v>
      </c>
      <c r="AS94" s="26" t="str">
        <f>IF(BedPlan[[#This Row],[Broadfork]],BedPlan[[#This Row],[Actual TP or DS Date]],"")</f>
        <v/>
      </c>
      <c r="AT94" s="26" t="str">
        <f>IF(BedPlan[[#This Row],[Tilther]],BedPlan[[#This Row],[Actual TP or DS Date]],"")</f>
        <v/>
      </c>
      <c r="AU94" s="26">
        <f>IF(NOT(ISBLANK(BedPlan[[#This Row],[Amend]])),BedPlan[[#This Row],[Actual TP or DS Date]],"")</f>
        <v>45826</v>
      </c>
      <c r="AV94" s="26" t="str">
        <f>IF(BedPlan[[#This Row],[Row Cover]],BedPlan[[#This Row],[Actual TP or DS Date]],"")</f>
        <v/>
      </c>
      <c r="AX94" s="26"/>
      <c r="AZ94" s="26"/>
      <c r="BB94" s="26"/>
      <c r="BC94" s="231" cm="1">
        <f t="array" ref="BC94">INDEX(Crops[],BedPlan[[#This Row],[Chart Index]],BC$4,1)*BedPlan[[#This Row],[Full Bed Equivalent]]</f>
        <v>667.96875</v>
      </c>
      <c r="BD94" s="231" cm="1">
        <f t="array" ref="BD94">INDEX(Crops[],BedPlan[[#This Row],[Chart Index]],BD$4,1)*BedPlan[[#This Row],[Full Bed Equivalent]]</f>
        <v>5.1382211538461542</v>
      </c>
      <c r="BE94" cm="1">
        <f t="array" ref="BE94">INDEX(Crops[],BedPlan[[#This Row],[Chart Index]],BE$4,1)+BedPlan[[#This Row],[Additional Days in Cells]]+BedPlan[[#This Row],[Additional Days In Field]]</f>
        <v>150</v>
      </c>
      <c r="BG94" cm="1">
        <f t="array" ref="BG94">INDEX(Crops[],BedPlan[[#This Row],[Chart Index]],BG$4,1)</f>
        <v>70</v>
      </c>
      <c r="BH94" t="str">
        <f>IF(ISNUMBER(BedPlan[[#This Row],[Planned Greenhouse Start Date]]),"TP","DS")</f>
        <v>TP</v>
      </c>
      <c r="BI94">
        <f>BedPlan[[#This Row],['# Of Beds]]</f>
        <v>0.5</v>
      </c>
      <c r="BJ94" cm="1">
        <f t="array" ref="BJ94">INDEX(Crops[],BedPlan[[#This Row],[Chart Index]],BJ$4,1)</f>
        <v>90</v>
      </c>
      <c r="BK94" cm="1">
        <f t="array" ref="BK94">INDEX(Crops[],BedPlan[[#This Row],[Chart Index]],BK$4,1)</f>
        <v>2</v>
      </c>
      <c r="BL94" cm="1">
        <f t="array" ref="BL94">INDEX(Crops[],BedPlan[[#This Row],[Chart Index]],BL$4,1)</f>
        <v>12</v>
      </c>
      <c r="BM94" cm="1">
        <f t="array" ref="BM94">INDEX(Crops[],BedPlan[[#This Row],[Chart Index]],BM$4,1)</f>
        <v>1</v>
      </c>
      <c r="BN94" s="32" cm="1">
        <f t="array" ref="BN94">INDEX(Crops[],BedPlan[[#This Row],[Chart Index]],BN$4,1)*BedPlan[[#This Row],[Full Bed Equivalent]]</f>
        <v>50</v>
      </c>
      <c r="BO94" t="str" cm="1">
        <f t="array" ref="BO94">IF(INDEX(Crops[],BedPlan[[#This Row],[Chart Index]],BO$4,1)=0,"",INDEX(Crops[],BedPlan[[#This Row],[Chart Index]],BO$4,1))</f>
        <v>DR</v>
      </c>
      <c r="BP94">
        <f>MATCH(BedPlan[[#This Row],[Crop]],Crops[Identifier],FALSE)</f>
        <v>241</v>
      </c>
      <c r="BQ94" t="str" cm="1">
        <f t="array" ref="BQ94">INDEX(Crops[],BedPlan[[#This Row],[Chart Index]],BQ$4,1)</f>
        <v>Bell</v>
      </c>
      <c r="BR94" t="str" cm="1">
        <f t="array" ref="BR94">INDEX(Crops[],BedPlan[[#This Row],[Chart Index]],BR$4,1)</f>
        <v/>
      </c>
      <c r="BS94" s="32">
        <f>BedPlan[[#This Row],[Expected Beginning of Harvest]]-DATE(2023,1,1)</f>
        <v>960</v>
      </c>
      <c r="BT94">
        <f>BedPlan[[#This Row],[Expected End of Harvest]]-BedPlan[[#This Row],[Expected Beginning of Harvest]]</f>
        <v>70</v>
      </c>
      <c r="BU94" t="str" cm="1">
        <f t="array" ref="BU94">INDEX(Crops[],BedPlan[[#This Row],[Chart Index]],BU$4,1)</f>
        <v>Pepper</v>
      </c>
      <c r="BV94" cm="1">
        <f t="array" ref="BV94">INDEX(Crops[],BedPlan[[#This Row],[Chart Index]],BV$4,1)</f>
        <v>4</v>
      </c>
      <c r="BW94" t="str" cm="1">
        <f t="array" ref="BW94">INDEX(Crops[],BedPlan[[#This Row],[Chart Index]],BW$4,1)</f>
        <v>None</v>
      </c>
      <c r="BX94" cm="1">
        <f t="array" ref="BX94">INDEX(Crops[],BedPlan[[#This Row],[Chart Index]],BX$4,1)</f>
        <v>128</v>
      </c>
      <c r="BY94" cm="1">
        <f t="array" ref="BY94">INDEX(Crops[],BedPlan[[#This Row],[Chart Index]],BY$4,1)</f>
        <v>28</v>
      </c>
      <c r="BZ94" s="49" cm="1">
        <f t="array" ref="BZ94">IFERROR(INDEX(Crops[],BedPlan[[#This Row],[Chart Index]],BZ$4,1)*BedPlan[[#This Row],[Full Bed Equivalent]],"")</f>
        <v>0.5078125</v>
      </c>
      <c r="CA94" cm="1">
        <f t="array" ref="CA94">INDEX(Crops[],BedPlan[[#This Row],[Chart Index]],CA$4,1)</f>
        <v>18</v>
      </c>
      <c r="CB94" cm="1">
        <f t="array" ref="CB94">INDEX(Crops[],BedPlan[[#This Row],[Chart Index]],CB$4,1)</f>
        <v>62</v>
      </c>
      <c r="CC94" s="49" cm="1">
        <f t="array" ref="CC94">IFERROR(INDEX(Crops[],BedPlan[[#This Row],[Chart Index]],CC$4,1)*BedPlan[[#This Row],[Full Bed Equivalent]],"")</f>
        <v>3.6111111111111112</v>
      </c>
      <c r="CD94" cm="1">
        <f t="array" ref="CD94">INDEX(Crops[],BedPlan[[#This Row],[Chart Index]],CD$4,1)</f>
        <v>0</v>
      </c>
      <c r="CE94" cm="1">
        <f t="array" ref="CE94">IF(INDEX(Crops[],BedPlan[[#This Row],[Chart Index]],CE$4,1)="",0,INDEX(Crops[],BedPlan[[#This Row],[Chart Index]],CE$4,1))</f>
        <v>0</v>
      </c>
      <c r="CF94" s="49" t="str" cm="1">
        <f t="array" ref="CF94">IFERROR(INDEX(Crops[],BedPlan[[#This Row],[Chart Index]],CF$4,1)*BedPlan[[#This Row],[Full Bed Equivalent]],"")</f>
        <v/>
      </c>
      <c r="CG94" cm="1">
        <f t="array" ref="CG94">IF(INDEX(Crops[],BedPlan[[#This Row],[Chart Index]],CG$4,1)="",0,INDEX(Crops[],BedPlan[[#This Row],[Chart Index]],CG$4,1))</f>
        <v>1.3</v>
      </c>
      <c r="CH94" cm="1">
        <f t="array" ref="CH94">IF(INDEX(Crops[],BedPlan[[#This Row],[Chart Index]],CH$4,1)="",0,INDEX(Crops[],BedPlan[[#This Row],[Chart Index]],CH$4,1))</f>
        <v>0</v>
      </c>
      <c r="CI94" t="str" cm="1">
        <f t="array" ref="CI94">INDEX(Crops[],BedPlan[[#This Row],[Chart Index]],CI$4,1)</f>
        <v>Field</v>
      </c>
      <c r="CJ94" s="30" t="str">
        <f>_xlfn.TEXTJOIN(CHAR(10),FALSE,BedPlan[[#This Row],[Name]],BedPlan[[#This Row],[Variety]],BedPlan[[#This Row],[Company]])</f>
        <v>Pepper
Shishito
Osborne</v>
      </c>
      <c r="CK94" s="32">
        <f>MAX( 0, MIN(BedPlan[[#This Row],[Expected End of Harvest]], EOMONTH(CK$4, 0)) - MAX(BedPlan[[#This Row],[Beginning of Harvest]], CK$4) + 1 )</f>
        <v>0</v>
      </c>
      <c r="CL94">
        <f>MAX( 0, MIN(BedPlan[[#This Row],[Expected End of Harvest]], EOMONTH(CL$4, 0)) - MAX(BedPlan[[#This Row],[Beginning of Harvest]], CL$4) + 1 )</f>
        <v>0</v>
      </c>
      <c r="CM94">
        <f>MAX( 0, MIN(BedPlan[[#This Row],[Expected End of Harvest]], EOMONTH(CM$4, 0)) - MAX(BedPlan[[#This Row],[Beginning of Harvest]], CM$4) + 1 )</f>
        <v>0</v>
      </c>
      <c r="CN94">
        <f>MAX( 0, MIN(BedPlan[[#This Row],[Expected End of Harvest]], EOMONTH(CN$4, 0)) - MAX(BedPlan[[#This Row],[Beginning of Harvest]], CN$4) + 1 )</f>
        <v>0</v>
      </c>
      <c r="CO94">
        <f>MAX( 0, MIN(BedPlan[[#This Row],[Expected End of Harvest]], EOMONTH(CO$4, 0)) - MAX(BedPlan[[#This Row],[Beginning of Harvest]], CO$4) + 1 )</f>
        <v>0</v>
      </c>
      <c r="CP94">
        <f>MAX( 0, MIN(BedPlan[[#This Row],[Expected End of Harvest]], EOMONTH(CP$4, 0)) - MAX(BedPlan[[#This Row],[Beginning of Harvest]], CP$4) + 1 )</f>
        <v>0</v>
      </c>
      <c r="CQ94">
        <f>MAX( 0, MIN(BedPlan[[#This Row],[Expected End of Harvest]], EOMONTH(CQ$4, 0)) - MAX(BedPlan[[#This Row],[Beginning of Harvest]], CQ$4) + 1 )</f>
        <v>0</v>
      </c>
      <c r="CR94">
        <f>MAX( 0, MIN(BedPlan[[#This Row],[Expected End of Harvest]], EOMONTH(CR$4, 0)) - MAX(BedPlan[[#This Row],[Beginning of Harvest]], CR$4) + 1 )</f>
        <v>14</v>
      </c>
      <c r="CS94">
        <f>MAX( 0, MIN(BedPlan[[#This Row],[Expected End of Harvest]], EOMONTH(CS$4, 0)) - MAX(BedPlan[[#This Row],[Beginning of Harvest]], CS$4) + 1 )</f>
        <v>30</v>
      </c>
      <c r="CT94">
        <f>MAX( 0, MIN(BedPlan[[#This Row],[Expected End of Harvest]], EOMONTH(CT$4, 0)) - MAX(BedPlan[[#This Row],[Beginning of Harvest]], CT$4) + 1 )</f>
        <v>27</v>
      </c>
      <c r="CU94">
        <f>MAX( 0, MIN(BedPlan[[#This Row],[Expected End of Harvest]], EOMONTH(CU$4, 0)) - MAX(BedPlan[[#This Row],[Beginning of Harvest]], CU$4) + 1 )</f>
        <v>0</v>
      </c>
      <c r="CV94">
        <f>MAX( 0, MIN(BedPlan[[#This Row],[Expected End of Harvest]], EOMONTH(CV$4, 0)) - MAX(BedPlan[[#This Row],[Beginning of Harvest]], CV$4) + 1 )</f>
        <v>0</v>
      </c>
      <c r="CW94">
        <f>MAX( 0, MIN(BedPlan[[#This Row],[Expected End of Harvest]], EOMONTH(CW$4, 0)) - MAX(BedPlan[[#This Row],[Beginning of Harvest]], CW$4) + 1 )</f>
        <v>0</v>
      </c>
      <c r="CX94">
        <f>MAX( 0, MIN(BedPlan[[#This Row],[Expected End of Harvest]], EOMONTH(CX$4, 0)) - MAX(BedPlan[[#This Row],[Beginning of Harvest]], CX$4) + 1 )</f>
        <v>0</v>
      </c>
      <c r="CY94">
        <f>MAX( 0, MIN(BedPlan[[#This Row],[Expected End of Harvest]], EOMONTH(CY$4, 0)) - MAX(BedPlan[[#This Row],[Beginning of Harvest]], CY$4) + 1 )</f>
        <v>0</v>
      </c>
      <c r="CZ94">
        <f>MAX( 0, MIN(BedPlan[[#This Row],[Expected End of Harvest]], EOMONTH(CZ$4, 0)) - MAX(BedPlan[[#This Row],[Beginning of Harvest]], CZ$4) + 1 )</f>
        <v>0</v>
      </c>
      <c r="DA94">
        <f>MAX( 0, MIN(BedPlan[[#This Row],[Expected End of Harvest]], EOMONTH(DA$4, 0)) - MAX(BedPlan[[#This Row],[Beginning of Harvest]], DA$4) + 1 )</f>
        <v>0</v>
      </c>
      <c r="DB94">
        <f>MAX( 0, MIN(BedPlan[[#This Row],[Expected End of Harvest]], EOMONTH(DB$4, 0)) - MAX(BedPlan[[#This Row],[Beginning of Harvest]], DB$4) + 1 )</f>
        <v>0</v>
      </c>
      <c r="DC94">
        <f>MAX( 0, MIN(BedPlan[[#This Row],[Expected End of Harvest]], EOMONTH(DC$4, 0)) - MAX(BedPlan[[#This Row],[Beginning of Harvest]], DC$4) + 1 )</f>
        <v>0</v>
      </c>
      <c r="DD94">
        <f>MAX( 0, MIN(BedPlan[[#This Row],[Expected End of Harvest]], EOMONTH(DD$4, 0)) - MAX(BedPlan[[#This Row],[Beginning of Harvest]], DD$4) + 1 )</f>
        <v>0</v>
      </c>
      <c r="DE94">
        <f>MAX( 0, MIN(BedPlan[[#This Row],[Expected End of Harvest]], EOMONTH(DE$4, 0)) - MAX(BedPlan[[#This Row],[Beginning of Harvest]], DE$4) + 1 )</f>
        <v>0</v>
      </c>
      <c r="DF94">
        <f>MAX( 0, MIN(BedPlan[[#This Row],[Expected End of Harvest]], EOMONTH(DF$4, 0)) - MAX(BedPlan[[#This Row],[Beginning of Harvest]], DF$4) + 1 )</f>
        <v>0</v>
      </c>
      <c r="DG94">
        <f>MAX( 0, MIN(BedPlan[[#This Row],[Expected End of Harvest]], EOMONTH(DG$4, 0)) - MAX(BedPlan[[#This Row],[Beginning of Harvest]], DG$4) + 1 )</f>
        <v>0</v>
      </c>
      <c r="DH94">
        <f>MAX( 0, MIN(BedPlan[[#This Row],[Expected End of Harvest]], EOMONTH(DH$4, 0)) - MAX(BedPlan[[#This Row],[Beginning of Harvest]], DH$4) + 1 )</f>
        <v>0</v>
      </c>
      <c r="DI94" s="257" cm="1">
        <f t="array" ref="DI94">BedPlan[[#This Row],[Harvest Days January 2025]]/SUM(BedPlan[[#This Row],[Harvest Days January 2025]:[Harvest Days December 2026]])*BedPlan[[#This Row],[Revenue]:[Revenue]]</f>
        <v>0</v>
      </c>
      <c r="DJ94" s="257" cm="1">
        <f t="array" ref="DJ94">BedPlan[[#This Row],[Harvest Days February 2025]]/SUM(BedPlan[[#This Row],[Harvest Days January 2025]:[Harvest Days December 2026]])*BedPlan[[#This Row],[Revenue]:[Revenue]]</f>
        <v>0</v>
      </c>
      <c r="DK94" s="257" cm="1">
        <f t="array" ref="DK94">BedPlan[[#This Row],[Harvest Days March 2025]]/SUM(BedPlan[[#This Row],[Harvest Days January 2025]:[Harvest Days December 2026]])*BedPlan[[#This Row],[Revenue]:[Revenue]]</f>
        <v>0</v>
      </c>
      <c r="DL94" s="257" cm="1">
        <f t="array" ref="DL94">BedPlan[[#This Row],[Harvest Days April 2025]]/SUM(BedPlan[[#This Row],[Harvest Days January 2025]:[Harvest Days December 2026]])*BedPlan[[#This Row],[Revenue]:[Revenue]]</f>
        <v>0</v>
      </c>
      <c r="DM94" s="257" cm="1">
        <f t="array" ref="DM94">BedPlan[[#This Row],[Harvest Days May 2025]]/SUM(BedPlan[[#This Row],[Harvest Days January 2025]:[Harvest Days December 2026]])*BedPlan[[#This Row],[Revenue]:[Revenue]]</f>
        <v>0</v>
      </c>
      <c r="DN94" s="257" cm="1">
        <f t="array" ref="DN94">BedPlan[[#This Row],[Harvest Days June 2025]]/SUM(BedPlan[[#This Row],[Harvest Days January 2025]:[Harvest Days December 2026]])*BedPlan[[#This Row],[Revenue]:[Revenue]]</f>
        <v>0</v>
      </c>
      <c r="DO94" s="257" cm="1">
        <f t="array" ref="DO94">BedPlan[[#This Row],[Harvest Days July 2025]]/SUM(BedPlan[[#This Row],[Harvest Days January 2025]:[Harvest Days December 2026]])*BedPlan[[#This Row],[Revenue]:[Revenue]]</f>
        <v>0</v>
      </c>
      <c r="DP94" s="257" cm="1">
        <f t="array" ref="DP94">BedPlan[[#This Row],[Harvest Days August 2025]]/SUM(BedPlan[[#This Row],[Harvest Days January 2025]:[Harvest Days December 2026]])*BedPlan[[#This Row],[Revenue]:[Revenue]]</f>
        <v>131.71214788732394</v>
      </c>
      <c r="DQ94" s="257" cm="1">
        <f t="array" ref="DQ94">BedPlan[[#This Row],[Harvest Days September 2025]]/SUM(BedPlan[[#This Row],[Harvest Days January 2025]:[Harvest Days December 2026]])*BedPlan[[#This Row],[Revenue]:[Revenue]]</f>
        <v>282.24031690140845</v>
      </c>
      <c r="DR94" s="257" cm="1">
        <f t="array" ref="DR94">BedPlan[[#This Row],[Harvest Days October 2025]]/SUM(BedPlan[[#This Row],[Harvest Days January 2025]:[Harvest Days December 2026]])*BedPlan[[#This Row],[Revenue]:[Revenue]]</f>
        <v>254.01628521126761</v>
      </c>
      <c r="DS94" s="257" cm="1">
        <f t="array" ref="DS94">BedPlan[[#This Row],[Harvest Days November 2025]]/SUM(BedPlan[[#This Row],[Harvest Days January 2025]:[Harvest Days December 2026]])*BedPlan[[#This Row],[Revenue]:[Revenue]]</f>
        <v>0</v>
      </c>
      <c r="DT94" s="257" cm="1">
        <f t="array" ref="DT94">BedPlan[[#This Row],[Harvest Days December 2025]]/SUM(BedPlan[[#This Row],[Harvest Days January 2025]:[Harvest Days December 2026]])*BedPlan[[#This Row],[Revenue]:[Revenue]]</f>
        <v>0</v>
      </c>
      <c r="DU94" s="257" cm="1">
        <f t="array" ref="DU94">BedPlan[[#This Row],[Harvest Days January 2026]]/SUM(BedPlan[[#This Row],[Harvest Days January 2025]:[Harvest Days December 2026]])*BedPlan[[#This Row],[Revenue]:[Revenue]]</f>
        <v>0</v>
      </c>
      <c r="DV94" s="257" cm="1">
        <f t="array" ref="DV94">BedPlan[[#This Row],[Harvest Days February 2026]]/SUM(BedPlan[[#This Row],[Harvest Days January 2025]:[Harvest Days December 2026]])*BedPlan[[#This Row],[Revenue]:[Revenue]]</f>
        <v>0</v>
      </c>
      <c r="DW94" s="257" cm="1">
        <f t="array" ref="DW94">BedPlan[[#This Row],[Harvest Days March 2026]]/SUM(BedPlan[[#This Row],[Harvest Days January 2025]:[Harvest Days December 2026]])*BedPlan[[#This Row],[Revenue]:[Revenue]]</f>
        <v>0</v>
      </c>
      <c r="DX94" s="257" cm="1">
        <f t="array" ref="DX94">BedPlan[[#This Row],[Harvest Days April 2026]]/SUM(BedPlan[[#This Row],[Harvest Days January 2025]:[Harvest Days December 2026]])*BedPlan[[#This Row],[Revenue]:[Revenue]]</f>
        <v>0</v>
      </c>
      <c r="DY94" s="257" cm="1">
        <f t="array" ref="DY94">BedPlan[[#This Row],[Harvest Days May 2026]]/SUM(BedPlan[[#This Row],[Harvest Days January 2025]:[Harvest Days December 2026]])*BedPlan[[#This Row],[Revenue]:[Revenue]]</f>
        <v>0</v>
      </c>
      <c r="DZ94" s="257" cm="1">
        <f t="array" ref="DZ94">BedPlan[[#This Row],[Harvest Days June 2026]]/SUM(BedPlan[[#This Row],[Harvest Days January 2025]:[Harvest Days December 2026]])*BedPlan[[#This Row],[Revenue]:[Revenue]]</f>
        <v>0</v>
      </c>
      <c r="EA94" s="257" cm="1">
        <f t="array" ref="EA94">BedPlan[[#This Row],[Harvest Days July 2026]]/SUM(BedPlan[[#This Row],[Harvest Days January 2025]:[Harvest Days December 2026]])*BedPlan[[#This Row],[Revenue]:[Revenue]]</f>
        <v>0</v>
      </c>
      <c r="EB94" s="257" cm="1">
        <f t="array" ref="EB94">BedPlan[[#This Row],[Harvest Days August 2026]]/SUM(BedPlan[[#This Row],[Harvest Days January 2025]:[Harvest Days December 2026]])*BedPlan[[#This Row],[Revenue]:[Revenue]]</f>
        <v>0</v>
      </c>
      <c r="EC94" s="257" cm="1">
        <f t="array" ref="EC94">BedPlan[[#This Row],[Harvest Days September 2026]]/SUM(BedPlan[[#This Row],[Harvest Days January 2025]:[Harvest Days December 2026]])*BedPlan[[#This Row],[Revenue]:[Revenue]]</f>
        <v>0</v>
      </c>
      <c r="ED94" s="257" cm="1">
        <f t="array" ref="ED94">BedPlan[[#This Row],[Harvest Days October 2026]]/SUM(BedPlan[[#This Row],[Harvest Days January 2025]:[Harvest Days December 2026]])*BedPlan[[#This Row],[Revenue]:[Revenue]]</f>
        <v>0</v>
      </c>
      <c r="EE94" s="257" cm="1">
        <f t="array" ref="EE94">BedPlan[[#This Row],[Harvest Days November 2026]]/SUM(BedPlan[[#This Row],[Harvest Days January 2025]:[Harvest Days December 2026]])*BedPlan[[#This Row],[Revenue]:[Revenue]]</f>
        <v>0</v>
      </c>
      <c r="EF94" s="257" cm="1">
        <f t="array" ref="EF94">BedPlan[[#This Row],[Harvest Days December 2026]]/SUM(BedPlan[[#This Row],[Harvest Days January 2025]:[Harvest Days December 2026]])*BedPlan[[#This Row],[Revenue]:[Revenue]]</f>
        <v>0</v>
      </c>
      <c r="EG94" t="b">
        <f>SUM(BedPlan[[#This Row],[Revenue January 2025]:[Revenue December 2026]])=BedPlan[[#This Row],[Revenue]]</f>
        <v>1</v>
      </c>
      <c r="EH94" s="30" cm="1">
        <f t="array" ref="EH94">INDEX(Crops[],BedPlan[[#This Row],[Chart Index]],EH$4,1)*BedPlan[[#This Row],['# Of Beds]]</f>
        <v>140.625</v>
      </c>
      <c r="EI94" s="30" t="str" cm="1">
        <f t="array" ref="EI94">INDEX(Crops[],BedPlan[[#This Row],[Chart Index]],EI$4,1)</f>
        <v>Lb</v>
      </c>
      <c r="EJ94" s="30" t="str" cm="1">
        <f t="array" ref="EJ94">INDEX(Crops[],BedPlan[[#This Row],[Chart Index]],EJ$4,1)</f>
        <v>Ripe Fruit Large</v>
      </c>
      <c r="EK94" s="30" t="str">
        <f>BedPlan[[#This Row],[Name]]&amp;" "&amp;BedPlan[[#This Row],[Product]]&amp; " - " &amp;BedPlan[[#This Row],[Unit]]</f>
        <v>Pepper Ripe Fruit Large - Lb</v>
      </c>
      <c r="EL94" s="33" cm="1">
        <f t="array" ref="EL94">BedPlan[[#This Row],[Harvest Days January 2025]]/SUM(BedPlan[[#This Row],[Harvest Days January 2025]:[Harvest Days December 2026]])*BedPlan[[#This Row],[Yield]:[Yield]]</f>
        <v>0</v>
      </c>
      <c r="EM94" s="33" cm="1">
        <f t="array" ref="EM94">BedPlan[[#This Row],[Harvest Days February 2025]]/SUM(BedPlan[[#This Row],[Harvest Days January 2025]:[Harvest Days December 2026]])*BedPlan[[#This Row],[Yield]:[Yield]]</f>
        <v>0</v>
      </c>
      <c r="EN94" s="33" cm="1">
        <f t="array" ref="EN94">BedPlan[[#This Row],[Harvest Days March 2025]]/SUM(BedPlan[[#This Row],[Harvest Days January 2025]:[Harvest Days December 2026]])*BedPlan[[#This Row],[Yield]:[Yield]]</f>
        <v>0</v>
      </c>
      <c r="EO94" s="33" cm="1">
        <f t="array" ref="EO94">BedPlan[[#This Row],[Harvest Days April 2025]]/SUM(BedPlan[[#This Row],[Harvest Days January 2025]:[Harvest Days December 2026]])*BedPlan[[#This Row],[Yield]:[Yield]]</f>
        <v>0</v>
      </c>
      <c r="EP94" s="33" cm="1">
        <f t="array" ref="EP94">BedPlan[[#This Row],[Harvest Days May 2025]]/SUM(BedPlan[[#This Row],[Harvest Days January 2025]:[Harvest Days December 2026]])*BedPlan[[#This Row],[Yield]:[Yield]]</f>
        <v>0</v>
      </c>
      <c r="EQ94" s="33" cm="1">
        <f t="array" ref="EQ94">BedPlan[[#This Row],[Harvest Days June 2025]]/SUM(BedPlan[[#This Row],[Harvest Days January 2025]:[Harvest Days December 2026]])*BedPlan[[#This Row],[Yield]:[Yield]]</f>
        <v>0</v>
      </c>
      <c r="ER94" s="33" cm="1">
        <f t="array" ref="ER94">BedPlan[[#This Row],[Harvest Days July 2025]]/SUM(BedPlan[[#This Row],[Harvest Days January 2025]:[Harvest Days December 2026]])*BedPlan[[#This Row],[Yield]:[Yield]]</f>
        <v>0</v>
      </c>
      <c r="ES94" s="33" cm="1">
        <f t="array" ref="ES94">BedPlan[[#This Row],[Harvest Days August 2025]]/SUM(BedPlan[[#This Row],[Harvest Days January 2025]:[Harvest Days December 2026]])*BedPlan[[#This Row],[Yield]:[Yield]]</f>
        <v>27.728873239436616</v>
      </c>
      <c r="ET94" s="33" cm="1">
        <f t="array" ref="ET94">BedPlan[[#This Row],[Harvest Days September 2025]]/SUM(BedPlan[[#This Row],[Harvest Days January 2025]:[Harvest Days December 2026]])*BedPlan[[#This Row],[Yield]:[Yield]]</f>
        <v>59.41901408450704</v>
      </c>
      <c r="EU94" s="33" cm="1">
        <f t="array" ref="EU94">BedPlan[[#This Row],[Harvest Days October 2025]]/SUM(BedPlan[[#This Row],[Harvest Days January 2025]:[Harvest Days December 2026]])*BedPlan[[#This Row],[Yield]:[Yield]]</f>
        <v>53.477112676056336</v>
      </c>
      <c r="EV94" s="33" cm="1">
        <f t="array" ref="EV94">BedPlan[[#This Row],[Harvest Days November 2025]]/SUM(BedPlan[[#This Row],[Harvest Days January 2025]:[Harvest Days December 2026]])*BedPlan[[#This Row],[Yield]:[Yield]]</f>
        <v>0</v>
      </c>
      <c r="EW94" s="33" cm="1">
        <f t="array" ref="EW94">BedPlan[[#This Row],[Harvest Days December 2025]]/SUM(BedPlan[[#This Row],[Harvest Days January 2025]:[Harvest Days December 2026]])*BedPlan[[#This Row],[Yield]:[Yield]]</f>
        <v>0</v>
      </c>
    </row>
    <row r="95" spans="1:153" ht="15.75" customHeight="1">
      <c r="A95" s="190" t="s">
        <v>2611</v>
      </c>
      <c r="B95" t="s">
        <v>2660</v>
      </c>
      <c r="C95" t="s">
        <v>1426</v>
      </c>
      <c r="D95" cm="1">
        <f t="array" ref="D95">INDEX(Crops[],BedPlan[[#This Row],[Chart Index]],D$4,1)*BedPlan[[#This Row],[Full Bed Equivalent]]</f>
        <v>28.125000000000004</v>
      </c>
      <c r="E95" cm="1">
        <f t="array" ref="E95">INDEX(Crops[],BedPlan[[#This Row],[Chart Index]],E$4,1)*BedPlan[[#This Row],[Full Bed Equivalent]]</f>
        <v>506.25</v>
      </c>
      <c r="F95" t="str">
        <f>UPPER(LEFT(BedPlan[[#This Row],[Crop]],3))</f>
        <v>PEP</v>
      </c>
      <c r="H95" s="143" t="str" cm="1">
        <f t="array" ref="H95">INDEX(Crops[],BedPlan[[#This Row],[Chart Index]],H$4,1)</f>
        <v>Pepper</v>
      </c>
      <c r="I95" t="s">
        <v>567</v>
      </c>
      <c r="K95" t="str" cm="1">
        <f t="array" ref="K95">IF(ISNUMBER(MATCH(BedPlan[[#This Row],[Variety]],SeedMixes[Name],)),_xlfn.TEXTJOIN(", ",TRUE,_xlfn._xlws.FILTER(SeedMixes[Variety &amp; Company],SeedMixes[Name]=BedPlan[[#This Row],[Variety]])),"")</f>
        <v>Elephant's Ear Uprising, Olly F1 Johnny's</v>
      </c>
      <c r="L95" s="33" cm="1">
        <f t="array" ref="L95">INDEX(Crops[],BedPlan[[#This Row],[Chart Index]],L$4,1)*BedPlan[[#This Row],[Full Bed Equivalent]]</f>
        <v>65</v>
      </c>
      <c r="N95">
        <v>0.5</v>
      </c>
      <c r="O95">
        <f>MAX(BedPlan[[#This Row],['# Of Beds]],0.5)</f>
        <v>0.5</v>
      </c>
      <c r="P95" s="31">
        <f>IF(ISNUMBER(BedPlan[[#This Row],[Planned Greenhouse Start Date]]),BedPlan[[#This Row],[Planned Greenhouse Start Date]],BedPlan[[#This Row],[Planned TP or DS Date]])</f>
        <v>45708</v>
      </c>
      <c r="Q95" s="259">
        <f>IF(BedPlan[[#This Row],[Days in Cells]]=0,"",IFERROR(_xlfn.XLOOKUP(BedPlan[[#This Row],[Follows Crop]],BedPlan[Identifier],BedPlan[Expected End of Harvest]) + 1+BedPlan[[#This Row],[Follow Offset]],BedPlan[[#This Row],[Fixed Field Start Date]])-BedPlan[[#This Row],[Days in Cells]])</f>
        <v>45708</v>
      </c>
      <c r="R95" s="259">
        <v>45737</v>
      </c>
      <c r="S95" s="259">
        <f>IF(ISNUMBER(BedPlan[[#This Row],[Actual Greenhouse Date]]),BedPlan[[#This Row],[Actual Greenhouse Date]],BedPlan[[#This Row],[Planned Greenhouse Start Date]])</f>
        <v>45737</v>
      </c>
      <c r="T95" s="259">
        <f>_xlfn.XLOOKUP(BedPlan[[#This Row],[Crop]],Crops[Identifier],Crops[Target Field Date])</f>
        <v>45798</v>
      </c>
      <c r="U95" s="260"/>
      <c r="V95" s="260"/>
      <c r="W9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5" s="259">
        <v>45828</v>
      </c>
      <c r="Y95" s="271">
        <f>BedPlan[[#This Row],[Actual TP or DS Date]]-BedPlan[[#This Row],[Planned TP or DS Date]]</f>
        <v>1</v>
      </c>
      <c r="Z95" s="259">
        <f>IF(ISNUMBER(BedPlan[[#This Row],[Actual TP or DS Date]]),BedPlan[[#This Row],[Actual TP or DS Date]],BedPlan[[#This Row],[Planned TP or DS Date]])</f>
        <v>45828</v>
      </c>
      <c r="AA95" s="260"/>
      <c r="AB95" s="259">
        <f>IF(ISNUMBER(BedPlan[[#This Row],[Greenhouse Start Date]]),BedPlan[[#This Row],[Greenhouse Start Date]]+BedPlan[[#This Row],[DTM]],BedPlan[[#This Row],[TP or DS Date]]+BedPlan[[#This Row],[DTM]])</f>
        <v>45887</v>
      </c>
      <c r="AC95" s="259"/>
      <c r="AD95" s="259">
        <f>IF(ISNUMBER(BedPlan[[#This Row],[Actual Beginning of Harvest]]),BedPlan[[#This Row],[Actual Beginning of Harvest]],BedPlan[[#This Row],[Expected Beginning of Harvest]])</f>
        <v>45887</v>
      </c>
      <c r="AE95" s="259">
        <f>BedPlan[[#This Row],[Expected Beginning of Harvest]]+BedPlan[[#This Row],[Harvest Window]]+BedPlan[[#This Row],[Additional Days of Harvest]]</f>
        <v>46013</v>
      </c>
      <c r="AF95" s="259"/>
      <c r="AG95" s="259"/>
      <c r="AH95" s="31" t="b">
        <f>IF(AND( BedPlan[[#This Row],[Expected End of Harvest]] &gt;= DATE(2025, 8, 1), BedPlan[[#This Row],[Beginning of Harvest]] &lt;= DATE(2025, 8, 31) ), TRUE, FALSE)</f>
        <v>1</v>
      </c>
      <c r="AI95" s="31"/>
      <c r="AJ95" s="31">
        <f>IF(ISNUMBER(BedPlan[[#This Row],[Actual End of Harvest]]),BedPlan[[#This Row],[Actual End of Harvest]],BedPlan[[#This Row],[Expected End of Harvest]])</f>
        <v>46013</v>
      </c>
      <c r="AK95" t="b">
        <f>OR(ISNUMBER(BedPlan[[#This Row],[Actual Greenhouse Date]]),ISNUMBER(BedPlan[[#This Row],[Actual TP or DS Date]]))</f>
        <v>1</v>
      </c>
      <c r="AL95" s="52" t="b">
        <f>IF(ISNUMBER(BedPlan[[#This Row],[Planned Greenhouse Start Date]]),OR(ISNUMBER(BedPlan[[#This Row],[Actual TP or DS Date]]),BedPlan[[#This Row],[Failed]]),"-")</f>
        <v>1</v>
      </c>
      <c r="AM95" t="b">
        <f>OR(ISNUMBER(BedPlan[[#This Row],[Actual End of Harvest]]),BedPlan[[#This Row],[Failed]])</f>
        <v>0</v>
      </c>
      <c r="AN95" t="b">
        <f>OR(BedPlan[[#This Row],[Harvest Done]],BedPlan[[#This Row],[Failed]],BedPlan[[#This Row],[Name]]="Tarp")</f>
        <v>0</v>
      </c>
      <c r="AQ95" t="s">
        <v>3237</v>
      </c>
      <c r="AS95" s="26" t="str">
        <f>IF(BedPlan[[#This Row],[Broadfork]],BedPlan[[#This Row],[Actual TP or DS Date]],"")</f>
        <v/>
      </c>
      <c r="AT95" s="26" t="str">
        <f>IF(BedPlan[[#This Row],[Tilther]],BedPlan[[#This Row],[Actual TP or DS Date]],"")</f>
        <v/>
      </c>
      <c r="AU95" s="26">
        <f>IF(NOT(ISBLANK(BedPlan[[#This Row],[Amend]])),BedPlan[[#This Row],[Actual TP or DS Date]],"")</f>
        <v>45828</v>
      </c>
      <c r="AV95" s="26" t="str">
        <f>IF(BedPlan[[#This Row],[Row Cover]],BedPlan[[#This Row],[Actual TP or DS Date]],"")</f>
        <v/>
      </c>
      <c r="AX95" s="26"/>
      <c r="AZ95" s="26"/>
      <c r="BB95" s="26"/>
      <c r="BC95" s="231" cm="1">
        <f t="array" ref="BC95">INDEX(Crops[],BedPlan[[#This Row],[Chart Index]],BC$4,1)*BedPlan[[#This Row],[Full Bed Equivalent]]</f>
        <v>2404.6875</v>
      </c>
      <c r="BD95" s="231" cm="1">
        <f t="array" ref="BD95">INDEX(Crops[],BedPlan[[#This Row],[Chart Index]],BD$4,1)*BedPlan[[#This Row],[Full Bed Equivalent]]</f>
        <v>12.928427419354838</v>
      </c>
      <c r="BE95" cm="1">
        <f t="array" ref="BE95">INDEX(Crops[],BedPlan[[#This Row],[Chart Index]],BE$4,1)+BedPlan[[#This Row],[Additional Days in Cells]]+BedPlan[[#This Row],[Additional Days In Field]]</f>
        <v>150</v>
      </c>
      <c r="BG95" cm="1">
        <f t="array" ref="BG95">INDEX(Crops[],BedPlan[[#This Row],[Chart Index]],BG$4,1)</f>
        <v>126</v>
      </c>
      <c r="BH95" t="str">
        <f>IF(ISNUMBER(BedPlan[[#This Row],[Planned Greenhouse Start Date]]),"TP","DS")</f>
        <v>TP</v>
      </c>
      <c r="BI95">
        <f>BedPlan[[#This Row],['# Of Beds]]</f>
        <v>0.5</v>
      </c>
      <c r="BJ95" cm="1">
        <f t="array" ref="BJ95">INDEX(Crops[],BedPlan[[#This Row],[Chart Index]],BJ$4,1)</f>
        <v>90</v>
      </c>
      <c r="BK95" cm="1">
        <f t="array" ref="BK95">INDEX(Crops[],BedPlan[[#This Row],[Chart Index]],BK$4,1)</f>
        <v>2</v>
      </c>
      <c r="BL95" cm="1">
        <f t="array" ref="BL95">INDEX(Crops[],BedPlan[[#This Row],[Chart Index]],BL$4,1)</f>
        <v>12</v>
      </c>
      <c r="BM95" cm="1">
        <f t="array" ref="BM95">INDEX(Crops[],BedPlan[[#This Row],[Chart Index]],BM$4,1)</f>
        <v>1</v>
      </c>
      <c r="BN95" s="32" cm="1">
        <f t="array" ref="BN95">INDEX(Crops[],BedPlan[[#This Row],[Chart Index]],BN$4,1)*BedPlan[[#This Row],[Full Bed Equivalent]]</f>
        <v>50</v>
      </c>
      <c r="BO95" t="str" cm="1">
        <f t="array" ref="BO95">IF(INDEX(Crops[],BedPlan[[#This Row],[Chart Index]],BO$4,1)=0,"",INDEX(Crops[],BedPlan[[#This Row],[Chart Index]],BO$4,1))</f>
        <v/>
      </c>
      <c r="BP95">
        <f>MATCH(BedPlan[[#This Row],[Crop]],Crops[Identifier],FALSE)</f>
        <v>242</v>
      </c>
      <c r="BQ95" t="str" cm="1">
        <f t="array" ref="BQ95">INDEX(Crops[],BedPlan[[#This Row],[Chart Index]],BQ$4,1)</f>
        <v>Bell</v>
      </c>
      <c r="BR95" t="str" cm="1">
        <f t="array" ref="BR95">INDEX(Crops[],BedPlan[[#This Row],[Chart Index]],BR$4,1)</f>
        <v/>
      </c>
      <c r="BS95" s="32">
        <f>BedPlan[[#This Row],[Expected Beginning of Harvest]]-DATE(2023,1,1)</f>
        <v>960</v>
      </c>
      <c r="BT95">
        <f>BedPlan[[#This Row],[Expected End of Harvest]]-BedPlan[[#This Row],[Expected Beginning of Harvest]]</f>
        <v>126</v>
      </c>
      <c r="BU95" t="str" cm="1">
        <f t="array" ref="BU95">INDEX(Crops[],BedPlan[[#This Row],[Chart Index]],BU$4,1)</f>
        <v>Pepper</v>
      </c>
      <c r="BV95" cm="1">
        <f t="array" ref="BV95">INDEX(Crops[],BedPlan[[#This Row],[Chart Index]],BV$4,1)</f>
        <v>4</v>
      </c>
      <c r="BW95" cm="1">
        <f t="array" ref="BW95">INDEX(Crops[],BedPlan[[#This Row],[Chart Index]],BW$4,1)</f>
        <v>0</v>
      </c>
      <c r="BX95" cm="1">
        <f t="array" ref="BX95">INDEX(Crops[],BedPlan[[#This Row],[Chart Index]],BX$4,1)</f>
        <v>128</v>
      </c>
      <c r="BY95" cm="1">
        <f t="array" ref="BY95">INDEX(Crops[],BedPlan[[#This Row],[Chart Index]],BY$4,1)</f>
        <v>28</v>
      </c>
      <c r="BZ95" s="49" cm="1">
        <f t="array" ref="BZ95">IFERROR(INDEX(Crops[],BedPlan[[#This Row],[Chart Index]],BZ$4,1)*BedPlan[[#This Row],[Full Bed Equivalent]],"")</f>
        <v>0.5078125</v>
      </c>
      <c r="CA95" cm="1">
        <f t="array" ref="CA95">INDEX(Crops[],BedPlan[[#This Row],[Chart Index]],CA$4,1)</f>
        <v>18</v>
      </c>
      <c r="CB95" cm="1">
        <f t="array" ref="CB95">INDEX(Crops[],BedPlan[[#This Row],[Chart Index]],CB$4,1)</f>
        <v>62</v>
      </c>
      <c r="CC95" s="49" cm="1">
        <f t="array" ref="CC95">IFERROR(INDEX(Crops[],BedPlan[[#This Row],[Chart Index]],CC$4,1)*BedPlan[[#This Row],[Full Bed Equivalent]],"")</f>
        <v>3.6111111111111112</v>
      </c>
      <c r="CD95" cm="1">
        <f t="array" ref="CD95">INDEX(Crops[],BedPlan[[#This Row],[Chart Index]],CD$4,1)</f>
        <v>0</v>
      </c>
      <c r="CE95" cm="1">
        <f t="array" ref="CE95">IF(INDEX(Crops[],BedPlan[[#This Row],[Chart Index]],CE$4,1)="",0,INDEX(Crops[],BedPlan[[#This Row],[Chart Index]],CE$4,1))</f>
        <v>0</v>
      </c>
      <c r="CF95" s="49" t="str" cm="1">
        <f t="array" ref="CF95">IFERROR(INDEX(Crops[],BedPlan[[#This Row],[Chart Index]],CF$4,1)*BedPlan[[#This Row],[Full Bed Equivalent]],"")</f>
        <v/>
      </c>
      <c r="CG95" cm="1">
        <f t="array" ref="CG95">IF(INDEX(Crops[],BedPlan[[#This Row],[Chart Index]],CG$4,1)="",0,INDEX(Crops[],BedPlan[[#This Row],[Chart Index]],CG$4,1))</f>
        <v>1.3</v>
      </c>
      <c r="CH95" cm="1">
        <f t="array" ref="CH95">IF(INDEX(Crops[],BedPlan[[#This Row],[Chart Index]],CH$4,1)="",0,INDEX(Crops[],BedPlan[[#This Row],[Chart Index]],CH$4,1))</f>
        <v>0</v>
      </c>
      <c r="CI95" t="str" cm="1">
        <f t="array" ref="CI95">INDEX(Crops[],BedPlan[[#This Row],[Chart Index]],CI$4,1)</f>
        <v>Greenhouse</v>
      </c>
      <c r="CJ95" s="30" t="str">
        <f>_xlfn.TEXTJOIN(CHAR(10),FALSE,BedPlan[[#This Row],[Name]],BedPlan[[#This Row],[Variety]],BedPlan[[#This Row],[Company]])</f>
        <v xml:space="preserve">Pepper
Sweet Pepper Mix
</v>
      </c>
      <c r="CK95" s="32">
        <f>MAX( 0, MIN(BedPlan[[#This Row],[Expected End of Harvest]], EOMONTH(CK$4, 0)) - MAX(BedPlan[[#This Row],[Beginning of Harvest]], CK$4) + 1 )</f>
        <v>0</v>
      </c>
      <c r="CL95">
        <f>MAX( 0, MIN(BedPlan[[#This Row],[Expected End of Harvest]], EOMONTH(CL$4, 0)) - MAX(BedPlan[[#This Row],[Beginning of Harvest]], CL$4) + 1 )</f>
        <v>0</v>
      </c>
      <c r="CM95">
        <f>MAX( 0, MIN(BedPlan[[#This Row],[Expected End of Harvest]], EOMONTH(CM$4, 0)) - MAX(BedPlan[[#This Row],[Beginning of Harvest]], CM$4) + 1 )</f>
        <v>0</v>
      </c>
      <c r="CN95">
        <f>MAX( 0, MIN(BedPlan[[#This Row],[Expected End of Harvest]], EOMONTH(CN$4, 0)) - MAX(BedPlan[[#This Row],[Beginning of Harvest]], CN$4) + 1 )</f>
        <v>0</v>
      </c>
      <c r="CO95">
        <f>MAX( 0, MIN(BedPlan[[#This Row],[Expected End of Harvest]], EOMONTH(CO$4, 0)) - MAX(BedPlan[[#This Row],[Beginning of Harvest]], CO$4) + 1 )</f>
        <v>0</v>
      </c>
      <c r="CP95">
        <f>MAX( 0, MIN(BedPlan[[#This Row],[Expected End of Harvest]], EOMONTH(CP$4, 0)) - MAX(BedPlan[[#This Row],[Beginning of Harvest]], CP$4) + 1 )</f>
        <v>0</v>
      </c>
      <c r="CQ95">
        <f>MAX( 0, MIN(BedPlan[[#This Row],[Expected End of Harvest]], EOMONTH(CQ$4, 0)) - MAX(BedPlan[[#This Row],[Beginning of Harvest]], CQ$4) + 1 )</f>
        <v>0</v>
      </c>
      <c r="CR95">
        <f>MAX( 0, MIN(BedPlan[[#This Row],[Expected End of Harvest]], EOMONTH(CR$4, 0)) - MAX(BedPlan[[#This Row],[Beginning of Harvest]], CR$4) + 1 )</f>
        <v>14</v>
      </c>
      <c r="CS95">
        <f>MAX( 0, MIN(BedPlan[[#This Row],[Expected End of Harvest]], EOMONTH(CS$4, 0)) - MAX(BedPlan[[#This Row],[Beginning of Harvest]], CS$4) + 1 )</f>
        <v>30</v>
      </c>
      <c r="CT95">
        <f>MAX( 0, MIN(BedPlan[[#This Row],[Expected End of Harvest]], EOMONTH(CT$4, 0)) - MAX(BedPlan[[#This Row],[Beginning of Harvest]], CT$4) + 1 )</f>
        <v>31</v>
      </c>
      <c r="CU95">
        <f>MAX( 0, MIN(BedPlan[[#This Row],[Expected End of Harvest]], EOMONTH(CU$4, 0)) - MAX(BedPlan[[#This Row],[Beginning of Harvest]], CU$4) + 1 )</f>
        <v>30</v>
      </c>
      <c r="CV95">
        <f>MAX( 0, MIN(BedPlan[[#This Row],[Expected End of Harvest]], EOMONTH(CV$4, 0)) - MAX(BedPlan[[#This Row],[Beginning of Harvest]], CV$4) + 1 )</f>
        <v>22</v>
      </c>
      <c r="CW95">
        <f>MAX( 0, MIN(BedPlan[[#This Row],[Expected End of Harvest]], EOMONTH(CW$4, 0)) - MAX(BedPlan[[#This Row],[Beginning of Harvest]], CW$4) + 1 )</f>
        <v>0</v>
      </c>
      <c r="CX95">
        <f>MAX( 0, MIN(BedPlan[[#This Row],[Expected End of Harvest]], EOMONTH(CX$4, 0)) - MAX(BedPlan[[#This Row],[Beginning of Harvest]], CX$4) + 1 )</f>
        <v>0</v>
      </c>
      <c r="CY95">
        <f>MAX( 0, MIN(BedPlan[[#This Row],[Expected End of Harvest]], EOMONTH(CY$4, 0)) - MAX(BedPlan[[#This Row],[Beginning of Harvest]], CY$4) + 1 )</f>
        <v>0</v>
      </c>
      <c r="CZ95">
        <f>MAX( 0, MIN(BedPlan[[#This Row],[Expected End of Harvest]], EOMONTH(CZ$4, 0)) - MAX(BedPlan[[#This Row],[Beginning of Harvest]], CZ$4) + 1 )</f>
        <v>0</v>
      </c>
      <c r="DA95">
        <f>MAX( 0, MIN(BedPlan[[#This Row],[Expected End of Harvest]], EOMONTH(DA$4, 0)) - MAX(BedPlan[[#This Row],[Beginning of Harvest]], DA$4) + 1 )</f>
        <v>0</v>
      </c>
      <c r="DB95">
        <f>MAX( 0, MIN(BedPlan[[#This Row],[Expected End of Harvest]], EOMONTH(DB$4, 0)) - MAX(BedPlan[[#This Row],[Beginning of Harvest]], DB$4) + 1 )</f>
        <v>0</v>
      </c>
      <c r="DC95">
        <f>MAX( 0, MIN(BedPlan[[#This Row],[Expected End of Harvest]], EOMONTH(DC$4, 0)) - MAX(BedPlan[[#This Row],[Beginning of Harvest]], DC$4) + 1 )</f>
        <v>0</v>
      </c>
      <c r="DD95">
        <f>MAX( 0, MIN(BedPlan[[#This Row],[Expected End of Harvest]], EOMONTH(DD$4, 0)) - MAX(BedPlan[[#This Row],[Beginning of Harvest]], DD$4) + 1 )</f>
        <v>0</v>
      </c>
      <c r="DE95">
        <f>MAX( 0, MIN(BedPlan[[#This Row],[Expected End of Harvest]], EOMONTH(DE$4, 0)) - MAX(BedPlan[[#This Row],[Beginning of Harvest]], DE$4) + 1 )</f>
        <v>0</v>
      </c>
      <c r="DF95">
        <f>MAX( 0, MIN(BedPlan[[#This Row],[Expected End of Harvest]], EOMONTH(DF$4, 0)) - MAX(BedPlan[[#This Row],[Beginning of Harvest]], DF$4) + 1 )</f>
        <v>0</v>
      </c>
      <c r="DG95">
        <f>MAX( 0, MIN(BedPlan[[#This Row],[Expected End of Harvest]], EOMONTH(DG$4, 0)) - MAX(BedPlan[[#This Row],[Beginning of Harvest]], DG$4) + 1 )</f>
        <v>0</v>
      </c>
      <c r="DH95">
        <f>MAX( 0, MIN(BedPlan[[#This Row],[Expected End of Harvest]], EOMONTH(DH$4, 0)) - MAX(BedPlan[[#This Row],[Beginning of Harvest]], DH$4) + 1 )</f>
        <v>0</v>
      </c>
      <c r="DI95" s="257" cm="1">
        <f t="array" ref="DI95">BedPlan[[#This Row],[Harvest Days January 2025]]/SUM(BedPlan[[#This Row],[Harvest Days January 2025]:[Harvest Days December 2026]])*BedPlan[[#This Row],[Revenue]:[Revenue]]</f>
        <v>0</v>
      </c>
      <c r="DJ95" s="257" cm="1">
        <f t="array" ref="DJ95">BedPlan[[#This Row],[Harvest Days February 2025]]/SUM(BedPlan[[#This Row],[Harvest Days January 2025]:[Harvest Days December 2026]])*BedPlan[[#This Row],[Revenue]:[Revenue]]</f>
        <v>0</v>
      </c>
      <c r="DK95" s="257" cm="1">
        <f t="array" ref="DK95">BedPlan[[#This Row],[Harvest Days March 2025]]/SUM(BedPlan[[#This Row],[Harvest Days January 2025]:[Harvest Days December 2026]])*BedPlan[[#This Row],[Revenue]:[Revenue]]</f>
        <v>0</v>
      </c>
      <c r="DL95" s="257" cm="1">
        <f t="array" ref="DL95">BedPlan[[#This Row],[Harvest Days April 2025]]/SUM(BedPlan[[#This Row],[Harvest Days January 2025]:[Harvest Days December 2026]])*BedPlan[[#This Row],[Revenue]:[Revenue]]</f>
        <v>0</v>
      </c>
      <c r="DM95" s="257" cm="1">
        <f t="array" ref="DM95">BedPlan[[#This Row],[Harvest Days May 2025]]/SUM(BedPlan[[#This Row],[Harvest Days January 2025]:[Harvest Days December 2026]])*BedPlan[[#This Row],[Revenue]:[Revenue]]</f>
        <v>0</v>
      </c>
      <c r="DN95" s="257" cm="1">
        <f t="array" ref="DN95">BedPlan[[#This Row],[Harvest Days June 2025]]/SUM(BedPlan[[#This Row],[Harvest Days January 2025]:[Harvest Days December 2026]])*BedPlan[[#This Row],[Revenue]:[Revenue]]</f>
        <v>0</v>
      </c>
      <c r="DO95" s="257" cm="1">
        <f t="array" ref="DO95">BedPlan[[#This Row],[Harvest Days July 2025]]/SUM(BedPlan[[#This Row],[Harvest Days January 2025]:[Harvest Days December 2026]])*BedPlan[[#This Row],[Revenue]:[Revenue]]</f>
        <v>0</v>
      </c>
      <c r="DP95" s="257" cm="1">
        <f t="array" ref="DP95">BedPlan[[#This Row],[Harvest Days August 2025]]/SUM(BedPlan[[#This Row],[Harvest Days January 2025]:[Harvest Days December 2026]])*BedPlan[[#This Row],[Revenue]:[Revenue]]</f>
        <v>265.08366141732284</v>
      </c>
      <c r="DQ95" s="257" cm="1">
        <f t="array" ref="DQ95">BedPlan[[#This Row],[Harvest Days September 2025]]/SUM(BedPlan[[#This Row],[Harvest Days January 2025]:[Harvest Days December 2026]])*BedPlan[[#This Row],[Revenue]:[Revenue]]</f>
        <v>568.03641732283461</v>
      </c>
      <c r="DR95" s="257" cm="1">
        <f t="array" ref="DR95">BedPlan[[#This Row],[Harvest Days October 2025]]/SUM(BedPlan[[#This Row],[Harvest Days January 2025]:[Harvest Days December 2026]])*BedPlan[[#This Row],[Revenue]:[Revenue]]</f>
        <v>586.97096456692918</v>
      </c>
      <c r="DS95" s="257" cm="1">
        <f t="array" ref="DS95">BedPlan[[#This Row],[Harvest Days November 2025]]/SUM(BedPlan[[#This Row],[Harvest Days January 2025]:[Harvest Days December 2026]])*BedPlan[[#This Row],[Revenue]:[Revenue]]</f>
        <v>568.03641732283461</v>
      </c>
      <c r="DT95" s="257" cm="1">
        <f t="array" ref="DT95">BedPlan[[#This Row],[Harvest Days December 2025]]/SUM(BedPlan[[#This Row],[Harvest Days January 2025]:[Harvest Days December 2026]])*BedPlan[[#This Row],[Revenue]:[Revenue]]</f>
        <v>416.56003937007875</v>
      </c>
      <c r="DU95" s="257" cm="1">
        <f t="array" ref="DU95">BedPlan[[#This Row],[Harvest Days January 2026]]/SUM(BedPlan[[#This Row],[Harvest Days January 2025]:[Harvest Days December 2026]])*BedPlan[[#This Row],[Revenue]:[Revenue]]</f>
        <v>0</v>
      </c>
      <c r="DV95" s="257" cm="1">
        <f t="array" ref="DV95">BedPlan[[#This Row],[Harvest Days February 2026]]/SUM(BedPlan[[#This Row],[Harvest Days January 2025]:[Harvest Days December 2026]])*BedPlan[[#This Row],[Revenue]:[Revenue]]</f>
        <v>0</v>
      </c>
      <c r="DW95" s="257" cm="1">
        <f t="array" ref="DW95">BedPlan[[#This Row],[Harvest Days March 2026]]/SUM(BedPlan[[#This Row],[Harvest Days January 2025]:[Harvest Days December 2026]])*BedPlan[[#This Row],[Revenue]:[Revenue]]</f>
        <v>0</v>
      </c>
      <c r="DX95" s="257" cm="1">
        <f t="array" ref="DX95">BedPlan[[#This Row],[Harvest Days April 2026]]/SUM(BedPlan[[#This Row],[Harvest Days January 2025]:[Harvest Days December 2026]])*BedPlan[[#This Row],[Revenue]:[Revenue]]</f>
        <v>0</v>
      </c>
      <c r="DY95" s="257" cm="1">
        <f t="array" ref="DY95">BedPlan[[#This Row],[Harvest Days May 2026]]/SUM(BedPlan[[#This Row],[Harvest Days January 2025]:[Harvest Days December 2026]])*BedPlan[[#This Row],[Revenue]:[Revenue]]</f>
        <v>0</v>
      </c>
      <c r="DZ95" s="257" cm="1">
        <f t="array" ref="DZ95">BedPlan[[#This Row],[Harvest Days June 2026]]/SUM(BedPlan[[#This Row],[Harvest Days January 2025]:[Harvest Days December 2026]])*BedPlan[[#This Row],[Revenue]:[Revenue]]</f>
        <v>0</v>
      </c>
      <c r="EA95" s="257" cm="1">
        <f t="array" ref="EA95">BedPlan[[#This Row],[Harvest Days July 2026]]/SUM(BedPlan[[#This Row],[Harvest Days January 2025]:[Harvest Days December 2026]])*BedPlan[[#This Row],[Revenue]:[Revenue]]</f>
        <v>0</v>
      </c>
      <c r="EB95" s="257" cm="1">
        <f t="array" ref="EB95">BedPlan[[#This Row],[Harvest Days August 2026]]/SUM(BedPlan[[#This Row],[Harvest Days January 2025]:[Harvest Days December 2026]])*BedPlan[[#This Row],[Revenue]:[Revenue]]</f>
        <v>0</v>
      </c>
      <c r="EC95" s="257" cm="1">
        <f t="array" ref="EC95">BedPlan[[#This Row],[Harvest Days September 2026]]/SUM(BedPlan[[#This Row],[Harvest Days January 2025]:[Harvest Days December 2026]])*BedPlan[[#This Row],[Revenue]:[Revenue]]</f>
        <v>0</v>
      </c>
      <c r="ED95" s="257" cm="1">
        <f t="array" ref="ED95">BedPlan[[#This Row],[Harvest Days October 2026]]/SUM(BedPlan[[#This Row],[Harvest Days January 2025]:[Harvest Days December 2026]])*BedPlan[[#This Row],[Revenue]:[Revenue]]</f>
        <v>0</v>
      </c>
      <c r="EE95" s="257" cm="1">
        <f t="array" ref="EE95">BedPlan[[#This Row],[Harvest Days November 2026]]/SUM(BedPlan[[#This Row],[Harvest Days January 2025]:[Harvest Days December 2026]])*BedPlan[[#This Row],[Revenue]:[Revenue]]</f>
        <v>0</v>
      </c>
      <c r="EF95" s="257" cm="1">
        <f t="array" ref="EF95">BedPlan[[#This Row],[Harvest Days December 2026]]/SUM(BedPlan[[#This Row],[Harvest Days January 2025]:[Harvest Days December 2026]])*BedPlan[[#This Row],[Revenue]:[Revenue]]</f>
        <v>0</v>
      </c>
      <c r="EG95" t="b">
        <f>SUM(BedPlan[[#This Row],[Revenue January 2025]:[Revenue December 2026]])=BedPlan[[#This Row],[Revenue]]</f>
        <v>1</v>
      </c>
      <c r="EH95" s="30" cm="1">
        <f t="array" ref="EH95">INDEX(Crops[],BedPlan[[#This Row],[Chart Index]],EH$4,1)*BedPlan[[#This Row],['# Of Beds]]</f>
        <v>506.25</v>
      </c>
      <c r="EI95" s="30" t="str" cm="1">
        <f t="array" ref="EI95">INDEX(Crops[],BedPlan[[#This Row],[Chart Index]],EI$4,1)</f>
        <v>Lb</v>
      </c>
      <c r="EJ95" s="30" t="str" cm="1">
        <f t="array" ref="EJ95">INDEX(Crops[],BedPlan[[#This Row],[Chart Index]],EJ$4,1)</f>
        <v>Ripe Fruit Large</v>
      </c>
      <c r="EK95" s="30" t="str">
        <f>BedPlan[[#This Row],[Name]]&amp;" "&amp;BedPlan[[#This Row],[Product]]&amp; " - " &amp;BedPlan[[#This Row],[Unit]]</f>
        <v>Pepper Ripe Fruit Large - Lb</v>
      </c>
      <c r="EL95" s="33" cm="1">
        <f t="array" ref="EL95">BedPlan[[#This Row],[Harvest Days January 2025]]/SUM(BedPlan[[#This Row],[Harvest Days January 2025]:[Harvest Days December 2026]])*BedPlan[[#This Row],[Yield]:[Yield]]</f>
        <v>0</v>
      </c>
      <c r="EM95" s="33" cm="1">
        <f t="array" ref="EM95">BedPlan[[#This Row],[Harvest Days February 2025]]/SUM(BedPlan[[#This Row],[Harvest Days January 2025]:[Harvest Days December 2026]])*BedPlan[[#This Row],[Yield]:[Yield]]</f>
        <v>0</v>
      </c>
      <c r="EN95" s="33" cm="1">
        <f t="array" ref="EN95">BedPlan[[#This Row],[Harvest Days March 2025]]/SUM(BedPlan[[#This Row],[Harvest Days January 2025]:[Harvest Days December 2026]])*BedPlan[[#This Row],[Yield]:[Yield]]</f>
        <v>0</v>
      </c>
      <c r="EO95" s="33" cm="1">
        <f t="array" ref="EO95">BedPlan[[#This Row],[Harvest Days April 2025]]/SUM(BedPlan[[#This Row],[Harvest Days January 2025]:[Harvest Days December 2026]])*BedPlan[[#This Row],[Yield]:[Yield]]</f>
        <v>0</v>
      </c>
      <c r="EP95" s="33" cm="1">
        <f t="array" ref="EP95">BedPlan[[#This Row],[Harvest Days May 2025]]/SUM(BedPlan[[#This Row],[Harvest Days January 2025]:[Harvest Days December 2026]])*BedPlan[[#This Row],[Yield]:[Yield]]</f>
        <v>0</v>
      </c>
      <c r="EQ95" s="33" cm="1">
        <f t="array" ref="EQ95">BedPlan[[#This Row],[Harvest Days June 2025]]/SUM(BedPlan[[#This Row],[Harvest Days January 2025]:[Harvest Days December 2026]])*BedPlan[[#This Row],[Yield]:[Yield]]</f>
        <v>0</v>
      </c>
      <c r="ER95" s="33" cm="1">
        <f t="array" ref="ER95">BedPlan[[#This Row],[Harvest Days July 2025]]/SUM(BedPlan[[#This Row],[Harvest Days January 2025]:[Harvest Days December 2026]])*BedPlan[[#This Row],[Yield]:[Yield]]</f>
        <v>0</v>
      </c>
      <c r="ES95" s="33" cm="1">
        <f t="array" ref="ES95">BedPlan[[#This Row],[Harvest Days August 2025]]/SUM(BedPlan[[#This Row],[Harvest Days January 2025]:[Harvest Days December 2026]])*BedPlan[[#This Row],[Yield]:[Yield]]</f>
        <v>55.80708661417323</v>
      </c>
      <c r="ET95" s="33" cm="1">
        <f t="array" ref="ET95">BedPlan[[#This Row],[Harvest Days September 2025]]/SUM(BedPlan[[#This Row],[Harvest Days January 2025]:[Harvest Days December 2026]])*BedPlan[[#This Row],[Yield]:[Yield]]</f>
        <v>119.58661417322834</v>
      </c>
      <c r="EU95" s="33" cm="1">
        <f t="array" ref="EU95">BedPlan[[#This Row],[Harvest Days October 2025]]/SUM(BedPlan[[#This Row],[Harvest Days January 2025]:[Harvest Days December 2026]])*BedPlan[[#This Row],[Yield]:[Yield]]</f>
        <v>123.5728346456693</v>
      </c>
      <c r="EV95" s="33" cm="1">
        <f t="array" ref="EV95">BedPlan[[#This Row],[Harvest Days November 2025]]/SUM(BedPlan[[#This Row],[Harvest Days January 2025]:[Harvest Days December 2026]])*BedPlan[[#This Row],[Yield]:[Yield]]</f>
        <v>119.58661417322834</v>
      </c>
      <c r="EW95" s="33" cm="1">
        <f t="array" ref="EW95">BedPlan[[#This Row],[Harvest Days December 2025]]/SUM(BedPlan[[#This Row],[Harvest Days January 2025]:[Harvest Days December 2026]])*BedPlan[[#This Row],[Yield]:[Yield]]</f>
        <v>87.696850393700785</v>
      </c>
    </row>
    <row r="96" spans="1:153" ht="15.75" customHeight="1">
      <c r="A96" s="190" t="s">
        <v>2612</v>
      </c>
      <c r="B96" t="s">
        <v>2661</v>
      </c>
      <c r="C96" t="s">
        <v>1488</v>
      </c>
      <c r="D96" cm="1">
        <f t="array" ref="D96">INDEX(Crops[],BedPlan[[#This Row],[Chart Index]],D$4,1)*BedPlan[[#This Row],[Full Bed Equivalent]]</f>
        <v>28.125000000000004</v>
      </c>
      <c r="E96" cm="1">
        <f t="array" ref="E96">INDEX(Crops[],BedPlan[[#This Row],[Chart Index]],E$4,1)*BedPlan[[#This Row],[Full Bed Equivalent]]</f>
        <v>281.25</v>
      </c>
      <c r="F96" t="str">
        <f>UPPER(LEFT(BedPlan[[#This Row],[Crop]],3))</f>
        <v>PEP</v>
      </c>
      <c r="H96" s="143" t="str" cm="1">
        <f t="array" ref="H96">INDEX(Crops[],BedPlan[[#This Row],[Chart Index]],H$4,1)</f>
        <v>Pepper</v>
      </c>
      <c r="I96" t="s">
        <v>848</v>
      </c>
      <c r="J96" t="s">
        <v>503</v>
      </c>
      <c r="K96" t="str" cm="1">
        <f t="array" ref="K96">IF(ISNUMBER(MATCH(BedPlan[[#This Row],[Variety]],SeedMixes[Name],)),_xlfn.TEXTJOIN(", ",TRUE,_xlfn._xlws.FILTER(SeedMixes[Variety &amp; Company],SeedMixes[Name]=BedPlan[[#This Row],[Variety]])),"")</f>
        <v/>
      </c>
      <c r="L96" s="33" cm="1">
        <f t="array" ref="L96">INDEX(Crops[],BedPlan[[#This Row],[Chart Index]],L$4,1)*BedPlan[[#This Row],[Full Bed Equivalent]]</f>
        <v>65</v>
      </c>
      <c r="N96">
        <v>0.5</v>
      </c>
      <c r="O96">
        <f>MAX(BedPlan[[#This Row],['# Of Beds]],0.5)</f>
        <v>0.5</v>
      </c>
      <c r="P96" s="31">
        <f>IF(ISNUMBER(BedPlan[[#This Row],[Planned Greenhouse Start Date]]),BedPlan[[#This Row],[Planned Greenhouse Start Date]],BedPlan[[#This Row],[Planned TP or DS Date]])</f>
        <v>45723</v>
      </c>
      <c r="Q96" s="259">
        <f>IF(BedPlan[[#This Row],[Days in Cells]]=0,"",IFERROR(_xlfn.XLOOKUP(BedPlan[[#This Row],[Follows Crop]],BedPlan[Identifier],BedPlan[Expected End of Harvest]) + 1+BedPlan[[#This Row],[Follow Offset]],BedPlan[[#This Row],[Fixed Field Start Date]])-BedPlan[[#This Row],[Days in Cells]])</f>
        <v>45723</v>
      </c>
      <c r="R96" s="259">
        <v>45737</v>
      </c>
      <c r="S96" s="259">
        <f>IF(ISNUMBER(BedPlan[[#This Row],[Actual Greenhouse Date]]),BedPlan[[#This Row],[Actual Greenhouse Date]],BedPlan[[#This Row],[Planned Greenhouse Start Date]])</f>
        <v>45737</v>
      </c>
      <c r="T96" s="259">
        <f>_xlfn.XLOOKUP(BedPlan[[#This Row],[Crop]],Crops[Identifier],Crops[Target Field Date])</f>
        <v>45813</v>
      </c>
      <c r="U96" s="260"/>
      <c r="V96" s="260"/>
      <c r="W9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6" s="259">
        <v>45826</v>
      </c>
      <c r="Y96" s="271">
        <f>BedPlan[[#This Row],[Actual TP or DS Date]]-BedPlan[[#This Row],[Planned TP or DS Date]]</f>
        <v>-1</v>
      </c>
      <c r="Z96" s="259">
        <f>IF(ISNUMBER(BedPlan[[#This Row],[Actual TP or DS Date]]),BedPlan[[#This Row],[Actual TP or DS Date]],BedPlan[[#This Row],[Planned TP or DS Date]])</f>
        <v>45826</v>
      </c>
      <c r="AA96" s="260"/>
      <c r="AB96" s="259">
        <f>IF(ISNUMBER(BedPlan[[#This Row],[Greenhouse Start Date]]),BedPlan[[#This Row],[Greenhouse Start Date]]+BedPlan[[#This Row],[DTM]],BedPlan[[#This Row],[TP or DS Date]]+BedPlan[[#This Row],[DTM]])</f>
        <v>45887</v>
      </c>
      <c r="AC96" s="259"/>
      <c r="AD96" s="259">
        <f>IF(ISNUMBER(BedPlan[[#This Row],[Actual Beginning of Harvest]]),BedPlan[[#This Row],[Actual Beginning of Harvest]],BedPlan[[#This Row],[Expected Beginning of Harvest]])</f>
        <v>45887</v>
      </c>
      <c r="AE96" s="259">
        <f>BedPlan[[#This Row],[Expected Beginning of Harvest]]+BedPlan[[#This Row],[Harvest Window]]+BedPlan[[#This Row],[Additional Days of Harvest]]</f>
        <v>45957</v>
      </c>
      <c r="AF96" s="259"/>
      <c r="AG96" s="259"/>
      <c r="AH96" s="31" t="b">
        <f>IF(AND( BedPlan[[#This Row],[Expected End of Harvest]] &gt;= DATE(2025, 8, 1), BedPlan[[#This Row],[Beginning of Harvest]] &lt;= DATE(2025, 8, 31) ), TRUE, FALSE)</f>
        <v>1</v>
      </c>
      <c r="AI96" s="31"/>
      <c r="AJ96" s="31">
        <f>IF(ISNUMBER(BedPlan[[#This Row],[Actual End of Harvest]]),BedPlan[[#This Row],[Actual End of Harvest]],BedPlan[[#This Row],[Expected End of Harvest]])</f>
        <v>45957</v>
      </c>
      <c r="AK96" t="b">
        <f>OR(ISNUMBER(BedPlan[[#This Row],[Actual Greenhouse Date]]),ISNUMBER(BedPlan[[#This Row],[Actual TP or DS Date]]))</f>
        <v>1</v>
      </c>
      <c r="AL96" s="52" t="b">
        <f>IF(ISNUMBER(BedPlan[[#This Row],[Planned Greenhouse Start Date]]),OR(ISNUMBER(BedPlan[[#This Row],[Actual TP or DS Date]]),BedPlan[[#This Row],[Failed]]),"-")</f>
        <v>1</v>
      </c>
      <c r="AM96" t="b">
        <f>OR(ISNUMBER(BedPlan[[#This Row],[Actual End of Harvest]]),BedPlan[[#This Row],[Failed]])</f>
        <v>0</v>
      </c>
      <c r="AN96" t="b">
        <f>OR(BedPlan[[#This Row],[Harvest Done]],BedPlan[[#This Row],[Failed]],BedPlan[[#This Row],[Name]]="Tarp")</f>
        <v>0</v>
      </c>
      <c r="AQ96" t="s">
        <v>3237</v>
      </c>
      <c r="AS96" s="26" t="str">
        <f>IF(BedPlan[[#This Row],[Broadfork]],BedPlan[[#This Row],[Actual TP or DS Date]],"")</f>
        <v/>
      </c>
      <c r="AT96" s="26" t="str">
        <f>IF(BedPlan[[#This Row],[Tilther]],BedPlan[[#This Row],[Actual TP or DS Date]],"")</f>
        <v/>
      </c>
      <c r="AU96" s="26">
        <f>IF(NOT(ISBLANK(BedPlan[[#This Row],[Amend]])),BedPlan[[#This Row],[Actual TP or DS Date]],"")</f>
        <v>45826</v>
      </c>
      <c r="AV96" s="26" t="str">
        <f>IF(BedPlan[[#This Row],[Row Cover]],BedPlan[[#This Row],[Actual TP or DS Date]],"")</f>
        <v/>
      </c>
      <c r="AX96" s="26"/>
      <c r="AZ96" s="26"/>
      <c r="BB96" s="26"/>
      <c r="BC96" s="231" cm="1">
        <f t="array" ref="BC96">INDEX(Crops[],BedPlan[[#This Row],[Chart Index]],BC$4,1)*BedPlan[[#This Row],[Full Bed Equivalent]]</f>
        <v>562.5</v>
      </c>
      <c r="BD96" s="231" cm="1">
        <f t="array" ref="BD96">INDEX(Crops[],BedPlan[[#This Row],[Chart Index]],BD$4,1)*BedPlan[[#This Row],[Full Bed Equivalent]]</f>
        <v>4.3269230769230766</v>
      </c>
      <c r="BE96" cm="1">
        <f t="array" ref="BE96">INDEX(Crops[],BedPlan[[#This Row],[Chart Index]],BE$4,1)+BedPlan[[#This Row],[Additional Days in Cells]]+BedPlan[[#This Row],[Additional Days In Field]]</f>
        <v>150</v>
      </c>
      <c r="BG96" cm="1">
        <f t="array" ref="BG96">INDEX(Crops[],BedPlan[[#This Row],[Chart Index]],BG$4,1)</f>
        <v>70</v>
      </c>
      <c r="BH96" t="str">
        <f>IF(ISNUMBER(BedPlan[[#This Row],[Planned Greenhouse Start Date]]),"TP","DS")</f>
        <v>TP</v>
      </c>
      <c r="BI96">
        <f>BedPlan[[#This Row],['# Of Beds]]</f>
        <v>0.5</v>
      </c>
      <c r="BJ96" cm="1">
        <f t="array" ref="BJ96">INDEX(Crops[],BedPlan[[#This Row],[Chart Index]],BJ$4,1)</f>
        <v>90</v>
      </c>
      <c r="BK96" cm="1">
        <f t="array" ref="BK96">INDEX(Crops[],BedPlan[[#This Row],[Chart Index]],BK$4,1)</f>
        <v>2</v>
      </c>
      <c r="BL96" cm="1">
        <f t="array" ref="BL96">INDEX(Crops[],BedPlan[[#This Row],[Chart Index]],BL$4,1)</f>
        <v>12</v>
      </c>
      <c r="BM96" cm="1">
        <f t="array" ref="BM96">INDEX(Crops[],BedPlan[[#This Row],[Chart Index]],BM$4,1)</f>
        <v>1</v>
      </c>
      <c r="BN96" s="32" cm="1">
        <f t="array" ref="BN96">INDEX(Crops[],BedPlan[[#This Row],[Chart Index]],BN$4,1)*BedPlan[[#This Row],[Full Bed Equivalent]]</f>
        <v>50</v>
      </c>
      <c r="BO96" t="str" cm="1">
        <f t="array" ref="BO96">IF(INDEX(Crops[],BedPlan[[#This Row],[Chart Index]],BO$4,1)=0,"",INDEX(Crops[],BedPlan[[#This Row],[Chart Index]],BO$4,1))</f>
        <v>DR</v>
      </c>
      <c r="BP96">
        <f>MATCH(BedPlan[[#This Row],[Crop]],Crops[Identifier],FALSE)</f>
        <v>243</v>
      </c>
      <c r="BQ96" t="str" cm="1">
        <f t="array" ref="BQ96">INDEX(Crops[],BedPlan[[#This Row],[Chart Index]],BQ$4,1)</f>
        <v>Hot</v>
      </c>
      <c r="BR96" t="str" cm="1">
        <f t="array" ref="BR96">INDEX(Crops[],BedPlan[[#This Row],[Chart Index]],BR$4,1)</f>
        <v/>
      </c>
      <c r="BS96" s="32">
        <f>BedPlan[[#This Row],[Expected Beginning of Harvest]]-DATE(2023,1,1)</f>
        <v>960</v>
      </c>
      <c r="BT96">
        <f>BedPlan[[#This Row],[Expected End of Harvest]]-BedPlan[[#This Row],[Expected Beginning of Harvest]]</f>
        <v>70</v>
      </c>
      <c r="BU96" t="str" cm="1">
        <f t="array" ref="BU96">INDEX(Crops[],BedPlan[[#This Row],[Chart Index]],BU$4,1)</f>
        <v>Pepper</v>
      </c>
      <c r="BV96" cm="1">
        <f t="array" ref="BV96">INDEX(Crops[],BedPlan[[#This Row],[Chart Index]],BV$4,1)</f>
        <v>4</v>
      </c>
      <c r="BW96" t="str" cm="1">
        <f t="array" ref="BW96">INDEX(Crops[],BedPlan[[#This Row],[Chart Index]],BW$4,1)</f>
        <v>None</v>
      </c>
      <c r="BX96" cm="1">
        <f t="array" ref="BX96">INDEX(Crops[],BedPlan[[#This Row],[Chart Index]],BX$4,1)</f>
        <v>128</v>
      </c>
      <c r="BY96" cm="1">
        <f t="array" ref="BY96">INDEX(Crops[],BedPlan[[#This Row],[Chart Index]],BY$4,1)</f>
        <v>28</v>
      </c>
      <c r="BZ96" s="49" cm="1">
        <f t="array" ref="BZ96">IFERROR(INDEX(Crops[],BedPlan[[#This Row],[Chart Index]],BZ$4,1)*BedPlan[[#This Row],[Full Bed Equivalent]],"")</f>
        <v>0.5078125</v>
      </c>
      <c r="CA96" cm="1">
        <f t="array" ref="CA96">INDEX(Crops[],BedPlan[[#This Row],[Chart Index]],CA$4,1)</f>
        <v>18</v>
      </c>
      <c r="CB96" cm="1">
        <f t="array" ref="CB96">INDEX(Crops[],BedPlan[[#This Row],[Chart Index]],CB$4,1)</f>
        <v>62</v>
      </c>
      <c r="CC96" s="49" cm="1">
        <f t="array" ref="CC96">IFERROR(INDEX(Crops[],BedPlan[[#This Row],[Chart Index]],CC$4,1)*BedPlan[[#This Row],[Full Bed Equivalent]],"")</f>
        <v>3.6111111111111112</v>
      </c>
      <c r="CD96" cm="1">
        <f t="array" ref="CD96">INDEX(Crops[],BedPlan[[#This Row],[Chart Index]],CD$4,1)</f>
        <v>0</v>
      </c>
      <c r="CE96" cm="1">
        <f t="array" ref="CE96">IF(INDEX(Crops[],BedPlan[[#This Row],[Chart Index]],CE$4,1)="",0,INDEX(Crops[],BedPlan[[#This Row],[Chart Index]],CE$4,1))</f>
        <v>0</v>
      </c>
      <c r="CF96" s="49" t="str" cm="1">
        <f t="array" ref="CF96">IFERROR(INDEX(Crops[],BedPlan[[#This Row],[Chart Index]],CF$4,1)*BedPlan[[#This Row],[Full Bed Equivalent]],"")</f>
        <v/>
      </c>
      <c r="CG96" cm="1">
        <f t="array" ref="CG96">IF(INDEX(Crops[],BedPlan[[#This Row],[Chart Index]],CG$4,1)="",0,INDEX(Crops[],BedPlan[[#This Row],[Chart Index]],CG$4,1))</f>
        <v>1.3</v>
      </c>
      <c r="CH96" cm="1">
        <f t="array" ref="CH96">IF(INDEX(Crops[],BedPlan[[#This Row],[Chart Index]],CH$4,1)="",0,INDEX(Crops[],BedPlan[[#This Row],[Chart Index]],CH$4,1))</f>
        <v>0</v>
      </c>
      <c r="CI96" t="str" cm="1">
        <f t="array" ref="CI96">INDEX(Crops[],BedPlan[[#This Row],[Chart Index]],CI$4,1)</f>
        <v>Field</v>
      </c>
      <c r="CJ96" s="30" t="str">
        <f>_xlfn.TEXTJOIN(CHAR(10),FALSE,BedPlan[[#This Row],[Name]],BedPlan[[#This Row],[Variety]],BedPlan[[#This Row],[Company]])</f>
        <v>Pepper
Shishito
Osborne</v>
      </c>
      <c r="CK96" s="32">
        <f>MAX( 0, MIN(BedPlan[[#This Row],[Expected End of Harvest]], EOMONTH(CK$4, 0)) - MAX(BedPlan[[#This Row],[Beginning of Harvest]], CK$4) + 1 )</f>
        <v>0</v>
      </c>
      <c r="CL96">
        <f>MAX( 0, MIN(BedPlan[[#This Row],[Expected End of Harvest]], EOMONTH(CL$4, 0)) - MAX(BedPlan[[#This Row],[Beginning of Harvest]], CL$4) + 1 )</f>
        <v>0</v>
      </c>
      <c r="CM96">
        <f>MAX( 0, MIN(BedPlan[[#This Row],[Expected End of Harvest]], EOMONTH(CM$4, 0)) - MAX(BedPlan[[#This Row],[Beginning of Harvest]], CM$4) + 1 )</f>
        <v>0</v>
      </c>
      <c r="CN96">
        <f>MAX( 0, MIN(BedPlan[[#This Row],[Expected End of Harvest]], EOMONTH(CN$4, 0)) - MAX(BedPlan[[#This Row],[Beginning of Harvest]], CN$4) + 1 )</f>
        <v>0</v>
      </c>
      <c r="CO96">
        <f>MAX( 0, MIN(BedPlan[[#This Row],[Expected End of Harvest]], EOMONTH(CO$4, 0)) - MAX(BedPlan[[#This Row],[Beginning of Harvest]], CO$4) + 1 )</f>
        <v>0</v>
      </c>
      <c r="CP96">
        <f>MAX( 0, MIN(BedPlan[[#This Row],[Expected End of Harvest]], EOMONTH(CP$4, 0)) - MAX(BedPlan[[#This Row],[Beginning of Harvest]], CP$4) + 1 )</f>
        <v>0</v>
      </c>
      <c r="CQ96">
        <f>MAX( 0, MIN(BedPlan[[#This Row],[Expected End of Harvest]], EOMONTH(CQ$4, 0)) - MAX(BedPlan[[#This Row],[Beginning of Harvest]], CQ$4) + 1 )</f>
        <v>0</v>
      </c>
      <c r="CR96">
        <f>MAX( 0, MIN(BedPlan[[#This Row],[Expected End of Harvest]], EOMONTH(CR$4, 0)) - MAX(BedPlan[[#This Row],[Beginning of Harvest]], CR$4) + 1 )</f>
        <v>14</v>
      </c>
      <c r="CS96">
        <f>MAX( 0, MIN(BedPlan[[#This Row],[Expected End of Harvest]], EOMONTH(CS$4, 0)) - MAX(BedPlan[[#This Row],[Beginning of Harvest]], CS$4) + 1 )</f>
        <v>30</v>
      </c>
      <c r="CT96">
        <f>MAX( 0, MIN(BedPlan[[#This Row],[Expected End of Harvest]], EOMONTH(CT$4, 0)) - MAX(BedPlan[[#This Row],[Beginning of Harvest]], CT$4) + 1 )</f>
        <v>27</v>
      </c>
      <c r="CU96">
        <f>MAX( 0, MIN(BedPlan[[#This Row],[Expected End of Harvest]], EOMONTH(CU$4, 0)) - MAX(BedPlan[[#This Row],[Beginning of Harvest]], CU$4) + 1 )</f>
        <v>0</v>
      </c>
      <c r="CV96">
        <f>MAX( 0, MIN(BedPlan[[#This Row],[Expected End of Harvest]], EOMONTH(CV$4, 0)) - MAX(BedPlan[[#This Row],[Beginning of Harvest]], CV$4) + 1 )</f>
        <v>0</v>
      </c>
      <c r="CW96">
        <f>MAX( 0, MIN(BedPlan[[#This Row],[Expected End of Harvest]], EOMONTH(CW$4, 0)) - MAX(BedPlan[[#This Row],[Beginning of Harvest]], CW$4) + 1 )</f>
        <v>0</v>
      </c>
      <c r="CX96">
        <f>MAX( 0, MIN(BedPlan[[#This Row],[Expected End of Harvest]], EOMONTH(CX$4, 0)) - MAX(BedPlan[[#This Row],[Beginning of Harvest]], CX$4) + 1 )</f>
        <v>0</v>
      </c>
      <c r="CY96">
        <f>MAX( 0, MIN(BedPlan[[#This Row],[Expected End of Harvest]], EOMONTH(CY$4, 0)) - MAX(BedPlan[[#This Row],[Beginning of Harvest]], CY$4) + 1 )</f>
        <v>0</v>
      </c>
      <c r="CZ96">
        <f>MAX( 0, MIN(BedPlan[[#This Row],[Expected End of Harvest]], EOMONTH(CZ$4, 0)) - MAX(BedPlan[[#This Row],[Beginning of Harvest]], CZ$4) + 1 )</f>
        <v>0</v>
      </c>
      <c r="DA96">
        <f>MAX( 0, MIN(BedPlan[[#This Row],[Expected End of Harvest]], EOMONTH(DA$4, 0)) - MAX(BedPlan[[#This Row],[Beginning of Harvest]], DA$4) + 1 )</f>
        <v>0</v>
      </c>
      <c r="DB96">
        <f>MAX( 0, MIN(BedPlan[[#This Row],[Expected End of Harvest]], EOMONTH(DB$4, 0)) - MAX(BedPlan[[#This Row],[Beginning of Harvest]], DB$4) + 1 )</f>
        <v>0</v>
      </c>
      <c r="DC96">
        <f>MAX( 0, MIN(BedPlan[[#This Row],[Expected End of Harvest]], EOMONTH(DC$4, 0)) - MAX(BedPlan[[#This Row],[Beginning of Harvest]], DC$4) + 1 )</f>
        <v>0</v>
      </c>
      <c r="DD96">
        <f>MAX( 0, MIN(BedPlan[[#This Row],[Expected End of Harvest]], EOMONTH(DD$4, 0)) - MAX(BedPlan[[#This Row],[Beginning of Harvest]], DD$4) + 1 )</f>
        <v>0</v>
      </c>
      <c r="DE96">
        <f>MAX( 0, MIN(BedPlan[[#This Row],[Expected End of Harvest]], EOMONTH(DE$4, 0)) - MAX(BedPlan[[#This Row],[Beginning of Harvest]], DE$4) + 1 )</f>
        <v>0</v>
      </c>
      <c r="DF96">
        <f>MAX( 0, MIN(BedPlan[[#This Row],[Expected End of Harvest]], EOMONTH(DF$4, 0)) - MAX(BedPlan[[#This Row],[Beginning of Harvest]], DF$4) + 1 )</f>
        <v>0</v>
      </c>
      <c r="DG96">
        <f>MAX( 0, MIN(BedPlan[[#This Row],[Expected End of Harvest]], EOMONTH(DG$4, 0)) - MAX(BedPlan[[#This Row],[Beginning of Harvest]], DG$4) + 1 )</f>
        <v>0</v>
      </c>
      <c r="DH96">
        <f>MAX( 0, MIN(BedPlan[[#This Row],[Expected End of Harvest]], EOMONTH(DH$4, 0)) - MAX(BedPlan[[#This Row],[Beginning of Harvest]], DH$4) + 1 )</f>
        <v>0</v>
      </c>
      <c r="DI96" s="257" cm="1">
        <f t="array" ref="DI96">BedPlan[[#This Row],[Harvest Days January 2025]]/SUM(BedPlan[[#This Row],[Harvest Days January 2025]:[Harvest Days December 2026]])*BedPlan[[#This Row],[Revenue]:[Revenue]]</f>
        <v>0</v>
      </c>
      <c r="DJ96" s="257" cm="1">
        <f t="array" ref="DJ96">BedPlan[[#This Row],[Harvest Days February 2025]]/SUM(BedPlan[[#This Row],[Harvest Days January 2025]:[Harvest Days December 2026]])*BedPlan[[#This Row],[Revenue]:[Revenue]]</f>
        <v>0</v>
      </c>
      <c r="DK96" s="257" cm="1">
        <f t="array" ref="DK96">BedPlan[[#This Row],[Harvest Days March 2025]]/SUM(BedPlan[[#This Row],[Harvest Days January 2025]:[Harvest Days December 2026]])*BedPlan[[#This Row],[Revenue]:[Revenue]]</f>
        <v>0</v>
      </c>
      <c r="DL96" s="257" cm="1">
        <f t="array" ref="DL96">BedPlan[[#This Row],[Harvest Days April 2025]]/SUM(BedPlan[[#This Row],[Harvest Days January 2025]:[Harvest Days December 2026]])*BedPlan[[#This Row],[Revenue]:[Revenue]]</f>
        <v>0</v>
      </c>
      <c r="DM96" s="257" cm="1">
        <f t="array" ref="DM96">BedPlan[[#This Row],[Harvest Days May 2025]]/SUM(BedPlan[[#This Row],[Harvest Days January 2025]:[Harvest Days December 2026]])*BedPlan[[#This Row],[Revenue]:[Revenue]]</f>
        <v>0</v>
      </c>
      <c r="DN96" s="257" cm="1">
        <f t="array" ref="DN96">BedPlan[[#This Row],[Harvest Days June 2025]]/SUM(BedPlan[[#This Row],[Harvest Days January 2025]:[Harvest Days December 2026]])*BedPlan[[#This Row],[Revenue]:[Revenue]]</f>
        <v>0</v>
      </c>
      <c r="DO96" s="257" cm="1">
        <f t="array" ref="DO96">BedPlan[[#This Row],[Harvest Days July 2025]]/SUM(BedPlan[[#This Row],[Harvest Days January 2025]:[Harvest Days December 2026]])*BedPlan[[#This Row],[Revenue]:[Revenue]]</f>
        <v>0</v>
      </c>
      <c r="DP96" s="257" cm="1">
        <f t="array" ref="DP96">BedPlan[[#This Row],[Harvest Days August 2025]]/SUM(BedPlan[[#This Row],[Harvest Days January 2025]:[Harvest Days December 2026]])*BedPlan[[#This Row],[Revenue]:[Revenue]]</f>
        <v>110.91549295774647</v>
      </c>
      <c r="DQ96" s="257" cm="1">
        <f t="array" ref="DQ96">BedPlan[[#This Row],[Harvest Days September 2025]]/SUM(BedPlan[[#This Row],[Harvest Days January 2025]:[Harvest Days December 2026]])*BedPlan[[#This Row],[Revenue]:[Revenue]]</f>
        <v>237.67605633802816</v>
      </c>
      <c r="DR96" s="257" cm="1">
        <f t="array" ref="DR96">BedPlan[[#This Row],[Harvest Days October 2025]]/SUM(BedPlan[[#This Row],[Harvest Days January 2025]:[Harvest Days December 2026]])*BedPlan[[#This Row],[Revenue]:[Revenue]]</f>
        <v>213.90845070422534</v>
      </c>
      <c r="DS96" s="257" cm="1">
        <f t="array" ref="DS96">BedPlan[[#This Row],[Harvest Days November 2025]]/SUM(BedPlan[[#This Row],[Harvest Days January 2025]:[Harvest Days December 2026]])*BedPlan[[#This Row],[Revenue]:[Revenue]]</f>
        <v>0</v>
      </c>
      <c r="DT96" s="257" cm="1">
        <f t="array" ref="DT96">BedPlan[[#This Row],[Harvest Days December 2025]]/SUM(BedPlan[[#This Row],[Harvest Days January 2025]:[Harvest Days December 2026]])*BedPlan[[#This Row],[Revenue]:[Revenue]]</f>
        <v>0</v>
      </c>
      <c r="DU96" s="257" cm="1">
        <f t="array" ref="DU96">BedPlan[[#This Row],[Harvest Days January 2026]]/SUM(BedPlan[[#This Row],[Harvest Days January 2025]:[Harvest Days December 2026]])*BedPlan[[#This Row],[Revenue]:[Revenue]]</f>
        <v>0</v>
      </c>
      <c r="DV96" s="257" cm="1">
        <f t="array" ref="DV96">BedPlan[[#This Row],[Harvest Days February 2026]]/SUM(BedPlan[[#This Row],[Harvest Days January 2025]:[Harvest Days December 2026]])*BedPlan[[#This Row],[Revenue]:[Revenue]]</f>
        <v>0</v>
      </c>
      <c r="DW96" s="257" cm="1">
        <f t="array" ref="DW96">BedPlan[[#This Row],[Harvest Days March 2026]]/SUM(BedPlan[[#This Row],[Harvest Days January 2025]:[Harvest Days December 2026]])*BedPlan[[#This Row],[Revenue]:[Revenue]]</f>
        <v>0</v>
      </c>
      <c r="DX96" s="257" cm="1">
        <f t="array" ref="DX96">BedPlan[[#This Row],[Harvest Days April 2026]]/SUM(BedPlan[[#This Row],[Harvest Days January 2025]:[Harvest Days December 2026]])*BedPlan[[#This Row],[Revenue]:[Revenue]]</f>
        <v>0</v>
      </c>
      <c r="DY96" s="257" cm="1">
        <f t="array" ref="DY96">BedPlan[[#This Row],[Harvest Days May 2026]]/SUM(BedPlan[[#This Row],[Harvest Days January 2025]:[Harvest Days December 2026]])*BedPlan[[#This Row],[Revenue]:[Revenue]]</f>
        <v>0</v>
      </c>
      <c r="DZ96" s="257" cm="1">
        <f t="array" ref="DZ96">BedPlan[[#This Row],[Harvest Days June 2026]]/SUM(BedPlan[[#This Row],[Harvest Days January 2025]:[Harvest Days December 2026]])*BedPlan[[#This Row],[Revenue]:[Revenue]]</f>
        <v>0</v>
      </c>
      <c r="EA96" s="257" cm="1">
        <f t="array" ref="EA96">BedPlan[[#This Row],[Harvest Days July 2026]]/SUM(BedPlan[[#This Row],[Harvest Days January 2025]:[Harvest Days December 2026]])*BedPlan[[#This Row],[Revenue]:[Revenue]]</f>
        <v>0</v>
      </c>
      <c r="EB96" s="257" cm="1">
        <f t="array" ref="EB96">BedPlan[[#This Row],[Harvest Days August 2026]]/SUM(BedPlan[[#This Row],[Harvest Days January 2025]:[Harvest Days December 2026]])*BedPlan[[#This Row],[Revenue]:[Revenue]]</f>
        <v>0</v>
      </c>
      <c r="EC96" s="257" cm="1">
        <f t="array" ref="EC96">BedPlan[[#This Row],[Harvest Days September 2026]]/SUM(BedPlan[[#This Row],[Harvest Days January 2025]:[Harvest Days December 2026]])*BedPlan[[#This Row],[Revenue]:[Revenue]]</f>
        <v>0</v>
      </c>
      <c r="ED96" s="257" cm="1">
        <f t="array" ref="ED96">BedPlan[[#This Row],[Harvest Days October 2026]]/SUM(BedPlan[[#This Row],[Harvest Days January 2025]:[Harvest Days December 2026]])*BedPlan[[#This Row],[Revenue]:[Revenue]]</f>
        <v>0</v>
      </c>
      <c r="EE96" s="257" cm="1">
        <f t="array" ref="EE96">BedPlan[[#This Row],[Harvest Days November 2026]]/SUM(BedPlan[[#This Row],[Harvest Days January 2025]:[Harvest Days December 2026]])*BedPlan[[#This Row],[Revenue]:[Revenue]]</f>
        <v>0</v>
      </c>
      <c r="EF96" s="257" cm="1">
        <f t="array" ref="EF96">BedPlan[[#This Row],[Harvest Days December 2026]]/SUM(BedPlan[[#This Row],[Harvest Days January 2025]:[Harvest Days December 2026]])*BedPlan[[#This Row],[Revenue]:[Revenue]]</f>
        <v>0</v>
      </c>
      <c r="EG96" t="b">
        <f>SUM(BedPlan[[#This Row],[Revenue January 2025]:[Revenue December 2026]])=BedPlan[[#This Row],[Revenue]]</f>
        <v>1</v>
      </c>
      <c r="EH96" s="30" cm="1">
        <f t="array" ref="EH96">INDEX(Crops[],BedPlan[[#This Row],[Chart Index]],EH$4,1)*BedPlan[[#This Row],['# Of Beds]]</f>
        <v>70.3125</v>
      </c>
      <c r="EI96" s="30" t="str" cm="1">
        <f t="array" ref="EI96">INDEX(Crops[],BedPlan[[#This Row],[Chart Index]],EI$4,1)</f>
        <v>Lb</v>
      </c>
      <c r="EJ96" s="30" t="str" cm="1">
        <f t="array" ref="EJ96">INDEX(Crops[],BedPlan[[#This Row],[Chart Index]],EJ$4,1)</f>
        <v>Ripe Fruit Small</v>
      </c>
      <c r="EK96" s="30" t="str">
        <f>BedPlan[[#This Row],[Name]]&amp;" "&amp;BedPlan[[#This Row],[Product]]&amp; " - " &amp;BedPlan[[#This Row],[Unit]]</f>
        <v>Pepper Ripe Fruit Small - Lb</v>
      </c>
      <c r="EL96" s="33" cm="1">
        <f t="array" ref="EL96">BedPlan[[#This Row],[Harvest Days January 2025]]/SUM(BedPlan[[#This Row],[Harvest Days January 2025]:[Harvest Days December 2026]])*BedPlan[[#This Row],[Yield]:[Yield]]</f>
        <v>0</v>
      </c>
      <c r="EM96" s="33" cm="1">
        <f t="array" ref="EM96">BedPlan[[#This Row],[Harvest Days February 2025]]/SUM(BedPlan[[#This Row],[Harvest Days January 2025]:[Harvest Days December 2026]])*BedPlan[[#This Row],[Yield]:[Yield]]</f>
        <v>0</v>
      </c>
      <c r="EN96" s="33" cm="1">
        <f t="array" ref="EN96">BedPlan[[#This Row],[Harvest Days March 2025]]/SUM(BedPlan[[#This Row],[Harvest Days January 2025]:[Harvest Days December 2026]])*BedPlan[[#This Row],[Yield]:[Yield]]</f>
        <v>0</v>
      </c>
      <c r="EO96" s="33" cm="1">
        <f t="array" ref="EO96">BedPlan[[#This Row],[Harvest Days April 2025]]/SUM(BedPlan[[#This Row],[Harvest Days January 2025]:[Harvest Days December 2026]])*BedPlan[[#This Row],[Yield]:[Yield]]</f>
        <v>0</v>
      </c>
      <c r="EP96" s="33" cm="1">
        <f t="array" ref="EP96">BedPlan[[#This Row],[Harvest Days May 2025]]/SUM(BedPlan[[#This Row],[Harvest Days January 2025]:[Harvest Days December 2026]])*BedPlan[[#This Row],[Yield]:[Yield]]</f>
        <v>0</v>
      </c>
      <c r="EQ96" s="33" cm="1">
        <f t="array" ref="EQ96">BedPlan[[#This Row],[Harvest Days June 2025]]/SUM(BedPlan[[#This Row],[Harvest Days January 2025]:[Harvest Days December 2026]])*BedPlan[[#This Row],[Yield]:[Yield]]</f>
        <v>0</v>
      </c>
      <c r="ER96" s="33" cm="1">
        <f t="array" ref="ER96">BedPlan[[#This Row],[Harvest Days July 2025]]/SUM(BedPlan[[#This Row],[Harvest Days January 2025]:[Harvest Days December 2026]])*BedPlan[[#This Row],[Yield]:[Yield]]</f>
        <v>0</v>
      </c>
      <c r="ES96" s="33" cm="1">
        <f t="array" ref="ES96">BedPlan[[#This Row],[Harvest Days August 2025]]/SUM(BedPlan[[#This Row],[Harvest Days January 2025]:[Harvest Days December 2026]])*BedPlan[[#This Row],[Yield]:[Yield]]</f>
        <v>13.864436619718308</v>
      </c>
      <c r="ET96" s="33" cm="1">
        <f t="array" ref="ET96">BedPlan[[#This Row],[Harvest Days September 2025]]/SUM(BedPlan[[#This Row],[Harvest Days January 2025]:[Harvest Days December 2026]])*BedPlan[[#This Row],[Yield]:[Yield]]</f>
        <v>29.70950704225352</v>
      </c>
      <c r="EU96" s="33" cm="1">
        <f t="array" ref="EU96">BedPlan[[#This Row],[Harvest Days October 2025]]/SUM(BedPlan[[#This Row],[Harvest Days January 2025]:[Harvest Days December 2026]])*BedPlan[[#This Row],[Yield]:[Yield]]</f>
        <v>26.738556338028168</v>
      </c>
      <c r="EV96" s="33" cm="1">
        <f t="array" ref="EV96">BedPlan[[#This Row],[Harvest Days November 2025]]/SUM(BedPlan[[#This Row],[Harvest Days January 2025]:[Harvest Days December 2026]])*BedPlan[[#This Row],[Yield]:[Yield]]</f>
        <v>0</v>
      </c>
      <c r="EW96" s="33" cm="1">
        <f t="array" ref="EW96">BedPlan[[#This Row],[Harvest Days December 2025]]/SUM(BedPlan[[#This Row],[Harvest Days January 2025]:[Harvest Days December 2026]])*BedPlan[[#This Row],[Yield]:[Yield]]</f>
        <v>0</v>
      </c>
    </row>
    <row r="97" spans="1:153" ht="15.75" customHeight="1">
      <c r="A97" s="190" t="s">
        <v>2612</v>
      </c>
      <c r="B97" t="s">
        <v>2781</v>
      </c>
      <c r="C97" t="s">
        <v>1499</v>
      </c>
      <c r="D97" cm="1">
        <f t="array" ref="D97">INDEX(Crops[],BedPlan[[#This Row],[Chart Index]],D$4,1)*BedPlan[[#This Row],[Full Bed Equivalent]]</f>
        <v>22.500000000000004</v>
      </c>
      <c r="E97" cm="1">
        <f t="array" ref="E97">INDEX(Crops[],BedPlan[[#This Row],[Chart Index]],E$4,1)*BedPlan[[#This Row],[Full Bed Equivalent]]</f>
        <v>225</v>
      </c>
      <c r="F97" t="str">
        <f>UPPER(LEFT(BedPlan[[#This Row],[Crop]],3))</f>
        <v>PEP</v>
      </c>
      <c r="H97" s="143" t="str" cm="1">
        <f t="array" ref="H97">INDEX(Crops[],BedPlan[[#This Row],[Chart Index]],H$4,1)</f>
        <v>Pepper</v>
      </c>
      <c r="I97" t="s">
        <v>563</v>
      </c>
      <c r="K97" t="str" cm="1">
        <f t="array" ref="K97">IF(ISNUMBER(MATCH(BedPlan[[#This Row],[Variety]],SeedMixes[Name],)),_xlfn.TEXTJOIN(", ",TRUE,_xlfn._xlws.FILTER(SeedMixes[Variety &amp; Company],SeedMixes[Name]=BedPlan[[#This Row],[Variety]])),"")</f>
        <v>Bastan F1 Johnny's, Black Magic F1 Johnny's, Hungarian Hot Wax Osborne, Helios F1 Johnny's</v>
      </c>
      <c r="L97" s="33" cm="1">
        <f t="array" ref="L97">INDEX(Crops[],BedPlan[[#This Row],[Chart Index]],L$4,1)*BedPlan[[#This Row],[Full Bed Equivalent]]</f>
        <v>52</v>
      </c>
      <c r="N97">
        <v>0.4</v>
      </c>
      <c r="O97">
        <v>1</v>
      </c>
      <c r="P97" s="31">
        <f>IF(ISNUMBER(BedPlan[[#This Row],[Planned Greenhouse Start Date]]),BedPlan[[#This Row],[Planned Greenhouse Start Date]],BedPlan[[#This Row],[Planned TP or DS Date]])</f>
        <v>45723</v>
      </c>
      <c r="Q97" s="259">
        <f>IF(BedPlan[[#This Row],[Days in Cells]]=0,"",IFERROR(_xlfn.XLOOKUP(BedPlan[[#This Row],[Follows Crop]],BedPlan[Identifier],BedPlan[Expected End of Harvest]) + 1+BedPlan[[#This Row],[Follow Offset]],BedPlan[[#This Row],[Fixed Field Start Date]])-BedPlan[[#This Row],[Days in Cells]])</f>
        <v>45723</v>
      </c>
      <c r="R97" s="259">
        <v>45748</v>
      </c>
      <c r="S97" s="259">
        <f>IF(ISNUMBER(BedPlan[[#This Row],[Actual Greenhouse Date]]),BedPlan[[#This Row],[Actual Greenhouse Date]],BedPlan[[#This Row],[Planned Greenhouse Start Date]])</f>
        <v>45748</v>
      </c>
      <c r="T97" s="259">
        <f>_xlfn.XLOOKUP(BedPlan[[#This Row],[Crop]],Crops[Identifier],Crops[Target Field Date])</f>
        <v>45813</v>
      </c>
      <c r="U97" s="260"/>
      <c r="V97" s="260"/>
      <c r="W9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45838</v>
      </c>
      <c r="X97" s="259"/>
      <c r="Y97" s="271">
        <f>BedPlan[[#This Row],[Actual TP or DS Date]]-BedPlan[[#This Row],[Planned TP or DS Date]]</f>
        <v>-45838</v>
      </c>
      <c r="Z97" s="259">
        <f>IF(ISNUMBER(BedPlan[[#This Row],[Actual TP or DS Date]]),BedPlan[[#This Row],[Actual TP or DS Date]],BedPlan[[#This Row],[Planned TP or DS Date]])</f>
        <v>45838</v>
      </c>
      <c r="AA97" s="260"/>
      <c r="AB97" s="259">
        <f>IF(ISNUMBER(BedPlan[[#This Row],[Greenhouse Start Date]]),BedPlan[[#This Row],[Greenhouse Start Date]]+BedPlan[[#This Row],[DTM]],BedPlan[[#This Row],[TP or DS Date]]+BedPlan[[#This Row],[DTM]])</f>
        <v>45898</v>
      </c>
      <c r="AC97" s="259"/>
      <c r="AD97" s="259">
        <f>IF(ISNUMBER(BedPlan[[#This Row],[Actual Beginning of Harvest]]),BedPlan[[#This Row],[Actual Beginning of Harvest]],BedPlan[[#This Row],[Expected Beginning of Harvest]])</f>
        <v>45898</v>
      </c>
      <c r="AE97" s="259">
        <f>BedPlan[[#This Row],[Expected Beginning of Harvest]]+BedPlan[[#This Row],[Harvest Window]]+BedPlan[[#This Row],[Additional Days of Harvest]]</f>
        <v>45968</v>
      </c>
      <c r="AF97" s="259"/>
      <c r="AG97" s="259"/>
      <c r="AH97" s="31" t="b">
        <f>IF(AND( BedPlan[[#This Row],[Expected End of Harvest]] &gt;= DATE(2025, 8, 1), BedPlan[[#This Row],[Beginning of Harvest]] &lt;= DATE(2025, 8, 31) ), TRUE, FALSE)</f>
        <v>1</v>
      </c>
      <c r="AI97" s="31"/>
      <c r="AJ97" s="31">
        <f>IF(ISNUMBER(BedPlan[[#This Row],[Actual End of Harvest]]),BedPlan[[#This Row],[Actual End of Harvest]],BedPlan[[#This Row],[Expected End of Harvest]])</f>
        <v>45968</v>
      </c>
      <c r="AK97" t="b">
        <f>OR(ISNUMBER(BedPlan[[#This Row],[Actual Greenhouse Date]]),ISNUMBER(BedPlan[[#This Row],[Actual TP or DS Date]]))</f>
        <v>1</v>
      </c>
      <c r="AL97" s="52" t="b">
        <f>IF(ISNUMBER(BedPlan[[#This Row],[Planned Greenhouse Start Date]]),OR(ISNUMBER(BedPlan[[#This Row],[Actual TP or DS Date]]),BedPlan[[#This Row],[Failed]]),"-")</f>
        <v>0</v>
      </c>
      <c r="AM97" t="b">
        <f>OR(ISNUMBER(BedPlan[[#This Row],[Actual End of Harvest]]),BedPlan[[#This Row],[Failed]])</f>
        <v>0</v>
      </c>
      <c r="AN97" t="b">
        <f>OR(BedPlan[[#This Row],[Harvest Done]],BedPlan[[#This Row],[Failed]],BedPlan[[#This Row],[Name]]="Tarp")</f>
        <v>0</v>
      </c>
      <c r="AS97" s="26" t="str">
        <f>IF(BedPlan[[#This Row],[Broadfork]],BedPlan[[#This Row],[Actual TP or DS Date]],"")</f>
        <v/>
      </c>
      <c r="AT97" s="26" t="str">
        <f>IF(BedPlan[[#This Row],[Tilther]],BedPlan[[#This Row],[Actual TP or DS Date]],"")</f>
        <v/>
      </c>
      <c r="AU97" s="26" t="str">
        <f>IF(NOT(ISBLANK(BedPlan[[#This Row],[Amend]])),BedPlan[[#This Row],[Actual TP or DS Date]],"")</f>
        <v/>
      </c>
      <c r="AV97" s="26" t="str">
        <f>IF(BedPlan[[#This Row],[Row Cover]],BedPlan[[#This Row],[Actual TP or DS Date]],"")</f>
        <v/>
      </c>
      <c r="AX97" s="26"/>
      <c r="AZ97" s="26"/>
      <c r="BB97" s="26"/>
      <c r="BC97" s="231" cm="1">
        <f t="array" ref="BC97">INDEX(Crops[],BedPlan[[#This Row],[Chart Index]],BC$4,1)*BedPlan[[#This Row],[Full Bed Equivalent]]</f>
        <v>450</v>
      </c>
      <c r="BD97" s="231" cm="1">
        <f t="array" ref="BD97">INDEX(Crops[],BedPlan[[#This Row],[Chart Index]],BD$4,1)*BedPlan[[#This Row],[Full Bed Equivalent]]</f>
        <v>3.4615384615384617</v>
      </c>
      <c r="BE97" cm="1">
        <f t="array" ref="BE97">INDEX(Crops[],BedPlan[[#This Row],[Chart Index]],BE$4,1)+BedPlan[[#This Row],[Additional Days in Cells]]+BedPlan[[#This Row],[Additional Days In Field]]</f>
        <v>150</v>
      </c>
      <c r="BG97" cm="1">
        <f t="array" ref="BG97">INDEX(Crops[],BedPlan[[#This Row],[Chart Index]],BG$4,1)</f>
        <v>70</v>
      </c>
      <c r="BH97" t="str">
        <f>IF(ISNUMBER(BedPlan[[#This Row],[Planned Greenhouse Start Date]]),"TP","DS")</f>
        <v>TP</v>
      </c>
      <c r="BI97">
        <f>BedPlan[[#This Row],['# Of Beds]]</f>
        <v>0.4</v>
      </c>
      <c r="BJ97" cm="1">
        <f t="array" ref="BJ97">INDEX(Crops[],BedPlan[[#This Row],[Chart Index]],BJ$4,1)</f>
        <v>90</v>
      </c>
      <c r="BK97" cm="1">
        <f t="array" ref="BK97">INDEX(Crops[],BedPlan[[#This Row],[Chart Index]],BK$4,1)</f>
        <v>2</v>
      </c>
      <c r="BL97" cm="1">
        <f t="array" ref="BL97">INDEX(Crops[],BedPlan[[#This Row],[Chart Index]],BL$4,1)</f>
        <v>12</v>
      </c>
      <c r="BM97" cm="1">
        <f t="array" ref="BM97">INDEX(Crops[],BedPlan[[#This Row],[Chart Index]],BM$4,1)</f>
        <v>1</v>
      </c>
      <c r="BN97" s="32" cm="1">
        <f t="array" ref="BN97">INDEX(Crops[],BedPlan[[#This Row],[Chart Index]],BN$4,1)*BedPlan[[#This Row],[Full Bed Equivalent]]</f>
        <v>40</v>
      </c>
      <c r="BO97" t="str" cm="1">
        <f t="array" ref="BO97">IF(INDEX(Crops[],BedPlan[[#This Row],[Chart Index]],BO$4,1)=0,"",INDEX(Crops[],BedPlan[[#This Row],[Chart Index]],BO$4,1))</f>
        <v>DR</v>
      </c>
      <c r="BP97">
        <f>MATCH(BedPlan[[#This Row],[Crop]],Crops[Identifier],FALSE)</f>
        <v>243</v>
      </c>
      <c r="BQ97" t="str" cm="1">
        <f t="array" ref="BQ97">INDEX(Crops[],BedPlan[[#This Row],[Chart Index]],BQ$4,1)</f>
        <v>Hot</v>
      </c>
      <c r="BR97" t="str" cm="1">
        <f t="array" ref="BR97">INDEX(Crops[],BedPlan[[#This Row],[Chart Index]],BR$4,1)</f>
        <v/>
      </c>
      <c r="BS97" s="32">
        <f>BedPlan[[#This Row],[Expected Beginning of Harvest]]-DATE(2023,1,1)</f>
        <v>971</v>
      </c>
      <c r="BT97">
        <f>BedPlan[[#This Row],[Expected End of Harvest]]-BedPlan[[#This Row],[Expected Beginning of Harvest]]</f>
        <v>70</v>
      </c>
      <c r="BU97" t="str" cm="1">
        <f t="array" ref="BU97">INDEX(Crops[],BedPlan[[#This Row],[Chart Index]],BU$4,1)</f>
        <v>Pepper</v>
      </c>
      <c r="BV97" cm="1">
        <f t="array" ref="BV97">INDEX(Crops[],BedPlan[[#This Row],[Chart Index]],BV$4,1)</f>
        <v>4</v>
      </c>
      <c r="BW97" t="str" cm="1">
        <f t="array" ref="BW97">INDEX(Crops[],BedPlan[[#This Row],[Chart Index]],BW$4,1)</f>
        <v>None</v>
      </c>
      <c r="BX97" cm="1">
        <f t="array" ref="BX97">INDEX(Crops[],BedPlan[[#This Row],[Chart Index]],BX$4,1)</f>
        <v>128</v>
      </c>
      <c r="BY97" cm="1">
        <f t="array" ref="BY97">INDEX(Crops[],BedPlan[[#This Row],[Chart Index]],BY$4,1)</f>
        <v>28</v>
      </c>
      <c r="BZ97" s="49" cm="1">
        <f t="array" ref="BZ97">IFERROR(INDEX(Crops[],BedPlan[[#This Row],[Chart Index]],BZ$4,1)*BedPlan[[#This Row],[Full Bed Equivalent]],"")</f>
        <v>0.40625</v>
      </c>
      <c r="CA97" cm="1">
        <f t="array" ref="CA97">INDEX(Crops[],BedPlan[[#This Row],[Chart Index]],CA$4,1)</f>
        <v>18</v>
      </c>
      <c r="CB97" cm="1">
        <f t="array" ref="CB97">INDEX(Crops[],BedPlan[[#This Row],[Chart Index]],CB$4,1)</f>
        <v>62</v>
      </c>
      <c r="CC97" s="49" cm="1">
        <f t="array" ref="CC97">IFERROR(INDEX(Crops[],BedPlan[[#This Row],[Chart Index]],CC$4,1)*BedPlan[[#This Row],[Full Bed Equivalent]],"")</f>
        <v>2.8888888888888893</v>
      </c>
      <c r="CD97" cm="1">
        <f t="array" ref="CD97">INDEX(Crops[],BedPlan[[#This Row],[Chart Index]],CD$4,1)</f>
        <v>0</v>
      </c>
      <c r="CE97" cm="1">
        <f t="array" ref="CE97">IF(INDEX(Crops[],BedPlan[[#This Row],[Chart Index]],CE$4,1)="",0,INDEX(Crops[],BedPlan[[#This Row],[Chart Index]],CE$4,1))</f>
        <v>0</v>
      </c>
      <c r="CF97" s="49" t="str" cm="1">
        <f t="array" ref="CF97">IFERROR(INDEX(Crops[],BedPlan[[#This Row],[Chart Index]],CF$4,1)*BedPlan[[#This Row],[Full Bed Equivalent]],"")</f>
        <v/>
      </c>
      <c r="CG97" cm="1">
        <f t="array" ref="CG97">IF(INDEX(Crops[],BedPlan[[#This Row],[Chart Index]],CG$4,1)="",0,INDEX(Crops[],BedPlan[[#This Row],[Chart Index]],CG$4,1))</f>
        <v>1.3</v>
      </c>
      <c r="CH97" cm="1">
        <f t="array" ref="CH97">IF(INDEX(Crops[],BedPlan[[#This Row],[Chart Index]],CH$4,1)="",0,INDEX(Crops[],BedPlan[[#This Row],[Chart Index]],CH$4,1))</f>
        <v>0</v>
      </c>
      <c r="CI97" t="str" cm="1">
        <f t="array" ref="CI97">INDEX(Crops[],BedPlan[[#This Row],[Chart Index]],CI$4,1)</f>
        <v>Field</v>
      </c>
      <c r="CJ97" s="30" t="str">
        <f>_xlfn.TEXTJOIN(CHAR(10),FALSE,BedPlan[[#This Row],[Name]],BedPlan[[#This Row],[Variety]],BedPlan[[#This Row],[Company]])</f>
        <v xml:space="preserve">Pepper
Hot Pepper Mix
</v>
      </c>
      <c r="CK97" s="32">
        <f>MAX( 0, MIN(BedPlan[[#This Row],[Expected End of Harvest]], EOMONTH(CK$4, 0)) - MAX(BedPlan[[#This Row],[Beginning of Harvest]], CK$4) + 1 )</f>
        <v>0</v>
      </c>
      <c r="CL97">
        <f>MAX( 0, MIN(BedPlan[[#This Row],[Expected End of Harvest]], EOMONTH(CL$4, 0)) - MAX(BedPlan[[#This Row],[Beginning of Harvest]], CL$4) + 1 )</f>
        <v>0</v>
      </c>
      <c r="CM97">
        <f>MAX( 0, MIN(BedPlan[[#This Row],[Expected End of Harvest]], EOMONTH(CM$4, 0)) - MAX(BedPlan[[#This Row],[Beginning of Harvest]], CM$4) + 1 )</f>
        <v>0</v>
      </c>
      <c r="CN97">
        <f>MAX( 0, MIN(BedPlan[[#This Row],[Expected End of Harvest]], EOMONTH(CN$4, 0)) - MAX(BedPlan[[#This Row],[Beginning of Harvest]], CN$4) + 1 )</f>
        <v>0</v>
      </c>
      <c r="CO97">
        <f>MAX( 0, MIN(BedPlan[[#This Row],[Expected End of Harvest]], EOMONTH(CO$4, 0)) - MAX(BedPlan[[#This Row],[Beginning of Harvest]], CO$4) + 1 )</f>
        <v>0</v>
      </c>
      <c r="CP97">
        <f>MAX( 0, MIN(BedPlan[[#This Row],[Expected End of Harvest]], EOMONTH(CP$4, 0)) - MAX(BedPlan[[#This Row],[Beginning of Harvest]], CP$4) + 1 )</f>
        <v>0</v>
      </c>
      <c r="CQ97">
        <f>MAX( 0, MIN(BedPlan[[#This Row],[Expected End of Harvest]], EOMONTH(CQ$4, 0)) - MAX(BedPlan[[#This Row],[Beginning of Harvest]], CQ$4) + 1 )</f>
        <v>0</v>
      </c>
      <c r="CR97">
        <f>MAX( 0, MIN(BedPlan[[#This Row],[Expected End of Harvest]], EOMONTH(CR$4, 0)) - MAX(BedPlan[[#This Row],[Beginning of Harvest]], CR$4) + 1 )</f>
        <v>3</v>
      </c>
      <c r="CS97">
        <f>MAX( 0, MIN(BedPlan[[#This Row],[Expected End of Harvest]], EOMONTH(CS$4, 0)) - MAX(BedPlan[[#This Row],[Beginning of Harvest]], CS$4) + 1 )</f>
        <v>30</v>
      </c>
      <c r="CT97">
        <f>MAX( 0, MIN(BedPlan[[#This Row],[Expected End of Harvest]], EOMONTH(CT$4, 0)) - MAX(BedPlan[[#This Row],[Beginning of Harvest]], CT$4) + 1 )</f>
        <v>31</v>
      </c>
      <c r="CU97">
        <f>MAX( 0, MIN(BedPlan[[#This Row],[Expected End of Harvest]], EOMONTH(CU$4, 0)) - MAX(BedPlan[[#This Row],[Beginning of Harvest]], CU$4) + 1 )</f>
        <v>7</v>
      </c>
      <c r="CV97">
        <f>MAX( 0, MIN(BedPlan[[#This Row],[Expected End of Harvest]], EOMONTH(CV$4, 0)) - MAX(BedPlan[[#This Row],[Beginning of Harvest]], CV$4) + 1 )</f>
        <v>0</v>
      </c>
      <c r="CW97">
        <f>MAX( 0, MIN(BedPlan[[#This Row],[Expected End of Harvest]], EOMONTH(CW$4, 0)) - MAX(BedPlan[[#This Row],[Beginning of Harvest]], CW$4) + 1 )</f>
        <v>0</v>
      </c>
      <c r="CX97">
        <f>MAX( 0, MIN(BedPlan[[#This Row],[Expected End of Harvest]], EOMONTH(CX$4, 0)) - MAX(BedPlan[[#This Row],[Beginning of Harvest]], CX$4) + 1 )</f>
        <v>0</v>
      </c>
      <c r="CY97">
        <f>MAX( 0, MIN(BedPlan[[#This Row],[Expected End of Harvest]], EOMONTH(CY$4, 0)) - MAX(BedPlan[[#This Row],[Beginning of Harvest]], CY$4) + 1 )</f>
        <v>0</v>
      </c>
      <c r="CZ97">
        <f>MAX( 0, MIN(BedPlan[[#This Row],[Expected End of Harvest]], EOMONTH(CZ$4, 0)) - MAX(BedPlan[[#This Row],[Beginning of Harvest]], CZ$4) + 1 )</f>
        <v>0</v>
      </c>
      <c r="DA97">
        <f>MAX( 0, MIN(BedPlan[[#This Row],[Expected End of Harvest]], EOMONTH(DA$4, 0)) - MAX(BedPlan[[#This Row],[Beginning of Harvest]], DA$4) + 1 )</f>
        <v>0</v>
      </c>
      <c r="DB97">
        <f>MAX( 0, MIN(BedPlan[[#This Row],[Expected End of Harvest]], EOMONTH(DB$4, 0)) - MAX(BedPlan[[#This Row],[Beginning of Harvest]], DB$4) + 1 )</f>
        <v>0</v>
      </c>
      <c r="DC97">
        <f>MAX( 0, MIN(BedPlan[[#This Row],[Expected End of Harvest]], EOMONTH(DC$4, 0)) - MAX(BedPlan[[#This Row],[Beginning of Harvest]], DC$4) + 1 )</f>
        <v>0</v>
      </c>
      <c r="DD97">
        <f>MAX( 0, MIN(BedPlan[[#This Row],[Expected End of Harvest]], EOMONTH(DD$4, 0)) - MAX(BedPlan[[#This Row],[Beginning of Harvest]], DD$4) + 1 )</f>
        <v>0</v>
      </c>
      <c r="DE97">
        <f>MAX( 0, MIN(BedPlan[[#This Row],[Expected End of Harvest]], EOMONTH(DE$4, 0)) - MAX(BedPlan[[#This Row],[Beginning of Harvest]], DE$4) + 1 )</f>
        <v>0</v>
      </c>
      <c r="DF97">
        <f>MAX( 0, MIN(BedPlan[[#This Row],[Expected End of Harvest]], EOMONTH(DF$4, 0)) - MAX(BedPlan[[#This Row],[Beginning of Harvest]], DF$4) + 1 )</f>
        <v>0</v>
      </c>
      <c r="DG97">
        <f>MAX( 0, MIN(BedPlan[[#This Row],[Expected End of Harvest]], EOMONTH(DG$4, 0)) - MAX(BedPlan[[#This Row],[Beginning of Harvest]], DG$4) + 1 )</f>
        <v>0</v>
      </c>
      <c r="DH97">
        <f>MAX( 0, MIN(BedPlan[[#This Row],[Expected End of Harvest]], EOMONTH(DH$4, 0)) - MAX(BedPlan[[#This Row],[Beginning of Harvest]], DH$4) + 1 )</f>
        <v>0</v>
      </c>
      <c r="DI97" s="257" cm="1">
        <f t="array" ref="DI97">BedPlan[[#This Row],[Harvest Days January 2025]]/SUM(BedPlan[[#This Row],[Harvest Days January 2025]:[Harvest Days December 2026]])*BedPlan[[#This Row],[Revenue]:[Revenue]]</f>
        <v>0</v>
      </c>
      <c r="DJ97" s="257" cm="1">
        <f t="array" ref="DJ97">BedPlan[[#This Row],[Harvest Days February 2025]]/SUM(BedPlan[[#This Row],[Harvest Days January 2025]:[Harvest Days December 2026]])*BedPlan[[#This Row],[Revenue]:[Revenue]]</f>
        <v>0</v>
      </c>
      <c r="DK97" s="257" cm="1">
        <f t="array" ref="DK97">BedPlan[[#This Row],[Harvest Days March 2025]]/SUM(BedPlan[[#This Row],[Harvest Days January 2025]:[Harvest Days December 2026]])*BedPlan[[#This Row],[Revenue]:[Revenue]]</f>
        <v>0</v>
      </c>
      <c r="DL97" s="257" cm="1">
        <f t="array" ref="DL97">BedPlan[[#This Row],[Harvest Days April 2025]]/SUM(BedPlan[[#This Row],[Harvest Days January 2025]:[Harvest Days December 2026]])*BedPlan[[#This Row],[Revenue]:[Revenue]]</f>
        <v>0</v>
      </c>
      <c r="DM97" s="257" cm="1">
        <f t="array" ref="DM97">BedPlan[[#This Row],[Harvest Days May 2025]]/SUM(BedPlan[[#This Row],[Harvest Days January 2025]:[Harvest Days December 2026]])*BedPlan[[#This Row],[Revenue]:[Revenue]]</f>
        <v>0</v>
      </c>
      <c r="DN97" s="257" cm="1">
        <f t="array" ref="DN97">BedPlan[[#This Row],[Harvest Days June 2025]]/SUM(BedPlan[[#This Row],[Harvest Days January 2025]:[Harvest Days December 2026]])*BedPlan[[#This Row],[Revenue]:[Revenue]]</f>
        <v>0</v>
      </c>
      <c r="DO97" s="257" cm="1">
        <f t="array" ref="DO97">BedPlan[[#This Row],[Harvest Days July 2025]]/SUM(BedPlan[[#This Row],[Harvest Days January 2025]:[Harvest Days December 2026]])*BedPlan[[#This Row],[Revenue]:[Revenue]]</f>
        <v>0</v>
      </c>
      <c r="DP97" s="257" cm="1">
        <f t="array" ref="DP97">BedPlan[[#This Row],[Harvest Days August 2025]]/SUM(BedPlan[[#This Row],[Harvest Days January 2025]:[Harvest Days December 2026]])*BedPlan[[#This Row],[Revenue]:[Revenue]]</f>
        <v>19.014084507042252</v>
      </c>
      <c r="DQ97" s="257" cm="1">
        <f t="array" ref="DQ97">BedPlan[[#This Row],[Harvest Days September 2025]]/SUM(BedPlan[[#This Row],[Harvest Days January 2025]:[Harvest Days December 2026]])*BedPlan[[#This Row],[Revenue]:[Revenue]]</f>
        <v>190.14084507042253</v>
      </c>
      <c r="DR97" s="257" cm="1">
        <f t="array" ref="DR97">BedPlan[[#This Row],[Harvest Days October 2025]]/SUM(BedPlan[[#This Row],[Harvest Days January 2025]:[Harvest Days December 2026]])*BedPlan[[#This Row],[Revenue]:[Revenue]]</f>
        <v>196.47887323943661</v>
      </c>
      <c r="DS97" s="257" cm="1">
        <f t="array" ref="DS97">BedPlan[[#This Row],[Harvest Days November 2025]]/SUM(BedPlan[[#This Row],[Harvest Days January 2025]:[Harvest Days December 2026]])*BedPlan[[#This Row],[Revenue]:[Revenue]]</f>
        <v>44.366197183098592</v>
      </c>
      <c r="DT97" s="257" cm="1">
        <f t="array" ref="DT97">BedPlan[[#This Row],[Harvest Days December 2025]]/SUM(BedPlan[[#This Row],[Harvest Days January 2025]:[Harvest Days December 2026]])*BedPlan[[#This Row],[Revenue]:[Revenue]]</f>
        <v>0</v>
      </c>
      <c r="DU97" s="257" cm="1">
        <f t="array" ref="DU97">BedPlan[[#This Row],[Harvest Days January 2026]]/SUM(BedPlan[[#This Row],[Harvest Days January 2025]:[Harvest Days December 2026]])*BedPlan[[#This Row],[Revenue]:[Revenue]]</f>
        <v>0</v>
      </c>
      <c r="DV97" s="257" cm="1">
        <f t="array" ref="DV97">BedPlan[[#This Row],[Harvest Days February 2026]]/SUM(BedPlan[[#This Row],[Harvest Days January 2025]:[Harvest Days December 2026]])*BedPlan[[#This Row],[Revenue]:[Revenue]]</f>
        <v>0</v>
      </c>
      <c r="DW97" s="257" cm="1">
        <f t="array" ref="DW97">BedPlan[[#This Row],[Harvest Days March 2026]]/SUM(BedPlan[[#This Row],[Harvest Days January 2025]:[Harvest Days December 2026]])*BedPlan[[#This Row],[Revenue]:[Revenue]]</f>
        <v>0</v>
      </c>
      <c r="DX97" s="257" cm="1">
        <f t="array" ref="DX97">BedPlan[[#This Row],[Harvest Days April 2026]]/SUM(BedPlan[[#This Row],[Harvest Days January 2025]:[Harvest Days December 2026]])*BedPlan[[#This Row],[Revenue]:[Revenue]]</f>
        <v>0</v>
      </c>
      <c r="DY97" s="257" cm="1">
        <f t="array" ref="DY97">BedPlan[[#This Row],[Harvest Days May 2026]]/SUM(BedPlan[[#This Row],[Harvest Days January 2025]:[Harvest Days December 2026]])*BedPlan[[#This Row],[Revenue]:[Revenue]]</f>
        <v>0</v>
      </c>
      <c r="DZ97" s="257" cm="1">
        <f t="array" ref="DZ97">BedPlan[[#This Row],[Harvest Days June 2026]]/SUM(BedPlan[[#This Row],[Harvest Days January 2025]:[Harvest Days December 2026]])*BedPlan[[#This Row],[Revenue]:[Revenue]]</f>
        <v>0</v>
      </c>
      <c r="EA97" s="257" cm="1">
        <f t="array" ref="EA97">BedPlan[[#This Row],[Harvest Days July 2026]]/SUM(BedPlan[[#This Row],[Harvest Days January 2025]:[Harvest Days December 2026]])*BedPlan[[#This Row],[Revenue]:[Revenue]]</f>
        <v>0</v>
      </c>
      <c r="EB97" s="257" cm="1">
        <f t="array" ref="EB97">BedPlan[[#This Row],[Harvest Days August 2026]]/SUM(BedPlan[[#This Row],[Harvest Days January 2025]:[Harvest Days December 2026]])*BedPlan[[#This Row],[Revenue]:[Revenue]]</f>
        <v>0</v>
      </c>
      <c r="EC97" s="257" cm="1">
        <f t="array" ref="EC97">BedPlan[[#This Row],[Harvest Days September 2026]]/SUM(BedPlan[[#This Row],[Harvest Days January 2025]:[Harvest Days December 2026]])*BedPlan[[#This Row],[Revenue]:[Revenue]]</f>
        <v>0</v>
      </c>
      <c r="ED97" s="257" cm="1">
        <f t="array" ref="ED97">BedPlan[[#This Row],[Harvest Days October 2026]]/SUM(BedPlan[[#This Row],[Harvest Days January 2025]:[Harvest Days December 2026]])*BedPlan[[#This Row],[Revenue]:[Revenue]]</f>
        <v>0</v>
      </c>
      <c r="EE97" s="257" cm="1">
        <f t="array" ref="EE97">BedPlan[[#This Row],[Harvest Days November 2026]]/SUM(BedPlan[[#This Row],[Harvest Days January 2025]:[Harvest Days December 2026]])*BedPlan[[#This Row],[Revenue]:[Revenue]]</f>
        <v>0</v>
      </c>
      <c r="EF97" s="257" cm="1">
        <f t="array" ref="EF97">BedPlan[[#This Row],[Harvest Days December 2026]]/SUM(BedPlan[[#This Row],[Harvest Days January 2025]:[Harvest Days December 2026]])*BedPlan[[#This Row],[Revenue]:[Revenue]]</f>
        <v>0</v>
      </c>
      <c r="EG97" t="b">
        <f>SUM(BedPlan[[#This Row],[Revenue January 2025]:[Revenue December 2026]])=BedPlan[[#This Row],[Revenue]]</f>
        <v>1</v>
      </c>
      <c r="EH97" s="30" cm="1">
        <f t="array" ref="EH97">INDEX(Crops[],BedPlan[[#This Row],[Chart Index]],EH$4,1)*BedPlan[[#This Row],['# Of Beds]]</f>
        <v>56.25</v>
      </c>
      <c r="EI97" s="30" t="str" cm="1">
        <f t="array" ref="EI97">INDEX(Crops[],BedPlan[[#This Row],[Chart Index]],EI$4,1)</f>
        <v>Lb</v>
      </c>
      <c r="EJ97" s="30" t="str" cm="1">
        <f t="array" ref="EJ97">INDEX(Crops[],BedPlan[[#This Row],[Chart Index]],EJ$4,1)</f>
        <v>Ripe Fruit Small</v>
      </c>
      <c r="EK97" s="30" t="str">
        <f>BedPlan[[#This Row],[Name]]&amp;" "&amp;BedPlan[[#This Row],[Product]]&amp; " - " &amp;BedPlan[[#This Row],[Unit]]</f>
        <v>Pepper Ripe Fruit Small - Lb</v>
      </c>
      <c r="EL97" s="33" cm="1">
        <f t="array" ref="EL97">BedPlan[[#This Row],[Harvest Days January 2025]]/SUM(BedPlan[[#This Row],[Harvest Days January 2025]:[Harvest Days December 2026]])*BedPlan[[#This Row],[Yield]:[Yield]]</f>
        <v>0</v>
      </c>
      <c r="EM97" s="33" cm="1">
        <f t="array" ref="EM97">BedPlan[[#This Row],[Harvest Days February 2025]]/SUM(BedPlan[[#This Row],[Harvest Days January 2025]:[Harvest Days December 2026]])*BedPlan[[#This Row],[Yield]:[Yield]]</f>
        <v>0</v>
      </c>
      <c r="EN97" s="33" cm="1">
        <f t="array" ref="EN97">BedPlan[[#This Row],[Harvest Days March 2025]]/SUM(BedPlan[[#This Row],[Harvest Days January 2025]:[Harvest Days December 2026]])*BedPlan[[#This Row],[Yield]:[Yield]]</f>
        <v>0</v>
      </c>
      <c r="EO97" s="33" cm="1">
        <f t="array" ref="EO97">BedPlan[[#This Row],[Harvest Days April 2025]]/SUM(BedPlan[[#This Row],[Harvest Days January 2025]:[Harvest Days December 2026]])*BedPlan[[#This Row],[Yield]:[Yield]]</f>
        <v>0</v>
      </c>
      <c r="EP97" s="33" cm="1">
        <f t="array" ref="EP97">BedPlan[[#This Row],[Harvest Days May 2025]]/SUM(BedPlan[[#This Row],[Harvest Days January 2025]:[Harvest Days December 2026]])*BedPlan[[#This Row],[Yield]:[Yield]]</f>
        <v>0</v>
      </c>
      <c r="EQ97" s="33" cm="1">
        <f t="array" ref="EQ97">BedPlan[[#This Row],[Harvest Days June 2025]]/SUM(BedPlan[[#This Row],[Harvest Days January 2025]:[Harvest Days December 2026]])*BedPlan[[#This Row],[Yield]:[Yield]]</f>
        <v>0</v>
      </c>
      <c r="ER97" s="33" cm="1">
        <f t="array" ref="ER97">BedPlan[[#This Row],[Harvest Days July 2025]]/SUM(BedPlan[[#This Row],[Harvest Days January 2025]:[Harvest Days December 2026]])*BedPlan[[#This Row],[Yield]:[Yield]]</f>
        <v>0</v>
      </c>
      <c r="ES97" s="33" cm="1">
        <f t="array" ref="ES97">BedPlan[[#This Row],[Harvest Days August 2025]]/SUM(BedPlan[[#This Row],[Harvest Days January 2025]:[Harvest Days December 2026]])*BedPlan[[#This Row],[Yield]:[Yield]]</f>
        <v>2.3767605633802815</v>
      </c>
      <c r="ET97" s="33" cm="1">
        <f t="array" ref="ET97">BedPlan[[#This Row],[Harvest Days September 2025]]/SUM(BedPlan[[#This Row],[Harvest Days January 2025]:[Harvest Days December 2026]])*BedPlan[[#This Row],[Yield]:[Yield]]</f>
        <v>23.767605633802816</v>
      </c>
      <c r="EU97" s="33" cm="1">
        <f t="array" ref="EU97">BedPlan[[#This Row],[Harvest Days October 2025]]/SUM(BedPlan[[#This Row],[Harvest Days January 2025]:[Harvest Days December 2026]])*BedPlan[[#This Row],[Yield]:[Yield]]</f>
        <v>24.559859154929576</v>
      </c>
      <c r="EV97" s="33" cm="1">
        <f t="array" ref="EV97">BedPlan[[#This Row],[Harvest Days November 2025]]/SUM(BedPlan[[#This Row],[Harvest Days January 2025]:[Harvest Days December 2026]])*BedPlan[[#This Row],[Yield]:[Yield]]</f>
        <v>5.545774647887324</v>
      </c>
      <c r="EW97" s="33" cm="1">
        <f t="array" ref="EW97">BedPlan[[#This Row],[Harvest Days December 2025]]/SUM(BedPlan[[#This Row],[Harvest Days January 2025]:[Harvest Days December 2026]])*BedPlan[[#This Row],[Yield]:[Yield]]</f>
        <v>0</v>
      </c>
    </row>
    <row r="98" spans="1:153" ht="15.75" customHeight="1">
      <c r="A98" s="190" t="s">
        <v>2613</v>
      </c>
      <c r="B98" t="s">
        <v>2662</v>
      </c>
      <c r="C98" t="s">
        <v>1426</v>
      </c>
      <c r="D98" cm="1">
        <f t="array" ref="D98">INDEX(Crops[],BedPlan[[#This Row],[Chart Index]],D$4,1)*BedPlan[[#This Row],[Full Bed Equivalent]]</f>
        <v>28.125000000000004</v>
      </c>
      <c r="E98" cm="1">
        <f t="array" ref="E98">INDEX(Crops[],BedPlan[[#This Row],[Chart Index]],E$4,1)*BedPlan[[#This Row],[Full Bed Equivalent]]</f>
        <v>506.25</v>
      </c>
      <c r="F98" t="str">
        <f>UPPER(LEFT(BedPlan[[#This Row],[Crop]],3))</f>
        <v>PEP</v>
      </c>
      <c r="H98" s="143" t="str" cm="1">
        <f t="array" ref="H98">INDEX(Crops[],BedPlan[[#This Row],[Chart Index]],H$4,1)</f>
        <v>Pepper</v>
      </c>
      <c r="I98" t="s">
        <v>567</v>
      </c>
      <c r="K98" t="str" cm="1">
        <f t="array" ref="K98">IF(ISNUMBER(MATCH(BedPlan[[#This Row],[Variety]],SeedMixes[Name],)),_xlfn.TEXTJOIN(", ",TRUE,_xlfn._xlws.FILTER(SeedMixes[Variety &amp; Company],SeedMixes[Name]=BedPlan[[#This Row],[Variety]])),"")</f>
        <v>Elephant's Ear Uprising, Olly F1 Johnny's</v>
      </c>
      <c r="L98" s="33" cm="1">
        <f t="array" ref="L98">INDEX(Crops[],BedPlan[[#This Row],[Chart Index]],L$4,1)*BedPlan[[#This Row],[Full Bed Equivalent]]</f>
        <v>65</v>
      </c>
      <c r="N98">
        <v>0.5</v>
      </c>
      <c r="O98">
        <f>MAX(BedPlan[[#This Row],['# Of Beds]],0.5)</f>
        <v>0.5</v>
      </c>
      <c r="P98" s="31">
        <f>IF(ISNUMBER(BedPlan[[#This Row],[Planned Greenhouse Start Date]]),BedPlan[[#This Row],[Planned Greenhouse Start Date]],BedPlan[[#This Row],[Planned TP or DS Date]])</f>
        <v>45708</v>
      </c>
      <c r="Q98" s="259">
        <f>IF(BedPlan[[#This Row],[Days in Cells]]=0,"",IFERROR(_xlfn.XLOOKUP(BedPlan[[#This Row],[Follows Crop]],BedPlan[Identifier],BedPlan[Expected End of Harvest]) + 1+BedPlan[[#This Row],[Follow Offset]],BedPlan[[#This Row],[Fixed Field Start Date]])-BedPlan[[#This Row],[Days in Cells]])</f>
        <v>45708</v>
      </c>
      <c r="R98" s="259">
        <v>45737</v>
      </c>
      <c r="S98" s="259">
        <f>IF(ISNUMBER(BedPlan[[#This Row],[Actual Greenhouse Date]]),BedPlan[[#This Row],[Actual Greenhouse Date]],BedPlan[[#This Row],[Planned Greenhouse Start Date]])</f>
        <v>45737</v>
      </c>
      <c r="T98" s="259">
        <f>_xlfn.XLOOKUP(BedPlan[[#This Row],[Crop]],Crops[Identifier],Crops[Target Field Date])</f>
        <v>45798</v>
      </c>
      <c r="U98" s="260"/>
      <c r="V98" s="260"/>
      <c r="W9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8" s="259">
        <v>45828</v>
      </c>
      <c r="Y98" s="271">
        <f>BedPlan[[#This Row],[Actual TP or DS Date]]-BedPlan[[#This Row],[Planned TP or DS Date]]</f>
        <v>1</v>
      </c>
      <c r="Z98" s="259">
        <f>IF(ISNUMBER(BedPlan[[#This Row],[Actual TP or DS Date]]),BedPlan[[#This Row],[Actual TP or DS Date]],BedPlan[[#This Row],[Planned TP or DS Date]])</f>
        <v>45828</v>
      </c>
      <c r="AA98" s="260"/>
      <c r="AB98" s="259">
        <f>IF(ISNUMBER(BedPlan[[#This Row],[Greenhouse Start Date]]),BedPlan[[#This Row],[Greenhouse Start Date]]+BedPlan[[#This Row],[DTM]],BedPlan[[#This Row],[TP or DS Date]]+BedPlan[[#This Row],[DTM]])</f>
        <v>45887</v>
      </c>
      <c r="AC98" s="259"/>
      <c r="AD98" s="259">
        <f>IF(ISNUMBER(BedPlan[[#This Row],[Actual Beginning of Harvest]]),BedPlan[[#This Row],[Actual Beginning of Harvest]],BedPlan[[#This Row],[Expected Beginning of Harvest]])</f>
        <v>45887</v>
      </c>
      <c r="AE98" s="259">
        <f>BedPlan[[#This Row],[Expected Beginning of Harvest]]+BedPlan[[#This Row],[Harvest Window]]+BedPlan[[#This Row],[Additional Days of Harvest]]</f>
        <v>46013</v>
      </c>
      <c r="AF98" s="259"/>
      <c r="AG98" s="259"/>
      <c r="AH98" s="31" t="b">
        <f>IF(AND( BedPlan[[#This Row],[Expected End of Harvest]] &gt;= DATE(2025, 8, 1), BedPlan[[#This Row],[Beginning of Harvest]] &lt;= DATE(2025, 8, 31) ), TRUE, FALSE)</f>
        <v>1</v>
      </c>
      <c r="AI98" s="31"/>
      <c r="AJ98" s="31">
        <f>IF(ISNUMBER(BedPlan[[#This Row],[Actual End of Harvest]]),BedPlan[[#This Row],[Actual End of Harvest]],BedPlan[[#This Row],[Expected End of Harvest]])</f>
        <v>46013</v>
      </c>
      <c r="AK98" t="b">
        <f>OR(ISNUMBER(BedPlan[[#This Row],[Actual Greenhouse Date]]),ISNUMBER(BedPlan[[#This Row],[Actual TP or DS Date]]))</f>
        <v>1</v>
      </c>
      <c r="AL98" s="52" t="b">
        <f>IF(ISNUMBER(BedPlan[[#This Row],[Planned Greenhouse Start Date]]),OR(ISNUMBER(BedPlan[[#This Row],[Actual TP or DS Date]]),BedPlan[[#This Row],[Failed]]),"-")</f>
        <v>1</v>
      </c>
      <c r="AM98" t="b">
        <f>OR(ISNUMBER(BedPlan[[#This Row],[Actual End of Harvest]]),BedPlan[[#This Row],[Failed]])</f>
        <v>0</v>
      </c>
      <c r="AN98" t="b">
        <f>OR(BedPlan[[#This Row],[Harvest Done]],BedPlan[[#This Row],[Failed]],BedPlan[[#This Row],[Name]]="Tarp")</f>
        <v>0</v>
      </c>
      <c r="AQ98" t="s">
        <v>3237</v>
      </c>
      <c r="AS98" s="26" t="str">
        <f>IF(BedPlan[[#This Row],[Broadfork]],BedPlan[[#This Row],[Actual TP or DS Date]],"")</f>
        <v/>
      </c>
      <c r="AT98" s="26" t="str">
        <f>IF(BedPlan[[#This Row],[Tilther]],BedPlan[[#This Row],[Actual TP or DS Date]],"")</f>
        <v/>
      </c>
      <c r="AU98" s="26">
        <f>IF(NOT(ISBLANK(BedPlan[[#This Row],[Amend]])),BedPlan[[#This Row],[Actual TP or DS Date]],"")</f>
        <v>45828</v>
      </c>
      <c r="AV98" s="26" t="str">
        <f>IF(BedPlan[[#This Row],[Row Cover]],BedPlan[[#This Row],[Actual TP or DS Date]],"")</f>
        <v/>
      </c>
      <c r="AX98" s="26"/>
      <c r="AZ98" s="26"/>
      <c r="BB98" s="26"/>
      <c r="BC98" s="231" cm="1">
        <f t="array" ref="BC98">INDEX(Crops[],BedPlan[[#This Row],[Chart Index]],BC$4,1)*BedPlan[[#This Row],[Full Bed Equivalent]]</f>
        <v>1012.5</v>
      </c>
      <c r="BD98" s="231" cm="1">
        <f t="array" ref="BD98">INDEX(Crops[],BedPlan[[#This Row],[Chart Index]],BD$4,1)*BedPlan[[#This Row],[Full Bed Equivalent]]</f>
        <v>5.443548387096774</v>
      </c>
      <c r="BE98" cm="1">
        <f t="array" ref="BE98">INDEX(Crops[],BedPlan[[#This Row],[Chart Index]],BE$4,1)+BedPlan[[#This Row],[Additional Days in Cells]]+BedPlan[[#This Row],[Additional Days In Field]]</f>
        <v>150</v>
      </c>
      <c r="BG98" cm="1">
        <f t="array" ref="BG98">INDEX(Crops[],BedPlan[[#This Row],[Chart Index]],BG$4,1)</f>
        <v>126</v>
      </c>
      <c r="BH98" t="str">
        <f>IF(ISNUMBER(BedPlan[[#This Row],[Planned Greenhouse Start Date]]),"TP","DS")</f>
        <v>TP</v>
      </c>
      <c r="BI98">
        <f>BedPlan[[#This Row],['# Of Beds]]</f>
        <v>0.5</v>
      </c>
      <c r="BJ98" cm="1">
        <f t="array" ref="BJ98">INDEX(Crops[],BedPlan[[#This Row],[Chart Index]],BJ$4,1)</f>
        <v>90</v>
      </c>
      <c r="BK98" cm="1">
        <f t="array" ref="BK98">INDEX(Crops[],BedPlan[[#This Row],[Chart Index]],BK$4,1)</f>
        <v>2</v>
      </c>
      <c r="BL98" cm="1">
        <f t="array" ref="BL98">INDEX(Crops[],BedPlan[[#This Row],[Chart Index]],BL$4,1)</f>
        <v>12</v>
      </c>
      <c r="BM98" cm="1">
        <f t="array" ref="BM98">INDEX(Crops[],BedPlan[[#This Row],[Chart Index]],BM$4,1)</f>
        <v>1</v>
      </c>
      <c r="BN98" s="32" cm="1">
        <f t="array" ref="BN98">INDEX(Crops[],BedPlan[[#This Row],[Chart Index]],BN$4,1)*BedPlan[[#This Row],[Full Bed Equivalent]]</f>
        <v>50</v>
      </c>
      <c r="BO98" t="str" cm="1">
        <f t="array" ref="BO98">IF(INDEX(Crops[],BedPlan[[#This Row],[Chart Index]],BO$4,1)=0,"",INDEX(Crops[],BedPlan[[#This Row],[Chart Index]],BO$4,1))</f>
        <v/>
      </c>
      <c r="BP98">
        <f>MATCH(BedPlan[[#This Row],[Crop]],Crops[Identifier],FALSE)</f>
        <v>244</v>
      </c>
      <c r="BQ98" t="str" cm="1">
        <f t="array" ref="BQ98">INDEX(Crops[],BedPlan[[#This Row],[Chart Index]],BQ$4,1)</f>
        <v>Hot</v>
      </c>
      <c r="BR98" t="str" cm="1">
        <f t="array" ref="BR98">INDEX(Crops[],BedPlan[[#This Row],[Chart Index]],BR$4,1)</f>
        <v/>
      </c>
      <c r="BS98" s="32">
        <f>BedPlan[[#This Row],[Expected Beginning of Harvest]]-DATE(2023,1,1)</f>
        <v>960</v>
      </c>
      <c r="BT98">
        <f>BedPlan[[#This Row],[Expected End of Harvest]]-BedPlan[[#This Row],[Expected Beginning of Harvest]]</f>
        <v>126</v>
      </c>
      <c r="BU98" t="str" cm="1">
        <f t="array" ref="BU98">INDEX(Crops[],BedPlan[[#This Row],[Chart Index]],BU$4,1)</f>
        <v>Pepper</v>
      </c>
      <c r="BV98" cm="1">
        <f t="array" ref="BV98">INDEX(Crops[],BedPlan[[#This Row],[Chart Index]],BV$4,1)</f>
        <v>4</v>
      </c>
      <c r="BW98" cm="1">
        <f t="array" ref="BW98">INDEX(Crops[],BedPlan[[#This Row],[Chart Index]],BW$4,1)</f>
        <v>0</v>
      </c>
      <c r="BX98" cm="1">
        <f t="array" ref="BX98">INDEX(Crops[],BedPlan[[#This Row],[Chart Index]],BX$4,1)</f>
        <v>128</v>
      </c>
      <c r="BY98" cm="1">
        <f t="array" ref="BY98">INDEX(Crops[],BedPlan[[#This Row],[Chart Index]],BY$4,1)</f>
        <v>28</v>
      </c>
      <c r="BZ98" s="49" cm="1">
        <f t="array" ref="BZ98">IFERROR(INDEX(Crops[],BedPlan[[#This Row],[Chart Index]],BZ$4,1)*BedPlan[[#This Row],[Full Bed Equivalent]],"")</f>
        <v>0.5078125</v>
      </c>
      <c r="CA98" cm="1">
        <f t="array" ref="CA98">INDEX(Crops[],BedPlan[[#This Row],[Chart Index]],CA$4,1)</f>
        <v>18</v>
      </c>
      <c r="CB98" cm="1">
        <f t="array" ref="CB98">INDEX(Crops[],BedPlan[[#This Row],[Chart Index]],CB$4,1)</f>
        <v>62</v>
      </c>
      <c r="CC98" s="49" cm="1">
        <f t="array" ref="CC98">IFERROR(INDEX(Crops[],BedPlan[[#This Row],[Chart Index]],CC$4,1)*BedPlan[[#This Row],[Full Bed Equivalent]],"")</f>
        <v>3.6111111111111112</v>
      </c>
      <c r="CD98" cm="1">
        <f t="array" ref="CD98">INDEX(Crops[],BedPlan[[#This Row],[Chart Index]],CD$4,1)</f>
        <v>0</v>
      </c>
      <c r="CE98" cm="1">
        <f t="array" ref="CE98">IF(INDEX(Crops[],BedPlan[[#This Row],[Chart Index]],CE$4,1)="",0,INDEX(Crops[],BedPlan[[#This Row],[Chart Index]],CE$4,1))</f>
        <v>0</v>
      </c>
      <c r="CF98" s="49" t="str" cm="1">
        <f t="array" ref="CF98">IFERROR(INDEX(Crops[],BedPlan[[#This Row],[Chart Index]],CF$4,1)*BedPlan[[#This Row],[Full Bed Equivalent]],"")</f>
        <v/>
      </c>
      <c r="CG98" cm="1">
        <f t="array" ref="CG98">IF(INDEX(Crops[],BedPlan[[#This Row],[Chart Index]],CG$4,1)="",0,INDEX(Crops[],BedPlan[[#This Row],[Chart Index]],CG$4,1))</f>
        <v>1.3</v>
      </c>
      <c r="CH98" cm="1">
        <f t="array" ref="CH98">IF(INDEX(Crops[],BedPlan[[#This Row],[Chart Index]],CH$4,1)="",0,INDEX(Crops[],BedPlan[[#This Row],[Chart Index]],CH$4,1))</f>
        <v>0</v>
      </c>
      <c r="CI98" t="str" cm="1">
        <f t="array" ref="CI98">INDEX(Crops[],BedPlan[[#This Row],[Chart Index]],CI$4,1)</f>
        <v>Greenhouse</v>
      </c>
      <c r="CJ98" s="30" t="str">
        <f>_xlfn.TEXTJOIN(CHAR(10),FALSE,BedPlan[[#This Row],[Name]],BedPlan[[#This Row],[Variety]],BedPlan[[#This Row],[Company]])</f>
        <v xml:space="preserve">Pepper
Sweet Pepper Mix
</v>
      </c>
      <c r="CK98" s="32">
        <f>MAX( 0, MIN(BedPlan[[#This Row],[Expected End of Harvest]], EOMONTH(CK$4, 0)) - MAX(BedPlan[[#This Row],[Beginning of Harvest]], CK$4) + 1 )</f>
        <v>0</v>
      </c>
      <c r="CL98">
        <f>MAX( 0, MIN(BedPlan[[#This Row],[Expected End of Harvest]], EOMONTH(CL$4, 0)) - MAX(BedPlan[[#This Row],[Beginning of Harvest]], CL$4) + 1 )</f>
        <v>0</v>
      </c>
      <c r="CM98">
        <f>MAX( 0, MIN(BedPlan[[#This Row],[Expected End of Harvest]], EOMONTH(CM$4, 0)) - MAX(BedPlan[[#This Row],[Beginning of Harvest]], CM$4) + 1 )</f>
        <v>0</v>
      </c>
      <c r="CN98">
        <f>MAX( 0, MIN(BedPlan[[#This Row],[Expected End of Harvest]], EOMONTH(CN$4, 0)) - MAX(BedPlan[[#This Row],[Beginning of Harvest]], CN$4) + 1 )</f>
        <v>0</v>
      </c>
      <c r="CO98">
        <f>MAX( 0, MIN(BedPlan[[#This Row],[Expected End of Harvest]], EOMONTH(CO$4, 0)) - MAX(BedPlan[[#This Row],[Beginning of Harvest]], CO$4) + 1 )</f>
        <v>0</v>
      </c>
      <c r="CP98">
        <f>MAX( 0, MIN(BedPlan[[#This Row],[Expected End of Harvest]], EOMONTH(CP$4, 0)) - MAX(BedPlan[[#This Row],[Beginning of Harvest]], CP$4) + 1 )</f>
        <v>0</v>
      </c>
      <c r="CQ98">
        <f>MAX( 0, MIN(BedPlan[[#This Row],[Expected End of Harvest]], EOMONTH(CQ$4, 0)) - MAX(BedPlan[[#This Row],[Beginning of Harvest]], CQ$4) + 1 )</f>
        <v>0</v>
      </c>
      <c r="CR98">
        <f>MAX( 0, MIN(BedPlan[[#This Row],[Expected End of Harvest]], EOMONTH(CR$4, 0)) - MAX(BedPlan[[#This Row],[Beginning of Harvest]], CR$4) + 1 )</f>
        <v>14</v>
      </c>
      <c r="CS98">
        <f>MAX( 0, MIN(BedPlan[[#This Row],[Expected End of Harvest]], EOMONTH(CS$4, 0)) - MAX(BedPlan[[#This Row],[Beginning of Harvest]], CS$4) + 1 )</f>
        <v>30</v>
      </c>
      <c r="CT98">
        <f>MAX( 0, MIN(BedPlan[[#This Row],[Expected End of Harvest]], EOMONTH(CT$4, 0)) - MAX(BedPlan[[#This Row],[Beginning of Harvest]], CT$4) + 1 )</f>
        <v>31</v>
      </c>
      <c r="CU98">
        <f>MAX( 0, MIN(BedPlan[[#This Row],[Expected End of Harvest]], EOMONTH(CU$4, 0)) - MAX(BedPlan[[#This Row],[Beginning of Harvest]], CU$4) + 1 )</f>
        <v>30</v>
      </c>
      <c r="CV98">
        <f>MAX( 0, MIN(BedPlan[[#This Row],[Expected End of Harvest]], EOMONTH(CV$4, 0)) - MAX(BedPlan[[#This Row],[Beginning of Harvest]], CV$4) + 1 )</f>
        <v>22</v>
      </c>
      <c r="CW98">
        <f>MAX( 0, MIN(BedPlan[[#This Row],[Expected End of Harvest]], EOMONTH(CW$4, 0)) - MAX(BedPlan[[#This Row],[Beginning of Harvest]], CW$4) + 1 )</f>
        <v>0</v>
      </c>
      <c r="CX98">
        <f>MAX( 0, MIN(BedPlan[[#This Row],[Expected End of Harvest]], EOMONTH(CX$4, 0)) - MAX(BedPlan[[#This Row],[Beginning of Harvest]], CX$4) + 1 )</f>
        <v>0</v>
      </c>
      <c r="CY98">
        <f>MAX( 0, MIN(BedPlan[[#This Row],[Expected End of Harvest]], EOMONTH(CY$4, 0)) - MAX(BedPlan[[#This Row],[Beginning of Harvest]], CY$4) + 1 )</f>
        <v>0</v>
      </c>
      <c r="CZ98">
        <f>MAX( 0, MIN(BedPlan[[#This Row],[Expected End of Harvest]], EOMONTH(CZ$4, 0)) - MAX(BedPlan[[#This Row],[Beginning of Harvest]], CZ$4) + 1 )</f>
        <v>0</v>
      </c>
      <c r="DA98">
        <f>MAX( 0, MIN(BedPlan[[#This Row],[Expected End of Harvest]], EOMONTH(DA$4, 0)) - MAX(BedPlan[[#This Row],[Beginning of Harvest]], DA$4) + 1 )</f>
        <v>0</v>
      </c>
      <c r="DB98">
        <f>MAX( 0, MIN(BedPlan[[#This Row],[Expected End of Harvest]], EOMONTH(DB$4, 0)) - MAX(BedPlan[[#This Row],[Beginning of Harvest]], DB$4) + 1 )</f>
        <v>0</v>
      </c>
      <c r="DC98">
        <f>MAX( 0, MIN(BedPlan[[#This Row],[Expected End of Harvest]], EOMONTH(DC$4, 0)) - MAX(BedPlan[[#This Row],[Beginning of Harvest]], DC$4) + 1 )</f>
        <v>0</v>
      </c>
      <c r="DD98">
        <f>MAX( 0, MIN(BedPlan[[#This Row],[Expected End of Harvest]], EOMONTH(DD$4, 0)) - MAX(BedPlan[[#This Row],[Beginning of Harvest]], DD$4) + 1 )</f>
        <v>0</v>
      </c>
      <c r="DE98">
        <f>MAX( 0, MIN(BedPlan[[#This Row],[Expected End of Harvest]], EOMONTH(DE$4, 0)) - MAX(BedPlan[[#This Row],[Beginning of Harvest]], DE$4) + 1 )</f>
        <v>0</v>
      </c>
      <c r="DF98">
        <f>MAX( 0, MIN(BedPlan[[#This Row],[Expected End of Harvest]], EOMONTH(DF$4, 0)) - MAX(BedPlan[[#This Row],[Beginning of Harvest]], DF$4) + 1 )</f>
        <v>0</v>
      </c>
      <c r="DG98">
        <f>MAX( 0, MIN(BedPlan[[#This Row],[Expected End of Harvest]], EOMONTH(DG$4, 0)) - MAX(BedPlan[[#This Row],[Beginning of Harvest]], DG$4) + 1 )</f>
        <v>0</v>
      </c>
      <c r="DH98">
        <f>MAX( 0, MIN(BedPlan[[#This Row],[Expected End of Harvest]], EOMONTH(DH$4, 0)) - MAX(BedPlan[[#This Row],[Beginning of Harvest]], DH$4) + 1 )</f>
        <v>0</v>
      </c>
      <c r="DI98" s="257" cm="1">
        <f t="array" ref="DI98">BedPlan[[#This Row],[Harvest Days January 2025]]/SUM(BedPlan[[#This Row],[Harvest Days January 2025]:[Harvest Days December 2026]])*BedPlan[[#This Row],[Revenue]:[Revenue]]</f>
        <v>0</v>
      </c>
      <c r="DJ98" s="257" cm="1">
        <f t="array" ref="DJ98">BedPlan[[#This Row],[Harvest Days February 2025]]/SUM(BedPlan[[#This Row],[Harvest Days January 2025]:[Harvest Days December 2026]])*BedPlan[[#This Row],[Revenue]:[Revenue]]</f>
        <v>0</v>
      </c>
      <c r="DK98" s="257" cm="1">
        <f t="array" ref="DK98">BedPlan[[#This Row],[Harvest Days March 2025]]/SUM(BedPlan[[#This Row],[Harvest Days January 2025]:[Harvest Days December 2026]])*BedPlan[[#This Row],[Revenue]:[Revenue]]</f>
        <v>0</v>
      </c>
      <c r="DL98" s="257" cm="1">
        <f t="array" ref="DL98">BedPlan[[#This Row],[Harvest Days April 2025]]/SUM(BedPlan[[#This Row],[Harvest Days January 2025]:[Harvest Days December 2026]])*BedPlan[[#This Row],[Revenue]:[Revenue]]</f>
        <v>0</v>
      </c>
      <c r="DM98" s="257" cm="1">
        <f t="array" ref="DM98">BedPlan[[#This Row],[Harvest Days May 2025]]/SUM(BedPlan[[#This Row],[Harvest Days January 2025]:[Harvest Days December 2026]])*BedPlan[[#This Row],[Revenue]:[Revenue]]</f>
        <v>0</v>
      </c>
      <c r="DN98" s="257" cm="1">
        <f t="array" ref="DN98">BedPlan[[#This Row],[Harvest Days June 2025]]/SUM(BedPlan[[#This Row],[Harvest Days January 2025]:[Harvest Days December 2026]])*BedPlan[[#This Row],[Revenue]:[Revenue]]</f>
        <v>0</v>
      </c>
      <c r="DO98" s="257" cm="1">
        <f t="array" ref="DO98">BedPlan[[#This Row],[Harvest Days July 2025]]/SUM(BedPlan[[#This Row],[Harvest Days January 2025]:[Harvest Days December 2026]])*BedPlan[[#This Row],[Revenue]:[Revenue]]</f>
        <v>0</v>
      </c>
      <c r="DP98" s="257" cm="1">
        <f t="array" ref="DP98">BedPlan[[#This Row],[Harvest Days August 2025]]/SUM(BedPlan[[#This Row],[Harvest Days January 2025]:[Harvest Days December 2026]])*BedPlan[[#This Row],[Revenue]:[Revenue]]</f>
        <v>111.61417322834646</v>
      </c>
      <c r="DQ98" s="257" cm="1">
        <f t="array" ref="DQ98">BedPlan[[#This Row],[Harvest Days September 2025]]/SUM(BedPlan[[#This Row],[Harvest Days January 2025]:[Harvest Days December 2026]])*BedPlan[[#This Row],[Revenue]:[Revenue]]</f>
        <v>239.17322834645668</v>
      </c>
      <c r="DR98" s="257" cm="1">
        <f t="array" ref="DR98">BedPlan[[#This Row],[Harvest Days October 2025]]/SUM(BedPlan[[#This Row],[Harvest Days January 2025]:[Harvest Days December 2026]])*BedPlan[[#This Row],[Revenue]:[Revenue]]</f>
        <v>247.14566929133861</v>
      </c>
      <c r="DS98" s="257" cm="1">
        <f t="array" ref="DS98">BedPlan[[#This Row],[Harvest Days November 2025]]/SUM(BedPlan[[#This Row],[Harvest Days January 2025]:[Harvest Days December 2026]])*BedPlan[[#This Row],[Revenue]:[Revenue]]</f>
        <v>239.17322834645668</v>
      </c>
      <c r="DT98" s="257" cm="1">
        <f t="array" ref="DT98">BedPlan[[#This Row],[Harvest Days December 2025]]/SUM(BedPlan[[#This Row],[Harvest Days January 2025]:[Harvest Days December 2026]])*BedPlan[[#This Row],[Revenue]:[Revenue]]</f>
        <v>175.39370078740157</v>
      </c>
      <c r="DU98" s="257" cm="1">
        <f t="array" ref="DU98">BedPlan[[#This Row],[Harvest Days January 2026]]/SUM(BedPlan[[#This Row],[Harvest Days January 2025]:[Harvest Days December 2026]])*BedPlan[[#This Row],[Revenue]:[Revenue]]</f>
        <v>0</v>
      </c>
      <c r="DV98" s="257" cm="1">
        <f t="array" ref="DV98">BedPlan[[#This Row],[Harvest Days February 2026]]/SUM(BedPlan[[#This Row],[Harvest Days January 2025]:[Harvest Days December 2026]])*BedPlan[[#This Row],[Revenue]:[Revenue]]</f>
        <v>0</v>
      </c>
      <c r="DW98" s="257" cm="1">
        <f t="array" ref="DW98">BedPlan[[#This Row],[Harvest Days March 2026]]/SUM(BedPlan[[#This Row],[Harvest Days January 2025]:[Harvest Days December 2026]])*BedPlan[[#This Row],[Revenue]:[Revenue]]</f>
        <v>0</v>
      </c>
      <c r="DX98" s="257" cm="1">
        <f t="array" ref="DX98">BedPlan[[#This Row],[Harvest Days April 2026]]/SUM(BedPlan[[#This Row],[Harvest Days January 2025]:[Harvest Days December 2026]])*BedPlan[[#This Row],[Revenue]:[Revenue]]</f>
        <v>0</v>
      </c>
      <c r="DY98" s="257" cm="1">
        <f t="array" ref="DY98">BedPlan[[#This Row],[Harvest Days May 2026]]/SUM(BedPlan[[#This Row],[Harvest Days January 2025]:[Harvest Days December 2026]])*BedPlan[[#This Row],[Revenue]:[Revenue]]</f>
        <v>0</v>
      </c>
      <c r="DZ98" s="257" cm="1">
        <f t="array" ref="DZ98">BedPlan[[#This Row],[Harvest Days June 2026]]/SUM(BedPlan[[#This Row],[Harvest Days January 2025]:[Harvest Days December 2026]])*BedPlan[[#This Row],[Revenue]:[Revenue]]</f>
        <v>0</v>
      </c>
      <c r="EA98" s="257" cm="1">
        <f t="array" ref="EA98">BedPlan[[#This Row],[Harvest Days July 2026]]/SUM(BedPlan[[#This Row],[Harvest Days January 2025]:[Harvest Days December 2026]])*BedPlan[[#This Row],[Revenue]:[Revenue]]</f>
        <v>0</v>
      </c>
      <c r="EB98" s="257" cm="1">
        <f t="array" ref="EB98">BedPlan[[#This Row],[Harvest Days August 2026]]/SUM(BedPlan[[#This Row],[Harvest Days January 2025]:[Harvest Days December 2026]])*BedPlan[[#This Row],[Revenue]:[Revenue]]</f>
        <v>0</v>
      </c>
      <c r="EC98" s="257" cm="1">
        <f t="array" ref="EC98">BedPlan[[#This Row],[Harvest Days September 2026]]/SUM(BedPlan[[#This Row],[Harvest Days January 2025]:[Harvest Days December 2026]])*BedPlan[[#This Row],[Revenue]:[Revenue]]</f>
        <v>0</v>
      </c>
      <c r="ED98" s="257" cm="1">
        <f t="array" ref="ED98">BedPlan[[#This Row],[Harvest Days October 2026]]/SUM(BedPlan[[#This Row],[Harvest Days January 2025]:[Harvest Days December 2026]])*BedPlan[[#This Row],[Revenue]:[Revenue]]</f>
        <v>0</v>
      </c>
      <c r="EE98" s="257" cm="1">
        <f t="array" ref="EE98">BedPlan[[#This Row],[Harvest Days November 2026]]/SUM(BedPlan[[#This Row],[Harvest Days January 2025]:[Harvest Days December 2026]])*BedPlan[[#This Row],[Revenue]:[Revenue]]</f>
        <v>0</v>
      </c>
      <c r="EF98" s="257" cm="1">
        <f t="array" ref="EF98">BedPlan[[#This Row],[Harvest Days December 2026]]/SUM(BedPlan[[#This Row],[Harvest Days January 2025]:[Harvest Days December 2026]])*BedPlan[[#This Row],[Revenue]:[Revenue]]</f>
        <v>0</v>
      </c>
      <c r="EG98" t="b">
        <f>SUM(BedPlan[[#This Row],[Revenue January 2025]:[Revenue December 2026]])=BedPlan[[#This Row],[Revenue]]</f>
        <v>1</v>
      </c>
      <c r="EH98" s="30" cm="1">
        <f t="array" ref="EH98">INDEX(Crops[],BedPlan[[#This Row],[Chart Index]],EH$4,1)*BedPlan[[#This Row],['# Of Beds]]</f>
        <v>126.5625</v>
      </c>
      <c r="EI98" s="30" t="str" cm="1">
        <f t="array" ref="EI98">INDEX(Crops[],BedPlan[[#This Row],[Chart Index]],EI$4,1)</f>
        <v>Lb</v>
      </c>
      <c r="EJ98" s="30" t="str" cm="1">
        <f t="array" ref="EJ98">INDEX(Crops[],BedPlan[[#This Row],[Chart Index]],EJ$4,1)</f>
        <v>Ripe Fruit Small</v>
      </c>
      <c r="EK98" s="30" t="str">
        <f>BedPlan[[#This Row],[Name]]&amp;" "&amp;BedPlan[[#This Row],[Product]]&amp; " - " &amp;BedPlan[[#This Row],[Unit]]</f>
        <v>Pepper Ripe Fruit Small - Lb</v>
      </c>
      <c r="EL98" s="33" cm="1">
        <f t="array" ref="EL98">BedPlan[[#This Row],[Harvest Days January 2025]]/SUM(BedPlan[[#This Row],[Harvest Days January 2025]:[Harvest Days December 2026]])*BedPlan[[#This Row],[Yield]:[Yield]]</f>
        <v>0</v>
      </c>
      <c r="EM98" s="33" cm="1">
        <f t="array" ref="EM98">BedPlan[[#This Row],[Harvest Days February 2025]]/SUM(BedPlan[[#This Row],[Harvest Days January 2025]:[Harvest Days December 2026]])*BedPlan[[#This Row],[Yield]:[Yield]]</f>
        <v>0</v>
      </c>
      <c r="EN98" s="33" cm="1">
        <f t="array" ref="EN98">BedPlan[[#This Row],[Harvest Days March 2025]]/SUM(BedPlan[[#This Row],[Harvest Days January 2025]:[Harvest Days December 2026]])*BedPlan[[#This Row],[Yield]:[Yield]]</f>
        <v>0</v>
      </c>
      <c r="EO98" s="33" cm="1">
        <f t="array" ref="EO98">BedPlan[[#This Row],[Harvest Days April 2025]]/SUM(BedPlan[[#This Row],[Harvest Days January 2025]:[Harvest Days December 2026]])*BedPlan[[#This Row],[Yield]:[Yield]]</f>
        <v>0</v>
      </c>
      <c r="EP98" s="33" cm="1">
        <f t="array" ref="EP98">BedPlan[[#This Row],[Harvest Days May 2025]]/SUM(BedPlan[[#This Row],[Harvest Days January 2025]:[Harvest Days December 2026]])*BedPlan[[#This Row],[Yield]:[Yield]]</f>
        <v>0</v>
      </c>
      <c r="EQ98" s="33" cm="1">
        <f t="array" ref="EQ98">BedPlan[[#This Row],[Harvest Days June 2025]]/SUM(BedPlan[[#This Row],[Harvest Days January 2025]:[Harvest Days December 2026]])*BedPlan[[#This Row],[Yield]:[Yield]]</f>
        <v>0</v>
      </c>
      <c r="ER98" s="33" cm="1">
        <f t="array" ref="ER98">BedPlan[[#This Row],[Harvest Days July 2025]]/SUM(BedPlan[[#This Row],[Harvest Days January 2025]:[Harvest Days December 2026]])*BedPlan[[#This Row],[Yield]:[Yield]]</f>
        <v>0</v>
      </c>
      <c r="ES98" s="33" cm="1">
        <f t="array" ref="ES98">BedPlan[[#This Row],[Harvest Days August 2025]]/SUM(BedPlan[[#This Row],[Harvest Days January 2025]:[Harvest Days December 2026]])*BedPlan[[#This Row],[Yield]:[Yield]]</f>
        <v>13.951771653543307</v>
      </c>
      <c r="ET98" s="33" cm="1">
        <f t="array" ref="ET98">BedPlan[[#This Row],[Harvest Days September 2025]]/SUM(BedPlan[[#This Row],[Harvest Days January 2025]:[Harvest Days December 2026]])*BedPlan[[#This Row],[Yield]:[Yield]]</f>
        <v>29.896653543307085</v>
      </c>
      <c r="EU98" s="33" cm="1">
        <f t="array" ref="EU98">BedPlan[[#This Row],[Harvest Days October 2025]]/SUM(BedPlan[[#This Row],[Harvest Days January 2025]:[Harvest Days December 2026]])*BedPlan[[#This Row],[Yield]:[Yield]]</f>
        <v>30.893208661417326</v>
      </c>
      <c r="EV98" s="33" cm="1">
        <f t="array" ref="EV98">BedPlan[[#This Row],[Harvest Days November 2025]]/SUM(BedPlan[[#This Row],[Harvest Days January 2025]:[Harvest Days December 2026]])*BedPlan[[#This Row],[Yield]:[Yield]]</f>
        <v>29.896653543307085</v>
      </c>
      <c r="EW98" s="33" cm="1">
        <f t="array" ref="EW98">BedPlan[[#This Row],[Harvest Days December 2025]]/SUM(BedPlan[[#This Row],[Harvest Days January 2025]:[Harvest Days December 2026]])*BedPlan[[#This Row],[Yield]:[Yield]]</f>
        <v>21.924212598425196</v>
      </c>
    </row>
    <row r="99" spans="1:153" ht="15.75" customHeight="1">
      <c r="A99" s="190" t="s">
        <v>1761</v>
      </c>
      <c r="B99" t="s">
        <v>2663</v>
      </c>
      <c r="C99" t="s">
        <v>1467</v>
      </c>
      <c r="D99" cm="1">
        <f t="array" ref="D99">INDEX(Crops[],BedPlan[[#This Row],[Chart Index]],D$4,1)*BedPlan[[#This Row],[Full Bed Equivalent]]</f>
        <v>186.66666666666663</v>
      </c>
      <c r="E99" cm="1">
        <f t="array" ref="E99">INDEX(Crops[],BedPlan[[#This Row],[Chart Index]],E$4,1)*BedPlan[[#This Row],[Full Bed Equivalent]]</f>
        <v>186.66666666666663</v>
      </c>
      <c r="F99" t="str">
        <f>UPPER(LEFT(BedPlan[[#This Row],[Crop]],3))</f>
        <v>POT</v>
      </c>
      <c r="H99" s="143" t="str" cm="1">
        <f t="array" ref="H99">INDEX(Crops[],BedPlan[[#This Row],[Chart Index]],H$4,1)</f>
        <v>Potato</v>
      </c>
      <c r="I99" t="s">
        <v>2286</v>
      </c>
      <c r="K99" t="str" cm="1">
        <f t="array" ref="K99">IF(ISNUMBER(MATCH(BedPlan[[#This Row],[Variety]],SeedMixes[Name],)),_xlfn.TEXTJOIN(", ",TRUE,_xlfn._xlws.FILTER(SeedMixes[Variety &amp; Company],SeedMixes[Name]=BedPlan[[#This Row],[Variety]])),"")</f>
        <v>Purple Viking Johnny's, Red Norland Johnny's</v>
      </c>
      <c r="L99" s="33" cm="1">
        <f t="array" ref="L99">INDEX(Crops[],BedPlan[[#This Row],[Chart Index]],L$4,1)*BedPlan[[#This Row],[Full Bed Equivalent]]</f>
        <v>173.33333333333331</v>
      </c>
      <c r="N99">
        <v>2</v>
      </c>
      <c r="O99">
        <f>MAX(BedPlan[[#This Row],['# Of Beds]],0.5)</f>
        <v>2</v>
      </c>
      <c r="P99" s="31">
        <f>IF(ISNUMBER(BedPlan[[#This Row],[Planned Greenhouse Start Date]]),BedPlan[[#This Row],[Planned Greenhouse Start Date]],BedPlan[[#This Row],[Planned TP or DS Date]])</f>
        <v>45748</v>
      </c>
      <c r="Q99" s="259" t="str">
        <f>IF(BedPlan[[#This Row],[Days in Cells]]=0,"",IFERROR(_xlfn.XLOOKUP(BedPlan[[#This Row],[Follows Crop]],BedPlan[Identifier],BedPlan[Expected End of Harvest]) + 1+BedPlan[[#This Row],[Follow Offset]],BedPlan[[#This Row],[Fixed Field Start Date]])-BedPlan[[#This Row],[Days in Cells]])</f>
        <v/>
      </c>
      <c r="R99" s="259"/>
      <c r="S99" s="259" t="str">
        <f>IF(ISNUMBER(BedPlan[[#This Row],[Actual Greenhouse Date]]),BedPlan[[#This Row],[Actual Greenhouse Date]],BedPlan[[#This Row],[Planned Greenhouse Start Date]])</f>
        <v/>
      </c>
      <c r="T99" s="259">
        <f>_xlfn.XLOOKUP(BedPlan[[#This Row],[Crop]],Crops[Identifier],Crops[Target Field Date])</f>
        <v>45748</v>
      </c>
      <c r="U99" s="260"/>
      <c r="V99" s="260"/>
      <c r="W9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99" s="259">
        <v>45765</v>
      </c>
      <c r="Y99" s="271">
        <f>BedPlan[[#This Row],[Actual TP or DS Date]]-BedPlan[[#This Row],[Planned TP or DS Date]]</f>
        <v>17</v>
      </c>
      <c r="Z99" s="259">
        <f>IF(ISNUMBER(BedPlan[[#This Row],[Actual TP or DS Date]]),BedPlan[[#This Row],[Actual TP or DS Date]],BedPlan[[#This Row],[Planned TP or DS Date]])</f>
        <v>45765</v>
      </c>
      <c r="AA99" s="260"/>
      <c r="AB99" s="259">
        <f>IF(ISNUMBER(BedPlan[[#This Row],[Greenhouse Start Date]]),BedPlan[[#This Row],[Greenhouse Start Date]]+BedPlan[[#This Row],[DTM]],BedPlan[[#This Row],[TP or DS Date]]+BedPlan[[#This Row],[DTM]])</f>
        <v>45825</v>
      </c>
      <c r="AC99" s="259"/>
      <c r="AD99" s="259">
        <f>IF(ISNUMBER(BedPlan[[#This Row],[Actual Beginning of Harvest]]),BedPlan[[#This Row],[Actual Beginning of Harvest]],BedPlan[[#This Row],[Expected Beginning of Harvest]])</f>
        <v>45825</v>
      </c>
      <c r="AE99" s="259">
        <f>BedPlan[[#This Row],[Expected Beginning of Harvest]]+BedPlan[[#This Row],[Harvest Window]]+BedPlan[[#This Row],[Additional Days of Harvest]]</f>
        <v>45832</v>
      </c>
      <c r="AF99" s="259"/>
      <c r="AG99" s="259"/>
      <c r="AH99" s="31" t="b">
        <f>IF(AND( BedPlan[[#This Row],[Expected End of Harvest]] &gt;= DATE(2025, 8, 1), BedPlan[[#This Row],[Beginning of Harvest]] &lt;= DATE(2025, 8, 31) ), TRUE, FALSE)</f>
        <v>0</v>
      </c>
      <c r="AI99" s="31"/>
      <c r="AJ99" s="31">
        <f>IF(ISNUMBER(BedPlan[[#This Row],[Actual End of Harvest]]),BedPlan[[#This Row],[Actual End of Harvest]],BedPlan[[#This Row],[Expected End of Harvest]])</f>
        <v>45832</v>
      </c>
      <c r="AK99" t="b">
        <f>OR(ISNUMBER(BedPlan[[#This Row],[Actual Greenhouse Date]]),ISNUMBER(BedPlan[[#This Row],[Actual TP or DS Date]]))</f>
        <v>1</v>
      </c>
      <c r="AL99" s="52" t="str">
        <f>IF(ISNUMBER(BedPlan[[#This Row],[Planned Greenhouse Start Date]]),OR(ISNUMBER(BedPlan[[#This Row],[Actual TP or DS Date]]),BedPlan[[#This Row],[Failed]]),"-")</f>
        <v>-</v>
      </c>
      <c r="AM99" t="b">
        <f>OR(ISNUMBER(BedPlan[[#This Row],[Actual End of Harvest]]),BedPlan[[#This Row],[Failed]])</f>
        <v>0</v>
      </c>
      <c r="AN99" t="b">
        <f>OR(BedPlan[[#This Row],[Harvest Done]],BedPlan[[#This Row],[Failed]],BedPlan[[#This Row],[Name]]="Tarp")</f>
        <v>0</v>
      </c>
      <c r="AO99" t="b">
        <v>1</v>
      </c>
      <c r="AP99" t="b">
        <v>1</v>
      </c>
      <c r="AQ99" t="s">
        <v>3214</v>
      </c>
      <c r="AS99" s="26">
        <f>IF(BedPlan[[#This Row],[Broadfork]],BedPlan[[#This Row],[Actual TP or DS Date]],"")</f>
        <v>45765</v>
      </c>
      <c r="AT99" s="26">
        <f>IF(BedPlan[[#This Row],[Tilther]],BedPlan[[#This Row],[Actual TP or DS Date]],"")</f>
        <v>45765</v>
      </c>
      <c r="AU99" s="26">
        <f>IF(NOT(ISBLANK(BedPlan[[#This Row],[Amend]])),BedPlan[[#This Row],[Actual TP or DS Date]],"")</f>
        <v>45765</v>
      </c>
      <c r="AV99" s="26" t="str">
        <f>IF(BedPlan[[#This Row],[Row Cover]],BedPlan[[#This Row],[Actual TP or DS Date]],"")</f>
        <v/>
      </c>
      <c r="AW99" t="s">
        <v>3218</v>
      </c>
      <c r="AX99" s="26">
        <v>45807</v>
      </c>
      <c r="AY99" t="s">
        <v>3219</v>
      </c>
      <c r="AZ99" s="26">
        <v>45826</v>
      </c>
      <c r="BB99" s="26"/>
      <c r="BC99" s="231" cm="1">
        <f t="array" ref="BC99">INDEX(Crops[],BedPlan[[#This Row],[Chart Index]],BC$4,1)*BedPlan[[#This Row],[Full Bed Equivalent]]</f>
        <v>559.99999999999989</v>
      </c>
      <c r="BD99" s="231" cm="1">
        <f t="array" ref="BD99">INDEX(Crops[],BedPlan[[#This Row],[Chart Index]],BD$4,1)*BedPlan[[#This Row],[Full Bed Equivalent]]</f>
        <v>8.3582089552238781</v>
      </c>
      <c r="BE99" cm="1">
        <f t="array" ref="BE99">INDEX(Crops[],BedPlan[[#This Row],[Chart Index]],BE$4,1)+BedPlan[[#This Row],[Additional Days in Cells]]+BedPlan[[#This Row],[Additional Days In Field]]</f>
        <v>60</v>
      </c>
      <c r="BG99" cm="1">
        <f t="array" ref="BG99">INDEX(Crops[],BedPlan[[#This Row],[Chart Index]],BG$4,1)</f>
        <v>7</v>
      </c>
      <c r="BH99" t="str">
        <f>IF(ISNUMBER(BedPlan[[#This Row],[Planned Greenhouse Start Date]]),"TP","DS")</f>
        <v>DS</v>
      </c>
      <c r="BI99">
        <f>BedPlan[[#This Row],['# Of Beds]]</f>
        <v>2</v>
      </c>
      <c r="BJ99" cm="1">
        <f t="array" ref="BJ99">INDEX(Crops[],BedPlan[[#This Row],[Chart Index]],BJ$4,1)</f>
        <v>0</v>
      </c>
      <c r="BK99" cm="1">
        <f t="array" ref="BK99">INDEX(Crops[],BedPlan[[#This Row],[Chart Index]],BK$4,1)</f>
        <v>2</v>
      </c>
      <c r="BL99" cm="1">
        <f t="array" ref="BL99">INDEX(Crops[],BedPlan[[#This Row],[Chart Index]],BL$4,1)</f>
        <v>18</v>
      </c>
      <c r="BM99" cm="1">
        <f t="array" ref="BM99">INDEX(Crops[],BedPlan[[#This Row],[Chart Index]],BM$4,1)</f>
        <v>1</v>
      </c>
      <c r="BN99" s="32" cm="1">
        <f t="array" ref="BN99">INDEX(Crops[],BedPlan[[#This Row],[Chart Index]],BN$4,1)*BedPlan[[#This Row],[Full Bed Equivalent]]</f>
        <v>133.33333333333331</v>
      </c>
      <c r="BO99" t="str" cm="1">
        <f t="array" ref="BO99">IF(INDEX(Crops[],BedPlan[[#This Row],[Chart Index]],BO$4,1)=0,"",INDEX(Crops[],BedPlan[[#This Row],[Chart Index]],BO$4,1))</f>
        <v/>
      </c>
      <c r="BP99">
        <f>MATCH(BedPlan[[#This Row],[Crop]],Crops[Identifier],FALSE)</f>
        <v>246</v>
      </c>
      <c r="BQ99" t="str" cm="1">
        <f t="array" ref="BQ99">INDEX(Crops[],BedPlan[[#This Row],[Chart Index]],BQ$4,1)</f>
        <v>Early</v>
      </c>
      <c r="BR99" t="str" cm="1">
        <f t="array" ref="BR99">INDEX(Crops[],BedPlan[[#This Row],[Chart Index]],BR$4,1)</f>
        <v/>
      </c>
      <c r="BS99" s="32">
        <f>BedPlan[[#This Row],[Expected Beginning of Harvest]]-DATE(2023,1,1)</f>
        <v>898</v>
      </c>
      <c r="BT99">
        <f>BedPlan[[#This Row],[Expected End of Harvest]]-BedPlan[[#This Row],[Expected Beginning of Harvest]]</f>
        <v>7</v>
      </c>
      <c r="BU99" t="str" cm="1">
        <f t="array" ref="BU99">INDEX(Crops[],BedPlan[[#This Row],[Chart Index]],BU$4,1)</f>
        <v>Root</v>
      </c>
      <c r="BV99" cm="1">
        <f t="array" ref="BV99">INDEX(Crops[],BedPlan[[#This Row],[Chart Index]],BV$4,1)</f>
        <v>3</v>
      </c>
      <c r="BW99" t="str" cm="1">
        <f t="array" ref="BW99">INDEX(Crops[],BedPlan[[#This Row],[Chart Index]],BW$4,1)</f>
        <v>None</v>
      </c>
      <c r="BX99" cm="1">
        <f t="array" ref="BX99">INDEX(Crops[],BedPlan[[#This Row],[Chart Index]],BX$4,1)</f>
        <v>0</v>
      </c>
      <c r="BY99" cm="1">
        <f t="array" ref="BY99">INDEX(Crops[],BedPlan[[#This Row],[Chart Index]],BY$4,1)</f>
        <v>0</v>
      </c>
      <c r="BZ99" s="49" t="str" cm="1">
        <f t="array" ref="BZ99">IFERROR(INDEX(Crops[],BedPlan[[#This Row],[Chart Index]],BZ$4,1)*BedPlan[[#This Row],[Full Bed Equivalent]],"")</f>
        <v/>
      </c>
      <c r="CA99" cm="1">
        <f t="array" ref="CA99">INDEX(Crops[],BedPlan[[#This Row],[Chart Index]],CA$4,1)</f>
        <v>0</v>
      </c>
      <c r="CB99" cm="1">
        <f t="array" ref="CB99">INDEX(Crops[],BedPlan[[#This Row],[Chart Index]],CB$4,1)</f>
        <v>0</v>
      </c>
      <c r="CC99" s="49" t="str" cm="1">
        <f t="array" ref="CC99">IFERROR(INDEX(Crops[],BedPlan[[#This Row],[Chart Index]],CC$4,1)*BedPlan[[#This Row],[Full Bed Equivalent]],"")</f>
        <v/>
      </c>
      <c r="CD99" cm="1">
        <f t="array" ref="CD99">INDEX(Crops[],BedPlan[[#This Row],[Chart Index]],CD$4,1)</f>
        <v>0</v>
      </c>
      <c r="CE99" cm="1">
        <f t="array" ref="CE99">IF(INDEX(Crops[],BedPlan[[#This Row],[Chart Index]],CE$4,1)="",0,INDEX(Crops[],BedPlan[[#This Row],[Chart Index]],CE$4,1))</f>
        <v>0</v>
      </c>
      <c r="CF99" s="49" t="str" cm="1">
        <f t="array" ref="CF99">IFERROR(INDEX(Crops[],BedPlan[[#This Row],[Chart Index]],CF$4,1)*BedPlan[[#This Row],[Full Bed Equivalent]],"")</f>
        <v/>
      </c>
      <c r="CG99" cm="1">
        <f t="array" ref="CG99">IF(INDEX(Crops[],BedPlan[[#This Row],[Chart Index]],CG$4,1)="",0,INDEX(Crops[],BedPlan[[#This Row],[Chart Index]],CG$4,1))</f>
        <v>1.3</v>
      </c>
      <c r="CH99" cm="1">
        <f t="array" ref="CH99">IF(INDEX(Crops[],BedPlan[[#This Row],[Chart Index]],CH$4,1)="",0,INDEX(Crops[],BedPlan[[#This Row],[Chart Index]],CH$4,1))</f>
        <v>0</v>
      </c>
      <c r="CI99" t="str" cm="1">
        <f t="array" ref="CI99">INDEX(Crops[],BedPlan[[#This Row],[Chart Index]],CI$4,1)</f>
        <v>Field</v>
      </c>
      <c r="CJ99" s="30" t="str">
        <f>_xlfn.TEXTJOIN(CHAR(10),FALSE,BedPlan[[#This Row],[Name]],BedPlan[[#This Row],[Variety]],BedPlan[[#This Row],[Company]])</f>
        <v xml:space="preserve">Potato
Early Potato Mix
</v>
      </c>
      <c r="CK99" s="32">
        <f>MAX( 0, MIN(BedPlan[[#This Row],[Expected End of Harvest]], EOMONTH(CK$4, 0)) - MAX(BedPlan[[#This Row],[Beginning of Harvest]], CK$4) + 1 )</f>
        <v>0</v>
      </c>
      <c r="CL99">
        <f>MAX( 0, MIN(BedPlan[[#This Row],[Expected End of Harvest]], EOMONTH(CL$4, 0)) - MAX(BedPlan[[#This Row],[Beginning of Harvest]], CL$4) + 1 )</f>
        <v>0</v>
      </c>
      <c r="CM99">
        <f>MAX( 0, MIN(BedPlan[[#This Row],[Expected End of Harvest]], EOMONTH(CM$4, 0)) - MAX(BedPlan[[#This Row],[Beginning of Harvest]], CM$4) + 1 )</f>
        <v>0</v>
      </c>
      <c r="CN99">
        <f>MAX( 0, MIN(BedPlan[[#This Row],[Expected End of Harvest]], EOMONTH(CN$4, 0)) - MAX(BedPlan[[#This Row],[Beginning of Harvest]], CN$4) + 1 )</f>
        <v>0</v>
      </c>
      <c r="CO99">
        <f>MAX( 0, MIN(BedPlan[[#This Row],[Expected End of Harvest]], EOMONTH(CO$4, 0)) - MAX(BedPlan[[#This Row],[Beginning of Harvest]], CO$4) + 1 )</f>
        <v>0</v>
      </c>
      <c r="CP99">
        <f>MAX( 0, MIN(BedPlan[[#This Row],[Expected End of Harvest]], EOMONTH(CP$4, 0)) - MAX(BedPlan[[#This Row],[Beginning of Harvest]], CP$4) + 1 )</f>
        <v>8</v>
      </c>
      <c r="CQ99">
        <f>MAX( 0, MIN(BedPlan[[#This Row],[Expected End of Harvest]], EOMONTH(CQ$4, 0)) - MAX(BedPlan[[#This Row],[Beginning of Harvest]], CQ$4) + 1 )</f>
        <v>0</v>
      </c>
      <c r="CR99">
        <f>MAX( 0, MIN(BedPlan[[#This Row],[Expected End of Harvest]], EOMONTH(CR$4, 0)) - MAX(BedPlan[[#This Row],[Beginning of Harvest]], CR$4) + 1 )</f>
        <v>0</v>
      </c>
      <c r="CS99">
        <f>MAX( 0, MIN(BedPlan[[#This Row],[Expected End of Harvest]], EOMONTH(CS$4, 0)) - MAX(BedPlan[[#This Row],[Beginning of Harvest]], CS$4) + 1 )</f>
        <v>0</v>
      </c>
      <c r="CT99">
        <f>MAX( 0, MIN(BedPlan[[#This Row],[Expected End of Harvest]], EOMONTH(CT$4, 0)) - MAX(BedPlan[[#This Row],[Beginning of Harvest]], CT$4) + 1 )</f>
        <v>0</v>
      </c>
      <c r="CU99">
        <f>MAX( 0, MIN(BedPlan[[#This Row],[Expected End of Harvest]], EOMONTH(CU$4, 0)) - MAX(BedPlan[[#This Row],[Beginning of Harvest]], CU$4) + 1 )</f>
        <v>0</v>
      </c>
      <c r="CV99">
        <f>MAX( 0, MIN(BedPlan[[#This Row],[Expected End of Harvest]], EOMONTH(CV$4, 0)) - MAX(BedPlan[[#This Row],[Beginning of Harvest]], CV$4) + 1 )</f>
        <v>0</v>
      </c>
      <c r="CW99">
        <f>MAX( 0, MIN(BedPlan[[#This Row],[Expected End of Harvest]], EOMONTH(CW$4, 0)) - MAX(BedPlan[[#This Row],[Beginning of Harvest]], CW$4) + 1 )</f>
        <v>0</v>
      </c>
      <c r="CX99">
        <f>MAX( 0, MIN(BedPlan[[#This Row],[Expected End of Harvest]], EOMONTH(CX$4, 0)) - MAX(BedPlan[[#This Row],[Beginning of Harvest]], CX$4) + 1 )</f>
        <v>0</v>
      </c>
      <c r="CY99">
        <f>MAX( 0, MIN(BedPlan[[#This Row],[Expected End of Harvest]], EOMONTH(CY$4, 0)) - MAX(BedPlan[[#This Row],[Beginning of Harvest]], CY$4) + 1 )</f>
        <v>0</v>
      </c>
      <c r="CZ99">
        <f>MAX( 0, MIN(BedPlan[[#This Row],[Expected End of Harvest]], EOMONTH(CZ$4, 0)) - MAX(BedPlan[[#This Row],[Beginning of Harvest]], CZ$4) + 1 )</f>
        <v>0</v>
      </c>
      <c r="DA99">
        <f>MAX( 0, MIN(BedPlan[[#This Row],[Expected End of Harvest]], EOMONTH(DA$4, 0)) - MAX(BedPlan[[#This Row],[Beginning of Harvest]], DA$4) + 1 )</f>
        <v>0</v>
      </c>
      <c r="DB99">
        <f>MAX( 0, MIN(BedPlan[[#This Row],[Expected End of Harvest]], EOMONTH(DB$4, 0)) - MAX(BedPlan[[#This Row],[Beginning of Harvest]], DB$4) + 1 )</f>
        <v>0</v>
      </c>
      <c r="DC99">
        <f>MAX( 0, MIN(BedPlan[[#This Row],[Expected End of Harvest]], EOMONTH(DC$4, 0)) - MAX(BedPlan[[#This Row],[Beginning of Harvest]], DC$4) + 1 )</f>
        <v>0</v>
      </c>
      <c r="DD99">
        <f>MAX( 0, MIN(BedPlan[[#This Row],[Expected End of Harvest]], EOMONTH(DD$4, 0)) - MAX(BedPlan[[#This Row],[Beginning of Harvest]], DD$4) + 1 )</f>
        <v>0</v>
      </c>
      <c r="DE99">
        <f>MAX( 0, MIN(BedPlan[[#This Row],[Expected End of Harvest]], EOMONTH(DE$4, 0)) - MAX(BedPlan[[#This Row],[Beginning of Harvest]], DE$4) + 1 )</f>
        <v>0</v>
      </c>
      <c r="DF99">
        <f>MAX( 0, MIN(BedPlan[[#This Row],[Expected End of Harvest]], EOMONTH(DF$4, 0)) - MAX(BedPlan[[#This Row],[Beginning of Harvest]], DF$4) + 1 )</f>
        <v>0</v>
      </c>
      <c r="DG99">
        <f>MAX( 0, MIN(BedPlan[[#This Row],[Expected End of Harvest]], EOMONTH(DG$4, 0)) - MAX(BedPlan[[#This Row],[Beginning of Harvest]], DG$4) + 1 )</f>
        <v>0</v>
      </c>
      <c r="DH99">
        <f>MAX( 0, MIN(BedPlan[[#This Row],[Expected End of Harvest]], EOMONTH(DH$4, 0)) - MAX(BedPlan[[#This Row],[Beginning of Harvest]], DH$4) + 1 )</f>
        <v>0</v>
      </c>
      <c r="DI99" s="257" cm="1">
        <f t="array" ref="DI99">BedPlan[[#This Row],[Harvest Days January 2025]]/SUM(BedPlan[[#This Row],[Harvest Days January 2025]:[Harvest Days December 2026]])*BedPlan[[#This Row],[Revenue]:[Revenue]]</f>
        <v>0</v>
      </c>
      <c r="DJ99" s="257" cm="1">
        <f t="array" ref="DJ99">BedPlan[[#This Row],[Harvest Days February 2025]]/SUM(BedPlan[[#This Row],[Harvest Days January 2025]:[Harvest Days December 2026]])*BedPlan[[#This Row],[Revenue]:[Revenue]]</f>
        <v>0</v>
      </c>
      <c r="DK99" s="257" cm="1">
        <f t="array" ref="DK99">BedPlan[[#This Row],[Harvest Days March 2025]]/SUM(BedPlan[[#This Row],[Harvest Days January 2025]:[Harvest Days December 2026]])*BedPlan[[#This Row],[Revenue]:[Revenue]]</f>
        <v>0</v>
      </c>
      <c r="DL99" s="257" cm="1">
        <f t="array" ref="DL99">BedPlan[[#This Row],[Harvest Days April 2025]]/SUM(BedPlan[[#This Row],[Harvest Days January 2025]:[Harvest Days December 2026]])*BedPlan[[#This Row],[Revenue]:[Revenue]]</f>
        <v>0</v>
      </c>
      <c r="DM99" s="257" cm="1">
        <f t="array" ref="DM99">BedPlan[[#This Row],[Harvest Days May 2025]]/SUM(BedPlan[[#This Row],[Harvest Days January 2025]:[Harvest Days December 2026]])*BedPlan[[#This Row],[Revenue]:[Revenue]]</f>
        <v>0</v>
      </c>
      <c r="DN99" s="257" cm="1">
        <f t="array" ref="DN99">BedPlan[[#This Row],[Harvest Days June 2025]]/SUM(BedPlan[[#This Row],[Harvest Days January 2025]:[Harvest Days December 2026]])*BedPlan[[#This Row],[Revenue]:[Revenue]]</f>
        <v>559.99999999999989</v>
      </c>
      <c r="DO99" s="257" cm="1">
        <f t="array" ref="DO99">BedPlan[[#This Row],[Harvest Days July 2025]]/SUM(BedPlan[[#This Row],[Harvest Days January 2025]:[Harvest Days December 2026]])*BedPlan[[#This Row],[Revenue]:[Revenue]]</f>
        <v>0</v>
      </c>
      <c r="DP99" s="257" cm="1">
        <f t="array" ref="DP99">BedPlan[[#This Row],[Harvest Days August 2025]]/SUM(BedPlan[[#This Row],[Harvest Days January 2025]:[Harvest Days December 2026]])*BedPlan[[#This Row],[Revenue]:[Revenue]]</f>
        <v>0</v>
      </c>
      <c r="DQ99" s="257" cm="1">
        <f t="array" ref="DQ99">BedPlan[[#This Row],[Harvest Days September 2025]]/SUM(BedPlan[[#This Row],[Harvest Days January 2025]:[Harvest Days December 2026]])*BedPlan[[#This Row],[Revenue]:[Revenue]]</f>
        <v>0</v>
      </c>
      <c r="DR99" s="257" cm="1">
        <f t="array" ref="DR99">BedPlan[[#This Row],[Harvest Days October 2025]]/SUM(BedPlan[[#This Row],[Harvest Days January 2025]:[Harvest Days December 2026]])*BedPlan[[#This Row],[Revenue]:[Revenue]]</f>
        <v>0</v>
      </c>
      <c r="DS99" s="257" cm="1">
        <f t="array" ref="DS99">BedPlan[[#This Row],[Harvest Days November 2025]]/SUM(BedPlan[[#This Row],[Harvest Days January 2025]:[Harvest Days December 2026]])*BedPlan[[#This Row],[Revenue]:[Revenue]]</f>
        <v>0</v>
      </c>
      <c r="DT99" s="257" cm="1">
        <f t="array" ref="DT99">BedPlan[[#This Row],[Harvest Days December 2025]]/SUM(BedPlan[[#This Row],[Harvest Days January 2025]:[Harvest Days December 2026]])*BedPlan[[#This Row],[Revenue]:[Revenue]]</f>
        <v>0</v>
      </c>
      <c r="DU99" s="257" cm="1">
        <f t="array" ref="DU99">BedPlan[[#This Row],[Harvest Days January 2026]]/SUM(BedPlan[[#This Row],[Harvest Days January 2025]:[Harvest Days December 2026]])*BedPlan[[#This Row],[Revenue]:[Revenue]]</f>
        <v>0</v>
      </c>
      <c r="DV99" s="257" cm="1">
        <f t="array" ref="DV99">BedPlan[[#This Row],[Harvest Days February 2026]]/SUM(BedPlan[[#This Row],[Harvest Days January 2025]:[Harvest Days December 2026]])*BedPlan[[#This Row],[Revenue]:[Revenue]]</f>
        <v>0</v>
      </c>
      <c r="DW99" s="257" cm="1">
        <f t="array" ref="DW99">BedPlan[[#This Row],[Harvest Days March 2026]]/SUM(BedPlan[[#This Row],[Harvest Days January 2025]:[Harvest Days December 2026]])*BedPlan[[#This Row],[Revenue]:[Revenue]]</f>
        <v>0</v>
      </c>
      <c r="DX99" s="257" cm="1">
        <f t="array" ref="DX99">BedPlan[[#This Row],[Harvest Days April 2026]]/SUM(BedPlan[[#This Row],[Harvest Days January 2025]:[Harvest Days December 2026]])*BedPlan[[#This Row],[Revenue]:[Revenue]]</f>
        <v>0</v>
      </c>
      <c r="DY99" s="257" cm="1">
        <f t="array" ref="DY99">BedPlan[[#This Row],[Harvest Days May 2026]]/SUM(BedPlan[[#This Row],[Harvest Days January 2025]:[Harvest Days December 2026]])*BedPlan[[#This Row],[Revenue]:[Revenue]]</f>
        <v>0</v>
      </c>
      <c r="DZ99" s="257" cm="1">
        <f t="array" ref="DZ99">BedPlan[[#This Row],[Harvest Days June 2026]]/SUM(BedPlan[[#This Row],[Harvest Days January 2025]:[Harvest Days December 2026]])*BedPlan[[#This Row],[Revenue]:[Revenue]]</f>
        <v>0</v>
      </c>
      <c r="EA99" s="257" cm="1">
        <f t="array" ref="EA99">BedPlan[[#This Row],[Harvest Days July 2026]]/SUM(BedPlan[[#This Row],[Harvest Days January 2025]:[Harvest Days December 2026]])*BedPlan[[#This Row],[Revenue]:[Revenue]]</f>
        <v>0</v>
      </c>
      <c r="EB99" s="257" cm="1">
        <f t="array" ref="EB99">BedPlan[[#This Row],[Harvest Days August 2026]]/SUM(BedPlan[[#This Row],[Harvest Days January 2025]:[Harvest Days December 2026]])*BedPlan[[#This Row],[Revenue]:[Revenue]]</f>
        <v>0</v>
      </c>
      <c r="EC99" s="257" cm="1">
        <f t="array" ref="EC99">BedPlan[[#This Row],[Harvest Days September 2026]]/SUM(BedPlan[[#This Row],[Harvest Days January 2025]:[Harvest Days December 2026]])*BedPlan[[#This Row],[Revenue]:[Revenue]]</f>
        <v>0</v>
      </c>
      <c r="ED99" s="257" cm="1">
        <f t="array" ref="ED99">BedPlan[[#This Row],[Harvest Days October 2026]]/SUM(BedPlan[[#This Row],[Harvest Days January 2025]:[Harvest Days December 2026]])*BedPlan[[#This Row],[Revenue]:[Revenue]]</f>
        <v>0</v>
      </c>
      <c r="EE99" s="257" cm="1">
        <f t="array" ref="EE99">BedPlan[[#This Row],[Harvest Days November 2026]]/SUM(BedPlan[[#This Row],[Harvest Days January 2025]:[Harvest Days December 2026]])*BedPlan[[#This Row],[Revenue]:[Revenue]]</f>
        <v>0</v>
      </c>
      <c r="EF99" s="257" cm="1">
        <f t="array" ref="EF99">BedPlan[[#This Row],[Harvest Days December 2026]]/SUM(BedPlan[[#This Row],[Harvest Days January 2025]:[Harvest Days December 2026]])*BedPlan[[#This Row],[Revenue]:[Revenue]]</f>
        <v>0</v>
      </c>
      <c r="EG99" t="b">
        <f>SUM(BedPlan[[#This Row],[Revenue January 2025]:[Revenue December 2026]])=BedPlan[[#This Row],[Revenue]]</f>
        <v>1</v>
      </c>
      <c r="EH99" s="30" cm="1">
        <f t="array" ref="EH99">INDEX(Crops[],BedPlan[[#This Row],[Chart Index]],EH$4,1)*BedPlan[[#This Row],['# Of Beds]]</f>
        <v>186.66666666666663</v>
      </c>
      <c r="EI99" s="30" t="str" cm="1">
        <f t="array" ref="EI99">INDEX(Crops[],BedPlan[[#This Row],[Chart Index]],EI$4,1)</f>
        <v>Lb</v>
      </c>
      <c r="EJ99" s="30" t="str" cm="1">
        <f t="array" ref="EJ99">INDEX(Crops[],BedPlan[[#This Row],[Chart Index]],EJ$4,1)</f>
        <v>Mature Root</v>
      </c>
      <c r="EK99" s="30" t="str">
        <f>BedPlan[[#This Row],[Name]]&amp;" "&amp;BedPlan[[#This Row],[Product]]&amp; " - " &amp;BedPlan[[#This Row],[Unit]]</f>
        <v>Potato Mature Root - Lb</v>
      </c>
      <c r="EL99" s="33" cm="1">
        <f t="array" ref="EL99">BedPlan[[#This Row],[Harvest Days January 2025]]/SUM(BedPlan[[#This Row],[Harvest Days January 2025]:[Harvest Days December 2026]])*BedPlan[[#This Row],[Yield]:[Yield]]</f>
        <v>0</v>
      </c>
      <c r="EM99" s="33" cm="1">
        <f t="array" ref="EM99">BedPlan[[#This Row],[Harvest Days February 2025]]/SUM(BedPlan[[#This Row],[Harvest Days January 2025]:[Harvest Days December 2026]])*BedPlan[[#This Row],[Yield]:[Yield]]</f>
        <v>0</v>
      </c>
      <c r="EN99" s="33" cm="1">
        <f t="array" ref="EN99">BedPlan[[#This Row],[Harvest Days March 2025]]/SUM(BedPlan[[#This Row],[Harvest Days January 2025]:[Harvest Days December 2026]])*BedPlan[[#This Row],[Yield]:[Yield]]</f>
        <v>0</v>
      </c>
      <c r="EO99" s="33" cm="1">
        <f t="array" ref="EO99">BedPlan[[#This Row],[Harvest Days April 2025]]/SUM(BedPlan[[#This Row],[Harvest Days January 2025]:[Harvest Days December 2026]])*BedPlan[[#This Row],[Yield]:[Yield]]</f>
        <v>0</v>
      </c>
      <c r="EP99" s="33" cm="1">
        <f t="array" ref="EP99">BedPlan[[#This Row],[Harvest Days May 2025]]/SUM(BedPlan[[#This Row],[Harvest Days January 2025]:[Harvest Days December 2026]])*BedPlan[[#This Row],[Yield]:[Yield]]</f>
        <v>0</v>
      </c>
      <c r="EQ99" s="33" cm="1">
        <f t="array" ref="EQ99">BedPlan[[#This Row],[Harvest Days June 2025]]/SUM(BedPlan[[#This Row],[Harvest Days January 2025]:[Harvest Days December 2026]])*BedPlan[[#This Row],[Yield]:[Yield]]</f>
        <v>186.66666666666663</v>
      </c>
      <c r="ER99" s="33" cm="1">
        <f t="array" ref="ER99">BedPlan[[#This Row],[Harvest Days July 2025]]/SUM(BedPlan[[#This Row],[Harvest Days January 2025]:[Harvest Days December 2026]])*BedPlan[[#This Row],[Yield]:[Yield]]</f>
        <v>0</v>
      </c>
      <c r="ES99" s="33" cm="1">
        <f t="array" ref="ES99">BedPlan[[#This Row],[Harvest Days August 2025]]/SUM(BedPlan[[#This Row],[Harvest Days January 2025]:[Harvest Days December 2026]])*BedPlan[[#This Row],[Yield]:[Yield]]</f>
        <v>0</v>
      </c>
      <c r="ET99" s="33" cm="1">
        <f t="array" ref="ET99">BedPlan[[#This Row],[Harvest Days September 2025]]/SUM(BedPlan[[#This Row],[Harvest Days January 2025]:[Harvest Days December 2026]])*BedPlan[[#This Row],[Yield]:[Yield]]</f>
        <v>0</v>
      </c>
      <c r="EU99" s="33" cm="1">
        <f t="array" ref="EU99">BedPlan[[#This Row],[Harvest Days October 2025]]/SUM(BedPlan[[#This Row],[Harvest Days January 2025]:[Harvest Days December 2026]])*BedPlan[[#This Row],[Yield]:[Yield]]</f>
        <v>0</v>
      </c>
      <c r="EV99" s="33" cm="1">
        <f t="array" ref="EV99">BedPlan[[#This Row],[Harvest Days November 2025]]/SUM(BedPlan[[#This Row],[Harvest Days January 2025]:[Harvest Days December 2026]])*BedPlan[[#This Row],[Yield]:[Yield]]</f>
        <v>0</v>
      </c>
      <c r="EW99" s="33" cm="1">
        <f t="array" ref="EW99">BedPlan[[#This Row],[Harvest Days December 2025]]/SUM(BedPlan[[#This Row],[Harvest Days January 2025]:[Harvest Days December 2026]])*BedPlan[[#This Row],[Yield]:[Yield]]</f>
        <v>0</v>
      </c>
    </row>
    <row r="100" spans="1:153" ht="15.75" customHeight="1">
      <c r="A100" s="190" t="s">
        <v>1760</v>
      </c>
      <c r="B100" t="s">
        <v>2664</v>
      </c>
      <c r="C100" t="s">
        <v>1444</v>
      </c>
      <c r="D100" cm="1">
        <f t="array" ref="D100">INDEX(Crops[],BedPlan[[#This Row],[Chart Index]],D$4,1)*BedPlan[[#This Row],[Full Bed Equivalent]]</f>
        <v>175</v>
      </c>
      <c r="E100" cm="1">
        <f t="array" ref="E100">INDEX(Crops[],BedPlan[[#This Row],[Chart Index]],E$4,1)*BedPlan[[#This Row],[Full Bed Equivalent]]</f>
        <v>175</v>
      </c>
      <c r="F100" t="str">
        <f>UPPER(LEFT(BedPlan[[#This Row],[Crop]],3))</f>
        <v>POT</v>
      </c>
      <c r="H100" s="143" t="str" cm="1">
        <f t="array" ref="H100">INDEX(Crops[],BedPlan[[#This Row],[Chart Index]],H$4,1)</f>
        <v>Potato</v>
      </c>
      <c r="I100" t="s">
        <v>2288</v>
      </c>
      <c r="K100" t="str" cm="1">
        <f t="array" ref="K100">IF(ISNUMBER(MATCH(BedPlan[[#This Row],[Variety]],SeedMixes[Name],)),_xlfn.TEXTJOIN(", ",TRUE,_xlfn._xlws.FILTER(SeedMixes[Variety &amp; Company],SeedMixes[Name]=BedPlan[[#This Row],[Variety]])),"")</f>
        <v>Elba High Mowing, German Butterball High Mowing</v>
      </c>
      <c r="L100" s="33" cm="1">
        <f t="array" ref="L100">INDEX(Crops[],BedPlan[[#This Row],[Chart Index]],L$4,1)*BedPlan[[#This Row],[Full Bed Equivalent]]</f>
        <v>130</v>
      </c>
      <c r="N100">
        <v>2</v>
      </c>
      <c r="O100">
        <f>MAX(BedPlan[[#This Row],['# Of Beds]],0.5)</f>
        <v>2</v>
      </c>
      <c r="P100" s="31">
        <f>IF(ISNUMBER(BedPlan[[#This Row],[Planned Greenhouse Start Date]]),BedPlan[[#This Row],[Planned Greenhouse Start Date]],BedPlan[[#This Row],[Planned TP or DS Date]])</f>
        <v>45768</v>
      </c>
      <c r="Q100" s="259" t="str">
        <f>IF(BedPlan[[#This Row],[Days in Cells]]=0,"",IFERROR(_xlfn.XLOOKUP(BedPlan[[#This Row],[Follows Crop]],BedPlan[Identifier],BedPlan[Expected End of Harvest]) + 1+BedPlan[[#This Row],[Follow Offset]],BedPlan[[#This Row],[Fixed Field Start Date]])-BedPlan[[#This Row],[Days in Cells]])</f>
        <v/>
      </c>
      <c r="R100" s="259"/>
      <c r="S100" s="259" t="str">
        <f>IF(ISNUMBER(BedPlan[[#This Row],[Actual Greenhouse Date]]),BedPlan[[#This Row],[Actual Greenhouse Date]],BedPlan[[#This Row],[Planned Greenhouse Start Date]])</f>
        <v/>
      </c>
      <c r="T100" s="259">
        <f>_xlfn.XLOOKUP(BedPlan[[#This Row],[Crop]],Crops[Identifier],Crops[Target Field Date])</f>
        <v>45768</v>
      </c>
      <c r="U100" s="260"/>
      <c r="V100" s="260"/>
      <c r="W10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45768</v>
      </c>
      <c r="X100" s="259">
        <v>45771</v>
      </c>
      <c r="Y100" s="271">
        <f>BedPlan[[#This Row],[Actual TP or DS Date]]-BedPlan[[#This Row],[Planned TP or DS Date]]</f>
        <v>3</v>
      </c>
      <c r="Z100" s="259">
        <f>IF(ISNUMBER(BedPlan[[#This Row],[Actual TP or DS Date]]),BedPlan[[#This Row],[Actual TP or DS Date]],BedPlan[[#This Row],[Planned TP or DS Date]])</f>
        <v>45771</v>
      </c>
      <c r="AA100" s="260"/>
      <c r="AB100" s="259">
        <f>IF(ISNUMBER(BedPlan[[#This Row],[Greenhouse Start Date]]),BedPlan[[#This Row],[Greenhouse Start Date]]+BedPlan[[#This Row],[DTM]],BedPlan[[#This Row],[TP or DS Date]]+BedPlan[[#This Row],[DTM]])</f>
        <v>45891</v>
      </c>
      <c r="AC100" s="259"/>
      <c r="AD100" s="259">
        <f>IF(ISNUMBER(BedPlan[[#This Row],[Actual Beginning of Harvest]]),BedPlan[[#This Row],[Actual Beginning of Harvest]],BedPlan[[#This Row],[Expected Beginning of Harvest]])</f>
        <v>45891</v>
      </c>
      <c r="AE100" s="259">
        <f>BedPlan[[#This Row],[Expected Beginning of Harvest]]+BedPlan[[#This Row],[Harvest Window]]+BedPlan[[#This Row],[Additional Days of Harvest]]</f>
        <v>45898</v>
      </c>
      <c r="AF100" s="259"/>
      <c r="AG100" s="259"/>
      <c r="AH100" s="31" t="b">
        <f>IF(AND( BedPlan[[#This Row],[Expected End of Harvest]] &gt;= DATE(2025, 8, 1), BedPlan[[#This Row],[Beginning of Harvest]] &lt;= DATE(2025, 8, 31) ), TRUE, FALSE)</f>
        <v>1</v>
      </c>
      <c r="AI100" s="31"/>
      <c r="AJ100" s="31">
        <f>IF(ISNUMBER(BedPlan[[#This Row],[Actual End of Harvest]]),BedPlan[[#This Row],[Actual End of Harvest]],BedPlan[[#This Row],[Expected End of Harvest]])</f>
        <v>45898</v>
      </c>
      <c r="AK100" t="b">
        <f>OR(ISNUMBER(BedPlan[[#This Row],[Actual Greenhouse Date]]),ISNUMBER(BedPlan[[#This Row],[Actual TP or DS Date]]))</f>
        <v>1</v>
      </c>
      <c r="AL100" s="52" t="str">
        <f>IF(ISNUMBER(BedPlan[[#This Row],[Planned Greenhouse Start Date]]),OR(ISNUMBER(BedPlan[[#This Row],[Actual TP or DS Date]]),BedPlan[[#This Row],[Failed]]),"-")</f>
        <v>-</v>
      </c>
      <c r="AM100" t="b">
        <f>OR(ISNUMBER(BedPlan[[#This Row],[Actual End of Harvest]]),BedPlan[[#This Row],[Failed]])</f>
        <v>0</v>
      </c>
      <c r="AN100" t="b">
        <f>OR(BedPlan[[#This Row],[Harvest Done]],BedPlan[[#This Row],[Failed]],BedPlan[[#This Row],[Name]]="Tarp")</f>
        <v>0</v>
      </c>
      <c r="AS100" s="26" t="str">
        <f>IF(BedPlan[[#This Row],[Broadfork]],BedPlan[[#This Row],[Actual TP or DS Date]],"")</f>
        <v/>
      </c>
      <c r="AT100" s="26" t="str">
        <f>IF(BedPlan[[#This Row],[Tilther]],BedPlan[[#This Row],[Actual TP or DS Date]],"")</f>
        <v/>
      </c>
      <c r="AU100" s="26" t="str">
        <f>IF(NOT(ISBLANK(BedPlan[[#This Row],[Amend]])),BedPlan[[#This Row],[Actual TP or DS Date]],"")</f>
        <v/>
      </c>
      <c r="AV100" s="26" t="str">
        <f>IF(BedPlan[[#This Row],[Row Cover]],BedPlan[[#This Row],[Actual TP or DS Date]],"")</f>
        <v/>
      </c>
      <c r="AW100" t="s">
        <v>3226</v>
      </c>
      <c r="AX100" s="26">
        <v>45791</v>
      </c>
      <c r="AY100" t="s">
        <v>3225</v>
      </c>
      <c r="AZ100" s="26">
        <v>45778</v>
      </c>
      <c r="BB100" s="26"/>
      <c r="BC100" s="231" cm="1">
        <f t="array" ref="BC100">INDEX(Crops[],BedPlan[[#This Row],[Chart Index]],BC$4,1)*BedPlan[[#This Row],[Full Bed Equivalent]]</f>
        <v>393.75</v>
      </c>
      <c r="BD100" s="231" cm="1">
        <f t="array" ref="BD100">INDEX(Crops[],BedPlan[[#This Row],[Chart Index]],BD$4,1)*BedPlan[[#This Row],[Full Bed Equivalent]]</f>
        <v>3.1003937007874014</v>
      </c>
      <c r="BE100" cm="1">
        <f t="array" ref="BE100">INDEX(Crops[],BedPlan[[#This Row],[Chart Index]],BE$4,1)+BedPlan[[#This Row],[Additional Days in Cells]]+BedPlan[[#This Row],[Additional Days In Field]]</f>
        <v>120</v>
      </c>
      <c r="BG100" cm="1">
        <f t="array" ref="BG100">INDEX(Crops[],BedPlan[[#This Row],[Chart Index]],BG$4,1)</f>
        <v>7</v>
      </c>
      <c r="BH100" t="str">
        <f>IF(ISNUMBER(BedPlan[[#This Row],[Planned Greenhouse Start Date]]),"TP","DS")</f>
        <v>DS</v>
      </c>
      <c r="BI100">
        <f>BedPlan[[#This Row],['# Of Beds]]</f>
        <v>2</v>
      </c>
      <c r="BJ100" cm="1">
        <f t="array" ref="BJ100">INDEX(Crops[],BedPlan[[#This Row],[Chart Index]],BJ$4,1)</f>
        <v>0</v>
      </c>
      <c r="BK100" cm="1">
        <f t="array" ref="BK100">INDEX(Crops[],BedPlan[[#This Row],[Chart Index]],BK$4,1)</f>
        <v>2</v>
      </c>
      <c r="BL100" cm="1">
        <f t="array" ref="BL100">INDEX(Crops[],BedPlan[[#This Row],[Chart Index]],BL$4,1)</f>
        <v>24</v>
      </c>
      <c r="BM100" cm="1">
        <f t="array" ref="BM100">INDEX(Crops[],BedPlan[[#This Row],[Chart Index]],BM$4,1)</f>
        <v>1</v>
      </c>
      <c r="BN100" s="32" cm="1">
        <f t="array" ref="BN100">INDEX(Crops[],BedPlan[[#This Row],[Chart Index]],BN$4,1)*BedPlan[[#This Row],[Full Bed Equivalent]]</f>
        <v>100</v>
      </c>
      <c r="BO100" t="str" cm="1">
        <f t="array" ref="BO100">IF(INDEX(Crops[],BedPlan[[#This Row],[Chart Index]],BO$4,1)=0,"",INDEX(Crops[],BedPlan[[#This Row],[Chart Index]],BO$4,1))</f>
        <v/>
      </c>
      <c r="BP100">
        <f>MATCH(BedPlan[[#This Row],[Crop]],Crops[Identifier],FALSE)</f>
        <v>247</v>
      </c>
      <c r="BQ100" t="str" cm="1">
        <f t="array" ref="BQ100">INDEX(Crops[],BedPlan[[#This Row],[Chart Index]],BQ$4,1)</f>
        <v>Main Crop</v>
      </c>
      <c r="BR100" t="str" cm="1">
        <f t="array" ref="BR100">INDEX(Crops[],BedPlan[[#This Row],[Chart Index]],BR$4,1)</f>
        <v/>
      </c>
      <c r="BS100" s="32">
        <f>BedPlan[[#This Row],[Expected Beginning of Harvest]]-DATE(2023,1,1)</f>
        <v>964</v>
      </c>
      <c r="BT100">
        <f>BedPlan[[#This Row],[Expected End of Harvest]]-BedPlan[[#This Row],[Expected Beginning of Harvest]]</f>
        <v>7</v>
      </c>
      <c r="BU100" t="str" cm="1">
        <f t="array" ref="BU100">INDEX(Crops[],BedPlan[[#This Row],[Chart Index]],BU$4,1)</f>
        <v>Root</v>
      </c>
      <c r="BV100" cm="1">
        <f t="array" ref="BV100">INDEX(Crops[],BedPlan[[#This Row],[Chart Index]],BV$4,1)</f>
        <v>3</v>
      </c>
      <c r="BW100" cm="1">
        <f t="array" ref="BW100">INDEX(Crops[],BedPlan[[#This Row],[Chart Index]],BW$4,1)</f>
        <v>0</v>
      </c>
      <c r="BX100" cm="1">
        <f t="array" ref="BX100">INDEX(Crops[],BedPlan[[#This Row],[Chart Index]],BX$4,1)</f>
        <v>0</v>
      </c>
      <c r="BY100" cm="1">
        <f t="array" ref="BY100">INDEX(Crops[],BedPlan[[#This Row],[Chart Index]],BY$4,1)</f>
        <v>0</v>
      </c>
      <c r="BZ100" s="49" t="str" cm="1">
        <f t="array" ref="BZ100">IFERROR(INDEX(Crops[],BedPlan[[#This Row],[Chart Index]],BZ$4,1)*BedPlan[[#This Row],[Full Bed Equivalent]],"")</f>
        <v/>
      </c>
      <c r="CA100" cm="1">
        <f t="array" ref="CA100">INDEX(Crops[],BedPlan[[#This Row],[Chart Index]],CA$4,1)</f>
        <v>0</v>
      </c>
      <c r="CB100" cm="1">
        <f t="array" ref="CB100">INDEX(Crops[],BedPlan[[#This Row],[Chart Index]],CB$4,1)</f>
        <v>0</v>
      </c>
      <c r="CC100" s="49" t="str" cm="1">
        <f t="array" ref="CC100">IFERROR(INDEX(Crops[],BedPlan[[#This Row],[Chart Index]],CC$4,1)*BedPlan[[#This Row],[Full Bed Equivalent]],"")</f>
        <v/>
      </c>
      <c r="CD100" cm="1">
        <f t="array" ref="CD100">INDEX(Crops[],BedPlan[[#This Row],[Chart Index]],CD$4,1)</f>
        <v>0</v>
      </c>
      <c r="CE100" cm="1">
        <f t="array" ref="CE100">IF(INDEX(Crops[],BedPlan[[#This Row],[Chart Index]],CE$4,1)="",0,INDEX(Crops[],BedPlan[[#This Row],[Chart Index]],CE$4,1))</f>
        <v>0</v>
      </c>
      <c r="CF100" s="49" t="str" cm="1">
        <f t="array" ref="CF100">IFERROR(INDEX(Crops[],BedPlan[[#This Row],[Chart Index]],CF$4,1)*BedPlan[[#This Row],[Full Bed Equivalent]],"")</f>
        <v/>
      </c>
      <c r="CG100" cm="1">
        <f t="array" ref="CG100">IF(INDEX(Crops[],BedPlan[[#This Row],[Chart Index]],CG$4,1)="",0,INDEX(Crops[],BedPlan[[#This Row],[Chart Index]],CG$4,1))</f>
        <v>1.3</v>
      </c>
      <c r="CH100" cm="1">
        <f t="array" ref="CH100">IF(INDEX(Crops[],BedPlan[[#This Row],[Chart Index]],CH$4,1)="",0,INDEX(Crops[],BedPlan[[#This Row],[Chart Index]],CH$4,1))</f>
        <v>0</v>
      </c>
      <c r="CI100" t="str" cm="1">
        <f t="array" ref="CI100">INDEX(Crops[],BedPlan[[#This Row],[Chart Index]],CI$4,1)</f>
        <v>Field</v>
      </c>
      <c r="CJ100" s="30" t="str">
        <f>_xlfn.TEXTJOIN(CHAR(10),FALSE,BedPlan[[#This Row],[Name]],BedPlan[[#This Row],[Variety]],BedPlan[[#This Row],[Company]])</f>
        <v xml:space="preserve">Potato
Main Potato Mix
</v>
      </c>
      <c r="CK100" s="32">
        <f>MAX( 0, MIN(BedPlan[[#This Row],[Expected End of Harvest]], EOMONTH(CK$4, 0)) - MAX(BedPlan[[#This Row],[Beginning of Harvest]], CK$4) + 1 )</f>
        <v>0</v>
      </c>
      <c r="CL100">
        <f>MAX( 0, MIN(BedPlan[[#This Row],[Expected End of Harvest]], EOMONTH(CL$4, 0)) - MAX(BedPlan[[#This Row],[Beginning of Harvest]], CL$4) + 1 )</f>
        <v>0</v>
      </c>
      <c r="CM100">
        <f>MAX( 0, MIN(BedPlan[[#This Row],[Expected End of Harvest]], EOMONTH(CM$4, 0)) - MAX(BedPlan[[#This Row],[Beginning of Harvest]], CM$4) + 1 )</f>
        <v>0</v>
      </c>
      <c r="CN100">
        <f>MAX( 0, MIN(BedPlan[[#This Row],[Expected End of Harvest]], EOMONTH(CN$4, 0)) - MAX(BedPlan[[#This Row],[Beginning of Harvest]], CN$4) + 1 )</f>
        <v>0</v>
      </c>
      <c r="CO100">
        <f>MAX( 0, MIN(BedPlan[[#This Row],[Expected End of Harvest]], EOMONTH(CO$4, 0)) - MAX(BedPlan[[#This Row],[Beginning of Harvest]], CO$4) + 1 )</f>
        <v>0</v>
      </c>
      <c r="CP100">
        <f>MAX( 0, MIN(BedPlan[[#This Row],[Expected End of Harvest]], EOMONTH(CP$4, 0)) - MAX(BedPlan[[#This Row],[Beginning of Harvest]], CP$4) + 1 )</f>
        <v>0</v>
      </c>
      <c r="CQ100">
        <f>MAX( 0, MIN(BedPlan[[#This Row],[Expected End of Harvest]], EOMONTH(CQ$4, 0)) - MAX(BedPlan[[#This Row],[Beginning of Harvest]], CQ$4) + 1 )</f>
        <v>0</v>
      </c>
      <c r="CR100">
        <f>MAX( 0, MIN(BedPlan[[#This Row],[Expected End of Harvest]], EOMONTH(CR$4, 0)) - MAX(BedPlan[[#This Row],[Beginning of Harvest]], CR$4) + 1 )</f>
        <v>8</v>
      </c>
      <c r="CS100">
        <f>MAX( 0, MIN(BedPlan[[#This Row],[Expected End of Harvest]], EOMONTH(CS$4, 0)) - MAX(BedPlan[[#This Row],[Beginning of Harvest]], CS$4) + 1 )</f>
        <v>0</v>
      </c>
      <c r="CT100">
        <f>MAX( 0, MIN(BedPlan[[#This Row],[Expected End of Harvest]], EOMONTH(CT$4, 0)) - MAX(BedPlan[[#This Row],[Beginning of Harvest]], CT$4) + 1 )</f>
        <v>0</v>
      </c>
      <c r="CU100">
        <f>MAX( 0, MIN(BedPlan[[#This Row],[Expected End of Harvest]], EOMONTH(CU$4, 0)) - MAX(BedPlan[[#This Row],[Beginning of Harvest]], CU$4) + 1 )</f>
        <v>0</v>
      </c>
      <c r="CV100">
        <f>MAX( 0, MIN(BedPlan[[#This Row],[Expected End of Harvest]], EOMONTH(CV$4, 0)) - MAX(BedPlan[[#This Row],[Beginning of Harvest]], CV$4) + 1 )</f>
        <v>0</v>
      </c>
      <c r="CW100">
        <f>MAX( 0, MIN(BedPlan[[#This Row],[Expected End of Harvest]], EOMONTH(CW$4, 0)) - MAX(BedPlan[[#This Row],[Beginning of Harvest]], CW$4) + 1 )</f>
        <v>0</v>
      </c>
      <c r="CX100">
        <f>MAX( 0, MIN(BedPlan[[#This Row],[Expected End of Harvest]], EOMONTH(CX$4, 0)) - MAX(BedPlan[[#This Row],[Beginning of Harvest]], CX$4) + 1 )</f>
        <v>0</v>
      </c>
      <c r="CY100">
        <f>MAX( 0, MIN(BedPlan[[#This Row],[Expected End of Harvest]], EOMONTH(CY$4, 0)) - MAX(BedPlan[[#This Row],[Beginning of Harvest]], CY$4) + 1 )</f>
        <v>0</v>
      </c>
      <c r="CZ100">
        <f>MAX( 0, MIN(BedPlan[[#This Row],[Expected End of Harvest]], EOMONTH(CZ$4, 0)) - MAX(BedPlan[[#This Row],[Beginning of Harvest]], CZ$4) + 1 )</f>
        <v>0</v>
      </c>
      <c r="DA100">
        <f>MAX( 0, MIN(BedPlan[[#This Row],[Expected End of Harvest]], EOMONTH(DA$4, 0)) - MAX(BedPlan[[#This Row],[Beginning of Harvest]], DA$4) + 1 )</f>
        <v>0</v>
      </c>
      <c r="DB100">
        <f>MAX( 0, MIN(BedPlan[[#This Row],[Expected End of Harvest]], EOMONTH(DB$4, 0)) - MAX(BedPlan[[#This Row],[Beginning of Harvest]], DB$4) + 1 )</f>
        <v>0</v>
      </c>
      <c r="DC100">
        <f>MAX( 0, MIN(BedPlan[[#This Row],[Expected End of Harvest]], EOMONTH(DC$4, 0)) - MAX(BedPlan[[#This Row],[Beginning of Harvest]], DC$4) + 1 )</f>
        <v>0</v>
      </c>
      <c r="DD100">
        <f>MAX( 0, MIN(BedPlan[[#This Row],[Expected End of Harvest]], EOMONTH(DD$4, 0)) - MAX(BedPlan[[#This Row],[Beginning of Harvest]], DD$4) + 1 )</f>
        <v>0</v>
      </c>
      <c r="DE100">
        <f>MAX( 0, MIN(BedPlan[[#This Row],[Expected End of Harvest]], EOMONTH(DE$4, 0)) - MAX(BedPlan[[#This Row],[Beginning of Harvest]], DE$4) + 1 )</f>
        <v>0</v>
      </c>
      <c r="DF100">
        <f>MAX( 0, MIN(BedPlan[[#This Row],[Expected End of Harvest]], EOMONTH(DF$4, 0)) - MAX(BedPlan[[#This Row],[Beginning of Harvest]], DF$4) + 1 )</f>
        <v>0</v>
      </c>
      <c r="DG100">
        <f>MAX( 0, MIN(BedPlan[[#This Row],[Expected End of Harvest]], EOMONTH(DG$4, 0)) - MAX(BedPlan[[#This Row],[Beginning of Harvest]], DG$4) + 1 )</f>
        <v>0</v>
      </c>
      <c r="DH100">
        <f>MAX( 0, MIN(BedPlan[[#This Row],[Expected End of Harvest]], EOMONTH(DH$4, 0)) - MAX(BedPlan[[#This Row],[Beginning of Harvest]], DH$4) + 1 )</f>
        <v>0</v>
      </c>
      <c r="DI100" s="257" cm="1">
        <f t="array" ref="DI100">BedPlan[[#This Row],[Harvest Days January 2025]]/SUM(BedPlan[[#This Row],[Harvest Days January 2025]:[Harvest Days December 2026]])*BedPlan[[#This Row],[Revenue]:[Revenue]]</f>
        <v>0</v>
      </c>
      <c r="DJ100" s="257" cm="1">
        <f t="array" ref="DJ100">BedPlan[[#This Row],[Harvest Days February 2025]]/SUM(BedPlan[[#This Row],[Harvest Days January 2025]:[Harvest Days December 2026]])*BedPlan[[#This Row],[Revenue]:[Revenue]]</f>
        <v>0</v>
      </c>
      <c r="DK100" s="257" cm="1">
        <f t="array" ref="DK100">BedPlan[[#This Row],[Harvest Days March 2025]]/SUM(BedPlan[[#This Row],[Harvest Days January 2025]:[Harvest Days December 2026]])*BedPlan[[#This Row],[Revenue]:[Revenue]]</f>
        <v>0</v>
      </c>
      <c r="DL100" s="257" cm="1">
        <f t="array" ref="DL100">BedPlan[[#This Row],[Harvest Days April 2025]]/SUM(BedPlan[[#This Row],[Harvest Days January 2025]:[Harvest Days December 2026]])*BedPlan[[#This Row],[Revenue]:[Revenue]]</f>
        <v>0</v>
      </c>
      <c r="DM100" s="257" cm="1">
        <f t="array" ref="DM100">BedPlan[[#This Row],[Harvest Days May 2025]]/SUM(BedPlan[[#This Row],[Harvest Days January 2025]:[Harvest Days December 2026]])*BedPlan[[#This Row],[Revenue]:[Revenue]]</f>
        <v>0</v>
      </c>
      <c r="DN100" s="257" cm="1">
        <f t="array" ref="DN100">BedPlan[[#This Row],[Harvest Days June 2025]]/SUM(BedPlan[[#This Row],[Harvest Days January 2025]:[Harvest Days December 2026]])*BedPlan[[#This Row],[Revenue]:[Revenue]]</f>
        <v>0</v>
      </c>
      <c r="DO100" s="257" cm="1">
        <f t="array" ref="DO100">BedPlan[[#This Row],[Harvest Days July 2025]]/SUM(BedPlan[[#This Row],[Harvest Days January 2025]:[Harvest Days December 2026]])*BedPlan[[#This Row],[Revenue]:[Revenue]]</f>
        <v>0</v>
      </c>
      <c r="DP100" s="257" cm="1">
        <f t="array" ref="DP100">BedPlan[[#This Row],[Harvest Days August 2025]]/SUM(BedPlan[[#This Row],[Harvest Days January 2025]:[Harvest Days December 2026]])*BedPlan[[#This Row],[Revenue]:[Revenue]]</f>
        <v>393.75</v>
      </c>
      <c r="DQ100" s="257" cm="1">
        <f t="array" ref="DQ100">BedPlan[[#This Row],[Harvest Days September 2025]]/SUM(BedPlan[[#This Row],[Harvest Days January 2025]:[Harvest Days December 2026]])*BedPlan[[#This Row],[Revenue]:[Revenue]]</f>
        <v>0</v>
      </c>
      <c r="DR100" s="257" cm="1">
        <f t="array" ref="DR100">BedPlan[[#This Row],[Harvest Days October 2025]]/SUM(BedPlan[[#This Row],[Harvest Days January 2025]:[Harvest Days December 2026]])*BedPlan[[#This Row],[Revenue]:[Revenue]]</f>
        <v>0</v>
      </c>
      <c r="DS100" s="257" cm="1">
        <f t="array" ref="DS100">BedPlan[[#This Row],[Harvest Days November 2025]]/SUM(BedPlan[[#This Row],[Harvest Days January 2025]:[Harvest Days December 2026]])*BedPlan[[#This Row],[Revenue]:[Revenue]]</f>
        <v>0</v>
      </c>
      <c r="DT100" s="257" cm="1">
        <f t="array" ref="DT100">BedPlan[[#This Row],[Harvest Days December 2025]]/SUM(BedPlan[[#This Row],[Harvest Days January 2025]:[Harvest Days December 2026]])*BedPlan[[#This Row],[Revenue]:[Revenue]]</f>
        <v>0</v>
      </c>
      <c r="DU100" s="257" cm="1">
        <f t="array" ref="DU100">BedPlan[[#This Row],[Harvest Days January 2026]]/SUM(BedPlan[[#This Row],[Harvest Days January 2025]:[Harvest Days December 2026]])*BedPlan[[#This Row],[Revenue]:[Revenue]]</f>
        <v>0</v>
      </c>
      <c r="DV100" s="257" cm="1">
        <f t="array" ref="DV100">BedPlan[[#This Row],[Harvest Days February 2026]]/SUM(BedPlan[[#This Row],[Harvest Days January 2025]:[Harvest Days December 2026]])*BedPlan[[#This Row],[Revenue]:[Revenue]]</f>
        <v>0</v>
      </c>
      <c r="DW100" s="257" cm="1">
        <f t="array" ref="DW100">BedPlan[[#This Row],[Harvest Days March 2026]]/SUM(BedPlan[[#This Row],[Harvest Days January 2025]:[Harvest Days December 2026]])*BedPlan[[#This Row],[Revenue]:[Revenue]]</f>
        <v>0</v>
      </c>
      <c r="DX100" s="257" cm="1">
        <f t="array" ref="DX100">BedPlan[[#This Row],[Harvest Days April 2026]]/SUM(BedPlan[[#This Row],[Harvest Days January 2025]:[Harvest Days December 2026]])*BedPlan[[#This Row],[Revenue]:[Revenue]]</f>
        <v>0</v>
      </c>
      <c r="DY100" s="257" cm="1">
        <f t="array" ref="DY100">BedPlan[[#This Row],[Harvest Days May 2026]]/SUM(BedPlan[[#This Row],[Harvest Days January 2025]:[Harvest Days December 2026]])*BedPlan[[#This Row],[Revenue]:[Revenue]]</f>
        <v>0</v>
      </c>
      <c r="DZ100" s="257" cm="1">
        <f t="array" ref="DZ100">BedPlan[[#This Row],[Harvest Days June 2026]]/SUM(BedPlan[[#This Row],[Harvest Days January 2025]:[Harvest Days December 2026]])*BedPlan[[#This Row],[Revenue]:[Revenue]]</f>
        <v>0</v>
      </c>
      <c r="EA100" s="257" cm="1">
        <f t="array" ref="EA100">BedPlan[[#This Row],[Harvest Days July 2026]]/SUM(BedPlan[[#This Row],[Harvest Days January 2025]:[Harvest Days December 2026]])*BedPlan[[#This Row],[Revenue]:[Revenue]]</f>
        <v>0</v>
      </c>
      <c r="EB100" s="257" cm="1">
        <f t="array" ref="EB100">BedPlan[[#This Row],[Harvest Days August 2026]]/SUM(BedPlan[[#This Row],[Harvest Days January 2025]:[Harvest Days December 2026]])*BedPlan[[#This Row],[Revenue]:[Revenue]]</f>
        <v>0</v>
      </c>
      <c r="EC100" s="257" cm="1">
        <f t="array" ref="EC100">BedPlan[[#This Row],[Harvest Days September 2026]]/SUM(BedPlan[[#This Row],[Harvest Days January 2025]:[Harvest Days December 2026]])*BedPlan[[#This Row],[Revenue]:[Revenue]]</f>
        <v>0</v>
      </c>
      <c r="ED100" s="257" cm="1">
        <f t="array" ref="ED100">BedPlan[[#This Row],[Harvest Days October 2026]]/SUM(BedPlan[[#This Row],[Harvest Days January 2025]:[Harvest Days December 2026]])*BedPlan[[#This Row],[Revenue]:[Revenue]]</f>
        <v>0</v>
      </c>
      <c r="EE100" s="257" cm="1">
        <f t="array" ref="EE100">BedPlan[[#This Row],[Harvest Days November 2026]]/SUM(BedPlan[[#This Row],[Harvest Days January 2025]:[Harvest Days December 2026]])*BedPlan[[#This Row],[Revenue]:[Revenue]]</f>
        <v>0</v>
      </c>
      <c r="EF100" s="257" cm="1">
        <f t="array" ref="EF100">BedPlan[[#This Row],[Harvest Days December 2026]]/SUM(BedPlan[[#This Row],[Harvest Days January 2025]:[Harvest Days December 2026]])*BedPlan[[#This Row],[Revenue]:[Revenue]]</f>
        <v>0</v>
      </c>
      <c r="EG100" t="b">
        <f>SUM(BedPlan[[#This Row],[Revenue January 2025]:[Revenue December 2026]])=BedPlan[[#This Row],[Revenue]]</f>
        <v>1</v>
      </c>
      <c r="EH100" s="30" cm="1">
        <f t="array" ref="EH100">INDEX(Crops[],BedPlan[[#This Row],[Chart Index]],EH$4,1)*BedPlan[[#This Row],['# Of Beds]]</f>
        <v>175</v>
      </c>
      <c r="EI100" s="30" t="str" cm="1">
        <f t="array" ref="EI100">INDEX(Crops[],BedPlan[[#This Row],[Chart Index]],EI$4,1)</f>
        <v>Lb</v>
      </c>
      <c r="EJ100" s="30" t="str" cm="1">
        <f t="array" ref="EJ100">INDEX(Crops[],BedPlan[[#This Row],[Chart Index]],EJ$4,1)</f>
        <v>Storage Root</v>
      </c>
      <c r="EK100" s="30" t="str">
        <f>BedPlan[[#This Row],[Name]]&amp;" "&amp;BedPlan[[#This Row],[Product]]&amp; " - " &amp;BedPlan[[#This Row],[Unit]]</f>
        <v>Potato Storage Root - Lb</v>
      </c>
      <c r="EL100" s="33" cm="1">
        <f t="array" ref="EL100">BedPlan[[#This Row],[Harvest Days January 2025]]/SUM(BedPlan[[#This Row],[Harvest Days January 2025]:[Harvest Days December 2026]])*BedPlan[[#This Row],[Yield]:[Yield]]</f>
        <v>0</v>
      </c>
      <c r="EM100" s="33" cm="1">
        <f t="array" ref="EM100">BedPlan[[#This Row],[Harvest Days February 2025]]/SUM(BedPlan[[#This Row],[Harvest Days January 2025]:[Harvest Days December 2026]])*BedPlan[[#This Row],[Yield]:[Yield]]</f>
        <v>0</v>
      </c>
      <c r="EN100" s="33" cm="1">
        <f t="array" ref="EN100">BedPlan[[#This Row],[Harvest Days March 2025]]/SUM(BedPlan[[#This Row],[Harvest Days January 2025]:[Harvest Days December 2026]])*BedPlan[[#This Row],[Yield]:[Yield]]</f>
        <v>0</v>
      </c>
      <c r="EO100" s="33" cm="1">
        <f t="array" ref="EO100">BedPlan[[#This Row],[Harvest Days April 2025]]/SUM(BedPlan[[#This Row],[Harvest Days January 2025]:[Harvest Days December 2026]])*BedPlan[[#This Row],[Yield]:[Yield]]</f>
        <v>0</v>
      </c>
      <c r="EP100" s="33" cm="1">
        <f t="array" ref="EP100">BedPlan[[#This Row],[Harvest Days May 2025]]/SUM(BedPlan[[#This Row],[Harvest Days January 2025]:[Harvest Days December 2026]])*BedPlan[[#This Row],[Yield]:[Yield]]</f>
        <v>0</v>
      </c>
      <c r="EQ100" s="33" cm="1">
        <f t="array" ref="EQ100">BedPlan[[#This Row],[Harvest Days June 2025]]/SUM(BedPlan[[#This Row],[Harvest Days January 2025]:[Harvest Days December 2026]])*BedPlan[[#This Row],[Yield]:[Yield]]</f>
        <v>0</v>
      </c>
      <c r="ER100" s="33" cm="1">
        <f t="array" ref="ER100">BedPlan[[#This Row],[Harvest Days July 2025]]/SUM(BedPlan[[#This Row],[Harvest Days January 2025]:[Harvest Days December 2026]])*BedPlan[[#This Row],[Yield]:[Yield]]</f>
        <v>0</v>
      </c>
      <c r="ES100" s="33" cm="1">
        <f t="array" ref="ES100">BedPlan[[#This Row],[Harvest Days August 2025]]/SUM(BedPlan[[#This Row],[Harvest Days January 2025]:[Harvest Days December 2026]])*BedPlan[[#This Row],[Yield]:[Yield]]</f>
        <v>175</v>
      </c>
      <c r="ET100" s="33" cm="1">
        <f t="array" ref="ET100">BedPlan[[#This Row],[Harvest Days September 2025]]/SUM(BedPlan[[#This Row],[Harvest Days January 2025]:[Harvest Days December 2026]])*BedPlan[[#This Row],[Yield]:[Yield]]</f>
        <v>0</v>
      </c>
      <c r="EU100" s="33" cm="1">
        <f t="array" ref="EU100">BedPlan[[#This Row],[Harvest Days October 2025]]/SUM(BedPlan[[#This Row],[Harvest Days January 2025]:[Harvest Days December 2026]])*BedPlan[[#This Row],[Yield]:[Yield]]</f>
        <v>0</v>
      </c>
      <c r="EV100" s="33" cm="1">
        <f t="array" ref="EV100">BedPlan[[#This Row],[Harvest Days November 2025]]/SUM(BedPlan[[#This Row],[Harvest Days January 2025]:[Harvest Days December 2026]])*BedPlan[[#This Row],[Yield]:[Yield]]</f>
        <v>0</v>
      </c>
      <c r="EW100" s="33" cm="1">
        <f t="array" ref="EW100">BedPlan[[#This Row],[Harvest Days December 2025]]/SUM(BedPlan[[#This Row],[Harvest Days January 2025]:[Harvest Days December 2026]])*BedPlan[[#This Row],[Yield]:[Yield]]</f>
        <v>0</v>
      </c>
    </row>
    <row r="101" spans="1:153" ht="15.75" customHeight="1">
      <c r="A101" s="179" t="s">
        <v>1308</v>
      </c>
      <c r="B101" t="s">
        <v>2665</v>
      </c>
      <c r="C101" t="s">
        <v>1446</v>
      </c>
      <c r="D101" cm="1">
        <f t="array" ref="D101">INDEX(Crops[],BedPlan[[#This Row],[Chart Index]],D$4,1)*BedPlan[[#This Row],[Full Bed Equivalent]]</f>
        <v>120</v>
      </c>
      <c r="E101" cm="1">
        <f t="array" ref="E101">INDEX(Crops[],BedPlan[[#This Row],[Chart Index]],E$4,1)*BedPlan[[#This Row],[Full Bed Equivalent]]</f>
        <v>240</v>
      </c>
      <c r="F101" t="str">
        <f>UPPER(LEFT(BedPlan[[#This Row],[Crop]],3))</f>
        <v>RAD</v>
      </c>
      <c r="H101" s="143" t="str" cm="1">
        <f t="array" ref="H101">INDEX(Crops[],BedPlan[[#This Row],[Chart Index]],H$4,1)</f>
        <v>Radicchio</v>
      </c>
      <c r="I101" t="s">
        <v>570</v>
      </c>
      <c r="K101" t="str" cm="1">
        <f t="array" ref="K101">IF(ISNUMBER(MATCH(BedPlan[[#This Row],[Variety]],SeedMixes[Name],)),_xlfn.TEXTJOIN(", ",TRUE,_xlfn._xlws.FILTER(SeedMixes[Variety &amp; Company],SeedMixes[Name]=BedPlan[[#This Row],[Variety]])),"")</f>
        <v>Beatrice Uprising, Regina Rossa Uprising</v>
      </c>
      <c r="L101" s="33" cm="1">
        <f t="array" ref="L101">INDEX(Crops[],BedPlan[[#This Row],[Chart Index]],L$4,1)*BedPlan[[#This Row],[Full Bed Equivalent]]</f>
        <v>312</v>
      </c>
      <c r="N101">
        <v>1.6</v>
      </c>
      <c r="O101">
        <v>4</v>
      </c>
      <c r="P101" s="31">
        <f>IF(ISNUMBER(BedPlan[[#This Row],[Planned Greenhouse Start Date]]),BedPlan[[#This Row],[Planned Greenhouse Start Date]],BedPlan[[#This Row],[Planned TP or DS Date]])</f>
        <v>45808</v>
      </c>
      <c r="Q101" s="259">
        <f>IF(BedPlan[[#This Row],[Days in Cells]]=0,"",IFERROR(_xlfn.XLOOKUP(BedPlan[[#This Row],[Follows Crop]],BedPlan[Identifier],BedPlan[Expected End of Harvest]) + 1+BedPlan[[#This Row],[Follow Offset]],BedPlan[[#This Row],[Fixed Field Start Date]])-BedPlan[[#This Row],[Days in Cells]])</f>
        <v>45808</v>
      </c>
      <c r="R101" s="259">
        <v>45829</v>
      </c>
      <c r="S101" s="259">
        <f>IF(ISNUMBER(BedPlan[[#This Row],[Actual Greenhouse Date]]),BedPlan[[#This Row],[Actual Greenhouse Date]],BedPlan[[#This Row],[Planned Greenhouse Start Date]])</f>
        <v>45829</v>
      </c>
      <c r="T101" s="259">
        <f>_xlfn.XLOOKUP(BedPlan[[#This Row],[Crop]],Crops[Identifier],Crops[Target Field Date])</f>
        <v>45838</v>
      </c>
      <c r="U101" s="260"/>
      <c r="V101" s="260"/>
      <c r="W10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45859</v>
      </c>
      <c r="X101" s="259"/>
      <c r="Y101" s="271">
        <f>BedPlan[[#This Row],[Actual TP or DS Date]]-BedPlan[[#This Row],[Planned TP or DS Date]]</f>
        <v>-45859</v>
      </c>
      <c r="Z101" s="259">
        <f>IF(ISNUMBER(BedPlan[[#This Row],[Actual TP or DS Date]]),BedPlan[[#This Row],[Actual TP or DS Date]],BedPlan[[#This Row],[Planned TP or DS Date]])</f>
        <v>45859</v>
      </c>
      <c r="AA101" s="259"/>
      <c r="AB101" s="259">
        <f>IF(ISNUMBER(BedPlan[[#This Row],[Greenhouse Start Date]]),BedPlan[[#This Row],[Greenhouse Start Date]]+BedPlan[[#This Row],[DTM]],BedPlan[[#This Row],[TP or DS Date]]+BedPlan[[#This Row],[DTM]])</f>
        <v>45949</v>
      </c>
      <c r="AC101" s="259"/>
      <c r="AD101" s="259">
        <f>IF(ISNUMBER(BedPlan[[#This Row],[Actual Beginning of Harvest]]),BedPlan[[#This Row],[Actual Beginning of Harvest]],BedPlan[[#This Row],[Expected Beginning of Harvest]])</f>
        <v>45949</v>
      </c>
      <c r="AE101" s="259">
        <f>BedPlan[[#This Row],[Expected Beginning of Harvest]]+BedPlan[[#This Row],[Harvest Window]]+BedPlan[[#This Row],[Additional Days of Harvest]]</f>
        <v>45963</v>
      </c>
      <c r="AF101" s="259"/>
      <c r="AG101" s="259"/>
      <c r="AH101" s="31" t="b">
        <f>IF(AND( BedPlan[[#This Row],[Expected End of Harvest]] &gt;= DATE(2025, 8, 1), BedPlan[[#This Row],[Beginning of Harvest]] &lt;= DATE(2025, 8, 31) ), TRUE, FALSE)</f>
        <v>0</v>
      </c>
      <c r="AI101" s="31"/>
      <c r="AJ101" s="31">
        <f>IF(ISNUMBER(BedPlan[[#This Row],[Actual End of Harvest]]),BedPlan[[#This Row],[Actual End of Harvest]],BedPlan[[#This Row],[Expected End of Harvest]])</f>
        <v>45963</v>
      </c>
      <c r="AK101" t="b">
        <f>OR(ISNUMBER(BedPlan[[#This Row],[Actual Greenhouse Date]]),ISNUMBER(BedPlan[[#This Row],[Actual TP or DS Date]]))</f>
        <v>1</v>
      </c>
      <c r="AL101" s="52" t="b">
        <f>IF(ISNUMBER(BedPlan[[#This Row],[Planned Greenhouse Start Date]]),OR(ISNUMBER(BedPlan[[#This Row],[Actual TP or DS Date]]),BedPlan[[#This Row],[Failed]]),"-")</f>
        <v>0</v>
      </c>
      <c r="AM101" t="b">
        <f>OR(ISNUMBER(BedPlan[[#This Row],[Actual End of Harvest]]),BedPlan[[#This Row],[Failed]])</f>
        <v>0</v>
      </c>
      <c r="AN101" t="b">
        <f>OR(BedPlan[[#This Row],[Harvest Done]],BedPlan[[#This Row],[Failed]],BedPlan[[#This Row],[Name]]="Tarp")</f>
        <v>0</v>
      </c>
      <c r="AS101" s="26" t="str">
        <f>IF(BedPlan[[#This Row],[Broadfork]],BedPlan[[#This Row],[Actual TP or DS Date]],"")</f>
        <v/>
      </c>
      <c r="AT101" s="26" t="str">
        <f>IF(BedPlan[[#This Row],[Tilther]],BedPlan[[#This Row],[Actual TP or DS Date]],"")</f>
        <v/>
      </c>
      <c r="AU101" s="26" t="str">
        <f>IF(NOT(ISBLANK(BedPlan[[#This Row],[Amend]])),BedPlan[[#This Row],[Actual TP or DS Date]],"")</f>
        <v/>
      </c>
      <c r="AV101" s="26" t="str">
        <f>IF(BedPlan[[#This Row],[Row Cover]],BedPlan[[#This Row],[Actual TP or DS Date]],"")</f>
        <v/>
      </c>
      <c r="AX101" s="26"/>
      <c r="AZ101" s="26"/>
      <c r="BB101" s="26"/>
      <c r="BC101" s="231" cm="1">
        <f t="array" ref="BC101">INDEX(Crops[],BedPlan[[#This Row],[Chart Index]],BC$4,1)*BedPlan[[#This Row],[Full Bed Equivalent]]</f>
        <v>1440</v>
      </c>
      <c r="BD101" s="231" cm="1">
        <f t="array" ref="BD101">INDEX(Crops[],BedPlan[[#This Row],[Chart Index]],BD$4,1)*BedPlan[[#This Row],[Full Bed Equivalent]]</f>
        <v>13.846153846153847</v>
      </c>
      <c r="BE101" cm="1">
        <f t="array" ref="BE101">INDEX(Crops[],BedPlan[[#This Row],[Chart Index]],BE$4,1)+BedPlan[[#This Row],[Additional Days in Cells]]+BedPlan[[#This Row],[Additional Days In Field]]</f>
        <v>120</v>
      </c>
      <c r="BG101" cm="1">
        <f t="array" ref="BG101">INDEX(Crops[],BedPlan[[#This Row],[Chart Index]],BG$4,1)</f>
        <v>14</v>
      </c>
      <c r="BH101" t="str">
        <f>IF(ISNUMBER(BedPlan[[#This Row],[Planned Greenhouse Start Date]]),"TP","DS")</f>
        <v>TP</v>
      </c>
      <c r="BI101">
        <f>BedPlan[[#This Row],['# Of Beds]]</f>
        <v>1.6</v>
      </c>
      <c r="BJ101" cm="1">
        <f t="array" ref="BJ101">INDEX(Crops[],BedPlan[[#This Row],[Chart Index]],BJ$4,1)</f>
        <v>30</v>
      </c>
      <c r="BK101" cm="1">
        <f t="array" ref="BK101">INDEX(Crops[],BedPlan[[#This Row],[Chart Index]],BK$4,1)</f>
        <v>3</v>
      </c>
      <c r="BL101" cm="1">
        <f t="array" ref="BL101">INDEX(Crops[],BedPlan[[#This Row],[Chart Index]],BL$4,1)</f>
        <v>12</v>
      </c>
      <c r="BM101" cm="1">
        <f t="array" ref="BM101">INDEX(Crops[],BedPlan[[#This Row],[Chart Index]],BM$4,1)</f>
        <v>1</v>
      </c>
      <c r="BN101" s="32" cm="1">
        <f t="array" ref="BN101">INDEX(Crops[],BedPlan[[#This Row],[Chart Index]],BN$4,1)*BedPlan[[#This Row],[Full Bed Equivalent]]</f>
        <v>240</v>
      </c>
      <c r="BO101" t="str" cm="1">
        <f t="array" ref="BO101">IF(INDEX(Crops[],BedPlan[[#This Row],[Chart Index]],BO$4,1)=0,"",INDEX(Crops[],BedPlan[[#This Row],[Chart Index]],BO$4,1))</f>
        <v/>
      </c>
      <c r="BP101">
        <f>MATCH(BedPlan[[#This Row],[Crop]],Crops[Identifier],FALSE)</f>
        <v>251</v>
      </c>
      <c r="BQ101" t="str" cm="1">
        <f t="array" ref="BQ101">INDEX(Crops[],BedPlan[[#This Row],[Chart Index]],BQ$4,1)</f>
        <v>90 Day</v>
      </c>
      <c r="BR101" t="str" cm="1">
        <f t="array" ref="BR101">INDEX(Crops[],BedPlan[[#This Row],[Chart Index]],BR$4,1)</f>
        <v>Su</v>
      </c>
      <c r="BS101" s="32">
        <f>BedPlan[[#This Row],[Expected Beginning of Harvest]]-DATE(2023,1,1)</f>
        <v>1022</v>
      </c>
      <c r="BT101">
        <f>BedPlan[[#This Row],[Expected End of Harvest]]-BedPlan[[#This Row],[Expected Beginning of Harvest]]</f>
        <v>14</v>
      </c>
      <c r="BU101" t="str" cm="1">
        <f t="array" ref="BU101">INDEX(Crops[],BedPlan[[#This Row],[Chart Index]],BU$4,1)</f>
        <v>Green</v>
      </c>
      <c r="BV101" cm="1">
        <f t="array" ref="BV101">INDEX(Crops[],BedPlan[[#This Row],[Chart Index]],BV$4,1)</f>
        <v>1.5</v>
      </c>
      <c r="BW101" t="str" cm="1">
        <f t="array" ref="BW101">INDEX(Crops[],BedPlan[[#This Row],[Chart Index]],BW$4,1)</f>
        <v>None</v>
      </c>
      <c r="BX101" cm="1">
        <f t="array" ref="BX101">INDEX(Crops[],BedPlan[[#This Row],[Chart Index]],BX$4,1)</f>
        <v>72</v>
      </c>
      <c r="BY101" cm="1">
        <f t="array" ref="BY101">INDEX(Crops[],BedPlan[[#This Row],[Chart Index]],BY$4,1)</f>
        <v>30</v>
      </c>
      <c r="BZ101" s="49" cm="1">
        <f t="array" ref="BZ101">IFERROR(INDEX(Crops[],BedPlan[[#This Row],[Chart Index]],BZ$4,1)*BedPlan[[#This Row],[Full Bed Equivalent]],"")</f>
        <v>4.3333333333333339</v>
      </c>
      <c r="CA101" cm="1">
        <f t="array" ref="CA101">INDEX(Crops[],BedPlan[[#This Row],[Chart Index]],CA$4,1)</f>
        <v>0</v>
      </c>
      <c r="CB101" cm="1">
        <f t="array" ref="CB101">INDEX(Crops[],BedPlan[[#This Row],[Chart Index]],CB$4,1)</f>
        <v>0</v>
      </c>
      <c r="CC101" s="49" t="str" cm="1">
        <f t="array" ref="CC101">IFERROR(INDEX(Crops[],BedPlan[[#This Row],[Chart Index]],CC$4,1)*BedPlan[[#This Row],[Full Bed Equivalent]],"")</f>
        <v/>
      </c>
      <c r="CD101" cm="1">
        <f t="array" ref="CD101">INDEX(Crops[],BedPlan[[#This Row],[Chart Index]],CD$4,1)</f>
        <v>0</v>
      </c>
      <c r="CE101" cm="1">
        <f t="array" ref="CE101">IF(INDEX(Crops[],BedPlan[[#This Row],[Chart Index]],CE$4,1)="",0,INDEX(Crops[],BedPlan[[#This Row],[Chart Index]],CE$4,1))</f>
        <v>0</v>
      </c>
      <c r="CF101" s="49" t="str" cm="1">
        <f t="array" ref="CF101">IFERROR(INDEX(Crops[],BedPlan[[#This Row],[Chart Index]],CF$4,1)*BedPlan[[#This Row],[Full Bed Equivalent]],"")</f>
        <v/>
      </c>
      <c r="CG101" cm="1">
        <f t="array" ref="CG101">IF(INDEX(Crops[],BedPlan[[#This Row],[Chart Index]],CG$4,1)="",0,INDEX(Crops[],BedPlan[[#This Row],[Chart Index]],CG$4,1))</f>
        <v>1.3</v>
      </c>
      <c r="CH101" cm="1">
        <f t="array" ref="CH101">IF(INDEX(Crops[],BedPlan[[#This Row],[Chart Index]],CH$4,1)="",0,INDEX(Crops[],BedPlan[[#This Row],[Chart Index]],CH$4,1))</f>
        <v>0</v>
      </c>
      <c r="CI101" t="str" cm="1">
        <f t="array" ref="CI101">INDEX(Crops[],BedPlan[[#This Row],[Chart Index]],CI$4,1)</f>
        <v>Field</v>
      </c>
      <c r="CJ101" s="30" t="str">
        <f>_xlfn.TEXTJOIN(CHAR(10),FALSE,BedPlan[[#This Row],[Name]],BedPlan[[#This Row],[Variety]],BedPlan[[#This Row],[Company]])</f>
        <v xml:space="preserve">Radicchio
90 Mix
</v>
      </c>
      <c r="CK101" s="32">
        <f>MAX( 0, MIN(BedPlan[[#This Row],[Expected End of Harvest]], EOMONTH(CK$4, 0)) - MAX(BedPlan[[#This Row],[Beginning of Harvest]], CK$4) + 1 )</f>
        <v>0</v>
      </c>
      <c r="CL101">
        <f>MAX( 0, MIN(BedPlan[[#This Row],[Expected End of Harvest]], EOMONTH(CL$4, 0)) - MAX(BedPlan[[#This Row],[Beginning of Harvest]], CL$4) + 1 )</f>
        <v>0</v>
      </c>
      <c r="CM101">
        <f>MAX( 0, MIN(BedPlan[[#This Row],[Expected End of Harvest]], EOMONTH(CM$4, 0)) - MAX(BedPlan[[#This Row],[Beginning of Harvest]], CM$4) + 1 )</f>
        <v>0</v>
      </c>
      <c r="CN101">
        <f>MAX( 0, MIN(BedPlan[[#This Row],[Expected End of Harvest]], EOMONTH(CN$4, 0)) - MAX(BedPlan[[#This Row],[Beginning of Harvest]], CN$4) + 1 )</f>
        <v>0</v>
      </c>
      <c r="CO101">
        <f>MAX( 0, MIN(BedPlan[[#This Row],[Expected End of Harvest]], EOMONTH(CO$4, 0)) - MAX(BedPlan[[#This Row],[Beginning of Harvest]], CO$4) + 1 )</f>
        <v>0</v>
      </c>
      <c r="CP101">
        <f>MAX( 0, MIN(BedPlan[[#This Row],[Expected End of Harvest]], EOMONTH(CP$4, 0)) - MAX(BedPlan[[#This Row],[Beginning of Harvest]], CP$4) + 1 )</f>
        <v>0</v>
      </c>
      <c r="CQ101">
        <f>MAX( 0, MIN(BedPlan[[#This Row],[Expected End of Harvest]], EOMONTH(CQ$4, 0)) - MAX(BedPlan[[#This Row],[Beginning of Harvest]], CQ$4) + 1 )</f>
        <v>0</v>
      </c>
      <c r="CR101">
        <f>MAX( 0, MIN(BedPlan[[#This Row],[Expected End of Harvest]], EOMONTH(CR$4, 0)) - MAX(BedPlan[[#This Row],[Beginning of Harvest]], CR$4) + 1 )</f>
        <v>0</v>
      </c>
      <c r="CS101">
        <f>MAX( 0, MIN(BedPlan[[#This Row],[Expected End of Harvest]], EOMONTH(CS$4, 0)) - MAX(BedPlan[[#This Row],[Beginning of Harvest]], CS$4) + 1 )</f>
        <v>0</v>
      </c>
      <c r="CT101">
        <f>MAX( 0, MIN(BedPlan[[#This Row],[Expected End of Harvest]], EOMONTH(CT$4, 0)) - MAX(BedPlan[[#This Row],[Beginning of Harvest]], CT$4) + 1 )</f>
        <v>13</v>
      </c>
      <c r="CU101">
        <f>MAX( 0, MIN(BedPlan[[#This Row],[Expected End of Harvest]], EOMONTH(CU$4, 0)) - MAX(BedPlan[[#This Row],[Beginning of Harvest]], CU$4) + 1 )</f>
        <v>2</v>
      </c>
      <c r="CV101">
        <f>MAX( 0, MIN(BedPlan[[#This Row],[Expected End of Harvest]], EOMONTH(CV$4, 0)) - MAX(BedPlan[[#This Row],[Beginning of Harvest]], CV$4) + 1 )</f>
        <v>0</v>
      </c>
      <c r="CW101">
        <f>MAX( 0, MIN(BedPlan[[#This Row],[Expected End of Harvest]], EOMONTH(CW$4, 0)) - MAX(BedPlan[[#This Row],[Beginning of Harvest]], CW$4) + 1 )</f>
        <v>0</v>
      </c>
      <c r="CX101">
        <f>MAX( 0, MIN(BedPlan[[#This Row],[Expected End of Harvest]], EOMONTH(CX$4, 0)) - MAX(BedPlan[[#This Row],[Beginning of Harvest]], CX$4) + 1 )</f>
        <v>0</v>
      </c>
      <c r="CY101">
        <f>MAX( 0, MIN(BedPlan[[#This Row],[Expected End of Harvest]], EOMONTH(CY$4, 0)) - MAX(BedPlan[[#This Row],[Beginning of Harvest]], CY$4) + 1 )</f>
        <v>0</v>
      </c>
      <c r="CZ101">
        <f>MAX( 0, MIN(BedPlan[[#This Row],[Expected End of Harvest]], EOMONTH(CZ$4, 0)) - MAX(BedPlan[[#This Row],[Beginning of Harvest]], CZ$4) + 1 )</f>
        <v>0</v>
      </c>
      <c r="DA101">
        <f>MAX( 0, MIN(BedPlan[[#This Row],[Expected End of Harvest]], EOMONTH(DA$4, 0)) - MAX(BedPlan[[#This Row],[Beginning of Harvest]], DA$4) + 1 )</f>
        <v>0</v>
      </c>
      <c r="DB101">
        <f>MAX( 0, MIN(BedPlan[[#This Row],[Expected End of Harvest]], EOMONTH(DB$4, 0)) - MAX(BedPlan[[#This Row],[Beginning of Harvest]], DB$4) + 1 )</f>
        <v>0</v>
      </c>
      <c r="DC101">
        <f>MAX( 0, MIN(BedPlan[[#This Row],[Expected End of Harvest]], EOMONTH(DC$4, 0)) - MAX(BedPlan[[#This Row],[Beginning of Harvest]], DC$4) + 1 )</f>
        <v>0</v>
      </c>
      <c r="DD101">
        <f>MAX( 0, MIN(BedPlan[[#This Row],[Expected End of Harvest]], EOMONTH(DD$4, 0)) - MAX(BedPlan[[#This Row],[Beginning of Harvest]], DD$4) + 1 )</f>
        <v>0</v>
      </c>
      <c r="DE101">
        <f>MAX( 0, MIN(BedPlan[[#This Row],[Expected End of Harvest]], EOMONTH(DE$4, 0)) - MAX(BedPlan[[#This Row],[Beginning of Harvest]], DE$4) + 1 )</f>
        <v>0</v>
      </c>
      <c r="DF101">
        <f>MAX( 0, MIN(BedPlan[[#This Row],[Expected End of Harvest]], EOMONTH(DF$4, 0)) - MAX(BedPlan[[#This Row],[Beginning of Harvest]], DF$4) + 1 )</f>
        <v>0</v>
      </c>
      <c r="DG101">
        <f>MAX( 0, MIN(BedPlan[[#This Row],[Expected End of Harvest]], EOMONTH(DG$4, 0)) - MAX(BedPlan[[#This Row],[Beginning of Harvest]], DG$4) + 1 )</f>
        <v>0</v>
      </c>
      <c r="DH101">
        <f>MAX( 0, MIN(BedPlan[[#This Row],[Expected End of Harvest]], EOMONTH(DH$4, 0)) - MAX(BedPlan[[#This Row],[Beginning of Harvest]], DH$4) + 1 )</f>
        <v>0</v>
      </c>
      <c r="DI101" s="257" cm="1">
        <f t="array" ref="DI101">BedPlan[[#This Row],[Harvest Days January 2025]]/SUM(BedPlan[[#This Row],[Harvest Days January 2025]:[Harvest Days December 2026]])*BedPlan[[#This Row],[Revenue]:[Revenue]]</f>
        <v>0</v>
      </c>
      <c r="DJ101" s="257" cm="1">
        <f t="array" ref="DJ101">BedPlan[[#This Row],[Harvest Days February 2025]]/SUM(BedPlan[[#This Row],[Harvest Days January 2025]:[Harvest Days December 2026]])*BedPlan[[#This Row],[Revenue]:[Revenue]]</f>
        <v>0</v>
      </c>
      <c r="DK101" s="257" cm="1">
        <f t="array" ref="DK101">BedPlan[[#This Row],[Harvest Days March 2025]]/SUM(BedPlan[[#This Row],[Harvest Days January 2025]:[Harvest Days December 2026]])*BedPlan[[#This Row],[Revenue]:[Revenue]]</f>
        <v>0</v>
      </c>
      <c r="DL101" s="257" cm="1">
        <f t="array" ref="DL101">BedPlan[[#This Row],[Harvest Days April 2025]]/SUM(BedPlan[[#This Row],[Harvest Days January 2025]:[Harvest Days December 2026]])*BedPlan[[#This Row],[Revenue]:[Revenue]]</f>
        <v>0</v>
      </c>
      <c r="DM101" s="257" cm="1">
        <f t="array" ref="DM101">BedPlan[[#This Row],[Harvest Days May 2025]]/SUM(BedPlan[[#This Row],[Harvest Days January 2025]:[Harvest Days December 2026]])*BedPlan[[#This Row],[Revenue]:[Revenue]]</f>
        <v>0</v>
      </c>
      <c r="DN101" s="257" cm="1">
        <f t="array" ref="DN101">BedPlan[[#This Row],[Harvest Days June 2025]]/SUM(BedPlan[[#This Row],[Harvest Days January 2025]:[Harvest Days December 2026]])*BedPlan[[#This Row],[Revenue]:[Revenue]]</f>
        <v>0</v>
      </c>
      <c r="DO101" s="257" cm="1">
        <f t="array" ref="DO101">BedPlan[[#This Row],[Harvest Days July 2025]]/SUM(BedPlan[[#This Row],[Harvest Days January 2025]:[Harvest Days December 2026]])*BedPlan[[#This Row],[Revenue]:[Revenue]]</f>
        <v>0</v>
      </c>
      <c r="DP101" s="257" cm="1">
        <f t="array" ref="DP101">BedPlan[[#This Row],[Harvest Days August 2025]]/SUM(BedPlan[[#This Row],[Harvest Days January 2025]:[Harvest Days December 2026]])*BedPlan[[#This Row],[Revenue]:[Revenue]]</f>
        <v>0</v>
      </c>
      <c r="DQ101" s="257" cm="1">
        <f t="array" ref="DQ101">BedPlan[[#This Row],[Harvest Days September 2025]]/SUM(BedPlan[[#This Row],[Harvest Days January 2025]:[Harvest Days December 2026]])*BedPlan[[#This Row],[Revenue]:[Revenue]]</f>
        <v>0</v>
      </c>
      <c r="DR101" s="257" cm="1">
        <f t="array" ref="DR101">BedPlan[[#This Row],[Harvest Days October 2025]]/SUM(BedPlan[[#This Row],[Harvest Days January 2025]:[Harvest Days December 2026]])*BedPlan[[#This Row],[Revenue]:[Revenue]]</f>
        <v>1248</v>
      </c>
      <c r="DS101" s="257" cm="1">
        <f t="array" ref="DS101">BedPlan[[#This Row],[Harvest Days November 2025]]/SUM(BedPlan[[#This Row],[Harvest Days January 2025]:[Harvest Days December 2026]])*BedPlan[[#This Row],[Revenue]:[Revenue]]</f>
        <v>192</v>
      </c>
      <c r="DT101" s="257" cm="1">
        <f t="array" ref="DT101">BedPlan[[#This Row],[Harvest Days December 2025]]/SUM(BedPlan[[#This Row],[Harvest Days January 2025]:[Harvest Days December 2026]])*BedPlan[[#This Row],[Revenue]:[Revenue]]</f>
        <v>0</v>
      </c>
      <c r="DU101" s="257" cm="1">
        <f t="array" ref="DU101">BedPlan[[#This Row],[Harvest Days January 2026]]/SUM(BedPlan[[#This Row],[Harvest Days January 2025]:[Harvest Days December 2026]])*BedPlan[[#This Row],[Revenue]:[Revenue]]</f>
        <v>0</v>
      </c>
      <c r="DV101" s="257" cm="1">
        <f t="array" ref="DV101">BedPlan[[#This Row],[Harvest Days February 2026]]/SUM(BedPlan[[#This Row],[Harvest Days January 2025]:[Harvest Days December 2026]])*BedPlan[[#This Row],[Revenue]:[Revenue]]</f>
        <v>0</v>
      </c>
      <c r="DW101" s="257" cm="1">
        <f t="array" ref="DW101">BedPlan[[#This Row],[Harvest Days March 2026]]/SUM(BedPlan[[#This Row],[Harvest Days January 2025]:[Harvest Days December 2026]])*BedPlan[[#This Row],[Revenue]:[Revenue]]</f>
        <v>0</v>
      </c>
      <c r="DX101" s="257" cm="1">
        <f t="array" ref="DX101">BedPlan[[#This Row],[Harvest Days April 2026]]/SUM(BedPlan[[#This Row],[Harvest Days January 2025]:[Harvest Days December 2026]])*BedPlan[[#This Row],[Revenue]:[Revenue]]</f>
        <v>0</v>
      </c>
      <c r="DY101" s="257" cm="1">
        <f t="array" ref="DY101">BedPlan[[#This Row],[Harvest Days May 2026]]/SUM(BedPlan[[#This Row],[Harvest Days January 2025]:[Harvest Days December 2026]])*BedPlan[[#This Row],[Revenue]:[Revenue]]</f>
        <v>0</v>
      </c>
      <c r="DZ101" s="257" cm="1">
        <f t="array" ref="DZ101">BedPlan[[#This Row],[Harvest Days June 2026]]/SUM(BedPlan[[#This Row],[Harvest Days January 2025]:[Harvest Days December 2026]])*BedPlan[[#This Row],[Revenue]:[Revenue]]</f>
        <v>0</v>
      </c>
      <c r="EA101" s="257" cm="1">
        <f t="array" ref="EA101">BedPlan[[#This Row],[Harvest Days July 2026]]/SUM(BedPlan[[#This Row],[Harvest Days January 2025]:[Harvest Days December 2026]])*BedPlan[[#This Row],[Revenue]:[Revenue]]</f>
        <v>0</v>
      </c>
      <c r="EB101" s="257" cm="1">
        <f t="array" ref="EB101">BedPlan[[#This Row],[Harvest Days August 2026]]/SUM(BedPlan[[#This Row],[Harvest Days January 2025]:[Harvest Days December 2026]])*BedPlan[[#This Row],[Revenue]:[Revenue]]</f>
        <v>0</v>
      </c>
      <c r="EC101" s="257" cm="1">
        <f t="array" ref="EC101">BedPlan[[#This Row],[Harvest Days September 2026]]/SUM(BedPlan[[#This Row],[Harvest Days January 2025]:[Harvest Days December 2026]])*BedPlan[[#This Row],[Revenue]:[Revenue]]</f>
        <v>0</v>
      </c>
      <c r="ED101" s="257" cm="1">
        <f t="array" ref="ED101">BedPlan[[#This Row],[Harvest Days October 2026]]/SUM(BedPlan[[#This Row],[Harvest Days January 2025]:[Harvest Days December 2026]])*BedPlan[[#This Row],[Revenue]:[Revenue]]</f>
        <v>0</v>
      </c>
      <c r="EE101" s="257" cm="1">
        <f t="array" ref="EE101">BedPlan[[#This Row],[Harvest Days November 2026]]/SUM(BedPlan[[#This Row],[Harvest Days January 2025]:[Harvest Days December 2026]])*BedPlan[[#This Row],[Revenue]:[Revenue]]</f>
        <v>0</v>
      </c>
      <c r="EF101" s="257" cm="1">
        <f t="array" ref="EF101">BedPlan[[#This Row],[Harvest Days December 2026]]/SUM(BedPlan[[#This Row],[Harvest Days January 2025]:[Harvest Days December 2026]])*BedPlan[[#This Row],[Revenue]:[Revenue]]</f>
        <v>0</v>
      </c>
      <c r="EG101" t="b">
        <f>SUM(BedPlan[[#This Row],[Revenue January 2025]:[Revenue December 2026]])=BedPlan[[#This Row],[Revenue]]</f>
        <v>1</v>
      </c>
      <c r="EH101" s="30" cm="1">
        <f t="array" ref="EH101">INDEX(Crops[],BedPlan[[#This Row],[Chart Index]],EH$4,1)*BedPlan[[#This Row],['# Of Beds]]</f>
        <v>240</v>
      </c>
      <c r="EI101" s="30" t="str" cm="1">
        <f t="array" ref="EI101">INDEX(Crops[],BedPlan[[#This Row],[Chart Index]],EI$4,1)</f>
        <v>Head</v>
      </c>
      <c r="EJ101" s="30" t="str" cm="1">
        <f t="array" ref="EJ101">INDEX(Crops[],BedPlan[[#This Row],[Chart Index]],EJ$4,1)</f>
        <v>Forced Head</v>
      </c>
      <c r="EK101" s="30" t="str">
        <f>BedPlan[[#This Row],[Name]]&amp;" "&amp;BedPlan[[#This Row],[Product]]&amp; " - " &amp;BedPlan[[#This Row],[Unit]]</f>
        <v>Radicchio Forced Head - Head</v>
      </c>
      <c r="EL101" s="33" cm="1">
        <f t="array" ref="EL101">BedPlan[[#This Row],[Harvest Days January 2025]]/SUM(BedPlan[[#This Row],[Harvest Days January 2025]:[Harvest Days December 2026]])*BedPlan[[#This Row],[Yield]:[Yield]]</f>
        <v>0</v>
      </c>
      <c r="EM101" s="33" cm="1">
        <f t="array" ref="EM101">BedPlan[[#This Row],[Harvest Days February 2025]]/SUM(BedPlan[[#This Row],[Harvest Days January 2025]:[Harvest Days December 2026]])*BedPlan[[#This Row],[Yield]:[Yield]]</f>
        <v>0</v>
      </c>
      <c r="EN101" s="33" cm="1">
        <f t="array" ref="EN101">BedPlan[[#This Row],[Harvest Days March 2025]]/SUM(BedPlan[[#This Row],[Harvest Days January 2025]:[Harvest Days December 2026]])*BedPlan[[#This Row],[Yield]:[Yield]]</f>
        <v>0</v>
      </c>
      <c r="EO101" s="33" cm="1">
        <f t="array" ref="EO101">BedPlan[[#This Row],[Harvest Days April 2025]]/SUM(BedPlan[[#This Row],[Harvest Days January 2025]:[Harvest Days December 2026]])*BedPlan[[#This Row],[Yield]:[Yield]]</f>
        <v>0</v>
      </c>
      <c r="EP101" s="33" cm="1">
        <f t="array" ref="EP101">BedPlan[[#This Row],[Harvest Days May 2025]]/SUM(BedPlan[[#This Row],[Harvest Days January 2025]:[Harvest Days December 2026]])*BedPlan[[#This Row],[Yield]:[Yield]]</f>
        <v>0</v>
      </c>
      <c r="EQ101" s="33" cm="1">
        <f t="array" ref="EQ101">BedPlan[[#This Row],[Harvest Days June 2025]]/SUM(BedPlan[[#This Row],[Harvest Days January 2025]:[Harvest Days December 2026]])*BedPlan[[#This Row],[Yield]:[Yield]]</f>
        <v>0</v>
      </c>
      <c r="ER101" s="33" cm="1">
        <f t="array" ref="ER101">BedPlan[[#This Row],[Harvest Days July 2025]]/SUM(BedPlan[[#This Row],[Harvest Days January 2025]:[Harvest Days December 2026]])*BedPlan[[#This Row],[Yield]:[Yield]]</f>
        <v>0</v>
      </c>
      <c r="ES101" s="33" cm="1">
        <f t="array" ref="ES101">BedPlan[[#This Row],[Harvest Days August 2025]]/SUM(BedPlan[[#This Row],[Harvest Days January 2025]:[Harvest Days December 2026]])*BedPlan[[#This Row],[Yield]:[Yield]]</f>
        <v>0</v>
      </c>
      <c r="ET101" s="33" cm="1">
        <f t="array" ref="ET101">BedPlan[[#This Row],[Harvest Days September 2025]]/SUM(BedPlan[[#This Row],[Harvest Days January 2025]:[Harvest Days December 2026]])*BedPlan[[#This Row],[Yield]:[Yield]]</f>
        <v>0</v>
      </c>
      <c r="EU101" s="33" cm="1">
        <f t="array" ref="EU101">BedPlan[[#This Row],[Harvest Days October 2025]]/SUM(BedPlan[[#This Row],[Harvest Days January 2025]:[Harvest Days December 2026]])*BedPlan[[#This Row],[Yield]:[Yield]]</f>
        <v>208</v>
      </c>
      <c r="EV101" s="33" cm="1">
        <f t="array" ref="EV101">BedPlan[[#This Row],[Harvest Days November 2025]]/SUM(BedPlan[[#This Row],[Harvest Days January 2025]:[Harvest Days December 2026]])*BedPlan[[#This Row],[Yield]:[Yield]]</f>
        <v>32</v>
      </c>
      <c r="EW101" s="33" cm="1">
        <f t="array" ref="EW101">BedPlan[[#This Row],[Harvest Days December 2025]]/SUM(BedPlan[[#This Row],[Harvest Days January 2025]:[Harvest Days December 2026]])*BedPlan[[#This Row],[Yield]:[Yield]]</f>
        <v>0</v>
      </c>
    </row>
    <row r="102" spans="1:153" ht="15.75" customHeight="1">
      <c r="A102" s="191" t="s">
        <v>1726</v>
      </c>
      <c r="B102" t="s">
        <v>2666</v>
      </c>
      <c r="C102" t="s">
        <v>1428</v>
      </c>
      <c r="D102" cm="1">
        <f t="array" ref="D102">INDEX(Crops[],BedPlan[[#This Row],[Chart Index]],D$4,1)*BedPlan[[#This Row],[Full Bed Equivalent]]</f>
        <v>7.8125</v>
      </c>
      <c r="E102" cm="1">
        <f t="array" ref="E102">INDEX(Crops[],BedPlan[[#This Row],[Chart Index]],E$4,1)*BedPlan[[#This Row],[Full Bed Equivalent]]</f>
        <v>31.25</v>
      </c>
      <c r="F102" t="str">
        <f>UPPER(LEFT(BedPlan[[#This Row],[Crop]],3))</f>
        <v>RAD</v>
      </c>
      <c r="H102" s="143" t="str" cm="1">
        <f t="array" ref="H102">INDEX(Crops[],BedPlan[[#This Row],[Chart Index]],H$4,1)</f>
        <v>Radish</v>
      </c>
      <c r="I102" t="s">
        <v>1347</v>
      </c>
      <c r="K102" t="str" cm="1">
        <f t="array" ref="K102">IF(ISNUMBER(MATCH(BedPlan[[#This Row],[Variety]],SeedMixes[Name],)),_xlfn.TEXTJOIN(", ",TRUE,_xlfn._xlws.FILTER(SeedMixes[Variety &amp; Company],SeedMixes[Name]=BedPlan[[#This Row],[Variety]])),"")</f>
        <v>French Breakfast High Mowing, Pearl Johnny's, Sora High Mowing, Patricia High Mowing</v>
      </c>
      <c r="L102" s="33" cm="1">
        <f t="array" ref="L102">INDEX(Crops[],BedPlan[[#This Row],[Chart Index]],L$4,1)*BedPlan[[#This Row],[Full Bed Equivalent]]</f>
        <v>1170</v>
      </c>
      <c r="N102">
        <v>0.25</v>
      </c>
      <c r="O102">
        <f>MAX(BedPlan[[#This Row],['# Of Beds]],0.5)</f>
        <v>0.5</v>
      </c>
      <c r="P102" s="31">
        <f>IF(ISNUMBER(BedPlan[[#This Row],[Planned Greenhouse Start Date]]),BedPlan[[#This Row],[Planned Greenhouse Start Date]],BedPlan[[#This Row],[Planned TP or DS Date]])</f>
        <v>45728</v>
      </c>
      <c r="Q102" s="259" t="str">
        <f>IF(BedPlan[[#This Row],[Days in Cells]]=0,"",IFERROR(_xlfn.XLOOKUP(BedPlan[[#This Row],[Follows Crop]],BedPlan[Identifier],BedPlan[Expected End of Harvest]) + 1+BedPlan[[#This Row],[Follow Offset]],BedPlan[[#This Row],[Fixed Field Start Date]])-BedPlan[[#This Row],[Days in Cells]])</f>
        <v/>
      </c>
      <c r="R102" s="259"/>
      <c r="S102" s="259" t="str">
        <f>IF(ISNUMBER(BedPlan[[#This Row],[Actual Greenhouse Date]]),BedPlan[[#This Row],[Actual Greenhouse Date]],BedPlan[[#This Row],[Planned Greenhouse Start Date]])</f>
        <v/>
      </c>
      <c r="T102" s="259">
        <v>45728</v>
      </c>
      <c r="U102" s="260"/>
      <c r="V102" s="260"/>
      <c r="W10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45728</v>
      </c>
      <c r="X102" s="259">
        <v>45741</v>
      </c>
      <c r="Y102" s="271">
        <f>BedPlan[[#This Row],[Actual TP or DS Date]]-BedPlan[[#This Row],[Planned TP or DS Date]]</f>
        <v>13</v>
      </c>
      <c r="Z102" s="259">
        <f>IF(ISNUMBER(BedPlan[[#This Row],[Actual TP or DS Date]]),BedPlan[[#This Row],[Actual TP or DS Date]],BedPlan[[#This Row],[Planned TP or DS Date]])</f>
        <v>45741</v>
      </c>
      <c r="AA102" s="260"/>
      <c r="AB102" s="259">
        <f>IF(ISNUMBER(BedPlan[[#This Row],[Greenhouse Start Date]]),BedPlan[[#This Row],[Greenhouse Start Date]]+BedPlan[[#This Row],[DTM]],BedPlan[[#This Row],[TP or DS Date]]+BedPlan[[#This Row],[DTM]])</f>
        <v>45773</v>
      </c>
      <c r="AC102" s="259"/>
      <c r="AD102" s="259">
        <f>IF(ISNUMBER(BedPlan[[#This Row],[Actual Beginning of Harvest]]),BedPlan[[#This Row],[Actual Beginning of Harvest]],BedPlan[[#This Row],[Expected Beginning of Harvest]])</f>
        <v>45773</v>
      </c>
      <c r="AE102" s="259">
        <f>BedPlan[[#This Row],[Expected Beginning of Harvest]]+BedPlan[[#This Row],[Harvest Window]]+BedPlan[[#This Row],[Additional Days of Harvest]]</f>
        <v>45794</v>
      </c>
      <c r="AF102" s="259"/>
      <c r="AG102" s="259"/>
      <c r="AH102" s="31" t="b">
        <f>IF(AND( BedPlan[[#This Row],[Expected End of Harvest]] &gt;= DATE(2025, 8, 1), BedPlan[[#This Row],[Beginning of Harvest]] &lt;= DATE(2025, 8, 31) ), TRUE, FALSE)</f>
        <v>0</v>
      </c>
      <c r="AI102" s="31"/>
      <c r="AJ102" s="31">
        <f>IF(ISNUMBER(BedPlan[[#This Row],[Actual End of Harvest]]),BedPlan[[#This Row],[Actual End of Harvest]],BedPlan[[#This Row],[Expected End of Harvest]])</f>
        <v>45794</v>
      </c>
      <c r="AK102" t="b">
        <f>OR(ISNUMBER(BedPlan[[#This Row],[Actual Greenhouse Date]]),ISNUMBER(BedPlan[[#This Row],[Actual TP or DS Date]]))</f>
        <v>1</v>
      </c>
      <c r="AL102" s="52" t="str">
        <f>IF(ISNUMBER(BedPlan[[#This Row],[Planned Greenhouse Start Date]]),OR(ISNUMBER(BedPlan[[#This Row],[Actual TP or DS Date]]),BedPlan[[#This Row],[Failed]]),"-")</f>
        <v>-</v>
      </c>
      <c r="AM102" t="b">
        <f>OR(ISNUMBER(BedPlan[[#This Row],[Actual End of Harvest]]),BedPlan[[#This Row],[Failed]])</f>
        <v>0</v>
      </c>
      <c r="AN102" t="b">
        <f>OR(BedPlan[[#This Row],[Harvest Done]],BedPlan[[#This Row],[Failed]],BedPlan[[#This Row],[Name]]="Tarp")</f>
        <v>0</v>
      </c>
      <c r="AR102" t="b">
        <v>1</v>
      </c>
      <c r="AS102" s="26" t="str">
        <f>IF(BedPlan[[#This Row],[Broadfork]],BedPlan[[#This Row],[Actual TP or DS Date]],"")</f>
        <v/>
      </c>
      <c r="AT102" s="26" t="str">
        <f>IF(BedPlan[[#This Row],[Tilther]],BedPlan[[#This Row],[Actual TP or DS Date]],"")</f>
        <v/>
      </c>
      <c r="AU102" s="26" t="str">
        <f>IF(NOT(ISBLANK(BedPlan[[#This Row],[Amend]])),BedPlan[[#This Row],[Actual TP or DS Date]],"")</f>
        <v/>
      </c>
      <c r="AV102" s="26">
        <f>IF(BedPlan[[#This Row],[Row Cover]],BedPlan[[#This Row],[Actual TP or DS Date]],"")</f>
        <v>45741</v>
      </c>
      <c r="AX102" s="26"/>
      <c r="AZ102" s="26"/>
      <c r="BB102" s="26"/>
      <c r="BC102" s="231" cm="1">
        <f t="array" ref="BC102">INDEX(Crops[],BedPlan[[#This Row],[Chart Index]],BC$4,1)*BedPlan[[#This Row],[Full Bed Equivalent]]</f>
        <v>93.75</v>
      </c>
      <c r="BD102" s="231" cm="1">
        <f t="array" ref="BD102">INDEX(Crops[],BedPlan[[#This Row],[Chart Index]],BD$4,1)*BedPlan[[#This Row],[Full Bed Equivalent]]</f>
        <v>1.7688679245283019</v>
      </c>
      <c r="BE102" cm="1">
        <f t="array" ref="BE102">INDEX(Crops[],BedPlan[[#This Row],[Chart Index]],BE$4,1)+BedPlan[[#This Row],[Additional Days in Cells]]+BedPlan[[#This Row],[Additional Days In Field]]</f>
        <v>32</v>
      </c>
      <c r="BG102" cm="1">
        <f t="array" ref="BG102">INDEX(Crops[],BedPlan[[#This Row],[Chart Index]],BG$4,1)</f>
        <v>21</v>
      </c>
      <c r="BH102" t="str">
        <f>IF(ISNUMBER(BedPlan[[#This Row],[Planned Greenhouse Start Date]]),"TP","DS")</f>
        <v>DS</v>
      </c>
      <c r="BI102">
        <f>BedPlan[[#This Row],['# Of Beds]]</f>
        <v>0.25</v>
      </c>
      <c r="BJ102" cm="1">
        <f t="array" ref="BJ102">INDEX(Crops[],BedPlan[[#This Row],[Chart Index]],BJ$4,1)</f>
        <v>0</v>
      </c>
      <c r="BK102" cm="1">
        <f t="array" ref="BK102">INDEX(Crops[],BedPlan[[#This Row],[Chart Index]],BK$4,1)</f>
        <v>6</v>
      </c>
      <c r="BL102" cm="1">
        <f t="array" ref="BL102">INDEX(Crops[],BedPlan[[#This Row],[Chart Index]],BL$4,1)</f>
        <v>1</v>
      </c>
      <c r="BM102" cm="1">
        <f t="array" ref="BM102">INDEX(Crops[],BedPlan[[#This Row],[Chart Index]],BM$4,1)</f>
        <v>1</v>
      </c>
      <c r="BN102" s="32" cm="1">
        <f t="array" ref="BN102">INDEX(Crops[],BedPlan[[#This Row],[Chart Index]],BN$4,1)*BedPlan[[#This Row],[Full Bed Equivalent]]</f>
        <v>900</v>
      </c>
      <c r="BO102" t="str" cm="1">
        <f t="array" ref="BO102">IF(INDEX(Crops[],BedPlan[[#This Row],[Chart Index]],BO$4,1)=0,"",INDEX(Crops[],BedPlan[[#This Row],[Chart Index]],BO$4,1))</f>
        <v>OH</v>
      </c>
      <c r="BP102">
        <f>MATCH(BedPlan[[#This Row],[Crop]],Crops[Identifier],FALSE)</f>
        <v>254</v>
      </c>
      <c r="BQ102" t="str" cm="1">
        <f t="array" ref="BQ102">INDEX(Crops[],BedPlan[[#This Row],[Chart Index]],BQ$4,1)</f>
        <v>6r</v>
      </c>
      <c r="BR102" t="str" cm="1">
        <f t="array" ref="BR102">INDEX(Crops[],BedPlan[[#This Row],[Chart Index]],BR$4,1)</f>
        <v>Sp</v>
      </c>
      <c r="BS102" s="32">
        <f>BedPlan[[#This Row],[Expected Beginning of Harvest]]-DATE(2023,1,1)</f>
        <v>846</v>
      </c>
      <c r="BT102">
        <f>BedPlan[[#This Row],[Expected End of Harvest]]-BedPlan[[#This Row],[Expected Beginning of Harvest]]</f>
        <v>21</v>
      </c>
      <c r="BU102" t="str" cm="1">
        <f t="array" ref="BU102">INDEX(Crops[],BedPlan[[#This Row],[Chart Index]],BU$4,1)</f>
        <v>Root</v>
      </c>
      <c r="BV102" cm="1">
        <f t="array" ref="BV102">INDEX(Crops[],BedPlan[[#This Row],[Chart Index]],BV$4,1)</f>
        <v>1</v>
      </c>
      <c r="BW102" t="str" cm="1">
        <f t="array" ref="BW102">INDEX(Crops[],BedPlan[[#This Row],[Chart Index]],BW$4,1)</f>
        <v>AMAP</v>
      </c>
      <c r="BX102" cm="1">
        <f t="array" ref="BX102">INDEX(Crops[],BedPlan[[#This Row],[Chart Index]],BX$4,1)</f>
        <v>0</v>
      </c>
      <c r="BY102" cm="1">
        <f t="array" ref="BY102">INDEX(Crops[],BedPlan[[#This Row],[Chart Index]],BY$4,1)</f>
        <v>0</v>
      </c>
      <c r="BZ102" s="49" t="str" cm="1">
        <f t="array" ref="BZ102">IFERROR(INDEX(Crops[],BedPlan[[#This Row],[Chart Index]],BZ$4,1)*BedPlan[[#This Row],[Full Bed Equivalent]],"")</f>
        <v/>
      </c>
      <c r="CA102" cm="1">
        <f t="array" ref="CA102">INDEX(Crops[],BedPlan[[#This Row],[Chart Index]],CA$4,1)</f>
        <v>0</v>
      </c>
      <c r="CB102" cm="1">
        <f t="array" ref="CB102">INDEX(Crops[],BedPlan[[#This Row],[Chart Index]],CB$4,1)</f>
        <v>0</v>
      </c>
      <c r="CC102" s="49" t="str" cm="1">
        <f t="array" ref="CC102">IFERROR(INDEX(Crops[],BedPlan[[#This Row],[Chart Index]],CC$4,1)*BedPlan[[#This Row],[Full Bed Equivalent]],"")</f>
        <v/>
      </c>
      <c r="CD102" cm="1">
        <f t="array" ref="CD102">INDEX(Crops[],BedPlan[[#This Row],[Chart Index]],CD$4,1)</f>
        <v>0</v>
      </c>
      <c r="CE102" cm="1">
        <f t="array" ref="CE102">IF(INDEX(Crops[],BedPlan[[#This Row],[Chart Index]],CE$4,1)="",0,INDEX(Crops[],BedPlan[[#This Row],[Chart Index]],CE$4,1))</f>
        <v>0</v>
      </c>
      <c r="CF102" s="49" t="str" cm="1">
        <f t="array" ref="CF102">IFERROR(INDEX(Crops[],BedPlan[[#This Row],[Chart Index]],CF$4,1)*BedPlan[[#This Row],[Full Bed Equivalent]],"")</f>
        <v/>
      </c>
      <c r="CG102" cm="1">
        <f t="array" ref="CG102">IF(INDEX(Crops[],BedPlan[[#This Row],[Chart Index]],CG$4,1)="",0,INDEX(Crops[],BedPlan[[#This Row],[Chart Index]],CG$4,1))</f>
        <v>1.3</v>
      </c>
      <c r="CH102" cm="1">
        <f t="array" ref="CH102">IF(INDEX(Crops[],BedPlan[[#This Row],[Chart Index]],CH$4,1)="",0,INDEX(Crops[],BedPlan[[#This Row],[Chart Index]],CH$4,1))</f>
        <v>7</v>
      </c>
      <c r="CI102" t="str" cm="1">
        <f t="array" ref="CI102">INDEX(Crops[],BedPlan[[#This Row],[Chart Index]],CI$4,1)</f>
        <v>Field</v>
      </c>
      <c r="CJ102" s="30" t="str">
        <f>_xlfn.TEXTJOIN(CHAR(10),FALSE,BedPlan[[#This Row],[Name]],BedPlan[[#This Row],[Variety]],BedPlan[[#This Row],[Company]])</f>
        <v xml:space="preserve">Radish
Radish Mix
</v>
      </c>
      <c r="CK102" s="32">
        <f>MAX( 0, MIN(BedPlan[[#This Row],[Expected End of Harvest]], EOMONTH(CK$4, 0)) - MAX(BedPlan[[#This Row],[Beginning of Harvest]], CK$4) + 1 )</f>
        <v>0</v>
      </c>
      <c r="CL102">
        <f>MAX( 0, MIN(BedPlan[[#This Row],[Expected End of Harvest]], EOMONTH(CL$4, 0)) - MAX(BedPlan[[#This Row],[Beginning of Harvest]], CL$4) + 1 )</f>
        <v>0</v>
      </c>
      <c r="CM102">
        <f>MAX( 0, MIN(BedPlan[[#This Row],[Expected End of Harvest]], EOMONTH(CM$4, 0)) - MAX(BedPlan[[#This Row],[Beginning of Harvest]], CM$4) + 1 )</f>
        <v>0</v>
      </c>
      <c r="CN102">
        <f>MAX( 0, MIN(BedPlan[[#This Row],[Expected End of Harvest]], EOMONTH(CN$4, 0)) - MAX(BedPlan[[#This Row],[Beginning of Harvest]], CN$4) + 1 )</f>
        <v>5</v>
      </c>
      <c r="CO102">
        <f>MAX( 0, MIN(BedPlan[[#This Row],[Expected End of Harvest]], EOMONTH(CO$4, 0)) - MAX(BedPlan[[#This Row],[Beginning of Harvest]], CO$4) + 1 )</f>
        <v>17</v>
      </c>
      <c r="CP102">
        <f>MAX( 0, MIN(BedPlan[[#This Row],[Expected End of Harvest]], EOMONTH(CP$4, 0)) - MAX(BedPlan[[#This Row],[Beginning of Harvest]], CP$4) + 1 )</f>
        <v>0</v>
      </c>
      <c r="CQ102">
        <f>MAX( 0, MIN(BedPlan[[#This Row],[Expected End of Harvest]], EOMONTH(CQ$4, 0)) - MAX(BedPlan[[#This Row],[Beginning of Harvest]], CQ$4) + 1 )</f>
        <v>0</v>
      </c>
      <c r="CR102">
        <f>MAX( 0, MIN(BedPlan[[#This Row],[Expected End of Harvest]], EOMONTH(CR$4, 0)) - MAX(BedPlan[[#This Row],[Beginning of Harvest]], CR$4) + 1 )</f>
        <v>0</v>
      </c>
      <c r="CS102">
        <f>MAX( 0, MIN(BedPlan[[#This Row],[Expected End of Harvest]], EOMONTH(CS$4, 0)) - MAX(BedPlan[[#This Row],[Beginning of Harvest]], CS$4) + 1 )</f>
        <v>0</v>
      </c>
      <c r="CT102">
        <f>MAX( 0, MIN(BedPlan[[#This Row],[Expected End of Harvest]], EOMONTH(CT$4, 0)) - MAX(BedPlan[[#This Row],[Beginning of Harvest]], CT$4) + 1 )</f>
        <v>0</v>
      </c>
      <c r="CU102">
        <f>MAX( 0, MIN(BedPlan[[#This Row],[Expected End of Harvest]], EOMONTH(CU$4, 0)) - MAX(BedPlan[[#This Row],[Beginning of Harvest]], CU$4) + 1 )</f>
        <v>0</v>
      </c>
      <c r="CV102">
        <f>MAX( 0, MIN(BedPlan[[#This Row],[Expected End of Harvest]], EOMONTH(CV$4, 0)) - MAX(BedPlan[[#This Row],[Beginning of Harvest]], CV$4) + 1 )</f>
        <v>0</v>
      </c>
      <c r="CW102">
        <f>MAX( 0, MIN(BedPlan[[#This Row],[Expected End of Harvest]], EOMONTH(CW$4, 0)) - MAX(BedPlan[[#This Row],[Beginning of Harvest]], CW$4) + 1 )</f>
        <v>0</v>
      </c>
      <c r="CX102">
        <f>MAX( 0, MIN(BedPlan[[#This Row],[Expected End of Harvest]], EOMONTH(CX$4, 0)) - MAX(BedPlan[[#This Row],[Beginning of Harvest]], CX$4) + 1 )</f>
        <v>0</v>
      </c>
      <c r="CY102">
        <f>MAX( 0, MIN(BedPlan[[#This Row],[Expected End of Harvest]], EOMONTH(CY$4, 0)) - MAX(BedPlan[[#This Row],[Beginning of Harvest]], CY$4) + 1 )</f>
        <v>0</v>
      </c>
      <c r="CZ102">
        <f>MAX( 0, MIN(BedPlan[[#This Row],[Expected End of Harvest]], EOMONTH(CZ$4, 0)) - MAX(BedPlan[[#This Row],[Beginning of Harvest]], CZ$4) + 1 )</f>
        <v>0</v>
      </c>
      <c r="DA102">
        <f>MAX( 0, MIN(BedPlan[[#This Row],[Expected End of Harvest]], EOMONTH(DA$4, 0)) - MAX(BedPlan[[#This Row],[Beginning of Harvest]], DA$4) + 1 )</f>
        <v>0</v>
      </c>
      <c r="DB102">
        <f>MAX( 0, MIN(BedPlan[[#This Row],[Expected End of Harvest]], EOMONTH(DB$4, 0)) - MAX(BedPlan[[#This Row],[Beginning of Harvest]], DB$4) + 1 )</f>
        <v>0</v>
      </c>
      <c r="DC102">
        <f>MAX( 0, MIN(BedPlan[[#This Row],[Expected End of Harvest]], EOMONTH(DC$4, 0)) - MAX(BedPlan[[#This Row],[Beginning of Harvest]], DC$4) + 1 )</f>
        <v>0</v>
      </c>
      <c r="DD102">
        <f>MAX( 0, MIN(BedPlan[[#This Row],[Expected End of Harvest]], EOMONTH(DD$4, 0)) - MAX(BedPlan[[#This Row],[Beginning of Harvest]], DD$4) + 1 )</f>
        <v>0</v>
      </c>
      <c r="DE102">
        <f>MAX( 0, MIN(BedPlan[[#This Row],[Expected End of Harvest]], EOMONTH(DE$4, 0)) - MAX(BedPlan[[#This Row],[Beginning of Harvest]], DE$4) + 1 )</f>
        <v>0</v>
      </c>
      <c r="DF102">
        <f>MAX( 0, MIN(BedPlan[[#This Row],[Expected End of Harvest]], EOMONTH(DF$4, 0)) - MAX(BedPlan[[#This Row],[Beginning of Harvest]], DF$4) + 1 )</f>
        <v>0</v>
      </c>
      <c r="DG102">
        <f>MAX( 0, MIN(BedPlan[[#This Row],[Expected End of Harvest]], EOMONTH(DG$4, 0)) - MAX(BedPlan[[#This Row],[Beginning of Harvest]], DG$4) + 1 )</f>
        <v>0</v>
      </c>
      <c r="DH102">
        <f>MAX( 0, MIN(BedPlan[[#This Row],[Expected End of Harvest]], EOMONTH(DH$4, 0)) - MAX(BedPlan[[#This Row],[Beginning of Harvest]], DH$4) + 1 )</f>
        <v>0</v>
      </c>
      <c r="DI102" s="257" cm="1">
        <f t="array" ref="DI102">BedPlan[[#This Row],[Harvest Days January 2025]]/SUM(BedPlan[[#This Row],[Harvest Days January 2025]:[Harvest Days December 2026]])*BedPlan[[#This Row],[Revenue]:[Revenue]]</f>
        <v>0</v>
      </c>
      <c r="DJ102" s="257" cm="1">
        <f t="array" ref="DJ102">BedPlan[[#This Row],[Harvest Days February 2025]]/SUM(BedPlan[[#This Row],[Harvest Days January 2025]:[Harvest Days December 2026]])*BedPlan[[#This Row],[Revenue]:[Revenue]]</f>
        <v>0</v>
      </c>
      <c r="DK102" s="257" cm="1">
        <f t="array" ref="DK102">BedPlan[[#This Row],[Harvest Days March 2025]]/SUM(BedPlan[[#This Row],[Harvest Days January 2025]:[Harvest Days December 2026]])*BedPlan[[#This Row],[Revenue]:[Revenue]]</f>
        <v>0</v>
      </c>
      <c r="DL102" s="257" cm="1">
        <f t="array" ref="DL102">BedPlan[[#This Row],[Harvest Days April 2025]]/SUM(BedPlan[[#This Row],[Harvest Days January 2025]:[Harvest Days December 2026]])*BedPlan[[#This Row],[Revenue]:[Revenue]]</f>
        <v>21.30681818181818</v>
      </c>
      <c r="DM102" s="257" cm="1">
        <f t="array" ref="DM102">BedPlan[[#This Row],[Harvest Days May 2025]]/SUM(BedPlan[[#This Row],[Harvest Days January 2025]:[Harvest Days December 2026]])*BedPlan[[#This Row],[Revenue]:[Revenue]]</f>
        <v>72.443181818181813</v>
      </c>
      <c r="DN102" s="257" cm="1">
        <f t="array" ref="DN102">BedPlan[[#This Row],[Harvest Days June 2025]]/SUM(BedPlan[[#This Row],[Harvest Days January 2025]:[Harvest Days December 2026]])*BedPlan[[#This Row],[Revenue]:[Revenue]]</f>
        <v>0</v>
      </c>
      <c r="DO102" s="257" cm="1">
        <f t="array" ref="DO102">BedPlan[[#This Row],[Harvest Days July 2025]]/SUM(BedPlan[[#This Row],[Harvest Days January 2025]:[Harvest Days December 2026]])*BedPlan[[#This Row],[Revenue]:[Revenue]]</f>
        <v>0</v>
      </c>
      <c r="DP102" s="257" cm="1">
        <f t="array" ref="DP102">BedPlan[[#This Row],[Harvest Days August 2025]]/SUM(BedPlan[[#This Row],[Harvest Days January 2025]:[Harvest Days December 2026]])*BedPlan[[#This Row],[Revenue]:[Revenue]]</f>
        <v>0</v>
      </c>
      <c r="DQ102" s="257" cm="1">
        <f t="array" ref="DQ102">BedPlan[[#This Row],[Harvest Days September 2025]]/SUM(BedPlan[[#This Row],[Harvest Days January 2025]:[Harvest Days December 2026]])*BedPlan[[#This Row],[Revenue]:[Revenue]]</f>
        <v>0</v>
      </c>
      <c r="DR102" s="257" cm="1">
        <f t="array" ref="DR102">BedPlan[[#This Row],[Harvest Days October 2025]]/SUM(BedPlan[[#This Row],[Harvest Days January 2025]:[Harvest Days December 2026]])*BedPlan[[#This Row],[Revenue]:[Revenue]]</f>
        <v>0</v>
      </c>
      <c r="DS102" s="257" cm="1">
        <f t="array" ref="DS102">BedPlan[[#This Row],[Harvest Days November 2025]]/SUM(BedPlan[[#This Row],[Harvest Days January 2025]:[Harvest Days December 2026]])*BedPlan[[#This Row],[Revenue]:[Revenue]]</f>
        <v>0</v>
      </c>
      <c r="DT102" s="257" cm="1">
        <f t="array" ref="DT102">BedPlan[[#This Row],[Harvest Days December 2025]]/SUM(BedPlan[[#This Row],[Harvest Days January 2025]:[Harvest Days December 2026]])*BedPlan[[#This Row],[Revenue]:[Revenue]]</f>
        <v>0</v>
      </c>
      <c r="DU102" s="257" cm="1">
        <f t="array" ref="DU102">BedPlan[[#This Row],[Harvest Days January 2026]]/SUM(BedPlan[[#This Row],[Harvest Days January 2025]:[Harvest Days December 2026]])*BedPlan[[#This Row],[Revenue]:[Revenue]]</f>
        <v>0</v>
      </c>
      <c r="DV102" s="257" cm="1">
        <f t="array" ref="DV102">BedPlan[[#This Row],[Harvest Days February 2026]]/SUM(BedPlan[[#This Row],[Harvest Days January 2025]:[Harvest Days December 2026]])*BedPlan[[#This Row],[Revenue]:[Revenue]]</f>
        <v>0</v>
      </c>
      <c r="DW102" s="257" cm="1">
        <f t="array" ref="DW102">BedPlan[[#This Row],[Harvest Days March 2026]]/SUM(BedPlan[[#This Row],[Harvest Days January 2025]:[Harvest Days December 2026]])*BedPlan[[#This Row],[Revenue]:[Revenue]]</f>
        <v>0</v>
      </c>
      <c r="DX102" s="257" cm="1">
        <f t="array" ref="DX102">BedPlan[[#This Row],[Harvest Days April 2026]]/SUM(BedPlan[[#This Row],[Harvest Days January 2025]:[Harvest Days December 2026]])*BedPlan[[#This Row],[Revenue]:[Revenue]]</f>
        <v>0</v>
      </c>
      <c r="DY102" s="257" cm="1">
        <f t="array" ref="DY102">BedPlan[[#This Row],[Harvest Days May 2026]]/SUM(BedPlan[[#This Row],[Harvest Days January 2025]:[Harvest Days December 2026]])*BedPlan[[#This Row],[Revenue]:[Revenue]]</f>
        <v>0</v>
      </c>
      <c r="DZ102" s="257" cm="1">
        <f t="array" ref="DZ102">BedPlan[[#This Row],[Harvest Days June 2026]]/SUM(BedPlan[[#This Row],[Harvest Days January 2025]:[Harvest Days December 2026]])*BedPlan[[#This Row],[Revenue]:[Revenue]]</f>
        <v>0</v>
      </c>
      <c r="EA102" s="257" cm="1">
        <f t="array" ref="EA102">BedPlan[[#This Row],[Harvest Days July 2026]]/SUM(BedPlan[[#This Row],[Harvest Days January 2025]:[Harvest Days December 2026]])*BedPlan[[#This Row],[Revenue]:[Revenue]]</f>
        <v>0</v>
      </c>
      <c r="EB102" s="257" cm="1">
        <f t="array" ref="EB102">BedPlan[[#This Row],[Harvest Days August 2026]]/SUM(BedPlan[[#This Row],[Harvest Days January 2025]:[Harvest Days December 2026]])*BedPlan[[#This Row],[Revenue]:[Revenue]]</f>
        <v>0</v>
      </c>
      <c r="EC102" s="257" cm="1">
        <f t="array" ref="EC102">BedPlan[[#This Row],[Harvest Days September 2026]]/SUM(BedPlan[[#This Row],[Harvest Days January 2025]:[Harvest Days December 2026]])*BedPlan[[#This Row],[Revenue]:[Revenue]]</f>
        <v>0</v>
      </c>
      <c r="ED102" s="257" cm="1">
        <f t="array" ref="ED102">BedPlan[[#This Row],[Harvest Days October 2026]]/SUM(BedPlan[[#This Row],[Harvest Days January 2025]:[Harvest Days December 2026]])*BedPlan[[#This Row],[Revenue]:[Revenue]]</f>
        <v>0</v>
      </c>
      <c r="EE102" s="257" cm="1">
        <f t="array" ref="EE102">BedPlan[[#This Row],[Harvest Days November 2026]]/SUM(BedPlan[[#This Row],[Harvest Days January 2025]:[Harvest Days December 2026]])*BedPlan[[#This Row],[Revenue]:[Revenue]]</f>
        <v>0</v>
      </c>
      <c r="EF102" s="257" cm="1">
        <f t="array" ref="EF102">BedPlan[[#This Row],[Harvest Days December 2026]]/SUM(BedPlan[[#This Row],[Harvest Days January 2025]:[Harvest Days December 2026]])*BedPlan[[#This Row],[Revenue]:[Revenue]]</f>
        <v>0</v>
      </c>
      <c r="EG102" t="b">
        <f>SUM(BedPlan[[#This Row],[Revenue January 2025]:[Revenue December 2026]])=BedPlan[[#This Row],[Revenue]]</f>
        <v>1</v>
      </c>
      <c r="EH102" s="30" cm="1">
        <f t="array" ref="EH102">INDEX(Crops[],BedPlan[[#This Row],[Chart Index]],EH$4,1)*BedPlan[[#This Row],['# Of Beds]]</f>
        <v>31.25</v>
      </c>
      <c r="EI102" s="30" t="str" cm="1">
        <f t="array" ref="EI102">INDEX(Crops[],BedPlan[[#This Row],[Chart Index]],EI$4,1)</f>
        <v>Bunch</v>
      </c>
      <c r="EJ102" s="30" t="str" cm="1">
        <f t="array" ref="EJ102">INDEX(Crops[],BedPlan[[#This Row],[Chart Index]],EJ$4,1)</f>
        <v>Mature Root</v>
      </c>
      <c r="EK102" s="30" t="str">
        <f>BedPlan[[#This Row],[Name]]&amp;" "&amp;BedPlan[[#This Row],[Product]]&amp; " - " &amp;BedPlan[[#This Row],[Unit]]</f>
        <v>Radish Mature Root - Bunch</v>
      </c>
      <c r="EL102" s="33" cm="1">
        <f t="array" ref="EL102">BedPlan[[#This Row],[Harvest Days January 2025]]/SUM(BedPlan[[#This Row],[Harvest Days January 2025]:[Harvest Days December 2026]])*BedPlan[[#This Row],[Yield]:[Yield]]</f>
        <v>0</v>
      </c>
      <c r="EM102" s="33" cm="1">
        <f t="array" ref="EM102">BedPlan[[#This Row],[Harvest Days February 2025]]/SUM(BedPlan[[#This Row],[Harvest Days January 2025]:[Harvest Days December 2026]])*BedPlan[[#This Row],[Yield]:[Yield]]</f>
        <v>0</v>
      </c>
      <c r="EN102" s="33" cm="1">
        <f t="array" ref="EN102">BedPlan[[#This Row],[Harvest Days March 2025]]/SUM(BedPlan[[#This Row],[Harvest Days January 2025]:[Harvest Days December 2026]])*BedPlan[[#This Row],[Yield]:[Yield]]</f>
        <v>0</v>
      </c>
      <c r="EO102" s="33" cm="1">
        <f t="array" ref="EO102">BedPlan[[#This Row],[Harvest Days April 2025]]/SUM(BedPlan[[#This Row],[Harvest Days January 2025]:[Harvest Days December 2026]])*BedPlan[[#This Row],[Yield]:[Yield]]</f>
        <v>7.1022727272727266</v>
      </c>
      <c r="EP102" s="33" cm="1">
        <f t="array" ref="EP102">BedPlan[[#This Row],[Harvest Days May 2025]]/SUM(BedPlan[[#This Row],[Harvest Days January 2025]:[Harvest Days December 2026]])*BedPlan[[#This Row],[Yield]:[Yield]]</f>
        <v>24.147727272727273</v>
      </c>
      <c r="EQ102" s="33" cm="1">
        <f t="array" ref="EQ102">BedPlan[[#This Row],[Harvest Days June 2025]]/SUM(BedPlan[[#This Row],[Harvest Days January 2025]:[Harvest Days December 2026]])*BedPlan[[#This Row],[Yield]:[Yield]]</f>
        <v>0</v>
      </c>
      <c r="ER102" s="33" cm="1">
        <f t="array" ref="ER102">BedPlan[[#This Row],[Harvest Days July 2025]]/SUM(BedPlan[[#This Row],[Harvest Days January 2025]:[Harvest Days December 2026]])*BedPlan[[#This Row],[Yield]:[Yield]]</f>
        <v>0</v>
      </c>
      <c r="ES102" s="33" cm="1">
        <f t="array" ref="ES102">BedPlan[[#This Row],[Harvest Days August 2025]]/SUM(BedPlan[[#This Row],[Harvest Days January 2025]:[Harvest Days December 2026]])*BedPlan[[#This Row],[Yield]:[Yield]]</f>
        <v>0</v>
      </c>
      <c r="ET102" s="33" cm="1">
        <f t="array" ref="ET102">BedPlan[[#This Row],[Harvest Days September 2025]]/SUM(BedPlan[[#This Row],[Harvest Days January 2025]:[Harvest Days December 2026]])*BedPlan[[#This Row],[Yield]:[Yield]]</f>
        <v>0</v>
      </c>
      <c r="EU102" s="33" cm="1">
        <f t="array" ref="EU102">BedPlan[[#This Row],[Harvest Days October 2025]]/SUM(BedPlan[[#This Row],[Harvest Days January 2025]:[Harvest Days December 2026]])*BedPlan[[#This Row],[Yield]:[Yield]]</f>
        <v>0</v>
      </c>
      <c r="EV102" s="33" cm="1">
        <f t="array" ref="EV102">BedPlan[[#This Row],[Harvest Days November 2025]]/SUM(BedPlan[[#This Row],[Harvest Days January 2025]:[Harvest Days December 2026]])*BedPlan[[#This Row],[Yield]:[Yield]]</f>
        <v>0</v>
      </c>
      <c r="EW102" s="33" cm="1">
        <f t="array" ref="EW102">BedPlan[[#This Row],[Harvest Days December 2025]]/SUM(BedPlan[[#This Row],[Harvest Days January 2025]:[Harvest Days December 2026]])*BedPlan[[#This Row],[Yield]:[Yield]]</f>
        <v>0</v>
      </c>
    </row>
    <row r="103" spans="1:153" ht="15.75" customHeight="1">
      <c r="A103" s="191" t="s">
        <v>1726</v>
      </c>
      <c r="B103" s="240" t="s">
        <v>2755</v>
      </c>
      <c r="C103" t="s">
        <v>1437</v>
      </c>
      <c r="D103" s="226" cm="1">
        <f t="array" ref="D103">INDEX(Crops[],BedPlan[[#This Row],[Chart Index]],D$4,1)*BedPlan[[#This Row],[Full Bed Equivalent]]</f>
        <v>15.625</v>
      </c>
      <c r="E103" s="226" cm="1">
        <f t="array" ref="E103">INDEX(Crops[],BedPlan[[#This Row],[Chart Index]],E$4,1)*BedPlan[[#This Row],[Full Bed Equivalent]]</f>
        <v>62.5</v>
      </c>
      <c r="F103" t="str">
        <f>UPPER(LEFT(BedPlan[[#This Row],[Crop]],3))</f>
        <v>RAD</v>
      </c>
      <c r="H103" s="143" t="str" cm="1">
        <f t="array" ref="H103">INDEX(Crops[],BedPlan[[#This Row],[Chart Index]],H$4,1)</f>
        <v>Radish</v>
      </c>
      <c r="I103" t="s">
        <v>1347</v>
      </c>
      <c r="K103" t="str" cm="1">
        <f t="array" ref="K103">IF(ISNUMBER(MATCH(BedPlan[[#This Row],[Variety]],SeedMixes[Name],)),_xlfn.TEXTJOIN(", ",TRUE,_xlfn._xlws.FILTER(SeedMixes[Variety &amp; Company],SeedMixes[Name]=BedPlan[[#This Row],[Variety]])),"")</f>
        <v>French Breakfast High Mowing, Pearl Johnny's, Sora High Mowing, Patricia High Mowing</v>
      </c>
      <c r="L103" s="33" cm="1">
        <f t="array" ref="L103">INDEX(Crops[],BedPlan[[#This Row],[Chart Index]],L$4,1)*BedPlan[[#This Row],[Full Bed Equivalent]]</f>
        <v>2340</v>
      </c>
      <c r="N103">
        <v>0.5</v>
      </c>
      <c r="O103">
        <f>MAX(BedPlan[[#This Row],['# Of Beds]],0.5)</f>
        <v>0.5</v>
      </c>
      <c r="P103" s="31">
        <f>IF(ISNUMBER(BedPlan[[#This Row],[Planned Greenhouse Start Date]]),BedPlan[[#This Row],[Planned Greenhouse Start Date]],BedPlan[[#This Row],[Planned TP or DS Date]])</f>
        <v>45748</v>
      </c>
      <c r="Q103" s="259" t="str">
        <f>IF(BedPlan[[#This Row],[Days in Cells]]=0,"",IFERROR(_xlfn.XLOOKUP(BedPlan[[#This Row],[Follows Crop]],BedPlan[Identifier],BedPlan[Expected End of Harvest]) + 1+BedPlan[[#This Row],[Follow Offset]],BedPlan[[#This Row],[Fixed Field Start Date]])-BedPlan[[#This Row],[Days in Cells]])</f>
        <v/>
      </c>
      <c r="R103" s="259"/>
      <c r="S103" s="259" t="str">
        <f>IF(ISNUMBER(BedPlan[[#This Row],[Actual Greenhouse Date]]),BedPlan[[#This Row],[Actual Greenhouse Date]],BedPlan[[#This Row],[Planned Greenhouse Start Date]])</f>
        <v/>
      </c>
      <c r="T103" s="259">
        <f>_xlfn.XLOOKUP(BedPlan[[#This Row],[Crop]],Crops[Identifier],Crops[Target Field Date])</f>
        <v>45748</v>
      </c>
      <c r="U103" s="260"/>
      <c r="V103" s="260"/>
      <c r="W10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103" s="259">
        <v>45777</v>
      </c>
      <c r="Y103" s="271">
        <f>BedPlan[[#This Row],[Actual TP or DS Date]]-BedPlan[[#This Row],[Planned TP or DS Date]]</f>
        <v>29</v>
      </c>
      <c r="Z103" s="259">
        <f>IF(ISNUMBER(BedPlan[[#This Row],[Actual TP or DS Date]]),BedPlan[[#This Row],[Actual TP or DS Date]],BedPlan[[#This Row],[Planned TP or DS Date]])</f>
        <v>45777</v>
      </c>
      <c r="AA103" s="259"/>
      <c r="AB103" s="259">
        <f>IF(ISNUMBER(BedPlan[[#This Row],[Greenhouse Start Date]]),BedPlan[[#This Row],[Greenhouse Start Date]]+BedPlan[[#This Row],[DTM]],BedPlan[[#This Row],[TP or DS Date]]+BedPlan[[#This Row],[DTM]])</f>
        <v>45809</v>
      </c>
      <c r="AC103" s="259"/>
      <c r="AD103" s="259">
        <f>IF(ISNUMBER(BedPlan[[#This Row],[Actual Beginning of Harvest]]),BedPlan[[#This Row],[Actual Beginning of Harvest]],BedPlan[[#This Row],[Expected Beginning of Harvest]])</f>
        <v>45809</v>
      </c>
      <c r="AE103" s="259">
        <f>BedPlan[[#This Row],[Expected Beginning of Harvest]]+BedPlan[[#This Row],[Harvest Window]]+BedPlan[[#This Row],[Additional Days of Harvest]]</f>
        <v>45830</v>
      </c>
      <c r="AF103" s="259"/>
      <c r="AG103" s="259"/>
      <c r="AH103" s="31" t="b">
        <f>IF(AND( BedPlan[[#This Row],[Expected End of Harvest]] &gt;= DATE(2025, 8, 1), BedPlan[[#This Row],[Beginning of Harvest]] &lt;= DATE(2025, 8, 31) ), TRUE, FALSE)</f>
        <v>0</v>
      </c>
      <c r="AI103" s="31"/>
      <c r="AJ103" s="31">
        <f>IF(ISNUMBER(BedPlan[[#This Row],[Actual End of Harvest]]),BedPlan[[#This Row],[Actual End of Harvest]],BedPlan[[#This Row],[Expected End of Harvest]])</f>
        <v>45830</v>
      </c>
      <c r="AK103" t="b">
        <f>OR(ISNUMBER(BedPlan[[#This Row],[Actual Greenhouse Date]]),ISNUMBER(BedPlan[[#This Row],[Actual TP or DS Date]]))</f>
        <v>1</v>
      </c>
      <c r="AL103" s="52" t="str">
        <f>IF(ISNUMBER(BedPlan[[#This Row],[Planned Greenhouse Start Date]]),OR(ISNUMBER(BedPlan[[#This Row],[Actual TP or DS Date]]),BedPlan[[#This Row],[Failed]]),"-")</f>
        <v>-</v>
      </c>
      <c r="AM103" t="b">
        <f>OR(ISNUMBER(BedPlan[[#This Row],[Actual End of Harvest]]),BedPlan[[#This Row],[Failed]])</f>
        <v>0</v>
      </c>
      <c r="AN103" t="b">
        <f>OR(BedPlan[[#This Row],[Harvest Done]],BedPlan[[#This Row],[Failed]],BedPlan[[#This Row],[Name]]="Tarp")</f>
        <v>0</v>
      </c>
      <c r="AO103" t="b">
        <v>1</v>
      </c>
      <c r="AP103" t="b">
        <v>1</v>
      </c>
      <c r="AQ103" t="s">
        <v>3214</v>
      </c>
      <c r="AR103" t="b">
        <v>1</v>
      </c>
      <c r="AS103" s="26">
        <f>IF(BedPlan[[#This Row],[Broadfork]],BedPlan[[#This Row],[Actual TP or DS Date]],"")</f>
        <v>45777</v>
      </c>
      <c r="AT103" s="26">
        <f>IF(BedPlan[[#This Row],[Tilther]],BedPlan[[#This Row],[Actual TP or DS Date]],"")</f>
        <v>45777</v>
      </c>
      <c r="AU103" s="26">
        <f>IF(NOT(ISBLANK(BedPlan[[#This Row],[Amend]])),BedPlan[[#This Row],[Actual TP or DS Date]],"")</f>
        <v>45777</v>
      </c>
      <c r="AV103" s="26">
        <f>IF(BedPlan[[#This Row],[Row Cover]],BedPlan[[#This Row],[Actual TP or DS Date]],"")</f>
        <v>45777</v>
      </c>
      <c r="AW103" t="s">
        <v>3229</v>
      </c>
      <c r="AX103" s="26">
        <v>45826</v>
      </c>
      <c r="AZ103" s="26"/>
      <c r="BB103" s="26"/>
      <c r="BC103" s="231" cm="1">
        <f t="array" ref="BC103">INDEX(Crops[],BedPlan[[#This Row],[Chart Index]],BC$4,1)*BedPlan[[#This Row],[Full Bed Equivalent]]</f>
        <v>187.5</v>
      </c>
      <c r="BD103" s="231" cm="1">
        <f t="array" ref="BD103">INDEX(Crops[],BedPlan[[#This Row],[Chart Index]],BD$4,1)*BedPlan[[#This Row],[Full Bed Equivalent]]</f>
        <v>3.5377358490566038</v>
      </c>
      <c r="BE103" cm="1">
        <f t="array" ref="BE103">INDEX(Crops[],BedPlan[[#This Row],[Chart Index]],BE$4,1)+BedPlan[[#This Row],[Additional Days in Cells]]+BedPlan[[#This Row],[Additional Days In Field]]</f>
        <v>32</v>
      </c>
      <c r="BG103" cm="1">
        <f t="array" ref="BG103">INDEX(Crops[],BedPlan[[#This Row],[Chart Index]],BG$4,1)</f>
        <v>21</v>
      </c>
      <c r="BH103" t="str">
        <f>IF(ISNUMBER(BedPlan[[#This Row],[Planned Greenhouse Start Date]]),"TP","DS")</f>
        <v>DS</v>
      </c>
      <c r="BI103">
        <f>BedPlan[[#This Row],['# Of Beds]]</f>
        <v>0.5</v>
      </c>
      <c r="BJ103" cm="1">
        <f t="array" ref="BJ103">INDEX(Crops[],BedPlan[[#This Row],[Chart Index]],BJ$4,1)</f>
        <v>0</v>
      </c>
      <c r="BK103" cm="1">
        <f t="array" ref="BK103">INDEX(Crops[],BedPlan[[#This Row],[Chart Index]],BK$4,1)</f>
        <v>6</v>
      </c>
      <c r="BL103" cm="1">
        <f t="array" ref="BL103">INDEX(Crops[],BedPlan[[#This Row],[Chart Index]],BL$4,1)</f>
        <v>1</v>
      </c>
      <c r="BM103" cm="1">
        <f t="array" ref="BM103">INDEX(Crops[],BedPlan[[#This Row],[Chart Index]],BM$4,1)</f>
        <v>1</v>
      </c>
      <c r="BN103" s="32" cm="1">
        <f t="array" ref="BN103">INDEX(Crops[],BedPlan[[#This Row],[Chart Index]],BN$4,1)*BedPlan[[#This Row],[Full Bed Equivalent]]</f>
        <v>1800</v>
      </c>
      <c r="BO103" t="str" cm="1">
        <f t="array" ref="BO103">IF(INDEX(Crops[],BedPlan[[#This Row],[Chart Index]],BO$4,1)=0,"",INDEX(Crops[],BedPlan[[#This Row],[Chart Index]],BO$4,1))</f>
        <v>OH</v>
      </c>
      <c r="BP103">
        <f>MATCH(BedPlan[[#This Row],[Crop]],Crops[Identifier],FALSE)</f>
        <v>254</v>
      </c>
      <c r="BQ103" t="str" cm="1">
        <f t="array" ref="BQ103">INDEX(Crops[],BedPlan[[#This Row],[Chart Index]],BQ$4,1)</f>
        <v>6r</v>
      </c>
      <c r="BR103" t="str" cm="1">
        <f t="array" ref="BR103">INDEX(Crops[],BedPlan[[#This Row],[Chart Index]],BR$4,1)</f>
        <v>Sp</v>
      </c>
      <c r="BS103" s="32">
        <f>BedPlan[[#This Row],[Expected Beginning of Harvest]]-DATE(2023,1,1)</f>
        <v>882</v>
      </c>
      <c r="BT103">
        <f>BedPlan[[#This Row],[Expected End of Harvest]]-BedPlan[[#This Row],[Expected Beginning of Harvest]]</f>
        <v>21</v>
      </c>
      <c r="BU103" t="str" cm="1">
        <f t="array" ref="BU103">INDEX(Crops[],BedPlan[[#This Row],[Chart Index]],BU$4,1)</f>
        <v>Root</v>
      </c>
      <c r="BV103" cm="1">
        <f t="array" ref="BV103">INDEX(Crops[],BedPlan[[#This Row],[Chart Index]],BV$4,1)</f>
        <v>1</v>
      </c>
      <c r="BW103" t="str" cm="1">
        <f t="array" ref="BW103">INDEX(Crops[],BedPlan[[#This Row],[Chart Index]],BW$4,1)</f>
        <v>AMAP</v>
      </c>
      <c r="BX103" cm="1">
        <f t="array" ref="BX103">INDEX(Crops[],BedPlan[[#This Row],[Chart Index]],BX$4,1)</f>
        <v>0</v>
      </c>
      <c r="BY103" cm="1">
        <f t="array" ref="BY103">INDEX(Crops[],BedPlan[[#This Row],[Chart Index]],BY$4,1)</f>
        <v>0</v>
      </c>
      <c r="BZ103" s="49" t="str" cm="1">
        <f t="array" ref="BZ103">IFERROR(INDEX(Crops[],BedPlan[[#This Row],[Chart Index]],BZ$4,1)*BedPlan[[#This Row],[Full Bed Equivalent]],"")</f>
        <v/>
      </c>
      <c r="CA103" cm="1">
        <f t="array" ref="CA103">INDEX(Crops[],BedPlan[[#This Row],[Chart Index]],CA$4,1)</f>
        <v>0</v>
      </c>
      <c r="CB103" cm="1">
        <f t="array" ref="CB103">INDEX(Crops[],BedPlan[[#This Row],[Chart Index]],CB$4,1)</f>
        <v>0</v>
      </c>
      <c r="CC103" s="49" t="str" cm="1">
        <f t="array" ref="CC103">IFERROR(INDEX(Crops[],BedPlan[[#This Row],[Chart Index]],CC$4,1)*BedPlan[[#This Row],[Full Bed Equivalent]],"")</f>
        <v/>
      </c>
      <c r="CD103" cm="1">
        <f t="array" ref="CD103">INDEX(Crops[],BedPlan[[#This Row],[Chart Index]],CD$4,1)</f>
        <v>0</v>
      </c>
      <c r="CE103" cm="1">
        <f t="array" ref="CE103">IF(INDEX(Crops[],BedPlan[[#This Row],[Chart Index]],CE$4,1)="",0,INDEX(Crops[],BedPlan[[#This Row],[Chart Index]],CE$4,1))</f>
        <v>0</v>
      </c>
      <c r="CF103" s="49" t="str" cm="1">
        <f t="array" ref="CF103">IFERROR(INDEX(Crops[],BedPlan[[#This Row],[Chart Index]],CF$4,1)*BedPlan[[#This Row],[Full Bed Equivalent]],"")</f>
        <v/>
      </c>
      <c r="CG103" cm="1">
        <f t="array" ref="CG103">IF(INDEX(Crops[],BedPlan[[#This Row],[Chart Index]],CG$4,1)="",0,INDEX(Crops[],BedPlan[[#This Row],[Chart Index]],CG$4,1))</f>
        <v>1.3</v>
      </c>
      <c r="CH103" cm="1">
        <f t="array" ref="CH103">IF(INDEX(Crops[],BedPlan[[#This Row],[Chart Index]],CH$4,1)="",0,INDEX(Crops[],BedPlan[[#This Row],[Chart Index]],CH$4,1))</f>
        <v>7</v>
      </c>
      <c r="CI103" t="str" cm="1">
        <f t="array" ref="CI103">INDEX(Crops[],BedPlan[[#This Row],[Chart Index]],CI$4,1)</f>
        <v>Field</v>
      </c>
      <c r="CJ103" s="30" t="str">
        <f>_xlfn.TEXTJOIN(CHAR(10),FALSE,BedPlan[[#This Row],[Name]],BedPlan[[#This Row],[Variety]],BedPlan[[#This Row],[Company]])</f>
        <v xml:space="preserve">Radish
Radish Mix
</v>
      </c>
      <c r="CK103" s="32">
        <f>MAX( 0, MIN(BedPlan[[#This Row],[Expected End of Harvest]], EOMONTH(CK$4, 0)) - MAX(BedPlan[[#This Row],[Beginning of Harvest]], CK$4) + 1 )</f>
        <v>0</v>
      </c>
      <c r="CL103">
        <f>MAX( 0, MIN(BedPlan[[#This Row],[Expected End of Harvest]], EOMONTH(CL$4, 0)) - MAX(BedPlan[[#This Row],[Beginning of Harvest]], CL$4) + 1 )</f>
        <v>0</v>
      </c>
      <c r="CM103">
        <f>MAX( 0, MIN(BedPlan[[#This Row],[Expected End of Harvest]], EOMONTH(CM$4, 0)) - MAX(BedPlan[[#This Row],[Beginning of Harvest]], CM$4) + 1 )</f>
        <v>0</v>
      </c>
      <c r="CN103">
        <f>MAX( 0, MIN(BedPlan[[#This Row],[Expected End of Harvest]], EOMONTH(CN$4, 0)) - MAX(BedPlan[[#This Row],[Beginning of Harvest]], CN$4) + 1 )</f>
        <v>0</v>
      </c>
      <c r="CO103">
        <f>MAX( 0, MIN(BedPlan[[#This Row],[Expected End of Harvest]], EOMONTH(CO$4, 0)) - MAX(BedPlan[[#This Row],[Beginning of Harvest]], CO$4) + 1 )</f>
        <v>0</v>
      </c>
      <c r="CP103">
        <f>MAX( 0, MIN(BedPlan[[#This Row],[Expected End of Harvest]], EOMONTH(CP$4, 0)) - MAX(BedPlan[[#This Row],[Beginning of Harvest]], CP$4) + 1 )</f>
        <v>22</v>
      </c>
      <c r="CQ103">
        <f>MAX( 0, MIN(BedPlan[[#This Row],[Expected End of Harvest]], EOMONTH(CQ$4, 0)) - MAX(BedPlan[[#This Row],[Beginning of Harvest]], CQ$4) + 1 )</f>
        <v>0</v>
      </c>
      <c r="CR103">
        <f>MAX( 0, MIN(BedPlan[[#This Row],[Expected End of Harvest]], EOMONTH(CR$4, 0)) - MAX(BedPlan[[#This Row],[Beginning of Harvest]], CR$4) + 1 )</f>
        <v>0</v>
      </c>
      <c r="CS103">
        <f>MAX( 0, MIN(BedPlan[[#This Row],[Expected End of Harvest]], EOMONTH(CS$4, 0)) - MAX(BedPlan[[#This Row],[Beginning of Harvest]], CS$4) + 1 )</f>
        <v>0</v>
      </c>
      <c r="CT103">
        <f>MAX( 0, MIN(BedPlan[[#This Row],[Expected End of Harvest]], EOMONTH(CT$4, 0)) - MAX(BedPlan[[#This Row],[Beginning of Harvest]], CT$4) + 1 )</f>
        <v>0</v>
      </c>
      <c r="CU103">
        <f>MAX( 0, MIN(BedPlan[[#This Row],[Expected End of Harvest]], EOMONTH(CU$4, 0)) - MAX(BedPlan[[#This Row],[Beginning of Harvest]], CU$4) + 1 )</f>
        <v>0</v>
      </c>
      <c r="CV103">
        <f>MAX( 0, MIN(BedPlan[[#This Row],[Expected End of Harvest]], EOMONTH(CV$4, 0)) - MAX(BedPlan[[#This Row],[Beginning of Harvest]], CV$4) + 1 )</f>
        <v>0</v>
      </c>
      <c r="CW103">
        <f>MAX( 0, MIN(BedPlan[[#This Row],[Expected End of Harvest]], EOMONTH(CW$4, 0)) - MAX(BedPlan[[#This Row],[Beginning of Harvest]], CW$4) + 1 )</f>
        <v>0</v>
      </c>
      <c r="CX103">
        <f>MAX( 0, MIN(BedPlan[[#This Row],[Expected End of Harvest]], EOMONTH(CX$4, 0)) - MAX(BedPlan[[#This Row],[Beginning of Harvest]], CX$4) + 1 )</f>
        <v>0</v>
      </c>
      <c r="CY103">
        <f>MAX( 0, MIN(BedPlan[[#This Row],[Expected End of Harvest]], EOMONTH(CY$4, 0)) - MAX(BedPlan[[#This Row],[Beginning of Harvest]], CY$4) + 1 )</f>
        <v>0</v>
      </c>
      <c r="CZ103">
        <f>MAX( 0, MIN(BedPlan[[#This Row],[Expected End of Harvest]], EOMONTH(CZ$4, 0)) - MAX(BedPlan[[#This Row],[Beginning of Harvest]], CZ$4) + 1 )</f>
        <v>0</v>
      </c>
      <c r="DA103">
        <f>MAX( 0, MIN(BedPlan[[#This Row],[Expected End of Harvest]], EOMONTH(DA$4, 0)) - MAX(BedPlan[[#This Row],[Beginning of Harvest]], DA$4) + 1 )</f>
        <v>0</v>
      </c>
      <c r="DB103">
        <f>MAX( 0, MIN(BedPlan[[#This Row],[Expected End of Harvest]], EOMONTH(DB$4, 0)) - MAX(BedPlan[[#This Row],[Beginning of Harvest]], DB$4) + 1 )</f>
        <v>0</v>
      </c>
      <c r="DC103">
        <f>MAX( 0, MIN(BedPlan[[#This Row],[Expected End of Harvest]], EOMONTH(DC$4, 0)) - MAX(BedPlan[[#This Row],[Beginning of Harvest]], DC$4) + 1 )</f>
        <v>0</v>
      </c>
      <c r="DD103">
        <f>MAX( 0, MIN(BedPlan[[#This Row],[Expected End of Harvest]], EOMONTH(DD$4, 0)) - MAX(BedPlan[[#This Row],[Beginning of Harvest]], DD$4) + 1 )</f>
        <v>0</v>
      </c>
      <c r="DE103">
        <f>MAX( 0, MIN(BedPlan[[#This Row],[Expected End of Harvest]], EOMONTH(DE$4, 0)) - MAX(BedPlan[[#This Row],[Beginning of Harvest]], DE$4) + 1 )</f>
        <v>0</v>
      </c>
      <c r="DF103">
        <f>MAX( 0, MIN(BedPlan[[#This Row],[Expected End of Harvest]], EOMONTH(DF$4, 0)) - MAX(BedPlan[[#This Row],[Beginning of Harvest]], DF$4) + 1 )</f>
        <v>0</v>
      </c>
      <c r="DG103">
        <f>MAX( 0, MIN(BedPlan[[#This Row],[Expected End of Harvest]], EOMONTH(DG$4, 0)) - MAX(BedPlan[[#This Row],[Beginning of Harvest]], DG$4) + 1 )</f>
        <v>0</v>
      </c>
      <c r="DH103">
        <f>MAX( 0, MIN(BedPlan[[#This Row],[Expected End of Harvest]], EOMONTH(DH$4, 0)) - MAX(BedPlan[[#This Row],[Beginning of Harvest]], DH$4) + 1 )</f>
        <v>0</v>
      </c>
      <c r="DI103" s="257" cm="1">
        <f t="array" ref="DI103">BedPlan[[#This Row],[Harvest Days January 2025]]/SUM(BedPlan[[#This Row],[Harvest Days January 2025]:[Harvest Days December 2026]])*BedPlan[[#This Row],[Revenue]:[Revenue]]</f>
        <v>0</v>
      </c>
      <c r="DJ103" s="257" cm="1">
        <f t="array" ref="DJ103">BedPlan[[#This Row],[Harvest Days February 2025]]/SUM(BedPlan[[#This Row],[Harvest Days January 2025]:[Harvest Days December 2026]])*BedPlan[[#This Row],[Revenue]:[Revenue]]</f>
        <v>0</v>
      </c>
      <c r="DK103" s="257" cm="1">
        <f t="array" ref="DK103">BedPlan[[#This Row],[Harvest Days March 2025]]/SUM(BedPlan[[#This Row],[Harvest Days January 2025]:[Harvest Days December 2026]])*BedPlan[[#This Row],[Revenue]:[Revenue]]</f>
        <v>0</v>
      </c>
      <c r="DL103" s="257" cm="1">
        <f t="array" ref="DL103">BedPlan[[#This Row],[Harvest Days April 2025]]/SUM(BedPlan[[#This Row],[Harvest Days January 2025]:[Harvest Days December 2026]])*BedPlan[[#This Row],[Revenue]:[Revenue]]</f>
        <v>0</v>
      </c>
      <c r="DM103" s="257" cm="1">
        <f t="array" ref="DM103">BedPlan[[#This Row],[Harvest Days May 2025]]/SUM(BedPlan[[#This Row],[Harvest Days January 2025]:[Harvest Days December 2026]])*BedPlan[[#This Row],[Revenue]:[Revenue]]</f>
        <v>0</v>
      </c>
      <c r="DN103" s="257" cm="1">
        <f t="array" ref="DN103">BedPlan[[#This Row],[Harvest Days June 2025]]/SUM(BedPlan[[#This Row],[Harvest Days January 2025]:[Harvest Days December 2026]])*BedPlan[[#This Row],[Revenue]:[Revenue]]</f>
        <v>187.5</v>
      </c>
      <c r="DO103" s="257" cm="1">
        <f t="array" ref="DO103">BedPlan[[#This Row],[Harvest Days July 2025]]/SUM(BedPlan[[#This Row],[Harvest Days January 2025]:[Harvest Days December 2026]])*BedPlan[[#This Row],[Revenue]:[Revenue]]</f>
        <v>0</v>
      </c>
      <c r="DP103" s="257" cm="1">
        <f t="array" ref="DP103">BedPlan[[#This Row],[Harvest Days August 2025]]/SUM(BedPlan[[#This Row],[Harvest Days January 2025]:[Harvest Days December 2026]])*BedPlan[[#This Row],[Revenue]:[Revenue]]</f>
        <v>0</v>
      </c>
      <c r="DQ103" s="257" cm="1">
        <f t="array" ref="DQ103">BedPlan[[#This Row],[Harvest Days September 2025]]/SUM(BedPlan[[#This Row],[Harvest Days January 2025]:[Harvest Days December 2026]])*BedPlan[[#This Row],[Revenue]:[Revenue]]</f>
        <v>0</v>
      </c>
      <c r="DR103" s="257" cm="1">
        <f t="array" ref="DR103">BedPlan[[#This Row],[Harvest Days October 2025]]/SUM(BedPlan[[#This Row],[Harvest Days January 2025]:[Harvest Days December 2026]])*BedPlan[[#This Row],[Revenue]:[Revenue]]</f>
        <v>0</v>
      </c>
      <c r="DS103" s="257" cm="1">
        <f t="array" ref="DS103">BedPlan[[#This Row],[Harvest Days November 2025]]/SUM(BedPlan[[#This Row],[Harvest Days January 2025]:[Harvest Days December 2026]])*BedPlan[[#This Row],[Revenue]:[Revenue]]</f>
        <v>0</v>
      </c>
      <c r="DT103" s="257" cm="1">
        <f t="array" ref="DT103">BedPlan[[#This Row],[Harvest Days December 2025]]/SUM(BedPlan[[#This Row],[Harvest Days January 2025]:[Harvest Days December 2026]])*BedPlan[[#This Row],[Revenue]:[Revenue]]</f>
        <v>0</v>
      </c>
      <c r="DU103" s="257" cm="1">
        <f t="array" ref="DU103">BedPlan[[#This Row],[Harvest Days January 2026]]/SUM(BedPlan[[#This Row],[Harvest Days January 2025]:[Harvest Days December 2026]])*BedPlan[[#This Row],[Revenue]:[Revenue]]</f>
        <v>0</v>
      </c>
      <c r="DV103" s="257" cm="1">
        <f t="array" ref="DV103">BedPlan[[#This Row],[Harvest Days February 2026]]/SUM(BedPlan[[#This Row],[Harvest Days January 2025]:[Harvest Days December 2026]])*BedPlan[[#This Row],[Revenue]:[Revenue]]</f>
        <v>0</v>
      </c>
      <c r="DW103" s="257" cm="1">
        <f t="array" ref="DW103">BedPlan[[#This Row],[Harvest Days March 2026]]/SUM(BedPlan[[#This Row],[Harvest Days January 2025]:[Harvest Days December 2026]])*BedPlan[[#This Row],[Revenue]:[Revenue]]</f>
        <v>0</v>
      </c>
      <c r="DX103" s="257" cm="1">
        <f t="array" ref="DX103">BedPlan[[#This Row],[Harvest Days April 2026]]/SUM(BedPlan[[#This Row],[Harvest Days January 2025]:[Harvest Days December 2026]])*BedPlan[[#This Row],[Revenue]:[Revenue]]</f>
        <v>0</v>
      </c>
      <c r="DY103" s="257" cm="1">
        <f t="array" ref="DY103">BedPlan[[#This Row],[Harvest Days May 2026]]/SUM(BedPlan[[#This Row],[Harvest Days January 2025]:[Harvest Days December 2026]])*BedPlan[[#This Row],[Revenue]:[Revenue]]</f>
        <v>0</v>
      </c>
      <c r="DZ103" s="257" cm="1">
        <f t="array" ref="DZ103">BedPlan[[#This Row],[Harvest Days June 2026]]/SUM(BedPlan[[#This Row],[Harvest Days January 2025]:[Harvest Days December 2026]])*BedPlan[[#This Row],[Revenue]:[Revenue]]</f>
        <v>0</v>
      </c>
      <c r="EA103" s="257" cm="1">
        <f t="array" ref="EA103">BedPlan[[#This Row],[Harvest Days July 2026]]/SUM(BedPlan[[#This Row],[Harvest Days January 2025]:[Harvest Days December 2026]])*BedPlan[[#This Row],[Revenue]:[Revenue]]</f>
        <v>0</v>
      </c>
      <c r="EB103" s="257" cm="1">
        <f t="array" ref="EB103">BedPlan[[#This Row],[Harvest Days August 2026]]/SUM(BedPlan[[#This Row],[Harvest Days January 2025]:[Harvest Days December 2026]])*BedPlan[[#This Row],[Revenue]:[Revenue]]</f>
        <v>0</v>
      </c>
      <c r="EC103" s="257" cm="1">
        <f t="array" ref="EC103">BedPlan[[#This Row],[Harvest Days September 2026]]/SUM(BedPlan[[#This Row],[Harvest Days January 2025]:[Harvest Days December 2026]])*BedPlan[[#This Row],[Revenue]:[Revenue]]</f>
        <v>0</v>
      </c>
      <c r="ED103" s="257" cm="1">
        <f t="array" ref="ED103">BedPlan[[#This Row],[Harvest Days October 2026]]/SUM(BedPlan[[#This Row],[Harvest Days January 2025]:[Harvest Days December 2026]])*BedPlan[[#This Row],[Revenue]:[Revenue]]</f>
        <v>0</v>
      </c>
      <c r="EE103" s="257" cm="1">
        <f t="array" ref="EE103">BedPlan[[#This Row],[Harvest Days November 2026]]/SUM(BedPlan[[#This Row],[Harvest Days January 2025]:[Harvest Days December 2026]])*BedPlan[[#This Row],[Revenue]:[Revenue]]</f>
        <v>0</v>
      </c>
      <c r="EF103" s="257" cm="1">
        <f t="array" ref="EF103">BedPlan[[#This Row],[Harvest Days December 2026]]/SUM(BedPlan[[#This Row],[Harvest Days January 2025]:[Harvest Days December 2026]])*BedPlan[[#This Row],[Revenue]:[Revenue]]</f>
        <v>0</v>
      </c>
      <c r="EG103" t="b">
        <f>SUM(BedPlan[[#This Row],[Revenue January 2025]:[Revenue December 2026]])=BedPlan[[#This Row],[Revenue]]</f>
        <v>1</v>
      </c>
      <c r="EH103" s="30" cm="1">
        <f t="array" ref="EH103">INDEX(Crops[],BedPlan[[#This Row],[Chart Index]],EH$4,1)*BedPlan[[#This Row],['# Of Beds]]</f>
        <v>62.5</v>
      </c>
      <c r="EI103" s="30" t="str" cm="1">
        <f t="array" ref="EI103">INDEX(Crops[],BedPlan[[#This Row],[Chart Index]],EI$4,1)</f>
        <v>Bunch</v>
      </c>
      <c r="EJ103" s="30" t="str" cm="1">
        <f t="array" ref="EJ103">INDEX(Crops[],BedPlan[[#This Row],[Chart Index]],EJ$4,1)</f>
        <v>Mature Root</v>
      </c>
      <c r="EK103" s="30" t="str">
        <f>BedPlan[[#This Row],[Name]]&amp;" "&amp;BedPlan[[#This Row],[Product]]&amp; " - " &amp;BedPlan[[#This Row],[Unit]]</f>
        <v>Radish Mature Root - Bunch</v>
      </c>
      <c r="EL103" s="33" cm="1">
        <f t="array" ref="EL103">BedPlan[[#This Row],[Harvest Days January 2025]]/SUM(BedPlan[[#This Row],[Harvest Days January 2025]:[Harvest Days December 2026]])*BedPlan[[#This Row],[Yield]:[Yield]]</f>
        <v>0</v>
      </c>
      <c r="EM103" s="33" cm="1">
        <f t="array" ref="EM103">BedPlan[[#This Row],[Harvest Days February 2025]]/SUM(BedPlan[[#This Row],[Harvest Days January 2025]:[Harvest Days December 2026]])*BedPlan[[#This Row],[Yield]:[Yield]]</f>
        <v>0</v>
      </c>
      <c r="EN103" s="33" cm="1">
        <f t="array" ref="EN103">BedPlan[[#This Row],[Harvest Days March 2025]]/SUM(BedPlan[[#This Row],[Harvest Days January 2025]:[Harvest Days December 2026]])*BedPlan[[#This Row],[Yield]:[Yield]]</f>
        <v>0</v>
      </c>
      <c r="EO103" s="33" cm="1">
        <f t="array" ref="EO103">BedPlan[[#This Row],[Harvest Days April 2025]]/SUM(BedPlan[[#This Row],[Harvest Days January 2025]:[Harvest Days December 2026]])*BedPlan[[#This Row],[Yield]:[Yield]]</f>
        <v>0</v>
      </c>
      <c r="EP103" s="33" cm="1">
        <f t="array" ref="EP103">BedPlan[[#This Row],[Harvest Days May 2025]]/SUM(BedPlan[[#This Row],[Harvest Days January 2025]:[Harvest Days December 2026]])*BedPlan[[#This Row],[Yield]:[Yield]]</f>
        <v>0</v>
      </c>
      <c r="EQ103" s="33" cm="1">
        <f t="array" ref="EQ103">BedPlan[[#This Row],[Harvest Days June 2025]]/SUM(BedPlan[[#This Row],[Harvest Days January 2025]:[Harvest Days December 2026]])*BedPlan[[#This Row],[Yield]:[Yield]]</f>
        <v>62.5</v>
      </c>
      <c r="ER103" s="33" cm="1">
        <f t="array" ref="ER103">BedPlan[[#This Row],[Harvest Days July 2025]]/SUM(BedPlan[[#This Row],[Harvest Days January 2025]:[Harvest Days December 2026]])*BedPlan[[#This Row],[Yield]:[Yield]]</f>
        <v>0</v>
      </c>
      <c r="ES103" s="33" cm="1">
        <f t="array" ref="ES103">BedPlan[[#This Row],[Harvest Days August 2025]]/SUM(BedPlan[[#This Row],[Harvest Days January 2025]:[Harvest Days December 2026]])*BedPlan[[#This Row],[Yield]:[Yield]]</f>
        <v>0</v>
      </c>
      <c r="ET103" s="33" cm="1">
        <f t="array" ref="ET103">BedPlan[[#This Row],[Harvest Days September 2025]]/SUM(BedPlan[[#This Row],[Harvest Days January 2025]:[Harvest Days December 2026]])*BedPlan[[#This Row],[Yield]:[Yield]]</f>
        <v>0</v>
      </c>
      <c r="EU103" s="33" cm="1">
        <f t="array" ref="EU103">BedPlan[[#This Row],[Harvest Days October 2025]]/SUM(BedPlan[[#This Row],[Harvest Days January 2025]:[Harvest Days December 2026]])*BedPlan[[#This Row],[Yield]:[Yield]]</f>
        <v>0</v>
      </c>
      <c r="EV103" s="33" cm="1">
        <f t="array" ref="EV103">BedPlan[[#This Row],[Harvest Days November 2025]]/SUM(BedPlan[[#This Row],[Harvest Days January 2025]:[Harvest Days December 2026]])*BedPlan[[#This Row],[Yield]:[Yield]]</f>
        <v>0</v>
      </c>
      <c r="EW103" s="33" cm="1">
        <f t="array" ref="EW103">BedPlan[[#This Row],[Harvest Days December 2025]]/SUM(BedPlan[[#This Row],[Harvest Days January 2025]:[Harvest Days December 2026]])*BedPlan[[#This Row],[Yield]:[Yield]]</f>
        <v>0</v>
      </c>
    </row>
    <row r="104" spans="1:153" ht="15.75" customHeight="1">
      <c r="A104" s="191" t="s">
        <v>2614</v>
      </c>
      <c r="B104" s="240" t="s">
        <v>3104</v>
      </c>
      <c r="C104" t="s">
        <v>1515</v>
      </c>
      <c r="D104" s="226" cm="1">
        <f t="array" ref="D104">INDEX(Crops[],BedPlan[[#This Row],[Chart Index]],D$4,1)*BedPlan[[#This Row],[Full Bed Equivalent]]</f>
        <v>31.25</v>
      </c>
      <c r="E104" s="226" cm="1">
        <f t="array" ref="E104">INDEX(Crops[],BedPlan[[#This Row],[Chart Index]],E$4,1)*BedPlan[[#This Row],[Full Bed Equivalent]]</f>
        <v>125</v>
      </c>
      <c r="F104" t="str">
        <f>UPPER(LEFT(BedPlan[[#This Row],[Crop]],3))</f>
        <v>RAD</v>
      </c>
      <c r="H104" s="143" t="str" cm="1">
        <f t="array" ref="H104">INDEX(Crops[],BedPlan[[#This Row],[Chart Index]],H$4,1)</f>
        <v>Radish</v>
      </c>
      <c r="I104" t="s">
        <v>1347</v>
      </c>
      <c r="K104" t="str" cm="1">
        <f t="array" ref="K104">IF(ISNUMBER(MATCH(BedPlan[[#This Row],[Variety]],SeedMixes[Name],)),_xlfn.TEXTJOIN(", ",TRUE,_xlfn._xlws.FILTER(SeedMixes[Variety &amp; Company],SeedMixes[Name]=BedPlan[[#This Row],[Variety]])),"")</f>
        <v>French Breakfast High Mowing, Pearl Johnny's, Sora High Mowing, Patricia High Mowing</v>
      </c>
      <c r="L104" s="33" cm="1">
        <f t="array" ref="L104">INDEX(Crops[],BedPlan[[#This Row],[Chart Index]],L$4,1)*BedPlan[[#This Row],[Full Bed Equivalent]]</f>
        <v>4680</v>
      </c>
      <c r="N104">
        <f>1</f>
        <v>1</v>
      </c>
      <c r="O104">
        <f>MAX(BedPlan[[#This Row],['# Of Beds]],0.5)</f>
        <v>1</v>
      </c>
      <c r="P104" s="31">
        <f>IF(ISNUMBER(BedPlan[[#This Row],[Planned Greenhouse Start Date]]),BedPlan[[#This Row],[Planned Greenhouse Start Date]],BedPlan[[#This Row],[Planned TP or DS Date]])</f>
        <v>45754</v>
      </c>
      <c r="Q104" s="259" t="str">
        <f>IF(BedPlan[[#This Row],[Days in Cells]]=0,"",IFERROR(_xlfn.XLOOKUP(BedPlan[[#This Row],[Follows Crop]],BedPlan[Identifier],BedPlan[Expected End of Harvest]) + 1+BedPlan[[#This Row],[Follow Offset]],BedPlan[[#This Row],[Fixed Field Start Date]])-BedPlan[[#This Row],[Days in Cells]])</f>
        <v/>
      </c>
      <c r="R104" s="259"/>
      <c r="S104" s="259" t="str">
        <f>IF(ISNUMBER(BedPlan[[#This Row],[Actual Greenhouse Date]]),BedPlan[[#This Row],[Actual Greenhouse Date]],BedPlan[[#This Row],[Planned Greenhouse Start Date]])</f>
        <v/>
      </c>
      <c r="T104" s="259">
        <v>45754</v>
      </c>
      <c r="U104" s="260"/>
      <c r="V104" s="260"/>
      <c r="W10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104" s="259">
        <v>45753</v>
      </c>
      <c r="Y104" s="271">
        <f>BedPlan[[#This Row],[Actual TP or DS Date]]-BedPlan[[#This Row],[Planned TP or DS Date]]</f>
        <v>-1</v>
      </c>
      <c r="Z104" s="259">
        <f>IF(ISNUMBER(BedPlan[[#This Row],[Actual TP or DS Date]]),BedPlan[[#This Row],[Actual TP or DS Date]],BedPlan[[#This Row],[Planned TP or DS Date]])</f>
        <v>45753</v>
      </c>
      <c r="AA104" s="259"/>
      <c r="AB104" s="259">
        <f>IF(ISNUMBER(BedPlan[[#This Row],[Greenhouse Start Date]]),BedPlan[[#This Row],[Greenhouse Start Date]]+BedPlan[[#This Row],[DTM]],BedPlan[[#This Row],[TP or DS Date]]+BedPlan[[#This Row],[DTM]])</f>
        <v>45785</v>
      </c>
      <c r="AC104" s="259"/>
      <c r="AD104" s="259">
        <f>IF(ISNUMBER(BedPlan[[#This Row],[Actual Beginning of Harvest]]),BedPlan[[#This Row],[Actual Beginning of Harvest]],BedPlan[[#This Row],[Expected Beginning of Harvest]])</f>
        <v>45785</v>
      </c>
      <c r="AE104" s="259">
        <f>BedPlan[[#This Row],[Expected Beginning of Harvest]]+BedPlan[[#This Row],[Harvest Window]]+BedPlan[[#This Row],[Additional Days of Harvest]]</f>
        <v>45806</v>
      </c>
      <c r="AF104" s="259"/>
      <c r="AG104" s="259"/>
      <c r="AH104" s="31" t="b">
        <f>IF(AND( BedPlan[[#This Row],[Expected End of Harvest]] &gt;= DATE(2025, 8, 1), BedPlan[[#This Row],[Beginning of Harvest]] &lt;= DATE(2025, 8, 31) ), TRUE, FALSE)</f>
        <v>0</v>
      </c>
      <c r="AI104" s="31"/>
      <c r="AJ104" s="31">
        <f>IF(ISNUMBER(BedPlan[[#This Row],[Actual End of Harvest]]),BedPlan[[#This Row],[Actual End of Harvest]],BedPlan[[#This Row],[Expected End of Harvest]])</f>
        <v>45806</v>
      </c>
      <c r="AK104" t="b">
        <f>OR(ISNUMBER(BedPlan[[#This Row],[Actual Greenhouse Date]]),ISNUMBER(BedPlan[[#This Row],[Actual TP or DS Date]]))</f>
        <v>1</v>
      </c>
      <c r="AL104" s="52" t="str">
        <f>IF(ISNUMBER(BedPlan[[#This Row],[Planned Greenhouse Start Date]]),OR(ISNUMBER(BedPlan[[#This Row],[Actual TP or DS Date]]),BedPlan[[#This Row],[Failed]]),"-")</f>
        <v>-</v>
      </c>
      <c r="AM104" t="b">
        <f>OR(ISNUMBER(BedPlan[[#This Row],[Actual End of Harvest]]),BedPlan[[#This Row],[Failed]])</f>
        <v>0</v>
      </c>
      <c r="AN104" t="b">
        <f>OR(BedPlan[[#This Row],[Harvest Done]],BedPlan[[#This Row],[Failed]],BedPlan[[#This Row],[Name]]="Tarp")</f>
        <v>0</v>
      </c>
      <c r="AS104" s="26" t="str">
        <f>IF(BedPlan[[#This Row],[Broadfork]],BedPlan[[#This Row],[Actual TP or DS Date]],"")</f>
        <v/>
      </c>
      <c r="AT104" s="26" t="str">
        <f>IF(BedPlan[[#This Row],[Tilther]],BedPlan[[#This Row],[Actual TP or DS Date]],"")</f>
        <v/>
      </c>
      <c r="AU104" s="26" t="str">
        <f>IF(NOT(ISBLANK(BedPlan[[#This Row],[Amend]])),BedPlan[[#This Row],[Actual TP or DS Date]],"")</f>
        <v/>
      </c>
      <c r="AV104" s="26" t="str">
        <f>IF(BedPlan[[#This Row],[Row Cover]],BedPlan[[#This Row],[Actual TP or DS Date]],"")</f>
        <v/>
      </c>
      <c r="AX104" s="26"/>
      <c r="AZ104" s="26"/>
      <c r="BB104" s="26"/>
      <c r="BC104" s="231" cm="1">
        <f t="array" ref="BC104">INDEX(Crops[],BedPlan[[#This Row],[Chart Index]],BC$4,1)*BedPlan[[#This Row],[Full Bed Equivalent]]</f>
        <v>375</v>
      </c>
      <c r="BD104" s="231" cm="1">
        <f t="array" ref="BD104">INDEX(Crops[],BedPlan[[#This Row],[Chart Index]],BD$4,1)*BedPlan[[#This Row],[Full Bed Equivalent]]</f>
        <v>7.0754716981132075</v>
      </c>
      <c r="BE104" cm="1">
        <f t="array" ref="BE104">INDEX(Crops[],BedPlan[[#This Row],[Chart Index]],BE$4,1)+BedPlan[[#This Row],[Additional Days in Cells]]+BedPlan[[#This Row],[Additional Days In Field]]</f>
        <v>32</v>
      </c>
      <c r="BG104" cm="1">
        <f t="array" ref="BG104">INDEX(Crops[],BedPlan[[#This Row],[Chart Index]],BG$4,1)</f>
        <v>21</v>
      </c>
      <c r="BH104" t="str">
        <f>IF(ISNUMBER(BedPlan[[#This Row],[Planned Greenhouse Start Date]]),"TP","DS")</f>
        <v>DS</v>
      </c>
      <c r="BI104">
        <f>BedPlan[[#This Row],['# Of Beds]]</f>
        <v>1</v>
      </c>
      <c r="BJ104" cm="1">
        <f t="array" ref="BJ104">INDEX(Crops[],BedPlan[[#This Row],[Chart Index]],BJ$4,1)</f>
        <v>0</v>
      </c>
      <c r="BK104" cm="1">
        <f t="array" ref="BK104">INDEX(Crops[],BedPlan[[#This Row],[Chart Index]],BK$4,1)</f>
        <v>6</v>
      </c>
      <c r="BL104" cm="1">
        <f t="array" ref="BL104">INDEX(Crops[],BedPlan[[#This Row],[Chart Index]],BL$4,1)</f>
        <v>1</v>
      </c>
      <c r="BM104" cm="1">
        <f t="array" ref="BM104">INDEX(Crops[],BedPlan[[#This Row],[Chart Index]],BM$4,1)</f>
        <v>1</v>
      </c>
      <c r="BN104" s="32" cm="1">
        <f t="array" ref="BN104">INDEX(Crops[],BedPlan[[#This Row],[Chart Index]],BN$4,1)*BedPlan[[#This Row],[Full Bed Equivalent]]</f>
        <v>3600</v>
      </c>
      <c r="BO104" t="str" cm="1">
        <f t="array" ref="BO104">IF(INDEX(Crops[],BedPlan[[#This Row],[Chart Index]],BO$4,1)=0,"",INDEX(Crops[],BedPlan[[#This Row],[Chart Index]],BO$4,1))</f>
        <v>OH</v>
      </c>
      <c r="BP104">
        <f>MATCH(BedPlan[[#This Row],[Crop]],Crops[Identifier],FALSE)</f>
        <v>255</v>
      </c>
      <c r="BQ104" t="str" cm="1">
        <f t="array" ref="BQ104">INDEX(Crops[],BedPlan[[#This Row],[Chart Index]],BQ$4,1)</f>
        <v>6r</v>
      </c>
      <c r="BR104" t="str" cm="1">
        <f t="array" ref="BR104">INDEX(Crops[],BedPlan[[#This Row],[Chart Index]],BR$4,1)</f>
        <v>Su</v>
      </c>
      <c r="BS104" s="32">
        <f>BedPlan[[#This Row],[Expected Beginning of Harvest]]-DATE(2023,1,1)</f>
        <v>858</v>
      </c>
      <c r="BT104">
        <f>BedPlan[[#This Row],[Expected End of Harvest]]-BedPlan[[#This Row],[Expected Beginning of Harvest]]</f>
        <v>21</v>
      </c>
      <c r="BU104" t="str" cm="1">
        <f t="array" ref="BU104">INDEX(Crops[],BedPlan[[#This Row],[Chart Index]],BU$4,1)</f>
        <v>Root</v>
      </c>
      <c r="BV104" cm="1">
        <f t="array" ref="BV104">INDEX(Crops[],BedPlan[[#This Row],[Chart Index]],BV$4,1)</f>
        <v>1</v>
      </c>
      <c r="BW104" t="str" cm="1">
        <f t="array" ref="BW104">INDEX(Crops[],BedPlan[[#This Row],[Chart Index]],BW$4,1)</f>
        <v>AMAP</v>
      </c>
      <c r="BX104" cm="1">
        <f t="array" ref="BX104">INDEX(Crops[],BedPlan[[#This Row],[Chart Index]],BX$4,1)</f>
        <v>0</v>
      </c>
      <c r="BY104" cm="1">
        <f t="array" ref="BY104">INDEX(Crops[],BedPlan[[#This Row],[Chart Index]],BY$4,1)</f>
        <v>0</v>
      </c>
      <c r="BZ104" s="49" t="str" cm="1">
        <f t="array" ref="BZ104">IFERROR(INDEX(Crops[],BedPlan[[#This Row],[Chart Index]],BZ$4,1)*BedPlan[[#This Row],[Full Bed Equivalent]],"")</f>
        <v/>
      </c>
      <c r="CA104" cm="1">
        <f t="array" ref="CA104">INDEX(Crops[],BedPlan[[#This Row],[Chart Index]],CA$4,1)</f>
        <v>0</v>
      </c>
      <c r="CB104" cm="1">
        <f t="array" ref="CB104">INDEX(Crops[],BedPlan[[#This Row],[Chart Index]],CB$4,1)</f>
        <v>0</v>
      </c>
      <c r="CC104" s="49" t="str" cm="1">
        <f t="array" ref="CC104">IFERROR(INDEX(Crops[],BedPlan[[#This Row],[Chart Index]],CC$4,1)*BedPlan[[#This Row],[Full Bed Equivalent]],"")</f>
        <v/>
      </c>
      <c r="CD104" cm="1">
        <f t="array" ref="CD104">INDEX(Crops[],BedPlan[[#This Row],[Chart Index]],CD$4,1)</f>
        <v>0</v>
      </c>
      <c r="CE104" cm="1">
        <f t="array" ref="CE104">IF(INDEX(Crops[],BedPlan[[#This Row],[Chart Index]],CE$4,1)="",0,INDEX(Crops[],BedPlan[[#This Row],[Chart Index]],CE$4,1))</f>
        <v>0</v>
      </c>
      <c r="CF104" s="49" t="str" cm="1">
        <f t="array" ref="CF104">IFERROR(INDEX(Crops[],BedPlan[[#This Row],[Chart Index]],CF$4,1)*BedPlan[[#This Row],[Full Bed Equivalent]],"")</f>
        <v/>
      </c>
      <c r="CG104" cm="1">
        <f t="array" ref="CG104">IF(INDEX(Crops[],BedPlan[[#This Row],[Chart Index]],CG$4,1)="",0,INDEX(Crops[],BedPlan[[#This Row],[Chart Index]],CG$4,1))</f>
        <v>1.3</v>
      </c>
      <c r="CH104" cm="1">
        <f t="array" ref="CH104">IF(INDEX(Crops[],BedPlan[[#This Row],[Chart Index]],CH$4,1)="",0,INDEX(Crops[],BedPlan[[#This Row],[Chart Index]],CH$4,1))</f>
        <v>7</v>
      </c>
      <c r="CI104" t="str" cm="1">
        <f t="array" ref="CI104">INDEX(Crops[],BedPlan[[#This Row],[Chart Index]],CI$4,1)</f>
        <v>Field</v>
      </c>
      <c r="CJ104" s="30" t="str">
        <f>_xlfn.TEXTJOIN(CHAR(10),FALSE,BedPlan[[#This Row],[Name]],BedPlan[[#This Row],[Variety]],BedPlan[[#This Row],[Company]])</f>
        <v xml:space="preserve">Radish
Radish Mix
</v>
      </c>
      <c r="CK104" s="32">
        <f>MAX( 0, MIN(BedPlan[[#This Row],[Expected End of Harvest]], EOMONTH(CK$4, 0)) - MAX(BedPlan[[#This Row],[Beginning of Harvest]], CK$4) + 1 )</f>
        <v>0</v>
      </c>
      <c r="CL104">
        <f>MAX( 0, MIN(BedPlan[[#This Row],[Expected End of Harvest]], EOMONTH(CL$4, 0)) - MAX(BedPlan[[#This Row],[Beginning of Harvest]], CL$4) + 1 )</f>
        <v>0</v>
      </c>
      <c r="CM104">
        <f>MAX( 0, MIN(BedPlan[[#This Row],[Expected End of Harvest]], EOMONTH(CM$4, 0)) - MAX(BedPlan[[#This Row],[Beginning of Harvest]], CM$4) + 1 )</f>
        <v>0</v>
      </c>
      <c r="CN104">
        <f>MAX( 0, MIN(BedPlan[[#This Row],[Expected End of Harvest]], EOMONTH(CN$4, 0)) - MAX(BedPlan[[#This Row],[Beginning of Harvest]], CN$4) + 1 )</f>
        <v>0</v>
      </c>
      <c r="CO104">
        <f>MAX( 0, MIN(BedPlan[[#This Row],[Expected End of Harvest]], EOMONTH(CO$4, 0)) - MAX(BedPlan[[#This Row],[Beginning of Harvest]], CO$4) + 1 )</f>
        <v>22</v>
      </c>
      <c r="CP104">
        <f>MAX( 0, MIN(BedPlan[[#This Row],[Expected End of Harvest]], EOMONTH(CP$4, 0)) - MAX(BedPlan[[#This Row],[Beginning of Harvest]], CP$4) + 1 )</f>
        <v>0</v>
      </c>
      <c r="CQ104">
        <f>MAX( 0, MIN(BedPlan[[#This Row],[Expected End of Harvest]], EOMONTH(CQ$4, 0)) - MAX(BedPlan[[#This Row],[Beginning of Harvest]], CQ$4) + 1 )</f>
        <v>0</v>
      </c>
      <c r="CR104">
        <f>MAX( 0, MIN(BedPlan[[#This Row],[Expected End of Harvest]], EOMONTH(CR$4, 0)) - MAX(BedPlan[[#This Row],[Beginning of Harvest]], CR$4) + 1 )</f>
        <v>0</v>
      </c>
      <c r="CS104">
        <f>MAX( 0, MIN(BedPlan[[#This Row],[Expected End of Harvest]], EOMONTH(CS$4, 0)) - MAX(BedPlan[[#This Row],[Beginning of Harvest]], CS$4) + 1 )</f>
        <v>0</v>
      </c>
      <c r="CT104">
        <f>MAX( 0, MIN(BedPlan[[#This Row],[Expected End of Harvest]], EOMONTH(CT$4, 0)) - MAX(BedPlan[[#This Row],[Beginning of Harvest]], CT$4) + 1 )</f>
        <v>0</v>
      </c>
      <c r="CU104">
        <f>MAX( 0, MIN(BedPlan[[#This Row],[Expected End of Harvest]], EOMONTH(CU$4, 0)) - MAX(BedPlan[[#This Row],[Beginning of Harvest]], CU$4) + 1 )</f>
        <v>0</v>
      </c>
      <c r="CV104">
        <f>MAX( 0, MIN(BedPlan[[#This Row],[Expected End of Harvest]], EOMONTH(CV$4, 0)) - MAX(BedPlan[[#This Row],[Beginning of Harvest]], CV$4) + 1 )</f>
        <v>0</v>
      </c>
      <c r="CW104">
        <f>MAX( 0, MIN(BedPlan[[#This Row],[Expected End of Harvest]], EOMONTH(CW$4, 0)) - MAX(BedPlan[[#This Row],[Beginning of Harvest]], CW$4) + 1 )</f>
        <v>0</v>
      </c>
      <c r="CX104">
        <f>MAX( 0, MIN(BedPlan[[#This Row],[Expected End of Harvest]], EOMONTH(CX$4, 0)) - MAX(BedPlan[[#This Row],[Beginning of Harvest]], CX$4) + 1 )</f>
        <v>0</v>
      </c>
      <c r="CY104">
        <f>MAX( 0, MIN(BedPlan[[#This Row],[Expected End of Harvest]], EOMONTH(CY$4, 0)) - MAX(BedPlan[[#This Row],[Beginning of Harvest]], CY$4) + 1 )</f>
        <v>0</v>
      </c>
      <c r="CZ104">
        <f>MAX( 0, MIN(BedPlan[[#This Row],[Expected End of Harvest]], EOMONTH(CZ$4, 0)) - MAX(BedPlan[[#This Row],[Beginning of Harvest]], CZ$4) + 1 )</f>
        <v>0</v>
      </c>
      <c r="DA104">
        <f>MAX( 0, MIN(BedPlan[[#This Row],[Expected End of Harvest]], EOMONTH(DA$4, 0)) - MAX(BedPlan[[#This Row],[Beginning of Harvest]], DA$4) + 1 )</f>
        <v>0</v>
      </c>
      <c r="DB104">
        <f>MAX( 0, MIN(BedPlan[[#This Row],[Expected End of Harvest]], EOMONTH(DB$4, 0)) - MAX(BedPlan[[#This Row],[Beginning of Harvest]], DB$4) + 1 )</f>
        <v>0</v>
      </c>
      <c r="DC104">
        <f>MAX( 0, MIN(BedPlan[[#This Row],[Expected End of Harvest]], EOMONTH(DC$4, 0)) - MAX(BedPlan[[#This Row],[Beginning of Harvest]], DC$4) + 1 )</f>
        <v>0</v>
      </c>
      <c r="DD104">
        <f>MAX( 0, MIN(BedPlan[[#This Row],[Expected End of Harvest]], EOMONTH(DD$4, 0)) - MAX(BedPlan[[#This Row],[Beginning of Harvest]], DD$4) + 1 )</f>
        <v>0</v>
      </c>
      <c r="DE104">
        <f>MAX( 0, MIN(BedPlan[[#This Row],[Expected End of Harvest]], EOMONTH(DE$4, 0)) - MAX(BedPlan[[#This Row],[Beginning of Harvest]], DE$4) + 1 )</f>
        <v>0</v>
      </c>
      <c r="DF104">
        <f>MAX( 0, MIN(BedPlan[[#This Row],[Expected End of Harvest]], EOMONTH(DF$4, 0)) - MAX(BedPlan[[#This Row],[Beginning of Harvest]], DF$4) + 1 )</f>
        <v>0</v>
      </c>
      <c r="DG104">
        <f>MAX( 0, MIN(BedPlan[[#This Row],[Expected End of Harvest]], EOMONTH(DG$4, 0)) - MAX(BedPlan[[#This Row],[Beginning of Harvest]], DG$4) + 1 )</f>
        <v>0</v>
      </c>
      <c r="DH104">
        <f>MAX( 0, MIN(BedPlan[[#This Row],[Expected End of Harvest]], EOMONTH(DH$4, 0)) - MAX(BedPlan[[#This Row],[Beginning of Harvest]], DH$4) + 1 )</f>
        <v>0</v>
      </c>
      <c r="DI104" s="257" cm="1">
        <f t="array" ref="DI104">BedPlan[[#This Row],[Harvest Days January 2025]]/SUM(BedPlan[[#This Row],[Harvest Days January 2025]:[Harvest Days December 2026]])*BedPlan[[#This Row],[Revenue]:[Revenue]]</f>
        <v>0</v>
      </c>
      <c r="DJ104" s="257" cm="1">
        <f t="array" ref="DJ104">BedPlan[[#This Row],[Harvest Days February 2025]]/SUM(BedPlan[[#This Row],[Harvest Days January 2025]:[Harvest Days December 2026]])*BedPlan[[#This Row],[Revenue]:[Revenue]]</f>
        <v>0</v>
      </c>
      <c r="DK104" s="257" cm="1">
        <f t="array" ref="DK104">BedPlan[[#This Row],[Harvest Days March 2025]]/SUM(BedPlan[[#This Row],[Harvest Days January 2025]:[Harvest Days December 2026]])*BedPlan[[#This Row],[Revenue]:[Revenue]]</f>
        <v>0</v>
      </c>
      <c r="DL104" s="257" cm="1">
        <f t="array" ref="DL104">BedPlan[[#This Row],[Harvest Days April 2025]]/SUM(BedPlan[[#This Row],[Harvest Days January 2025]:[Harvest Days December 2026]])*BedPlan[[#This Row],[Revenue]:[Revenue]]</f>
        <v>0</v>
      </c>
      <c r="DM104" s="257" cm="1">
        <f t="array" ref="DM104">BedPlan[[#This Row],[Harvest Days May 2025]]/SUM(BedPlan[[#This Row],[Harvest Days January 2025]:[Harvest Days December 2026]])*BedPlan[[#This Row],[Revenue]:[Revenue]]</f>
        <v>375</v>
      </c>
      <c r="DN104" s="257" cm="1">
        <f t="array" ref="DN104">BedPlan[[#This Row],[Harvest Days June 2025]]/SUM(BedPlan[[#This Row],[Harvest Days January 2025]:[Harvest Days December 2026]])*BedPlan[[#This Row],[Revenue]:[Revenue]]</f>
        <v>0</v>
      </c>
      <c r="DO104" s="257" cm="1">
        <f t="array" ref="DO104">BedPlan[[#This Row],[Harvest Days July 2025]]/SUM(BedPlan[[#This Row],[Harvest Days January 2025]:[Harvest Days December 2026]])*BedPlan[[#This Row],[Revenue]:[Revenue]]</f>
        <v>0</v>
      </c>
      <c r="DP104" s="257" cm="1">
        <f t="array" ref="DP104">BedPlan[[#This Row],[Harvest Days August 2025]]/SUM(BedPlan[[#This Row],[Harvest Days January 2025]:[Harvest Days December 2026]])*BedPlan[[#This Row],[Revenue]:[Revenue]]</f>
        <v>0</v>
      </c>
      <c r="DQ104" s="257" cm="1">
        <f t="array" ref="DQ104">BedPlan[[#This Row],[Harvest Days September 2025]]/SUM(BedPlan[[#This Row],[Harvest Days January 2025]:[Harvest Days December 2026]])*BedPlan[[#This Row],[Revenue]:[Revenue]]</f>
        <v>0</v>
      </c>
      <c r="DR104" s="257" cm="1">
        <f t="array" ref="DR104">BedPlan[[#This Row],[Harvest Days October 2025]]/SUM(BedPlan[[#This Row],[Harvest Days January 2025]:[Harvest Days December 2026]])*BedPlan[[#This Row],[Revenue]:[Revenue]]</f>
        <v>0</v>
      </c>
      <c r="DS104" s="257" cm="1">
        <f t="array" ref="DS104">BedPlan[[#This Row],[Harvest Days November 2025]]/SUM(BedPlan[[#This Row],[Harvest Days January 2025]:[Harvest Days December 2026]])*BedPlan[[#This Row],[Revenue]:[Revenue]]</f>
        <v>0</v>
      </c>
      <c r="DT104" s="257" cm="1">
        <f t="array" ref="DT104">BedPlan[[#This Row],[Harvest Days December 2025]]/SUM(BedPlan[[#This Row],[Harvest Days January 2025]:[Harvest Days December 2026]])*BedPlan[[#This Row],[Revenue]:[Revenue]]</f>
        <v>0</v>
      </c>
      <c r="DU104" s="257" cm="1">
        <f t="array" ref="DU104">BedPlan[[#This Row],[Harvest Days January 2026]]/SUM(BedPlan[[#This Row],[Harvest Days January 2025]:[Harvest Days December 2026]])*BedPlan[[#This Row],[Revenue]:[Revenue]]</f>
        <v>0</v>
      </c>
      <c r="DV104" s="257" cm="1">
        <f t="array" ref="DV104">BedPlan[[#This Row],[Harvest Days February 2026]]/SUM(BedPlan[[#This Row],[Harvest Days January 2025]:[Harvest Days December 2026]])*BedPlan[[#This Row],[Revenue]:[Revenue]]</f>
        <v>0</v>
      </c>
      <c r="DW104" s="257" cm="1">
        <f t="array" ref="DW104">BedPlan[[#This Row],[Harvest Days March 2026]]/SUM(BedPlan[[#This Row],[Harvest Days January 2025]:[Harvest Days December 2026]])*BedPlan[[#This Row],[Revenue]:[Revenue]]</f>
        <v>0</v>
      </c>
      <c r="DX104" s="257" cm="1">
        <f t="array" ref="DX104">BedPlan[[#This Row],[Harvest Days April 2026]]/SUM(BedPlan[[#This Row],[Harvest Days January 2025]:[Harvest Days December 2026]])*BedPlan[[#This Row],[Revenue]:[Revenue]]</f>
        <v>0</v>
      </c>
      <c r="DY104" s="257" cm="1">
        <f t="array" ref="DY104">BedPlan[[#This Row],[Harvest Days May 2026]]/SUM(BedPlan[[#This Row],[Harvest Days January 2025]:[Harvest Days December 2026]])*BedPlan[[#This Row],[Revenue]:[Revenue]]</f>
        <v>0</v>
      </c>
      <c r="DZ104" s="257" cm="1">
        <f t="array" ref="DZ104">BedPlan[[#This Row],[Harvest Days June 2026]]/SUM(BedPlan[[#This Row],[Harvest Days January 2025]:[Harvest Days December 2026]])*BedPlan[[#This Row],[Revenue]:[Revenue]]</f>
        <v>0</v>
      </c>
      <c r="EA104" s="257" cm="1">
        <f t="array" ref="EA104">BedPlan[[#This Row],[Harvest Days July 2026]]/SUM(BedPlan[[#This Row],[Harvest Days January 2025]:[Harvest Days December 2026]])*BedPlan[[#This Row],[Revenue]:[Revenue]]</f>
        <v>0</v>
      </c>
      <c r="EB104" s="257" cm="1">
        <f t="array" ref="EB104">BedPlan[[#This Row],[Harvest Days August 2026]]/SUM(BedPlan[[#This Row],[Harvest Days January 2025]:[Harvest Days December 2026]])*BedPlan[[#This Row],[Revenue]:[Revenue]]</f>
        <v>0</v>
      </c>
      <c r="EC104" s="257" cm="1">
        <f t="array" ref="EC104">BedPlan[[#This Row],[Harvest Days September 2026]]/SUM(BedPlan[[#This Row],[Harvest Days January 2025]:[Harvest Days December 2026]])*BedPlan[[#This Row],[Revenue]:[Revenue]]</f>
        <v>0</v>
      </c>
      <c r="ED104" s="257" cm="1">
        <f t="array" ref="ED104">BedPlan[[#This Row],[Harvest Days October 2026]]/SUM(BedPlan[[#This Row],[Harvest Days January 2025]:[Harvest Days December 2026]])*BedPlan[[#This Row],[Revenue]:[Revenue]]</f>
        <v>0</v>
      </c>
      <c r="EE104" s="257" cm="1">
        <f t="array" ref="EE104">BedPlan[[#This Row],[Harvest Days November 2026]]/SUM(BedPlan[[#This Row],[Harvest Days January 2025]:[Harvest Days December 2026]])*BedPlan[[#This Row],[Revenue]:[Revenue]]</f>
        <v>0</v>
      </c>
      <c r="EF104" s="257" cm="1">
        <f t="array" ref="EF104">BedPlan[[#This Row],[Harvest Days December 2026]]/SUM(BedPlan[[#This Row],[Harvest Days January 2025]:[Harvest Days December 2026]])*BedPlan[[#This Row],[Revenue]:[Revenue]]</f>
        <v>0</v>
      </c>
      <c r="EG104" t="b">
        <f>SUM(BedPlan[[#This Row],[Revenue January 2025]:[Revenue December 2026]])=BedPlan[[#This Row],[Revenue]]</f>
        <v>1</v>
      </c>
      <c r="EH104" s="30" cm="1">
        <f t="array" ref="EH104">INDEX(Crops[],BedPlan[[#This Row],[Chart Index]],EH$4,1)*BedPlan[[#This Row],['# Of Beds]]</f>
        <v>125</v>
      </c>
      <c r="EI104" s="30" t="str" cm="1">
        <f t="array" ref="EI104">INDEX(Crops[],BedPlan[[#This Row],[Chart Index]],EI$4,1)</f>
        <v>Bunch</v>
      </c>
      <c r="EJ104" s="30" t="str" cm="1">
        <f t="array" ref="EJ104">INDEX(Crops[],BedPlan[[#This Row],[Chart Index]],EJ$4,1)</f>
        <v>Mature Root</v>
      </c>
      <c r="EK104" s="30" t="str">
        <f>BedPlan[[#This Row],[Name]]&amp;" "&amp;BedPlan[[#This Row],[Product]]&amp; " - " &amp;BedPlan[[#This Row],[Unit]]</f>
        <v>Radish Mature Root - Bunch</v>
      </c>
      <c r="EL104" s="33" cm="1">
        <f t="array" ref="EL104">BedPlan[[#This Row],[Harvest Days January 2025]]/SUM(BedPlan[[#This Row],[Harvest Days January 2025]:[Harvest Days December 2026]])*BedPlan[[#This Row],[Yield]:[Yield]]</f>
        <v>0</v>
      </c>
      <c r="EM104" s="33" cm="1">
        <f t="array" ref="EM104">BedPlan[[#This Row],[Harvest Days February 2025]]/SUM(BedPlan[[#This Row],[Harvest Days January 2025]:[Harvest Days December 2026]])*BedPlan[[#This Row],[Yield]:[Yield]]</f>
        <v>0</v>
      </c>
      <c r="EN104" s="33" cm="1">
        <f t="array" ref="EN104">BedPlan[[#This Row],[Harvest Days March 2025]]/SUM(BedPlan[[#This Row],[Harvest Days January 2025]:[Harvest Days December 2026]])*BedPlan[[#This Row],[Yield]:[Yield]]</f>
        <v>0</v>
      </c>
      <c r="EO104" s="33" cm="1">
        <f t="array" ref="EO104">BedPlan[[#This Row],[Harvest Days April 2025]]/SUM(BedPlan[[#This Row],[Harvest Days January 2025]:[Harvest Days December 2026]])*BedPlan[[#This Row],[Yield]:[Yield]]</f>
        <v>0</v>
      </c>
      <c r="EP104" s="33" cm="1">
        <f t="array" ref="EP104">BedPlan[[#This Row],[Harvest Days May 2025]]/SUM(BedPlan[[#This Row],[Harvest Days January 2025]:[Harvest Days December 2026]])*BedPlan[[#This Row],[Yield]:[Yield]]</f>
        <v>125</v>
      </c>
      <c r="EQ104" s="33" cm="1">
        <f t="array" ref="EQ104">BedPlan[[#This Row],[Harvest Days June 2025]]/SUM(BedPlan[[#This Row],[Harvest Days January 2025]:[Harvest Days December 2026]])*BedPlan[[#This Row],[Yield]:[Yield]]</f>
        <v>0</v>
      </c>
      <c r="ER104" s="33" cm="1">
        <f t="array" ref="ER104">BedPlan[[#This Row],[Harvest Days July 2025]]/SUM(BedPlan[[#This Row],[Harvest Days January 2025]:[Harvest Days December 2026]])*BedPlan[[#This Row],[Yield]:[Yield]]</f>
        <v>0</v>
      </c>
      <c r="ES104" s="33" cm="1">
        <f t="array" ref="ES104">BedPlan[[#This Row],[Harvest Days August 2025]]/SUM(BedPlan[[#This Row],[Harvest Days January 2025]:[Harvest Days December 2026]])*BedPlan[[#This Row],[Yield]:[Yield]]</f>
        <v>0</v>
      </c>
      <c r="ET104" s="33" cm="1">
        <f t="array" ref="ET104">BedPlan[[#This Row],[Harvest Days September 2025]]/SUM(BedPlan[[#This Row],[Harvest Days January 2025]:[Harvest Days December 2026]])*BedPlan[[#This Row],[Yield]:[Yield]]</f>
        <v>0</v>
      </c>
      <c r="EU104" s="33" cm="1">
        <f t="array" ref="EU104">BedPlan[[#This Row],[Harvest Days October 2025]]/SUM(BedPlan[[#This Row],[Harvest Days January 2025]:[Harvest Days December 2026]])*BedPlan[[#This Row],[Yield]:[Yield]]</f>
        <v>0</v>
      </c>
      <c r="EV104" s="33" cm="1">
        <f t="array" ref="EV104">BedPlan[[#This Row],[Harvest Days November 2025]]/SUM(BedPlan[[#This Row],[Harvest Days January 2025]:[Harvest Days December 2026]])*BedPlan[[#This Row],[Yield]:[Yield]]</f>
        <v>0</v>
      </c>
      <c r="EW104" s="33" cm="1">
        <f t="array" ref="EW104">BedPlan[[#This Row],[Harvest Days December 2025]]/SUM(BedPlan[[#This Row],[Harvest Days January 2025]:[Harvest Days December 2026]])*BedPlan[[#This Row],[Yield]:[Yield]]</f>
        <v>0</v>
      </c>
    </row>
    <row r="105" spans="1:153" ht="15.75" customHeight="1">
      <c r="A105" s="191" t="s">
        <v>2614</v>
      </c>
      <c r="B105" s="240" t="s">
        <v>2756</v>
      </c>
      <c r="C105" t="s">
        <v>1454</v>
      </c>
      <c r="D105" s="226" cm="1">
        <f t="array" ref="D105">INDEX(Crops[],BedPlan[[#This Row],[Chart Index]],D$4,1)*BedPlan[[#This Row],[Full Bed Equivalent]]</f>
        <v>15.625</v>
      </c>
      <c r="E105" s="226" cm="1">
        <f t="array" ref="E105">INDEX(Crops[],BedPlan[[#This Row],[Chart Index]],E$4,1)*BedPlan[[#This Row],[Full Bed Equivalent]]</f>
        <v>62.5</v>
      </c>
      <c r="F105" t="str">
        <f>UPPER(LEFT(BedPlan[[#This Row],[Crop]],3))</f>
        <v>RAD</v>
      </c>
      <c r="H105" s="143" t="str" cm="1">
        <f t="array" ref="H105">INDEX(Crops[],BedPlan[[#This Row],[Chart Index]],H$4,1)</f>
        <v>Radish</v>
      </c>
      <c r="I105" t="s">
        <v>1347</v>
      </c>
      <c r="K105" t="str" cm="1">
        <f t="array" ref="K105">IF(ISNUMBER(MATCH(BedPlan[[#This Row],[Variety]],SeedMixes[Name],)),_xlfn.TEXTJOIN(", ",TRUE,_xlfn._xlws.FILTER(SeedMixes[Variety &amp; Company],SeedMixes[Name]=BedPlan[[#This Row],[Variety]])),"")</f>
        <v>French Breakfast High Mowing, Pearl Johnny's, Sora High Mowing, Patricia High Mowing</v>
      </c>
      <c r="L105" s="33" cm="1">
        <f t="array" ref="L105">INDEX(Crops[],BedPlan[[#This Row],[Chart Index]],L$4,1)*BedPlan[[#This Row],[Full Bed Equivalent]]</f>
        <v>2340</v>
      </c>
      <c r="N105">
        <v>0.5</v>
      </c>
      <c r="O105">
        <f>MAX(BedPlan[[#This Row],['# Of Beds]],0.5)</f>
        <v>0.5</v>
      </c>
      <c r="P105" s="31">
        <f>IF(ISNUMBER(BedPlan[[#This Row],[Planned Greenhouse Start Date]]),BedPlan[[#This Row],[Planned Greenhouse Start Date]],BedPlan[[#This Row],[Planned TP or DS Date]])</f>
        <v>45808</v>
      </c>
      <c r="Q105" s="259" t="str">
        <f>IF(BedPlan[[#This Row],[Days in Cells]]=0,"",IFERROR(_xlfn.XLOOKUP(BedPlan[[#This Row],[Follows Crop]],BedPlan[Identifier],BedPlan[Expected End of Harvest]) + 1+BedPlan[[#This Row],[Follow Offset]],BedPlan[[#This Row],[Fixed Field Start Date]])-BedPlan[[#This Row],[Days in Cells]])</f>
        <v/>
      </c>
      <c r="R105" s="259"/>
      <c r="S105" s="259" t="str">
        <f>IF(ISNUMBER(BedPlan[[#This Row],[Actual Greenhouse Date]]),BedPlan[[#This Row],[Actual Greenhouse Date]],BedPlan[[#This Row],[Planned Greenhouse Start Date]])</f>
        <v/>
      </c>
      <c r="T105" s="259">
        <f>_xlfn.XLOOKUP(BedPlan[[#This Row],[Crop]],Crops[Identifier],Crops[Target Field Date])+30</f>
        <v>45808</v>
      </c>
      <c r="U105" s="260"/>
      <c r="V105" s="260"/>
      <c r="W10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45808</v>
      </c>
      <c r="X105" s="259">
        <v>45837</v>
      </c>
      <c r="Y105" s="271">
        <f>BedPlan[[#This Row],[Actual TP or DS Date]]-BedPlan[[#This Row],[Planned TP or DS Date]]</f>
        <v>29</v>
      </c>
      <c r="Z105" s="259">
        <f>IF(ISNUMBER(BedPlan[[#This Row],[Actual TP or DS Date]]),BedPlan[[#This Row],[Actual TP or DS Date]],BedPlan[[#This Row],[Planned TP or DS Date]])</f>
        <v>45837</v>
      </c>
      <c r="AA105" s="259"/>
      <c r="AB105" s="259">
        <f>IF(ISNUMBER(BedPlan[[#This Row],[Greenhouse Start Date]]),BedPlan[[#This Row],[Greenhouse Start Date]]+BedPlan[[#This Row],[DTM]],BedPlan[[#This Row],[TP or DS Date]]+BedPlan[[#This Row],[DTM]])</f>
        <v>45869</v>
      </c>
      <c r="AC105" s="259"/>
      <c r="AD105" s="259">
        <f>IF(ISNUMBER(BedPlan[[#This Row],[Actual Beginning of Harvest]]),BedPlan[[#This Row],[Actual Beginning of Harvest]],BedPlan[[#This Row],[Expected Beginning of Harvest]])</f>
        <v>45869</v>
      </c>
      <c r="AE105" s="259">
        <f>BedPlan[[#This Row],[Expected Beginning of Harvest]]+BedPlan[[#This Row],[Harvest Window]]+BedPlan[[#This Row],[Additional Days of Harvest]]</f>
        <v>45890</v>
      </c>
      <c r="AF105" s="259"/>
      <c r="AG105" s="259"/>
      <c r="AH105" s="31" t="b">
        <f>IF(AND( BedPlan[[#This Row],[Expected End of Harvest]] &gt;= DATE(2025, 8, 1), BedPlan[[#This Row],[Beginning of Harvest]] &lt;= DATE(2025, 8, 31) ), TRUE, FALSE)</f>
        <v>1</v>
      </c>
      <c r="AI105" s="31"/>
      <c r="AJ105" s="31">
        <f>IF(ISNUMBER(BedPlan[[#This Row],[Actual End of Harvest]]),BedPlan[[#This Row],[Actual End of Harvest]],BedPlan[[#This Row],[Expected End of Harvest]])</f>
        <v>45890</v>
      </c>
      <c r="AK105" t="b">
        <f>OR(ISNUMBER(BedPlan[[#This Row],[Actual Greenhouse Date]]),ISNUMBER(BedPlan[[#This Row],[Actual TP or DS Date]]))</f>
        <v>1</v>
      </c>
      <c r="AL105" s="52" t="str">
        <f>IF(ISNUMBER(BedPlan[[#This Row],[Planned Greenhouse Start Date]]),OR(ISNUMBER(BedPlan[[#This Row],[Actual TP or DS Date]]),BedPlan[[#This Row],[Failed]]),"-")</f>
        <v>-</v>
      </c>
      <c r="AM105" t="b">
        <f>OR(ISNUMBER(BedPlan[[#This Row],[Actual End of Harvest]]),BedPlan[[#This Row],[Failed]])</f>
        <v>0</v>
      </c>
      <c r="AN105" t="b">
        <f>OR(BedPlan[[#This Row],[Harvest Done]],BedPlan[[#This Row],[Failed]],BedPlan[[#This Row],[Name]]="Tarp")</f>
        <v>0</v>
      </c>
      <c r="AO105" t="b">
        <v>1</v>
      </c>
      <c r="AP105" t="b">
        <v>1</v>
      </c>
      <c r="AQ105" t="s">
        <v>3257</v>
      </c>
      <c r="AR105" t="b">
        <v>1</v>
      </c>
      <c r="AS105" s="26">
        <f>IF(BedPlan[[#This Row],[Broadfork]],BedPlan[[#This Row],[Actual TP or DS Date]],"")</f>
        <v>45837</v>
      </c>
      <c r="AT105" s="26">
        <f>IF(BedPlan[[#This Row],[Tilther]],BedPlan[[#This Row],[Actual TP or DS Date]],"")</f>
        <v>45837</v>
      </c>
      <c r="AU105" s="26">
        <f>IF(NOT(ISBLANK(BedPlan[[#This Row],[Amend]])),BedPlan[[#This Row],[Actual TP or DS Date]],"")</f>
        <v>45837</v>
      </c>
      <c r="AV105" s="26">
        <f>IF(BedPlan[[#This Row],[Row Cover]],BedPlan[[#This Row],[Actual TP or DS Date]],"")</f>
        <v>45837</v>
      </c>
      <c r="AX105" s="26"/>
      <c r="AZ105" s="26"/>
      <c r="BB105" s="26"/>
      <c r="BC105" s="231" cm="1">
        <f t="array" ref="BC105">INDEX(Crops[],BedPlan[[#This Row],[Chart Index]],BC$4,1)*BedPlan[[#This Row],[Full Bed Equivalent]]</f>
        <v>187.5</v>
      </c>
      <c r="BD105" s="231" cm="1">
        <f t="array" ref="BD105">INDEX(Crops[],BedPlan[[#This Row],[Chart Index]],BD$4,1)*BedPlan[[#This Row],[Full Bed Equivalent]]</f>
        <v>3.5377358490566038</v>
      </c>
      <c r="BE105" cm="1">
        <f t="array" ref="BE105">INDEX(Crops[],BedPlan[[#This Row],[Chart Index]],BE$4,1)+BedPlan[[#This Row],[Additional Days in Cells]]+BedPlan[[#This Row],[Additional Days In Field]]</f>
        <v>32</v>
      </c>
      <c r="BG105" cm="1">
        <f t="array" ref="BG105">INDEX(Crops[],BedPlan[[#This Row],[Chart Index]],BG$4,1)</f>
        <v>21</v>
      </c>
      <c r="BH105" t="str">
        <f>IF(ISNUMBER(BedPlan[[#This Row],[Planned Greenhouse Start Date]]),"TP","DS")</f>
        <v>DS</v>
      </c>
      <c r="BI105">
        <f>BedPlan[[#This Row],['# Of Beds]]</f>
        <v>0.5</v>
      </c>
      <c r="BJ105" cm="1">
        <f t="array" ref="BJ105">INDEX(Crops[],BedPlan[[#This Row],[Chart Index]],BJ$4,1)</f>
        <v>0</v>
      </c>
      <c r="BK105" cm="1">
        <f t="array" ref="BK105">INDEX(Crops[],BedPlan[[#This Row],[Chart Index]],BK$4,1)</f>
        <v>6</v>
      </c>
      <c r="BL105" cm="1">
        <f t="array" ref="BL105">INDEX(Crops[],BedPlan[[#This Row],[Chart Index]],BL$4,1)</f>
        <v>1</v>
      </c>
      <c r="BM105" cm="1">
        <f t="array" ref="BM105">INDEX(Crops[],BedPlan[[#This Row],[Chart Index]],BM$4,1)</f>
        <v>1</v>
      </c>
      <c r="BN105" s="32" cm="1">
        <f t="array" ref="BN105">INDEX(Crops[],BedPlan[[#This Row],[Chart Index]],BN$4,1)*BedPlan[[#This Row],[Full Bed Equivalent]]</f>
        <v>1800</v>
      </c>
      <c r="BO105" t="str" cm="1">
        <f t="array" ref="BO105">IF(INDEX(Crops[],BedPlan[[#This Row],[Chart Index]],BO$4,1)=0,"",INDEX(Crops[],BedPlan[[#This Row],[Chart Index]],BO$4,1))</f>
        <v>OH</v>
      </c>
      <c r="BP105">
        <f>MATCH(BedPlan[[#This Row],[Crop]],Crops[Identifier],FALSE)</f>
        <v>255</v>
      </c>
      <c r="BQ105" t="str" cm="1">
        <f t="array" ref="BQ105">INDEX(Crops[],BedPlan[[#This Row],[Chart Index]],BQ$4,1)</f>
        <v>6r</v>
      </c>
      <c r="BR105" t="str" cm="1">
        <f t="array" ref="BR105">INDEX(Crops[],BedPlan[[#This Row],[Chart Index]],BR$4,1)</f>
        <v>Su</v>
      </c>
      <c r="BS105" s="32">
        <f>BedPlan[[#This Row],[Expected Beginning of Harvest]]-DATE(2023,1,1)</f>
        <v>942</v>
      </c>
      <c r="BT105">
        <f>BedPlan[[#This Row],[Expected End of Harvest]]-BedPlan[[#This Row],[Expected Beginning of Harvest]]</f>
        <v>21</v>
      </c>
      <c r="BU105" t="str" cm="1">
        <f t="array" ref="BU105">INDEX(Crops[],BedPlan[[#This Row],[Chart Index]],BU$4,1)</f>
        <v>Root</v>
      </c>
      <c r="BV105" cm="1">
        <f t="array" ref="BV105">INDEX(Crops[],BedPlan[[#This Row],[Chart Index]],BV$4,1)</f>
        <v>1</v>
      </c>
      <c r="BW105" t="str" cm="1">
        <f t="array" ref="BW105">INDEX(Crops[],BedPlan[[#This Row],[Chart Index]],BW$4,1)</f>
        <v>AMAP</v>
      </c>
      <c r="BX105" cm="1">
        <f t="array" ref="BX105">INDEX(Crops[],BedPlan[[#This Row],[Chart Index]],BX$4,1)</f>
        <v>0</v>
      </c>
      <c r="BY105" cm="1">
        <f t="array" ref="BY105">INDEX(Crops[],BedPlan[[#This Row],[Chart Index]],BY$4,1)</f>
        <v>0</v>
      </c>
      <c r="BZ105" s="49" t="str" cm="1">
        <f t="array" ref="BZ105">IFERROR(INDEX(Crops[],BedPlan[[#This Row],[Chart Index]],BZ$4,1)*BedPlan[[#This Row],[Full Bed Equivalent]],"")</f>
        <v/>
      </c>
      <c r="CA105" cm="1">
        <f t="array" ref="CA105">INDEX(Crops[],BedPlan[[#This Row],[Chart Index]],CA$4,1)</f>
        <v>0</v>
      </c>
      <c r="CB105" cm="1">
        <f t="array" ref="CB105">INDEX(Crops[],BedPlan[[#This Row],[Chart Index]],CB$4,1)</f>
        <v>0</v>
      </c>
      <c r="CC105" s="49" t="str" cm="1">
        <f t="array" ref="CC105">IFERROR(INDEX(Crops[],BedPlan[[#This Row],[Chart Index]],CC$4,1)*BedPlan[[#This Row],[Full Bed Equivalent]],"")</f>
        <v/>
      </c>
      <c r="CD105" cm="1">
        <f t="array" ref="CD105">INDEX(Crops[],BedPlan[[#This Row],[Chart Index]],CD$4,1)</f>
        <v>0</v>
      </c>
      <c r="CE105" cm="1">
        <f t="array" ref="CE105">IF(INDEX(Crops[],BedPlan[[#This Row],[Chart Index]],CE$4,1)="",0,INDEX(Crops[],BedPlan[[#This Row],[Chart Index]],CE$4,1))</f>
        <v>0</v>
      </c>
      <c r="CF105" s="49" t="str" cm="1">
        <f t="array" ref="CF105">IFERROR(INDEX(Crops[],BedPlan[[#This Row],[Chart Index]],CF$4,1)*BedPlan[[#This Row],[Full Bed Equivalent]],"")</f>
        <v/>
      </c>
      <c r="CG105" cm="1">
        <f t="array" ref="CG105">IF(INDEX(Crops[],BedPlan[[#This Row],[Chart Index]],CG$4,1)="",0,INDEX(Crops[],BedPlan[[#This Row],[Chart Index]],CG$4,1))</f>
        <v>1.3</v>
      </c>
      <c r="CH105" cm="1">
        <f t="array" ref="CH105">IF(INDEX(Crops[],BedPlan[[#This Row],[Chart Index]],CH$4,1)="",0,INDEX(Crops[],BedPlan[[#This Row],[Chart Index]],CH$4,1))</f>
        <v>7</v>
      </c>
      <c r="CI105" t="str" cm="1">
        <f t="array" ref="CI105">INDEX(Crops[],BedPlan[[#This Row],[Chart Index]],CI$4,1)</f>
        <v>Field</v>
      </c>
      <c r="CJ105" s="30" t="str">
        <f>_xlfn.TEXTJOIN(CHAR(10),FALSE,BedPlan[[#This Row],[Name]],BedPlan[[#This Row],[Variety]],BedPlan[[#This Row],[Company]])</f>
        <v xml:space="preserve">Radish
Radish Mix
</v>
      </c>
      <c r="CK105" s="32">
        <f>MAX( 0, MIN(BedPlan[[#This Row],[Expected End of Harvest]], EOMONTH(CK$4, 0)) - MAX(BedPlan[[#This Row],[Beginning of Harvest]], CK$4) + 1 )</f>
        <v>0</v>
      </c>
      <c r="CL105">
        <f>MAX( 0, MIN(BedPlan[[#This Row],[Expected End of Harvest]], EOMONTH(CL$4, 0)) - MAX(BedPlan[[#This Row],[Beginning of Harvest]], CL$4) + 1 )</f>
        <v>0</v>
      </c>
      <c r="CM105">
        <f>MAX( 0, MIN(BedPlan[[#This Row],[Expected End of Harvest]], EOMONTH(CM$4, 0)) - MAX(BedPlan[[#This Row],[Beginning of Harvest]], CM$4) + 1 )</f>
        <v>0</v>
      </c>
      <c r="CN105">
        <f>MAX( 0, MIN(BedPlan[[#This Row],[Expected End of Harvest]], EOMONTH(CN$4, 0)) - MAX(BedPlan[[#This Row],[Beginning of Harvest]], CN$4) + 1 )</f>
        <v>0</v>
      </c>
      <c r="CO105">
        <f>MAX( 0, MIN(BedPlan[[#This Row],[Expected End of Harvest]], EOMONTH(CO$4, 0)) - MAX(BedPlan[[#This Row],[Beginning of Harvest]], CO$4) + 1 )</f>
        <v>0</v>
      </c>
      <c r="CP105">
        <f>MAX( 0, MIN(BedPlan[[#This Row],[Expected End of Harvest]], EOMONTH(CP$4, 0)) - MAX(BedPlan[[#This Row],[Beginning of Harvest]], CP$4) + 1 )</f>
        <v>0</v>
      </c>
      <c r="CQ105">
        <f>MAX( 0, MIN(BedPlan[[#This Row],[Expected End of Harvest]], EOMONTH(CQ$4, 0)) - MAX(BedPlan[[#This Row],[Beginning of Harvest]], CQ$4) + 1 )</f>
        <v>1</v>
      </c>
      <c r="CR105">
        <f>MAX( 0, MIN(BedPlan[[#This Row],[Expected End of Harvest]], EOMONTH(CR$4, 0)) - MAX(BedPlan[[#This Row],[Beginning of Harvest]], CR$4) + 1 )</f>
        <v>21</v>
      </c>
      <c r="CS105">
        <f>MAX( 0, MIN(BedPlan[[#This Row],[Expected End of Harvest]], EOMONTH(CS$4, 0)) - MAX(BedPlan[[#This Row],[Beginning of Harvest]], CS$4) + 1 )</f>
        <v>0</v>
      </c>
      <c r="CT105">
        <f>MAX( 0, MIN(BedPlan[[#This Row],[Expected End of Harvest]], EOMONTH(CT$4, 0)) - MAX(BedPlan[[#This Row],[Beginning of Harvest]], CT$4) + 1 )</f>
        <v>0</v>
      </c>
      <c r="CU105">
        <f>MAX( 0, MIN(BedPlan[[#This Row],[Expected End of Harvest]], EOMONTH(CU$4, 0)) - MAX(BedPlan[[#This Row],[Beginning of Harvest]], CU$4) + 1 )</f>
        <v>0</v>
      </c>
      <c r="CV105">
        <f>MAX( 0, MIN(BedPlan[[#This Row],[Expected End of Harvest]], EOMONTH(CV$4, 0)) - MAX(BedPlan[[#This Row],[Beginning of Harvest]], CV$4) + 1 )</f>
        <v>0</v>
      </c>
      <c r="CW105">
        <f>MAX( 0, MIN(BedPlan[[#This Row],[Expected End of Harvest]], EOMONTH(CW$4, 0)) - MAX(BedPlan[[#This Row],[Beginning of Harvest]], CW$4) + 1 )</f>
        <v>0</v>
      </c>
      <c r="CX105">
        <f>MAX( 0, MIN(BedPlan[[#This Row],[Expected End of Harvest]], EOMONTH(CX$4, 0)) - MAX(BedPlan[[#This Row],[Beginning of Harvest]], CX$4) + 1 )</f>
        <v>0</v>
      </c>
      <c r="CY105">
        <f>MAX( 0, MIN(BedPlan[[#This Row],[Expected End of Harvest]], EOMONTH(CY$4, 0)) - MAX(BedPlan[[#This Row],[Beginning of Harvest]], CY$4) + 1 )</f>
        <v>0</v>
      </c>
      <c r="CZ105">
        <f>MAX( 0, MIN(BedPlan[[#This Row],[Expected End of Harvest]], EOMONTH(CZ$4, 0)) - MAX(BedPlan[[#This Row],[Beginning of Harvest]], CZ$4) + 1 )</f>
        <v>0</v>
      </c>
      <c r="DA105">
        <f>MAX( 0, MIN(BedPlan[[#This Row],[Expected End of Harvest]], EOMONTH(DA$4, 0)) - MAX(BedPlan[[#This Row],[Beginning of Harvest]], DA$4) + 1 )</f>
        <v>0</v>
      </c>
      <c r="DB105">
        <f>MAX( 0, MIN(BedPlan[[#This Row],[Expected End of Harvest]], EOMONTH(DB$4, 0)) - MAX(BedPlan[[#This Row],[Beginning of Harvest]], DB$4) + 1 )</f>
        <v>0</v>
      </c>
      <c r="DC105">
        <f>MAX( 0, MIN(BedPlan[[#This Row],[Expected End of Harvest]], EOMONTH(DC$4, 0)) - MAX(BedPlan[[#This Row],[Beginning of Harvest]], DC$4) + 1 )</f>
        <v>0</v>
      </c>
      <c r="DD105">
        <f>MAX( 0, MIN(BedPlan[[#This Row],[Expected End of Harvest]], EOMONTH(DD$4, 0)) - MAX(BedPlan[[#This Row],[Beginning of Harvest]], DD$4) + 1 )</f>
        <v>0</v>
      </c>
      <c r="DE105">
        <f>MAX( 0, MIN(BedPlan[[#This Row],[Expected End of Harvest]], EOMONTH(DE$4, 0)) - MAX(BedPlan[[#This Row],[Beginning of Harvest]], DE$4) + 1 )</f>
        <v>0</v>
      </c>
      <c r="DF105">
        <f>MAX( 0, MIN(BedPlan[[#This Row],[Expected End of Harvest]], EOMONTH(DF$4, 0)) - MAX(BedPlan[[#This Row],[Beginning of Harvest]], DF$4) + 1 )</f>
        <v>0</v>
      </c>
      <c r="DG105">
        <f>MAX( 0, MIN(BedPlan[[#This Row],[Expected End of Harvest]], EOMONTH(DG$4, 0)) - MAX(BedPlan[[#This Row],[Beginning of Harvest]], DG$4) + 1 )</f>
        <v>0</v>
      </c>
      <c r="DH105">
        <f>MAX( 0, MIN(BedPlan[[#This Row],[Expected End of Harvest]], EOMONTH(DH$4, 0)) - MAX(BedPlan[[#This Row],[Beginning of Harvest]], DH$4) + 1 )</f>
        <v>0</v>
      </c>
      <c r="DI105" s="257" cm="1">
        <f t="array" ref="DI105">BedPlan[[#This Row],[Harvest Days January 2025]]/SUM(BedPlan[[#This Row],[Harvest Days January 2025]:[Harvest Days December 2026]])*BedPlan[[#This Row],[Revenue]:[Revenue]]</f>
        <v>0</v>
      </c>
      <c r="DJ105" s="257" cm="1">
        <f t="array" ref="DJ105">BedPlan[[#This Row],[Harvest Days February 2025]]/SUM(BedPlan[[#This Row],[Harvest Days January 2025]:[Harvest Days December 2026]])*BedPlan[[#This Row],[Revenue]:[Revenue]]</f>
        <v>0</v>
      </c>
      <c r="DK105" s="257" cm="1">
        <f t="array" ref="DK105">BedPlan[[#This Row],[Harvest Days March 2025]]/SUM(BedPlan[[#This Row],[Harvest Days January 2025]:[Harvest Days December 2026]])*BedPlan[[#This Row],[Revenue]:[Revenue]]</f>
        <v>0</v>
      </c>
      <c r="DL105" s="257" cm="1">
        <f t="array" ref="DL105">BedPlan[[#This Row],[Harvest Days April 2025]]/SUM(BedPlan[[#This Row],[Harvest Days January 2025]:[Harvest Days December 2026]])*BedPlan[[#This Row],[Revenue]:[Revenue]]</f>
        <v>0</v>
      </c>
      <c r="DM105" s="257" cm="1">
        <f t="array" ref="DM105">BedPlan[[#This Row],[Harvest Days May 2025]]/SUM(BedPlan[[#This Row],[Harvest Days January 2025]:[Harvest Days December 2026]])*BedPlan[[#This Row],[Revenue]:[Revenue]]</f>
        <v>0</v>
      </c>
      <c r="DN105" s="257" cm="1">
        <f t="array" ref="DN105">BedPlan[[#This Row],[Harvest Days June 2025]]/SUM(BedPlan[[#This Row],[Harvest Days January 2025]:[Harvest Days December 2026]])*BedPlan[[#This Row],[Revenue]:[Revenue]]</f>
        <v>0</v>
      </c>
      <c r="DO105" s="257" cm="1">
        <f t="array" ref="DO105">BedPlan[[#This Row],[Harvest Days July 2025]]/SUM(BedPlan[[#This Row],[Harvest Days January 2025]:[Harvest Days December 2026]])*BedPlan[[#This Row],[Revenue]:[Revenue]]</f>
        <v>8.5227272727272734</v>
      </c>
      <c r="DP105" s="257" cm="1">
        <f t="array" ref="DP105">BedPlan[[#This Row],[Harvest Days August 2025]]/SUM(BedPlan[[#This Row],[Harvest Days January 2025]:[Harvest Days December 2026]])*BedPlan[[#This Row],[Revenue]:[Revenue]]</f>
        <v>178.97727272727275</v>
      </c>
      <c r="DQ105" s="257" cm="1">
        <f t="array" ref="DQ105">BedPlan[[#This Row],[Harvest Days September 2025]]/SUM(BedPlan[[#This Row],[Harvest Days January 2025]:[Harvest Days December 2026]])*BedPlan[[#This Row],[Revenue]:[Revenue]]</f>
        <v>0</v>
      </c>
      <c r="DR105" s="257" cm="1">
        <f t="array" ref="DR105">BedPlan[[#This Row],[Harvest Days October 2025]]/SUM(BedPlan[[#This Row],[Harvest Days January 2025]:[Harvest Days December 2026]])*BedPlan[[#This Row],[Revenue]:[Revenue]]</f>
        <v>0</v>
      </c>
      <c r="DS105" s="257" cm="1">
        <f t="array" ref="DS105">BedPlan[[#This Row],[Harvest Days November 2025]]/SUM(BedPlan[[#This Row],[Harvest Days January 2025]:[Harvest Days December 2026]])*BedPlan[[#This Row],[Revenue]:[Revenue]]</f>
        <v>0</v>
      </c>
      <c r="DT105" s="257" cm="1">
        <f t="array" ref="DT105">BedPlan[[#This Row],[Harvest Days December 2025]]/SUM(BedPlan[[#This Row],[Harvest Days January 2025]:[Harvest Days December 2026]])*BedPlan[[#This Row],[Revenue]:[Revenue]]</f>
        <v>0</v>
      </c>
      <c r="DU105" s="257" cm="1">
        <f t="array" ref="DU105">BedPlan[[#This Row],[Harvest Days January 2026]]/SUM(BedPlan[[#This Row],[Harvest Days January 2025]:[Harvest Days December 2026]])*BedPlan[[#This Row],[Revenue]:[Revenue]]</f>
        <v>0</v>
      </c>
      <c r="DV105" s="257" cm="1">
        <f t="array" ref="DV105">BedPlan[[#This Row],[Harvest Days February 2026]]/SUM(BedPlan[[#This Row],[Harvest Days January 2025]:[Harvest Days December 2026]])*BedPlan[[#This Row],[Revenue]:[Revenue]]</f>
        <v>0</v>
      </c>
      <c r="DW105" s="257" cm="1">
        <f t="array" ref="DW105">BedPlan[[#This Row],[Harvest Days March 2026]]/SUM(BedPlan[[#This Row],[Harvest Days January 2025]:[Harvest Days December 2026]])*BedPlan[[#This Row],[Revenue]:[Revenue]]</f>
        <v>0</v>
      </c>
      <c r="DX105" s="257" cm="1">
        <f t="array" ref="DX105">BedPlan[[#This Row],[Harvest Days April 2026]]/SUM(BedPlan[[#This Row],[Harvest Days January 2025]:[Harvest Days December 2026]])*BedPlan[[#This Row],[Revenue]:[Revenue]]</f>
        <v>0</v>
      </c>
      <c r="DY105" s="257" cm="1">
        <f t="array" ref="DY105">BedPlan[[#This Row],[Harvest Days May 2026]]/SUM(BedPlan[[#This Row],[Harvest Days January 2025]:[Harvest Days December 2026]])*BedPlan[[#This Row],[Revenue]:[Revenue]]</f>
        <v>0</v>
      </c>
      <c r="DZ105" s="257" cm="1">
        <f t="array" ref="DZ105">BedPlan[[#This Row],[Harvest Days June 2026]]/SUM(BedPlan[[#This Row],[Harvest Days January 2025]:[Harvest Days December 2026]])*BedPlan[[#This Row],[Revenue]:[Revenue]]</f>
        <v>0</v>
      </c>
      <c r="EA105" s="257" cm="1">
        <f t="array" ref="EA105">BedPlan[[#This Row],[Harvest Days July 2026]]/SUM(BedPlan[[#This Row],[Harvest Days January 2025]:[Harvest Days December 2026]])*BedPlan[[#This Row],[Revenue]:[Revenue]]</f>
        <v>0</v>
      </c>
      <c r="EB105" s="257" cm="1">
        <f t="array" ref="EB105">BedPlan[[#This Row],[Harvest Days August 2026]]/SUM(BedPlan[[#This Row],[Harvest Days January 2025]:[Harvest Days December 2026]])*BedPlan[[#This Row],[Revenue]:[Revenue]]</f>
        <v>0</v>
      </c>
      <c r="EC105" s="257" cm="1">
        <f t="array" ref="EC105">BedPlan[[#This Row],[Harvest Days September 2026]]/SUM(BedPlan[[#This Row],[Harvest Days January 2025]:[Harvest Days December 2026]])*BedPlan[[#This Row],[Revenue]:[Revenue]]</f>
        <v>0</v>
      </c>
      <c r="ED105" s="257" cm="1">
        <f t="array" ref="ED105">BedPlan[[#This Row],[Harvest Days October 2026]]/SUM(BedPlan[[#This Row],[Harvest Days January 2025]:[Harvest Days December 2026]])*BedPlan[[#This Row],[Revenue]:[Revenue]]</f>
        <v>0</v>
      </c>
      <c r="EE105" s="257" cm="1">
        <f t="array" ref="EE105">BedPlan[[#This Row],[Harvest Days November 2026]]/SUM(BedPlan[[#This Row],[Harvest Days January 2025]:[Harvest Days December 2026]])*BedPlan[[#This Row],[Revenue]:[Revenue]]</f>
        <v>0</v>
      </c>
      <c r="EF105" s="257" cm="1">
        <f t="array" ref="EF105">BedPlan[[#This Row],[Harvest Days December 2026]]/SUM(BedPlan[[#This Row],[Harvest Days January 2025]:[Harvest Days December 2026]])*BedPlan[[#This Row],[Revenue]:[Revenue]]</f>
        <v>0</v>
      </c>
      <c r="EG105" t="b">
        <f>SUM(BedPlan[[#This Row],[Revenue January 2025]:[Revenue December 2026]])=BedPlan[[#This Row],[Revenue]]</f>
        <v>1</v>
      </c>
      <c r="EH105" s="30" cm="1">
        <f t="array" ref="EH105">INDEX(Crops[],BedPlan[[#This Row],[Chart Index]],EH$4,1)*BedPlan[[#This Row],['# Of Beds]]</f>
        <v>62.5</v>
      </c>
      <c r="EI105" s="30" t="str" cm="1">
        <f t="array" ref="EI105">INDEX(Crops[],BedPlan[[#This Row],[Chart Index]],EI$4,1)</f>
        <v>Bunch</v>
      </c>
      <c r="EJ105" s="30" t="str" cm="1">
        <f t="array" ref="EJ105">INDEX(Crops[],BedPlan[[#This Row],[Chart Index]],EJ$4,1)</f>
        <v>Mature Root</v>
      </c>
      <c r="EK105" s="30" t="str">
        <f>BedPlan[[#This Row],[Name]]&amp;" "&amp;BedPlan[[#This Row],[Product]]&amp; " - " &amp;BedPlan[[#This Row],[Unit]]</f>
        <v>Radish Mature Root - Bunch</v>
      </c>
      <c r="EL105" s="33" cm="1">
        <f t="array" ref="EL105">BedPlan[[#This Row],[Harvest Days January 2025]]/SUM(BedPlan[[#This Row],[Harvest Days January 2025]:[Harvest Days December 2026]])*BedPlan[[#This Row],[Yield]:[Yield]]</f>
        <v>0</v>
      </c>
      <c r="EM105" s="33" cm="1">
        <f t="array" ref="EM105">BedPlan[[#This Row],[Harvest Days February 2025]]/SUM(BedPlan[[#This Row],[Harvest Days January 2025]:[Harvest Days December 2026]])*BedPlan[[#This Row],[Yield]:[Yield]]</f>
        <v>0</v>
      </c>
      <c r="EN105" s="33" cm="1">
        <f t="array" ref="EN105">BedPlan[[#This Row],[Harvest Days March 2025]]/SUM(BedPlan[[#This Row],[Harvest Days January 2025]:[Harvest Days December 2026]])*BedPlan[[#This Row],[Yield]:[Yield]]</f>
        <v>0</v>
      </c>
      <c r="EO105" s="33" cm="1">
        <f t="array" ref="EO105">BedPlan[[#This Row],[Harvest Days April 2025]]/SUM(BedPlan[[#This Row],[Harvest Days January 2025]:[Harvest Days December 2026]])*BedPlan[[#This Row],[Yield]:[Yield]]</f>
        <v>0</v>
      </c>
      <c r="EP105" s="33" cm="1">
        <f t="array" ref="EP105">BedPlan[[#This Row],[Harvest Days May 2025]]/SUM(BedPlan[[#This Row],[Harvest Days January 2025]:[Harvest Days December 2026]])*BedPlan[[#This Row],[Yield]:[Yield]]</f>
        <v>0</v>
      </c>
      <c r="EQ105" s="33" cm="1">
        <f t="array" ref="EQ105">BedPlan[[#This Row],[Harvest Days June 2025]]/SUM(BedPlan[[#This Row],[Harvest Days January 2025]:[Harvest Days December 2026]])*BedPlan[[#This Row],[Yield]:[Yield]]</f>
        <v>0</v>
      </c>
      <c r="ER105" s="33" cm="1">
        <f t="array" ref="ER105">BedPlan[[#This Row],[Harvest Days July 2025]]/SUM(BedPlan[[#This Row],[Harvest Days January 2025]:[Harvest Days December 2026]])*BedPlan[[#This Row],[Yield]:[Yield]]</f>
        <v>2.8409090909090908</v>
      </c>
      <c r="ES105" s="33" cm="1">
        <f t="array" ref="ES105">BedPlan[[#This Row],[Harvest Days August 2025]]/SUM(BedPlan[[#This Row],[Harvest Days January 2025]:[Harvest Days December 2026]])*BedPlan[[#This Row],[Yield]:[Yield]]</f>
        <v>59.659090909090914</v>
      </c>
      <c r="ET105" s="33" cm="1">
        <f t="array" ref="ET105">BedPlan[[#This Row],[Harvest Days September 2025]]/SUM(BedPlan[[#This Row],[Harvest Days January 2025]:[Harvest Days December 2026]])*BedPlan[[#This Row],[Yield]:[Yield]]</f>
        <v>0</v>
      </c>
      <c r="EU105" s="33" cm="1">
        <f t="array" ref="EU105">BedPlan[[#This Row],[Harvest Days October 2025]]/SUM(BedPlan[[#This Row],[Harvest Days January 2025]:[Harvest Days December 2026]])*BedPlan[[#This Row],[Yield]:[Yield]]</f>
        <v>0</v>
      </c>
      <c r="EV105" s="33" cm="1">
        <f t="array" ref="EV105">BedPlan[[#This Row],[Harvest Days November 2025]]/SUM(BedPlan[[#This Row],[Harvest Days January 2025]:[Harvest Days December 2026]])*BedPlan[[#This Row],[Yield]:[Yield]]</f>
        <v>0</v>
      </c>
      <c r="EW105" s="33" cm="1">
        <f t="array" ref="EW105">BedPlan[[#This Row],[Harvest Days December 2025]]/SUM(BedPlan[[#This Row],[Harvest Days January 2025]:[Harvest Days December 2026]])*BedPlan[[#This Row],[Yield]:[Yield]]</f>
        <v>0</v>
      </c>
    </row>
    <row r="106" spans="1:153" ht="15.75" customHeight="1">
      <c r="A106" s="191" t="s">
        <v>2614</v>
      </c>
      <c r="B106" s="240" t="s">
        <v>2757</v>
      </c>
      <c r="C106" t="s">
        <v>1455</v>
      </c>
      <c r="D106" s="226" cm="1">
        <f t="array" ref="D106">INDEX(Crops[],BedPlan[[#This Row],[Chart Index]],D$4,1)*BedPlan[[#This Row],[Full Bed Equivalent]]</f>
        <v>15.625</v>
      </c>
      <c r="E106" s="226" cm="1">
        <f t="array" ref="E106">INDEX(Crops[],BedPlan[[#This Row],[Chart Index]],E$4,1)*BedPlan[[#This Row],[Full Bed Equivalent]]</f>
        <v>62.5</v>
      </c>
      <c r="F106" t="str">
        <f>UPPER(LEFT(BedPlan[[#This Row],[Crop]],3))</f>
        <v>RAD</v>
      </c>
      <c r="H106" s="143" t="str" cm="1">
        <f t="array" ref="H106">INDEX(Crops[],BedPlan[[#This Row],[Chart Index]],H$4,1)</f>
        <v>Radish</v>
      </c>
      <c r="I106" t="s">
        <v>1347</v>
      </c>
      <c r="K106" t="str" cm="1">
        <f t="array" ref="K106">IF(ISNUMBER(MATCH(BedPlan[[#This Row],[Variety]],SeedMixes[Name],)),_xlfn.TEXTJOIN(", ",TRUE,_xlfn._xlws.FILTER(SeedMixes[Variety &amp; Company],SeedMixes[Name]=BedPlan[[#This Row],[Variety]])),"")</f>
        <v>French Breakfast High Mowing, Pearl Johnny's, Sora High Mowing, Patricia High Mowing</v>
      </c>
      <c r="L106" s="33" cm="1">
        <f t="array" ref="L106">INDEX(Crops[],BedPlan[[#This Row],[Chart Index]],L$4,1)*BedPlan[[#This Row],[Full Bed Equivalent]]</f>
        <v>2340</v>
      </c>
      <c r="N106">
        <v>0.5</v>
      </c>
      <c r="O106">
        <f>MAX(BedPlan[[#This Row],['# Of Beds]],0.5)</f>
        <v>0.5</v>
      </c>
      <c r="P106" s="31">
        <f>IF(ISNUMBER(BedPlan[[#This Row],[Planned Greenhouse Start Date]]),BedPlan[[#This Row],[Planned Greenhouse Start Date]],BedPlan[[#This Row],[Planned TP or DS Date]])</f>
        <v>45838</v>
      </c>
      <c r="Q106" s="259" t="str">
        <f>IF(BedPlan[[#This Row],[Days in Cells]]=0,"",IFERROR(_xlfn.XLOOKUP(BedPlan[[#This Row],[Follows Crop]],BedPlan[Identifier],BedPlan[Expected End of Harvest]) + 1+BedPlan[[#This Row],[Follow Offset]],BedPlan[[#This Row],[Fixed Field Start Date]])-BedPlan[[#This Row],[Days in Cells]])</f>
        <v/>
      </c>
      <c r="R106" s="259"/>
      <c r="S106" s="259" t="str">
        <f>IF(ISNUMBER(BedPlan[[#This Row],[Actual Greenhouse Date]]),BedPlan[[#This Row],[Actual Greenhouse Date]],BedPlan[[#This Row],[Planned Greenhouse Start Date]])</f>
        <v/>
      </c>
      <c r="T106" s="259">
        <f>_xlfn.XLOOKUP(BedPlan[[#This Row],[Crop]],Crops[Identifier],Crops[Target Field Date])+60</f>
        <v>45838</v>
      </c>
      <c r="U106" s="260"/>
      <c r="V106" s="260"/>
      <c r="W10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45838</v>
      </c>
      <c r="X106" s="259">
        <v>45859</v>
      </c>
      <c r="Y106" s="271">
        <f>BedPlan[[#This Row],[Actual TP or DS Date]]-BedPlan[[#This Row],[Planned TP or DS Date]]</f>
        <v>21</v>
      </c>
      <c r="Z106" s="259">
        <f>IF(ISNUMBER(BedPlan[[#This Row],[Actual TP or DS Date]]),BedPlan[[#This Row],[Actual TP or DS Date]],BedPlan[[#This Row],[Planned TP or DS Date]])</f>
        <v>45859</v>
      </c>
      <c r="AA106" s="259"/>
      <c r="AB106" s="259">
        <f>IF(ISNUMBER(BedPlan[[#This Row],[Greenhouse Start Date]]),BedPlan[[#This Row],[Greenhouse Start Date]]+BedPlan[[#This Row],[DTM]],BedPlan[[#This Row],[TP or DS Date]]+BedPlan[[#This Row],[DTM]])</f>
        <v>45891</v>
      </c>
      <c r="AC106" s="259"/>
      <c r="AD106" s="259">
        <f>IF(ISNUMBER(BedPlan[[#This Row],[Actual Beginning of Harvest]]),BedPlan[[#This Row],[Actual Beginning of Harvest]],BedPlan[[#This Row],[Expected Beginning of Harvest]])</f>
        <v>45891</v>
      </c>
      <c r="AE106" s="259">
        <f>BedPlan[[#This Row],[Expected Beginning of Harvest]]+BedPlan[[#This Row],[Harvest Window]]+BedPlan[[#This Row],[Additional Days of Harvest]]</f>
        <v>45912</v>
      </c>
      <c r="AF106" s="259"/>
      <c r="AG106" s="259"/>
      <c r="AH106" s="31" t="b">
        <f>IF(AND( BedPlan[[#This Row],[Expected End of Harvest]] &gt;= DATE(2025, 8, 1), BedPlan[[#This Row],[Beginning of Harvest]] &lt;= DATE(2025, 8, 31) ), TRUE, FALSE)</f>
        <v>1</v>
      </c>
      <c r="AI106" s="31"/>
      <c r="AJ106" s="31">
        <f>IF(ISNUMBER(BedPlan[[#This Row],[Actual End of Harvest]]),BedPlan[[#This Row],[Actual End of Harvest]],BedPlan[[#This Row],[Expected End of Harvest]])</f>
        <v>45912</v>
      </c>
      <c r="AK106" t="b">
        <f>OR(ISNUMBER(BedPlan[[#This Row],[Actual Greenhouse Date]]),ISNUMBER(BedPlan[[#This Row],[Actual TP or DS Date]]))</f>
        <v>1</v>
      </c>
      <c r="AL106" s="52" t="str">
        <f>IF(ISNUMBER(BedPlan[[#This Row],[Planned Greenhouse Start Date]]),OR(ISNUMBER(BedPlan[[#This Row],[Actual TP or DS Date]]),BedPlan[[#This Row],[Failed]]),"-")</f>
        <v>-</v>
      </c>
      <c r="AM106" t="b">
        <f>OR(ISNUMBER(BedPlan[[#This Row],[Actual End of Harvest]]),BedPlan[[#This Row],[Failed]])</f>
        <v>0</v>
      </c>
      <c r="AN106" t="b">
        <f>OR(BedPlan[[#This Row],[Harvest Done]],BedPlan[[#This Row],[Failed]],BedPlan[[#This Row],[Name]]="Tarp")</f>
        <v>0</v>
      </c>
      <c r="AS106" s="26" t="str">
        <f>IF(BedPlan[[#This Row],[Broadfork]],BedPlan[[#This Row],[Actual TP or DS Date]],"")</f>
        <v/>
      </c>
      <c r="AT106" s="26" t="str">
        <f>IF(BedPlan[[#This Row],[Tilther]],BedPlan[[#This Row],[Actual TP or DS Date]],"")</f>
        <v/>
      </c>
      <c r="AU106" s="26" t="str">
        <f>IF(NOT(ISBLANK(BedPlan[[#This Row],[Amend]])),BedPlan[[#This Row],[Actual TP or DS Date]],"")</f>
        <v/>
      </c>
      <c r="AV106" s="26" t="str">
        <f>IF(BedPlan[[#This Row],[Row Cover]],BedPlan[[#This Row],[Actual TP or DS Date]],"")</f>
        <v/>
      </c>
      <c r="AX106" s="26"/>
      <c r="AZ106" s="26"/>
      <c r="BB106" s="26"/>
      <c r="BC106" s="231" cm="1">
        <f t="array" ref="BC106">INDEX(Crops[],BedPlan[[#This Row],[Chart Index]],BC$4,1)*BedPlan[[#This Row],[Full Bed Equivalent]]</f>
        <v>187.5</v>
      </c>
      <c r="BD106" s="231" cm="1">
        <f t="array" ref="BD106">INDEX(Crops[],BedPlan[[#This Row],[Chart Index]],BD$4,1)*BedPlan[[#This Row],[Full Bed Equivalent]]</f>
        <v>3.5377358490566038</v>
      </c>
      <c r="BE106" cm="1">
        <f t="array" ref="BE106">INDEX(Crops[],BedPlan[[#This Row],[Chart Index]],BE$4,1)+BedPlan[[#This Row],[Additional Days in Cells]]+BedPlan[[#This Row],[Additional Days In Field]]</f>
        <v>32</v>
      </c>
      <c r="BG106" cm="1">
        <f t="array" ref="BG106">INDEX(Crops[],BedPlan[[#This Row],[Chart Index]],BG$4,1)</f>
        <v>21</v>
      </c>
      <c r="BH106" t="str">
        <f>IF(ISNUMBER(BedPlan[[#This Row],[Planned Greenhouse Start Date]]),"TP","DS")</f>
        <v>DS</v>
      </c>
      <c r="BI106">
        <f>BedPlan[[#This Row],['# Of Beds]]</f>
        <v>0.5</v>
      </c>
      <c r="BJ106" cm="1">
        <f t="array" ref="BJ106">INDEX(Crops[],BedPlan[[#This Row],[Chart Index]],BJ$4,1)</f>
        <v>0</v>
      </c>
      <c r="BK106" cm="1">
        <f t="array" ref="BK106">INDEX(Crops[],BedPlan[[#This Row],[Chart Index]],BK$4,1)</f>
        <v>6</v>
      </c>
      <c r="BL106" cm="1">
        <f t="array" ref="BL106">INDEX(Crops[],BedPlan[[#This Row],[Chart Index]],BL$4,1)</f>
        <v>1</v>
      </c>
      <c r="BM106" cm="1">
        <f t="array" ref="BM106">INDEX(Crops[],BedPlan[[#This Row],[Chart Index]],BM$4,1)</f>
        <v>1</v>
      </c>
      <c r="BN106" s="32" cm="1">
        <f t="array" ref="BN106">INDEX(Crops[],BedPlan[[#This Row],[Chart Index]],BN$4,1)*BedPlan[[#This Row],[Full Bed Equivalent]]</f>
        <v>1800</v>
      </c>
      <c r="BO106" t="str" cm="1">
        <f t="array" ref="BO106">IF(INDEX(Crops[],BedPlan[[#This Row],[Chart Index]],BO$4,1)=0,"",INDEX(Crops[],BedPlan[[#This Row],[Chart Index]],BO$4,1))</f>
        <v>OH</v>
      </c>
      <c r="BP106">
        <f>MATCH(BedPlan[[#This Row],[Crop]],Crops[Identifier],FALSE)</f>
        <v>255</v>
      </c>
      <c r="BQ106" t="str" cm="1">
        <f t="array" ref="BQ106">INDEX(Crops[],BedPlan[[#This Row],[Chart Index]],BQ$4,1)</f>
        <v>6r</v>
      </c>
      <c r="BR106" t="str" cm="1">
        <f t="array" ref="BR106">INDEX(Crops[],BedPlan[[#This Row],[Chart Index]],BR$4,1)</f>
        <v>Su</v>
      </c>
      <c r="BS106" s="32">
        <f>BedPlan[[#This Row],[Expected Beginning of Harvest]]-DATE(2023,1,1)</f>
        <v>964</v>
      </c>
      <c r="BT106">
        <f>BedPlan[[#This Row],[Expected End of Harvest]]-BedPlan[[#This Row],[Expected Beginning of Harvest]]</f>
        <v>21</v>
      </c>
      <c r="BU106" t="str" cm="1">
        <f t="array" ref="BU106">INDEX(Crops[],BedPlan[[#This Row],[Chart Index]],BU$4,1)</f>
        <v>Root</v>
      </c>
      <c r="BV106" cm="1">
        <f t="array" ref="BV106">INDEX(Crops[],BedPlan[[#This Row],[Chart Index]],BV$4,1)</f>
        <v>1</v>
      </c>
      <c r="BW106" t="str" cm="1">
        <f t="array" ref="BW106">INDEX(Crops[],BedPlan[[#This Row],[Chart Index]],BW$4,1)</f>
        <v>AMAP</v>
      </c>
      <c r="BX106" cm="1">
        <f t="array" ref="BX106">INDEX(Crops[],BedPlan[[#This Row],[Chart Index]],BX$4,1)</f>
        <v>0</v>
      </c>
      <c r="BY106" cm="1">
        <f t="array" ref="BY106">INDEX(Crops[],BedPlan[[#This Row],[Chart Index]],BY$4,1)</f>
        <v>0</v>
      </c>
      <c r="BZ106" s="49" t="str" cm="1">
        <f t="array" ref="BZ106">IFERROR(INDEX(Crops[],BedPlan[[#This Row],[Chart Index]],BZ$4,1)*BedPlan[[#This Row],[Full Bed Equivalent]],"")</f>
        <v/>
      </c>
      <c r="CA106" cm="1">
        <f t="array" ref="CA106">INDEX(Crops[],BedPlan[[#This Row],[Chart Index]],CA$4,1)</f>
        <v>0</v>
      </c>
      <c r="CB106" cm="1">
        <f t="array" ref="CB106">INDEX(Crops[],BedPlan[[#This Row],[Chart Index]],CB$4,1)</f>
        <v>0</v>
      </c>
      <c r="CC106" s="49" t="str" cm="1">
        <f t="array" ref="CC106">IFERROR(INDEX(Crops[],BedPlan[[#This Row],[Chart Index]],CC$4,1)*BedPlan[[#This Row],[Full Bed Equivalent]],"")</f>
        <v/>
      </c>
      <c r="CD106" cm="1">
        <f t="array" ref="CD106">INDEX(Crops[],BedPlan[[#This Row],[Chart Index]],CD$4,1)</f>
        <v>0</v>
      </c>
      <c r="CE106" cm="1">
        <f t="array" ref="CE106">IF(INDEX(Crops[],BedPlan[[#This Row],[Chart Index]],CE$4,1)="",0,INDEX(Crops[],BedPlan[[#This Row],[Chart Index]],CE$4,1))</f>
        <v>0</v>
      </c>
      <c r="CF106" s="49" t="str" cm="1">
        <f t="array" ref="CF106">IFERROR(INDEX(Crops[],BedPlan[[#This Row],[Chart Index]],CF$4,1)*BedPlan[[#This Row],[Full Bed Equivalent]],"")</f>
        <v/>
      </c>
      <c r="CG106" cm="1">
        <f t="array" ref="CG106">IF(INDEX(Crops[],BedPlan[[#This Row],[Chart Index]],CG$4,1)="",0,INDEX(Crops[],BedPlan[[#This Row],[Chart Index]],CG$4,1))</f>
        <v>1.3</v>
      </c>
      <c r="CH106" cm="1">
        <f t="array" ref="CH106">IF(INDEX(Crops[],BedPlan[[#This Row],[Chart Index]],CH$4,1)="",0,INDEX(Crops[],BedPlan[[#This Row],[Chart Index]],CH$4,1))</f>
        <v>7</v>
      </c>
      <c r="CI106" t="str" cm="1">
        <f t="array" ref="CI106">INDEX(Crops[],BedPlan[[#This Row],[Chart Index]],CI$4,1)</f>
        <v>Field</v>
      </c>
      <c r="CJ106" s="30" t="str">
        <f>_xlfn.TEXTJOIN(CHAR(10),FALSE,BedPlan[[#This Row],[Name]],BedPlan[[#This Row],[Variety]],BedPlan[[#This Row],[Company]])</f>
        <v xml:space="preserve">Radish
Radish Mix
</v>
      </c>
      <c r="CK106" s="32">
        <f>MAX( 0, MIN(BedPlan[[#This Row],[Expected End of Harvest]], EOMONTH(CK$4, 0)) - MAX(BedPlan[[#This Row],[Beginning of Harvest]], CK$4) + 1 )</f>
        <v>0</v>
      </c>
      <c r="CL106">
        <f>MAX( 0, MIN(BedPlan[[#This Row],[Expected End of Harvest]], EOMONTH(CL$4, 0)) - MAX(BedPlan[[#This Row],[Beginning of Harvest]], CL$4) + 1 )</f>
        <v>0</v>
      </c>
      <c r="CM106">
        <f>MAX( 0, MIN(BedPlan[[#This Row],[Expected End of Harvest]], EOMONTH(CM$4, 0)) - MAX(BedPlan[[#This Row],[Beginning of Harvest]], CM$4) + 1 )</f>
        <v>0</v>
      </c>
      <c r="CN106">
        <f>MAX( 0, MIN(BedPlan[[#This Row],[Expected End of Harvest]], EOMONTH(CN$4, 0)) - MAX(BedPlan[[#This Row],[Beginning of Harvest]], CN$4) + 1 )</f>
        <v>0</v>
      </c>
      <c r="CO106">
        <f>MAX( 0, MIN(BedPlan[[#This Row],[Expected End of Harvest]], EOMONTH(CO$4, 0)) - MAX(BedPlan[[#This Row],[Beginning of Harvest]], CO$4) + 1 )</f>
        <v>0</v>
      </c>
      <c r="CP106">
        <f>MAX( 0, MIN(BedPlan[[#This Row],[Expected End of Harvest]], EOMONTH(CP$4, 0)) - MAX(BedPlan[[#This Row],[Beginning of Harvest]], CP$4) + 1 )</f>
        <v>0</v>
      </c>
      <c r="CQ106">
        <f>MAX( 0, MIN(BedPlan[[#This Row],[Expected End of Harvest]], EOMONTH(CQ$4, 0)) - MAX(BedPlan[[#This Row],[Beginning of Harvest]], CQ$4) + 1 )</f>
        <v>0</v>
      </c>
      <c r="CR106">
        <f>MAX( 0, MIN(BedPlan[[#This Row],[Expected End of Harvest]], EOMONTH(CR$4, 0)) - MAX(BedPlan[[#This Row],[Beginning of Harvest]], CR$4) + 1 )</f>
        <v>10</v>
      </c>
      <c r="CS106">
        <f>MAX( 0, MIN(BedPlan[[#This Row],[Expected End of Harvest]], EOMONTH(CS$4, 0)) - MAX(BedPlan[[#This Row],[Beginning of Harvest]], CS$4) + 1 )</f>
        <v>12</v>
      </c>
      <c r="CT106">
        <f>MAX( 0, MIN(BedPlan[[#This Row],[Expected End of Harvest]], EOMONTH(CT$4, 0)) - MAX(BedPlan[[#This Row],[Beginning of Harvest]], CT$4) + 1 )</f>
        <v>0</v>
      </c>
      <c r="CU106">
        <f>MAX( 0, MIN(BedPlan[[#This Row],[Expected End of Harvest]], EOMONTH(CU$4, 0)) - MAX(BedPlan[[#This Row],[Beginning of Harvest]], CU$4) + 1 )</f>
        <v>0</v>
      </c>
      <c r="CV106">
        <f>MAX( 0, MIN(BedPlan[[#This Row],[Expected End of Harvest]], EOMONTH(CV$4, 0)) - MAX(BedPlan[[#This Row],[Beginning of Harvest]], CV$4) + 1 )</f>
        <v>0</v>
      </c>
      <c r="CW106">
        <f>MAX( 0, MIN(BedPlan[[#This Row],[Expected End of Harvest]], EOMONTH(CW$4, 0)) - MAX(BedPlan[[#This Row],[Beginning of Harvest]], CW$4) + 1 )</f>
        <v>0</v>
      </c>
      <c r="CX106">
        <f>MAX( 0, MIN(BedPlan[[#This Row],[Expected End of Harvest]], EOMONTH(CX$4, 0)) - MAX(BedPlan[[#This Row],[Beginning of Harvest]], CX$4) + 1 )</f>
        <v>0</v>
      </c>
      <c r="CY106">
        <f>MAX( 0, MIN(BedPlan[[#This Row],[Expected End of Harvest]], EOMONTH(CY$4, 0)) - MAX(BedPlan[[#This Row],[Beginning of Harvest]], CY$4) + 1 )</f>
        <v>0</v>
      </c>
      <c r="CZ106">
        <f>MAX( 0, MIN(BedPlan[[#This Row],[Expected End of Harvest]], EOMONTH(CZ$4, 0)) - MAX(BedPlan[[#This Row],[Beginning of Harvest]], CZ$4) + 1 )</f>
        <v>0</v>
      </c>
      <c r="DA106">
        <f>MAX( 0, MIN(BedPlan[[#This Row],[Expected End of Harvest]], EOMONTH(DA$4, 0)) - MAX(BedPlan[[#This Row],[Beginning of Harvest]], DA$4) + 1 )</f>
        <v>0</v>
      </c>
      <c r="DB106">
        <f>MAX( 0, MIN(BedPlan[[#This Row],[Expected End of Harvest]], EOMONTH(DB$4, 0)) - MAX(BedPlan[[#This Row],[Beginning of Harvest]], DB$4) + 1 )</f>
        <v>0</v>
      </c>
      <c r="DC106">
        <f>MAX( 0, MIN(BedPlan[[#This Row],[Expected End of Harvest]], EOMONTH(DC$4, 0)) - MAX(BedPlan[[#This Row],[Beginning of Harvest]], DC$4) + 1 )</f>
        <v>0</v>
      </c>
      <c r="DD106">
        <f>MAX( 0, MIN(BedPlan[[#This Row],[Expected End of Harvest]], EOMONTH(DD$4, 0)) - MAX(BedPlan[[#This Row],[Beginning of Harvest]], DD$4) + 1 )</f>
        <v>0</v>
      </c>
      <c r="DE106">
        <f>MAX( 0, MIN(BedPlan[[#This Row],[Expected End of Harvest]], EOMONTH(DE$4, 0)) - MAX(BedPlan[[#This Row],[Beginning of Harvest]], DE$4) + 1 )</f>
        <v>0</v>
      </c>
      <c r="DF106">
        <f>MAX( 0, MIN(BedPlan[[#This Row],[Expected End of Harvest]], EOMONTH(DF$4, 0)) - MAX(BedPlan[[#This Row],[Beginning of Harvest]], DF$4) + 1 )</f>
        <v>0</v>
      </c>
      <c r="DG106">
        <f>MAX( 0, MIN(BedPlan[[#This Row],[Expected End of Harvest]], EOMONTH(DG$4, 0)) - MAX(BedPlan[[#This Row],[Beginning of Harvest]], DG$4) + 1 )</f>
        <v>0</v>
      </c>
      <c r="DH106">
        <f>MAX( 0, MIN(BedPlan[[#This Row],[Expected End of Harvest]], EOMONTH(DH$4, 0)) - MAX(BedPlan[[#This Row],[Beginning of Harvest]], DH$4) + 1 )</f>
        <v>0</v>
      </c>
      <c r="DI106" s="257" cm="1">
        <f t="array" ref="DI106">BedPlan[[#This Row],[Harvest Days January 2025]]/SUM(BedPlan[[#This Row],[Harvest Days January 2025]:[Harvest Days December 2026]])*BedPlan[[#This Row],[Revenue]:[Revenue]]</f>
        <v>0</v>
      </c>
      <c r="DJ106" s="257" cm="1">
        <f t="array" ref="DJ106">BedPlan[[#This Row],[Harvest Days February 2025]]/SUM(BedPlan[[#This Row],[Harvest Days January 2025]:[Harvest Days December 2026]])*BedPlan[[#This Row],[Revenue]:[Revenue]]</f>
        <v>0</v>
      </c>
      <c r="DK106" s="257" cm="1">
        <f t="array" ref="DK106">BedPlan[[#This Row],[Harvest Days March 2025]]/SUM(BedPlan[[#This Row],[Harvest Days January 2025]:[Harvest Days December 2026]])*BedPlan[[#This Row],[Revenue]:[Revenue]]</f>
        <v>0</v>
      </c>
      <c r="DL106" s="257" cm="1">
        <f t="array" ref="DL106">BedPlan[[#This Row],[Harvest Days April 2025]]/SUM(BedPlan[[#This Row],[Harvest Days January 2025]:[Harvest Days December 2026]])*BedPlan[[#This Row],[Revenue]:[Revenue]]</f>
        <v>0</v>
      </c>
      <c r="DM106" s="257" cm="1">
        <f t="array" ref="DM106">BedPlan[[#This Row],[Harvest Days May 2025]]/SUM(BedPlan[[#This Row],[Harvest Days January 2025]:[Harvest Days December 2026]])*BedPlan[[#This Row],[Revenue]:[Revenue]]</f>
        <v>0</v>
      </c>
      <c r="DN106" s="257" cm="1">
        <f t="array" ref="DN106">BedPlan[[#This Row],[Harvest Days June 2025]]/SUM(BedPlan[[#This Row],[Harvest Days January 2025]:[Harvest Days December 2026]])*BedPlan[[#This Row],[Revenue]:[Revenue]]</f>
        <v>0</v>
      </c>
      <c r="DO106" s="257" cm="1">
        <f t="array" ref="DO106">BedPlan[[#This Row],[Harvest Days July 2025]]/SUM(BedPlan[[#This Row],[Harvest Days January 2025]:[Harvest Days December 2026]])*BedPlan[[#This Row],[Revenue]:[Revenue]]</f>
        <v>0</v>
      </c>
      <c r="DP106" s="257" cm="1">
        <f t="array" ref="DP106">BedPlan[[#This Row],[Harvest Days August 2025]]/SUM(BedPlan[[#This Row],[Harvest Days January 2025]:[Harvest Days December 2026]])*BedPlan[[#This Row],[Revenue]:[Revenue]]</f>
        <v>85.22727272727272</v>
      </c>
      <c r="DQ106" s="257" cm="1">
        <f t="array" ref="DQ106">BedPlan[[#This Row],[Harvest Days September 2025]]/SUM(BedPlan[[#This Row],[Harvest Days January 2025]:[Harvest Days December 2026]])*BedPlan[[#This Row],[Revenue]:[Revenue]]</f>
        <v>102.27272727272727</v>
      </c>
      <c r="DR106" s="257" cm="1">
        <f t="array" ref="DR106">BedPlan[[#This Row],[Harvest Days October 2025]]/SUM(BedPlan[[#This Row],[Harvest Days January 2025]:[Harvest Days December 2026]])*BedPlan[[#This Row],[Revenue]:[Revenue]]</f>
        <v>0</v>
      </c>
      <c r="DS106" s="257" cm="1">
        <f t="array" ref="DS106">BedPlan[[#This Row],[Harvest Days November 2025]]/SUM(BedPlan[[#This Row],[Harvest Days January 2025]:[Harvest Days December 2026]])*BedPlan[[#This Row],[Revenue]:[Revenue]]</f>
        <v>0</v>
      </c>
      <c r="DT106" s="257" cm="1">
        <f t="array" ref="DT106">BedPlan[[#This Row],[Harvest Days December 2025]]/SUM(BedPlan[[#This Row],[Harvest Days January 2025]:[Harvest Days December 2026]])*BedPlan[[#This Row],[Revenue]:[Revenue]]</f>
        <v>0</v>
      </c>
      <c r="DU106" s="257" cm="1">
        <f t="array" ref="DU106">BedPlan[[#This Row],[Harvest Days January 2026]]/SUM(BedPlan[[#This Row],[Harvest Days January 2025]:[Harvest Days December 2026]])*BedPlan[[#This Row],[Revenue]:[Revenue]]</f>
        <v>0</v>
      </c>
      <c r="DV106" s="257" cm="1">
        <f t="array" ref="DV106">BedPlan[[#This Row],[Harvest Days February 2026]]/SUM(BedPlan[[#This Row],[Harvest Days January 2025]:[Harvest Days December 2026]])*BedPlan[[#This Row],[Revenue]:[Revenue]]</f>
        <v>0</v>
      </c>
      <c r="DW106" s="257" cm="1">
        <f t="array" ref="DW106">BedPlan[[#This Row],[Harvest Days March 2026]]/SUM(BedPlan[[#This Row],[Harvest Days January 2025]:[Harvest Days December 2026]])*BedPlan[[#This Row],[Revenue]:[Revenue]]</f>
        <v>0</v>
      </c>
      <c r="DX106" s="257" cm="1">
        <f t="array" ref="DX106">BedPlan[[#This Row],[Harvest Days April 2026]]/SUM(BedPlan[[#This Row],[Harvest Days January 2025]:[Harvest Days December 2026]])*BedPlan[[#This Row],[Revenue]:[Revenue]]</f>
        <v>0</v>
      </c>
      <c r="DY106" s="257" cm="1">
        <f t="array" ref="DY106">BedPlan[[#This Row],[Harvest Days May 2026]]/SUM(BedPlan[[#This Row],[Harvest Days January 2025]:[Harvest Days December 2026]])*BedPlan[[#This Row],[Revenue]:[Revenue]]</f>
        <v>0</v>
      </c>
      <c r="DZ106" s="257" cm="1">
        <f t="array" ref="DZ106">BedPlan[[#This Row],[Harvest Days June 2026]]/SUM(BedPlan[[#This Row],[Harvest Days January 2025]:[Harvest Days December 2026]])*BedPlan[[#This Row],[Revenue]:[Revenue]]</f>
        <v>0</v>
      </c>
      <c r="EA106" s="257" cm="1">
        <f t="array" ref="EA106">BedPlan[[#This Row],[Harvest Days July 2026]]/SUM(BedPlan[[#This Row],[Harvest Days January 2025]:[Harvest Days December 2026]])*BedPlan[[#This Row],[Revenue]:[Revenue]]</f>
        <v>0</v>
      </c>
      <c r="EB106" s="257" cm="1">
        <f t="array" ref="EB106">BedPlan[[#This Row],[Harvest Days August 2026]]/SUM(BedPlan[[#This Row],[Harvest Days January 2025]:[Harvest Days December 2026]])*BedPlan[[#This Row],[Revenue]:[Revenue]]</f>
        <v>0</v>
      </c>
      <c r="EC106" s="257" cm="1">
        <f t="array" ref="EC106">BedPlan[[#This Row],[Harvest Days September 2026]]/SUM(BedPlan[[#This Row],[Harvest Days January 2025]:[Harvest Days December 2026]])*BedPlan[[#This Row],[Revenue]:[Revenue]]</f>
        <v>0</v>
      </c>
      <c r="ED106" s="257" cm="1">
        <f t="array" ref="ED106">BedPlan[[#This Row],[Harvest Days October 2026]]/SUM(BedPlan[[#This Row],[Harvest Days January 2025]:[Harvest Days December 2026]])*BedPlan[[#This Row],[Revenue]:[Revenue]]</f>
        <v>0</v>
      </c>
      <c r="EE106" s="257" cm="1">
        <f t="array" ref="EE106">BedPlan[[#This Row],[Harvest Days November 2026]]/SUM(BedPlan[[#This Row],[Harvest Days January 2025]:[Harvest Days December 2026]])*BedPlan[[#This Row],[Revenue]:[Revenue]]</f>
        <v>0</v>
      </c>
      <c r="EF106" s="257" cm="1">
        <f t="array" ref="EF106">BedPlan[[#This Row],[Harvest Days December 2026]]/SUM(BedPlan[[#This Row],[Harvest Days January 2025]:[Harvest Days December 2026]])*BedPlan[[#This Row],[Revenue]:[Revenue]]</f>
        <v>0</v>
      </c>
      <c r="EG106" t="b">
        <f>SUM(BedPlan[[#This Row],[Revenue January 2025]:[Revenue December 2026]])=BedPlan[[#This Row],[Revenue]]</f>
        <v>1</v>
      </c>
      <c r="EH106" s="30" cm="1">
        <f t="array" ref="EH106">INDEX(Crops[],BedPlan[[#This Row],[Chart Index]],EH$4,1)*BedPlan[[#This Row],['# Of Beds]]</f>
        <v>62.5</v>
      </c>
      <c r="EI106" s="30" t="str" cm="1">
        <f t="array" ref="EI106">INDEX(Crops[],BedPlan[[#This Row],[Chart Index]],EI$4,1)</f>
        <v>Bunch</v>
      </c>
      <c r="EJ106" s="30" t="str" cm="1">
        <f t="array" ref="EJ106">INDEX(Crops[],BedPlan[[#This Row],[Chart Index]],EJ$4,1)</f>
        <v>Mature Root</v>
      </c>
      <c r="EK106" s="30" t="str">
        <f>BedPlan[[#This Row],[Name]]&amp;" "&amp;BedPlan[[#This Row],[Product]]&amp; " - " &amp;BedPlan[[#This Row],[Unit]]</f>
        <v>Radish Mature Root - Bunch</v>
      </c>
      <c r="EL106" s="33" cm="1">
        <f t="array" ref="EL106">BedPlan[[#This Row],[Harvest Days January 2025]]/SUM(BedPlan[[#This Row],[Harvest Days January 2025]:[Harvest Days December 2026]])*BedPlan[[#This Row],[Yield]:[Yield]]</f>
        <v>0</v>
      </c>
      <c r="EM106" s="33" cm="1">
        <f t="array" ref="EM106">BedPlan[[#This Row],[Harvest Days February 2025]]/SUM(BedPlan[[#This Row],[Harvest Days January 2025]:[Harvest Days December 2026]])*BedPlan[[#This Row],[Yield]:[Yield]]</f>
        <v>0</v>
      </c>
      <c r="EN106" s="33" cm="1">
        <f t="array" ref="EN106">BedPlan[[#This Row],[Harvest Days March 2025]]/SUM(BedPlan[[#This Row],[Harvest Days January 2025]:[Harvest Days December 2026]])*BedPlan[[#This Row],[Yield]:[Yield]]</f>
        <v>0</v>
      </c>
      <c r="EO106" s="33" cm="1">
        <f t="array" ref="EO106">BedPlan[[#This Row],[Harvest Days April 2025]]/SUM(BedPlan[[#This Row],[Harvest Days January 2025]:[Harvest Days December 2026]])*BedPlan[[#This Row],[Yield]:[Yield]]</f>
        <v>0</v>
      </c>
      <c r="EP106" s="33" cm="1">
        <f t="array" ref="EP106">BedPlan[[#This Row],[Harvest Days May 2025]]/SUM(BedPlan[[#This Row],[Harvest Days January 2025]:[Harvest Days December 2026]])*BedPlan[[#This Row],[Yield]:[Yield]]</f>
        <v>0</v>
      </c>
      <c r="EQ106" s="33" cm="1">
        <f t="array" ref="EQ106">BedPlan[[#This Row],[Harvest Days June 2025]]/SUM(BedPlan[[#This Row],[Harvest Days January 2025]:[Harvest Days December 2026]])*BedPlan[[#This Row],[Yield]:[Yield]]</f>
        <v>0</v>
      </c>
      <c r="ER106" s="33" cm="1">
        <f t="array" ref="ER106">BedPlan[[#This Row],[Harvest Days July 2025]]/SUM(BedPlan[[#This Row],[Harvest Days January 2025]:[Harvest Days December 2026]])*BedPlan[[#This Row],[Yield]:[Yield]]</f>
        <v>0</v>
      </c>
      <c r="ES106" s="33" cm="1">
        <f t="array" ref="ES106">BedPlan[[#This Row],[Harvest Days August 2025]]/SUM(BedPlan[[#This Row],[Harvest Days January 2025]:[Harvest Days December 2026]])*BedPlan[[#This Row],[Yield]:[Yield]]</f>
        <v>28.409090909090907</v>
      </c>
      <c r="ET106" s="33" cm="1">
        <f t="array" ref="ET106">BedPlan[[#This Row],[Harvest Days September 2025]]/SUM(BedPlan[[#This Row],[Harvest Days January 2025]:[Harvest Days December 2026]])*BedPlan[[#This Row],[Yield]:[Yield]]</f>
        <v>34.090909090909086</v>
      </c>
      <c r="EU106" s="33" cm="1">
        <f t="array" ref="EU106">BedPlan[[#This Row],[Harvest Days October 2025]]/SUM(BedPlan[[#This Row],[Harvest Days January 2025]:[Harvest Days December 2026]])*BedPlan[[#This Row],[Yield]:[Yield]]</f>
        <v>0</v>
      </c>
      <c r="EV106" s="33" cm="1">
        <f t="array" ref="EV106">BedPlan[[#This Row],[Harvest Days November 2025]]/SUM(BedPlan[[#This Row],[Harvest Days January 2025]:[Harvest Days December 2026]])*BedPlan[[#This Row],[Yield]:[Yield]]</f>
        <v>0</v>
      </c>
      <c r="EW106" s="33" cm="1">
        <f t="array" ref="EW106">BedPlan[[#This Row],[Harvest Days December 2025]]/SUM(BedPlan[[#This Row],[Harvest Days January 2025]:[Harvest Days December 2026]])*BedPlan[[#This Row],[Yield]:[Yield]]</f>
        <v>0</v>
      </c>
    </row>
    <row r="107" spans="1:153" ht="15.75" customHeight="1">
      <c r="A107" s="191" t="s">
        <v>2614</v>
      </c>
      <c r="B107" s="240" t="s">
        <v>2758</v>
      </c>
      <c r="C107" t="s">
        <v>1454</v>
      </c>
      <c r="D107" s="226" cm="1">
        <f t="array" ref="D107">INDEX(Crops[],BedPlan[[#This Row],[Chart Index]],D$4,1)*BedPlan[[#This Row],[Full Bed Equivalent]]</f>
        <v>15.625</v>
      </c>
      <c r="E107" s="226" cm="1">
        <f t="array" ref="E107">INDEX(Crops[],BedPlan[[#This Row],[Chart Index]],E$4,1)*BedPlan[[#This Row],[Full Bed Equivalent]]</f>
        <v>62.5</v>
      </c>
      <c r="F107" t="str">
        <f>UPPER(LEFT(BedPlan[[#This Row],[Crop]],3))</f>
        <v>RAD</v>
      </c>
      <c r="H107" s="143" t="str" cm="1">
        <f t="array" ref="H107">INDEX(Crops[],BedPlan[[#This Row],[Chart Index]],H$4,1)</f>
        <v>Radish</v>
      </c>
      <c r="I107" t="s">
        <v>1347</v>
      </c>
      <c r="K107" t="str" cm="1">
        <f t="array" ref="K107">IF(ISNUMBER(MATCH(BedPlan[[#This Row],[Variety]],SeedMixes[Name],)),_xlfn.TEXTJOIN(", ",TRUE,_xlfn._xlws.FILTER(SeedMixes[Variety &amp; Company],SeedMixes[Name]=BedPlan[[#This Row],[Variety]])),"")</f>
        <v>French Breakfast High Mowing, Pearl Johnny's, Sora High Mowing, Patricia High Mowing</v>
      </c>
      <c r="L107" s="33" cm="1">
        <f t="array" ref="L107">INDEX(Crops[],BedPlan[[#This Row],[Chart Index]],L$4,1)*BedPlan[[#This Row],[Full Bed Equivalent]]</f>
        <v>2340</v>
      </c>
      <c r="N107">
        <v>0.5</v>
      </c>
      <c r="O107">
        <f>MAX(BedPlan[[#This Row],['# Of Beds]],0.5)</f>
        <v>0.5</v>
      </c>
      <c r="P107" s="31">
        <f>IF(ISNUMBER(BedPlan[[#This Row],[Planned Greenhouse Start Date]]),BedPlan[[#This Row],[Planned Greenhouse Start Date]],BedPlan[[#This Row],[Planned TP or DS Date]])</f>
        <v>45868</v>
      </c>
      <c r="Q107" s="259" t="str">
        <f>IF(BedPlan[[#This Row],[Days in Cells]]=0,"",IFERROR(_xlfn.XLOOKUP(BedPlan[[#This Row],[Follows Crop]],BedPlan[Identifier],BedPlan[Expected End of Harvest]) + 1+BedPlan[[#This Row],[Follow Offset]],BedPlan[[#This Row],[Fixed Field Start Date]])-BedPlan[[#This Row],[Days in Cells]])</f>
        <v/>
      </c>
      <c r="R107" s="259"/>
      <c r="S107" s="259" t="str">
        <f>IF(ISNUMBER(BedPlan[[#This Row],[Actual Greenhouse Date]]),BedPlan[[#This Row],[Actual Greenhouse Date]],BedPlan[[#This Row],[Planned Greenhouse Start Date]])</f>
        <v/>
      </c>
      <c r="T107" s="259">
        <f>_xlfn.XLOOKUP(BedPlan[[#This Row],[Crop]],Crops[Identifier],Crops[Target Field Date])+90</f>
        <v>45868</v>
      </c>
      <c r="U107" s="260"/>
      <c r="V107" s="260"/>
      <c r="W10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45868</v>
      </c>
      <c r="X107" s="259">
        <v>45894</v>
      </c>
      <c r="Y107" s="271">
        <f>BedPlan[[#This Row],[Actual TP or DS Date]]-BedPlan[[#This Row],[Planned TP or DS Date]]</f>
        <v>26</v>
      </c>
      <c r="Z107" s="259">
        <f>IF(ISNUMBER(BedPlan[[#This Row],[Actual TP or DS Date]]),BedPlan[[#This Row],[Actual TP or DS Date]],BedPlan[[#This Row],[Planned TP or DS Date]])</f>
        <v>45894</v>
      </c>
      <c r="AA107" s="259"/>
      <c r="AB107" s="259">
        <f>IF(ISNUMBER(BedPlan[[#This Row],[Greenhouse Start Date]]),BedPlan[[#This Row],[Greenhouse Start Date]]+BedPlan[[#This Row],[DTM]],BedPlan[[#This Row],[TP or DS Date]]+BedPlan[[#This Row],[DTM]])</f>
        <v>45926</v>
      </c>
      <c r="AC107" s="259"/>
      <c r="AD107" s="259">
        <f>IF(ISNUMBER(BedPlan[[#This Row],[Actual Beginning of Harvest]]),BedPlan[[#This Row],[Actual Beginning of Harvest]],BedPlan[[#This Row],[Expected Beginning of Harvest]])</f>
        <v>45926</v>
      </c>
      <c r="AE107" s="259">
        <f>BedPlan[[#This Row],[Expected Beginning of Harvest]]+BedPlan[[#This Row],[Harvest Window]]+BedPlan[[#This Row],[Additional Days of Harvest]]</f>
        <v>45947</v>
      </c>
      <c r="AF107" s="259"/>
      <c r="AG107" s="259"/>
      <c r="AH107" s="31" t="b">
        <f>IF(AND( BedPlan[[#This Row],[Expected End of Harvest]] &gt;= DATE(2025, 8, 1), BedPlan[[#This Row],[Beginning of Harvest]] &lt;= DATE(2025, 8, 31) ), TRUE, FALSE)</f>
        <v>0</v>
      </c>
      <c r="AI107" s="31"/>
      <c r="AJ107" s="31">
        <f>IF(ISNUMBER(BedPlan[[#This Row],[Actual End of Harvest]]),BedPlan[[#This Row],[Actual End of Harvest]],BedPlan[[#This Row],[Expected End of Harvest]])</f>
        <v>45947</v>
      </c>
      <c r="AK107" t="b">
        <f>OR(ISNUMBER(BedPlan[[#This Row],[Actual Greenhouse Date]]),ISNUMBER(BedPlan[[#This Row],[Actual TP or DS Date]]))</f>
        <v>1</v>
      </c>
      <c r="AL107" s="52" t="str">
        <f>IF(ISNUMBER(BedPlan[[#This Row],[Planned Greenhouse Start Date]]),OR(ISNUMBER(BedPlan[[#This Row],[Actual TP or DS Date]]),BedPlan[[#This Row],[Failed]]),"-")</f>
        <v>-</v>
      </c>
      <c r="AM107" t="b">
        <f>OR(ISNUMBER(BedPlan[[#This Row],[Actual End of Harvest]]),BedPlan[[#This Row],[Failed]])</f>
        <v>0</v>
      </c>
      <c r="AN107" t="b">
        <f>OR(BedPlan[[#This Row],[Harvest Done]],BedPlan[[#This Row],[Failed]],BedPlan[[#This Row],[Name]]="Tarp")</f>
        <v>0</v>
      </c>
      <c r="AS107" s="26" t="str">
        <f>IF(BedPlan[[#This Row],[Broadfork]],BedPlan[[#This Row],[Actual TP or DS Date]],"")</f>
        <v/>
      </c>
      <c r="AT107" s="26" t="str">
        <f>IF(BedPlan[[#This Row],[Tilther]],BedPlan[[#This Row],[Actual TP or DS Date]],"")</f>
        <v/>
      </c>
      <c r="AU107" s="26" t="str">
        <f>IF(NOT(ISBLANK(BedPlan[[#This Row],[Amend]])),BedPlan[[#This Row],[Actual TP or DS Date]],"")</f>
        <v/>
      </c>
      <c r="AV107" s="26" t="str">
        <f>IF(BedPlan[[#This Row],[Row Cover]],BedPlan[[#This Row],[Actual TP or DS Date]],"")</f>
        <v/>
      </c>
      <c r="AX107" s="26"/>
      <c r="AZ107" s="26"/>
      <c r="BB107" s="26"/>
      <c r="BC107" s="231" cm="1">
        <f t="array" ref="BC107">INDEX(Crops[],BedPlan[[#This Row],[Chart Index]],BC$4,1)*BedPlan[[#This Row],[Full Bed Equivalent]]</f>
        <v>187.5</v>
      </c>
      <c r="BD107" s="231" cm="1">
        <f t="array" ref="BD107">INDEX(Crops[],BedPlan[[#This Row],[Chart Index]],BD$4,1)*BedPlan[[#This Row],[Full Bed Equivalent]]</f>
        <v>3.5377358490566038</v>
      </c>
      <c r="BE107" cm="1">
        <f t="array" ref="BE107">INDEX(Crops[],BedPlan[[#This Row],[Chart Index]],BE$4,1)+BedPlan[[#This Row],[Additional Days in Cells]]+BedPlan[[#This Row],[Additional Days In Field]]</f>
        <v>32</v>
      </c>
      <c r="BG107" cm="1">
        <f t="array" ref="BG107">INDEX(Crops[],BedPlan[[#This Row],[Chart Index]],BG$4,1)</f>
        <v>21</v>
      </c>
      <c r="BH107" t="str">
        <f>IF(ISNUMBER(BedPlan[[#This Row],[Planned Greenhouse Start Date]]),"TP","DS")</f>
        <v>DS</v>
      </c>
      <c r="BI107">
        <f>BedPlan[[#This Row],['# Of Beds]]</f>
        <v>0.5</v>
      </c>
      <c r="BJ107" cm="1">
        <f t="array" ref="BJ107">INDEX(Crops[],BedPlan[[#This Row],[Chart Index]],BJ$4,1)</f>
        <v>0</v>
      </c>
      <c r="BK107" cm="1">
        <f t="array" ref="BK107">INDEX(Crops[],BedPlan[[#This Row],[Chart Index]],BK$4,1)</f>
        <v>6</v>
      </c>
      <c r="BL107" cm="1">
        <f t="array" ref="BL107">INDEX(Crops[],BedPlan[[#This Row],[Chart Index]],BL$4,1)</f>
        <v>1</v>
      </c>
      <c r="BM107" cm="1">
        <f t="array" ref="BM107">INDEX(Crops[],BedPlan[[#This Row],[Chart Index]],BM$4,1)</f>
        <v>1</v>
      </c>
      <c r="BN107" s="32" cm="1">
        <f t="array" ref="BN107">INDEX(Crops[],BedPlan[[#This Row],[Chart Index]],BN$4,1)*BedPlan[[#This Row],[Full Bed Equivalent]]</f>
        <v>1800</v>
      </c>
      <c r="BO107" t="str" cm="1">
        <f t="array" ref="BO107">IF(INDEX(Crops[],BedPlan[[#This Row],[Chart Index]],BO$4,1)=0,"",INDEX(Crops[],BedPlan[[#This Row],[Chart Index]],BO$4,1))</f>
        <v>OH</v>
      </c>
      <c r="BP107">
        <f>MATCH(BedPlan[[#This Row],[Crop]],Crops[Identifier],FALSE)</f>
        <v>255</v>
      </c>
      <c r="BQ107" t="str" cm="1">
        <f t="array" ref="BQ107">INDEX(Crops[],BedPlan[[#This Row],[Chart Index]],BQ$4,1)</f>
        <v>6r</v>
      </c>
      <c r="BR107" t="str" cm="1">
        <f t="array" ref="BR107">INDEX(Crops[],BedPlan[[#This Row],[Chart Index]],BR$4,1)</f>
        <v>Su</v>
      </c>
      <c r="BS107" s="32">
        <f>BedPlan[[#This Row],[Expected Beginning of Harvest]]-DATE(2023,1,1)</f>
        <v>999</v>
      </c>
      <c r="BT107">
        <f>BedPlan[[#This Row],[Expected End of Harvest]]-BedPlan[[#This Row],[Expected Beginning of Harvest]]</f>
        <v>21</v>
      </c>
      <c r="BU107" t="str" cm="1">
        <f t="array" ref="BU107">INDEX(Crops[],BedPlan[[#This Row],[Chart Index]],BU$4,1)</f>
        <v>Root</v>
      </c>
      <c r="BV107" cm="1">
        <f t="array" ref="BV107">INDEX(Crops[],BedPlan[[#This Row],[Chart Index]],BV$4,1)</f>
        <v>1</v>
      </c>
      <c r="BW107" t="str" cm="1">
        <f t="array" ref="BW107">INDEX(Crops[],BedPlan[[#This Row],[Chart Index]],BW$4,1)</f>
        <v>AMAP</v>
      </c>
      <c r="BX107" cm="1">
        <f t="array" ref="BX107">INDEX(Crops[],BedPlan[[#This Row],[Chart Index]],BX$4,1)</f>
        <v>0</v>
      </c>
      <c r="BY107" cm="1">
        <f t="array" ref="BY107">INDEX(Crops[],BedPlan[[#This Row],[Chart Index]],BY$4,1)</f>
        <v>0</v>
      </c>
      <c r="BZ107" s="49" t="str" cm="1">
        <f t="array" ref="BZ107">IFERROR(INDEX(Crops[],BedPlan[[#This Row],[Chart Index]],BZ$4,1)*BedPlan[[#This Row],[Full Bed Equivalent]],"")</f>
        <v/>
      </c>
      <c r="CA107" cm="1">
        <f t="array" ref="CA107">INDEX(Crops[],BedPlan[[#This Row],[Chart Index]],CA$4,1)</f>
        <v>0</v>
      </c>
      <c r="CB107" cm="1">
        <f t="array" ref="CB107">INDEX(Crops[],BedPlan[[#This Row],[Chart Index]],CB$4,1)</f>
        <v>0</v>
      </c>
      <c r="CC107" s="49" t="str" cm="1">
        <f t="array" ref="CC107">IFERROR(INDEX(Crops[],BedPlan[[#This Row],[Chart Index]],CC$4,1)*BedPlan[[#This Row],[Full Bed Equivalent]],"")</f>
        <v/>
      </c>
      <c r="CD107" cm="1">
        <f t="array" ref="CD107">INDEX(Crops[],BedPlan[[#This Row],[Chart Index]],CD$4,1)</f>
        <v>0</v>
      </c>
      <c r="CE107" cm="1">
        <f t="array" ref="CE107">IF(INDEX(Crops[],BedPlan[[#This Row],[Chart Index]],CE$4,1)="",0,INDEX(Crops[],BedPlan[[#This Row],[Chart Index]],CE$4,1))</f>
        <v>0</v>
      </c>
      <c r="CF107" s="49" t="str" cm="1">
        <f t="array" ref="CF107">IFERROR(INDEX(Crops[],BedPlan[[#This Row],[Chart Index]],CF$4,1)*BedPlan[[#This Row],[Full Bed Equivalent]],"")</f>
        <v/>
      </c>
      <c r="CG107" cm="1">
        <f t="array" ref="CG107">IF(INDEX(Crops[],BedPlan[[#This Row],[Chart Index]],CG$4,1)="",0,INDEX(Crops[],BedPlan[[#This Row],[Chart Index]],CG$4,1))</f>
        <v>1.3</v>
      </c>
      <c r="CH107" cm="1">
        <f t="array" ref="CH107">IF(INDEX(Crops[],BedPlan[[#This Row],[Chart Index]],CH$4,1)="",0,INDEX(Crops[],BedPlan[[#This Row],[Chart Index]],CH$4,1))</f>
        <v>7</v>
      </c>
      <c r="CI107" t="str" cm="1">
        <f t="array" ref="CI107">INDEX(Crops[],BedPlan[[#This Row],[Chart Index]],CI$4,1)</f>
        <v>Field</v>
      </c>
      <c r="CJ107" s="30" t="str">
        <f>_xlfn.TEXTJOIN(CHAR(10),FALSE,BedPlan[[#This Row],[Name]],BedPlan[[#This Row],[Variety]],BedPlan[[#This Row],[Company]])</f>
        <v xml:space="preserve">Radish
Radish Mix
</v>
      </c>
      <c r="CK107" s="32">
        <f>MAX( 0, MIN(BedPlan[[#This Row],[Expected End of Harvest]], EOMONTH(CK$4, 0)) - MAX(BedPlan[[#This Row],[Beginning of Harvest]], CK$4) + 1 )</f>
        <v>0</v>
      </c>
      <c r="CL107">
        <f>MAX( 0, MIN(BedPlan[[#This Row],[Expected End of Harvest]], EOMONTH(CL$4, 0)) - MAX(BedPlan[[#This Row],[Beginning of Harvest]], CL$4) + 1 )</f>
        <v>0</v>
      </c>
      <c r="CM107">
        <f>MAX( 0, MIN(BedPlan[[#This Row],[Expected End of Harvest]], EOMONTH(CM$4, 0)) - MAX(BedPlan[[#This Row],[Beginning of Harvest]], CM$4) + 1 )</f>
        <v>0</v>
      </c>
      <c r="CN107">
        <f>MAX( 0, MIN(BedPlan[[#This Row],[Expected End of Harvest]], EOMONTH(CN$4, 0)) - MAX(BedPlan[[#This Row],[Beginning of Harvest]], CN$4) + 1 )</f>
        <v>0</v>
      </c>
      <c r="CO107">
        <f>MAX( 0, MIN(BedPlan[[#This Row],[Expected End of Harvest]], EOMONTH(CO$4, 0)) - MAX(BedPlan[[#This Row],[Beginning of Harvest]], CO$4) + 1 )</f>
        <v>0</v>
      </c>
      <c r="CP107">
        <f>MAX( 0, MIN(BedPlan[[#This Row],[Expected End of Harvest]], EOMONTH(CP$4, 0)) - MAX(BedPlan[[#This Row],[Beginning of Harvest]], CP$4) + 1 )</f>
        <v>0</v>
      </c>
      <c r="CQ107">
        <f>MAX( 0, MIN(BedPlan[[#This Row],[Expected End of Harvest]], EOMONTH(CQ$4, 0)) - MAX(BedPlan[[#This Row],[Beginning of Harvest]], CQ$4) + 1 )</f>
        <v>0</v>
      </c>
      <c r="CR107">
        <f>MAX( 0, MIN(BedPlan[[#This Row],[Expected End of Harvest]], EOMONTH(CR$4, 0)) - MAX(BedPlan[[#This Row],[Beginning of Harvest]], CR$4) + 1 )</f>
        <v>0</v>
      </c>
      <c r="CS107">
        <f>MAX( 0, MIN(BedPlan[[#This Row],[Expected End of Harvest]], EOMONTH(CS$4, 0)) - MAX(BedPlan[[#This Row],[Beginning of Harvest]], CS$4) + 1 )</f>
        <v>5</v>
      </c>
      <c r="CT107">
        <f>MAX( 0, MIN(BedPlan[[#This Row],[Expected End of Harvest]], EOMONTH(CT$4, 0)) - MAX(BedPlan[[#This Row],[Beginning of Harvest]], CT$4) + 1 )</f>
        <v>17</v>
      </c>
      <c r="CU107">
        <f>MAX( 0, MIN(BedPlan[[#This Row],[Expected End of Harvest]], EOMONTH(CU$4, 0)) - MAX(BedPlan[[#This Row],[Beginning of Harvest]], CU$4) + 1 )</f>
        <v>0</v>
      </c>
      <c r="CV107">
        <f>MAX( 0, MIN(BedPlan[[#This Row],[Expected End of Harvest]], EOMONTH(CV$4, 0)) - MAX(BedPlan[[#This Row],[Beginning of Harvest]], CV$4) + 1 )</f>
        <v>0</v>
      </c>
      <c r="CW107">
        <f>MAX( 0, MIN(BedPlan[[#This Row],[Expected End of Harvest]], EOMONTH(CW$4, 0)) - MAX(BedPlan[[#This Row],[Beginning of Harvest]], CW$4) + 1 )</f>
        <v>0</v>
      </c>
      <c r="CX107">
        <f>MAX( 0, MIN(BedPlan[[#This Row],[Expected End of Harvest]], EOMONTH(CX$4, 0)) - MAX(BedPlan[[#This Row],[Beginning of Harvest]], CX$4) + 1 )</f>
        <v>0</v>
      </c>
      <c r="CY107">
        <f>MAX( 0, MIN(BedPlan[[#This Row],[Expected End of Harvest]], EOMONTH(CY$4, 0)) - MAX(BedPlan[[#This Row],[Beginning of Harvest]], CY$4) + 1 )</f>
        <v>0</v>
      </c>
      <c r="CZ107">
        <f>MAX( 0, MIN(BedPlan[[#This Row],[Expected End of Harvest]], EOMONTH(CZ$4, 0)) - MAX(BedPlan[[#This Row],[Beginning of Harvest]], CZ$4) + 1 )</f>
        <v>0</v>
      </c>
      <c r="DA107">
        <f>MAX( 0, MIN(BedPlan[[#This Row],[Expected End of Harvest]], EOMONTH(DA$4, 0)) - MAX(BedPlan[[#This Row],[Beginning of Harvest]], DA$4) + 1 )</f>
        <v>0</v>
      </c>
      <c r="DB107">
        <f>MAX( 0, MIN(BedPlan[[#This Row],[Expected End of Harvest]], EOMONTH(DB$4, 0)) - MAX(BedPlan[[#This Row],[Beginning of Harvest]], DB$4) + 1 )</f>
        <v>0</v>
      </c>
      <c r="DC107">
        <f>MAX( 0, MIN(BedPlan[[#This Row],[Expected End of Harvest]], EOMONTH(DC$4, 0)) - MAX(BedPlan[[#This Row],[Beginning of Harvest]], DC$4) + 1 )</f>
        <v>0</v>
      </c>
      <c r="DD107">
        <f>MAX( 0, MIN(BedPlan[[#This Row],[Expected End of Harvest]], EOMONTH(DD$4, 0)) - MAX(BedPlan[[#This Row],[Beginning of Harvest]], DD$4) + 1 )</f>
        <v>0</v>
      </c>
      <c r="DE107">
        <f>MAX( 0, MIN(BedPlan[[#This Row],[Expected End of Harvest]], EOMONTH(DE$4, 0)) - MAX(BedPlan[[#This Row],[Beginning of Harvest]], DE$4) + 1 )</f>
        <v>0</v>
      </c>
      <c r="DF107">
        <f>MAX( 0, MIN(BedPlan[[#This Row],[Expected End of Harvest]], EOMONTH(DF$4, 0)) - MAX(BedPlan[[#This Row],[Beginning of Harvest]], DF$4) + 1 )</f>
        <v>0</v>
      </c>
      <c r="DG107">
        <f>MAX( 0, MIN(BedPlan[[#This Row],[Expected End of Harvest]], EOMONTH(DG$4, 0)) - MAX(BedPlan[[#This Row],[Beginning of Harvest]], DG$4) + 1 )</f>
        <v>0</v>
      </c>
      <c r="DH107">
        <f>MAX( 0, MIN(BedPlan[[#This Row],[Expected End of Harvest]], EOMONTH(DH$4, 0)) - MAX(BedPlan[[#This Row],[Beginning of Harvest]], DH$4) + 1 )</f>
        <v>0</v>
      </c>
      <c r="DI107" s="257" cm="1">
        <f t="array" ref="DI107">BedPlan[[#This Row],[Harvest Days January 2025]]/SUM(BedPlan[[#This Row],[Harvest Days January 2025]:[Harvest Days December 2026]])*BedPlan[[#This Row],[Revenue]:[Revenue]]</f>
        <v>0</v>
      </c>
      <c r="DJ107" s="257" cm="1">
        <f t="array" ref="DJ107">BedPlan[[#This Row],[Harvest Days February 2025]]/SUM(BedPlan[[#This Row],[Harvest Days January 2025]:[Harvest Days December 2026]])*BedPlan[[#This Row],[Revenue]:[Revenue]]</f>
        <v>0</v>
      </c>
      <c r="DK107" s="257" cm="1">
        <f t="array" ref="DK107">BedPlan[[#This Row],[Harvest Days March 2025]]/SUM(BedPlan[[#This Row],[Harvest Days January 2025]:[Harvest Days December 2026]])*BedPlan[[#This Row],[Revenue]:[Revenue]]</f>
        <v>0</v>
      </c>
      <c r="DL107" s="257" cm="1">
        <f t="array" ref="DL107">BedPlan[[#This Row],[Harvest Days April 2025]]/SUM(BedPlan[[#This Row],[Harvest Days January 2025]:[Harvest Days December 2026]])*BedPlan[[#This Row],[Revenue]:[Revenue]]</f>
        <v>0</v>
      </c>
      <c r="DM107" s="257" cm="1">
        <f t="array" ref="DM107">BedPlan[[#This Row],[Harvest Days May 2025]]/SUM(BedPlan[[#This Row],[Harvest Days January 2025]:[Harvest Days December 2026]])*BedPlan[[#This Row],[Revenue]:[Revenue]]</f>
        <v>0</v>
      </c>
      <c r="DN107" s="257" cm="1">
        <f t="array" ref="DN107">BedPlan[[#This Row],[Harvest Days June 2025]]/SUM(BedPlan[[#This Row],[Harvest Days January 2025]:[Harvest Days December 2026]])*BedPlan[[#This Row],[Revenue]:[Revenue]]</f>
        <v>0</v>
      </c>
      <c r="DO107" s="257" cm="1">
        <f t="array" ref="DO107">BedPlan[[#This Row],[Harvest Days July 2025]]/SUM(BedPlan[[#This Row],[Harvest Days January 2025]:[Harvest Days December 2026]])*BedPlan[[#This Row],[Revenue]:[Revenue]]</f>
        <v>0</v>
      </c>
      <c r="DP107" s="257" cm="1">
        <f t="array" ref="DP107">BedPlan[[#This Row],[Harvest Days August 2025]]/SUM(BedPlan[[#This Row],[Harvest Days January 2025]:[Harvest Days December 2026]])*BedPlan[[#This Row],[Revenue]:[Revenue]]</f>
        <v>0</v>
      </c>
      <c r="DQ107" s="257" cm="1">
        <f t="array" ref="DQ107">BedPlan[[#This Row],[Harvest Days September 2025]]/SUM(BedPlan[[#This Row],[Harvest Days January 2025]:[Harvest Days December 2026]])*BedPlan[[#This Row],[Revenue]:[Revenue]]</f>
        <v>42.61363636363636</v>
      </c>
      <c r="DR107" s="257" cm="1">
        <f t="array" ref="DR107">BedPlan[[#This Row],[Harvest Days October 2025]]/SUM(BedPlan[[#This Row],[Harvest Days January 2025]:[Harvest Days December 2026]])*BedPlan[[#This Row],[Revenue]:[Revenue]]</f>
        <v>144.88636363636363</v>
      </c>
      <c r="DS107" s="257" cm="1">
        <f t="array" ref="DS107">BedPlan[[#This Row],[Harvest Days November 2025]]/SUM(BedPlan[[#This Row],[Harvest Days January 2025]:[Harvest Days December 2026]])*BedPlan[[#This Row],[Revenue]:[Revenue]]</f>
        <v>0</v>
      </c>
      <c r="DT107" s="257" cm="1">
        <f t="array" ref="DT107">BedPlan[[#This Row],[Harvest Days December 2025]]/SUM(BedPlan[[#This Row],[Harvest Days January 2025]:[Harvest Days December 2026]])*BedPlan[[#This Row],[Revenue]:[Revenue]]</f>
        <v>0</v>
      </c>
      <c r="DU107" s="257" cm="1">
        <f t="array" ref="DU107">BedPlan[[#This Row],[Harvest Days January 2026]]/SUM(BedPlan[[#This Row],[Harvest Days January 2025]:[Harvest Days December 2026]])*BedPlan[[#This Row],[Revenue]:[Revenue]]</f>
        <v>0</v>
      </c>
      <c r="DV107" s="257" cm="1">
        <f t="array" ref="DV107">BedPlan[[#This Row],[Harvest Days February 2026]]/SUM(BedPlan[[#This Row],[Harvest Days January 2025]:[Harvest Days December 2026]])*BedPlan[[#This Row],[Revenue]:[Revenue]]</f>
        <v>0</v>
      </c>
      <c r="DW107" s="257" cm="1">
        <f t="array" ref="DW107">BedPlan[[#This Row],[Harvest Days March 2026]]/SUM(BedPlan[[#This Row],[Harvest Days January 2025]:[Harvest Days December 2026]])*BedPlan[[#This Row],[Revenue]:[Revenue]]</f>
        <v>0</v>
      </c>
      <c r="DX107" s="257" cm="1">
        <f t="array" ref="DX107">BedPlan[[#This Row],[Harvest Days April 2026]]/SUM(BedPlan[[#This Row],[Harvest Days January 2025]:[Harvest Days December 2026]])*BedPlan[[#This Row],[Revenue]:[Revenue]]</f>
        <v>0</v>
      </c>
      <c r="DY107" s="257" cm="1">
        <f t="array" ref="DY107">BedPlan[[#This Row],[Harvest Days May 2026]]/SUM(BedPlan[[#This Row],[Harvest Days January 2025]:[Harvest Days December 2026]])*BedPlan[[#This Row],[Revenue]:[Revenue]]</f>
        <v>0</v>
      </c>
      <c r="DZ107" s="257" cm="1">
        <f t="array" ref="DZ107">BedPlan[[#This Row],[Harvest Days June 2026]]/SUM(BedPlan[[#This Row],[Harvest Days January 2025]:[Harvest Days December 2026]])*BedPlan[[#This Row],[Revenue]:[Revenue]]</f>
        <v>0</v>
      </c>
      <c r="EA107" s="257" cm="1">
        <f t="array" ref="EA107">BedPlan[[#This Row],[Harvest Days July 2026]]/SUM(BedPlan[[#This Row],[Harvest Days January 2025]:[Harvest Days December 2026]])*BedPlan[[#This Row],[Revenue]:[Revenue]]</f>
        <v>0</v>
      </c>
      <c r="EB107" s="257" cm="1">
        <f t="array" ref="EB107">BedPlan[[#This Row],[Harvest Days August 2026]]/SUM(BedPlan[[#This Row],[Harvest Days January 2025]:[Harvest Days December 2026]])*BedPlan[[#This Row],[Revenue]:[Revenue]]</f>
        <v>0</v>
      </c>
      <c r="EC107" s="257" cm="1">
        <f t="array" ref="EC107">BedPlan[[#This Row],[Harvest Days September 2026]]/SUM(BedPlan[[#This Row],[Harvest Days January 2025]:[Harvest Days December 2026]])*BedPlan[[#This Row],[Revenue]:[Revenue]]</f>
        <v>0</v>
      </c>
      <c r="ED107" s="257" cm="1">
        <f t="array" ref="ED107">BedPlan[[#This Row],[Harvest Days October 2026]]/SUM(BedPlan[[#This Row],[Harvest Days January 2025]:[Harvest Days December 2026]])*BedPlan[[#This Row],[Revenue]:[Revenue]]</f>
        <v>0</v>
      </c>
      <c r="EE107" s="257" cm="1">
        <f t="array" ref="EE107">BedPlan[[#This Row],[Harvest Days November 2026]]/SUM(BedPlan[[#This Row],[Harvest Days January 2025]:[Harvest Days December 2026]])*BedPlan[[#This Row],[Revenue]:[Revenue]]</f>
        <v>0</v>
      </c>
      <c r="EF107" s="257" cm="1">
        <f t="array" ref="EF107">BedPlan[[#This Row],[Harvest Days December 2026]]/SUM(BedPlan[[#This Row],[Harvest Days January 2025]:[Harvest Days December 2026]])*BedPlan[[#This Row],[Revenue]:[Revenue]]</f>
        <v>0</v>
      </c>
      <c r="EG107" t="b">
        <f>SUM(BedPlan[[#This Row],[Revenue January 2025]:[Revenue December 2026]])=BedPlan[[#This Row],[Revenue]]</f>
        <v>1</v>
      </c>
      <c r="EH107" s="30" cm="1">
        <f t="array" ref="EH107">INDEX(Crops[],BedPlan[[#This Row],[Chart Index]],EH$4,1)*BedPlan[[#This Row],['# Of Beds]]</f>
        <v>62.5</v>
      </c>
      <c r="EI107" s="30" t="str" cm="1">
        <f t="array" ref="EI107">INDEX(Crops[],BedPlan[[#This Row],[Chart Index]],EI$4,1)</f>
        <v>Bunch</v>
      </c>
      <c r="EJ107" s="30" t="str" cm="1">
        <f t="array" ref="EJ107">INDEX(Crops[],BedPlan[[#This Row],[Chart Index]],EJ$4,1)</f>
        <v>Mature Root</v>
      </c>
      <c r="EK107" s="30" t="str">
        <f>BedPlan[[#This Row],[Name]]&amp;" "&amp;BedPlan[[#This Row],[Product]]&amp; " - " &amp;BedPlan[[#This Row],[Unit]]</f>
        <v>Radish Mature Root - Bunch</v>
      </c>
      <c r="EL107" s="33" cm="1">
        <f t="array" ref="EL107">BedPlan[[#This Row],[Harvest Days January 2025]]/SUM(BedPlan[[#This Row],[Harvest Days January 2025]:[Harvest Days December 2026]])*BedPlan[[#This Row],[Yield]:[Yield]]</f>
        <v>0</v>
      </c>
      <c r="EM107" s="33" cm="1">
        <f t="array" ref="EM107">BedPlan[[#This Row],[Harvest Days February 2025]]/SUM(BedPlan[[#This Row],[Harvest Days January 2025]:[Harvest Days December 2026]])*BedPlan[[#This Row],[Yield]:[Yield]]</f>
        <v>0</v>
      </c>
      <c r="EN107" s="33" cm="1">
        <f t="array" ref="EN107">BedPlan[[#This Row],[Harvest Days March 2025]]/SUM(BedPlan[[#This Row],[Harvest Days January 2025]:[Harvest Days December 2026]])*BedPlan[[#This Row],[Yield]:[Yield]]</f>
        <v>0</v>
      </c>
      <c r="EO107" s="33" cm="1">
        <f t="array" ref="EO107">BedPlan[[#This Row],[Harvest Days April 2025]]/SUM(BedPlan[[#This Row],[Harvest Days January 2025]:[Harvest Days December 2026]])*BedPlan[[#This Row],[Yield]:[Yield]]</f>
        <v>0</v>
      </c>
      <c r="EP107" s="33" cm="1">
        <f t="array" ref="EP107">BedPlan[[#This Row],[Harvest Days May 2025]]/SUM(BedPlan[[#This Row],[Harvest Days January 2025]:[Harvest Days December 2026]])*BedPlan[[#This Row],[Yield]:[Yield]]</f>
        <v>0</v>
      </c>
      <c r="EQ107" s="33" cm="1">
        <f t="array" ref="EQ107">BedPlan[[#This Row],[Harvest Days June 2025]]/SUM(BedPlan[[#This Row],[Harvest Days January 2025]:[Harvest Days December 2026]])*BedPlan[[#This Row],[Yield]:[Yield]]</f>
        <v>0</v>
      </c>
      <c r="ER107" s="33" cm="1">
        <f t="array" ref="ER107">BedPlan[[#This Row],[Harvest Days July 2025]]/SUM(BedPlan[[#This Row],[Harvest Days January 2025]:[Harvest Days December 2026]])*BedPlan[[#This Row],[Yield]:[Yield]]</f>
        <v>0</v>
      </c>
      <c r="ES107" s="33" cm="1">
        <f t="array" ref="ES107">BedPlan[[#This Row],[Harvest Days August 2025]]/SUM(BedPlan[[#This Row],[Harvest Days January 2025]:[Harvest Days December 2026]])*BedPlan[[#This Row],[Yield]:[Yield]]</f>
        <v>0</v>
      </c>
      <c r="ET107" s="33" cm="1">
        <f t="array" ref="ET107">BedPlan[[#This Row],[Harvest Days September 2025]]/SUM(BedPlan[[#This Row],[Harvest Days January 2025]:[Harvest Days December 2026]])*BedPlan[[#This Row],[Yield]:[Yield]]</f>
        <v>14.204545454545453</v>
      </c>
      <c r="EU107" s="33" cm="1">
        <f t="array" ref="EU107">BedPlan[[#This Row],[Harvest Days October 2025]]/SUM(BedPlan[[#This Row],[Harvest Days January 2025]:[Harvest Days December 2026]])*BedPlan[[#This Row],[Yield]:[Yield]]</f>
        <v>48.295454545454547</v>
      </c>
      <c r="EV107" s="33" cm="1">
        <f t="array" ref="EV107">BedPlan[[#This Row],[Harvest Days November 2025]]/SUM(BedPlan[[#This Row],[Harvest Days January 2025]:[Harvest Days December 2026]])*BedPlan[[#This Row],[Yield]:[Yield]]</f>
        <v>0</v>
      </c>
      <c r="EW107" s="33" cm="1">
        <f t="array" ref="EW107">BedPlan[[#This Row],[Harvest Days December 2025]]/SUM(BedPlan[[#This Row],[Harvest Days January 2025]:[Harvest Days December 2026]])*BedPlan[[#This Row],[Yield]:[Yield]]</f>
        <v>0</v>
      </c>
    </row>
    <row r="108" spans="1:153" ht="15.75" customHeight="1">
      <c r="A108" s="191" t="s">
        <v>2614</v>
      </c>
      <c r="B108" s="240" t="s">
        <v>3266</v>
      </c>
      <c r="C108" t="s">
        <v>1450</v>
      </c>
      <c r="D108" s="226" cm="1">
        <f t="array" ref="D108">INDEX(Crops[],BedPlan[[#This Row],[Chart Index]],D$4,1)*BedPlan[[#This Row],[Full Bed Equivalent]]</f>
        <v>15.625</v>
      </c>
      <c r="E108" s="226" cm="1">
        <f t="array" ref="E108">INDEX(Crops[],BedPlan[[#This Row],[Chart Index]],E$4,1)*BedPlan[[#This Row],[Full Bed Equivalent]]</f>
        <v>62.5</v>
      </c>
      <c r="F108" t="str">
        <f>UPPER(LEFT(BedPlan[[#This Row],[Crop]],3))</f>
        <v>RAD</v>
      </c>
      <c r="H108" s="143" t="str" cm="1">
        <f t="array" ref="H108">INDEX(Crops[],BedPlan[[#This Row],[Chart Index]],H$4,1)</f>
        <v>Radish</v>
      </c>
      <c r="I108" t="s">
        <v>1347</v>
      </c>
      <c r="K108" t="str" cm="1">
        <f t="array" ref="K108">IF(ISNUMBER(MATCH(BedPlan[[#This Row],[Variety]],SeedMixes[Name],)),_xlfn.TEXTJOIN(", ",TRUE,_xlfn._xlws.FILTER(SeedMixes[Variety &amp; Company],SeedMixes[Name]=BedPlan[[#This Row],[Variety]])),"")</f>
        <v>French Breakfast High Mowing, Pearl Johnny's, Sora High Mowing, Patricia High Mowing</v>
      </c>
      <c r="L108" s="33" cm="1">
        <f t="array" ref="L108">INDEX(Crops[],BedPlan[[#This Row],[Chart Index]],L$4,1)*BedPlan[[#This Row],[Full Bed Equivalent]]</f>
        <v>2340</v>
      </c>
      <c r="N108">
        <v>0.5</v>
      </c>
      <c r="O108">
        <f>MAX(BedPlan[[#This Row],['# Of Beds]],0.5)</f>
        <v>0.5</v>
      </c>
      <c r="P108" s="31">
        <f>IF(ISNUMBER(BedPlan[[#This Row],[Planned Greenhouse Start Date]]),BedPlan[[#This Row],[Planned Greenhouse Start Date]],BedPlan[[#This Row],[Planned TP or DS Date]])</f>
        <v>45870</v>
      </c>
      <c r="Q108" s="259" t="str">
        <f>IF(BedPlan[[#This Row],[Days in Cells]]=0,"",IFERROR(_xlfn.XLOOKUP(BedPlan[[#This Row],[Follows Crop]],BedPlan[Identifier],BedPlan[Expected End of Harvest]) + 1+BedPlan[[#This Row],[Follow Offset]],BedPlan[[#This Row],[Fixed Field Start Date]])-BedPlan[[#This Row],[Days in Cells]])</f>
        <v/>
      </c>
      <c r="R108" s="259"/>
      <c r="S108" s="259" t="str">
        <f>IF(ISNUMBER(BedPlan[[#This Row],[Actual Greenhouse Date]]),BedPlan[[#This Row],[Actual Greenhouse Date]],BedPlan[[#This Row],[Planned Greenhouse Start Date]])</f>
        <v/>
      </c>
      <c r="T108" s="259">
        <v>45870</v>
      </c>
      <c r="U108" s="260"/>
      <c r="V108" s="260"/>
      <c r="W10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45870</v>
      </c>
      <c r="X108" s="259"/>
      <c r="Y108" s="271">
        <f>BedPlan[[#This Row],[Actual TP or DS Date]]-BedPlan[[#This Row],[Planned TP or DS Date]]</f>
        <v>-45870</v>
      </c>
      <c r="Z108" s="259">
        <f>IF(ISNUMBER(BedPlan[[#This Row],[Actual TP or DS Date]]),BedPlan[[#This Row],[Actual TP or DS Date]],BedPlan[[#This Row],[Planned TP or DS Date]])</f>
        <v>45870</v>
      </c>
      <c r="AA108" s="259"/>
      <c r="AB108" s="259">
        <f>IF(ISNUMBER(BedPlan[[#This Row],[Greenhouse Start Date]]),BedPlan[[#This Row],[Greenhouse Start Date]]+BedPlan[[#This Row],[DTM]],BedPlan[[#This Row],[TP or DS Date]]+BedPlan[[#This Row],[DTM]])</f>
        <v>45902</v>
      </c>
      <c r="AC108" s="259"/>
      <c r="AD108" s="259">
        <f>IF(ISNUMBER(BedPlan[[#This Row],[Actual Beginning of Harvest]]),BedPlan[[#This Row],[Actual Beginning of Harvest]],BedPlan[[#This Row],[Expected Beginning of Harvest]])</f>
        <v>45902</v>
      </c>
      <c r="AE108" s="259">
        <f>BedPlan[[#This Row],[Expected Beginning of Harvest]]+BedPlan[[#This Row],[Harvest Window]]+BedPlan[[#This Row],[Additional Days of Harvest]]</f>
        <v>45923</v>
      </c>
      <c r="AF108" s="259"/>
      <c r="AG108" s="259"/>
      <c r="AH108" s="31" t="b">
        <f>IF(AND( BedPlan[[#This Row],[Expected End of Harvest]] &gt;= DATE(2025, 8, 1), BedPlan[[#This Row],[Beginning of Harvest]] &lt;= DATE(2025, 8, 31) ), TRUE, FALSE)</f>
        <v>0</v>
      </c>
      <c r="AI108" s="31"/>
      <c r="AJ108" s="31">
        <f>IF(ISNUMBER(BedPlan[[#This Row],[Actual End of Harvest]]),BedPlan[[#This Row],[Actual End of Harvest]],BedPlan[[#This Row],[Expected End of Harvest]])</f>
        <v>45923</v>
      </c>
      <c r="AK108" t="b">
        <f>OR(ISNUMBER(BedPlan[[#This Row],[Actual Greenhouse Date]]),ISNUMBER(BedPlan[[#This Row],[Actual TP or DS Date]]))</f>
        <v>0</v>
      </c>
      <c r="AL108" s="52" t="str">
        <f>IF(ISNUMBER(BedPlan[[#This Row],[Planned Greenhouse Start Date]]),OR(ISNUMBER(BedPlan[[#This Row],[Actual TP or DS Date]]),BedPlan[[#This Row],[Failed]]),"-")</f>
        <v>-</v>
      </c>
      <c r="AM108" t="b">
        <f>OR(ISNUMBER(BedPlan[[#This Row],[Actual End of Harvest]]),BedPlan[[#This Row],[Failed]])</f>
        <v>0</v>
      </c>
      <c r="AN108" t="b">
        <f>OR(BedPlan[[#This Row],[Harvest Done]],BedPlan[[#This Row],[Failed]],BedPlan[[#This Row],[Name]]="Tarp")</f>
        <v>0</v>
      </c>
      <c r="AS108" s="26" t="str">
        <f>IF(BedPlan[[#This Row],[Broadfork]],BedPlan[[#This Row],[Actual TP or DS Date]],"")</f>
        <v/>
      </c>
      <c r="AT108" s="26" t="str">
        <f>IF(BedPlan[[#This Row],[Tilther]],BedPlan[[#This Row],[Actual TP or DS Date]],"")</f>
        <v/>
      </c>
      <c r="AU108" s="26" t="str">
        <f>IF(NOT(ISBLANK(BedPlan[[#This Row],[Amend]])),BedPlan[[#This Row],[Actual TP or DS Date]],"")</f>
        <v/>
      </c>
      <c r="AV108" s="26" t="str">
        <f>IF(BedPlan[[#This Row],[Row Cover]],BedPlan[[#This Row],[Actual TP or DS Date]],"")</f>
        <v/>
      </c>
      <c r="AX108" s="26"/>
      <c r="AZ108" s="26"/>
      <c r="BB108" s="26"/>
      <c r="BC108" s="231" cm="1">
        <f t="array" ref="BC108">INDEX(Crops[],BedPlan[[#This Row],[Chart Index]],BC$4,1)*BedPlan[[#This Row],[Full Bed Equivalent]]</f>
        <v>187.5</v>
      </c>
      <c r="BD108" s="231" cm="1">
        <f t="array" ref="BD108">INDEX(Crops[],BedPlan[[#This Row],[Chart Index]],BD$4,1)*BedPlan[[#This Row],[Full Bed Equivalent]]</f>
        <v>3.5377358490566038</v>
      </c>
      <c r="BE108" cm="1">
        <f t="array" ref="BE108">INDEX(Crops[],BedPlan[[#This Row],[Chart Index]],BE$4,1)+BedPlan[[#This Row],[Additional Days in Cells]]+BedPlan[[#This Row],[Additional Days In Field]]</f>
        <v>32</v>
      </c>
      <c r="BG108" cm="1">
        <f t="array" ref="BG108">INDEX(Crops[],BedPlan[[#This Row],[Chart Index]],BG$4,1)</f>
        <v>21</v>
      </c>
      <c r="BH108" t="str">
        <f>IF(ISNUMBER(BedPlan[[#This Row],[Planned Greenhouse Start Date]]),"TP","DS")</f>
        <v>DS</v>
      </c>
      <c r="BI108">
        <f>BedPlan[[#This Row],['# Of Beds]]</f>
        <v>0.5</v>
      </c>
      <c r="BJ108" cm="1">
        <f t="array" ref="BJ108">INDEX(Crops[],BedPlan[[#This Row],[Chart Index]],BJ$4,1)</f>
        <v>0</v>
      </c>
      <c r="BK108" cm="1">
        <f t="array" ref="BK108">INDEX(Crops[],BedPlan[[#This Row],[Chart Index]],BK$4,1)</f>
        <v>6</v>
      </c>
      <c r="BL108" cm="1">
        <f t="array" ref="BL108">INDEX(Crops[],BedPlan[[#This Row],[Chart Index]],BL$4,1)</f>
        <v>1</v>
      </c>
      <c r="BM108" cm="1">
        <f t="array" ref="BM108">INDEX(Crops[],BedPlan[[#This Row],[Chart Index]],BM$4,1)</f>
        <v>1</v>
      </c>
      <c r="BN108" s="32" cm="1">
        <f t="array" ref="BN108">INDEX(Crops[],BedPlan[[#This Row],[Chart Index]],BN$4,1)*BedPlan[[#This Row],[Full Bed Equivalent]]</f>
        <v>1800</v>
      </c>
      <c r="BO108" t="str" cm="1">
        <f t="array" ref="BO108">IF(INDEX(Crops[],BedPlan[[#This Row],[Chart Index]],BO$4,1)=0,"",INDEX(Crops[],BedPlan[[#This Row],[Chart Index]],BO$4,1))</f>
        <v>OH</v>
      </c>
      <c r="BP108">
        <f>MATCH(BedPlan[[#This Row],[Crop]],Crops[Identifier],FALSE)</f>
        <v>255</v>
      </c>
      <c r="BQ108" t="str" cm="1">
        <f t="array" ref="BQ108">INDEX(Crops[],BedPlan[[#This Row],[Chart Index]],BQ$4,1)</f>
        <v>6r</v>
      </c>
      <c r="BR108" t="str" cm="1">
        <f t="array" ref="BR108">INDEX(Crops[],BedPlan[[#This Row],[Chart Index]],BR$4,1)</f>
        <v>Su</v>
      </c>
      <c r="BS108" s="32">
        <f>BedPlan[[#This Row],[Expected Beginning of Harvest]]-DATE(2023,1,1)</f>
        <v>975</v>
      </c>
      <c r="BT108">
        <f>BedPlan[[#This Row],[Expected End of Harvest]]-BedPlan[[#This Row],[Expected Beginning of Harvest]]</f>
        <v>21</v>
      </c>
      <c r="BU108" t="str" cm="1">
        <f t="array" ref="BU108">INDEX(Crops[],BedPlan[[#This Row],[Chart Index]],BU$4,1)</f>
        <v>Root</v>
      </c>
      <c r="BV108" cm="1">
        <f t="array" ref="BV108">INDEX(Crops[],BedPlan[[#This Row],[Chart Index]],BV$4,1)</f>
        <v>1</v>
      </c>
      <c r="BW108" t="str" cm="1">
        <f t="array" ref="BW108">INDEX(Crops[],BedPlan[[#This Row],[Chart Index]],BW$4,1)</f>
        <v>AMAP</v>
      </c>
      <c r="BX108" cm="1">
        <f t="array" ref="BX108">INDEX(Crops[],BedPlan[[#This Row],[Chart Index]],BX$4,1)</f>
        <v>0</v>
      </c>
      <c r="BY108" cm="1">
        <f t="array" ref="BY108">INDEX(Crops[],BedPlan[[#This Row],[Chart Index]],BY$4,1)</f>
        <v>0</v>
      </c>
      <c r="BZ108" s="49" t="str" cm="1">
        <f t="array" ref="BZ108">IFERROR(INDEX(Crops[],BedPlan[[#This Row],[Chart Index]],BZ$4,1)*BedPlan[[#This Row],[Full Bed Equivalent]],"")</f>
        <v/>
      </c>
      <c r="CA108" cm="1">
        <f t="array" ref="CA108">INDEX(Crops[],BedPlan[[#This Row],[Chart Index]],CA$4,1)</f>
        <v>0</v>
      </c>
      <c r="CB108" cm="1">
        <f t="array" ref="CB108">INDEX(Crops[],BedPlan[[#This Row],[Chart Index]],CB$4,1)</f>
        <v>0</v>
      </c>
      <c r="CC108" s="49" t="str" cm="1">
        <f t="array" ref="CC108">IFERROR(INDEX(Crops[],BedPlan[[#This Row],[Chart Index]],CC$4,1)*BedPlan[[#This Row],[Full Bed Equivalent]],"")</f>
        <v/>
      </c>
      <c r="CD108" cm="1">
        <f t="array" ref="CD108">INDEX(Crops[],BedPlan[[#This Row],[Chart Index]],CD$4,1)</f>
        <v>0</v>
      </c>
      <c r="CE108" cm="1">
        <f t="array" ref="CE108">IF(INDEX(Crops[],BedPlan[[#This Row],[Chart Index]],CE$4,1)="",0,INDEX(Crops[],BedPlan[[#This Row],[Chart Index]],CE$4,1))</f>
        <v>0</v>
      </c>
      <c r="CF108" s="49" t="str" cm="1">
        <f t="array" ref="CF108">IFERROR(INDEX(Crops[],BedPlan[[#This Row],[Chart Index]],CF$4,1)*BedPlan[[#This Row],[Full Bed Equivalent]],"")</f>
        <v/>
      </c>
      <c r="CG108" cm="1">
        <f t="array" ref="CG108">IF(INDEX(Crops[],BedPlan[[#This Row],[Chart Index]],CG$4,1)="",0,INDEX(Crops[],BedPlan[[#This Row],[Chart Index]],CG$4,1))</f>
        <v>1.3</v>
      </c>
      <c r="CH108" cm="1">
        <f t="array" ref="CH108">IF(INDEX(Crops[],BedPlan[[#This Row],[Chart Index]],CH$4,1)="",0,INDEX(Crops[],BedPlan[[#This Row],[Chart Index]],CH$4,1))</f>
        <v>7</v>
      </c>
      <c r="CI108" t="str" cm="1">
        <f t="array" ref="CI108">INDEX(Crops[],BedPlan[[#This Row],[Chart Index]],CI$4,1)</f>
        <v>Field</v>
      </c>
      <c r="CJ108" s="30" t="str">
        <f>_xlfn.TEXTJOIN(CHAR(10),FALSE,BedPlan[[#This Row],[Name]],BedPlan[[#This Row],[Variety]],BedPlan[[#This Row],[Company]])</f>
        <v xml:space="preserve">Radish
Radish Mix
</v>
      </c>
      <c r="CK108" s="32">
        <f>MAX( 0, MIN(BedPlan[[#This Row],[Expected End of Harvest]], EOMONTH(CK$4, 0)) - MAX(BedPlan[[#This Row],[Beginning of Harvest]], CK$4) + 1 )</f>
        <v>0</v>
      </c>
      <c r="CL108">
        <f>MAX( 0, MIN(BedPlan[[#This Row],[Expected End of Harvest]], EOMONTH(CL$4, 0)) - MAX(BedPlan[[#This Row],[Beginning of Harvest]], CL$4) + 1 )</f>
        <v>0</v>
      </c>
      <c r="CM108">
        <f>MAX( 0, MIN(BedPlan[[#This Row],[Expected End of Harvest]], EOMONTH(CM$4, 0)) - MAX(BedPlan[[#This Row],[Beginning of Harvest]], CM$4) + 1 )</f>
        <v>0</v>
      </c>
      <c r="CN108">
        <f>MAX( 0, MIN(BedPlan[[#This Row],[Expected End of Harvest]], EOMONTH(CN$4, 0)) - MAX(BedPlan[[#This Row],[Beginning of Harvest]], CN$4) + 1 )</f>
        <v>0</v>
      </c>
      <c r="CO108">
        <f>MAX( 0, MIN(BedPlan[[#This Row],[Expected End of Harvest]], EOMONTH(CO$4, 0)) - MAX(BedPlan[[#This Row],[Beginning of Harvest]], CO$4) + 1 )</f>
        <v>0</v>
      </c>
      <c r="CP108">
        <f>MAX( 0, MIN(BedPlan[[#This Row],[Expected End of Harvest]], EOMONTH(CP$4, 0)) - MAX(BedPlan[[#This Row],[Beginning of Harvest]], CP$4) + 1 )</f>
        <v>0</v>
      </c>
      <c r="CQ108">
        <f>MAX( 0, MIN(BedPlan[[#This Row],[Expected End of Harvest]], EOMONTH(CQ$4, 0)) - MAX(BedPlan[[#This Row],[Beginning of Harvest]], CQ$4) + 1 )</f>
        <v>0</v>
      </c>
      <c r="CR108">
        <f>MAX( 0, MIN(BedPlan[[#This Row],[Expected End of Harvest]], EOMONTH(CR$4, 0)) - MAX(BedPlan[[#This Row],[Beginning of Harvest]], CR$4) + 1 )</f>
        <v>0</v>
      </c>
      <c r="CS108">
        <f>MAX( 0, MIN(BedPlan[[#This Row],[Expected End of Harvest]], EOMONTH(CS$4, 0)) - MAX(BedPlan[[#This Row],[Beginning of Harvest]], CS$4) + 1 )</f>
        <v>22</v>
      </c>
      <c r="CT108">
        <f>MAX( 0, MIN(BedPlan[[#This Row],[Expected End of Harvest]], EOMONTH(CT$4, 0)) - MAX(BedPlan[[#This Row],[Beginning of Harvest]], CT$4) + 1 )</f>
        <v>0</v>
      </c>
      <c r="CU108">
        <f>MAX( 0, MIN(BedPlan[[#This Row],[Expected End of Harvest]], EOMONTH(CU$4, 0)) - MAX(BedPlan[[#This Row],[Beginning of Harvest]], CU$4) + 1 )</f>
        <v>0</v>
      </c>
      <c r="CV108">
        <f>MAX( 0, MIN(BedPlan[[#This Row],[Expected End of Harvest]], EOMONTH(CV$4, 0)) - MAX(BedPlan[[#This Row],[Beginning of Harvest]], CV$4) + 1 )</f>
        <v>0</v>
      </c>
      <c r="CW108">
        <f>MAX( 0, MIN(BedPlan[[#This Row],[Expected End of Harvest]], EOMONTH(CW$4, 0)) - MAX(BedPlan[[#This Row],[Beginning of Harvest]], CW$4) + 1 )</f>
        <v>0</v>
      </c>
      <c r="CX108">
        <f>MAX( 0, MIN(BedPlan[[#This Row],[Expected End of Harvest]], EOMONTH(CX$4, 0)) - MAX(BedPlan[[#This Row],[Beginning of Harvest]], CX$4) + 1 )</f>
        <v>0</v>
      </c>
      <c r="CY108">
        <f>MAX( 0, MIN(BedPlan[[#This Row],[Expected End of Harvest]], EOMONTH(CY$4, 0)) - MAX(BedPlan[[#This Row],[Beginning of Harvest]], CY$4) + 1 )</f>
        <v>0</v>
      </c>
      <c r="CZ108">
        <f>MAX( 0, MIN(BedPlan[[#This Row],[Expected End of Harvest]], EOMONTH(CZ$4, 0)) - MAX(BedPlan[[#This Row],[Beginning of Harvest]], CZ$4) + 1 )</f>
        <v>0</v>
      </c>
      <c r="DA108">
        <f>MAX( 0, MIN(BedPlan[[#This Row],[Expected End of Harvest]], EOMONTH(DA$4, 0)) - MAX(BedPlan[[#This Row],[Beginning of Harvest]], DA$4) + 1 )</f>
        <v>0</v>
      </c>
      <c r="DB108">
        <f>MAX( 0, MIN(BedPlan[[#This Row],[Expected End of Harvest]], EOMONTH(DB$4, 0)) - MAX(BedPlan[[#This Row],[Beginning of Harvest]], DB$4) + 1 )</f>
        <v>0</v>
      </c>
      <c r="DC108">
        <f>MAX( 0, MIN(BedPlan[[#This Row],[Expected End of Harvest]], EOMONTH(DC$4, 0)) - MAX(BedPlan[[#This Row],[Beginning of Harvest]], DC$4) + 1 )</f>
        <v>0</v>
      </c>
      <c r="DD108">
        <f>MAX( 0, MIN(BedPlan[[#This Row],[Expected End of Harvest]], EOMONTH(DD$4, 0)) - MAX(BedPlan[[#This Row],[Beginning of Harvest]], DD$4) + 1 )</f>
        <v>0</v>
      </c>
      <c r="DE108">
        <f>MAX( 0, MIN(BedPlan[[#This Row],[Expected End of Harvest]], EOMONTH(DE$4, 0)) - MAX(BedPlan[[#This Row],[Beginning of Harvest]], DE$4) + 1 )</f>
        <v>0</v>
      </c>
      <c r="DF108">
        <f>MAX( 0, MIN(BedPlan[[#This Row],[Expected End of Harvest]], EOMONTH(DF$4, 0)) - MAX(BedPlan[[#This Row],[Beginning of Harvest]], DF$4) + 1 )</f>
        <v>0</v>
      </c>
      <c r="DG108">
        <f>MAX( 0, MIN(BedPlan[[#This Row],[Expected End of Harvest]], EOMONTH(DG$4, 0)) - MAX(BedPlan[[#This Row],[Beginning of Harvest]], DG$4) + 1 )</f>
        <v>0</v>
      </c>
      <c r="DH108">
        <f>MAX( 0, MIN(BedPlan[[#This Row],[Expected End of Harvest]], EOMONTH(DH$4, 0)) - MAX(BedPlan[[#This Row],[Beginning of Harvest]], DH$4) + 1 )</f>
        <v>0</v>
      </c>
      <c r="DI108" s="257" cm="1">
        <f t="array" ref="DI108">BedPlan[[#This Row],[Harvest Days January 2025]]/SUM(BedPlan[[#This Row],[Harvest Days January 2025]:[Harvest Days December 2026]])*BedPlan[[#This Row],[Revenue]:[Revenue]]</f>
        <v>0</v>
      </c>
      <c r="DJ108" s="257" cm="1">
        <f t="array" ref="DJ108">BedPlan[[#This Row],[Harvest Days February 2025]]/SUM(BedPlan[[#This Row],[Harvest Days January 2025]:[Harvest Days December 2026]])*BedPlan[[#This Row],[Revenue]:[Revenue]]</f>
        <v>0</v>
      </c>
      <c r="DK108" s="257" cm="1">
        <f t="array" ref="DK108">BedPlan[[#This Row],[Harvest Days March 2025]]/SUM(BedPlan[[#This Row],[Harvest Days January 2025]:[Harvest Days December 2026]])*BedPlan[[#This Row],[Revenue]:[Revenue]]</f>
        <v>0</v>
      </c>
      <c r="DL108" s="257" cm="1">
        <f t="array" ref="DL108">BedPlan[[#This Row],[Harvest Days April 2025]]/SUM(BedPlan[[#This Row],[Harvest Days January 2025]:[Harvest Days December 2026]])*BedPlan[[#This Row],[Revenue]:[Revenue]]</f>
        <v>0</v>
      </c>
      <c r="DM108" s="257" cm="1">
        <f t="array" ref="DM108">BedPlan[[#This Row],[Harvest Days May 2025]]/SUM(BedPlan[[#This Row],[Harvest Days January 2025]:[Harvest Days December 2026]])*BedPlan[[#This Row],[Revenue]:[Revenue]]</f>
        <v>0</v>
      </c>
      <c r="DN108" s="257" cm="1">
        <f t="array" ref="DN108">BedPlan[[#This Row],[Harvest Days June 2025]]/SUM(BedPlan[[#This Row],[Harvest Days January 2025]:[Harvest Days December 2026]])*BedPlan[[#This Row],[Revenue]:[Revenue]]</f>
        <v>0</v>
      </c>
      <c r="DO108" s="257" cm="1">
        <f t="array" ref="DO108">BedPlan[[#This Row],[Harvest Days July 2025]]/SUM(BedPlan[[#This Row],[Harvest Days January 2025]:[Harvest Days December 2026]])*BedPlan[[#This Row],[Revenue]:[Revenue]]</f>
        <v>0</v>
      </c>
      <c r="DP108" s="257" cm="1">
        <f t="array" ref="DP108">BedPlan[[#This Row],[Harvest Days August 2025]]/SUM(BedPlan[[#This Row],[Harvest Days January 2025]:[Harvest Days December 2026]])*BedPlan[[#This Row],[Revenue]:[Revenue]]</f>
        <v>0</v>
      </c>
      <c r="DQ108" s="257" cm="1">
        <f t="array" ref="DQ108">BedPlan[[#This Row],[Harvest Days September 2025]]/SUM(BedPlan[[#This Row],[Harvest Days January 2025]:[Harvest Days December 2026]])*BedPlan[[#This Row],[Revenue]:[Revenue]]</f>
        <v>187.5</v>
      </c>
      <c r="DR108" s="257" cm="1">
        <f t="array" ref="DR108">BedPlan[[#This Row],[Harvest Days October 2025]]/SUM(BedPlan[[#This Row],[Harvest Days January 2025]:[Harvest Days December 2026]])*BedPlan[[#This Row],[Revenue]:[Revenue]]</f>
        <v>0</v>
      </c>
      <c r="DS108" s="257" cm="1">
        <f t="array" ref="DS108">BedPlan[[#This Row],[Harvest Days November 2025]]/SUM(BedPlan[[#This Row],[Harvest Days January 2025]:[Harvest Days December 2026]])*BedPlan[[#This Row],[Revenue]:[Revenue]]</f>
        <v>0</v>
      </c>
      <c r="DT108" s="257" cm="1">
        <f t="array" ref="DT108">BedPlan[[#This Row],[Harvest Days December 2025]]/SUM(BedPlan[[#This Row],[Harvest Days January 2025]:[Harvest Days December 2026]])*BedPlan[[#This Row],[Revenue]:[Revenue]]</f>
        <v>0</v>
      </c>
      <c r="DU108" s="257" cm="1">
        <f t="array" ref="DU108">BedPlan[[#This Row],[Harvest Days January 2026]]/SUM(BedPlan[[#This Row],[Harvest Days January 2025]:[Harvest Days December 2026]])*BedPlan[[#This Row],[Revenue]:[Revenue]]</f>
        <v>0</v>
      </c>
      <c r="DV108" s="257" cm="1">
        <f t="array" ref="DV108">BedPlan[[#This Row],[Harvest Days February 2026]]/SUM(BedPlan[[#This Row],[Harvest Days January 2025]:[Harvest Days December 2026]])*BedPlan[[#This Row],[Revenue]:[Revenue]]</f>
        <v>0</v>
      </c>
      <c r="DW108" s="257" cm="1">
        <f t="array" ref="DW108">BedPlan[[#This Row],[Harvest Days March 2026]]/SUM(BedPlan[[#This Row],[Harvest Days January 2025]:[Harvest Days December 2026]])*BedPlan[[#This Row],[Revenue]:[Revenue]]</f>
        <v>0</v>
      </c>
      <c r="DX108" s="257" cm="1">
        <f t="array" ref="DX108">BedPlan[[#This Row],[Harvest Days April 2026]]/SUM(BedPlan[[#This Row],[Harvest Days January 2025]:[Harvest Days December 2026]])*BedPlan[[#This Row],[Revenue]:[Revenue]]</f>
        <v>0</v>
      </c>
      <c r="DY108" s="257" cm="1">
        <f t="array" ref="DY108">BedPlan[[#This Row],[Harvest Days May 2026]]/SUM(BedPlan[[#This Row],[Harvest Days January 2025]:[Harvest Days December 2026]])*BedPlan[[#This Row],[Revenue]:[Revenue]]</f>
        <v>0</v>
      </c>
      <c r="DZ108" s="257" cm="1">
        <f t="array" ref="DZ108">BedPlan[[#This Row],[Harvest Days June 2026]]/SUM(BedPlan[[#This Row],[Harvest Days January 2025]:[Harvest Days December 2026]])*BedPlan[[#This Row],[Revenue]:[Revenue]]</f>
        <v>0</v>
      </c>
      <c r="EA108" s="257" cm="1">
        <f t="array" ref="EA108">BedPlan[[#This Row],[Harvest Days July 2026]]/SUM(BedPlan[[#This Row],[Harvest Days January 2025]:[Harvest Days December 2026]])*BedPlan[[#This Row],[Revenue]:[Revenue]]</f>
        <v>0</v>
      </c>
      <c r="EB108" s="257" cm="1">
        <f t="array" ref="EB108">BedPlan[[#This Row],[Harvest Days August 2026]]/SUM(BedPlan[[#This Row],[Harvest Days January 2025]:[Harvest Days December 2026]])*BedPlan[[#This Row],[Revenue]:[Revenue]]</f>
        <v>0</v>
      </c>
      <c r="EC108" s="257" cm="1">
        <f t="array" ref="EC108">BedPlan[[#This Row],[Harvest Days September 2026]]/SUM(BedPlan[[#This Row],[Harvest Days January 2025]:[Harvest Days December 2026]])*BedPlan[[#This Row],[Revenue]:[Revenue]]</f>
        <v>0</v>
      </c>
      <c r="ED108" s="257" cm="1">
        <f t="array" ref="ED108">BedPlan[[#This Row],[Harvest Days October 2026]]/SUM(BedPlan[[#This Row],[Harvest Days January 2025]:[Harvest Days December 2026]])*BedPlan[[#This Row],[Revenue]:[Revenue]]</f>
        <v>0</v>
      </c>
      <c r="EE108" s="257" cm="1">
        <f t="array" ref="EE108">BedPlan[[#This Row],[Harvest Days November 2026]]/SUM(BedPlan[[#This Row],[Harvest Days January 2025]:[Harvest Days December 2026]])*BedPlan[[#This Row],[Revenue]:[Revenue]]</f>
        <v>0</v>
      </c>
      <c r="EF108" s="257" cm="1">
        <f t="array" ref="EF108">BedPlan[[#This Row],[Harvest Days December 2026]]/SUM(BedPlan[[#This Row],[Harvest Days January 2025]:[Harvest Days December 2026]])*BedPlan[[#This Row],[Revenue]:[Revenue]]</f>
        <v>0</v>
      </c>
      <c r="EG108" t="b">
        <f>SUM(BedPlan[[#This Row],[Revenue January 2025]:[Revenue December 2026]])=BedPlan[[#This Row],[Revenue]]</f>
        <v>1</v>
      </c>
      <c r="EH108" s="30" cm="1">
        <f t="array" ref="EH108">INDEX(Crops[],BedPlan[[#This Row],[Chart Index]],EH$4,1)*BedPlan[[#This Row],['# Of Beds]]</f>
        <v>62.5</v>
      </c>
      <c r="EI108" s="30" t="str" cm="1">
        <f t="array" ref="EI108">INDEX(Crops[],BedPlan[[#This Row],[Chart Index]],EI$4,1)</f>
        <v>Bunch</v>
      </c>
      <c r="EJ108" s="30" t="str" cm="1">
        <f t="array" ref="EJ108">INDEX(Crops[],BedPlan[[#This Row],[Chart Index]],EJ$4,1)</f>
        <v>Mature Root</v>
      </c>
      <c r="EK108" s="30" t="str">
        <f>BedPlan[[#This Row],[Name]]&amp;" "&amp;BedPlan[[#This Row],[Product]]&amp; " - " &amp;BedPlan[[#This Row],[Unit]]</f>
        <v>Radish Mature Root - Bunch</v>
      </c>
      <c r="EL108" s="33" cm="1">
        <f t="array" ref="EL108">BedPlan[[#This Row],[Harvest Days January 2025]]/SUM(BedPlan[[#This Row],[Harvest Days January 2025]:[Harvest Days December 2026]])*BedPlan[[#This Row],[Yield]:[Yield]]</f>
        <v>0</v>
      </c>
      <c r="EM108" s="33" cm="1">
        <f t="array" ref="EM108">BedPlan[[#This Row],[Harvest Days February 2025]]/SUM(BedPlan[[#This Row],[Harvest Days January 2025]:[Harvest Days December 2026]])*BedPlan[[#This Row],[Yield]:[Yield]]</f>
        <v>0</v>
      </c>
      <c r="EN108" s="33" cm="1">
        <f t="array" ref="EN108">BedPlan[[#This Row],[Harvest Days March 2025]]/SUM(BedPlan[[#This Row],[Harvest Days January 2025]:[Harvest Days December 2026]])*BedPlan[[#This Row],[Yield]:[Yield]]</f>
        <v>0</v>
      </c>
      <c r="EO108" s="33" cm="1">
        <f t="array" ref="EO108">BedPlan[[#This Row],[Harvest Days April 2025]]/SUM(BedPlan[[#This Row],[Harvest Days January 2025]:[Harvest Days December 2026]])*BedPlan[[#This Row],[Yield]:[Yield]]</f>
        <v>0</v>
      </c>
      <c r="EP108" s="33" cm="1">
        <f t="array" ref="EP108">BedPlan[[#This Row],[Harvest Days May 2025]]/SUM(BedPlan[[#This Row],[Harvest Days January 2025]:[Harvest Days December 2026]])*BedPlan[[#This Row],[Yield]:[Yield]]</f>
        <v>0</v>
      </c>
      <c r="EQ108" s="33" cm="1">
        <f t="array" ref="EQ108">BedPlan[[#This Row],[Harvest Days June 2025]]/SUM(BedPlan[[#This Row],[Harvest Days January 2025]:[Harvest Days December 2026]])*BedPlan[[#This Row],[Yield]:[Yield]]</f>
        <v>0</v>
      </c>
      <c r="ER108" s="33" cm="1">
        <f t="array" ref="ER108">BedPlan[[#This Row],[Harvest Days July 2025]]/SUM(BedPlan[[#This Row],[Harvest Days January 2025]:[Harvest Days December 2026]])*BedPlan[[#This Row],[Yield]:[Yield]]</f>
        <v>0</v>
      </c>
      <c r="ES108" s="33" cm="1">
        <f t="array" ref="ES108">BedPlan[[#This Row],[Harvest Days August 2025]]/SUM(BedPlan[[#This Row],[Harvest Days January 2025]:[Harvest Days December 2026]])*BedPlan[[#This Row],[Yield]:[Yield]]</f>
        <v>0</v>
      </c>
      <c r="ET108" s="33" cm="1">
        <f t="array" ref="ET108">BedPlan[[#This Row],[Harvest Days September 2025]]/SUM(BedPlan[[#This Row],[Harvest Days January 2025]:[Harvest Days December 2026]])*BedPlan[[#This Row],[Yield]:[Yield]]</f>
        <v>62.5</v>
      </c>
      <c r="EU108" s="33" cm="1">
        <f t="array" ref="EU108">BedPlan[[#This Row],[Harvest Days October 2025]]/SUM(BedPlan[[#This Row],[Harvest Days January 2025]:[Harvest Days December 2026]])*BedPlan[[#This Row],[Yield]:[Yield]]</f>
        <v>0</v>
      </c>
      <c r="EV108" s="33" cm="1">
        <f t="array" ref="EV108">BedPlan[[#This Row],[Harvest Days November 2025]]/SUM(BedPlan[[#This Row],[Harvest Days January 2025]:[Harvest Days December 2026]])*BedPlan[[#This Row],[Yield]:[Yield]]</f>
        <v>0</v>
      </c>
      <c r="EW108" s="33" cm="1">
        <f t="array" ref="EW108">BedPlan[[#This Row],[Harvest Days December 2025]]/SUM(BedPlan[[#This Row],[Harvest Days January 2025]:[Harvest Days December 2026]])*BedPlan[[#This Row],[Yield]:[Yield]]</f>
        <v>0</v>
      </c>
    </row>
    <row r="109" spans="1:153" ht="15.75" customHeight="1">
      <c r="A109" s="191" t="s">
        <v>2614</v>
      </c>
      <c r="B109" s="240" t="s">
        <v>3267</v>
      </c>
      <c r="C109" t="s">
        <v>1448</v>
      </c>
      <c r="D109" s="226" cm="1">
        <f t="array" ref="D109">INDEX(Crops[],BedPlan[[#This Row],[Chart Index]],D$4,1)*BedPlan[[#This Row],[Full Bed Equivalent]]</f>
        <v>15.625</v>
      </c>
      <c r="E109" s="226" cm="1">
        <f t="array" ref="E109">INDEX(Crops[],BedPlan[[#This Row],[Chart Index]],E$4,1)*BedPlan[[#This Row],[Full Bed Equivalent]]</f>
        <v>62.5</v>
      </c>
      <c r="F109" t="str">
        <f>UPPER(LEFT(BedPlan[[#This Row],[Crop]],3))</f>
        <v>RAD</v>
      </c>
      <c r="H109" s="143" t="str" cm="1">
        <f t="array" ref="H109">INDEX(Crops[],BedPlan[[#This Row],[Chart Index]],H$4,1)</f>
        <v>Radish</v>
      </c>
      <c r="I109" t="s">
        <v>1347</v>
      </c>
      <c r="K109" t="str" cm="1">
        <f t="array" ref="K109">IF(ISNUMBER(MATCH(BedPlan[[#This Row],[Variety]],SeedMixes[Name],)),_xlfn.TEXTJOIN(", ",TRUE,_xlfn._xlws.FILTER(SeedMixes[Variety &amp; Company],SeedMixes[Name]=BedPlan[[#This Row],[Variety]])),"")</f>
        <v>French Breakfast High Mowing, Pearl Johnny's, Sora High Mowing, Patricia High Mowing</v>
      </c>
      <c r="L109" s="33" cm="1">
        <f t="array" ref="L109">INDEX(Crops[],BedPlan[[#This Row],[Chart Index]],L$4,1)*BedPlan[[#This Row],[Full Bed Equivalent]]</f>
        <v>2340</v>
      </c>
      <c r="N109">
        <v>0.5</v>
      </c>
      <c r="O109">
        <f>MAX(BedPlan[[#This Row],['# Of Beds]],0.5)</f>
        <v>0.5</v>
      </c>
      <c r="P109" s="31">
        <f>IF(ISNUMBER(BedPlan[[#This Row],[Planned Greenhouse Start Date]]),BedPlan[[#This Row],[Planned Greenhouse Start Date]],BedPlan[[#This Row],[Planned TP or DS Date]])</f>
        <v>45889</v>
      </c>
      <c r="Q109" s="259" t="str">
        <f>IF(BedPlan[[#This Row],[Days in Cells]]=0,"",IFERROR(_xlfn.XLOOKUP(BedPlan[[#This Row],[Follows Crop]],BedPlan[Identifier],BedPlan[Expected End of Harvest]) + 1+BedPlan[[#This Row],[Follow Offset]],BedPlan[[#This Row],[Fixed Field Start Date]])-BedPlan[[#This Row],[Days in Cells]])</f>
        <v/>
      </c>
      <c r="R109" s="259"/>
      <c r="S109" s="259" t="str">
        <f>IF(ISNUMBER(BedPlan[[#This Row],[Actual Greenhouse Date]]),BedPlan[[#This Row],[Actual Greenhouse Date]],BedPlan[[#This Row],[Planned Greenhouse Start Date]])</f>
        <v/>
      </c>
      <c r="T109" s="259">
        <v>45889</v>
      </c>
      <c r="U109" s="260"/>
      <c r="V109" s="260"/>
      <c r="W10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45889</v>
      </c>
      <c r="X109" s="259"/>
      <c r="Y109" s="271">
        <f>BedPlan[[#This Row],[Actual TP or DS Date]]-BedPlan[[#This Row],[Planned TP or DS Date]]</f>
        <v>-45889</v>
      </c>
      <c r="Z109" s="259">
        <f>IF(ISNUMBER(BedPlan[[#This Row],[Actual TP or DS Date]]),BedPlan[[#This Row],[Actual TP or DS Date]],BedPlan[[#This Row],[Planned TP or DS Date]])</f>
        <v>45889</v>
      </c>
      <c r="AA109" s="259"/>
      <c r="AB109" s="259">
        <f>IF(ISNUMBER(BedPlan[[#This Row],[Greenhouse Start Date]]),BedPlan[[#This Row],[Greenhouse Start Date]]+BedPlan[[#This Row],[DTM]],BedPlan[[#This Row],[TP or DS Date]]+BedPlan[[#This Row],[DTM]])</f>
        <v>45921</v>
      </c>
      <c r="AC109" s="259"/>
      <c r="AD109" s="259">
        <f>IF(ISNUMBER(BedPlan[[#This Row],[Actual Beginning of Harvest]]),BedPlan[[#This Row],[Actual Beginning of Harvest]],BedPlan[[#This Row],[Expected Beginning of Harvest]])</f>
        <v>45921</v>
      </c>
      <c r="AE109" s="259">
        <f>BedPlan[[#This Row],[Expected Beginning of Harvest]]+BedPlan[[#This Row],[Harvest Window]]+BedPlan[[#This Row],[Additional Days of Harvest]]</f>
        <v>45942</v>
      </c>
      <c r="AF109" s="259"/>
      <c r="AG109" s="259"/>
      <c r="AH109" s="31" t="b">
        <f>IF(AND( BedPlan[[#This Row],[Expected End of Harvest]] &gt;= DATE(2025, 8, 1), BedPlan[[#This Row],[Beginning of Harvest]] &lt;= DATE(2025, 8, 31) ), TRUE, FALSE)</f>
        <v>0</v>
      </c>
      <c r="AI109" s="31"/>
      <c r="AJ109" s="31">
        <f>IF(ISNUMBER(BedPlan[[#This Row],[Actual End of Harvest]]),BedPlan[[#This Row],[Actual End of Harvest]],BedPlan[[#This Row],[Expected End of Harvest]])</f>
        <v>45942</v>
      </c>
      <c r="AK109" t="b">
        <f>OR(ISNUMBER(BedPlan[[#This Row],[Actual Greenhouse Date]]),ISNUMBER(BedPlan[[#This Row],[Actual TP or DS Date]]))</f>
        <v>0</v>
      </c>
      <c r="AL109" s="52" t="str">
        <f>IF(ISNUMBER(BedPlan[[#This Row],[Planned Greenhouse Start Date]]),OR(ISNUMBER(BedPlan[[#This Row],[Actual TP or DS Date]]),BedPlan[[#This Row],[Failed]]),"-")</f>
        <v>-</v>
      </c>
      <c r="AM109" t="b">
        <f>OR(ISNUMBER(BedPlan[[#This Row],[Actual End of Harvest]]),BedPlan[[#This Row],[Failed]])</f>
        <v>0</v>
      </c>
      <c r="AN109" t="b">
        <f>OR(BedPlan[[#This Row],[Harvest Done]],BedPlan[[#This Row],[Failed]],BedPlan[[#This Row],[Name]]="Tarp")</f>
        <v>0</v>
      </c>
      <c r="AS109" s="26" t="str">
        <f>IF(BedPlan[[#This Row],[Broadfork]],BedPlan[[#This Row],[Actual TP or DS Date]],"")</f>
        <v/>
      </c>
      <c r="AT109" s="26" t="str">
        <f>IF(BedPlan[[#This Row],[Tilther]],BedPlan[[#This Row],[Actual TP or DS Date]],"")</f>
        <v/>
      </c>
      <c r="AU109" s="26" t="str">
        <f>IF(NOT(ISBLANK(BedPlan[[#This Row],[Amend]])),BedPlan[[#This Row],[Actual TP or DS Date]],"")</f>
        <v/>
      </c>
      <c r="AV109" s="26" t="str">
        <f>IF(BedPlan[[#This Row],[Row Cover]],BedPlan[[#This Row],[Actual TP or DS Date]],"")</f>
        <v/>
      </c>
      <c r="AX109" s="26"/>
      <c r="AZ109" s="26"/>
      <c r="BB109" s="26"/>
      <c r="BC109" s="231" cm="1">
        <f t="array" ref="BC109">INDEX(Crops[],BedPlan[[#This Row],[Chart Index]],BC$4,1)*BedPlan[[#This Row],[Full Bed Equivalent]]</f>
        <v>187.5</v>
      </c>
      <c r="BD109" s="231" cm="1">
        <f t="array" ref="BD109">INDEX(Crops[],BedPlan[[#This Row],[Chart Index]],BD$4,1)*BedPlan[[#This Row],[Full Bed Equivalent]]</f>
        <v>3.5377358490566038</v>
      </c>
      <c r="BE109" cm="1">
        <f t="array" ref="BE109">INDEX(Crops[],BedPlan[[#This Row],[Chart Index]],BE$4,1)+BedPlan[[#This Row],[Additional Days in Cells]]+BedPlan[[#This Row],[Additional Days In Field]]</f>
        <v>32</v>
      </c>
      <c r="BG109" cm="1">
        <f t="array" ref="BG109">INDEX(Crops[],BedPlan[[#This Row],[Chart Index]],BG$4,1)</f>
        <v>21</v>
      </c>
      <c r="BH109" t="str">
        <f>IF(ISNUMBER(BedPlan[[#This Row],[Planned Greenhouse Start Date]]),"TP","DS")</f>
        <v>DS</v>
      </c>
      <c r="BI109">
        <f>BedPlan[[#This Row],['# Of Beds]]</f>
        <v>0.5</v>
      </c>
      <c r="BJ109" cm="1">
        <f t="array" ref="BJ109">INDEX(Crops[],BedPlan[[#This Row],[Chart Index]],BJ$4,1)</f>
        <v>0</v>
      </c>
      <c r="BK109" cm="1">
        <f t="array" ref="BK109">INDEX(Crops[],BedPlan[[#This Row],[Chart Index]],BK$4,1)</f>
        <v>6</v>
      </c>
      <c r="BL109" cm="1">
        <f t="array" ref="BL109">INDEX(Crops[],BedPlan[[#This Row],[Chart Index]],BL$4,1)</f>
        <v>1</v>
      </c>
      <c r="BM109" cm="1">
        <f t="array" ref="BM109">INDEX(Crops[],BedPlan[[#This Row],[Chart Index]],BM$4,1)</f>
        <v>1</v>
      </c>
      <c r="BN109" s="32" cm="1">
        <f t="array" ref="BN109">INDEX(Crops[],BedPlan[[#This Row],[Chart Index]],BN$4,1)*BedPlan[[#This Row],[Full Bed Equivalent]]</f>
        <v>1800</v>
      </c>
      <c r="BO109" t="str" cm="1">
        <f t="array" ref="BO109">IF(INDEX(Crops[],BedPlan[[#This Row],[Chart Index]],BO$4,1)=0,"",INDEX(Crops[],BedPlan[[#This Row],[Chart Index]],BO$4,1))</f>
        <v>OH</v>
      </c>
      <c r="BP109">
        <f>MATCH(BedPlan[[#This Row],[Crop]],Crops[Identifier],FALSE)</f>
        <v>255</v>
      </c>
      <c r="BQ109" t="str" cm="1">
        <f t="array" ref="BQ109">INDEX(Crops[],BedPlan[[#This Row],[Chart Index]],BQ$4,1)</f>
        <v>6r</v>
      </c>
      <c r="BR109" t="str" cm="1">
        <f t="array" ref="BR109">INDEX(Crops[],BedPlan[[#This Row],[Chart Index]],BR$4,1)</f>
        <v>Su</v>
      </c>
      <c r="BS109" s="32">
        <f>BedPlan[[#This Row],[Expected Beginning of Harvest]]-DATE(2023,1,1)</f>
        <v>994</v>
      </c>
      <c r="BT109">
        <f>BedPlan[[#This Row],[Expected End of Harvest]]-BedPlan[[#This Row],[Expected Beginning of Harvest]]</f>
        <v>21</v>
      </c>
      <c r="BU109" t="str" cm="1">
        <f t="array" ref="BU109">INDEX(Crops[],BedPlan[[#This Row],[Chart Index]],BU$4,1)</f>
        <v>Root</v>
      </c>
      <c r="BV109" cm="1">
        <f t="array" ref="BV109">INDEX(Crops[],BedPlan[[#This Row],[Chart Index]],BV$4,1)</f>
        <v>1</v>
      </c>
      <c r="BW109" t="str" cm="1">
        <f t="array" ref="BW109">INDEX(Crops[],BedPlan[[#This Row],[Chart Index]],BW$4,1)</f>
        <v>AMAP</v>
      </c>
      <c r="BX109" cm="1">
        <f t="array" ref="BX109">INDEX(Crops[],BedPlan[[#This Row],[Chart Index]],BX$4,1)</f>
        <v>0</v>
      </c>
      <c r="BY109" cm="1">
        <f t="array" ref="BY109">INDEX(Crops[],BedPlan[[#This Row],[Chart Index]],BY$4,1)</f>
        <v>0</v>
      </c>
      <c r="BZ109" s="49" t="str" cm="1">
        <f t="array" ref="BZ109">IFERROR(INDEX(Crops[],BedPlan[[#This Row],[Chart Index]],BZ$4,1)*BedPlan[[#This Row],[Full Bed Equivalent]],"")</f>
        <v/>
      </c>
      <c r="CA109" cm="1">
        <f t="array" ref="CA109">INDEX(Crops[],BedPlan[[#This Row],[Chart Index]],CA$4,1)</f>
        <v>0</v>
      </c>
      <c r="CB109" cm="1">
        <f t="array" ref="CB109">INDEX(Crops[],BedPlan[[#This Row],[Chart Index]],CB$4,1)</f>
        <v>0</v>
      </c>
      <c r="CC109" s="49" t="str" cm="1">
        <f t="array" ref="CC109">IFERROR(INDEX(Crops[],BedPlan[[#This Row],[Chart Index]],CC$4,1)*BedPlan[[#This Row],[Full Bed Equivalent]],"")</f>
        <v/>
      </c>
      <c r="CD109" cm="1">
        <f t="array" ref="CD109">INDEX(Crops[],BedPlan[[#This Row],[Chart Index]],CD$4,1)</f>
        <v>0</v>
      </c>
      <c r="CE109" cm="1">
        <f t="array" ref="CE109">IF(INDEX(Crops[],BedPlan[[#This Row],[Chart Index]],CE$4,1)="",0,INDEX(Crops[],BedPlan[[#This Row],[Chart Index]],CE$4,1))</f>
        <v>0</v>
      </c>
      <c r="CF109" s="49" t="str" cm="1">
        <f t="array" ref="CF109">IFERROR(INDEX(Crops[],BedPlan[[#This Row],[Chart Index]],CF$4,1)*BedPlan[[#This Row],[Full Bed Equivalent]],"")</f>
        <v/>
      </c>
      <c r="CG109" cm="1">
        <f t="array" ref="CG109">IF(INDEX(Crops[],BedPlan[[#This Row],[Chart Index]],CG$4,1)="",0,INDEX(Crops[],BedPlan[[#This Row],[Chart Index]],CG$4,1))</f>
        <v>1.3</v>
      </c>
      <c r="CH109" cm="1">
        <f t="array" ref="CH109">IF(INDEX(Crops[],BedPlan[[#This Row],[Chart Index]],CH$4,1)="",0,INDEX(Crops[],BedPlan[[#This Row],[Chart Index]],CH$4,1))</f>
        <v>7</v>
      </c>
      <c r="CI109" t="str" cm="1">
        <f t="array" ref="CI109">INDEX(Crops[],BedPlan[[#This Row],[Chart Index]],CI$4,1)</f>
        <v>Field</v>
      </c>
      <c r="CJ109" s="30" t="str">
        <f>_xlfn.TEXTJOIN(CHAR(10),FALSE,BedPlan[[#This Row],[Name]],BedPlan[[#This Row],[Variety]],BedPlan[[#This Row],[Company]])</f>
        <v xml:space="preserve">Radish
Radish Mix
</v>
      </c>
      <c r="CK109" s="32">
        <f>MAX( 0, MIN(BedPlan[[#This Row],[Expected End of Harvest]], EOMONTH(CK$4, 0)) - MAX(BedPlan[[#This Row],[Beginning of Harvest]], CK$4) + 1 )</f>
        <v>0</v>
      </c>
      <c r="CL109">
        <f>MAX( 0, MIN(BedPlan[[#This Row],[Expected End of Harvest]], EOMONTH(CL$4, 0)) - MAX(BedPlan[[#This Row],[Beginning of Harvest]], CL$4) + 1 )</f>
        <v>0</v>
      </c>
      <c r="CM109">
        <f>MAX( 0, MIN(BedPlan[[#This Row],[Expected End of Harvest]], EOMONTH(CM$4, 0)) - MAX(BedPlan[[#This Row],[Beginning of Harvest]], CM$4) + 1 )</f>
        <v>0</v>
      </c>
      <c r="CN109">
        <f>MAX( 0, MIN(BedPlan[[#This Row],[Expected End of Harvest]], EOMONTH(CN$4, 0)) - MAX(BedPlan[[#This Row],[Beginning of Harvest]], CN$4) + 1 )</f>
        <v>0</v>
      </c>
      <c r="CO109">
        <f>MAX( 0, MIN(BedPlan[[#This Row],[Expected End of Harvest]], EOMONTH(CO$4, 0)) - MAX(BedPlan[[#This Row],[Beginning of Harvest]], CO$4) + 1 )</f>
        <v>0</v>
      </c>
      <c r="CP109">
        <f>MAX( 0, MIN(BedPlan[[#This Row],[Expected End of Harvest]], EOMONTH(CP$4, 0)) - MAX(BedPlan[[#This Row],[Beginning of Harvest]], CP$4) + 1 )</f>
        <v>0</v>
      </c>
      <c r="CQ109">
        <f>MAX( 0, MIN(BedPlan[[#This Row],[Expected End of Harvest]], EOMONTH(CQ$4, 0)) - MAX(BedPlan[[#This Row],[Beginning of Harvest]], CQ$4) + 1 )</f>
        <v>0</v>
      </c>
      <c r="CR109">
        <f>MAX( 0, MIN(BedPlan[[#This Row],[Expected End of Harvest]], EOMONTH(CR$4, 0)) - MAX(BedPlan[[#This Row],[Beginning of Harvest]], CR$4) + 1 )</f>
        <v>0</v>
      </c>
      <c r="CS109">
        <f>MAX( 0, MIN(BedPlan[[#This Row],[Expected End of Harvest]], EOMONTH(CS$4, 0)) - MAX(BedPlan[[#This Row],[Beginning of Harvest]], CS$4) + 1 )</f>
        <v>10</v>
      </c>
      <c r="CT109">
        <f>MAX( 0, MIN(BedPlan[[#This Row],[Expected End of Harvest]], EOMONTH(CT$4, 0)) - MAX(BedPlan[[#This Row],[Beginning of Harvest]], CT$4) + 1 )</f>
        <v>12</v>
      </c>
      <c r="CU109">
        <f>MAX( 0, MIN(BedPlan[[#This Row],[Expected End of Harvest]], EOMONTH(CU$4, 0)) - MAX(BedPlan[[#This Row],[Beginning of Harvest]], CU$4) + 1 )</f>
        <v>0</v>
      </c>
      <c r="CV109">
        <f>MAX( 0, MIN(BedPlan[[#This Row],[Expected End of Harvest]], EOMONTH(CV$4, 0)) - MAX(BedPlan[[#This Row],[Beginning of Harvest]], CV$4) + 1 )</f>
        <v>0</v>
      </c>
      <c r="CW109">
        <f>MAX( 0, MIN(BedPlan[[#This Row],[Expected End of Harvest]], EOMONTH(CW$4, 0)) - MAX(BedPlan[[#This Row],[Beginning of Harvest]], CW$4) + 1 )</f>
        <v>0</v>
      </c>
      <c r="CX109">
        <f>MAX( 0, MIN(BedPlan[[#This Row],[Expected End of Harvest]], EOMONTH(CX$4, 0)) - MAX(BedPlan[[#This Row],[Beginning of Harvest]], CX$4) + 1 )</f>
        <v>0</v>
      </c>
      <c r="CY109">
        <f>MAX( 0, MIN(BedPlan[[#This Row],[Expected End of Harvest]], EOMONTH(CY$4, 0)) - MAX(BedPlan[[#This Row],[Beginning of Harvest]], CY$4) + 1 )</f>
        <v>0</v>
      </c>
      <c r="CZ109">
        <f>MAX( 0, MIN(BedPlan[[#This Row],[Expected End of Harvest]], EOMONTH(CZ$4, 0)) - MAX(BedPlan[[#This Row],[Beginning of Harvest]], CZ$4) + 1 )</f>
        <v>0</v>
      </c>
      <c r="DA109">
        <f>MAX( 0, MIN(BedPlan[[#This Row],[Expected End of Harvest]], EOMONTH(DA$4, 0)) - MAX(BedPlan[[#This Row],[Beginning of Harvest]], DA$4) + 1 )</f>
        <v>0</v>
      </c>
      <c r="DB109">
        <f>MAX( 0, MIN(BedPlan[[#This Row],[Expected End of Harvest]], EOMONTH(DB$4, 0)) - MAX(BedPlan[[#This Row],[Beginning of Harvest]], DB$4) + 1 )</f>
        <v>0</v>
      </c>
      <c r="DC109">
        <f>MAX( 0, MIN(BedPlan[[#This Row],[Expected End of Harvest]], EOMONTH(DC$4, 0)) - MAX(BedPlan[[#This Row],[Beginning of Harvest]], DC$4) + 1 )</f>
        <v>0</v>
      </c>
      <c r="DD109">
        <f>MAX( 0, MIN(BedPlan[[#This Row],[Expected End of Harvest]], EOMONTH(DD$4, 0)) - MAX(BedPlan[[#This Row],[Beginning of Harvest]], DD$4) + 1 )</f>
        <v>0</v>
      </c>
      <c r="DE109">
        <f>MAX( 0, MIN(BedPlan[[#This Row],[Expected End of Harvest]], EOMONTH(DE$4, 0)) - MAX(BedPlan[[#This Row],[Beginning of Harvest]], DE$4) + 1 )</f>
        <v>0</v>
      </c>
      <c r="DF109">
        <f>MAX( 0, MIN(BedPlan[[#This Row],[Expected End of Harvest]], EOMONTH(DF$4, 0)) - MAX(BedPlan[[#This Row],[Beginning of Harvest]], DF$4) + 1 )</f>
        <v>0</v>
      </c>
      <c r="DG109">
        <f>MAX( 0, MIN(BedPlan[[#This Row],[Expected End of Harvest]], EOMONTH(DG$4, 0)) - MAX(BedPlan[[#This Row],[Beginning of Harvest]], DG$4) + 1 )</f>
        <v>0</v>
      </c>
      <c r="DH109">
        <f>MAX( 0, MIN(BedPlan[[#This Row],[Expected End of Harvest]], EOMONTH(DH$4, 0)) - MAX(BedPlan[[#This Row],[Beginning of Harvest]], DH$4) + 1 )</f>
        <v>0</v>
      </c>
      <c r="DI109" s="257" cm="1">
        <f t="array" ref="DI109">BedPlan[[#This Row],[Harvest Days January 2025]]/SUM(BedPlan[[#This Row],[Harvest Days January 2025]:[Harvest Days December 2026]])*BedPlan[[#This Row],[Revenue]:[Revenue]]</f>
        <v>0</v>
      </c>
      <c r="DJ109" s="257" cm="1">
        <f t="array" ref="DJ109">BedPlan[[#This Row],[Harvest Days February 2025]]/SUM(BedPlan[[#This Row],[Harvest Days January 2025]:[Harvest Days December 2026]])*BedPlan[[#This Row],[Revenue]:[Revenue]]</f>
        <v>0</v>
      </c>
      <c r="DK109" s="257" cm="1">
        <f t="array" ref="DK109">BedPlan[[#This Row],[Harvest Days March 2025]]/SUM(BedPlan[[#This Row],[Harvest Days January 2025]:[Harvest Days December 2026]])*BedPlan[[#This Row],[Revenue]:[Revenue]]</f>
        <v>0</v>
      </c>
      <c r="DL109" s="257" cm="1">
        <f t="array" ref="DL109">BedPlan[[#This Row],[Harvest Days April 2025]]/SUM(BedPlan[[#This Row],[Harvest Days January 2025]:[Harvest Days December 2026]])*BedPlan[[#This Row],[Revenue]:[Revenue]]</f>
        <v>0</v>
      </c>
      <c r="DM109" s="257" cm="1">
        <f t="array" ref="DM109">BedPlan[[#This Row],[Harvest Days May 2025]]/SUM(BedPlan[[#This Row],[Harvest Days January 2025]:[Harvest Days December 2026]])*BedPlan[[#This Row],[Revenue]:[Revenue]]</f>
        <v>0</v>
      </c>
      <c r="DN109" s="257" cm="1">
        <f t="array" ref="DN109">BedPlan[[#This Row],[Harvest Days June 2025]]/SUM(BedPlan[[#This Row],[Harvest Days January 2025]:[Harvest Days December 2026]])*BedPlan[[#This Row],[Revenue]:[Revenue]]</f>
        <v>0</v>
      </c>
      <c r="DO109" s="257" cm="1">
        <f t="array" ref="DO109">BedPlan[[#This Row],[Harvest Days July 2025]]/SUM(BedPlan[[#This Row],[Harvest Days January 2025]:[Harvest Days December 2026]])*BedPlan[[#This Row],[Revenue]:[Revenue]]</f>
        <v>0</v>
      </c>
      <c r="DP109" s="257" cm="1">
        <f t="array" ref="DP109">BedPlan[[#This Row],[Harvest Days August 2025]]/SUM(BedPlan[[#This Row],[Harvest Days January 2025]:[Harvest Days December 2026]])*BedPlan[[#This Row],[Revenue]:[Revenue]]</f>
        <v>0</v>
      </c>
      <c r="DQ109" s="257" cm="1">
        <f t="array" ref="DQ109">BedPlan[[#This Row],[Harvest Days September 2025]]/SUM(BedPlan[[#This Row],[Harvest Days January 2025]:[Harvest Days December 2026]])*BedPlan[[#This Row],[Revenue]:[Revenue]]</f>
        <v>85.22727272727272</v>
      </c>
      <c r="DR109" s="257" cm="1">
        <f t="array" ref="DR109">BedPlan[[#This Row],[Harvest Days October 2025]]/SUM(BedPlan[[#This Row],[Harvest Days January 2025]:[Harvest Days December 2026]])*BedPlan[[#This Row],[Revenue]:[Revenue]]</f>
        <v>102.27272727272727</v>
      </c>
      <c r="DS109" s="257" cm="1">
        <f t="array" ref="DS109">BedPlan[[#This Row],[Harvest Days November 2025]]/SUM(BedPlan[[#This Row],[Harvest Days January 2025]:[Harvest Days December 2026]])*BedPlan[[#This Row],[Revenue]:[Revenue]]</f>
        <v>0</v>
      </c>
      <c r="DT109" s="257" cm="1">
        <f t="array" ref="DT109">BedPlan[[#This Row],[Harvest Days December 2025]]/SUM(BedPlan[[#This Row],[Harvest Days January 2025]:[Harvest Days December 2026]])*BedPlan[[#This Row],[Revenue]:[Revenue]]</f>
        <v>0</v>
      </c>
      <c r="DU109" s="257" cm="1">
        <f t="array" ref="DU109">BedPlan[[#This Row],[Harvest Days January 2026]]/SUM(BedPlan[[#This Row],[Harvest Days January 2025]:[Harvest Days December 2026]])*BedPlan[[#This Row],[Revenue]:[Revenue]]</f>
        <v>0</v>
      </c>
      <c r="DV109" s="257" cm="1">
        <f t="array" ref="DV109">BedPlan[[#This Row],[Harvest Days February 2026]]/SUM(BedPlan[[#This Row],[Harvest Days January 2025]:[Harvest Days December 2026]])*BedPlan[[#This Row],[Revenue]:[Revenue]]</f>
        <v>0</v>
      </c>
      <c r="DW109" s="257" cm="1">
        <f t="array" ref="DW109">BedPlan[[#This Row],[Harvest Days March 2026]]/SUM(BedPlan[[#This Row],[Harvest Days January 2025]:[Harvest Days December 2026]])*BedPlan[[#This Row],[Revenue]:[Revenue]]</f>
        <v>0</v>
      </c>
      <c r="DX109" s="257" cm="1">
        <f t="array" ref="DX109">BedPlan[[#This Row],[Harvest Days April 2026]]/SUM(BedPlan[[#This Row],[Harvest Days January 2025]:[Harvest Days December 2026]])*BedPlan[[#This Row],[Revenue]:[Revenue]]</f>
        <v>0</v>
      </c>
      <c r="DY109" s="257" cm="1">
        <f t="array" ref="DY109">BedPlan[[#This Row],[Harvest Days May 2026]]/SUM(BedPlan[[#This Row],[Harvest Days January 2025]:[Harvest Days December 2026]])*BedPlan[[#This Row],[Revenue]:[Revenue]]</f>
        <v>0</v>
      </c>
      <c r="DZ109" s="257" cm="1">
        <f t="array" ref="DZ109">BedPlan[[#This Row],[Harvest Days June 2026]]/SUM(BedPlan[[#This Row],[Harvest Days January 2025]:[Harvest Days December 2026]])*BedPlan[[#This Row],[Revenue]:[Revenue]]</f>
        <v>0</v>
      </c>
      <c r="EA109" s="257" cm="1">
        <f t="array" ref="EA109">BedPlan[[#This Row],[Harvest Days July 2026]]/SUM(BedPlan[[#This Row],[Harvest Days January 2025]:[Harvest Days December 2026]])*BedPlan[[#This Row],[Revenue]:[Revenue]]</f>
        <v>0</v>
      </c>
      <c r="EB109" s="257" cm="1">
        <f t="array" ref="EB109">BedPlan[[#This Row],[Harvest Days August 2026]]/SUM(BedPlan[[#This Row],[Harvest Days January 2025]:[Harvest Days December 2026]])*BedPlan[[#This Row],[Revenue]:[Revenue]]</f>
        <v>0</v>
      </c>
      <c r="EC109" s="257" cm="1">
        <f t="array" ref="EC109">BedPlan[[#This Row],[Harvest Days September 2026]]/SUM(BedPlan[[#This Row],[Harvest Days January 2025]:[Harvest Days December 2026]])*BedPlan[[#This Row],[Revenue]:[Revenue]]</f>
        <v>0</v>
      </c>
      <c r="ED109" s="257" cm="1">
        <f t="array" ref="ED109">BedPlan[[#This Row],[Harvest Days October 2026]]/SUM(BedPlan[[#This Row],[Harvest Days January 2025]:[Harvest Days December 2026]])*BedPlan[[#This Row],[Revenue]:[Revenue]]</f>
        <v>0</v>
      </c>
      <c r="EE109" s="257" cm="1">
        <f t="array" ref="EE109">BedPlan[[#This Row],[Harvest Days November 2026]]/SUM(BedPlan[[#This Row],[Harvest Days January 2025]:[Harvest Days December 2026]])*BedPlan[[#This Row],[Revenue]:[Revenue]]</f>
        <v>0</v>
      </c>
      <c r="EF109" s="257" cm="1">
        <f t="array" ref="EF109">BedPlan[[#This Row],[Harvest Days December 2026]]/SUM(BedPlan[[#This Row],[Harvest Days January 2025]:[Harvest Days December 2026]])*BedPlan[[#This Row],[Revenue]:[Revenue]]</f>
        <v>0</v>
      </c>
      <c r="EG109" t="b">
        <f>SUM(BedPlan[[#This Row],[Revenue January 2025]:[Revenue December 2026]])=BedPlan[[#This Row],[Revenue]]</f>
        <v>1</v>
      </c>
      <c r="EH109" s="30" cm="1">
        <f t="array" ref="EH109">INDEX(Crops[],BedPlan[[#This Row],[Chart Index]],EH$4,1)*BedPlan[[#This Row],['# Of Beds]]</f>
        <v>62.5</v>
      </c>
      <c r="EI109" s="30" t="str" cm="1">
        <f t="array" ref="EI109">INDEX(Crops[],BedPlan[[#This Row],[Chart Index]],EI$4,1)</f>
        <v>Bunch</v>
      </c>
      <c r="EJ109" s="30" t="str" cm="1">
        <f t="array" ref="EJ109">INDEX(Crops[],BedPlan[[#This Row],[Chart Index]],EJ$4,1)</f>
        <v>Mature Root</v>
      </c>
      <c r="EK109" s="30" t="str">
        <f>BedPlan[[#This Row],[Name]]&amp;" "&amp;BedPlan[[#This Row],[Product]]&amp; " - " &amp;BedPlan[[#This Row],[Unit]]</f>
        <v>Radish Mature Root - Bunch</v>
      </c>
      <c r="EL109" s="33" cm="1">
        <f t="array" ref="EL109">BedPlan[[#This Row],[Harvest Days January 2025]]/SUM(BedPlan[[#This Row],[Harvest Days January 2025]:[Harvest Days December 2026]])*BedPlan[[#This Row],[Yield]:[Yield]]</f>
        <v>0</v>
      </c>
      <c r="EM109" s="33" cm="1">
        <f t="array" ref="EM109">BedPlan[[#This Row],[Harvest Days February 2025]]/SUM(BedPlan[[#This Row],[Harvest Days January 2025]:[Harvest Days December 2026]])*BedPlan[[#This Row],[Yield]:[Yield]]</f>
        <v>0</v>
      </c>
      <c r="EN109" s="33" cm="1">
        <f t="array" ref="EN109">BedPlan[[#This Row],[Harvest Days March 2025]]/SUM(BedPlan[[#This Row],[Harvest Days January 2025]:[Harvest Days December 2026]])*BedPlan[[#This Row],[Yield]:[Yield]]</f>
        <v>0</v>
      </c>
      <c r="EO109" s="33" cm="1">
        <f t="array" ref="EO109">BedPlan[[#This Row],[Harvest Days April 2025]]/SUM(BedPlan[[#This Row],[Harvest Days January 2025]:[Harvest Days December 2026]])*BedPlan[[#This Row],[Yield]:[Yield]]</f>
        <v>0</v>
      </c>
      <c r="EP109" s="33" cm="1">
        <f t="array" ref="EP109">BedPlan[[#This Row],[Harvest Days May 2025]]/SUM(BedPlan[[#This Row],[Harvest Days January 2025]:[Harvest Days December 2026]])*BedPlan[[#This Row],[Yield]:[Yield]]</f>
        <v>0</v>
      </c>
      <c r="EQ109" s="33" cm="1">
        <f t="array" ref="EQ109">BedPlan[[#This Row],[Harvest Days June 2025]]/SUM(BedPlan[[#This Row],[Harvest Days January 2025]:[Harvest Days December 2026]])*BedPlan[[#This Row],[Yield]:[Yield]]</f>
        <v>0</v>
      </c>
      <c r="ER109" s="33" cm="1">
        <f t="array" ref="ER109">BedPlan[[#This Row],[Harvest Days July 2025]]/SUM(BedPlan[[#This Row],[Harvest Days January 2025]:[Harvest Days December 2026]])*BedPlan[[#This Row],[Yield]:[Yield]]</f>
        <v>0</v>
      </c>
      <c r="ES109" s="33" cm="1">
        <f t="array" ref="ES109">BedPlan[[#This Row],[Harvest Days August 2025]]/SUM(BedPlan[[#This Row],[Harvest Days January 2025]:[Harvest Days December 2026]])*BedPlan[[#This Row],[Yield]:[Yield]]</f>
        <v>0</v>
      </c>
      <c r="ET109" s="33" cm="1">
        <f t="array" ref="ET109">BedPlan[[#This Row],[Harvest Days September 2025]]/SUM(BedPlan[[#This Row],[Harvest Days January 2025]:[Harvest Days December 2026]])*BedPlan[[#This Row],[Yield]:[Yield]]</f>
        <v>28.409090909090907</v>
      </c>
      <c r="EU109" s="33" cm="1">
        <f t="array" ref="EU109">BedPlan[[#This Row],[Harvest Days October 2025]]/SUM(BedPlan[[#This Row],[Harvest Days January 2025]:[Harvest Days December 2026]])*BedPlan[[#This Row],[Yield]:[Yield]]</f>
        <v>34.090909090909086</v>
      </c>
      <c r="EV109" s="33" cm="1">
        <f t="array" ref="EV109">BedPlan[[#This Row],[Harvest Days November 2025]]/SUM(BedPlan[[#This Row],[Harvest Days January 2025]:[Harvest Days December 2026]])*BedPlan[[#This Row],[Yield]:[Yield]]</f>
        <v>0</v>
      </c>
      <c r="EW109" s="33" cm="1">
        <f t="array" ref="EW109">BedPlan[[#This Row],[Harvest Days December 2025]]/SUM(BedPlan[[#This Row],[Harvest Days January 2025]:[Harvest Days December 2026]])*BedPlan[[#This Row],[Yield]:[Yield]]</f>
        <v>0</v>
      </c>
    </row>
    <row r="110" spans="1:153" ht="15.75" customHeight="1">
      <c r="A110" s="191" t="s">
        <v>2614</v>
      </c>
      <c r="B110" s="240" t="s">
        <v>2759</v>
      </c>
      <c r="C110" t="s">
        <v>1455</v>
      </c>
      <c r="D110" s="226" cm="1">
        <f t="array" ref="D110">INDEX(Crops[],BedPlan[[#This Row],[Chart Index]],D$4,1)*BedPlan[[#This Row],[Full Bed Equivalent]]</f>
        <v>15.625</v>
      </c>
      <c r="E110" s="226" cm="1">
        <f t="array" ref="E110">INDEX(Crops[],BedPlan[[#This Row],[Chart Index]],E$4,1)*BedPlan[[#This Row],[Full Bed Equivalent]]</f>
        <v>62.5</v>
      </c>
      <c r="F110" t="str">
        <f>UPPER(LEFT(BedPlan[[#This Row],[Crop]],3))</f>
        <v>RAD</v>
      </c>
      <c r="H110" s="143" t="str" cm="1">
        <f t="array" ref="H110">INDEX(Crops[],BedPlan[[#This Row],[Chart Index]],H$4,1)</f>
        <v>Radish</v>
      </c>
      <c r="I110" t="s">
        <v>1347</v>
      </c>
      <c r="K110" t="str" cm="1">
        <f t="array" ref="K110">IF(ISNUMBER(MATCH(BedPlan[[#This Row],[Variety]],SeedMixes[Name],)),_xlfn.TEXTJOIN(", ",TRUE,_xlfn._xlws.FILTER(SeedMixes[Variety &amp; Company],SeedMixes[Name]=BedPlan[[#This Row],[Variety]])),"")</f>
        <v>French Breakfast High Mowing, Pearl Johnny's, Sora High Mowing, Patricia High Mowing</v>
      </c>
      <c r="L110" s="33" cm="1">
        <f t="array" ref="L110">INDEX(Crops[],BedPlan[[#This Row],[Chart Index]],L$4,1)*BedPlan[[#This Row],[Full Bed Equivalent]]</f>
        <v>2340</v>
      </c>
      <c r="N110">
        <v>0.5</v>
      </c>
      <c r="O110">
        <f>MAX(BedPlan[[#This Row],['# Of Beds]],0.5)</f>
        <v>0.5</v>
      </c>
      <c r="P110" s="31">
        <f>IF(ISNUMBER(BedPlan[[#This Row],[Planned Greenhouse Start Date]]),BedPlan[[#This Row],[Planned Greenhouse Start Date]],BedPlan[[#This Row],[Planned TP or DS Date]])</f>
        <v>45898</v>
      </c>
      <c r="Q110" s="259" t="str">
        <f>IF(BedPlan[[#This Row],[Days in Cells]]=0,"",IFERROR(_xlfn.XLOOKUP(BedPlan[[#This Row],[Follows Crop]],BedPlan[Identifier],BedPlan[Expected End of Harvest]) + 1+BedPlan[[#This Row],[Follow Offset]],BedPlan[[#This Row],[Fixed Field Start Date]])-BedPlan[[#This Row],[Days in Cells]])</f>
        <v/>
      </c>
      <c r="R110" s="259"/>
      <c r="S110" s="259" t="str">
        <f>IF(ISNUMBER(BedPlan[[#This Row],[Actual Greenhouse Date]]),BedPlan[[#This Row],[Actual Greenhouse Date]],BedPlan[[#This Row],[Planned Greenhouse Start Date]])</f>
        <v/>
      </c>
      <c r="T110" s="259">
        <f>_xlfn.XLOOKUP(BedPlan[[#This Row],[Crop]],Crops[Identifier],Crops[Target Field Date])+120</f>
        <v>45898</v>
      </c>
      <c r="U110" s="260"/>
      <c r="V110" s="260"/>
      <c r="W11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45898</v>
      </c>
      <c r="X110" s="259"/>
      <c r="Y110" s="271">
        <f>BedPlan[[#This Row],[Actual TP or DS Date]]-BedPlan[[#This Row],[Planned TP or DS Date]]</f>
        <v>-45898</v>
      </c>
      <c r="Z110" s="259">
        <f>IF(ISNUMBER(BedPlan[[#This Row],[Actual TP or DS Date]]),BedPlan[[#This Row],[Actual TP or DS Date]],BedPlan[[#This Row],[Planned TP or DS Date]])</f>
        <v>45898</v>
      </c>
      <c r="AA110" s="259"/>
      <c r="AB110" s="259">
        <f>IF(ISNUMBER(BedPlan[[#This Row],[Greenhouse Start Date]]),BedPlan[[#This Row],[Greenhouse Start Date]]+BedPlan[[#This Row],[DTM]],BedPlan[[#This Row],[TP or DS Date]]+BedPlan[[#This Row],[DTM]])</f>
        <v>45930</v>
      </c>
      <c r="AC110" s="259"/>
      <c r="AD110" s="259">
        <f>IF(ISNUMBER(BedPlan[[#This Row],[Actual Beginning of Harvest]]),BedPlan[[#This Row],[Actual Beginning of Harvest]],BedPlan[[#This Row],[Expected Beginning of Harvest]])</f>
        <v>45930</v>
      </c>
      <c r="AE110" s="259">
        <f>BedPlan[[#This Row],[Expected Beginning of Harvest]]+BedPlan[[#This Row],[Harvest Window]]+BedPlan[[#This Row],[Additional Days of Harvest]]</f>
        <v>45951</v>
      </c>
      <c r="AF110" s="259"/>
      <c r="AG110" s="259"/>
      <c r="AH110" s="31" t="b">
        <f>IF(AND( BedPlan[[#This Row],[Expected End of Harvest]] &gt;= DATE(2025, 8, 1), BedPlan[[#This Row],[Beginning of Harvest]] &lt;= DATE(2025, 8, 31) ), TRUE, FALSE)</f>
        <v>0</v>
      </c>
      <c r="AI110" s="31"/>
      <c r="AJ110" s="31">
        <f>IF(ISNUMBER(BedPlan[[#This Row],[Actual End of Harvest]]),BedPlan[[#This Row],[Actual End of Harvest]],BedPlan[[#This Row],[Expected End of Harvest]])</f>
        <v>45951</v>
      </c>
      <c r="AK110" t="b">
        <f>OR(ISNUMBER(BedPlan[[#This Row],[Actual Greenhouse Date]]),ISNUMBER(BedPlan[[#This Row],[Actual TP or DS Date]]))</f>
        <v>0</v>
      </c>
      <c r="AL110" s="52" t="str">
        <f>IF(ISNUMBER(BedPlan[[#This Row],[Planned Greenhouse Start Date]]),OR(ISNUMBER(BedPlan[[#This Row],[Actual TP or DS Date]]),BedPlan[[#This Row],[Failed]]),"-")</f>
        <v>-</v>
      </c>
      <c r="AM110" t="b">
        <f>OR(ISNUMBER(BedPlan[[#This Row],[Actual End of Harvest]]),BedPlan[[#This Row],[Failed]])</f>
        <v>0</v>
      </c>
      <c r="AN110" t="b">
        <f>OR(BedPlan[[#This Row],[Harvest Done]],BedPlan[[#This Row],[Failed]],BedPlan[[#This Row],[Name]]="Tarp")</f>
        <v>0</v>
      </c>
      <c r="AS110" s="26" t="str">
        <f>IF(BedPlan[[#This Row],[Broadfork]],BedPlan[[#This Row],[Actual TP or DS Date]],"")</f>
        <v/>
      </c>
      <c r="AT110" s="26" t="str">
        <f>IF(BedPlan[[#This Row],[Tilther]],BedPlan[[#This Row],[Actual TP or DS Date]],"")</f>
        <v/>
      </c>
      <c r="AU110" s="26" t="str">
        <f>IF(NOT(ISBLANK(BedPlan[[#This Row],[Amend]])),BedPlan[[#This Row],[Actual TP or DS Date]],"")</f>
        <v/>
      </c>
      <c r="AV110" s="26" t="str">
        <f>IF(BedPlan[[#This Row],[Row Cover]],BedPlan[[#This Row],[Actual TP or DS Date]],"")</f>
        <v/>
      </c>
      <c r="AX110" s="26"/>
      <c r="AZ110" s="26"/>
      <c r="BB110" s="26"/>
      <c r="BC110" s="231" cm="1">
        <f t="array" ref="BC110">INDEX(Crops[],BedPlan[[#This Row],[Chart Index]],BC$4,1)*BedPlan[[#This Row],[Full Bed Equivalent]]</f>
        <v>187.5</v>
      </c>
      <c r="BD110" s="231" cm="1">
        <f t="array" ref="BD110">INDEX(Crops[],BedPlan[[#This Row],[Chart Index]],BD$4,1)*BedPlan[[#This Row],[Full Bed Equivalent]]</f>
        <v>3.5377358490566038</v>
      </c>
      <c r="BE110" cm="1">
        <f t="array" ref="BE110">INDEX(Crops[],BedPlan[[#This Row],[Chart Index]],BE$4,1)+BedPlan[[#This Row],[Additional Days in Cells]]+BedPlan[[#This Row],[Additional Days In Field]]</f>
        <v>32</v>
      </c>
      <c r="BG110" cm="1">
        <f t="array" ref="BG110">INDEX(Crops[],BedPlan[[#This Row],[Chart Index]],BG$4,1)</f>
        <v>21</v>
      </c>
      <c r="BH110" t="str">
        <f>IF(ISNUMBER(BedPlan[[#This Row],[Planned Greenhouse Start Date]]),"TP","DS")</f>
        <v>DS</v>
      </c>
      <c r="BI110">
        <f>BedPlan[[#This Row],['# Of Beds]]</f>
        <v>0.5</v>
      </c>
      <c r="BJ110" cm="1">
        <f t="array" ref="BJ110">INDEX(Crops[],BedPlan[[#This Row],[Chart Index]],BJ$4,1)</f>
        <v>0</v>
      </c>
      <c r="BK110" cm="1">
        <f t="array" ref="BK110">INDEX(Crops[],BedPlan[[#This Row],[Chart Index]],BK$4,1)</f>
        <v>6</v>
      </c>
      <c r="BL110" cm="1">
        <f t="array" ref="BL110">INDEX(Crops[],BedPlan[[#This Row],[Chart Index]],BL$4,1)</f>
        <v>1</v>
      </c>
      <c r="BM110" cm="1">
        <f t="array" ref="BM110">INDEX(Crops[],BedPlan[[#This Row],[Chart Index]],BM$4,1)</f>
        <v>1</v>
      </c>
      <c r="BN110" s="32" cm="1">
        <f t="array" ref="BN110">INDEX(Crops[],BedPlan[[#This Row],[Chart Index]],BN$4,1)*BedPlan[[#This Row],[Full Bed Equivalent]]</f>
        <v>1800</v>
      </c>
      <c r="BO110" t="str" cm="1">
        <f t="array" ref="BO110">IF(INDEX(Crops[],BedPlan[[#This Row],[Chart Index]],BO$4,1)=0,"",INDEX(Crops[],BedPlan[[#This Row],[Chart Index]],BO$4,1))</f>
        <v>OH</v>
      </c>
      <c r="BP110">
        <f>MATCH(BedPlan[[#This Row],[Crop]],Crops[Identifier],FALSE)</f>
        <v>255</v>
      </c>
      <c r="BQ110" t="str" cm="1">
        <f t="array" ref="BQ110">INDEX(Crops[],BedPlan[[#This Row],[Chart Index]],BQ$4,1)</f>
        <v>6r</v>
      </c>
      <c r="BR110" t="str" cm="1">
        <f t="array" ref="BR110">INDEX(Crops[],BedPlan[[#This Row],[Chart Index]],BR$4,1)</f>
        <v>Su</v>
      </c>
      <c r="BS110" s="32">
        <f>BedPlan[[#This Row],[Expected Beginning of Harvest]]-DATE(2023,1,1)</f>
        <v>1003</v>
      </c>
      <c r="BT110">
        <f>BedPlan[[#This Row],[Expected End of Harvest]]-BedPlan[[#This Row],[Expected Beginning of Harvest]]</f>
        <v>21</v>
      </c>
      <c r="BU110" t="str" cm="1">
        <f t="array" ref="BU110">INDEX(Crops[],BedPlan[[#This Row],[Chart Index]],BU$4,1)</f>
        <v>Root</v>
      </c>
      <c r="BV110" cm="1">
        <f t="array" ref="BV110">INDEX(Crops[],BedPlan[[#This Row],[Chart Index]],BV$4,1)</f>
        <v>1</v>
      </c>
      <c r="BW110" t="str" cm="1">
        <f t="array" ref="BW110">INDEX(Crops[],BedPlan[[#This Row],[Chart Index]],BW$4,1)</f>
        <v>AMAP</v>
      </c>
      <c r="BX110" cm="1">
        <f t="array" ref="BX110">INDEX(Crops[],BedPlan[[#This Row],[Chart Index]],BX$4,1)</f>
        <v>0</v>
      </c>
      <c r="BY110" cm="1">
        <f t="array" ref="BY110">INDEX(Crops[],BedPlan[[#This Row],[Chart Index]],BY$4,1)</f>
        <v>0</v>
      </c>
      <c r="BZ110" s="49" t="str" cm="1">
        <f t="array" ref="BZ110">IFERROR(INDEX(Crops[],BedPlan[[#This Row],[Chart Index]],BZ$4,1)*BedPlan[[#This Row],[Full Bed Equivalent]],"")</f>
        <v/>
      </c>
      <c r="CA110" cm="1">
        <f t="array" ref="CA110">INDEX(Crops[],BedPlan[[#This Row],[Chart Index]],CA$4,1)</f>
        <v>0</v>
      </c>
      <c r="CB110" cm="1">
        <f t="array" ref="CB110">INDEX(Crops[],BedPlan[[#This Row],[Chart Index]],CB$4,1)</f>
        <v>0</v>
      </c>
      <c r="CC110" s="49" t="str" cm="1">
        <f t="array" ref="CC110">IFERROR(INDEX(Crops[],BedPlan[[#This Row],[Chart Index]],CC$4,1)*BedPlan[[#This Row],[Full Bed Equivalent]],"")</f>
        <v/>
      </c>
      <c r="CD110" cm="1">
        <f t="array" ref="CD110">INDEX(Crops[],BedPlan[[#This Row],[Chart Index]],CD$4,1)</f>
        <v>0</v>
      </c>
      <c r="CE110" cm="1">
        <f t="array" ref="CE110">IF(INDEX(Crops[],BedPlan[[#This Row],[Chart Index]],CE$4,1)="",0,INDEX(Crops[],BedPlan[[#This Row],[Chart Index]],CE$4,1))</f>
        <v>0</v>
      </c>
      <c r="CF110" s="49" t="str" cm="1">
        <f t="array" ref="CF110">IFERROR(INDEX(Crops[],BedPlan[[#This Row],[Chart Index]],CF$4,1)*BedPlan[[#This Row],[Full Bed Equivalent]],"")</f>
        <v/>
      </c>
      <c r="CG110" cm="1">
        <f t="array" ref="CG110">IF(INDEX(Crops[],BedPlan[[#This Row],[Chart Index]],CG$4,1)="",0,INDEX(Crops[],BedPlan[[#This Row],[Chart Index]],CG$4,1))</f>
        <v>1.3</v>
      </c>
      <c r="CH110" cm="1">
        <f t="array" ref="CH110">IF(INDEX(Crops[],BedPlan[[#This Row],[Chart Index]],CH$4,1)="",0,INDEX(Crops[],BedPlan[[#This Row],[Chart Index]],CH$4,1))</f>
        <v>7</v>
      </c>
      <c r="CI110" t="str" cm="1">
        <f t="array" ref="CI110">INDEX(Crops[],BedPlan[[#This Row],[Chart Index]],CI$4,1)</f>
        <v>Field</v>
      </c>
      <c r="CJ110" s="30" t="str">
        <f>_xlfn.TEXTJOIN(CHAR(10),FALSE,BedPlan[[#This Row],[Name]],BedPlan[[#This Row],[Variety]],BedPlan[[#This Row],[Company]])</f>
        <v xml:space="preserve">Radish
Radish Mix
</v>
      </c>
      <c r="CK110" s="32">
        <f>MAX( 0, MIN(BedPlan[[#This Row],[Expected End of Harvest]], EOMONTH(CK$4, 0)) - MAX(BedPlan[[#This Row],[Beginning of Harvest]], CK$4) + 1 )</f>
        <v>0</v>
      </c>
      <c r="CL110">
        <f>MAX( 0, MIN(BedPlan[[#This Row],[Expected End of Harvest]], EOMONTH(CL$4, 0)) - MAX(BedPlan[[#This Row],[Beginning of Harvest]], CL$4) + 1 )</f>
        <v>0</v>
      </c>
      <c r="CM110">
        <f>MAX( 0, MIN(BedPlan[[#This Row],[Expected End of Harvest]], EOMONTH(CM$4, 0)) - MAX(BedPlan[[#This Row],[Beginning of Harvest]], CM$4) + 1 )</f>
        <v>0</v>
      </c>
      <c r="CN110">
        <f>MAX( 0, MIN(BedPlan[[#This Row],[Expected End of Harvest]], EOMONTH(CN$4, 0)) - MAX(BedPlan[[#This Row],[Beginning of Harvest]], CN$4) + 1 )</f>
        <v>0</v>
      </c>
      <c r="CO110">
        <f>MAX( 0, MIN(BedPlan[[#This Row],[Expected End of Harvest]], EOMONTH(CO$4, 0)) - MAX(BedPlan[[#This Row],[Beginning of Harvest]], CO$4) + 1 )</f>
        <v>0</v>
      </c>
      <c r="CP110">
        <f>MAX( 0, MIN(BedPlan[[#This Row],[Expected End of Harvest]], EOMONTH(CP$4, 0)) - MAX(BedPlan[[#This Row],[Beginning of Harvest]], CP$4) + 1 )</f>
        <v>0</v>
      </c>
      <c r="CQ110">
        <f>MAX( 0, MIN(BedPlan[[#This Row],[Expected End of Harvest]], EOMONTH(CQ$4, 0)) - MAX(BedPlan[[#This Row],[Beginning of Harvest]], CQ$4) + 1 )</f>
        <v>0</v>
      </c>
      <c r="CR110">
        <f>MAX( 0, MIN(BedPlan[[#This Row],[Expected End of Harvest]], EOMONTH(CR$4, 0)) - MAX(BedPlan[[#This Row],[Beginning of Harvest]], CR$4) + 1 )</f>
        <v>0</v>
      </c>
      <c r="CS110">
        <f>MAX( 0, MIN(BedPlan[[#This Row],[Expected End of Harvest]], EOMONTH(CS$4, 0)) - MAX(BedPlan[[#This Row],[Beginning of Harvest]], CS$4) + 1 )</f>
        <v>1</v>
      </c>
      <c r="CT110">
        <f>MAX( 0, MIN(BedPlan[[#This Row],[Expected End of Harvest]], EOMONTH(CT$4, 0)) - MAX(BedPlan[[#This Row],[Beginning of Harvest]], CT$4) + 1 )</f>
        <v>21</v>
      </c>
      <c r="CU110">
        <f>MAX( 0, MIN(BedPlan[[#This Row],[Expected End of Harvest]], EOMONTH(CU$4, 0)) - MAX(BedPlan[[#This Row],[Beginning of Harvest]], CU$4) + 1 )</f>
        <v>0</v>
      </c>
      <c r="CV110">
        <f>MAX( 0, MIN(BedPlan[[#This Row],[Expected End of Harvest]], EOMONTH(CV$4, 0)) - MAX(BedPlan[[#This Row],[Beginning of Harvest]], CV$4) + 1 )</f>
        <v>0</v>
      </c>
      <c r="CW110">
        <f>MAX( 0, MIN(BedPlan[[#This Row],[Expected End of Harvest]], EOMONTH(CW$4, 0)) - MAX(BedPlan[[#This Row],[Beginning of Harvest]], CW$4) + 1 )</f>
        <v>0</v>
      </c>
      <c r="CX110">
        <f>MAX( 0, MIN(BedPlan[[#This Row],[Expected End of Harvest]], EOMONTH(CX$4, 0)) - MAX(BedPlan[[#This Row],[Beginning of Harvest]], CX$4) + 1 )</f>
        <v>0</v>
      </c>
      <c r="CY110">
        <f>MAX( 0, MIN(BedPlan[[#This Row],[Expected End of Harvest]], EOMONTH(CY$4, 0)) - MAX(BedPlan[[#This Row],[Beginning of Harvest]], CY$4) + 1 )</f>
        <v>0</v>
      </c>
      <c r="CZ110">
        <f>MAX( 0, MIN(BedPlan[[#This Row],[Expected End of Harvest]], EOMONTH(CZ$4, 0)) - MAX(BedPlan[[#This Row],[Beginning of Harvest]], CZ$4) + 1 )</f>
        <v>0</v>
      </c>
      <c r="DA110">
        <f>MAX( 0, MIN(BedPlan[[#This Row],[Expected End of Harvest]], EOMONTH(DA$4, 0)) - MAX(BedPlan[[#This Row],[Beginning of Harvest]], DA$4) + 1 )</f>
        <v>0</v>
      </c>
      <c r="DB110">
        <f>MAX( 0, MIN(BedPlan[[#This Row],[Expected End of Harvest]], EOMONTH(DB$4, 0)) - MAX(BedPlan[[#This Row],[Beginning of Harvest]], DB$4) + 1 )</f>
        <v>0</v>
      </c>
      <c r="DC110">
        <f>MAX( 0, MIN(BedPlan[[#This Row],[Expected End of Harvest]], EOMONTH(DC$4, 0)) - MAX(BedPlan[[#This Row],[Beginning of Harvest]], DC$4) + 1 )</f>
        <v>0</v>
      </c>
      <c r="DD110">
        <f>MAX( 0, MIN(BedPlan[[#This Row],[Expected End of Harvest]], EOMONTH(DD$4, 0)) - MAX(BedPlan[[#This Row],[Beginning of Harvest]], DD$4) + 1 )</f>
        <v>0</v>
      </c>
      <c r="DE110">
        <f>MAX( 0, MIN(BedPlan[[#This Row],[Expected End of Harvest]], EOMONTH(DE$4, 0)) - MAX(BedPlan[[#This Row],[Beginning of Harvest]], DE$4) + 1 )</f>
        <v>0</v>
      </c>
      <c r="DF110">
        <f>MAX( 0, MIN(BedPlan[[#This Row],[Expected End of Harvest]], EOMONTH(DF$4, 0)) - MAX(BedPlan[[#This Row],[Beginning of Harvest]], DF$4) + 1 )</f>
        <v>0</v>
      </c>
      <c r="DG110">
        <f>MAX( 0, MIN(BedPlan[[#This Row],[Expected End of Harvest]], EOMONTH(DG$4, 0)) - MAX(BedPlan[[#This Row],[Beginning of Harvest]], DG$4) + 1 )</f>
        <v>0</v>
      </c>
      <c r="DH110">
        <f>MAX( 0, MIN(BedPlan[[#This Row],[Expected End of Harvest]], EOMONTH(DH$4, 0)) - MAX(BedPlan[[#This Row],[Beginning of Harvest]], DH$4) + 1 )</f>
        <v>0</v>
      </c>
      <c r="DI110" s="257" cm="1">
        <f t="array" ref="DI110">BedPlan[[#This Row],[Harvest Days January 2025]]/SUM(BedPlan[[#This Row],[Harvest Days January 2025]:[Harvest Days December 2026]])*BedPlan[[#This Row],[Revenue]:[Revenue]]</f>
        <v>0</v>
      </c>
      <c r="DJ110" s="257" cm="1">
        <f t="array" ref="DJ110">BedPlan[[#This Row],[Harvest Days February 2025]]/SUM(BedPlan[[#This Row],[Harvest Days January 2025]:[Harvest Days December 2026]])*BedPlan[[#This Row],[Revenue]:[Revenue]]</f>
        <v>0</v>
      </c>
      <c r="DK110" s="257" cm="1">
        <f t="array" ref="DK110">BedPlan[[#This Row],[Harvest Days March 2025]]/SUM(BedPlan[[#This Row],[Harvest Days January 2025]:[Harvest Days December 2026]])*BedPlan[[#This Row],[Revenue]:[Revenue]]</f>
        <v>0</v>
      </c>
      <c r="DL110" s="257" cm="1">
        <f t="array" ref="DL110">BedPlan[[#This Row],[Harvest Days April 2025]]/SUM(BedPlan[[#This Row],[Harvest Days January 2025]:[Harvest Days December 2026]])*BedPlan[[#This Row],[Revenue]:[Revenue]]</f>
        <v>0</v>
      </c>
      <c r="DM110" s="257" cm="1">
        <f t="array" ref="DM110">BedPlan[[#This Row],[Harvest Days May 2025]]/SUM(BedPlan[[#This Row],[Harvest Days January 2025]:[Harvest Days December 2026]])*BedPlan[[#This Row],[Revenue]:[Revenue]]</f>
        <v>0</v>
      </c>
      <c r="DN110" s="257" cm="1">
        <f t="array" ref="DN110">BedPlan[[#This Row],[Harvest Days June 2025]]/SUM(BedPlan[[#This Row],[Harvest Days January 2025]:[Harvest Days December 2026]])*BedPlan[[#This Row],[Revenue]:[Revenue]]</f>
        <v>0</v>
      </c>
      <c r="DO110" s="257" cm="1">
        <f t="array" ref="DO110">BedPlan[[#This Row],[Harvest Days July 2025]]/SUM(BedPlan[[#This Row],[Harvest Days January 2025]:[Harvest Days December 2026]])*BedPlan[[#This Row],[Revenue]:[Revenue]]</f>
        <v>0</v>
      </c>
      <c r="DP110" s="257" cm="1">
        <f t="array" ref="DP110">BedPlan[[#This Row],[Harvest Days August 2025]]/SUM(BedPlan[[#This Row],[Harvest Days January 2025]:[Harvest Days December 2026]])*BedPlan[[#This Row],[Revenue]:[Revenue]]</f>
        <v>0</v>
      </c>
      <c r="DQ110" s="257" cm="1">
        <f t="array" ref="DQ110">BedPlan[[#This Row],[Harvest Days September 2025]]/SUM(BedPlan[[#This Row],[Harvest Days January 2025]:[Harvest Days December 2026]])*BedPlan[[#This Row],[Revenue]:[Revenue]]</f>
        <v>8.5227272727272734</v>
      </c>
      <c r="DR110" s="257" cm="1">
        <f t="array" ref="DR110">BedPlan[[#This Row],[Harvest Days October 2025]]/SUM(BedPlan[[#This Row],[Harvest Days January 2025]:[Harvest Days December 2026]])*BedPlan[[#This Row],[Revenue]:[Revenue]]</f>
        <v>178.97727272727275</v>
      </c>
      <c r="DS110" s="257" cm="1">
        <f t="array" ref="DS110">BedPlan[[#This Row],[Harvest Days November 2025]]/SUM(BedPlan[[#This Row],[Harvest Days January 2025]:[Harvest Days December 2026]])*BedPlan[[#This Row],[Revenue]:[Revenue]]</f>
        <v>0</v>
      </c>
      <c r="DT110" s="257" cm="1">
        <f t="array" ref="DT110">BedPlan[[#This Row],[Harvest Days December 2025]]/SUM(BedPlan[[#This Row],[Harvest Days January 2025]:[Harvest Days December 2026]])*BedPlan[[#This Row],[Revenue]:[Revenue]]</f>
        <v>0</v>
      </c>
      <c r="DU110" s="257" cm="1">
        <f t="array" ref="DU110">BedPlan[[#This Row],[Harvest Days January 2026]]/SUM(BedPlan[[#This Row],[Harvest Days January 2025]:[Harvest Days December 2026]])*BedPlan[[#This Row],[Revenue]:[Revenue]]</f>
        <v>0</v>
      </c>
      <c r="DV110" s="257" cm="1">
        <f t="array" ref="DV110">BedPlan[[#This Row],[Harvest Days February 2026]]/SUM(BedPlan[[#This Row],[Harvest Days January 2025]:[Harvest Days December 2026]])*BedPlan[[#This Row],[Revenue]:[Revenue]]</f>
        <v>0</v>
      </c>
      <c r="DW110" s="257" cm="1">
        <f t="array" ref="DW110">BedPlan[[#This Row],[Harvest Days March 2026]]/SUM(BedPlan[[#This Row],[Harvest Days January 2025]:[Harvest Days December 2026]])*BedPlan[[#This Row],[Revenue]:[Revenue]]</f>
        <v>0</v>
      </c>
      <c r="DX110" s="257" cm="1">
        <f t="array" ref="DX110">BedPlan[[#This Row],[Harvest Days April 2026]]/SUM(BedPlan[[#This Row],[Harvest Days January 2025]:[Harvest Days December 2026]])*BedPlan[[#This Row],[Revenue]:[Revenue]]</f>
        <v>0</v>
      </c>
      <c r="DY110" s="257" cm="1">
        <f t="array" ref="DY110">BedPlan[[#This Row],[Harvest Days May 2026]]/SUM(BedPlan[[#This Row],[Harvest Days January 2025]:[Harvest Days December 2026]])*BedPlan[[#This Row],[Revenue]:[Revenue]]</f>
        <v>0</v>
      </c>
      <c r="DZ110" s="257" cm="1">
        <f t="array" ref="DZ110">BedPlan[[#This Row],[Harvest Days June 2026]]/SUM(BedPlan[[#This Row],[Harvest Days January 2025]:[Harvest Days December 2026]])*BedPlan[[#This Row],[Revenue]:[Revenue]]</f>
        <v>0</v>
      </c>
      <c r="EA110" s="257" cm="1">
        <f t="array" ref="EA110">BedPlan[[#This Row],[Harvest Days July 2026]]/SUM(BedPlan[[#This Row],[Harvest Days January 2025]:[Harvest Days December 2026]])*BedPlan[[#This Row],[Revenue]:[Revenue]]</f>
        <v>0</v>
      </c>
      <c r="EB110" s="257" cm="1">
        <f t="array" ref="EB110">BedPlan[[#This Row],[Harvest Days August 2026]]/SUM(BedPlan[[#This Row],[Harvest Days January 2025]:[Harvest Days December 2026]])*BedPlan[[#This Row],[Revenue]:[Revenue]]</f>
        <v>0</v>
      </c>
      <c r="EC110" s="257" cm="1">
        <f t="array" ref="EC110">BedPlan[[#This Row],[Harvest Days September 2026]]/SUM(BedPlan[[#This Row],[Harvest Days January 2025]:[Harvest Days December 2026]])*BedPlan[[#This Row],[Revenue]:[Revenue]]</f>
        <v>0</v>
      </c>
      <c r="ED110" s="257" cm="1">
        <f t="array" ref="ED110">BedPlan[[#This Row],[Harvest Days October 2026]]/SUM(BedPlan[[#This Row],[Harvest Days January 2025]:[Harvest Days December 2026]])*BedPlan[[#This Row],[Revenue]:[Revenue]]</f>
        <v>0</v>
      </c>
      <c r="EE110" s="257" cm="1">
        <f t="array" ref="EE110">BedPlan[[#This Row],[Harvest Days November 2026]]/SUM(BedPlan[[#This Row],[Harvest Days January 2025]:[Harvest Days December 2026]])*BedPlan[[#This Row],[Revenue]:[Revenue]]</f>
        <v>0</v>
      </c>
      <c r="EF110" s="257" cm="1">
        <f t="array" ref="EF110">BedPlan[[#This Row],[Harvest Days December 2026]]/SUM(BedPlan[[#This Row],[Harvest Days January 2025]:[Harvest Days December 2026]])*BedPlan[[#This Row],[Revenue]:[Revenue]]</f>
        <v>0</v>
      </c>
      <c r="EG110" t="b">
        <f>SUM(BedPlan[[#This Row],[Revenue January 2025]:[Revenue December 2026]])=BedPlan[[#This Row],[Revenue]]</f>
        <v>1</v>
      </c>
      <c r="EH110" s="30" cm="1">
        <f t="array" ref="EH110">INDEX(Crops[],BedPlan[[#This Row],[Chart Index]],EH$4,1)*BedPlan[[#This Row],['# Of Beds]]</f>
        <v>62.5</v>
      </c>
      <c r="EI110" s="30" t="str" cm="1">
        <f t="array" ref="EI110">INDEX(Crops[],BedPlan[[#This Row],[Chart Index]],EI$4,1)</f>
        <v>Bunch</v>
      </c>
      <c r="EJ110" s="30" t="str" cm="1">
        <f t="array" ref="EJ110">INDEX(Crops[],BedPlan[[#This Row],[Chart Index]],EJ$4,1)</f>
        <v>Mature Root</v>
      </c>
      <c r="EK110" s="30" t="str">
        <f>BedPlan[[#This Row],[Name]]&amp;" "&amp;BedPlan[[#This Row],[Product]]&amp; " - " &amp;BedPlan[[#This Row],[Unit]]</f>
        <v>Radish Mature Root - Bunch</v>
      </c>
      <c r="EL110" s="33" cm="1">
        <f t="array" ref="EL110">BedPlan[[#This Row],[Harvest Days January 2025]]/SUM(BedPlan[[#This Row],[Harvest Days January 2025]:[Harvest Days December 2026]])*BedPlan[[#This Row],[Yield]:[Yield]]</f>
        <v>0</v>
      </c>
      <c r="EM110" s="33" cm="1">
        <f t="array" ref="EM110">BedPlan[[#This Row],[Harvest Days February 2025]]/SUM(BedPlan[[#This Row],[Harvest Days January 2025]:[Harvest Days December 2026]])*BedPlan[[#This Row],[Yield]:[Yield]]</f>
        <v>0</v>
      </c>
      <c r="EN110" s="33" cm="1">
        <f t="array" ref="EN110">BedPlan[[#This Row],[Harvest Days March 2025]]/SUM(BedPlan[[#This Row],[Harvest Days January 2025]:[Harvest Days December 2026]])*BedPlan[[#This Row],[Yield]:[Yield]]</f>
        <v>0</v>
      </c>
      <c r="EO110" s="33" cm="1">
        <f t="array" ref="EO110">BedPlan[[#This Row],[Harvest Days April 2025]]/SUM(BedPlan[[#This Row],[Harvest Days January 2025]:[Harvest Days December 2026]])*BedPlan[[#This Row],[Yield]:[Yield]]</f>
        <v>0</v>
      </c>
      <c r="EP110" s="33" cm="1">
        <f t="array" ref="EP110">BedPlan[[#This Row],[Harvest Days May 2025]]/SUM(BedPlan[[#This Row],[Harvest Days January 2025]:[Harvest Days December 2026]])*BedPlan[[#This Row],[Yield]:[Yield]]</f>
        <v>0</v>
      </c>
      <c r="EQ110" s="33" cm="1">
        <f t="array" ref="EQ110">BedPlan[[#This Row],[Harvest Days June 2025]]/SUM(BedPlan[[#This Row],[Harvest Days January 2025]:[Harvest Days December 2026]])*BedPlan[[#This Row],[Yield]:[Yield]]</f>
        <v>0</v>
      </c>
      <c r="ER110" s="33" cm="1">
        <f t="array" ref="ER110">BedPlan[[#This Row],[Harvest Days July 2025]]/SUM(BedPlan[[#This Row],[Harvest Days January 2025]:[Harvest Days December 2026]])*BedPlan[[#This Row],[Yield]:[Yield]]</f>
        <v>0</v>
      </c>
      <c r="ES110" s="33" cm="1">
        <f t="array" ref="ES110">BedPlan[[#This Row],[Harvest Days August 2025]]/SUM(BedPlan[[#This Row],[Harvest Days January 2025]:[Harvest Days December 2026]])*BedPlan[[#This Row],[Yield]:[Yield]]</f>
        <v>0</v>
      </c>
      <c r="ET110" s="33" cm="1">
        <f t="array" ref="ET110">BedPlan[[#This Row],[Harvest Days September 2025]]/SUM(BedPlan[[#This Row],[Harvest Days January 2025]:[Harvest Days December 2026]])*BedPlan[[#This Row],[Yield]:[Yield]]</f>
        <v>2.8409090909090908</v>
      </c>
      <c r="EU110" s="33" cm="1">
        <f t="array" ref="EU110">BedPlan[[#This Row],[Harvest Days October 2025]]/SUM(BedPlan[[#This Row],[Harvest Days January 2025]:[Harvest Days December 2026]])*BedPlan[[#This Row],[Yield]:[Yield]]</f>
        <v>59.659090909090914</v>
      </c>
      <c r="EV110" s="33" cm="1">
        <f t="array" ref="EV110">BedPlan[[#This Row],[Harvest Days November 2025]]/SUM(BedPlan[[#This Row],[Harvest Days January 2025]:[Harvest Days December 2026]])*BedPlan[[#This Row],[Yield]:[Yield]]</f>
        <v>0</v>
      </c>
      <c r="EW110" s="33" cm="1">
        <f t="array" ref="EW110">BedPlan[[#This Row],[Harvest Days December 2025]]/SUM(BedPlan[[#This Row],[Harvest Days January 2025]:[Harvest Days December 2026]])*BedPlan[[#This Row],[Yield]:[Yield]]</f>
        <v>0</v>
      </c>
    </row>
    <row r="111" spans="1:153" ht="15.75" customHeight="1">
      <c r="A111" s="191" t="s">
        <v>1924</v>
      </c>
      <c r="B111" t="s">
        <v>2667</v>
      </c>
      <c r="C111" t="s">
        <v>1437</v>
      </c>
      <c r="D111" cm="1">
        <f t="array" ref="D111">INDEX(Crops[],BedPlan[[#This Row],[Chart Index]],D$4,1)*BedPlan[[#This Row],[Full Bed Equivalent]]</f>
        <v>75</v>
      </c>
      <c r="E111" cm="1">
        <f t="array" ref="E111">INDEX(Crops[],BedPlan[[#This Row],[Chart Index]],E$4,1)*BedPlan[[#This Row],[Full Bed Equivalent]]</f>
        <v>300</v>
      </c>
      <c r="F111" t="str">
        <f>UPPER(LEFT(BedPlan[[#This Row],[Crop]],3))</f>
        <v>RAD</v>
      </c>
      <c r="H111" s="143" t="str" cm="1">
        <f t="array" ref="H111">INDEX(Crops[],BedPlan[[#This Row],[Chart Index]],H$4,1)</f>
        <v>Radish</v>
      </c>
      <c r="I111" t="s">
        <v>577</v>
      </c>
      <c r="K111" t="str" cm="1">
        <f t="array" ref="K111">IF(ISNUMBER(MATCH(BedPlan[[#This Row],[Variety]],SeedMixes[Name],)),_xlfn.TEXTJOIN(", ",TRUE,_xlfn._xlws.FILTER(SeedMixes[Variety &amp; Company],SeedMixes[Name]=BedPlan[[#This Row],[Variety]])),"")</f>
        <v>Daikon High Mowing, Okhura Winter Queen Daikon Adaptive</v>
      </c>
      <c r="L111" s="33" cm="1">
        <f t="array" ref="L111">INDEX(Crops[],BedPlan[[#This Row],[Chart Index]],L$4,1)*BedPlan[[#This Row],[Full Bed Equivalent]]</f>
        <v>260</v>
      </c>
      <c r="N111">
        <f>1</f>
        <v>1</v>
      </c>
      <c r="O111">
        <f>MAX(BedPlan[[#This Row],['# Of Beds]],0.5)</f>
        <v>1</v>
      </c>
      <c r="P111" s="31">
        <f>IF(ISNUMBER(BedPlan[[#This Row],[Planned Greenhouse Start Date]]),BedPlan[[#This Row],[Planned Greenhouse Start Date]],BedPlan[[#This Row],[Planned TP or DS Date]])</f>
        <v>45828</v>
      </c>
      <c r="Q111" s="259">
        <f>IF(BedPlan[[#This Row],[Days in Cells]]=0,"",IFERROR(_xlfn.XLOOKUP(BedPlan[[#This Row],[Follows Crop]],BedPlan[Identifier],BedPlan[Expected End of Harvest]) + 1+BedPlan[[#This Row],[Follow Offset]],BedPlan[[#This Row],[Fixed Field Start Date]])-BedPlan[[#This Row],[Days in Cells]])</f>
        <v>45828</v>
      </c>
      <c r="R111" s="259">
        <v>45839</v>
      </c>
      <c r="S111" s="259">
        <f>IF(ISNUMBER(BedPlan[[#This Row],[Actual Greenhouse Date]]),BedPlan[[#This Row],[Actual Greenhouse Date]],BedPlan[[#This Row],[Planned Greenhouse Start Date]])</f>
        <v>45839</v>
      </c>
      <c r="T111" s="259">
        <f>_xlfn.XLOOKUP(BedPlan[[#This Row],[Crop]],Crops[Identifier],Crops[Target Field Date])</f>
        <v>45853</v>
      </c>
      <c r="U111" s="260"/>
      <c r="V111" s="260"/>
      <c r="W11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111" s="259"/>
      <c r="Y111" s="271">
        <f>BedPlan[[#This Row],[Actual TP or DS Date]]-BedPlan[[#This Row],[Planned TP or DS Date]]</f>
        <v>-45864</v>
      </c>
      <c r="Z111" s="259">
        <f>IF(ISNUMBER(BedPlan[[#This Row],[Actual TP or DS Date]]),BedPlan[[#This Row],[Actual TP or DS Date]],BedPlan[[#This Row],[Planned TP or DS Date]])</f>
        <v>45864</v>
      </c>
      <c r="AA111" s="260"/>
      <c r="AB111" s="259">
        <f>IF(ISNUMBER(BedPlan[[#This Row],[Greenhouse Start Date]]),BedPlan[[#This Row],[Greenhouse Start Date]]+BedPlan[[#This Row],[DTM]],BedPlan[[#This Row],[TP or DS Date]]+BedPlan[[#This Row],[DTM]])</f>
        <v>45914</v>
      </c>
      <c r="AC111" s="259"/>
      <c r="AD111" s="259">
        <f>IF(ISNUMBER(BedPlan[[#This Row],[Actual Beginning of Harvest]]),BedPlan[[#This Row],[Actual Beginning of Harvest]],BedPlan[[#This Row],[Expected Beginning of Harvest]])</f>
        <v>45914</v>
      </c>
      <c r="AE111" s="259">
        <f>BedPlan[[#This Row],[Expected Beginning of Harvest]]+BedPlan[[#This Row],[Harvest Window]]+BedPlan[[#This Row],[Additional Days of Harvest]]</f>
        <v>45935</v>
      </c>
      <c r="AF111" s="259"/>
      <c r="AG111" s="259"/>
      <c r="AH111" s="31" t="b">
        <f>IF(AND( BedPlan[[#This Row],[Expected End of Harvest]] &gt;= DATE(2025, 8, 1), BedPlan[[#This Row],[Beginning of Harvest]] &lt;= DATE(2025, 8, 31) ), TRUE, FALSE)</f>
        <v>0</v>
      </c>
      <c r="AI111" s="31"/>
      <c r="AJ111" s="31">
        <f>IF(ISNUMBER(BedPlan[[#This Row],[Actual End of Harvest]]),BedPlan[[#This Row],[Actual End of Harvest]],BedPlan[[#This Row],[Expected End of Harvest]])</f>
        <v>45935</v>
      </c>
      <c r="AK111" t="b">
        <f>OR(ISNUMBER(BedPlan[[#This Row],[Actual Greenhouse Date]]),ISNUMBER(BedPlan[[#This Row],[Actual TP or DS Date]]))</f>
        <v>1</v>
      </c>
      <c r="AL111" s="52" t="b">
        <f>IF(ISNUMBER(BedPlan[[#This Row],[Planned Greenhouse Start Date]]),OR(ISNUMBER(BedPlan[[#This Row],[Actual TP or DS Date]]),BedPlan[[#This Row],[Failed]]),"-")</f>
        <v>0</v>
      </c>
      <c r="AM111" t="b">
        <f>OR(ISNUMBER(BedPlan[[#This Row],[Actual End of Harvest]]),BedPlan[[#This Row],[Failed]])</f>
        <v>0</v>
      </c>
      <c r="AN111" t="b">
        <f>OR(BedPlan[[#This Row],[Harvest Done]],BedPlan[[#This Row],[Failed]],BedPlan[[#This Row],[Name]]="Tarp")</f>
        <v>0</v>
      </c>
      <c r="AS111" s="26" t="str">
        <f>IF(BedPlan[[#This Row],[Broadfork]],BedPlan[[#This Row],[Actual TP or DS Date]],"")</f>
        <v/>
      </c>
      <c r="AT111" s="26" t="str">
        <f>IF(BedPlan[[#This Row],[Tilther]],BedPlan[[#This Row],[Actual TP or DS Date]],"")</f>
        <v/>
      </c>
      <c r="AU111" s="26" t="str">
        <f>IF(NOT(ISBLANK(BedPlan[[#This Row],[Amend]])),BedPlan[[#This Row],[Actual TP or DS Date]],"")</f>
        <v/>
      </c>
      <c r="AV111" s="26" t="str">
        <f>IF(BedPlan[[#This Row],[Row Cover]],BedPlan[[#This Row],[Actual TP or DS Date]],"")</f>
        <v/>
      </c>
      <c r="AX111" s="26"/>
      <c r="AZ111" s="26"/>
      <c r="BB111" s="26"/>
      <c r="BC111" s="231" cm="1">
        <f t="array" ref="BC111">INDEX(Crops[],BedPlan[[#This Row],[Chart Index]],BC$4,1)*BedPlan[[#This Row],[Full Bed Equivalent]]</f>
        <v>1200</v>
      </c>
      <c r="BD111" s="231" cm="1">
        <f t="array" ref="BD111">INDEX(Crops[],BedPlan[[#This Row],[Chart Index]],BD$4,1)*BedPlan[[#This Row],[Full Bed Equivalent]]</f>
        <v>16.901408450704224</v>
      </c>
      <c r="BE111" cm="1">
        <f t="array" ref="BE111">INDEX(Crops[],BedPlan[[#This Row],[Chart Index]],BE$4,1)+BedPlan[[#This Row],[Additional Days in Cells]]+BedPlan[[#This Row],[Additional Days In Field]]</f>
        <v>75</v>
      </c>
      <c r="BG111" cm="1">
        <f t="array" ref="BG111">INDEX(Crops[],BedPlan[[#This Row],[Chart Index]],BG$4,1)</f>
        <v>21</v>
      </c>
      <c r="BH111" t="str">
        <f>IF(ISNUMBER(BedPlan[[#This Row],[Planned Greenhouse Start Date]]),"TP","DS")</f>
        <v>TP</v>
      </c>
      <c r="BI111">
        <f>BedPlan[[#This Row],['# Of Beds]]</f>
        <v>1</v>
      </c>
      <c r="BJ111" cm="1">
        <f t="array" ref="BJ111">INDEX(Crops[],BedPlan[[#This Row],[Chart Index]],BJ$4,1)</f>
        <v>25</v>
      </c>
      <c r="BK111" cm="1">
        <f t="array" ref="BK111">INDEX(Crops[],BedPlan[[#This Row],[Chart Index]],BK$4,1)</f>
        <v>3</v>
      </c>
      <c r="BL111" cm="1">
        <f t="array" ref="BL111">INDEX(Crops[],BedPlan[[#This Row],[Chart Index]],BL$4,1)</f>
        <v>9</v>
      </c>
      <c r="BM111" cm="1">
        <f t="array" ref="BM111">INDEX(Crops[],BedPlan[[#This Row],[Chart Index]],BM$4,1)</f>
        <v>1</v>
      </c>
      <c r="BN111" s="32" cm="1">
        <f t="array" ref="BN111">INDEX(Crops[],BedPlan[[#This Row],[Chart Index]],BN$4,1)*BedPlan[[#This Row],[Full Bed Equivalent]]</f>
        <v>200</v>
      </c>
      <c r="BO111" t="str" cm="1">
        <f t="array" ref="BO111">IF(INDEX(Crops[],BedPlan[[#This Row],[Chart Index]],BO$4,1)=0,"",INDEX(Crops[],BedPlan[[#This Row],[Chart Index]],BO$4,1))</f>
        <v>OH</v>
      </c>
      <c r="BP111">
        <f>MATCH(BedPlan[[#This Row],[Crop]],Crops[Identifier],FALSE)</f>
        <v>258</v>
      </c>
      <c r="BQ111" t="str" cm="1">
        <f t="array" ref="BQ111">INDEX(Crops[],BedPlan[[#This Row],[Chart Index]],BQ$4,1)</f>
        <v>Daikon</v>
      </c>
      <c r="BR111" t="str" cm="1">
        <f t="array" ref="BR111">INDEX(Crops[],BedPlan[[#This Row],[Chart Index]],BR$4,1)</f>
        <v>FaWi</v>
      </c>
      <c r="BS111" s="32">
        <f>BedPlan[[#This Row],[Expected Beginning of Harvest]]-DATE(2023,1,1)</f>
        <v>987</v>
      </c>
      <c r="BT111">
        <f>BedPlan[[#This Row],[Expected End of Harvest]]-BedPlan[[#This Row],[Expected Beginning of Harvest]]</f>
        <v>21</v>
      </c>
      <c r="BU111" t="str" cm="1">
        <f t="array" ref="BU111">INDEX(Crops[],BedPlan[[#This Row],[Chart Index]],BU$4,1)</f>
        <v>Root</v>
      </c>
      <c r="BV111" cm="1">
        <f t="array" ref="BV111">INDEX(Crops[],BedPlan[[#This Row],[Chart Index]],BV$4,1)</f>
        <v>2</v>
      </c>
      <c r="BW111" t="str" cm="1">
        <f t="array" ref="BW111">INDEX(Crops[],BedPlan[[#This Row],[Chart Index]],BW$4,1)</f>
        <v>AMAP</v>
      </c>
      <c r="BX111" cm="1">
        <f t="array" ref="BX111">INDEX(Crops[],BedPlan[[#This Row],[Chart Index]],BX$4,1)</f>
        <v>128</v>
      </c>
      <c r="BY111" cm="1">
        <f t="array" ref="BY111">INDEX(Crops[],BedPlan[[#This Row],[Chart Index]],BY$4,1)</f>
        <v>25</v>
      </c>
      <c r="BZ111" s="49" cm="1">
        <f t="array" ref="BZ111">IFERROR(INDEX(Crops[],BedPlan[[#This Row],[Chart Index]],BZ$4,1)*BedPlan[[#This Row],[Full Bed Equivalent]],"")</f>
        <v>2.03125</v>
      </c>
      <c r="CA111" cm="1">
        <f t="array" ref="CA111">INDEX(Crops[],BedPlan[[#This Row],[Chart Index]],CA$4,1)</f>
        <v>0</v>
      </c>
      <c r="CB111" cm="1">
        <f t="array" ref="CB111">INDEX(Crops[],BedPlan[[#This Row],[Chart Index]],CB$4,1)</f>
        <v>0</v>
      </c>
      <c r="CC111" s="49" t="str" cm="1">
        <f t="array" ref="CC111">IFERROR(INDEX(Crops[],BedPlan[[#This Row],[Chart Index]],CC$4,1)*BedPlan[[#This Row],[Full Bed Equivalent]],"")</f>
        <v/>
      </c>
      <c r="CD111" cm="1">
        <f t="array" ref="CD111">INDEX(Crops[],BedPlan[[#This Row],[Chart Index]],CD$4,1)</f>
        <v>0</v>
      </c>
      <c r="CE111" cm="1">
        <f t="array" ref="CE111">IF(INDEX(Crops[],BedPlan[[#This Row],[Chart Index]],CE$4,1)="",0,INDEX(Crops[],BedPlan[[#This Row],[Chart Index]],CE$4,1))</f>
        <v>0</v>
      </c>
      <c r="CF111" s="49" t="str" cm="1">
        <f t="array" ref="CF111">IFERROR(INDEX(Crops[],BedPlan[[#This Row],[Chart Index]],CF$4,1)*BedPlan[[#This Row],[Full Bed Equivalent]],"")</f>
        <v/>
      </c>
      <c r="CG111" cm="1">
        <f t="array" ref="CG111">IF(INDEX(Crops[],BedPlan[[#This Row],[Chart Index]],CG$4,1)="",0,INDEX(Crops[],BedPlan[[#This Row],[Chart Index]],CG$4,1))</f>
        <v>1.3</v>
      </c>
      <c r="CH111" cm="1">
        <f t="array" ref="CH111">IF(INDEX(Crops[],BedPlan[[#This Row],[Chart Index]],CH$4,1)="",0,INDEX(Crops[],BedPlan[[#This Row],[Chart Index]],CH$4,1))</f>
        <v>7</v>
      </c>
      <c r="CI111" t="str" cm="1">
        <f t="array" ref="CI111">INDEX(Crops[],BedPlan[[#This Row],[Chart Index]],CI$4,1)</f>
        <v>Field</v>
      </c>
      <c r="CJ111" s="30" t="str">
        <f>_xlfn.TEXTJOIN(CHAR(10),FALSE,BedPlan[[#This Row],[Name]],BedPlan[[#This Row],[Variety]],BedPlan[[#This Row],[Company]])</f>
        <v xml:space="preserve">Radish
Winter Radish Mix
</v>
      </c>
      <c r="CK111" s="32">
        <f>MAX( 0, MIN(BedPlan[[#This Row],[Expected End of Harvest]], EOMONTH(CK$4, 0)) - MAX(BedPlan[[#This Row],[Beginning of Harvest]], CK$4) + 1 )</f>
        <v>0</v>
      </c>
      <c r="CL111">
        <f>MAX( 0, MIN(BedPlan[[#This Row],[Expected End of Harvest]], EOMONTH(CL$4, 0)) - MAX(BedPlan[[#This Row],[Beginning of Harvest]], CL$4) + 1 )</f>
        <v>0</v>
      </c>
      <c r="CM111">
        <f>MAX( 0, MIN(BedPlan[[#This Row],[Expected End of Harvest]], EOMONTH(CM$4, 0)) - MAX(BedPlan[[#This Row],[Beginning of Harvest]], CM$4) + 1 )</f>
        <v>0</v>
      </c>
      <c r="CN111">
        <f>MAX( 0, MIN(BedPlan[[#This Row],[Expected End of Harvest]], EOMONTH(CN$4, 0)) - MAX(BedPlan[[#This Row],[Beginning of Harvest]], CN$4) + 1 )</f>
        <v>0</v>
      </c>
      <c r="CO111">
        <f>MAX( 0, MIN(BedPlan[[#This Row],[Expected End of Harvest]], EOMONTH(CO$4, 0)) - MAX(BedPlan[[#This Row],[Beginning of Harvest]], CO$4) + 1 )</f>
        <v>0</v>
      </c>
      <c r="CP111">
        <f>MAX( 0, MIN(BedPlan[[#This Row],[Expected End of Harvest]], EOMONTH(CP$4, 0)) - MAX(BedPlan[[#This Row],[Beginning of Harvest]], CP$4) + 1 )</f>
        <v>0</v>
      </c>
      <c r="CQ111">
        <f>MAX( 0, MIN(BedPlan[[#This Row],[Expected End of Harvest]], EOMONTH(CQ$4, 0)) - MAX(BedPlan[[#This Row],[Beginning of Harvest]], CQ$4) + 1 )</f>
        <v>0</v>
      </c>
      <c r="CR111">
        <f>MAX( 0, MIN(BedPlan[[#This Row],[Expected End of Harvest]], EOMONTH(CR$4, 0)) - MAX(BedPlan[[#This Row],[Beginning of Harvest]], CR$4) + 1 )</f>
        <v>0</v>
      </c>
      <c r="CS111">
        <f>MAX( 0, MIN(BedPlan[[#This Row],[Expected End of Harvest]], EOMONTH(CS$4, 0)) - MAX(BedPlan[[#This Row],[Beginning of Harvest]], CS$4) + 1 )</f>
        <v>17</v>
      </c>
      <c r="CT111">
        <f>MAX( 0, MIN(BedPlan[[#This Row],[Expected End of Harvest]], EOMONTH(CT$4, 0)) - MAX(BedPlan[[#This Row],[Beginning of Harvest]], CT$4) + 1 )</f>
        <v>5</v>
      </c>
      <c r="CU111">
        <f>MAX( 0, MIN(BedPlan[[#This Row],[Expected End of Harvest]], EOMONTH(CU$4, 0)) - MAX(BedPlan[[#This Row],[Beginning of Harvest]], CU$4) + 1 )</f>
        <v>0</v>
      </c>
      <c r="CV111">
        <f>MAX( 0, MIN(BedPlan[[#This Row],[Expected End of Harvest]], EOMONTH(CV$4, 0)) - MAX(BedPlan[[#This Row],[Beginning of Harvest]], CV$4) + 1 )</f>
        <v>0</v>
      </c>
      <c r="CW111">
        <f>MAX( 0, MIN(BedPlan[[#This Row],[Expected End of Harvest]], EOMONTH(CW$4, 0)) - MAX(BedPlan[[#This Row],[Beginning of Harvest]], CW$4) + 1 )</f>
        <v>0</v>
      </c>
      <c r="CX111">
        <f>MAX( 0, MIN(BedPlan[[#This Row],[Expected End of Harvest]], EOMONTH(CX$4, 0)) - MAX(BedPlan[[#This Row],[Beginning of Harvest]], CX$4) + 1 )</f>
        <v>0</v>
      </c>
      <c r="CY111">
        <f>MAX( 0, MIN(BedPlan[[#This Row],[Expected End of Harvest]], EOMONTH(CY$4, 0)) - MAX(BedPlan[[#This Row],[Beginning of Harvest]], CY$4) + 1 )</f>
        <v>0</v>
      </c>
      <c r="CZ111">
        <f>MAX( 0, MIN(BedPlan[[#This Row],[Expected End of Harvest]], EOMONTH(CZ$4, 0)) - MAX(BedPlan[[#This Row],[Beginning of Harvest]], CZ$4) + 1 )</f>
        <v>0</v>
      </c>
      <c r="DA111">
        <f>MAX( 0, MIN(BedPlan[[#This Row],[Expected End of Harvest]], EOMONTH(DA$4, 0)) - MAX(BedPlan[[#This Row],[Beginning of Harvest]], DA$4) + 1 )</f>
        <v>0</v>
      </c>
      <c r="DB111">
        <f>MAX( 0, MIN(BedPlan[[#This Row],[Expected End of Harvest]], EOMONTH(DB$4, 0)) - MAX(BedPlan[[#This Row],[Beginning of Harvest]], DB$4) + 1 )</f>
        <v>0</v>
      </c>
      <c r="DC111">
        <f>MAX( 0, MIN(BedPlan[[#This Row],[Expected End of Harvest]], EOMONTH(DC$4, 0)) - MAX(BedPlan[[#This Row],[Beginning of Harvest]], DC$4) + 1 )</f>
        <v>0</v>
      </c>
      <c r="DD111">
        <f>MAX( 0, MIN(BedPlan[[#This Row],[Expected End of Harvest]], EOMONTH(DD$4, 0)) - MAX(BedPlan[[#This Row],[Beginning of Harvest]], DD$4) + 1 )</f>
        <v>0</v>
      </c>
      <c r="DE111">
        <f>MAX( 0, MIN(BedPlan[[#This Row],[Expected End of Harvest]], EOMONTH(DE$4, 0)) - MAX(BedPlan[[#This Row],[Beginning of Harvest]], DE$4) + 1 )</f>
        <v>0</v>
      </c>
      <c r="DF111">
        <f>MAX( 0, MIN(BedPlan[[#This Row],[Expected End of Harvest]], EOMONTH(DF$4, 0)) - MAX(BedPlan[[#This Row],[Beginning of Harvest]], DF$4) + 1 )</f>
        <v>0</v>
      </c>
      <c r="DG111">
        <f>MAX( 0, MIN(BedPlan[[#This Row],[Expected End of Harvest]], EOMONTH(DG$4, 0)) - MAX(BedPlan[[#This Row],[Beginning of Harvest]], DG$4) + 1 )</f>
        <v>0</v>
      </c>
      <c r="DH111">
        <f>MAX( 0, MIN(BedPlan[[#This Row],[Expected End of Harvest]], EOMONTH(DH$4, 0)) - MAX(BedPlan[[#This Row],[Beginning of Harvest]], DH$4) + 1 )</f>
        <v>0</v>
      </c>
      <c r="DI111" s="257" cm="1">
        <f t="array" ref="DI111">BedPlan[[#This Row],[Harvest Days January 2025]]/SUM(BedPlan[[#This Row],[Harvest Days January 2025]:[Harvest Days December 2026]])*BedPlan[[#This Row],[Revenue]:[Revenue]]</f>
        <v>0</v>
      </c>
      <c r="DJ111" s="257" cm="1">
        <f t="array" ref="DJ111">BedPlan[[#This Row],[Harvest Days February 2025]]/SUM(BedPlan[[#This Row],[Harvest Days January 2025]:[Harvest Days December 2026]])*BedPlan[[#This Row],[Revenue]:[Revenue]]</f>
        <v>0</v>
      </c>
      <c r="DK111" s="257" cm="1">
        <f t="array" ref="DK111">BedPlan[[#This Row],[Harvest Days March 2025]]/SUM(BedPlan[[#This Row],[Harvest Days January 2025]:[Harvest Days December 2026]])*BedPlan[[#This Row],[Revenue]:[Revenue]]</f>
        <v>0</v>
      </c>
      <c r="DL111" s="257" cm="1">
        <f t="array" ref="DL111">BedPlan[[#This Row],[Harvest Days April 2025]]/SUM(BedPlan[[#This Row],[Harvest Days January 2025]:[Harvest Days December 2026]])*BedPlan[[#This Row],[Revenue]:[Revenue]]</f>
        <v>0</v>
      </c>
      <c r="DM111" s="257" cm="1">
        <f t="array" ref="DM111">BedPlan[[#This Row],[Harvest Days May 2025]]/SUM(BedPlan[[#This Row],[Harvest Days January 2025]:[Harvest Days December 2026]])*BedPlan[[#This Row],[Revenue]:[Revenue]]</f>
        <v>0</v>
      </c>
      <c r="DN111" s="257" cm="1">
        <f t="array" ref="DN111">BedPlan[[#This Row],[Harvest Days June 2025]]/SUM(BedPlan[[#This Row],[Harvest Days January 2025]:[Harvest Days December 2026]])*BedPlan[[#This Row],[Revenue]:[Revenue]]</f>
        <v>0</v>
      </c>
      <c r="DO111" s="257" cm="1">
        <f t="array" ref="DO111">BedPlan[[#This Row],[Harvest Days July 2025]]/SUM(BedPlan[[#This Row],[Harvest Days January 2025]:[Harvest Days December 2026]])*BedPlan[[#This Row],[Revenue]:[Revenue]]</f>
        <v>0</v>
      </c>
      <c r="DP111" s="257" cm="1">
        <f t="array" ref="DP111">BedPlan[[#This Row],[Harvest Days August 2025]]/SUM(BedPlan[[#This Row],[Harvest Days January 2025]:[Harvest Days December 2026]])*BedPlan[[#This Row],[Revenue]:[Revenue]]</f>
        <v>0</v>
      </c>
      <c r="DQ111" s="257" cm="1">
        <f t="array" ref="DQ111">BedPlan[[#This Row],[Harvest Days September 2025]]/SUM(BedPlan[[#This Row],[Harvest Days January 2025]:[Harvest Days December 2026]])*BedPlan[[#This Row],[Revenue]:[Revenue]]</f>
        <v>927.27272727272725</v>
      </c>
      <c r="DR111" s="257" cm="1">
        <f t="array" ref="DR111">BedPlan[[#This Row],[Harvest Days October 2025]]/SUM(BedPlan[[#This Row],[Harvest Days January 2025]:[Harvest Days December 2026]])*BedPlan[[#This Row],[Revenue]:[Revenue]]</f>
        <v>272.72727272727269</v>
      </c>
      <c r="DS111" s="257" cm="1">
        <f t="array" ref="DS111">BedPlan[[#This Row],[Harvest Days November 2025]]/SUM(BedPlan[[#This Row],[Harvest Days January 2025]:[Harvest Days December 2026]])*BedPlan[[#This Row],[Revenue]:[Revenue]]</f>
        <v>0</v>
      </c>
      <c r="DT111" s="257" cm="1">
        <f t="array" ref="DT111">BedPlan[[#This Row],[Harvest Days December 2025]]/SUM(BedPlan[[#This Row],[Harvest Days January 2025]:[Harvest Days December 2026]])*BedPlan[[#This Row],[Revenue]:[Revenue]]</f>
        <v>0</v>
      </c>
      <c r="DU111" s="257" cm="1">
        <f t="array" ref="DU111">BedPlan[[#This Row],[Harvest Days January 2026]]/SUM(BedPlan[[#This Row],[Harvest Days January 2025]:[Harvest Days December 2026]])*BedPlan[[#This Row],[Revenue]:[Revenue]]</f>
        <v>0</v>
      </c>
      <c r="DV111" s="257" cm="1">
        <f t="array" ref="DV111">BedPlan[[#This Row],[Harvest Days February 2026]]/SUM(BedPlan[[#This Row],[Harvest Days January 2025]:[Harvest Days December 2026]])*BedPlan[[#This Row],[Revenue]:[Revenue]]</f>
        <v>0</v>
      </c>
      <c r="DW111" s="257" cm="1">
        <f t="array" ref="DW111">BedPlan[[#This Row],[Harvest Days March 2026]]/SUM(BedPlan[[#This Row],[Harvest Days January 2025]:[Harvest Days December 2026]])*BedPlan[[#This Row],[Revenue]:[Revenue]]</f>
        <v>0</v>
      </c>
      <c r="DX111" s="257" cm="1">
        <f t="array" ref="DX111">BedPlan[[#This Row],[Harvest Days April 2026]]/SUM(BedPlan[[#This Row],[Harvest Days January 2025]:[Harvest Days December 2026]])*BedPlan[[#This Row],[Revenue]:[Revenue]]</f>
        <v>0</v>
      </c>
      <c r="DY111" s="257" cm="1">
        <f t="array" ref="DY111">BedPlan[[#This Row],[Harvest Days May 2026]]/SUM(BedPlan[[#This Row],[Harvest Days January 2025]:[Harvest Days December 2026]])*BedPlan[[#This Row],[Revenue]:[Revenue]]</f>
        <v>0</v>
      </c>
      <c r="DZ111" s="257" cm="1">
        <f t="array" ref="DZ111">BedPlan[[#This Row],[Harvest Days June 2026]]/SUM(BedPlan[[#This Row],[Harvest Days January 2025]:[Harvest Days December 2026]])*BedPlan[[#This Row],[Revenue]:[Revenue]]</f>
        <v>0</v>
      </c>
      <c r="EA111" s="257" cm="1">
        <f t="array" ref="EA111">BedPlan[[#This Row],[Harvest Days July 2026]]/SUM(BedPlan[[#This Row],[Harvest Days January 2025]:[Harvest Days December 2026]])*BedPlan[[#This Row],[Revenue]:[Revenue]]</f>
        <v>0</v>
      </c>
      <c r="EB111" s="257" cm="1">
        <f t="array" ref="EB111">BedPlan[[#This Row],[Harvest Days August 2026]]/SUM(BedPlan[[#This Row],[Harvest Days January 2025]:[Harvest Days December 2026]])*BedPlan[[#This Row],[Revenue]:[Revenue]]</f>
        <v>0</v>
      </c>
      <c r="EC111" s="257" cm="1">
        <f t="array" ref="EC111">BedPlan[[#This Row],[Harvest Days September 2026]]/SUM(BedPlan[[#This Row],[Harvest Days January 2025]:[Harvest Days December 2026]])*BedPlan[[#This Row],[Revenue]:[Revenue]]</f>
        <v>0</v>
      </c>
      <c r="ED111" s="257" cm="1">
        <f t="array" ref="ED111">BedPlan[[#This Row],[Harvest Days October 2026]]/SUM(BedPlan[[#This Row],[Harvest Days January 2025]:[Harvest Days December 2026]])*BedPlan[[#This Row],[Revenue]:[Revenue]]</f>
        <v>0</v>
      </c>
      <c r="EE111" s="257" cm="1">
        <f t="array" ref="EE111">BedPlan[[#This Row],[Harvest Days November 2026]]/SUM(BedPlan[[#This Row],[Harvest Days January 2025]:[Harvest Days December 2026]])*BedPlan[[#This Row],[Revenue]:[Revenue]]</f>
        <v>0</v>
      </c>
      <c r="EF111" s="257" cm="1">
        <f t="array" ref="EF111">BedPlan[[#This Row],[Harvest Days December 2026]]/SUM(BedPlan[[#This Row],[Harvest Days January 2025]:[Harvest Days December 2026]])*BedPlan[[#This Row],[Revenue]:[Revenue]]</f>
        <v>0</v>
      </c>
      <c r="EG111" t="b">
        <f>SUM(BedPlan[[#This Row],[Revenue January 2025]:[Revenue December 2026]])=BedPlan[[#This Row],[Revenue]]</f>
        <v>1</v>
      </c>
      <c r="EH111" s="30" cm="1">
        <f t="array" ref="EH111">INDEX(Crops[],BedPlan[[#This Row],[Chart Index]],EH$4,1)*BedPlan[[#This Row],['# Of Beds]]</f>
        <v>600</v>
      </c>
      <c r="EI111" s="30" t="str" cm="1">
        <f t="array" ref="EI111">INDEX(Crops[],BedPlan[[#This Row],[Chart Index]],EI$4,1)</f>
        <v>Lb</v>
      </c>
      <c r="EJ111" s="30" t="str" cm="1">
        <f t="array" ref="EJ111">INDEX(Crops[],BedPlan[[#This Row],[Chart Index]],EJ$4,1)</f>
        <v>Storage Root</v>
      </c>
      <c r="EK111" s="30" t="str">
        <f>BedPlan[[#This Row],[Name]]&amp;" "&amp;BedPlan[[#This Row],[Product]]&amp; " - " &amp;BedPlan[[#This Row],[Unit]]</f>
        <v>Radish Storage Root - Lb</v>
      </c>
      <c r="EL111" s="33" cm="1">
        <f t="array" ref="EL111">BedPlan[[#This Row],[Harvest Days January 2025]]/SUM(BedPlan[[#This Row],[Harvest Days January 2025]:[Harvest Days December 2026]])*BedPlan[[#This Row],[Yield]:[Yield]]</f>
        <v>0</v>
      </c>
      <c r="EM111" s="33" cm="1">
        <f t="array" ref="EM111">BedPlan[[#This Row],[Harvest Days February 2025]]/SUM(BedPlan[[#This Row],[Harvest Days January 2025]:[Harvest Days December 2026]])*BedPlan[[#This Row],[Yield]:[Yield]]</f>
        <v>0</v>
      </c>
      <c r="EN111" s="33" cm="1">
        <f t="array" ref="EN111">BedPlan[[#This Row],[Harvest Days March 2025]]/SUM(BedPlan[[#This Row],[Harvest Days January 2025]:[Harvest Days December 2026]])*BedPlan[[#This Row],[Yield]:[Yield]]</f>
        <v>0</v>
      </c>
      <c r="EO111" s="33" cm="1">
        <f t="array" ref="EO111">BedPlan[[#This Row],[Harvest Days April 2025]]/SUM(BedPlan[[#This Row],[Harvest Days January 2025]:[Harvest Days December 2026]])*BedPlan[[#This Row],[Yield]:[Yield]]</f>
        <v>0</v>
      </c>
      <c r="EP111" s="33" cm="1">
        <f t="array" ref="EP111">BedPlan[[#This Row],[Harvest Days May 2025]]/SUM(BedPlan[[#This Row],[Harvest Days January 2025]:[Harvest Days December 2026]])*BedPlan[[#This Row],[Yield]:[Yield]]</f>
        <v>0</v>
      </c>
      <c r="EQ111" s="33" cm="1">
        <f t="array" ref="EQ111">BedPlan[[#This Row],[Harvest Days June 2025]]/SUM(BedPlan[[#This Row],[Harvest Days January 2025]:[Harvest Days December 2026]])*BedPlan[[#This Row],[Yield]:[Yield]]</f>
        <v>0</v>
      </c>
      <c r="ER111" s="33" cm="1">
        <f t="array" ref="ER111">BedPlan[[#This Row],[Harvest Days July 2025]]/SUM(BedPlan[[#This Row],[Harvest Days January 2025]:[Harvest Days December 2026]])*BedPlan[[#This Row],[Yield]:[Yield]]</f>
        <v>0</v>
      </c>
      <c r="ES111" s="33" cm="1">
        <f t="array" ref="ES111">BedPlan[[#This Row],[Harvest Days August 2025]]/SUM(BedPlan[[#This Row],[Harvest Days January 2025]:[Harvest Days December 2026]])*BedPlan[[#This Row],[Yield]:[Yield]]</f>
        <v>0</v>
      </c>
      <c r="ET111" s="33" cm="1">
        <f t="array" ref="ET111">BedPlan[[#This Row],[Harvest Days September 2025]]/SUM(BedPlan[[#This Row],[Harvest Days January 2025]:[Harvest Days December 2026]])*BedPlan[[#This Row],[Yield]:[Yield]]</f>
        <v>463.63636363636363</v>
      </c>
      <c r="EU111" s="33" cm="1">
        <f t="array" ref="EU111">BedPlan[[#This Row],[Harvest Days October 2025]]/SUM(BedPlan[[#This Row],[Harvest Days January 2025]:[Harvest Days December 2026]])*BedPlan[[#This Row],[Yield]:[Yield]]</f>
        <v>136.36363636363635</v>
      </c>
      <c r="EV111" s="33" cm="1">
        <f t="array" ref="EV111">BedPlan[[#This Row],[Harvest Days November 2025]]/SUM(BedPlan[[#This Row],[Harvest Days January 2025]:[Harvest Days December 2026]])*BedPlan[[#This Row],[Yield]:[Yield]]</f>
        <v>0</v>
      </c>
      <c r="EW111" s="33" cm="1">
        <f t="array" ref="EW111">BedPlan[[#This Row],[Harvest Days December 2025]]/SUM(BedPlan[[#This Row],[Harvest Days January 2025]:[Harvest Days December 2026]])*BedPlan[[#This Row],[Yield]:[Yield]]</f>
        <v>0</v>
      </c>
    </row>
    <row r="112" spans="1:153" ht="15.75" customHeight="1">
      <c r="A112" s="191" t="s">
        <v>1923</v>
      </c>
      <c r="B112" t="s">
        <v>2668</v>
      </c>
      <c r="C112" t="s">
        <v>1436</v>
      </c>
      <c r="D112" cm="1">
        <f t="array" ref="D112">INDEX(Crops[],BedPlan[[#This Row],[Chart Index]],D$4,1)*BedPlan[[#This Row],[Full Bed Equivalent]]</f>
        <v>21.428571428571427</v>
      </c>
      <c r="E112" cm="1">
        <f t="array" ref="E112">INDEX(Crops[],BedPlan[[#This Row],[Chart Index]],E$4,1)*BedPlan[[#This Row],[Full Bed Equivalent]]</f>
        <v>85.714285714285708</v>
      </c>
      <c r="F112" t="str">
        <f>UPPER(LEFT(BedPlan[[#This Row],[Crop]],3))</f>
        <v>RAD</v>
      </c>
      <c r="H112" s="143" t="str" cm="1">
        <f t="array" ref="H112">INDEX(Crops[],BedPlan[[#This Row],[Chart Index]],H$4,1)</f>
        <v>Radish</v>
      </c>
      <c r="I112" t="s">
        <v>1925</v>
      </c>
      <c r="J112" t="s">
        <v>482</v>
      </c>
      <c r="K112" t="str" cm="1">
        <f t="array" ref="K112">IF(ISNUMBER(MATCH(BedPlan[[#This Row],[Variety]],SeedMixes[Name],)),_xlfn.TEXTJOIN(", ",TRUE,_xlfn._xlws.FILTER(SeedMixes[Variety &amp; Company],SeedMixes[Name]=BedPlan[[#This Row],[Variety]])),"")</f>
        <v/>
      </c>
      <c r="L112" s="33" cm="1">
        <f t="array" ref="L112">INDEX(Crops[],BedPlan[[#This Row],[Chart Index]],L$4,1)*BedPlan[[#This Row],[Full Bed Equivalent]]</f>
        <v>1560</v>
      </c>
      <c r="N112">
        <f>1</f>
        <v>1</v>
      </c>
      <c r="O112">
        <f>MAX(BedPlan[[#This Row],['# Of Beds]],0.5)</f>
        <v>1</v>
      </c>
      <c r="P112" s="31">
        <f>IF(ISNUMBER(BedPlan[[#This Row],[Planned Greenhouse Start Date]]),BedPlan[[#This Row],[Planned Greenhouse Start Date]],BedPlan[[#This Row],[Planned TP or DS Date]])</f>
        <v>45838</v>
      </c>
      <c r="Q112" s="259" t="str">
        <f>IF(BedPlan[[#This Row],[Days in Cells]]=0,"",IFERROR(_xlfn.XLOOKUP(BedPlan[[#This Row],[Follows Crop]],BedPlan[Identifier],BedPlan[Expected End of Harvest]) + 1+BedPlan[[#This Row],[Follow Offset]],BedPlan[[#This Row],[Fixed Field Start Date]])-BedPlan[[#This Row],[Days in Cells]])</f>
        <v/>
      </c>
      <c r="R112" s="259"/>
      <c r="S112" s="259" t="str">
        <f>IF(ISNUMBER(BedPlan[[#This Row],[Actual Greenhouse Date]]),BedPlan[[#This Row],[Actual Greenhouse Date]],BedPlan[[#This Row],[Planned Greenhouse Start Date]])</f>
        <v/>
      </c>
      <c r="T112" s="259">
        <f>_xlfn.XLOOKUP(BedPlan[[#This Row],[Crop]],Crops[Identifier],Crops[Target Field Date])</f>
        <v>45838</v>
      </c>
      <c r="U112" s="260"/>
      <c r="V112" s="260"/>
      <c r="W11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45838</v>
      </c>
      <c r="X112" s="259"/>
      <c r="Y112" s="271">
        <f>BedPlan[[#This Row],[Actual TP or DS Date]]-BedPlan[[#This Row],[Planned TP or DS Date]]</f>
        <v>-45838</v>
      </c>
      <c r="Z112" s="259">
        <f>IF(ISNUMBER(BedPlan[[#This Row],[Actual TP or DS Date]]),BedPlan[[#This Row],[Actual TP or DS Date]],BedPlan[[#This Row],[Planned TP or DS Date]])</f>
        <v>45838</v>
      </c>
      <c r="AA112" s="260"/>
      <c r="AB112" s="259">
        <f>IF(ISNUMBER(BedPlan[[#This Row],[Greenhouse Start Date]]),BedPlan[[#This Row],[Greenhouse Start Date]]+BedPlan[[#This Row],[DTM]],BedPlan[[#This Row],[TP or DS Date]]+BedPlan[[#This Row],[DTM]])</f>
        <v>45888</v>
      </c>
      <c r="AC112" s="259"/>
      <c r="AD112" s="259">
        <f>IF(ISNUMBER(BedPlan[[#This Row],[Actual Beginning of Harvest]]),BedPlan[[#This Row],[Actual Beginning of Harvest]],BedPlan[[#This Row],[Expected Beginning of Harvest]])</f>
        <v>45888</v>
      </c>
      <c r="AE112" s="259">
        <f>BedPlan[[#This Row],[Expected Beginning of Harvest]]+BedPlan[[#This Row],[Harvest Window]]+BedPlan[[#This Row],[Additional Days of Harvest]]</f>
        <v>45909</v>
      </c>
      <c r="AF112" s="259"/>
      <c r="AG112" s="259"/>
      <c r="AH112" s="31" t="b">
        <f>IF(AND( BedPlan[[#This Row],[Expected End of Harvest]] &gt;= DATE(2025, 8, 1), BedPlan[[#This Row],[Beginning of Harvest]] &lt;= DATE(2025, 8, 31) ), TRUE, FALSE)</f>
        <v>1</v>
      </c>
      <c r="AI112" s="31"/>
      <c r="AJ112" s="31">
        <f>IF(ISNUMBER(BedPlan[[#This Row],[Actual End of Harvest]]),BedPlan[[#This Row],[Actual End of Harvest]],BedPlan[[#This Row],[Expected End of Harvest]])</f>
        <v>45909</v>
      </c>
      <c r="AK112" t="b">
        <f>OR(ISNUMBER(BedPlan[[#This Row],[Actual Greenhouse Date]]),ISNUMBER(BedPlan[[#This Row],[Actual TP or DS Date]]))</f>
        <v>0</v>
      </c>
      <c r="AL112" s="52" t="str">
        <f>IF(ISNUMBER(BedPlan[[#This Row],[Planned Greenhouse Start Date]]),OR(ISNUMBER(BedPlan[[#This Row],[Actual TP or DS Date]]),BedPlan[[#This Row],[Failed]]),"-")</f>
        <v>-</v>
      </c>
      <c r="AM112" t="b">
        <f>OR(ISNUMBER(BedPlan[[#This Row],[Actual End of Harvest]]),BedPlan[[#This Row],[Failed]])</f>
        <v>0</v>
      </c>
      <c r="AN112" t="b">
        <f>OR(BedPlan[[#This Row],[Harvest Done]],BedPlan[[#This Row],[Failed]],BedPlan[[#This Row],[Name]]="Tarp")</f>
        <v>0</v>
      </c>
      <c r="AS112" s="26" t="str">
        <f>IF(BedPlan[[#This Row],[Broadfork]],BedPlan[[#This Row],[Actual TP or DS Date]],"")</f>
        <v/>
      </c>
      <c r="AT112" s="26" t="str">
        <f>IF(BedPlan[[#This Row],[Tilther]],BedPlan[[#This Row],[Actual TP or DS Date]],"")</f>
        <v/>
      </c>
      <c r="AU112" s="26" t="str">
        <f>IF(NOT(ISBLANK(BedPlan[[#This Row],[Amend]])),BedPlan[[#This Row],[Actual TP or DS Date]],"")</f>
        <v/>
      </c>
      <c r="AV112" s="26" t="str">
        <f>IF(BedPlan[[#This Row],[Row Cover]],BedPlan[[#This Row],[Actual TP or DS Date]],"")</f>
        <v/>
      </c>
      <c r="AX112" s="26"/>
      <c r="AZ112" s="26"/>
      <c r="BB112" s="26"/>
      <c r="BC112" s="231" cm="1">
        <f t="array" ref="BC112">INDEX(Crops[],BedPlan[[#This Row],[Chart Index]],BC$4,1)*BedPlan[[#This Row],[Full Bed Equivalent]]</f>
        <v>514.28571428571422</v>
      </c>
      <c r="BD112" s="231" cm="1">
        <f t="array" ref="BD112">INDEX(Crops[],BedPlan[[#This Row],[Chart Index]],BD$4,1)*BedPlan[[#This Row],[Full Bed Equivalent]]</f>
        <v>7.2434607645875246</v>
      </c>
      <c r="BE112" cm="1">
        <f t="array" ref="BE112">INDEX(Crops[],BedPlan[[#This Row],[Chart Index]],BE$4,1)+BedPlan[[#This Row],[Additional Days in Cells]]+BedPlan[[#This Row],[Additional Days In Field]]</f>
        <v>50</v>
      </c>
      <c r="BG112" cm="1">
        <f t="array" ref="BG112">INDEX(Crops[],BedPlan[[#This Row],[Chart Index]],BG$4,1)</f>
        <v>21</v>
      </c>
      <c r="BH112" t="str">
        <f>IF(ISNUMBER(BedPlan[[#This Row],[Planned Greenhouse Start Date]]),"TP","DS")</f>
        <v>DS</v>
      </c>
      <c r="BI112">
        <f>BedPlan[[#This Row],['# Of Beds]]</f>
        <v>1</v>
      </c>
      <c r="BJ112" cm="1">
        <f t="array" ref="BJ112">INDEX(Crops[],BedPlan[[#This Row],[Chart Index]],BJ$4,1)</f>
        <v>0</v>
      </c>
      <c r="BK112" cm="1">
        <f t="array" ref="BK112">INDEX(Crops[],BedPlan[[#This Row],[Chart Index]],BK$4,1)</f>
        <v>6</v>
      </c>
      <c r="BL112" cm="1">
        <f t="array" ref="BL112">INDEX(Crops[],BedPlan[[#This Row],[Chart Index]],BL$4,1)</f>
        <v>3</v>
      </c>
      <c r="BM112" cm="1">
        <f t="array" ref="BM112">INDEX(Crops[],BedPlan[[#This Row],[Chart Index]],BM$4,1)</f>
        <v>1</v>
      </c>
      <c r="BN112" s="32" cm="1">
        <f t="array" ref="BN112">INDEX(Crops[],BedPlan[[#This Row],[Chart Index]],BN$4,1)*BedPlan[[#This Row],[Full Bed Equivalent]]</f>
        <v>1200</v>
      </c>
      <c r="BO112" t="str" cm="1">
        <f t="array" ref="BO112">IF(INDEX(Crops[],BedPlan[[#This Row],[Chart Index]],BO$4,1)=0,"",INDEX(Crops[],BedPlan[[#This Row],[Chart Index]],BO$4,1))</f>
        <v/>
      </c>
      <c r="BP112">
        <f>MATCH(BedPlan[[#This Row],[Crop]],Crops[Identifier],FALSE)</f>
        <v>259</v>
      </c>
      <c r="BQ112" t="str" cm="1">
        <f t="array" ref="BQ112">INDEX(Crops[],BedPlan[[#This Row],[Chart Index]],BQ$4,1)</f>
        <v>Munchen Bier</v>
      </c>
      <c r="BR112" t="str" cm="1">
        <f t="array" ref="BR112">INDEX(Crops[],BedPlan[[#This Row],[Chart Index]],BR$4,1)</f>
        <v/>
      </c>
      <c r="BS112" s="32">
        <f>BedPlan[[#This Row],[Expected Beginning of Harvest]]-DATE(2023,1,1)</f>
        <v>961</v>
      </c>
      <c r="BT112">
        <f>BedPlan[[#This Row],[Expected End of Harvest]]-BedPlan[[#This Row],[Expected Beginning of Harvest]]</f>
        <v>21</v>
      </c>
      <c r="BU112" t="str" cm="1">
        <f t="array" ref="BU112">INDEX(Crops[],BedPlan[[#This Row],[Chart Index]],BU$4,1)</f>
        <v>Root</v>
      </c>
      <c r="BV112" cm="1">
        <f t="array" ref="BV112">INDEX(Crops[],BedPlan[[#This Row],[Chart Index]],BV$4,1)</f>
        <v>0</v>
      </c>
      <c r="BW112" cm="1">
        <f t="array" ref="BW112">INDEX(Crops[],BedPlan[[#This Row],[Chart Index]],BW$4,1)</f>
        <v>0</v>
      </c>
      <c r="BX112" cm="1">
        <f t="array" ref="BX112">INDEX(Crops[],BedPlan[[#This Row],[Chart Index]],BX$4,1)</f>
        <v>0</v>
      </c>
      <c r="BY112" cm="1">
        <f t="array" ref="BY112">INDEX(Crops[],BedPlan[[#This Row],[Chart Index]],BY$4,1)</f>
        <v>0</v>
      </c>
      <c r="BZ112" s="49" t="str" cm="1">
        <f t="array" ref="BZ112">IFERROR(INDEX(Crops[],BedPlan[[#This Row],[Chart Index]],BZ$4,1)*BedPlan[[#This Row],[Full Bed Equivalent]],"")</f>
        <v/>
      </c>
      <c r="CA112" cm="1">
        <f t="array" ref="CA112">INDEX(Crops[],BedPlan[[#This Row],[Chart Index]],CA$4,1)</f>
        <v>0</v>
      </c>
      <c r="CB112" cm="1">
        <f t="array" ref="CB112">INDEX(Crops[],BedPlan[[#This Row],[Chart Index]],CB$4,1)</f>
        <v>0</v>
      </c>
      <c r="CC112" s="49" t="str" cm="1">
        <f t="array" ref="CC112">IFERROR(INDEX(Crops[],BedPlan[[#This Row],[Chart Index]],CC$4,1)*BedPlan[[#This Row],[Full Bed Equivalent]],"")</f>
        <v/>
      </c>
      <c r="CD112" cm="1">
        <f t="array" ref="CD112">INDEX(Crops[],BedPlan[[#This Row],[Chart Index]],CD$4,1)</f>
        <v>0</v>
      </c>
      <c r="CE112" cm="1">
        <f t="array" ref="CE112">IF(INDEX(Crops[],BedPlan[[#This Row],[Chart Index]],CE$4,1)="",0,INDEX(Crops[],BedPlan[[#This Row],[Chart Index]],CE$4,1))</f>
        <v>0</v>
      </c>
      <c r="CF112" s="49" t="str" cm="1">
        <f t="array" ref="CF112">IFERROR(INDEX(Crops[],BedPlan[[#This Row],[Chart Index]],CF$4,1)*BedPlan[[#This Row],[Full Bed Equivalent]],"")</f>
        <v/>
      </c>
      <c r="CG112" cm="1">
        <f t="array" ref="CG112">IF(INDEX(Crops[],BedPlan[[#This Row],[Chart Index]],CG$4,1)="",0,INDEX(Crops[],BedPlan[[#This Row],[Chart Index]],CG$4,1))</f>
        <v>1.3</v>
      </c>
      <c r="CH112" cm="1">
        <f t="array" ref="CH112">IF(INDEX(Crops[],BedPlan[[#This Row],[Chart Index]],CH$4,1)="",0,INDEX(Crops[],BedPlan[[#This Row],[Chart Index]],CH$4,1))</f>
        <v>0</v>
      </c>
      <c r="CI112" t="str" cm="1">
        <f t="array" ref="CI112">INDEX(Crops[],BedPlan[[#This Row],[Chart Index]],CI$4,1)</f>
        <v>Field</v>
      </c>
      <c r="CJ112" s="30" t="str">
        <f>_xlfn.TEXTJOIN(CHAR(10),FALSE,BedPlan[[#This Row],[Name]],BedPlan[[#This Row],[Variety]],BedPlan[[#This Row],[Company]])</f>
        <v>Radish
Schwarzer Runder
High Mowing</v>
      </c>
      <c r="CK112" s="32">
        <f>MAX( 0, MIN(BedPlan[[#This Row],[Expected End of Harvest]], EOMONTH(CK$4, 0)) - MAX(BedPlan[[#This Row],[Beginning of Harvest]], CK$4) + 1 )</f>
        <v>0</v>
      </c>
      <c r="CL112">
        <f>MAX( 0, MIN(BedPlan[[#This Row],[Expected End of Harvest]], EOMONTH(CL$4, 0)) - MAX(BedPlan[[#This Row],[Beginning of Harvest]], CL$4) + 1 )</f>
        <v>0</v>
      </c>
      <c r="CM112">
        <f>MAX( 0, MIN(BedPlan[[#This Row],[Expected End of Harvest]], EOMONTH(CM$4, 0)) - MAX(BedPlan[[#This Row],[Beginning of Harvest]], CM$4) + 1 )</f>
        <v>0</v>
      </c>
      <c r="CN112">
        <f>MAX( 0, MIN(BedPlan[[#This Row],[Expected End of Harvest]], EOMONTH(CN$4, 0)) - MAX(BedPlan[[#This Row],[Beginning of Harvest]], CN$4) + 1 )</f>
        <v>0</v>
      </c>
      <c r="CO112">
        <f>MAX( 0, MIN(BedPlan[[#This Row],[Expected End of Harvest]], EOMONTH(CO$4, 0)) - MAX(BedPlan[[#This Row],[Beginning of Harvest]], CO$4) + 1 )</f>
        <v>0</v>
      </c>
      <c r="CP112">
        <f>MAX( 0, MIN(BedPlan[[#This Row],[Expected End of Harvest]], EOMONTH(CP$4, 0)) - MAX(BedPlan[[#This Row],[Beginning of Harvest]], CP$4) + 1 )</f>
        <v>0</v>
      </c>
      <c r="CQ112">
        <f>MAX( 0, MIN(BedPlan[[#This Row],[Expected End of Harvest]], EOMONTH(CQ$4, 0)) - MAX(BedPlan[[#This Row],[Beginning of Harvest]], CQ$4) + 1 )</f>
        <v>0</v>
      </c>
      <c r="CR112">
        <f>MAX( 0, MIN(BedPlan[[#This Row],[Expected End of Harvest]], EOMONTH(CR$4, 0)) - MAX(BedPlan[[#This Row],[Beginning of Harvest]], CR$4) + 1 )</f>
        <v>13</v>
      </c>
      <c r="CS112">
        <f>MAX( 0, MIN(BedPlan[[#This Row],[Expected End of Harvest]], EOMONTH(CS$4, 0)) - MAX(BedPlan[[#This Row],[Beginning of Harvest]], CS$4) + 1 )</f>
        <v>9</v>
      </c>
      <c r="CT112">
        <f>MAX( 0, MIN(BedPlan[[#This Row],[Expected End of Harvest]], EOMONTH(CT$4, 0)) - MAX(BedPlan[[#This Row],[Beginning of Harvest]], CT$4) + 1 )</f>
        <v>0</v>
      </c>
      <c r="CU112">
        <f>MAX( 0, MIN(BedPlan[[#This Row],[Expected End of Harvest]], EOMONTH(CU$4, 0)) - MAX(BedPlan[[#This Row],[Beginning of Harvest]], CU$4) + 1 )</f>
        <v>0</v>
      </c>
      <c r="CV112">
        <f>MAX( 0, MIN(BedPlan[[#This Row],[Expected End of Harvest]], EOMONTH(CV$4, 0)) - MAX(BedPlan[[#This Row],[Beginning of Harvest]], CV$4) + 1 )</f>
        <v>0</v>
      </c>
      <c r="CW112">
        <f>MAX( 0, MIN(BedPlan[[#This Row],[Expected End of Harvest]], EOMONTH(CW$4, 0)) - MAX(BedPlan[[#This Row],[Beginning of Harvest]], CW$4) + 1 )</f>
        <v>0</v>
      </c>
      <c r="CX112">
        <f>MAX( 0, MIN(BedPlan[[#This Row],[Expected End of Harvest]], EOMONTH(CX$4, 0)) - MAX(BedPlan[[#This Row],[Beginning of Harvest]], CX$4) + 1 )</f>
        <v>0</v>
      </c>
      <c r="CY112">
        <f>MAX( 0, MIN(BedPlan[[#This Row],[Expected End of Harvest]], EOMONTH(CY$4, 0)) - MAX(BedPlan[[#This Row],[Beginning of Harvest]], CY$4) + 1 )</f>
        <v>0</v>
      </c>
      <c r="CZ112">
        <f>MAX( 0, MIN(BedPlan[[#This Row],[Expected End of Harvest]], EOMONTH(CZ$4, 0)) - MAX(BedPlan[[#This Row],[Beginning of Harvest]], CZ$4) + 1 )</f>
        <v>0</v>
      </c>
      <c r="DA112">
        <f>MAX( 0, MIN(BedPlan[[#This Row],[Expected End of Harvest]], EOMONTH(DA$4, 0)) - MAX(BedPlan[[#This Row],[Beginning of Harvest]], DA$4) + 1 )</f>
        <v>0</v>
      </c>
      <c r="DB112">
        <f>MAX( 0, MIN(BedPlan[[#This Row],[Expected End of Harvest]], EOMONTH(DB$4, 0)) - MAX(BedPlan[[#This Row],[Beginning of Harvest]], DB$4) + 1 )</f>
        <v>0</v>
      </c>
      <c r="DC112">
        <f>MAX( 0, MIN(BedPlan[[#This Row],[Expected End of Harvest]], EOMONTH(DC$4, 0)) - MAX(BedPlan[[#This Row],[Beginning of Harvest]], DC$4) + 1 )</f>
        <v>0</v>
      </c>
      <c r="DD112">
        <f>MAX( 0, MIN(BedPlan[[#This Row],[Expected End of Harvest]], EOMONTH(DD$4, 0)) - MAX(BedPlan[[#This Row],[Beginning of Harvest]], DD$4) + 1 )</f>
        <v>0</v>
      </c>
      <c r="DE112">
        <f>MAX( 0, MIN(BedPlan[[#This Row],[Expected End of Harvest]], EOMONTH(DE$4, 0)) - MAX(BedPlan[[#This Row],[Beginning of Harvest]], DE$4) + 1 )</f>
        <v>0</v>
      </c>
      <c r="DF112">
        <f>MAX( 0, MIN(BedPlan[[#This Row],[Expected End of Harvest]], EOMONTH(DF$4, 0)) - MAX(BedPlan[[#This Row],[Beginning of Harvest]], DF$4) + 1 )</f>
        <v>0</v>
      </c>
      <c r="DG112">
        <f>MAX( 0, MIN(BedPlan[[#This Row],[Expected End of Harvest]], EOMONTH(DG$4, 0)) - MAX(BedPlan[[#This Row],[Beginning of Harvest]], DG$4) + 1 )</f>
        <v>0</v>
      </c>
      <c r="DH112">
        <f>MAX( 0, MIN(BedPlan[[#This Row],[Expected End of Harvest]], EOMONTH(DH$4, 0)) - MAX(BedPlan[[#This Row],[Beginning of Harvest]], DH$4) + 1 )</f>
        <v>0</v>
      </c>
      <c r="DI112" s="257" cm="1">
        <f t="array" ref="DI112">BedPlan[[#This Row],[Harvest Days January 2025]]/SUM(BedPlan[[#This Row],[Harvest Days January 2025]:[Harvest Days December 2026]])*BedPlan[[#This Row],[Revenue]:[Revenue]]</f>
        <v>0</v>
      </c>
      <c r="DJ112" s="257" cm="1">
        <f t="array" ref="DJ112">BedPlan[[#This Row],[Harvest Days February 2025]]/SUM(BedPlan[[#This Row],[Harvest Days January 2025]:[Harvest Days December 2026]])*BedPlan[[#This Row],[Revenue]:[Revenue]]</f>
        <v>0</v>
      </c>
      <c r="DK112" s="257" cm="1">
        <f t="array" ref="DK112">BedPlan[[#This Row],[Harvest Days March 2025]]/SUM(BedPlan[[#This Row],[Harvest Days January 2025]:[Harvest Days December 2026]])*BedPlan[[#This Row],[Revenue]:[Revenue]]</f>
        <v>0</v>
      </c>
      <c r="DL112" s="257" cm="1">
        <f t="array" ref="DL112">BedPlan[[#This Row],[Harvest Days April 2025]]/SUM(BedPlan[[#This Row],[Harvest Days January 2025]:[Harvest Days December 2026]])*BedPlan[[#This Row],[Revenue]:[Revenue]]</f>
        <v>0</v>
      </c>
      <c r="DM112" s="257" cm="1">
        <f t="array" ref="DM112">BedPlan[[#This Row],[Harvest Days May 2025]]/SUM(BedPlan[[#This Row],[Harvest Days January 2025]:[Harvest Days December 2026]])*BedPlan[[#This Row],[Revenue]:[Revenue]]</f>
        <v>0</v>
      </c>
      <c r="DN112" s="257" cm="1">
        <f t="array" ref="DN112">BedPlan[[#This Row],[Harvest Days June 2025]]/SUM(BedPlan[[#This Row],[Harvest Days January 2025]:[Harvest Days December 2026]])*BedPlan[[#This Row],[Revenue]:[Revenue]]</f>
        <v>0</v>
      </c>
      <c r="DO112" s="257" cm="1">
        <f t="array" ref="DO112">BedPlan[[#This Row],[Harvest Days July 2025]]/SUM(BedPlan[[#This Row],[Harvest Days January 2025]:[Harvest Days December 2026]])*BedPlan[[#This Row],[Revenue]:[Revenue]]</f>
        <v>0</v>
      </c>
      <c r="DP112" s="257" cm="1">
        <f t="array" ref="DP112">BedPlan[[#This Row],[Harvest Days August 2025]]/SUM(BedPlan[[#This Row],[Harvest Days January 2025]:[Harvest Days December 2026]])*BedPlan[[#This Row],[Revenue]:[Revenue]]</f>
        <v>303.89610389610385</v>
      </c>
      <c r="DQ112" s="257" cm="1">
        <f t="array" ref="DQ112">BedPlan[[#This Row],[Harvest Days September 2025]]/SUM(BedPlan[[#This Row],[Harvest Days January 2025]:[Harvest Days December 2026]])*BedPlan[[#This Row],[Revenue]:[Revenue]]</f>
        <v>210.38961038961037</v>
      </c>
      <c r="DR112" s="257" cm="1">
        <f t="array" ref="DR112">BedPlan[[#This Row],[Harvest Days October 2025]]/SUM(BedPlan[[#This Row],[Harvest Days January 2025]:[Harvest Days December 2026]])*BedPlan[[#This Row],[Revenue]:[Revenue]]</f>
        <v>0</v>
      </c>
      <c r="DS112" s="257" cm="1">
        <f t="array" ref="DS112">BedPlan[[#This Row],[Harvest Days November 2025]]/SUM(BedPlan[[#This Row],[Harvest Days January 2025]:[Harvest Days December 2026]])*BedPlan[[#This Row],[Revenue]:[Revenue]]</f>
        <v>0</v>
      </c>
      <c r="DT112" s="257" cm="1">
        <f t="array" ref="DT112">BedPlan[[#This Row],[Harvest Days December 2025]]/SUM(BedPlan[[#This Row],[Harvest Days January 2025]:[Harvest Days December 2026]])*BedPlan[[#This Row],[Revenue]:[Revenue]]</f>
        <v>0</v>
      </c>
      <c r="DU112" s="257" cm="1">
        <f t="array" ref="DU112">BedPlan[[#This Row],[Harvest Days January 2026]]/SUM(BedPlan[[#This Row],[Harvest Days January 2025]:[Harvest Days December 2026]])*BedPlan[[#This Row],[Revenue]:[Revenue]]</f>
        <v>0</v>
      </c>
      <c r="DV112" s="257" cm="1">
        <f t="array" ref="DV112">BedPlan[[#This Row],[Harvest Days February 2026]]/SUM(BedPlan[[#This Row],[Harvest Days January 2025]:[Harvest Days December 2026]])*BedPlan[[#This Row],[Revenue]:[Revenue]]</f>
        <v>0</v>
      </c>
      <c r="DW112" s="257" cm="1">
        <f t="array" ref="DW112">BedPlan[[#This Row],[Harvest Days March 2026]]/SUM(BedPlan[[#This Row],[Harvest Days January 2025]:[Harvest Days December 2026]])*BedPlan[[#This Row],[Revenue]:[Revenue]]</f>
        <v>0</v>
      </c>
      <c r="DX112" s="257" cm="1">
        <f t="array" ref="DX112">BedPlan[[#This Row],[Harvest Days April 2026]]/SUM(BedPlan[[#This Row],[Harvest Days January 2025]:[Harvest Days December 2026]])*BedPlan[[#This Row],[Revenue]:[Revenue]]</f>
        <v>0</v>
      </c>
      <c r="DY112" s="257" cm="1">
        <f t="array" ref="DY112">BedPlan[[#This Row],[Harvest Days May 2026]]/SUM(BedPlan[[#This Row],[Harvest Days January 2025]:[Harvest Days December 2026]])*BedPlan[[#This Row],[Revenue]:[Revenue]]</f>
        <v>0</v>
      </c>
      <c r="DZ112" s="257" cm="1">
        <f t="array" ref="DZ112">BedPlan[[#This Row],[Harvest Days June 2026]]/SUM(BedPlan[[#This Row],[Harvest Days January 2025]:[Harvest Days December 2026]])*BedPlan[[#This Row],[Revenue]:[Revenue]]</f>
        <v>0</v>
      </c>
      <c r="EA112" s="257" cm="1">
        <f t="array" ref="EA112">BedPlan[[#This Row],[Harvest Days July 2026]]/SUM(BedPlan[[#This Row],[Harvest Days January 2025]:[Harvest Days December 2026]])*BedPlan[[#This Row],[Revenue]:[Revenue]]</f>
        <v>0</v>
      </c>
      <c r="EB112" s="257" cm="1">
        <f t="array" ref="EB112">BedPlan[[#This Row],[Harvest Days August 2026]]/SUM(BedPlan[[#This Row],[Harvest Days January 2025]:[Harvest Days December 2026]])*BedPlan[[#This Row],[Revenue]:[Revenue]]</f>
        <v>0</v>
      </c>
      <c r="EC112" s="257" cm="1">
        <f t="array" ref="EC112">BedPlan[[#This Row],[Harvest Days September 2026]]/SUM(BedPlan[[#This Row],[Harvest Days January 2025]:[Harvest Days December 2026]])*BedPlan[[#This Row],[Revenue]:[Revenue]]</f>
        <v>0</v>
      </c>
      <c r="ED112" s="257" cm="1">
        <f t="array" ref="ED112">BedPlan[[#This Row],[Harvest Days October 2026]]/SUM(BedPlan[[#This Row],[Harvest Days January 2025]:[Harvest Days December 2026]])*BedPlan[[#This Row],[Revenue]:[Revenue]]</f>
        <v>0</v>
      </c>
      <c r="EE112" s="257" cm="1">
        <f t="array" ref="EE112">BedPlan[[#This Row],[Harvest Days November 2026]]/SUM(BedPlan[[#This Row],[Harvest Days January 2025]:[Harvest Days December 2026]])*BedPlan[[#This Row],[Revenue]:[Revenue]]</f>
        <v>0</v>
      </c>
      <c r="EF112" s="257" cm="1">
        <f t="array" ref="EF112">BedPlan[[#This Row],[Harvest Days December 2026]]/SUM(BedPlan[[#This Row],[Harvest Days January 2025]:[Harvest Days December 2026]])*BedPlan[[#This Row],[Revenue]:[Revenue]]</f>
        <v>0</v>
      </c>
      <c r="EG112" t="b">
        <f>SUM(BedPlan[[#This Row],[Revenue January 2025]:[Revenue December 2026]])=BedPlan[[#This Row],[Revenue]]</f>
        <v>1</v>
      </c>
      <c r="EH112" s="30" cm="1">
        <f t="array" ref="EH112">INDEX(Crops[],BedPlan[[#This Row],[Chart Index]],EH$4,1)*BedPlan[[#This Row],['# Of Beds]]</f>
        <v>171.42857142857142</v>
      </c>
      <c r="EI112" s="30" t="str" cm="1">
        <f t="array" ref="EI112">INDEX(Crops[],BedPlan[[#This Row],[Chart Index]],EI$4,1)</f>
        <v>Lb</v>
      </c>
      <c r="EJ112" s="30" t="str" cm="1">
        <f t="array" ref="EJ112">INDEX(Crops[],BedPlan[[#This Row],[Chart Index]],EJ$4,1)</f>
        <v>Storage Root</v>
      </c>
      <c r="EK112" s="30" t="str">
        <f>BedPlan[[#This Row],[Name]]&amp;" "&amp;BedPlan[[#This Row],[Product]]&amp; " - " &amp;BedPlan[[#This Row],[Unit]]</f>
        <v>Radish Storage Root - Lb</v>
      </c>
      <c r="EL112" s="33" cm="1">
        <f t="array" ref="EL112">BedPlan[[#This Row],[Harvest Days January 2025]]/SUM(BedPlan[[#This Row],[Harvest Days January 2025]:[Harvest Days December 2026]])*BedPlan[[#This Row],[Yield]:[Yield]]</f>
        <v>0</v>
      </c>
      <c r="EM112" s="33" cm="1">
        <f t="array" ref="EM112">BedPlan[[#This Row],[Harvest Days February 2025]]/SUM(BedPlan[[#This Row],[Harvest Days January 2025]:[Harvest Days December 2026]])*BedPlan[[#This Row],[Yield]:[Yield]]</f>
        <v>0</v>
      </c>
      <c r="EN112" s="33" cm="1">
        <f t="array" ref="EN112">BedPlan[[#This Row],[Harvest Days March 2025]]/SUM(BedPlan[[#This Row],[Harvest Days January 2025]:[Harvest Days December 2026]])*BedPlan[[#This Row],[Yield]:[Yield]]</f>
        <v>0</v>
      </c>
      <c r="EO112" s="33" cm="1">
        <f t="array" ref="EO112">BedPlan[[#This Row],[Harvest Days April 2025]]/SUM(BedPlan[[#This Row],[Harvest Days January 2025]:[Harvest Days December 2026]])*BedPlan[[#This Row],[Yield]:[Yield]]</f>
        <v>0</v>
      </c>
      <c r="EP112" s="33" cm="1">
        <f t="array" ref="EP112">BedPlan[[#This Row],[Harvest Days May 2025]]/SUM(BedPlan[[#This Row],[Harvest Days January 2025]:[Harvest Days December 2026]])*BedPlan[[#This Row],[Yield]:[Yield]]</f>
        <v>0</v>
      </c>
      <c r="EQ112" s="33" cm="1">
        <f t="array" ref="EQ112">BedPlan[[#This Row],[Harvest Days June 2025]]/SUM(BedPlan[[#This Row],[Harvest Days January 2025]:[Harvest Days December 2026]])*BedPlan[[#This Row],[Yield]:[Yield]]</f>
        <v>0</v>
      </c>
      <c r="ER112" s="33" cm="1">
        <f t="array" ref="ER112">BedPlan[[#This Row],[Harvest Days July 2025]]/SUM(BedPlan[[#This Row],[Harvest Days January 2025]:[Harvest Days December 2026]])*BedPlan[[#This Row],[Yield]:[Yield]]</f>
        <v>0</v>
      </c>
      <c r="ES112" s="33" cm="1">
        <f t="array" ref="ES112">BedPlan[[#This Row],[Harvest Days August 2025]]/SUM(BedPlan[[#This Row],[Harvest Days January 2025]:[Harvest Days December 2026]])*BedPlan[[#This Row],[Yield]:[Yield]]</f>
        <v>101.2987012987013</v>
      </c>
      <c r="ET112" s="33" cm="1">
        <f t="array" ref="ET112">BedPlan[[#This Row],[Harvest Days September 2025]]/SUM(BedPlan[[#This Row],[Harvest Days January 2025]:[Harvest Days December 2026]])*BedPlan[[#This Row],[Yield]:[Yield]]</f>
        <v>70.129870129870127</v>
      </c>
      <c r="EU112" s="33" cm="1">
        <f t="array" ref="EU112">BedPlan[[#This Row],[Harvest Days October 2025]]/SUM(BedPlan[[#This Row],[Harvest Days January 2025]:[Harvest Days December 2026]])*BedPlan[[#This Row],[Yield]:[Yield]]</f>
        <v>0</v>
      </c>
      <c r="EV112" s="33" cm="1">
        <f t="array" ref="EV112">BedPlan[[#This Row],[Harvest Days November 2025]]/SUM(BedPlan[[#This Row],[Harvest Days January 2025]:[Harvest Days December 2026]])*BedPlan[[#This Row],[Yield]:[Yield]]</f>
        <v>0</v>
      </c>
      <c r="EW112" s="33" cm="1">
        <f t="array" ref="EW112">BedPlan[[#This Row],[Harvest Days December 2025]]/SUM(BedPlan[[#This Row],[Harvest Days January 2025]:[Harvest Days December 2026]])*BedPlan[[#This Row],[Yield]:[Yield]]</f>
        <v>0</v>
      </c>
    </row>
    <row r="113" spans="1:153" ht="15.75" customHeight="1">
      <c r="A113" s="191" t="s">
        <v>3260</v>
      </c>
      <c r="B113" s="240" t="s">
        <v>3268</v>
      </c>
      <c r="C113" t="s">
        <v>1469</v>
      </c>
      <c r="D113" s="226" t="e" cm="1">
        <f t="array" ref="D113">INDEX(Crops[],BedPlan[[#This Row],[Chart Index]],D$4,1)*BedPlan[[#This Row],[Full Bed Equivalent]]</f>
        <v>#DIV/0!</v>
      </c>
      <c r="E113" s="226" t="e" cm="1">
        <f t="array" ref="E113">INDEX(Crops[],BedPlan[[#This Row],[Chart Index]],E$4,1)*BedPlan[[#This Row],[Full Bed Equivalent]]</f>
        <v>#DIV/0!</v>
      </c>
      <c r="F113" t="str">
        <f>UPPER(LEFT(BedPlan[[#This Row],[Crop]],3))</f>
        <v>RUT</v>
      </c>
      <c r="H113" s="143" t="str" cm="1">
        <f t="array" ref="H113">INDEX(Crops[],BedPlan[[#This Row],[Chart Index]],H$4,1)</f>
        <v>Rutabaga</v>
      </c>
      <c r="K113" s="227"/>
      <c r="L113" s="33" cm="1">
        <f t="array" ref="L113">INDEX(Crops[],BedPlan[[#This Row],[Chart Index]],L$4,1)*BedPlan[[#This Row],[Full Bed Equivalent]]</f>
        <v>780</v>
      </c>
      <c r="N113">
        <v>2</v>
      </c>
      <c r="O113">
        <f>MAX(BedPlan[[#This Row],['# Of Beds]],0.5)</f>
        <v>2</v>
      </c>
      <c r="P113" s="31">
        <f>IF(ISNUMBER(BedPlan[[#This Row],[Planned Greenhouse Start Date]]),BedPlan[[#This Row],[Planned Greenhouse Start Date]],BedPlan[[#This Row],[Planned TP or DS Date]])</f>
        <v>45856</v>
      </c>
      <c r="Q113" s="259">
        <f>IF(BedPlan[[#This Row],[Days in Cells]]=0,"",IFERROR(_xlfn.XLOOKUP(BedPlan[[#This Row],[Follows Crop]],BedPlan[Identifier],BedPlan[Expected End of Harvest]) + 1+BedPlan[[#This Row],[Follow Offset]],BedPlan[[#This Row],[Fixed Field Start Date]])-BedPlan[[#This Row],[Days in Cells]])</f>
        <v>45856</v>
      </c>
      <c r="R113" s="259"/>
      <c r="S113" s="259">
        <f>IF(ISNUMBER(BedPlan[[#This Row],[Actual Greenhouse Date]]),BedPlan[[#This Row],[Actual Greenhouse Date]],BedPlan[[#This Row],[Planned Greenhouse Start Date]])</f>
        <v>45856</v>
      </c>
      <c r="T113" s="259">
        <v>45884</v>
      </c>
      <c r="U113" s="260"/>
      <c r="V113" s="260"/>
      <c r="W11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13" s="259"/>
      <c r="Y113" s="271">
        <f>BedPlan[[#This Row],[Actual TP or DS Date]]-BedPlan[[#This Row],[Planned TP or DS Date]]</f>
        <v>-45884</v>
      </c>
      <c r="Z113" s="259">
        <f>IF(ISNUMBER(BedPlan[[#This Row],[Actual TP or DS Date]]),BedPlan[[#This Row],[Actual TP or DS Date]],BedPlan[[#This Row],[Planned TP or DS Date]])</f>
        <v>45884</v>
      </c>
      <c r="AA113" s="259"/>
      <c r="AB113" s="259">
        <f>IF(ISNUMBER(BedPlan[[#This Row],[Greenhouse Start Date]]),BedPlan[[#This Row],[Greenhouse Start Date]]+BedPlan[[#This Row],[DTM]],BedPlan[[#This Row],[TP or DS Date]]+BedPlan[[#This Row],[DTM]])</f>
        <v>45976</v>
      </c>
      <c r="AC113" s="259"/>
      <c r="AD113" s="259">
        <f>IF(ISNUMBER(BedPlan[[#This Row],[Actual Beginning of Harvest]]),BedPlan[[#This Row],[Actual Beginning of Harvest]],BedPlan[[#This Row],[Expected Beginning of Harvest]])</f>
        <v>45976</v>
      </c>
      <c r="AE113" s="259">
        <f>BedPlan[[#This Row],[Expected Beginning of Harvest]]+BedPlan[[#This Row],[Harvest Window]]+BedPlan[[#This Row],[Additional Days of Harvest]]</f>
        <v>45997</v>
      </c>
      <c r="AF113" s="259"/>
      <c r="AG113" s="259"/>
      <c r="AH113" s="34" t="b">
        <f>IF(AND( BedPlan[[#This Row],[Expected End of Harvest]] &gt;= DATE(2025, 8, 1), BedPlan[[#This Row],[Beginning of Harvest]] &lt;= DATE(2025, 8, 31) ), TRUE, FALSE)</f>
        <v>0</v>
      </c>
      <c r="AI113" s="31"/>
      <c r="AJ113" s="31">
        <f>IF(ISNUMBER(BedPlan[[#This Row],[Actual End of Harvest]]),BedPlan[[#This Row],[Actual End of Harvest]],BedPlan[[#This Row],[Expected End of Harvest]])</f>
        <v>45997</v>
      </c>
      <c r="AK113" t="b">
        <f>OR(ISNUMBER(BedPlan[[#This Row],[Actual Greenhouse Date]]),ISNUMBER(BedPlan[[#This Row],[Actual TP or DS Date]]))</f>
        <v>0</v>
      </c>
      <c r="AL113" s="52" t="b">
        <f>IF(ISNUMBER(BedPlan[[#This Row],[Planned Greenhouse Start Date]]),OR(ISNUMBER(BedPlan[[#This Row],[Actual TP or DS Date]]),BedPlan[[#This Row],[Failed]]),"-")</f>
        <v>0</v>
      </c>
      <c r="AM113" t="b">
        <f>OR(ISNUMBER(BedPlan[[#This Row],[Actual End of Harvest]]),BedPlan[[#This Row],[Failed]])</f>
        <v>0</v>
      </c>
      <c r="AN113" t="b">
        <f>OR(BedPlan[[#This Row],[Harvest Done]],BedPlan[[#This Row],[Failed]],BedPlan[[#This Row],[Name]]="Tarp")</f>
        <v>0</v>
      </c>
      <c r="AO113" s="34"/>
      <c r="AP113" s="34"/>
      <c r="AQ113" s="34"/>
      <c r="AR113" s="34"/>
      <c r="AS113" s="256" t="str">
        <f>IF(BedPlan[[#This Row],[Broadfork]],BedPlan[[#This Row],[Actual TP or DS Date]],"")</f>
        <v/>
      </c>
      <c r="AT113" s="256" t="str">
        <f>IF(BedPlan[[#This Row],[Tilther]],BedPlan[[#This Row],[Actual TP or DS Date]],"")</f>
        <v/>
      </c>
      <c r="AU113" s="256" t="str">
        <f>IF(NOT(ISBLANK(BedPlan[[#This Row],[Amend]])),BedPlan[[#This Row],[Actual TP or DS Date]],"")</f>
        <v/>
      </c>
      <c r="AV113" s="256" t="str">
        <f>IF(BedPlan[[#This Row],[Row Cover]],BedPlan[[#This Row],[Actual TP or DS Date]],"")</f>
        <v/>
      </c>
      <c r="AW113" s="34"/>
      <c r="AX113" s="256"/>
      <c r="AY113" s="34"/>
      <c r="AZ113" s="256"/>
      <c r="BA113" s="34"/>
      <c r="BB113" s="256"/>
      <c r="BC113" s="231" cm="1">
        <f t="array" ref="BC113">INDEX(Crops[],BedPlan[[#This Row],[Chart Index]],BC$4,1)*BedPlan[[#This Row],[Full Bed Equivalent]]</f>
        <v>1050</v>
      </c>
      <c r="BD113" s="231" cm="1">
        <f t="array" ref="BD113">INDEX(Crops[],BedPlan[[#This Row],[Chart Index]],BD$4,1)*BedPlan[[#This Row],[Full Bed Equivalent]]</f>
        <v>9.2920353982300892</v>
      </c>
      <c r="BE113" cm="1">
        <f t="array" ref="BE113">INDEX(Crops[],BedPlan[[#This Row],[Chart Index]],BE$4,1)+BedPlan[[#This Row],[Additional Days in Cells]]+BedPlan[[#This Row],[Additional Days In Field]]</f>
        <v>120</v>
      </c>
      <c r="BG113" cm="1">
        <f t="array" ref="BG113">INDEX(Crops[],BedPlan[[#This Row],[Chart Index]],BG$4,1)</f>
        <v>21</v>
      </c>
      <c r="BH113" t="str">
        <f>IF(ISNUMBER(BedPlan[[#This Row],[Planned Greenhouse Start Date]]),"TP","DS")</f>
        <v>TP</v>
      </c>
      <c r="BI113">
        <f>BedPlan[[#This Row],['# Of Beds]]</f>
        <v>2</v>
      </c>
      <c r="BJ113" cm="1">
        <f t="array" ref="BJ113">INDEX(Crops[],BedPlan[[#This Row],[Chart Index]],BJ$4,1)</f>
        <v>28</v>
      </c>
      <c r="BK113" cm="1">
        <f t="array" ref="BK113">INDEX(Crops[],BedPlan[[#This Row],[Chart Index]],BK$4,1)</f>
        <v>3</v>
      </c>
      <c r="BL113" cm="1">
        <f t="array" ref="BL113">INDEX(Crops[],BedPlan[[#This Row],[Chart Index]],BL$4,1)</f>
        <v>12</v>
      </c>
      <c r="BM113" cm="1">
        <f t="array" ref="BM113">INDEX(Crops[],BedPlan[[#This Row],[Chart Index]],BM$4,1)</f>
        <v>2</v>
      </c>
      <c r="BN113" s="32" cm="1">
        <f t="array" ref="BN113">INDEX(Crops[],BedPlan[[#This Row],[Chart Index]],BN$4,1)*BedPlan[[#This Row],[Full Bed Equivalent]]</f>
        <v>300</v>
      </c>
      <c r="BO113" t="str" cm="1">
        <f t="array" ref="BO113">IF(INDEX(Crops[],BedPlan[[#This Row],[Chart Index]],BO$4,1)=0,"",INDEX(Crops[],BedPlan[[#This Row],[Chart Index]],BO$4,1))</f>
        <v/>
      </c>
      <c r="BP113">
        <f>MATCH(BedPlan[[#This Row],[Crop]],Crops[Identifier],FALSE)</f>
        <v>270</v>
      </c>
      <c r="BQ113" t="str" cm="1">
        <f t="array" ref="BQ113">INDEX(Crops[],BedPlan[[#This Row],[Chart Index]],BQ$4,1)</f>
        <v>General</v>
      </c>
      <c r="BR113" t="str" cm="1">
        <f t="array" ref="BR113">INDEX(Crops[],BedPlan[[#This Row],[Chart Index]],BR$4,1)</f>
        <v>Fa</v>
      </c>
      <c r="BS113" s="32">
        <f>BedPlan[[#This Row],[Expected Beginning of Harvest]]-DATE(2023,1,1)</f>
        <v>1049</v>
      </c>
      <c r="BT113">
        <f>BedPlan[[#This Row],[Expected End of Harvest]]-BedPlan[[#This Row],[Expected Beginning of Harvest]]</f>
        <v>21</v>
      </c>
      <c r="BU113" cm="1">
        <f t="array" ref="BU113">INDEX(Crops[],BedPlan[[#This Row],[Chart Index]],BU$4,1)</f>
        <v>0</v>
      </c>
      <c r="BV113" cm="1">
        <f t="array" ref="BV113">INDEX(Crops[],BedPlan[[#This Row],[Chart Index]],BV$4,1)</f>
        <v>0</v>
      </c>
      <c r="BW113" t="str" cm="1">
        <f t="array" ref="BW113">INDEX(Crops[],BedPlan[[#This Row],[Chart Index]],BW$4,1)</f>
        <v>AMAP</v>
      </c>
      <c r="BX113" cm="1">
        <f t="array" ref="BX113">INDEX(Crops[],BedPlan[[#This Row],[Chart Index]],BX$4,1)</f>
        <v>128</v>
      </c>
      <c r="BY113" cm="1">
        <f t="array" ref="BY113">INDEX(Crops[],BedPlan[[#This Row],[Chart Index]],BY$4,1)</f>
        <v>28</v>
      </c>
      <c r="BZ113" s="49" cm="1">
        <f t="array" ref="BZ113">IFERROR(INDEX(Crops[],BedPlan[[#This Row],[Chart Index]],BZ$4,1)*BedPlan[[#This Row],[Full Bed Equivalent]],"")</f>
        <v>3.046875</v>
      </c>
      <c r="CA113" cm="1">
        <f t="array" ref="CA113">INDEX(Crops[],BedPlan[[#This Row],[Chart Index]],CA$4,1)</f>
        <v>0</v>
      </c>
      <c r="CB113" cm="1">
        <f t="array" ref="CB113">INDEX(Crops[],BedPlan[[#This Row],[Chart Index]],CB$4,1)</f>
        <v>0</v>
      </c>
      <c r="CC113" s="49" t="str" cm="1">
        <f t="array" ref="CC113">IFERROR(INDEX(Crops[],BedPlan[[#This Row],[Chart Index]],CC$4,1)*BedPlan[[#This Row],[Full Bed Equivalent]],"")</f>
        <v/>
      </c>
      <c r="CD113" cm="1">
        <f t="array" ref="CD113">INDEX(Crops[],BedPlan[[#This Row],[Chart Index]],CD$4,1)</f>
        <v>0</v>
      </c>
      <c r="CE113" cm="1">
        <f t="array" ref="CE113">IF(INDEX(Crops[],BedPlan[[#This Row],[Chart Index]],CE$4,1)="",0,INDEX(Crops[],BedPlan[[#This Row],[Chart Index]],CE$4,1))</f>
        <v>0</v>
      </c>
      <c r="CF113" s="49" t="str" cm="1">
        <f t="array" ref="CF113">IFERROR(INDEX(Crops[],BedPlan[[#This Row],[Chart Index]],CF$4,1)*BedPlan[[#This Row],[Full Bed Equivalent]],"")</f>
        <v/>
      </c>
      <c r="CG113" cm="1">
        <f t="array" ref="CG113">IF(INDEX(Crops[],BedPlan[[#This Row],[Chart Index]],CG$4,1)="",0,INDEX(Crops[],BedPlan[[#This Row],[Chart Index]],CG$4,1))</f>
        <v>1.3</v>
      </c>
      <c r="CH113" cm="1">
        <f t="array" ref="CH113">IF(INDEX(Crops[],BedPlan[[#This Row],[Chart Index]],CH$4,1)="",0,INDEX(Crops[],BedPlan[[#This Row],[Chart Index]],CH$4,1))</f>
        <v>0</v>
      </c>
      <c r="CI113" t="str" cm="1">
        <f t="array" ref="CI113">INDEX(Crops[],BedPlan[[#This Row],[Chart Index]],CI$4,1)</f>
        <v>Field</v>
      </c>
      <c r="CJ113" s="30" t="str">
        <f>_xlfn.TEXTJOIN(CHAR(10),FALSE,BedPlan[[#This Row],[Name]],BedPlan[[#This Row],[Variety]],BedPlan[[#This Row],[Company]])</f>
        <v xml:space="preserve">Rutabaga
</v>
      </c>
      <c r="CK113" s="32">
        <f>MAX( 0, MIN(BedPlan[[#This Row],[Expected End of Harvest]], EOMONTH(CK$4, 0)) - MAX(BedPlan[[#This Row],[Beginning of Harvest]], CK$4) + 1 )</f>
        <v>0</v>
      </c>
      <c r="CL113">
        <f>MAX( 0, MIN(BedPlan[[#This Row],[Expected End of Harvest]], EOMONTH(CL$4, 0)) - MAX(BedPlan[[#This Row],[Beginning of Harvest]], CL$4) + 1 )</f>
        <v>0</v>
      </c>
      <c r="CM113">
        <f>MAX( 0, MIN(BedPlan[[#This Row],[Expected End of Harvest]], EOMONTH(CM$4, 0)) - MAX(BedPlan[[#This Row],[Beginning of Harvest]], CM$4) + 1 )</f>
        <v>0</v>
      </c>
      <c r="CN113">
        <f>MAX( 0, MIN(BedPlan[[#This Row],[Expected End of Harvest]], EOMONTH(CN$4, 0)) - MAX(BedPlan[[#This Row],[Beginning of Harvest]], CN$4) + 1 )</f>
        <v>0</v>
      </c>
      <c r="CO113">
        <f>MAX( 0, MIN(BedPlan[[#This Row],[Expected End of Harvest]], EOMONTH(CO$4, 0)) - MAX(BedPlan[[#This Row],[Beginning of Harvest]], CO$4) + 1 )</f>
        <v>0</v>
      </c>
      <c r="CP113">
        <f>MAX( 0, MIN(BedPlan[[#This Row],[Expected End of Harvest]], EOMONTH(CP$4, 0)) - MAX(BedPlan[[#This Row],[Beginning of Harvest]], CP$4) + 1 )</f>
        <v>0</v>
      </c>
      <c r="CQ113">
        <f>MAX( 0, MIN(BedPlan[[#This Row],[Expected End of Harvest]], EOMONTH(CQ$4, 0)) - MAX(BedPlan[[#This Row],[Beginning of Harvest]], CQ$4) + 1 )</f>
        <v>0</v>
      </c>
      <c r="CR113">
        <f>MAX( 0, MIN(BedPlan[[#This Row],[Expected End of Harvest]], EOMONTH(CR$4, 0)) - MAX(BedPlan[[#This Row],[Beginning of Harvest]], CR$4) + 1 )</f>
        <v>0</v>
      </c>
      <c r="CS113">
        <f>MAX( 0, MIN(BedPlan[[#This Row],[Expected End of Harvest]], EOMONTH(CS$4, 0)) - MAX(BedPlan[[#This Row],[Beginning of Harvest]], CS$4) + 1 )</f>
        <v>0</v>
      </c>
      <c r="CT113">
        <f>MAX( 0, MIN(BedPlan[[#This Row],[Expected End of Harvest]], EOMONTH(CT$4, 0)) - MAX(BedPlan[[#This Row],[Beginning of Harvest]], CT$4) + 1 )</f>
        <v>0</v>
      </c>
      <c r="CU113">
        <f>MAX( 0, MIN(BedPlan[[#This Row],[Expected End of Harvest]], EOMONTH(CU$4, 0)) - MAX(BedPlan[[#This Row],[Beginning of Harvest]], CU$4) + 1 )</f>
        <v>16</v>
      </c>
      <c r="CV113">
        <f>MAX( 0, MIN(BedPlan[[#This Row],[Expected End of Harvest]], EOMONTH(CV$4, 0)) - MAX(BedPlan[[#This Row],[Beginning of Harvest]], CV$4) + 1 )</f>
        <v>6</v>
      </c>
      <c r="CW113">
        <f>MAX( 0, MIN(BedPlan[[#This Row],[Expected End of Harvest]], EOMONTH(CW$4, 0)) - MAX(BedPlan[[#This Row],[Beginning of Harvest]], CW$4) + 1 )</f>
        <v>0</v>
      </c>
      <c r="CX113">
        <f>MAX( 0, MIN(BedPlan[[#This Row],[Expected End of Harvest]], EOMONTH(CX$4, 0)) - MAX(BedPlan[[#This Row],[Beginning of Harvest]], CX$4) + 1 )</f>
        <v>0</v>
      </c>
      <c r="CY113">
        <f>MAX( 0, MIN(BedPlan[[#This Row],[Expected End of Harvest]], EOMONTH(CY$4, 0)) - MAX(BedPlan[[#This Row],[Beginning of Harvest]], CY$4) + 1 )</f>
        <v>0</v>
      </c>
      <c r="CZ113">
        <f>MAX( 0, MIN(BedPlan[[#This Row],[Expected End of Harvest]], EOMONTH(CZ$4, 0)) - MAX(BedPlan[[#This Row],[Beginning of Harvest]], CZ$4) + 1 )</f>
        <v>0</v>
      </c>
      <c r="DA113">
        <f>MAX( 0, MIN(BedPlan[[#This Row],[Expected End of Harvest]], EOMONTH(DA$4, 0)) - MAX(BedPlan[[#This Row],[Beginning of Harvest]], DA$4) + 1 )</f>
        <v>0</v>
      </c>
      <c r="DB113">
        <f>MAX( 0, MIN(BedPlan[[#This Row],[Expected End of Harvest]], EOMONTH(DB$4, 0)) - MAX(BedPlan[[#This Row],[Beginning of Harvest]], DB$4) + 1 )</f>
        <v>0</v>
      </c>
      <c r="DC113">
        <f>MAX( 0, MIN(BedPlan[[#This Row],[Expected End of Harvest]], EOMONTH(DC$4, 0)) - MAX(BedPlan[[#This Row],[Beginning of Harvest]], DC$4) + 1 )</f>
        <v>0</v>
      </c>
      <c r="DD113">
        <f>MAX( 0, MIN(BedPlan[[#This Row],[Expected End of Harvest]], EOMONTH(DD$4, 0)) - MAX(BedPlan[[#This Row],[Beginning of Harvest]], DD$4) + 1 )</f>
        <v>0</v>
      </c>
      <c r="DE113">
        <f>MAX( 0, MIN(BedPlan[[#This Row],[Expected End of Harvest]], EOMONTH(DE$4, 0)) - MAX(BedPlan[[#This Row],[Beginning of Harvest]], DE$4) + 1 )</f>
        <v>0</v>
      </c>
      <c r="DF113">
        <f>MAX( 0, MIN(BedPlan[[#This Row],[Expected End of Harvest]], EOMONTH(DF$4, 0)) - MAX(BedPlan[[#This Row],[Beginning of Harvest]], DF$4) + 1 )</f>
        <v>0</v>
      </c>
      <c r="DG113">
        <f>MAX( 0, MIN(BedPlan[[#This Row],[Expected End of Harvest]], EOMONTH(DG$4, 0)) - MAX(BedPlan[[#This Row],[Beginning of Harvest]], DG$4) + 1 )</f>
        <v>0</v>
      </c>
      <c r="DH113">
        <f>MAX( 0, MIN(BedPlan[[#This Row],[Expected End of Harvest]], EOMONTH(DH$4, 0)) - MAX(BedPlan[[#This Row],[Beginning of Harvest]], DH$4) + 1 )</f>
        <v>0</v>
      </c>
      <c r="DI113" s="257" cm="1">
        <f t="array" ref="DI113">BedPlan[[#This Row],[Harvest Days January 2025]]/SUM(BedPlan[[#This Row],[Harvest Days January 2025]:[Harvest Days December 2026]])*BedPlan[[#This Row],[Revenue]:[Revenue]]</f>
        <v>0</v>
      </c>
      <c r="DJ113" s="257" cm="1">
        <f t="array" ref="DJ113">BedPlan[[#This Row],[Harvest Days February 2025]]/SUM(BedPlan[[#This Row],[Harvest Days January 2025]:[Harvest Days December 2026]])*BedPlan[[#This Row],[Revenue]:[Revenue]]</f>
        <v>0</v>
      </c>
      <c r="DK113" s="257" cm="1">
        <f t="array" ref="DK113">BedPlan[[#This Row],[Harvest Days March 2025]]/SUM(BedPlan[[#This Row],[Harvest Days January 2025]:[Harvest Days December 2026]])*BedPlan[[#This Row],[Revenue]:[Revenue]]</f>
        <v>0</v>
      </c>
      <c r="DL113" s="257" cm="1">
        <f t="array" ref="DL113">BedPlan[[#This Row],[Harvest Days April 2025]]/SUM(BedPlan[[#This Row],[Harvest Days January 2025]:[Harvest Days December 2026]])*BedPlan[[#This Row],[Revenue]:[Revenue]]</f>
        <v>0</v>
      </c>
      <c r="DM113" s="257" cm="1">
        <f t="array" ref="DM113">BedPlan[[#This Row],[Harvest Days May 2025]]/SUM(BedPlan[[#This Row],[Harvest Days January 2025]:[Harvest Days December 2026]])*BedPlan[[#This Row],[Revenue]:[Revenue]]</f>
        <v>0</v>
      </c>
      <c r="DN113" s="257" cm="1">
        <f t="array" ref="DN113">BedPlan[[#This Row],[Harvest Days June 2025]]/SUM(BedPlan[[#This Row],[Harvest Days January 2025]:[Harvest Days December 2026]])*BedPlan[[#This Row],[Revenue]:[Revenue]]</f>
        <v>0</v>
      </c>
      <c r="DO113" s="257" cm="1">
        <f t="array" ref="DO113">BedPlan[[#This Row],[Harvest Days July 2025]]/SUM(BedPlan[[#This Row],[Harvest Days January 2025]:[Harvest Days December 2026]])*BedPlan[[#This Row],[Revenue]:[Revenue]]</f>
        <v>0</v>
      </c>
      <c r="DP113" s="257" cm="1">
        <f t="array" ref="DP113">BedPlan[[#This Row],[Harvest Days August 2025]]/SUM(BedPlan[[#This Row],[Harvest Days January 2025]:[Harvest Days December 2026]])*BedPlan[[#This Row],[Revenue]:[Revenue]]</f>
        <v>0</v>
      </c>
      <c r="DQ113" s="257" cm="1">
        <f t="array" ref="DQ113">BedPlan[[#This Row],[Harvest Days September 2025]]/SUM(BedPlan[[#This Row],[Harvest Days January 2025]:[Harvest Days December 2026]])*BedPlan[[#This Row],[Revenue]:[Revenue]]</f>
        <v>0</v>
      </c>
      <c r="DR113" s="257" cm="1">
        <f t="array" ref="DR113">BedPlan[[#This Row],[Harvest Days October 2025]]/SUM(BedPlan[[#This Row],[Harvest Days January 2025]:[Harvest Days December 2026]])*BedPlan[[#This Row],[Revenue]:[Revenue]]</f>
        <v>0</v>
      </c>
      <c r="DS113" s="257" cm="1">
        <f t="array" ref="DS113">BedPlan[[#This Row],[Harvest Days November 2025]]/SUM(BedPlan[[#This Row],[Harvest Days January 2025]:[Harvest Days December 2026]])*BedPlan[[#This Row],[Revenue]:[Revenue]]</f>
        <v>763.63636363636363</v>
      </c>
      <c r="DT113" s="257" cm="1">
        <f t="array" ref="DT113">BedPlan[[#This Row],[Harvest Days December 2025]]/SUM(BedPlan[[#This Row],[Harvest Days January 2025]:[Harvest Days December 2026]])*BedPlan[[#This Row],[Revenue]:[Revenue]]</f>
        <v>286.36363636363632</v>
      </c>
      <c r="DU113" s="257" cm="1">
        <f t="array" ref="DU113">BedPlan[[#This Row],[Harvest Days January 2026]]/SUM(BedPlan[[#This Row],[Harvest Days January 2025]:[Harvest Days December 2026]])*BedPlan[[#This Row],[Revenue]:[Revenue]]</f>
        <v>0</v>
      </c>
      <c r="DV113" s="257" cm="1">
        <f t="array" ref="DV113">BedPlan[[#This Row],[Harvest Days February 2026]]/SUM(BedPlan[[#This Row],[Harvest Days January 2025]:[Harvest Days December 2026]])*BedPlan[[#This Row],[Revenue]:[Revenue]]</f>
        <v>0</v>
      </c>
      <c r="DW113" s="257" cm="1">
        <f t="array" ref="DW113">BedPlan[[#This Row],[Harvest Days March 2026]]/SUM(BedPlan[[#This Row],[Harvest Days January 2025]:[Harvest Days December 2026]])*BedPlan[[#This Row],[Revenue]:[Revenue]]</f>
        <v>0</v>
      </c>
      <c r="DX113" s="257" cm="1">
        <f t="array" ref="DX113">BedPlan[[#This Row],[Harvest Days April 2026]]/SUM(BedPlan[[#This Row],[Harvest Days January 2025]:[Harvest Days December 2026]])*BedPlan[[#This Row],[Revenue]:[Revenue]]</f>
        <v>0</v>
      </c>
      <c r="DY113" cm="1">
        <f t="array" ref="DY113">BedPlan[[#This Row],[Harvest Days May 2026]]/SUM(BedPlan[[#This Row],[Harvest Days January 2025]:[Harvest Days December 2026]])*BedPlan[[#This Row],[Revenue]:[Revenue]]</f>
        <v>0</v>
      </c>
      <c r="DZ113" cm="1">
        <f t="array" ref="DZ113">BedPlan[[#This Row],[Harvest Days June 2026]]/SUM(BedPlan[[#This Row],[Harvest Days January 2025]:[Harvest Days December 2026]])*BedPlan[[#This Row],[Revenue]:[Revenue]]</f>
        <v>0</v>
      </c>
      <c r="EA113" cm="1">
        <f t="array" ref="EA113">BedPlan[[#This Row],[Harvest Days July 2026]]/SUM(BedPlan[[#This Row],[Harvest Days January 2025]:[Harvest Days December 2026]])*BedPlan[[#This Row],[Revenue]:[Revenue]]</f>
        <v>0</v>
      </c>
      <c r="EB113" cm="1">
        <f t="array" ref="EB113">BedPlan[[#This Row],[Harvest Days August 2026]]/SUM(BedPlan[[#This Row],[Harvest Days January 2025]:[Harvest Days December 2026]])*BedPlan[[#This Row],[Revenue]:[Revenue]]</f>
        <v>0</v>
      </c>
      <c r="EC113" cm="1">
        <f t="array" ref="EC113">BedPlan[[#This Row],[Harvest Days September 2026]]/SUM(BedPlan[[#This Row],[Harvest Days January 2025]:[Harvest Days December 2026]])*BedPlan[[#This Row],[Revenue]:[Revenue]]</f>
        <v>0</v>
      </c>
      <c r="ED113" cm="1">
        <f t="array" ref="ED113">BedPlan[[#This Row],[Harvest Days October 2026]]/SUM(BedPlan[[#This Row],[Harvest Days January 2025]:[Harvest Days December 2026]])*BedPlan[[#This Row],[Revenue]:[Revenue]]</f>
        <v>0</v>
      </c>
      <c r="EE113" cm="1">
        <f t="array" ref="EE113">BedPlan[[#This Row],[Harvest Days November 2026]]/SUM(BedPlan[[#This Row],[Harvest Days January 2025]:[Harvest Days December 2026]])*BedPlan[[#This Row],[Revenue]:[Revenue]]</f>
        <v>0</v>
      </c>
      <c r="EF113" cm="1">
        <f t="array" ref="EF113">BedPlan[[#This Row],[Harvest Days December 2026]]/SUM(BedPlan[[#This Row],[Harvest Days January 2025]:[Harvest Days December 2026]])*BedPlan[[#This Row],[Revenue]:[Revenue]]</f>
        <v>0</v>
      </c>
      <c r="EG113" t="b">
        <f>SUM(BedPlan[[#This Row],[Revenue January 2025]:[Revenue December 2026]])=BedPlan[[#This Row],[Revenue]]</f>
        <v>1</v>
      </c>
      <c r="EH113" s="30" cm="1">
        <f t="array" ref="EH113">INDEX(Crops[],BedPlan[[#This Row],[Chart Index]],EH$4,1)*BedPlan[[#This Row],['# Of Beds]]</f>
        <v>300</v>
      </c>
      <c r="EI113" s="30" t="str" cm="1">
        <f t="array" ref="EI113">INDEX(Crops[],BedPlan[[#This Row],[Chart Index]],EI$4,1)</f>
        <v>Root</v>
      </c>
      <c r="EJ113" s="30" t="str" cm="1">
        <f t="array" ref="EJ113">INDEX(Crops[],BedPlan[[#This Row],[Chart Index]],EJ$4,1)</f>
        <v>Mature Root</v>
      </c>
      <c r="EK113" s="30" t="str">
        <f>BedPlan[[#This Row],[Name]]&amp;" "&amp;BedPlan[[#This Row],[Product]]&amp; " - " &amp;BedPlan[[#This Row],[Unit]]</f>
        <v>Rutabaga Mature Root - Root</v>
      </c>
      <c r="EL113" s="33" cm="1">
        <f t="array" ref="EL113">BedPlan[[#This Row],[Harvest Days January 2025]]/SUM(BedPlan[[#This Row],[Harvest Days January 2025]:[Harvest Days December 2026]])*BedPlan[[#This Row],[Yield]:[Yield]]</f>
        <v>0</v>
      </c>
      <c r="EM113" s="33" cm="1">
        <f t="array" ref="EM113">BedPlan[[#This Row],[Harvest Days February 2025]]/SUM(BedPlan[[#This Row],[Harvest Days January 2025]:[Harvest Days December 2026]])*BedPlan[[#This Row],[Yield]:[Yield]]</f>
        <v>0</v>
      </c>
      <c r="EN113" s="33" cm="1">
        <f t="array" ref="EN113">BedPlan[[#This Row],[Harvest Days March 2025]]/SUM(BedPlan[[#This Row],[Harvest Days January 2025]:[Harvest Days December 2026]])*BedPlan[[#This Row],[Yield]:[Yield]]</f>
        <v>0</v>
      </c>
      <c r="EO113" s="33" cm="1">
        <f t="array" ref="EO113">BedPlan[[#This Row],[Harvest Days April 2025]]/SUM(BedPlan[[#This Row],[Harvest Days January 2025]:[Harvest Days December 2026]])*BedPlan[[#This Row],[Yield]:[Yield]]</f>
        <v>0</v>
      </c>
      <c r="EP113" s="33" cm="1">
        <f t="array" ref="EP113">BedPlan[[#This Row],[Harvest Days May 2025]]/SUM(BedPlan[[#This Row],[Harvest Days January 2025]:[Harvest Days December 2026]])*BedPlan[[#This Row],[Yield]:[Yield]]</f>
        <v>0</v>
      </c>
      <c r="EQ113" s="33" cm="1">
        <f t="array" ref="EQ113">BedPlan[[#This Row],[Harvest Days June 2025]]/SUM(BedPlan[[#This Row],[Harvest Days January 2025]:[Harvest Days December 2026]])*BedPlan[[#This Row],[Yield]:[Yield]]</f>
        <v>0</v>
      </c>
      <c r="ER113" s="33" cm="1">
        <f t="array" ref="ER113">BedPlan[[#This Row],[Harvest Days July 2025]]/SUM(BedPlan[[#This Row],[Harvest Days January 2025]:[Harvest Days December 2026]])*BedPlan[[#This Row],[Yield]:[Yield]]</f>
        <v>0</v>
      </c>
      <c r="ES113" s="33" cm="1">
        <f t="array" ref="ES113">BedPlan[[#This Row],[Harvest Days August 2025]]/SUM(BedPlan[[#This Row],[Harvest Days January 2025]:[Harvest Days December 2026]])*BedPlan[[#This Row],[Yield]:[Yield]]</f>
        <v>0</v>
      </c>
      <c r="ET113" s="33" cm="1">
        <f t="array" ref="ET113">BedPlan[[#This Row],[Harvest Days September 2025]]/SUM(BedPlan[[#This Row],[Harvest Days January 2025]:[Harvest Days December 2026]])*BedPlan[[#This Row],[Yield]:[Yield]]</f>
        <v>0</v>
      </c>
      <c r="EU113" s="33" cm="1">
        <f t="array" ref="EU113">BedPlan[[#This Row],[Harvest Days October 2025]]/SUM(BedPlan[[#This Row],[Harvest Days January 2025]:[Harvest Days December 2026]])*BedPlan[[#This Row],[Yield]:[Yield]]</f>
        <v>0</v>
      </c>
      <c r="EV113" s="33" cm="1">
        <f t="array" ref="EV113">BedPlan[[#This Row],[Harvest Days November 2025]]/SUM(BedPlan[[#This Row],[Harvest Days January 2025]:[Harvest Days December 2026]])*BedPlan[[#This Row],[Yield]:[Yield]]</f>
        <v>218.18181818181819</v>
      </c>
      <c r="EW113" s="33" cm="1">
        <f t="array" ref="EW113">BedPlan[[#This Row],[Harvest Days December 2025]]/SUM(BedPlan[[#This Row],[Harvest Days January 2025]:[Harvest Days December 2026]])*BedPlan[[#This Row],[Yield]:[Yield]]</f>
        <v>81.818181818181813</v>
      </c>
    </row>
    <row r="114" spans="1:153" ht="15" customHeight="1">
      <c r="A114" s="185" t="s">
        <v>3258</v>
      </c>
      <c r="B114" s="240" t="s">
        <v>3270</v>
      </c>
      <c r="C114" s="226" t="s">
        <v>1442</v>
      </c>
      <c r="D114" s="226" cm="1">
        <f t="array" ref="D114">INDEX(Crops[],BedPlan[[#This Row],[Chart Index]],D$4,1)*BedPlan[[#This Row],[Full Bed Equivalent]]</f>
        <v>33.333333333333336</v>
      </c>
      <c r="E114" s="226" cm="1">
        <f t="array" ref="E114">INDEX(Crops[],BedPlan[[#This Row],[Chart Index]],E$4,1)*BedPlan[[#This Row],[Full Bed Equivalent]]</f>
        <v>66.666666666666671</v>
      </c>
      <c r="F114" s="34" t="str">
        <f>UPPER(LEFT(BedPlan[[#This Row],[Crop]],3))</f>
        <v>SCA</v>
      </c>
      <c r="G114" s="227"/>
      <c r="H114" s="143" t="str" cm="1">
        <f t="array" ref="H114">INDEX(Crops[],BedPlan[[#This Row],[Chart Index]],H$4,1)</f>
        <v>Scallion</v>
      </c>
      <c r="I114" s="227"/>
      <c r="J114" s="227"/>
      <c r="K114" s="227"/>
      <c r="L114" s="229" cm="1">
        <f t="array" ref="L114">INDEX(Crops[],BedPlan[[#This Row],[Chart Index]],L$4,1)*BedPlan[[#This Row],[Full Bed Equivalent]]</f>
        <v>1320</v>
      </c>
      <c r="N114" s="227">
        <v>0.5</v>
      </c>
      <c r="O114" s="227">
        <f>MAX(BedPlan[[#This Row],['# Of Beds]],0.5)</f>
        <v>0.5</v>
      </c>
      <c r="P114" s="230">
        <f>IF(ISNUMBER(BedPlan[[#This Row],[Planned Greenhouse Start Date]]),BedPlan[[#This Row],[Planned Greenhouse Start Date]],BedPlan[[#This Row],[Planned TP or DS Date]])</f>
        <v>45833</v>
      </c>
      <c r="Q114" s="261" t="str">
        <f>IF(BedPlan[[#This Row],[Days in Cells]]=0,"",IFERROR(_xlfn.XLOOKUP(BedPlan[[#This Row],[Follows Crop]],BedPlan[Identifier],BedPlan[Expected End of Harvest]) + 1+BedPlan[[#This Row],[Follow Offset]],BedPlan[[#This Row],[Fixed Field Start Date]])-BedPlan[[#This Row],[Days in Cells]])</f>
        <v/>
      </c>
      <c r="R114" s="261"/>
      <c r="S114" s="261" t="str">
        <f>IF(ISNUMBER(BedPlan[[#This Row],[Actual Greenhouse Date]]),BedPlan[[#This Row],[Actual Greenhouse Date]],BedPlan[[#This Row],[Planned Greenhouse Start Date]])</f>
        <v/>
      </c>
      <c r="T114" s="262">
        <f>_xlfn.XLOOKUP(BedPlan[[#This Row],[Crop]],Crops[Identifier],Crops[Target Field Date])</f>
        <v>45833</v>
      </c>
      <c r="U114" s="263"/>
      <c r="V114" s="263"/>
      <c r="W114"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45833</v>
      </c>
      <c r="X114" s="265"/>
      <c r="Y114" s="274">
        <f>BedPlan[[#This Row],[Actual TP or DS Date]]-BedPlan[[#This Row],[Planned TP or DS Date]]</f>
        <v>-45833</v>
      </c>
      <c r="Z114" s="261">
        <f>IF(ISNUMBER(BedPlan[[#This Row],[Actual TP or DS Date]]),BedPlan[[#This Row],[Actual TP or DS Date]],BedPlan[[#This Row],[Planned TP or DS Date]])</f>
        <v>45833</v>
      </c>
      <c r="AA114" s="265"/>
      <c r="AB114" s="261">
        <f>IF(ISNUMBER(BedPlan[[#This Row],[Greenhouse Start Date]]),BedPlan[[#This Row],[Greenhouse Start Date]]+BedPlan[[#This Row],[DTM]],BedPlan[[#This Row],[TP or DS Date]]+BedPlan[[#This Row],[DTM]])</f>
        <v>45910</v>
      </c>
      <c r="AC114" s="265"/>
      <c r="AD114" s="261">
        <f>IF(ISNUMBER(BedPlan[[#This Row],[Actual Beginning of Harvest]]),BedPlan[[#This Row],[Actual Beginning of Harvest]],BedPlan[[#This Row],[Expected Beginning of Harvest]])</f>
        <v>45910</v>
      </c>
      <c r="AE114" s="261">
        <f>BedPlan[[#This Row],[Expected Beginning of Harvest]]+BedPlan[[#This Row],[Harvest Window]]+BedPlan[[#This Row],[Additional Days of Harvest]]</f>
        <v>45924</v>
      </c>
      <c r="AF114" s="265"/>
      <c r="AG114" s="261"/>
      <c r="AH114" s="34" t="b">
        <f>IF(AND( BedPlan[[#This Row],[Expected End of Harvest]] &gt;= DATE(2025, 8, 1), BedPlan[[#This Row],[Beginning of Harvest]] &lt;= DATE(2025, 8, 31) ), TRUE, FALSE)</f>
        <v>0</v>
      </c>
      <c r="AI114" s="230"/>
      <c r="AJ114" s="31">
        <f>IF(ISNUMBER(BedPlan[[#This Row],[Actual End of Harvest]]),BedPlan[[#This Row],[Actual End of Harvest]],BedPlan[[#This Row],[Expected End of Harvest]])</f>
        <v>45924</v>
      </c>
      <c r="AK114" s="34" t="b">
        <f>OR(ISNUMBER(BedPlan[[#This Row],[Actual Greenhouse Date]]),ISNUMBER(BedPlan[[#This Row],[Actual TP or DS Date]]))</f>
        <v>0</v>
      </c>
      <c r="AL114" s="34" t="str">
        <f>IF(ISNUMBER(BedPlan[[#This Row],[Planned Greenhouse Start Date]]),OR(ISNUMBER(BedPlan[[#This Row],[Actual TP or DS Date]]),BedPlan[[#This Row],[Failed]]),"-")</f>
        <v>-</v>
      </c>
      <c r="AM114" s="34" t="b">
        <f>OR(ISNUMBER(BedPlan[[#This Row],[Actual End of Harvest]]),BedPlan[[#This Row],[Failed]])</f>
        <v>0</v>
      </c>
      <c r="AN114" s="34" t="b">
        <f>OR(BedPlan[[#This Row],[Harvest Done]],BedPlan[[#This Row],[Failed]],BedPlan[[#This Row],[Name]]="Tarp")</f>
        <v>0</v>
      </c>
      <c r="AO114" s="34"/>
      <c r="AP114" s="34"/>
      <c r="AQ114" s="34"/>
      <c r="AR114" s="34"/>
      <c r="AS114" s="256" t="str">
        <f>IF(BedPlan[[#This Row],[Broadfork]],BedPlan[[#This Row],[Actual TP or DS Date]],"")</f>
        <v/>
      </c>
      <c r="AT114" s="256" t="str">
        <f>IF(BedPlan[[#This Row],[Tilther]],BedPlan[[#This Row],[Actual TP or DS Date]],"")</f>
        <v/>
      </c>
      <c r="AU114" s="256" t="str">
        <f>IF(NOT(ISBLANK(BedPlan[[#This Row],[Amend]])),BedPlan[[#This Row],[Actual TP or DS Date]],"")</f>
        <v/>
      </c>
      <c r="AV114" s="256" t="str">
        <f>IF(BedPlan[[#This Row],[Row Cover]],BedPlan[[#This Row],[Actual TP or DS Date]],"")</f>
        <v/>
      </c>
      <c r="AW114" s="34"/>
      <c r="AX114" s="256"/>
      <c r="AY114" s="34"/>
      <c r="AZ114" s="256"/>
      <c r="BA114" s="34"/>
      <c r="BB114" s="256"/>
      <c r="BC114" s="231" cm="1">
        <f t="array" ref="BC114">INDEX(Crops[],BedPlan[[#This Row],[Chart Index]],BC$4,1)*BedPlan[[#This Row],[Full Bed Equivalent]]</f>
        <v>166.66666666666669</v>
      </c>
      <c r="BD114" s="231" cm="1">
        <f t="array" ref="BD114">INDEX(Crops[],BedPlan[[#This Row],[Chart Index]],BD$4,1)*BedPlan[[#This Row],[Full Bed Equivalent]]</f>
        <v>1.8315018315018317</v>
      </c>
      <c r="BE114" cm="1">
        <f t="array" ref="BE114">INDEX(Crops[],BedPlan[[#This Row],[Chart Index]],BE$4,1)+BedPlan[[#This Row],[Additional Days in Cells]]+BedPlan[[#This Row],[Additional Days In Field]]</f>
        <v>77</v>
      </c>
      <c r="BG114" cm="1">
        <f t="array" ref="BG114">INDEX(Crops[],BedPlan[[#This Row],[Chart Index]],BG$4,1)</f>
        <v>14</v>
      </c>
      <c r="BH114" t="str">
        <f>IF(ISNUMBER(BedPlan[[#This Row],[Planned Greenhouse Start Date]]),"TP","DS")</f>
        <v>DS</v>
      </c>
      <c r="BI114">
        <f>BedPlan[[#This Row],['# Of Beds]]</f>
        <v>0.5</v>
      </c>
      <c r="BJ114" cm="1">
        <f t="array" ref="BJ114">INDEX(Crops[],BedPlan[[#This Row],[Chart Index]],BJ$4,1)</f>
        <v>0</v>
      </c>
      <c r="BK114" cm="1">
        <f t="array" ref="BK114">INDEX(Crops[],BedPlan[[#This Row],[Chart Index]],BK$4,1)</f>
        <v>4</v>
      </c>
      <c r="BL114" cm="1">
        <f t="array" ref="BL114">INDEX(Crops[],BedPlan[[#This Row],[Chart Index]],BL$4,1)</f>
        <v>6</v>
      </c>
      <c r="BM114" cm="1">
        <f t="array" ref="BM114">INDEX(Crops[],BedPlan[[#This Row],[Chart Index]],BM$4,1)</f>
        <v>6</v>
      </c>
      <c r="BN114" s="32" cm="1">
        <f t="array" ref="BN114">INDEX(Crops[],BedPlan[[#This Row],[Chart Index]],BN$4,1)*BedPlan[[#This Row],[Full Bed Equivalent]]</f>
        <v>200</v>
      </c>
      <c r="BO114" t="str" cm="1">
        <f t="array" ref="BO114">IF(INDEX(Crops[],BedPlan[[#This Row],[Chart Index]],BO$4,1)=0,"",INDEX(Crops[],BedPlan[[#This Row],[Chart Index]],BO$4,1))</f>
        <v/>
      </c>
      <c r="BP114">
        <f>MATCH(BedPlan[[#This Row],[Crop]],Crops[Identifier],FALSE)</f>
        <v>277</v>
      </c>
      <c r="BQ114" t="str" cm="1">
        <f t="array" ref="BQ114">INDEX(Crops[],BedPlan[[#This Row],[Chart Index]],BQ$4,1)</f>
        <v>General</v>
      </c>
      <c r="BR114" t="str" cm="1">
        <f t="array" ref="BR114">INDEX(Crops[],BedPlan[[#This Row],[Chart Index]],BR$4,1)</f>
        <v>Fa</v>
      </c>
      <c r="BS114" s="32">
        <f>BedPlan[[#This Row],[Expected Beginning of Harvest]]-DATE(2023,1,1)</f>
        <v>983</v>
      </c>
      <c r="BT114">
        <f>BedPlan[[#This Row],[Expected End of Harvest]]-BedPlan[[#This Row],[Expected Beginning of Harvest]]</f>
        <v>14</v>
      </c>
      <c r="BU114" t="str" cm="1">
        <f t="array" ref="BU114">INDEX(Crops[],BedPlan[[#This Row],[Chart Index]],BU$4,1)</f>
        <v>Onion</v>
      </c>
      <c r="BV114" cm="1">
        <f t="array" ref="BV114">INDEX(Crops[],BedPlan[[#This Row],[Chart Index]],BV$4,1)</f>
        <v>1.5</v>
      </c>
      <c r="BW114" t="str" cm="1">
        <f t="array" ref="BW114">INDEX(Crops[],BedPlan[[#This Row],[Chart Index]],BW$4,1)</f>
        <v>None</v>
      </c>
      <c r="BX114" cm="1">
        <f t="array" ref="BX114">INDEX(Crops[],BedPlan[[#This Row],[Chart Index]],BX$4,1)</f>
        <v>0</v>
      </c>
      <c r="BY114" cm="1">
        <f t="array" ref="BY114">INDEX(Crops[],BedPlan[[#This Row],[Chart Index]],BY$4,1)</f>
        <v>0</v>
      </c>
      <c r="BZ114" s="49" t="str" cm="1">
        <f t="array" ref="BZ114">IFERROR(INDEX(Crops[],BedPlan[[#This Row],[Chart Index]],BZ$4,1)*BedPlan[[#This Row],[Full Bed Equivalent]],"")</f>
        <v/>
      </c>
      <c r="CA114" cm="1">
        <f t="array" ref="CA114">INDEX(Crops[],BedPlan[[#This Row],[Chart Index]],CA$4,1)</f>
        <v>0</v>
      </c>
      <c r="CB114" cm="1">
        <f t="array" ref="CB114">INDEX(Crops[],BedPlan[[#This Row],[Chart Index]],CB$4,1)</f>
        <v>0</v>
      </c>
      <c r="CC114" s="49" t="str" cm="1">
        <f t="array" ref="CC114">IFERROR(INDEX(Crops[],BedPlan[[#This Row],[Chart Index]],CC$4,1)*BedPlan[[#This Row],[Full Bed Equivalent]],"")</f>
        <v/>
      </c>
      <c r="CD114" cm="1">
        <f t="array" ref="CD114">INDEX(Crops[],BedPlan[[#This Row],[Chart Index]],CD$4,1)</f>
        <v>0</v>
      </c>
      <c r="CE114" cm="1">
        <f t="array" ref="CE114">IF(INDEX(Crops[],BedPlan[[#This Row],[Chart Index]],CE$4,1)="",0,INDEX(Crops[],BedPlan[[#This Row],[Chart Index]],CE$4,1))</f>
        <v>0</v>
      </c>
      <c r="CF114" s="49" t="str" cm="1">
        <f t="array" ref="CF114">IFERROR(INDEX(Crops[],BedPlan[[#This Row],[Chart Index]],CF$4,1)*BedPlan[[#This Row],[Full Bed Equivalent]],"")</f>
        <v/>
      </c>
      <c r="CG114" cm="1">
        <f t="array" ref="CG114">IF(INDEX(Crops[],BedPlan[[#This Row],[Chart Index]],CG$4,1)="",0,INDEX(Crops[],BedPlan[[#This Row],[Chart Index]],CG$4,1))</f>
        <v>1.1000000000000001</v>
      </c>
      <c r="CH114" cm="1">
        <f t="array" ref="CH114">IF(INDEX(Crops[],BedPlan[[#This Row],[Chart Index]],CH$4,1)="",0,INDEX(Crops[],BedPlan[[#This Row],[Chart Index]],CH$4,1))</f>
        <v>17</v>
      </c>
      <c r="CI114" t="str" cm="1">
        <f t="array" ref="CI114">INDEX(Crops[],BedPlan[[#This Row],[Chart Index]],CI$4,1)</f>
        <v>Field</v>
      </c>
      <c r="CJ114" s="30" t="str">
        <f>_xlfn.TEXTJOIN(CHAR(10),FALSE,BedPlan[[#This Row],[Name]],BedPlan[[#This Row],[Variety]],BedPlan[[#This Row],[Company]])</f>
        <v xml:space="preserve">Scallion
</v>
      </c>
      <c r="CK114" s="32">
        <f>MAX( 0, MIN(BedPlan[[#This Row],[Expected End of Harvest]], EOMONTH(CK$4, 0)) - MAX(BedPlan[[#This Row],[Beginning of Harvest]], CK$4) + 1 )</f>
        <v>0</v>
      </c>
      <c r="CL114">
        <f>MAX( 0, MIN(BedPlan[[#This Row],[Expected End of Harvest]], EOMONTH(CL$4, 0)) - MAX(BedPlan[[#This Row],[Beginning of Harvest]], CL$4) + 1 )</f>
        <v>0</v>
      </c>
      <c r="CM114">
        <f>MAX( 0, MIN(BedPlan[[#This Row],[Expected End of Harvest]], EOMONTH(CM$4, 0)) - MAX(BedPlan[[#This Row],[Beginning of Harvest]], CM$4) + 1 )</f>
        <v>0</v>
      </c>
      <c r="CN114">
        <f>MAX( 0, MIN(BedPlan[[#This Row],[Expected End of Harvest]], EOMONTH(CN$4, 0)) - MAX(BedPlan[[#This Row],[Beginning of Harvest]], CN$4) + 1 )</f>
        <v>0</v>
      </c>
      <c r="CO114">
        <f>MAX( 0, MIN(BedPlan[[#This Row],[Expected End of Harvest]], EOMONTH(CO$4, 0)) - MAX(BedPlan[[#This Row],[Beginning of Harvest]], CO$4) + 1 )</f>
        <v>0</v>
      </c>
      <c r="CP114">
        <f>MAX( 0, MIN(BedPlan[[#This Row],[Expected End of Harvest]], EOMONTH(CP$4, 0)) - MAX(BedPlan[[#This Row],[Beginning of Harvest]], CP$4) + 1 )</f>
        <v>0</v>
      </c>
      <c r="CQ114">
        <f>MAX( 0, MIN(BedPlan[[#This Row],[Expected End of Harvest]], EOMONTH(CQ$4, 0)) - MAX(BedPlan[[#This Row],[Beginning of Harvest]], CQ$4) + 1 )</f>
        <v>0</v>
      </c>
      <c r="CR114">
        <f>MAX( 0, MIN(BedPlan[[#This Row],[Expected End of Harvest]], EOMONTH(CR$4, 0)) - MAX(BedPlan[[#This Row],[Beginning of Harvest]], CR$4) + 1 )</f>
        <v>0</v>
      </c>
      <c r="CS114">
        <f>MAX( 0, MIN(BedPlan[[#This Row],[Expected End of Harvest]], EOMONTH(CS$4, 0)) - MAX(BedPlan[[#This Row],[Beginning of Harvest]], CS$4) + 1 )</f>
        <v>15</v>
      </c>
      <c r="CT114">
        <f>MAX( 0, MIN(BedPlan[[#This Row],[Expected End of Harvest]], EOMONTH(CT$4, 0)) - MAX(BedPlan[[#This Row],[Beginning of Harvest]], CT$4) + 1 )</f>
        <v>0</v>
      </c>
      <c r="CU114">
        <f>MAX( 0, MIN(BedPlan[[#This Row],[Expected End of Harvest]], EOMONTH(CU$4, 0)) - MAX(BedPlan[[#This Row],[Beginning of Harvest]], CU$4) + 1 )</f>
        <v>0</v>
      </c>
      <c r="CV114">
        <f>MAX( 0, MIN(BedPlan[[#This Row],[Expected End of Harvest]], EOMONTH(CV$4, 0)) - MAX(BedPlan[[#This Row],[Beginning of Harvest]], CV$4) + 1 )</f>
        <v>0</v>
      </c>
      <c r="CW114">
        <f>MAX( 0, MIN(BedPlan[[#This Row],[Expected End of Harvest]], EOMONTH(CW$4, 0)) - MAX(BedPlan[[#This Row],[Beginning of Harvest]], CW$4) + 1 )</f>
        <v>0</v>
      </c>
      <c r="CX114">
        <f>MAX( 0, MIN(BedPlan[[#This Row],[Expected End of Harvest]], EOMONTH(CX$4, 0)) - MAX(BedPlan[[#This Row],[Beginning of Harvest]], CX$4) + 1 )</f>
        <v>0</v>
      </c>
      <c r="CY114">
        <f>MAX( 0, MIN(BedPlan[[#This Row],[Expected End of Harvest]], EOMONTH(CY$4, 0)) - MAX(BedPlan[[#This Row],[Beginning of Harvest]], CY$4) + 1 )</f>
        <v>0</v>
      </c>
      <c r="CZ114">
        <f>MAX( 0, MIN(BedPlan[[#This Row],[Expected End of Harvest]], EOMONTH(CZ$4, 0)) - MAX(BedPlan[[#This Row],[Beginning of Harvest]], CZ$4) + 1 )</f>
        <v>0</v>
      </c>
      <c r="DA114">
        <f>MAX( 0, MIN(BedPlan[[#This Row],[Expected End of Harvest]], EOMONTH(DA$4, 0)) - MAX(BedPlan[[#This Row],[Beginning of Harvest]], DA$4) + 1 )</f>
        <v>0</v>
      </c>
      <c r="DB114">
        <f>MAX( 0, MIN(BedPlan[[#This Row],[Expected End of Harvest]], EOMONTH(DB$4, 0)) - MAX(BedPlan[[#This Row],[Beginning of Harvest]], DB$4) + 1 )</f>
        <v>0</v>
      </c>
      <c r="DC114">
        <f>MAX( 0, MIN(BedPlan[[#This Row],[Expected End of Harvest]], EOMONTH(DC$4, 0)) - MAX(BedPlan[[#This Row],[Beginning of Harvest]], DC$4) + 1 )</f>
        <v>0</v>
      </c>
      <c r="DD114">
        <f>MAX( 0, MIN(BedPlan[[#This Row],[Expected End of Harvest]], EOMONTH(DD$4, 0)) - MAX(BedPlan[[#This Row],[Beginning of Harvest]], DD$4) + 1 )</f>
        <v>0</v>
      </c>
      <c r="DE114">
        <f>MAX( 0, MIN(BedPlan[[#This Row],[Expected End of Harvest]], EOMONTH(DE$4, 0)) - MAX(BedPlan[[#This Row],[Beginning of Harvest]], DE$4) + 1 )</f>
        <v>0</v>
      </c>
      <c r="DF114">
        <f>MAX( 0, MIN(BedPlan[[#This Row],[Expected End of Harvest]], EOMONTH(DF$4, 0)) - MAX(BedPlan[[#This Row],[Beginning of Harvest]], DF$4) + 1 )</f>
        <v>0</v>
      </c>
      <c r="DG114">
        <f>MAX( 0, MIN(BedPlan[[#This Row],[Expected End of Harvest]], EOMONTH(DG$4, 0)) - MAX(BedPlan[[#This Row],[Beginning of Harvest]], DG$4) + 1 )</f>
        <v>0</v>
      </c>
      <c r="DH114">
        <f>MAX( 0, MIN(BedPlan[[#This Row],[Expected End of Harvest]], EOMONTH(DH$4, 0)) - MAX(BedPlan[[#This Row],[Beginning of Harvest]], DH$4) + 1 )</f>
        <v>0</v>
      </c>
      <c r="DI114" s="257" cm="1">
        <f t="array" ref="DI114">BedPlan[[#This Row],[Harvest Days January 2025]]/SUM(BedPlan[[#This Row],[Harvest Days January 2025]:[Harvest Days December 2026]])*BedPlan[[#This Row],[Revenue]:[Revenue]]</f>
        <v>0</v>
      </c>
      <c r="DJ114" s="257" cm="1">
        <f t="array" ref="DJ114">BedPlan[[#This Row],[Harvest Days February 2025]]/SUM(BedPlan[[#This Row],[Harvest Days January 2025]:[Harvest Days December 2026]])*BedPlan[[#This Row],[Revenue]:[Revenue]]</f>
        <v>0</v>
      </c>
      <c r="DK114" s="257" cm="1">
        <f t="array" ref="DK114">BedPlan[[#This Row],[Harvest Days March 2025]]/SUM(BedPlan[[#This Row],[Harvest Days January 2025]:[Harvest Days December 2026]])*BedPlan[[#This Row],[Revenue]:[Revenue]]</f>
        <v>0</v>
      </c>
      <c r="DL114" s="257" cm="1">
        <f t="array" ref="DL114">BedPlan[[#This Row],[Harvest Days April 2025]]/SUM(BedPlan[[#This Row],[Harvest Days January 2025]:[Harvest Days December 2026]])*BedPlan[[#This Row],[Revenue]:[Revenue]]</f>
        <v>0</v>
      </c>
      <c r="DM114" s="257" cm="1">
        <f t="array" ref="DM114">BedPlan[[#This Row],[Harvest Days May 2025]]/SUM(BedPlan[[#This Row],[Harvest Days January 2025]:[Harvest Days December 2026]])*BedPlan[[#This Row],[Revenue]:[Revenue]]</f>
        <v>0</v>
      </c>
      <c r="DN114" s="257" cm="1">
        <f t="array" ref="DN114">BedPlan[[#This Row],[Harvest Days June 2025]]/SUM(BedPlan[[#This Row],[Harvest Days January 2025]:[Harvest Days December 2026]])*BedPlan[[#This Row],[Revenue]:[Revenue]]</f>
        <v>0</v>
      </c>
      <c r="DO114" s="257" cm="1">
        <f t="array" ref="DO114">BedPlan[[#This Row],[Harvest Days July 2025]]/SUM(BedPlan[[#This Row],[Harvest Days January 2025]:[Harvest Days December 2026]])*BedPlan[[#This Row],[Revenue]:[Revenue]]</f>
        <v>0</v>
      </c>
      <c r="DP114" s="257" cm="1">
        <f t="array" ref="DP114">BedPlan[[#This Row],[Harvest Days August 2025]]/SUM(BedPlan[[#This Row],[Harvest Days January 2025]:[Harvest Days December 2026]])*BedPlan[[#This Row],[Revenue]:[Revenue]]</f>
        <v>0</v>
      </c>
      <c r="DQ114" s="257" cm="1">
        <f t="array" ref="DQ114">BedPlan[[#This Row],[Harvest Days September 2025]]/SUM(BedPlan[[#This Row],[Harvest Days January 2025]:[Harvest Days December 2026]])*BedPlan[[#This Row],[Revenue]:[Revenue]]</f>
        <v>166.66666666666669</v>
      </c>
      <c r="DR114" s="257" cm="1">
        <f t="array" ref="DR114">BedPlan[[#This Row],[Harvest Days October 2025]]/SUM(BedPlan[[#This Row],[Harvest Days January 2025]:[Harvest Days December 2026]])*BedPlan[[#This Row],[Revenue]:[Revenue]]</f>
        <v>0</v>
      </c>
      <c r="DS114" s="257" cm="1">
        <f t="array" ref="DS114">BedPlan[[#This Row],[Harvest Days November 2025]]/SUM(BedPlan[[#This Row],[Harvest Days January 2025]:[Harvest Days December 2026]])*BedPlan[[#This Row],[Revenue]:[Revenue]]</f>
        <v>0</v>
      </c>
      <c r="DT114" s="257" cm="1">
        <f t="array" ref="DT114">BedPlan[[#This Row],[Harvest Days December 2025]]/SUM(BedPlan[[#This Row],[Harvest Days January 2025]:[Harvest Days December 2026]])*BedPlan[[#This Row],[Revenue]:[Revenue]]</f>
        <v>0</v>
      </c>
      <c r="DU114" s="257" cm="1">
        <f t="array" ref="DU114">BedPlan[[#This Row],[Harvest Days January 2026]]/SUM(BedPlan[[#This Row],[Harvest Days January 2025]:[Harvest Days December 2026]])*BedPlan[[#This Row],[Revenue]:[Revenue]]</f>
        <v>0</v>
      </c>
      <c r="DV114" s="257" cm="1">
        <f t="array" ref="DV114">BedPlan[[#This Row],[Harvest Days February 2026]]/SUM(BedPlan[[#This Row],[Harvest Days January 2025]:[Harvest Days December 2026]])*BedPlan[[#This Row],[Revenue]:[Revenue]]</f>
        <v>0</v>
      </c>
      <c r="DW114" s="257" cm="1">
        <f t="array" ref="DW114">BedPlan[[#This Row],[Harvest Days March 2026]]/SUM(BedPlan[[#This Row],[Harvest Days January 2025]:[Harvest Days December 2026]])*BedPlan[[#This Row],[Revenue]:[Revenue]]</f>
        <v>0</v>
      </c>
      <c r="DX114" s="257" cm="1">
        <f t="array" ref="DX114">BedPlan[[#This Row],[Harvest Days April 2026]]/SUM(BedPlan[[#This Row],[Harvest Days January 2025]:[Harvest Days December 2026]])*BedPlan[[#This Row],[Revenue]:[Revenue]]</f>
        <v>0</v>
      </c>
      <c r="DY114" cm="1">
        <f t="array" ref="DY114">BedPlan[[#This Row],[Harvest Days May 2026]]/SUM(BedPlan[[#This Row],[Harvest Days January 2025]:[Harvest Days December 2026]])*BedPlan[[#This Row],[Revenue]:[Revenue]]</f>
        <v>0</v>
      </c>
      <c r="DZ114" cm="1">
        <f t="array" ref="DZ114">BedPlan[[#This Row],[Harvest Days June 2026]]/SUM(BedPlan[[#This Row],[Harvest Days January 2025]:[Harvest Days December 2026]])*BedPlan[[#This Row],[Revenue]:[Revenue]]</f>
        <v>0</v>
      </c>
      <c r="EA114" cm="1">
        <f t="array" ref="EA114">BedPlan[[#This Row],[Harvest Days July 2026]]/SUM(BedPlan[[#This Row],[Harvest Days January 2025]:[Harvest Days December 2026]])*BedPlan[[#This Row],[Revenue]:[Revenue]]</f>
        <v>0</v>
      </c>
      <c r="EB114" cm="1">
        <f t="array" ref="EB114">BedPlan[[#This Row],[Harvest Days August 2026]]/SUM(BedPlan[[#This Row],[Harvest Days January 2025]:[Harvest Days December 2026]])*BedPlan[[#This Row],[Revenue]:[Revenue]]</f>
        <v>0</v>
      </c>
      <c r="EC114" cm="1">
        <f t="array" ref="EC114">BedPlan[[#This Row],[Harvest Days September 2026]]/SUM(BedPlan[[#This Row],[Harvest Days January 2025]:[Harvest Days December 2026]])*BedPlan[[#This Row],[Revenue]:[Revenue]]</f>
        <v>0</v>
      </c>
      <c r="ED114" cm="1">
        <f t="array" ref="ED114">BedPlan[[#This Row],[Harvest Days October 2026]]/SUM(BedPlan[[#This Row],[Harvest Days January 2025]:[Harvest Days December 2026]])*BedPlan[[#This Row],[Revenue]:[Revenue]]</f>
        <v>0</v>
      </c>
      <c r="EE114" cm="1">
        <f t="array" ref="EE114">BedPlan[[#This Row],[Harvest Days November 2026]]/SUM(BedPlan[[#This Row],[Harvest Days January 2025]:[Harvest Days December 2026]])*BedPlan[[#This Row],[Revenue]:[Revenue]]</f>
        <v>0</v>
      </c>
      <c r="EF114" cm="1">
        <f t="array" ref="EF114">BedPlan[[#This Row],[Harvest Days December 2026]]/SUM(BedPlan[[#This Row],[Harvest Days January 2025]:[Harvest Days December 2026]])*BedPlan[[#This Row],[Revenue]:[Revenue]]</f>
        <v>0</v>
      </c>
      <c r="EG114" t="b">
        <f>SUM(BedPlan[[#This Row],[Revenue January 2025]:[Revenue December 2026]])=BedPlan[[#This Row],[Revenue]]</f>
        <v>1</v>
      </c>
      <c r="EH114" s="30" cm="1">
        <f t="array" ref="EH114">INDEX(Crops[],BedPlan[[#This Row],[Chart Index]],EH$4,1)*BedPlan[[#This Row],['# Of Beds]]</f>
        <v>66.666666666666671</v>
      </c>
      <c r="EI114" s="30" t="str" cm="1">
        <f t="array" ref="EI114">INDEX(Crops[],BedPlan[[#This Row],[Chart Index]],EI$4,1)</f>
        <v>Bunch</v>
      </c>
      <c r="EJ114" s="30" t="str" cm="1">
        <f t="array" ref="EJ114">INDEX(Crops[],BedPlan[[#This Row],[Chart Index]],EJ$4,1)</f>
        <v>Mature Stalk</v>
      </c>
      <c r="EK114" s="30" t="str">
        <f>BedPlan[[#This Row],[Name]]&amp;" "&amp;BedPlan[[#This Row],[Product]]&amp; " - " &amp;BedPlan[[#This Row],[Unit]]</f>
        <v>Scallion Mature Stalk - Bunch</v>
      </c>
      <c r="EL114" s="33" cm="1">
        <f t="array" ref="EL114">BedPlan[[#This Row],[Harvest Days January 2025]]/SUM(BedPlan[[#This Row],[Harvest Days January 2025]:[Harvest Days December 2026]])*BedPlan[[#This Row],[Yield]:[Yield]]</f>
        <v>0</v>
      </c>
      <c r="EM114" s="33" cm="1">
        <f t="array" ref="EM114">BedPlan[[#This Row],[Harvest Days February 2025]]/SUM(BedPlan[[#This Row],[Harvest Days January 2025]:[Harvest Days December 2026]])*BedPlan[[#This Row],[Yield]:[Yield]]</f>
        <v>0</v>
      </c>
      <c r="EN114" s="33" cm="1">
        <f t="array" ref="EN114">BedPlan[[#This Row],[Harvest Days March 2025]]/SUM(BedPlan[[#This Row],[Harvest Days January 2025]:[Harvest Days December 2026]])*BedPlan[[#This Row],[Yield]:[Yield]]</f>
        <v>0</v>
      </c>
      <c r="EO114" s="33" cm="1">
        <f t="array" ref="EO114">BedPlan[[#This Row],[Harvest Days April 2025]]/SUM(BedPlan[[#This Row],[Harvest Days January 2025]:[Harvest Days December 2026]])*BedPlan[[#This Row],[Yield]:[Yield]]</f>
        <v>0</v>
      </c>
      <c r="EP114" s="33" cm="1">
        <f t="array" ref="EP114">BedPlan[[#This Row],[Harvest Days May 2025]]/SUM(BedPlan[[#This Row],[Harvest Days January 2025]:[Harvest Days December 2026]])*BedPlan[[#This Row],[Yield]:[Yield]]</f>
        <v>0</v>
      </c>
      <c r="EQ114" s="33" cm="1">
        <f t="array" ref="EQ114">BedPlan[[#This Row],[Harvest Days June 2025]]/SUM(BedPlan[[#This Row],[Harvest Days January 2025]:[Harvest Days December 2026]])*BedPlan[[#This Row],[Yield]:[Yield]]</f>
        <v>0</v>
      </c>
      <c r="ER114" s="33" cm="1">
        <f t="array" ref="ER114">BedPlan[[#This Row],[Harvest Days July 2025]]/SUM(BedPlan[[#This Row],[Harvest Days January 2025]:[Harvest Days December 2026]])*BedPlan[[#This Row],[Yield]:[Yield]]</f>
        <v>0</v>
      </c>
      <c r="ES114" s="33" cm="1">
        <f t="array" ref="ES114">BedPlan[[#This Row],[Harvest Days August 2025]]/SUM(BedPlan[[#This Row],[Harvest Days January 2025]:[Harvest Days December 2026]])*BedPlan[[#This Row],[Yield]:[Yield]]</f>
        <v>0</v>
      </c>
      <c r="ET114" s="33" cm="1">
        <f t="array" ref="ET114">BedPlan[[#This Row],[Harvest Days September 2025]]/SUM(BedPlan[[#This Row],[Harvest Days January 2025]:[Harvest Days December 2026]])*BedPlan[[#This Row],[Yield]:[Yield]]</f>
        <v>66.666666666666671</v>
      </c>
      <c r="EU114" s="33" cm="1">
        <f t="array" ref="EU114">BedPlan[[#This Row],[Harvest Days October 2025]]/SUM(BedPlan[[#This Row],[Harvest Days January 2025]:[Harvest Days December 2026]])*BedPlan[[#This Row],[Yield]:[Yield]]</f>
        <v>0</v>
      </c>
      <c r="EV114" s="33" cm="1">
        <f t="array" ref="EV114">BedPlan[[#This Row],[Harvest Days November 2025]]/SUM(BedPlan[[#This Row],[Harvest Days January 2025]:[Harvest Days December 2026]])*BedPlan[[#This Row],[Yield]:[Yield]]</f>
        <v>0</v>
      </c>
      <c r="EW114" s="33" cm="1">
        <f t="array" ref="EW114">BedPlan[[#This Row],[Harvest Days December 2025]]/SUM(BedPlan[[#This Row],[Harvest Days January 2025]:[Harvest Days December 2026]])*BedPlan[[#This Row],[Yield]:[Yield]]</f>
        <v>0</v>
      </c>
    </row>
    <row r="115" spans="1:153" ht="15.75" customHeight="1">
      <c r="A115" s="185" t="s">
        <v>3258</v>
      </c>
      <c r="B115" s="240" t="s">
        <v>3269</v>
      </c>
      <c r="C115" s="226" t="s">
        <v>1442</v>
      </c>
      <c r="D115" s="226" cm="1">
        <f t="array" ref="D115">INDEX(Crops[],BedPlan[[#This Row],[Chart Index]],D$4,1)*BedPlan[[#This Row],[Full Bed Equivalent]]</f>
        <v>33.333333333333336</v>
      </c>
      <c r="E115" s="226" cm="1">
        <f t="array" ref="E115">INDEX(Crops[],BedPlan[[#This Row],[Chart Index]],E$4,1)*BedPlan[[#This Row],[Full Bed Equivalent]]</f>
        <v>66.666666666666671</v>
      </c>
      <c r="F115" s="34" t="str">
        <f>UPPER(LEFT(BedPlan[[#This Row],[Crop]],3))</f>
        <v>SCA</v>
      </c>
      <c r="G115" s="227"/>
      <c r="H115" s="143" t="str" cm="1">
        <f t="array" ref="H115">INDEX(Crops[],BedPlan[[#This Row],[Chart Index]],H$4,1)</f>
        <v>Scallion</v>
      </c>
      <c r="I115" s="227"/>
      <c r="J115" s="227"/>
      <c r="K115" s="227"/>
      <c r="L115" s="229" cm="1">
        <f t="array" ref="L115">INDEX(Crops[],BedPlan[[#This Row],[Chart Index]],L$4,1)*BedPlan[[#This Row],[Full Bed Equivalent]]</f>
        <v>1320</v>
      </c>
      <c r="N115" s="227">
        <v>0.5</v>
      </c>
      <c r="O115" s="227">
        <f>MAX(BedPlan[[#This Row],['# Of Beds]],0.5)</f>
        <v>0.5</v>
      </c>
      <c r="P115" s="230">
        <f>IF(ISNUMBER(BedPlan[[#This Row],[Planned Greenhouse Start Date]]),BedPlan[[#This Row],[Planned Greenhouse Start Date]],BedPlan[[#This Row],[Planned TP or DS Date]])</f>
        <v>45884</v>
      </c>
      <c r="Q115" s="261" t="str">
        <f>IF(BedPlan[[#This Row],[Days in Cells]]=0,"",IFERROR(_xlfn.XLOOKUP(BedPlan[[#This Row],[Follows Crop]],BedPlan[Identifier],BedPlan[Expected End of Harvest]) + 1+BedPlan[[#This Row],[Follow Offset]],BedPlan[[#This Row],[Fixed Field Start Date]])-BedPlan[[#This Row],[Days in Cells]])</f>
        <v/>
      </c>
      <c r="R115" s="261"/>
      <c r="S115" s="261" t="str">
        <f>IF(ISNUMBER(BedPlan[[#This Row],[Actual Greenhouse Date]]),BedPlan[[#This Row],[Actual Greenhouse Date]],BedPlan[[#This Row],[Planned Greenhouse Start Date]])</f>
        <v/>
      </c>
      <c r="T115" s="262">
        <v>45884</v>
      </c>
      <c r="U115" s="263"/>
      <c r="V115" s="263"/>
      <c r="W115"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15" s="265"/>
      <c r="Y115" s="274">
        <f>BedPlan[[#This Row],[Actual TP or DS Date]]-BedPlan[[#This Row],[Planned TP or DS Date]]</f>
        <v>-45884</v>
      </c>
      <c r="Z115" s="261">
        <f>IF(ISNUMBER(BedPlan[[#This Row],[Actual TP or DS Date]]),BedPlan[[#This Row],[Actual TP or DS Date]],BedPlan[[#This Row],[Planned TP or DS Date]])</f>
        <v>45884</v>
      </c>
      <c r="AA115" s="265"/>
      <c r="AB115" s="261">
        <f>IF(ISNUMBER(BedPlan[[#This Row],[Greenhouse Start Date]]),BedPlan[[#This Row],[Greenhouse Start Date]]+BedPlan[[#This Row],[DTM]],BedPlan[[#This Row],[TP or DS Date]]+BedPlan[[#This Row],[DTM]])</f>
        <v>45961</v>
      </c>
      <c r="AC115" s="265"/>
      <c r="AD115" s="261">
        <f>IF(ISNUMBER(BedPlan[[#This Row],[Actual Beginning of Harvest]]),BedPlan[[#This Row],[Actual Beginning of Harvest]],BedPlan[[#This Row],[Expected Beginning of Harvest]])</f>
        <v>45961</v>
      </c>
      <c r="AE115" s="261">
        <f>BedPlan[[#This Row],[Expected Beginning of Harvest]]+BedPlan[[#This Row],[Harvest Window]]+BedPlan[[#This Row],[Additional Days of Harvest]]</f>
        <v>45975</v>
      </c>
      <c r="AF115" s="265"/>
      <c r="AG115" s="261"/>
      <c r="AH115" s="34" t="b">
        <f>IF(AND( BedPlan[[#This Row],[Expected End of Harvest]] &gt;= DATE(2025, 8, 1), BedPlan[[#This Row],[Beginning of Harvest]] &lt;= DATE(2025, 8, 31) ), TRUE, FALSE)</f>
        <v>0</v>
      </c>
      <c r="AI115" s="230"/>
      <c r="AJ115" s="31">
        <f>IF(ISNUMBER(BedPlan[[#This Row],[Actual End of Harvest]]),BedPlan[[#This Row],[Actual End of Harvest]],BedPlan[[#This Row],[Expected End of Harvest]])</f>
        <v>45975</v>
      </c>
      <c r="AK115" s="34" t="b">
        <f>OR(ISNUMBER(BedPlan[[#This Row],[Actual Greenhouse Date]]),ISNUMBER(BedPlan[[#This Row],[Actual TP or DS Date]]))</f>
        <v>0</v>
      </c>
      <c r="AL115" s="34" t="str">
        <f>IF(ISNUMBER(BedPlan[[#This Row],[Planned Greenhouse Start Date]]),OR(ISNUMBER(BedPlan[[#This Row],[Actual TP or DS Date]]),BedPlan[[#This Row],[Failed]]),"-")</f>
        <v>-</v>
      </c>
      <c r="AM115" s="34" t="b">
        <f>OR(ISNUMBER(BedPlan[[#This Row],[Actual End of Harvest]]),BedPlan[[#This Row],[Failed]])</f>
        <v>0</v>
      </c>
      <c r="AN115" s="34" t="b">
        <f>OR(BedPlan[[#This Row],[Harvest Done]],BedPlan[[#This Row],[Failed]],BedPlan[[#This Row],[Name]]="Tarp")</f>
        <v>0</v>
      </c>
      <c r="AO115" s="34"/>
      <c r="AP115" s="34"/>
      <c r="AQ115" s="34"/>
      <c r="AR115" s="34"/>
      <c r="AS115" s="256" t="str">
        <f>IF(BedPlan[[#This Row],[Broadfork]],BedPlan[[#This Row],[Actual TP or DS Date]],"")</f>
        <v/>
      </c>
      <c r="AT115" s="256" t="str">
        <f>IF(BedPlan[[#This Row],[Tilther]],BedPlan[[#This Row],[Actual TP or DS Date]],"")</f>
        <v/>
      </c>
      <c r="AU115" s="256" t="str">
        <f>IF(NOT(ISBLANK(BedPlan[[#This Row],[Amend]])),BedPlan[[#This Row],[Actual TP or DS Date]],"")</f>
        <v/>
      </c>
      <c r="AV115" s="256" t="str">
        <f>IF(BedPlan[[#This Row],[Row Cover]],BedPlan[[#This Row],[Actual TP or DS Date]],"")</f>
        <v/>
      </c>
      <c r="AW115" s="34"/>
      <c r="AX115" s="256"/>
      <c r="AY115" s="34"/>
      <c r="AZ115" s="256"/>
      <c r="BA115" s="34"/>
      <c r="BB115" s="256"/>
      <c r="BC115" s="231" cm="1">
        <f t="array" ref="BC115">INDEX(Crops[],BedPlan[[#This Row],[Chart Index]],BC$4,1)*BedPlan[[#This Row],[Full Bed Equivalent]]</f>
        <v>166.66666666666669</v>
      </c>
      <c r="BD115" s="231" cm="1">
        <f t="array" ref="BD115">INDEX(Crops[],BedPlan[[#This Row],[Chart Index]],BD$4,1)*BedPlan[[#This Row],[Full Bed Equivalent]]</f>
        <v>1.8315018315018317</v>
      </c>
      <c r="BE115" cm="1">
        <f t="array" ref="BE115">INDEX(Crops[],BedPlan[[#This Row],[Chart Index]],BE$4,1)+BedPlan[[#This Row],[Additional Days in Cells]]+BedPlan[[#This Row],[Additional Days In Field]]</f>
        <v>77</v>
      </c>
      <c r="BG115" cm="1">
        <f t="array" ref="BG115">INDEX(Crops[],BedPlan[[#This Row],[Chart Index]],BG$4,1)</f>
        <v>14</v>
      </c>
      <c r="BH115" t="str">
        <f>IF(ISNUMBER(BedPlan[[#This Row],[Planned Greenhouse Start Date]]),"TP","DS")</f>
        <v>DS</v>
      </c>
      <c r="BI115">
        <f>BedPlan[[#This Row],['# Of Beds]]</f>
        <v>0.5</v>
      </c>
      <c r="BJ115" cm="1">
        <f t="array" ref="BJ115">INDEX(Crops[],BedPlan[[#This Row],[Chart Index]],BJ$4,1)</f>
        <v>0</v>
      </c>
      <c r="BK115" cm="1">
        <f t="array" ref="BK115">INDEX(Crops[],BedPlan[[#This Row],[Chart Index]],BK$4,1)</f>
        <v>4</v>
      </c>
      <c r="BL115" cm="1">
        <f t="array" ref="BL115">INDEX(Crops[],BedPlan[[#This Row],[Chart Index]],BL$4,1)</f>
        <v>6</v>
      </c>
      <c r="BM115" cm="1">
        <f t="array" ref="BM115">INDEX(Crops[],BedPlan[[#This Row],[Chart Index]],BM$4,1)</f>
        <v>6</v>
      </c>
      <c r="BN115" s="32" cm="1">
        <f t="array" ref="BN115">INDEX(Crops[],BedPlan[[#This Row],[Chart Index]],BN$4,1)*BedPlan[[#This Row],[Full Bed Equivalent]]</f>
        <v>200</v>
      </c>
      <c r="BO115" t="str" cm="1">
        <f t="array" ref="BO115">IF(INDEX(Crops[],BedPlan[[#This Row],[Chart Index]],BO$4,1)=0,"",INDEX(Crops[],BedPlan[[#This Row],[Chart Index]],BO$4,1))</f>
        <v/>
      </c>
      <c r="BP115">
        <f>MATCH(BedPlan[[#This Row],[Crop]],Crops[Identifier],FALSE)</f>
        <v>277</v>
      </c>
      <c r="BQ115" t="str" cm="1">
        <f t="array" ref="BQ115">INDEX(Crops[],BedPlan[[#This Row],[Chart Index]],BQ$4,1)</f>
        <v>General</v>
      </c>
      <c r="BR115" t="str" cm="1">
        <f t="array" ref="BR115">INDEX(Crops[],BedPlan[[#This Row],[Chart Index]],BR$4,1)</f>
        <v>Fa</v>
      </c>
      <c r="BS115" s="32">
        <f>BedPlan[[#This Row],[Expected Beginning of Harvest]]-DATE(2023,1,1)</f>
        <v>1034</v>
      </c>
      <c r="BT115">
        <f>BedPlan[[#This Row],[Expected End of Harvest]]-BedPlan[[#This Row],[Expected Beginning of Harvest]]</f>
        <v>14</v>
      </c>
      <c r="BU115" t="str" cm="1">
        <f t="array" ref="BU115">INDEX(Crops[],BedPlan[[#This Row],[Chart Index]],BU$4,1)</f>
        <v>Onion</v>
      </c>
      <c r="BV115" cm="1">
        <f t="array" ref="BV115">INDEX(Crops[],BedPlan[[#This Row],[Chart Index]],BV$4,1)</f>
        <v>1.5</v>
      </c>
      <c r="BW115" t="str" cm="1">
        <f t="array" ref="BW115">INDEX(Crops[],BedPlan[[#This Row],[Chart Index]],BW$4,1)</f>
        <v>None</v>
      </c>
      <c r="BX115" cm="1">
        <f t="array" ref="BX115">INDEX(Crops[],BedPlan[[#This Row],[Chart Index]],BX$4,1)</f>
        <v>0</v>
      </c>
      <c r="BY115" cm="1">
        <f t="array" ref="BY115">INDEX(Crops[],BedPlan[[#This Row],[Chart Index]],BY$4,1)</f>
        <v>0</v>
      </c>
      <c r="BZ115" s="49" t="str" cm="1">
        <f t="array" ref="BZ115">IFERROR(INDEX(Crops[],BedPlan[[#This Row],[Chart Index]],BZ$4,1)*BedPlan[[#This Row],[Full Bed Equivalent]],"")</f>
        <v/>
      </c>
      <c r="CA115" cm="1">
        <f t="array" ref="CA115">INDEX(Crops[],BedPlan[[#This Row],[Chart Index]],CA$4,1)</f>
        <v>0</v>
      </c>
      <c r="CB115" cm="1">
        <f t="array" ref="CB115">INDEX(Crops[],BedPlan[[#This Row],[Chart Index]],CB$4,1)</f>
        <v>0</v>
      </c>
      <c r="CC115" s="49" t="str" cm="1">
        <f t="array" ref="CC115">IFERROR(INDEX(Crops[],BedPlan[[#This Row],[Chart Index]],CC$4,1)*BedPlan[[#This Row],[Full Bed Equivalent]],"")</f>
        <v/>
      </c>
      <c r="CD115" cm="1">
        <f t="array" ref="CD115">INDEX(Crops[],BedPlan[[#This Row],[Chart Index]],CD$4,1)</f>
        <v>0</v>
      </c>
      <c r="CE115" cm="1">
        <f t="array" ref="CE115">IF(INDEX(Crops[],BedPlan[[#This Row],[Chart Index]],CE$4,1)="",0,INDEX(Crops[],BedPlan[[#This Row],[Chart Index]],CE$4,1))</f>
        <v>0</v>
      </c>
      <c r="CF115" s="49" t="str" cm="1">
        <f t="array" ref="CF115">IFERROR(INDEX(Crops[],BedPlan[[#This Row],[Chart Index]],CF$4,1)*BedPlan[[#This Row],[Full Bed Equivalent]],"")</f>
        <v/>
      </c>
      <c r="CG115" cm="1">
        <f t="array" ref="CG115">IF(INDEX(Crops[],BedPlan[[#This Row],[Chart Index]],CG$4,1)="",0,INDEX(Crops[],BedPlan[[#This Row],[Chart Index]],CG$4,1))</f>
        <v>1.1000000000000001</v>
      </c>
      <c r="CH115" cm="1">
        <f t="array" ref="CH115">IF(INDEX(Crops[],BedPlan[[#This Row],[Chart Index]],CH$4,1)="",0,INDEX(Crops[],BedPlan[[#This Row],[Chart Index]],CH$4,1))</f>
        <v>17</v>
      </c>
      <c r="CI115" t="str" cm="1">
        <f t="array" ref="CI115">INDEX(Crops[],BedPlan[[#This Row],[Chart Index]],CI$4,1)</f>
        <v>Field</v>
      </c>
      <c r="CJ115" s="30" t="str">
        <f>_xlfn.TEXTJOIN(CHAR(10),FALSE,BedPlan[[#This Row],[Name]],BedPlan[[#This Row],[Variety]],BedPlan[[#This Row],[Company]])</f>
        <v xml:space="preserve">Scallion
</v>
      </c>
      <c r="CK115" s="32">
        <f>MAX( 0, MIN(BedPlan[[#This Row],[Expected End of Harvest]], EOMONTH(CK$4, 0)) - MAX(BedPlan[[#This Row],[Beginning of Harvest]], CK$4) + 1 )</f>
        <v>0</v>
      </c>
      <c r="CL115">
        <f>MAX( 0, MIN(BedPlan[[#This Row],[Expected End of Harvest]], EOMONTH(CL$4, 0)) - MAX(BedPlan[[#This Row],[Beginning of Harvest]], CL$4) + 1 )</f>
        <v>0</v>
      </c>
      <c r="CM115">
        <f>MAX( 0, MIN(BedPlan[[#This Row],[Expected End of Harvest]], EOMONTH(CM$4, 0)) - MAX(BedPlan[[#This Row],[Beginning of Harvest]], CM$4) + 1 )</f>
        <v>0</v>
      </c>
      <c r="CN115">
        <f>MAX( 0, MIN(BedPlan[[#This Row],[Expected End of Harvest]], EOMONTH(CN$4, 0)) - MAX(BedPlan[[#This Row],[Beginning of Harvest]], CN$4) + 1 )</f>
        <v>0</v>
      </c>
      <c r="CO115">
        <f>MAX( 0, MIN(BedPlan[[#This Row],[Expected End of Harvest]], EOMONTH(CO$4, 0)) - MAX(BedPlan[[#This Row],[Beginning of Harvest]], CO$4) + 1 )</f>
        <v>0</v>
      </c>
      <c r="CP115">
        <f>MAX( 0, MIN(BedPlan[[#This Row],[Expected End of Harvest]], EOMONTH(CP$4, 0)) - MAX(BedPlan[[#This Row],[Beginning of Harvest]], CP$4) + 1 )</f>
        <v>0</v>
      </c>
      <c r="CQ115">
        <f>MAX( 0, MIN(BedPlan[[#This Row],[Expected End of Harvest]], EOMONTH(CQ$4, 0)) - MAX(BedPlan[[#This Row],[Beginning of Harvest]], CQ$4) + 1 )</f>
        <v>0</v>
      </c>
      <c r="CR115">
        <f>MAX( 0, MIN(BedPlan[[#This Row],[Expected End of Harvest]], EOMONTH(CR$4, 0)) - MAX(BedPlan[[#This Row],[Beginning of Harvest]], CR$4) + 1 )</f>
        <v>0</v>
      </c>
      <c r="CS115">
        <f>MAX( 0, MIN(BedPlan[[#This Row],[Expected End of Harvest]], EOMONTH(CS$4, 0)) - MAX(BedPlan[[#This Row],[Beginning of Harvest]], CS$4) + 1 )</f>
        <v>0</v>
      </c>
      <c r="CT115">
        <f>MAX( 0, MIN(BedPlan[[#This Row],[Expected End of Harvest]], EOMONTH(CT$4, 0)) - MAX(BedPlan[[#This Row],[Beginning of Harvest]], CT$4) + 1 )</f>
        <v>1</v>
      </c>
      <c r="CU115">
        <f>MAX( 0, MIN(BedPlan[[#This Row],[Expected End of Harvest]], EOMONTH(CU$4, 0)) - MAX(BedPlan[[#This Row],[Beginning of Harvest]], CU$4) + 1 )</f>
        <v>14</v>
      </c>
      <c r="CV115">
        <f>MAX( 0, MIN(BedPlan[[#This Row],[Expected End of Harvest]], EOMONTH(CV$4, 0)) - MAX(BedPlan[[#This Row],[Beginning of Harvest]], CV$4) + 1 )</f>
        <v>0</v>
      </c>
      <c r="CW115">
        <f>MAX( 0, MIN(BedPlan[[#This Row],[Expected End of Harvest]], EOMONTH(CW$4, 0)) - MAX(BedPlan[[#This Row],[Beginning of Harvest]], CW$4) + 1 )</f>
        <v>0</v>
      </c>
      <c r="CX115">
        <f>MAX( 0, MIN(BedPlan[[#This Row],[Expected End of Harvest]], EOMONTH(CX$4, 0)) - MAX(BedPlan[[#This Row],[Beginning of Harvest]], CX$4) + 1 )</f>
        <v>0</v>
      </c>
      <c r="CY115">
        <f>MAX( 0, MIN(BedPlan[[#This Row],[Expected End of Harvest]], EOMONTH(CY$4, 0)) - MAX(BedPlan[[#This Row],[Beginning of Harvest]], CY$4) + 1 )</f>
        <v>0</v>
      </c>
      <c r="CZ115">
        <f>MAX( 0, MIN(BedPlan[[#This Row],[Expected End of Harvest]], EOMONTH(CZ$4, 0)) - MAX(BedPlan[[#This Row],[Beginning of Harvest]], CZ$4) + 1 )</f>
        <v>0</v>
      </c>
      <c r="DA115">
        <f>MAX( 0, MIN(BedPlan[[#This Row],[Expected End of Harvest]], EOMONTH(DA$4, 0)) - MAX(BedPlan[[#This Row],[Beginning of Harvest]], DA$4) + 1 )</f>
        <v>0</v>
      </c>
      <c r="DB115">
        <f>MAX( 0, MIN(BedPlan[[#This Row],[Expected End of Harvest]], EOMONTH(DB$4, 0)) - MAX(BedPlan[[#This Row],[Beginning of Harvest]], DB$4) + 1 )</f>
        <v>0</v>
      </c>
      <c r="DC115">
        <f>MAX( 0, MIN(BedPlan[[#This Row],[Expected End of Harvest]], EOMONTH(DC$4, 0)) - MAX(BedPlan[[#This Row],[Beginning of Harvest]], DC$4) + 1 )</f>
        <v>0</v>
      </c>
      <c r="DD115">
        <f>MAX( 0, MIN(BedPlan[[#This Row],[Expected End of Harvest]], EOMONTH(DD$4, 0)) - MAX(BedPlan[[#This Row],[Beginning of Harvest]], DD$4) + 1 )</f>
        <v>0</v>
      </c>
      <c r="DE115">
        <f>MAX( 0, MIN(BedPlan[[#This Row],[Expected End of Harvest]], EOMONTH(DE$4, 0)) - MAX(BedPlan[[#This Row],[Beginning of Harvest]], DE$4) + 1 )</f>
        <v>0</v>
      </c>
      <c r="DF115">
        <f>MAX( 0, MIN(BedPlan[[#This Row],[Expected End of Harvest]], EOMONTH(DF$4, 0)) - MAX(BedPlan[[#This Row],[Beginning of Harvest]], DF$4) + 1 )</f>
        <v>0</v>
      </c>
      <c r="DG115">
        <f>MAX( 0, MIN(BedPlan[[#This Row],[Expected End of Harvest]], EOMONTH(DG$4, 0)) - MAX(BedPlan[[#This Row],[Beginning of Harvest]], DG$4) + 1 )</f>
        <v>0</v>
      </c>
      <c r="DH115">
        <f>MAX( 0, MIN(BedPlan[[#This Row],[Expected End of Harvest]], EOMONTH(DH$4, 0)) - MAX(BedPlan[[#This Row],[Beginning of Harvest]], DH$4) + 1 )</f>
        <v>0</v>
      </c>
      <c r="DI115" s="257" cm="1">
        <f t="array" ref="DI115">BedPlan[[#This Row],[Harvest Days January 2025]]/SUM(BedPlan[[#This Row],[Harvest Days January 2025]:[Harvest Days December 2026]])*BedPlan[[#This Row],[Revenue]:[Revenue]]</f>
        <v>0</v>
      </c>
      <c r="DJ115" s="257" cm="1">
        <f t="array" ref="DJ115">BedPlan[[#This Row],[Harvest Days February 2025]]/SUM(BedPlan[[#This Row],[Harvest Days January 2025]:[Harvest Days December 2026]])*BedPlan[[#This Row],[Revenue]:[Revenue]]</f>
        <v>0</v>
      </c>
      <c r="DK115" s="257" cm="1">
        <f t="array" ref="DK115">BedPlan[[#This Row],[Harvest Days March 2025]]/SUM(BedPlan[[#This Row],[Harvest Days January 2025]:[Harvest Days December 2026]])*BedPlan[[#This Row],[Revenue]:[Revenue]]</f>
        <v>0</v>
      </c>
      <c r="DL115" s="257" cm="1">
        <f t="array" ref="DL115">BedPlan[[#This Row],[Harvest Days April 2025]]/SUM(BedPlan[[#This Row],[Harvest Days January 2025]:[Harvest Days December 2026]])*BedPlan[[#This Row],[Revenue]:[Revenue]]</f>
        <v>0</v>
      </c>
      <c r="DM115" s="257" cm="1">
        <f t="array" ref="DM115">BedPlan[[#This Row],[Harvest Days May 2025]]/SUM(BedPlan[[#This Row],[Harvest Days January 2025]:[Harvest Days December 2026]])*BedPlan[[#This Row],[Revenue]:[Revenue]]</f>
        <v>0</v>
      </c>
      <c r="DN115" s="257" cm="1">
        <f t="array" ref="DN115">BedPlan[[#This Row],[Harvest Days June 2025]]/SUM(BedPlan[[#This Row],[Harvest Days January 2025]:[Harvest Days December 2026]])*BedPlan[[#This Row],[Revenue]:[Revenue]]</f>
        <v>0</v>
      </c>
      <c r="DO115" s="257" cm="1">
        <f t="array" ref="DO115">BedPlan[[#This Row],[Harvest Days July 2025]]/SUM(BedPlan[[#This Row],[Harvest Days January 2025]:[Harvest Days December 2026]])*BedPlan[[#This Row],[Revenue]:[Revenue]]</f>
        <v>0</v>
      </c>
      <c r="DP115" s="257" cm="1">
        <f t="array" ref="DP115">BedPlan[[#This Row],[Harvest Days August 2025]]/SUM(BedPlan[[#This Row],[Harvest Days January 2025]:[Harvest Days December 2026]])*BedPlan[[#This Row],[Revenue]:[Revenue]]</f>
        <v>0</v>
      </c>
      <c r="DQ115" s="257" cm="1">
        <f t="array" ref="DQ115">BedPlan[[#This Row],[Harvest Days September 2025]]/SUM(BedPlan[[#This Row],[Harvest Days January 2025]:[Harvest Days December 2026]])*BedPlan[[#This Row],[Revenue]:[Revenue]]</f>
        <v>0</v>
      </c>
      <c r="DR115" s="257" cm="1">
        <f t="array" ref="DR115">BedPlan[[#This Row],[Harvest Days October 2025]]/SUM(BedPlan[[#This Row],[Harvest Days January 2025]:[Harvest Days December 2026]])*BedPlan[[#This Row],[Revenue]:[Revenue]]</f>
        <v>11.111111111111112</v>
      </c>
      <c r="DS115" s="257" cm="1">
        <f t="array" ref="DS115">BedPlan[[#This Row],[Harvest Days November 2025]]/SUM(BedPlan[[#This Row],[Harvest Days January 2025]:[Harvest Days December 2026]])*BedPlan[[#This Row],[Revenue]:[Revenue]]</f>
        <v>155.55555555555557</v>
      </c>
      <c r="DT115" s="257" cm="1">
        <f t="array" ref="DT115">BedPlan[[#This Row],[Harvest Days December 2025]]/SUM(BedPlan[[#This Row],[Harvest Days January 2025]:[Harvest Days December 2026]])*BedPlan[[#This Row],[Revenue]:[Revenue]]</f>
        <v>0</v>
      </c>
      <c r="DU115" s="257" cm="1">
        <f t="array" ref="DU115">BedPlan[[#This Row],[Harvest Days January 2026]]/SUM(BedPlan[[#This Row],[Harvest Days January 2025]:[Harvest Days December 2026]])*BedPlan[[#This Row],[Revenue]:[Revenue]]</f>
        <v>0</v>
      </c>
      <c r="DV115" s="257" cm="1">
        <f t="array" ref="DV115">BedPlan[[#This Row],[Harvest Days February 2026]]/SUM(BedPlan[[#This Row],[Harvest Days January 2025]:[Harvest Days December 2026]])*BedPlan[[#This Row],[Revenue]:[Revenue]]</f>
        <v>0</v>
      </c>
      <c r="DW115" s="257" cm="1">
        <f t="array" ref="DW115">BedPlan[[#This Row],[Harvest Days March 2026]]/SUM(BedPlan[[#This Row],[Harvest Days January 2025]:[Harvest Days December 2026]])*BedPlan[[#This Row],[Revenue]:[Revenue]]</f>
        <v>0</v>
      </c>
      <c r="DX115" s="257" cm="1">
        <f t="array" ref="DX115">BedPlan[[#This Row],[Harvest Days April 2026]]/SUM(BedPlan[[#This Row],[Harvest Days January 2025]:[Harvest Days December 2026]])*BedPlan[[#This Row],[Revenue]:[Revenue]]</f>
        <v>0</v>
      </c>
      <c r="DY115" cm="1">
        <f t="array" ref="DY115">BedPlan[[#This Row],[Harvest Days May 2026]]/SUM(BedPlan[[#This Row],[Harvest Days January 2025]:[Harvest Days December 2026]])*BedPlan[[#This Row],[Revenue]:[Revenue]]</f>
        <v>0</v>
      </c>
      <c r="DZ115" cm="1">
        <f t="array" ref="DZ115">BedPlan[[#This Row],[Harvest Days June 2026]]/SUM(BedPlan[[#This Row],[Harvest Days January 2025]:[Harvest Days December 2026]])*BedPlan[[#This Row],[Revenue]:[Revenue]]</f>
        <v>0</v>
      </c>
      <c r="EA115" cm="1">
        <f t="array" ref="EA115">BedPlan[[#This Row],[Harvest Days July 2026]]/SUM(BedPlan[[#This Row],[Harvest Days January 2025]:[Harvest Days December 2026]])*BedPlan[[#This Row],[Revenue]:[Revenue]]</f>
        <v>0</v>
      </c>
      <c r="EB115" cm="1">
        <f t="array" ref="EB115">BedPlan[[#This Row],[Harvest Days August 2026]]/SUM(BedPlan[[#This Row],[Harvest Days January 2025]:[Harvest Days December 2026]])*BedPlan[[#This Row],[Revenue]:[Revenue]]</f>
        <v>0</v>
      </c>
      <c r="EC115" cm="1">
        <f t="array" ref="EC115">BedPlan[[#This Row],[Harvest Days September 2026]]/SUM(BedPlan[[#This Row],[Harvest Days January 2025]:[Harvest Days December 2026]])*BedPlan[[#This Row],[Revenue]:[Revenue]]</f>
        <v>0</v>
      </c>
      <c r="ED115" cm="1">
        <f t="array" ref="ED115">BedPlan[[#This Row],[Harvest Days October 2026]]/SUM(BedPlan[[#This Row],[Harvest Days January 2025]:[Harvest Days December 2026]])*BedPlan[[#This Row],[Revenue]:[Revenue]]</f>
        <v>0</v>
      </c>
      <c r="EE115" cm="1">
        <f t="array" ref="EE115">BedPlan[[#This Row],[Harvest Days November 2026]]/SUM(BedPlan[[#This Row],[Harvest Days January 2025]:[Harvest Days December 2026]])*BedPlan[[#This Row],[Revenue]:[Revenue]]</f>
        <v>0</v>
      </c>
      <c r="EF115" cm="1">
        <f t="array" ref="EF115">BedPlan[[#This Row],[Harvest Days December 2026]]/SUM(BedPlan[[#This Row],[Harvest Days January 2025]:[Harvest Days December 2026]])*BedPlan[[#This Row],[Revenue]:[Revenue]]</f>
        <v>0</v>
      </c>
      <c r="EG115" t="b">
        <f>SUM(BedPlan[[#This Row],[Revenue January 2025]:[Revenue December 2026]])=BedPlan[[#This Row],[Revenue]]</f>
        <v>1</v>
      </c>
      <c r="EH115" s="30" cm="1">
        <f t="array" ref="EH115">INDEX(Crops[],BedPlan[[#This Row],[Chart Index]],EH$4,1)*BedPlan[[#This Row],['# Of Beds]]</f>
        <v>66.666666666666671</v>
      </c>
      <c r="EI115" s="30" t="str" cm="1">
        <f t="array" ref="EI115">INDEX(Crops[],BedPlan[[#This Row],[Chart Index]],EI$4,1)</f>
        <v>Bunch</v>
      </c>
      <c r="EJ115" s="30" t="str" cm="1">
        <f t="array" ref="EJ115">INDEX(Crops[],BedPlan[[#This Row],[Chart Index]],EJ$4,1)</f>
        <v>Mature Stalk</v>
      </c>
      <c r="EK115" s="30" t="str">
        <f>BedPlan[[#This Row],[Name]]&amp;" "&amp;BedPlan[[#This Row],[Product]]&amp; " - " &amp;BedPlan[[#This Row],[Unit]]</f>
        <v>Scallion Mature Stalk - Bunch</v>
      </c>
      <c r="EL115" s="33" cm="1">
        <f t="array" ref="EL115">BedPlan[[#This Row],[Harvest Days January 2025]]/SUM(BedPlan[[#This Row],[Harvest Days January 2025]:[Harvest Days December 2026]])*BedPlan[[#This Row],[Yield]:[Yield]]</f>
        <v>0</v>
      </c>
      <c r="EM115" s="33" cm="1">
        <f t="array" ref="EM115">BedPlan[[#This Row],[Harvest Days February 2025]]/SUM(BedPlan[[#This Row],[Harvest Days January 2025]:[Harvest Days December 2026]])*BedPlan[[#This Row],[Yield]:[Yield]]</f>
        <v>0</v>
      </c>
      <c r="EN115" s="33" cm="1">
        <f t="array" ref="EN115">BedPlan[[#This Row],[Harvest Days March 2025]]/SUM(BedPlan[[#This Row],[Harvest Days January 2025]:[Harvest Days December 2026]])*BedPlan[[#This Row],[Yield]:[Yield]]</f>
        <v>0</v>
      </c>
      <c r="EO115" s="33" cm="1">
        <f t="array" ref="EO115">BedPlan[[#This Row],[Harvest Days April 2025]]/SUM(BedPlan[[#This Row],[Harvest Days January 2025]:[Harvest Days December 2026]])*BedPlan[[#This Row],[Yield]:[Yield]]</f>
        <v>0</v>
      </c>
      <c r="EP115" s="33" cm="1">
        <f t="array" ref="EP115">BedPlan[[#This Row],[Harvest Days May 2025]]/SUM(BedPlan[[#This Row],[Harvest Days January 2025]:[Harvest Days December 2026]])*BedPlan[[#This Row],[Yield]:[Yield]]</f>
        <v>0</v>
      </c>
      <c r="EQ115" s="33" cm="1">
        <f t="array" ref="EQ115">BedPlan[[#This Row],[Harvest Days June 2025]]/SUM(BedPlan[[#This Row],[Harvest Days January 2025]:[Harvest Days December 2026]])*BedPlan[[#This Row],[Yield]:[Yield]]</f>
        <v>0</v>
      </c>
      <c r="ER115" s="33" cm="1">
        <f t="array" ref="ER115">BedPlan[[#This Row],[Harvest Days July 2025]]/SUM(BedPlan[[#This Row],[Harvest Days January 2025]:[Harvest Days December 2026]])*BedPlan[[#This Row],[Yield]:[Yield]]</f>
        <v>0</v>
      </c>
      <c r="ES115" s="33" cm="1">
        <f t="array" ref="ES115">BedPlan[[#This Row],[Harvest Days August 2025]]/SUM(BedPlan[[#This Row],[Harvest Days January 2025]:[Harvest Days December 2026]])*BedPlan[[#This Row],[Yield]:[Yield]]</f>
        <v>0</v>
      </c>
      <c r="ET115" s="33" cm="1">
        <f t="array" ref="ET115">BedPlan[[#This Row],[Harvest Days September 2025]]/SUM(BedPlan[[#This Row],[Harvest Days January 2025]:[Harvest Days December 2026]])*BedPlan[[#This Row],[Yield]:[Yield]]</f>
        <v>0</v>
      </c>
      <c r="EU115" s="33" cm="1">
        <f t="array" ref="EU115">BedPlan[[#This Row],[Harvest Days October 2025]]/SUM(BedPlan[[#This Row],[Harvest Days January 2025]:[Harvest Days December 2026]])*BedPlan[[#This Row],[Yield]:[Yield]]</f>
        <v>4.4444444444444446</v>
      </c>
      <c r="EV115" s="33" cm="1">
        <f t="array" ref="EV115">BedPlan[[#This Row],[Harvest Days November 2025]]/SUM(BedPlan[[#This Row],[Harvest Days January 2025]:[Harvest Days December 2026]])*BedPlan[[#This Row],[Yield]:[Yield]]</f>
        <v>62.222222222222229</v>
      </c>
      <c r="EW115" s="33" cm="1">
        <f t="array" ref="EW115">BedPlan[[#This Row],[Harvest Days December 2025]]/SUM(BedPlan[[#This Row],[Harvest Days January 2025]:[Harvest Days December 2026]])*BedPlan[[#This Row],[Yield]:[Yield]]</f>
        <v>0</v>
      </c>
    </row>
    <row r="116" spans="1:153" ht="15.75" customHeight="1">
      <c r="A116" s="185" t="s">
        <v>3189</v>
      </c>
      <c r="B116" s="240" t="s">
        <v>2717</v>
      </c>
      <c r="C116" s="226" t="s">
        <v>1427</v>
      </c>
      <c r="D116" s="226" cm="1">
        <f t="array" ref="D116">INDEX(Crops[],BedPlan[[#This Row],[Chart Index]],D$4,1)*BedPlan[[#This Row],[Full Bed Equivalent]]</f>
        <v>25</v>
      </c>
      <c r="E116" s="226" cm="1">
        <f t="array" ref="E116">INDEX(Crops[],BedPlan[[#This Row],[Chart Index]],E$4,1)*BedPlan[[#This Row],[Full Bed Equivalent]]</f>
        <v>50</v>
      </c>
      <c r="F116" s="34" t="str">
        <f>UPPER(LEFT(BedPlan[[#This Row],[Crop]],3))</f>
        <v>SCA</v>
      </c>
      <c r="G116" s="227"/>
      <c r="H116" s="143" t="str" cm="1">
        <f t="array" ref="H116">INDEX(Crops[],BedPlan[[#This Row],[Chart Index]],H$4,1)</f>
        <v>Scallion</v>
      </c>
      <c r="I116" s="227" t="s">
        <v>1851</v>
      </c>
      <c r="J116" s="227"/>
      <c r="K116" s="34" t="str" cm="1">
        <f t="array" ref="K116">IF(ISNUMBER(MATCH(BedPlan[[#This Row],[Variety]],SeedMixes[Name],)),_xlfn.TEXTJOIN(", ",TRUE,_xlfn._xlws.FILTER(SeedMixes[Variety &amp; Company],SeedMixes[Name]=BedPlan[[#This Row],[Variety]])),"")</f>
        <v>Ishikura Long Winter Uprising, Parade High Mowing, White Spear Adaptive</v>
      </c>
      <c r="L116" s="229" cm="1">
        <f t="array" ref="L116">INDEX(Crops[],BedPlan[[#This Row],[Chart Index]],L$4,1)*BedPlan[[#This Row],[Full Bed Equivalent]]</f>
        <v>660</v>
      </c>
      <c r="N116" s="227">
        <v>0.25</v>
      </c>
      <c r="O116" s="227">
        <f>MAX(BedPlan[[#This Row],['# Of Beds]],0.5)</f>
        <v>0.5</v>
      </c>
      <c r="P116" s="230">
        <f>IF(ISNUMBER(BedPlan[[#This Row],[Planned Greenhouse Start Date]]),BedPlan[[#This Row],[Planned Greenhouse Start Date]],BedPlan[[#This Row],[Planned TP or DS Date]])</f>
        <v>45718</v>
      </c>
      <c r="Q116" s="261">
        <f>IF(BedPlan[[#This Row],[Days in Cells]]=0,"",IFERROR(_xlfn.XLOOKUP(BedPlan[[#This Row],[Follows Crop]],BedPlan[Identifier],BedPlan[Expected End of Harvest]) + 1+BedPlan[[#This Row],[Follow Offset]],BedPlan[[#This Row],[Fixed Field Start Date]])-BedPlan[[#This Row],[Days in Cells]])</f>
        <v>45718</v>
      </c>
      <c r="R116" s="261">
        <v>45741</v>
      </c>
      <c r="S116" s="261">
        <f>IF(ISNUMBER(BedPlan[[#This Row],[Actual Greenhouse Date]]),BedPlan[[#This Row],[Actual Greenhouse Date]],BedPlan[[#This Row],[Planned Greenhouse Start Date]])</f>
        <v>45741</v>
      </c>
      <c r="T116" s="262">
        <f>_xlfn.XLOOKUP(BedPlan[[#This Row],[Crop]],Crops[Identifier],Crops[Target Field Date])</f>
        <v>45760</v>
      </c>
      <c r="U116" s="263"/>
      <c r="V116" s="263"/>
      <c r="W116"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116" s="265">
        <v>45741</v>
      </c>
      <c r="Y116" s="270">
        <f>BedPlan[[#This Row],[Actual TP or DS Date]]-BedPlan[[#This Row],[Planned TP or DS Date]]</f>
        <v>-42</v>
      </c>
      <c r="Z116" s="261">
        <v>45728</v>
      </c>
      <c r="AA116" s="264"/>
      <c r="AB116" s="261">
        <f>IF(ISNUMBER(BedPlan[[#This Row],[Greenhouse Start Date]]),BedPlan[[#This Row],[Greenhouse Start Date]]+BedPlan[[#This Row],[DTM]],BedPlan[[#This Row],[TP or DS Date]]+BedPlan[[#This Row],[DTM]])</f>
        <v>45833</v>
      </c>
      <c r="AC116" s="265"/>
      <c r="AD116" s="261">
        <f>IF(ISNUMBER(BedPlan[[#This Row],[Actual Beginning of Harvest]]),BedPlan[[#This Row],[Actual Beginning of Harvest]],BedPlan[[#This Row],[Expected Beginning of Harvest]])</f>
        <v>45833</v>
      </c>
      <c r="AE116" s="261">
        <f>BedPlan[[#This Row],[Expected Beginning of Harvest]]+BedPlan[[#This Row],[Harvest Window]]+BedPlan[[#This Row],[Additional Days of Harvest]]</f>
        <v>45847</v>
      </c>
      <c r="AF116" s="265"/>
      <c r="AG116" s="261"/>
      <c r="AH116" s="230" t="b">
        <f>IF(AND( BedPlan[[#This Row],[Expected End of Harvest]] &gt;= DATE(2025, 8, 1), BedPlan[[#This Row],[Beginning of Harvest]] &lt;= DATE(2025, 8, 31) ), TRUE, FALSE)</f>
        <v>0</v>
      </c>
      <c r="AI116" s="230"/>
      <c r="AJ116" s="31">
        <f>IF(ISNUMBER(BedPlan[[#This Row],[Actual End of Harvest]]),BedPlan[[#This Row],[Actual End of Harvest]],BedPlan[[#This Row],[Expected End of Harvest]])</f>
        <v>45847</v>
      </c>
      <c r="AK116" s="34" t="b">
        <f>OR(ISNUMBER(BedPlan[[#This Row],[Actual Greenhouse Date]]),ISNUMBER(BedPlan[[#This Row],[Actual TP or DS Date]]))</f>
        <v>1</v>
      </c>
      <c r="AL116" s="34" t="b">
        <f>IF(ISNUMBER(BedPlan[[#This Row],[Planned Greenhouse Start Date]]),OR(ISNUMBER(BedPlan[[#This Row],[Actual TP or DS Date]]),BedPlan[[#This Row],[Failed]]),"-")</f>
        <v>1</v>
      </c>
      <c r="AM116" s="34" t="b">
        <f>OR(ISNUMBER(BedPlan[[#This Row],[Actual End of Harvest]]),BedPlan[[#This Row],[Failed]])</f>
        <v>0</v>
      </c>
      <c r="AN116" s="34" t="b">
        <f>OR(BedPlan[[#This Row],[Harvest Done]],BedPlan[[#This Row],[Failed]],BedPlan[[#This Row],[Name]]="Tarp")</f>
        <v>0</v>
      </c>
      <c r="AR116" t="b">
        <v>1</v>
      </c>
      <c r="AS116" s="256" t="str">
        <f>IF(BedPlan[[#This Row],[Broadfork]],BedPlan[[#This Row],[Actual TP or DS Date]],"")</f>
        <v/>
      </c>
      <c r="AT116" s="256" t="str">
        <f>IF(BedPlan[[#This Row],[Tilther]],BedPlan[[#This Row],[Actual TP or DS Date]],"")</f>
        <v/>
      </c>
      <c r="AU116" s="256" t="str">
        <f>IF(NOT(ISBLANK(BedPlan[[#This Row],[Amend]])),BedPlan[[#This Row],[Actual TP or DS Date]],"")</f>
        <v/>
      </c>
      <c r="AV116" s="256">
        <f>IF(BedPlan[[#This Row],[Row Cover]],BedPlan[[#This Row],[Actual TP or DS Date]],"")</f>
        <v>45741</v>
      </c>
      <c r="AW116" s="34"/>
      <c r="AX116" s="256"/>
      <c r="AY116" s="34"/>
      <c r="AZ116" s="256"/>
      <c r="BA116" s="34"/>
      <c r="BB116" s="256"/>
      <c r="BC116" s="231" cm="1">
        <f t="array" ref="BC116">INDEX(Crops[],BedPlan[[#This Row],[Chart Index]],BC$4,1)*BedPlan[[#This Row],[Full Bed Equivalent]]</f>
        <v>125</v>
      </c>
      <c r="BD116" s="231" cm="1">
        <f t="array" ref="BD116">INDEX(Crops[],BedPlan[[#This Row],[Chart Index]],BD$4,1)*BedPlan[[#This Row],[Full Bed Equivalent]]</f>
        <v>1.953125</v>
      </c>
      <c r="BE116" cm="1">
        <f t="array" ref="BE116">INDEX(Crops[],BedPlan[[#This Row],[Chart Index]],BE$4,1)+BedPlan[[#This Row],[Additional Days in Cells]]+BedPlan[[#This Row],[Additional Days In Field]]</f>
        <v>92</v>
      </c>
      <c r="BG116" cm="1">
        <f t="array" ref="BG116">INDEX(Crops[],BedPlan[[#This Row],[Chart Index]],BG$4,1)</f>
        <v>14</v>
      </c>
      <c r="BH116" t="str">
        <f>IF(ISNUMBER(BedPlan[[#This Row],[Planned Greenhouse Start Date]]),"TP","DS")</f>
        <v>TP</v>
      </c>
      <c r="BI116">
        <f>BedPlan[[#This Row],['# Of Beds]]</f>
        <v>0.25</v>
      </c>
      <c r="BJ116" cm="1">
        <f t="array" ref="BJ116">INDEX(Crops[],BedPlan[[#This Row],[Chart Index]],BJ$4,1)</f>
        <v>42</v>
      </c>
      <c r="BK116" cm="1">
        <f t="array" ref="BK116">INDEX(Crops[],BedPlan[[#This Row],[Chart Index]],BK$4,1)</f>
        <v>4</v>
      </c>
      <c r="BL116" cm="1">
        <f t="array" ref="BL116">INDEX(Crops[],BedPlan[[#This Row],[Chart Index]],BL$4,1)</f>
        <v>6</v>
      </c>
      <c r="BM116" cm="1">
        <f t="array" ref="BM116">INDEX(Crops[],BedPlan[[#This Row],[Chart Index]],BM$4,1)</f>
        <v>6</v>
      </c>
      <c r="BN116" s="32" cm="1">
        <f t="array" ref="BN116">INDEX(Crops[],BedPlan[[#This Row],[Chart Index]],BN$4,1)*BedPlan[[#This Row],[Full Bed Equivalent]]</f>
        <v>100</v>
      </c>
      <c r="BO116" t="str" cm="1">
        <f t="array" ref="BO116">IF(INDEX(Crops[],BedPlan[[#This Row],[Chart Index]],BO$4,1)=0,"",INDEX(Crops[],BedPlan[[#This Row],[Chart Index]],BO$4,1))</f>
        <v/>
      </c>
      <c r="BP116">
        <f>MATCH(BedPlan[[#This Row],[Crop]],Crops[Identifier],FALSE)</f>
        <v>282</v>
      </c>
      <c r="BQ116" t="str" cm="1">
        <f t="array" ref="BQ116">INDEX(Crops[],BedPlan[[#This Row],[Chart Index]],BQ$4,1)</f>
        <v>General</v>
      </c>
      <c r="BR116" t="str" cm="1">
        <f t="array" ref="BR116">INDEX(Crops[],BedPlan[[#This Row],[Chart Index]],BR$4,1)</f>
        <v>Sp</v>
      </c>
      <c r="BS116" s="32">
        <f>BedPlan[[#This Row],[Expected Beginning of Harvest]]-DATE(2023,1,1)</f>
        <v>906</v>
      </c>
      <c r="BT116">
        <f>BedPlan[[#This Row],[Expected End of Harvest]]-BedPlan[[#This Row],[Expected Beginning of Harvest]]</f>
        <v>14</v>
      </c>
      <c r="BU116" t="str" cm="1">
        <f t="array" ref="BU116">INDEX(Crops[],BedPlan[[#This Row],[Chart Index]],BU$4,1)</f>
        <v>Onion</v>
      </c>
      <c r="BV116" cm="1">
        <f t="array" ref="BV116">INDEX(Crops[],BedPlan[[#This Row],[Chart Index]],BV$4,1)</f>
        <v>1.5</v>
      </c>
      <c r="BW116" t="str" cm="1">
        <f t="array" ref="BW116">INDEX(Crops[],BedPlan[[#This Row],[Chart Index]],BW$4,1)</f>
        <v>None</v>
      </c>
      <c r="BX116" cm="1">
        <f t="array" ref="BX116">INDEX(Crops[],BedPlan[[#This Row],[Chart Index]],BX$4,1)</f>
        <v>128</v>
      </c>
      <c r="BY116" cm="1">
        <f t="array" ref="BY116">INDEX(Crops[],BedPlan[[#This Row],[Chart Index]],BY$4,1)</f>
        <v>42</v>
      </c>
      <c r="BZ116" s="49" cm="1">
        <f t="array" ref="BZ116">IFERROR(INDEX(Crops[],BedPlan[[#This Row],[Chart Index]],BZ$4,1)*BedPlan[[#This Row],[Full Bed Equivalent]],"")</f>
        <v>0.85937500000000011</v>
      </c>
      <c r="CA116" cm="1">
        <f t="array" ref="CA116">INDEX(Crops[],BedPlan[[#This Row],[Chart Index]],CA$4,1)</f>
        <v>0</v>
      </c>
      <c r="CB116" cm="1">
        <f t="array" ref="CB116">INDEX(Crops[],BedPlan[[#This Row],[Chart Index]],CB$4,1)</f>
        <v>0</v>
      </c>
      <c r="CC116" s="49" t="str" cm="1">
        <f t="array" ref="CC116">IFERROR(INDEX(Crops[],BedPlan[[#This Row],[Chart Index]],CC$4,1)*BedPlan[[#This Row],[Full Bed Equivalent]],"")</f>
        <v/>
      </c>
      <c r="CD116" cm="1">
        <f t="array" ref="CD116">INDEX(Crops[],BedPlan[[#This Row],[Chart Index]],CD$4,1)</f>
        <v>0</v>
      </c>
      <c r="CE116" cm="1">
        <f t="array" ref="CE116">IF(INDEX(Crops[],BedPlan[[#This Row],[Chart Index]],CE$4,1)="",0,INDEX(Crops[],BedPlan[[#This Row],[Chart Index]],CE$4,1))</f>
        <v>0</v>
      </c>
      <c r="CF116" s="49" t="str" cm="1">
        <f t="array" ref="CF116">IFERROR(INDEX(Crops[],BedPlan[[#This Row],[Chart Index]],CF$4,1)*BedPlan[[#This Row],[Full Bed Equivalent]],"")</f>
        <v/>
      </c>
      <c r="CG116" cm="1">
        <f t="array" ref="CG116">IF(INDEX(Crops[],BedPlan[[#This Row],[Chart Index]],CG$4,1)="",0,INDEX(Crops[],BedPlan[[#This Row],[Chart Index]],CG$4,1))</f>
        <v>1.1000000000000001</v>
      </c>
      <c r="CH116" cm="1">
        <f t="array" ref="CH116">IF(INDEX(Crops[],BedPlan[[#This Row],[Chart Index]],CH$4,1)="",0,INDEX(Crops[],BedPlan[[#This Row],[Chart Index]],CH$4,1))</f>
        <v>17</v>
      </c>
      <c r="CI116" t="str" cm="1">
        <f t="array" ref="CI116">INDEX(Crops[],BedPlan[[#This Row],[Chart Index]],CI$4,1)</f>
        <v>Field</v>
      </c>
      <c r="CJ116" s="30" t="str">
        <f>_xlfn.TEXTJOIN(CHAR(10),FALSE,BedPlan[[#This Row],[Name]],BedPlan[[#This Row],[Variety]],BedPlan[[#This Row],[Company]])</f>
        <v xml:space="preserve">Scallion
Scallion Mix
</v>
      </c>
      <c r="CK116" s="32">
        <f>MAX( 0, MIN(BedPlan[[#This Row],[Expected End of Harvest]], EOMONTH(CK$4, 0)) - MAX(BedPlan[[#This Row],[Beginning of Harvest]], CK$4) + 1 )</f>
        <v>0</v>
      </c>
      <c r="CL116">
        <f>MAX( 0, MIN(BedPlan[[#This Row],[Expected End of Harvest]], EOMONTH(CL$4, 0)) - MAX(BedPlan[[#This Row],[Beginning of Harvest]], CL$4) + 1 )</f>
        <v>0</v>
      </c>
      <c r="CM116">
        <f>MAX( 0, MIN(BedPlan[[#This Row],[Expected End of Harvest]], EOMONTH(CM$4, 0)) - MAX(BedPlan[[#This Row],[Beginning of Harvest]], CM$4) + 1 )</f>
        <v>0</v>
      </c>
      <c r="CN116">
        <f>MAX( 0, MIN(BedPlan[[#This Row],[Expected End of Harvest]], EOMONTH(CN$4, 0)) - MAX(BedPlan[[#This Row],[Beginning of Harvest]], CN$4) + 1 )</f>
        <v>0</v>
      </c>
      <c r="CO116">
        <f>MAX( 0, MIN(BedPlan[[#This Row],[Expected End of Harvest]], EOMONTH(CO$4, 0)) - MAX(BedPlan[[#This Row],[Beginning of Harvest]], CO$4) + 1 )</f>
        <v>0</v>
      </c>
      <c r="CP116">
        <f>MAX( 0, MIN(BedPlan[[#This Row],[Expected End of Harvest]], EOMONTH(CP$4, 0)) - MAX(BedPlan[[#This Row],[Beginning of Harvest]], CP$4) + 1 )</f>
        <v>6</v>
      </c>
      <c r="CQ116">
        <f>MAX( 0, MIN(BedPlan[[#This Row],[Expected End of Harvest]], EOMONTH(CQ$4, 0)) - MAX(BedPlan[[#This Row],[Beginning of Harvest]], CQ$4) + 1 )</f>
        <v>9</v>
      </c>
      <c r="CR116">
        <f>MAX( 0, MIN(BedPlan[[#This Row],[Expected End of Harvest]], EOMONTH(CR$4, 0)) - MAX(BedPlan[[#This Row],[Beginning of Harvest]], CR$4) + 1 )</f>
        <v>0</v>
      </c>
      <c r="CS116">
        <f>MAX( 0, MIN(BedPlan[[#This Row],[Expected End of Harvest]], EOMONTH(CS$4, 0)) - MAX(BedPlan[[#This Row],[Beginning of Harvest]], CS$4) + 1 )</f>
        <v>0</v>
      </c>
      <c r="CT116">
        <f>MAX( 0, MIN(BedPlan[[#This Row],[Expected End of Harvest]], EOMONTH(CT$4, 0)) - MAX(BedPlan[[#This Row],[Beginning of Harvest]], CT$4) + 1 )</f>
        <v>0</v>
      </c>
      <c r="CU116">
        <f>MAX( 0, MIN(BedPlan[[#This Row],[Expected End of Harvest]], EOMONTH(CU$4, 0)) - MAX(BedPlan[[#This Row],[Beginning of Harvest]], CU$4) + 1 )</f>
        <v>0</v>
      </c>
      <c r="CV116">
        <f>MAX( 0, MIN(BedPlan[[#This Row],[Expected End of Harvest]], EOMONTH(CV$4, 0)) - MAX(BedPlan[[#This Row],[Beginning of Harvest]], CV$4) + 1 )</f>
        <v>0</v>
      </c>
      <c r="CW116">
        <f>MAX( 0, MIN(BedPlan[[#This Row],[Expected End of Harvest]], EOMONTH(CW$4, 0)) - MAX(BedPlan[[#This Row],[Beginning of Harvest]], CW$4) + 1 )</f>
        <v>0</v>
      </c>
      <c r="CX116">
        <f>MAX( 0, MIN(BedPlan[[#This Row],[Expected End of Harvest]], EOMONTH(CX$4, 0)) - MAX(BedPlan[[#This Row],[Beginning of Harvest]], CX$4) + 1 )</f>
        <v>0</v>
      </c>
      <c r="CY116">
        <f>MAX( 0, MIN(BedPlan[[#This Row],[Expected End of Harvest]], EOMONTH(CY$4, 0)) - MAX(BedPlan[[#This Row],[Beginning of Harvest]], CY$4) + 1 )</f>
        <v>0</v>
      </c>
      <c r="CZ116">
        <f>MAX( 0, MIN(BedPlan[[#This Row],[Expected End of Harvest]], EOMONTH(CZ$4, 0)) - MAX(BedPlan[[#This Row],[Beginning of Harvest]], CZ$4) + 1 )</f>
        <v>0</v>
      </c>
      <c r="DA116">
        <f>MAX( 0, MIN(BedPlan[[#This Row],[Expected End of Harvest]], EOMONTH(DA$4, 0)) - MAX(BedPlan[[#This Row],[Beginning of Harvest]], DA$4) + 1 )</f>
        <v>0</v>
      </c>
      <c r="DB116">
        <f>MAX( 0, MIN(BedPlan[[#This Row],[Expected End of Harvest]], EOMONTH(DB$4, 0)) - MAX(BedPlan[[#This Row],[Beginning of Harvest]], DB$4) + 1 )</f>
        <v>0</v>
      </c>
      <c r="DC116">
        <f>MAX( 0, MIN(BedPlan[[#This Row],[Expected End of Harvest]], EOMONTH(DC$4, 0)) - MAX(BedPlan[[#This Row],[Beginning of Harvest]], DC$4) + 1 )</f>
        <v>0</v>
      </c>
      <c r="DD116">
        <f>MAX( 0, MIN(BedPlan[[#This Row],[Expected End of Harvest]], EOMONTH(DD$4, 0)) - MAX(BedPlan[[#This Row],[Beginning of Harvest]], DD$4) + 1 )</f>
        <v>0</v>
      </c>
      <c r="DE116">
        <f>MAX( 0, MIN(BedPlan[[#This Row],[Expected End of Harvest]], EOMONTH(DE$4, 0)) - MAX(BedPlan[[#This Row],[Beginning of Harvest]], DE$4) + 1 )</f>
        <v>0</v>
      </c>
      <c r="DF116">
        <f>MAX( 0, MIN(BedPlan[[#This Row],[Expected End of Harvest]], EOMONTH(DF$4, 0)) - MAX(BedPlan[[#This Row],[Beginning of Harvest]], DF$4) + 1 )</f>
        <v>0</v>
      </c>
      <c r="DG116">
        <f>MAX( 0, MIN(BedPlan[[#This Row],[Expected End of Harvest]], EOMONTH(DG$4, 0)) - MAX(BedPlan[[#This Row],[Beginning of Harvest]], DG$4) + 1 )</f>
        <v>0</v>
      </c>
      <c r="DH116">
        <f>MAX( 0, MIN(BedPlan[[#This Row],[Expected End of Harvest]], EOMONTH(DH$4, 0)) - MAX(BedPlan[[#This Row],[Beginning of Harvest]], DH$4) + 1 )</f>
        <v>0</v>
      </c>
      <c r="DI116" s="257" cm="1">
        <f t="array" ref="DI116">BedPlan[[#This Row],[Harvest Days January 2025]]/SUM(BedPlan[[#This Row],[Harvest Days January 2025]:[Harvest Days December 2026]])*BedPlan[[#This Row],[Revenue]:[Revenue]]</f>
        <v>0</v>
      </c>
      <c r="DJ116" s="257" cm="1">
        <f t="array" ref="DJ116">BedPlan[[#This Row],[Harvest Days February 2025]]/SUM(BedPlan[[#This Row],[Harvest Days January 2025]:[Harvest Days December 2026]])*BedPlan[[#This Row],[Revenue]:[Revenue]]</f>
        <v>0</v>
      </c>
      <c r="DK116" s="257" cm="1">
        <f t="array" ref="DK116">BedPlan[[#This Row],[Harvest Days March 2025]]/SUM(BedPlan[[#This Row],[Harvest Days January 2025]:[Harvest Days December 2026]])*BedPlan[[#This Row],[Revenue]:[Revenue]]</f>
        <v>0</v>
      </c>
      <c r="DL116" s="257" cm="1">
        <f t="array" ref="DL116">BedPlan[[#This Row],[Harvest Days April 2025]]/SUM(BedPlan[[#This Row],[Harvest Days January 2025]:[Harvest Days December 2026]])*BedPlan[[#This Row],[Revenue]:[Revenue]]</f>
        <v>0</v>
      </c>
      <c r="DM116" s="257" cm="1">
        <f t="array" ref="DM116">BedPlan[[#This Row],[Harvest Days May 2025]]/SUM(BedPlan[[#This Row],[Harvest Days January 2025]:[Harvest Days December 2026]])*BedPlan[[#This Row],[Revenue]:[Revenue]]</f>
        <v>0</v>
      </c>
      <c r="DN116" s="257" cm="1">
        <f t="array" ref="DN116">BedPlan[[#This Row],[Harvest Days June 2025]]/SUM(BedPlan[[#This Row],[Harvest Days January 2025]:[Harvest Days December 2026]])*BedPlan[[#This Row],[Revenue]:[Revenue]]</f>
        <v>50</v>
      </c>
      <c r="DO116" s="257" cm="1">
        <f t="array" ref="DO116">BedPlan[[#This Row],[Harvest Days July 2025]]/SUM(BedPlan[[#This Row],[Harvest Days January 2025]:[Harvest Days December 2026]])*BedPlan[[#This Row],[Revenue]:[Revenue]]</f>
        <v>75</v>
      </c>
      <c r="DP116" s="257" cm="1">
        <f t="array" ref="DP116">BedPlan[[#This Row],[Harvest Days August 2025]]/SUM(BedPlan[[#This Row],[Harvest Days January 2025]:[Harvest Days December 2026]])*BedPlan[[#This Row],[Revenue]:[Revenue]]</f>
        <v>0</v>
      </c>
      <c r="DQ116" s="257" cm="1">
        <f t="array" ref="DQ116">BedPlan[[#This Row],[Harvest Days September 2025]]/SUM(BedPlan[[#This Row],[Harvest Days January 2025]:[Harvest Days December 2026]])*BedPlan[[#This Row],[Revenue]:[Revenue]]</f>
        <v>0</v>
      </c>
      <c r="DR116" s="257" cm="1">
        <f t="array" ref="DR116">BedPlan[[#This Row],[Harvest Days October 2025]]/SUM(BedPlan[[#This Row],[Harvest Days January 2025]:[Harvest Days December 2026]])*BedPlan[[#This Row],[Revenue]:[Revenue]]</f>
        <v>0</v>
      </c>
      <c r="DS116" s="257" cm="1">
        <f t="array" ref="DS116">BedPlan[[#This Row],[Harvest Days November 2025]]/SUM(BedPlan[[#This Row],[Harvest Days January 2025]:[Harvest Days December 2026]])*BedPlan[[#This Row],[Revenue]:[Revenue]]</f>
        <v>0</v>
      </c>
      <c r="DT116" s="257" cm="1">
        <f t="array" ref="DT116">BedPlan[[#This Row],[Harvest Days December 2025]]/SUM(BedPlan[[#This Row],[Harvest Days January 2025]:[Harvest Days December 2026]])*BedPlan[[#This Row],[Revenue]:[Revenue]]</f>
        <v>0</v>
      </c>
      <c r="DU116" s="257" cm="1">
        <f t="array" ref="DU116">BedPlan[[#This Row],[Harvest Days January 2026]]/SUM(BedPlan[[#This Row],[Harvest Days January 2025]:[Harvest Days December 2026]])*BedPlan[[#This Row],[Revenue]:[Revenue]]</f>
        <v>0</v>
      </c>
      <c r="DV116" s="257" cm="1">
        <f t="array" ref="DV116">BedPlan[[#This Row],[Harvest Days February 2026]]/SUM(BedPlan[[#This Row],[Harvest Days January 2025]:[Harvest Days December 2026]])*BedPlan[[#This Row],[Revenue]:[Revenue]]</f>
        <v>0</v>
      </c>
      <c r="DW116" s="257" cm="1">
        <f t="array" ref="DW116">BedPlan[[#This Row],[Harvest Days March 2026]]/SUM(BedPlan[[#This Row],[Harvest Days January 2025]:[Harvest Days December 2026]])*BedPlan[[#This Row],[Revenue]:[Revenue]]</f>
        <v>0</v>
      </c>
      <c r="DX116" s="257" cm="1">
        <f t="array" ref="DX116">BedPlan[[#This Row],[Harvest Days April 2026]]/SUM(BedPlan[[#This Row],[Harvest Days January 2025]:[Harvest Days December 2026]])*BedPlan[[#This Row],[Revenue]:[Revenue]]</f>
        <v>0</v>
      </c>
      <c r="DY116" s="257" cm="1">
        <f t="array" ref="DY116">BedPlan[[#This Row],[Harvest Days May 2026]]/SUM(BedPlan[[#This Row],[Harvest Days January 2025]:[Harvest Days December 2026]])*BedPlan[[#This Row],[Revenue]:[Revenue]]</f>
        <v>0</v>
      </c>
      <c r="DZ116" s="257" cm="1">
        <f t="array" ref="DZ116">BedPlan[[#This Row],[Harvest Days June 2026]]/SUM(BedPlan[[#This Row],[Harvest Days January 2025]:[Harvest Days December 2026]])*BedPlan[[#This Row],[Revenue]:[Revenue]]</f>
        <v>0</v>
      </c>
      <c r="EA116" s="257" cm="1">
        <f t="array" ref="EA116">BedPlan[[#This Row],[Harvest Days July 2026]]/SUM(BedPlan[[#This Row],[Harvest Days January 2025]:[Harvest Days December 2026]])*BedPlan[[#This Row],[Revenue]:[Revenue]]</f>
        <v>0</v>
      </c>
      <c r="EB116" s="257" cm="1">
        <f t="array" ref="EB116">BedPlan[[#This Row],[Harvest Days August 2026]]/SUM(BedPlan[[#This Row],[Harvest Days January 2025]:[Harvest Days December 2026]])*BedPlan[[#This Row],[Revenue]:[Revenue]]</f>
        <v>0</v>
      </c>
      <c r="EC116" s="257" cm="1">
        <f t="array" ref="EC116">BedPlan[[#This Row],[Harvest Days September 2026]]/SUM(BedPlan[[#This Row],[Harvest Days January 2025]:[Harvest Days December 2026]])*BedPlan[[#This Row],[Revenue]:[Revenue]]</f>
        <v>0</v>
      </c>
      <c r="ED116" s="257" cm="1">
        <f t="array" ref="ED116">BedPlan[[#This Row],[Harvest Days October 2026]]/SUM(BedPlan[[#This Row],[Harvest Days January 2025]:[Harvest Days December 2026]])*BedPlan[[#This Row],[Revenue]:[Revenue]]</f>
        <v>0</v>
      </c>
      <c r="EE116" s="257" cm="1">
        <f t="array" ref="EE116">BedPlan[[#This Row],[Harvest Days November 2026]]/SUM(BedPlan[[#This Row],[Harvest Days January 2025]:[Harvest Days December 2026]])*BedPlan[[#This Row],[Revenue]:[Revenue]]</f>
        <v>0</v>
      </c>
      <c r="EF116" s="257" cm="1">
        <f t="array" ref="EF116">BedPlan[[#This Row],[Harvest Days December 2026]]/SUM(BedPlan[[#This Row],[Harvest Days January 2025]:[Harvest Days December 2026]])*BedPlan[[#This Row],[Revenue]:[Revenue]]</f>
        <v>0</v>
      </c>
      <c r="EG116" t="b">
        <f>SUM(BedPlan[[#This Row],[Revenue January 2025]:[Revenue December 2026]])=BedPlan[[#This Row],[Revenue]]</f>
        <v>1</v>
      </c>
      <c r="EH116" s="30" cm="1">
        <f t="array" ref="EH116">INDEX(Crops[],BedPlan[[#This Row],[Chart Index]],EH$4,1)*BedPlan[[#This Row],['# Of Beds]]</f>
        <v>50</v>
      </c>
      <c r="EI116" s="30" t="str" cm="1">
        <f t="array" ref="EI116">INDEX(Crops[],BedPlan[[#This Row],[Chart Index]],EI$4,1)</f>
        <v>Bunch</v>
      </c>
      <c r="EJ116" s="30" t="str" cm="1">
        <f t="array" ref="EJ116">INDEX(Crops[],BedPlan[[#This Row],[Chart Index]],EJ$4,1)</f>
        <v>Mature Stalk</v>
      </c>
      <c r="EK116" s="30" t="str">
        <f>BedPlan[[#This Row],[Name]]&amp;" "&amp;BedPlan[[#This Row],[Product]]&amp; " - " &amp;BedPlan[[#This Row],[Unit]]</f>
        <v>Scallion Mature Stalk - Bunch</v>
      </c>
      <c r="EL116" s="33" cm="1">
        <f t="array" ref="EL116">BedPlan[[#This Row],[Harvest Days January 2025]]/SUM(BedPlan[[#This Row],[Harvest Days January 2025]:[Harvest Days December 2026]])*BedPlan[[#This Row],[Yield]:[Yield]]</f>
        <v>0</v>
      </c>
      <c r="EM116" s="33" cm="1">
        <f t="array" ref="EM116">BedPlan[[#This Row],[Harvest Days February 2025]]/SUM(BedPlan[[#This Row],[Harvest Days January 2025]:[Harvest Days December 2026]])*BedPlan[[#This Row],[Yield]:[Yield]]</f>
        <v>0</v>
      </c>
      <c r="EN116" s="33" cm="1">
        <f t="array" ref="EN116">BedPlan[[#This Row],[Harvest Days March 2025]]/SUM(BedPlan[[#This Row],[Harvest Days January 2025]:[Harvest Days December 2026]])*BedPlan[[#This Row],[Yield]:[Yield]]</f>
        <v>0</v>
      </c>
      <c r="EO116" s="33" cm="1">
        <f t="array" ref="EO116">BedPlan[[#This Row],[Harvest Days April 2025]]/SUM(BedPlan[[#This Row],[Harvest Days January 2025]:[Harvest Days December 2026]])*BedPlan[[#This Row],[Yield]:[Yield]]</f>
        <v>0</v>
      </c>
      <c r="EP116" s="33" cm="1">
        <f t="array" ref="EP116">BedPlan[[#This Row],[Harvest Days May 2025]]/SUM(BedPlan[[#This Row],[Harvest Days January 2025]:[Harvest Days December 2026]])*BedPlan[[#This Row],[Yield]:[Yield]]</f>
        <v>0</v>
      </c>
      <c r="EQ116" s="33" cm="1">
        <f t="array" ref="EQ116">BedPlan[[#This Row],[Harvest Days June 2025]]/SUM(BedPlan[[#This Row],[Harvest Days January 2025]:[Harvest Days December 2026]])*BedPlan[[#This Row],[Yield]:[Yield]]</f>
        <v>20</v>
      </c>
      <c r="ER116" s="33" cm="1">
        <f t="array" ref="ER116">BedPlan[[#This Row],[Harvest Days July 2025]]/SUM(BedPlan[[#This Row],[Harvest Days January 2025]:[Harvest Days December 2026]])*BedPlan[[#This Row],[Yield]:[Yield]]</f>
        <v>30</v>
      </c>
      <c r="ES116" s="33" cm="1">
        <f t="array" ref="ES116">BedPlan[[#This Row],[Harvest Days August 2025]]/SUM(BedPlan[[#This Row],[Harvest Days January 2025]:[Harvest Days December 2026]])*BedPlan[[#This Row],[Yield]:[Yield]]</f>
        <v>0</v>
      </c>
      <c r="ET116" s="33" cm="1">
        <f t="array" ref="ET116">BedPlan[[#This Row],[Harvest Days September 2025]]/SUM(BedPlan[[#This Row],[Harvest Days January 2025]:[Harvest Days December 2026]])*BedPlan[[#This Row],[Yield]:[Yield]]</f>
        <v>0</v>
      </c>
      <c r="EU116" s="33" cm="1">
        <f t="array" ref="EU116">BedPlan[[#This Row],[Harvest Days October 2025]]/SUM(BedPlan[[#This Row],[Harvest Days January 2025]:[Harvest Days December 2026]])*BedPlan[[#This Row],[Yield]:[Yield]]</f>
        <v>0</v>
      </c>
      <c r="EV116" s="33" cm="1">
        <f t="array" ref="EV116">BedPlan[[#This Row],[Harvest Days November 2025]]/SUM(BedPlan[[#This Row],[Harvest Days January 2025]:[Harvest Days December 2026]])*BedPlan[[#This Row],[Yield]:[Yield]]</f>
        <v>0</v>
      </c>
      <c r="EW116" s="33" cm="1">
        <f t="array" ref="EW116">BedPlan[[#This Row],[Harvest Days December 2025]]/SUM(BedPlan[[#This Row],[Harvest Days January 2025]:[Harvest Days December 2026]])*BedPlan[[#This Row],[Yield]:[Yield]]</f>
        <v>0</v>
      </c>
    </row>
    <row r="117" spans="1:153" ht="15.75" customHeight="1">
      <c r="A117" s="185" t="s">
        <v>3189</v>
      </c>
      <c r="B117" s="240" t="s">
        <v>2763</v>
      </c>
      <c r="C117" s="226" t="s">
        <v>1501</v>
      </c>
      <c r="D117" s="226" cm="1">
        <f t="array" ref="D117">INDEX(Crops[],BedPlan[[#This Row],[Chart Index]],D$4,1)*BedPlan[[#This Row],[Full Bed Equivalent]]</f>
        <v>80</v>
      </c>
      <c r="E117" s="226" cm="1">
        <f t="array" ref="E117">INDEX(Crops[],BedPlan[[#This Row],[Chart Index]],E$4,1)*BedPlan[[#This Row],[Full Bed Equivalent]]</f>
        <v>160</v>
      </c>
      <c r="F117" s="34" t="str">
        <f>UPPER(LEFT(BedPlan[[#This Row],[Crop]],3))</f>
        <v>SCA</v>
      </c>
      <c r="G117" s="227"/>
      <c r="H117" s="143" t="str" cm="1">
        <f t="array" ref="H117">INDEX(Crops[],BedPlan[[#This Row],[Chart Index]],H$4,1)</f>
        <v>Scallion</v>
      </c>
      <c r="I117" s="227" t="s">
        <v>1851</v>
      </c>
      <c r="J117" s="227"/>
      <c r="K117" s="34" t="str" cm="1">
        <f t="array" ref="K117">IF(ISNUMBER(MATCH(BedPlan[[#This Row],[Variety]],SeedMixes[Name],)),_xlfn.TEXTJOIN(", ",TRUE,_xlfn._xlws.FILTER(SeedMixes[Variety &amp; Company],SeedMixes[Name]=BedPlan[[#This Row],[Variety]])),"")</f>
        <v>Ishikura Long Winter Uprising, Parade High Mowing, White Spear Adaptive</v>
      </c>
      <c r="L117" s="229" cm="1">
        <f t="array" ref="L117">INDEX(Crops[],BedPlan[[#This Row],[Chart Index]],L$4,1)*BedPlan[[#This Row],[Full Bed Equivalent]]</f>
        <v>2112</v>
      </c>
      <c r="N117" s="227">
        <v>0.8</v>
      </c>
      <c r="O117" s="227">
        <v>2</v>
      </c>
      <c r="P117" s="230">
        <f>IF(ISNUMBER(BedPlan[[#This Row],[Planned Greenhouse Start Date]]),BedPlan[[#This Row],[Planned Greenhouse Start Date]],BedPlan[[#This Row],[Planned TP or DS Date]])</f>
        <v>45739</v>
      </c>
      <c r="Q117" s="261">
        <f>IF(BedPlan[[#This Row],[Days in Cells]]=0,"",IFERROR(_xlfn.XLOOKUP(BedPlan[[#This Row],[Follows Crop]],BedPlan[Identifier],BedPlan[Expected End of Harvest]) + 1+BedPlan[[#This Row],[Follow Offset]],BedPlan[[#This Row],[Fixed Field Start Date]])-BedPlan[[#This Row],[Days in Cells]])</f>
        <v>45739</v>
      </c>
      <c r="R117" s="261">
        <v>45791</v>
      </c>
      <c r="S117" s="261">
        <f>IF(ISNUMBER(BedPlan[[#This Row],[Actual Greenhouse Date]]),BedPlan[[#This Row],[Actual Greenhouse Date]],BedPlan[[#This Row],[Planned Greenhouse Start Date]])</f>
        <v>45791</v>
      </c>
      <c r="T117" s="262">
        <f>_xlfn.XLOOKUP(BedPlan[[#This Row],[Crop]],Crops[Identifier],Crops[Target Field Date])+21</f>
        <v>45781</v>
      </c>
      <c r="U117" s="263"/>
      <c r="V117" s="263"/>
      <c r="W117"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45833</v>
      </c>
      <c r="X117" s="265"/>
      <c r="Y117" s="270">
        <f>BedPlan[[#This Row],[Actual TP or DS Date]]-BedPlan[[#This Row],[Planned TP or DS Date]]</f>
        <v>-45833</v>
      </c>
      <c r="Z117" s="261">
        <f>IF(ISNUMBER(BedPlan[[#This Row],[Actual TP or DS Date]]),BedPlan[[#This Row],[Actual TP or DS Date]],BedPlan[[#This Row],[Planned TP or DS Date]])</f>
        <v>45833</v>
      </c>
      <c r="AA117" s="265"/>
      <c r="AB117" s="261">
        <f>IF(ISNUMBER(BedPlan[[#This Row],[Greenhouse Start Date]]),BedPlan[[#This Row],[Greenhouse Start Date]]+BedPlan[[#This Row],[DTM]],BedPlan[[#This Row],[TP or DS Date]]+BedPlan[[#This Row],[DTM]])</f>
        <v>45883</v>
      </c>
      <c r="AC117" s="265"/>
      <c r="AD117" s="261">
        <f>IF(ISNUMBER(BedPlan[[#This Row],[Actual Beginning of Harvest]]),BedPlan[[#This Row],[Actual Beginning of Harvest]],BedPlan[[#This Row],[Expected Beginning of Harvest]])</f>
        <v>45883</v>
      </c>
      <c r="AE117" s="261">
        <f>BedPlan[[#This Row],[Expected Beginning of Harvest]]+BedPlan[[#This Row],[Harvest Window]]+BedPlan[[#This Row],[Additional Days of Harvest]]</f>
        <v>45897</v>
      </c>
      <c r="AF117" s="265"/>
      <c r="AG117" s="261"/>
      <c r="AH117" s="230" t="b">
        <f>IF(AND( BedPlan[[#This Row],[Expected End of Harvest]] &gt;= DATE(2025, 8, 1), BedPlan[[#This Row],[Beginning of Harvest]] &lt;= DATE(2025, 8, 31) ), TRUE, FALSE)</f>
        <v>1</v>
      </c>
      <c r="AI117" s="230"/>
      <c r="AJ117" s="31">
        <f>IF(ISNUMBER(BedPlan[[#This Row],[Actual End of Harvest]]),BedPlan[[#This Row],[Actual End of Harvest]],BedPlan[[#This Row],[Expected End of Harvest]])</f>
        <v>45897</v>
      </c>
      <c r="AK117" s="34" t="b">
        <f>OR(ISNUMBER(BedPlan[[#This Row],[Actual Greenhouse Date]]),ISNUMBER(BedPlan[[#This Row],[Actual TP or DS Date]]))</f>
        <v>1</v>
      </c>
      <c r="AL117" s="34" t="b">
        <f>IF(ISNUMBER(BedPlan[[#This Row],[Planned Greenhouse Start Date]]),OR(ISNUMBER(BedPlan[[#This Row],[Actual TP or DS Date]]),BedPlan[[#This Row],[Failed]]),"-")</f>
        <v>0</v>
      </c>
      <c r="AM117" s="34" t="b">
        <f>OR(ISNUMBER(BedPlan[[#This Row],[Actual End of Harvest]]),BedPlan[[#This Row],[Failed]])</f>
        <v>0</v>
      </c>
      <c r="AN117" s="34" t="b">
        <f>OR(BedPlan[[#This Row],[Harvest Done]],BedPlan[[#This Row],[Failed]],BedPlan[[#This Row],[Name]]="Tarp")</f>
        <v>0</v>
      </c>
      <c r="AO117" s="34"/>
      <c r="AP117" s="34"/>
      <c r="AQ117" s="34"/>
      <c r="AR117" s="34"/>
      <c r="AS117" s="256" t="str">
        <f>IF(BedPlan[[#This Row],[Broadfork]],BedPlan[[#This Row],[Actual TP or DS Date]],"")</f>
        <v/>
      </c>
      <c r="AT117" s="256" t="str">
        <f>IF(BedPlan[[#This Row],[Tilther]],BedPlan[[#This Row],[Actual TP or DS Date]],"")</f>
        <v/>
      </c>
      <c r="AU117" s="256" t="str">
        <f>IF(NOT(ISBLANK(BedPlan[[#This Row],[Amend]])),BedPlan[[#This Row],[Actual TP or DS Date]],"")</f>
        <v/>
      </c>
      <c r="AV117" s="256" t="str">
        <f>IF(BedPlan[[#This Row],[Row Cover]],BedPlan[[#This Row],[Actual TP or DS Date]],"")</f>
        <v/>
      </c>
      <c r="AW117" s="34"/>
      <c r="AX117" s="256"/>
      <c r="AY117" s="34"/>
      <c r="AZ117" s="256"/>
      <c r="BA117" s="34"/>
      <c r="BB117" s="256"/>
      <c r="BC117" s="231" cm="1">
        <f t="array" ref="BC117">INDEX(Crops[],BedPlan[[#This Row],[Chart Index]],BC$4,1)*BedPlan[[#This Row],[Full Bed Equivalent]]</f>
        <v>400</v>
      </c>
      <c r="BD117" s="231" cm="1">
        <f t="array" ref="BD117">INDEX(Crops[],BedPlan[[#This Row],[Chart Index]],BD$4,1)*BedPlan[[#This Row],[Full Bed Equivalent]]</f>
        <v>6.25</v>
      </c>
      <c r="BE117" cm="1">
        <f t="array" ref="BE117">INDEX(Crops[],BedPlan[[#This Row],[Chart Index]],BE$4,1)+BedPlan[[#This Row],[Additional Days in Cells]]+BedPlan[[#This Row],[Additional Days In Field]]</f>
        <v>92</v>
      </c>
      <c r="BG117" cm="1">
        <f t="array" ref="BG117">INDEX(Crops[],BedPlan[[#This Row],[Chart Index]],BG$4,1)</f>
        <v>14</v>
      </c>
      <c r="BH117" t="str">
        <f>IF(ISNUMBER(BedPlan[[#This Row],[Planned Greenhouse Start Date]]),"TP","DS")</f>
        <v>TP</v>
      </c>
      <c r="BI117">
        <f>BedPlan[[#This Row],['# Of Beds]]</f>
        <v>0.8</v>
      </c>
      <c r="BJ117" cm="1">
        <f t="array" ref="BJ117">INDEX(Crops[],BedPlan[[#This Row],[Chart Index]],BJ$4,1)</f>
        <v>42</v>
      </c>
      <c r="BK117" cm="1">
        <f t="array" ref="BK117">INDEX(Crops[],BedPlan[[#This Row],[Chart Index]],BK$4,1)</f>
        <v>4</v>
      </c>
      <c r="BL117" cm="1">
        <f t="array" ref="BL117">INDEX(Crops[],BedPlan[[#This Row],[Chart Index]],BL$4,1)</f>
        <v>6</v>
      </c>
      <c r="BM117" cm="1">
        <f t="array" ref="BM117">INDEX(Crops[],BedPlan[[#This Row],[Chart Index]],BM$4,1)</f>
        <v>6</v>
      </c>
      <c r="BN117" s="32" cm="1">
        <f t="array" ref="BN117">INDEX(Crops[],BedPlan[[#This Row],[Chart Index]],BN$4,1)*BedPlan[[#This Row],[Full Bed Equivalent]]</f>
        <v>320</v>
      </c>
      <c r="BO117" t="str" cm="1">
        <f t="array" ref="BO117">IF(INDEX(Crops[],BedPlan[[#This Row],[Chart Index]],BO$4,1)=0,"",INDEX(Crops[],BedPlan[[#This Row],[Chart Index]],BO$4,1))</f>
        <v/>
      </c>
      <c r="BP117">
        <f>MATCH(BedPlan[[#This Row],[Crop]],Crops[Identifier],FALSE)</f>
        <v>282</v>
      </c>
      <c r="BQ117" t="str" cm="1">
        <f t="array" ref="BQ117">INDEX(Crops[],BedPlan[[#This Row],[Chart Index]],BQ$4,1)</f>
        <v>General</v>
      </c>
      <c r="BR117" t="str" cm="1">
        <f t="array" ref="BR117">INDEX(Crops[],BedPlan[[#This Row],[Chart Index]],BR$4,1)</f>
        <v>Sp</v>
      </c>
      <c r="BS117" s="32">
        <f>BedPlan[[#This Row],[Expected Beginning of Harvest]]-DATE(2023,1,1)</f>
        <v>956</v>
      </c>
      <c r="BT117">
        <f>BedPlan[[#This Row],[Expected End of Harvest]]-BedPlan[[#This Row],[Expected Beginning of Harvest]]</f>
        <v>14</v>
      </c>
      <c r="BU117" t="str" cm="1">
        <f t="array" ref="BU117">INDEX(Crops[],BedPlan[[#This Row],[Chart Index]],BU$4,1)</f>
        <v>Onion</v>
      </c>
      <c r="BV117" cm="1">
        <f t="array" ref="BV117">INDEX(Crops[],BedPlan[[#This Row],[Chart Index]],BV$4,1)</f>
        <v>1.5</v>
      </c>
      <c r="BW117" t="str" cm="1">
        <f t="array" ref="BW117">INDEX(Crops[],BedPlan[[#This Row],[Chart Index]],BW$4,1)</f>
        <v>None</v>
      </c>
      <c r="BX117" cm="1">
        <f t="array" ref="BX117">INDEX(Crops[],BedPlan[[#This Row],[Chart Index]],BX$4,1)</f>
        <v>128</v>
      </c>
      <c r="BY117" cm="1">
        <f t="array" ref="BY117">INDEX(Crops[],BedPlan[[#This Row],[Chart Index]],BY$4,1)</f>
        <v>42</v>
      </c>
      <c r="BZ117" s="49" cm="1">
        <f t="array" ref="BZ117">IFERROR(INDEX(Crops[],BedPlan[[#This Row],[Chart Index]],BZ$4,1)*BedPlan[[#This Row],[Full Bed Equivalent]],"")</f>
        <v>2.7500000000000004</v>
      </c>
      <c r="CA117" cm="1">
        <f t="array" ref="CA117">INDEX(Crops[],BedPlan[[#This Row],[Chart Index]],CA$4,1)</f>
        <v>0</v>
      </c>
      <c r="CB117" cm="1">
        <f t="array" ref="CB117">INDEX(Crops[],BedPlan[[#This Row],[Chart Index]],CB$4,1)</f>
        <v>0</v>
      </c>
      <c r="CC117" s="49" t="str" cm="1">
        <f t="array" ref="CC117">IFERROR(INDEX(Crops[],BedPlan[[#This Row],[Chart Index]],CC$4,1)*BedPlan[[#This Row],[Full Bed Equivalent]],"")</f>
        <v/>
      </c>
      <c r="CD117" cm="1">
        <f t="array" ref="CD117">INDEX(Crops[],BedPlan[[#This Row],[Chart Index]],CD$4,1)</f>
        <v>0</v>
      </c>
      <c r="CE117" cm="1">
        <f t="array" ref="CE117">IF(INDEX(Crops[],BedPlan[[#This Row],[Chart Index]],CE$4,1)="",0,INDEX(Crops[],BedPlan[[#This Row],[Chart Index]],CE$4,1))</f>
        <v>0</v>
      </c>
      <c r="CF117" s="49" t="str" cm="1">
        <f t="array" ref="CF117">IFERROR(INDEX(Crops[],BedPlan[[#This Row],[Chart Index]],CF$4,1)*BedPlan[[#This Row],[Full Bed Equivalent]],"")</f>
        <v/>
      </c>
      <c r="CG117" cm="1">
        <f t="array" ref="CG117">IF(INDEX(Crops[],BedPlan[[#This Row],[Chart Index]],CG$4,1)="",0,INDEX(Crops[],BedPlan[[#This Row],[Chart Index]],CG$4,1))</f>
        <v>1.1000000000000001</v>
      </c>
      <c r="CH117" cm="1">
        <f t="array" ref="CH117">IF(INDEX(Crops[],BedPlan[[#This Row],[Chart Index]],CH$4,1)="",0,INDEX(Crops[],BedPlan[[#This Row],[Chart Index]],CH$4,1))</f>
        <v>17</v>
      </c>
      <c r="CI117" t="str" cm="1">
        <f t="array" ref="CI117">INDEX(Crops[],BedPlan[[#This Row],[Chart Index]],CI$4,1)</f>
        <v>Field</v>
      </c>
      <c r="CJ117" s="30" t="str">
        <f>_xlfn.TEXTJOIN(CHAR(10),FALSE,BedPlan[[#This Row],[Name]],BedPlan[[#This Row],[Variety]],BedPlan[[#This Row],[Company]])</f>
        <v xml:space="preserve">Scallion
Scallion Mix
</v>
      </c>
      <c r="CK117" s="32">
        <f>MAX( 0, MIN(BedPlan[[#This Row],[Expected End of Harvest]], EOMONTH(CK$4, 0)) - MAX(BedPlan[[#This Row],[Beginning of Harvest]], CK$4) + 1 )</f>
        <v>0</v>
      </c>
      <c r="CL117">
        <f>MAX( 0, MIN(BedPlan[[#This Row],[Expected End of Harvest]], EOMONTH(CL$4, 0)) - MAX(BedPlan[[#This Row],[Beginning of Harvest]], CL$4) + 1 )</f>
        <v>0</v>
      </c>
      <c r="CM117">
        <f>MAX( 0, MIN(BedPlan[[#This Row],[Expected End of Harvest]], EOMONTH(CM$4, 0)) - MAX(BedPlan[[#This Row],[Beginning of Harvest]], CM$4) + 1 )</f>
        <v>0</v>
      </c>
      <c r="CN117">
        <f>MAX( 0, MIN(BedPlan[[#This Row],[Expected End of Harvest]], EOMONTH(CN$4, 0)) - MAX(BedPlan[[#This Row],[Beginning of Harvest]], CN$4) + 1 )</f>
        <v>0</v>
      </c>
      <c r="CO117">
        <f>MAX( 0, MIN(BedPlan[[#This Row],[Expected End of Harvest]], EOMONTH(CO$4, 0)) - MAX(BedPlan[[#This Row],[Beginning of Harvest]], CO$4) + 1 )</f>
        <v>0</v>
      </c>
      <c r="CP117">
        <f>MAX( 0, MIN(BedPlan[[#This Row],[Expected End of Harvest]], EOMONTH(CP$4, 0)) - MAX(BedPlan[[#This Row],[Beginning of Harvest]], CP$4) + 1 )</f>
        <v>0</v>
      </c>
      <c r="CQ117">
        <f>MAX( 0, MIN(BedPlan[[#This Row],[Expected End of Harvest]], EOMONTH(CQ$4, 0)) - MAX(BedPlan[[#This Row],[Beginning of Harvest]], CQ$4) + 1 )</f>
        <v>0</v>
      </c>
      <c r="CR117">
        <f>MAX( 0, MIN(BedPlan[[#This Row],[Expected End of Harvest]], EOMONTH(CR$4, 0)) - MAX(BedPlan[[#This Row],[Beginning of Harvest]], CR$4) + 1 )</f>
        <v>15</v>
      </c>
      <c r="CS117">
        <f>MAX( 0, MIN(BedPlan[[#This Row],[Expected End of Harvest]], EOMONTH(CS$4, 0)) - MAX(BedPlan[[#This Row],[Beginning of Harvest]], CS$4) + 1 )</f>
        <v>0</v>
      </c>
      <c r="CT117">
        <f>MAX( 0, MIN(BedPlan[[#This Row],[Expected End of Harvest]], EOMONTH(CT$4, 0)) - MAX(BedPlan[[#This Row],[Beginning of Harvest]], CT$4) + 1 )</f>
        <v>0</v>
      </c>
      <c r="CU117">
        <f>MAX( 0, MIN(BedPlan[[#This Row],[Expected End of Harvest]], EOMONTH(CU$4, 0)) - MAX(BedPlan[[#This Row],[Beginning of Harvest]], CU$4) + 1 )</f>
        <v>0</v>
      </c>
      <c r="CV117">
        <f>MAX( 0, MIN(BedPlan[[#This Row],[Expected End of Harvest]], EOMONTH(CV$4, 0)) - MAX(BedPlan[[#This Row],[Beginning of Harvest]], CV$4) + 1 )</f>
        <v>0</v>
      </c>
      <c r="CW117">
        <f>MAX( 0, MIN(BedPlan[[#This Row],[Expected End of Harvest]], EOMONTH(CW$4, 0)) - MAX(BedPlan[[#This Row],[Beginning of Harvest]], CW$4) + 1 )</f>
        <v>0</v>
      </c>
      <c r="CX117">
        <f>MAX( 0, MIN(BedPlan[[#This Row],[Expected End of Harvest]], EOMONTH(CX$4, 0)) - MAX(BedPlan[[#This Row],[Beginning of Harvest]], CX$4) + 1 )</f>
        <v>0</v>
      </c>
      <c r="CY117">
        <f>MAX( 0, MIN(BedPlan[[#This Row],[Expected End of Harvest]], EOMONTH(CY$4, 0)) - MAX(BedPlan[[#This Row],[Beginning of Harvest]], CY$4) + 1 )</f>
        <v>0</v>
      </c>
      <c r="CZ117">
        <f>MAX( 0, MIN(BedPlan[[#This Row],[Expected End of Harvest]], EOMONTH(CZ$4, 0)) - MAX(BedPlan[[#This Row],[Beginning of Harvest]], CZ$4) + 1 )</f>
        <v>0</v>
      </c>
      <c r="DA117">
        <f>MAX( 0, MIN(BedPlan[[#This Row],[Expected End of Harvest]], EOMONTH(DA$4, 0)) - MAX(BedPlan[[#This Row],[Beginning of Harvest]], DA$4) + 1 )</f>
        <v>0</v>
      </c>
      <c r="DB117">
        <f>MAX( 0, MIN(BedPlan[[#This Row],[Expected End of Harvest]], EOMONTH(DB$4, 0)) - MAX(BedPlan[[#This Row],[Beginning of Harvest]], DB$4) + 1 )</f>
        <v>0</v>
      </c>
      <c r="DC117">
        <f>MAX( 0, MIN(BedPlan[[#This Row],[Expected End of Harvest]], EOMONTH(DC$4, 0)) - MAX(BedPlan[[#This Row],[Beginning of Harvest]], DC$4) + 1 )</f>
        <v>0</v>
      </c>
      <c r="DD117">
        <f>MAX( 0, MIN(BedPlan[[#This Row],[Expected End of Harvest]], EOMONTH(DD$4, 0)) - MAX(BedPlan[[#This Row],[Beginning of Harvest]], DD$4) + 1 )</f>
        <v>0</v>
      </c>
      <c r="DE117">
        <f>MAX( 0, MIN(BedPlan[[#This Row],[Expected End of Harvest]], EOMONTH(DE$4, 0)) - MAX(BedPlan[[#This Row],[Beginning of Harvest]], DE$4) + 1 )</f>
        <v>0</v>
      </c>
      <c r="DF117">
        <f>MAX( 0, MIN(BedPlan[[#This Row],[Expected End of Harvest]], EOMONTH(DF$4, 0)) - MAX(BedPlan[[#This Row],[Beginning of Harvest]], DF$4) + 1 )</f>
        <v>0</v>
      </c>
      <c r="DG117">
        <f>MAX( 0, MIN(BedPlan[[#This Row],[Expected End of Harvest]], EOMONTH(DG$4, 0)) - MAX(BedPlan[[#This Row],[Beginning of Harvest]], DG$4) + 1 )</f>
        <v>0</v>
      </c>
      <c r="DH117">
        <f>MAX( 0, MIN(BedPlan[[#This Row],[Expected End of Harvest]], EOMONTH(DH$4, 0)) - MAX(BedPlan[[#This Row],[Beginning of Harvest]], DH$4) + 1 )</f>
        <v>0</v>
      </c>
      <c r="DI117" s="257" cm="1">
        <f t="array" ref="DI117">BedPlan[[#This Row],[Harvest Days January 2025]]/SUM(BedPlan[[#This Row],[Harvest Days January 2025]:[Harvest Days December 2026]])*BedPlan[[#This Row],[Revenue]:[Revenue]]</f>
        <v>0</v>
      </c>
      <c r="DJ117" s="257" cm="1">
        <f t="array" ref="DJ117">BedPlan[[#This Row],[Harvest Days February 2025]]/SUM(BedPlan[[#This Row],[Harvest Days January 2025]:[Harvest Days December 2026]])*BedPlan[[#This Row],[Revenue]:[Revenue]]</f>
        <v>0</v>
      </c>
      <c r="DK117" s="257" cm="1">
        <f t="array" ref="DK117">BedPlan[[#This Row],[Harvest Days March 2025]]/SUM(BedPlan[[#This Row],[Harvest Days January 2025]:[Harvest Days December 2026]])*BedPlan[[#This Row],[Revenue]:[Revenue]]</f>
        <v>0</v>
      </c>
      <c r="DL117" s="257" cm="1">
        <f t="array" ref="DL117">BedPlan[[#This Row],[Harvest Days April 2025]]/SUM(BedPlan[[#This Row],[Harvest Days January 2025]:[Harvest Days December 2026]])*BedPlan[[#This Row],[Revenue]:[Revenue]]</f>
        <v>0</v>
      </c>
      <c r="DM117" s="257" cm="1">
        <f t="array" ref="DM117">BedPlan[[#This Row],[Harvest Days May 2025]]/SUM(BedPlan[[#This Row],[Harvest Days January 2025]:[Harvest Days December 2026]])*BedPlan[[#This Row],[Revenue]:[Revenue]]</f>
        <v>0</v>
      </c>
      <c r="DN117" s="257" cm="1">
        <f t="array" ref="DN117">BedPlan[[#This Row],[Harvest Days June 2025]]/SUM(BedPlan[[#This Row],[Harvest Days January 2025]:[Harvest Days December 2026]])*BedPlan[[#This Row],[Revenue]:[Revenue]]</f>
        <v>0</v>
      </c>
      <c r="DO117" s="257" cm="1">
        <f t="array" ref="DO117">BedPlan[[#This Row],[Harvest Days July 2025]]/SUM(BedPlan[[#This Row],[Harvest Days January 2025]:[Harvest Days December 2026]])*BedPlan[[#This Row],[Revenue]:[Revenue]]</f>
        <v>0</v>
      </c>
      <c r="DP117" s="257" cm="1">
        <f t="array" ref="DP117">BedPlan[[#This Row],[Harvest Days August 2025]]/SUM(BedPlan[[#This Row],[Harvest Days January 2025]:[Harvest Days December 2026]])*BedPlan[[#This Row],[Revenue]:[Revenue]]</f>
        <v>400</v>
      </c>
      <c r="DQ117" s="257" cm="1">
        <f t="array" ref="DQ117">BedPlan[[#This Row],[Harvest Days September 2025]]/SUM(BedPlan[[#This Row],[Harvest Days January 2025]:[Harvest Days December 2026]])*BedPlan[[#This Row],[Revenue]:[Revenue]]</f>
        <v>0</v>
      </c>
      <c r="DR117" s="257" cm="1">
        <f t="array" ref="DR117">BedPlan[[#This Row],[Harvest Days October 2025]]/SUM(BedPlan[[#This Row],[Harvest Days January 2025]:[Harvest Days December 2026]])*BedPlan[[#This Row],[Revenue]:[Revenue]]</f>
        <v>0</v>
      </c>
      <c r="DS117" s="257" cm="1">
        <f t="array" ref="DS117">BedPlan[[#This Row],[Harvest Days November 2025]]/SUM(BedPlan[[#This Row],[Harvest Days January 2025]:[Harvest Days December 2026]])*BedPlan[[#This Row],[Revenue]:[Revenue]]</f>
        <v>0</v>
      </c>
      <c r="DT117" s="257" cm="1">
        <f t="array" ref="DT117">BedPlan[[#This Row],[Harvest Days December 2025]]/SUM(BedPlan[[#This Row],[Harvest Days January 2025]:[Harvest Days December 2026]])*BedPlan[[#This Row],[Revenue]:[Revenue]]</f>
        <v>0</v>
      </c>
      <c r="DU117" s="257" cm="1">
        <f t="array" ref="DU117">BedPlan[[#This Row],[Harvest Days January 2026]]/SUM(BedPlan[[#This Row],[Harvest Days January 2025]:[Harvest Days December 2026]])*BedPlan[[#This Row],[Revenue]:[Revenue]]</f>
        <v>0</v>
      </c>
      <c r="DV117" s="257" cm="1">
        <f t="array" ref="DV117">BedPlan[[#This Row],[Harvest Days February 2026]]/SUM(BedPlan[[#This Row],[Harvest Days January 2025]:[Harvest Days December 2026]])*BedPlan[[#This Row],[Revenue]:[Revenue]]</f>
        <v>0</v>
      </c>
      <c r="DW117" s="257" cm="1">
        <f t="array" ref="DW117">BedPlan[[#This Row],[Harvest Days March 2026]]/SUM(BedPlan[[#This Row],[Harvest Days January 2025]:[Harvest Days December 2026]])*BedPlan[[#This Row],[Revenue]:[Revenue]]</f>
        <v>0</v>
      </c>
      <c r="DX117" s="257" cm="1">
        <f t="array" ref="DX117">BedPlan[[#This Row],[Harvest Days April 2026]]/SUM(BedPlan[[#This Row],[Harvest Days January 2025]:[Harvest Days December 2026]])*BedPlan[[#This Row],[Revenue]:[Revenue]]</f>
        <v>0</v>
      </c>
      <c r="DY117" s="257" cm="1">
        <f t="array" ref="DY117">BedPlan[[#This Row],[Harvest Days May 2026]]/SUM(BedPlan[[#This Row],[Harvest Days January 2025]:[Harvest Days December 2026]])*BedPlan[[#This Row],[Revenue]:[Revenue]]</f>
        <v>0</v>
      </c>
      <c r="DZ117" s="257" cm="1">
        <f t="array" ref="DZ117">BedPlan[[#This Row],[Harvest Days June 2026]]/SUM(BedPlan[[#This Row],[Harvest Days January 2025]:[Harvest Days December 2026]])*BedPlan[[#This Row],[Revenue]:[Revenue]]</f>
        <v>0</v>
      </c>
      <c r="EA117" s="257" cm="1">
        <f t="array" ref="EA117">BedPlan[[#This Row],[Harvest Days July 2026]]/SUM(BedPlan[[#This Row],[Harvest Days January 2025]:[Harvest Days December 2026]])*BedPlan[[#This Row],[Revenue]:[Revenue]]</f>
        <v>0</v>
      </c>
      <c r="EB117" s="257" cm="1">
        <f t="array" ref="EB117">BedPlan[[#This Row],[Harvest Days August 2026]]/SUM(BedPlan[[#This Row],[Harvest Days January 2025]:[Harvest Days December 2026]])*BedPlan[[#This Row],[Revenue]:[Revenue]]</f>
        <v>0</v>
      </c>
      <c r="EC117" s="257" cm="1">
        <f t="array" ref="EC117">BedPlan[[#This Row],[Harvest Days September 2026]]/SUM(BedPlan[[#This Row],[Harvest Days January 2025]:[Harvest Days December 2026]])*BedPlan[[#This Row],[Revenue]:[Revenue]]</f>
        <v>0</v>
      </c>
      <c r="ED117" s="257" cm="1">
        <f t="array" ref="ED117">BedPlan[[#This Row],[Harvest Days October 2026]]/SUM(BedPlan[[#This Row],[Harvest Days January 2025]:[Harvest Days December 2026]])*BedPlan[[#This Row],[Revenue]:[Revenue]]</f>
        <v>0</v>
      </c>
      <c r="EE117" s="257" cm="1">
        <f t="array" ref="EE117">BedPlan[[#This Row],[Harvest Days November 2026]]/SUM(BedPlan[[#This Row],[Harvest Days January 2025]:[Harvest Days December 2026]])*BedPlan[[#This Row],[Revenue]:[Revenue]]</f>
        <v>0</v>
      </c>
      <c r="EF117" s="257" cm="1">
        <f t="array" ref="EF117">BedPlan[[#This Row],[Harvest Days December 2026]]/SUM(BedPlan[[#This Row],[Harvest Days January 2025]:[Harvest Days December 2026]])*BedPlan[[#This Row],[Revenue]:[Revenue]]</f>
        <v>0</v>
      </c>
      <c r="EG117" t="b">
        <f>SUM(BedPlan[[#This Row],[Revenue January 2025]:[Revenue December 2026]])=BedPlan[[#This Row],[Revenue]]</f>
        <v>1</v>
      </c>
      <c r="EH117" s="30" cm="1">
        <f t="array" ref="EH117">INDEX(Crops[],BedPlan[[#This Row],[Chart Index]],EH$4,1)*BedPlan[[#This Row],['# Of Beds]]</f>
        <v>160</v>
      </c>
      <c r="EI117" s="30" t="str" cm="1">
        <f t="array" ref="EI117">INDEX(Crops[],BedPlan[[#This Row],[Chart Index]],EI$4,1)</f>
        <v>Bunch</v>
      </c>
      <c r="EJ117" s="30" t="str" cm="1">
        <f t="array" ref="EJ117">INDEX(Crops[],BedPlan[[#This Row],[Chart Index]],EJ$4,1)</f>
        <v>Mature Stalk</v>
      </c>
      <c r="EK117" s="30" t="str">
        <f>BedPlan[[#This Row],[Name]]&amp;" "&amp;BedPlan[[#This Row],[Product]]&amp; " - " &amp;BedPlan[[#This Row],[Unit]]</f>
        <v>Scallion Mature Stalk - Bunch</v>
      </c>
      <c r="EL117" s="33" cm="1">
        <f t="array" ref="EL117">BedPlan[[#This Row],[Harvest Days January 2025]]/SUM(BedPlan[[#This Row],[Harvest Days January 2025]:[Harvest Days December 2026]])*BedPlan[[#This Row],[Yield]:[Yield]]</f>
        <v>0</v>
      </c>
      <c r="EM117" s="33" cm="1">
        <f t="array" ref="EM117">BedPlan[[#This Row],[Harvest Days February 2025]]/SUM(BedPlan[[#This Row],[Harvest Days January 2025]:[Harvest Days December 2026]])*BedPlan[[#This Row],[Yield]:[Yield]]</f>
        <v>0</v>
      </c>
      <c r="EN117" s="33" cm="1">
        <f t="array" ref="EN117">BedPlan[[#This Row],[Harvest Days March 2025]]/SUM(BedPlan[[#This Row],[Harvest Days January 2025]:[Harvest Days December 2026]])*BedPlan[[#This Row],[Yield]:[Yield]]</f>
        <v>0</v>
      </c>
      <c r="EO117" s="33" cm="1">
        <f t="array" ref="EO117">BedPlan[[#This Row],[Harvest Days April 2025]]/SUM(BedPlan[[#This Row],[Harvest Days January 2025]:[Harvest Days December 2026]])*BedPlan[[#This Row],[Yield]:[Yield]]</f>
        <v>0</v>
      </c>
      <c r="EP117" s="33" cm="1">
        <f t="array" ref="EP117">BedPlan[[#This Row],[Harvest Days May 2025]]/SUM(BedPlan[[#This Row],[Harvest Days January 2025]:[Harvest Days December 2026]])*BedPlan[[#This Row],[Yield]:[Yield]]</f>
        <v>0</v>
      </c>
      <c r="EQ117" s="33" cm="1">
        <f t="array" ref="EQ117">BedPlan[[#This Row],[Harvest Days June 2025]]/SUM(BedPlan[[#This Row],[Harvest Days January 2025]:[Harvest Days December 2026]])*BedPlan[[#This Row],[Yield]:[Yield]]</f>
        <v>0</v>
      </c>
      <c r="ER117" s="33" cm="1">
        <f t="array" ref="ER117">BedPlan[[#This Row],[Harvest Days July 2025]]/SUM(BedPlan[[#This Row],[Harvest Days January 2025]:[Harvest Days December 2026]])*BedPlan[[#This Row],[Yield]:[Yield]]</f>
        <v>0</v>
      </c>
      <c r="ES117" s="33" cm="1">
        <f t="array" ref="ES117">BedPlan[[#This Row],[Harvest Days August 2025]]/SUM(BedPlan[[#This Row],[Harvest Days January 2025]:[Harvest Days December 2026]])*BedPlan[[#This Row],[Yield]:[Yield]]</f>
        <v>160</v>
      </c>
      <c r="ET117" s="33" cm="1">
        <f t="array" ref="ET117">BedPlan[[#This Row],[Harvest Days September 2025]]/SUM(BedPlan[[#This Row],[Harvest Days January 2025]:[Harvest Days December 2026]])*BedPlan[[#This Row],[Yield]:[Yield]]</f>
        <v>0</v>
      </c>
      <c r="EU117" s="33" cm="1">
        <f t="array" ref="EU117">BedPlan[[#This Row],[Harvest Days October 2025]]/SUM(BedPlan[[#This Row],[Harvest Days January 2025]:[Harvest Days December 2026]])*BedPlan[[#This Row],[Yield]:[Yield]]</f>
        <v>0</v>
      </c>
      <c r="EV117" s="33" cm="1">
        <f t="array" ref="EV117">BedPlan[[#This Row],[Harvest Days November 2025]]/SUM(BedPlan[[#This Row],[Harvest Days January 2025]:[Harvest Days December 2026]])*BedPlan[[#This Row],[Yield]:[Yield]]</f>
        <v>0</v>
      </c>
      <c r="EW117" s="33" cm="1">
        <f t="array" ref="EW117">BedPlan[[#This Row],[Harvest Days December 2025]]/SUM(BedPlan[[#This Row],[Harvest Days January 2025]:[Harvest Days December 2026]])*BedPlan[[#This Row],[Yield]:[Yield]]</f>
        <v>0</v>
      </c>
    </row>
    <row r="118" spans="1:153" ht="15.75" customHeight="1">
      <c r="A118" s="185" t="s">
        <v>3189</v>
      </c>
      <c r="B118" s="240" t="s">
        <v>2764</v>
      </c>
      <c r="C118" s="226" t="s">
        <v>1442</v>
      </c>
      <c r="D118" s="226" cm="1">
        <f t="array" ref="D118">INDEX(Crops[],BedPlan[[#This Row],[Chart Index]],D$4,1)*BedPlan[[#This Row],[Full Bed Equivalent]]</f>
        <v>50</v>
      </c>
      <c r="E118" s="226" cm="1">
        <f t="array" ref="E118">INDEX(Crops[],BedPlan[[#This Row],[Chart Index]],E$4,1)*BedPlan[[#This Row],[Full Bed Equivalent]]</f>
        <v>100</v>
      </c>
      <c r="F118" s="34" t="str">
        <f>UPPER(LEFT(BedPlan[[#This Row],[Crop]],3))</f>
        <v>SCA</v>
      </c>
      <c r="G118" s="227"/>
      <c r="H118" s="143" t="str" cm="1">
        <f t="array" ref="H118">INDEX(Crops[],BedPlan[[#This Row],[Chart Index]],H$4,1)</f>
        <v>Scallion</v>
      </c>
      <c r="I118" s="227" t="s">
        <v>1851</v>
      </c>
      <c r="J118" s="227"/>
      <c r="K118" s="34" t="str" cm="1">
        <f t="array" ref="K118">IF(ISNUMBER(MATCH(BedPlan[[#This Row],[Variety]],SeedMixes[Name],)),_xlfn.TEXTJOIN(", ",TRUE,_xlfn._xlws.FILTER(SeedMixes[Variety &amp; Company],SeedMixes[Name]=BedPlan[[#This Row],[Variety]])),"")</f>
        <v>Ishikura Long Winter Uprising, Parade High Mowing, White Spear Adaptive</v>
      </c>
      <c r="L118" s="229" cm="1">
        <f t="array" ref="L118">INDEX(Crops[],BedPlan[[#This Row],[Chart Index]],L$4,1)*BedPlan[[#This Row],[Full Bed Equivalent]]</f>
        <v>1320</v>
      </c>
      <c r="N118" s="227">
        <v>0.5</v>
      </c>
      <c r="O118" s="227">
        <f>MAX(BedPlan[[#This Row],['# Of Beds]],0.5)</f>
        <v>0.5</v>
      </c>
      <c r="P118" s="230">
        <f>IF(ISNUMBER(BedPlan[[#This Row],[Planned Greenhouse Start Date]]),BedPlan[[#This Row],[Planned Greenhouse Start Date]],BedPlan[[#This Row],[Planned TP or DS Date]])</f>
        <v>45760</v>
      </c>
      <c r="Q118" s="261">
        <f>IF(BedPlan[[#This Row],[Days in Cells]]=0,"",IFERROR(_xlfn.XLOOKUP(BedPlan[[#This Row],[Follows Crop]],BedPlan[Identifier],BedPlan[Expected End of Harvest]) + 1+BedPlan[[#This Row],[Follow Offset]],BedPlan[[#This Row],[Fixed Field Start Date]])-BedPlan[[#This Row],[Days in Cells]])</f>
        <v>45760</v>
      </c>
      <c r="R118" s="261">
        <v>45761</v>
      </c>
      <c r="S118" s="261">
        <f>IF(ISNUMBER(BedPlan[[#This Row],[Actual Greenhouse Date]]),BedPlan[[#This Row],[Actual Greenhouse Date]],BedPlan[[#This Row],[Planned Greenhouse Start Date]])</f>
        <v>45761</v>
      </c>
      <c r="T118" s="262">
        <f>_xlfn.XLOOKUP(BedPlan[[#This Row],[Crop]],Crops[Identifier],Crops[Target Field Date])+42</f>
        <v>45802</v>
      </c>
      <c r="U118" s="263"/>
      <c r="V118" s="263"/>
      <c r="W118"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45803</v>
      </c>
      <c r="X118" s="265">
        <v>45795</v>
      </c>
      <c r="Y118" s="270">
        <f>BedPlan[[#This Row],[Actual TP or DS Date]]-BedPlan[[#This Row],[Planned TP or DS Date]]</f>
        <v>-8</v>
      </c>
      <c r="Z118" s="261">
        <f>IF(ISNUMBER(BedPlan[[#This Row],[Actual TP or DS Date]]),BedPlan[[#This Row],[Actual TP or DS Date]],BedPlan[[#This Row],[Planned TP or DS Date]])</f>
        <v>45795</v>
      </c>
      <c r="AA118" s="265"/>
      <c r="AB118" s="261">
        <f>IF(ISNUMBER(BedPlan[[#This Row],[Greenhouse Start Date]]),BedPlan[[#This Row],[Greenhouse Start Date]]+BedPlan[[#This Row],[DTM]],BedPlan[[#This Row],[TP or DS Date]]+BedPlan[[#This Row],[DTM]])</f>
        <v>45853</v>
      </c>
      <c r="AC118" s="265"/>
      <c r="AD118" s="261">
        <f>IF(ISNUMBER(BedPlan[[#This Row],[Actual Beginning of Harvest]]),BedPlan[[#This Row],[Actual Beginning of Harvest]],BedPlan[[#This Row],[Expected Beginning of Harvest]])</f>
        <v>45853</v>
      </c>
      <c r="AE118" s="261">
        <f>BedPlan[[#This Row],[Expected Beginning of Harvest]]+BedPlan[[#This Row],[Harvest Window]]+BedPlan[[#This Row],[Additional Days of Harvest]]</f>
        <v>45867</v>
      </c>
      <c r="AF118" s="265"/>
      <c r="AG118" s="261"/>
      <c r="AH118" s="230" t="b">
        <f>IF(AND( BedPlan[[#This Row],[Expected End of Harvest]] &gt;= DATE(2025, 8, 1), BedPlan[[#This Row],[Beginning of Harvest]] &lt;= DATE(2025, 8, 31) ), TRUE, FALSE)</f>
        <v>0</v>
      </c>
      <c r="AI118" s="230"/>
      <c r="AJ118" s="31">
        <f>IF(ISNUMBER(BedPlan[[#This Row],[Actual End of Harvest]]),BedPlan[[#This Row],[Actual End of Harvest]],BedPlan[[#This Row],[Expected End of Harvest]])</f>
        <v>45867</v>
      </c>
      <c r="AK118" s="34" t="b">
        <f>OR(ISNUMBER(BedPlan[[#This Row],[Actual Greenhouse Date]]),ISNUMBER(BedPlan[[#This Row],[Actual TP or DS Date]]))</f>
        <v>1</v>
      </c>
      <c r="AL118" s="34" t="b">
        <f>IF(ISNUMBER(BedPlan[[#This Row],[Planned Greenhouse Start Date]]),OR(ISNUMBER(BedPlan[[#This Row],[Actual TP or DS Date]]),BedPlan[[#This Row],[Failed]]),"-")</f>
        <v>1</v>
      </c>
      <c r="AM118" s="34" t="b">
        <f>OR(ISNUMBER(BedPlan[[#This Row],[Actual End of Harvest]]),BedPlan[[#This Row],[Failed]])</f>
        <v>0</v>
      </c>
      <c r="AN118" s="34" t="b">
        <f>OR(BedPlan[[#This Row],[Harvest Done]],BedPlan[[#This Row],[Failed]],BedPlan[[#This Row],[Name]]="Tarp")</f>
        <v>0</v>
      </c>
      <c r="AO118" s="34"/>
      <c r="AP118" t="b">
        <v>1</v>
      </c>
      <c r="AQ118" t="s">
        <v>3214</v>
      </c>
      <c r="AR118" s="34"/>
      <c r="AS118" s="256" t="str">
        <f>IF(BedPlan[[#This Row],[Broadfork]],BedPlan[[#This Row],[Actual TP or DS Date]],"")</f>
        <v/>
      </c>
      <c r="AT118" s="256">
        <f>IF(BedPlan[[#This Row],[Tilther]],BedPlan[[#This Row],[Actual TP or DS Date]],"")</f>
        <v>45795</v>
      </c>
      <c r="AU118" s="256">
        <f>IF(NOT(ISBLANK(BedPlan[[#This Row],[Amend]])),BedPlan[[#This Row],[Actual TP or DS Date]],"")</f>
        <v>45795</v>
      </c>
      <c r="AV118" s="256" t="str">
        <f>IF(BedPlan[[#This Row],[Row Cover]],BedPlan[[#This Row],[Actual TP or DS Date]],"")</f>
        <v/>
      </c>
      <c r="AW118" s="34"/>
      <c r="AX118" s="256"/>
      <c r="AY118" s="34"/>
      <c r="AZ118" s="256"/>
      <c r="BA118" s="34"/>
      <c r="BB118" s="256"/>
      <c r="BC118" s="231" cm="1">
        <f t="array" ref="BC118">INDEX(Crops[],BedPlan[[#This Row],[Chart Index]],BC$4,1)*BedPlan[[#This Row],[Full Bed Equivalent]]</f>
        <v>250</v>
      </c>
      <c r="BD118" s="231" cm="1">
        <f t="array" ref="BD118">INDEX(Crops[],BedPlan[[#This Row],[Chart Index]],BD$4,1)*BedPlan[[#This Row],[Full Bed Equivalent]]</f>
        <v>3.90625</v>
      </c>
      <c r="BE118" cm="1">
        <f t="array" ref="BE118">INDEX(Crops[],BedPlan[[#This Row],[Chart Index]],BE$4,1)+BedPlan[[#This Row],[Additional Days in Cells]]+BedPlan[[#This Row],[Additional Days In Field]]</f>
        <v>92</v>
      </c>
      <c r="BG118" cm="1">
        <f t="array" ref="BG118">INDEX(Crops[],BedPlan[[#This Row],[Chart Index]],BG$4,1)</f>
        <v>14</v>
      </c>
      <c r="BH118" t="str">
        <f>IF(ISNUMBER(BedPlan[[#This Row],[Planned Greenhouse Start Date]]),"TP","DS")</f>
        <v>TP</v>
      </c>
      <c r="BI118">
        <f>BedPlan[[#This Row],['# Of Beds]]</f>
        <v>0.5</v>
      </c>
      <c r="BJ118" cm="1">
        <f t="array" ref="BJ118">INDEX(Crops[],BedPlan[[#This Row],[Chart Index]],BJ$4,1)</f>
        <v>42</v>
      </c>
      <c r="BK118" cm="1">
        <f t="array" ref="BK118">INDEX(Crops[],BedPlan[[#This Row],[Chart Index]],BK$4,1)</f>
        <v>4</v>
      </c>
      <c r="BL118" cm="1">
        <f t="array" ref="BL118">INDEX(Crops[],BedPlan[[#This Row],[Chart Index]],BL$4,1)</f>
        <v>6</v>
      </c>
      <c r="BM118" cm="1">
        <f t="array" ref="BM118">INDEX(Crops[],BedPlan[[#This Row],[Chart Index]],BM$4,1)</f>
        <v>6</v>
      </c>
      <c r="BN118" s="32" cm="1">
        <f t="array" ref="BN118">INDEX(Crops[],BedPlan[[#This Row],[Chart Index]],BN$4,1)*BedPlan[[#This Row],[Full Bed Equivalent]]</f>
        <v>200</v>
      </c>
      <c r="BO118" t="str" cm="1">
        <f t="array" ref="BO118">IF(INDEX(Crops[],BedPlan[[#This Row],[Chart Index]],BO$4,1)=0,"",INDEX(Crops[],BedPlan[[#This Row],[Chart Index]],BO$4,1))</f>
        <v/>
      </c>
      <c r="BP118">
        <f>MATCH(BedPlan[[#This Row],[Crop]],Crops[Identifier],FALSE)</f>
        <v>282</v>
      </c>
      <c r="BQ118" t="str" cm="1">
        <f t="array" ref="BQ118">INDEX(Crops[],BedPlan[[#This Row],[Chart Index]],BQ$4,1)</f>
        <v>General</v>
      </c>
      <c r="BR118" t="str" cm="1">
        <f t="array" ref="BR118">INDEX(Crops[],BedPlan[[#This Row],[Chart Index]],BR$4,1)</f>
        <v>Sp</v>
      </c>
      <c r="BS118" s="32">
        <f>BedPlan[[#This Row],[Expected Beginning of Harvest]]-DATE(2023,1,1)</f>
        <v>926</v>
      </c>
      <c r="BT118">
        <f>BedPlan[[#This Row],[Expected End of Harvest]]-BedPlan[[#This Row],[Expected Beginning of Harvest]]</f>
        <v>14</v>
      </c>
      <c r="BU118" t="str" cm="1">
        <f t="array" ref="BU118">INDEX(Crops[],BedPlan[[#This Row],[Chart Index]],BU$4,1)</f>
        <v>Onion</v>
      </c>
      <c r="BV118" cm="1">
        <f t="array" ref="BV118">INDEX(Crops[],BedPlan[[#This Row],[Chart Index]],BV$4,1)</f>
        <v>1.5</v>
      </c>
      <c r="BW118" t="str" cm="1">
        <f t="array" ref="BW118">INDEX(Crops[],BedPlan[[#This Row],[Chart Index]],BW$4,1)</f>
        <v>None</v>
      </c>
      <c r="BX118" cm="1">
        <f t="array" ref="BX118">INDEX(Crops[],BedPlan[[#This Row],[Chart Index]],BX$4,1)</f>
        <v>128</v>
      </c>
      <c r="BY118" cm="1">
        <f t="array" ref="BY118">INDEX(Crops[],BedPlan[[#This Row],[Chart Index]],BY$4,1)</f>
        <v>42</v>
      </c>
      <c r="BZ118" s="49" cm="1">
        <f t="array" ref="BZ118">IFERROR(INDEX(Crops[],BedPlan[[#This Row],[Chart Index]],BZ$4,1)*BedPlan[[#This Row],[Full Bed Equivalent]],"")</f>
        <v>1.7187500000000002</v>
      </c>
      <c r="CA118" cm="1">
        <f t="array" ref="CA118">INDEX(Crops[],BedPlan[[#This Row],[Chart Index]],CA$4,1)</f>
        <v>0</v>
      </c>
      <c r="CB118" cm="1">
        <f t="array" ref="CB118">INDEX(Crops[],BedPlan[[#This Row],[Chart Index]],CB$4,1)</f>
        <v>0</v>
      </c>
      <c r="CC118" s="49" t="str" cm="1">
        <f t="array" ref="CC118">IFERROR(INDEX(Crops[],BedPlan[[#This Row],[Chart Index]],CC$4,1)*BedPlan[[#This Row],[Full Bed Equivalent]],"")</f>
        <v/>
      </c>
      <c r="CD118" cm="1">
        <f t="array" ref="CD118">INDEX(Crops[],BedPlan[[#This Row],[Chart Index]],CD$4,1)</f>
        <v>0</v>
      </c>
      <c r="CE118" cm="1">
        <f t="array" ref="CE118">IF(INDEX(Crops[],BedPlan[[#This Row],[Chart Index]],CE$4,1)="",0,INDEX(Crops[],BedPlan[[#This Row],[Chart Index]],CE$4,1))</f>
        <v>0</v>
      </c>
      <c r="CF118" s="49" t="str" cm="1">
        <f t="array" ref="CF118">IFERROR(INDEX(Crops[],BedPlan[[#This Row],[Chart Index]],CF$4,1)*BedPlan[[#This Row],[Full Bed Equivalent]],"")</f>
        <v/>
      </c>
      <c r="CG118" cm="1">
        <f t="array" ref="CG118">IF(INDEX(Crops[],BedPlan[[#This Row],[Chart Index]],CG$4,1)="",0,INDEX(Crops[],BedPlan[[#This Row],[Chart Index]],CG$4,1))</f>
        <v>1.1000000000000001</v>
      </c>
      <c r="CH118" cm="1">
        <f t="array" ref="CH118">IF(INDEX(Crops[],BedPlan[[#This Row],[Chart Index]],CH$4,1)="",0,INDEX(Crops[],BedPlan[[#This Row],[Chart Index]],CH$4,1))</f>
        <v>17</v>
      </c>
      <c r="CI118" t="str" cm="1">
        <f t="array" ref="CI118">INDEX(Crops[],BedPlan[[#This Row],[Chart Index]],CI$4,1)</f>
        <v>Field</v>
      </c>
      <c r="CJ118" s="30" t="str">
        <f>_xlfn.TEXTJOIN(CHAR(10),FALSE,BedPlan[[#This Row],[Name]],BedPlan[[#This Row],[Variety]],BedPlan[[#This Row],[Company]])</f>
        <v xml:space="preserve">Scallion
Scallion Mix
</v>
      </c>
      <c r="CK118" s="32">
        <f>MAX( 0, MIN(BedPlan[[#This Row],[Expected End of Harvest]], EOMONTH(CK$4, 0)) - MAX(BedPlan[[#This Row],[Beginning of Harvest]], CK$4) + 1 )</f>
        <v>0</v>
      </c>
      <c r="CL118">
        <f>MAX( 0, MIN(BedPlan[[#This Row],[Expected End of Harvest]], EOMONTH(CL$4, 0)) - MAX(BedPlan[[#This Row],[Beginning of Harvest]], CL$4) + 1 )</f>
        <v>0</v>
      </c>
      <c r="CM118">
        <f>MAX( 0, MIN(BedPlan[[#This Row],[Expected End of Harvest]], EOMONTH(CM$4, 0)) - MAX(BedPlan[[#This Row],[Beginning of Harvest]], CM$4) + 1 )</f>
        <v>0</v>
      </c>
      <c r="CN118">
        <f>MAX( 0, MIN(BedPlan[[#This Row],[Expected End of Harvest]], EOMONTH(CN$4, 0)) - MAX(BedPlan[[#This Row],[Beginning of Harvest]], CN$4) + 1 )</f>
        <v>0</v>
      </c>
      <c r="CO118">
        <f>MAX( 0, MIN(BedPlan[[#This Row],[Expected End of Harvest]], EOMONTH(CO$4, 0)) - MAX(BedPlan[[#This Row],[Beginning of Harvest]], CO$4) + 1 )</f>
        <v>0</v>
      </c>
      <c r="CP118">
        <f>MAX( 0, MIN(BedPlan[[#This Row],[Expected End of Harvest]], EOMONTH(CP$4, 0)) - MAX(BedPlan[[#This Row],[Beginning of Harvest]], CP$4) + 1 )</f>
        <v>0</v>
      </c>
      <c r="CQ118">
        <f>MAX( 0, MIN(BedPlan[[#This Row],[Expected End of Harvest]], EOMONTH(CQ$4, 0)) - MAX(BedPlan[[#This Row],[Beginning of Harvest]], CQ$4) + 1 )</f>
        <v>15</v>
      </c>
      <c r="CR118">
        <f>MAX( 0, MIN(BedPlan[[#This Row],[Expected End of Harvest]], EOMONTH(CR$4, 0)) - MAX(BedPlan[[#This Row],[Beginning of Harvest]], CR$4) + 1 )</f>
        <v>0</v>
      </c>
      <c r="CS118">
        <f>MAX( 0, MIN(BedPlan[[#This Row],[Expected End of Harvest]], EOMONTH(CS$4, 0)) - MAX(BedPlan[[#This Row],[Beginning of Harvest]], CS$4) + 1 )</f>
        <v>0</v>
      </c>
      <c r="CT118">
        <f>MAX( 0, MIN(BedPlan[[#This Row],[Expected End of Harvest]], EOMONTH(CT$4, 0)) - MAX(BedPlan[[#This Row],[Beginning of Harvest]], CT$4) + 1 )</f>
        <v>0</v>
      </c>
      <c r="CU118">
        <f>MAX( 0, MIN(BedPlan[[#This Row],[Expected End of Harvest]], EOMONTH(CU$4, 0)) - MAX(BedPlan[[#This Row],[Beginning of Harvest]], CU$4) + 1 )</f>
        <v>0</v>
      </c>
      <c r="CV118">
        <f>MAX( 0, MIN(BedPlan[[#This Row],[Expected End of Harvest]], EOMONTH(CV$4, 0)) - MAX(BedPlan[[#This Row],[Beginning of Harvest]], CV$4) + 1 )</f>
        <v>0</v>
      </c>
      <c r="CW118">
        <f>MAX( 0, MIN(BedPlan[[#This Row],[Expected End of Harvest]], EOMONTH(CW$4, 0)) - MAX(BedPlan[[#This Row],[Beginning of Harvest]], CW$4) + 1 )</f>
        <v>0</v>
      </c>
      <c r="CX118">
        <f>MAX( 0, MIN(BedPlan[[#This Row],[Expected End of Harvest]], EOMONTH(CX$4, 0)) - MAX(BedPlan[[#This Row],[Beginning of Harvest]], CX$4) + 1 )</f>
        <v>0</v>
      </c>
      <c r="CY118">
        <f>MAX( 0, MIN(BedPlan[[#This Row],[Expected End of Harvest]], EOMONTH(CY$4, 0)) - MAX(BedPlan[[#This Row],[Beginning of Harvest]], CY$4) + 1 )</f>
        <v>0</v>
      </c>
      <c r="CZ118">
        <f>MAX( 0, MIN(BedPlan[[#This Row],[Expected End of Harvest]], EOMONTH(CZ$4, 0)) - MAX(BedPlan[[#This Row],[Beginning of Harvest]], CZ$4) + 1 )</f>
        <v>0</v>
      </c>
      <c r="DA118">
        <f>MAX( 0, MIN(BedPlan[[#This Row],[Expected End of Harvest]], EOMONTH(DA$4, 0)) - MAX(BedPlan[[#This Row],[Beginning of Harvest]], DA$4) + 1 )</f>
        <v>0</v>
      </c>
      <c r="DB118">
        <f>MAX( 0, MIN(BedPlan[[#This Row],[Expected End of Harvest]], EOMONTH(DB$4, 0)) - MAX(BedPlan[[#This Row],[Beginning of Harvest]], DB$4) + 1 )</f>
        <v>0</v>
      </c>
      <c r="DC118">
        <f>MAX( 0, MIN(BedPlan[[#This Row],[Expected End of Harvest]], EOMONTH(DC$4, 0)) - MAX(BedPlan[[#This Row],[Beginning of Harvest]], DC$4) + 1 )</f>
        <v>0</v>
      </c>
      <c r="DD118">
        <f>MAX( 0, MIN(BedPlan[[#This Row],[Expected End of Harvest]], EOMONTH(DD$4, 0)) - MAX(BedPlan[[#This Row],[Beginning of Harvest]], DD$4) + 1 )</f>
        <v>0</v>
      </c>
      <c r="DE118">
        <f>MAX( 0, MIN(BedPlan[[#This Row],[Expected End of Harvest]], EOMONTH(DE$4, 0)) - MAX(BedPlan[[#This Row],[Beginning of Harvest]], DE$4) + 1 )</f>
        <v>0</v>
      </c>
      <c r="DF118">
        <f>MAX( 0, MIN(BedPlan[[#This Row],[Expected End of Harvest]], EOMONTH(DF$4, 0)) - MAX(BedPlan[[#This Row],[Beginning of Harvest]], DF$4) + 1 )</f>
        <v>0</v>
      </c>
      <c r="DG118">
        <f>MAX( 0, MIN(BedPlan[[#This Row],[Expected End of Harvest]], EOMONTH(DG$4, 0)) - MAX(BedPlan[[#This Row],[Beginning of Harvest]], DG$4) + 1 )</f>
        <v>0</v>
      </c>
      <c r="DH118">
        <f>MAX( 0, MIN(BedPlan[[#This Row],[Expected End of Harvest]], EOMONTH(DH$4, 0)) - MAX(BedPlan[[#This Row],[Beginning of Harvest]], DH$4) + 1 )</f>
        <v>0</v>
      </c>
      <c r="DI118" s="257" cm="1">
        <f t="array" ref="DI118">BedPlan[[#This Row],[Harvest Days January 2025]]/SUM(BedPlan[[#This Row],[Harvest Days January 2025]:[Harvest Days December 2026]])*BedPlan[[#This Row],[Revenue]:[Revenue]]</f>
        <v>0</v>
      </c>
      <c r="DJ118" s="257" cm="1">
        <f t="array" ref="DJ118">BedPlan[[#This Row],[Harvest Days February 2025]]/SUM(BedPlan[[#This Row],[Harvest Days January 2025]:[Harvest Days December 2026]])*BedPlan[[#This Row],[Revenue]:[Revenue]]</f>
        <v>0</v>
      </c>
      <c r="DK118" s="257" cm="1">
        <f t="array" ref="DK118">BedPlan[[#This Row],[Harvest Days March 2025]]/SUM(BedPlan[[#This Row],[Harvest Days January 2025]:[Harvest Days December 2026]])*BedPlan[[#This Row],[Revenue]:[Revenue]]</f>
        <v>0</v>
      </c>
      <c r="DL118" s="257" cm="1">
        <f t="array" ref="DL118">BedPlan[[#This Row],[Harvest Days April 2025]]/SUM(BedPlan[[#This Row],[Harvest Days January 2025]:[Harvest Days December 2026]])*BedPlan[[#This Row],[Revenue]:[Revenue]]</f>
        <v>0</v>
      </c>
      <c r="DM118" s="257" cm="1">
        <f t="array" ref="DM118">BedPlan[[#This Row],[Harvest Days May 2025]]/SUM(BedPlan[[#This Row],[Harvest Days January 2025]:[Harvest Days December 2026]])*BedPlan[[#This Row],[Revenue]:[Revenue]]</f>
        <v>0</v>
      </c>
      <c r="DN118" s="257" cm="1">
        <f t="array" ref="DN118">BedPlan[[#This Row],[Harvest Days June 2025]]/SUM(BedPlan[[#This Row],[Harvest Days January 2025]:[Harvest Days December 2026]])*BedPlan[[#This Row],[Revenue]:[Revenue]]</f>
        <v>0</v>
      </c>
      <c r="DO118" s="257" cm="1">
        <f t="array" ref="DO118">BedPlan[[#This Row],[Harvest Days July 2025]]/SUM(BedPlan[[#This Row],[Harvest Days January 2025]:[Harvest Days December 2026]])*BedPlan[[#This Row],[Revenue]:[Revenue]]</f>
        <v>250</v>
      </c>
      <c r="DP118" s="257" cm="1">
        <f t="array" ref="DP118">BedPlan[[#This Row],[Harvest Days August 2025]]/SUM(BedPlan[[#This Row],[Harvest Days January 2025]:[Harvest Days December 2026]])*BedPlan[[#This Row],[Revenue]:[Revenue]]</f>
        <v>0</v>
      </c>
      <c r="DQ118" s="257" cm="1">
        <f t="array" ref="DQ118">BedPlan[[#This Row],[Harvest Days September 2025]]/SUM(BedPlan[[#This Row],[Harvest Days January 2025]:[Harvest Days December 2026]])*BedPlan[[#This Row],[Revenue]:[Revenue]]</f>
        <v>0</v>
      </c>
      <c r="DR118" s="257" cm="1">
        <f t="array" ref="DR118">BedPlan[[#This Row],[Harvest Days October 2025]]/SUM(BedPlan[[#This Row],[Harvest Days January 2025]:[Harvest Days December 2026]])*BedPlan[[#This Row],[Revenue]:[Revenue]]</f>
        <v>0</v>
      </c>
      <c r="DS118" s="257" cm="1">
        <f t="array" ref="DS118">BedPlan[[#This Row],[Harvest Days November 2025]]/SUM(BedPlan[[#This Row],[Harvest Days January 2025]:[Harvest Days December 2026]])*BedPlan[[#This Row],[Revenue]:[Revenue]]</f>
        <v>0</v>
      </c>
      <c r="DT118" s="257" cm="1">
        <f t="array" ref="DT118">BedPlan[[#This Row],[Harvest Days December 2025]]/SUM(BedPlan[[#This Row],[Harvest Days January 2025]:[Harvest Days December 2026]])*BedPlan[[#This Row],[Revenue]:[Revenue]]</f>
        <v>0</v>
      </c>
      <c r="DU118" s="257" cm="1">
        <f t="array" ref="DU118">BedPlan[[#This Row],[Harvest Days January 2026]]/SUM(BedPlan[[#This Row],[Harvest Days January 2025]:[Harvest Days December 2026]])*BedPlan[[#This Row],[Revenue]:[Revenue]]</f>
        <v>0</v>
      </c>
      <c r="DV118" s="257" cm="1">
        <f t="array" ref="DV118">BedPlan[[#This Row],[Harvest Days February 2026]]/SUM(BedPlan[[#This Row],[Harvest Days January 2025]:[Harvest Days December 2026]])*BedPlan[[#This Row],[Revenue]:[Revenue]]</f>
        <v>0</v>
      </c>
      <c r="DW118" s="257" cm="1">
        <f t="array" ref="DW118">BedPlan[[#This Row],[Harvest Days March 2026]]/SUM(BedPlan[[#This Row],[Harvest Days January 2025]:[Harvest Days December 2026]])*BedPlan[[#This Row],[Revenue]:[Revenue]]</f>
        <v>0</v>
      </c>
      <c r="DX118" s="257" cm="1">
        <f t="array" ref="DX118">BedPlan[[#This Row],[Harvest Days April 2026]]/SUM(BedPlan[[#This Row],[Harvest Days January 2025]:[Harvest Days December 2026]])*BedPlan[[#This Row],[Revenue]:[Revenue]]</f>
        <v>0</v>
      </c>
      <c r="DY118" s="257" cm="1">
        <f t="array" ref="DY118">BedPlan[[#This Row],[Harvest Days May 2026]]/SUM(BedPlan[[#This Row],[Harvest Days January 2025]:[Harvest Days December 2026]])*BedPlan[[#This Row],[Revenue]:[Revenue]]</f>
        <v>0</v>
      </c>
      <c r="DZ118" s="257" cm="1">
        <f t="array" ref="DZ118">BedPlan[[#This Row],[Harvest Days June 2026]]/SUM(BedPlan[[#This Row],[Harvest Days January 2025]:[Harvest Days December 2026]])*BedPlan[[#This Row],[Revenue]:[Revenue]]</f>
        <v>0</v>
      </c>
      <c r="EA118" s="257" cm="1">
        <f t="array" ref="EA118">BedPlan[[#This Row],[Harvest Days July 2026]]/SUM(BedPlan[[#This Row],[Harvest Days January 2025]:[Harvest Days December 2026]])*BedPlan[[#This Row],[Revenue]:[Revenue]]</f>
        <v>0</v>
      </c>
      <c r="EB118" s="257" cm="1">
        <f t="array" ref="EB118">BedPlan[[#This Row],[Harvest Days August 2026]]/SUM(BedPlan[[#This Row],[Harvest Days January 2025]:[Harvest Days December 2026]])*BedPlan[[#This Row],[Revenue]:[Revenue]]</f>
        <v>0</v>
      </c>
      <c r="EC118" s="257" cm="1">
        <f t="array" ref="EC118">BedPlan[[#This Row],[Harvest Days September 2026]]/SUM(BedPlan[[#This Row],[Harvest Days January 2025]:[Harvest Days December 2026]])*BedPlan[[#This Row],[Revenue]:[Revenue]]</f>
        <v>0</v>
      </c>
      <c r="ED118" s="257" cm="1">
        <f t="array" ref="ED118">BedPlan[[#This Row],[Harvest Days October 2026]]/SUM(BedPlan[[#This Row],[Harvest Days January 2025]:[Harvest Days December 2026]])*BedPlan[[#This Row],[Revenue]:[Revenue]]</f>
        <v>0</v>
      </c>
      <c r="EE118" s="257" cm="1">
        <f t="array" ref="EE118">BedPlan[[#This Row],[Harvest Days November 2026]]/SUM(BedPlan[[#This Row],[Harvest Days January 2025]:[Harvest Days December 2026]])*BedPlan[[#This Row],[Revenue]:[Revenue]]</f>
        <v>0</v>
      </c>
      <c r="EF118" s="257" cm="1">
        <f t="array" ref="EF118">BedPlan[[#This Row],[Harvest Days December 2026]]/SUM(BedPlan[[#This Row],[Harvest Days January 2025]:[Harvest Days December 2026]])*BedPlan[[#This Row],[Revenue]:[Revenue]]</f>
        <v>0</v>
      </c>
      <c r="EG118" t="b">
        <f>SUM(BedPlan[[#This Row],[Revenue January 2025]:[Revenue December 2026]])=BedPlan[[#This Row],[Revenue]]</f>
        <v>1</v>
      </c>
      <c r="EH118" s="30" cm="1">
        <f t="array" ref="EH118">INDEX(Crops[],BedPlan[[#This Row],[Chart Index]],EH$4,1)*BedPlan[[#This Row],['# Of Beds]]</f>
        <v>100</v>
      </c>
      <c r="EI118" s="30" t="str" cm="1">
        <f t="array" ref="EI118">INDEX(Crops[],BedPlan[[#This Row],[Chart Index]],EI$4,1)</f>
        <v>Bunch</v>
      </c>
      <c r="EJ118" s="30" t="str" cm="1">
        <f t="array" ref="EJ118">INDEX(Crops[],BedPlan[[#This Row],[Chart Index]],EJ$4,1)</f>
        <v>Mature Stalk</v>
      </c>
      <c r="EK118" s="30" t="str">
        <f>BedPlan[[#This Row],[Name]]&amp;" "&amp;BedPlan[[#This Row],[Product]]&amp; " - " &amp;BedPlan[[#This Row],[Unit]]</f>
        <v>Scallion Mature Stalk - Bunch</v>
      </c>
      <c r="EL118" s="33" cm="1">
        <f t="array" ref="EL118">BedPlan[[#This Row],[Harvest Days January 2025]]/SUM(BedPlan[[#This Row],[Harvest Days January 2025]:[Harvest Days December 2026]])*BedPlan[[#This Row],[Yield]:[Yield]]</f>
        <v>0</v>
      </c>
      <c r="EM118" s="33" cm="1">
        <f t="array" ref="EM118">BedPlan[[#This Row],[Harvest Days February 2025]]/SUM(BedPlan[[#This Row],[Harvest Days January 2025]:[Harvest Days December 2026]])*BedPlan[[#This Row],[Yield]:[Yield]]</f>
        <v>0</v>
      </c>
      <c r="EN118" s="33" cm="1">
        <f t="array" ref="EN118">BedPlan[[#This Row],[Harvest Days March 2025]]/SUM(BedPlan[[#This Row],[Harvest Days January 2025]:[Harvest Days December 2026]])*BedPlan[[#This Row],[Yield]:[Yield]]</f>
        <v>0</v>
      </c>
      <c r="EO118" s="33" cm="1">
        <f t="array" ref="EO118">BedPlan[[#This Row],[Harvest Days April 2025]]/SUM(BedPlan[[#This Row],[Harvest Days January 2025]:[Harvest Days December 2026]])*BedPlan[[#This Row],[Yield]:[Yield]]</f>
        <v>0</v>
      </c>
      <c r="EP118" s="33" cm="1">
        <f t="array" ref="EP118">BedPlan[[#This Row],[Harvest Days May 2025]]/SUM(BedPlan[[#This Row],[Harvest Days January 2025]:[Harvest Days December 2026]])*BedPlan[[#This Row],[Yield]:[Yield]]</f>
        <v>0</v>
      </c>
      <c r="EQ118" s="33" cm="1">
        <f t="array" ref="EQ118">BedPlan[[#This Row],[Harvest Days June 2025]]/SUM(BedPlan[[#This Row],[Harvest Days January 2025]:[Harvest Days December 2026]])*BedPlan[[#This Row],[Yield]:[Yield]]</f>
        <v>0</v>
      </c>
      <c r="ER118" s="33" cm="1">
        <f t="array" ref="ER118">BedPlan[[#This Row],[Harvest Days July 2025]]/SUM(BedPlan[[#This Row],[Harvest Days January 2025]:[Harvest Days December 2026]])*BedPlan[[#This Row],[Yield]:[Yield]]</f>
        <v>100</v>
      </c>
      <c r="ES118" s="33" cm="1">
        <f t="array" ref="ES118">BedPlan[[#This Row],[Harvest Days August 2025]]/SUM(BedPlan[[#This Row],[Harvest Days January 2025]:[Harvest Days December 2026]])*BedPlan[[#This Row],[Yield]:[Yield]]</f>
        <v>0</v>
      </c>
      <c r="ET118" s="33" cm="1">
        <f t="array" ref="ET118">BedPlan[[#This Row],[Harvest Days September 2025]]/SUM(BedPlan[[#This Row],[Harvest Days January 2025]:[Harvest Days December 2026]])*BedPlan[[#This Row],[Yield]:[Yield]]</f>
        <v>0</v>
      </c>
      <c r="EU118" s="33" cm="1">
        <f t="array" ref="EU118">BedPlan[[#This Row],[Harvest Days October 2025]]/SUM(BedPlan[[#This Row],[Harvest Days January 2025]:[Harvest Days December 2026]])*BedPlan[[#This Row],[Yield]:[Yield]]</f>
        <v>0</v>
      </c>
      <c r="EV118" s="33" cm="1">
        <f t="array" ref="EV118">BedPlan[[#This Row],[Harvest Days November 2025]]/SUM(BedPlan[[#This Row],[Harvest Days January 2025]:[Harvest Days December 2026]])*BedPlan[[#This Row],[Yield]:[Yield]]</f>
        <v>0</v>
      </c>
      <c r="EW118" s="33" cm="1">
        <f t="array" ref="EW118">BedPlan[[#This Row],[Harvest Days December 2025]]/SUM(BedPlan[[#This Row],[Harvest Days January 2025]:[Harvest Days December 2026]])*BedPlan[[#This Row],[Yield]:[Yield]]</f>
        <v>0</v>
      </c>
    </row>
    <row r="119" spans="1:153" ht="15.75" customHeight="1">
      <c r="A119" s="186" t="s">
        <v>1541</v>
      </c>
      <c r="B119" t="s">
        <v>1802</v>
      </c>
      <c r="C119" s="226" t="s">
        <v>1498</v>
      </c>
      <c r="D119" s="226" t="e" cm="1">
        <f t="array" ref="D119">INDEX(Crops[],BedPlan[[#This Row],[Chart Index]],D$4,1)*BedPlan[[#This Row],[Full Bed Equivalent]]</f>
        <v>#DIV/0!</v>
      </c>
      <c r="E119" s="226" t="e" cm="1">
        <f t="array" ref="E119">INDEX(Crops[],BedPlan[[#This Row],[Chart Index]],E$4,1)*BedPlan[[#This Row],[Full Bed Equivalent]]</f>
        <v>#DIV/0!</v>
      </c>
      <c r="F119" s="34" t="s">
        <v>2697</v>
      </c>
      <c r="G119" s="227" t="s">
        <v>2698</v>
      </c>
      <c r="H119" s="143" t="s">
        <v>122</v>
      </c>
      <c r="I119" s="227" t="s">
        <v>1927</v>
      </c>
      <c r="J119" s="227"/>
      <c r="K119" s="34" t="s">
        <v>2699</v>
      </c>
      <c r="L119" s="229">
        <v>117</v>
      </c>
      <c r="N119" s="227">
        <v>0.4</v>
      </c>
      <c r="O119" s="227">
        <f>MAX(BedPlan[[#This Row],['# Of Beds]],0.5)</f>
        <v>0.5</v>
      </c>
      <c r="P119" s="230">
        <v>45374</v>
      </c>
      <c r="Q119" s="261">
        <f>IF(BedPlan[[#This Row],[Days in Cells]]=0,"",IFERROR(_xlfn.XLOOKUP(BedPlan[[#This Row],[Follows Crop]],BedPlan[Identifier],BedPlan[Expected End of Harvest]) + 1+BedPlan[[#This Row],[Follow Offset]],BedPlan[[#This Row],[Fixed Field Start Date]])-BedPlan[[#This Row],[Days in Cells]])</f>
        <v>45383</v>
      </c>
      <c r="R119" s="261">
        <v>45374</v>
      </c>
      <c r="S119" s="261">
        <v>45374</v>
      </c>
      <c r="T119" s="262">
        <v>45411</v>
      </c>
      <c r="U119" s="263"/>
      <c r="V119" s="263"/>
      <c r="W119"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45402</v>
      </c>
      <c r="X119" s="265">
        <v>45408</v>
      </c>
      <c r="Y119" s="270">
        <f>BedPlan[[#This Row],[Actual TP or DS Date]]-BedPlan[[#This Row],[Planned TP or DS Date]]</f>
        <v>6</v>
      </c>
      <c r="Z119" s="261">
        <v>45408</v>
      </c>
      <c r="AA119" s="264"/>
      <c r="AB119" s="261">
        <v>45444</v>
      </c>
      <c r="AC119" s="265"/>
      <c r="AD119" s="261">
        <v>45444</v>
      </c>
      <c r="AE119" s="261">
        <v>45668</v>
      </c>
      <c r="AF119" s="265">
        <v>45688</v>
      </c>
      <c r="AG119" s="261"/>
      <c r="AH119" s="230" t="b">
        <f>IF(AND( BedPlan[[#This Row],[Expected End of Harvest]] &gt;= DATE(2025, 8, 1), BedPlan[[#This Row],[Beginning of Harvest]] &lt;= DATE(2025, 8, 31) ), TRUE, FALSE)</f>
        <v>0</v>
      </c>
      <c r="AI119" s="230"/>
      <c r="AJ119" s="31">
        <f>IF(ISNUMBER(BedPlan[[#This Row],[Actual End of Harvest]]),BedPlan[[#This Row],[Actual End of Harvest]],BedPlan[[#This Row],[Expected End of Harvest]])</f>
        <v>45688</v>
      </c>
      <c r="AK119" s="34" t="b">
        <v>1</v>
      </c>
      <c r="AL119" s="34" t="b">
        <v>1</v>
      </c>
      <c r="AM119" s="34" t="b">
        <v>0</v>
      </c>
      <c r="AN119" s="34" t="b">
        <v>0</v>
      </c>
      <c r="AO119" s="34"/>
      <c r="AP119" s="34"/>
      <c r="AQ119" s="34"/>
      <c r="AR119" s="34"/>
      <c r="AS119" s="256" t="str">
        <f>IF(BedPlan[[#This Row],[Broadfork]],BedPlan[[#This Row],[Actual TP or DS Date]],"")</f>
        <v/>
      </c>
      <c r="AT119" s="256" t="str">
        <f>IF(BedPlan[[#This Row],[Tilther]],BedPlan[[#This Row],[Actual TP or DS Date]],"")</f>
        <v/>
      </c>
      <c r="AU119" s="256" t="str">
        <f>IF(NOT(ISBLANK(BedPlan[[#This Row],[Amend]])),BedPlan[[#This Row],[Actual TP or DS Date]],"")</f>
        <v/>
      </c>
      <c r="AV119" s="256" t="str">
        <f>IF(BedPlan[[#This Row],[Row Cover]],BedPlan[[#This Row],[Actual TP or DS Date]],"")</f>
        <v/>
      </c>
      <c r="AW119" s="34"/>
      <c r="AX119" s="256"/>
      <c r="AY119" s="34"/>
      <c r="AZ119" s="256"/>
      <c r="BA119" s="34"/>
      <c r="BB119" s="256"/>
      <c r="BC119" s="231" cm="1">
        <f t="array" ref="BC119">INDEX(Crops[],BedPlan[[#This Row],[Chart Index]],BC$4,1)*BedPlan[[#This Row],[Full Bed Equivalent]]</f>
        <v>822.85714285714278</v>
      </c>
      <c r="BD119" s="231" cm="1">
        <f t="array" ref="BD119">INDEX(Crops[],BedPlan[[#This Row],[Chart Index]],BD$4,1)*BedPlan[[#This Row],[Full Bed Equivalent]]</f>
        <v>3.0934479054779804</v>
      </c>
      <c r="BE119" cm="1">
        <f t="array" ref="BE119">INDEX(Crops[],BedPlan[[#This Row],[Chart Index]],BE$4,1)+BedPlan[[#This Row],[Additional Days in Cells]]+BedPlan[[#This Row],[Additional Days In Field]]</f>
        <v>70</v>
      </c>
      <c r="BG119" cm="1">
        <f t="array" ref="BG119">INDEX(Crops[],BedPlan[[#This Row],[Chart Index]],BG$4,1)</f>
        <v>224</v>
      </c>
      <c r="BH119" t="str">
        <f>IF(ISNUMBER(BedPlan[[#This Row],[Planned Greenhouse Start Date]]),"TP","DS")</f>
        <v>TP</v>
      </c>
      <c r="BI119">
        <f>BedPlan[[#This Row],['# Of Beds]]</f>
        <v>0.4</v>
      </c>
      <c r="BJ119" cm="1">
        <f t="array" ref="BJ119">INDEX(Crops[],BedPlan[[#This Row],[Chart Index]],BJ$4,1)</f>
        <v>28</v>
      </c>
      <c r="BK119" cm="1">
        <f t="array" ref="BK119">INDEX(Crops[],BedPlan[[#This Row],[Chart Index]],BK$4,1)</f>
        <v>3</v>
      </c>
      <c r="BL119" cm="1">
        <f t="array" ref="BL119">INDEX(Crops[],BedPlan[[#This Row],[Chart Index]],BL$4,1)</f>
        <v>12</v>
      </c>
      <c r="BM119" cm="1">
        <f t="array" ref="BM119">INDEX(Crops[],BedPlan[[#This Row],[Chart Index]],BM$4,1)</f>
        <v>3</v>
      </c>
      <c r="BN119" s="32" cm="1">
        <f t="array" ref="BN119">INDEX(Crops[],BedPlan[[#This Row],[Chart Index]],BN$4,1)*BedPlan[[#This Row],[Full Bed Equivalent]]</f>
        <v>60</v>
      </c>
      <c r="BO119" t="str" cm="1">
        <f t="array" ref="BO119">IF(INDEX(Crops[],BedPlan[[#This Row],[Chart Index]],BO$4,1)=0,"",INDEX(Crops[],BedPlan[[#This Row],[Chart Index]],BO$4,1))</f>
        <v/>
      </c>
      <c r="BP119">
        <f>MATCH(BedPlan[[#This Row],[Crop]],Crops[Identifier],FALSE)</f>
        <v>291</v>
      </c>
      <c r="BQ119" t="str" cm="1">
        <f t="array" ref="BQ119">INDEX(Crops[],BedPlan[[#This Row],[Chart Index]],BQ$4,1)</f>
        <v>General</v>
      </c>
      <c r="BR119" t="str" cm="1">
        <f t="array" ref="BR119">INDEX(Crops[],BedPlan[[#This Row],[Chart Index]],BR$4,1)</f>
        <v/>
      </c>
      <c r="BS119" s="32">
        <f>BedPlan[[#This Row],[Expected Beginning of Harvest]]-DATE(2023,1,1)</f>
        <v>517</v>
      </c>
      <c r="BT119">
        <f>BedPlan[[#This Row],[Expected End of Harvest]]-BedPlan[[#This Row],[Expected Beginning of Harvest]]</f>
        <v>224</v>
      </c>
      <c r="BU119" t="str" cm="1">
        <f t="array" ref="BU119">INDEX(Crops[],BedPlan[[#This Row],[Chart Index]],BU$4,1)</f>
        <v>Green</v>
      </c>
      <c r="BV119" cm="1">
        <f t="array" ref="BV119">INDEX(Crops[],BedPlan[[#This Row],[Chart Index]],BV$4,1)</f>
        <v>1.5</v>
      </c>
      <c r="BW119" cm="1">
        <f t="array" ref="BW119">INDEX(Crops[],BedPlan[[#This Row],[Chart Index]],BW$4,1)</f>
        <v>0</v>
      </c>
      <c r="BX119" cm="1">
        <f t="array" ref="BX119">INDEX(Crops[],BedPlan[[#This Row],[Chart Index]],BX$4,1)</f>
        <v>128</v>
      </c>
      <c r="BY119" cm="1">
        <f t="array" ref="BY119">INDEX(Crops[],BedPlan[[#This Row],[Chart Index]],BY$4,1)</f>
        <v>28</v>
      </c>
      <c r="BZ119" s="49" cm="1">
        <f t="array" ref="BZ119">IFERROR(INDEX(Crops[],BedPlan[[#This Row],[Chart Index]],BZ$4,1)*BedPlan[[#This Row],[Full Bed Equivalent]],"")</f>
        <v>0.609375</v>
      </c>
      <c r="CA119" cm="1">
        <f t="array" ref="CA119">INDEX(Crops[],BedPlan[[#This Row],[Chart Index]],CA$4,1)</f>
        <v>0</v>
      </c>
      <c r="CB119" cm="1">
        <f t="array" ref="CB119">INDEX(Crops[],BedPlan[[#This Row],[Chart Index]],CB$4,1)</f>
        <v>0</v>
      </c>
      <c r="CC119" s="49" t="str" cm="1">
        <f t="array" ref="CC119">IFERROR(INDEX(Crops[],BedPlan[[#This Row],[Chart Index]],CC$4,1)*BedPlan[[#This Row],[Full Bed Equivalent]],"")</f>
        <v/>
      </c>
      <c r="CD119" cm="1">
        <f t="array" ref="CD119">INDEX(Crops[],BedPlan[[#This Row],[Chart Index]],CD$4,1)</f>
        <v>0</v>
      </c>
      <c r="CE119" cm="1">
        <f t="array" ref="CE119">IF(INDEX(Crops[],BedPlan[[#This Row],[Chart Index]],CE$4,1)="",0,INDEX(Crops[],BedPlan[[#This Row],[Chart Index]],CE$4,1))</f>
        <v>0</v>
      </c>
      <c r="CF119" s="49" t="str" cm="1">
        <f t="array" ref="CF119">IFERROR(INDEX(Crops[],BedPlan[[#This Row],[Chart Index]],CF$4,1)*BedPlan[[#This Row],[Full Bed Equivalent]],"")</f>
        <v/>
      </c>
      <c r="CG119" cm="1">
        <f t="array" ref="CG119">IF(INDEX(Crops[],BedPlan[[#This Row],[Chart Index]],CG$4,1)="",0,INDEX(Crops[],BedPlan[[#This Row],[Chart Index]],CG$4,1))</f>
        <v>1.3</v>
      </c>
      <c r="CH119" cm="1">
        <f t="array" ref="CH119">IF(INDEX(Crops[],BedPlan[[#This Row],[Chart Index]],CH$4,1)="",0,INDEX(Crops[],BedPlan[[#This Row],[Chart Index]],CH$4,1))</f>
        <v>0</v>
      </c>
      <c r="CI119" t="str" cm="1">
        <f t="array" ref="CI119">INDEX(Crops[],BedPlan[[#This Row],[Chart Index]],CI$4,1)</f>
        <v>Field</v>
      </c>
      <c r="CJ119" s="30" t="str">
        <f>_xlfn.TEXTJOIN(CHAR(10),FALSE,BedPlan[[#This Row],[Name]],BedPlan[[#This Row],[Variety]],BedPlan[[#This Row],[Company]])</f>
        <v xml:space="preserve">Sorrel
Sorrel Mix
</v>
      </c>
      <c r="CK119" s="32">
        <f>MAX( 0, MIN(BedPlan[[#This Row],[Expected End of Harvest]], EOMONTH(CK$4, 0)) - MAX(BedPlan[[#This Row],[Beginning of Harvest]], CK$4) + 1 )</f>
        <v>11</v>
      </c>
      <c r="CL119">
        <f>MAX( 0, MIN(BedPlan[[#This Row],[Expected End of Harvest]], EOMONTH(CL$4, 0)) - MAX(BedPlan[[#This Row],[Beginning of Harvest]], CL$4) + 1 )</f>
        <v>0</v>
      </c>
      <c r="CM119">
        <f>MAX( 0, MIN(BedPlan[[#This Row],[Expected End of Harvest]], EOMONTH(CM$4, 0)) - MAX(BedPlan[[#This Row],[Beginning of Harvest]], CM$4) + 1 )</f>
        <v>0</v>
      </c>
      <c r="CN119">
        <f>MAX( 0, MIN(BedPlan[[#This Row],[Expected End of Harvest]], EOMONTH(CN$4, 0)) - MAX(BedPlan[[#This Row],[Beginning of Harvest]], CN$4) + 1 )</f>
        <v>0</v>
      </c>
      <c r="CO119">
        <f>MAX( 0, MIN(BedPlan[[#This Row],[Expected End of Harvest]], EOMONTH(CO$4, 0)) - MAX(BedPlan[[#This Row],[Beginning of Harvest]], CO$4) + 1 )</f>
        <v>0</v>
      </c>
      <c r="CP119">
        <f>MAX( 0, MIN(BedPlan[[#This Row],[Expected End of Harvest]], EOMONTH(CP$4, 0)) - MAX(BedPlan[[#This Row],[Beginning of Harvest]], CP$4) + 1 )</f>
        <v>0</v>
      </c>
      <c r="CQ119">
        <f>MAX( 0, MIN(BedPlan[[#This Row],[Expected End of Harvest]], EOMONTH(CQ$4, 0)) - MAX(BedPlan[[#This Row],[Beginning of Harvest]], CQ$4) + 1 )</f>
        <v>0</v>
      </c>
      <c r="CR119">
        <f>MAX( 0, MIN(BedPlan[[#This Row],[Expected End of Harvest]], EOMONTH(CR$4, 0)) - MAX(BedPlan[[#This Row],[Beginning of Harvest]], CR$4) + 1 )</f>
        <v>0</v>
      </c>
      <c r="CS119">
        <f>MAX( 0, MIN(BedPlan[[#This Row],[Expected End of Harvest]], EOMONTH(CS$4, 0)) - MAX(BedPlan[[#This Row],[Beginning of Harvest]], CS$4) + 1 )</f>
        <v>0</v>
      </c>
      <c r="CT119">
        <f>MAX( 0, MIN(BedPlan[[#This Row],[Expected End of Harvest]], EOMONTH(CT$4, 0)) - MAX(BedPlan[[#This Row],[Beginning of Harvest]], CT$4) + 1 )</f>
        <v>0</v>
      </c>
      <c r="CU119">
        <f>MAX( 0, MIN(BedPlan[[#This Row],[Expected End of Harvest]], EOMONTH(CU$4, 0)) - MAX(BedPlan[[#This Row],[Beginning of Harvest]], CU$4) + 1 )</f>
        <v>0</v>
      </c>
      <c r="CV119">
        <f>MAX( 0, MIN(BedPlan[[#This Row],[Expected End of Harvest]], EOMONTH(CV$4, 0)) - MAX(BedPlan[[#This Row],[Beginning of Harvest]], CV$4) + 1 )</f>
        <v>0</v>
      </c>
      <c r="CW119">
        <f>MAX( 0, MIN(BedPlan[[#This Row],[Expected End of Harvest]], EOMONTH(CW$4, 0)) - MAX(BedPlan[[#This Row],[Beginning of Harvest]], CW$4) + 1 )</f>
        <v>0</v>
      </c>
      <c r="CX119">
        <f>MAX( 0, MIN(BedPlan[[#This Row],[Expected End of Harvest]], EOMONTH(CX$4, 0)) - MAX(BedPlan[[#This Row],[Beginning of Harvest]], CX$4) + 1 )</f>
        <v>0</v>
      </c>
      <c r="CY119">
        <f>MAX( 0, MIN(BedPlan[[#This Row],[Expected End of Harvest]], EOMONTH(CY$4, 0)) - MAX(BedPlan[[#This Row],[Beginning of Harvest]], CY$4) + 1 )</f>
        <v>0</v>
      </c>
      <c r="CZ119">
        <f>MAX( 0, MIN(BedPlan[[#This Row],[Expected End of Harvest]], EOMONTH(CZ$4, 0)) - MAX(BedPlan[[#This Row],[Beginning of Harvest]], CZ$4) + 1 )</f>
        <v>0</v>
      </c>
      <c r="DA119">
        <f>MAX( 0, MIN(BedPlan[[#This Row],[Expected End of Harvest]], EOMONTH(DA$4, 0)) - MAX(BedPlan[[#This Row],[Beginning of Harvest]], DA$4) + 1 )</f>
        <v>0</v>
      </c>
      <c r="DB119">
        <f>MAX( 0, MIN(BedPlan[[#This Row],[Expected End of Harvest]], EOMONTH(DB$4, 0)) - MAX(BedPlan[[#This Row],[Beginning of Harvest]], DB$4) + 1 )</f>
        <v>0</v>
      </c>
      <c r="DC119">
        <f>MAX( 0, MIN(BedPlan[[#This Row],[Expected End of Harvest]], EOMONTH(DC$4, 0)) - MAX(BedPlan[[#This Row],[Beginning of Harvest]], DC$4) + 1 )</f>
        <v>0</v>
      </c>
      <c r="DD119">
        <f>MAX( 0, MIN(BedPlan[[#This Row],[Expected End of Harvest]], EOMONTH(DD$4, 0)) - MAX(BedPlan[[#This Row],[Beginning of Harvest]], DD$4) + 1 )</f>
        <v>0</v>
      </c>
      <c r="DE119">
        <f>MAX( 0, MIN(BedPlan[[#This Row],[Expected End of Harvest]], EOMONTH(DE$4, 0)) - MAX(BedPlan[[#This Row],[Beginning of Harvest]], DE$4) + 1 )</f>
        <v>0</v>
      </c>
      <c r="DF119">
        <f>MAX( 0, MIN(BedPlan[[#This Row],[Expected End of Harvest]], EOMONTH(DF$4, 0)) - MAX(BedPlan[[#This Row],[Beginning of Harvest]], DF$4) + 1 )</f>
        <v>0</v>
      </c>
      <c r="DG119">
        <f>MAX( 0, MIN(BedPlan[[#This Row],[Expected End of Harvest]], EOMONTH(DG$4, 0)) - MAX(BedPlan[[#This Row],[Beginning of Harvest]], DG$4) + 1 )</f>
        <v>0</v>
      </c>
      <c r="DH119">
        <f>MAX( 0, MIN(BedPlan[[#This Row],[Expected End of Harvest]], EOMONTH(DH$4, 0)) - MAX(BedPlan[[#This Row],[Beginning of Harvest]], DH$4) + 1 )</f>
        <v>0</v>
      </c>
      <c r="DI119" s="257" cm="1">
        <f t="array" ref="DI119">BedPlan[[#This Row],[Harvest Days January 2025]]/SUM(BedPlan[[#This Row],[Harvest Days January 2025]:[Harvest Days December 2026]])*BedPlan[[#This Row],[Revenue]:[Revenue]]</f>
        <v>822.85714285714278</v>
      </c>
      <c r="DJ119" s="257" cm="1">
        <f t="array" ref="DJ119">BedPlan[[#This Row],[Harvest Days February 2025]]/SUM(BedPlan[[#This Row],[Harvest Days January 2025]:[Harvest Days December 2026]])*BedPlan[[#This Row],[Revenue]:[Revenue]]</f>
        <v>0</v>
      </c>
      <c r="DK119" s="257" cm="1">
        <f t="array" ref="DK119">BedPlan[[#This Row],[Harvest Days March 2025]]/SUM(BedPlan[[#This Row],[Harvest Days January 2025]:[Harvest Days December 2026]])*BedPlan[[#This Row],[Revenue]:[Revenue]]</f>
        <v>0</v>
      </c>
      <c r="DL119" s="257" cm="1">
        <f t="array" ref="DL119">BedPlan[[#This Row],[Harvest Days April 2025]]/SUM(BedPlan[[#This Row],[Harvest Days January 2025]:[Harvest Days December 2026]])*BedPlan[[#This Row],[Revenue]:[Revenue]]</f>
        <v>0</v>
      </c>
      <c r="DM119" s="257" cm="1">
        <f t="array" ref="DM119">BedPlan[[#This Row],[Harvest Days May 2025]]/SUM(BedPlan[[#This Row],[Harvest Days January 2025]:[Harvest Days December 2026]])*BedPlan[[#This Row],[Revenue]:[Revenue]]</f>
        <v>0</v>
      </c>
      <c r="DN119" s="257" cm="1">
        <f t="array" ref="DN119">BedPlan[[#This Row],[Harvest Days June 2025]]/SUM(BedPlan[[#This Row],[Harvest Days January 2025]:[Harvest Days December 2026]])*BedPlan[[#This Row],[Revenue]:[Revenue]]</f>
        <v>0</v>
      </c>
      <c r="DO119" s="257" cm="1">
        <f t="array" ref="DO119">BedPlan[[#This Row],[Harvest Days July 2025]]/SUM(BedPlan[[#This Row],[Harvest Days January 2025]:[Harvest Days December 2026]])*BedPlan[[#This Row],[Revenue]:[Revenue]]</f>
        <v>0</v>
      </c>
      <c r="DP119" s="257" cm="1">
        <f t="array" ref="DP119">BedPlan[[#This Row],[Harvest Days August 2025]]/SUM(BedPlan[[#This Row],[Harvest Days January 2025]:[Harvest Days December 2026]])*BedPlan[[#This Row],[Revenue]:[Revenue]]</f>
        <v>0</v>
      </c>
      <c r="DQ119" s="257" cm="1">
        <f t="array" ref="DQ119">BedPlan[[#This Row],[Harvest Days September 2025]]/SUM(BedPlan[[#This Row],[Harvest Days January 2025]:[Harvest Days December 2026]])*BedPlan[[#This Row],[Revenue]:[Revenue]]</f>
        <v>0</v>
      </c>
      <c r="DR119" s="257" cm="1">
        <f t="array" ref="DR119">BedPlan[[#This Row],[Harvest Days October 2025]]/SUM(BedPlan[[#This Row],[Harvest Days January 2025]:[Harvest Days December 2026]])*BedPlan[[#This Row],[Revenue]:[Revenue]]</f>
        <v>0</v>
      </c>
      <c r="DS119" s="257" cm="1">
        <f t="array" ref="DS119">BedPlan[[#This Row],[Harvest Days November 2025]]/SUM(BedPlan[[#This Row],[Harvest Days January 2025]:[Harvest Days December 2026]])*BedPlan[[#This Row],[Revenue]:[Revenue]]</f>
        <v>0</v>
      </c>
      <c r="DT119" s="257" cm="1">
        <f t="array" ref="DT119">BedPlan[[#This Row],[Harvest Days December 2025]]/SUM(BedPlan[[#This Row],[Harvest Days January 2025]:[Harvest Days December 2026]])*BedPlan[[#This Row],[Revenue]:[Revenue]]</f>
        <v>0</v>
      </c>
      <c r="DU119" s="257" cm="1">
        <f t="array" ref="DU119">BedPlan[[#This Row],[Harvest Days January 2026]]/SUM(BedPlan[[#This Row],[Harvest Days January 2025]:[Harvest Days December 2026]])*BedPlan[[#This Row],[Revenue]:[Revenue]]</f>
        <v>0</v>
      </c>
      <c r="DV119" s="257" cm="1">
        <f t="array" ref="DV119">BedPlan[[#This Row],[Harvest Days February 2026]]/SUM(BedPlan[[#This Row],[Harvest Days January 2025]:[Harvest Days December 2026]])*BedPlan[[#This Row],[Revenue]:[Revenue]]</f>
        <v>0</v>
      </c>
      <c r="DW119" s="257" cm="1">
        <f t="array" ref="DW119">BedPlan[[#This Row],[Harvest Days March 2026]]/SUM(BedPlan[[#This Row],[Harvest Days January 2025]:[Harvest Days December 2026]])*BedPlan[[#This Row],[Revenue]:[Revenue]]</f>
        <v>0</v>
      </c>
      <c r="DX119" s="257" cm="1">
        <f t="array" ref="DX119">BedPlan[[#This Row],[Harvest Days April 2026]]/SUM(BedPlan[[#This Row],[Harvest Days January 2025]:[Harvest Days December 2026]])*BedPlan[[#This Row],[Revenue]:[Revenue]]</f>
        <v>0</v>
      </c>
      <c r="DY119" s="257" cm="1">
        <f t="array" ref="DY119">BedPlan[[#This Row],[Harvest Days May 2026]]/SUM(BedPlan[[#This Row],[Harvest Days January 2025]:[Harvest Days December 2026]])*BedPlan[[#This Row],[Revenue]:[Revenue]]</f>
        <v>0</v>
      </c>
      <c r="DZ119" s="257" cm="1">
        <f t="array" ref="DZ119">BedPlan[[#This Row],[Harvest Days June 2026]]/SUM(BedPlan[[#This Row],[Harvest Days January 2025]:[Harvest Days December 2026]])*BedPlan[[#This Row],[Revenue]:[Revenue]]</f>
        <v>0</v>
      </c>
      <c r="EA119" s="257" cm="1">
        <f t="array" ref="EA119">BedPlan[[#This Row],[Harvest Days July 2026]]/SUM(BedPlan[[#This Row],[Harvest Days January 2025]:[Harvest Days December 2026]])*BedPlan[[#This Row],[Revenue]:[Revenue]]</f>
        <v>0</v>
      </c>
      <c r="EB119" s="257" cm="1">
        <f t="array" ref="EB119">BedPlan[[#This Row],[Harvest Days August 2026]]/SUM(BedPlan[[#This Row],[Harvest Days January 2025]:[Harvest Days December 2026]])*BedPlan[[#This Row],[Revenue]:[Revenue]]</f>
        <v>0</v>
      </c>
      <c r="EC119" s="257" cm="1">
        <f t="array" ref="EC119">BedPlan[[#This Row],[Harvest Days September 2026]]/SUM(BedPlan[[#This Row],[Harvest Days January 2025]:[Harvest Days December 2026]])*BedPlan[[#This Row],[Revenue]:[Revenue]]</f>
        <v>0</v>
      </c>
      <c r="ED119" s="257" cm="1">
        <f t="array" ref="ED119">BedPlan[[#This Row],[Harvest Days October 2026]]/SUM(BedPlan[[#This Row],[Harvest Days January 2025]:[Harvest Days December 2026]])*BedPlan[[#This Row],[Revenue]:[Revenue]]</f>
        <v>0</v>
      </c>
      <c r="EE119" s="257" cm="1">
        <f t="array" ref="EE119">BedPlan[[#This Row],[Harvest Days November 2026]]/SUM(BedPlan[[#This Row],[Harvest Days January 2025]:[Harvest Days December 2026]])*BedPlan[[#This Row],[Revenue]:[Revenue]]</f>
        <v>0</v>
      </c>
      <c r="EF119" s="257" cm="1">
        <f t="array" ref="EF119">BedPlan[[#This Row],[Harvest Days December 2026]]/SUM(BedPlan[[#This Row],[Harvest Days January 2025]:[Harvest Days December 2026]])*BedPlan[[#This Row],[Revenue]:[Revenue]]</f>
        <v>0</v>
      </c>
      <c r="EG119" t="b">
        <f>SUM(BedPlan[[#This Row],[Revenue January 2025]:[Revenue December 2026]])=BedPlan[[#This Row],[Revenue]]</f>
        <v>1</v>
      </c>
      <c r="EH119" s="30" cm="1">
        <f t="array" ref="EH119">INDEX(Crops[],BedPlan[[#This Row],[Chart Index]],EH$4,1)*BedPlan[[#This Row],['# Of Beds]]</f>
        <v>274.28571428571428</v>
      </c>
      <c r="EI119" s="30" t="str" cm="1">
        <f t="array" ref="EI119">INDEX(Crops[],BedPlan[[#This Row],[Chart Index]],EI$4,1)</f>
        <v>Bunch</v>
      </c>
      <c r="EJ119" s="30" t="str" cm="1">
        <f t="array" ref="EJ119">INDEX(Crops[],BedPlan[[#This Row],[Chart Index]],EJ$4,1)</f>
        <v>Mature Leaf</v>
      </c>
      <c r="EK119" s="30" t="str">
        <f>BedPlan[[#This Row],[Name]]&amp;" "&amp;BedPlan[[#This Row],[Product]]&amp; " - " &amp;BedPlan[[#This Row],[Unit]]</f>
        <v>Sorrel Mature Leaf - Bunch</v>
      </c>
      <c r="EL119" s="33" cm="1">
        <f t="array" ref="EL119">BedPlan[[#This Row],[Harvest Days January 2025]]/SUM(BedPlan[[#This Row],[Harvest Days January 2025]:[Harvest Days December 2026]])*BedPlan[[#This Row],[Yield]:[Yield]]</f>
        <v>274.28571428571428</v>
      </c>
      <c r="EM119" s="33" cm="1">
        <f t="array" ref="EM119">BedPlan[[#This Row],[Harvest Days February 2025]]/SUM(BedPlan[[#This Row],[Harvest Days January 2025]:[Harvest Days December 2026]])*BedPlan[[#This Row],[Yield]:[Yield]]</f>
        <v>0</v>
      </c>
      <c r="EN119" s="33" cm="1">
        <f t="array" ref="EN119">BedPlan[[#This Row],[Harvest Days March 2025]]/SUM(BedPlan[[#This Row],[Harvest Days January 2025]:[Harvest Days December 2026]])*BedPlan[[#This Row],[Yield]:[Yield]]</f>
        <v>0</v>
      </c>
      <c r="EO119" s="33" cm="1">
        <f t="array" ref="EO119">BedPlan[[#This Row],[Harvest Days April 2025]]/SUM(BedPlan[[#This Row],[Harvest Days January 2025]:[Harvest Days December 2026]])*BedPlan[[#This Row],[Yield]:[Yield]]</f>
        <v>0</v>
      </c>
      <c r="EP119" s="33" cm="1">
        <f t="array" ref="EP119">BedPlan[[#This Row],[Harvest Days May 2025]]/SUM(BedPlan[[#This Row],[Harvest Days January 2025]:[Harvest Days December 2026]])*BedPlan[[#This Row],[Yield]:[Yield]]</f>
        <v>0</v>
      </c>
      <c r="EQ119" s="33" cm="1">
        <f t="array" ref="EQ119">BedPlan[[#This Row],[Harvest Days June 2025]]/SUM(BedPlan[[#This Row],[Harvest Days January 2025]:[Harvest Days December 2026]])*BedPlan[[#This Row],[Yield]:[Yield]]</f>
        <v>0</v>
      </c>
      <c r="ER119" s="33" cm="1">
        <f t="array" ref="ER119">BedPlan[[#This Row],[Harvest Days July 2025]]/SUM(BedPlan[[#This Row],[Harvest Days January 2025]:[Harvest Days December 2026]])*BedPlan[[#This Row],[Yield]:[Yield]]</f>
        <v>0</v>
      </c>
      <c r="ES119" s="33" cm="1">
        <f t="array" ref="ES119">BedPlan[[#This Row],[Harvest Days August 2025]]/SUM(BedPlan[[#This Row],[Harvest Days January 2025]:[Harvest Days December 2026]])*BedPlan[[#This Row],[Yield]:[Yield]]</f>
        <v>0</v>
      </c>
      <c r="ET119" s="33" cm="1">
        <f t="array" ref="ET119">BedPlan[[#This Row],[Harvest Days September 2025]]/SUM(BedPlan[[#This Row],[Harvest Days January 2025]:[Harvest Days December 2026]])*BedPlan[[#This Row],[Yield]:[Yield]]</f>
        <v>0</v>
      </c>
      <c r="EU119" s="33" cm="1">
        <f t="array" ref="EU119">BedPlan[[#This Row],[Harvest Days October 2025]]/SUM(BedPlan[[#This Row],[Harvest Days January 2025]:[Harvest Days December 2026]])*BedPlan[[#This Row],[Yield]:[Yield]]</f>
        <v>0</v>
      </c>
      <c r="EV119" s="33" cm="1">
        <f t="array" ref="EV119">BedPlan[[#This Row],[Harvest Days November 2025]]/SUM(BedPlan[[#This Row],[Harvest Days January 2025]:[Harvest Days December 2026]])*BedPlan[[#This Row],[Yield]:[Yield]]</f>
        <v>0</v>
      </c>
      <c r="EW119" s="33" cm="1">
        <f t="array" ref="EW119">BedPlan[[#This Row],[Harvest Days December 2025]]/SUM(BedPlan[[#This Row],[Harvest Days January 2025]:[Harvest Days December 2026]])*BedPlan[[#This Row],[Yield]:[Yield]]</f>
        <v>0</v>
      </c>
    </row>
    <row r="120" spans="1:153" ht="15" customHeight="1">
      <c r="A120" s="187" t="s">
        <v>1740</v>
      </c>
      <c r="B120" t="s">
        <v>2669</v>
      </c>
      <c r="C120" t="s">
        <v>3256</v>
      </c>
      <c r="D120" cm="1">
        <f t="array" ref="D120">INDEX(Crops[],BedPlan[[#This Row],[Chart Index]],D$4,1)*BedPlan[[#This Row],[Full Bed Equivalent]]</f>
        <v>33.333333333333336</v>
      </c>
      <c r="E120" cm="1">
        <f t="array" ref="E120">INDEX(Crops[],BedPlan[[#This Row],[Chart Index]],E$4,1)*BedPlan[[#This Row],[Full Bed Equivalent]]</f>
        <v>33.333333333333336</v>
      </c>
      <c r="F120" t="str">
        <f>UPPER(LEFT(BedPlan[[#This Row],[Crop]],3))</f>
        <v>SQU</v>
      </c>
      <c r="H120" s="143" t="str" cm="1">
        <f t="array" ref="H120">INDEX(Crops[],BedPlan[[#This Row],[Chart Index]],H$4,1)</f>
        <v>Squash</v>
      </c>
      <c r="I120" t="s">
        <v>1933</v>
      </c>
      <c r="K120" t="str" cm="1">
        <f t="array" ref="K120">IF(ISNUMBER(MATCH(BedPlan[[#This Row],[Variety]],SeedMixes[Name],)),_xlfn.TEXTJOIN(", ",TRUE,_xlfn._xlws.FILTER(SeedMixes[Variety &amp; Company],SeedMixes[Name]=BedPlan[[#This Row],[Variety]])),"")</f>
        <v>Honey Boat High Mowing, Sugar Dumpling F1 High Mowing</v>
      </c>
      <c r="L120" s="33" cm="1">
        <f t="array" ref="L120">INDEX(Crops[],BedPlan[[#This Row],[Chart Index]],L$4,1)*BedPlan[[#This Row],[Full Bed Equivalent]]</f>
        <v>21.666666666666664</v>
      </c>
      <c r="N120">
        <f>1</f>
        <v>1</v>
      </c>
      <c r="O120">
        <f>MAX(BedPlan[[#This Row],['# Of Beds]],0.5)</f>
        <v>1</v>
      </c>
      <c r="P120" s="31">
        <f>IF(ISNUMBER(BedPlan[[#This Row],[Planned Greenhouse Start Date]]),BedPlan[[#This Row],[Planned Greenhouse Start Date]],BedPlan[[#This Row],[Planned TP or DS Date]])</f>
        <v>45758</v>
      </c>
      <c r="Q120" s="259">
        <f>IF(BedPlan[[#This Row],[Days in Cells]]=0,"",IFERROR(_xlfn.XLOOKUP(BedPlan[[#This Row],[Follows Crop]],BedPlan[Identifier],BedPlan[Expected End of Harvest]) + 1+BedPlan[[#This Row],[Follow Offset]],BedPlan[[#This Row],[Fixed Field Start Date]])-BedPlan[[#This Row],[Days in Cells]])</f>
        <v>45758</v>
      </c>
      <c r="R120" s="259">
        <v>45763</v>
      </c>
      <c r="S120" s="259">
        <f>IF(ISNUMBER(BedPlan[[#This Row],[Actual Greenhouse Date]]),BedPlan[[#This Row],[Actual Greenhouse Date]],BedPlan[[#This Row],[Planned Greenhouse Start Date]])</f>
        <v>45763</v>
      </c>
      <c r="T120" s="259">
        <f>_xlfn.XLOOKUP(BedPlan[[#This Row],[Crop]],Crops[Identifier],Crops[Target Field Date])</f>
        <v>45786</v>
      </c>
      <c r="U120" s="260"/>
      <c r="V120" s="260"/>
      <c r="W12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0" s="259">
        <v>45812</v>
      </c>
      <c r="Y120" s="271">
        <f>BedPlan[[#This Row],[Actual TP or DS Date]]-BedPlan[[#This Row],[Planned TP or DS Date]]</f>
        <v>21</v>
      </c>
      <c r="Z120" s="259">
        <f>IF(ISNUMBER(BedPlan[[#This Row],[Actual TP or DS Date]]),BedPlan[[#This Row],[Actual TP or DS Date]],BedPlan[[#This Row],[Planned TP or DS Date]])</f>
        <v>45812</v>
      </c>
      <c r="AA120" s="260"/>
      <c r="AB120" s="259">
        <f>IF(ISNUMBER(BedPlan[[#This Row],[Greenhouse Start Date]]),BedPlan[[#This Row],[Greenhouse Start Date]]+BedPlan[[#This Row],[DTM]],BedPlan[[#This Row],[TP or DS Date]]+BedPlan[[#This Row],[DTM]])</f>
        <v>45891</v>
      </c>
      <c r="AC120" s="259"/>
      <c r="AD120" s="259">
        <f>IF(ISNUMBER(BedPlan[[#This Row],[Actual Beginning of Harvest]]),BedPlan[[#This Row],[Actual Beginning of Harvest]],BedPlan[[#This Row],[Expected Beginning of Harvest]])</f>
        <v>45891</v>
      </c>
      <c r="AE120" s="259">
        <f>BedPlan[[#This Row],[Expected Beginning of Harvest]]+BedPlan[[#This Row],[Harvest Window]]+BedPlan[[#This Row],[Additional Days of Harvest]]</f>
        <v>45898</v>
      </c>
      <c r="AF120" s="259"/>
      <c r="AG120" s="259"/>
      <c r="AH120" s="31" t="b">
        <f>IF(AND( BedPlan[[#This Row],[Expected End of Harvest]] &gt;= DATE(2025, 8, 1), BedPlan[[#This Row],[Beginning of Harvest]] &lt;= DATE(2025, 8, 31) ), TRUE, FALSE)</f>
        <v>1</v>
      </c>
      <c r="AI120" s="31"/>
      <c r="AJ120" s="31">
        <f>IF(ISNUMBER(BedPlan[[#This Row],[Actual End of Harvest]]),BedPlan[[#This Row],[Actual End of Harvest]],BedPlan[[#This Row],[Expected End of Harvest]])</f>
        <v>45898</v>
      </c>
      <c r="AK120" t="b">
        <f>OR(ISNUMBER(BedPlan[[#This Row],[Actual Greenhouse Date]]),ISNUMBER(BedPlan[[#This Row],[Actual TP or DS Date]]))</f>
        <v>1</v>
      </c>
      <c r="AL120" s="52" t="b">
        <f>IF(ISNUMBER(BedPlan[[#This Row],[Planned Greenhouse Start Date]]),OR(ISNUMBER(BedPlan[[#This Row],[Actual TP or DS Date]]),BedPlan[[#This Row],[Failed]]),"-")</f>
        <v>1</v>
      </c>
      <c r="AM120" t="b">
        <f>OR(ISNUMBER(BedPlan[[#This Row],[Actual End of Harvest]]),BedPlan[[#This Row],[Failed]])</f>
        <v>0</v>
      </c>
      <c r="AN120" t="b">
        <f>OR(BedPlan[[#This Row],[Harvest Done]],BedPlan[[#This Row],[Failed]],BedPlan[[#This Row],[Name]]="Tarp")</f>
        <v>0</v>
      </c>
      <c r="AS120" s="26" t="str">
        <f>IF(BedPlan[[#This Row],[Broadfork]],BedPlan[[#This Row],[Actual TP or DS Date]],"")</f>
        <v/>
      </c>
      <c r="AT120" s="26" t="str">
        <f>IF(BedPlan[[#This Row],[Tilther]],BedPlan[[#This Row],[Actual TP or DS Date]],"")</f>
        <v/>
      </c>
      <c r="AU120" s="26" t="str">
        <f>IF(NOT(ISBLANK(BedPlan[[#This Row],[Amend]])),BedPlan[[#This Row],[Actual TP or DS Date]],"")</f>
        <v/>
      </c>
      <c r="AV120" s="26" t="str">
        <f>IF(BedPlan[[#This Row],[Row Cover]],BedPlan[[#This Row],[Actual TP or DS Date]],"")</f>
        <v/>
      </c>
      <c r="AX120" s="26"/>
      <c r="AZ120" s="26"/>
      <c r="BB120" s="26"/>
      <c r="BC120" s="231" cm="1">
        <f t="array" ref="BC120">INDEX(Crops[],BedPlan[[#This Row],[Chart Index]],BC$4,1)*BedPlan[[#This Row],[Full Bed Equivalent]]</f>
        <v>225</v>
      </c>
      <c r="BD120" s="231" cm="1">
        <f t="array" ref="BD120">INDEX(Crops[],BedPlan[[#This Row],[Chart Index]],BD$4,1)*BedPlan[[#This Row],[Full Bed Equivalent]]</f>
        <v>2.1028037383177569</v>
      </c>
      <c r="BE120" cm="1">
        <f t="array" ref="BE120">INDEX(Crops[],BedPlan[[#This Row],[Chart Index]],BE$4,1)+BedPlan[[#This Row],[Additional Days in Cells]]+BedPlan[[#This Row],[Additional Days In Field]]</f>
        <v>128</v>
      </c>
      <c r="BG120" cm="1">
        <f t="array" ref="BG120">INDEX(Crops[],BedPlan[[#This Row],[Chart Index]],BG$4,1)</f>
        <v>7</v>
      </c>
      <c r="BH120" t="str">
        <f>IF(ISNUMBER(BedPlan[[#This Row],[Planned Greenhouse Start Date]]),"TP","DS")</f>
        <v>TP</v>
      </c>
      <c r="BI120">
        <f>BedPlan[[#This Row],['# Of Beds]]</f>
        <v>1</v>
      </c>
      <c r="BJ120" cm="1">
        <f t="array" ref="BJ120">INDEX(Crops[],BedPlan[[#This Row],[Chart Index]],BJ$4,1)</f>
        <v>28</v>
      </c>
      <c r="BK120" cm="1">
        <f t="array" ref="BK120">INDEX(Crops[],BedPlan[[#This Row],[Chart Index]],BK$4,1)</f>
        <v>1</v>
      </c>
      <c r="BL120" cm="1">
        <f t="array" ref="BL120">INDEX(Crops[],BedPlan[[#This Row],[Chart Index]],BL$4,1)</f>
        <v>36</v>
      </c>
      <c r="BM120" cm="1">
        <f t="array" ref="BM120">INDEX(Crops[],BedPlan[[#This Row],[Chart Index]],BM$4,1)</f>
        <v>1</v>
      </c>
      <c r="BN120" s="32" cm="1">
        <f t="array" ref="BN120">INDEX(Crops[],BedPlan[[#This Row],[Chart Index]],BN$4,1)*BedPlan[[#This Row],[Full Bed Equivalent]]</f>
        <v>16.666666666666664</v>
      </c>
      <c r="BO120" t="str" cm="1">
        <f t="array" ref="BO120">IF(INDEX(Crops[],BedPlan[[#This Row],[Chart Index]],BO$4,1)=0,"",INDEX(Crops[],BedPlan[[#This Row],[Chart Index]],BO$4,1))</f>
        <v/>
      </c>
      <c r="BP120">
        <f>MATCH(BedPlan[[#This Row],[Crop]],Crops[Identifier],FALSE)</f>
        <v>300</v>
      </c>
      <c r="BQ120" t="str" cm="1">
        <f t="array" ref="BQ120">INDEX(Crops[],BedPlan[[#This Row],[Chart Index]],BQ$4,1)</f>
        <v>Delicata</v>
      </c>
      <c r="BR120" t="str" cm="1">
        <f t="array" ref="BR120">INDEX(Crops[],BedPlan[[#This Row],[Chart Index]],BR$4,1)</f>
        <v/>
      </c>
      <c r="BS120" s="32">
        <f>BedPlan[[#This Row],[Expected Beginning of Harvest]]-DATE(2023,1,1)</f>
        <v>964</v>
      </c>
      <c r="BT120">
        <f>BedPlan[[#This Row],[Expected End of Harvest]]-BedPlan[[#This Row],[Expected Beginning of Harvest]]</f>
        <v>7</v>
      </c>
      <c r="BU120" t="str" cm="1">
        <f t="array" ref="BU120">INDEX(Crops[],BedPlan[[#This Row],[Chart Index]],BU$4,1)</f>
        <v>Winter Squash</v>
      </c>
      <c r="BV120" cm="1">
        <f t="array" ref="BV120">INDEX(Crops[],BedPlan[[#This Row],[Chart Index]],BV$4,1)</f>
        <v>3</v>
      </c>
      <c r="BW120" t="str" cm="1">
        <f t="array" ref="BW120">INDEX(Crops[],BedPlan[[#This Row],[Chart Index]],BW$4,1)</f>
        <v>None</v>
      </c>
      <c r="BX120" cm="1">
        <f t="array" ref="BX120">INDEX(Crops[],BedPlan[[#This Row],[Chart Index]],BX$4,1)</f>
        <v>50</v>
      </c>
      <c r="BY120" cm="1">
        <f t="array" ref="BY120">INDEX(Crops[],BedPlan[[#This Row],[Chart Index]],BY$4,1)</f>
        <v>28</v>
      </c>
      <c r="BZ120" s="49" cm="1">
        <f t="array" ref="BZ120">IFERROR(INDEX(Crops[],BedPlan[[#This Row],[Chart Index]],BZ$4,1)*BedPlan[[#This Row],[Full Bed Equivalent]],"")</f>
        <v>0.43333333333333324</v>
      </c>
      <c r="CA120" cm="1">
        <f t="array" ref="CA120">INDEX(Crops[],BedPlan[[#This Row],[Chart Index]],CA$4,1)</f>
        <v>0</v>
      </c>
      <c r="CB120" cm="1">
        <f t="array" ref="CB120">INDEX(Crops[],BedPlan[[#This Row],[Chart Index]],CB$4,1)</f>
        <v>0</v>
      </c>
      <c r="CC120" s="49" t="str" cm="1">
        <f t="array" ref="CC120">IFERROR(INDEX(Crops[],BedPlan[[#This Row],[Chart Index]],CC$4,1)*BedPlan[[#This Row],[Full Bed Equivalent]],"")</f>
        <v/>
      </c>
      <c r="CD120" cm="1">
        <f t="array" ref="CD120">INDEX(Crops[],BedPlan[[#This Row],[Chart Index]],CD$4,1)</f>
        <v>0</v>
      </c>
      <c r="CE120" cm="1">
        <f t="array" ref="CE120">IF(INDEX(Crops[],BedPlan[[#This Row],[Chart Index]],CE$4,1)="",0,INDEX(Crops[],BedPlan[[#This Row],[Chart Index]],CE$4,1))</f>
        <v>0</v>
      </c>
      <c r="CF120" s="49" t="str" cm="1">
        <f t="array" ref="CF120">IFERROR(INDEX(Crops[],BedPlan[[#This Row],[Chart Index]],CF$4,1)*BedPlan[[#This Row],[Full Bed Equivalent]],"")</f>
        <v/>
      </c>
      <c r="CG120" cm="1">
        <f t="array" ref="CG120">IF(INDEX(Crops[],BedPlan[[#This Row],[Chart Index]],CG$4,1)="",0,INDEX(Crops[],BedPlan[[#This Row],[Chart Index]],CG$4,1))</f>
        <v>1.3</v>
      </c>
      <c r="CH120" cm="1">
        <f t="array" ref="CH120">IF(INDEX(Crops[],BedPlan[[#This Row],[Chart Index]],CH$4,1)="",0,INDEX(Crops[],BedPlan[[#This Row],[Chart Index]],CH$4,1))</f>
        <v>0</v>
      </c>
      <c r="CI120" t="str" cm="1">
        <f t="array" ref="CI120">INDEX(Crops[],BedPlan[[#This Row],[Chart Index]],CI$4,1)</f>
        <v>Field</v>
      </c>
      <c r="CJ120" s="30" t="str">
        <f>_xlfn.TEXTJOIN(CHAR(10),FALSE,BedPlan[[#This Row],[Name]],BedPlan[[#This Row],[Variety]],BedPlan[[#This Row],[Company]])</f>
        <v xml:space="preserve">Squash
Delicata Mix
</v>
      </c>
      <c r="CK120" s="32">
        <f>MAX( 0, MIN(BedPlan[[#This Row],[Expected End of Harvest]], EOMONTH(CK$4, 0)) - MAX(BedPlan[[#This Row],[Beginning of Harvest]], CK$4) + 1 )</f>
        <v>0</v>
      </c>
      <c r="CL120">
        <f>MAX( 0, MIN(BedPlan[[#This Row],[Expected End of Harvest]], EOMONTH(CL$4, 0)) - MAX(BedPlan[[#This Row],[Beginning of Harvest]], CL$4) + 1 )</f>
        <v>0</v>
      </c>
      <c r="CM120">
        <f>MAX( 0, MIN(BedPlan[[#This Row],[Expected End of Harvest]], EOMONTH(CM$4, 0)) - MAX(BedPlan[[#This Row],[Beginning of Harvest]], CM$4) + 1 )</f>
        <v>0</v>
      </c>
      <c r="CN120">
        <f>MAX( 0, MIN(BedPlan[[#This Row],[Expected End of Harvest]], EOMONTH(CN$4, 0)) - MAX(BedPlan[[#This Row],[Beginning of Harvest]], CN$4) + 1 )</f>
        <v>0</v>
      </c>
      <c r="CO120">
        <f>MAX( 0, MIN(BedPlan[[#This Row],[Expected End of Harvest]], EOMONTH(CO$4, 0)) - MAX(BedPlan[[#This Row],[Beginning of Harvest]], CO$4) + 1 )</f>
        <v>0</v>
      </c>
      <c r="CP120">
        <f>MAX( 0, MIN(BedPlan[[#This Row],[Expected End of Harvest]], EOMONTH(CP$4, 0)) - MAX(BedPlan[[#This Row],[Beginning of Harvest]], CP$4) + 1 )</f>
        <v>0</v>
      </c>
      <c r="CQ120">
        <f>MAX( 0, MIN(BedPlan[[#This Row],[Expected End of Harvest]], EOMONTH(CQ$4, 0)) - MAX(BedPlan[[#This Row],[Beginning of Harvest]], CQ$4) + 1 )</f>
        <v>0</v>
      </c>
      <c r="CR120">
        <f>MAX( 0, MIN(BedPlan[[#This Row],[Expected End of Harvest]], EOMONTH(CR$4, 0)) - MAX(BedPlan[[#This Row],[Beginning of Harvest]], CR$4) + 1 )</f>
        <v>8</v>
      </c>
      <c r="CS120">
        <f>MAX( 0, MIN(BedPlan[[#This Row],[Expected End of Harvest]], EOMONTH(CS$4, 0)) - MAX(BedPlan[[#This Row],[Beginning of Harvest]], CS$4) + 1 )</f>
        <v>0</v>
      </c>
      <c r="CT120">
        <f>MAX( 0, MIN(BedPlan[[#This Row],[Expected End of Harvest]], EOMONTH(CT$4, 0)) - MAX(BedPlan[[#This Row],[Beginning of Harvest]], CT$4) + 1 )</f>
        <v>0</v>
      </c>
      <c r="CU120">
        <f>MAX( 0, MIN(BedPlan[[#This Row],[Expected End of Harvest]], EOMONTH(CU$4, 0)) - MAX(BedPlan[[#This Row],[Beginning of Harvest]], CU$4) + 1 )</f>
        <v>0</v>
      </c>
      <c r="CV120">
        <f>MAX( 0, MIN(BedPlan[[#This Row],[Expected End of Harvest]], EOMONTH(CV$4, 0)) - MAX(BedPlan[[#This Row],[Beginning of Harvest]], CV$4) + 1 )</f>
        <v>0</v>
      </c>
      <c r="CW120">
        <f>MAX( 0, MIN(BedPlan[[#This Row],[Expected End of Harvest]], EOMONTH(CW$4, 0)) - MAX(BedPlan[[#This Row],[Beginning of Harvest]], CW$4) + 1 )</f>
        <v>0</v>
      </c>
      <c r="CX120">
        <f>MAX( 0, MIN(BedPlan[[#This Row],[Expected End of Harvest]], EOMONTH(CX$4, 0)) - MAX(BedPlan[[#This Row],[Beginning of Harvest]], CX$4) + 1 )</f>
        <v>0</v>
      </c>
      <c r="CY120">
        <f>MAX( 0, MIN(BedPlan[[#This Row],[Expected End of Harvest]], EOMONTH(CY$4, 0)) - MAX(BedPlan[[#This Row],[Beginning of Harvest]], CY$4) + 1 )</f>
        <v>0</v>
      </c>
      <c r="CZ120">
        <f>MAX( 0, MIN(BedPlan[[#This Row],[Expected End of Harvest]], EOMONTH(CZ$4, 0)) - MAX(BedPlan[[#This Row],[Beginning of Harvest]], CZ$4) + 1 )</f>
        <v>0</v>
      </c>
      <c r="DA120">
        <f>MAX( 0, MIN(BedPlan[[#This Row],[Expected End of Harvest]], EOMONTH(DA$4, 0)) - MAX(BedPlan[[#This Row],[Beginning of Harvest]], DA$4) + 1 )</f>
        <v>0</v>
      </c>
      <c r="DB120">
        <f>MAX( 0, MIN(BedPlan[[#This Row],[Expected End of Harvest]], EOMONTH(DB$4, 0)) - MAX(BedPlan[[#This Row],[Beginning of Harvest]], DB$4) + 1 )</f>
        <v>0</v>
      </c>
      <c r="DC120">
        <f>MAX( 0, MIN(BedPlan[[#This Row],[Expected End of Harvest]], EOMONTH(DC$4, 0)) - MAX(BedPlan[[#This Row],[Beginning of Harvest]], DC$4) + 1 )</f>
        <v>0</v>
      </c>
      <c r="DD120">
        <f>MAX( 0, MIN(BedPlan[[#This Row],[Expected End of Harvest]], EOMONTH(DD$4, 0)) - MAX(BedPlan[[#This Row],[Beginning of Harvest]], DD$4) + 1 )</f>
        <v>0</v>
      </c>
      <c r="DE120">
        <f>MAX( 0, MIN(BedPlan[[#This Row],[Expected End of Harvest]], EOMONTH(DE$4, 0)) - MAX(BedPlan[[#This Row],[Beginning of Harvest]], DE$4) + 1 )</f>
        <v>0</v>
      </c>
      <c r="DF120">
        <f>MAX( 0, MIN(BedPlan[[#This Row],[Expected End of Harvest]], EOMONTH(DF$4, 0)) - MAX(BedPlan[[#This Row],[Beginning of Harvest]], DF$4) + 1 )</f>
        <v>0</v>
      </c>
      <c r="DG120">
        <f>MAX( 0, MIN(BedPlan[[#This Row],[Expected End of Harvest]], EOMONTH(DG$4, 0)) - MAX(BedPlan[[#This Row],[Beginning of Harvest]], DG$4) + 1 )</f>
        <v>0</v>
      </c>
      <c r="DH120">
        <f>MAX( 0, MIN(BedPlan[[#This Row],[Expected End of Harvest]], EOMONTH(DH$4, 0)) - MAX(BedPlan[[#This Row],[Beginning of Harvest]], DH$4) + 1 )</f>
        <v>0</v>
      </c>
      <c r="DI120" s="257" cm="1">
        <f t="array" ref="DI120">BedPlan[[#This Row],[Harvest Days January 2025]]/SUM(BedPlan[[#This Row],[Harvest Days January 2025]:[Harvest Days December 2026]])*BedPlan[[#This Row],[Revenue]:[Revenue]]</f>
        <v>0</v>
      </c>
      <c r="DJ120" s="257" cm="1">
        <f t="array" ref="DJ120">BedPlan[[#This Row],[Harvest Days February 2025]]/SUM(BedPlan[[#This Row],[Harvest Days January 2025]:[Harvest Days December 2026]])*BedPlan[[#This Row],[Revenue]:[Revenue]]</f>
        <v>0</v>
      </c>
      <c r="DK120" s="257" cm="1">
        <f t="array" ref="DK120">BedPlan[[#This Row],[Harvest Days March 2025]]/SUM(BedPlan[[#This Row],[Harvest Days January 2025]:[Harvest Days December 2026]])*BedPlan[[#This Row],[Revenue]:[Revenue]]</f>
        <v>0</v>
      </c>
      <c r="DL120" s="257" cm="1">
        <f t="array" ref="DL120">BedPlan[[#This Row],[Harvest Days April 2025]]/SUM(BedPlan[[#This Row],[Harvest Days January 2025]:[Harvest Days December 2026]])*BedPlan[[#This Row],[Revenue]:[Revenue]]</f>
        <v>0</v>
      </c>
      <c r="DM120" s="257" cm="1">
        <f t="array" ref="DM120">BedPlan[[#This Row],[Harvest Days May 2025]]/SUM(BedPlan[[#This Row],[Harvest Days January 2025]:[Harvest Days December 2026]])*BedPlan[[#This Row],[Revenue]:[Revenue]]</f>
        <v>0</v>
      </c>
      <c r="DN120" s="257" cm="1">
        <f t="array" ref="DN120">BedPlan[[#This Row],[Harvest Days June 2025]]/SUM(BedPlan[[#This Row],[Harvest Days January 2025]:[Harvest Days December 2026]])*BedPlan[[#This Row],[Revenue]:[Revenue]]</f>
        <v>0</v>
      </c>
      <c r="DO120" s="257" cm="1">
        <f t="array" ref="DO120">BedPlan[[#This Row],[Harvest Days July 2025]]/SUM(BedPlan[[#This Row],[Harvest Days January 2025]:[Harvest Days December 2026]])*BedPlan[[#This Row],[Revenue]:[Revenue]]</f>
        <v>0</v>
      </c>
      <c r="DP120" s="257" cm="1">
        <f t="array" ref="DP120">BedPlan[[#This Row],[Harvest Days August 2025]]/SUM(BedPlan[[#This Row],[Harvest Days January 2025]:[Harvest Days December 2026]])*BedPlan[[#This Row],[Revenue]:[Revenue]]</f>
        <v>225</v>
      </c>
      <c r="DQ120" s="257" cm="1">
        <f t="array" ref="DQ120">BedPlan[[#This Row],[Harvest Days September 2025]]/SUM(BedPlan[[#This Row],[Harvest Days January 2025]:[Harvest Days December 2026]])*BedPlan[[#This Row],[Revenue]:[Revenue]]</f>
        <v>0</v>
      </c>
      <c r="DR120" s="257" cm="1">
        <f t="array" ref="DR120">BedPlan[[#This Row],[Harvest Days October 2025]]/SUM(BedPlan[[#This Row],[Harvest Days January 2025]:[Harvest Days December 2026]])*BedPlan[[#This Row],[Revenue]:[Revenue]]</f>
        <v>0</v>
      </c>
      <c r="DS120" s="257" cm="1">
        <f t="array" ref="DS120">BedPlan[[#This Row],[Harvest Days November 2025]]/SUM(BedPlan[[#This Row],[Harvest Days January 2025]:[Harvest Days December 2026]])*BedPlan[[#This Row],[Revenue]:[Revenue]]</f>
        <v>0</v>
      </c>
      <c r="DT120" s="257" cm="1">
        <f t="array" ref="DT120">BedPlan[[#This Row],[Harvest Days December 2025]]/SUM(BedPlan[[#This Row],[Harvest Days January 2025]:[Harvest Days December 2026]])*BedPlan[[#This Row],[Revenue]:[Revenue]]</f>
        <v>0</v>
      </c>
      <c r="DU120" s="257" cm="1">
        <f t="array" ref="DU120">BedPlan[[#This Row],[Harvest Days January 2026]]/SUM(BedPlan[[#This Row],[Harvest Days January 2025]:[Harvest Days December 2026]])*BedPlan[[#This Row],[Revenue]:[Revenue]]</f>
        <v>0</v>
      </c>
      <c r="DV120" s="257" cm="1">
        <f t="array" ref="DV120">BedPlan[[#This Row],[Harvest Days February 2026]]/SUM(BedPlan[[#This Row],[Harvest Days January 2025]:[Harvest Days December 2026]])*BedPlan[[#This Row],[Revenue]:[Revenue]]</f>
        <v>0</v>
      </c>
      <c r="DW120" s="257" cm="1">
        <f t="array" ref="DW120">BedPlan[[#This Row],[Harvest Days March 2026]]/SUM(BedPlan[[#This Row],[Harvest Days January 2025]:[Harvest Days December 2026]])*BedPlan[[#This Row],[Revenue]:[Revenue]]</f>
        <v>0</v>
      </c>
      <c r="DX120" s="257" cm="1">
        <f t="array" ref="DX120">BedPlan[[#This Row],[Harvest Days April 2026]]/SUM(BedPlan[[#This Row],[Harvest Days January 2025]:[Harvest Days December 2026]])*BedPlan[[#This Row],[Revenue]:[Revenue]]</f>
        <v>0</v>
      </c>
      <c r="DY120" s="257" cm="1">
        <f t="array" ref="DY120">BedPlan[[#This Row],[Harvest Days May 2026]]/SUM(BedPlan[[#This Row],[Harvest Days January 2025]:[Harvest Days December 2026]])*BedPlan[[#This Row],[Revenue]:[Revenue]]</f>
        <v>0</v>
      </c>
      <c r="DZ120" s="257" cm="1">
        <f t="array" ref="DZ120">BedPlan[[#This Row],[Harvest Days June 2026]]/SUM(BedPlan[[#This Row],[Harvest Days January 2025]:[Harvest Days December 2026]])*BedPlan[[#This Row],[Revenue]:[Revenue]]</f>
        <v>0</v>
      </c>
      <c r="EA120" s="257" cm="1">
        <f t="array" ref="EA120">BedPlan[[#This Row],[Harvest Days July 2026]]/SUM(BedPlan[[#This Row],[Harvest Days January 2025]:[Harvest Days December 2026]])*BedPlan[[#This Row],[Revenue]:[Revenue]]</f>
        <v>0</v>
      </c>
      <c r="EB120" s="257" cm="1">
        <f t="array" ref="EB120">BedPlan[[#This Row],[Harvest Days August 2026]]/SUM(BedPlan[[#This Row],[Harvest Days January 2025]:[Harvest Days December 2026]])*BedPlan[[#This Row],[Revenue]:[Revenue]]</f>
        <v>0</v>
      </c>
      <c r="EC120" s="257" cm="1">
        <f t="array" ref="EC120">BedPlan[[#This Row],[Harvest Days September 2026]]/SUM(BedPlan[[#This Row],[Harvest Days January 2025]:[Harvest Days December 2026]])*BedPlan[[#This Row],[Revenue]:[Revenue]]</f>
        <v>0</v>
      </c>
      <c r="ED120" s="257" cm="1">
        <f t="array" ref="ED120">BedPlan[[#This Row],[Harvest Days October 2026]]/SUM(BedPlan[[#This Row],[Harvest Days January 2025]:[Harvest Days December 2026]])*BedPlan[[#This Row],[Revenue]:[Revenue]]</f>
        <v>0</v>
      </c>
      <c r="EE120" s="257" cm="1">
        <f t="array" ref="EE120">BedPlan[[#This Row],[Harvest Days November 2026]]/SUM(BedPlan[[#This Row],[Harvest Days January 2025]:[Harvest Days December 2026]])*BedPlan[[#This Row],[Revenue]:[Revenue]]</f>
        <v>0</v>
      </c>
      <c r="EF120" s="257" cm="1">
        <f t="array" ref="EF120">BedPlan[[#This Row],[Harvest Days December 2026]]/SUM(BedPlan[[#This Row],[Harvest Days January 2025]:[Harvest Days December 2026]])*BedPlan[[#This Row],[Revenue]:[Revenue]]</f>
        <v>0</v>
      </c>
      <c r="EG120" t="b">
        <f>SUM(BedPlan[[#This Row],[Revenue January 2025]:[Revenue December 2026]])=BedPlan[[#This Row],[Revenue]]</f>
        <v>1</v>
      </c>
      <c r="EH120" s="30" cm="1">
        <f t="array" ref="EH120">INDEX(Crops[],BedPlan[[#This Row],[Chart Index]],EH$4,1)*BedPlan[[#This Row],['# Of Beds]]</f>
        <v>100</v>
      </c>
      <c r="EI120" s="30" t="str" cm="1">
        <f t="array" ref="EI120">INDEX(Crops[],BedPlan[[#This Row],[Chart Index]],EI$4,1)</f>
        <v>Lb</v>
      </c>
      <c r="EJ120" s="30" t="str" cm="1">
        <f t="array" ref="EJ120">INDEX(Crops[],BedPlan[[#This Row],[Chart Index]],EJ$4,1)</f>
        <v>Storage</v>
      </c>
      <c r="EK120" s="30" t="str">
        <f>BedPlan[[#This Row],[Name]]&amp;" "&amp;BedPlan[[#This Row],[Product]]&amp; " - " &amp;BedPlan[[#This Row],[Unit]]</f>
        <v>Squash Storage - Lb</v>
      </c>
      <c r="EL120" s="33" cm="1">
        <f t="array" ref="EL120">BedPlan[[#This Row],[Harvest Days January 2025]]/SUM(BedPlan[[#This Row],[Harvest Days January 2025]:[Harvest Days December 2026]])*BedPlan[[#This Row],[Yield]:[Yield]]</f>
        <v>0</v>
      </c>
      <c r="EM120" s="33" cm="1">
        <f t="array" ref="EM120">BedPlan[[#This Row],[Harvest Days February 2025]]/SUM(BedPlan[[#This Row],[Harvest Days January 2025]:[Harvest Days December 2026]])*BedPlan[[#This Row],[Yield]:[Yield]]</f>
        <v>0</v>
      </c>
      <c r="EN120" s="33" cm="1">
        <f t="array" ref="EN120">BedPlan[[#This Row],[Harvest Days March 2025]]/SUM(BedPlan[[#This Row],[Harvest Days January 2025]:[Harvest Days December 2026]])*BedPlan[[#This Row],[Yield]:[Yield]]</f>
        <v>0</v>
      </c>
      <c r="EO120" s="33" cm="1">
        <f t="array" ref="EO120">BedPlan[[#This Row],[Harvest Days April 2025]]/SUM(BedPlan[[#This Row],[Harvest Days January 2025]:[Harvest Days December 2026]])*BedPlan[[#This Row],[Yield]:[Yield]]</f>
        <v>0</v>
      </c>
      <c r="EP120" s="33" cm="1">
        <f t="array" ref="EP120">BedPlan[[#This Row],[Harvest Days May 2025]]/SUM(BedPlan[[#This Row],[Harvest Days January 2025]:[Harvest Days December 2026]])*BedPlan[[#This Row],[Yield]:[Yield]]</f>
        <v>0</v>
      </c>
      <c r="EQ120" s="33" cm="1">
        <f t="array" ref="EQ120">BedPlan[[#This Row],[Harvest Days June 2025]]/SUM(BedPlan[[#This Row],[Harvest Days January 2025]:[Harvest Days December 2026]])*BedPlan[[#This Row],[Yield]:[Yield]]</f>
        <v>0</v>
      </c>
      <c r="ER120" s="33" cm="1">
        <f t="array" ref="ER120">BedPlan[[#This Row],[Harvest Days July 2025]]/SUM(BedPlan[[#This Row],[Harvest Days January 2025]:[Harvest Days December 2026]])*BedPlan[[#This Row],[Yield]:[Yield]]</f>
        <v>0</v>
      </c>
      <c r="ES120" s="33" cm="1">
        <f t="array" ref="ES120">BedPlan[[#This Row],[Harvest Days August 2025]]/SUM(BedPlan[[#This Row],[Harvest Days January 2025]:[Harvest Days December 2026]])*BedPlan[[#This Row],[Yield]:[Yield]]</f>
        <v>100</v>
      </c>
      <c r="ET120" s="33" cm="1">
        <f t="array" ref="ET120">BedPlan[[#This Row],[Harvest Days September 2025]]/SUM(BedPlan[[#This Row],[Harvest Days January 2025]:[Harvest Days December 2026]])*BedPlan[[#This Row],[Yield]:[Yield]]</f>
        <v>0</v>
      </c>
      <c r="EU120" s="33" cm="1">
        <f t="array" ref="EU120">BedPlan[[#This Row],[Harvest Days October 2025]]/SUM(BedPlan[[#This Row],[Harvest Days January 2025]:[Harvest Days December 2026]])*BedPlan[[#This Row],[Yield]:[Yield]]</f>
        <v>0</v>
      </c>
      <c r="EV120" s="33" cm="1">
        <f t="array" ref="EV120">BedPlan[[#This Row],[Harvest Days November 2025]]/SUM(BedPlan[[#This Row],[Harvest Days January 2025]:[Harvest Days December 2026]])*BedPlan[[#This Row],[Yield]:[Yield]]</f>
        <v>0</v>
      </c>
      <c r="EW120" s="33" cm="1">
        <f t="array" ref="EW120">BedPlan[[#This Row],[Harvest Days December 2025]]/SUM(BedPlan[[#This Row],[Harvest Days January 2025]:[Harvest Days December 2026]])*BedPlan[[#This Row],[Yield]:[Yield]]</f>
        <v>0</v>
      </c>
    </row>
    <row r="121" spans="1:153" ht="15" customHeight="1">
      <c r="A121" s="187" t="s">
        <v>1741</v>
      </c>
      <c r="B121" s="240" t="s">
        <v>3060</v>
      </c>
      <c r="C121" t="s">
        <v>3256</v>
      </c>
      <c r="D121" s="226" cm="1">
        <f t="array" ref="D121">INDEX(Crops[],BedPlan[[#This Row],[Chart Index]],D$4,1)*BedPlan[[#This Row],[Full Bed Equivalent]]</f>
        <v>799.99999999999989</v>
      </c>
      <c r="E121" s="226" cm="1">
        <f t="array" ref="E121">INDEX(Crops[],BedPlan[[#This Row],[Chart Index]],E$4,1)*BedPlan[[#This Row],[Full Bed Equivalent]]</f>
        <v>799.99999999999989</v>
      </c>
      <c r="F121" t="str">
        <f>UPPER(LEFT(BedPlan[[#This Row],[Crop]],3))</f>
        <v>SQU</v>
      </c>
      <c r="H121" s="143" t="str" cm="1">
        <f t="array" ref="H121">INDEX(Crops[],BedPlan[[#This Row],[Chart Index]],H$4,1)</f>
        <v>Squash</v>
      </c>
      <c r="I121" s="247" t="s">
        <v>1937</v>
      </c>
      <c r="K121" s="34" t="str" cm="1">
        <f t="array" ref="K121">IF(ISNUMBER(MATCH(BedPlan[[#This Row],[Variety]],SeedMixes[Name],)),_xlfn.TEXTJOIN(", ",TRUE,_xlfn._xlws.FILTER(SeedMixes[Variety &amp; Company],SeedMixes[Name]=BedPlan[[#This Row],[Variety]])),"")</f>
        <v>Red Kuri High Mowing, Sunshine Johnny's, Mambo Johnny's, Neon Territorial</v>
      </c>
      <c r="L121" s="33" cm="1">
        <f t="array" ref="L121">INDEX(Crops[],BedPlan[[#This Row],[Chart Index]],L$4,1)*BedPlan[[#This Row],[Full Bed Equivalent]]</f>
        <v>346.66666666666663</v>
      </c>
      <c r="N121">
        <v>16</v>
      </c>
      <c r="O121">
        <v>1</v>
      </c>
      <c r="P121" s="31">
        <f>IF(ISNUMBER(BedPlan[[#This Row],[Planned Greenhouse Start Date]]),BedPlan[[#This Row],[Planned Greenhouse Start Date]],BedPlan[[#This Row],[Planned TP or DS Date]])</f>
        <v>45758</v>
      </c>
      <c r="Q121" s="259">
        <f>IF(BedPlan[[#This Row],[Days in Cells]]=0,"",IFERROR(_xlfn.XLOOKUP(BedPlan[[#This Row],[Follows Crop]],BedPlan[Identifier],BedPlan[Expected End of Harvest]) + 1+BedPlan[[#This Row],[Follow Offset]],BedPlan[[#This Row],[Fixed Field Start Date]])-BedPlan[[#This Row],[Days in Cells]])</f>
        <v>45758</v>
      </c>
      <c r="R121" s="259">
        <v>45763</v>
      </c>
      <c r="S121" s="259">
        <f>IF(ISNUMBER(BedPlan[[#This Row],[Actual Greenhouse Date]]),BedPlan[[#This Row],[Actual Greenhouse Date]],BedPlan[[#This Row],[Planned Greenhouse Start Date]])</f>
        <v>45763</v>
      </c>
      <c r="T121" s="259">
        <f>_xlfn.XLOOKUP(BedPlan[[#This Row],[Crop]],Crops[Identifier],Crops[Target Field Date])</f>
        <v>45786</v>
      </c>
      <c r="U121" s="260"/>
      <c r="V121" s="260"/>
      <c r="W12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1" s="259">
        <v>45812</v>
      </c>
      <c r="Y121" s="271">
        <f>BedPlan[[#This Row],[Actual TP or DS Date]]-BedPlan[[#This Row],[Planned TP or DS Date]]</f>
        <v>21</v>
      </c>
      <c r="Z121" s="259">
        <f>IF(ISNUMBER(BedPlan[[#This Row],[Actual TP or DS Date]]),BedPlan[[#This Row],[Actual TP or DS Date]],BedPlan[[#This Row],[Planned TP or DS Date]])</f>
        <v>45812</v>
      </c>
      <c r="AA121" s="259"/>
      <c r="AB121" s="259">
        <f>IF(ISNUMBER(BedPlan[[#This Row],[Greenhouse Start Date]]),BedPlan[[#This Row],[Greenhouse Start Date]]+BedPlan[[#This Row],[DTM]],BedPlan[[#This Row],[TP or DS Date]]+BedPlan[[#This Row],[DTM]])</f>
        <v>45891</v>
      </c>
      <c r="AC121" s="259"/>
      <c r="AD121" s="259">
        <f>IF(ISNUMBER(BedPlan[[#This Row],[Actual Beginning of Harvest]]),BedPlan[[#This Row],[Actual Beginning of Harvest]],BedPlan[[#This Row],[Expected Beginning of Harvest]])</f>
        <v>45891</v>
      </c>
      <c r="AE121" s="259">
        <f>BedPlan[[#This Row],[Expected Beginning of Harvest]]+BedPlan[[#This Row],[Harvest Window]]+BedPlan[[#This Row],[Additional Days of Harvest]]</f>
        <v>45898</v>
      </c>
      <c r="AF121" s="259"/>
      <c r="AG121" s="259"/>
      <c r="AH121" s="34" t="b">
        <f>IF(AND( BedPlan[[#This Row],[Expected End of Harvest]] &gt;= DATE(2025, 8, 1), BedPlan[[#This Row],[Beginning of Harvest]] &lt;= DATE(2025, 8, 31) ), TRUE, FALSE)</f>
        <v>1</v>
      </c>
      <c r="AI121" s="31"/>
      <c r="AJ121" s="31">
        <f>IF(ISNUMBER(BedPlan[[#This Row],[Actual End of Harvest]]),BedPlan[[#This Row],[Actual End of Harvest]],BedPlan[[#This Row],[Expected End of Harvest]])</f>
        <v>45898</v>
      </c>
      <c r="AK121" t="b">
        <f>OR(ISNUMBER(BedPlan[[#This Row],[Actual Greenhouse Date]]),ISNUMBER(BedPlan[[#This Row],[Actual TP or DS Date]]))</f>
        <v>1</v>
      </c>
      <c r="AL121" t="b">
        <f>IF(ISNUMBER(BedPlan[[#This Row],[Planned Greenhouse Start Date]]),OR(ISNUMBER(BedPlan[[#This Row],[Actual TP or DS Date]]),BedPlan[[#This Row],[Failed]]),"-")</f>
        <v>1</v>
      </c>
      <c r="AM121" t="b">
        <f>OR(ISNUMBER(BedPlan[[#This Row],[Actual End of Harvest]]),BedPlan[[#This Row],[Failed]])</f>
        <v>0</v>
      </c>
      <c r="AN121" t="b">
        <f>OR(BedPlan[[#This Row],[Harvest Done]],BedPlan[[#This Row],[Failed]],BedPlan[[#This Row],[Name]]="Tarp")</f>
        <v>0</v>
      </c>
      <c r="AS121" s="26" t="str">
        <f>IF(BedPlan[[#This Row],[Broadfork]],BedPlan[[#This Row],[Actual TP or DS Date]],"")</f>
        <v/>
      </c>
      <c r="AT121" s="26" t="str">
        <f>IF(BedPlan[[#This Row],[Tilther]],BedPlan[[#This Row],[Actual TP or DS Date]],"")</f>
        <v/>
      </c>
      <c r="AU121" s="26" t="str">
        <f>IF(NOT(ISBLANK(BedPlan[[#This Row],[Amend]])),BedPlan[[#This Row],[Actual TP or DS Date]],"")</f>
        <v/>
      </c>
      <c r="AV121" s="26" t="str">
        <f>IF(BedPlan[[#This Row],[Row Cover]],BedPlan[[#This Row],[Actual TP or DS Date]],"")</f>
        <v/>
      </c>
      <c r="AX121" s="26"/>
      <c r="AZ121" s="26"/>
      <c r="BB121" s="26"/>
      <c r="BC121" s="36" cm="1">
        <f t="array" ref="BC121">INDEX(Crops[],BedPlan[[#This Row],[Chart Index]],BC$4,1)*BedPlan[[#This Row],[Full Bed Equivalent]]</f>
        <v>5399.9999999999991</v>
      </c>
      <c r="BD121" s="36" cm="1">
        <f t="array" ref="BD121">INDEX(Crops[],BedPlan[[#This Row],[Chart Index]],BD$4,1)*BedPlan[[#This Row],[Full Bed Equivalent]]</f>
        <v>50.467289719626159</v>
      </c>
      <c r="BE121" cm="1">
        <f t="array" ref="BE121">INDEX(Crops[],BedPlan[[#This Row],[Chart Index]],BE$4,1)+BedPlan[[#This Row],[Additional Days in Cells]]+BedPlan[[#This Row],[Additional Days In Field]]</f>
        <v>128</v>
      </c>
      <c r="BG121" cm="1">
        <f t="array" ref="BG121">INDEX(Crops[],BedPlan[[#This Row],[Chart Index]],BG$4,1)</f>
        <v>7</v>
      </c>
      <c r="BH121" t="str">
        <f>IF(ISNUMBER(BedPlan[[#This Row],[Planned Greenhouse Start Date]]),"TP","DS")</f>
        <v>TP</v>
      </c>
      <c r="BI121">
        <f>BedPlan[[#This Row],['# Of Beds]]</f>
        <v>16</v>
      </c>
      <c r="BJ121" cm="1">
        <f t="array" ref="BJ121">INDEX(Crops[],BedPlan[[#This Row],[Chart Index]],BJ$4,1)</f>
        <v>28</v>
      </c>
      <c r="BK121" cm="1">
        <f t="array" ref="BK121">INDEX(Crops[],BedPlan[[#This Row],[Chart Index]],BK$4,1)</f>
        <v>1</v>
      </c>
      <c r="BL121" cm="1">
        <f t="array" ref="BL121">INDEX(Crops[],BedPlan[[#This Row],[Chart Index]],BL$4,1)</f>
        <v>36</v>
      </c>
      <c r="BM121" cm="1">
        <f t="array" ref="BM121">INDEX(Crops[],BedPlan[[#This Row],[Chart Index]],BM$4,1)</f>
        <v>1</v>
      </c>
      <c r="BN121" s="32" cm="1">
        <f t="array" ref="BN121">INDEX(Crops[],BedPlan[[#This Row],[Chart Index]],BN$4,1)*BedPlan[[#This Row],[Full Bed Equivalent]]</f>
        <v>266.66666666666663</v>
      </c>
      <c r="BO121" t="str" cm="1">
        <f t="array" ref="BO121">IF(INDEX(Crops[],BedPlan[[#This Row],[Chart Index]],BO$4,1)=0,"",INDEX(Crops[],BedPlan[[#This Row],[Chart Index]],BO$4,1))</f>
        <v/>
      </c>
      <c r="BP121">
        <f>MATCH(BedPlan[[#This Row],[Crop]],Crops[Identifier],FALSE)</f>
        <v>301</v>
      </c>
      <c r="BQ121" t="str" cm="1">
        <f t="array" ref="BQ121">INDEX(Crops[],BedPlan[[#This Row],[Chart Index]],BQ$4,1)</f>
        <v>Kuri</v>
      </c>
      <c r="BR121" t="str" cm="1">
        <f t="array" ref="BR121">INDEX(Crops[],BedPlan[[#This Row],[Chart Index]],BR$4,1)</f>
        <v/>
      </c>
      <c r="BS121" s="32">
        <f>BedPlan[[#This Row],[Expected Beginning of Harvest]]-DATE(2023,1,1)</f>
        <v>964</v>
      </c>
      <c r="BT121">
        <f>BedPlan[[#This Row],[Expected End of Harvest]]-BedPlan[[#This Row],[Expected Beginning of Harvest]]</f>
        <v>7</v>
      </c>
      <c r="BU121" t="str" cm="1">
        <f t="array" ref="BU121">INDEX(Crops[],BedPlan[[#This Row],[Chart Index]],BU$4,1)</f>
        <v>Winter Squash</v>
      </c>
      <c r="BV121" cm="1">
        <f t="array" ref="BV121">INDEX(Crops[],BedPlan[[#This Row],[Chart Index]],BV$4,1)</f>
        <v>3</v>
      </c>
      <c r="BW121" t="str" cm="1">
        <f t="array" ref="BW121">INDEX(Crops[],BedPlan[[#This Row],[Chart Index]],BW$4,1)</f>
        <v>None</v>
      </c>
      <c r="BX121" cm="1">
        <f t="array" ref="BX121">INDEX(Crops[],BedPlan[[#This Row],[Chart Index]],BX$4,1)</f>
        <v>50</v>
      </c>
      <c r="BY121" cm="1">
        <f t="array" ref="BY121">INDEX(Crops[],BedPlan[[#This Row],[Chart Index]],BY$4,1)</f>
        <v>28</v>
      </c>
      <c r="BZ121" s="49" cm="1">
        <f t="array" ref="BZ121">IFERROR(INDEX(Crops[],BedPlan[[#This Row],[Chart Index]],BZ$4,1)*BedPlan[[#This Row],[Full Bed Equivalent]],"")</f>
        <v>6.9333333333333318</v>
      </c>
      <c r="CA121" cm="1">
        <f t="array" ref="CA121">INDEX(Crops[],BedPlan[[#This Row],[Chart Index]],CA$4,1)</f>
        <v>0</v>
      </c>
      <c r="CB121" cm="1">
        <f t="array" ref="CB121">INDEX(Crops[],BedPlan[[#This Row],[Chart Index]],CB$4,1)</f>
        <v>0</v>
      </c>
      <c r="CC121" s="49" t="str" cm="1">
        <f t="array" ref="CC121">IFERROR(INDEX(Crops[],BedPlan[[#This Row],[Chart Index]],CC$4,1)*BedPlan[[#This Row],[Full Bed Equivalent]],"")</f>
        <v/>
      </c>
      <c r="CD121" cm="1">
        <f t="array" ref="CD121">INDEX(Crops[],BedPlan[[#This Row],[Chart Index]],CD$4,1)</f>
        <v>0</v>
      </c>
      <c r="CE121" cm="1">
        <f t="array" ref="CE121">IF(INDEX(Crops[],BedPlan[[#This Row],[Chart Index]],CE$4,1)="",0,INDEX(Crops[],BedPlan[[#This Row],[Chart Index]],CE$4,1))</f>
        <v>0</v>
      </c>
      <c r="CF121" s="49" t="str" cm="1">
        <f t="array" ref="CF121">IFERROR(INDEX(Crops[],BedPlan[[#This Row],[Chart Index]],CF$4,1)*BedPlan[[#This Row],[Full Bed Equivalent]],"")</f>
        <v/>
      </c>
      <c r="CG121" cm="1">
        <f t="array" ref="CG121">IF(INDEX(Crops[],BedPlan[[#This Row],[Chart Index]],CG$4,1)="",0,INDEX(Crops[],BedPlan[[#This Row],[Chart Index]],CG$4,1))</f>
        <v>1.3</v>
      </c>
      <c r="CH121" cm="1">
        <f t="array" ref="CH121">IF(INDEX(Crops[],BedPlan[[#This Row],[Chart Index]],CH$4,1)="",0,INDEX(Crops[],BedPlan[[#This Row],[Chart Index]],CH$4,1))</f>
        <v>0</v>
      </c>
      <c r="CI121" t="str" cm="1">
        <f t="array" ref="CI121">INDEX(Crops[],BedPlan[[#This Row],[Chart Index]],CI$4,1)</f>
        <v>Field</v>
      </c>
      <c r="CJ121" t="str">
        <f>_xlfn.TEXTJOIN(CHAR(10),FALSE,BedPlan[[#This Row],[Name]],BedPlan[[#This Row],[Variety]],BedPlan[[#This Row],[Company]])</f>
        <v xml:space="preserve">Squash
Winter Squash Mix
</v>
      </c>
      <c r="CK121" s="32">
        <f>MAX( 0, MIN(BedPlan[[#This Row],[Expected End of Harvest]], EOMONTH(CK$4, 0)) - MAX(BedPlan[[#This Row],[Beginning of Harvest]], CK$4) + 1 )</f>
        <v>0</v>
      </c>
      <c r="CL121">
        <f>MAX( 0, MIN(BedPlan[[#This Row],[Expected End of Harvest]], EOMONTH(CL$4, 0)) - MAX(BedPlan[[#This Row],[Beginning of Harvest]], CL$4) + 1 )</f>
        <v>0</v>
      </c>
      <c r="CM121">
        <f>MAX( 0, MIN(BedPlan[[#This Row],[Expected End of Harvest]], EOMONTH(CM$4, 0)) - MAX(BedPlan[[#This Row],[Beginning of Harvest]], CM$4) + 1 )</f>
        <v>0</v>
      </c>
      <c r="CN121">
        <f>MAX( 0, MIN(BedPlan[[#This Row],[Expected End of Harvest]], EOMONTH(CN$4, 0)) - MAX(BedPlan[[#This Row],[Beginning of Harvest]], CN$4) + 1 )</f>
        <v>0</v>
      </c>
      <c r="CO121">
        <f>MAX( 0, MIN(BedPlan[[#This Row],[Expected End of Harvest]], EOMONTH(CO$4, 0)) - MAX(BedPlan[[#This Row],[Beginning of Harvest]], CO$4) + 1 )</f>
        <v>0</v>
      </c>
      <c r="CP121">
        <f>MAX( 0, MIN(BedPlan[[#This Row],[Expected End of Harvest]], EOMONTH(CP$4, 0)) - MAX(BedPlan[[#This Row],[Beginning of Harvest]], CP$4) + 1 )</f>
        <v>0</v>
      </c>
      <c r="CQ121">
        <f>MAX( 0, MIN(BedPlan[[#This Row],[Expected End of Harvest]], EOMONTH(CQ$4, 0)) - MAX(BedPlan[[#This Row],[Beginning of Harvest]], CQ$4) + 1 )</f>
        <v>0</v>
      </c>
      <c r="CR121">
        <f>MAX( 0, MIN(BedPlan[[#This Row],[Expected End of Harvest]], EOMONTH(CR$4, 0)) - MAX(BedPlan[[#This Row],[Beginning of Harvest]], CR$4) + 1 )</f>
        <v>8</v>
      </c>
      <c r="CS121">
        <f>MAX( 0, MIN(BedPlan[[#This Row],[Expected End of Harvest]], EOMONTH(CS$4, 0)) - MAX(BedPlan[[#This Row],[Beginning of Harvest]], CS$4) + 1 )</f>
        <v>0</v>
      </c>
      <c r="CT121">
        <f>MAX( 0, MIN(BedPlan[[#This Row],[Expected End of Harvest]], EOMONTH(CT$4, 0)) - MAX(BedPlan[[#This Row],[Beginning of Harvest]], CT$4) + 1 )</f>
        <v>0</v>
      </c>
      <c r="CU121">
        <f>MAX( 0, MIN(BedPlan[[#This Row],[Expected End of Harvest]], EOMONTH(CU$4, 0)) - MAX(BedPlan[[#This Row],[Beginning of Harvest]], CU$4) + 1 )</f>
        <v>0</v>
      </c>
      <c r="CV121">
        <f>MAX( 0, MIN(BedPlan[[#This Row],[Expected End of Harvest]], EOMONTH(CV$4, 0)) - MAX(BedPlan[[#This Row],[Beginning of Harvest]], CV$4) + 1 )</f>
        <v>0</v>
      </c>
      <c r="CW121">
        <f>MAX( 0, MIN(BedPlan[[#This Row],[Expected End of Harvest]], EOMONTH(CW$4, 0)) - MAX(BedPlan[[#This Row],[Beginning of Harvest]], CW$4) + 1 )</f>
        <v>0</v>
      </c>
      <c r="CX121">
        <f>MAX( 0, MIN(BedPlan[[#This Row],[Expected End of Harvest]], EOMONTH(CX$4, 0)) - MAX(BedPlan[[#This Row],[Beginning of Harvest]], CX$4) + 1 )</f>
        <v>0</v>
      </c>
      <c r="CY121">
        <f>MAX( 0, MIN(BedPlan[[#This Row],[Expected End of Harvest]], EOMONTH(CY$4, 0)) - MAX(BedPlan[[#This Row],[Beginning of Harvest]], CY$4) + 1 )</f>
        <v>0</v>
      </c>
      <c r="CZ121">
        <f>MAX( 0, MIN(BedPlan[[#This Row],[Expected End of Harvest]], EOMONTH(CZ$4, 0)) - MAX(BedPlan[[#This Row],[Beginning of Harvest]], CZ$4) + 1 )</f>
        <v>0</v>
      </c>
      <c r="DA121">
        <f>MAX( 0, MIN(BedPlan[[#This Row],[Expected End of Harvest]], EOMONTH(DA$4, 0)) - MAX(BedPlan[[#This Row],[Beginning of Harvest]], DA$4) + 1 )</f>
        <v>0</v>
      </c>
      <c r="DB121">
        <f>MAX( 0, MIN(BedPlan[[#This Row],[Expected End of Harvest]], EOMONTH(DB$4, 0)) - MAX(BedPlan[[#This Row],[Beginning of Harvest]], DB$4) + 1 )</f>
        <v>0</v>
      </c>
      <c r="DC121">
        <f>MAX( 0, MIN(BedPlan[[#This Row],[Expected End of Harvest]], EOMONTH(DC$4, 0)) - MAX(BedPlan[[#This Row],[Beginning of Harvest]], DC$4) + 1 )</f>
        <v>0</v>
      </c>
      <c r="DD121">
        <f>MAX( 0, MIN(BedPlan[[#This Row],[Expected End of Harvest]], EOMONTH(DD$4, 0)) - MAX(BedPlan[[#This Row],[Beginning of Harvest]], DD$4) + 1 )</f>
        <v>0</v>
      </c>
      <c r="DE121">
        <f>MAX( 0, MIN(BedPlan[[#This Row],[Expected End of Harvest]], EOMONTH(DE$4, 0)) - MAX(BedPlan[[#This Row],[Beginning of Harvest]], DE$4) + 1 )</f>
        <v>0</v>
      </c>
      <c r="DF121">
        <f>MAX( 0, MIN(BedPlan[[#This Row],[Expected End of Harvest]], EOMONTH(DF$4, 0)) - MAX(BedPlan[[#This Row],[Beginning of Harvest]], DF$4) + 1 )</f>
        <v>0</v>
      </c>
      <c r="DG121">
        <f>MAX( 0, MIN(BedPlan[[#This Row],[Expected End of Harvest]], EOMONTH(DG$4, 0)) - MAX(BedPlan[[#This Row],[Beginning of Harvest]], DG$4) + 1 )</f>
        <v>0</v>
      </c>
      <c r="DH121">
        <f>MAX( 0, MIN(BedPlan[[#This Row],[Expected End of Harvest]], EOMONTH(DH$4, 0)) - MAX(BedPlan[[#This Row],[Beginning of Harvest]], DH$4) + 1 )</f>
        <v>0</v>
      </c>
      <c r="DI121" s="257" cm="1">
        <f t="array" ref="DI121">BedPlan[[#This Row],[Harvest Days January 2025]]/SUM(BedPlan[[#This Row],[Harvest Days January 2025]:[Harvest Days December 2026]])*BedPlan[[#This Row],[Revenue]:[Revenue]]</f>
        <v>0</v>
      </c>
      <c r="DJ121" s="257" cm="1">
        <f t="array" ref="DJ121">BedPlan[[#This Row],[Harvest Days February 2025]]/SUM(BedPlan[[#This Row],[Harvest Days January 2025]:[Harvest Days December 2026]])*BedPlan[[#This Row],[Revenue]:[Revenue]]</f>
        <v>0</v>
      </c>
      <c r="DK121" s="257" cm="1">
        <f t="array" ref="DK121">BedPlan[[#This Row],[Harvest Days March 2025]]/SUM(BedPlan[[#This Row],[Harvest Days January 2025]:[Harvest Days December 2026]])*BedPlan[[#This Row],[Revenue]:[Revenue]]</f>
        <v>0</v>
      </c>
      <c r="DL121" s="257" cm="1">
        <f t="array" ref="DL121">BedPlan[[#This Row],[Harvest Days April 2025]]/SUM(BedPlan[[#This Row],[Harvest Days January 2025]:[Harvest Days December 2026]])*BedPlan[[#This Row],[Revenue]:[Revenue]]</f>
        <v>0</v>
      </c>
      <c r="DM121" s="257" cm="1">
        <f t="array" ref="DM121">BedPlan[[#This Row],[Harvest Days May 2025]]/SUM(BedPlan[[#This Row],[Harvest Days January 2025]:[Harvest Days December 2026]])*BedPlan[[#This Row],[Revenue]:[Revenue]]</f>
        <v>0</v>
      </c>
      <c r="DN121" s="257" cm="1">
        <f t="array" ref="DN121">BedPlan[[#This Row],[Harvest Days June 2025]]/SUM(BedPlan[[#This Row],[Harvest Days January 2025]:[Harvest Days December 2026]])*BedPlan[[#This Row],[Revenue]:[Revenue]]</f>
        <v>0</v>
      </c>
      <c r="DO121" s="257" cm="1">
        <f t="array" ref="DO121">BedPlan[[#This Row],[Harvest Days July 2025]]/SUM(BedPlan[[#This Row],[Harvest Days January 2025]:[Harvest Days December 2026]])*BedPlan[[#This Row],[Revenue]:[Revenue]]</f>
        <v>0</v>
      </c>
      <c r="DP121" s="257" cm="1">
        <f t="array" ref="DP121">BedPlan[[#This Row],[Harvest Days August 2025]]/SUM(BedPlan[[#This Row],[Harvest Days January 2025]:[Harvest Days December 2026]])*BedPlan[[#This Row],[Revenue]:[Revenue]]</f>
        <v>5399.9999999999991</v>
      </c>
      <c r="DQ121" s="257" cm="1">
        <f t="array" ref="DQ121">BedPlan[[#This Row],[Harvest Days September 2025]]/SUM(BedPlan[[#This Row],[Harvest Days January 2025]:[Harvest Days December 2026]])*BedPlan[[#This Row],[Revenue]:[Revenue]]</f>
        <v>0</v>
      </c>
      <c r="DR121" s="257" cm="1">
        <f t="array" ref="DR121">BedPlan[[#This Row],[Harvest Days October 2025]]/SUM(BedPlan[[#This Row],[Harvest Days January 2025]:[Harvest Days December 2026]])*BedPlan[[#This Row],[Revenue]:[Revenue]]</f>
        <v>0</v>
      </c>
      <c r="DS121" s="257" cm="1">
        <f t="array" ref="DS121">BedPlan[[#This Row],[Harvest Days November 2025]]/SUM(BedPlan[[#This Row],[Harvest Days January 2025]:[Harvest Days December 2026]])*BedPlan[[#This Row],[Revenue]:[Revenue]]</f>
        <v>0</v>
      </c>
      <c r="DT121" s="257" cm="1">
        <f t="array" ref="DT121">BedPlan[[#This Row],[Harvest Days December 2025]]/SUM(BedPlan[[#This Row],[Harvest Days January 2025]:[Harvest Days December 2026]])*BedPlan[[#This Row],[Revenue]:[Revenue]]</f>
        <v>0</v>
      </c>
      <c r="DU121" s="257" cm="1">
        <f t="array" ref="DU121">BedPlan[[#This Row],[Harvest Days January 2026]]/SUM(BedPlan[[#This Row],[Harvest Days January 2025]:[Harvest Days December 2026]])*BedPlan[[#This Row],[Revenue]:[Revenue]]</f>
        <v>0</v>
      </c>
      <c r="DV121" s="257" cm="1">
        <f t="array" ref="DV121">BedPlan[[#This Row],[Harvest Days February 2026]]/SUM(BedPlan[[#This Row],[Harvest Days January 2025]:[Harvest Days December 2026]])*BedPlan[[#This Row],[Revenue]:[Revenue]]</f>
        <v>0</v>
      </c>
      <c r="DW121" s="257" cm="1">
        <f t="array" ref="DW121">BedPlan[[#This Row],[Harvest Days March 2026]]/SUM(BedPlan[[#This Row],[Harvest Days January 2025]:[Harvest Days December 2026]])*BedPlan[[#This Row],[Revenue]:[Revenue]]</f>
        <v>0</v>
      </c>
      <c r="DX121" s="257" cm="1">
        <f t="array" ref="DX121">BedPlan[[#This Row],[Harvest Days April 2026]]/SUM(BedPlan[[#This Row],[Harvest Days January 2025]:[Harvest Days December 2026]])*BedPlan[[#This Row],[Revenue]:[Revenue]]</f>
        <v>0</v>
      </c>
      <c r="DY121" cm="1">
        <f t="array" ref="DY121">BedPlan[[#This Row],[Harvest Days May 2026]]/SUM(BedPlan[[#This Row],[Harvest Days January 2025]:[Harvest Days December 2026]])*BedPlan[[#This Row],[Revenue]:[Revenue]]</f>
        <v>0</v>
      </c>
      <c r="DZ121" cm="1">
        <f t="array" ref="DZ121">BedPlan[[#This Row],[Harvest Days June 2026]]/SUM(BedPlan[[#This Row],[Harvest Days January 2025]:[Harvest Days December 2026]])*BedPlan[[#This Row],[Revenue]:[Revenue]]</f>
        <v>0</v>
      </c>
      <c r="EA121" cm="1">
        <f t="array" ref="EA121">BedPlan[[#This Row],[Harvest Days July 2026]]/SUM(BedPlan[[#This Row],[Harvest Days January 2025]:[Harvest Days December 2026]])*BedPlan[[#This Row],[Revenue]:[Revenue]]</f>
        <v>0</v>
      </c>
      <c r="EB121" cm="1">
        <f t="array" ref="EB121">BedPlan[[#This Row],[Harvest Days August 2026]]/SUM(BedPlan[[#This Row],[Harvest Days January 2025]:[Harvest Days December 2026]])*BedPlan[[#This Row],[Revenue]:[Revenue]]</f>
        <v>0</v>
      </c>
      <c r="EC121" cm="1">
        <f t="array" ref="EC121">BedPlan[[#This Row],[Harvest Days September 2026]]/SUM(BedPlan[[#This Row],[Harvest Days January 2025]:[Harvest Days December 2026]])*BedPlan[[#This Row],[Revenue]:[Revenue]]</f>
        <v>0</v>
      </c>
      <c r="ED121" cm="1">
        <f t="array" ref="ED121">BedPlan[[#This Row],[Harvest Days October 2026]]/SUM(BedPlan[[#This Row],[Harvest Days January 2025]:[Harvest Days December 2026]])*BedPlan[[#This Row],[Revenue]:[Revenue]]</f>
        <v>0</v>
      </c>
      <c r="EE121" cm="1">
        <f t="array" ref="EE121">BedPlan[[#This Row],[Harvest Days November 2026]]/SUM(BedPlan[[#This Row],[Harvest Days January 2025]:[Harvest Days December 2026]])*BedPlan[[#This Row],[Revenue]:[Revenue]]</f>
        <v>0</v>
      </c>
      <c r="EF121" cm="1">
        <f t="array" ref="EF121">BedPlan[[#This Row],[Harvest Days December 2026]]/SUM(BedPlan[[#This Row],[Harvest Days January 2025]:[Harvest Days December 2026]])*BedPlan[[#This Row],[Revenue]:[Revenue]]</f>
        <v>0</v>
      </c>
      <c r="EG121" t="b">
        <f>SUM(BedPlan[[#This Row],[Revenue January 2025]:[Revenue December 2026]])=BedPlan[[#This Row],[Revenue]]</f>
        <v>1</v>
      </c>
      <c r="EH121" cm="1">
        <f t="array" ref="EH121">INDEX(Crops[],BedPlan[[#This Row],[Chart Index]],EH$4,1)*BedPlan[[#This Row],['# Of Beds]]</f>
        <v>2399.9999999999995</v>
      </c>
      <c r="EI121" t="str" cm="1">
        <f t="array" ref="EI121">INDEX(Crops[],BedPlan[[#This Row],[Chart Index]],EI$4,1)</f>
        <v>Lb</v>
      </c>
      <c r="EJ121" t="str" cm="1">
        <f t="array" ref="EJ121">INDEX(Crops[],BedPlan[[#This Row],[Chart Index]],EJ$4,1)</f>
        <v>Storage</v>
      </c>
      <c r="EK121" t="str">
        <f>BedPlan[[#This Row],[Name]]&amp;" "&amp;BedPlan[[#This Row],[Product]]&amp; " - " &amp;BedPlan[[#This Row],[Unit]]</f>
        <v>Squash Storage - Lb</v>
      </c>
      <c r="EL121" s="33" cm="1">
        <f t="array" ref="EL121">BedPlan[[#This Row],[Harvest Days January 2025]]/SUM(BedPlan[[#This Row],[Harvest Days January 2025]:[Harvest Days December 2026]])*BedPlan[[#This Row],[Yield]:[Yield]]</f>
        <v>0</v>
      </c>
      <c r="EM121" s="33" cm="1">
        <f t="array" ref="EM121">BedPlan[[#This Row],[Harvest Days February 2025]]/SUM(BedPlan[[#This Row],[Harvest Days January 2025]:[Harvest Days December 2026]])*BedPlan[[#This Row],[Yield]:[Yield]]</f>
        <v>0</v>
      </c>
      <c r="EN121" s="33" cm="1">
        <f t="array" ref="EN121">BedPlan[[#This Row],[Harvest Days March 2025]]/SUM(BedPlan[[#This Row],[Harvest Days January 2025]:[Harvest Days December 2026]])*BedPlan[[#This Row],[Yield]:[Yield]]</f>
        <v>0</v>
      </c>
      <c r="EO121" s="33" cm="1">
        <f t="array" ref="EO121">BedPlan[[#This Row],[Harvest Days April 2025]]/SUM(BedPlan[[#This Row],[Harvest Days January 2025]:[Harvest Days December 2026]])*BedPlan[[#This Row],[Yield]:[Yield]]</f>
        <v>0</v>
      </c>
      <c r="EP121" s="33" cm="1">
        <f t="array" ref="EP121">BedPlan[[#This Row],[Harvest Days May 2025]]/SUM(BedPlan[[#This Row],[Harvest Days January 2025]:[Harvest Days December 2026]])*BedPlan[[#This Row],[Yield]:[Yield]]</f>
        <v>0</v>
      </c>
      <c r="EQ121" s="33" cm="1">
        <f t="array" ref="EQ121">BedPlan[[#This Row],[Harvest Days June 2025]]/SUM(BedPlan[[#This Row],[Harvest Days January 2025]:[Harvest Days December 2026]])*BedPlan[[#This Row],[Yield]:[Yield]]</f>
        <v>0</v>
      </c>
      <c r="ER121" s="33" cm="1">
        <f t="array" ref="ER121">BedPlan[[#This Row],[Harvest Days July 2025]]/SUM(BedPlan[[#This Row],[Harvest Days January 2025]:[Harvest Days December 2026]])*BedPlan[[#This Row],[Yield]:[Yield]]</f>
        <v>0</v>
      </c>
      <c r="ES121" s="33" cm="1">
        <f t="array" ref="ES121">BedPlan[[#This Row],[Harvest Days August 2025]]/SUM(BedPlan[[#This Row],[Harvest Days January 2025]:[Harvest Days December 2026]])*BedPlan[[#This Row],[Yield]:[Yield]]</f>
        <v>2399.9999999999995</v>
      </c>
      <c r="ET121" s="33" cm="1">
        <f t="array" ref="ET121">BedPlan[[#This Row],[Harvest Days September 2025]]/SUM(BedPlan[[#This Row],[Harvest Days January 2025]:[Harvest Days December 2026]])*BedPlan[[#This Row],[Yield]:[Yield]]</f>
        <v>0</v>
      </c>
      <c r="EU121" s="33" cm="1">
        <f t="array" ref="EU121">BedPlan[[#This Row],[Harvest Days October 2025]]/SUM(BedPlan[[#This Row],[Harvest Days January 2025]:[Harvest Days December 2026]])*BedPlan[[#This Row],[Yield]:[Yield]]</f>
        <v>0</v>
      </c>
      <c r="EV121" s="33" cm="1">
        <f t="array" ref="EV121">BedPlan[[#This Row],[Harvest Days November 2025]]/SUM(BedPlan[[#This Row],[Harvest Days January 2025]:[Harvest Days December 2026]])*BedPlan[[#This Row],[Yield]:[Yield]]</f>
        <v>0</v>
      </c>
      <c r="EW121" s="33" cm="1">
        <f t="array" ref="EW121">BedPlan[[#This Row],[Harvest Days December 2025]]/SUM(BedPlan[[#This Row],[Harvest Days January 2025]:[Harvest Days December 2026]])*BedPlan[[#This Row],[Yield]:[Yield]]</f>
        <v>0</v>
      </c>
    </row>
    <row r="122" spans="1:153" ht="15" customHeight="1">
      <c r="A122" s="187" t="s">
        <v>1723</v>
      </c>
      <c r="B122" t="s">
        <v>2670</v>
      </c>
      <c r="C122" t="s">
        <v>1480</v>
      </c>
      <c r="D122" cm="1">
        <f t="array" ref="D122">INDEX(Crops[],BedPlan[[#This Row],[Chart Index]],D$4,1)*BedPlan[[#This Row],[Full Bed Equivalent]]</f>
        <v>25</v>
      </c>
      <c r="E122" cm="1">
        <f t="array" ref="E122">INDEX(Crops[],BedPlan[[#This Row],[Chart Index]],E$4,1)*BedPlan[[#This Row],[Full Bed Equivalent]]</f>
        <v>321.42857142857144</v>
      </c>
      <c r="F122" t="str">
        <f>UPPER(LEFT(BedPlan[[#This Row],[Crop]],3))</f>
        <v>SUM</v>
      </c>
      <c r="H122" s="143" t="str" cm="1">
        <f t="array" ref="H122">INDEX(Crops[],BedPlan[[#This Row],[Chart Index]],H$4,1)</f>
        <v>Summer Squash</v>
      </c>
      <c r="I122" s="247" t="s">
        <v>676</v>
      </c>
      <c r="J122" t="s">
        <v>602</v>
      </c>
      <c r="K122" t="str" cm="1">
        <f t="array" ref="K122">IF(ISNUMBER(MATCH(BedPlan[[#This Row],[Variety]],SeedMixes[Name],)),_xlfn.TEXTJOIN(", ",TRUE,_xlfn._xlws.FILTER(SeedMixes[Variety &amp; Company],SeedMixes[Name]=BedPlan[[#This Row],[Variety]])),"")</f>
        <v/>
      </c>
      <c r="L122" s="33" cm="1">
        <f t="array" ref="L122">INDEX(Crops[],BedPlan[[#This Row],[Chart Index]],L$4,1)*BedPlan[[#This Row],[Full Bed Equivalent]]</f>
        <v>32.5</v>
      </c>
      <c r="N122">
        <f>1</f>
        <v>1</v>
      </c>
      <c r="O122">
        <f>MAX(BedPlan[[#This Row],['# Of Beds]],0.5)</f>
        <v>1</v>
      </c>
      <c r="P122" s="31">
        <f>IF(ISNUMBER(BedPlan[[#This Row],[Planned Greenhouse Start Date]]),BedPlan[[#This Row],[Planned Greenhouse Start Date]],BedPlan[[#This Row],[Planned TP or DS Date]])</f>
        <v>45748</v>
      </c>
      <c r="Q122" s="259">
        <f>IF(BedPlan[[#This Row],[Days in Cells]]=0,"",IFERROR(_xlfn.XLOOKUP(BedPlan[[#This Row],[Follows Crop]],BedPlan[Identifier],BedPlan[Expected End of Harvest]) + 1+BedPlan[[#This Row],[Follow Offset]],BedPlan[[#This Row],[Fixed Field Start Date]])-BedPlan[[#This Row],[Days in Cells]])</f>
        <v>45748</v>
      </c>
      <c r="R122" s="259">
        <v>45763</v>
      </c>
      <c r="S122" s="259">
        <f>IF(ISNUMBER(BedPlan[[#This Row],[Actual Greenhouse Date]]),BedPlan[[#This Row],[Actual Greenhouse Date]],BedPlan[[#This Row],[Planned Greenhouse Start Date]])</f>
        <v>45763</v>
      </c>
      <c r="T122" s="259">
        <f>_xlfn.XLOOKUP(BedPlan[[#This Row],[Crop]],Crops[Identifier],Crops[Target Field Date])</f>
        <v>45776</v>
      </c>
      <c r="U122" s="260"/>
      <c r="V122" s="260"/>
      <c r="W12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2" s="259">
        <v>45796</v>
      </c>
      <c r="Y122" s="271">
        <f>BedPlan[[#This Row],[Actual TP or DS Date]]-BedPlan[[#This Row],[Planned TP or DS Date]]</f>
        <v>5</v>
      </c>
      <c r="Z122" s="259">
        <f>IF(ISNUMBER(BedPlan[[#This Row],[Actual TP or DS Date]]),BedPlan[[#This Row],[Actual TP or DS Date]],BedPlan[[#This Row],[Planned TP or DS Date]])</f>
        <v>45796</v>
      </c>
      <c r="AA122" s="260"/>
      <c r="AB122" s="259">
        <f>IF(ISNUMBER(BedPlan[[#This Row],[Greenhouse Start Date]]),BedPlan[[#This Row],[Greenhouse Start Date]]+BedPlan[[#This Row],[DTM]],BedPlan[[#This Row],[TP or DS Date]]+BedPlan[[#This Row],[DTM]])</f>
        <v>45823</v>
      </c>
      <c r="AC122" s="259"/>
      <c r="AD122" s="259">
        <f>IF(ISNUMBER(BedPlan[[#This Row],[Actual Beginning of Harvest]]),BedPlan[[#This Row],[Actual Beginning of Harvest]],BedPlan[[#This Row],[Expected Beginning of Harvest]])</f>
        <v>45823</v>
      </c>
      <c r="AE122" s="259">
        <f>BedPlan[[#This Row],[Expected Beginning of Harvest]]+BedPlan[[#This Row],[Harvest Window]]+BedPlan[[#This Row],[Additional Days of Harvest]]</f>
        <v>45918</v>
      </c>
      <c r="AF122" s="259"/>
      <c r="AG122" s="259"/>
      <c r="AH122" s="31" t="b">
        <f>IF(AND( BedPlan[[#This Row],[Expected End of Harvest]] &gt;= DATE(2025, 8, 1), BedPlan[[#This Row],[Beginning of Harvest]] &lt;= DATE(2025, 8, 31) ), TRUE, FALSE)</f>
        <v>1</v>
      </c>
      <c r="AI122" s="31"/>
      <c r="AJ122" s="31">
        <f>IF(ISNUMBER(BedPlan[[#This Row],[Actual End of Harvest]]),BedPlan[[#This Row],[Actual End of Harvest]],BedPlan[[#This Row],[Expected End of Harvest]])</f>
        <v>45918</v>
      </c>
      <c r="AK122" t="b">
        <f>OR(ISNUMBER(BedPlan[[#This Row],[Actual Greenhouse Date]]),ISNUMBER(BedPlan[[#This Row],[Actual TP or DS Date]]))</f>
        <v>1</v>
      </c>
      <c r="AL122" s="52" t="b">
        <f>IF(ISNUMBER(BedPlan[[#This Row],[Planned Greenhouse Start Date]]),OR(ISNUMBER(BedPlan[[#This Row],[Actual TP or DS Date]]),BedPlan[[#This Row],[Failed]]),"-")</f>
        <v>1</v>
      </c>
      <c r="AM122" t="b">
        <f>OR(ISNUMBER(BedPlan[[#This Row],[Actual End of Harvest]]),BedPlan[[#This Row],[Failed]])</f>
        <v>0</v>
      </c>
      <c r="AN122" t="b">
        <f>OR(BedPlan[[#This Row],[Harvest Done]],BedPlan[[#This Row],[Failed]],BedPlan[[#This Row],[Name]]="Tarp")</f>
        <v>0</v>
      </c>
      <c r="AO122" t="b">
        <v>1</v>
      </c>
      <c r="AP122" t="b">
        <v>1</v>
      </c>
      <c r="AQ122" t="s">
        <v>3235</v>
      </c>
      <c r="AS122" s="26">
        <f>IF(BedPlan[[#This Row],[Broadfork]],BedPlan[[#This Row],[Actual TP or DS Date]],"")</f>
        <v>45796</v>
      </c>
      <c r="AT122" s="26">
        <f>IF(BedPlan[[#This Row],[Tilther]],BedPlan[[#This Row],[Actual TP or DS Date]],"")</f>
        <v>45796</v>
      </c>
      <c r="AU122" s="26">
        <f>IF(NOT(ISBLANK(BedPlan[[#This Row],[Amend]])),BedPlan[[#This Row],[Actual TP or DS Date]],"")</f>
        <v>45796</v>
      </c>
      <c r="AV122" s="26" t="str">
        <f>IF(BedPlan[[#This Row],[Row Cover]],BedPlan[[#This Row],[Actual TP or DS Date]],"")</f>
        <v/>
      </c>
      <c r="AX122" s="26"/>
      <c r="AZ122" s="26"/>
      <c r="BB122" s="26"/>
      <c r="BC122" s="231" cm="1">
        <f t="array" ref="BC122">INDEX(Crops[],BedPlan[[#This Row],[Chart Index]],BC$4,1)*BedPlan[[#This Row],[Full Bed Equivalent]]</f>
        <v>642.85714285714289</v>
      </c>
      <c r="BD122" s="231" cm="1">
        <f t="array" ref="BD122">INDEX(Crops[],BedPlan[[#This Row],[Chart Index]],BD$4,1)*BedPlan[[#This Row],[Full Bed Equivalent]]</f>
        <v>5.0618672665916762</v>
      </c>
      <c r="BE122" cm="1">
        <f t="array" ref="BE122">INDEX(Crops[],BedPlan[[#This Row],[Chart Index]],BE$4,1)+BedPlan[[#This Row],[Additional Days in Cells]]+BedPlan[[#This Row],[Additional Days In Field]]</f>
        <v>60</v>
      </c>
      <c r="BG122" cm="1">
        <f t="array" ref="BG122">INDEX(Crops[],BedPlan[[#This Row],[Chart Index]],BG$4,1)</f>
        <v>95</v>
      </c>
      <c r="BH122" t="str">
        <f>IF(ISNUMBER(BedPlan[[#This Row],[Planned Greenhouse Start Date]]),"TP","DS")</f>
        <v>TP</v>
      </c>
      <c r="BI122">
        <f>BedPlan[[#This Row],['# Of Beds]]</f>
        <v>1</v>
      </c>
      <c r="BJ122" cm="1">
        <f t="array" ref="BJ122">INDEX(Crops[],BedPlan[[#This Row],[Chart Index]],BJ$4,1)</f>
        <v>28</v>
      </c>
      <c r="BK122" cm="1">
        <f t="array" ref="BK122">INDEX(Crops[],BedPlan[[#This Row],[Chart Index]],BK$4,1)</f>
        <v>1</v>
      </c>
      <c r="BL122" cm="1">
        <f t="array" ref="BL122">INDEX(Crops[],BedPlan[[#This Row],[Chart Index]],BL$4,1)</f>
        <v>24</v>
      </c>
      <c r="BM122" cm="1">
        <f t="array" ref="BM122">INDEX(Crops[],BedPlan[[#This Row],[Chart Index]],BM$4,1)</f>
        <v>1</v>
      </c>
      <c r="BN122" s="32" cm="1">
        <f t="array" ref="BN122">INDEX(Crops[],BedPlan[[#This Row],[Chart Index]],BN$4,1)*BedPlan[[#This Row],[Full Bed Equivalent]]</f>
        <v>25</v>
      </c>
      <c r="BO122" t="str" cm="1">
        <f t="array" ref="BO122">IF(INDEX(Crops[],BedPlan[[#This Row],[Chart Index]],BO$4,1)=0,"",INDEX(Crops[],BedPlan[[#This Row],[Chart Index]],BO$4,1))</f>
        <v/>
      </c>
      <c r="BP122">
        <f>MATCH(BedPlan[[#This Row],[Crop]],Crops[Identifier],FALSE)</f>
        <v>309</v>
      </c>
      <c r="BQ122" t="str" cm="1">
        <f t="array" ref="BQ122">INDEX(Crops[],BedPlan[[#This Row],[Chart Index]],BQ$4,1)</f>
        <v>Long Season</v>
      </c>
      <c r="BR122" t="str" cm="1">
        <f t="array" ref="BR122">INDEX(Crops[],BedPlan[[#This Row],[Chart Index]],BR$4,1)</f>
        <v>Su</v>
      </c>
      <c r="BS122" s="32">
        <f>BedPlan[[#This Row],[Expected Beginning of Harvest]]-DATE(2023,1,1)</f>
        <v>896</v>
      </c>
      <c r="BT122">
        <f>BedPlan[[#This Row],[Expected End of Harvest]]-BedPlan[[#This Row],[Expected Beginning of Harvest]]</f>
        <v>95</v>
      </c>
      <c r="BU122" t="str" cm="1">
        <f t="array" ref="BU122">INDEX(Crops[],BedPlan[[#This Row],[Chart Index]],BU$4,1)</f>
        <v>Summer Squash</v>
      </c>
      <c r="BV122" cm="1">
        <f t="array" ref="BV122">INDEX(Crops[],BedPlan[[#This Row],[Chart Index]],BV$4,1)</f>
        <v>3</v>
      </c>
      <c r="BW122" t="str" cm="1">
        <f t="array" ref="BW122">INDEX(Crops[],BedPlan[[#This Row],[Chart Index]],BW$4,1)</f>
        <v>None</v>
      </c>
      <c r="BX122" cm="1">
        <f t="array" ref="BX122">INDEX(Crops[],BedPlan[[#This Row],[Chart Index]],BX$4,1)</f>
        <v>50</v>
      </c>
      <c r="BY122" cm="1">
        <f t="array" ref="BY122">INDEX(Crops[],BedPlan[[#This Row],[Chart Index]],BY$4,1)</f>
        <v>28</v>
      </c>
      <c r="BZ122" s="49" cm="1">
        <f t="array" ref="BZ122">IFERROR(INDEX(Crops[],BedPlan[[#This Row],[Chart Index]],BZ$4,1)*BedPlan[[#This Row],[Full Bed Equivalent]],"")</f>
        <v>0.65</v>
      </c>
      <c r="CA122" cm="1">
        <f t="array" ref="CA122">INDEX(Crops[],BedPlan[[#This Row],[Chart Index]],CA$4,1)</f>
        <v>0</v>
      </c>
      <c r="CB122" cm="1">
        <f t="array" ref="CB122">INDEX(Crops[],BedPlan[[#This Row],[Chart Index]],CB$4,1)</f>
        <v>0</v>
      </c>
      <c r="CC122" s="49" t="str" cm="1">
        <f t="array" ref="CC122">IFERROR(INDEX(Crops[],BedPlan[[#This Row],[Chart Index]],CC$4,1)*BedPlan[[#This Row],[Full Bed Equivalent]],"")</f>
        <v/>
      </c>
      <c r="CD122" cm="1">
        <f t="array" ref="CD122">INDEX(Crops[],BedPlan[[#This Row],[Chart Index]],CD$4,1)</f>
        <v>0</v>
      </c>
      <c r="CE122" cm="1">
        <f t="array" ref="CE122">IF(INDEX(Crops[],BedPlan[[#This Row],[Chart Index]],CE$4,1)="",0,INDEX(Crops[],BedPlan[[#This Row],[Chart Index]],CE$4,1))</f>
        <v>0</v>
      </c>
      <c r="CF122" s="49" t="str" cm="1">
        <f t="array" ref="CF122">IFERROR(INDEX(Crops[],BedPlan[[#This Row],[Chart Index]],CF$4,1)*BedPlan[[#This Row],[Full Bed Equivalent]],"")</f>
        <v/>
      </c>
      <c r="CG122" cm="1">
        <f t="array" ref="CG122">IF(INDEX(Crops[],BedPlan[[#This Row],[Chart Index]],CG$4,1)="",0,INDEX(Crops[],BedPlan[[#This Row],[Chart Index]],CG$4,1))</f>
        <v>1.3</v>
      </c>
      <c r="CH122" cm="1">
        <f t="array" ref="CH122">IF(INDEX(Crops[],BedPlan[[#This Row],[Chart Index]],CH$4,1)="",0,INDEX(Crops[],BedPlan[[#This Row],[Chart Index]],CH$4,1))</f>
        <v>0</v>
      </c>
      <c r="CI122" t="str" cm="1">
        <f t="array" ref="CI122">INDEX(Crops[],BedPlan[[#This Row],[Chart Index]],CI$4,1)</f>
        <v>Field</v>
      </c>
      <c r="CJ122" s="30" t="str">
        <f>_xlfn.TEXTJOIN(CHAR(10),FALSE,BedPlan[[#This Row],[Name]],BedPlan[[#This Row],[Variety]],BedPlan[[#This Row],[Company]])</f>
        <v>Summer Squash
Centercut
Row 7</v>
      </c>
      <c r="CK122" s="32">
        <f>MAX( 0, MIN(BedPlan[[#This Row],[Expected End of Harvest]], EOMONTH(CK$4, 0)) - MAX(BedPlan[[#This Row],[Beginning of Harvest]], CK$4) + 1 )</f>
        <v>0</v>
      </c>
      <c r="CL122">
        <f>MAX( 0, MIN(BedPlan[[#This Row],[Expected End of Harvest]], EOMONTH(CL$4, 0)) - MAX(BedPlan[[#This Row],[Beginning of Harvest]], CL$4) + 1 )</f>
        <v>0</v>
      </c>
      <c r="CM122">
        <f>MAX( 0, MIN(BedPlan[[#This Row],[Expected End of Harvest]], EOMONTH(CM$4, 0)) - MAX(BedPlan[[#This Row],[Beginning of Harvest]], CM$4) + 1 )</f>
        <v>0</v>
      </c>
      <c r="CN122">
        <f>MAX( 0, MIN(BedPlan[[#This Row],[Expected End of Harvest]], EOMONTH(CN$4, 0)) - MAX(BedPlan[[#This Row],[Beginning of Harvest]], CN$4) + 1 )</f>
        <v>0</v>
      </c>
      <c r="CO122">
        <f>MAX( 0, MIN(BedPlan[[#This Row],[Expected End of Harvest]], EOMONTH(CO$4, 0)) - MAX(BedPlan[[#This Row],[Beginning of Harvest]], CO$4) + 1 )</f>
        <v>0</v>
      </c>
      <c r="CP122">
        <f>MAX( 0, MIN(BedPlan[[#This Row],[Expected End of Harvest]], EOMONTH(CP$4, 0)) - MAX(BedPlan[[#This Row],[Beginning of Harvest]], CP$4) + 1 )</f>
        <v>16</v>
      </c>
      <c r="CQ122">
        <f>MAX( 0, MIN(BedPlan[[#This Row],[Expected End of Harvest]], EOMONTH(CQ$4, 0)) - MAX(BedPlan[[#This Row],[Beginning of Harvest]], CQ$4) + 1 )</f>
        <v>31</v>
      </c>
      <c r="CR122">
        <f>MAX( 0, MIN(BedPlan[[#This Row],[Expected End of Harvest]], EOMONTH(CR$4, 0)) - MAX(BedPlan[[#This Row],[Beginning of Harvest]], CR$4) + 1 )</f>
        <v>31</v>
      </c>
      <c r="CS122">
        <f>MAX( 0, MIN(BedPlan[[#This Row],[Expected End of Harvest]], EOMONTH(CS$4, 0)) - MAX(BedPlan[[#This Row],[Beginning of Harvest]], CS$4) + 1 )</f>
        <v>18</v>
      </c>
      <c r="CT122">
        <f>MAX( 0, MIN(BedPlan[[#This Row],[Expected End of Harvest]], EOMONTH(CT$4, 0)) - MAX(BedPlan[[#This Row],[Beginning of Harvest]], CT$4) + 1 )</f>
        <v>0</v>
      </c>
      <c r="CU122">
        <f>MAX( 0, MIN(BedPlan[[#This Row],[Expected End of Harvest]], EOMONTH(CU$4, 0)) - MAX(BedPlan[[#This Row],[Beginning of Harvest]], CU$4) + 1 )</f>
        <v>0</v>
      </c>
      <c r="CV122">
        <f>MAX( 0, MIN(BedPlan[[#This Row],[Expected End of Harvest]], EOMONTH(CV$4, 0)) - MAX(BedPlan[[#This Row],[Beginning of Harvest]], CV$4) + 1 )</f>
        <v>0</v>
      </c>
      <c r="CW122">
        <f>MAX( 0, MIN(BedPlan[[#This Row],[Expected End of Harvest]], EOMONTH(CW$4, 0)) - MAX(BedPlan[[#This Row],[Beginning of Harvest]], CW$4) + 1 )</f>
        <v>0</v>
      </c>
      <c r="CX122">
        <f>MAX( 0, MIN(BedPlan[[#This Row],[Expected End of Harvest]], EOMONTH(CX$4, 0)) - MAX(BedPlan[[#This Row],[Beginning of Harvest]], CX$4) + 1 )</f>
        <v>0</v>
      </c>
      <c r="CY122">
        <f>MAX( 0, MIN(BedPlan[[#This Row],[Expected End of Harvest]], EOMONTH(CY$4, 0)) - MAX(BedPlan[[#This Row],[Beginning of Harvest]], CY$4) + 1 )</f>
        <v>0</v>
      </c>
      <c r="CZ122">
        <f>MAX( 0, MIN(BedPlan[[#This Row],[Expected End of Harvest]], EOMONTH(CZ$4, 0)) - MAX(BedPlan[[#This Row],[Beginning of Harvest]], CZ$4) + 1 )</f>
        <v>0</v>
      </c>
      <c r="DA122">
        <f>MAX( 0, MIN(BedPlan[[#This Row],[Expected End of Harvest]], EOMONTH(DA$4, 0)) - MAX(BedPlan[[#This Row],[Beginning of Harvest]], DA$4) + 1 )</f>
        <v>0</v>
      </c>
      <c r="DB122">
        <f>MAX( 0, MIN(BedPlan[[#This Row],[Expected End of Harvest]], EOMONTH(DB$4, 0)) - MAX(BedPlan[[#This Row],[Beginning of Harvest]], DB$4) + 1 )</f>
        <v>0</v>
      </c>
      <c r="DC122">
        <f>MAX( 0, MIN(BedPlan[[#This Row],[Expected End of Harvest]], EOMONTH(DC$4, 0)) - MAX(BedPlan[[#This Row],[Beginning of Harvest]], DC$4) + 1 )</f>
        <v>0</v>
      </c>
      <c r="DD122">
        <f>MAX( 0, MIN(BedPlan[[#This Row],[Expected End of Harvest]], EOMONTH(DD$4, 0)) - MAX(BedPlan[[#This Row],[Beginning of Harvest]], DD$4) + 1 )</f>
        <v>0</v>
      </c>
      <c r="DE122">
        <f>MAX( 0, MIN(BedPlan[[#This Row],[Expected End of Harvest]], EOMONTH(DE$4, 0)) - MAX(BedPlan[[#This Row],[Beginning of Harvest]], DE$4) + 1 )</f>
        <v>0</v>
      </c>
      <c r="DF122">
        <f>MAX( 0, MIN(BedPlan[[#This Row],[Expected End of Harvest]], EOMONTH(DF$4, 0)) - MAX(BedPlan[[#This Row],[Beginning of Harvest]], DF$4) + 1 )</f>
        <v>0</v>
      </c>
      <c r="DG122">
        <f>MAX( 0, MIN(BedPlan[[#This Row],[Expected End of Harvest]], EOMONTH(DG$4, 0)) - MAX(BedPlan[[#This Row],[Beginning of Harvest]], DG$4) + 1 )</f>
        <v>0</v>
      </c>
      <c r="DH122">
        <f>MAX( 0, MIN(BedPlan[[#This Row],[Expected End of Harvest]], EOMONTH(DH$4, 0)) - MAX(BedPlan[[#This Row],[Beginning of Harvest]], DH$4) + 1 )</f>
        <v>0</v>
      </c>
      <c r="DI122" s="257" cm="1">
        <f t="array" ref="DI122">BedPlan[[#This Row],[Harvest Days January 2025]]/SUM(BedPlan[[#This Row],[Harvest Days January 2025]:[Harvest Days December 2026]])*BedPlan[[#This Row],[Revenue]:[Revenue]]</f>
        <v>0</v>
      </c>
      <c r="DJ122" s="257" cm="1">
        <f t="array" ref="DJ122">BedPlan[[#This Row],[Harvest Days February 2025]]/SUM(BedPlan[[#This Row],[Harvest Days January 2025]:[Harvest Days December 2026]])*BedPlan[[#This Row],[Revenue]:[Revenue]]</f>
        <v>0</v>
      </c>
      <c r="DK122" s="257" cm="1">
        <f t="array" ref="DK122">BedPlan[[#This Row],[Harvest Days March 2025]]/SUM(BedPlan[[#This Row],[Harvest Days January 2025]:[Harvest Days December 2026]])*BedPlan[[#This Row],[Revenue]:[Revenue]]</f>
        <v>0</v>
      </c>
      <c r="DL122" s="257" cm="1">
        <f t="array" ref="DL122">BedPlan[[#This Row],[Harvest Days April 2025]]/SUM(BedPlan[[#This Row],[Harvest Days January 2025]:[Harvest Days December 2026]])*BedPlan[[#This Row],[Revenue]:[Revenue]]</f>
        <v>0</v>
      </c>
      <c r="DM122" s="257" cm="1">
        <f t="array" ref="DM122">BedPlan[[#This Row],[Harvest Days May 2025]]/SUM(BedPlan[[#This Row],[Harvest Days January 2025]:[Harvest Days December 2026]])*BedPlan[[#This Row],[Revenue]:[Revenue]]</f>
        <v>0</v>
      </c>
      <c r="DN122" s="257" cm="1">
        <f t="array" ref="DN122">BedPlan[[#This Row],[Harvest Days June 2025]]/SUM(BedPlan[[#This Row],[Harvest Days January 2025]:[Harvest Days December 2026]])*BedPlan[[#This Row],[Revenue]:[Revenue]]</f>
        <v>107.14285714285714</v>
      </c>
      <c r="DO122" s="257" cm="1">
        <f t="array" ref="DO122">BedPlan[[#This Row],[Harvest Days July 2025]]/SUM(BedPlan[[#This Row],[Harvest Days January 2025]:[Harvest Days December 2026]])*BedPlan[[#This Row],[Revenue]:[Revenue]]</f>
        <v>207.58928571428575</v>
      </c>
      <c r="DP122" s="257" cm="1">
        <f t="array" ref="DP122">BedPlan[[#This Row],[Harvest Days August 2025]]/SUM(BedPlan[[#This Row],[Harvest Days January 2025]:[Harvest Days December 2026]])*BedPlan[[#This Row],[Revenue]:[Revenue]]</f>
        <v>207.58928571428575</v>
      </c>
      <c r="DQ122" s="257" cm="1">
        <f t="array" ref="DQ122">BedPlan[[#This Row],[Harvest Days September 2025]]/SUM(BedPlan[[#This Row],[Harvest Days January 2025]:[Harvest Days December 2026]])*BedPlan[[#This Row],[Revenue]:[Revenue]]</f>
        <v>120.53571428571429</v>
      </c>
      <c r="DR122" s="257" cm="1">
        <f t="array" ref="DR122">BedPlan[[#This Row],[Harvest Days October 2025]]/SUM(BedPlan[[#This Row],[Harvest Days January 2025]:[Harvest Days December 2026]])*BedPlan[[#This Row],[Revenue]:[Revenue]]</f>
        <v>0</v>
      </c>
      <c r="DS122" s="257" cm="1">
        <f t="array" ref="DS122">BedPlan[[#This Row],[Harvest Days November 2025]]/SUM(BedPlan[[#This Row],[Harvest Days January 2025]:[Harvest Days December 2026]])*BedPlan[[#This Row],[Revenue]:[Revenue]]</f>
        <v>0</v>
      </c>
      <c r="DT122" s="257" cm="1">
        <f t="array" ref="DT122">BedPlan[[#This Row],[Harvest Days December 2025]]/SUM(BedPlan[[#This Row],[Harvest Days January 2025]:[Harvest Days December 2026]])*BedPlan[[#This Row],[Revenue]:[Revenue]]</f>
        <v>0</v>
      </c>
      <c r="DU122" s="257" cm="1">
        <f t="array" ref="DU122">BedPlan[[#This Row],[Harvest Days January 2026]]/SUM(BedPlan[[#This Row],[Harvest Days January 2025]:[Harvest Days December 2026]])*BedPlan[[#This Row],[Revenue]:[Revenue]]</f>
        <v>0</v>
      </c>
      <c r="DV122" s="257" cm="1">
        <f t="array" ref="DV122">BedPlan[[#This Row],[Harvest Days February 2026]]/SUM(BedPlan[[#This Row],[Harvest Days January 2025]:[Harvest Days December 2026]])*BedPlan[[#This Row],[Revenue]:[Revenue]]</f>
        <v>0</v>
      </c>
      <c r="DW122" s="257" cm="1">
        <f t="array" ref="DW122">BedPlan[[#This Row],[Harvest Days March 2026]]/SUM(BedPlan[[#This Row],[Harvest Days January 2025]:[Harvest Days December 2026]])*BedPlan[[#This Row],[Revenue]:[Revenue]]</f>
        <v>0</v>
      </c>
      <c r="DX122" s="257" cm="1">
        <f t="array" ref="DX122">BedPlan[[#This Row],[Harvest Days April 2026]]/SUM(BedPlan[[#This Row],[Harvest Days January 2025]:[Harvest Days December 2026]])*BedPlan[[#This Row],[Revenue]:[Revenue]]</f>
        <v>0</v>
      </c>
      <c r="DY122" s="257" cm="1">
        <f t="array" ref="DY122">BedPlan[[#This Row],[Harvest Days May 2026]]/SUM(BedPlan[[#This Row],[Harvest Days January 2025]:[Harvest Days December 2026]])*BedPlan[[#This Row],[Revenue]:[Revenue]]</f>
        <v>0</v>
      </c>
      <c r="DZ122" s="257" cm="1">
        <f t="array" ref="DZ122">BedPlan[[#This Row],[Harvest Days June 2026]]/SUM(BedPlan[[#This Row],[Harvest Days January 2025]:[Harvest Days December 2026]])*BedPlan[[#This Row],[Revenue]:[Revenue]]</f>
        <v>0</v>
      </c>
      <c r="EA122" s="257" cm="1">
        <f t="array" ref="EA122">BedPlan[[#This Row],[Harvest Days July 2026]]/SUM(BedPlan[[#This Row],[Harvest Days January 2025]:[Harvest Days December 2026]])*BedPlan[[#This Row],[Revenue]:[Revenue]]</f>
        <v>0</v>
      </c>
      <c r="EB122" s="257" cm="1">
        <f t="array" ref="EB122">BedPlan[[#This Row],[Harvest Days August 2026]]/SUM(BedPlan[[#This Row],[Harvest Days January 2025]:[Harvest Days December 2026]])*BedPlan[[#This Row],[Revenue]:[Revenue]]</f>
        <v>0</v>
      </c>
      <c r="EC122" s="257" cm="1">
        <f t="array" ref="EC122">BedPlan[[#This Row],[Harvest Days September 2026]]/SUM(BedPlan[[#This Row],[Harvest Days January 2025]:[Harvest Days December 2026]])*BedPlan[[#This Row],[Revenue]:[Revenue]]</f>
        <v>0</v>
      </c>
      <c r="ED122" s="257" cm="1">
        <f t="array" ref="ED122">BedPlan[[#This Row],[Harvest Days October 2026]]/SUM(BedPlan[[#This Row],[Harvest Days January 2025]:[Harvest Days December 2026]])*BedPlan[[#This Row],[Revenue]:[Revenue]]</f>
        <v>0</v>
      </c>
      <c r="EE122" s="257" cm="1">
        <f t="array" ref="EE122">BedPlan[[#This Row],[Harvest Days November 2026]]/SUM(BedPlan[[#This Row],[Harvest Days January 2025]:[Harvest Days December 2026]])*BedPlan[[#This Row],[Revenue]:[Revenue]]</f>
        <v>0</v>
      </c>
      <c r="EF122" s="257" cm="1">
        <f t="array" ref="EF122">BedPlan[[#This Row],[Harvest Days December 2026]]/SUM(BedPlan[[#This Row],[Harvest Days January 2025]:[Harvest Days December 2026]])*BedPlan[[#This Row],[Revenue]:[Revenue]]</f>
        <v>0</v>
      </c>
      <c r="EG122" t="b">
        <f>SUM(BedPlan[[#This Row],[Revenue January 2025]:[Revenue December 2026]])=BedPlan[[#This Row],[Revenue]]</f>
        <v>1</v>
      </c>
      <c r="EH122" s="30" cm="1">
        <f t="array" ref="EH122">INDEX(Crops[],BedPlan[[#This Row],[Chart Index]],EH$4,1)*BedPlan[[#This Row],['# Of Beds]]</f>
        <v>321.42857142857144</v>
      </c>
      <c r="EI122" s="30" t="str" cm="1">
        <f t="array" ref="EI122">INDEX(Crops[],BedPlan[[#This Row],[Chart Index]],EI$4,1)</f>
        <v>Lb</v>
      </c>
      <c r="EJ122" s="30" t="str" cm="1">
        <f t="array" ref="EJ122">INDEX(Crops[],BedPlan[[#This Row],[Chart Index]],EJ$4,1)</f>
        <v>Ripe Fruit</v>
      </c>
      <c r="EK122" s="30" t="str">
        <f>BedPlan[[#This Row],[Name]]&amp;" "&amp;BedPlan[[#This Row],[Product]]&amp; " - " &amp;BedPlan[[#This Row],[Unit]]</f>
        <v>Summer Squash Ripe Fruit - Lb</v>
      </c>
      <c r="EL122" s="33" cm="1">
        <f t="array" ref="EL122">BedPlan[[#This Row],[Harvest Days January 2025]]/SUM(BedPlan[[#This Row],[Harvest Days January 2025]:[Harvest Days December 2026]])*BedPlan[[#This Row],[Yield]:[Yield]]</f>
        <v>0</v>
      </c>
      <c r="EM122" s="33" cm="1">
        <f t="array" ref="EM122">BedPlan[[#This Row],[Harvest Days February 2025]]/SUM(BedPlan[[#This Row],[Harvest Days January 2025]:[Harvest Days December 2026]])*BedPlan[[#This Row],[Yield]:[Yield]]</f>
        <v>0</v>
      </c>
      <c r="EN122" s="33" cm="1">
        <f t="array" ref="EN122">BedPlan[[#This Row],[Harvest Days March 2025]]/SUM(BedPlan[[#This Row],[Harvest Days January 2025]:[Harvest Days December 2026]])*BedPlan[[#This Row],[Yield]:[Yield]]</f>
        <v>0</v>
      </c>
      <c r="EO122" s="33" cm="1">
        <f t="array" ref="EO122">BedPlan[[#This Row],[Harvest Days April 2025]]/SUM(BedPlan[[#This Row],[Harvest Days January 2025]:[Harvest Days December 2026]])*BedPlan[[#This Row],[Yield]:[Yield]]</f>
        <v>0</v>
      </c>
      <c r="EP122" s="33" cm="1">
        <f t="array" ref="EP122">BedPlan[[#This Row],[Harvest Days May 2025]]/SUM(BedPlan[[#This Row],[Harvest Days January 2025]:[Harvest Days December 2026]])*BedPlan[[#This Row],[Yield]:[Yield]]</f>
        <v>0</v>
      </c>
      <c r="EQ122" s="33" cm="1">
        <f t="array" ref="EQ122">BedPlan[[#This Row],[Harvest Days June 2025]]/SUM(BedPlan[[#This Row],[Harvest Days January 2025]:[Harvest Days December 2026]])*BedPlan[[#This Row],[Yield]:[Yield]]</f>
        <v>53.571428571428569</v>
      </c>
      <c r="ER122" s="33" cm="1">
        <f t="array" ref="ER122">BedPlan[[#This Row],[Harvest Days July 2025]]/SUM(BedPlan[[#This Row],[Harvest Days January 2025]:[Harvest Days December 2026]])*BedPlan[[#This Row],[Yield]:[Yield]]</f>
        <v>103.79464285714288</v>
      </c>
      <c r="ES122" s="33" cm="1">
        <f t="array" ref="ES122">BedPlan[[#This Row],[Harvest Days August 2025]]/SUM(BedPlan[[#This Row],[Harvest Days January 2025]:[Harvest Days December 2026]])*BedPlan[[#This Row],[Yield]:[Yield]]</f>
        <v>103.79464285714288</v>
      </c>
      <c r="ET122" s="33" cm="1">
        <f t="array" ref="ET122">BedPlan[[#This Row],[Harvest Days September 2025]]/SUM(BedPlan[[#This Row],[Harvest Days January 2025]:[Harvest Days December 2026]])*BedPlan[[#This Row],[Yield]:[Yield]]</f>
        <v>60.267857142857146</v>
      </c>
      <c r="EU122" s="33" cm="1">
        <f t="array" ref="EU122">BedPlan[[#This Row],[Harvest Days October 2025]]/SUM(BedPlan[[#This Row],[Harvest Days January 2025]:[Harvest Days December 2026]])*BedPlan[[#This Row],[Yield]:[Yield]]</f>
        <v>0</v>
      </c>
      <c r="EV122" s="33" cm="1">
        <f t="array" ref="EV122">BedPlan[[#This Row],[Harvest Days November 2025]]/SUM(BedPlan[[#This Row],[Harvest Days January 2025]:[Harvest Days December 2026]])*BedPlan[[#This Row],[Yield]:[Yield]]</f>
        <v>0</v>
      </c>
      <c r="EW122" s="33" cm="1">
        <f t="array" ref="EW122">BedPlan[[#This Row],[Harvest Days December 2025]]/SUM(BedPlan[[#This Row],[Harvest Days January 2025]:[Harvest Days December 2026]])*BedPlan[[#This Row],[Yield]:[Yield]]</f>
        <v>0</v>
      </c>
    </row>
    <row r="123" spans="1:153" ht="15" customHeight="1">
      <c r="A123" s="187" t="s">
        <v>2616</v>
      </c>
      <c r="B123" t="s">
        <v>2671</v>
      </c>
      <c r="C123" t="s">
        <v>1471</v>
      </c>
      <c r="D123" cm="1">
        <f t="array" ref="D123">INDEX(Crops[],BedPlan[[#This Row],[Chart Index]],D$4,1)*BedPlan[[#This Row],[Full Bed Equivalent]]</f>
        <v>62.5</v>
      </c>
      <c r="E123" cm="1">
        <f t="array" ref="E123">INDEX(Crops[],BedPlan[[#This Row],[Chart Index]],E$4,1)*BedPlan[[#This Row],[Full Bed Equivalent]]</f>
        <v>375</v>
      </c>
      <c r="F123" t="str">
        <f>UPPER(LEFT(BedPlan[[#This Row],[Crop]],3))</f>
        <v>SUM</v>
      </c>
      <c r="H123" s="143" t="str" cm="1">
        <f t="array" ref="H123">INDEX(Crops[],BedPlan[[#This Row],[Chart Index]],H$4,1)</f>
        <v>Summer Squash</v>
      </c>
      <c r="I123" s="247" t="s">
        <v>584</v>
      </c>
      <c r="K123" t="str" cm="1">
        <f t="array" ref="K123">IF(ISNUMBER(MATCH(BedPlan[[#This Row],[Variety]],SeedMixes[Name],)),_xlfn.TEXTJOIN(", ",TRUE,_xlfn._xlws.FILTER(SeedMixes[Variety &amp; Company],SeedMixes[Name]=BedPlan[[#This Row],[Variety]])),"")</f>
        <v>Costata Romanesco High Mowing, Dunja F1 High Mowing, Zephyr Johnny's, Sunburst Territorial, Y-Star Johnny's, Yellow Crookneck Siskiyou</v>
      </c>
      <c r="L123" s="33" cm="1">
        <f t="array" ref="L123">INDEX(Crops[],BedPlan[[#This Row],[Chart Index]],L$4,1)*BedPlan[[#This Row],[Full Bed Equivalent]]</f>
        <v>65</v>
      </c>
      <c r="N123">
        <v>2</v>
      </c>
      <c r="O123">
        <f>MAX(BedPlan[[#This Row],['# Of Beds]],0.5)</f>
        <v>2</v>
      </c>
      <c r="P123" s="31">
        <f>IF(ISNUMBER(BedPlan[[#This Row],[Planned Greenhouse Start Date]]),BedPlan[[#This Row],[Planned Greenhouse Start Date]],BedPlan[[#This Row],[Planned TP or DS Date]])</f>
        <v>45748</v>
      </c>
      <c r="Q123" s="259">
        <f>IF(BedPlan[[#This Row],[Days in Cells]]=0,"",IFERROR(_xlfn.XLOOKUP(BedPlan[[#This Row],[Follows Crop]],BedPlan[Identifier],BedPlan[Expected End of Harvest]) + 1+BedPlan[[#This Row],[Follow Offset]],BedPlan[[#This Row],[Fixed Field Start Date]])-BedPlan[[#This Row],[Days in Cells]])</f>
        <v>45748</v>
      </c>
      <c r="R123" s="259">
        <v>45763</v>
      </c>
      <c r="S123" s="259">
        <f>IF(ISNUMBER(BedPlan[[#This Row],[Actual Greenhouse Date]]),BedPlan[[#This Row],[Actual Greenhouse Date]],BedPlan[[#This Row],[Planned Greenhouse Start Date]])</f>
        <v>45763</v>
      </c>
      <c r="T123" s="259">
        <f>_xlfn.XLOOKUP(BedPlan[[#This Row],[Crop]],Crops[Identifier],Crops[Target Field Date])</f>
        <v>45776</v>
      </c>
      <c r="U123" s="260"/>
      <c r="V123" s="260"/>
      <c r="W12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3" s="259">
        <v>45800</v>
      </c>
      <c r="Y123" s="271">
        <f>BedPlan[[#This Row],[Actual TP or DS Date]]-BedPlan[[#This Row],[Planned TP or DS Date]]</f>
        <v>9</v>
      </c>
      <c r="Z123" s="259">
        <f>IF(ISNUMBER(BedPlan[[#This Row],[Actual TP or DS Date]]),BedPlan[[#This Row],[Actual TP or DS Date]],BedPlan[[#This Row],[Planned TP or DS Date]])</f>
        <v>45800</v>
      </c>
      <c r="AA123" s="260"/>
      <c r="AB123" s="259">
        <f>IF(ISNUMBER(BedPlan[[#This Row],[Greenhouse Start Date]]),BedPlan[[#This Row],[Greenhouse Start Date]]+BedPlan[[#This Row],[DTM]],BedPlan[[#This Row],[TP or DS Date]]+BedPlan[[#This Row],[DTM]])</f>
        <v>45823</v>
      </c>
      <c r="AC123" s="259"/>
      <c r="AD123" s="259">
        <f>IF(ISNUMBER(BedPlan[[#This Row],[Actual Beginning of Harvest]]),BedPlan[[#This Row],[Actual Beginning of Harvest]],BedPlan[[#This Row],[Expected Beginning of Harvest]])</f>
        <v>45823</v>
      </c>
      <c r="AE123" s="259">
        <f>BedPlan[[#This Row],[Expected Beginning of Harvest]]+BedPlan[[#This Row],[Harvest Window]]+BedPlan[[#This Row],[Additional Days of Harvest]]</f>
        <v>45900</v>
      </c>
      <c r="AF123" s="259"/>
      <c r="AG123" s="259">
        <v>30</v>
      </c>
      <c r="AH123" s="31" t="b">
        <f>IF(AND( BedPlan[[#This Row],[Expected End of Harvest]] &gt;= DATE(2025, 8, 1), BedPlan[[#This Row],[Beginning of Harvest]] &lt;= DATE(2025, 8, 31) ), TRUE, FALSE)</f>
        <v>1</v>
      </c>
      <c r="AI123" s="31"/>
      <c r="AJ123" s="31">
        <f>IF(ISNUMBER(BedPlan[[#This Row],[Actual End of Harvest]]),BedPlan[[#This Row],[Actual End of Harvest]],BedPlan[[#This Row],[Expected End of Harvest]])</f>
        <v>45900</v>
      </c>
      <c r="AK123" t="b">
        <f>OR(ISNUMBER(BedPlan[[#This Row],[Actual Greenhouse Date]]),ISNUMBER(BedPlan[[#This Row],[Actual TP or DS Date]]))</f>
        <v>1</v>
      </c>
      <c r="AL123" s="52" t="b">
        <f>IF(ISNUMBER(BedPlan[[#This Row],[Planned Greenhouse Start Date]]),OR(ISNUMBER(BedPlan[[#This Row],[Actual TP or DS Date]]),BedPlan[[#This Row],[Failed]]),"-")</f>
        <v>1</v>
      </c>
      <c r="AM123" t="b">
        <f>OR(ISNUMBER(BedPlan[[#This Row],[Actual End of Harvest]]),BedPlan[[#This Row],[Failed]])</f>
        <v>0</v>
      </c>
      <c r="AN123" t="b">
        <f>OR(BedPlan[[#This Row],[Harvest Done]],BedPlan[[#This Row],[Failed]],BedPlan[[#This Row],[Name]]="Tarp")</f>
        <v>0</v>
      </c>
      <c r="AQ123" t="s">
        <v>3235</v>
      </c>
      <c r="AS123" s="26" t="str">
        <f>IF(BedPlan[[#This Row],[Broadfork]],BedPlan[[#This Row],[Actual TP or DS Date]],"")</f>
        <v/>
      </c>
      <c r="AT123" s="26" t="str">
        <f>IF(BedPlan[[#This Row],[Tilther]],BedPlan[[#This Row],[Actual TP or DS Date]],"")</f>
        <v/>
      </c>
      <c r="AU123" s="26">
        <f>IF(NOT(ISBLANK(BedPlan[[#This Row],[Amend]])),BedPlan[[#This Row],[Actual TP or DS Date]],"")</f>
        <v>45800</v>
      </c>
      <c r="AV123" s="26" t="str">
        <f>IF(BedPlan[[#This Row],[Row Cover]],BedPlan[[#This Row],[Actual TP or DS Date]],"")</f>
        <v/>
      </c>
      <c r="AX123" s="26"/>
      <c r="AZ123" s="26"/>
      <c r="BB123" s="26"/>
      <c r="BC123" s="231" cm="1">
        <f t="array" ref="BC123">INDEX(Crops[],BedPlan[[#This Row],[Chart Index]],BC$4,1)*BedPlan[[#This Row],[Full Bed Equivalent]]</f>
        <v>750</v>
      </c>
      <c r="BD123" s="231" cm="1">
        <f t="array" ref="BD123">INDEX(Crops[],BedPlan[[#This Row],[Chart Index]],BD$4,1)*BedPlan[[#This Row],[Full Bed Equivalent]]</f>
        <v>9.4936708860759502</v>
      </c>
      <c r="BE123" cm="1">
        <f t="array" ref="BE123">INDEX(Crops[],BedPlan[[#This Row],[Chart Index]],BE$4,1)+BedPlan[[#This Row],[Additional Days in Cells]]+BedPlan[[#This Row],[Additional Days In Field]]</f>
        <v>60</v>
      </c>
      <c r="BG123" cm="1">
        <f t="array" ref="BG123">INDEX(Crops[],BedPlan[[#This Row],[Chart Index]],BG$4,1)</f>
        <v>47</v>
      </c>
      <c r="BH123" t="str">
        <f>IF(ISNUMBER(BedPlan[[#This Row],[Planned Greenhouse Start Date]]),"TP","DS")</f>
        <v>TP</v>
      </c>
      <c r="BI123">
        <f>BedPlan[[#This Row],['# Of Beds]]</f>
        <v>2</v>
      </c>
      <c r="BJ123" cm="1">
        <f t="array" ref="BJ123">INDEX(Crops[],BedPlan[[#This Row],[Chart Index]],BJ$4,1)</f>
        <v>28</v>
      </c>
      <c r="BK123" cm="1">
        <f t="array" ref="BK123">INDEX(Crops[],BedPlan[[#This Row],[Chart Index]],BK$4,1)</f>
        <v>1</v>
      </c>
      <c r="BL123" cm="1">
        <f t="array" ref="BL123">INDEX(Crops[],BedPlan[[#This Row],[Chart Index]],BL$4,1)</f>
        <v>24</v>
      </c>
      <c r="BM123" cm="1">
        <f t="array" ref="BM123">INDEX(Crops[],BedPlan[[#This Row],[Chart Index]],BM$4,1)</f>
        <v>1</v>
      </c>
      <c r="BN123" s="32" cm="1">
        <f t="array" ref="BN123">INDEX(Crops[],BedPlan[[#This Row],[Chart Index]],BN$4,1)*BedPlan[[#This Row],[Full Bed Equivalent]]</f>
        <v>50</v>
      </c>
      <c r="BO123" t="str" cm="1">
        <f t="array" ref="BO123">IF(INDEX(Crops[],BedPlan[[#This Row],[Chart Index]],BO$4,1)=0,"",INDEX(Crops[],BedPlan[[#This Row],[Chart Index]],BO$4,1))</f>
        <v/>
      </c>
      <c r="BP123">
        <f>MATCH(BedPlan[[#This Row],[Crop]],Crops[Identifier],FALSE)</f>
        <v>311</v>
      </c>
      <c r="BQ123" t="str" cm="1">
        <f t="array" ref="BQ123">INDEX(Crops[],BedPlan[[#This Row],[Chart Index]],BQ$4,1)</f>
        <v>Short Season</v>
      </c>
      <c r="BR123" t="str" cm="1">
        <f t="array" ref="BR123">INDEX(Crops[],BedPlan[[#This Row],[Chart Index]],BR$4,1)</f>
        <v>Su</v>
      </c>
      <c r="BS123" s="32">
        <f>BedPlan[[#This Row],[Expected Beginning of Harvest]]-DATE(2023,1,1)</f>
        <v>896</v>
      </c>
      <c r="BT123">
        <f>BedPlan[[#This Row],[Expected End of Harvest]]-BedPlan[[#This Row],[Expected Beginning of Harvest]]</f>
        <v>77</v>
      </c>
      <c r="BU123" t="str" cm="1">
        <f t="array" ref="BU123">INDEX(Crops[],BedPlan[[#This Row],[Chart Index]],BU$4,1)</f>
        <v>Summer Squash</v>
      </c>
      <c r="BV123" cm="1">
        <f t="array" ref="BV123">INDEX(Crops[],BedPlan[[#This Row],[Chart Index]],BV$4,1)</f>
        <v>3</v>
      </c>
      <c r="BW123" t="str" cm="1">
        <f t="array" ref="BW123">INDEX(Crops[],BedPlan[[#This Row],[Chart Index]],BW$4,1)</f>
        <v>None</v>
      </c>
      <c r="BX123" cm="1">
        <f t="array" ref="BX123">INDEX(Crops[],BedPlan[[#This Row],[Chart Index]],BX$4,1)</f>
        <v>50</v>
      </c>
      <c r="BY123" cm="1">
        <f t="array" ref="BY123">INDEX(Crops[],BedPlan[[#This Row],[Chart Index]],BY$4,1)</f>
        <v>28</v>
      </c>
      <c r="BZ123" s="49" cm="1">
        <f t="array" ref="BZ123">IFERROR(INDEX(Crops[],BedPlan[[#This Row],[Chart Index]],BZ$4,1)*BedPlan[[#This Row],[Full Bed Equivalent]],"")</f>
        <v>1.3</v>
      </c>
      <c r="CA123" cm="1">
        <f t="array" ref="CA123">INDEX(Crops[],BedPlan[[#This Row],[Chart Index]],CA$4,1)</f>
        <v>0</v>
      </c>
      <c r="CB123" cm="1">
        <f t="array" ref="CB123">INDEX(Crops[],BedPlan[[#This Row],[Chart Index]],CB$4,1)</f>
        <v>0</v>
      </c>
      <c r="CC123" s="49" t="str" cm="1">
        <f t="array" ref="CC123">IFERROR(INDEX(Crops[],BedPlan[[#This Row],[Chart Index]],CC$4,1)*BedPlan[[#This Row],[Full Bed Equivalent]],"")</f>
        <v/>
      </c>
      <c r="CD123" cm="1">
        <f t="array" ref="CD123">INDEX(Crops[],BedPlan[[#This Row],[Chart Index]],CD$4,1)</f>
        <v>0</v>
      </c>
      <c r="CE123" cm="1">
        <f t="array" ref="CE123">IF(INDEX(Crops[],BedPlan[[#This Row],[Chart Index]],CE$4,1)="",0,INDEX(Crops[],BedPlan[[#This Row],[Chart Index]],CE$4,1))</f>
        <v>0</v>
      </c>
      <c r="CF123" s="49" t="str" cm="1">
        <f t="array" ref="CF123">IFERROR(INDEX(Crops[],BedPlan[[#This Row],[Chart Index]],CF$4,1)*BedPlan[[#This Row],[Full Bed Equivalent]],"")</f>
        <v/>
      </c>
      <c r="CG123" cm="1">
        <f t="array" ref="CG123">IF(INDEX(Crops[],BedPlan[[#This Row],[Chart Index]],CG$4,1)="",0,INDEX(Crops[],BedPlan[[#This Row],[Chart Index]],CG$4,1))</f>
        <v>1.3</v>
      </c>
      <c r="CH123" cm="1">
        <f t="array" ref="CH123">IF(INDEX(Crops[],BedPlan[[#This Row],[Chart Index]],CH$4,1)="",0,INDEX(Crops[],BedPlan[[#This Row],[Chart Index]],CH$4,1))</f>
        <v>0</v>
      </c>
      <c r="CI123" t="str" cm="1">
        <f t="array" ref="CI123">INDEX(Crops[],BedPlan[[#This Row],[Chart Index]],CI$4,1)</f>
        <v>Field</v>
      </c>
      <c r="CJ123" s="30" t="str">
        <f>_xlfn.TEXTJOIN(CHAR(10),FALSE,BedPlan[[#This Row],[Name]],BedPlan[[#This Row],[Variety]],BedPlan[[#This Row],[Company]])</f>
        <v xml:space="preserve">Summer Squash
Summer Squash Mix
</v>
      </c>
      <c r="CK123" s="32">
        <f>MAX( 0, MIN(BedPlan[[#This Row],[Expected End of Harvest]], EOMONTH(CK$4, 0)) - MAX(BedPlan[[#This Row],[Beginning of Harvest]], CK$4) + 1 )</f>
        <v>0</v>
      </c>
      <c r="CL123">
        <f>MAX( 0, MIN(BedPlan[[#This Row],[Expected End of Harvest]], EOMONTH(CL$4, 0)) - MAX(BedPlan[[#This Row],[Beginning of Harvest]], CL$4) + 1 )</f>
        <v>0</v>
      </c>
      <c r="CM123">
        <f>MAX( 0, MIN(BedPlan[[#This Row],[Expected End of Harvest]], EOMONTH(CM$4, 0)) - MAX(BedPlan[[#This Row],[Beginning of Harvest]], CM$4) + 1 )</f>
        <v>0</v>
      </c>
      <c r="CN123">
        <f>MAX( 0, MIN(BedPlan[[#This Row],[Expected End of Harvest]], EOMONTH(CN$4, 0)) - MAX(BedPlan[[#This Row],[Beginning of Harvest]], CN$4) + 1 )</f>
        <v>0</v>
      </c>
      <c r="CO123">
        <f>MAX( 0, MIN(BedPlan[[#This Row],[Expected End of Harvest]], EOMONTH(CO$4, 0)) - MAX(BedPlan[[#This Row],[Beginning of Harvest]], CO$4) + 1 )</f>
        <v>0</v>
      </c>
      <c r="CP123">
        <f>MAX( 0, MIN(BedPlan[[#This Row],[Expected End of Harvest]], EOMONTH(CP$4, 0)) - MAX(BedPlan[[#This Row],[Beginning of Harvest]], CP$4) + 1 )</f>
        <v>16</v>
      </c>
      <c r="CQ123">
        <f>MAX( 0, MIN(BedPlan[[#This Row],[Expected End of Harvest]], EOMONTH(CQ$4, 0)) - MAX(BedPlan[[#This Row],[Beginning of Harvest]], CQ$4) + 1 )</f>
        <v>31</v>
      </c>
      <c r="CR123">
        <f>MAX( 0, MIN(BedPlan[[#This Row],[Expected End of Harvest]], EOMONTH(CR$4, 0)) - MAX(BedPlan[[#This Row],[Beginning of Harvest]], CR$4) + 1 )</f>
        <v>31</v>
      </c>
      <c r="CS123">
        <f>MAX( 0, MIN(BedPlan[[#This Row],[Expected End of Harvest]], EOMONTH(CS$4, 0)) - MAX(BedPlan[[#This Row],[Beginning of Harvest]], CS$4) + 1 )</f>
        <v>0</v>
      </c>
      <c r="CT123">
        <f>MAX( 0, MIN(BedPlan[[#This Row],[Expected End of Harvest]], EOMONTH(CT$4, 0)) - MAX(BedPlan[[#This Row],[Beginning of Harvest]], CT$4) + 1 )</f>
        <v>0</v>
      </c>
      <c r="CU123">
        <f>MAX( 0, MIN(BedPlan[[#This Row],[Expected End of Harvest]], EOMONTH(CU$4, 0)) - MAX(BedPlan[[#This Row],[Beginning of Harvest]], CU$4) + 1 )</f>
        <v>0</v>
      </c>
      <c r="CV123">
        <f>MAX( 0, MIN(BedPlan[[#This Row],[Expected End of Harvest]], EOMONTH(CV$4, 0)) - MAX(BedPlan[[#This Row],[Beginning of Harvest]], CV$4) + 1 )</f>
        <v>0</v>
      </c>
      <c r="CW123">
        <f>MAX( 0, MIN(BedPlan[[#This Row],[Expected End of Harvest]], EOMONTH(CW$4, 0)) - MAX(BedPlan[[#This Row],[Beginning of Harvest]], CW$4) + 1 )</f>
        <v>0</v>
      </c>
      <c r="CX123">
        <f>MAX( 0, MIN(BedPlan[[#This Row],[Expected End of Harvest]], EOMONTH(CX$4, 0)) - MAX(BedPlan[[#This Row],[Beginning of Harvest]], CX$4) + 1 )</f>
        <v>0</v>
      </c>
      <c r="CY123">
        <f>MAX( 0, MIN(BedPlan[[#This Row],[Expected End of Harvest]], EOMONTH(CY$4, 0)) - MAX(BedPlan[[#This Row],[Beginning of Harvest]], CY$4) + 1 )</f>
        <v>0</v>
      </c>
      <c r="CZ123">
        <f>MAX( 0, MIN(BedPlan[[#This Row],[Expected End of Harvest]], EOMONTH(CZ$4, 0)) - MAX(BedPlan[[#This Row],[Beginning of Harvest]], CZ$4) + 1 )</f>
        <v>0</v>
      </c>
      <c r="DA123">
        <f>MAX( 0, MIN(BedPlan[[#This Row],[Expected End of Harvest]], EOMONTH(DA$4, 0)) - MAX(BedPlan[[#This Row],[Beginning of Harvest]], DA$4) + 1 )</f>
        <v>0</v>
      </c>
      <c r="DB123">
        <f>MAX( 0, MIN(BedPlan[[#This Row],[Expected End of Harvest]], EOMONTH(DB$4, 0)) - MAX(BedPlan[[#This Row],[Beginning of Harvest]], DB$4) + 1 )</f>
        <v>0</v>
      </c>
      <c r="DC123">
        <f>MAX( 0, MIN(BedPlan[[#This Row],[Expected End of Harvest]], EOMONTH(DC$4, 0)) - MAX(BedPlan[[#This Row],[Beginning of Harvest]], DC$4) + 1 )</f>
        <v>0</v>
      </c>
      <c r="DD123">
        <f>MAX( 0, MIN(BedPlan[[#This Row],[Expected End of Harvest]], EOMONTH(DD$4, 0)) - MAX(BedPlan[[#This Row],[Beginning of Harvest]], DD$4) + 1 )</f>
        <v>0</v>
      </c>
      <c r="DE123">
        <f>MAX( 0, MIN(BedPlan[[#This Row],[Expected End of Harvest]], EOMONTH(DE$4, 0)) - MAX(BedPlan[[#This Row],[Beginning of Harvest]], DE$4) + 1 )</f>
        <v>0</v>
      </c>
      <c r="DF123">
        <f>MAX( 0, MIN(BedPlan[[#This Row],[Expected End of Harvest]], EOMONTH(DF$4, 0)) - MAX(BedPlan[[#This Row],[Beginning of Harvest]], DF$4) + 1 )</f>
        <v>0</v>
      </c>
      <c r="DG123">
        <f>MAX( 0, MIN(BedPlan[[#This Row],[Expected End of Harvest]], EOMONTH(DG$4, 0)) - MAX(BedPlan[[#This Row],[Beginning of Harvest]], DG$4) + 1 )</f>
        <v>0</v>
      </c>
      <c r="DH123">
        <f>MAX( 0, MIN(BedPlan[[#This Row],[Expected End of Harvest]], EOMONTH(DH$4, 0)) - MAX(BedPlan[[#This Row],[Beginning of Harvest]], DH$4) + 1 )</f>
        <v>0</v>
      </c>
      <c r="DI123" s="257" cm="1">
        <f t="array" ref="DI123">BedPlan[[#This Row],[Harvest Days January 2025]]/SUM(BedPlan[[#This Row],[Harvest Days January 2025]:[Harvest Days December 2026]])*BedPlan[[#This Row],[Revenue]:[Revenue]]</f>
        <v>0</v>
      </c>
      <c r="DJ123" s="257" cm="1">
        <f t="array" ref="DJ123">BedPlan[[#This Row],[Harvest Days February 2025]]/SUM(BedPlan[[#This Row],[Harvest Days January 2025]:[Harvest Days December 2026]])*BedPlan[[#This Row],[Revenue]:[Revenue]]</f>
        <v>0</v>
      </c>
      <c r="DK123" s="257" cm="1">
        <f t="array" ref="DK123">BedPlan[[#This Row],[Harvest Days March 2025]]/SUM(BedPlan[[#This Row],[Harvest Days January 2025]:[Harvest Days December 2026]])*BedPlan[[#This Row],[Revenue]:[Revenue]]</f>
        <v>0</v>
      </c>
      <c r="DL123" s="257" cm="1">
        <f t="array" ref="DL123">BedPlan[[#This Row],[Harvest Days April 2025]]/SUM(BedPlan[[#This Row],[Harvest Days January 2025]:[Harvest Days December 2026]])*BedPlan[[#This Row],[Revenue]:[Revenue]]</f>
        <v>0</v>
      </c>
      <c r="DM123" s="257" cm="1">
        <f t="array" ref="DM123">BedPlan[[#This Row],[Harvest Days May 2025]]/SUM(BedPlan[[#This Row],[Harvest Days January 2025]:[Harvest Days December 2026]])*BedPlan[[#This Row],[Revenue]:[Revenue]]</f>
        <v>0</v>
      </c>
      <c r="DN123" s="257" cm="1">
        <f t="array" ref="DN123">BedPlan[[#This Row],[Harvest Days June 2025]]/SUM(BedPlan[[#This Row],[Harvest Days January 2025]:[Harvest Days December 2026]])*BedPlan[[#This Row],[Revenue]:[Revenue]]</f>
        <v>153.84615384615384</v>
      </c>
      <c r="DO123" s="257" cm="1">
        <f t="array" ref="DO123">BedPlan[[#This Row],[Harvest Days July 2025]]/SUM(BedPlan[[#This Row],[Harvest Days January 2025]:[Harvest Days December 2026]])*BedPlan[[#This Row],[Revenue]:[Revenue]]</f>
        <v>298.07692307692304</v>
      </c>
      <c r="DP123" s="257" cm="1">
        <f t="array" ref="DP123">BedPlan[[#This Row],[Harvest Days August 2025]]/SUM(BedPlan[[#This Row],[Harvest Days January 2025]:[Harvest Days December 2026]])*BedPlan[[#This Row],[Revenue]:[Revenue]]</f>
        <v>298.07692307692304</v>
      </c>
      <c r="DQ123" s="257" cm="1">
        <f t="array" ref="DQ123">BedPlan[[#This Row],[Harvest Days September 2025]]/SUM(BedPlan[[#This Row],[Harvest Days January 2025]:[Harvest Days December 2026]])*BedPlan[[#This Row],[Revenue]:[Revenue]]</f>
        <v>0</v>
      </c>
      <c r="DR123" s="257" cm="1">
        <f t="array" ref="DR123">BedPlan[[#This Row],[Harvest Days October 2025]]/SUM(BedPlan[[#This Row],[Harvest Days January 2025]:[Harvest Days December 2026]])*BedPlan[[#This Row],[Revenue]:[Revenue]]</f>
        <v>0</v>
      </c>
      <c r="DS123" s="257" cm="1">
        <f t="array" ref="DS123">BedPlan[[#This Row],[Harvest Days November 2025]]/SUM(BedPlan[[#This Row],[Harvest Days January 2025]:[Harvest Days December 2026]])*BedPlan[[#This Row],[Revenue]:[Revenue]]</f>
        <v>0</v>
      </c>
      <c r="DT123" s="257" cm="1">
        <f t="array" ref="DT123">BedPlan[[#This Row],[Harvest Days December 2025]]/SUM(BedPlan[[#This Row],[Harvest Days January 2025]:[Harvest Days December 2026]])*BedPlan[[#This Row],[Revenue]:[Revenue]]</f>
        <v>0</v>
      </c>
      <c r="DU123" s="257" cm="1">
        <f t="array" ref="DU123">BedPlan[[#This Row],[Harvest Days January 2026]]/SUM(BedPlan[[#This Row],[Harvest Days January 2025]:[Harvest Days December 2026]])*BedPlan[[#This Row],[Revenue]:[Revenue]]</f>
        <v>0</v>
      </c>
      <c r="DV123" s="257" cm="1">
        <f t="array" ref="DV123">BedPlan[[#This Row],[Harvest Days February 2026]]/SUM(BedPlan[[#This Row],[Harvest Days January 2025]:[Harvest Days December 2026]])*BedPlan[[#This Row],[Revenue]:[Revenue]]</f>
        <v>0</v>
      </c>
      <c r="DW123" s="257" cm="1">
        <f t="array" ref="DW123">BedPlan[[#This Row],[Harvest Days March 2026]]/SUM(BedPlan[[#This Row],[Harvest Days January 2025]:[Harvest Days December 2026]])*BedPlan[[#This Row],[Revenue]:[Revenue]]</f>
        <v>0</v>
      </c>
      <c r="DX123" s="257" cm="1">
        <f t="array" ref="DX123">BedPlan[[#This Row],[Harvest Days April 2026]]/SUM(BedPlan[[#This Row],[Harvest Days January 2025]:[Harvest Days December 2026]])*BedPlan[[#This Row],[Revenue]:[Revenue]]</f>
        <v>0</v>
      </c>
      <c r="DY123" s="257" cm="1">
        <f t="array" ref="DY123">BedPlan[[#This Row],[Harvest Days May 2026]]/SUM(BedPlan[[#This Row],[Harvest Days January 2025]:[Harvest Days December 2026]])*BedPlan[[#This Row],[Revenue]:[Revenue]]</f>
        <v>0</v>
      </c>
      <c r="DZ123" s="257" cm="1">
        <f t="array" ref="DZ123">BedPlan[[#This Row],[Harvest Days June 2026]]/SUM(BedPlan[[#This Row],[Harvest Days January 2025]:[Harvest Days December 2026]])*BedPlan[[#This Row],[Revenue]:[Revenue]]</f>
        <v>0</v>
      </c>
      <c r="EA123" s="257" cm="1">
        <f t="array" ref="EA123">BedPlan[[#This Row],[Harvest Days July 2026]]/SUM(BedPlan[[#This Row],[Harvest Days January 2025]:[Harvest Days December 2026]])*BedPlan[[#This Row],[Revenue]:[Revenue]]</f>
        <v>0</v>
      </c>
      <c r="EB123" s="257" cm="1">
        <f t="array" ref="EB123">BedPlan[[#This Row],[Harvest Days August 2026]]/SUM(BedPlan[[#This Row],[Harvest Days January 2025]:[Harvest Days December 2026]])*BedPlan[[#This Row],[Revenue]:[Revenue]]</f>
        <v>0</v>
      </c>
      <c r="EC123" s="257" cm="1">
        <f t="array" ref="EC123">BedPlan[[#This Row],[Harvest Days September 2026]]/SUM(BedPlan[[#This Row],[Harvest Days January 2025]:[Harvest Days December 2026]])*BedPlan[[#This Row],[Revenue]:[Revenue]]</f>
        <v>0</v>
      </c>
      <c r="ED123" s="257" cm="1">
        <f t="array" ref="ED123">BedPlan[[#This Row],[Harvest Days October 2026]]/SUM(BedPlan[[#This Row],[Harvest Days January 2025]:[Harvest Days December 2026]])*BedPlan[[#This Row],[Revenue]:[Revenue]]</f>
        <v>0</v>
      </c>
      <c r="EE123" s="257" cm="1">
        <f t="array" ref="EE123">BedPlan[[#This Row],[Harvest Days November 2026]]/SUM(BedPlan[[#This Row],[Harvest Days January 2025]:[Harvest Days December 2026]])*BedPlan[[#This Row],[Revenue]:[Revenue]]</f>
        <v>0</v>
      </c>
      <c r="EF123" s="257" cm="1">
        <f t="array" ref="EF123">BedPlan[[#This Row],[Harvest Days December 2026]]/SUM(BedPlan[[#This Row],[Harvest Days January 2025]:[Harvest Days December 2026]])*BedPlan[[#This Row],[Revenue]:[Revenue]]</f>
        <v>0</v>
      </c>
      <c r="EG123" t="b">
        <f>SUM(BedPlan[[#This Row],[Revenue January 2025]:[Revenue December 2026]])=BedPlan[[#This Row],[Revenue]]</f>
        <v>1</v>
      </c>
      <c r="EH123" s="30" cm="1">
        <f t="array" ref="EH123">INDEX(Crops[],BedPlan[[#This Row],[Chart Index]],EH$4,1)*BedPlan[[#This Row],['# Of Beds]]</f>
        <v>375</v>
      </c>
      <c r="EI123" s="30" t="str" cm="1">
        <f t="array" ref="EI123">INDEX(Crops[],BedPlan[[#This Row],[Chart Index]],EI$4,1)</f>
        <v>Lb</v>
      </c>
      <c r="EJ123" s="30" t="str" cm="1">
        <f t="array" ref="EJ123">INDEX(Crops[],BedPlan[[#This Row],[Chart Index]],EJ$4,1)</f>
        <v>Ripe Fruit</v>
      </c>
      <c r="EK123" s="30" t="str">
        <f>BedPlan[[#This Row],[Name]]&amp;" "&amp;BedPlan[[#This Row],[Product]]&amp; " - " &amp;BedPlan[[#This Row],[Unit]]</f>
        <v>Summer Squash Ripe Fruit - Lb</v>
      </c>
      <c r="EL123" s="33" cm="1">
        <f t="array" ref="EL123">BedPlan[[#This Row],[Harvest Days January 2025]]/SUM(BedPlan[[#This Row],[Harvest Days January 2025]:[Harvest Days December 2026]])*BedPlan[[#This Row],[Yield]:[Yield]]</f>
        <v>0</v>
      </c>
      <c r="EM123" s="33" cm="1">
        <f t="array" ref="EM123">BedPlan[[#This Row],[Harvest Days February 2025]]/SUM(BedPlan[[#This Row],[Harvest Days January 2025]:[Harvest Days December 2026]])*BedPlan[[#This Row],[Yield]:[Yield]]</f>
        <v>0</v>
      </c>
      <c r="EN123" s="33" cm="1">
        <f t="array" ref="EN123">BedPlan[[#This Row],[Harvest Days March 2025]]/SUM(BedPlan[[#This Row],[Harvest Days January 2025]:[Harvest Days December 2026]])*BedPlan[[#This Row],[Yield]:[Yield]]</f>
        <v>0</v>
      </c>
      <c r="EO123" s="33" cm="1">
        <f t="array" ref="EO123">BedPlan[[#This Row],[Harvest Days April 2025]]/SUM(BedPlan[[#This Row],[Harvest Days January 2025]:[Harvest Days December 2026]])*BedPlan[[#This Row],[Yield]:[Yield]]</f>
        <v>0</v>
      </c>
      <c r="EP123" s="33" cm="1">
        <f t="array" ref="EP123">BedPlan[[#This Row],[Harvest Days May 2025]]/SUM(BedPlan[[#This Row],[Harvest Days January 2025]:[Harvest Days December 2026]])*BedPlan[[#This Row],[Yield]:[Yield]]</f>
        <v>0</v>
      </c>
      <c r="EQ123" s="33" cm="1">
        <f t="array" ref="EQ123">BedPlan[[#This Row],[Harvest Days June 2025]]/SUM(BedPlan[[#This Row],[Harvest Days January 2025]:[Harvest Days December 2026]])*BedPlan[[#This Row],[Yield]:[Yield]]</f>
        <v>76.92307692307692</v>
      </c>
      <c r="ER123" s="33" cm="1">
        <f t="array" ref="ER123">BedPlan[[#This Row],[Harvest Days July 2025]]/SUM(BedPlan[[#This Row],[Harvest Days January 2025]:[Harvest Days December 2026]])*BedPlan[[#This Row],[Yield]:[Yield]]</f>
        <v>149.03846153846152</v>
      </c>
      <c r="ES123" s="33" cm="1">
        <f t="array" ref="ES123">BedPlan[[#This Row],[Harvest Days August 2025]]/SUM(BedPlan[[#This Row],[Harvest Days January 2025]:[Harvest Days December 2026]])*BedPlan[[#This Row],[Yield]:[Yield]]</f>
        <v>149.03846153846152</v>
      </c>
      <c r="ET123" s="33" cm="1">
        <f t="array" ref="ET123">BedPlan[[#This Row],[Harvest Days September 2025]]/SUM(BedPlan[[#This Row],[Harvest Days January 2025]:[Harvest Days December 2026]])*BedPlan[[#This Row],[Yield]:[Yield]]</f>
        <v>0</v>
      </c>
      <c r="EU123" s="33" cm="1">
        <f t="array" ref="EU123">BedPlan[[#This Row],[Harvest Days October 2025]]/SUM(BedPlan[[#This Row],[Harvest Days January 2025]:[Harvest Days December 2026]])*BedPlan[[#This Row],[Yield]:[Yield]]</f>
        <v>0</v>
      </c>
      <c r="EV123" s="33" cm="1">
        <f t="array" ref="EV123">BedPlan[[#This Row],[Harvest Days November 2025]]/SUM(BedPlan[[#This Row],[Harvest Days January 2025]:[Harvest Days December 2026]])*BedPlan[[#This Row],[Yield]:[Yield]]</f>
        <v>0</v>
      </c>
      <c r="EW123" s="33" cm="1">
        <f t="array" ref="EW123">BedPlan[[#This Row],[Harvest Days December 2025]]/SUM(BedPlan[[#This Row],[Harvest Days January 2025]:[Harvest Days December 2026]])*BedPlan[[#This Row],[Yield]:[Yield]]</f>
        <v>0</v>
      </c>
    </row>
    <row r="124" spans="1:153" ht="15" customHeight="1">
      <c r="A124" s="183" t="s">
        <v>1733</v>
      </c>
      <c r="B124" t="s">
        <v>2672</v>
      </c>
      <c r="C124" t="s">
        <v>1492</v>
      </c>
      <c r="D124" cm="1">
        <f t="array" ref="D124">INDEX(Crops[],BedPlan[[#This Row],[Chart Index]],D$4,1)*BedPlan[[#This Row],[Full Bed Equivalent]]</f>
        <v>29.166666666666664</v>
      </c>
      <c r="E124" cm="1">
        <f t="array" ref="E124">INDEX(Crops[],BedPlan[[#This Row],[Chart Index]],E$4,1)*BedPlan[[#This Row],[Full Bed Equivalent]]</f>
        <v>349.99999999999994</v>
      </c>
      <c r="F124" t="str">
        <f>UPPER(LEFT(BedPlan[[#This Row],[Crop]],3))</f>
        <v>SWI</v>
      </c>
      <c r="H124" s="143" t="str" cm="1">
        <f t="array" ref="H124">INDEX(Crops[],BedPlan[[#This Row],[Chart Index]],H$4,1)</f>
        <v>Swiss Chard</v>
      </c>
      <c r="I124" t="s">
        <v>2011</v>
      </c>
      <c r="K124" t="str" cm="1">
        <f t="array" ref="K124">IF(ISNUMBER(MATCH(BedPlan[[#This Row],[Variety]],SeedMixes[Name],)),_xlfn.TEXTJOIN(", ",TRUE,_xlfn._xlws.FILTER(SeedMixes[Variety &amp; Company],SeedMixes[Name]=BedPlan[[#This Row],[Variety]])),"")</f>
        <v>Sunset Chard High Mowing, Ruby Red High Mowing, Rhubard Supreme High Mowing, Fordhook Giant High Mowing</v>
      </c>
      <c r="L124" s="33" cm="1">
        <f t="array" ref="L124">INDEX(Crops[],BedPlan[[#This Row],[Chart Index]],L$4,1)*BedPlan[[#This Row],[Full Bed Equivalent]]</f>
        <v>73.333333333333329</v>
      </c>
      <c r="N124">
        <f>1</f>
        <v>1</v>
      </c>
      <c r="O124">
        <f>MAX(BedPlan[[#This Row],['# Of Beds]],0.5)</f>
        <v>1</v>
      </c>
      <c r="P124" s="31">
        <f>IF(ISNUMBER(BedPlan[[#This Row],[Planned Greenhouse Start Date]]),BedPlan[[#This Row],[Planned Greenhouse Start Date]],BedPlan[[#This Row],[Planned TP or DS Date]])</f>
        <v>45768</v>
      </c>
      <c r="Q124" s="259">
        <f>IF(BedPlan[[#This Row],[Days in Cells]]=0,"",IFERROR(_xlfn.XLOOKUP(BedPlan[[#This Row],[Follows Crop]],BedPlan[Identifier],BedPlan[Expected End of Harvest]) + 1+BedPlan[[#This Row],[Follow Offset]],BedPlan[[#This Row],[Fixed Field Start Date]])-BedPlan[[#This Row],[Days in Cells]])</f>
        <v>45768</v>
      </c>
      <c r="R124" s="259">
        <v>45767</v>
      </c>
      <c r="S124" s="259">
        <f>IF(ISNUMBER(BedPlan[[#This Row],[Actual Greenhouse Date]]),BedPlan[[#This Row],[Actual Greenhouse Date]],BedPlan[[#This Row],[Planned Greenhouse Start Date]])</f>
        <v>45767</v>
      </c>
      <c r="T124" s="259">
        <f>_xlfn.XLOOKUP(BedPlan[[#This Row],[Crop]],Crops[Identifier],Crops[Target Field Date])</f>
        <v>45792</v>
      </c>
      <c r="U124" s="260"/>
      <c r="V124" s="260"/>
      <c r="W12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4" s="259">
        <v>45813</v>
      </c>
      <c r="Y124" s="271">
        <f>BedPlan[[#This Row],[Actual TP or DS Date]]-BedPlan[[#This Row],[Planned TP or DS Date]]</f>
        <v>22</v>
      </c>
      <c r="Z124" s="259">
        <f>IF(ISNUMBER(BedPlan[[#This Row],[Actual TP or DS Date]]),BedPlan[[#This Row],[Actual TP or DS Date]],BedPlan[[#This Row],[Planned TP or DS Date]])</f>
        <v>45813</v>
      </c>
      <c r="AA124" s="260"/>
      <c r="AB124" s="259">
        <f>IF(ISNUMBER(BedPlan[[#This Row],[Greenhouse Start Date]]),BedPlan[[#This Row],[Greenhouse Start Date]]+BedPlan[[#This Row],[DTM]],BedPlan[[#This Row],[TP or DS Date]]+BedPlan[[#This Row],[DTM]])</f>
        <v>45830</v>
      </c>
      <c r="AC124" s="259"/>
      <c r="AD124" s="259">
        <f>IF(ISNUMBER(BedPlan[[#This Row],[Actual Beginning of Harvest]]),BedPlan[[#This Row],[Actual Beginning of Harvest]],BedPlan[[#This Row],[Expected Beginning of Harvest]])</f>
        <v>45830</v>
      </c>
      <c r="AE124" s="259">
        <f>BedPlan[[#This Row],[Expected Beginning of Harvest]]+BedPlan[[#This Row],[Harvest Window]]+BedPlan[[#This Row],[Additional Days of Harvest]]</f>
        <v>45917</v>
      </c>
      <c r="AF124" s="259"/>
      <c r="AG124" s="259"/>
      <c r="AH124" s="31" t="b">
        <f>IF(AND( BedPlan[[#This Row],[Expected End of Harvest]] &gt;= DATE(2025, 8, 1), BedPlan[[#This Row],[Beginning of Harvest]] &lt;= DATE(2025, 8, 31) ), TRUE, FALSE)</f>
        <v>1</v>
      </c>
      <c r="AI124" s="31"/>
      <c r="AJ124" s="31">
        <f>IF(ISNUMBER(BedPlan[[#This Row],[Actual End of Harvest]]),BedPlan[[#This Row],[Actual End of Harvest]],BedPlan[[#This Row],[Expected End of Harvest]])</f>
        <v>45917</v>
      </c>
      <c r="AK124" t="b">
        <f>OR(ISNUMBER(BedPlan[[#This Row],[Actual Greenhouse Date]]),ISNUMBER(BedPlan[[#This Row],[Actual TP or DS Date]]))</f>
        <v>1</v>
      </c>
      <c r="AL124" s="52" t="b">
        <f>IF(ISNUMBER(BedPlan[[#This Row],[Planned Greenhouse Start Date]]),OR(ISNUMBER(BedPlan[[#This Row],[Actual TP or DS Date]]),BedPlan[[#This Row],[Failed]]),"-")</f>
        <v>1</v>
      </c>
      <c r="AM124" t="b">
        <f>OR(ISNUMBER(BedPlan[[#This Row],[Actual End of Harvest]]),BedPlan[[#This Row],[Failed]])</f>
        <v>0</v>
      </c>
      <c r="AN124" t="b">
        <f>OR(BedPlan[[#This Row],[Harvest Done]],BedPlan[[#This Row],[Failed]],BedPlan[[#This Row],[Name]]="Tarp")</f>
        <v>0</v>
      </c>
      <c r="AP124" t="b">
        <v>1</v>
      </c>
      <c r="AQ124" t="s">
        <v>3214</v>
      </c>
      <c r="AS124" s="26" t="str">
        <f>IF(BedPlan[[#This Row],[Broadfork]],BedPlan[[#This Row],[Actual TP or DS Date]],"")</f>
        <v/>
      </c>
      <c r="AT124" s="26">
        <f>IF(BedPlan[[#This Row],[Tilther]],BedPlan[[#This Row],[Actual TP or DS Date]],"")</f>
        <v>45813</v>
      </c>
      <c r="AU124" s="26">
        <f>IF(NOT(ISBLANK(BedPlan[[#This Row],[Amend]])),BedPlan[[#This Row],[Actual TP or DS Date]],"")</f>
        <v>45813</v>
      </c>
      <c r="AV124" s="26" t="str">
        <f>IF(BedPlan[[#This Row],[Row Cover]],BedPlan[[#This Row],[Actual TP or DS Date]],"")</f>
        <v/>
      </c>
      <c r="AX124" s="26"/>
      <c r="AZ124" s="26"/>
      <c r="BB124" s="26"/>
      <c r="BC124" s="231" cm="1">
        <f t="array" ref="BC124">INDEX(Crops[],BedPlan[[#This Row],[Chart Index]],BC$4,1)*BedPlan[[#This Row],[Full Bed Equivalent]]</f>
        <v>1049.9999999999998</v>
      </c>
      <c r="BD124" s="231" cm="1">
        <f t="array" ref="BD124">INDEX(Crops[],BedPlan[[#This Row],[Chart Index]],BD$4,1)*BedPlan[[#This Row],[Full Bed Equivalent]]</f>
        <v>8.3333333333333321</v>
      </c>
      <c r="BE124" cm="1">
        <f t="array" ref="BE124">INDEX(Crops[],BedPlan[[#This Row],[Chart Index]],BE$4,1)+BedPlan[[#This Row],[Additional Days in Cells]]+BedPlan[[#This Row],[Additional Days In Field]]</f>
        <v>63</v>
      </c>
      <c r="BG124" cm="1">
        <f t="array" ref="BG124">INDEX(Crops[],BedPlan[[#This Row],[Chart Index]],BG$4,1)</f>
        <v>87</v>
      </c>
      <c r="BH124" t="str">
        <f>IF(ISNUMBER(BedPlan[[#This Row],[Planned Greenhouse Start Date]]),"TP","DS")</f>
        <v>TP</v>
      </c>
      <c r="BI124">
        <f>BedPlan[[#This Row],['# Of Beds]]</f>
        <v>1</v>
      </c>
      <c r="BJ124" cm="1">
        <f t="array" ref="BJ124">INDEX(Crops[],BedPlan[[#This Row],[Chart Index]],BJ$4,1)</f>
        <v>24</v>
      </c>
      <c r="BK124" cm="1">
        <f t="array" ref="BK124">INDEX(Crops[],BedPlan[[#This Row],[Chart Index]],BK$4,1)</f>
        <v>2</v>
      </c>
      <c r="BL124" cm="1">
        <f t="array" ref="BL124">INDEX(Crops[],BedPlan[[#This Row],[Chart Index]],BL$4,1)</f>
        <v>18</v>
      </c>
      <c r="BM124" cm="1">
        <f t="array" ref="BM124">INDEX(Crops[],BedPlan[[#This Row],[Chart Index]],BM$4,1)</f>
        <v>1</v>
      </c>
      <c r="BN124" s="32" cm="1">
        <f t="array" ref="BN124">INDEX(Crops[],BedPlan[[#This Row],[Chart Index]],BN$4,1)*BedPlan[[#This Row],[Full Bed Equivalent]]</f>
        <v>66.666666666666657</v>
      </c>
      <c r="BO124" t="str" cm="1">
        <f t="array" ref="BO124">IF(INDEX(Crops[],BedPlan[[#This Row],[Chart Index]],BO$4,1)=0,"",INDEX(Crops[],BedPlan[[#This Row],[Chart Index]],BO$4,1))</f>
        <v/>
      </c>
      <c r="BP124">
        <f>MATCH(BedPlan[[#This Row],[Crop]],Crops[Identifier],FALSE)</f>
        <v>318</v>
      </c>
      <c r="BQ124" t="str" cm="1">
        <f t="array" ref="BQ124">INDEX(Crops[],BedPlan[[#This Row],[Chart Index]],BQ$4,1)</f>
        <v>General</v>
      </c>
      <c r="BR124" t="str" cm="1">
        <f t="array" ref="BR124">INDEX(Crops[],BedPlan[[#This Row],[Chart Index]],BR$4,1)</f>
        <v>SpSuFa</v>
      </c>
      <c r="BS124" s="32">
        <f>BedPlan[[#This Row],[Expected Beginning of Harvest]]-DATE(2023,1,1)</f>
        <v>903</v>
      </c>
      <c r="BT124">
        <f>BedPlan[[#This Row],[Expected End of Harvest]]-BedPlan[[#This Row],[Expected Beginning of Harvest]]</f>
        <v>87</v>
      </c>
      <c r="BU124" t="str" cm="1">
        <f t="array" ref="BU124">INDEX(Crops[],BedPlan[[#This Row],[Chart Index]],BU$4,1)</f>
        <v>Green</v>
      </c>
      <c r="BV124" cm="1">
        <f t="array" ref="BV124">INDEX(Crops[],BedPlan[[#This Row],[Chart Index]],BV$4,1)</f>
        <v>2.5</v>
      </c>
      <c r="BW124" cm="1">
        <f t="array" ref="BW124">INDEX(Crops[],BedPlan[[#This Row],[Chart Index]],BW$4,1)</f>
        <v>0</v>
      </c>
      <c r="BX124" cm="1">
        <f t="array" ref="BX124">INDEX(Crops[],BedPlan[[#This Row],[Chart Index]],BX$4,1)</f>
        <v>128</v>
      </c>
      <c r="BY124" cm="1">
        <f t="array" ref="BY124">INDEX(Crops[],BedPlan[[#This Row],[Chart Index]],BY$4,1)</f>
        <v>24</v>
      </c>
      <c r="BZ124" s="49" cm="1">
        <f t="array" ref="BZ124">IFERROR(INDEX(Crops[],BedPlan[[#This Row],[Chart Index]],BZ$4,1)*BedPlan[[#This Row],[Full Bed Equivalent]],"")</f>
        <v>0.57291666666666663</v>
      </c>
      <c r="CA124" cm="1">
        <f t="array" ref="CA124">INDEX(Crops[],BedPlan[[#This Row],[Chart Index]],CA$4,1)</f>
        <v>0</v>
      </c>
      <c r="CB124" cm="1">
        <f t="array" ref="CB124">INDEX(Crops[],BedPlan[[#This Row],[Chart Index]],CB$4,1)</f>
        <v>0</v>
      </c>
      <c r="CC124" s="49" t="str" cm="1">
        <f t="array" ref="CC124">IFERROR(INDEX(Crops[],BedPlan[[#This Row],[Chart Index]],CC$4,1)*BedPlan[[#This Row],[Full Bed Equivalent]],"")</f>
        <v/>
      </c>
      <c r="CD124" cm="1">
        <f t="array" ref="CD124">INDEX(Crops[],BedPlan[[#This Row],[Chart Index]],CD$4,1)</f>
        <v>0</v>
      </c>
      <c r="CE124" cm="1">
        <f t="array" ref="CE124">IF(INDEX(Crops[],BedPlan[[#This Row],[Chart Index]],CE$4,1)="",0,INDEX(Crops[],BedPlan[[#This Row],[Chart Index]],CE$4,1))</f>
        <v>0</v>
      </c>
      <c r="CF124" s="49" t="str" cm="1">
        <f t="array" ref="CF124">IFERROR(INDEX(Crops[],BedPlan[[#This Row],[Chart Index]],CF$4,1)*BedPlan[[#This Row],[Full Bed Equivalent]],"")</f>
        <v/>
      </c>
      <c r="CG124" cm="1">
        <f t="array" ref="CG124">IF(INDEX(Crops[],BedPlan[[#This Row],[Chart Index]],CG$4,1)="",0,INDEX(Crops[],BedPlan[[#This Row],[Chart Index]],CG$4,1))</f>
        <v>1.1000000000000001</v>
      </c>
      <c r="CH124" cm="1">
        <f t="array" ref="CH124">IF(INDEX(Crops[],BedPlan[[#This Row],[Chart Index]],CH$4,1)="",0,INDEX(Crops[],BedPlan[[#This Row],[Chart Index]],CH$4,1))</f>
        <v>0</v>
      </c>
      <c r="CI124" t="str" cm="1">
        <f t="array" ref="CI124">INDEX(Crops[],BedPlan[[#This Row],[Chart Index]],CI$4,1)</f>
        <v>Field</v>
      </c>
      <c r="CJ124" s="30" t="str">
        <f>_xlfn.TEXTJOIN(CHAR(10),FALSE,BedPlan[[#This Row],[Name]],BedPlan[[#This Row],[Variety]],BedPlan[[#This Row],[Company]])</f>
        <v xml:space="preserve">Swiss Chard
Swiss Chard Mix
</v>
      </c>
      <c r="CK124" s="32">
        <f>MAX( 0, MIN(BedPlan[[#This Row],[Expected End of Harvest]], EOMONTH(CK$4, 0)) - MAX(BedPlan[[#This Row],[Beginning of Harvest]], CK$4) + 1 )</f>
        <v>0</v>
      </c>
      <c r="CL124">
        <f>MAX( 0, MIN(BedPlan[[#This Row],[Expected End of Harvest]], EOMONTH(CL$4, 0)) - MAX(BedPlan[[#This Row],[Beginning of Harvest]], CL$4) + 1 )</f>
        <v>0</v>
      </c>
      <c r="CM124">
        <f>MAX( 0, MIN(BedPlan[[#This Row],[Expected End of Harvest]], EOMONTH(CM$4, 0)) - MAX(BedPlan[[#This Row],[Beginning of Harvest]], CM$4) + 1 )</f>
        <v>0</v>
      </c>
      <c r="CN124">
        <f>MAX( 0, MIN(BedPlan[[#This Row],[Expected End of Harvest]], EOMONTH(CN$4, 0)) - MAX(BedPlan[[#This Row],[Beginning of Harvest]], CN$4) + 1 )</f>
        <v>0</v>
      </c>
      <c r="CO124">
        <f>MAX( 0, MIN(BedPlan[[#This Row],[Expected End of Harvest]], EOMONTH(CO$4, 0)) - MAX(BedPlan[[#This Row],[Beginning of Harvest]], CO$4) + 1 )</f>
        <v>0</v>
      </c>
      <c r="CP124">
        <f>MAX( 0, MIN(BedPlan[[#This Row],[Expected End of Harvest]], EOMONTH(CP$4, 0)) - MAX(BedPlan[[#This Row],[Beginning of Harvest]], CP$4) + 1 )</f>
        <v>9</v>
      </c>
      <c r="CQ124">
        <f>MAX( 0, MIN(BedPlan[[#This Row],[Expected End of Harvest]], EOMONTH(CQ$4, 0)) - MAX(BedPlan[[#This Row],[Beginning of Harvest]], CQ$4) + 1 )</f>
        <v>31</v>
      </c>
      <c r="CR124">
        <f>MAX( 0, MIN(BedPlan[[#This Row],[Expected End of Harvest]], EOMONTH(CR$4, 0)) - MAX(BedPlan[[#This Row],[Beginning of Harvest]], CR$4) + 1 )</f>
        <v>31</v>
      </c>
      <c r="CS124">
        <f>MAX( 0, MIN(BedPlan[[#This Row],[Expected End of Harvest]], EOMONTH(CS$4, 0)) - MAX(BedPlan[[#This Row],[Beginning of Harvest]], CS$4) + 1 )</f>
        <v>17</v>
      </c>
      <c r="CT124">
        <f>MAX( 0, MIN(BedPlan[[#This Row],[Expected End of Harvest]], EOMONTH(CT$4, 0)) - MAX(BedPlan[[#This Row],[Beginning of Harvest]], CT$4) + 1 )</f>
        <v>0</v>
      </c>
      <c r="CU124">
        <f>MAX( 0, MIN(BedPlan[[#This Row],[Expected End of Harvest]], EOMONTH(CU$4, 0)) - MAX(BedPlan[[#This Row],[Beginning of Harvest]], CU$4) + 1 )</f>
        <v>0</v>
      </c>
      <c r="CV124">
        <f>MAX( 0, MIN(BedPlan[[#This Row],[Expected End of Harvest]], EOMONTH(CV$4, 0)) - MAX(BedPlan[[#This Row],[Beginning of Harvest]], CV$4) + 1 )</f>
        <v>0</v>
      </c>
      <c r="CW124">
        <f>MAX( 0, MIN(BedPlan[[#This Row],[Expected End of Harvest]], EOMONTH(CW$4, 0)) - MAX(BedPlan[[#This Row],[Beginning of Harvest]], CW$4) + 1 )</f>
        <v>0</v>
      </c>
      <c r="CX124">
        <f>MAX( 0, MIN(BedPlan[[#This Row],[Expected End of Harvest]], EOMONTH(CX$4, 0)) - MAX(BedPlan[[#This Row],[Beginning of Harvest]], CX$4) + 1 )</f>
        <v>0</v>
      </c>
      <c r="CY124">
        <f>MAX( 0, MIN(BedPlan[[#This Row],[Expected End of Harvest]], EOMONTH(CY$4, 0)) - MAX(BedPlan[[#This Row],[Beginning of Harvest]], CY$4) + 1 )</f>
        <v>0</v>
      </c>
      <c r="CZ124">
        <f>MAX( 0, MIN(BedPlan[[#This Row],[Expected End of Harvest]], EOMONTH(CZ$4, 0)) - MAX(BedPlan[[#This Row],[Beginning of Harvest]], CZ$4) + 1 )</f>
        <v>0</v>
      </c>
      <c r="DA124">
        <f>MAX( 0, MIN(BedPlan[[#This Row],[Expected End of Harvest]], EOMONTH(DA$4, 0)) - MAX(BedPlan[[#This Row],[Beginning of Harvest]], DA$4) + 1 )</f>
        <v>0</v>
      </c>
      <c r="DB124">
        <f>MAX( 0, MIN(BedPlan[[#This Row],[Expected End of Harvest]], EOMONTH(DB$4, 0)) - MAX(BedPlan[[#This Row],[Beginning of Harvest]], DB$4) + 1 )</f>
        <v>0</v>
      </c>
      <c r="DC124">
        <f>MAX( 0, MIN(BedPlan[[#This Row],[Expected End of Harvest]], EOMONTH(DC$4, 0)) - MAX(BedPlan[[#This Row],[Beginning of Harvest]], DC$4) + 1 )</f>
        <v>0</v>
      </c>
      <c r="DD124">
        <f>MAX( 0, MIN(BedPlan[[#This Row],[Expected End of Harvest]], EOMONTH(DD$4, 0)) - MAX(BedPlan[[#This Row],[Beginning of Harvest]], DD$4) + 1 )</f>
        <v>0</v>
      </c>
      <c r="DE124">
        <f>MAX( 0, MIN(BedPlan[[#This Row],[Expected End of Harvest]], EOMONTH(DE$4, 0)) - MAX(BedPlan[[#This Row],[Beginning of Harvest]], DE$4) + 1 )</f>
        <v>0</v>
      </c>
      <c r="DF124">
        <f>MAX( 0, MIN(BedPlan[[#This Row],[Expected End of Harvest]], EOMONTH(DF$4, 0)) - MAX(BedPlan[[#This Row],[Beginning of Harvest]], DF$4) + 1 )</f>
        <v>0</v>
      </c>
      <c r="DG124">
        <f>MAX( 0, MIN(BedPlan[[#This Row],[Expected End of Harvest]], EOMONTH(DG$4, 0)) - MAX(BedPlan[[#This Row],[Beginning of Harvest]], DG$4) + 1 )</f>
        <v>0</v>
      </c>
      <c r="DH124">
        <f>MAX( 0, MIN(BedPlan[[#This Row],[Expected End of Harvest]], EOMONTH(DH$4, 0)) - MAX(BedPlan[[#This Row],[Beginning of Harvest]], DH$4) + 1 )</f>
        <v>0</v>
      </c>
      <c r="DI124" s="257" cm="1">
        <f t="array" ref="DI124">BedPlan[[#This Row],[Harvest Days January 2025]]/SUM(BedPlan[[#This Row],[Harvest Days January 2025]:[Harvest Days December 2026]])*BedPlan[[#This Row],[Revenue]:[Revenue]]</f>
        <v>0</v>
      </c>
      <c r="DJ124" s="257" cm="1">
        <f t="array" ref="DJ124">BedPlan[[#This Row],[Harvest Days February 2025]]/SUM(BedPlan[[#This Row],[Harvest Days January 2025]:[Harvest Days December 2026]])*BedPlan[[#This Row],[Revenue]:[Revenue]]</f>
        <v>0</v>
      </c>
      <c r="DK124" s="257" cm="1">
        <f t="array" ref="DK124">BedPlan[[#This Row],[Harvest Days March 2025]]/SUM(BedPlan[[#This Row],[Harvest Days January 2025]:[Harvest Days December 2026]])*BedPlan[[#This Row],[Revenue]:[Revenue]]</f>
        <v>0</v>
      </c>
      <c r="DL124" s="257" cm="1">
        <f t="array" ref="DL124">BedPlan[[#This Row],[Harvest Days April 2025]]/SUM(BedPlan[[#This Row],[Harvest Days January 2025]:[Harvest Days December 2026]])*BedPlan[[#This Row],[Revenue]:[Revenue]]</f>
        <v>0</v>
      </c>
      <c r="DM124" s="257" cm="1">
        <f t="array" ref="DM124">BedPlan[[#This Row],[Harvest Days May 2025]]/SUM(BedPlan[[#This Row],[Harvest Days January 2025]:[Harvest Days December 2026]])*BedPlan[[#This Row],[Revenue]:[Revenue]]</f>
        <v>0</v>
      </c>
      <c r="DN124" s="257" cm="1">
        <f t="array" ref="DN124">BedPlan[[#This Row],[Harvest Days June 2025]]/SUM(BedPlan[[#This Row],[Harvest Days January 2025]:[Harvest Days December 2026]])*BedPlan[[#This Row],[Revenue]:[Revenue]]</f>
        <v>107.38636363636363</v>
      </c>
      <c r="DO124" s="257" cm="1">
        <f t="array" ref="DO124">BedPlan[[#This Row],[Harvest Days July 2025]]/SUM(BedPlan[[#This Row],[Harvest Days January 2025]:[Harvest Days December 2026]])*BedPlan[[#This Row],[Revenue]:[Revenue]]</f>
        <v>369.88636363636357</v>
      </c>
      <c r="DP124" s="257" cm="1">
        <f t="array" ref="DP124">BedPlan[[#This Row],[Harvest Days August 2025]]/SUM(BedPlan[[#This Row],[Harvest Days January 2025]:[Harvest Days December 2026]])*BedPlan[[#This Row],[Revenue]:[Revenue]]</f>
        <v>369.88636363636357</v>
      </c>
      <c r="DQ124" s="257" cm="1">
        <f t="array" ref="DQ124">BedPlan[[#This Row],[Harvest Days September 2025]]/SUM(BedPlan[[#This Row],[Harvest Days January 2025]:[Harvest Days December 2026]])*BedPlan[[#This Row],[Revenue]:[Revenue]]</f>
        <v>202.84090909090904</v>
      </c>
      <c r="DR124" s="257" cm="1">
        <f t="array" ref="DR124">BedPlan[[#This Row],[Harvest Days October 2025]]/SUM(BedPlan[[#This Row],[Harvest Days January 2025]:[Harvest Days December 2026]])*BedPlan[[#This Row],[Revenue]:[Revenue]]</f>
        <v>0</v>
      </c>
      <c r="DS124" s="257" cm="1">
        <f t="array" ref="DS124">BedPlan[[#This Row],[Harvest Days November 2025]]/SUM(BedPlan[[#This Row],[Harvest Days January 2025]:[Harvest Days December 2026]])*BedPlan[[#This Row],[Revenue]:[Revenue]]</f>
        <v>0</v>
      </c>
      <c r="DT124" s="257" cm="1">
        <f t="array" ref="DT124">BedPlan[[#This Row],[Harvest Days December 2025]]/SUM(BedPlan[[#This Row],[Harvest Days January 2025]:[Harvest Days December 2026]])*BedPlan[[#This Row],[Revenue]:[Revenue]]</f>
        <v>0</v>
      </c>
      <c r="DU124" s="257" cm="1">
        <f t="array" ref="DU124">BedPlan[[#This Row],[Harvest Days January 2026]]/SUM(BedPlan[[#This Row],[Harvest Days January 2025]:[Harvest Days December 2026]])*BedPlan[[#This Row],[Revenue]:[Revenue]]</f>
        <v>0</v>
      </c>
      <c r="DV124" s="257" cm="1">
        <f t="array" ref="DV124">BedPlan[[#This Row],[Harvest Days February 2026]]/SUM(BedPlan[[#This Row],[Harvest Days January 2025]:[Harvest Days December 2026]])*BedPlan[[#This Row],[Revenue]:[Revenue]]</f>
        <v>0</v>
      </c>
      <c r="DW124" s="257" cm="1">
        <f t="array" ref="DW124">BedPlan[[#This Row],[Harvest Days March 2026]]/SUM(BedPlan[[#This Row],[Harvest Days January 2025]:[Harvest Days December 2026]])*BedPlan[[#This Row],[Revenue]:[Revenue]]</f>
        <v>0</v>
      </c>
      <c r="DX124" s="257" cm="1">
        <f t="array" ref="DX124">BedPlan[[#This Row],[Harvest Days April 2026]]/SUM(BedPlan[[#This Row],[Harvest Days January 2025]:[Harvest Days December 2026]])*BedPlan[[#This Row],[Revenue]:[Revenue]]</f>
        <v>0</v>
      </c>
      <c r="DY124" s="257" cm="1">
        <f t="array" ref="DY124">BedPlan[[#This Row],[Harvest Days May 2026]]/SUM(BedPlan[[#This Row],[Harvest Days January 2025]:[Harvest Days December 2026]])*BedPlan[[#This Row],[Revenue]:[Revenue]]</f>
        <v>0</v>
      </c>
      <c r="DZ124" s="257" cm="1">
        <f t="array" ref="DZ124">BedPlan[[#This Row],[Harvest Days June 2026]]/SUM(BedPlan[[#This Row],[Harvest Days January 2025]:[Harvest Days December 2026]])*BedPlan[[#This Row],[Revenue]:[Revenue]]</f>
        <v>0</v>
      </c>
      <c r="EA124" s="257" cm="1">
        <f t="array" ref="EA124">BedPlan[[#This Row],[Harvest Days July 2026]]/SUM(BedPlan[[#This Row],[Harvest Days January 2025]:[Harvest Days December 2026]])*BedPlan[[#This Row],[Revenue]:[Revenue]]</f>
        <v>0</v>
      </c>
      <c r="EB124" s="257" cm="1">
        <f t="array" ref="EB124">BedPlan[[#This Row],[Harvest Days August 2026]]/SUM(BedPlan[[#This Row],[Harvest Days January 2025]:[Harvest Days December 2026]])*BedPlan[[#This Row],[Revenue]:[Revenue]]</f>
        <v>0</v>
      </c>
      <c r="EC124" s="257" cm="1">
        <f t="array" ref="EC124">BedPlan[[#This Row],[Harvest Days September 2026]]/SUM(BedPlan[[#This Row],[Harvest Days January 2025]:[Harvest Days December 2026]])*BedPlan[[#This Row],[Revenue]:[Revenue]]</f>
        <v>0</v>
      </c>
      <c r="ED124" s="257" cm="1">
        <f t="array" ref="ED124">BedPlan[[#This Row],[Harvest Days October 2026]]/SUM(BedPlan[[#This Row],[Harvest Days January 2025]:[Harvest Days December 2026]])*BedPlan[[#This Row],[Revenue]:[Revenue]]</f>
        <v>0</v>
      </c>
      <c r="EE124" s="257" cm="1">
        <f t="array" ref="EE124">BedPlan[[#This Row],[Harvest Days November 2026]]/SUM(BedPlan[[#This Row],[Harvest Days January 2025]:[Harvest Days December 2026]])*BedPlan[[#This Row],[Revenue]:[Revenue]]</f>
        <v>0</v>
      </c>
      <c r="EF124" s="257" cm="1">
        <f t="array" ref="EF124">BedPlan[[#This Row],[Harvest Days December 2026]]/SUM(BedPlan[[#This Row],[Harvest Days January 2025]:[Harvest Days December 2026]])*BedPlan[[#This Row],[Revenue]:[Revenue]]</f>
        <v>0</v>
      </c>
      <c r="EG124" t="b">
        <f>SUM(BedPlan[[#This Row],[Revenue January 2025]:[Revenue December 2026]])=BedPlan[[#This Row],[Revenue]]</f>
        <v>1</v>
      </c>
      <c r="EH124" s="30" cm="1">
        <f t="array" ref="EH124">INDEX(Crops[],BedPlan[[#This Row],[Chart Index]],EH$4,1)*BedPlan[[#This Row],['# Of Beds]]</f>
        <v>349.99999999999994</v>
      </c>
      <c r="EI124" s="30" t="str" cm="1">
        <f t="array" ref="EI124">INDEX(Crops[],BedPlan[[#This Row],[Chart Index]],EI$4,1)</f>
        <v>Bunch</v>
      </c>
      <c r="EJ124" s="30" t="str" cm="1">
        <f t="array" ref="EJ124">INDEX(Crops[],BedPlan[[#This Row],[Chart Index]],EJ$4,1)</f>
        <v>Mature Leaf</v>
      </c>
      <c r="EK124" s="30" t="str">
        <f>BedPlan[[#This Row],[Name]]&amp;" "&amp;BedPlan[[#This Row],[Product]]&amp; " - " &amp;BedPlan[[#This Row],[Unit]]</f>
        <v>Swiss Chard Mature Leaf - Bunch</v>
      </c>
      <c r="EL124" s="33" cm="1">
        <f t="array" ref="EL124">BedPlan[[#This Row],[Harvest Days January 2025]]/SUM(BedPlan[[#This Row],[Harvest Days January 2025]:[Harvest Days December 2026]])*BedPlan[[#This Row],[Yield]:[Yield]]</f>
        <v>0</v>
      </c>
      <c r="EM124" s="33" cm="1">
        <f t="array" ref="EM124">BedPlan[[#This Row],[Harvest Days February 2025]]/SUM(BedPlan[[#This Row],[Harvest Days January 2025]:[Harvest Days December 2026]])*BedPlan[[#This Row],[Yield]:[Yield]]</f>
        <v>0</v>
      </c>
      <c r="EN124" s="33" cm="1">
        <f t="array" ref="EN124">BedPlan[[#This Row],[Harvest Days March 2025]]/SUM(BedPlan[[#This Row],[Harvest Days January 2025]:[Harvest Days December 2026]])*BedPlan[[#This Row],[Yield]:[Yield]]</f>
        <v>0</v>
      </c>
      <c r="EO124" s="33" cm="1">
        <f t="array" ref="EO124">BedPlan[[#This Row],[Harvest Days April 2025]]/SUM(BedPlan[[#This Row],[Harvest Days January 2025]:[Harvest Days December 2026]])*BedPlan[[#This Row],[Yield]:[Yield]]</f>
        <v>0</v>
      </c>
      <c r="EP124" s="33" cm="1">
        <f t="array" ref="EP124">BedPlan[[#This Row],[Harvest Days May 2025]]/SUM(BedPlan[[#This Row],[Harvest Days January 2025]:[Harvest Days December 2026]])*BedPlan[[#This Row],[Yield]:[Yield]]</f>
        <v>0</v>
      </c>
      <c r="EQ124" s="33" cm="1">
        <f t="array" ref="EQ124">BedPlan[[#This Row],[Harvest Days June 2025]]/SUM(BedPlan[[#This Row],[Harvest Days January 2025]:[Harvest Days December 2026]])*BedPlan[[#This Row],[Yield]:[Yield]]</f>
        <v>35.79545454545454</v>
      </c>
      <c r="ER124" s="33" cm="1">
        <f t="array" ref="ER124">BedPlan[[#This Row],[Harvest Days July 2025]]/SUM(BedPlan[[#This Row],[Harvest Days January 2025]:[Harvest Days December 2026]])*BedPlan[[#This Row],[Yield]:[Yield]]</f>
        <v>123.29545454545453</v>
      </c>
      <c r="ES124" s="33" cm="1">
        <f t="array" ref="ES124">BedPlan[[#This Row],[Harvest Days August 2025]]/SUM(BedPlan[[#This Row],[Harvest Days January 2025]:[Harvest Days December 2026]])*BedPlan[[#This Row],[Yield]:[Yield]]</f>
        <v>123.29545454545453</v>
      </c>
      <c r="ET124" s="33" cm="1">
        <f t="array" ref="ET124">BedPlan[[#This Row],[Harvest Days September 2025]]/SUM(BedPlan[[#This Row],[Harvest Days January 2025]:[Harvest Days December 2026]])*BedPlan[[#This Row],[Yield]:[Yield]]</f>
        <v>67.613636363636346</v>
      </c>
      <c r="EU124" s="33" cm="1">
        <f t="array" ref="EU124">BedPlan[[#This Row],[Harvest Days October 2025]]/SUM(BedPlan[[#This Row],[Harvest Days January 2025]:[Harvest Days December 2026]])*BedPlan[[#This Row],[Yield]:[Yield]]</f>
        <v>0</v>
      </c>
      <c r="EV124" s="33" cm="1">
        <f t="array" ref="EV124">BedPlan[[#This Row],[Harvest Days November 2025]]/SUM(BedPlan[[#This Row],[Harvest Days January 2025]:[Harvest Days December 2026]])*BedPlan[[#This Row],[Yield]:[Yield]]</f>
        <v>0</v>
      </c>
      <c r="EW124" s="33" cm="1">
        <f t="array" ref="EW124">BedPlan[[#This Row],[Harvest Days December 2025]]/SUM(BedPlan[[#This Row],[Harvest Days January 2025]:[Harvest Days December 2026]])*BedPlan[[#This Row],[Yield]:[Yield]]</f>
        <v>0</v>
      </c>
    </row>
    <row r="125" spans="1:153" ht="15" customHeight="1">
      <c r="A125" s="190" t="s">
        <v>309</v>
      </c>
      <c r="B125" t="s">
        <v>2673</v>
      </c>
      <c r="C125" t="s">
        <v>1430</v>
      </c>
      <c r="D125" cm="1">
        <f t="array" ref="D125">INDEX(Crops[],BedPlan[[#This Row],[Chart Index]],D$4,1)*BedPlan[[#This Row],[Full Bed Equivalent]]</f>
        <v>34.567901234567898</v>
      </c>
      <c r="E125" cm="1">
        <f t="array" ref="E125">INDEX(Crops[],BedPlan[[#This Row],[Chart Index]],E$4,1)*BedPlan[[#This Row],[Full Bed Equivalent]]</f>
        <v>355.55555555555549</v>
      </c>
      <c r="F125" t="str">
        <f>UPPER(LEFT(BedPlan[[#This Row],[Crop]],3))</f>
        <v>TOM</v>
      </c>
      <c r="H125" s="143" t="str" cm="1">
        <f t="array" ref="H125">INDEX(Crops[],BedPlan[[#This Row],[Chart Index]],H$4,1)</f>
        <v>Tomatillo</v>
      </c>
      <c r="I125" t="s">
        <v>2842</v>
      </c>
      <c r="K125" t="str" cm="1">
        <f t="array" ref="K125">IF(ISNUMBER(MATCH(BedPlan[[#This Row],[Variety]],SeedMixes[Name],)),_xlfn.TEXTJOIN(", ",TRUE,_xlfn._xlws.FILTER(SeedMixes[Variety &amp; Company],SeedMixes[Name]=BedPlan[[#This Row],[Variety]])),"")</f>
        <v>Queen of Mallinalco Uprising, De Milpa Johnny's, Toma Verde High Mowing</v>
      </c>
      <c r="L125" s="33" cm="1">
        <f t="array" ref="L125">INDEX(Crops[],BedPlan[[#This Row],[Chart Index]],L$4,1)*BedPlan[[#This Row],[Full Bed Equivalent]]</f>
        <v>43.333333333333329</v>
      </c>
      <c r="N125">
        <f>1</f>
        <v>1</v>
      </c>
      <c r="O125">
        <f>MAX(BedPlan[[#This Row],['# Of Beds]],0.5)</f>
        <v>1</v>
      </c>
      <c r="P125" s="31">
        <f>IF(ISNUMBER(BedPlan[[#This Row],[Planned Greenhouse Start Date]]),BedPlan[[#This Row],[Planned Greenhouse Start Date]],BedPlan[[#This Row],[Planned TP or DS Date]])</f>
        <v>45738</v>
      </c>
      <c r="Q125" s="259">
        <f>IF(BedPlan[[#This Row],[Days in Cells]]=0,"",IFERROR(_xlfn.XLOOKUP(BedPlan[[#This Row],[Follows Crop]],BedPlan[Identifier],BedPlan[Expected End of Harvest]) + 1+BedPlan[[#This Row],[Follow Offset]],BedPlan[[#This Row],[Fixed Field Start Date]])-BedPlan[[#This Row],[Days in Cells]])</f>
        <v>45738</v>
      </c>
      <c r="R125" s="259">
        <v>45748</v>
      </c>
      <c r="S125" s="259">
        <f>IF(ISNUMBER(BedPlan[[#This Row],[Actual Greenhouse Date]]),BedPlan[[#This Row],[Actual Greenhouse Date]],BedPlan[[#This Row],[Planned Greenhouse Start Date]])</f>
        <v>45748</v>
      </c>
      <c r="T125" s="259">
        <f>_xlfn.XLOOKUP(BedPlan[[#This Row],[Crop]],Crops[Identifier],Crops[Target Field Date])</f>
        <v>45794</v>
      </c>
      <c r="U125" s="260"/>
      <c r="V125" s="260"/>
      <c r="W12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25" s="259">
        <v>45823</v>
      </c>
      <c r="Y125" s="271">
        <f>BedPlan[[#This Row],[Actual TP or DS Date]]-BedPlan[[#This Row],[Planned TP or DS Date]]</f>
        <v>19</v>
      </c>
      <c r="Z125" s="259">
        <f>IF(ISNUMBER(BedPlan[[#This Row],[Actual TP or DS Date]]),BedPlan[[#This Row],[Actual TP or DS Date]],BedPlan[[#This Row],[Planned TP or DS Date]])</f>
        <v>45823</v>
      </c>
      <c r="AA125" s="260"/>
      <c r="AB125" s="259">
        <f>IF(ISNUMBER(BedPlan[[#This Row],[Greenhouse Start Date]]),BedPlan[[#This Row],[Greenhouse Start Date]]+BedPlan[[#This Row],[DTM]],BedPlan[[#This Row],[TP or DS Date]]+BedPlan[[#This Row],[DTM]])</f>
        <v>45838</v>
      </c>
      <c r="AC125" s="259"/>
      <c r="AD125" s="259">
        <f>IF(ISNUMBER(BedPlan[[#This Row],[Actual Beginning of Harvest]]),BedPlan[[#This Row],[Actual Beginning of Harvest]],BedPlan[[#This Row],[Expected Beginning of Harvest]])</f>
        <v>45838</v>
      </c>
      <c r="AE125" s="259">
        <f>BedPlan[[#This Row],[Expected Beginning of Harvest]]+BedPlan[[#This Row],[Harvest Window]]+BedPlan[[#This Row],[Additional Days of Harvest]]</f>
        <v>45908</v>
      </c>
      <c r="AF125" s="259"/>
      <c r="AG125" s="259"/>
      <c r="AH125" s="31" t="b">
        <f>IF(AND( BedPlan[[#This Row],[Expected End of Harvest]] &gt;= DATE(2025, 8, 1), BedPlan[[#This Row],[Beginning of Harvest]] &lt;= DATE(2025, 8, 31) ), TRUE, FALSE)</f>
        <v>1</v>
      </c>
      <c r="AI125" s="31"/>
      <c r="AJ125" s="31">
        <f>IF(ISNUMBER(BedPlan[[#This Row],[Actual End of Harvest]]),BedPlan[[#This Row],[Actual End of Harvest]],BedPlan[[#This Row],[Expected End of Harvest]])</f>
        <v>45908</v>
      </c>
      <c r="AK125" t="b">
        <f>OR(ISNUMBER(BedPlan[[#This Row],[Actual Greenhouse Date]]),ISNUMBER(BedPlan[[#This Row],[Actual TP or DS Date]]))</f>
        <v>1</v>
      </c>
      <c r="AL125" s="52" t="b">
        <f>IF(ISNUMBER(BedPlan[[#This Row],[Planned Greenhouse Start Date]]),OR(ISNUMBER(BedPlan[[#This Row],[Actual TP or DS Date]]),BedPlan[[#This Row],[Failed]]),"-")</f>
        <v>1</v>
      </c>
      <c r="AM125" t="b">
        <f>OR(ISNUMBER(BedPlan[[#This Row],[Actual End of Harvest]]),BedPlan[[#This Row],[Failed]])</f>
        <v>0</v>
      </c>
      <c r="AN125" t="b">
        <f>OR(BedPlan[[#This Row],[Harvest Done]],BedPlan[[#This Row],[Failed]],BedPlan[[#This Row],[Name]]="Tarp")</f>
        <v>0</v>
      </c>
      <c r="AQ125" t="s">
        <v>3237</v>
      </c>
      <c r="AS125" s="26" t="str">
        <f>IF(BedPlan[[#This Row],[Broadfork]],BedPlan[[#This Row],[Actual TP or DS Date]],"")</f>
        <v/>
      </c>
      <c r="AT125" s="26" t="str">
        <f>IF(BedPlan[[#This Row],[Tilther]],BedPlan[[#This Row],[Actual TP or DS Date]],"")</f>
        <v/>
      </c>
      <c r="AU125" s="26">
        <f>IF(NOT(ISBLANK(BedPlan[[#This Row],[Amend]])),BedPlan[[#This Row],[Actual TP or DS Date]],"")</f>
        <v>45823</v>
      </c>
      <c r="AV125" s="26" t="str">
        <f>IF(BedPlan[[#This Row],[Row Cover]],BedPlan[[#This Row],[Actual TP or DS Date]],"")</f>
        <v/>
      </c>
      <c r="AX125" s="26"/>
      <c r="AZ125" s="26"/>
      <c r="BB125" s="26"/>
      <c r="BC125" s="231" cm="1">
        <f t="array" ref="BC125">INDEX(Crops[],BedPlan[[#This Row],[Chart Index]],BC$4,1)*BedPlan[[#This Row],[Full Bed Equivalent]]</f>
        <v>1599.9999999999998</v>
      </c>
      <c r="BD125" s="231" cm="1">
        <f t="array" ref="BD125">INDEX(Crops[],BedPlan[[#This Row],[Chart Index]],BD$4,1)*BedPlan[[#This Row],[Full Bed Equivalent]]</f>
        <v>15.384615384615383</v>
      </c>
      <c r="BE125" cm="1">
        <f t="array" ref="BE125">INDEX(Crops[],BedPlan[[#This Row],[Chart Index]],BE$4,1)+BedPlan[[#This Row],[Additional Days in Cells]]+BedPlan[[#This Row],[Additional Days In Field]]</f>
        <v>90</v>
      </c>
      <c r="BG125" cm="1">
        <f t="array" ref="BG125">INDEX(Crops[],BedPlan[[#This Row],[Chart Index]],BG$4,1)</f>
        <v>70</v>
      </c>
      <c r="BH125" t="str">
        <f>IF(ISNUMBER(BedPlan[[#This Row],[Planned Greenhouse Start Date]]),"TP","DS")</f>
        <v>TP</v>
      </c>
      <c r="BI125">
        <f>BedPlan[[#This Row],['# Of Beds]]</f>
        <v>1</v>
      </c>
      <c r="BJ125" cm="1">
        <f t="array" ref="BJ125">INDEX(Crops[],BedPlan[[#This Row],[Chart Index]],BJ$4,1)</f>
        <v>56</v>
      </c>
      <c r="BK125" cm="1">
        <f t="array" ref="BK125">INDEX(Crops[],BedPlan[[#This Row],[Chart Index]],BK$4,1)</f>
        <v>1</v>
      </c>
      <c r="BL125" cm="1">
        <f t="array" ref="BL125">INDEX(Crops[],BedPlan[[#This Row],[Chart Index]],BL$4,1)</f>
        <v>18</v>
      </c>
      <c r="BM125" cm="1">
        <f t="array" ref="BM125">INDEX(Crops[],BedPlan[[#This Row],[Chart Index]],BM$4,1)</f>
        <v>1</v>
      </c>
      <c r="BN125" s="32" cm="1">
        <f t="array" ref="BN125">INDEX(Crops[],BedPlan[[#This Row],[Chart Index]],BN$4,1)*BedPlan[[#This Row],[Full Bed Equivalent]]</f>
        <v>33.333333333333329</v>
      </c>
      <c r="BO125" t="str" cm="1">
        <f t="array" ref="BO125">IF(INDEX(Crops[],BedPlan[[#This Row],[Chart Index]],BO$4,1)=0,"",INDEX(Crops[],BedPlan[[#This Row],[Chart Index]],BO$4,1))</f>
        <v>DR</v>
      </c>
      <c r="BP125">
        <f>MATCH(BedPlan[[#This Row],[Crop]],Crops[Identifier],FALSE)</f>
        <v>322</v>
      </c>
      <c r="BQ125" t="str" cm="1">
        <f t="array" ref="BQ125">INDEX(Crops[],BedPlan[[#This Row],[Chart Index]],BQ$4,1)</f>
        <v>General</v>
      </c>
      <c r="BR125" t="str" cm="1">
        <f t="array" ref="BR125">INDEX(Crops[],BedPlan[[#This Row],[Chart Index]],BR$4,1)</f>
        <v/>
      </c>
      <c r="BS125" s="32">
        <f>BedPlan[[#This Row],[Expected Beginning of Harvest]]-DATE(2023,1,1)</f>
        <v>911</v>
      </c>
      <c r="BT125">
        <f>BedPlan[[#This Row],[Expected End of Harvest]]-BedPlan[[#This Row],[Expected Beginning of Harvest]]</f>
        <v>70</v>
      </c>
      <c r="BU125" t="str" cm="1">
        <f t="array" ref="BU125">INDEX(Crops[],BedPlan[[#This Row],[Chart Index]],BU$4,1)</f>
        <v>Tomato</v>
      </c>
      <c r="BV125" cm="1">
        <f t="array" ref="BV125">INDEX(Crops[],BedPlan[[#This Row],[Chart Index]],BV$4,1)</f>
        <v>5</v>
      </c>
      <c r="BW125" t="str" cm="1">
        <f t="array" ref="BW125">INDEX(Crops[],BedPlan[[#This Row],[Chart Index]],BW$4,1)</f>
        <v>Young</v>
      </c>
      <c r="BX125" cm="1">
        <f t="array" ref="BX125">INDEX(Crops[],BedPlan[[#This Row],[Chart Index]],BX$4,1)</f>
        <v>72</v>
      </c>
      <c r="BY125" cm="1">
        <f t="array" ref="BY125">INDEX(Crops[],BedPlan[[#This Row],[Chart Index]],BY$4,1)</f>
        <v>21</v>
      </c>
      <c r="BZ125" s="49" cm="1">
        <f t="array" ref="BZ125">IFERROR(INDEX(Crops[],BedPlan[[#This Row],[Chart Index]],BZ$4,1)*BedPlan[[#This Row],[Full Bed Equivalent]],"")</f>
        <v>0.60185185185185175</v>
      </c>
      <c r="CA125" cm="1">
        <f t="array" ref="CA125">INDEX(Crops[],BedPlan[[#This Row],[Chart Index]],CA$4,1)</f>
        <v>18</v>
      </c>
      <c r="CB125" cm="1">
        <f t="array" ref="CB125">INDEX(Crops[],BedPlan[[#This Row],[Chart Index]],CB$4,1)</f>
        <v>21</v>
      </c>
      <c r="CC125" s="49" cm="1">
        <f t="array" ref="CC125">IFERROR(INDEX(Crops[],BedPlan[[#This Row],[Chart Index]],CC$4,1)*BedPlan[[#This Row],[Full Bed Equivalent]],"")</f>
        <v>2.407407407407407</v>
      </c>
      <c r="CD125" cm="1">
        <f t="array" ref="CD125">INDEX(Crops[],BedPlan[[#This Row],[Chart Index]],CD$4,1)</f>
        <v>9</v>
      </c>
      <c r="CE125" cm="1">
        <f t="array" ref="CE125">IF(INDEX(Crops[],BedPlan[[#This Row],[Chart Index]],CE$4,1)="",0,INDEX(Crops[],BedPlan[[#This Row],[Chart Index]],CE$4,1))</f>
        <v>14</v>
      </c>
      <c r="CF125" s="49" cm="1">
        <f t="array" ref="CF125">IFERROR(INDEX(Crops[],BedPlan[[#This Row],[Chart Index]],CF$4,1)*BedPlan[[#This Row],[Full Bed Equivalent]],"")</f>
        <v>4.814814814814814</v>
      </c>
      <c r="CG125" cm="1">
        <f t="array" ref="CG125">IF(INDEX(Crops[],BedPlan[[#This Row],[Chart Index]],CG$4,1)="",0,INDEX(Crops[],BedPlan[[#This Row],[Chart Index]],CG$4,1))</f>
        <v>1.3</v>
      </c>
      <c r="CH125" cm="1">
        <f t="array" ref="CH125">IF(INDEX(Crops[],BedPlan[[#This Row],[Chart Index]],CH$4,1)="",0,INDEX(Crops[],BedPlan[[#This Row],[Chart Index]],CH$4,1))</f>
        <v>10</v>
      </c>
      <c r="CI125" t="str" cm="1">
        <f t="array" ref="CI125">INDEX(Crops[],BedPlan[[#This Row],[Chart Index]],CI$4,1)</f>
        <v>Field</v>
      </c>
      <c r="CJ125" s="30" t="str">
        <f>_xlfn.TEXTJOIN(CHAR(10),FALSE,BedPlan[[#This Row],[Name]],BedPlan[[#This Row],[Variety]],BedPlan[[#This Row],[Company]])</f>
        <v xml:space="preserve">Tomatillo
Tomatillo Mix
</v>
      </c>
      <c r="CK125" s="32">
        <f>MAX( 0, MIN(BedPlan[[#This Row],[Expected End of Harvest]], EOMONTH(CK$4, 0)) - MAX(BedPlan[[#This Row],[Beginning of Harvest]], CK$4) + 1 )</f>
        <v>0</v>
      </c>
      <c r="CL125">
        <f>MAX( 0, MIN(BedPlan[[#This Row],[Expected End of Harvest]], EOMONTH(CL$4, 0)) - MAX(BedPlan[[#This Row],[Beginning of Harvest]], CL$4) + 1 )</f>
        <v>0</v>
      </c>
      <c r="CM125">
        <f>MAX( 0, MIN(BedPlan[[#This Row],[Expected End of Harvest]], EOMONTH(CM$4, 0)) - MAX(BedPlan[[#This Row],[Beginning of Harvest]], CM$4) + 1 )</f>
        <v>0</v>
      </c>
      <c r="CN125">
        <f>MAX( 0, MIN(BedPlan[[#This Row],[Expected End of Harvest]], EOMONTH(CN$4, 0)) - MAX(BedPlan[[#This Row],[Beginning of Harvest]], CN$4) + 1 )</f>
        <v>0</v>
      </c>
      <c r="CO125">
        <f>MAX( 0, MIN(BedPlan[[#This Row],[Expected End of Harvest]], EOMONTH(CO$4, 0)) - MAX(BedPlan[[#This Row],[Beginning of Harvest]], CO$4) + 1 )</f>
        <v>0</v>
      </c>
      <c r="CP125">
        <f>MAX( 0, MIN(BedPlan[[#This Row],[Expected End of Harvest]], EOMONTH(CP$4, 0)) - MAX(BedPlan[[#This Row],[Beginning of Harvest]], CP$4) + 1 )</f>
        <v>1</v>
      </c>
      <c r="CQ125">
        <f>MAX( 0, MIN(BedPlan[[#This Row],[Expected End of Harvest]], EOMONTH(CQ$4, 0)) - MAX(BedPlan[[#This Row],[Beginning of Harvest]], CQ$4) + 1 )</f>
        <v>31</v>
      </c>
      <c r="CR125">
        <f>MAX( 0, MIN(BedPlan[[#This Row],[Expected End of Harvest]], EOMONTH(CR$4, 0)) - MAX(BedPlan[[#This Row],[Beginning of Harvest]], CR$4) + 1 )</f>
        <v>31</v>
      </c>
      <c r="CS125">
        <f>MAX( 0, MIN(BedPlan[[#This Row],[Expected End of Harvest]], EOMONTH(CS$4, 0)) - MAX(BedPlan[[#This Row],[Beginning of Harvest]], CS$4) + 1 )</f>
        <v>8</v>
      </c>
      <c r="CT125">
        <f>MAX( 0, MIN(BedPlan[[#This Row],[Expected End of Harvest]], EOMONTH(CT$4, 0)) - MAX(BedPlan[[#This Row],[Beginning of Harvest]], CT$4) + 1 )</f>
        <v>0</v>
      </c>
      <c r="CU125">
        <f>MAX( 0, MIN(BedPlan[[#This Row],[Expected End of Harvest]], EOMONTH(CU$4, 0)) - MAX(BedPlan[[#This Row],[Beginning of Harvest]], CU$4) + 1 )</f>
        <v>0</v>
      </c>
      <c r="CV125">
        <f>MAX( 0, MIN(BedPlan[[#This Row],[Expected End of Harvest]], EOMONTH(CV$4, 0)) - MAX(BedPlan[[#This Row],[Beginning of Harvest]], CV$4) + 1 )</f>
        <v>0</v>
      </c>
      <c r="CW125">
        <f>MAX( 0, MIN(BedPlan[[#This Row],[Expected End of Harvest]], EOMONTH(CW$4, 0)) - MAX(BedPlan[[#This Row],[Beginning of Harvest]], CW$4) + 1 )</f>
        <v>0</v>
      </c>
      <c r="CX125">
        <f>MAX( 0, MIN(BedPlan[[#This Row],[Expected End of Harvest]], EOMONTH(CX$4, 0)) - MAX(BedPlan[[#This Row],[Beginning of Harvest]], CX$4) + 1 )</f>
        <v>0</v>
      </c>
      <c r="CY125">
        <f>MAX( 0, MIN(BedPlan[[#This Row],[Expected End of Harvest]], EOMONTH(CY$4, 0)) - MAX(BedPlan[[#This Row],[Beginning of Harvest]], CY$4) + 1 )</f>
        <v>0</v>
      </c>
      <c r="CZ125">
        <f>MAX( 0, MIN(BedPlan[[#This Row],[Expected End of Harvest]], EOMONTH(CZ$4, 0)) - MAX(BedPlan[[#This Row],[Beginning of Harvest]], CZ$4) + 1 )</f>
        <v>0</v>
      </c>
      <c r="DA125">
        <f>MAX( 0, MIN(BedPlan[[#This Row],[Expected End of Harvest]], EOMONTH(DA$4, 0)) - MAX(BedPlan[[#This Row],[Beginning of Harvest]], DA$4) + 1 )</f>
        <v>0</v>
      </c>
      <c r="DB125">
        <f>MAX( 0, MIN(BedPlan[[#This Row],[Expected End of Harvest]], EOMONTH(DB$4, 0)) - MAX(BedPlan[[#This Row],[Beginning of Harvest]], DB$4) + 1 )</f>
        <v>0</v>
      </c>
      <c r="DC125">
        <f>MAX( 0, MIN(BedPlan[[#This Row],[Expected End of Harvest]], EOMONTH(DC$4, 0)) - MAX(BedPlan[[#This Row],[Beginning of Harvest]], DC$4) + 1 )</f>
        <v>0</v>
      </c>
      <c r="DD125">
        <f>MAX( 0, MIN(BedPlan[[#This Row],[Expected End of Harvest]], EOMONTH(DD$4, 0)) - MAX(BedPlan[[#This Row],[Beginning of Harvest]], DD$4) + 1 )</f>
        <v>0</v>
      </c>
      <c r="DE125">
        <f>MAX( 0, MIN(BedPlan[[#This Row],[Expected End of Harvest]], EOMONTH(DE$4, 0)) - MAX(BedPlan[[#This Row],[Beginning of Harvest]], DE$4) + 1 )</f>
        <v>0</v>
      </c>
      <c r="DF125">
        <f>MAX( 0, MIN(BedPlan[[#This Row],[Expected End of Harvest]], EOMONTH(DF$4, 0)) - MAX(BedPlan[[#This Row],[Beginning of Harvest]], DF$4) + 1 )</f>
        <v>0</v>
      </c>
      <c r="DG125">
        <f>MAX( 0, MIN(BedPlan[[#This Row],[Expected End of Harvest]], EOMONTH(DG$4, 0)) - MAX(BedPlan[[#This Row],[Beginning of Harvest]], DG$4) + 1 )</f>
        <v>0</v>
      </c>
      <c r="DH125">
        <f>MAX( 0, MIN(BedPlan[[#This Row],[Expected End of Harvest]], EOMONTH(DH$4, 0)) - MAX(BedPlan[[#This Row],[Beginning of Harvest]], DH$4) + 1 )</f>
        <v>0</v>
      </c>
      <c r="DI125" s="257" cm="1">
        <f t="array" ref="DI125">BedPlan[[#This Row],[Harvest Days January 2025]]/SUM(BedPlan[[#This Row],[Harvest Days January 2025]:[Harvest Days December 2026]])*BedPlan[[#This Row],[Revenue]:[Revenue]]</f>
        <v>0</v>
      </c>
      <c r="DJ125" s="257" cm="1">
        <f t="array" ref="DJ125">BedPlan[[#This Row],[Harvest Days February 2025]]/SUM(BedPlan[[#This Row],[Harvest Days January 2025]:[Harvest Days December 2026]])*BedPlan[[#This Row],[Revenue]:[Revenue]]</f>
        <v>0</v>
      </c>
      <c r="DK125" s="257" cm="1">
        <f t="array" ref="DK125">BedPlan[[#This Row],[Harvest Days March 2025]]/SUM(BedPlan[[#This Row],[Harvest Days January 2025]:[Harvest Days December 2026]])*BedPlan[[#This Row],[Revenue]:[Revenue]]</f>
        <v>0</v>
      </c>
      <c r="DL125" s="257" cm="1">
        <f t="array" ref="DL125">BedPlan[[#This Row],[Harvest Days April 2025]]/SUM(BedPlan[[#This Row],[Harvest Days January 2025]:[Harvest Days December 2026]])*BedPlan[[#This Row],[Revenue]:[Revenue]]</f>
        <v>0</v>
      </c>
      <c r="DM125" s="257" cm="1">
        <f t="array" ref="DM125">BedPlan[[#This Row],[Harvest Days May 2025]]/SUM(BedPlan[[#This Row],[Harvest Days January 2025]:[Harvest Days December 2026]])*BedPlan[[#This Row],[Revenue]:[Revenue]]</f>
        <v>0</v>
      </c>
      <c r="DN125" s="257" cm="1">
        <f t="array" ref="DN125">BedPlan[[#This Row],[Harvest Days June 2025]]/SUM(BedPlan[[#This Row],[Harvest Days January 2025]:[Harvest Days December 2026]])*BedPlan[[#This Row],[Revenue]:[Revenue]]</f>
        <v>22.535211267605632</v>
      </c>
      <c r="DO125" s="257" cm="1">
        <f t="array" ref="DO125">BedPlan[[#This Row],[Harvest Days July 2025]]/SUM(BedPlan[[#This Row],[Harvest Days January 2025]:[Harvest Days December 2026]])*BedPlan[[#This Row],[Revenue]:[Revenue]]</f>
        <v>698.59154929577448</v>
      </c>
      <c r="DP125" s="257" cm="1">
        <f t="array" ref="DP125">BedPlan[[#This Row],[Harvest Days August 2025]]/SUM(BedPlan[[#This Row],[Harvest Days January 2025]:[Harvest Days December 2026]])*BedPlan[[#This Row],[Revenue]:[Revenue]]</f>
        <v>698.59154929577448</v>
      </c>
      <c r="DQ125" s="257" cm="1">
        <f t="array" ref="DQ125">BedPlan[[#This Row],[Harvest Days September 2025]]/SUM(BedPlan[[#This Row],[Harvest Days January 2025]:[Harvest Days December 2026]])*BedPlan[[#This Row],[Revenue]:[Revenue]]</f>
        <v>180.28169014084506</v>
      </c>
      <c r="DR125" s="257" cm="1">
        <f t="array" ref="DR125">BedPlan[[#This Row],[Harvest Days October 2025]]/SUM(BedPlan[[#This Row],[Harvest Days January 2025]:[Harvest Days December 2026]])*BedPlan[[#This Row],[Revenue]:[Revenue]]</f>
        <v>0</v>
      </c>
      <c r="DS125" s="257" cm="1">
        <f t="array" ref="DS125">BedPlan[[#This Row],[Harvest Days November 2025]]/SUM(BedPlan[[#This Row],[Harvest Days January 2025]:[Harvest Days December 2026]])*BedPlan[[#This Row],[Revenue]:[Revenue]]</f>
        <v>0</v>
      </c>
      <c r="DT125" s="257" cm="1">
        <f t="array" ref="DT125">BedPlan[[#This Row],[Harvest Days December 2025]]/SUM(BedPlan[[#This Row],[Harvest Days January 2025]:[Harvest Days December 2026]])*BedPlan[[#This Row],[Revenue]:[Revenue]]</f>
        <v>0</v>
      </c>
      <c r="DU125" s="257" cm="1">
        <f t="array" ref="DU125">BedPlan[[#This Row],[Harvest Days January 2026]]/SUM(BedPlan[[#This Row],[Harvest Days January 2025]:[Harvest Days December 2026]])*BedPlan[[#This Row],[Revenue]:[Revenue]]</f>
        <v>0</v>
      </c>
      <c r="DV125" s="257" cm="1">
        <f t="array" ref="DV125">BedPlan[[#This Row],[Harvest Days February 2026]]/SUM(BedPlan[[#This Row],[Harvest Days January 2025]:[Harvest Days December 2026]])*BedPlan[[#This Row],[Revenue]:[Revenue]]</f>
        <v>0</v>
      </c>
      <c r="DW125" s="257" cm="1">
        <f t="array" ref="DW125">BedPlan[[#This Row],[Harvest Days March 2026]]/SUM(BedPlan[[#This Row],[Harvest Days January 2025]:[Harvest Days December 2026]])*BedPlan[[#This Row],[Revenue]:[Revenue]]</f>
        <v>0</v>
      </c>
      <c r="DX125" s="257" cm="1">
        <f t="array" ref="DX125">BedPlan[[#This Row],[Harvest Days April 2026]]/SUM(BedPlan[[#This Row],[Harvest Days January 2025]:[Harvest Days December 2026]])*BedPlan[[#This Row],[Revenue]:[Revenue]]</f>
        <v>0</v>
      </c>
      <c r="DY125" s="257" cm="1">
        <f t="array" ref="DY125">BedPlan[[#This Row],[Harvest Days May 2026]]/SUM(BedPlan[[#This Row],[Harvest Days January 2025]:[Harvest Days December 2026]])*BedPlan[[#This Row],[Revenue]:[Revenue]]</f>
        <v>0</v>
      </c>
      <c r="DZ125" s="257" cm="1">
        <f t="array" ref="DZ125">BedPlan[[#This Row],[Harvest Days June 2026]]/SUM(BedPlan[[#This Row],[Harvest Days January 2025]:[Harvest Days December 2026]])*BedPlan[[#This Row],[Revenue]:[Revenue]]</f>
        <v>0</v>
      </c>
      <c r="EA125" s="257" cm="1">
        <f t="array" ref="EA125">BedPlan[[#This Row],[Harvest Days July 2026]]/SUM(BedPlan[[#This Row],[Harvest Days January 2025]:[Harvest Days December 2026]])*BedPlan[[#This Row],[Revenue]:[Revenue]]</f>
        <v>0</v>
      </c>
      <c r="EB125" s="257" cm="1">
        <f t="array" ref="EB125">BedPlan[[#This Row],[Harvest Days August 2026]]/SUM(BedPlan[[#This Row],[Harvest Days January 2025]:[Harvest Days December 2026]])*BedPlan[[#This Row],[Revenue]:[Revenue]]</f>
        <v>0</v>
      </c>
      <c r="EC125" s="257" cm="1">
        <f t="array" ref="EC125">BedPlan[[#This Row],[Harvest Days September 2026]]/SUM(BedPlan[[#This Row],[Harvest Days January 2025]:[Harvest Days December 2026]])*BedPlan[[#This Row],[Revenue]:[Revenue]]</f>
        <v>0</v>
      </c>
      <c r="ED125" s="257" cm="1">
        <f t="array" ref="ED125">BedPlan[[#This Row],[Harvest Days October 2026]]/SUM(BedPlan[[#This Row],[Harvest Days January 2025]:[Harvest Days December 2026]])*BedPlan[[#This Row],[Revenue]:[Revenue]]</f>
        <v>0</v>
      </c>
      <c r="EE125" s="257" cm="1">
        <f t="array" ref="EE125">BedPlan[[#This Row],[Harvest Days November 2026]]/SUM(BedPlan[[#This Row],[Harvest Days January 2025]:[Harvest Days December 2026]])*BedPlan[[#This Row],[Revenue]:[Revenue]]</f>
        <v>0</v>
      </c>
      <c r="EF125" s="257" cm="1">
        <f t="array" ref="EF125">BedPlan[[#This Row],[Harvest Days December 2026]]/SUM(BedPlan[[#This Row],[Harvest Days January 2025]:[Harvest Days December 2026]])*BedPlan[[#This Row],[Revenue]:[Revenue]]</f>
        <v>0</v>
      </c>
      <c r="EG125" t="b">
        <f>SUM(BedPlan[[#This Row],[Revenue January 2025]:[Revenue December 2026]])=BedPlan[[#This Row],[Revenue]]</f>
        <v>1</v>
      </c>
      <c r="EH125" s="30" cm="1">
        <f t="array" ref="EH125">INDEX(Crops[],BedPlan[[#This Row],[Chart Index]],EH$4,1)*BedPlan[[#This Row],['# Of Beds]]</f>
        <v>266.66666666666663</v>
      </c>
      <c r="EI125" s="30" t="str" cm="1">
        <f t="array" ref="EI125">INDEX(Crops[],BedPlan[[#This Row],[Chart Index]],EI$4,1)</f>
        <v>Lb</v>
      </c>
      <c r="EJ125" s="30" t="str" cm="1">
        <f t="array" ref="EJ125">INDEX(Crops[],BedPlan[[#This Row],[Chart Index]],EJ$4,1)</f>
        <v>Ripe Fruit</v>
      </c>
      <c r="EK125" s="30" t="str">
        <f>BedPlan[[#This Row],[Name]]&amp;" "&amp;BedPlan[[#This Row],[Product]]&amp; " - " &amp;BedPlan[[#This Row],[Unit]]</f>
        <v>Tomatillo Ripe Fruit - Lb</v>
      </c>
      <c r="EL125" s="33" cm="1">
        <f t="array" ref="EL125">BedPlan[[#This Row],[Harvest Days January 2025]]/SUM(BedPlan[[#This Row],[Harvest Days January 2025]:[Harvest Days December 2026]])*BedPlan[[#This Row],[Yield]:[Yield]]</f>
        <v>0</v>
      </c>
      <c r="EM125" s="33" cm="1">
        <f t="array" ref="EM125">BedPlan[[#This Row],[Harvest Days February 2025]]/SUM(BedPlan[[#This Row],[Harvest Days January 2025]:[Harvest Days December 2026]])*BedPlan[[#This Row],[Yield]:[Yield]]</f>
        <v>0</v>
      </c>
      <c r="EN125" s="33" cm="1">
        <f t="array" ref="EN125">BedPlan[[#This Row],[Harvest Days March 2025]]/SUM(BedPlan[[#This Row],[Harvest Days January 2025]:[Harvest Days December 2026]])*BedPlan[[#This Row],[Yield]:[Yield]]</f>
        <v>0</v>
      </c>
      <c r="EO125" s="33" cm="1">
        <f t="array" ref="EO125">BedPlan[[#This Row],[Harvest Days April 2025]]/SUM(BedPlan[[#This Row],[Harvest Days January 2025]:[Harvest Days December 2026]])*BedPlan[[#This Row],[Yield]:[Yield]]</f>
        <v>0</v>
      </c>
      <c r="EP125" s="33" cm="1">
        <f t="array" ref="EP125">BedPlan[[#This Row],[Harvest Days May 2025]]/SUM(BedPlan[[#This Row],[Harvest Days January 2025]:[Harvest Days December 2026]])*BedPlan[[#This Row],[Yield]:[Yield]]</f>
        <v>0</v>
      </c>
      <c r="EQ125" s="33" cm="1">
        <f t="array" ref="EQ125">BedPlan[[#This Row],[Harvest Days June 2025]]/SUM(BedPlan[[#This Row],[Harvest Days January 2025]:[Harvest Days December 2026]])*BedPlan[[#This Row],[Yield]:[Yield]]</f>
        <v>3.7558685446009386</v>
      </c>
      <c r="ER125" s="33" cm="1">
        <f t="array" ref="ER125">BedPlan[[#This Row],[Harvest Days July 2025]]/SUM(BedPlan[[#This Row],[Harvest Days January 2025]:[Harvest Days December 2026]])*BedPlan[[#This Row],[Yield]:[Yield]]</f>
        <v>116.43192488262909</v>
      </c>
      <c r="ES125" s="33" cm="1">
        <f t="array" ref="ES125">BedPlan[[#This Row],[Harvest Days August 2025]]/SUM(BedPlan[[#This Row],[Harvest Days January 2025]:[Harvest Days December 2026]])*BedPlan[[#This Row],[Yield]:[Yield]]</f>
        <v>116.43192488262909</v>
      </c>
      <c r="ET125" s="33" cm="1">
        <f t="array" ref="ET125">BedPlan[[#This Row],[Harvest Days September 2025]]/SUM(BedPlan[[#This Row],[Harvest Days January 2025]:[Harvest Days December 2026]])*BedPlan[[#This Row],[Yield]:[Yield]]</f>
        <v>30.046948356807508</v>
      </c>
      <c r="EU125" s="33" cm="1">
        <f t="array" ref="EU125">BedPlan[[#This Row],[Harvest Days October 2025]]/SUM(BedPlan[[#This Row],[Harvest Days January 2025]:[Harvest Days December 2026]])*BedPlan[[#This Row],[Yield]:[Yield]]</f>
        <v>0</v>
      </c>
      <c r="EV125" s="33" cm="1">
        <f t="array" ref="EV125">BedPlan[[#This Row],[Harvest Days November 2025]]/SUM(BedPlan[[#This Row],[Harvest Days January 2025]:[Harvest Days December 2026]])*BedPlan[[#This Row],[Yield]:[Yield]]</f>
        <v>0</v>
      </c>
      <c r="EW125" s="33" cm="1">
        <f t="array" ref="EW125">BedPlan[[#This Row],[Harvest Days December 2025]]/SUM(BedPlan[[#This Row],[Harvest Days January 2025]:[Harvest Days December 2026]])*BedPlan[[#This Row],[Yield]:[Yield]]</f>
        <v>0</v>
      </c>
    </row>
    <row r="126" spans="1:153" ht="15" customHeight="1">
      <c r="A126" s="190" t="s">
        <v>3048</v>
      </c>
      <c r="B126" s="240" t="s">
        <v>3006</v>
      </c>
      <c r="C126" t="s">
        <v>3256</v>
      </c>
      <c r="D126" s="226" cm="1">
        <f t="array" ref="D126">INDEX(Crops[],BedPlan[[#This Row],[Chart Index]],D$4,1)*BedPlan[[#This Row],[Full Bed Equivalent]]</f>
        <v>250</v>
      </c>
      <c r="E126" s="226" cm="1">
        <f t="array" ref="E126">INDEX(Crops[],BedPlan[[#This Row],[Chart Index]],E$4,1)*BedPlan[[#This Row],[Full Bed Equivalent]]</f>
        <v>2250</v>
      </c>
      <c r="F126" t="str">
        <f>UPPER(LEFT(BedPlan[[#This Row],[Crop]],3))</f>
        <v>TOM</v>
      </c>
      <c r="H126" s="143" t="str" cm="1">
        <f t="array" ref="H126">INDEX(Crops[],BedPlan[[#This Row],[Chart Index]],H$4,1)</f>
        <v>Tomato</v>
      </c>
      <c r="I126" t="s">
        <v>3043</v>
      </c>
      <c r="K126" s="34" t="str" cm="1">
        <f t="array" ref="K126">IF(ISNUMBER(MATCH(BedPlan[[#This Row],[Variety]],SeedMixes[Name],)),_xlfn.TEXTJOIN(", ",TRUE,_xlfn._xlws.FILTER(SeedMixes[Variety &amp; Company],SeedMixes[Name]=BedPlan[[#This Row],[Variety]])),"")</f>
        <v>Spring King Adaptive, Red Deuce Seedway, Beefy Purple A P Whaley, Black Sea Man Tomato Fest, Dwarf Purple Heart Tomato Fest</v>
      </c>
      <c r="L126" s="33" cm="1">
        <f t="array" ref="L126">INDEX(Crops[],BedPlan[[#This Row],[Chart Index]],L$4,1)*BedPlan[[#This Row],[Full Bed Equivalent]]</f>
        <v>195</v>
      </c>
      <c r="N126">
        <v>6</v>
      </c>
      <c r="O126">
        <v>1</v>
      </c>
      <c r="P126" s="31">
        <f>IF(ISNUMBER(BedPlan[[#This Row],[Planned Greenhouse Start Date]]),BedPlan[[#This Row],[Planned Greenhouse Start Date]],BedPlan[[#This Row],[Planned TP or DS Date]])</f>
        <v>45736</v>
      </c>
      <c r="Q126" s="259">
        <f>IF(BedPlan[[#This Row],[Days in Cells]]=0,"",IFERROR(_xlfn.XLOOKUP(BedPlan[[#This Row],[Follows Crop]],BedPlan[Identifier],BedPlan[Expected End of Harvest]) + 1+BedPlan[[#This Row],[Follow Offset]],BedPlan[[#This Row],[Fixed Field Start Date]])-BedPlan[[#This Row],[Days in Cells]])</f>
        <v>45736</v>
      </c>
      <c r="R126" s="259">
        <v>45763</v>
      </c>
      <c r="S126" s="259">
        <f>IF(ISNUMBER(BedPlan[[#This Row],[Actual Greenhouse Date]]),BedPlan[[#This Row],[Actual Greenhouse Date]],BedPlan[[#This Row],[Planned Greenhouse Start Date]])</f>
        <v>45763</v>
      </c>
      <c r="T126" s="259">
        <v>45792</v>
      </c>
      <c r="U126" s="260"/>
      <c r="V126" s="260"/>
      <c r="W12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26" s="259">
        <v>45821</v>
      </c>
      <c r="Y126" s="271">
        <f>BedPlan[[#This Row],[Actual TP or DS Date]]-BedPlan[[#This Row],[Planned TP or DS Date]]</f>
        <v>2</v>
      </c>
      <c r="Z126" s="259">
        <f>IF(ISNUMBER(BedPlan[[#This Row],[Actual TP or DS Date]]),BedPlan[[#This Row],[Actual TP or DS Date]],BedPlan[[#This Row],[Planned TP or DS Date]])</f>
        <v>45821</v>
      </c>
      <c r="AA126" s="259"/>
      <c r="AB126" s="259">
        <f>IF(ISNUMBER(BedPlan[[#This Row],[Greenhouse Start Date]]),BedPlan[[#This Row],[Greenhouse Start Date]]+BedPlan[[#This Row],[DTM]],BedPlan[[#This Row],[TP or DS Date]]+BedPlan[[#This Row],[DTM]])</f>
        <v>45874</v>
      </c>
      <c r="AC126" s="259"/>
      <c r="AD126" s="259">
        <f>IF(ISNUMBER(BedPlan[[#This Row],[Actual Beginning of Harvest]]),BedPlan[[#This Row],[Actual Beginning of Harvest]],BedPlan[[#This Row],[Expected Beginning of Harvest]])</f>
        <v>45874</v>
      </c>
      <c r="AE126" s="259">
        <f>BedPlan[[#This Row],[Expected Beginning of Harvest]]+BedPlan[[#This Row],[Harvest Window]]+BedPlan[[#This Row],[Additional Days of Harvest]]</f>
        <v>45937</v>
      </c>
      <c r="AF126" s="259"/>
      <c r="AG126" s="259"/>
      <c r="AH126" s="34" t="b">
        <f>IF(AND( BedPlan[[#This Row],[Expected End of Harvest]] &gt;= DATE(2025, 8, 1), BedPlan[[#This Row],[Beginning of Harvest]] &lt;= DATE(2025, 8, 31) ), TRUE, FALSE)</f>
        <v>1</v>
      </c>
      <c r="AI126" s="31"/>
      <c r="AJ126" s="31">
        <f>IF(ISNUMBER(BedPlan[[#This Row],[Actual End of Harvest]]),BedPlan[[#This Row],[Actual End of Harvest]],BedPlan[[#This Row],[Expected End of Harvest]])</f>
        <v>45937</v>
      </c>
      <c r="AK126" t="b">
        <f>OR(ISNUMBER(BedPlan[[#This Row],[Actual Greenhouse Date]]),ISNUMBER(BedPlan[[#This Row],[Actual TP or DS Date]]))</f>
        <v>1</v>
      </c>
      <c r="AL126" t="b">
        <f>IF(ISNUMBER(BedPlan[[#This Row],[Planned Greenhouse Start Date]]),OR(ISNUMBER(BedPlan[[#This Row],[Actual TP or DS Date]]),BedPlan[[#This Row],[Failed]]),"-")</f>
        <v>1</v>
      </c>
      <c r="AM126" t="b">
        <f>OR(ISNUMBER(BedPlan[[#This Row],[Actual End of Harvest]]),BedPlan[[#This Row],[Failed]])</f>
        <v>0</v>
      </c>
      <c r="AN126" t="b">
        <f>OR(BedPlan[[#This Row],[Harvest Done]],BedPlan[[#This Row],[Failed]],BedPlan[[#This Row],[Name]]="Tarp")</f>
        <v>0</v>
      </c>
      <c r="AQ126" t="s">
        <v>3237</v>
      </c>
      <c r="AS126" s="26" t="str">
        <f>IF(BedPlan[[#This Row],[Broadfork]],BedPlan[[#This Row],[Actual TP or DS Date]],"")</f>
        <v/>
      </c>
      <c r="AT126" s="26" t="str">
        <f>IF(BedPlan[[#This Row],[Tilther]],BedPlan[[#This Row],[Actual TP or DS Date]],"")</f>
        <v/>
      </c>
      <c r="AU126" s="26">
        <f>IF(NOT(ISBLANK(BedPlan[[#This Row],[Amend]])),BedPlan[[#This Row],[Actual TP or DS Date]],"")</f>
        <v>45821</v>
      </c>
      <c r="AV126" s="26" t="str">
        <f>IF(BedPlan[[#This Row],[Row Cover]],BedPlan[[#This Row],[Actual TP or DS Date]],"")</f>
        <v/>
      </c>
      <c r="AX126" s="26"/>
      <c r="AZ126" s="26"/>
      <c r="BB126" s="26"/>
      <c r="BC126" s="36" cm="1">
        <f t="array" ref="BC126">INDEX(Crops[],BedPlan[[#This Row],[Chart Index]],BC$4,1)*BedPlan[[#This Row],[Full Bed Equivalent]]</f>
        <v>11250</v>
      </c>
      <c r="BD126" s="36" cm="1">
        <f t="array" ref="BD126">INDEX(Crops[],BedPlan[[#This Row],[Chart Index]],BD$4,1)*BedPlan[[#This Row],[Full Bed Equivalent]]</f>
        <v>95.33898305084746</v>
      </c>
      <c r="BE126" cm="1">
        <f t="array" ref="BE126">INDEX(Crops[],BedPlan[[#This Row],[Chart Index]],BE$4,1)+BedPlan[[#This Row],[Additional Days in Cells]]+BedPlan[[#This Row],[Additional Days In Field]]</f>
        <v>111</v>
      </c>
      <c r="BG126" cm="1">
        <f t="array" ref="BG126">INDEX(Crops[],BedPlan[[#This Row],[Chart Index]],BG$4,1)</f>
        <v>63</v>
      </c>
      <c r="BH126" t="str">
        <f>IF(ISNUMBER(BedPlan[[#This Row],[Planned Greenhouse Start Date]]),"TP","DS")</f>
        <v>TP</v>
      </c>
      <c r="BI126">
        <f>BedPlan[[#This Row],['# Of Beds]]</f>
        <v>6</v>
      </c>
      <c r="BJ126" cm="1">
        <f t="array" ref="BJ126">INDEX(Crops[],BedPlan[[#This Row],[Chart Index]],BJ$4,1)</f>
        <v>56</v>
      </c>
      <c r="BK126" cm="1">
        <f t="array" ref="BK126">INDEX(Crops[],BedPlan[[#This Row],[Chart Index]],BK$4,1)</f>
        <v>1</v>
      </c>
      <c r="BL126" cm="1">
        <f t="array" ref="BL126">INDEX(Crops[],BedPlan[[#This Row],[Chart Index]],BL$4,1)</f>
        <v>24</v>
      </c>
      <c r="BM126" cm="1">
        <f t="array" ref="BM126">INDEX(Crops[],BedPlan[[#This Row],[Chart Index]],BM$4,1)</f>
        <v>1</v>
      </c>
      <c r="BN126" s="32" cm="1">
        <f t="array" ref="BN126">INDEX(Crops[],BedPlan[[#This Row],[Chart Index]],BN$4,1)*BedPlan[[#This Row],[Full Bed Equivalent]]</f>
        <v>150</v>
      </c>
      <c r="BO126" t="str" cm="1">
        <f t="array" ref="BO126">IF(INDEX(Crops[],BedPlan[[#This Row],[Chart Index]],BO$4,1)=0,"",INDEX(Crops[],BedPlan[[#This Row],[Chart Index]],BO$4,1))</f>
        <v>DR</v>
      </c>
      <c r="BP126">
        <f>MATCH(BedPlan[[#This Row],[Crop]],Crops[Identifier],FALSE)</f>
        <v>323</v>
      </c>
      <c r="BQ126" t="str" cm="1">
        <f t="array" ref="BQ126">INDEX(Crops[],BedPlan[[#This Row],[Chart Index]],BQ$4,1)</f>
        <v>Beefsteak Det</v>
      </c>
      <c r="BR126" t="str" cm="1">
        <f t="array" ref="BR126">INDEX(Crops[],BedPlan[[#This Row],[Chart Index]],BR$4,1)</f>
        <v>Su</v>
      </c>
      <c r="BS126" s="32">
        <f>BedPlan[[#This Row],[Expected Beginning of Harvest]]-DATE(2023,1,1)</f>
        <v>947</v>
      </c>
      <c r="BT126">
        <f>BedPlan[[#This Row],[Expected End of Harvest]]-BedPlan[[#This Row],[Expected Beginning of Harvest]]</f>
        <v>63</v>
      </c>
      <c r="BU126" t="str" cm="1">
        <f t="array" ref="BU126">INDEX(Crops[],BedPlan[[#This Row],[Chart Index]],BU$4,1)</f>
        <v>Tomato</v>
      </c>
      <c r="BV126" cm="1">
        <f t="array" ref="BV126">INDEX(Crops[],BedPlan[[#This Row],[Chart Index]],BV$4,1)</f>
        <v>7</v>
      </c>
      <c r="BW126" t="str" cm="1">
        <f t="array" ref="BW126">INDEX(Crops[],BedPlan[[#This Row],[Chart Index]],BW$4,1)</f>
        <v>Young</v>
      </c>
      <c r="BX126" cm="1">
        <f t="array" ref="BX126">INDEX(Crops[],BedPlan[[#This Row],[Chart Index]],BX$4,1)</f>
        <v>72</v>
      </c>
      <c r="BY126" cm="1">
        <f t="array" ref="BY126">INDEX(Crops[],BedPlan[[#This Row],[Chart Index]],BY$4,1)</f>
        <v>21</v>
      </c>
      <c r="BZ126" s="49" cm="1">
        <f t="array" ref="BZ126">IFERROR(INDEX(Crops[],BedPlan[[#This Row],[Chart Index]],BZ$4,1)*BedPlan[[#This Row],[Full Bed Equivalent]],"")</f>
        <v>2.7083333333333335</v>
      </c>
      <c r="CA126" cm="1">
        <f t="array" ref="CA126">INDEX(Crops[],BedPlan[[#This Row],[Chart Index]],CA$4,1)</f>
        <v>18</v>
      </c>
      <c r="CB126" cm="1">
        <f t="array" ref="CB126">INDEX(Crops[],BedPlan[[#This Row],[Chart Index]],CB$4,1)</f>
        <v>21</v>
      </c>
      <c r="CC126" s="49" cm="1">
        <f t="array" ref="CC126">IFERROR(INDEX(Crops[],BedPlan[[#This Row],[Chart Index]],CC$4,1)*BedPlan[[#This Row],[Full Bed Equivalent]],"")</f>
        <v>10.833333333333334</v>
      </c>
      <c r="CD126" cm="1">
        <f t="array" ref="CD126">INDEX(Crops[],BedPlan[[#This Row],[Chart Index]],CD$4,1)</f>
        <v>9</v>
      </c>
      <c r="CE126" cm="1">
        <f t="array" ref="CE126">IF(INDEX(Crops[],BedPlan[[#This Row],[Chart Index]],CE$4,1)="",0,INDEX(Crops[],BedPlan[[#This Row],[Chart Index]],CE$4,1))</f>
        <v>14</v>
      </c>
      <c r="CF126" s="49" cm="1">
        <f t="array" ref="CF126">IFERROR(INDEX(Crops[],BedPlan[[#This Row],[Chart Index]],CF$4,1)*BedPlan[[#This Row],[Full Bed Equivalent]],"")</f>
        <v>21.666666666666668</v>
      </c>
      <c r="CG126" cm="1">
        <f t="array" ref="CG126">IF(INDEX(Crops[],BedPlan[[#This Row],[Chart Index]],CG$4,1)="",0,INDEX(Crops[],BedPlan[[#This Row],[Chart Index]],CG$4,1))</f>
        <v>1.3</v>
      </c>
      <c r="CH126" cm="1">
        <f t="array" ref="CH126">IF(INDEX(Crops[],BedPlan[[#This Row],[Chart Index]],CH$4,1)="",0,INDEX(Crops[],BedPlan[[#This Row],[Chart Index]],CH$4,1))</f>
        <v>0</v>
      </c>
      <c r="CI126" t="str" cm="1">
        <f t="array" ref="CI126">INDEX(Crops[],BedPlan[[#This Row],[Chart Index]],CI$4,1)</f>
        <v>Field</v>
      </c>
      <c r="CJ126" t="str">
        <f>_xlfn.TEXTJOIN(CHAR(10),FALSE,BedPlan[[#This Row],[Name]],BedPlan[[#This Row],[Variety]],BedPlan[[#This Row],[Company]])</f>
        <v xml:space="preserve">Tomato
Determinate Beefsteak Mix
</v>
      </c>
      <c r="CK126" s="32">
        <f>MAX( 0, MIN(BedPlan[[#This Row],[Expected End of Harvest]], EOMONTH(CK$4, 0)) - MAX(BedPlan[[#This Row],[Beginning of Harvest]], CK$4) + 1 )</f>
        <v>0</v>
      </c>
      <c r="CL126">
        <f>MAX( 0, MIN(BedPlan[[#This Row],[Expected End of Harvest]], EOMONTH(CL$4, 0)) - MAX(BedPlan[[#This Row],[Beginning of Harvest]], CL$4) + 1 )</f>
        <v>0</v>
      </c>
      <c r="CM126">
        <f>MAX( 0, MIN(BedPlan[[#This Row],[Expected End of Harvest]], EOMONTH(CM$4, 0)) - MAX(BedPlan[[#This Row],[Beginning of Harvest]], CM$4) + 1 )</f>
        <v>0</v>
      </c>
      <c r="CN126">
        <f>MAX( 0, MIN(BedPlan[[#This Row],[Expected End of Harvest]], EOMONTH(CN$4, 0)) - MAX(BedPlan[[#This Row],[Beginning of Harvest]], CN$4) + 1 )</f>
        <v>0</v>
      </c>
      <c r="CO126">
        <f>MAX( 0, MIN(BedPlan[[#This Row],[Expected End of Harvest]], EOMONTH(CO$4, 0)) - MAX(BedPlan[[#This Row],[Beginning of Harvest]], CO$4) + 1 )</f>
        <v>0</v>
      </c>
      <c r="CP126">
        <f>MAX( 0, MIN(BedPlan[[#This Row],[Expected End of Harvest]], EOMONTH(CP$4, 0)) - MAX(BedPlan[[#This Row],[Beginning of Harvest]], CP$4) + 1 )</f>
        <v>0</v>
      </c>
      <c r="CQ126">
        <f>MAX( 0, MIN(BedPlan[[#This Row],[Expected End of Harvest]], EOMONTH(CQ$4, 0)) - MAX(BedPlan[[#This Row],[Beginning of Harvest]], CQ$4) + 1 )</f>
        <v>0</v>
      </c>
      <c r="CR126">
        <f>MAX( 0, MIN(BedPlan[[#This Row],[Expected End of Harvest]], EOMONTH(CR$4, 0)) - MAX(BedPlan[[#This Row],[Beginning of Harvest]], CR$4) + 1 )</f>
        <v>27</v>
      </c>
      <c r="CS126">
        <f>MAX( 0, MIN(BedPlan[[#This Row],[Expected End of Harvest]], EOMONTH(CS$4, 0)) - MAX(BedPlan[[#This Row],[Beginning of Harvest]], CS$4) + 1 )</f>
        <v>30</v>
      </c>
      <c r="CT126">
        <f>MAX( 0, MIN(BedPlan[[#This Row],[Expected End of Harvest]], EOMONTH(CT$4, 0)) - MAX(BedPlan[[#This Row],[Beginning of Harvest]], CT$4) + 1 )</f>
        <v>7</v>
      </c>
      <c r="CU126">
        <f>MAX( 0, MIN(BedPlan[[#This Row],[Expected End of Harvest]], EOMONTH(CU$4, 0)) - MAX(BedPlan[[#This Row],[Beginning of Harvest]], CU$4) + 1 )</f>
        <v>0</v>
      </c>
      <c r="CV126">
        <f>MAX( 0, MIN(BedPlan[[#This Row],[Expected End of Harvest]], EOMONTH(CV$4, 0)) - MAX(BedPlan[[#This Row],[Beginning of Harvest]], CV$4) + 1 )</f>
        <v>0</v>
      </c>
      <c r="CW126">
        <f>MAX( 0, MIN(BedPlan[[#This Row],[Expected End of Harvest]], EOMONTH(CW$4, 0)) - MAX(BedPlan[[#This Row],[Beginning of Harvest]], CW$4) + 1 )</f>
        <v>0</v>
      </c>
      <c r="CX126">
        <f>MAX( 0, MIN(BedPlan[[#This Row],[Expected End of Harvest]], EOMONTH(CX$4, 0)) - MAX(BedPlan[[#This Row],[Beginning of Harvest]], CX$4) + 1 )</f>
        <v>0</v>
      </c>
      <c r="CY126">
        <f>MAX( 0, MIN(BedPlan[[#This Row],[Expected End of Harvest]], EOMONTH(CY$4, 0)) - MAX(BedPlan[[#This Row],[Beginning of Harvest]], CY$4) + 1 )</f>
        <v>0</v>
      </c>
      <c r="CZ126">
        <f>MAX( 0, MIN(BedPlan[[#This Row],[Expected End of Harvest]], EOMONTH(CZ$4, 0)) - MAX(BedPlan[[#This Row],[Beginning of Harvest]], CZ$4) + 1 )</f>
        <v>0</v>
      </c>
      <c r="DA126">
        <f>MAX( 0, MIN(BedPlan[[#This Row],[Expected End of Harvest]], EOMONTH(DA$4, 0)) - MAX(BedPlan[[#This Row],[Beginning of Harvest]], DA$4) + 1 )</f>
        <v>0</v>
      </c>
      <c r="DB126">
        <f>MAX( 0, MIN(BedPlan[[#This Row],[Expected End of Harvest]], EOMONTH(DB$4, 0)) - MAX(BedPlan[[#This Row],[Beginning of Harvest]], DB$4) + 1 )</f>
        <v>0</v>
      </c>
      <c r="DC126">
        <f>MAX( 0, MIN(BedPlan[[#This Row],[Expected End of Harvest]], EOMONTH(DC$4, 0)) - MAX(BedPlan[[#This Row],[Beginning of Harvest]], DC$4) + 1 )</f>
        <v>0</v>
      </c>
      <c r="DD126">
        <f>MAX( 0, MIN(BedPlan[[#This Row],[Expected End of Harvest]], EOMONTH(DD$4, 0)) - MAX(BedPlan[[#This Row],[Beginning of Harvest]], DD$4) + 1 )</f>
        <v>0</v>
      </c>
      <c r="DE126">
        <f>MAX( 0, MIN(BedPlan[[#This Row],[Expected End of Harvest]], EOMONTH(DE$4, 0)) - MAX(BedPlan[[#This Row],[Beginning of Harvest]], DE$4) + 1 )</f>
        <v>0</v>
      </c>
      <c r="DF126">
        <f>MAX( 0, MIN(BedPlan[[#This Row],[Expected End of Harvest]], EOMONTH(DF$4, 0)) - MAX(BedPlan[[#This Row],[Beginning of Harvest]], DF$4) + 1 )</f>
        <v>0</v>
      </c>
      <c r="DG126">
        <f>MAX( 0, MIN(BedPlan[[#This Row],[Expected End of Harvest]], EOMONTH(DG$4, 0)) - MAX(BedPlan[[#This Row],[Beginning of Harvest]], DG$4) + 1 )</f>
        <v>0</v>
      </c>
      <c r="DH126">
        <f>MAX( 0, MIN(BedPlan[[#This Row],[Expected End of Harvest]], EOMONTH(DH$4, 0)) - MAX(BedPlan[[#This Row],[Beginning of Harvest]], DH$4) + 1 )</f>
        <v>0</v>
      </c>
      <c r="DI126" s="257" cm="1">
        <f t="array" ref="DI126">BedPlan[[#This Row],[Harvest Days January 2025]]/SUM(BedPlan[[#This Row],[Harvest Days January 2025]:[Harvest Days December 2026]])*BedPlan[[#This Row],[Revenue]:[Revenue]]</f>
        <v>0</v>
      </c>
      <c r="DJ126" s="257" cm="1">
        <f t="array" ref="DJ126">BedPlan[[#This Row],[Harvest Days February 2025]]/SUM(BedPlan[[#This Row],[Harvest Days January 2025]:[Harvest Days December 2026]])*BedPlan[[#This Row],[Revenue]:[Revenue]]</f>
        <v>0</v>
      </c>
      <c r="DK126" s="257" cm="1">
        <f t="array" ref="DK126">BedPlan[[#This Row],[Harvest Days March 2025]]/SUM(BedPlan[[#This Row],[Harvest Days January 2025]:[Harvest Days December 2026]])*BedPlan[[#This Row],[Revenue]:[Revenue]]</f>
        <v>0</v>
      </c>
      <c r="DL126" s="257" cm="1">
        <f t="array" ref="DL126">BedPlan[[#This Row],[Harvest Days April 2025]]/SUM(BedPlan[[#This Row],[Harvest Days January 2025]:[Harvest Days December 2026]])*BedPlan[[#This Row],[Revenue]:[Revenue]]</f>
        <v>0</v>
      </c>
      <c r="DM126" s="257" cm="1">
        <f t="array" ref="DM126">BedPlan[[#This Row],[Harvest Days May 2025]]/SUM(BedPlan[[#This Row],[Harvest Days January 2025]:[Harvest Days December 2026]])*BedPlan[[#This Row],[Revenue]:[Revenue]]</f>
        <v>0</v>
      </c>
      <c r="DN126" s="257" cm="1">
        <f t="array" ref="DN126">BedPlan[[#This Row],[Harvest Days June 2025]]/SUM(BedPlan[[#This Row],[Harvest Days January 2025]:[Harvest Days December 2026]])*BedPlan[[#This Row],[Revenue]:[Revenue]]</f>
        <v>0</v>
      </c>
      <c r="DO126" s="257" cm="1">
        <f t="array" ref="DO126">BedPlan[[#This Row],[Harvest Days July 2025]]/SUM(BedPlan[[#This Row],[Harvest Days January 2025]:[Harvest Days December 2026]])*BedPlan[[#This Row],[Revenue]:[Revenue]]</f>
        <v>0</v>
      </c>
      <c r="DP126" s="257" cm="1">
        <f t="array" ref="DP126">BedPlan[[#This Row],[Harvest Days August 2025]]/SUM(BedPlan[[#This Row],[Harvest Days January 2025]:[Harvest Days December 2026]])*BedPlan[[#This Row],[Revenue]:[Revenue]]</f>
        <v>4746.09375</v>
      </c>
      <c r="DQ126" s="257" cm="1">
        <f t="array" ref="DQ126">BedPlan[[#This Row],[Harvest Days September 2025]]/SUM(BedPlan[[#This Row],[Harvest Days January 2025]:[Harvest Days December 2026]])*BedPlan[[#This Row],[Revenue]:[Revenue]]</f>
        <v>5273.4375</v>
      </c>
      <c r="DR126" s="257" cm="1">
        <f t="array" ref="DR126">BedPlan[[#This Row],[Harvest Days October 2025]]/SUM(BedPlan[[#This Row],[Harvest Days January 2025]:[Harvest Days December 2026]])*BedPlan[[#This Row],[Revenue]:[Revenue]]</f>
        <v>1230.46875</v>
      </c>
      <c r="DS126" s="257" cm="1">
        <f t="array" ref="DS126">BedPlan[[#This Row],[Harvest Days November 2025]]/SUM(BedPlan[[#This Row],[Harvest Days January 2025]:[Harvest Days December 2026]])*BedPlan[[#This Row],[Revenue]:[Revenue]]</f>
        <v>0</v>
      </c>
      <c r="DT126" s="257" cm="1">
        <f t="array" ref="DT126">BedPlan[[#This Row],[Harvest Days December 2025]]/SUM(BedPlan[[#This Row],[Harvest Days January 2025]:[Harvest Days December 2026]])*BedPlan[[#This Row],[Revenue]:[Revenue]]</f>
        <v>0</v>
      </c>
      <c r="DU126" s="257" cm="1">
        <f t="array" ref="DU126">BedPlan[[#This Row],[Harvest Days January 2026]]/SUM(BedPlan[[#This Row],[Harvest Days January 2025]:[Harvest Days December 2026]])*BedPlan[[#This Row],[Revenue]:[Revenue]]</f>
        <v>0</v>
      </c>
      <c r="DV126" s="257" cm="1">
        <f t="array" ref="DV126">BedPlan[[#This Row],[Harvest Days February 2026]]/SUM(BedPlan[[#This Row],[Harvest Days January 2025]:[Harvest Days December 2026]])*BedPlan[[#This Row],[Revenue]:[Revenue]]</f>
        <v>0</v>
      </c>
      <c r="DW126" s="257" cm="1">
        <f t="array" ref="DW126">BedPlan[[#This Row],[Harvest Days March 2026]]/SUM(BedPlan[[#This Row],[Harvest Days January 2025]:[Harvest Days December 2026]])*BedPlan[[#This Row],[Revenue]:[Revenue]]</f>
        <v>0</v>
      </c>
      <c r="DX126" s="257" cm="1">
        <f t="array" ref="DX126">BedPlan[[#This Row],[Harvest Days April 2026]]/SUM(BedPlan[[#This Row],[Harvest Days January 2025]:[Harvest Days December 2026]])*BedPlan[[#This Row],[Revenue]:[Revenue]]</f>
        <v>0</v>
      </c>
      <c r="DY126" cm="1">
        <f t="array" ref="DY126">BedPlan[[#This Row],[Harvest Days May 2026]]/SUM(BedPlan[[#This Row],[Harvest Days January 2025]:[Harvest Days December 2026]])*BedPlan[[#This Row],[Revenue]:[Revenue]]</f>
        <v>0</v>
      </c>
      <c r="DZ126" cm="1">
        <f t="array" ref="DZ126">BedPlan[[#This Row],[Harvest Days June 2026]]/SUM(BedPlan[[#This Row],[Harvest Days January 2025]:[Harvest Days December 2026]])*BedPlan[[#This Row],[Revenue]:[Revenue]]</f>
        <v>0</v>
      </c>
      <c r="EA126" cm="1">
        <f t="array" ref="EA126">BedPlan[[#This Row],[Harvest Days July 2026]]/SUM(BedPlan[[#This Row],[Harvest Days January 2025]:[Harvest Days December 2026]])*BedPlan[[#This Row],[Revenue]:[Revenue]]</f>
        <v>0</v>
      </c>
      <c r="EB126" cm="1">
        <f t="array" ref="EB126">BedPlan[[#This Row],[Harvest Days August 2026]]/SUM(BedPlan[[#This Row],[Harvest Days January 2025]:[Harvest Days December 2026]])*BedPlan[[#This Row],[Revenue]:[Revenue]]</f>
        <v>0</v>
      </c>
      <c r="EC126" cm="1">
        <f t="array" ref="EC126">BedPlan[[#This Row],[Harvest Days September 2026]]/SUM(BedPlan[[#This Row],[Harvest Days January 2025]:[Harvest Days December 2026]])*BedPlan[[#This Row],[Revenue]:[Revenue]]</f>
        <v>0</v>
      </c>
      <c r="ED126" cm="1">
        <f t="array" ref="ED126">BedPlan[[#This Row],[Harvest Days October 2026]]/SUM(BedPlan[[#This Row],[Harvest Days January 2025]:[Harvest Days December 2026]])*BedPlan[[#This Row],[Revenue]:[Revenue]]</f>
        <v>0</v>
      </c>
      <c r="EE126" cm="1">
        <f t="array" ref="EE126">BedPlan[[#This Row],[Harvest Days November 2026]]/SUM(BedPlan[[#This Row],[Harvest Days January 2025]:[Harvest Days December 2026]])*BedPlan[[#This Row],[Revenue]:[Revenue]]</f>
        <v>0</v>
      </c>
      <c r="EF126" cm="1">
        <f t="array" ref="EF126">BedPlan[[#This Row],[Harvest Days December 2026]]/SUM(BedPlan[[#This Row],[Harvest Days January 2025]:[Harvest Days December 2026]])*BedPlan[[#This Row],[Revenue]:[Revenue]]</f>
        <v>0</v>
      </c>
      <c r="EG126" t="b">
        <f>SUM(BedPlan[[#This Row],[Revenue January 2025]:[Revenue December 2026]])=BedPlan[[#This Row],[Revenue]]</f>
        <v>1</v>
      </c>
      <c r="EH126" cm="1">
        <f t="array" ref="EH126">INDEX(Crops[],BedPlan[[#This Row],[Chart Index]],EH$4,1)*BedPlan[[#This Row],['# Of Beds]]</f>
        <v>2250</v>
      </c>
      <c r="EI126" t="str" cm="1">
        <f t="array" ref="EI126">INDEX(Crops[],BedPlan[[#This Row],[Chart Index]],EI$4,1)</f>
        <v>Lb</v>
      </c>
      <c r="EJ126" t="str" cm="1">
        <f t="array" ref="EJ126">INDEX(Crops[],BedPlan[[#This Row],[Chart Index]],EJ$4,1)</f>
        <v>Ripe Fruit Large</v>
      </c>
      <c r="EK126" t="str">
        <f>BedPlan[[#This Row],[Name]]&amp;" "&amp;BedPlan[[#This Row],[Product]]&amp; " - " &amp;BedPlan[[#This Row],[Unit]]</f>
        <v>Tomato Ripe Fruit Large - Lb</v>
      </c>
      <c r="EL126" s="33" cm="1">
        <f t="array" ref="EL126">BedPlan[[#This Row],[Harvest Days January 2025]]/SUM(BedPlan[[#This Row],[Harvest Days January 2025]:[Harvest Days December 2026]])*BedPlan[[#This Row],[Yield]:[Yield]]</f>
        <v>0</v>
      </c>
      <c r="EM126" s="33" cm="1">
        <f t="array" ref="EM126">BedPlan[[#This Row],[Harvest Days February 2025]]/SUM(BedPlan[[#This Row],[Harvest Days January 2025]:[Harvest Days December 2026]])*BedPlan[[#This Row],[Yield]:[Yield]]</f>
        <v>0</v>
      </c>
      <c r="EN126" s="33" cm="1">
        <f t="array" ref="EN126">BedPlan[[#This Row],[Harvest Days March 2025]]/SUM(BedPlan[[#This Row],[Harvest Days January 2025]:[Harvest Days December 2026]])*BedPlan[[#This Row],[Yield]:[Yield]]</f>
        <v>0</v>
      </c>
      <c r="EO126" s="33" cm="1">
        <f t="array" ref="EO126">BedPlan[[#This Row],[Harvest Days April 2025]]/SUM(BedPlan[[#This Row],[Harvest Days January 2025]:[Harvest Days December 2026]])*BedPlan[[#This Row],[Yield]:[Yield]]</f>
        <v>0</v>
      </c>
      <c r="EP126" s="33" cm="1">
        <f t="array" ref="EP126">BedPlan[[#This Row],[Harvest Days May 2025]]/SUM(BedPlan[[#This Row],[Harvest Days January 2025]:[Harvest Days December 2026]])*BedPlan[[#This Row],[Yield]:[Yield]]</f>
        <v>0</v>
      </c>
      <c r="EQ126" s="33" cm="1">
        <f t="array" ref="EQ126">BedPlan[[#This Row],[Harvest Days June 2025]]/SUM(BedPlan[[#This Row],[Harvest Days January 2025]:[Harvest Days December 2026]])*BedPlan[[#This Row],[Yield]:[Yield]]</f>
        <v>0</v>
      </c>
      <c r="ER126" s="33" cm="1">
        <f t="array" ref="ER126">BedPlan[[#This Row],[Harvest Days July 2025]]/SUM(BedPlan[[#This Row],[Harvest Days January 2025]:[Harvest Days December 2026]])*BedPlan[[#This Row],[Yield]:[Yield]]</f>
        <v>0</v>
      </c>
      <c r="ES126" s="33" cm="1">
        <f t="array" ref="ES126">BedPlan[[#This Row],[Harvest Days August 2025]]/SUM(BedPlan[[#This Row],[Harvest Days January 2025]:[Harvest Days December 2026]])*BedPlan[[#This Row],[Yield]:[Yield]]</f>
        <v>949.21875</v>
      </c>
      <c r="ET126" s="33" cm="1">
        <f t="array" ref="ET126">BedPlan[[#This Row],[Harvest Days September 2025]]/SUM(BedPlan[[#This Row],[Harvest Days January 2025]:[Harvest Days December 2026]])*BedPlan[[#This Row],[Yield]:[Yield]]</f>
        <v>1054.6875</v>
      </c>
      <c r="EU126" s="33" cm="1">
        <f t="array" ref="EU126">BedPlan[[#This Row],[Harvest Days October 2025]]/SUM(BedPlan[[#This Row],[Harvest Days January 2025]:[Harvest Days December 2026]])*BedPlan[[#This Row],[Yield]:[Yield]]</f>
        <v>246.09375</v>
      </c>
      <c r="EV126" s="33" cm="1">
        <f t="array" ref="EV126">BedPlan[[#This Row],[Harvest Days November 2025]]/SUM(BedPlan[[#This Row],[Harvest Days January 2025]:[Harvest Days December 2026]])*BedPlan[[#This Row],[Yield]:[Yield]]</f>
        <v>0</v>
      </c>
      <c r="EW126" s="33" cm="1">
        <f t="array" ref="EW126">BedPlan[[#This Row],[Harvest Days December 2025]]/SUM(BedPlan[[#This Row],[Harvest Days January 2025]:[Harvest Days December 2026]])*BedPlan[[#This Row],[Yield]:[Yield]]</f>
        <v>0</v>
      </c>
    </row>
    <row r="127" spans="1:153" ht="15" customHeight="1">
      <c r="A127" s="190" t="s">
        <v>3048</v>
      </c>
      <c r="B127" s="240" t="s">
        <v>3061</v>
      </c>
      <c r="C127" t="s">
        <v>1514</v>
      </c>
      <c r="D127" s="226" cm="1">
        <f t="array" ref="D127">INDEX(Crops[],BedPlan[[#This Row],[Chart Index]],D$4,1)*BedPlan[[#This Row],[Full Bed Equivalent]]</f>
        <v>83.333333333333329</v>
      </c>
      <c r="E127" s="226" cm="1">
        <f t="array" ref="E127">INDEX(Crops[],BedPlan[[#This Row],[Chart Index]],E$4,1)*BedPlan[[#This Row],[Full Bed Equivalent]]</f>
        <v>750</v>
      </c>
      <c r="F127" t="str">
        <f>UPPER(LEFT(BedPlan[[#This Row],[Crop]],3))</f>
        <v>TOM</v>
      </c>
      <c r="H127" s="143" t="str" cm="1">
        <f t="array" ref="H127">INDEX(Crops[],BedPlan[[#This Row],[Chart Index]],H$4,1)</f>
        <v>Tomato</v>
      </c>
      <c r="I127" t="s">
        <v>3043</v>
      </c>
      <c r="K127" s="34" t="str" cm="1">
        <f t="array" ref="K127">IF(ISNUMBER(MATCH(BedPlan[[#This Row],[Variety]],SeedMixes[Name],)),_xlfn.TEXTJOIN(", ",TRUE,_xlfn._xlws.FILTER(SeedMixes[Variety &amp; Company],SeedMixes[Name]=BedPlan[[#This Row],[Variety]])),"")</f>
        <v>Spring King Adaptive, Red Deuce Seedway, Beefy Purple A P Whaley, Black Sea Man Tomato Fest, Dwarf Purple Heart Tomato Fest</v>
      </c>
      <c r="L127" s="33" cm="1">
        <f t="array" ref="L127">INDEX(Crops[],BedPlan[[#This Row],[Chart Index]],L$4,1)*BedPlan[[#This Row],[Full Bed Equivalent]]</f>
        <v>65</v>
      </c>
      <c r="N127">
        <v>2</v>
      </c>
      <c r="O127">
        <v>2</v>
      </c>
      <c r="P127" s="31">
        <f>IF(ISNUMBER(BedPlan[[#This Row],[Planned Greenhouse Start Date]]),BedPlan[[#This Row],[Planned Greenhouse Start Date]],BedPlan[[#This Row],[Planned TP or DS Date]])</f>
        <v>45736</v>
      </c>
      <c r="Q127" s="259">
        <f>IF(BedPlan[[#This Row],[Days in Cells]]=0,"",IFERROR(_xlfn.XLOOKUP(BedPlan[[#This Row],[Follows Crop]],BedPlan[Identifier],BedPlan[Expected End of Harvest]) + 1+BedPlan[[#This Row],[Follow Offset]],BedPlan[[#This Row],[Fixed Field Start Date]])-BedPlan[[#This Row],[Days in Cells]])</f>
        <v>45736</v>
      </c>
      <c r="R127" s="259">
        <v>45763</v>
      </c>
      <c r="S127" s="259">
        <f>IF(ISNUMBER(BedPlan[[#This Row],[Actual Greenhouse Date]]),BedPlan[[#This Row],[Actual Greenhouse Date]],BedPlan[[#This Row],[Planned Greenhouse Start Date]])</f>
        <v>45763</v>
      </c>
      <c r="T127" s="259">
        <v>45792</v>
      </c>
      <c r="U127" s="260"/>
      <c r="V127" s="260"/>
      <c r="W12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27" s="259">
        <v>45815</v>
      </c>
      <c r="Y127" s="271">
        <f>BedPlan[[#This Row],[Actual TP or DS Date]]-BedPlan[[#This Row],[Planned TP or DS Date]]</f>
        <v>-4</v>
      </c>
      <c r="Z127" s="259">
        <f>IF(ISNUMBER(BedPlan[[#This Row],[Actual TP or DS Date]]),BedPlan[[#This Row],[Actual TP or DS Date]],BedPlan[[#This Row],[Planned TP or DS Date]])</f>
        <v>45815</v>
      </c>
      <c r="AA127" s="259"/>
      <c r="AB127" s="259">
        <f>IF(ISNUMBER(BedPlan[[#This Row],[Greenhouse Start Date]]),BedPlan[[#This Row],[Greenhouse Start Date]]+BedPlan[[#This Row],[DTM]],BedPlan[[#This Row],[TP or DS Date]]+BedPlan[[#This Row],[DTM]])</f>
        <v>45874</v>
      </c>
      <c r="AC127" s="259"/>
      <c r="AD127" s="259">
        <f>IF(ISNUMBER(BedPlan[[#This Row],[Actual Beginning of Harvest]]),BedPlan[[#This Row],[Actual Beginning of Harvest]],BedPlan[[#This Row],[Expected Beginning of Harvest]])</f>
        <v>45874</v>
      </c>
      <c r="AE127" s="259">
        <f>BedPlan[[#This Row],[Expected Beginning of Harvest]]+BedPlan[[#This Row],[Harvest Window]]+BedPlan[[#This Row],[Additional Days of Harvest]]</f>
        <v>45937</v>
      </c>
      <c r="AF127" s="259"/>
      <c r="AG127" s="259"/>
      <c r="AH127" s="34" t="b">
        <f>IF(AND( BedPlan[[#This Row],[Expected End of Harvest]] &gt;= DATE(2025, 8, 1), BedPlan[[#This Row],[Beginning of Harvest]] &lt;= DATE(2025, 8, 31) ), TRUE, FALSE)</f>
        <v>1</v>
      </c>
      <c r="AI127" s="31"/>
      <c r="AJ127" s="31">
        <f>IF(ISNUMBER(BedPlan[[#This Row],[Actual End of Harvest]]),BedPlan[[#This Row],[Actual End of Harvest]],BedPlan[[#This Row],[Expected End of Harvest]])</f>
        <v>45937</v>
      </c>
      <c r="AK127" t="b">
        <f>OR(ISNUMBER(BedPlan[[#This Row],[Actual Greenhouse Date]]),ISNUMBER(BedPlan[[#This Row],[Actual TP or DS Date]]))</f>
        <v>1</v>
      </c>
      <c r="AL127" t="b">
        <f>IF(ISNUMBER(BedPlan[[#This Row],[Planned Greenhouse Start Date]]),OR(ISNUMBER(BedPlan[[#This Row],[Actual TP or DS Date]]),BedPlan[[#This Row],[Failed]]),"-")</f>
        <v>1</v>
      </c>
      <c r="AM127" t="b">
        <f>OR(ISNUMBER(BedPlan[[#This Row],[Actual End of Harvest]]),BedPlan[[#This Row],[Failed]])</f>
        <v>0</v>
      </c>
      <c r="AN127" t="b">
        <f>OR(BedPlan[[#This Row],[Harvest Done]],BedPlan[[#This Row],[Failed]],BedPlan[[#This Row],[Name]]="Tarp")</f>
        <v>0</v>
      </c>
      <c r="AQ127" t="s">
        <v>3237</v>
      </c>
      <c r="AS127" s="26" t="str">
        <f>IF(BedPlan[[#This Row],[Broadfork]],BedPlan[[#This Row],[Actual TP or DS Date]],"")</f>
        <v/>
      </c>
      <c r="AT127" s="26" t="str">
        <f>IF(BedPlan[[#This Row],[Tilther]],BedPlan[[#This Row],[Actual TP or DS Date]],"")</f>
        <v/>
      </c>
      <c r="AU127" s="26">
        <f>IF(NOT(ISBLANK(BedPlan[[#This Row],[Amend]])),BedPlan[[#This Row],[Actual TP or DS Date]],"")</f>
        <v>45815</v>
      </c>
      <c r="AV127" s="26" t="str">
        <f>IF(BedPlan[[#This Row],[Row Cover]],BedPlan[[#This Row],[Actual TP or DS Date]],"")</f>
        <v/>
      </c>
      <c r="AX127" s="26"/>
      <c r="AZ127" s="26"/>
      <c r="BB127" s="26"/>
      <c r="BC127" s="36" cm="1">
        <f t="array" ref="BC127">INDEX(Crops[],BedPlan[[#This Row],[Chart Index]],BC$4,1)*BedPlan[[#This Row],[Full Bed Equivalent]]</f>
        <v>3750</v>
      </c>
      <c r="BD127" s="36" cm="1">
        <f t="array" ref="BD127">INDEX(Crops[],BedPlan[[#This Row],[Chart Index]],BD$4,1)*BedPlan[[#This Row],[Full Bed Equivalent]]</f>
        <v>31.779661016949152</v>
      </c>
      <c r="BE127" cm="1">
        <f t="array" ref="BE127">INDEX(Crops[],BedPlan[[#This Row],[Chart Index]],BE$4,1)+BedPlan[[#This Row],[Additional Days in Cells]]+BedPlan[[#This Row],[Additional Days In Field]]</f>
        <v>111</v>
      </c>
      <c r="BG127" cm="1">
        <f t="array" ref="BG127">INDEX(Crops[],BedPlan[[#This Row],[Chart Index]],BG$4,1)</f>
        <v>63</v>
      </c>
      <c r="BH127" t="str">
        <f>IF(ISNUMBER(BedPlan[[#This Row],[Planned Greenhouse Start Date]]),"TP","DS")</f>
        <v>TP</v>
      </c>
      <c r="BI127">
        <f>BedPlan[[#This Row],['# Of Beds]]</f>
        <v>2</v>
      </c>
      <c r="BJ127" cm="1">
        <f t="array" ref="BJ127">INDEX(Crops[],BedPlan[[#This Row],[Chart Index]],BJ$4,1)</f>
        <v>56</v>
      </c>
      <c r="BK127" cm="1">
        <f t="array" ref="BK127">INDEX(Crops[],BedPlan[[#This Row],[Chart Index]],BK$4,1)</f>
        <v>1</v>
      </c>
      <c r="BL127" cm="1">
        <f t="array" ref="BL127">INDEX(Crops[],BedPlan[[#This Row],[Chart Index]],BL$4,1)</f>
        <v>24</v>
      </c>
      <c r="BM127" cm="1">
        <f t="array" ref="BM127">INDEX(Crops[],BedPlan[[#This Row],[Chart Index]],BM$4,1)</f>
        <v>1</v>
      </c>
      <c r="BN127" s="32" cm="1">
        <f t="array" ref="BN127">INDEX(Crops[],BedPlan[[#This Row],[Chart Index]],BN$4,1)*BedPlan[[#This Row],[Full Bed Equivalent]]</f>
        <v>50</v>
      </c>
      <c r="BO127" t="str" cm="1">
        <f t="array" ref="BO127">IF(INDEX(Crops[],BedPlan[[#This Row],[Chart Index]],BO$4,1)=0,"",INDEX(Crops[],BedPlan[[#This Row],[Chart Index]],BO$4,1))</f>
        <v>DR</v>
      </c>
      <c r="BP127">
        <f>MATCH(BedPlan[[#This Row],[Crop]],Crops[Identifier],FALSE)</f>
        <v>323</v>
      </c>
      <c r="BQ127" t="str" cm="1">
        <f t="array" ref="BQ127">INDEX(Crops[],BedPlan[[#This Row],[Chart Index]],BQ$4,1)</f>
        <v>Beefsteak Det</v>
      </c>
      <c r="BR127" t="str" cm="1">
        <f t="array" ref="BR127">INDEX(Crops[],BedPlan[[#This Row],[Chart Index]],BR$4,1)</f>
        <v>Su</v>
      </c>
      <c r="BS127" s="32">
        <f>BedPlan[[#This Row],[Expected Beginning of Harvest]]-DATE(2023,1,1)</f>
        <v>947</v>
      </c>
      <c r="BT127">
        <f>BedPlan[[#This Row],[Expected End of Harvest]]-BedPlan[[#This Row],[Expected Beginning of Harvest]]</f>
        <v>63</v>
      </c>
      <c r="BU127" t="str" cm="1">
        <f t="array" ref="BU127">INDEX(Crops[],BedPlan[[#This Row],[Chart Index]],BU$4,1)</f>
        <v>Tomato</v>
      </c>
      <c r="BV127" cm="1">
        <f t="array" ref="BV127">INDEX(Crops[],BedPlan[[#This Row],[Chart Index]],BV$4,1)</f>
        <v>7</v>
      </c>
      <c r="BW127" t="str" cm="1">
        <f t="array" ref="BW127">INDEX(Crops[],BedPlan[[#This Row],[Chart Index]],BW$4,1)</f>
        <v>Young</v>
      </c>
      <c r="BX127" cm="1">
        <f t="array" ref="BX127">INDEX(Crops[],BedPlan[[#This Row],[Chart Index]],BX$4,1)</f>
        <v>72</v>
      </c>
      <c r="BY127" cm="1">
        <f t="array" ref="BY127">INDEX(Crops[],BedPlan[[#This Row],[Chart Index]],BY$4,1)</f>
        <v>21</v>
      </c>
      <c r="BZ127" s="49" cm="1">
        <f t="array" ref="BZ127">IFERROR(INDEX(Crops[],BedPlan[[#This Row],[Chart Index]],BZ$4,1)*BedPlan[[#This Row],[Full Bed Equivalent]],"")</f>
        <v>0.90277777777777779</v>
      </c>
      <c r="CA127" cm="1">
        <f t="array" ref="CA127">INDEX(Crops[],BedPlan[[#This Row],[Chart Index]],CA$4,1)</f>
        <v>18</v>
      </c>
      <c r="CB127" cm="1">
        <f t="array" ref="CB127">INDEX(Crops[],BedPlan[[#This Row],[Chart Index]],CB$4,1)</f>
        <v>21</v>
      </c>
      <c r="CC127" s="49" cm="1">
        <f t="array" ref="CC127">IFERROR(INDEX(Crops[],BedPlan[[#This Row],[Chart Index]],CC$4,1)*BedPlan[[#This Row],[Full Bed Equivalent]],"")</f>
        <v>3.6111111111111112</v>
      </c>
      <c r="CD127" cm="1">
        <f t="array" ref="CD127">INDEX(Crops[],BedPlan[[#This Row],[Chart Index]],CD$4,1)</f>
        <v>9</v>
      </c>
      <c r="CE127" cm="1">
        <f t="array" ref="CE127">IF(INDEX(Crops[],BedPlan[[#This Row],[Chart Index]],CE$4,1)="",0,INDEX(Crops[],BedPlan[[#This Row],[Chart Index]],CE$4,1))</f>
        <v>14</v>
      </c>
      <c r="CF127" s="49" cm="1">
        <f t="array" ref="CF127">IFERROR(INDEX(Crops[],BedPlan[[#This Row],[Chart Index]],CF$4,1)*BedPlan[[#This Row],[Full Bed Equivalent]],"")</f>
        <v>7.2222222222222223</v>
      </c>
      <c r="CG127" cm="1">
        <f t="array" ref="CG127">IF(INDEX(Crops[],BedPlan[[#This Row],[Chart Index]],CG$4,1)="",0,INDEX(Crops[],BedPlan[[#This Row],[Chart Index]],CG$4,1))</f>
        <v>1.3</v>
      </c>
      <c r="CH127" cm="1">
        <f t="array" ref="CH127">IF(INDEX(Crops[],BedPlan[[#This Row],[Chart Index]],CH$4,1)="",0,INDEX(Crops[],BedPlan[[#This Row],[Chart Index]],CH$4,1))</f>
        <v>0</v>
      </c>
      <c r="CI127" t="str" cm="1">
        <f t="array" ref="CI127">INDEX(Crops[],BedPlan[[#This Row],[Chart Index]],CI$4,1)</f>
        <v>Field</v>
      </c>
      <c r="CJ127" t="str">
        <f>_xlfn.TEXTJOIN(CHAR(10),FALSE,BedPlan[[#This Row],[Name]],BedPlan[[#This Row],[Variety]],BedPlan[[#This Row],[Company]])</f>
        <v xml:space="preserve">Tomato
Determinate Beefsteak Mix
</v>
      </c>
      <c r="CK127" s="32">
        <f>MAX( 0, MIN(BedPlan[[#This Row],[Expected End of Harvest]], EOMONTH(CK$4, 0)) - MAX(BedPlan[[#This Row],[Beginning of Harvest]], CK$4) + 1 )</f>
        <v>0</v>
      </c>
      <c r="CL127">
        <f>MAX( 0, MIN(BedPlan[[#This Row],[Expected End of Harvest]], EOMONTH(CL$4, 0)) - MAX(BedPlan[[#This Row],[Beginning of Harvest]], CL$4) + 1 )</f>
        <v>0</v>
      </c>
      <c r="CM127">
        <f>MAX( 0, MIN(BedPlan[[#This Row],[Expected End of Harvest]], EOMONTH(CM$4, 0)) - MAX(BedPlan[[#This Row],[Beginning of Harvest]], CM$4) + 1 )</f>
        <v>0</v>
      </c>
      <c r="CN127">
        <f>MAX( 0, MIN(BedPlan[[#This Row],[Expected End of Harvest]], EOMONTH(CN$4, 0)) - MAX(BedPlan[[#This Row],[Beginning of Harvest]], CN$4) + 1 )</f>
        <v>0</v>
      </c>
      <c r="CO127">
        <f>MAX( 0, MIN(BedPlan[[#This Row],[Expected End of Harvest]], EOMONTH(CO$4, 0)) - MAX(BedPlan[[#This Row],[Beginning of Harvest]], CO$4) + 1 )</f>
        <v>0</v>
      </c>
      <c r="CP127">
        <f>MAX( 0, MIN(BedPlan[[#This Row],[Expected End of Harvest]], EOMONTH(CP$4, 0)) - MAX(BedPlan[[#This Row],[Beginning of Harvest]], CP$4) + 1 )</f>
        <v>0</v>
      </c>
      <c r="CQ127">
        <f>MAX( 0, MIN(BedPlan[[#This Row],[Expected End of Harvest]], EOMONTH(CQ$4, 0)) - MAX(BedPlan[[#This Row],[Beginning of Harvest]], CQ$4) + 1 )</f>
        <v>0</v>
      </c>
      <c r="CR127">
        <f>MAX( 0, MIN(BedPlan[[#This Row],[Expected End of Harvest]], EOMONTH(CR$4, 0)) - MAX(BedPlan[[#This Row],[Beginning of Harvest]], CR$4) + 1 )</f>
        <v>27</v>
      </c>
      <c r="CS127">
        <f>MAX( 0, MIN(BedPlan[[#This Row],[Expected End of Harvest]], EOMONTH(CS$4, 0)) - MAX(BedPlan[[#This Row],[Beginning of Harvest]], CS$4) + 1 )</f>
        <v>30</v>
      </c>
      <c r="CT127">
        <f>MAX( 0, MIN(BedPlan[[#This Row],[Expected End of Harvest]], EOMONTH(CT$4, 0)) - MAX(BedPlan[[#This Row],[Beginning of Harvest]], CT$4) + 1 )</f>
        <v>7</v>
      </c>
      <c r="CU127">
        <f>MAX( 0, MIN(BedPlan[[#This Row],[Expected End of Harvest]], EOMONTH(CU$4, 0)) - MAX(BedPlan[[#This Row],[Beginning of Harvest]], CU$4) + 1 )</f>
        <v>0</v>
      </c>
      <c r="CV127">
        <f>MAX( 0, MIN(BedPlan[[#This Row],[Expected End of Harvest]], EOMONTH(CV$4, 0)) - MAX(BedPlan[[#This Row],[Beginning of Harvest]], CV$4) + 1 )</f>
        <v>0</v>
      </c>
      <c r="CW127">
        <f>MAX( 0, MIN(BedPlan[[#This Row],[Expected End of Harvest]], EOMONTH(CW$4, 0)) - MAX(BedPlan[[#This Row],[Beginning of Harvest]], CW$4) + 1 )</f>
        <v>0</v>
      </c>
      <c r="CX127">
        <f>MAX( 0, MIN(BedPlan[[#This Row],[Expected End of Harvest]], EOMONTH(CX$4, 0)) - MAX(BedPlan[[#This Row],[Beginning of Harvest]], CX$4) + 1 )</f>
        <v>0</v>
      </c>
      <c r="CY127">
        <f>MAX( 0, MIN(BedPlan[[#This Row],[Expected End of Harvest]], EOMONTH(CY$4, 0)) - MAX(BedPlan[[#This Row],[Beginning of Harvest]], CY$4) + 1 )</f>
        <v>0</v>
      </c>
      <c r="CZ127">
        <f>MAX( 0, MIN(BedPlan[[#This Row],[Expected End of Harvest]], EOMONTH(CZ$4, 0)) - MAX(BedPlan[[#This Row],[Beginning of Harvest]], CZ$4) + 1 )</f>
        <v>0</v>
      </c>
      <c r="DA127">
        <f>MAX( 0, MIN(BedPlan[[#This Row],[Expected End of Harvest]], EOMONTH(DA$4, 0)) - MAX(BedPlan[[#This Row],[Beginning of Harvest]], DA$4) + 1 )</f>
        <v>0</v>
      </c>
      <c r="DB127">
        <f>MAX( 0, MIN(BedPlan[[#This Row],[Expected End of Harvest]], EOMONTH(DB$4, 0)) - MAX(BedPlan[[#This Row],[Beginning of Harvest]], DB$4) + 1 )</f>
        <v>0</v>
      </c>
      <c r="DC127">
        <f>MAX( 0, MIN(BedPlan[[#This Row],[Expected End of Harvest]], EOMONTH(DC$4, 0)) - MAX(BedPlan[[#This Row],[Beginning of Harvest]], DC$4) + 1 )</f>
        <v>0</v>
      </c>
      <c r="DD127">
        <f>MAX( 0, MIN(BedPlan[[#This Row],[Expected End of Harvest]], EOMONTH(DD$4, 0)) - MAX(BedPlan[[#This Row],[Beginning of Harvest]], DD$4) + 1 )</f>
        <v>0</v>
      </c>
      <c r="DE127">
        <f>MAX( 0, MIN(BedPlan[[#This Row],[Expected End of Harvest]], EOMONTH(DE$4, 0)) - MAX(BedPlan[[#This Row],[Beginning of Harvest]], DE$4) + 1 )</f>
        <v>0</v>
      </c>
      <c r="DF127">
        <f>MAX( 0, MIN(BedPlan[[#This Row],[Expected End of Harvest]], EOMONTH(DF$4, 0)) - MAX(BedPlan[[#This Row],[Beginning of Harvest]], DF$4) + 1 )</f>
        <v>0</v>
      </c>
      <c r="DG127">
        <f>MAX( 0, MIN(BedPlan[[#This Row],[Expected End of Harvest]], EOMONTH(DG$4, 0)) - MAX(BedPlan[[#This Row],[Beginning of Harvest]], DG$4) + 1 )</f>
        <v>0</v>
      </c>
      <c r="DH127">
        <f>MAX( 0, MIN(BedPlan[[#This Row],[Expected End of Harvest]], EOMONTH(DH$4, 0)) - MAX(BedPlan[[#This Row],[Beginning of Harvest]], DH$4) + 1 )</f>
        <v>0</v>
      </c>
      <c r="DI127" s="257" cm="1">
        <f t="array" ref="DI127">BedPlan[[#This Row],[Harvest Days January 2025]]/SUM(BedPlan[[#This Row],[Harvest Days January 2025]:[Harvest Days December 2026]])*BedPlan[[#This Row],[Revenue]:[Revenue]]</f>
        <v>0</v>
      </c>
      <c r="DJ127" s="257" cm="1">
        <f t="array" ref="DJ127">BedPlan[[#This Row],[Harvest Days February 2025]]/SUM(BedPlan[[#This Row],[Harvest Days January 2025]:[Harvest Days December 2026]])*BedPlan[[#This Row],[Revenue]:[Revenue]]</f>
        <v>0</v>
      </c>
      <c r="DK127" s="257" cm="1">
        <f t="array" ref="DK127">BedPlan[[#This Row],[Harvest Days March 2025]]/SUM(BedPlan[[#This Row],[Harvest Days January 2025]:[Harvest Days December 2026]])*BedPlan[[#This Row],[Revenue]:[Revenue]]</f>
        <v>0</v>
      </c>
      <c r="DL127" s="257" cm="1">
        <f t="array" ref="DL127">BedPlan[[#This Row],[Harvest Days April 2025]]/SUM(BedPlan[[#This Row],[Harvest Days January 2025]:[Harvest Days December 2026]])*BedPlan[[#This Row],[Revenue]:[Revenue]]</f>
        <v>0</v>
      </c>
      <c r="DM127" s="257" cm="1">
        <f t="array" ref="DM127">BedPlan[[#This Row],[Harvest Days May 2025]]/SUM(BedPlan[[#This Row],[Harvest Days January 2025]:[Harvest Days December 2026]])*BedPlan[[#This Row],[Revenue]:[Revenue]]</f>
        <v>0</v>
      </c>
      <c r="DN127" s="257" cm="1">
        <f t="array" ref="DN127">BedPlan[[#This Row],[Harvest Days June 2025]]/SUM(BedPlan[[#This Row],[Harvest Days January 2025]:[Harvest Days December 2026]])*BedPlan[[#This Row],[Revenue]:[Revenue]]</f>
        <v>0</v>
      </c>
      <c r="DO127" s="257" cm="1">
        <f t="array" ref="DO127">BedPlan[[#This Row],[Harvest Days July 2025]]/SUM(BedPlan[[#This Row],[Harvest Days January 2025]:[Harvest Days December 2026]])*BedPlan[[#This Row],[Revenue]:[Revenue]]</f>
        <v>0</v>
      </c>
      <c r="DP127" s="257" cm="1">
        <f t="array" ref="DP127">BedPlan[[#This Row],[Harvest Days August 2025]]/SUM(BedPlan[[#This Row],[Harvest Days January 2025]:[Harvest Days December 2026]])*BedPlan[[#This Row],[Revenue]:[Revenue]]</f>
        <v>1582.03125</v>
      </c>
      <c r="DQ127" s="257" cm="1">
        <f t="array" ref="DQ127">BedPlan[[#This Row],[Harvest Days September 2025]]/SUM(BedPlan[[#This Row],[Harvest Days January 2025]:[Harvest Days December 2026]])*BedPlan[[#This Row],[Revenue]:[Revenue]]</f>
        <v>1757.8125</v>
      </c>
      <c r="DR127" s="257" cm="1">
        <f t="array" ref="DR127">BedPlan[[#This Row],[Harvest Days October 2025]]/SUM(BedPlan[[#This Row],[Harvest Days January 2025]:[Harvest Days December 2026]])*BedPlan[[#This Row],[Revenue]:[Revenue]]</f>
        <v>410.15625</v>
      </c>
      <c r="DS127" s="257" cm="1">
        <f t="array" ref="DS127">BedPlan[[#This Row],[Harvest Days November 2025]]/SUM(BedPlan[[#This Row],[Harvest Days January 2025]:[Harvest Days December 2026]])*BedPlan[[#This Row],[Revenue]:[Revenue]]</f>
        <v>0</v>
      </c>
      <c r="DT127" s="257" cm="1">
        <f t="array" ref="DT127">BedPlan[[#This Row],[Harvest Days December 2025]]/SUM(BedPlan[[#This Row],[Harvest Days January 2025]:[Harvest Days December 2026]])*BedPlan[[#This Row],[Revenue]:[Revenue]]</f>
        <v>0</v>
      </c>
      <c r="DU127" s="257" cm="1">
        <f t="array" ref="DU127">BedPlan[[#This Row],[Harvest Days January 2026]]/SUM(BedPlan[[#This Row],[Harvest Days January 2025]:[Harvest Days December 2026]])*BedPlan[[#This Row],[Revenue]:[Revenue]]</f>
        <v>0</v>
      </c>
      <c r="DV127" s="257" cm="1">
        <f t="array" ref="DV127">BedPlan[[#This Row],[Harvest Days February 2026]]/SUM(BedPlan[[#This Row],[Harvest Days January 2025]:[Harvest Days December 2026]])*BedPlan[[#This Row],[Revenue]:[Revenue]]</f>
        <v>0</v>
      </c>
      <c r="DW127" s="257" cm="1">
        <f t="array" ref="DW127">BedPlan[[#This Row],[Harvest Days March 2026]]/SUM(BedPlan[[#This Row],[Harvest Days January 2025]:[Harvest Days December 2026]])*BedPlan[[#This Row],[Revenue]:[Revenue]]</f>
        <v>0</v>
      </c>
      <c r="DX127" s="257" cm="1">
        <f t="array" ref="DX127">BedPlan[[#This Row],[Harvest Days April 2026]]/SUM(BedPlan[[#This Row],[Harvest Days January 2025]:[Harvest Days December 2026]])*BedPlan[[#This Row],[Revenue]:[Revenue]]</f>
        <v>0</v>
      </c>
      <c r="DY127" cm="1">
        <f t="array" ref="DY127">BedPlan[[#This Row],[Harvest Days May 2026]]/SUM(BedPlan[[#This Row],[Harvest Days January 2025]:[Harvest Days December 2026]])*BedPlan[[#This Row],[Revenue]:[Revenue]]</f>
        <v>0</v>
      </c>
      <c r="DZ127" cm="1">
        <f t="array" ref="DZ127">BedPlan[[#This Row],[Harvest Days June 2026]]/SUM(BedPlan[[#This Row],[Harvest Days January 2025]:[Harvest Days December 2026]])*BedPlan[[#This Row],[Revenue]:[Revenue]]</f>
        <v>0</v>
      </c>
      <c r="EA127" cm="1">
        <f t="array" ref="EA127">BedPlan[[#This Row],[Harvest Days July 2026]]/SUM(BedPlan[[#This Row],[Harvest Days January 2025]:[Harvest Days December 2026]])*BedPlan[[#This Row],[Revenue]:[Revenue]]</f>
        <v>0</v>
      </c>
      <c r="EB127" cm="1">
        <f t="array" ref="EB127">BedPlan[[#This Row],[Harvest Days August 2026]]/SUM(BedPlan[[#This Row],[Harvest Days January 2025]:[Harvest Days December 2026]])*BedPlan[[#This Row],[Revenue]:[Revenue]]</f>
        <v>0</v>
      </c>
      <c r="EC127" cm="1">
        <f t="array" ref="EC127">BedPlan[[#This Row],[Harvest Days September 2026]]/SUM(BedPlan[[#This Row],[Harvest Days January 2025]:[Harvest Days December 2026]])*BedPlan[[#This Row],[Revenue]:[Revenue]]</f>
        <v>0</v>
      </c>
      <c r="ED127" cm="1">
        <f t="array" ref="ED127">BedPlan[[#This Row],[Harvest Days October 2026]]/SUM(BedPlan[[#This Row],[Harvest Days January 2025]:[Harvest Days December 2026]])*BedPlan[[#This Row],[Revenue]:[Revenue]]</f>
        <v>0</v>
      </c>
      <c r="EE127" cm="1">
        <f t="array" ref="EE127">BedPlan[[#This Row],[Harvest Days November 2026]]/SUM(BedPlan[[#This Row],[Harvest Days January 2025]:[Harvest Days December 2026]])*BedPlan[[#This Row],[Revenue]:[Revenue]]</f>
        <v>0</v>
      </c>
      <c r="EF127" cm="1">
        <f t="array" ref="EF127">BedPlan[[#This Row],[Harvest Days December 2026]]/SUM(BedPlan[[#This Row],[Harvest Days January 2025]:[Harvest Days December 2026]])*BedPlan[[#This Row],[Revenue]:[Revenue]]</f>
        <v>0</v>
      </c>
      <c r="EG127" t="b">
        <f>SUM(BedPlan[[#This Row],[Revenue January 2025]:[Revenue December 2026]])=BedPlan[[#This Row],[Revenue]]</f>
        <v>1</v>
      </c>
      <c r="EH127" cm="1">
        <f t="array" ref="EH127">INDEX(Crops[],BedPlan[[#This Row],[Chart Index]],EH$4,1)*BedPlan[[#This Row],['# Of Beds]]</f>
        <v>750</v>
      </c>
      <c r="EI127" t="str" cm="1">
        <f t="array" ref="EI127">INDEX(Crops[],BedPlan[[#This Row],[Chart Index]],EI$4,1)</f>
        <v>Lb</v>
      </c>
      <c r="EJ127" t="str" cm="1">
        <f t="array" ref="EJ127">INDEX(Crops[],BedPlan[[#This Row],[Chart Index]],EJ$4,1)</f>
        <v>Ripe Fruit Large</v>
      </c>
      <c r="EK127" t="str">
        <f>BedPlan[[#This Row],[Name]]&amp;" "&amp;BedPlan[[#This Row],[Product]]&amp; " - " &amp;BedPlan[[#This Row],[Unit]]</f>
        <v>Tomato Ripe Fruit Large - Lb</v>
      </c>
      <c r="EL127" s="33" cm="1">
        <f t="array" ref="EL127">BedPlan[[#This Row],[Harvest Days January 2025]]/SUM(BedPlan[[#This Row],[Harvest Days January 2025]:[Harvest Days December 2026]])*BedPlan[[#This Row],[Yield]:[Yield]]</f>
        <v>0</v>
      </c>
      <c r="EM127" s="33" cm="1">
        <f t="array" ref="EM127">BedPlan[[#This Row],[Harvest Days February 2025]]/SUM(BedPlan[[#This Row],[Harvest Days January 2025]:[Harvest Days December 2026]])*BedPlan[[#This Row],[Yield]:[Yield]]</f>
        <v>0</v>
      </c>
      <c r="EN127" s="33" cm="1">
        <f t="array" ref="EN127">BedPlan[[#This Row],[Harvest Days March 2025]]/SUM(BedPlan[[#This Row],[Harvest Days January 2025]:[Harvest Days December 2026]])*BedPlan[[#This Row],[Yield]:[Yield]]</f>
        <v>0</v>
      </c>
      <c r="EO127" s="33" cm="1">
        <f t="array" ref="EO127">BedPlan[[#This Row],[Harvest Days April 2025]]/SUM(BedPlan[[#This Row],[Harvest Days January 2025]:[Harvest Days December 2026]])*BedPlan[[#This Row],[Yield]:[Yield]]</f>
        <v>0</v>
      </c>
      <c r="EP127" s="33" cm="1">
        <f t="array" ref="EP127">BedPlan[[#This Row],[Harvest Days May 2025]]/SUM(BedPlan[[#This Row],[Harvest Days January 2025]:[Harvest Days December 2026]])*BedPlan[[#This Row],[Yield]:[Yield]]</f>
        <v>0</v>
      </c>
      <c r="EQ127" s="33" cm="1">
        <f t="array" ref="EQ127">BedPlan[[#This Row],[Harvest Days June 2025]]/SUM(BedPlan[[#This Row],[Harvest Days January 2025]:[Harvest Days December 2026]])*BedPlan[[#This Row],[Yield]:[Yield]]</f>
        <v>0</v>
      </c>
      <c r="ER127" s="33" cm="1">
        <f t="array" ref="ER127">BedPlan[[#This Row],[Harvest Days July 2025]]/SUM(BedPlan[[#This Row],[Harvest Days January 2025]:[Harvest Days December 2026]])*BedPlan[[#This Row],[Yield]:[Yield]]</f>
        <v>0</v>
      </c>
      <c r="ES127" s="33" cm="1">
        <f t="array" ref="ES127">BedPlan[[#This Row],[Harvest Days August 2025]]/SUM(BedPlan[[#This Row],[Harvest Days January 2025]:[Harvest Days December 2026]])*BedPlan[[#This Row],[Yield]:[Yield]]</f>
        <v>316.40625</v>
      </c>
      <c r="ET127" s="33" cm="1">
        <f t="array" ref="ET127">BedPlan[[#This Row],[Harvest Days September 2025]]/SUM(BedPlan[[#This Row],[Harvest Days January 2025]:[Harvest Days December 2026]])*BedPlan[[#This Row],[Yield]:[Yield]]</f>
        <v>351.5625</v>
      </c>
      <c r="EU127" s="33" cm="1">
        <f t="array" ref="EU127">BedPlan[[#This Row],[Harvest Days October 2025]]/SUM(BedPlan[[#This Row],[Harvest Days January 2025]:[Harvest Days December 2026]])*BedPlan[[#This Row],[Yield]:[Yield]]</f>
        <v>82.03125</v>
      </c>
      <c r="EV127" s="33" cm="1">
        <f t="array" ref="EV127">BedPlan[[#This Row],[Harvest Days November 2025]]/SUM(BedPlan[[#This Row],[Harvest Days January 2025]:[Harvest Days December 2026]])*BedPlan[[#This Row],[Yield]:[Yield]]</f>
        <v>0</v>
      </c>
      <c r="EW127" s="33" cm="1">
        <f t="array" ref="EW127">BedPlan[[#This Row],[Harvest Days December 2025]]/SUM(BedPlan[[#This Row],[Harvest Days January 2025]:[Harvest Days December 2026]])*BedPlan[[#This Row],[Yield]:[Yield]]</f>
        <v>0</v>
      </c>
    </row>
    <row r="128" spans="1:153" ht="15" customHeight="1">
      <c r="A128" s="190" t="s">
        <v>2617</v>
      </c>
      <c r="B128" t="s">
        <v>2674</v>
      </c>
      <c r="C128" t="s">
        <v>1481</v>
      </c>
      <c r="D128" cm="1">
        <f t="array" ref="D128">INDEX(Crops[],BedPlan[[#This Row],[Chart Index]],D$4,1)*BedPlan[[#This Row],[Full Bed Equivalent]]</f>
        <v>83.333333333333329</v>
      </c>
      <c r="E128" cm="1">
        <f t="array" ref="E128">INDEX(Crops[],BedPlan[[#This Row],[Chart Index]],E$4,1)*BedPlan[[#This Row],[Full Bed Equivalent]]</f>
        <v>750</v>
      </c>
      <c r="F128" t="str">
        <f>UPPER(LEFT(BedPlan[[#This Row],[Crop]],3))</f>
        <v>TOM</v>
      </c>
      <c r="H128" s="143" t="str" cm="1">
        <f t="array" ref="H128">INDEX(Crops[],BedPlan[[#This Row],[Chart Index]],H$4,1)</f>
        <v>Tomato</v>
      </c>
      <c r="I128" t="s">
        <v>1858</v>
      </c>
      <c r="K128" t="str" cm="1">
        <f t="array" ref="K128">IF(ISNUMBER(MATCH(BedPlan[[#This Row],[Variety]],SeedMixes[Name],)),_xlfn.TEXTJOIN(", ",TRUE,_xlfn._xlws.FILTER(SeedMixes[Variety &amp; Company],SeedMixes[Name]=BedPlan[[#This Row],[Variety]])),"")</f>
        <v>Brandywine Seed Savers, Mortgage Lifter Territorial, Pork Chop Osborne, Tiffen Mennonite Adaptive, Geronimo Johnny's, Cipolla's Pride Johnny's, Salvaterra's Select Seed Savers</v>
      </c>
      <c r="L128" s="33" cm="1">
        <f t="array" ref="L128">INDEX(Crops[],BedPlan[[#This Row],[Chart Index]],L$4,1)*BedPlan[[#This Row],[Full Bed Equivalent]]</f>
        <v>86.666666666666657</v>
      </c>
      <c r="N128">
        <v>2</v>
      </c>
      <c r="O128">
        <f>MAX(BedPlan[[#This Row],['# Of Beds]],0.5)</f>
        <v>2</v>
      </c>
      <c r="P128" s="31">
        <f>IF(ISNUMBER(BedPlan[[#This Row],[Planned Greenhouse Start Date]]),BedPlan[[#This Row],[Planned Greenhouse Start Date]],BedPlan[[#This Row],[Planned TP or DS Date]])</f>
        <v>45733</v>
      </c>
      <c r="Q128" s="259">
        <f>IF(BedPlan[[#This Row],[Days in Cells]]=0,"",IFERROR(_xlfn.XLOOKUP(BedPlan[[#This Row],[Follows Crop]],BedPlan[Identifier],BedPlan[Expected End of Harvest]) + 1+BedPlan[[#This Row],[Follow Offset]],BedPlan[[#This Row],[Fixed Field Start Date]])-BedPlan[[#This Row],[Days in Cells]])</f>
        <v>45733</v>
      </c>
      <c r="R128" s="259">
        <v>45748</v>
      </c>
      <c r="S128" s="259">
        <f>IF(ISNUMBER(BedPlan[[#This Row],[Actual Greenhouse Date]]),BedPlan[[#This Row],[Actual Greenhouse Date]],BedPlan[[#This Row],[Planned Greenhouse Start Date]])</f>
        <v>45748</v>
      </c>
      <c r="T128" s="259">
        <f>_xlfn.XLOOKUP(BedPlan[[#This Row],[Crop]],Crops[Identifier],Crops[Target Field Date])</f>
        <v>45789</v>
      </c>
      <c r="U128" s="260"/>
      <c r="V128" s="260"/>
      <c r="W12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28" s="259">
        <v>45808</v>
      </c>
      <c r="Y128" s="271">
        <f>BedPlan[[#This Row],[Actual TP or DS Date]]-BedPlan[[#This Row],[Planned TP or DS Date]]</f>
        <v>4</v>
      </c>
      <c r="Z128" s="259">
        <f>IF(ISNUMBER(BedPlan[[#This Row],[Actual TP or DS Date]]),BedPlan[[#This Row],[Actual TP or DS Date]],BedPlan[[#This Row],[Planned TP or DS Date]])</f>
        <v>45808</v>
      </c>
      <c r="AA128" s="260"/>
      <c r="AB128" s="259">
        <f>IF(ISNUMBER(BedPlan[[#This Row],[Greenhouse Start Date]]),BedPlan[[#This Row],[Greenhouse Start Date]]+BedPlan[[#This Row],[DTM]],BedPlan[[#This Row],[TP or DS Date]]+BedPlan[[#This Row],[DTM]])</f>
        <v>45883</v>
      </c>
      <c r="AC128" s="259"/>
      <c r="AD128" s="259">
        <f>IF(ISNUMBER(BedPlan[[#This Row],[Actual Beginning of Harvest]]),BedPlan[[#This Row],[Actual Beginning of Harvest]],BedPlan[[#This Row],[Expected Beginning of Harvest]])</f>
        <v>45883</v>
      </c>
      <c r="AE128" s="259">
        <f>BedPlan[[#This Row],[Expected Beginning of Harvest]]+BedPlan[[#This Row],[Harvest Window]]+BedPlan[[#This Row],[Additional Days of Harvest]]</f>
        <v>45946</v>
      </c>
      <c r="AF128" s="259"/>
      <c r="AG128" s="259"/>
      <c r="AH128" s="31" t="b">
        <f>IF(AND( BedPlan[[#This Row],[Expected End of Harvest]] &gt;= DATE(2025, 8, 1), BedPlan[[#This Row],[Beginning of Harvest]] &lt;= DATE(2025, 8, 31) ), TRUE, FALSE)</f>
        <v>1</v>
      </c>
      <c r="AI128" s="31"/>
      <c r="AJ128" s="31">
        <f>IF(ISNUMBER(BedPlan[[#This Row],[Actual End of Harvest]]),BedPlan[[#This Row],[Actual End of Harvest]],BedPlan[[#This Row],[Expected End of Harvest]])</f>
        <v>45946</v>
      </c>
      <c r="AK128" t="b">
        <f>OR(ISNUMBER(BedPlan[[#This Row],[Actual Greenhouse Date]]),ISNUMBER(BedPlan[[#This Row],[Actual TP or DS Date]]))</f>
        <v>1</v>
      </c>
      <c r="AL128" s="52" t="b">
        <f>IF(ISNUMBER(BedPlan[[#This Row],[Planned Greenhouse Start Date]]),OR(ISNUMBER(BedPlan[[#This Row],[Actual TP or DS Date]]),BedPlan[[#This Row],[Failed]]),"-")</f>
        <v>1</v>
      </c>
      <c r="AM128" t="b">
        <f>OR(ISNUMBER(BedPlan[[#This Row],[Actual End of Harvest]]),BedPlan[[#This Row],[Failed]])</f>
        <v>0</v>
      </c>
      <c r="AN128" t="b">
        <f>OR(BedPlan[[#This Row],[Harvest Done]],BedPlan[[#This Row],[Failed]],BedPlan[[#This Row],[Name]]="Tarp")</f>
        <v>0</v>
      </c>
      <c r="AQ128" t="s">
        <v>3237</v>
      </c>
      <c r="AS128" s="26" t="str">
        <f>IF(BedPlan[[#This Row],[Broadfork]],BedPlan[[#This Row],[Actual TP or DS Date]],"")</f>
        <v/>
      </c>
      <c r="AT128" s="26" t="str">
        <f>IF(BedPlan[[#This Row],[Tilther]],BedPlan[[#This Row],[Actual TP or DS Date]],"")</f>
        <v/>
      </c>
      <c r="AU128" s="26">
        <f>IF(NOT(ISBLANK(BedPlan[[#This Row],[Amend]])),BedPlan[[#This Row],[Actual TP or DS Date]],"")</f>
        <v>45808</v>
      </c>
      <c r="AV128" s="26" t="str">
        <f>IF(BedPlan[[#This Row],[Row Cover]],BedPlan[[#This Row],[Actual TP or DS Date]],"")</f>
        <v/>
      </c>
      <c r="AX128" s="26"/>
      <c r="AZ128" s="26"/>
      <c r="BB128" s="26"/>
      <c r="BC128" s="231" cm="1">
        <f t="array" ref="BC128">INDEX(Crops[],BedPlan[[#This Row],[Chart Index]],BC$4,1)*BedPlan[[#This Row],[Full Bed Equivalent]]</f>
        <v>3750</v>
      </c>
      <c r="BD128" s="231" cm="1">
        <f t="array" ref="BD128">INDEX(Crops[],BedPlan[[#This Row],[Chart Index]],BD$4,1)*BedPlan[[#This Row],[Full Bed Equivalent]]</f>
        <v>26.408450704225352</v>
      </c>
      <c r="BE128" cm="1">
        <f t="array" ref="BE128">INDEX(Crops[],BedPlan[[#This Row],[Chart Index]],BE$4,1)+BedPlan[[#This Row],[Additional Days in Cells]]+BedPlan[[#This Row],[Additional Days In Field]]</f>
        <v>135</v>
      </c>
      <c r="BG128" cm="1">
        <f t="array" ref="BG128">INDEX(Crops[],BedPlan[[#This Row],[Chart Index]],BG$4,1)</f>
        <v>63</v>
      </c>
      <c r="BH128" t="str">
        <f>IF(ISNUMBER(BedPlan[[#This Row],[Planned Greenhouse Start Date]]),"TP","DS")</f>
        <v>TP</v>
      </c>
      <c r="BI128">
        <f>BedPlan[[#This Row],['# Of Beds]]</f>
        <v>2</v>
      </c>
      <c r="BJ128" cm="1">
        <f t="array" ref="BJ128">INDEX(Crops[],BedPlan[[#This Row],[Chart Index]],BJ$4,1)</f>
        <v>56</v>
      </c>
      <c r="BK128" cm="1">
        <f t="array" ref="BK128">INDEX(Crops[],BedPlan[[#This Row],[Chart Index]],BK$4,1)</f>
        <v>1</v>
      </c>
      <c r="BL128" cm="1">
        <f t="array" ref="BL128">INDEX(Crops[],BedPlan[[#This Row],[Chart Index]],BL$4,1)</f>
        <v>18</v>
      </c>
      <c r="BM128" cm="1">
        <f t="array" ref="BM128">INDEX(Crops[],BedPlan[[#This Row],[Chart Index]],BM$4,1)</f>
        <v>1</v>
      </c>
      <c r="BN128" s="32" cm="1">
        <f t="array" ref="BN128">INDEX(Crops[],BedPlan[[#This Row],[Chart Index]],BN$4,1)*BedPlan[[#This Row],[Full Bed Equivalent]]</f>
        <v>66.666666666666657</v>
      </c>
      <c r="BO128" t="str" cm="1">
        <f t="array" ref="BO128">IF(INDEX(Crops[],BedPlan[[#This Row],[Chart Index]],BO$4,1)=0,"",INDEX(Crops[],BedPlan[[#This Row],[Chart Index]],BO$4,1))</f>
        <v>DR</v>
      </c>
      <c r="BP128">
        <f>MATCH(BedPlan[[#This Row],[Crop]],Crops[Identifier],FALSE)</f>
        <v>324</v>
      </c>
      <c r="BQ128" t="str" cm="1">
        <f t="array" ref="BQ128">INDEX(Crops[],BedPlan[[#This Row],[Chart Index]],BQ$4,1)</f>
        <v>Beefsteak</v>
      </c>
      <c r="BR128" t="str" cm="1">
        <f t="array" ref="BR128">INDEX(Crops[],BedPlan[[#This Row],[Chart Index]],BR$4,1)</f>
        <v>Su</v>
      </c>
      <c r="BS128" s="32">
        <f>BedPlan[[#This Row],[Expected Beginning of Harvest]]-DATE(2023,1,1)</f>
        <v>956</v>
      </c>
      <c r="BT128">
        <f>BedPlan[[#This Row],[Expected End of Harvest]]-BedPlan[[#This Row],[Expected Beginning of Harvest]]</f>
        <v>63</v>
      </c>
      <c r="BU128" t="str" cm="1">
        <f t="array" ref="BU128">INDEX(Crops[],BedPlan[[#This Row],[Chart Index]],BU$4,1)</f>
        <v>Tomato</v>
      </c>
      <c r="BV128" cm="1">
        <f t="array" ref="BV128">INDEX(Crops[],BedPlan[[#This Row],[Chart Index]],BV$4,1)</f>
        <v>7</v>
      </c>
      <c r="BW128" t="str" cm="1">
        <f t="array" ref="BW128">INDEX(Crops[],BedPlan[[#This Row],[Chart Index]],BW$4,1)</f>
        <v>Young</v>
      </c>
      <c r="BX128" cm="1">
        <f t="array" ref="BX128">INDEX(Crops[],BedPlan[[#This Row],[Chart Index]],BX$4,1)</f>
        <v>72</v>
      </c>
      <c r="BY128" cm="1">
        <f t="array" ref="BY128">INDEX(Crops[],BedPlan[[#This Row],[Chart Index]],BY$4,1)</f>
        <v>21</v>
      </c>
      <c r="BZ128" s="49" cm="1">
        <f t="array" ref="BZ128">IFERROR(INDEX(Crops[],BedPlan[[#This Row],[Chart Index]],BZ$4,1)*BedPlan[[#This Row],[Full Bed Equivalent]],"")</f>
        <v>1.2037037037037035</v>
      </c>
      <c r="CA128" cm="1">
        <f t="array" ref="CA128">INDEX(Crops[],BedPlan[[#This Row],[Chart Index]],CA$4,1)</f>
        <v>18</v>
      </c>
      <c r="CB128" cm="1">
        <f t="array" ref="CB128">INDEX(Crops[],BedPlan[[#This Row],[Chart Index]],CB$4,1)</f>
        <v>21</v>
      </c>
      <c r="CC128" s="49" cm="1">
        <f t="array" ref="CC128">IFERROR(INDEX(Crops[],BedPlan[[#This Row],[Chart Index]],CC$4,1)*BedPlan[[#This Row],[Full Bed Equivalent]],"")</f>
        <v>4.814814814814814</v>
      </c>
      <c r="CD128" cm="1">
        <f t="array" ref="CD128">INDEX(Crops[],BedPlan[[#This Row],[Chart Index]],CD$4,1)</f>
        <v>9</v>
      </c>
      <c r="CE128" cm="1">
        <f t="array" ref="CE128">IF(INDEX(Crops[],BedPlan[[#This Row],[Chart Index]],CE$4,1)="",0,INDEX(Crops[],BedPlan[[#This Row],[Chart Index]],CE$4,1))</f>
        <v>14</v>
      </c>
      <c r="CF128" s="49" cm="1">
        <f t="array" ref="CF128">IFERROR(INDEX(Crops[],BedPlan[[#This Row],[Chart Index]],CF$4,1)*BedPlan[[#This Row],[Full Bed Equivalent]],"")</f>
        <v>9.629629629629628</v>
      </c>
      <c r="CG128" cm="1">
        <f t="array" ref="CG128">IF(INDEX(Crops[],BedPlan[[#This Row],[Chart Index]],CG$4,1)="",0,INDEX(Crops[],BedPlan[[#This Row],[Chart Index]],CG$4,1))</f>
        <v>1.3</v>
      </c>
      <c r="CH128" cm="1">
        <f t="array" ref="CH128">IF(INDEX(Crops[],BedPlan[[#This Row],[Chart Index]],CH$4,1)="",0,INDEX(Crops[],BedPlan[[#This Row],[Chart Index]],CH$4,1))</f>
        <v>0</v>
      </c>
      <c r="CI128" t="str" cm="1">
        <f t="array" ref="CI128">INDEX(Crops[],BedPlan[[#This Row],[Chart Index]],CI$4,1)</f>
        <v>Field</v>
      </c>
      <c r="CJ128" s="30" t="str">
        <f>_xlfn.TEXTJOIN(CHAR(10),FALSE,BedPlan[[#This Row],[Name]],BedPlan[[#This Row],[Variety]],BedPlan[[#This Row],[Company]])</f>
        <v xml:space="preserve">Tomato
Large Tomato Mix
</v>
      </c>
      <c r="CK128" s="32">
        <f>MAX( 0, MIN(BedPlan[[#This Row],[Expected End of Harvest]], EOMONTH(CK$4, 0)) - MAX(BedPlan[[#This Row],[Beginning of Harvest]], CK$4) + 1 )</f>
        <v>0</v>
      </c>
      <c r="CL128">
        <f>MAX( 0, MIN(BedPlan[[#This Row],[Expected End of Harvest]], EOMONTH(CL$4, 0)) - MAX(BedPlan[[#This Row],[Beginning of Harvest]], CL$4) + 1 )</f>
        <v>0</v>
      </c>
      <c r="CM128">
        <f>MAX( 0, MIN(BedPlan[[#This Row],[Expected End of Harvest]], EOMONTH(CM$4, 0)) - MAX(BedPlan[[#This Row],[Beginning of Harvest]], CM$4) + 1 )</f>
        <v>0</v>
      </c>
      <c r="CN128">
        <f>MAX( 0, MIN(BedPlan[[#This Row],[Expected End of Harvest]], EOMONTH(CN$4, 0)) - MAX(BedPlan[[#This Row],[Beginning of Harvest]], CN$4) + 1 )</f>
        <v>0</v>
      </c>
      <c r="CO128">
        <f>MAX( 0, MIN(BedPlan[[#This Row],[Expected End of Harvest]], EOMONTH(CO$4, 0)) - MAX(BedPlan[[#This Row],[Beginning of Harvest]], CO$4) + 1 )</f>
        <v>0</v>
      </c>
      <c r="CP128">
        <f>MAX( 0, MIN(BedPlan[[#This Row],[Expected End of Harvest]], EOMONTH(CP$4, 0)) - MAX(BedPlan[[#This Row],[Beginning of Harvest]], CP$4) + 1 )</f>
        <v>0</v>
      </c>
      <c r="CQ128">
        <f>MAX( 0, MIN(BedPlan[[#This Row],[Expected End of Harvest]], EOMONTH(CQ$4, 0)) - MAX(BedPlan[[#This Row],[Beginning of Harvest]], CQ$4) + 1 )</f>
        <v>0</v>
      </c>
      <c r="CR128">
        <f>MAX( 0, MIN(BedPlan[[#This Row],[Expected End of Harvest]], EOMONTH(CR$4, 0)) - MAX(BedPlan[[#This Row],[Beginning of Harvest]], CR$4) + 1 )</f>
        <v>18</v>
      </c>
      <c r="CS128">
        <f>MAX( 0, MIN(BedPlan[[#This Row],[Expected End of Harvest]], EOMONTH(CS$4, 0)) - MAX(BedPlan[[#This Row],[Beginning of Harvest]], CS$4) + 1 )</f>
        <v>30</v>
      </c>
      <c r="CT128">
        <f>MAX( 0, MIN(BedPlan[[#This Row],[Expected End of Harvest]], EOMONTH(CT$4, 0)) - MAX(BedPlan[[#This Row],[Beginning of Harvest]], CT$4) + 1 )</f>
        <v>16</v>
      </c>
      <c r="CU128">
        <f>MAX( 0, MIN(BedPlan[[#This Row],[Expected End of Harvest]], EOMONTH(CU$4, 0)) - MAX(BedPlan[[#This Row],[Beginning of Harvest]], CU$4) + 1 )</f>
        <v>0</v>
      </c>
      <c r="CV128">
        <f>MAX( 0, MIN(BedPlan[[#This Row],[Expected End of Harvest]], EOMONTH(CV$4, 0)) - MAX(BedPlan[[#This Row],[Beginning of Harvest]], CV$4) + 1 )</f>
        <v>0</v>
      </c>
      <c r="CW128">
        <f>MAX( 0, MIN(BedPlan[[#This Row],[Expected End of Harvest]], EOMONTH(CW$4, 0)) - MAX(BedPlan[[#This Row],[Beginning of Harvest]], CW$4) + 1 )</f>
        <v>0</v>
      </c>
      <c r="CX128">
        <f>MAX( 0, MIN(BedPlan[[#This Row],[Expected End of Harvest]], EOMONTH(CX$4, 0)) - MAX(BedPlan[[#This Row],[Beginning of Harvest]], CX$4) + 1 )</f>
        <v>0</v>
      </c>
      <c r="CY128">
        <f>MAX( 0, MIN(BedPlan[[#This Row],[Expected End of Harvest]], EOMONTH(CY$4, 0)) - MAX(BedPlan[[#This Row],[Beginning of Harvest]], CY$4) + 1 )</f>
        <v>0</v>
      </c>
      <c r="CZ128">
        <f>MAX( 0, MIN(BedPlan[[#This Row],[Expected End of Harvest]], EOMONTH(CZ$4, 0)) - MAX(BedPlan[[#This Row],[Beginning of Harvest]], CZ$4) + 1 )</f>
        <v>0</v>
      </c>
      <c r="DA128">
        <f>MAX( 0, MIN(BedPlan[[#This Row],[Expected End of Harvest]], EOMONTH(DA$4, 0)) - MAX(BedPlan[[#This Row],[Beginning of Harvest]], DA$4) + 1 )</f>
        <v>0</v>
      </c>
      <c r="DB128">
        <f>MAX( 0, MIN(BedPlan[[#This Row],[Expected End of Harvest]], EOMONTH(DB$4, 0)) - MAX(BedPlan[[#This Row],[Beginning of Harvest]], DB$4) + 1 )</f>
        <v>0</v>
      </c>
      <c r="DC128">
        <f>MAX( 0, MIN(BedPlan[[#This Row],[Expected End of Harvest]], EOMONTH(DC$4, 0)) - MAX(BedPlan[[#This Row],[Beginning of Harvest]], DC$4) + 1 )</f>
        <v>0</v>
      </c>
      <c r="DD128">
        <f>MAX( 0, MIN(BedPlan[[#This Row],[Expected End of Harvest]], EOMONTH(DD$4, 0)) - MAX(BedPlan[[#This Row],[Beginning of Harvest]], DD$4) + 1 )</f>
        <v>0</v>
      </c>
      <c r="DE128">
        <f>MAX( 0, MIN(BedPlan[[#This Row],[Expected End of Harvest]], EOMONTH(DE$4, 0)) - MAX(BedPlan[[#This Row],[Beginning of Harvest]], DE$4) + 1 )</f>
        <v>0</v>
      </c>
      <c r="DF128">
        <f>MAX( 0, MIN(BedPlan[[#This Row],[Expected End of Harvest]], EOMONTH(DF$4, 0)) - MAX(BedPlan[[#This Row],[Beginning of Harvest]], DF$4) + 1 )</f>
        <v>0</v>
      </c>
      <c r="DG128">
        <f>MAX( 0, MIN(BedPlan[[#This Row],[Expected End of Harvest]], EOMONTH(DG$4, 0)) - MAX(BedPlan[[#This Row],[Beginning of Harvest]], DG$4) + 1 )</f>
        <v>0</v>
      </c>
      <c r="DH128">
        <f>MAX( 0, MIN(BedPlan[[#This Row],[Expected End of Harvest]], EOMONTH(DH$4, 0)) - MAX(BedPlan[[#This Row],[Beginning of Harvest]], DH$4) + 1 )</f>
        <v>0</v>
      </c>
      <c r="DI128" s="257" cm="1">
        <f t="array" ref="DI128">BedPlan[[#This Row],[Harvest Days January 2025]]/SUM(BedPlan[[#This Row],[Harvest Days January 2025]:[Harvest Days December 2026]])*BedPlan[[#This Row],[Revenue]:[Revenue]]</f>
        <v>0</v>
      </c>
      <c r="DJ128" s="257" cm="1">
        <f t="array" ref="DJ128">BedPlan[[#This Row],[Harvest Days February 2025]]/SUM(BedPlan[[#This Row],[Harvest Days January 2025]:[Harvest Days December 2026]])*BedPlan[[#This Row],[Revenue]:[Revenue]]</f>
        <v>0</v>
      </c>
      <c r="DK128" s="257" cm="1">
        <f t="array" ref="DK128">BedPlan[[#This Row],[Harvest Days March 2025]]/SUM(BedPlan[[#This Row],[Harvest Days January 2025]:[Harvest Days December 2026]])*BedPlan[[#This Row],[Revenue]:[Revenue]]</f>
        <v>0</v>
      </c>
      <c r="DL128" s="257" cm="1">
        <f t="array" ref="DL128">BedPlan[[#This Row],[Harvest Days April 2025]]/SUM(BedPlan[[#This Row],[Harvest Days January 2025]:[Harvest Days December 2026]])*BedPlan[[#This Row],[Revenue]:[Revenue]]</f>
        <v>0</v>
      </c>
      <c r="DM128" s="257" cm="1">
        <f t="array" ref="DM128">BedPlan[[#This Row],[Harvest Days May 2025]]/SUM(BedPlan[[#This Row],[Harvest Days January 2025]:[Harvest Days December 2026]])*BedPlan[[#This Row],[Revenue]:[Revenue]]</f>
        <v>0</v>
      </c>
      <c r="DN128" s="257" cm="1">
        <f t="array" ref="DN128">BedPlan[[#This Row],[Harvest Days June 2025]]/SUM(BedPlan[[#This Row],[Harvest Days January 2025]:[Harvest Days December 2026]])*BedPlan[[#This Row],[Revenue]:[Revenue]]</f>
        <v>0</v>
      </c>
      <c r="DO128" s="257" cm="1">
        <f t="array" ref="DO128">BedPlan[[#This Row],[Harvest Days July 2025]]/SUM(BedPlan[[#This Row],[Harvest Days January 2025]:[Harvest Days December 2026]])*BedPlan[[#This Row],[Revenue]:[Revenue]]</f>
        <v>0</v>
      </c>
      <c r="DP128" s="257" cm="1">
        <f t="array" ref="DP128">BedPlan[[#This Row],[Harvest Days August 2025]]/SUM(BedPlan[[#This Row],[Harvest Days January 2025]:[Harvest Days December 2026]])*BedPlan[[#This Row],[Revenue]:[Revenue]]</f>
        <v>1054.6875</v>
      </c>
      <c r="DQ128" s="257" cm="1">
        <f t="array" ref="DQ128">BedPlan[[#This Row],[Harvest Days September 2025]]/SUM(BedPlan[[#This Row],[Harvest Days January 2025]:[Harvest Days December 2026]])*BedPlan[[#This Row],[Revenue]:[Revenue]]</f>
        <v>1757.8125</v>
      </c>
      <c r="DR128" s="257" cm="1">
        <f t="array" ref="DR128">BedPlan[[#This Row],[Harvest Days October 2025]]/SUM(BedPlan[[#This Row],[Harvest Days January 2025]:[Harvest Days December 2026]])*BedPlan[[#This Row],[Revenue]:[Revenue]]</f>
        <v>937.5</v>
      </c>
      <c r="DS128" s="257" cm="1">
        <f t="array" ref="DS128">BedPlan[[#This Row],[Harvest Days November 2025]]/SUM(BedPlan[[#This Row],[Harvest Days January 2025]:[Harvest Days December 2026]])*BedPlan[[#This Row],[Revenue]:[Revenue]]</f>
        <v>0</v>
      </c>
      <c r="DT128" s="257" cm="1">
        <f t="array" ref="DT128">BedPlan[[#This Row],[Harvest Days December 2025]]/SUM(BedPlan[[#This Row],[Harvest Days January 2025]:[Harvest Days December 2026]])*BedPlan[[#This Row],[Revenue]:[Revenue]]</f>
        <v>0</v>
      </c>
      <c r="DU128" s="257" cm="1">
        <f t="array" ref="DU128">BedPlan[[#This Row],[Harvest Days January 2026]]/SUM(BedPlan[[#This Row],[Harvest Days January 2025]:[Harvest Days December 2026]])*BedPlan[[#This Row],[Revenue]:[Revenue]]</f>
        <v>0</v>
      </c>
      <c r="DV128" s="257" cm="1">
        <f t="array" ref="DV128">BedPlan[[#This Row],[Harvest Days February 2026]]/SUM(BedPlan[[#This Row],[Harvest Days January 2025]:[Harvest Days December 2026]])*BedPlan[[#This Row],[Revenue]:[Revenue]]</f>
        <v>0</v>
      </c>
      <c r="DW128" s="257" cm="1">
        <f t="array" ref="DW128">BedPlan[[#This Row],[Harvest Days March 2026]]/SUM(BedPlan[[#This Row],[Harvest Days January 2025]:[Harvest Days December 2026]])*BedPlan[[#This Row],[Revenue]:[Revenue]]</f>
        <v>0</v>
      </c>
      <c r="DX128" s="257" cm="1">
        <f t="array" ref="DX128">BedPlan[[#This Row],[Harvest Days April 2026]]/SUM(BedPlan[[#This Row],[Harvest Days January 2025]:[Harvest Days December 2026]])*BedPlan[[#This Row],[Revenue]:[Revenue]]</f>
        <v>0</v>
      </c>
      <c r="DY128" s="257" cm="1">
        <f t="array" ref="DY128">BedPlan[[#This Row],[Harvest Days May 2026]]/SUM(BedPlan[[#This Row],[Harvest Days January 2025]:[Harvest Days December 2026]])*BedPlan[[#This Row],[Revenue]:[Revenue]]</f>
        <v>0</v>
      </c>
      <c r="DZ128" s="257" cm="1">
        <f t="array" ref="DZ128">BedPlan[[#This Row],[Harvest Days June 2026]]/SUM(BedPlan[[#This Row],[Harvest Days January 2025]:[Harvest Days December 2026]])*BedPlan[[#This Row],[Revenue]:[Revenue]]</f>
        <v>0</v>
      </c>
      <c r="EA128" s="257" cm="1">
        <f t="array" ref="EA128">BedPlan[[#This Row],[Harvest Days July 2026]]/SUM(BedPlan[[#This Row],[Harvest Days January 2025]:[Harvest Days December 2026]])*BedPlan[[#This Row],[Revenue]:[Revenue]]</f>
        <v>0</v>
      </c>
      <c r="EB128" s="257" cm="1">
        <f t="array" ref="EB128">BedPlan[[#This Row],[Harvest Days August 2026]]/SUM(BedPlan[[#This Row],[Harvest Days January 2025]:[Harvest Days December 2026]])*BedPlan[[#This Row],[Revenue]:[Revenue]]</f>
        <v>0</v>
      </c>
      <c r="EC128" s="257" cm="1">
        <f t="array" ref="EC128">BedPlan[[#This Row],[Harvest Days September 2026]]/SUM(BedPlan[[#This Row],[Harvest Days January 2025]:[Harvest Days December 2026]])*BedPlan[[#This Row],[Revenue]:[Revenue]]</f>
        <v>0</v>
      </c>
      <c r="ED128" s="257" cm="1">
        <f t="array" ref="ED128">BedPlan[[#This Row],[Harvest Days October 2026]]/SUM(BedPlan[[#This Row],[Harvest Days January 2025]:[Harvest Days December 2026]])*BedPlan[[#This Row],[Revenue]:[Revenue]]</f>
        <v>0</v>
      </c>
      <c r="EE128" s="257" cm="1">
        <f t="array" ref="EE128">BedPlan[[#This Row],[Harvest Days November 2026]]/SUM(BedPlan[[#This Row],[Harvest Days January 2025]:[Harvest Days December 2026]])*BedPlan[[#This Row],[Revenue]:[Revenue]]</f>
        <v>0</v>
      </c>
      <c r="EF128" s="257" cm="1">
        <f t="array" ref="EF128">BedPlan[[#This Row],[Harvest Days December 2026]]/SUM(BedPlan[[#This Row],[Harvest Days January 2025]:[Harvest Days December 2026]])*BedPlan[[#This Row],[Revenue]:[Revenue]]</f>
        <v>0</v>
      </c>
      <c r="EG128" t="b">
        <f>SUM(BedPlan[[#This Row],[Revenue January 2025]:[Revenue December 2026]])=BedPlan[[#This Row],[Revenue]]</f>
        <v>1</v>
      </c>
      <c r="EH128" s="30" cm="1">
        <f t="array" ref="EH128">INDEX(Crops[],BedPlan[[#This Row],[Chart Index]],EH$4,1)*BedPlan[[#This Row],['# Of Beds]]</f>
        <v>750</v>
      </c>
      <c r="EI128" s="30" t="str" cm="1">
        <f t="array" ref="EI128">INDEX(Crops[],BedPlan[[#This Row],[Chart Index]],EI$4,1)</f>
        <v>Lb</v>
      </c>
      <c r="EJ128" s="30" t="str" cm="1">
        <f t="array" ref="EJ128">INDEX(Crops[],BedPlan[[#This Row],[Chart Index]],EJ$4,1)</f>
        <v>Ripe Fruit Large</v>
      </c>
      <c r="EK128" s="30" t="str">
        <f>BedPlan[[#This Row],[Name]]&amp;" "&amp;BedPlan[[#This Row],[Product]]&amp; " - " &amp;BedPlan[[#This Row],[Unit]]</f>
        <v>Tomato Ripe Fruit Large - Lb</v>
      </c>
      <c r="EL128" s="33" cm="1">
        <f t="array" ref="EL128">BedPlan[[#This Row],[Harvest Days January 2025]]/SUM(BedPlan[[#This Row],[Harvest Days January 2025]:[Harvest Days December 2026]])*BedPlan[[#This Row],[Yield]:[Yield]]</f>
        <v>0</v>
      </c>
      <c r="EM128" s="33" cm="1">
        <f t="array" ref="EM128">BedPlan[[#This Row],[Harvest Days February 2025]]/SUM(BedPlan[[#This Row],[Harvest Days January 2025]:[Harvest Days December 2026]])*BedPlan[[#This Row],[Yield]:[Yield]]</f>
        <v>0</v>
      </c>
      <c r="EN128" s="33" cm="1">
        <f t="array" ref="EN128">BedPlan[[#This Row],[Harvest Days March 2025]]/SUM(BedPlan[[#This Row],[Harvest Days January 2025]:[Harvest Days December 2026]])*BedPlan[[#This Row],[Yield]:[Yield]]</f>
        <v>0</v>
      </c>
      <c r="EO128" s="33" cm="1">
        <f t="array" ref="EO128">BedPlan[[#This Row],[Harvest Days April 2025]]/SUM(BedPlan[[#This Row],[Harvest Days January 2025]:[Harvest Days December 2026]])*BedPlan[[#This Row],[Yield]:[Yield]]</f>
        <v>0</v>
      </c>
      <c r="EP128" s="33" cm="1">
        <f t="array" ref="EP128">BedPlan[[#This Row],[Harvest Days May 2025]]/SUM(BedPlan[[#This Row],[Harvest Days January 2025]:[Harvest Days December 2026]])*BedPlan[[#This Row],[Yield]:[Yield]]</f>
        <v>0</v>
      </c>
      <c r="EQ128" s="33" cm="1">
        <f t="array" ref="EQ128">BedPlan[[#This Row],[Harvest Days June 2025]]/SUM(BedPlan[[#This Row],[Harvest Days January 2025]:[Harvest Days December 2026]])*BedPlan[[#This Row],[Yield]:[Yield]]</f>
        <v>0</v>
      </c>
      <c r="ER128" s="33" cm="1">
        <f t="array" ref="ER128">BedPlan[[#This Row],[Harvest Days July 2025]]/SUM(BedPlan[[#This Row],[Harvest Days January 2025]:[Harvest Days December 2026]])*BedPlan[[#This Row],[Yield]:[Yield]]</f>
        <v>0</v>
      </c>
      <c r="ES128" s="33" cm="1">
        <f t="array" ref="ES128">BedPlan[[#This Row],[Harvest Days August 2025]]/SUM(BedPlan[[#This Row],[Harvest Days January 2025]:[Harvest Days December 2026]])*BedPlan[[#This Row],[Yield]:[Yield]]</f>
        <v>210.9375</v>
      </c>
      <c r="ET128" s="33" cm="1">
        <f t="array" ref="ET128">BedPlan[[#This Row],[Harvest Days September 2025]]/SUM(BedPlan[[#This Row],[Harvest Days January 2025]:[Harvest Days December 2026]])*BedPlan[[#This Row],[Yield]:[Yield]]</f>
        <v>351.5625</v>
      </c>
      <c r="EU128" s="33" cm="1">
        <f t="array" ref="EU128">BedPlan[[#This Row],[Harvest Days October 2025]]/SUM(BedPlan[[#This Row],[Harvest Days January 2025]:[Harvest Days December 2026]])*BedPlan[[#This Row],[Yield]:[Yield]]</f>
        <v>187.5</v>
      </c>
      <c r="EV128" s="33" cm="1">
        <f t="array" ref="EV128">BedPlan[[#This Row],[Harvest Days November 2025]]/SUM(BedPlan[[#This Row],[Harvest Days January 2025]:[Harvest Days December 2026]])*BedPlan[[#This Row],[Yield]:[Yield]]</f>
        <v>0</v>
      </c>
      <c r="EW128" s="33" cm="1">
        <f t="array" ref="EW128">BedPlan[[#This Row],[Harvest Days December 2025]]/SUM(BedPlan[[#This Row],[Harvest Days January 2025]:[Harvest Days December 2026]])*BedPlan[[#This Row],[Yield]:[Yield]]</f>
        <v>0</v>
      </c>
    </row>
    <row r="129" spans="1:153" ht="15" customHeight="1">
      <c r="A129" s="190" t="s">
        <v>2618</v>
      </c>
      <c r="B129" t="s">
        <v>2675</v>
      </c>
      <c r="C129" s="226" t="s">
        <v>1428</v>
      </c>
      <c r="D129" s="226" cm="1">
        <f t="array" ref="D129">INDEX(Crops[],BedPlan[[#This Row],[Chart Index]],D$4,1)*BedPlan[[#This Row],[Full Bed Equivalent]]</f>
        <v>20.833333333333332</v>
      </c>
      <c r="E129" s="226" cm="1">
        <f t="array" ref="E129">INDEX(Crops[],BedPlan[[#This Row],[Chart Index]],E$4,1)*BedPlan[[#This Row],[Full Bed Equivalent]]</f>
        <v>250</v>
      </c>
      <c r="F129" s="34" t="str">
        <f>UPPER(LEFT(BedPlan[[#This Row],[Crop]],3))</f>
        <v>TOM</v>
      </c>
      <c r="G129" s="227"/>
      <c r="H129" s="143" t="str" cm="1">
        <f t="array" ref="H129">INDEX(Crops[],BedPlan[[#This Row],[Chart Index]],H$4,1)</f>
        <v>Tomato</v>
      </c>
      <c r="I129" t="s">
        <v>1858</v>
      </c>
      <c r="J129" s="227"/>
      <c r="K129" s="34" t="str" cm="1">
        <f t="array" ref="K129">IF(ISNUMBER(MATCH(BedPlan[[#This Row],[Variety]],SeedMixes[Name],)),_xlfn.TEXTJOIN(", ",TRUE,_xlfn._xlws.FILTER(SeedMixes[Variety &amp; Company],SeedMixes[Name]=BedPlan[[#This Row],[Variety]])),"")</f>
        <v>Brandywine Seed Savers, Mortgage Lifter Territorial, Pork Chop Osborne, Tiffen Mennonite Adaptive, Geronimo Johnny's, Cipolla's Pride Johnny's, Salvaterra's Select Seed Savers</v>
      </c>
      <c r="L129" s="229" cm="1">
        <f t="array" ref="L129">INDEX(Crops[],BedPlan[[#This Row],[Chart Index]],L$4,1)*BedPlan[[#This Row],[Full Bed Equivalent]]</f>
        <v>21.666666666666664</v>
      </c>
      <c r="N129" s="227">
        <v>0.5</v>
      </c>
      <c r="O129" s="227">
        <f>MAX(BedPlan[[#This Row],['# Of Beds]],0.5)</f>
        <v>0.5</v>
      </c>
      <c r="P129" s="230">
        <f>IF(ISNUMBER(BedPlan[[#This Row],[Planned Greenhouse Start Date]]),BedPlan[[#This Row],[Planned Greenhouse Start Date]],BedPlan[[#This Row],[Planned TP or DS Date]])</f>
        <v>45723</v>
      </c>
      <c r="Q129" s="261">
        <f>IF(BedPlan[[#This Row],[Days in Cells]]=0,"",IFERROR(_xlfn.XLOOKUP(BedPlan[[#This Row],[Follows Crop]],BedPlan[Identifier],BedPlan[Expected End of Harvest]) + 1+BedPlan[[#This Row],[Follow Offset]],BedPlan[[#This Row],[Fixed Field Start Date]])-BedPlan[[#This Row],[Days in Cells]])</f>
        <v>45723</v>
      </c>
      <c r="R129" s="261">
        <v>45748</v>
      </c>
      <c r="S129" s="261">
        <f>IF(ISNUMBER(BedPlan[[#This Row],[Actual Greenhouse Date]]),BedPlan[[#This Row],[Actual Greenhouse Date]],BedPlan[[#This Row],[Planned Greenhouse Start Date]])</f>
        <v>45748</v>
      </c>
      <c r="T129" s="262">
        <f>_xlfn.XLOOKUP(BedPlan[[#This Row],[Crop]],Crops[Identifier],Crops[Target Field Date])</f>
        <v>45779</v>
      </c>
      <c r="U129" s="263"/>
      <c r="V129" s="263"/>
      <c r="W129"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29" s="259">
        <v>45807</v>
      </c>
      <c r="Y129" s="271">
        <f>BedPlan[[#This Row],[Actual TP or DS Date]]-BedPlan[[#This Row],[Planned TP or DS Date]]</f>
        <v>3</v>
      </c>
      <c r="Z129" s="261">
        <f>IF(ISNUMBER(BedPlan[[#This Row],[Actual TP or DS Date]]),BedPlan[[#This Row],[Actual TP or DS Date]],BedPlan[[#This Row],[Planned TP or DS Date]])</f>
        <v>45807</v>
      </c>
      <c r="AA129" s="264"/>
      <c r="AB129" s="261">
        <f>IF(ISNUMBER(BedPlan[[#This Row],[Greenhouse Start Date]]),BedPlan[[#This Row],[Greenhouse Start Date]]+BedPlan[[#This Row],[DTM]],BedPlan[[#This Row],[TP or DS Date]]+BedPlan[[#This Row],[DTM]])</f>
        <v>45868</v>
      </c>
      <c r="AC129" s="265"/>
      <c r="AD129" s="261">
        <f>IF(ISNUMBER(BedPlan[[#This Row],[Actual Beginning of Harvest]]),BedPlan[[#This Row],[Actual Beginning of Harvest]],BedPlan[[#This Row],[Expected Beginning of Harvest]])</f>
        <v>45868</v>
      </c>
      <c r="AE129" s="261">
        <f>BedPlan[[#This Row],[Expected Beginning of Harvest]]+BedPlan[[#This Row],[Harvest Window]]+BedPlan[[#This Row],[Additional Days of Harvest]]</f>
        <v>45952</v>
      </c>
      <c r="AF129" s="265"/>
      <c r="AG129" s="261"/>
      <c r="AH129" s="230" t="b">
        <f>IF(AND( BedPlan[[#This Row],[Expected End of Harvest]] &gt;= DATE(2025, 8, 1), BedPlan[[#This Row],[Beginning of Harvest]] &lt;= DATE(2025, 8, 31) ), TRUE, FALSE)</f>
        <v>1</v>
      </c>
      <c r="AI129" s="230"/>
      <c r="AJ129" s="230">
        <f>IF(ISNUMBER(BedPlan[[#This Row],[Actual End of Harvest]]),BedPlan[[#This Row],[Actual End of Harvest]],BedPlan[[#This Row],[Expected End of Harvest]])</f>
        <v>45952</v>
      </c>
      <c r="AK129" s="34" t="b">
        <f>OR(ISNUMBER(BedPlan[[#This Row],[Actual Greenhouse Date]]),ISNUMBER(BedPlan[[#This Row],[Actual TP or DS Date]]))</f>
        <v>1</v>
      </c>
      <c r="AL129" s="34" t="b">
        <f>IF(ISNUMBER(BedPlan[[#This Row],[Planned Greenhouse Start Date]]),OR(ISNUMBER(BedPlan[[#This Row],[Actual TP or DS Date]]),BedPlan[[#This Row],[Failed]]),"-")</f>
        <v>1</v>
      </c>
      <c r="AM129" s="34" t="b">
        <f>OR(ISNUMBER(BedPlan[[#This Row],[Actual End of Harvest]]),BedPlan[[#This Row],[Failed]])</f>
        <v>0</v>
      </c>
      <c r="AN129" s="34" t="b">
        <f>OR(BedPlan[[#This Row],[Harvest Done]],BedPlan[[#This Row],[Failed]],BedPlan[[#This Row],[Name]]="Tarp")</f>
        <v>0</v>
      </c>
      <c r="AO129" s="34"/>
      <c r="AP129" s="34"/>
      <c r="AQ129" t="s">
        <v>3237</v>
      </c>
      <c r="AR129" s="34"/>
      <c r="AS129" s="256" t="str">
        <f>IF(BedPlan[[#This Row],[Broadfork]],BedPlan[[#This Row],[Actual TP or DS Date]],"")</f>
        <v/>
      </c>
      <c r="AT129" s="256" t="str">
        <f>IF(BedPlan[[#This Row],[Tilther]],BedPlan[[#This Row],[Actual TP or DS Date]],"")</f>
        <v/>
      </c>
      <c r="AU129" s="256">
        <f>IF(NOT(ISBLANK(BedPlan[[#This Row],[Amend]])),BedPlan[[#This Row],[Actual TP or DS Date]],"")</f>
        <v>45807</v>
      </c>
      <c r="AV129" s="256" t="str">
        <f>IF(BedPlan[[#This Row],[Row Cover]],BedPlan[[#This Row],[Actual TP or DS Date]],"")</f>
        <v/>
      </c>
      <c r="AW129" s="34"/>
      <c r="AX129" s="256"/>
      <c r="AY129" s="34"/>
      <c r="AZ129" s="256"/>
      <c r="BA129" s="34"/>
      <c r="BB129" s="256"/>
      <c r="BC129" s="231" cm="1">
        <f t="array" ref="BC129">INDEX(Crops[],BedPlan[[#This Row],[Chart Index]],BC$4,1)*BedPlan[[#This Row],[Full Bed Equivalent]]</f>
        <v>1250</v>
      </c>
      <c r="BD129" s="231" cm="1">
        <f t="array" ref="BD129">INDEX(Crops[],BedPlan[[#This Row],[Chart Index]],BD$4,1)*BedPlan[[#This Row],[Full Bed Equivalent]]</f>
        <v>8.4459459459459456</v>
      </c>
      <c r="BE129" cm="1">
        <f t="array" ref="BE129">INDEX(Crops[],BedPlan[[#This Row],[Chart Index]],BE$4,1)+BedPlan[[#This Row],[Additional Days in Cells]]+BedPlan[[#This Row],[Additional Days In Field]]</f>
        <v>120</v>
      </c>
      <c r="BG129" cm="1">
        <f t="array" ref="BG129">INDEX(Crops[],BedPlan[[#This Row],[Chart Index]],BG$4,1)</f>
        <v>84</v>
      </c>
      <c r="BH129" t="str">
        <f>IF(ISNUMBER(BedPlan[[#This Row],[Planned Greenhouse Start Date]]),"TP","DS")</f>
        <v>TP</v>
      </c>
      <c r="BI129">
        <f>BedPlan[[#This Row],['# Of Beds]]</f>
        <v>0.5</v>
      </c>
      <c r="BJ129" cm="1">
        <f t="array" ref="BJ129">INDEX(Crops[],BedPlan[[#This Row],[Chart Index]],BJ$4,1)</f>
        <v>56</v>
      </c>
      <c r="BK129" cm="1">
        <f t="array" ref="BK129">INDEX(Crops[],BedPlan[[#This Row],[Chart Index]],BK$4,1)</f>
        <v>1</v>
      </c>
      <c r="BL129" cm="1">
        <f t="array" ref="BL129">INDEX(Crops[],BedPlan[[#This Row],[Chart Index]],BL$4,1)</f>
        <v>18</v>
      </c>
      <c r="BM129" cm="1">
        <f t="array" ref="BM129">INDEX(Crops[],BedPlan[[#This Row],[Chart Index]],BM$4,1)</f>
        <v>1</v>
      </c>
      <c r="BN129" s="32" cm="1">
        <f t="array" ref="BN129">INDEX(Crops[],BedPlan[[#This Row],[Chart Index]],BN$4,1)*BedPlan[[#This Row],[Full Bed Equivalent]]</f>
        <v>16.666666666666664</v>
      </c>
      <c r="BO129" t="str" cm="1">
        <f t="array" ref="BO129">IF(INDEX(Crops[],BedPlan[[#This Row],[Chart Index]],BO$4,1)=0,"",INDEX(Crops[],BedPlan[[#This Row],[Chart Index]],BO$4,1))</f>
        <v>DR</v>
      </c>
      <c r="BP129">
        <f>MATCH(BedPlan[[#This Row],[Crop]],Crops[Identifier],FALSE)</f>
        <v>325</v>
      </c>
      <c r="BQ129" t="str" cm="1">
        <f t="array" ref="BQ129">INDEX(Crops[],BedPlan[[#This Row],[Chart Index]],BQ$4,1)</f>
        <v>Beefsteak</v>
      </c>
      <c r="BR129" t="str" cm="1">
        <f t="array" ref="BR129">INDEX(Crops[],BedPlan[[#This Row],[Chart Index]],BR$4,1)</f>
        <v>Su</v>
      </c>
      <c r="BS129" s="32">
        <f>BedPlan[[#This Row],[Expected Beginning of Harvest]]-DATE(2023,1,1)</f>
        <v>941</v>
      </c>
      <c r="BT129">
        <f>BedPlan[[#This Row],[Expected End of Harvest]]-BedPlan[[#This Row],[Expected Beginning of Harvest]]</f>
        <v>84</v>
      </c>
      <c r="BU129" t="str" cm="1">
        <f t="array" ref="BU129">INDEX(Crops[],BedPlan[[#This Row],[Chart Index]],BU$4,1)</f>
        <v>Tomato</v>
      </c>
      <c r="BV129" cm="1">
        <f t="array" ref="BV129">INDEX(Crops[],BedPlan[[#This Row],[Chart Index]],BV$4,1)</f>
        <v>7</v>
      </c>
      <c r="BW129" t="str" cm="1">
        <f t="array" ref="BW129">INDEX(Crops[],BedPlan[[#This Row],[Chart Index]],BW$4,1)</f>
        <v>Young</v>
      </c>
      <c r="BX129" cm="1">
        <f t="array" ref="BX129">INDEX(Crops[],BedPlan[[#This Row],[Chart Index]],BX$4,1)</f>
        <v>72</v>
      </c>
      <c r="BY129" cm="1">
        <f t="array" ref="BY129">INDEX(Crops[],BedPlan[[#This Row],[Chart Index]],BY$4,1)</f>
        <v>21</v>
      </c>
      <c r="BZ129" s="49" cm="1">
        <f t="array" ref="BZ129">IFERROR(INDEX(Crops[],BedPlan[[#This Row],[Chart Index]],BZ$4,1)*BedPlan[[#This Row],[Full Bed Equivalent]],"")</f>
        <v>0.30092592592592587</v>
      </c>
      <c r="CA129" cm="1">
        <f t="array" ref="CA129">INDEX(Crops[],BedPlan[[#This Row],[Chart Index]],CA$4,1)</f>
        <v>18</v>
      </c>
      <c r="CB129" cm="1">
        <f t="array" ref="CB129">INDEX(Crops[],BedPlan[[#This Row],[Chart Index]],CB$4,1)</f>
        <v>21</v>
      </c>
      <c r="CC129" s="49" cm="1">
        <f t="array" ref="CC129">IFERROR(INDEX(Crops[],BedPlan[[#This Row],[Chart Index]],CC$4,1)*BedPlan[[#This Row],[Full Bed Equivalent]],"")</f>
        <v>1.2037037037037035</v>
      </c>
      <c r="CD129" cm="1">
        <f t="array" ref="CD129">INDEX(Crops[],BedPlan[[#This Row],[Chart Index]],CD$4,1)</f>
        <v>9</v>
      </c>
      <c r="CE129" cm="1">
        <f t="array" ref="CE129">IF(INDEX(Crops[],BedPlan[[#This Row],[Chart Index]],CE$4,1)="",0,INDEX(Crops[],BedPlan[[#This Row],[Chart Index]],CE$4,1))</f>
        <v>14</v>
      </c>
      <c r="CF129" s="49" cm="1">
        <f t="array" ref="CF129">IFERROR(INDEX(Crops[],BedPlan[[#This Row],[Chart Index]],CF$4,1)*BedPlan[[#This Row],[Full Bed Equivalent]],"")</f>
        <v>2.407407407407407</v>
      </c>
      <c r="CG129" cm="1">
        <f t="array" ref="CG129">IF(INDEX(Crops[],BedPlan[[#This Row],[Chart Index]],CG$4,1)="",0,INDEX(Crops[],BedPlan[[#This Row],[Chart Index]],CG$4,1))</f>
        <v>1.3</v>
      </c>
      <c r="CH129" cm="1">
        <f t="array" ref="CH129">IF(INDEX(Crops[],BedPlan[[#This Row],[Chart Index]],CH$4,1)="",0,INDEX(Crops[],BedPlan[[#This Row],[Chart Index]],CH$4,1))</f>
        <v>0</v>
      </c>
      <c r="CI129" t="str" cm="1">
        <f t="array" ref="CI129">INDEX(Crops[],BedPlan[[#This Row],[Chart Index]],CI$4,1)</f>
        <v>Greenhouse</v>
      </c>
      <c r="CJ129" s="30" t="str">
        <f>_xlfn.TEXTJOIN(CHAR(10),FALSE,BedPlan[[#This Row],[Name]],BedPlan[[#This Row],[Variety]],BedPlan[[#This Row],[Company]])</f>
        <v xml:space="preserve">Tomato
Large Tomato Mix
</v>
      </c>
      <c r="CK129" s="32">
        <f>MAX( 0, MIN(BedPlan[[#This Row],[Expected End of Harvest]], EOMONTH(CK$4, 0)) - MAX(BedPlan[[#This Row],[Beginning of Harvest]], CK$4) + 1 )</f>
        <v>0</v>
      </c>
      <c r="CL129">
        <f>MAX( 0, MIN(BedPlan[[#This Row],[Expected End of Harvest]], EOMONTH(CL$4, 0)) - MAX(BedPlan[[#This Row],[Beginning of Harvest]], CL$4) + 1 )</f>
        <v>0</v>
      </c>
      <c r="CM129">
        <f>MAX( 0, MIN(BedPlan[[#This Row],[Expected End of Harvest]], EOMONTH(CM$4, 0)) - MAX(BedPlan[[#This Row],[Beginning of Harvest]], CM$4) + 1 )</f>
        <v>0</v>
      </c>
      <c r="CN129">
        <f>MAX( 0, MIN(BedPlan[[#This Row],[Expected End of Harvest]], EOMONTH(CN$4, 0)) - MAX(BedPlan[[#This Row],[Beginning of Harvest]], CN$4) + 1 )</f>
        <v>0</v>
      </c>
      <c r="CO129">
        <f>MAX( 0, MIN(BedPlan[[#This Row],[Expected End of Harvest]], EOMONTH(CO$4, 0)) - MAX(BedPlan[[#This Row],[Beginning of Harvest]], CO$4) + 1 )</f>
        <v>0</v>
      </c>
      <c r="CP129">
        <f>MAX( 0, MIN(BedPlan[[#This Row],[Expected End of Harvest]], EOMONTH(CP$4, 0)) - MAX(BedPlan[[#This Row],[Beginning of Harvest]], CP$4) + 1 )</f>
        <v>0</v>
      </c>
      <c r="CQ129">
        <f>MAX( 0, MIN(BedPlan[[#This Row],[Expected End of Harvest]], EOMONTH(CQ$4, 0)) - MAX(BedPlan[[#This Row],[Beginning of Harvest]], CQ$4) + 1 )</f>
        <v>2</v>
      </c>
      <c r="CR129">
        <f>MAX( 0, MIN(BedPlan[[#This Row],[Expected End of Harvest]], EOMONTH(CR$4, 0)) - MAX(BedPlan[[#This Row],[Beginning of Harvest]], CR$4) + 1 )</f>
        <v>31</v>
      </c>
      <c r="CS129">
        <f>MAX( 0, MIN(BedPlan[[#This Row],[Expected End of Harvest]], EOMONTH(CS$4, 0)) - MAX(BedPlan[[#This Row],[Beginning of Harvest]], CS$4) + 1 )</f>
        <v>30</v>
      </c>
      <c r="CT129">
        <f>MAX( 0, MIN(BedPlan[[#This Row],[Expected End of Harvest]], EOMONTH(CT$4, 0)) - MAX(BedPlan[[#This Row],[Beginning of Harvest]], CT$4) + 1 )</f>
        <v>22</v>
      </c>
      <c r="CU129">
        <f>MAX( 0, MIN(BedPlan[[#This Row],[Expected End of Harvest]], EOMONTH(CU$4, 0)) - MAX(BedPlan[[#This Row],[Beginning of Harvest]], CU$4) + 1 )</f>
        <v>0</v>
      </c>
      <c r="CV129">
        <f>MAX( 0, MIN(BedPlan[[#This Row],[Expected End of Harvest]], EOMONTH(CV$4, 0)) - MAX(BedPlan[[#This Row],[Beginning of Harvest]], CV$4) + 1 )</f>
        <v>0</v>
      </c>
      <c r="CW129">
        <f>MAX( 0, MIN(BedPlan[[#This Row],[Expected End of Harvest]], EOMONTH(CW$4, 0)) - MAX(BedPlan[[#This Row],[Beginning of Harvest]], CW$4) + 1 )</f>
        <v>0</v>
      </c>
      <c r="CX129">
        <f>MAX( 0, MIN(BedPlan[[#This Row],[Expected End of Harvest]], EOMONTH(CX$4, 0)) - MAX(BedPlan[[#This Row],[Beginning of Harvest]], CX$4) + 1 )</f>
        <v>0</v>
      </c>
      <c r="CY129">
        <f>MAX( 0, MIN(BedPlan[[#This Row],[Expected End of Harvest]], EOMONTH(CY$4, 0)) - MAX(BedPlan[[#This Row],[Beginning of Harvest]], CY$4) + 1 )</f>
        <v>0</v>
      </c>
      <c r="CZ129">
        <f>MAX( 0, MIN(BedPlan[[#This Row],[Expected End of Harvest]], EOMONTH(CZ$4, 0)) - MAX(BedPlan[[#This Row],[Beginning of Harvest]], CZ$4) + 1 )</f>
        <v>0</v>
      </c>
      <c r="DA129">
        <f>MAX( 0, MIN(BedPlan[[#This Row],[Expected End of Harvest]], EOMONTH(DA$4, 0)) - MAX(BedPlan[[#This Row],[Beginning of Harvest]], DA$4) + 1 )</f>
        <v>0</v>
      </c>
      <c r="DB129">
        <f>MAX( 0, MIN(BedPlan[[#This Row],[Expected End of Harvest]], EOMONTH(DB$4, 0)) - MAX(BedPlan[[#This Row],[Beginning of Harvest]], DB$4) + 1 )</f>
        <v>0</v>
      </c>
      <c r="DC129">
        <f>MAX( 0, MIN(BedPlan[[#This Row],[Expected End of Harvest]], EOMONTH(DC$4, 0)) - MAX(BedPlan[[#This Row],[Beginning of Harvest]], DC$4) + 1 )</f>
        <v>0</v>
      </c>
      <c r="DD129">
        <f>MAX( 0, MIN(BedPlan[[#This Row],[Expected End of Harvest]], EOMONTH(DD$4, 0)) - MAX(BedPlan[[#This Row],[Beginning of Harvest]], DD$4) + 1 )</f>
        <v>0</v>
      </c>
      <c r="DE129">
        <f>MAX( 0, MIN(BedPlan[[#This Row],[Expected End of Harvest]], EOMONTH(DE$4, 0)) - MAX(BedPlan[[#This Row],[Beginning of Harvest]], DE$4) + 1 )</f>
        <v>0</v>
      </c>
      <c r="DF129">
        <f>MAX( 0, MIN(BedPlan[[#This Row],[Expected End of Harvest]], EOMONTH(DF$4, 0)) - MAX(BedPlan[[#This Row],[Beginning of Harvest]], DF$4) + 1 )</f>
        <v>0</v>
      </c>
      <c r="DG129">
        <f>MAX( 0, MIN(BedPlan[[#This Row],[Expected End of Harvest]], EOMONTH(DG$4, 0)) - MAX(BedPlan[[#This Row],[Beginning of Harvest]], DG$4) + 1 )</f>
        <v>0</v>
      </c>
      <c r="DH129">
        <f>MAX( 0, MIN(BedPlan[[#This Row],[Expected End of Harvest]], EOMONTH(DH$4, 0)) - MAX(BedPlan[[#This Row],[Beginning of Harvest]], DH$4) + 1 )</f>
        <v>0</v>
      </c>
      <c r="DI129" s="257" cm="1">
        <f t="array" ref="DI129">BedPlan[[#This Row],[Harvest Days January 2025]]/SUM(BedPlan[[#This Row],[Harvest Days January 2025]:[Harvest Days December 2026]])*BedPlan[[#This Row],[Revenue]:[Revenue]]</f>
        <v>0</v>
      </c>
      <c r="DJ129" s="257" cm="1">
        <f t="array" ref="DJ129">BedPlan[[#This Row],[Harvest Days February 2025]]/SUM(BedPlan[[#This Row],[Harvest Days January 2025]:[Harvest Days December 2026]])*BedPlan[[#This Row],[Revenue]:[Revenue]]</f>
        <v>0</v>
      </c>
      <c r="DK129" s="257" cm="1">
        <f t="array" ref="DK129">BedPlan[[#This Row],[Harvest Days March 2025]]/SUM(BedPlan[[#This Row],[Harvest Days January 2025]:[Harvest Days December 2026]])*BedPlan[[#This Row],[Revenue]:[Revenue]]</f>
        <v>0</v>
      </c>
      <c r="DL129" s="257" cm="1">
        <f t="array" ref="DL129">BedPlan[[#This Row],[Harvest Days April 2025]]/SUM(BedPlan[[#This Row],[Harvest Days January 2025]:[Harvest Days December 2026]])*BedPlan[[#This Row],[Revenue]:[Revenue]]</f>
        <v>0</v>
      </c>
      <c r="DM129" s="257" cm="1">
        <f t="array" ref="DM129">BedPlan[[#This Row],[Harvest Days May 2025]]/SUM(BedPlan[[#This Row],[Harvest Days January 2025]:[Harvest Days December 2026]])*BedPlan[[#This Row],[Revenue]:[Revenue]]</f>
        <v>0</v>
      </c>
      <c r="DN129" s="257" cm="1">
        <f t="array" ref="DN129">BedPlan[[#This Row],[Harvest Days June 2025]]/SUM(BedPlan[[#This Row],[Harvest Days January 2025]:[Harvest Days December 2026]])*BedPlan[[#This Row],[Revenue]:[Revenue]]</f>
        <v>0</v>
      </c>
      <c r="DO129" s="257" cm="1">
        <f t="array" ref="DO129">BedPlan[[#This Row],[Harvest Days July 2025]]/SUM(BedPlan[[#This Row],[Harvest Days January 2025]:[Harvest Days December 2026]])*BedPlan[[#This Row],[Revenue]:[Revenue]]</f>
        <v>29.411764705882351</v>
      </c>
      <c r="DP129" s="257" cm="1">
        <f t="array" ref="DP129">BedPlan[[#This Row],[Harvest Days August 2025]]/SUM(BedPlan[[#This Row],[Harvest Days January 2025]:[Harvest Days December 2026]])*BedPlan[[#This Row],[Revenue]:[Revenue]]</f>
        <v>455.88235294117646</v>
      </c>
      <c r="DQ129" s="257" cm="1">
        <f t="array" ref="DQ129">BedPlan[[#This Row],[Harvest Days September 2025]]/SUM(BedPlan[[#This Row],[Harvest Days January 2025]:[Harvest Days December 2026]])*BedPlan[[#This Row],[Revenue]:[Revenue]]</f>
        <v>441.1764705882353</v>
      </c>
      <c r="DR129" s="257" cm="1">
        <f t="array" ref="DR129">BedPlan[[#This Row],[Harvest Days October 2025]]/SUM(BedPlan[[#This Row],[Harvest Days January 2025]:[Harvest Days December 2026]])*BedPlan[[#This Row],[Revenue]:[Revenue]]</f>
        <v>323.52941176470591</v>
      </c>
      <c r="DS129" s="257" cm="1">
        <f t="array" ref="DS129">BedPlan[[#This Row],[Harvest Days November 2025]]/SUM(BedPlan[[#This Row],[Harvest Days January 2025]:[Harvest Days December 2026]])*BedPlan[[#This Row],[Revenue]:[Revenue]]</f>
        <v>0</v>
      </c>
      <c r="DT129" s="257" cm="1">
        <f t="array" ref="DT129">BedPlan[[#This Row],[Harvest Days December 2025]]/SUM(BedPlan[[#This Row],[Harvest Days January 2025]:[Harvest Days December 2026]])*BedPlan[[#This Row],[Revenue]:[Revenue]]</f>
        <v>0</v>
      </c>
      <c r="DU129" s="257" cm="1">
        <f t="array" ref="DU129">BedPlan[[#This Row],[Harvest Days January 2026]]/SUM(BedPlan[[#This Row],[Harvest Days January 2025]:[Harvest Days December 2026]])*BedPlan[[#This Row],[Revenue]:[Revenue]]</f>
        <v>0</v>
      </c>
      <c r="DV129" s="257" cm="1">
        <f t="array" ref="DV129">BedPlan[[#This Row],[Harvest Days February 2026]]/SUM(BedPlan[[#This Row],[Harvest Days January 2025]:[Harvest Days December 2026]])*BedPlan[[#This Row],[Revenue]:[Revenue]]</f>
        <v>0</v>
      </c>
      <c r="DW129" s="257" cm="1">
        <f t="array" ref="DW129">BedPlan[[#This Row],[Harvest Days March 2026]]/SUM(BedPlan[[#This Row],[Harvest Days January 2025]:[Harvest Days December 2026]])*BedPlan[[#This Row],[Revenue]:[Revenue]]</f>
        <v>0</v>
      </c>
      <c r="DX129" s="257" cm="1">
        <f t="array" ref="DX129">BedPlan[[#This Row],[Harvest Days April 2026]]/SUM(BedPlan[[#This Row],[Harvest Days January 2025]:[Harvest Days December 2026]])*BedPlan[[#This Row],[Revenue]:[Revenue]]</f>
        <v>0</v>
      </c>
      <c r="DY129" s="257" cm="1">
        <f t="array" ref="DY129">BedPlan[[#This Row],[Harvest Days May 2026]]/SUM(BedPlan[[#This Row],[Harvest Days January 2025]:[Harvest Days December 2026]])*BedPlan[[#This Row],[Revenue]:[Revenue]]</f>
        <v>0</v>
      </c>
      <c r="DZ129" s="257" cm="1">
        <f t="array" ref="DZ129">BedPlan[[#This Row],[Harvest Days June 2026]]/SUM(BedPlan[[#This Row],[Harvest Days January 2025]:[Harvest Days December 2026]])*BedPlan[[#This Row],[Revenue]:[Revenue]]</f>
        <v>0</v>
      </c>
      <c r="EA129" s="257" cm="1">
        <f t="array" ref="EA129">BedPlan[[#This Row],[Harvest Days July 2026]]/SUM(BedPlan[[#This Row],[Harvest Days January 2025]:[Harvest Days December 2026]])*BedPlan[[#This Row],[Revenue]:[Revenue]]</f>
        <v>0</v>
      </c>
      <c r="EB129" s="257" cm="1">
        <f t="array" ref="EB129">BedPlan[[#This Row],[Harvest Days August 2026]]/SUM(BedPlan[[#This Row],[Harvest Days January 2025]:[Harvest Days December 2026]])*BedPlan[[#This Row],[Revenue]:[Revenue]]</f>
        <v>0</v>
      </c>
      <c r="EC129" s="257" cm="1">
        <f t="array" ref="EC129">BedPlan[[#This Row],[Harvest Days September 2026]]/SUM(BedPlan[[#This Row],[Harvest Days January 2025]:[Harvest Days December 2026]])*BedPlan[[#This Row],[Revenue]:[Revenue]]</f>
        <v>0</v>
      </c>
      <c r="ED129" s="257" cm="1">
        <f t="array" ref="ED129">BedPlan[[#This Row],[Harvest Days October 2026]]/SUM(BedPlan[[#This Row],[Harvest Days January 2025]:[Harvest Days December 2026]])*BedPlan[[#This Row],[Revenue]:[Revenue]]</f>
        <v>0</v>
      </c>
      <c r="EE129" s="257" cm="1">
        <f t="array" ref="EE129">BedPlan[[#This Row],[Harvest Days November 2026]]/SUM(BedPlan[[#This Row],[Harvest Days January 2025]:[Harvest Days December 2026]])*BedPlan[[#This Row],[Revenue]:[Revenue]]</f>
        <v>0</v>
      </c>
      <c r="EF129" s="257" cm="1">
        <f t="array" ref="EF129">BedPlan[[#This Row],[Harvest Days December 2026]]/SUM(BedPlan[[#This Row],[Harvest Days January 2025]:[Harvest Days December 2026]])*BedPlan[[#This Row],[Revenue]:[Revenue]]</f>
        <v>0</v>
      </c>
      <c r="EG129" t="b">
        <f>SUM(BedPlan[[#This Row],[Revenue January 2025]:[Revenue December 2026]])=BedPlan[[#This Row],[Revenue]]</f>
        <v>1</v>
      </c>
      <c r="EH129" s="30" cm="1">
        <f t="array" ref="EH129">INDEX(Crops[],BedPlan[[#This Row],[Chart Index]],EH$4,1)*BedPlan[[#This Row],['# Of Beds]]</f>
        <v>250</v>
      </c>
      <c r="EI129" s="30" t="str" cm="1">
        <f t="array" ref="EI129">INDEX(Crops[],BedPlan[[#This Row],[Chart Index]],EI$4,1)</f>
        <v>Lb</v>
      </c>
      <c r="EJ129" s="30" t="str" cm="1">
        <f t="array" ref="EJ129">INDEX(Crops[],BedPlan[[#This Row],[Chart Index]],EJ$4,1)</f>
        <v>Ripe Fruit Large</v>
      </c>
      <c r="EK129" s="30" t="str">
        <f>BedPlan[[#This Row],[Name]]&amp;" "&amp;BedPlan[[#This Row],[Product]]&amp; " - " &amp;BedPlan[[#This Row],[Unit]]</f>
        <v>Tomato Ripe Fruit Large - Lb</v>
      </c>
      <c r="EL129" s="33" cm="1">
        <f t="array" ref="EL129">BedPlan[[#This Row],[Harvest Days January 2025]]/SUM(BedPlan[[#This Row],[Harvest Days January 2025]:[Harvest Days December 2026]])*BedPlan[[#This Row],[Yield]:[Yield]]</f>
        <v>0</v>
      </c>
      <c r="EM129" s="33" cm="1">
        <f t="array" ref="EM129">BedPlan[[#This Row],[Harvest Days February 2025]]/SUM(BedPlan[[#This Row],[Harvest Days January 2025]:[Harvest Days December 2026]])*BedPlan[[#This Row],[Yield]:[Yield]]</f>
        <v>0</v>
      </c>
      <c r="EN129" s="33" cm="1">
        <f t="array" ref="EN129">BedPlan[[#This Row],[Harvest Days March 2025]]/SUM(BedPlan[[#This Row],[Harvest Days January 2025]:[Harvest Days December 2026]])*BedPlan[[#This Row],[Yield]:[Yield]]</f>
        <v>0</v>
      </c>
      <c r="EO129" s="33" cm="1">
        <f t="array" ref="EO129">BedPlan[[#This Row],[Harvest Days April 2025]]/SUM(BedPlan[[#This Row],[Harvest Days January 2025]:[Harvest Days December 2026]])*BedPlan[[#This Row],[Yield]:[Yield]]</f>
        <v>0</v>
      </c>
      <c r="EP129" s="33" cm="1">
        <f t="array" ref="EP129">BedPlan[[#This Row],[Harvest Days May 2025]]/SUM(BedPlan[[#This Row],[Harvest Days January 2025]:[Harvest Days December 2026]])*BedPlan[[#This Row],[Yield]:[Yield]]</f>
        <v>0</v>
      </c>
      <c r="EQ129" s="33" cm="1">
        <f t="array" ref="EQ129">BedPlan[[#This Row],[Harvest Days June 2025]]/SUM(BedPlan[[#This Row],[Harvest Days January 2025]:[Harvest Days December 2026]])*BedPlan[[#This Row],[Yield]:[Yield]]</f>
        <v>0</v>
      </c>
      <c r="ER129" s="33" cm="1">
        <f t="array" ref="ER129">BedPlan[[#This Row],[Harvest Days July 2025]]/SUM(BedPlan[[#This Row],[Harvest Days January 2025]:[Harvest Days December 2026]])*BedPlan[[#This Row],[Yield]:[Yield]]</f>
        <v>5.8823529411764701</v>
      </c>
      <c r="ES129" s="33" cm="1">
        <f t="array" ref="ES129">BedPlan[[#This Row],[Harvest Days August 2025]]/SUM(BedPlan[[#This Row],[Harvest Days January 2025]:[Harvest Days December 2026]])*BedPlan[[#This Row],[Yield]:[Yield]]</f>
        <v>91.17647058823529</v>
      </c>
      <c r="ET129" s="33" cm="1">
        <f t="array" ref="ET129">BedPlan[[#This Row],[Harvest Days September 2025]]/SUM(BedPlan[[#This Row],[Harvest Days January 2025]:[Harvest Days December 2026]])*BedPlan[[#This Row],[Yield]:[Yield]]</f>
        <v>88.235294117647058</v>
      </c>
      <c r="EU129" s="33" cm="1">
        <f t="array" ref="EU129">BedPlan[[#This Row],[Harvest Days October 2025]]/SUM(BedPlan[[#This Row],[Harvest Days January 2025]:[Harvest Days December 2026]])*BedPlan[[#This Row],[Yield]:[Yield]]</f>
        <v>64.705882352941188</v>
      </c>
      <c r="EV129" s="33" cm="1">
        <f t="array" ref="EV129">BedPlan[[#This Row],[Harvest Days November 2025]]/SUM(BedPlan[[#This Row],[Harvest Days January 2025]:[Harvest Days December 2026]])*BedPlan[[#This Row],[Yield]:[Yield]]</f>
        <v>0</v>
      </c>
      <c r="EW129" s="33" cm="1">
        <f t="array" ref="EW129">BedPlan[[#This Row],[Harvest Days December 2025]]/SUM(BedPlan[[#This Row],[Harvest Days January 2025]:[Harvest Days December 2026]])*BedPlan[[#This Row],[Yield]:[Yield]]</f>
        <v>0</v>
      </c>
    </row>
    <row r="130" spans="1:153" ht="15" customHeight="1">
      <c r="A130" s="190" t="s">
        <v>3049</v>
      </c>
      <c r="B130" s="240" t="s">
        <v>3007</v>
      </c>
      <c r="C130" t="s">
        <v>3256</v>
      </c>
      <c r="D130" s="226" cm="1">
        <f t="array" ref="D130">INDEX(Crops[],BedPlan[[#This Row],[Chart Index]],D$4,1)*BedPlan[[#This Row],[Full Bed Equivalent]]</f>
        <v>222.22222222222226</v>
      </c>
      <c r="E130" s="226" cm="1">
        <f t="array" ref="E130">INDEX(Crops[],BedPlan[[#This Row],[Chart Index]],E$4,1)*BedPlan[[#This Row],[Full Bed Equivalent]]</f>
        <v>3111.1111111111113</v>
      </c>
      <c r="F130" t="str">
        <f>UPPER(LEFT(BedPlan[[#This Row],[Crop]],3))</f>
        <v>TOM</v>
      </c>
      <c r="H130" s="143" t="str" cm="1">
        <f t="array" ref="H130">INDEX(Crops[],BedPlan[[#This Row],[Chart Index]],H$4,1)</f>
        <v>Tomato</v>
      </c>
      <c r="I130" s="268" t="s">
        <v>3042</v>
      </c>
      <c r="K130" s="34" t="str" cm="1">
        <f t="array" ref="K130">IF(ISNUMBER(MATCH(BedPlan[[#This Row],[Variety]],SeedMixes[Name],)),_xlfn.TEXTJOIN(", ",TRUE,_xlfn._xlws.FILTER(SeedMixes[Variety &amp; Company],SeedMixes[Name]=BedPlan[[#This Row],[Variety]])),"")</f>
        <v>42-Day A H Whaley, Early Cherry Territorial, Cherry Falls A P Whaley, Washington Cherry Johnny's, Dynamite Delight Wild Board Farm, Emerald Flame Wild Board Farm, Limelight Wild Board Farm, Golden Hour Wild Board Farm</v>
      </c>
      <c r="L130" s="33" cm="1">
        <f t="array" ref="L130">INDEX(Crops[],BedPlan[[#This Row],[Chart Index]],L$4,1)*BedPlan[[#This Row],[Full Bed Equivalent]]</f>
        <v>260</v>
      </c>
      <c r="N130">
        <v>8</v>
      </c>
      <c r="O130">
        <v>1</v>
      </c>
      <c r="P130" s="31">
        <f>IF(ISNUMBER(BedPlan[[#This Row],[Planned Greenhouse Start Date]]),BedPlan[[#This Row],[Planned Greenhouse Start Date]],BedPlan[[#This Row],[Planned TP or DS Date]])</f>
        <v>45752</v>
      </c>
      <c r="Q130" s="259">
        <f>IF(BedPlan[[#This Row],[Days in Cells]]=0,"",IFERROR(_xlfn.XLOOKUP(BedPlan[[#This Row],[Follows Crop]],BedPlan[Identifier],BedPlan[Expected End of Harvest]) + 1+BedPlan[[#This Row],[Follow Offset]],BedPlan[[#This Row],[Fixed Field Start Date]])-BedPlan[[#This Row],[Days in Cells]])</f>
        <v>45752</v>
      </c>
      <c r="R130" s="259">
        <v>45763</v>
      </c>
      <c r="S130" s="259">
        <f>IF(ISNUMBER(BedPlan[[#This Row],[Actual Greenhouse Date]]),BedPlan[[#This Row],[Actual Greenhouse Date]],BedPlan[[#This Row],[Planned Greenhouse Start Date]])</f>
        <v>45763</v>
      </c>
      <c r="T130" s="259">
        <v>45808</v>
      </c>
      <c r="U130" s="260"/>
      <c r="V130" s="260"/>
      <c r="W13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0" s="259">
        <v>45823</v>
      </c>
      <c r="Y130" s="271">
        <f>BedPlan[[#This Row],[Actual TP or DS Date]]-BedPlan[[#This Row],[Planned TP or DS Date]]</f>
        <v>4</v>
      </c>
      <c r="Z130" s="259">
        <f>IF(ISNUMBER(BedPlan[[#This Row],[Actual TP or DS Date]]),BedPlan[[#This Row],[Actual TP or DS Date]],BedPlan[[#This Row],[Planned TP or DS Date]])</f>
        <v>45823</v>
      </c>
      <c r="AA130" s="259"/>
      <c r="AB130" s="259">
        <f>IF(ISNUMBER(BedPlan[[#This Row],[Greenhouse Start Date]]),BedPlan[[#This Row],[Greenhouse Start Date]]+BedPlan[[#This Row],[DTM]],BedPlan[[#This Row],[TP or DS Date]]+BedPlan[[#This Row],[DTM]])</f>
        <v>45889</v>
      </c>
      <c r="AC130" s="259"/>
      <c r="AD130" s="259">
        <f>IF(ISNUMBER(BedPlan[[#This Row],[Actual Beginning of Harvest]]),BedPlan[[#This Row],[Actual Beginning of Harvest]],BedPlan[[#This Row],[Expected Beginning of Harvest]])</f>
        <v>45889</v>
      </c>
      <c r="AE130" s="259">
        <f>BedPlan[[#This Row],[Expected Beginning of Harvest]]+BedPlan[[#This Row],[Harvest Window]]+BedPlan[[#This Row],[Additional Days of Harvest]]</f>
        <v>45987</v>
      </c>
      <c r="AF130" s="259"/>
      <c r="AG130" s="259"/>
      <c r="AH130" s="34" t="b">
        <f>IF(AND( BedPlan[[#This Row],[Expected End of Harvest]] &gt;= DATE(2025, 8, 1), BedPlan[[#This Row],[Beginning of Harvest]] &lt;= DATE(2025, 8, 31) ), TRUE, FALSE)</f>
        <v>1</v>
      </c>
      <c r="AI130" s="31"/>
      <c r="AJ130" s="31">
        <f>IF(ISNUMBER(BedPlan[[#This Row],[Actual End of Harvest]]),BedPlan[[#This Row],[Actual End of Harvest]],BedPlan[[#This Row],[Expected End of Harvest]])</f>
        <v>45987</v>
      </c>
      <c r="AK130" t="b">
        <f>OR(ISNUMBER(BedPlan[[#This Row],[Actual Greenhouse Date]]),ISNUMBER(BedPlan[[#This Row],[Actual TP or DS Date]]))</f>
        <v>1</v>
      </c>
      <c r="AL130" t="b">
        <f>IF(ISNUMBER(BedPlan[[#This Row],[Planned Greenhouse Start Date]]),OR(ISNUMBER(BedPlan[[#This Row],[Actual TP or DS Date]]),BedPlan[[#This Row],[Failed]]),"-")</f>
        <v>1</v>
      </c>
      <c r="AM130" t="b">
        <f>OR(ISNUMBER(BedPlan[[#This Row],[Actual End of Harvest]]),BedPlan[[#This Row],[Failed]])</f>
        <v>0</v>
      </c>
      <c r="AN130" t="b">
        <f>OR(BedPlan[[#This Row],[Harvest Done]],BedPlan[[#This Row],[Failed]],BedPlan[[#This Row],[Name]]="Tarp")</f>
        <v>0</v>
      </c>
      <c r="AQ130" t="s">
        <v>3237</v>
      </c>
      <c r="AS130" s="26" t="str">
        <f>IF(BedPlan[[#This Row],[Broadfork]],BedPlan[[#This Row],[Actual TP or DS Date]],"")</f>
        <v/>
      </c>
      <c r="AT130" s="26" t="str">
        <f>IF(BedPlan[[#This Row],[Tilther]],BedPlan[[#This Row],[Actual TP or DS Date]],"")</f>
        <v/>
      </c>
      <c r="AU130" s="26">
        <f>IF(NOT(ISBLANK(BedPlan[[#This Row],[Amend]])),BedPlan[[#This Row],[Actual TP or DS Date]],"")</f>
        <v>45823</v>
      </c>
      <c r="AV130" s="26" t="str">
        <f>IF(BedPlan[[#This Row],[Row Cover]],BedPlan[[#This Row],[Actual TP or DS Date]],"")</f>
        <v/>
      </c>
      <c r="AX130" s="26"/>
      <c r="AZ130" s="26"/>
      <c r="BB130" s="26"/>
      <c r="BC130" s="36" cm="1">
        <f t="array" ref="BC130">INDEX(Crops[],BedPlan[[#This Row],[Chart Index]],BC$4,1)*BedPlan[[#This Row],[Full Bed Equivalent]]</f>
        <v>16333.333333333334</v>
      </c>
      <c r="BD130" s="36" cm="1">
        <f t="array" ref="BD130">INDEX(Crops[],BedPlan[[#This Row],[Chart Index]],BD$4,1)*BedPlan[[#This Row],[Full Bed Equivalent]]</f>
        <v>97.222222222222229</v>
      </c>
      <c r="BE130" cm="1">
        <f t="array" ref="BE130">INDEX(Crops[],BedPlan[[#This Row],[Chart Index]],BE$4,1)+BedPlan[[#This Row],[Additional Days in Cells]]+BedPlan[[#This Row],[Additional Days In Field]]</f>
        <v>126</v>
      </c>
      <c r="BG130" cm="1">
        <f t="array" ref="BG130">INDEX(Crops[],BedPlan[[#This Row],[Chart Index]],BG$4,1)</f>
        <v>98</v>
      </c>
      <c r="BH130" t="str">
        <f>IF(ISNUMBER(BedPlan[[#This Row],[Planned Greenhouse Start Date]]),"TP","DS")</f>
        <v>TP</v>
      </c>
      <c r="BI130">
        <f>BedPlan[[#This Row],['# Of Beds]]</f>
        <v>8</v>
      </c>
      <c r="BJ130" cm="1">
        <f t="array" ref="BJ130">INDEX(Crops[],BedPlan[[#This Row],[Chart Index]],BJ$4,1)</f>
        <v>56</v>
      </c>
      <c r="BK130" cm="1">
        <f t="array" ref="BK130">INDEX(Crops[],BedPlan[[#This Row],[Chart Index]],BK$4,1)</f>
        <v>1</v>
      </c>
      <c r="BL130" cm="1">
        <f t="array" ref="BL130">INDEX(Crops[],BedPlan[[#This Row],[Chart Index]],BL$4,1)</f>
        <v>24</v>
      </c>
      <c r="BM130" cm="1">
        <f t="array" ref="BM130">INDEX(Crops[],BedPlan[[#This Row],[Chart Index]],BM$4,1)</f>
        <v>1</v>
      </c>
      <c r="BN130" s="32" cm="1">
        <f t="array" ref="BN130">INDEX(Crops[],BedPlan[[#This Row],[Chart Index]],BN$4,1)*BedPlan[[#This Row],[Full Bed Equivalent]]</f>
        <v>200</v>
      </c>
      <c r="BO130" t="str" cm="1">
        <f t="array" ref="BO130">IF(INDEX(Crops[],BedPlan[[#This Row],[Chart Index]],BO$4,1)=0,"",INDEX(Crops[],BedPlan[[#This Row],[Chart Index]],BO$4,1))</f>
        <v>DR</v>
      </c>
      <c r="BP130">
        <f>MATCH(BedPlan[[#This Row],[Crop]],Crops[Identifier],FALSE)</f>
        <v>327</v>
      </c>
      <c r="BQ130" t="str" cm="1">
        <f t="array" ref="BQ130">INDEX(Crops[],BedPlan[[#This Row],[Chart Index]],BQ$4,1)</f>
        <v>Cherry Det</v>
      </c>
      <c r="BR130" t="str" cm="1">
        <f t="array" ref="BR130">INDEX(Crops[],BedPlan[[#This Row],[Chart Index]],BR$4,1)</f>
        <v>Su</v>
      </c>
      <c r="BS130" s="32">
        <f>BedPlan[[#This Row],[Expected Beginning of Harvest]]-DATE(2023,1,1)</f>
        <v>962</v>
      </c>
      <c r="BT130">
        <f>BedPlan[[#This Row],[Expected End of Harvest]]-BedPlan[[#This Row],[Expected Beginning of Harvest]]</f>
        <v>98</v>
      </c>
      <c r="BU130" t="str" cm="1">
        <f t="array" ref="BU130">INDEX(Crops[],BedPlan[[#This Row],[Chart Index]],BU$4,1)</f>
        <v>Tomato</v>
      </c>
      <c r="BV130" cm="1">
        <f t="array" ref="BV130">INDEX(Crops[],BedPlan[[#This Row],[Chart Index]],BV$4,1)</f>
        <v>5</v>
      </c>
      <c r="BW130" t="str" cm="1">
        <f t="array" ref="BW130">INDEX(Crops[],BedPlan[[#This Row],[Chart Index]],BW$4,1)</f>
        <v>Young</v>
      </c>
      <c r="BX130" cm="1">
        <f t="array" ref="BX130">INDEX(Crops[],BedPlan[[#This Row],[Chart Index]],BX$4,1)</f>
        <v>72</v>
      </c>
      <c r="BY130" cm="1">
        <f t="array" ref="BY130">INDEX(Crops[],BedPlan[[#This Row],[Chart Index]],BY$4,1)</f>
        <v>21</v>
      </c>
      <c r="BZ130" s="49" cm="1">
        <f t="array" ref="BZ130">IFERROR(INDEX(Crops[],BedPlan[[#This Row],[Chart Index]],BZ$4,1)*BedPlan[[#This Row],[Full Bed Equivalent]],"")</f>
        <v>3.6111111111111112</v>
      </c>
      <c r="CA130" cm="1">
        <f t="array" ref="CA130">INDEX(Crops[],BedPlan[[#This Row],[Chart Index]],CA$4,1)</f>
        <v>18</v>
      </c>
      <c r="CB130" cm="1">
        <f t="array" ref="CB130">INDEX(Crops[],BedPlan[[#This Row],[Chart Index]],CB$4,1)</f>
        <v>21</v>
      </c>
      <c r="CC130" s="49" cm="1">
        <f t="array" ref="CC130">IFERROR(INDEX(Crops[],BedPlan[[#This Row],[Chart Index]],CC$4,1)*BedPlan[[#This Row],[Full Bed Equivalent]],"")</f>
        <v>14.444444444444445</v>
      </c>
      <c r="CD130" cm="1">
        <f t="array" ref="CD130">INDEX(Crops[],BedPlan[[#This Row],[Chart Index]],CD$4,1)</f>
        <v>9</v>
      </c>
      <c r="CE130" cm="1">
        <f t="array" ref="CE130">IF(INDEX(Crops[],BedPlan[[#This Row],[Chart Index]],CE$4,1)="",0,INDEX(Crops[],BedPlan[[#This Row],[Chart Index]],CE$4,1))</f>
        <v>14</v>
      </c>
      <c r="CF130" s="49" cm="1">
        <f t="array" ref="CF130">IFERROR(INDEX(Crops[],BedPlan[[#This Row],[Chart Index]],CF$4,1)*BedPlan[[#This Row],[Full Bed Equivalent]],"")</f>
        <v>28.888888888888889</v>
      </c>
      <c r="CG130" cm="1">
        <f t="array" ref="CG130">IF(INDEX(Crops[],BedPlan[[#This Row],[Chart Index]],CG$4,1)="",0,INDEX(Crops[],BedPlan[[#This Row],[Chart Index]],CG$4,1))</f>
        <v>1.3</v>
      </c>
      <c r="CH130" cm="1">
        <f t="array" ref="CH130">IF(INDEX(Crops[],BedPlan[[#This Row],[Chart Index]],CH$4,1)="",0,INDEX(Crops[],BedPlan[[#This Row],[Chart Index]],CH$4,1))</f>
        <v>0</v>
      </c>
      <c r="CI130" t="str" cm="1">
        <f t="array" ref="CI130">INDEX(Crops[],BedPlan[[#This Row],[Chart Index]],CI$4,1)</f>
        <v>Field</v>
      </c>
      <c r="CJ130" t="str">
        <f>_xlfn.TEXTJOIN(CHAR(10),FALSE,BedPlan[[#This Row],[Name]],BedPlan[[#This Row],[Variety]],BedPlan[[#This Row],[Company]])</f>
        <v xml:space="preserve">Tomato
Determinate Cherry Mix
</v>
      </c>
      <c r="CK130" s="32">
        <f>MAX( 0, MIN(BedPlan[[#This Row],[Expected End of Harvest]], EOMONTH(CK$4, 0)) - MAX(BedPlan[[#This Row],[Beginning of Harvest]], CK$4) + 1 )</f>
        <v>0</v>
      </c>
      <c r="CL130">
        <f>MAX( 0, MIN(BedPlan[[#This Row],[Expected End of Harvest]], EOMONTH(CL$4, 0)) - MAX(BedPlan[[#This Row],[Beginning of Harvest]], CL$4) + 1 )</f>
        <v>0</v>
      </c>
      <c r="CM130">
        <f>MAX( 0, MIN(BedPlan[[#This Row],[Expected End of Harvest]], EOMONTH(CM$4, 0)) - MAX(BedPlan[[#This Row],[Beginning of Harvest]], CM$4) + 1 )</f>
        <v>0</v>
      </c>
      <c r="CN130">
        <f>MAX( 0, MIN(BedPlan[[#This Row],[Expected End of Harvest]], EOMONTH(CN$4, 0)) - MAX(BedPlan[[#This Row],[Beginning of Harvest]], CN$4) + 1 )</f>
        <v>0</v>
      </c>
      <c r="CO130">
        <f>MAX( 0, MIN(BedPlan[[#This Row],[Expected End of Harvest]], EOMONTH(CO$4, 0)) - MAX(BedPlan[[#This Row],[Beginning of Harvest]], CO$4) + 1 )</f>
        <v>0</v>
      </c>
      <c r="CP130">
        <f>MAX( 0, MIN(BedPlan[[#This Row],[Expected End of Harvest]], EOMONTH(CP$4, 0)) - MAX(BedPlan[[#This Row],[Beginning of Harvest]], CP$4) + 1 )</f>
        <v>0</v>
      </c>
      <c r="CQ130">
        <f>MAX( 0, MIN(BedPlan[[#This Row],[Expected End of Harvest]], EOMONTH(CQ$4, 0)) - MAX(BedPlan[[#This Row],[Beginning of Harvest]], CQ$4) + 1 )</f>
        <v>0</v>
      </c>
      <c r="CR130">
        <f>MAX( 0, MIN(BedPlan[[#This Row],[Expected End of Harvest]], EOMONTH(CR$4, 0)) - MAX(BedPlan[[#This Row],[Beginning of Harvest]], CR$4) + 1 )</f>
        <v>12</v>
      </c>
      <c r="CS130">
        <f>MAX( 0, MIN(BedPlan[[#This Row],[Expected End of Harvest]], EOMONTH(CS$4, 0)) - MAX(BedPlan[[#This Row],[Beginning of Harvest]], CS$4) + 1 )</f>
        <v>30</v>
      </c>
      <c r="CT130">
        <f>MAX( 0, MIN(BedPlan[[#This Row],[Expected End of Harvest]], EOMONTH(CT$4, 0)) - MAX(BedPlan[[#This Row],[Beginning of Harvest]], CT$4) + 1 )</f>
        <v>31</v>
      </c>
      <c r="CU130">
        <f>MAX( 0, MIN(BedPlan[[#This Row],[Expected End of Harvest]], EOMONTH(CU$4, 0)) - MAX(BedPlan[[#This Row],[Beginning of Harvest]], CU$4) + 1 )</f>
        <v>26</v>
      </c>
      <c r="CV130">
        <f>MAX( 0, MIN(BedPlan[[#This Row],[Expected End of Harvest]], EOMONTH(CV$4, 0)) - MAX(BedPlan[[#This Row],[Beginning of Harvest]], CV$4) + 1 )</f>
        <v>0</v>
      </c>
      <c r="CW130">
        <f>MAX( 0, MIN(BedPlan[[#This Row],[Expected End of Harvest]], EOMONTH(CW$4, 0)) - MAX(BedPlan[[#This Row],[Beginning of Harvest]], CW$4) + 1 )</f>
        <v>0</v>
      </c>
      <c r="CX130">
        <f>MAX( 0, MIN(BedPlan[[#This Row],[Expected End of Harvest]], EOMONTH(CX$4, 0)) - MAX(BedPlan[[#This Row],[Beginning of Harvest]], CX$4) + 1 )</f>
        <v>0</v>
      </c>
      <c r="CY130">
        <f>MAX( 0, MIN(BedPlan[[#This Row],[Expected End of Harvest]], EOMONTH(CY$4, 0)) - MAX(BedPlan[[#This Row],[Beginning of Harvest]], CY$4) + 1 )</f>
        <v>0</v>
      </c>
      <c r="CZ130">
        <f>MAX( 0, MIN(BedPlan[[#This Row],[Expected End of Harvest]], EOMONTH(CZ$4, 0)) - MAX(BedPlan[[#This Row],[Beginning of Harvest]], CZ$4) + 1 )</f>
        <v>0</v>
      </c>
      <c r="DA130">
        <f>MAX( 0, MIN(BedPlan[[#This Row],[Expected End of Harvest]], EOMONTH(DA$4, 0)) - MAX(BedPlan[[#This Row],[Beginning of Harvest]], DA$4) + 1 )</f>
        <v>0</v>
      </c>
      <c r="DB130">
        <f>MAX( 0, MIN(BedPlan[[#This Row],[Expected End of Harvest]], EOMONTH(DB$4, 0)) - MAX(BedPlan[[#This Row],[Beginning of Harvest]], DB$4) + 1 )</f>
        <v>0</v>
      </c>
      <c r="DC130">
        <f>MAX( 0, MIN(BedPlan[[#This Row],[Expected End of Harvest]], EOMONTH(DC$4, 0)) - MAX(BedPlan[[#This Row],[Beginning of Harvest]], DC$4) + 1 )</f>
        <v>0</v>
      </c>
      <c r="DD130">
        <f>MAX( 0, MIN(BedPlan[[#This Row],[Expected End of Harvest]], EOMONTH(DD$4, 0)) - MAX(BedPlan[[#This Row],[Beginning of Harvest]], DD$4) + 1 )</f>
        <v>0</v>
      </c>
      <c r="DE130">
        <f>MAX( 0, MIN(BedPlan[[#This Row],[Expected End of Harvest]], EOMONTH(DE$4, 0)) - MAX(BedPlan[[#This Row],[Beginning of Harvest]], DE$4) + 1 )</f>
        <v>0</v>
      </c>
      <c r="DF130">
        <f>MAX( 0, MIN(BedPlan[[#This Row],[Expected End of Harvest]], EOMONTH(DF$4, 0)) - MAX(BedPlan[[#This Row],[Beginning of Harvest]], DF$4) + 1 )</f>
        <v>0</v>
      </c>
      <c r="DG130">
        <f>MAX( 0, MIN(BedPlan[[#This Row],[Expected End of Harvest]], EOMONTH(DG$4, 0)) - MAX(BedPlan[[#This Row],[Beginning of Harvest]], DG$4) + 1 )</f>
        <v>0</v>
      </c>
      <c r="DH130">
        <f>MAX( 0, MIN(BedPlan[[#This Row],[Expected End of Harvest]], EOMONTH(DH$4, 0)) - MAX(BedPlan[[#This Row],[Beginning of Harvest]], DH$4) + 1 )</f>
        <v>0</v>
      </c>
      <c r="DI130" s="257" cm="1">
        <f t="array" ref="DI130">BedPlan[[#This Row],[Harvest Days January 2025]]/SUM(BedPlan[[#This Row],[Harvest Days January 2025]:[Harvest Days December 2026]])*BedPlan[[#This Row],[Revenue]:[Revenue]]</f>
        <v>0</v>
      </c>
      <c r="DJ130" s="257" cm="1">
        <f t="array" ref="DJ130">BedPlan[[#This Row],[Harvest Days February 2025]]/SUM(BedPlan[[#This Row],[Harvest Days January 2025]:[Harvest Days December 2026]])*BedPlan[[#This Row],[Revenue]:[Revenue]]</f>
        <v>0</v>
      </c>
      <c r="DK130" s="257" cm="1">
        <f t="array" ref="DK130">BedPlan[[#This Row],[Harvest Days March 2025]]/SUM(BedPlan[[#This Row],[Harvest Days January 2025]:[Harvest Days December 2026]])*BedPlan[[#This Row],[Revenue]:[Revenue]]</f>
        <v>0</v>
      </c>
      <c r="DL130" s="257" cm="1">
        <f t="array" ref="DL130">BedPlan[[#This Row],[Harvest Days April 2025]]/SUM(BedPlan[[#This Row],[Harvest Days January 2025]:[Harvest Days December 2026]])*BedPlan[[#This Row],[Revenue]:[Revenue]]</f>
        <v>0</v>
      </c>
      <c r="DM130" s="257" cm="1">
        <f t="array" ref="DM130">BedPlan[[#This Row],[Harvest Days May 2025]]/SUM(BedPlan[[#This Row],[Harvest Days January 2025]:[Harvest Days December 2026]])*BedPlan[[#This Row],[Revenue]:[Revenue]]</f>
        <v>0</v>
      </c>
      <c r="DN130" s="257" cm="1">
        <f t="array" ref="DN130">BedPlan[[#This Row],[Harvest Days June 2025]]/SUM(BedPlan[[#This Row],[Harvest Days January 2025]:[Harvest Days December 2026]])*BedPlan[[#This Row],[Revenue]:[Revenue]]</f>
        <v>0</v>
      </c>
      <c r="DO130" s="257" cm="1">
        <f t="array" ref="DO130">BedPlan[[#This Row],[Harvest Days July 2025]]/SUM(BedPlan[[#This Row],[Harvest Days January 2025]:[Harvest Days December 2026]])*BedPlan[[#This Row],[Revenue]:[Revenue]]</f>
        <v>0</v>
      </c>
      <c r="DP130" s="257" cm="1">
        <f t="array" ref="DP130">BedPlan[[#This Row],[Harvest Days August 2025]]/SUM(BedPlan[[#This Row],[Harvest Days January 2025]:[Harvest Days December 2026]])*BedPlan[[#This Row],[Revenue]:[Revenue]]</f>
        <v>1979.7979797979799</v>
      </c>
      <c r="DQ130" s="257" cm="1">
        <f t="array" ref="DQ130">BedPlan[[#This Row],[Harvest Days September 2025]]/SUM(BedPlan[[#This Row],[Harvest Days January 2025]:[Harvest Days December 2026]])*BedPlan[[#This Row],[Revenue]:[Revenue]]</f>
        <v>4949.4949494949497</v>
      </c>
      <c r="DR130" s="257" cm="1">
        <f t="array" ref="DR130">BedPlan[[#This Row],[Harvest Days October 2025]]/SUM(BedPlan[[#This Row],[Harvest Days January 2025]:[Harvest Days December 2026]])*BedPlan[[#This Row],[Revenue]:[Revenue]]</f>
        <v>5114.4781144781145</v>
      </c>
      <c r="DS130" s="257" cm="1">
        <f t="array" ref="DS130">BedPlan[[#This Row],[Harvest Days November 2025]]/SUM(BedPlan[[#This Row],[Harvest Days January 2025]:[Harvest Days December 2026]])*BedPlan[[#This Row],[Revenue]:[Revenue]]</f>
        <v>4289.5622895622901</v>
      </c>
      <c r="DT130" s="257" cm="1">
        <f t="array" ref="DT130">BedPlan[[#This Row],[Harvest Days December 2025]]/SUM(BedPlan[[#This Row],[Harvest Days January 2025]:[Harvest Days December 2026]])*BedPlan[[#This Row],[Revenue]:[Revenue]]</f>
        <v>0</v>
      </c>
      <c r="DU130" s="257" cm="1">
        <f t="array" ref="DU130">BedPlan[[#This Row],[Harvest Days January 2026]]/SUM(BedPlan[[#This Row],[Harvest Days January 2025]:[Harvest Days December 2026]])*BedPlan[[#This Row],[Revenue]:[Revenue]]</f>
        <v>0</v>
      </c>
      <c r="DV130" s="257" cm="1">
        <f t="array" ref="DV130">BedPlan[[#This Row],[Harvest Days February 2026]]/SUM(BedPlan[[#This Row],[Harvest Days January 2025]:[Harvest Days December 2026]])*BedPlan[[#This Row],[Revenue]:[Revenue]]</f>
        <v>0</v>
      </c>
      <c r="DW130" s="257" cm="1">
        <f t="array" ref="DW130">BedPlan[[#This Row],[Harvest Days March 2026]]/SUM(BedPlan[[#This Row],[Harvest Days January 2025]:[Harvest Days December 2026]])*BedPlan[[#This Row],[Revenue]:[Revenue]]</f>
        <v>0</v>
      </c>
      <c r="DX130" s="257" cm="1">
        <f t="array" ref="DX130">BedPlan[[#This Row],[Harvest Days April 2026]]/SUM(BedPlan[[#This Row],[Harvest Days January 2025]:[Harvest Days December 2026]])*BedPlan[[#This Row],[Revenue]:[Revenue]]</f>
        <v>0</v>
      </c>
      <c r="DY130" cm="1">
        <f t="array" ref="DY130">BedPlan[[#This Row],[Harvest Days May 2026]]/SUM(BedPlan[[#This Row],[Harvest Days January 2025]:[Harvest Days December 2026]])*BedPlan[[#This Row],[Revenue]:[Revenue]]</f>
        <v>0</v>
      </c>
      <c r="DZ130" cm="1">
        <f t="array" ref="DZ130">BedPlan[[#This Row],[Harvest Days June 2026]]/SUM(BedPlan[[#This Row],[Harvest Days January 2025]:[Harvest Days December 2026]])*BedPlan[[#This Row],[Revenue]:[Revenue]]</f>
        <v>0</v>
      </c>
      <c r="EA130" cm="1">
        <f t="array" ref="EA130">BedPlan[[#This Row],[Harvest Days July 2026]]/SUM(BedPlan[[#This Row],[Harvest Days January 2025]:[Harvest Days December 2026]])*BedPlan[[#This Row],[Revenue]:[Revenue]]</f>
        <v>0</v>
      </c>
      <c r="EB130" cm="1">
        <f t="array" ref="EB130">BedPlan[[#This Row],[Harvest Days August 2026]]/SUM(BedPlan[[#This Row],[Harvest Days January 2025]:[Harvest Days December 2026]])*BedPlan[[#This Row],[Revenue]:[Revenue]]</f>
        <v>0</v>
      </c>
      <c r="EC130" cm="1">
        <f t="array" ref="EC130">BedPlan[[#This Row],[Harvest Days September 2026]]/SUM(BedPlan[[#This Row],[Harvest Days January 2025]:[Harvest Days December 2026]])*BedPlan[[#This Row],[Revenue]:[Revenue]]</f>
        <v>0</v>
      </c>
      <c r="ED130" cm="1">
        <f t="array" ref="ED130">BedPlan[[#This Row],[Harvest Days October 2026]]/SUM(BedPlan[[#This Row],[Harvest Days January 2025]:[Harvest Days December 2026]])*BedPlan[[#This Row],[Revenue]:[Revenue]]</f>
        <v>0</v>
      </c>
      <c r="EE130" cm="1">
        <f t="array" ref="EE130">BedPlan[[#This Row],[Harvest Days November 2026]]/SUM(BedPlan[[#This Row],[Harvest Days January 2025]:[Harvest Days December 2026]])*BedPlan[[#This Row],[Revenue]:[Revenue]]</f>
        <v>0</v>
      </c>
      <c r="EF130" cm="1">
        <f t="array" ref="EF130">BedPlan[[#This Row],[Harvest Days December 2026]]/SUM(BedPlan[[#This Row],[Harvest Days January 2025]:[Harvest Days December 2026]])*BedPlan[[#This Row],[Revenue]:[Revenue]]</f>
        <v>0</v>
      </c>
      <c r="EG130" t="b">
        <f>SUM(BedPlan[[#This Row],[Revenue January 2025]:[Revenue December 2026]])=BedPlan[[#This Row],[Revenue]]</f>
        <v>1</v>
      </c>
      <c r="EH130" cm="1">
        <f t="array" ref="EH130">INDEX(Crops[],BedPlan[[#This Row],[Chart Index]],EH$4,1)*BedPlan[[#This Row],['# Of Beds]]</f>
        <v>2333.3333333333335</v>
      </c>
      <c r="EI130" t="str" cm="1">
        <f t="array" ref="EI130">INDEX(Crops[],BedPlan[[#This Row],[Chart Index]],EI$4,1)</f>
        <v>Lb</v>
      </c>
      <c r="EJ130" t="str" cm="1">
        <f t="array" ref="EJ130">INDEX(Crops[],BedPlan[[#This Row],[Chart Index]],EJ$4,1)</f>
        <v>Ripe Fruit Small</v>
      </c>
      <c r="EK130" t="str">
        <f>BedPlan[[#This Row],[Name]]&amp;" "&amp;BedPlan[[#This Row],[Product]]&amp; " - " &amp;BedPlan[[#This Row],[Unit]]</f>
        <v>Tomato Ripe Fruit Small - Lb</v>
      </c>
      <c r="EL130" s="33" cm="1">
        <f t="array" ref="EL130">BedPlan[[#This Row],[Harvest Days January 2025]]/SUM(BedPlan[[#This Row],[Harvest Days January 2025]:[Harvest Days December 2026]])*BedPlan[[#This Row],[Yield]:[Yield]]</f>
        <v>0</v>
      </c>
      <c r="EM130" s="33" cm="1">
        <f t="array" ref="EM130">BedPlan[[#This Row],[Harvest Days February 2025]]/SUM(BedPlan[[#This Row],[Harvest Days January 2025]:[Harvest Days December 2026]])*BedPlan[[#This Row],[Yield]:[Yield]]</f>
        <v>0</v>
      </c>
      <c r="EN130" s="33" cm="1">
        <f t="array" ref="EN130">BedPlan[[#This Row],[Harvest Days March 2025]]/SUM(BedPlan[[#This Row],[Harvest Days January 2025]:[Harvest Days December 2026]])*BedPlan[[#This Row],[Yield]:[Yield]]</f>
        <v>0</v>
      </c>
      <c r="EO130" s="33" cm="1">
        <f t="array" ref="EO130">BedPlan[[#This Row],[Harvest Days April 2025]]/SUM(BedPlan[[#This Row],[Harvest Days January 2025]:[Harvest Days December 2026]])*BedPlan[[#This Row],[Yield]:[Yield]]</f>
        <v>0</v>
      </c>
      <c r="EP130" s="33" cm="1">
        <f t="array" ref="EP130">BedPlan[[#This Row],[Harvest Days May 2025]]/SUM(BedPlan[[#This Row],[Harvest Days January 2025]:[Harvest Days December 2026]])*BedPlan[[#This Row],[Yield]:[Yield]]</f>
        <v>0</v>
      </c>
      <c r="EQ130" s="33" cm="1">
        <f t="array" ref="EQ130">BedPlan[[#This Row],[Harvest Days June 2025]]/SUM(BedPlan[[#This Row],[Harvest Days January 2025]:[Harvest Days December 2026]])*BedPlan[[#This Row],[Yield]:[Yield]]</f>
        <v>0</v>
      </c>
      <c r="ER130" s="33" cm="1">
        <f t="array" ref="ER130">BedPlan[[#This Row],[Harvest Days July 2025]]/SUM(BedPlan[[#This Row],[Harvest Days January 2025]:[Harvest Days December 2026]])*BedPlan[[#This Row],[Yield]:[Yield]]</f>
        <v>0</v>
      </c>
      <c r="ES130" s="33" cm="1">
        <f t="array" ref="ES130">BedPlan[[#This Row],[Harvest Days August 2025]]/SUM(BedPlan[[#This Row],[Harvest Days January 2025]:[Harvest Days December 2026]])*BedPlan[[#This Row],[Yield]:[Yield]]</f>
        <v>282.82828282828285</v>
      </c>
      <c r="ET130" s="33" cm="1">
        <f t="array" ref="ET130">BedPlan[[#This Row],[Harvest Days September 2025]]/SUM(BedPlan[[#This Row],[Harvest Days January 2025]:[Harvest Days December 2026]])*BedPlan[[#This Row],[Yield]:[Yield]]</f>
        <v>707.07070707070716</v>
      </c>
      <c r="EU130" s="33" cm="1">
        <f t="array" ref="EU130">BedPlan[[#This Row],[Harvest Days October 2025]]/SUM(BedPlan[[#This Row],[Harvest Days January 2025]:[Harvest Days December 2026]])*BedPlan[[#This Row],[Yield]:[Yield]]</f>
        <v>730.63973063973071</v>
      </c>
      <c r="EV130" s="33" cm="1">
        <f t="array" ref="EV130">BedPlan[[#This Row],[Harvest Days November 2025]]/SUM(BedPlan[[#This Row],[Harvest Days January 2025]:[Harvest Days December 2026]])*BedPlan[[#This Row],[Yield]:[Yield]]</f>
        <v>612.79461279461293</v>
      </c>
      <c r="EW130" s="33" cm="1">
        <f t="array" ref="EW130">BedPlan[[#This Row],[Harvest Days December 2025]]/SUM(BedPlan[[#This Row],[Harvest Days January 2025]:[Harvest Days December 2026]])*BedPlan[[#This Row],[Yield]:[Yield]]</f>
        <v>0</v>
      </c>
    </row>
    <row r="131" spans="1:153" ht="15" customHeight="1">
      <c r="A131" s="190" t="s">
        <v>3049</v>
      </c>
      <c r="B131" s="240" t="s">
        <v>3193</v>
      </c>
      <c r="C131" t="s">
        <v>1512</v>
      </c>
      <c r="D131" s="226" cm="1">
        <f t="array" ref="D131">INDEX(Crops[],BedPlan[[#This Row],[Chart Index]],D$4,1)*BedPlan[[#This Row],[Full Bed Equivalent]]</f>
        <v>27.777777777777782</v>
      </c>
      <c r="E131" s="226" cm="1">
        <f t="array" ref="E131">INDEX(Crops[],BedPlan[[#This Row],[Chart Index]],E$4,1)*BedPlan[[#This Row],[Full Bed Equivalent]]</f>
        <v>388.88888888888891</v>
      </c>
      <c r="F131" t="str">
        <f>UPPER(LEFT(BedPlan[[#This Row],[Crop]],3))</f>
        <v>TOM</v>
      </c>
      <c r="H131" s="143" t="str" cm="1">
        <f t="array" ref="H131">INDEX(Crops[],BedPlan[[#This Row],[Chart Index]],H$4,1)</f>
        <v>Tomato</v>
      </c>
      <c r="I131" s="268" t="s">
        <v>3042</v>
      </c>
      <c r="K131" s="34" t="str" cm="1">
        <f t="array" ref="K131">IF(ISNUMBER(MATCH(BedPlan[[#This Row],[Variety]],SeedMixes[Name],)),_xlfn.TEXTJOIN(", ",TRUE,_xlfn._xlws.FILTER(SeedMixes[Variety &amp; Company],SeedMixes[Name]=BedPlan[[#This Row],[Variety]])),"")</f>
        <v>42-Day A H Whaley, Early Cherry Territorial, Cherry Falls A P Whaley, Washington Cherry Johnny's, Dynamite Delight Wild Board Farm, Emerald Flame Wild Board Farm, Limelight Wild Board Farm, Golden Hour Wild Board Farm</v>
      </c>
      <c r="L131" s="33" cm="1">
        <f t="array" ref="L131">INDEX(Crops[],BedPlan[[#This Row],[Chart Index]],L$4,1)*BedPlan[[#This Row],[Full Bed Equivalent]]</f>
        <v>32.5</v>
      </c>
      <c r="N131">
        <f>1</f>
        <v>1</v>
      </c>
      <c r="O131">
        <v>1</v>
      </c>
      <c r="P131" s="31">
        <f>IF(ISNUMBER(BedPlan[[#This Row],[Planned Greenhouse Start Date]]),BedPlan[[#This Row],[Planned Greenhouse Start Date]],BedPlan[[#This Row],[Planned TP or DS Date]])</f>
        <v>45752</v>
      </c>
      <c r="Q131" s="259">
        <f>IF(BedPlan[[#This Row],[Days in Cells]]=0,"",IFERROR(_xlfn.XLOOKUP(BedPlan[[#This Row],[Follows Crop]],BedPlan[Identifier],BedPlan[Expected End of Harvest]) + 1+BedPlan[[#This Row],[Follow Offset]],BedPlan[[#This Row],[Fixed Field Start Date]])-BedPlan[[#This Row],[Days in Cells]])</f>
        <v>45752</v>
      </c>
      <c r="R131" s="259">
        <v>45763</v>
      </c>
      <c r="S131" s="259">
        <f>IF(ISNUMBER(BedPlan[[#This Row],[Actual Greenhouse Date]]),BedPlan[[#This Row],[Actual Greenhouse Date]],BedPlan[[#This Row],[Planned Greenhouse Start Date]])</f>
        <v>45763</v>
      </c>
      <c r="T131" s="259">
        <v>45808</v>
      </c>
      <c r="U131" s="260"/>
      <c r="V131" s="260"/>
      <c r="W13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1" s="259">
        <v>45815</v>
      </c>
      <c r="Y131" s="271">
        <f>BedPlan[[#This Row],[Actual TP or DS Date]]-BedPlan[[#This Row],[Planned TP or DS Date]]</f>
        <v>-4</v>
      </c>
      <c r="Z131" s="259">
        <f>IF(ISNUMBER(BedPlan[[#This Row],[Actual TP or DS Date]]),BedPlan[[#This Row],[Actual TP or DS Date]],BedPlan[[#This Row],[Planned TP or DS Date]])</f>
        <v>45815</v>
      </c>
      <c r="AA131" s="259"/>
      <c r="AB131" s="259">
        <f>IF(ISNUMBER(BedPlan[[#This Row],[Greenhouse Start Date]]),BedPlan[[#This Row],[Greenhouse Start Date]]+BedPlan[[#This Row],[DTM]],BedPlan[[#This Row],[TP or DS Date]]+BedPlan[[#This Row],[DTM]])</f>
        <v>45889</v>
      </c>
      <c r="AC131" s="259"/>
      <c r="AD131" s="259">
        <f>IF(ISNUMBER(BedPlan[[#This Row],[Actual Beginning of Harvest]]),BedPlan[[#This Row],[Actual Beginning of Harvest]],BedPlan[[#This Row],[Expected Beginning of Harvest]])</f>
        <v>45889</v>
      </c>
      <c r="AE131" s="259">
        <f>BedPlan[[#This Row],[Expected Beginning of Harvest]]+BedPlan[[#This Row],[Harvest Window]]+BedPlan[[#This Row],[Additional Days of Harvest]]</f>
        <v>45987</v>
      </c>
      <c r="AF131" s="259"/>
      <c r="AG131" s="259"/>
      <c r="AH131" s="34" t="b">
        <f>IF(AND( BedPlan[[#This Row],[Expected End of Harvest]] &gt;= DATE(2025, 8, 1), BedPlan[[#This Row],[Beginning of Harvest]] &lt;= DATE(2025, 8, 31) ), TRUE, FALSE)</f>
        <v>1</v>
      </c>
      <c r="AI131" s="31"/>
      <c r="AJ131" s="31">
        <f>IF(ISNUMBER(BedPlan[[#This Row],[Actual End of Harvest]]),BedPlan[[#This Row],[Actual End of Harvest]],BedPlan[[#This Row],[Expected End of Harvest]])</f>
        <v>45987</v>
      </c>
      <c r="AK131" t="b">
        <f>OR(ISNUMBER(BedPlan[[#This Row],[Actual Greenhouse Date]]),ISNUMBER(BedPlan[[#This Row],[Actual TP or DS Date]]))</f>
        <v>1</v>
      </c>
      <c r="AL131" t="b">
        <f>IF(ISNUMBER(BedPlan[[#This Row],[Planned Greenhouse Start Date]]),OR(ISNUMBER(BedPlan[[#This Row],[Actual TP or DS Date]]),BedPlan[[#This Row],[Failed]]),"-")</f>
        <v>1</v>
      </c>
      <c r="AM131" t="b">
        <f>OR(ISNUMBER(BedPlan[[#This Row],[Actual End of Harvest]]),BedPlan[[#This Row],[Failed]])</f>
        <v>0</v>
      </c>
      <c r="AN131" t="b">
        <f>OR(BedPlan[[#This Row],[Harvest Done]],BedPlan[[#This Row],[Failed]],BedPlan[[#This Row],[Name]]="Tarp")</f>
        <v>0</v>
      </c>
      <c r="AQ131" t="s">
        <v>3237</v>
      </c>
      <c r="AS131" s="26" t="str">
        <f>IF(BedPlan[[#This Row],[Broadfork]],BedPlan[[#This Row],[Actual TP or DS Date]],"")</f>
        <v/>
      </c>
      <c r="AT131" s="26" t="str">
        <f>IF(BedPlan[[#This Row],[Tilther]],BedPlan[[#This Row],[Actual TP or DS Date]],"")</f>
        <v/>
      </c>
      <c r="AU131" s="26">
        <f>IF(NOT(ISBLANK(BedPlan[[#This Row],[Amend]])),BedPlan[[#This Row],[Actual TP or DS Date]],"")</f>
        <v>45815</v>
      </c>
      <c r="AV131" s="26" t="str">
        <f>IF(BedPlan[[#This Row],[Row Cover]],BedPlan[[#This Row],[Actual TP or DS Date]],"")</f>
        <v/>
      </c>
      <c r="AX131" s="26"/>
      <c r="AZ131" s="26"/>
      <c r="BB131" s="26"/>
      <c r="BC131" s="36" cm="1">
        <f t="array" ref="BC131">INDEX(Crops[],BedPlan[[#This Row],[Chart Index]],BC$4,1)*BedPlan[[#This Row],[Full Bed Equivalent]]</f>
        <v>2041.6666666666667</v>
      </c>
      <c r="BD131" s="36" cm="1">
        <f t="array" ref="BD131">INDEX(Crops[],BedPlan[[#This Row],[Chart Index]],BD$4,1)*BedPlan[[#This Row],[Full Bed Equivalent]]</f>
        <v>12.152777777777779</v>
      </c>
      <c r="BE131" cm="1">
        <f t="array" ref="BE131">INDEX(Crops[],BedPlan[[#This Row],[Chart Index]],BE$4,1)+BedPlan[[#This Row],[Additional Days in Cells]]+BedPlan[[#This Row],[Additional Days In Field]]</f>
        <v>126</v>
      </c>
      <c r="BG131" cm="1">
        <f t="array" ref="BG131">INDEX(Crops[],BedPlan[[#This Row],[Chart Index]],BG$4,1)</f>
        <v>98</v>
      </c>
      <c r="BH131" t="str">
        <f>IF(ISNUMBER(BedPlan[[#This Row],[Planned Greenhouse Start Date]]),"TP","DS")</f>
        <v>TP</v>
      </c>
      <c r="BI131">
        <f>BedPlan[[#This Row],['# Of Beds]]</f>
        <v>1</v>
      </c>
      <c r="BJ131" cm="1">
        <f t="array" ref="BJ131">INDEX(Crops[],BedPlan[[#This Row],[Chart Index]],BJ$4,1)</f>
        <v>56</v>
      </c>
      <c r="BK131" cm="1">
        <f t="array" ref="BK131">INDEX(Crops[],BedPlan[[#This Row],[Chart Index]],BK$4,1)</f>
        <v>1</v>
      </c>
      <c r="BL131" cm="1">
        <f t="array" ref="BL131">INDEX(Crops[],BedPlan[[#This Row],[Chart Index]],BL$4,1)</f>
        <v>24</v>
      </c>
      <c r="BM131" cm="1">
        <f t="array" ref="BM131">INDEX(Crops[],BedPlan[[#This Row],[Chart Index]],BM$4,1)</f>
        <v>1</v>
      </c>
      <c r="BN131" s="32" cm="1">
        <f t="array" ref="BN131">INDEX(Crops[],BedPlan[[#This Row],[Chart Index]],BN$4,1)*BedPlan[[#This Row],[Full Bed Equivalent]]</f>
        <v>25</v>
      </c>
      <c r="BO131" t="str" cm="1">
        <f t="array" ref="BO131">IF(INDEX(Crops[],BedPlan[[#This Row],[Chart Index]],BO$4,1)=0,"",INDEX(Crops[],BedPlan[[#This Row],[Chart Index]],BO$4,1))</f>
        <v>DR</v>
      </c>
      <c r="BP131">
        <f>MATCH(BedPlan[[#This Row],[Crop]],Crops[Identifier],FALSE)</f>
        <v>327</v>
      </c>
      <c r="BQ131" t="str" cm="1">
        <f t="array" ref="BQ131">INDEX(Crops[],BedPlan[[#This Row],[Chart Index]],BQ$4,1)</f>
        <v>Cherry Det</v>
      </c>
      <c r="BR131" t="str" cm="1">
        <f t="array" ref="BR131">INDEX(Crops[],BedPlan[[#This Row],[Chart Index]],BR$4,1)</f>
        <v>Su</v>
      </c>
      <c r="BS131" s="32">
        <f>BedPlan[[#This Row],[Expected Beginning of Harvest]]-DATE(2023,1,1)</f>
        <v>962</v>
      </c>
      <c r="BT131">
        <f>BedPlan[[#This Row],[Expected End of Harvest]]-BedPlan[[#This Row],[Expected Beginning of Harvest]]</f>
        <v>98</v>
      </c>
      <c r="BU131" t="str" cm="1">
        <f t="array" ref="BU131">INDEX(Crops[],BedPlan[[#This Row],[Chart Index]],BU$4,1)</f>
        <v>Tomato</v>
      </c>
      <c r="BV131" cm="1">
        <f t="array" ref="BV131">INDEX(Crops[],BedPlan[[#This Row],[Chart Index]],BV$4,1)</f>
        <v>5</v>
      </c>
      <c r="BW131" t="str" cm="1">
        <f t="array" ref="BW131">INDEX(Crops[],BedPlan[[#This Row],[Chart Index]],BW$4,1)</f>
        <v>Young</v>
      </c>
      <c r="BX131" cm="1">
        <f t="array" ref="BX131">INDEX(Crops[],BedPlan[[#This Row],[Chart Index]],BX$4,1)</f>
        <v>72</v>
      </c>
      <c r="BY131" cm="1">
        <f t="array" ref="BY131">INDEX(Crops[],BedPlan[[#This Row],[Chart Index]],BY$4,1)</f>
        <v>21</v>
      </c>
      <c r="BZ131" s="49" cm="1">
        <f t="array" ref="BZ131">IFERROR(INDEX(Crops[],BedPlan[[#This Row],[Chart Index]],BZ$4,1)*BedPlan[[#This Row],[Full Bed Equivalent]],"")</f>
        <v>0.4513888888888889</v>
      </c>
      <c r="CA131" cm="1">
        <f t="array" ref="CA131">INDEX(Crops[],BedPlan[[#This Row],[Chart Index]],CA$4,1)</f>
        <v>18</v>
      </c>
      <c r="CB131" cm="1">
        <f t="array" ref="CB131">INDEX(Crops[],BedPlan[[#This Row],[Chart Index]],CB$4,1)</f>
        <v>21</v>
      </c>
      <c r="CC131" s="49" cm="1">
        <f t="array" ref="CC131">IFERROR(INDEX(Crops[],BedPlan[[#This Row],[Chart Index]],CC$4,1)*BedPlan[[#This Row],[Full Bed Equivalent]],"")</f>
        <v>1.8055555555555556</v>
      </c>
      <c r="CD131" cm="1">
        <f t="array" ref="CD131">INDEX(Crops[],BedPlan[[#This Row],[Chart Index]],CD$4,1)</f>
        <v>9</v>
      </c>
      <c r="CE131" cm="1">
        <f t="array" ref="CE131">IF(INDEX(Crops[],BedPlan[[#This Row],[Chart Index]],CE$4,1)="",0,INDEX(Crops[],BedPlan[[#This Row],[Chart Index]],CE$4,1))</f>
        <v>14</v>
      </c>
      <c r="CF131" s="49" cm="1">
        <f t="array" ref="CF131">IFERROR(INDEX(Crops[],BedPlan[[#This Row],[Chart Index]],CF$4,1)*BedPlan[[#This Row],[Full Bed Equivalent]],"")</f>
        <v>3.6111111111111112</v>
      </c>
      <c r="CG131" cm="1">
        <f t="array" ref="CG131">IF(INDEX(Crops[],BedPlan[[#This Row],[Chart Index]],CG$4,1)="",0,INDEX(Crops[],BedPlan[[#This Row],[Chart Index]],CG$4,1))</f>
        <v>1.3</v>
      </c>
      <c r="CH131" cm="1">
        <f t="array" ref="CH131">IF(INDEX(Crops[],BedPlan[[#This Row],[Chart Index]],CH$4,1)="",0,INDEX(Crops[],BedPlan[[#This Row],[Chart Index]],CH$4,1))</f>
        <v>0</v>
      </c>
      <c r="CI131" t="str" cm="1">
        <f t="array" ref="CI131">INDEX(Crops[],BedPlan[[#This Row],[Chart Index]],CI$4,1)</f>
        <v>Field</v>
      </c>
      <c r="CJ131" t="str">
        <f>_xlfn.TEXTJOIN(CHAR(10),FALSE,BedPlan[[#This Row],[Name]],BedPlan[[#This Row],[Variety]],BedPlan[[#This Row],[Company]])</f>
        <v xml:space="preserve">Tomato
Determinate Cherry Mix
</v>
      </c>
      <c r="CK131" s="32">
        <f>MAX( 0, MIN(BedPlan[[#This Row],[Expected End of Harvest]], EOMONTH(CK$4, 0)) - MAX(BedPlan[[#This Row],[Beginning of Harvest]], CK$4) + 1 )</f>
        <v>0</v>
      </c>
      <c r="CL131">
        <f>MAX( 0, MIN(BedPlan[[#This Row],[Expected End of Harvest]], EOMONTH(CL$4, 0)) - MAX(BedPlan[[#This Row],[Beginning of Harvest]], CL$4) + 1 )</f>
        <v>0</v>
      </c>
      <c r="CM131">
        <f>MAX( 0, MIN(BedPlan[[#This Row],[Expected End of Harvest]], EOMONTH(CM$4, 0)) - MAX(BedPlan[[#This Row],[Beginning of Harvest]], CM$4) + 1 )</f>
        <v>0</v>
      </c>
      <c r="CN131">
        <f>MAX( 0, MIN(BedPlan[[#This Row],[Expected End of Harvest]], EOMONTH(CN$4, 0)) - MAX(BedPlan[[#This Row],[Beginning of Harvest]], CN$4) + 1 )</f>
        <v>0</v>
      </c>
      <c r="CO131">
        <f>MAX( 0, MIN(BedPlan[[#This Row],[Expected End of Harvest]], EOMONTH(CO$4, 0)) - MAX(BedPlan[[#This Row],[Beginning of Harvest]], CO$4) + 1 )</f>
        <v>0</v>
      </c>
      <c r="CP131">
        <f>MAX( 0, MIN(BedPlan[[#This Row],[Expected End of Harvest]], EOMONTH(CP$4, 0)) - MAX(BedPlan[[#This Row],[Beginning of Harvest]], CP$4) + 1 )</f>
        <v>0</v>
      </c>
      <c r="CQ131">
        <f>MAX( 0, MIN(BedPlan[[#This Row],[Expected End of Harvest]], EOMONTH(CQ$4, 0)) - MAX(BedPlan[[#This Row],[Beginning of Harvest]], CQ$4) + 1 )</f>
        <v>0</v>
      </c>
      <c r="CR131">
        <f>MAX( 0, MIN(BedPlan[[#This Row],[Expected End of Harvest]], EOMONTH(CR$4, 0)) - MAX(BedPlan[[#This Row],[Beginning of Harvest]], CR$4) + 1 )</f>
        <v>12</v>
      </c>
      <c r="CS131">
        <f>MAX( 0, MIN(BedPlan[[#This Row],[Expected End of Harvest]], EOMONTH(CS$4, 0)) - MAX(BedPlan[[#This Row],[Beginning of Harvest]], CS$4) + 1 )</f>
        <v>30</v>
      </c>
      <c r="CT131">
        <f>MAX( 0, MIN(BedPlan[[#This Row],[Expected End of Harvest]], EOMONTH(CT$4, 0)) - MAX(BedPlan[[#This Row],[Beginning of Harvest]], CT$4) + 1 )</f>
        <v>31</v>
      </c>
      <c r="CU131">
        <f>MAX( 0, MIN(BedPlan[[#This Row],[Expected End of Harvest]], EOMONTH(CU$4, 0)) - MAX(BedPlan[[#This Row],[Beginning of Harvest]], CU$4) + 1 )</f>
        <v>26</v>
      </c>
      <c r="CV131">
        <f>MAX( 0, MIN(BedPlan[[#This Row],[Expected End of Harvest]], EOMONTH(CV$4, 0)) - MAX(BedPlan[[#This Row],[Beginning of Harvest]], CV$4) + 1 )</f>
        <v>0</v>
      </c>
      <c r="CW131">
        <f>MAX( 0, MIN(BedPlan[[#This Row],[Expected End of Harvest]], EOMONTH(CW$4, 0)) - MAX(BedPlan[[#This Row],[Beginning of Harvest]], CW$4) + 1 )</f>
        <v>0</v>
      </c>
      <c r="CX131">
        <f>MAX( 0, MIN(BedPlan[[#This Row],[Expected End of Harvest]], EOMONTH(CX$4, 0)) - MAX(BedPlan[[#This Row],[Beginning of Harvest]], CX$4) + 1 )</f>
        <v>0</v>
      </c>
      <c r="CY131">
        <f>MAX( 0, MIN(BedPlan[[#This Row],[Expected End of Harvest]], EOMONTH(CY$4, 0)) - MAX(BedPlan[[#This Row],[Beginning of Harvest]], CY$4) + 1 )</f>
        <v>0</v>
      </c>
      <c r="CZ131">
        <f>MAX( 0, MIN(BedPlan[[#This Row],[Expected End of Harvest]], EOMONTH(CZ$4, 0)) - MAX(BedPlan[[#This Row],[Beginning of Harvest]], CZ$4) + 1 )</f>
        <v>0</v>
      </c>
      <c r="DA131">
        <f>MAX( 0, MIN(BedPlan[[#This Row],[Expected End of Harvest]], EOMONTH(DA$4, 0)) - MAX(BedPlan[[#This Row],[Beginning of Harvest]], DA$4) + 1 )</f>
        <v>0</v>
      </c>
      <c r="DB131">
        <f>MAX( 0, MIN(BedPlan[[#This Row],[Expected End of Harvest]], EOMONTH(DB$4, 0)) - MAX(BedPlan[[#This Row],[Beginning of Harvest]], DB$4) + 1 )</f>
        <v>0</v>
      </c>
      <c r="DC131">
        <f>MAX( 0, MIN(BedPlan[[#This Row],[Expected End of Harvest]], EOMONTH(DC$4, 0)) - MAX(BedPlan[[#This Row],[Beginning of Harvest]], DC$4) + 1 )</f>
        <v>0</v>
      </c>
      <c r="DD131">
        <f>MAX( 0, MIN(BedPlan[[#This Row],[Expected End of Harvest]], EOMONTH(DD$4, 0)) - MAX(BedPlan[[#This Row],[Beginning of Harvest]], DD$4) + 1 )</f>
        <v>0</v>
      </c>
      <c r="DE131">
        <f>MAX( 0, MIN(BedPlan[[#This Row],[Expected End of Harvest]], EOMONTH(DE$4, 0)) - MAX(BedPlan[[#This Row],[Beginning of Harvest]], DE$4) + 1 )</f>
        <v>0</v>
      </c>
      <c r="DF131">
        <f>MAX( 0, MIN(BedPlan[[#This Row],[Expected End of Harvest]], EOMONTH(DF$4, 0)) - MAX(BedPlan[[#This Row],[Beginning of Harvest]], DF$4) + 1 )</f>
        <v>0</v>
      </c>
      <c r="DG131">
        <f>MAX( 0, MIN(BedPlan[[#This Row],[Expected End of Harvest]], EOMONTH(DG$4, 0)) - MAX(BedPlan[[#This Row],[Beginning of Harvest]], DG$4) + 1 )</f>
        <v>0</v>
      </c>
      <c r="DH131">
        <f>MAX( 0, MIN(BedPlan[[#This Row],[Expected End of Harvest]], EOMONTH(DH$4, 0)) - MAX(BedPlan[[#This Row],[Beginning of Harvest]], DH$4) + 1 )</f>
        <v>0</v>
      </c>
      <c r="DI131" s="257" cm="1">
        <f t="array" ref="DI131">BedPlan[[#This Row],[Harvest Days January 2025]]/SUM(BedPlan[[#This Row],[Harvest Days January 2025]:[Harvest Days December 2026]])*BedPlan[[#This Row],[Revenue]:[Revenue]]</f>
        <v>0</v>
      </c>
      <c r="DJ131" s="257" cm="1">
        <f t="array" ref="DJ131">BedPlan[[#This Row],[Harvest Days February 2025]]/SUM(BedPlan[[#This Row],[Harvest Days January 2025]:[Harvest Days December 2026]])*BedPlan[[#This Row],[Revenue]:[Revenue]]</f>
        <v>0</v>
      </c>
      <c r="DK131" s="257" cm="1">
        <f t="array" ref="DK131">BedPlan[[#This Row],[Harvest Days March 2025]]/SUM(BedPlan[[#This Row],[Harvest Days January 2025]:[Harvest Days December 2026]])*BedPlan[[#This Row],[Revenue]:[Revenue]]</f>
        <v>0</v>
      </c>
      <c r="DL131" s="257" cm="1">
        <f t="array" ref="DL131">BedPlan[[#This Row],[Harvest Days April 2025]]/SUM(BedPlan[[#This Row],[Harvest Days January 2025]:[Harvest Days December 2026]])*BedPlan[[#This Row],[Revenue]:[Revenue]]</f>
        <v>0</v>
      </c>
      <c r="DM131" s="257" cm="1">
        <f t="array" ref="DM131">BedPlan[[#This Row],[Harvest Days May 2025]]/SUM(BedPlan[[#This Row],[Harvest Days January 2025]:[Harvest Days December 2026]])*BedPlan[[#This Row],[Revenue]:[Revenue]]</f>
        <v>0</v>
      </c>
      <c r="DN131" s="257" cm="1">
        <f t="array" ref="DN131">BedPlan[[#This Row],[Harvest Days June 2025]]/SUM(BedPlan[[#This Row],[Harvest Days January 2025]:[Harvest Days December 2026]])*BedPlan[[#This Row],[Revenue]:[Revenue]]</f>
        <v>0</v>
      </c>
      <c r="DO131" s="257" cm="1">
        <f t="array" ref="DO131">BedPlan[[#This Row],[Harvest Days July 2025]]/SUM(BedPlan[[#This Row],[Harvest Days January 2025]:[Harvest Days December 2026]])*BedPlan[[#This Row],[Revenue]:[Revenue]]</f>
        <v>0</v>
      </c>
      <c r="DP131" s="257" cm="1">
        <f t="array" ref="DP131">BedPlan[[#This Row],[Harvest Days August 2025]]/SUM(BedPlan[[#This Row],[Harvest Days January 2025]:[Harvest Days December 2026]])*BedPlan[[#This Row],[Revenue]:[Revenue]]</f>
        <v>247.47474747474749</v>
      </c>
      <c r="DQ131" s="257" cm="1">
        <f t="array" ref="DQ131">BedPlan[[#This Row],[Harvest Days September 2025]]/SUM(BedPlan[[#This Row],[Harvest Days January 2025]:[Harvest Days December 2026]])*BedPlan[[#This Row],[Revenue]:[Revenue]]</f>
        <v>618.68686868686871</v>
      </c>
      <c r="DR131" s="257" cm="1">
        <f t="array" ref="DR131">BedPlan[[#This Row],[Harvest Days October 2025]]/SUM(BedPlan[[#This Row],[Harvest Days January 2025]:[Harvest Days December 2026]])*BedPlan[[#This Row],[Revenue]:[Revenue]]</f>
        <v>639.30976430976432</v>
      </c>
      <c r="DS131" s="257" cm="1">
        <f t="array" ref="DS131">BedPlan[[#This Row],[Harvest Days November 2025]]/SUM(BedPlan[[#This Row],[Harvest Days January 2025]:[Harvest Days December 2026]])*BedPlan[[#This Row],[Revenue]:[Revenue]]</f>
        <v>536.19528619528626</v>
      </c>
      <c r="DT131" s="257" cm="1">
        <f t="array" ref="DT131">BedPlan[[#This Row],[Harvest Days December 2025]]/SUM(BedPlan[[#This Row],[Harvest Days January 2025]:[Harvest Days December 2026]])*BedPlan[[#This Row],[Revenue]:[Revenue]]</f>
        <v>0</v>
      </c>
      <c r="DU131" s="257" cm="1">
        <f t="array" ref="DU131">BedPlan[[#This Row],[Harvest Days January 2026]]/SUM(BedPlan[[#This Row],[Harvest Days January 2025]:[Harvest Days December 2026]])*BedPlan[[#This Row],[Revenue]:[Revenue]]</f>
        <v>0</v>
      </c>
      <c r="DV131" s="257" cm="1">
        <f t="array" ref="DV131">BedPlan[[#This Row],[Harvest Days February 2026]]/SUM(BedPlan[[#This Row],[Harvest Days January 2025]:[Harvest Days December 2026]])*BedPlan[[#This Row],[Revenue]:[Revenue]]</f>
        <v>0</v>
      </c>
      <c r="DW131" s="257" cm="1">
        <f t="array" ref="DW131">BedPlan[[#This Row],[Harvest Days March 2026]]/SUM(BedPlan[[#This Row],[Harvest Days January 2025]:[Harvest Days December 2026]])*BedPlan[[#This Row],[Revenue]:[Revenue]]</f>
        <v>0</v>
      </c>
      <c r="DX131" s="257" cm="1">
        <f t="array" ref="DX131">BedPlan[[#This Row],[Harvest Days April 2026]]/SUM(BedPlan[[#This Row],[Harvest Days January 2025]:[Harvest Days December 2026]])*BedPlan[[#This Row],[Revenue]:[Revenue]]</f>
        <v>0</v>
      </c>
      <c r="DY131" cm="1">
        <f t="array" ref="DY131">BedPlan[[#This Row],[Harvest Days May 2026]]/SUM(BedPlan[[#This Row],[Harvest Days January 2025]:[Harvest Days December 2026]])*BedPlan[[#This Row],[Revenue]:[Revenue]]</f>
        <v>0</v>
      </c>
      <c r="DZ131" cm="1">
        <f t="array" ref="DZ131">BedPlan[[#This Row],[Harvest Days June 2026]]/SUM(BedPlan[[#This Row],[Harvest Days January 2025]:[Harvest Days December 2026]])*BedPlan[[#This Row],[Revenue]:[Revenue]]</f>
        <v>0</v>
      </c>
      <c r="EA131" cm="1">
        <f t="array" ref="EA131">BedPlan[[#This Row],[Harvest Days July 2026]]/SUM(BedPlan[[#This Row],[Harvest Days January 2025]:[Harvest Days December 2026]])*BedPlan[[#This Row],[Revenue]:[Revenue]]</f>
        <v>0</v>
      </c>
      <c r="EB131" cm="1">
        <f t="array" ref="EB131">BedPlan[[#This Row],[Harvest Days August 2026]]/SUM(BedPlan[[#This Row],[Harvest Days January 2025]:[Harvest Days December 2026]])*BedPlan[[#This Row],[Revenue]:[Revenue]]</f>
        <v>0</v>
      </c>
      <c r="EC131" cm="1">
        <f t="array" ref="EC131">BedPlan[[#This Row],[Harvest Days September 2026]]/SUM(BedPlan[[#This Row],[Harvest Days January 2025]:[Harvest Days December 2026]])*BedPlan[[#This Row],[Revenue]:[Revenue]]</f>
        <v>0</v>
      </c>
      <c r="ED131" cm="1">
        <f t="array" ref="ED131">BedPlan[[#This Row],[Harvest Days October 2026]]/SUM(BedPlan[[#This Row],[Harvest Days January 2025]:[Harvest Days December 2026]])*BedPlan[[#This Row],[Revenue]:[Revenue]]</f>
        <v>0</v>
      </c>
      <c r="EE131" cm="1">
        <f t="array" ref="EE131">BedPlan[[#This Row],[Harvest Days November 2026]]/SUM(BedPlan[[#This Row],[Harvest Days January 2025]:[Harvest Days December 2026]])*BedPlan[[#This Row],[Revenue]:[Revenue]]</f>
        <v>0</v>
      </c>
      <c r="EF131" cm="1">
        <f t="array" ref="EF131">BedPlan[[#This Row],[Harvest Days December 2026]]/SUM(BedPlan[[#This Row],[Harvest Days January 2025]:[Harvest Days December 2026]])*BedPlan[[#This Row],[Revenue]:[Revenue]]</f>
        <v>0</v>
      </c>
      <c r="EG131" t="b">
        <f>SUM(BedPlan[[#This Row],[Revenue January 2025]:[Revenue December 2026]])=BedPlan[[#This Row],[Revenue]]</f>
        <v>1</v>
      </c>
      <c r="EH131" cm="1">
        <f t="array" ref="EH131">INDEX(Crops[],BedPlan[[#This Row],[Chart Index]],EH$4,1)*BedPlan[[#This Row],['# Of Beds]]</f>
        <v>291.66666666666669</v>
      </c>
      <c r="EI131" t="str" cm="1">
        <f t="array" ref="EI131">INDEX(Crops[],BedPlan[[#This Row],[Chart Index]],EI$4,1)</f>
        <v>Lb</v>
      </c>
      <c r="EJ131" t="str" cm="1">
        <f t="array" ref="EJ131">INDEX(Crops[],BedPlan[[#This Row],[Chart Index]],EJ$4,1)</f>
        <v>Ripe Fruit Small</v>
      </c>
      <c r="EK131" t="str">
        <f>BedPlan[[#This Row],[Name]]&amp;" "&amp;BedPlan[[#This Row],[Product]]&amp; " - " &amp;BedPlan[[#This Row],[Unit]]</f>
        <v>Tomato Ripe Fruit Small - Lb</v>
      </c>
      <c r="EL131" s="33" cm="1">
        <f t="array" ref="EL131">BedPlan[[#This Row],[Harvest Days January 2025]]/SUM(BedPlan[[#This Row],[Harvest Days January 2025]:[Harvest Days December 2026]])*BedPlan[[#This Row],[Yield]:[Yield]]</f>
        <v>0</v>
      </c>
      <c r="EM131" s="33" cm="1">
        <f t="array" ref="EM131">BedPlan[[#This Row],[Harvest Days February 2025]]/SUM(BedPlan[[#This Row],[Harvest Days January 2025]:[Harvest Days December 2026]])*BedPlan[[#This Row],[Yield]:[Yield]]</f>
        <v>0</v>
      </c>
      <c r="EN131" s="33" cm="1">
        <f t="array" ref="EN131">BedPlan[[#This Row],[Harvest Days March 2025]]/SUM(BedPlan[[#This Row],[Harvest Days January 2025]:[Harvest Days December 2026]])*BedPlan[[#This Row],[Yield]:[Yield]]</f>
        <v>0</v>
      </c>
      <c r="EO131" s="33" cm="1">
        <f t="array" ref="EO131">BedPlan[[#This Row],[Harvest Days April 2025]]/SUM(BedPlan[[#This Row],[Harvest Days January 2025]:[Harvest Days December 2026]])*BedPlan[[#This Row],[Yield]:[Yield]]</f>
        <v>0</v>
      </c>
      <c r="EP131" s="33" cm="1">
        <f t="array" ref="EP131">BedPlan[[#This Row],[Harvest Days May 2025]]/SUM(BedPlan[[#This Row],[Harvest Days January 2025]:[Harvest Days December 2026]])*BedPlan[[#This Row],[Yield]:[Yield]]</f>
        <v>0</v>
      </c>
      <c r="EQ131" s="33" cm="1">
        <f t="array" ref="EQ131">BedPlan[[#This Row],[Harvest Days June 2025]]/SUM(BedPlan[[#This Row],[Harvest Days January 2025]:[Harvest Days December 2026]])*BedPlan[[#This Row],[Yield]:[Yield]]</f>
        <v>0</v>
      </c>
      <c r="ER131" s="33" cm="1">
        <f t="array" ref="ER131">BedPlan[[#This Row],[Harvest Days July 2025]]/SUM(BedPlan[[#This Row],[Harvest Days January 2025]:[Harvest Days December 2026]])*BedPlan[[#This Row],[Yield]:[Yield]]</f>
        <v>0</v>
      </c>
      <c r="ES131" s="33" cm="1">
        <f t="array" ref="ES131">BedPlan[[#This Row],[Harvest Days August 2025]]/SUM(BedPlan[[#This Row],[Harvest Days January 2025]:[Harvest Days December 2026]])*BedPlan[[#This Row],[Yield]:[Yield]]</f>
        <v>35.353535353535356</v>
      </c>
      <c r="ET131" s="33" cm="1">
        <f t="array" ref="ET131">BedPlan[[#This Row],[Harvest Days September 2025]]/SUM(BedPlan[[#This Row],[Harvest Days January 2025]:[Harvest Days December 2026]])*BedPlan[[#This Row],[Yield]:[Yield]]</f>
        <v>88.383838383838395</v>
      </c>
      <c r="EU131" s="33" cm="1">
        <f t="array" ref="EU131">BedPlan[[#This Row],[Harvest Days October 2025]]/SUM(BedPlan[[#This Row],[Harvest Days January 2025]:[Harvest Days December 2026]])*BedPlan[[#This Row],[Yield]:[Yield]]</f>
        <v>91.329966329966339</v>
      </c>
      <c r="EV131" s="33" cm="1">
        <f t="array" ref="EV131">BedPlan[[#This Row],[Harvest Days November 2025]]/SUM(BedPlan[[#This Row],[Harvest Days January 2025]:[Harvest Days December 2026]])*BedPlan[[#This Row],[Yield]:[Yield]]</f>
        <v>76.599326599326616</v>
      </c>
      <c r="EW131" s="33" cm="1">
        <f t="array" ref="EW131">BedPlan[[#This Row],[Harvest Days December 2025]]/SUM(BedPlan[[#This Row],[Harvest Days January 2025]:[Harvest Days December 2026]])*BedPlan[[#This Row],[Yield]:[Yield]]</f>
        <v>0</v>
      </c>
    </row>
    <row r="132" spans="1:153" ht="15" customHeight="1">
      <c r="A132" s="190" t="s">
        <v>2619</v>
      </c>
      <c r="B132" t="s">
        <v>2676</v>
      </c>
      <c r="C132" s="226" t="s">
        <v>1427</v>
      </c>
      <c r="D132" s="226" cm="1">
        <f t="array" ref="D132">INDEX(Crops[],BedPlan[[#This Row],[Chart Index]],D$4,1)*BedPlan[[#This Row],[Full Bed Equivalent]]</f>
        <v>13.888888888888888</v>
      </c>
      <c r="E132" s="226" cm="1">
        <f t="array" ref="E132">INDEX(Crops[],BedPlan[[#This Row],[Chart Index]],E$4,1)*BedPlan[[#This Row],[Full Bed Equivalent]]</f>
        <v>222.2222222222222</v>
      </c>
      <c r="F132" s="34" t="str">
        <f>UPPER(LEFT(BedPlan[[#This Row],[Crop]],3))</f>
        <v>TOM</v>
      </c>
      <c r="G132" s="227"/>
      <c r="H132" s="143" t="str" cm="1">
        <f t="array" ref="H132">INDEX(Crops[],BedPlan[[#This Row],[Chart Index]],H$4,1)</f>
        <v>Tomato</v>
      </c>
      <c r="I132" s="227" t="s">
        <v>1860</v>
      </c>
      <c r="J132" s="227"/>
      <c r="K132" s="34" t="str" cm="1">
        <f t="array" ref="K132">IF(ISNUMBER(MATCH(BedPlan[[#This Row],[Variety]],SeedMixes[Name],)),_xlfn.TEXTJOIN(", ",TRUE,_xlfn._xlws.FILTER(SeedMixes[Variety &amp; Company],SeedMixes[Name]=BedPlan[[#This Row],[Variety]])),"")</f>
        <v>Sungold F1 Johnny's, Sweet Million Territorial, Sakura OG Johnny's, Black Cherry OG Johnny's</v>
      </c>
      <c r="L132" s="229" cm="1">
        <f t="array" ref="L132">INDEX(Crops[],BedPlan[[#This Row],[Chart Index]],L$4,1)*BedPlan[[#This Row],[Full Bed Equivalent]]</f>
        <v>21.666666666666664</v>
      </c>
      <c r="N132" s="227">
        <v>0.5</v>
      </c>
      <c r="O132" s="227">
        <f>MAX(BedPlan[[#This Row],['# Of Beds]],0.5)</f>
        <v>0.5</v>
      </c>
      <c r="P132" s="230">
        <f>IF(ISNUMBER(BedPlan[[#This Row],[Planned Greenhouse Start Date]]),BedPlan[[#This Row],[Planned Greenhouse Start Date]],BedPlan[[#This Row],[Planned TP or DS Date]])</f>
        <v>45723</v>
      </c>
      <c r="Q132" s="261">
        <f>IF(BedPlan[[#This Row],[Days in Cells]]=0,"",IFERROR(_xlfn.XLOOKUP(BedPlan[[#This Row],[Follows Crop]],BedPlan[Identifier],BedPlan[Expected End of Harvest]) + 1+BedPlan[[#This Row],[Follow Offset]],BedPlan[[#This Row],[Fixed Field Start Date]])-BedPlan[[#This Row],[Days in Cells]])</f>
        <v>45723</v>
      </c>
      <c r="R132" s="261">
        <v>45748</v>
      </c>
      <c r="S132" s="261">
        <f>IF(ISNUMBER(BedPlan[[#This Row],[Actual Greenhouse Date]]),BedPlan[[#This Row],[Actual Greenhouse Date]],BedPlan[[#This Row],[Planned Greenhouse Start Date]])</f>
        <v>45748</v>
      </c>
      <c r="T132" s="262">
        <f>_xlfn.XLOOKUP(BedPlan[[#This Row],[Crop]],Crops[Identifier],Crops[Target Field Date])</f>
        <v>45779</v>
      </c>
      <c r="U132" s="263"/>
      <c r="V132" s="263"/>
      <c r="W132"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32" s="259">
        <v>45807</v>
      </c>
      <c r="Y132" s="271">
        <f>BedPlan[[#This Row],[Actual TP or DS Date]]-BedPlan[[#This Row],[Planned TP or DS Date]]</f>
        <v>3</v>
      </c>
      <c r="Z132" s="261">
        <f>IF(ISNUMBER(BedPlan[[#This Row],[Actual TP or DS Date]]),BedPlan[[#This Row],[Actual TP or DS Date]],BedPlan[[#This Row],[Planned TP or DS Date]])</f>
        <v>45807</v>
      </c>
      <c r="AA132" s="264"/>
      <c r="AB132" s="261">
        <f>IF(ISNUMBER(BedPlan[[#This Row],[Greenhouse Start Date]]),BedPlan[[#This Row],[Greenhouse Start Date]]+BedPlan[[#This Row],[DTM]],BedPlan[[#This Row],[TP or DS Date]]+BedPlan[[#This Row],[DTM]])</f>
        <v>45838</v>
      </c>
      <c r="AC132" s="265"/>
      <c r="AD132" s="261">
        <f>IF(ISNUMBER(BedPlan[[#This Row],[Actual Beginning of Harvest]]),BedPlan[[#This Row],[Actual Beginning of Harvest]],BedPlan[[#This Row],[Expected Beginning of Harvest]])</f>
        <v>45838</v>
      </c>
      <c r="AE132" s="261">
        <f>BedPlan[[#This Row],[Expected Beginning of Harvest]]+BedPlan[[#This Row],[Harvest Window]]+BedPlan[[#This Row],[Additional Days of Harvest]]</f>
        <v>45950</v>
      </c>
      <c r="AF132" s="265"/>
      <c r="AG132" s="261"/>
      <c r="AH132" s="230" t="b">
        <f>IF(AND( BedPlan[[#This Row],[Expected End of Harvest]] &gt;= DATE(2025, 8, 1), BedPlan[[#This Row],[Beginning of Harvest]] &lt;= DATE(2025, 8, 31) ), TRUE, FALSE)</f>
        <v>1</v>
      </c>
      <c r="AI132" s="230"/>
      <c r="AJ132" s="230">
        <f>IF(ISNUMBER(BedPlan[[#This Row],[Actual End of Harvest]]),BedPlan[[#This Row],[Actual End of Harvest]],BedPlan[[#This Row],[Expected End of Harvest]])</f>
        <v>45950</v>
      </c>
      <c r="AK132" s="34" t="b">
        <f>OR(ISNUMBER(BedPlan[[#This Row],[Actual Greenhouse Date]]),ISNUMBER(BedPlan[[#This Row],[Actual TP or DS Date]]))</f>
        <v>1</v>
      </c>
      <c r="AL132" s="34" t="b">
        <f>IF(ISNUMBER(BedPlan[[#This Row],[Planned Greenhouse Start Date]]),OR(ISNUMBER(BedPlan[[#This Row],[Actual TP or DS Date]]),BedPlan[[#This Row],[Failed]]),"-")</f>
        <v>1</v>
      </c>
      <c r="AM132" s="34" t="b">
        <f>OR(ISNUMBER(BedPlan[[#This Row],[Actual End of Harvest]]),BedPlan[[#This Row],[Failed]])</f>
        <v>0</v>
      </c>
      <c r="AN132" s="34" t="b">
        <f>OR(BedPlan[[#This Row],[Harvest Done]],BedPlan[[#This Row],[Failed]],BedPlan[[#This Row],[Name]]="Tarp")</f>
        <v>0</v>
      </c>
      <c r="AO132" s="34"/>
      <c r="AP132" s="34"/>
      <c r="AQ132" t="s">
        <v>3237</v>
      </c>
      <c r="AR132" s="34"/>
      <c r="AS132" s="256" t="str">
        <f>IF(BedPlan[[#This Row],[Broadfork]],BedPlan[[#This Row],[Actual TP or DS Date]],"")</f>
        <v/>
      </c>
      <c r="AT132" s="256" t="str">
        <f>IF(BedPlan[[#This Row],[Tilther]],BedPlan[[#This Row],[Actual TP or DS Date]],"")</f>
        <v/>
      </c>
      <c r="AU132" s="256">
        <f>IF(NOT(ISBLANK(BedPlan[[#This Row],[Amend]])),BedPlan[[#This Row],[Actual TP or DS Date]],"")</f>
        <v>45807</v>
      </c>
      <c r="AV132" s="256" t="str">
        <f>IF(BedPlan[[#This Row],[Row Cover]],BedPlan[[#This Row],[Actual TP or DS Date]],"")</f>
        <v/>
      </c>
      <c r="AW132" s="34"/>
      <c r="AX132" s="256"/>
      <c r="AY132" s="34"/>
      <c r="AZ132" s="256"/>
      <c r="BA132" s="34"/>
      <c r="BB132" s="256"/>
      <c r="BC132" s="231" cm="1">
        <f t="array" ref="BC132">INDEX(Crops[],BedPlan[[#This Row],[Chart Index]],BC$4,1)*BedPlan[[#This Row],[Full Bed Equivalent]]</f>
        <v>1166.6666666666665</v>
      </c>
      <c r="BD132" s="231" cm="1">
        <f t="array" ref="BD132">INDEX(Crops[],BedPlan[[#This Row],[Chart Index]],BD$4,1)*BedPlan[[#This Row],[Full Bed Equivalent]]</f>
        <v>7.9908675799086746</v>
      </c>
      <c r="BE132" cm="1">
        <f t="array" ref="BE132">INDEX(Crops[],BedPlan[[#This Row],[Chart Index]],BE$4,1)+BedPlan[[#This Row],[Additional Days in Cells]]+BedPlan[[#This Row],[Additional Days In Field]]</f>
        <v>90</v>
      </c>
      <c r="BG132" cm="1">
        <f t="array" ref="BG132">INDEX(Crops[],BedPlan[[#This Row],[Chart Index]],BG$4,1)</f>
        <v>112</v>
      </c>
      <c r="BH132" t="str">
        <f>IF(ISNUMBER(BedPlan[[#This Row],[Planned Greenhouse Start Date]]),"TP","DS")</f>
        <v>TP</v>
      </c>
      <c r="BI132">
        <f>BedPlan[[#This Row],['# Of Beds]]</f>
        <v>0.5</v>
      </c>
      <c r="BJ132" cm="1">
        <f t="array" ref="BJ132">INDEX(Crops[],BedPlan[[#This Row],[Chart Index]],BJ$4,1)</f>
        <v>56</v>
      </c>
      <c r="BK132" cm="1">
        <f t="array" ref="BK132">INDEX(Crops[],BedPlan[[#This Row],[Chart Index]],BK$4,1)</f>
        <v>1</v>
      </c>
      <c r="BL132" cm="1">
        <f t="array" ref="BL132">INDEX(Crops[],BedPlan[[#This Row],[Chart Index]],BL$4,1)</f>
        <v>18</v>
      </c>
      <c r="BM132" cm="1">
        <f t="array" ref="BM132">INDEX(Crops[],BedPlan[[#This Row],[Chart Index]],BM$4,1)</f>
        <v>1</v>
      </c>
      <c r="BN132" s="32" cm="1">
        <f t="array" ref="BN132">INDEX(Crops[],BedPlan[[#This Row],[Chart Index]],BN$4,1)*BedPlan[[#This Row],[Full Bed Equivalent]]</f>
        <v>16.666666666666664</v>
      </c>
      <c r="BO132" t="str" cm="1">
        <f t="array" ref="BO132">IF(INDEX(Crops[],BedPlan[[#This Row],[Chart Index]],BO$4,1)=0,"",INDEX(Crops[],BedPlan[[#This Row],[Chart Index]],BO$4,1))</f>
        <v>DR</v>
      </c>
      <c r="BP132">
        <f>MATCH(BedPlan[[#This Row],[Crop]],Crops[Identifier],FALSE)</f>
        <v>329</v>
      </c>
      <c r="BQ132" t="str" cm="1">
        <f t="array" ref="BQ132">INDEX(Crops[],BedPlan[[#This Row],[Chart Index]],BQ$4,1)</f>
        <v>Cherry</v>
      </c>
      <c r="BR132" t="str" cm="1">
        <f t="array" ref="BR132">INDEX(Crops[],BedPlan[[#This Row],[Chart Index]],BR$4,1)</f>
        <v>Su</v>
      </c>
      <c r="BS132" s="32">
        <f>BedPlan[[#This Row],[Expected Beginning of Harvest]]-DATE(2023,1,1)</f>
        <v>911</v>
      </c>
      <c r="BT132">
        <f>BedPlan[[#This Row],[Expected End of Harvest]]-BedPlan[[#This Row],[Expected Beginning of Harvest]]</f>
        <v>112</v>
      </c>
      <c r="BU132" t="str" cm="1">
        <f t="array" ref="BU132">INDEX(Crops[],BedPlan[[#This Row],[Chart Index]],BU$4,1)</f>
        <v>Tomato</v>
      </c>
      <c r="BV132" cm="1">
        <f t="array" ref="BV132">INDEX(Crops[],BedPlan[[#This Row],[Chart Index]],BV$4,1)</f>
        <v>7</v>
      </c>
      <c r="BW132" t="str" cm="1">
        <f t="array" ref="BW132">INDEX(Crops[],BedPlan[[#This Row],[Chart Index]],BW$4,1)</f>
        <v>Young</v>
      </c>
      <c r="BX132" cm="1">
        <f t="array" ref="BX132">INDEX(Crops[],BedPlan[[#This Row],[Chart Index]],BX$4,1)</f>
        <v>72</v>
      </c>
      <c r="BY132" cm="1">
        <f t="array" ref="BY132">INDEX(Crops[],BedPlan[[#This Row],[Chart Index]],BY$4,1)</f>
        <v>21</v>
      </c>
      <c r="BZ132" s="49" cm="1">
        <f t="array" ref="BZ132">IFERROR(INDEX(Crops[],BedPlan[[#This Row],[Chart Index]],BZ$4,1)*BedPlan[[#This Row],[Full Bed Equivalent]],"")</f>
        <v>0.30092592592592587</v>
      </c>
      <c r="CA132" cm="1">
        <f t="array" ref="CA132">INDEX(Crops[],BedPlan[[#This Row],[Chart Index]],CA$4,1)</f>
        <v>18</v>
      </c>
      <c r="CB132" cm="1">
        <f t="array" ref="CB132">INDEX(Crops[],BedPlan[[#This Row],[Chart Index]],CB$4,1)</f>
        <v>21</v>
      </c>
      <c r="CC132" s="49" cm="1">
        <f t="array" ref="CC132">IFERROR(INDEX(Crops[],BedPlan[[#This Row],[Chart Index]],CC$4,1)*BedPlan[[#This Row],[Full Bed Equivalent]],"")</f>
        <v>1.2037037037037035</v>
      </c>
      <c r="CD132" cm="1">
        <f t="array" ref="CD132">INDEX(Crops[],BedPlan[[#This Row],[Chart Index]],CD$4,1)</f>
        <v>9</v>
      </c>
      <c r="CE132" cm="1">
        <f t="array" ref="CE132">IF(INDEX(Crops[],BedPlan[[#This Row],[Chart Index]],CE$4,1)="",0,INDEX(Crops[],BedPlan[[#This Row],[Chart Index]],CE$4,1))</f>
        <v>14</v>
      </c>
      <c r="CF132" s="49" cm="1">
        <f t="array" ref="CF132">IFERROR(INDEX(Crops[],BedPlan[[#This Row],[Chart Index]],CF$4,1)*BedPlan[[#This Row],[Full Bed Equivalent]],"")</f>
        <v>2.407407407407407</v>
      </c>
      <c r="CG132" cm="1">
        <f t="array" ref="CG132">IF(INDEX(Crops[],BedPlan[[#This Row],[Chart Index]],CG$4,1)="",0,INDEX(Crops[],BedPlan[[#This Row],[Chart Index]],CG$4,1))</f>
        <v>1.3</v>
      </c>
      <c r="CH132" cm="1">
        <f t="array" ref="CH132">IF(INDEX(Crops[],BedPlan[[#This Row],[Chart Index]],CH$4,1)="",0,INDEX(Crops[],BedPlan[[#This Row],[Chart Index]],CH$4,1))</f>
        <v>0</v>
      </c>
      <c r="CI132" t="str" cm="1">
        <f t="array" ref="CI132">INDEX(Crops[],BedPlan[[#This Row],[Chart Index]],CI$4,1)</f>
        <v>Greenhouse</v>
      </c>
      <c r="CJ132" s="30" t="str">
        <f>_xlfn.TEXTJOIN(CHAR(10),FALSE,BedPlan[[#This Row],[Name]],BedPlan[[#This Row],[Variety]],BedPlan[[#This Row],[Company]])</f>
        <v xml:space="preserve">Tomato
Cherry Tomato Mix
</v>
      </c>
      <c r="CK132" s="32">
        <f>MAX( 0, MIN(BedPlan[[#This Row],[Expected End of Harvest]], EOMONTH(CK$4, 0)) - MAX(BedPlan[[#This Row],[Beginning of Harvest]], CK$4) + 1 )</f>
        <v>0</v>
      </c>
      <c r="CL132">
        <f>MAX( 0, MIN(BedPlan[[#This Row],[Expected End of Harvest]], EOMONTH(CL$4, 0)) - MAX(BedPlan[[#This Row],[Beginning of Harvest]], CL$4) + 1 )</f>
        <v>0</v>
      </c>
      <c r="CM132">
        <f>MAX( 0, MIN(BedPlan[[#This Row],[Expected End of Harvest]], EOMONTH(CM$4, 0)) - MAX(BedPlan[[#This Row],[Beginning of Harvest]], CM$4) + 1 )</f>
        <v>0</v>
      </c>
      <c r="CN132">
        <f>MAX( 0, MIN(BedPlan[[#This Row],[Expected End of Harvest]], EOMONTH(CN$4, 0)) - MAX(BedPlan[[#This Row],[Beginning of Harvest]], CN$4) + 1 )</f>
        <v>0</v>
      </c>
      <c r="CO132">
        <f>MAX( 0, MIN(BedPlan[[#This Row],[Expected End of Harvest]], EOMONTH(CO$4, 0)) - MAX(BedPlan[[#This Row],[Beginning of Harvest]], CO$4) + 1 )</f>
        <v>0</v>
      </c>
      <c r="CP132">
        <f>MAX( 0, MIN(BedPlan[[#This Row],[Expected End of Harvest]], EOMONTH(CP$4, 0)) - MAX(BedPlan[[#This Row],[Beginning of Harvest]], CP$4) + 1 )</f>
        <v>1</v>
      </c>
      <c r="CQ132">
        <f>MAX( 0, MIN(BedPlan[[#This Row],[Expected End of Harvest]], EOMONTH(CQ$4, 0)) - MAX(BedPlan[[#This Row],[Beginning of Harvest]], CQ$4) + 1 )</f>
        <v>31</v>
      </c>
      <c r="CR132">
        <f>MAX( 0, MIN(BedPlan[[#This Row],[Expected End of Harvest]], EOMONTH(CR$4, 0)) - MAX(BedPlan[[#This Row],[Beginning of Harvest]], CR$4) + 1 )</f>
        <v>31</v>
      </c>
      <c r="CS132">
        <f>MAX( 0, MIN(BedPlan[[#This Row],[Expected End of Harvest]], EOMONTH(CS$4, 0)) - MAX(BedPlan[[#This Row],[Beginning of Harvest]], CS$4) + 1 )</f>
        <v>30</v>
      </c>
      <c r="CT132">
        <f>MAX( 0, MIN(BedPlan[[#This Row],[Expected End of Harvest]], EOMONTH(CT$4, 0)) - MAX(BedPlan[[#This Row],[Beginning of Harvest]], CT$4) + 1 )</f>
        <v>20</v>
      </c>
      <c r="CU132">
        <f>MAX( 0, MIN(BedPlan[[#This Row],[Expected End of Harvest]], EOMONTH(CU$4, 0)) - MAX(BedPlan[[#This Row],[Beginning of Harvest]], CU$4) + 1 )</f>
        <v>0</v>
      </c>
      <c r="CV132">
        <f>MAX( 0, MIN(BedPlan[[#This Row],[Expected End of Harvest]], EOMONTH(CV$4, 0)) - MAX(BedPlan[[#This Row],[Beginning of Harvest]], CV$4) + 1 )</f>
        <v>0</v>
      </c>
      <c r="CW132">
        <f>MAX( 0, MIN(BedPlan[[#This Row],[Expected End of Harvest]], EOMONTH(CW$4, 0)) - MAX(BedPlan[[#This Row],[Beginning of Harvest]], CW$4) + 1 )</f>
        <v>0</v>
      </c>
      <c r="CX132">
        <f>MAX( 0, MIN(BedPlan[[#This Row],[Expected End of Harvest]], EOMONTH(CX$4, 0)) - MAX(BedPlan[[#This Row],[Beginning of Harvest]], CX$4) + 1 )</f>
        <v>0</v>
      </c>
      <c r="CY132">
        <f>MAX( 0, MIN(BedPlan[[#This Row],[Expected End of Harvest]], EOMONTH(CY$4, 0)) - MAX(BedPlan[[#This Row],[Beginning of Harvest]], CY$4) + 1 )</f>
        <v>0</v>
      </c>
      <c r="CZ132">
        <f>MAX( 0, MIN(BedPlan[[#This Row],[Expected End of Harvest]], EOMONTH(CZ$4, 0)) - MAX(BedPlan[[#This Row],[Beginning of Harvest]], CZ$4) + 1 )</f>
        <v>0</v>
      </c>
      <c r="DA132">
        <f>MAX( 0, MIN(BedPlan[[#This Row],[Expected End of Harvest]], EOMONTH(DA$4, 0)) - MAX(BedPlan[[#This Row],[Beginning of Harvest]], DA$4) + 1 )</f>
        <v>0</v>
      </c>
      <c r="DB132">
        <f>MAX( 0, MIN(BedPlan[[#This Row],[Expected End of Harvest]], EOMONTH(DB$4, 0)) - MAX(BedPlan[[#This Row],[Beginning of Harvest]], DB$4) + 1 )</f>
        <v>0</v>
      </c>
      <c r="DC132">
        <f>MAX( 0, MIN(BedPlan[[#This Row],[Expected End of Harvest]], EOMONTH(DC$4, 0)) - MAX(BedPlan[[#This Row],[Beginning of Harvest]], DC$4) + 1 )</f>
        <v>0</v>
      </c>
      <c r="DD132">
        <f>MAX( 0, MIN(BedPlan[[#This Row],[Expected End of Harvest]], EOMONTH(DD$4, 0)) - MAX(BedPlan[[#This Row],[Beginning of Harvest]], DD$4) + 1 )</f>
        <v>0</v>
      </c>
      <c r="DE132">
        <f>MAX( 0, MIN(BedPlan[[#This Row],[Expected End of Harvest]], EOMONTH(DE$4, 0)) - MAX(BedPlan[[#This Row],[Beginning of Harvest]], DE$4) + 1 )</f>
        <v>0</v>
      </c>
      <c r="DF132">
        <f>MAX( 0, MIN(BedPlan[[#This Row],[Expected End of Harvest]], EOMONTH(DF$4, 0)) - MAX(BedPlan[[#This Row],[Beginning of Harvest]], DF$4) + 1 )</f>
        <v>0</v>
      </c>
      <c r="DG132">
        <f>MAX( 0, MIN(BedPlan[[#This Row],[Expected End of Harvest]], EOMONTH(DG$4, 0)) - MAX(BedPlan[[#This Row],[Beginning of Harvest]], DG$4) + 1 )</f>
        <v>0</v>
      </c>
      <c r="DH132">
        <f>MAX( 0, MIN(BedPlan[[#This Row],[Expected End of Harvest]], EOMONTH(DH$4, 0)) - MAX(BedPlan[[#This Row],[Beginning of Harvest]], DH$4) + 1 )</f>
        <v>0</v>
      </c>
      <c r="DI132" s="257" cm="1">
        <f t="array" ref="DI132">BedPlan[[#This Row],[Harvest Days January 2025]]/SUM(BedPlan[[#This Row],[Harvest Days January 2025]:[Harvest Days December 2026]])*BedPlan[[#This Row],[Revenue]:[Revenue]]</f>
        <v>0</v>
      </c>
      <c r="DJ132" s="257" cm="1">
        <f t="array" ref="DJ132">BedPlan[[#This Row],[Harvest Days February 2025]]/SUM(BedPlan[[#This Row],[Harvest Days January 2025]:[Harvest Days December 2026]])*BedPlan[[#This Row],[Revenue]:[Revenue]]</f>
        <v>0</v>
      </c>
      <c r="DK132" s="257" cm="1">
        <f t="array" ref="DK132">BedPlan[[#This Row],[Harvest Days March 2025]]/SUM(BedPlan[[#This Row],[Harvest Days January 2025]:[Harvest Days December 2026]])*BedPlan[[#This Row],[Revenue]:[Revenue]]</f>
        <v>0</v>
      </c>
      <c r="DL132" s="257" cm="1">
        <f t="array" ref="DL132">BedPlan[[#This Row],[Harvest Days April 2025]]/SUM(BedPlan[[#This Row],[Harvest Days January 2025]:[Harvest Days December 2026]])*BedPlan[[#This Row],[Revenue]:[Revenue]]</f>
        <v>0</v>
      </c>
      <c r="DM132" s="257" cm="1">
        <f t="array" ref="DM132">BedPlan[[#This Row],[Harvest Days May 2025]]/SUM(BedPlan[[#This Row],[Harvest Days January 2025]:[Harvest Days December 2026]])*BedPlan[[#This Row],[Revenue]:[Revenue]]</f>
        <v>0</v>
      </c>
      <c r="DN132" s="257" cm="1">
        <f t="array" ref="DN132">BedPlan[[#This Row],[Harvest Days June 2025]]/SUM(BedPlan[[#This Row],[Harvest Days January 2025]:[Harvest Days December 2026]])*BedPlan[[#This Row],[Revenue]:[Revenue]]</f>
        <v>10.324483775811208</v>
      </c>
      <c r="DO132" s="257" cm="1">
        <f t="array" ref="DO132">BedPlan[[#This Row],[Harvest Days July 2025]]/SUM(BedPlan[[#This Row],[Harvest Days January 2025]:[Harvest Days December 2026]])*BedPlan[[#This Row],[Revenue]:[Revenue]]</f>
        <v>320.05899705014741</v>
      </c>
      <c r="DP132" s="257" cm="1">
        <f t="array" ref="DP132">BedPlan[[#This Row],[Harvest Days August 2025]]/SUM(BedPlan[[#This Row],[Harvest Days January 2025]:[Harvest Days December 2026]])*BedPlan[[#This Row],[Revenue]:[Revenue]]</f>
        <v>320.05899705014741</v>
      </c>
      <c r="DQ132" s="257" cm="1">
        <f t="array" ref="DQ132">BedPlan[[#This Row],[Harvest Days September 2025]]/SUM(BedPlan[[#This Row],[Harvest Days January 2025]:[Harvest Days December 2026]])*BedPlan[[#This Row],[Revenue]:[Revenue]]</f>
        <v>309.73451327433628</v>
      </c>
      <c r="DR132" s="257" cm="1">
        <f t="array" ref="DR132">BedPlan[[#This Row],[Harvest Days October 2025]]/SUM(BedPlan[[#This Row],[Harvest Days January 2025]:[Harvest Days December 2026]])*BedPlan[[#This Row],[Revenue]:[Revenue]]</f>
        <v>206.48967551622417</v>
      </c>
      <c r="DS132" s="257" cm="1">
        <f t="array" ref="DS132">BedPlan[[#This Row],[Harvest Days November 2025]]/SUM(BedPlan[[#This Row],[Harvest Days January 2025]:[Harvest Days December 2026]])*BedPlan[[#This Row],[Revenue]:[Revenue]]</f>
        <v>0</v>
      </c>
      <c r="DT132" s="257" cm="1">
        <f t="array" ref="DT132">BedPlan[[#This Row],[Harvest Days December 2025]]/SUM(BedPlan[[#This Row],[Harvest Days January 2025]:[Harvest Days December 2026]])*BedPlan[[#This Row],[Revenue]:[Revenue]]</f>
        <v>0</v>
      </c>
      <c r="DU132" s="257" cm="1">
        <f t="array" ref="DU132">BedPlan[[#This Row],[Harvest Days January 2026]]/SUM(BedPlan[[#This Row],[Harvest Days January 2025]:[Harvest Days December 2026]])*BedPlan[[#This Row],[Revenue]:[Revenue]]</f>
        <v>0</v>
      </c>
      <c r="DV132" s="257" cm="1">
        <f t="array" ref="DV132">BedPlan[[#This Row],[Harvest Days February 2026]]/SUM(BedPlan[[#This Row],[Harvest Days January 2025]:[Harvest Days December 2026]])*BedPlan[[#This Row],[Revenue]:[Revenue]]</f>
        <v>0</v>
      </c>
      <c r="DW132" s="257" cm="1">
        <f t="array" ref="DW132">BedPlan[[#This Row],[Harvest Days March 2026]]/SUM(BedPlan[[#This Row],[Harvest Days January 2025]:[Harvest Days December 2026]])*BedPlan[[#This Row],[Revenue]:[Revenue]]</f>
        <v>0</v>
      </c>
      <c r="DX132" s="257" cm="1">
        <f t="array" ref="DX132">BedPlan[[#This Row],[Harvest Days April 2026]]/SUM(BedPlan[[#This Row],[Harvest Days January 2025]:[Harvest Days December 2026]])*BedPlan[[#This Row],[Revenue]:[Revenue]]</f>
        <v>0</v>
      </c>
      <c r="DY132" s="257" cm="1">
        <f t="array" ref="DY132">BedPlan[[#This Row],[Harvest Days May 2026]]/SUM(BedPlan[[#This Row],[Harvest Days January 2025]:[Harvest Days December 2026]])*BedPlan[[#This Row],[Revenue]:[Revenue]]</f>
        <v>0</v>
      </c>
      <c r="DZ132" s="257" cm="1">
        <f t="array" ref="DZ132">BedPlan[[#This Row],[Harvest Days June 2026]]/SUM(BedPlan[[#This Row],[Harvest Days January 2025]:[Harvest Days December 2026]])*BedPlan[[#This Row],[Revenue]:[Revenue]]</f>
        <v>0</v>
      </c>
      <c r="EA132" s="257" cm="1">
        <f t="array" ref="EA132">BedPlan[[#This Row],[Harvest Days July 2026]]/SUM(BedPlan[[#This Row],[Harvest Days January 2025]:[Harvest Days December 2026]])*BedPlan[[#This Row],[Revenue]:[Revenue]]</f>
        <v>0</v>
      </c>
      <c r="EB132" s="257" cm="1">
        <f t="array" ref="EB132">BedPlan[[#This Row],[Harvest Days August 2026]]/SUM(BedPlan[[#This Row],[Harvest Days January 2025]:[Harvest Days December 2026]])*BedPlan[[#This Row],[Revenue]:[Revenue]]</f>
        <v>0</v>
      </c>
      <c r="EC132" s="257" cm="1">
        <f t="array" ref="EC132">BedPlan[[#This Row],[Harvest Days September 2026]]/SUM(BedPlan[[#This Row],[Harvest Days January 2025]:[Harvest Days December 2026]])*BedPlan[[#This Row],[Revenue]:[Revenue]]</f>
        <v>0</v>
      </c>
      <c r="ED132" s="257" cm="1">
        <f t="array" ref="ED132">BedPlan[[#This Row],[Harvest Days October 2026]]/SUM(BedPlan[[#This Row],[Harvest Days January 2025]:[Harvest Days December 2026]])*BedPlan[[#This Row],[Revenue]:[Revenue]]</f>
        <v>0</v>
      </c>
      <c r="EE132" s="257" cm="1">
        <f t="array" ref="EE132">BedPlan[[#This Row],[Harvest Days November 2026]]/SUM(BedPlan[[#This Row],[Harvest Days January 2025]:[Harvest Days December 2026]])*BedPlan[[#This Row],[Revenue]:[Revenue]]</f>
        <v>0</v>
      </c>
      <c r="EF132" s="257" cm="1">
        <f t="array" ref="EF132">BedPlan[[#This Row],[Harvest Days December 2026]]/SUM(BedPlan[[#This Row],[Harvest Days January 2025]:[Harvest Days December 2026]])*BedPlan[[#This Row],[Revenue]:[Revenue]]</f>
        <v>0</v>
      </c>
      <c r="EG132" t="b">
        <f>SUM(BedPlan[[#This Row],[Revenue January 2025]:[Revenue December 2026]])=BedPlan[[#This Row],[Revenue]]</f>
        <v>1</v>
      </c>
      <c r="EH132" s="30" cm="1">
        <f t="array" ref="EH132">INDEX(Crops[],BedPlan[[#This Row],[Chart Index]],EH$4,1)*BedPlan[[#This Row],['# Of Beds]]</f>
        <v>166.66666666666666</v>
      </c>
      <c r="EI132" s="30" t="str" cm="1">
        <f t="array" ref="EI132">INDEX(Crops[],BedPlan[[#This Row],[Chart Index]],EI$4,1)</f>
        <v>Lb</v>
      </c>
      <c r="EJ132" s="30" t="str" cm="1">
        <f t="array" ref="EJ132">INDEX(Crops[],BedPlan[[#This Row],[Chart Index]],EJ$4,1)</f>
        <v>Ripe Fruit Small</v>
      </c>
      <c r="EK132" s="30" t="str">
        <f>BedPlan[[#This Row],[Name]]&amp;" "&amp;BedPlan[[#This Row],[Product]]&amp; " - " &amp;BedPlan[[#This Row],[Unit]]</f>
        <v>Tomato Ripe Fruit Small - Lb</v>
      </c>
      <c r="EL132" s="33" cm="1">
        <f t="array" ref="EL132">BedPlan[[#This Row],[Harvest Days January 2025]]/SUM(BedPlan[[#This Row],[Harvest Days January 2025]:[Harvest Days December 2026]])*BedPlan[[#This Row],[Yield]:[Yield]]</f>
        <v>0</v>
      </c>
      <c r="EM132" s="33" cm="1">
        <f t="array" ref="EM132">BedPlan[[#This Row],[Harvest Days February 2025]]/SUM(BedPlan[[#This Row],[Harvest Days January 2025]:[Harvest Days December 2026]])*BedPlan[[#This Row],[Yield]:[Yield]]</f>
        <v>0</v>
      </c>
      <c r="EN132" s="33" cm="1">
        <f t="array" ref="EN132">BedPlan[[#This Row],[Harvest Days March 2025]]/SUM(BedPlan[[#This Row],[Harvest Days January 2025]:[Harvest Days December 2026]])*BedPlan[[#This Row],[Yield]:[Yield]]</f>
        <v>0</v>
      </c>
      <c r="EO132" s="33" cm="1">
        <f t="array" ref="EO132">BedPlan[[#This Row],[Harvest Days April 2025]]/SUM(BedPlan[[#This Row],[Harvest Days January 2025]:[Harvest Days December 2026]])*BedPlan[[#This Row],[Yield]:[Yield]]</f>
        <v>0</v>
      </c>
      <c r="EP132" s="33" cm="1">
        <f t="array" ref="EP132">BedPlan[[#This Row],[Harvest Days May 2025]]/SUM(BedPlan[[#This Row],[Harvest Days January 2025]:[Harvest Days December 2026]])*BedPlan[[#This Row],[Yield]:[Yield]]</f>
        <v>0</v>
      </c>
      <c r="EQ132" s="33" cm="1">
        <f t="array" ref="EQ132">BedPlan[[#This Row],[Harvest Days June 2025]]/SUM(BedPlan[[#This Row],[Harvest Days January 2025]:[Harvest Days December 2026]])*BedPlan[[#This Row],[Yield]:[Yield]]</f>
        <v>1.4749262536873156</v>
      </c>
      <c r="ER132" s="33" cm="1">
        <f t="array" ref="ER132">BedPlan[[#This Row],[Harvest Days July 2025]]/SUM(BedPlan[[#This Row],[Harvest Days January 2025]:[Harvest Days December 2026]])*BedPlan[[#This Row],[Yield]:[Yield]]</f>
        <v>45.722713864306776</v>
      </c>
      <c r="ES132" s="33" cm="1">
        <f t="array" ref="ES132">BedPlan[[#This Row],[Harvest Days August 2025]]/SUM(BedPlan[[#This Row],[Harvest Days January 2025]:[Harvest Days December 2026]])*BedPlan[[#This Row],[Yield]:[Yield]]</f>
        <v>45.722713864306776</v>
      </c>
      <c r="ET132" s="33" cm="1">
        <f t="array" ref="ET132">BedPlan[[#This Row],[Harvest Days September 2025]]/SUM(BedPlan[[#This Row],[Harvest Days January 2025]:[Harvest Days December 2026]])*BedPlan[[#This Row],[Yield]:[Yield]]</f>
        <v>44.247787610619469</v>
      </c>
      <c r="EU132" s="33" cm="1">
        <f t="array" ref="EU132">BedPlan[[#This Row],[Harvest Days October 2025]]/SUM(BedPlan[[#This Row],[Harvest Days January 2025]:[Harvest Days December 2026]])*BedPlan[[#This Row],[Yield]:[Yield]]</f>
        <v>29.498525073746311</v>
      </c>
      <c r="EV132" s="33" cm="1">
        <f t="array" ref="EV132">BedPlan[[#This Row],[Harvest Days November 2025]]/SUM(BedPlan[[#This Row],[Harvest Days January 2025]:[Harvest Days December 2026]])*BedPlan[[#This Row],[Yield]:[Yield]]</f>
        <v>0</v>
      </c>
      <c r="EW132" s="33" cm="1">
        <f t="array" ref="EW132">BedPlan[[#This Row],[Harvest Days December 2025]]/SUM(BedPlan[[#This Row],[Harvest Days January 2025]:[Harvest Days December 2026]])*BedPlan[[#This Row],[Yield]:[Yield]]</f>
        <v>0</v>
      </c>
    </row>
    <row r="133" spans="1:153" ht="15" customHeight="1">
      <c r="A133" s="190" t="s">
        <v>3050</v>
      </c>
      <c r="B133" s="240" t="s">
        <v>3008</v>
      </c>
      <c r="C133" t="s">
        <v>3256</v>
      </c>
      <c r="D133" s="226" cm="1">
        <f t="array" ref="D133">INDEX(Crops[],BedPlan[[#This Row],[Chart Index]],D$4,1)*BedPlan[[#This Row],[Full Bed Equivalent]]</f>
        <v>355.5555555555556</v>
      </c>
      <c r="E133" s="226" cm="1">
        <f t="array" ref="E133">INDEX(Crops[],BedPlan[[#This Row],[Chart Index]],E$4,1)*BedPlan[[#This Row],[Full Bed Equivalent]]</f>
        <v>3200</v>
      </c>
      <c r="F133" t="str">
        <f>UPPER(LEFT(BedPlan[[#This Row],[Crop]],3))</f>
        <v>TOM</v>
      </c>
      <c r="H133" s="143" t="str" cm="1">
        <f t="array" ref="H133">INDEX(Crops[],BedPlan[[#This Row],[Chart Index]],H$4,1)</f>
        <v>Tomato</v>
      </c>
      <c r="I133" s="268" t="s">
        <v>3041</v>
      </c>
      <c r="K133" s="34" t="str" cm="1">
        <f t="array" ref="K133">IF(ISNUMBER(MATCH(BedPlan[[#This Row],[Variety]],SeedMixes[Name],)),_xlfn.TEXTJOIN(", ",TRUE,_xlfn._xlws.FILTER(SeedMixes[Variety &amp; Company],SeedMixes[Name]=BedPlan[[#This Row],[Variety]])),"")</f>
        <v>Red Racer Harris, Orange You Glad Adaptive, Banana Legs Tomato Fest, Cream Sausage Tomato Fest, Sean's Yellow Dwarf Tomato Fest</v>
      </c>
      <c r="L133" s="33" cm="1">
        <f t="array" ref="L133">INDEX(Crops[],BedPlan[[#This Row],[Chart Index]],L$4,1)*BedPlan[[#This Row],[Full Bed Equivalent]]</f>
        <v>260</v>
      </c>
      <c r="N133">
        <v>8</v>
      </c>
      <c r="O133">
        <v>1</v>
      </c>
      <c r="P133" s="31">
        <f>IF(ISNUMBER(BedPlan[[#This Row],[Planned Greenhouse Start Date]]),BedPlan[[#This Row],[Planned Greenhouse Start Date]],BedPlan[[#This Row],[Planned TP or DS Date]])</f>
        <v>45752</v>
      </c>
      <c r="Q133" s="259">
        <f>IF(BedPlan[[#This Row],[Days in Cells]]=0,"",IFERROR(_xlfn.XLOOKUP(BedPlan[[#This Row],[Follows Crop]],BedPlan[Identifier],BedPlan[Expected End of Harvest]) + 1+BedPlan[[#This Row],[Follow Offset]],BedPlan[[#This Row],[Fixed Field Start Date]])-BedPlan[[#This Row],[Days in Cells]])</f>
        <v>45752</v>
      </c>
      <c r="R133" s="259">
        <v>45763</v>
      </c>
      <c r="S133" s="259">
        <f>IF(ISNUMBER(BedPlan[[#This Row],[Actual Greenhouse Date]]),BedPlan[[#This Row],[Actual Greenhouse Date]],BedPlan[[#This Row],[Planned Greenhouse Start Date]])</f>
        <v>45763</v>
      </c>
      <c r="T133" s="259">
        <v>45808</v>
      </c>
      <c r="U133" s="260"/>
      <c r="V133" s="260"/>
      <c r="W13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3" s="259">
        <v>45823</v>
      </c>
      <c r="Y133" s="271">
        <f>BedPlan[[#This Row],[Actual TP or DS Date]]-BedPlan[[#This Row],[Planned TP or DS Date]]</f>
        <v>4</v>
      </c>
      <c r="Z133" s="259">
        <f>IF(ISNUMBER(BedPlan[[#This Row],[Actual TP or DS Date]]),BedPlan[[#This Row],[Actual TP or DS Date]],BedPlan[[#This Row],[Planned TP or DS Date]])</f>
        <v>45823</v>
      </c>
      <c r="AA133" s="259"/>
      <c r="AB133" s="259">
        <f>IF(ISNUMBER(BedPlan[[#This Row],[Greenhouse Start Date]]),BedPlan[[#This Row],[Greenhouse Start Date]]+BedPlan[[#This Row],[DTM]],BedPlan[[#This Row],[TP or DS Date]]+BedPlan[[#This Row],[DTM]])</f>
        <v>45909</v>
      </c>
      <c r="AC133" s="259"/>
      <c r="AD133" s="259">
        <f>IF(ISNUMBER(BedPlan[[#This Row],[Actual Beginning of Harvest]]),BedPlan[[#This Row],[Actual Beginning of Harvest]],BedPlan[[#This Row],[Expected Beginning of Harvest]])</f>
        <v>45909</v>
      </c>
      <c r="AE133" s="259">
        <f>BedPlan[[#This Row],[Expected Beginning of Harvest]]+BedPlan[[#This Row],[Harvest Window]]+BedPlan[[#This Row],[Additional Days of Harvest]]</f>
        <v>45972</v>
      </c>
      <c r="AF133" s="259"/>
      <c r="AG133" s="259"/>
      <c r="AH133" s="34" t="b">
        <f>IF(AND( BedPlan[[#This Row],[Expected End of Harvest]] &gt;= DATE(2025, 8, 1), BedPlan[[#This Row],[Beginning of Harvest]] &lt;= DATE(2025, 8, 31) ), TRUE, FALSE)</f>
        <v>0</v>
      </c>
      <c r="AI133" s="31"/>
      <c r="AJ133" s="31">
        <f>IF(ISNUMBER(BedPlan[[#This Row],[Actual End of Harvest]]),BedPlan[[#This Row],[Actual End of Harvest]],BedPlan[[#This Row],[Expected End of Harvest]])</f>
        <v>45972</v>
      </c>
      <c r="AK133" t="b">
        <f>OR(ISNUMBER(BedPlan[[#This Row],[Actual Greenhouse Date]]),ISNUMBER(BedPlan[[#This Row],[Actual TP or DS Date]]))</f>
        <v>1</v>
      </c>
      <c r="AL133" t="b">
        <f>IF(ISNUMBER(BedPlan[[#This Row],[Planned Greenhouse Start Date]]),OR(ISNUMBER(BedPlan[[#This Row],[Actual TP or DS Date]]),BedPlan[[#This Row],[Failed]]),"-")</f>
        <v>1</v>
      </c>
      <c r="AM133" t="b">
        <f>OR(ISNUMBER(BedPlan[[#This Row],[Actual End of Harvest]]),BedPlan[[#This Row],[Failed]])</f>
        <v>0</v>
      </c>
      <c r="AN133" t="b">
        <f>OR(BedPlan[[#This Row],[Harvest Done]],BedPlan[[#This Row],[Failed]],BedPlan[[#This Row],[Name]]="Tarp")</f>
        <v>0</v>
      </c>
      <c r="AQ133" t="s">
        <v>3237</v>
      </c>
      <c r="AS133" s="26" t="str">
        <f>IF(BedPlan[[#This Row],[Broadfork]],BedPlan[[#This Row],[Actual TP or DS Date]],"")</f>
        <v/>
      </c>
      <c r="AT133" s="26" t="str">
        <f>IF(BedPlan[[#This Row],[Tilther]],BedPlan[[#This Row],[Actual TP or DS Date]],"")</f>
        <v/>
      </c>
      <c r="AU133" s="26">
        <f>IF(NOT(ISBLANK(BedPlan[[#This Row],[Amend]])),BedPlan[[#This Row],[Actual TP or DS Date]],"")</f>
        <v>45823</v>
      </c>
      <c r="AV133" s="26" t="str">
        <f>IF(BedPlan[[#This Row],[Row Cover]],BedPlan[[#This Row],[Actual TP or DS Date]],"")</f>
        <v/>
      </c>
      <c r="AX133" s="26"/>
      <c r="AZ133" s="26"/>
      <c r="BB133" s="26"/>
      <c r="BC133" s="36" cm="1">
        <f t="array" ref="BC133">INDEX(Crops[],BedPlan[[#This Row],[Chart Index]],BC$4,1)*BedPlan[[#This Row],[Full Bed Equivalent]]</f>
        <v>16800</v>
      </c>
      <c r="BD133" s="36" cm="1">
        <f t="array" ref="BD133">INDEX(Crops[],BedPlan[[#This Row],[Chart Index]],BD$4,1)*BedPlan[[#This Row],[Full Bed Equivalent]]</f>
        <v>109.80392156862744</v>
      </c>
      <c r="BE133" cm="1">
        <f t="array" ref="BE133">INDEX(Crops[],BedPlan[[#This Row],[Chart Index]],BE$4,1)+BedPlan[[#This Row],[Additional Days in Cells]]+BedPlan[[#This Row],[Additional Days In Field]]</f>
        <v>146</v>
      </c>
      <c r="BG133" cm="1">
        <f t="array" ref="BG133">INDEX(Crops[],BedPlan[[#This Row],[Chart Index]],BG$4,1)</f>
        <v>63</v>
      </c>
      <c r="BH133" t="str">
        <f>IF(ISNUMBER(BedPlan[[#This Row],[Planned Greenhouse Start Date]]),"TP","DS")</f>
        <v>TP</v>
      </c>
      <c r="BI133">
        <f>BedPlan[[#This Row],['# Of Beds]]</f>
        <v>8</v>
      </c>
      <c r="BJ133" cm="1">
        <f t="array" ref="BJ133">INDEX(Crops[],BedPlan[[#This Row],[Chart Index]],BJ$4,1)</f>
        <v>56</v>
      </c>
      <c r="BK133" cm="1">
        <f t="array" ref="BK133">INDEX(Crops[],BedPlan[[#This Row],[Chart Index]],BK$4,1)</f>
        <v>1</v>
      </c>
      <c r="BL133" cm="1">
        <f t="array" ref="BL133">INDEX(Crops[],BedPlan[[#This Row],[Chart Index]],BL$4,1)</f>
        <v>24</v>
      </c>
      <c r="BM133" cm="1">
        <f t="array" ref="BM133">INDEX(Crops[],BedPlan[[#This Row],[Chart Index]],BM$4,1)</f>
        <v>1</v>
      </c>
      <c r="BN133" s="32" cm="1">
        <f t="array" ref="BN133">INDEX(Crops[],BedPlan[[#This Row],[Chart Index]],BN$4,1)*BedPlan[[#This Row],[Full Bed Equivalent]]</f>
        <v>200</v>
      </c>
      <c r="BO133" t="str" cm="1">
        <f t="array" ref="BO133">IF(INDEX(Crops[],BedPlan[[#This Row],[Chart Index]],BO$4,1)=0,"",INDEX(Crops[],BedPlan[[#This Row],[Chart Index]],BO$4,1))</f>
        <v>DR</v>
      </c>
      <c r="BP133">
        <f>MATCH(BedPlan[[#This Row],[Crop]],Crops[Identifier],FALSE)</f>
        <v>330</v>
      </c>
      <c r="BQ133" t="str" cm="1">
        <f t="array" ref="BQ133">INDEX(Crops[],BedPlan[[#This Row],[Chart Index]],BQ$4,1)</f>
        <v>Medium Det</v>
      </c>
      <c r="BR133" t="str" cm="1">
        <f t="array" ref="BR133">INDEX(Crops[],BedPlan[[#This Row],[Chart Index]],BR$4,1)</f>
        <v>Su</v>
      </c>
      <c r="BS133" s="32">
        <f>BedPlan[[#This Row],[Expected Beginning of Harvest]]-DATE(2023,1,1)</f>
        <v>982</v>
      </c>
      <c r="BT133">
        <f>BedPlan[[#This Row],[Expected End of Harvest]]-BedPlan[[#This Row],[Expected Beginning of Harvest]]</f>
        <v>63</v>
      </c>
      <c r="BU133" t="str" cm="1">
        <f t="array" ref="BU133">INDEX(Crops[],BedPlan[[#This Row],[Chart Index]],BU$4,1)</f>
        <v>Tomato</v>
      </c>
      <c r="BV133" cm="1">
        <f t="array" ref="BV133">INDEX(Crops[],BedPlan[[#This Row],[Chart Index]],BV$4,1)</f>
        <v>5</v>
      </c>
      <c r="BW133" t="str" cm="1">
        <f t="array" ref="BW133">INDEX(Crops[],BedPlan[[#This Row],[Chart Index]],BW$4,1)</f>
        <v>Young</v>
      </c>
      <c r="BX133" cm="1">
        <f t="array" ref="BX133">INDEX(Crops[],BedPlan[[#This Row],[Chart Index]],BX$4,1)</f>
        <v>72</v>
      </c>
      <c r="BY133" cm="1">
        <f t="array" ref="BY133">INDEX(Crops[],BedPlan[[#This Row],[Chart Index]],BY$4,1)</f>
        <v>21</v>
      </c>
      <c r="BZ133" s="49" cm="1">
        <f t="array" ref="BZ133">IFERROR(INDEX(Crops[],BedPlan[[#This Row],[Chart Index]],BZ$4,1)*BedPlan[[#This Row],[Full Bed Equivalent]],"")</f>
        <v>3.6111111111111112</v>
      </c>
      <c r="CA133" cm="1">
        <f t="array" ref="CA133">INDEX(Crops[],BedPlan[[#This Row],[Chart Index]],CA$4,1)</f>
        <v>18</v>
      </c>
      <c r="CB133" cm="1">
        <f t="array" ref="CB133">INDEX(Crops[],BedPlan[[#This Row],[Chart Index]],CB$4,1)</f>
        <v>21</v>
      </c>
      <c r="CC133" s="49" cm="1">
        <f t="array" ref="CC133">IFERROR(INDEX(Crops[],BedPlan[[#This Row],[Chart Index]],CC$4,1)*BedPlan[[#This Row],[Full Bed Equivalent]],"")</f>
        <v>14.444444444444445</v>
      </c>
      <c r="CD133" cm="1">
        <f t="array" ref="CD133">INDEX(Crops[],BedPlan[[#This Row],[Chart Index]],CD$4,1)</f>
        <v>9</v>
      </c>
      <c r="CE133" cm="1">
        <f t="array" ref="CE133">IF(INDEX(Crops[],BedPlan[[#This Row],[Chart Index]],CE$4,1)="",0,INDEX(Crops[],BedPlan[[#This Row],[Chart Index]],CE$4,1))</f>
        <v>14</v>
      </c>
      <c r="CF133" s="49" cm="1">
        <f t="array" ref="CF133">IFERROR(INDEX(Crops[],BedPlan[[#This Row],[Chart Index]],CF$4,1)*BedPlan[[#This Row],[Full Bed Equivalent]],"")</f>
        <v>28.888888888888889</v>
      </c>
      <c r="CG133" cm="1">
        <f t="array" ref="CG133">IF(INDEX(Crops[],BedPlan[[#This Row],[Chart Index]],CG$4,1)="",0,INDEX(Crops[],BedPlan[[#This Row],[Chart Index]],CG$4,1))</f>
        <v>1.3</v>
      </c>
      <c r="CH133" cm="1">
        <f t="array" ref="CH133">IF(INDEX(Crops[],BedPlan[[#This Row],[Chart Index]],CH$4,1)="",0,INDEX(Crops[],BedPlan[[#This Row],[Chart Index]],CH$4,1))</f>
        <v>0</v>
      </c>
      <c r="CI133" t="str" cm="1">
        <f t="array" ref="CI133">INDEX(Crops[],BedPlan[[#This Row],[Chart Index]],CI$4,1)</f>
        <v>Field</v>
      </c>
      <c r="CJ133" t="str">
        <f>_xlfn.TEXTJOIN(CHAR(10),FALSE,BedPlan[[#This Row],[Name]],BedPlan[[#This Row],[Variety]],BedPlan[[#This Row],[Company]])</f>
        <v xml:space="preserve">Tomato
Determinate Medium Mix
</v>
      </c>
      <c r="CK133" s="32">
        <f>MAX( 0, MIN(BedPlan[[#This Row],[Expected End of Harvest]], EOMONTH(CK$4, 0)) - MAX(BedPlan[[#This Row],[Beginning of Harvest]], CK$4) + 1 )</f>
        <v>0</v>
      </c>
      <c r="CL133">
        <f>MAX( 0, MIN(BedPlan[[#This Row],[Expected End of Harvest]], EOMONTH(CL$4, 0)) - MAX(BedPlan[[#This Row],[Beginning of Harvest]], CL$4) + 1 )</f>
        <v>0</v>
      </c>
      <c r="CM133">
        <f>MAX( 0, MIN(BedPlan[[#This Row],[Expected End of Harvest]], EOMONTH(CM$4, 0)) - MAX(BedPlan[[#This Row],[Beginning of Harvest]], CM$4) + 1 )</f>
        <v>0</v>
      </c>
      <c r="CN133">
        <f>MAX( 0, MIN(BedPlan[[#This Row],[Expected End of Harvest]], EOMONTH(CN$4, 0)) - MAX(BedPlan[[#This Row],[Beginning of Harvest]], CN$4) + 1 )</f>
        <v>0</v>
      </c>
      <c r="CO133">
        <f>MAX( 0, MIN(BedPlan[[#This Row],[Expected End of Harvest]], EOMONTH(CO$4, 0)) - MAX(BedPlan[[#This Row],[Beginning of Harvest]], CO$4) + 1 )</f>
        <v>0</v>
      </c>
      <c r="CP133">
        <f>MAX( 0, MIN(BedPlan[[#This Row],[Expected End of Harvest]], EOMONTH(CP$4, 0)) - MAX(BedPlan[[#This Row],[Beginning of Harvest]], CP$4) + 1 )</f>
        <v>0</v>
      </c>
      <c r="CQ133">
        <f>MAX( 0, MIN(BedPlan[[#This Row],[Expected End of Harvest]], EOMONTH(CQ$4, 0)) - MAX(BedPlan[[#This Row],[Beginning of Harvest]], CQ$4) + 1 )</f>
        <v>0</v>
      </c>
      <c r="CR133">
        <f>MAX( 0, MIN(BedPlan[[#This Row],[Expected End of Harvest]], EOMONTH(CR$4, 0)) - MAX(BedPlan[[#This Row],[Beginning of Harvest]], CR$4) + 1 )</f>
        <v>0</v>
      </c>
      <c r="CS133">
        <f>MAX( 0, MIN(BedPlan[[#This Row],[Expected End of Harvest]], EOMONTH(CS$4, 0)) - MAX(BedPlan[[#This Row],[Beginning of Harvest]], CS$4) + 1 )</f>
        <v>22</v>
      </c>
      <c r="CT133">
        <f>MAX( 0, MIN(BedPlan[[#This Row],[Expected End of Harvest]], EOMONTH(CT$4, 0)) - MAX(BedPlan[[#This Row],[Beginning of Harvest]], CT$4) + 1 )</f>
        <v>31</v>
      </c>
      <c r="CU133">
        <f>MAX( 0, MIN(BedPlan[[#This Row],[Expected End of Harvest]], EOMONTH(CU$4, 0)) - MAX(BedPlan[[#This Row],[Beginning of Harvest]], CU$4) + 1 )</f>
        <v>11</v>
      </c>
      <c r="CV133">
        <f>MAX( 0, MIN(BedPlan[[#This Row],[Expected End of Harvest]], EOMONTH(CV$4, 0)) - MAX(BedPlan[[#This Row],[Beginning of Harvest]], CV$4) + 1 )</f>
        <v>0</v>
      </c>
      <c r="CW133">
        <f>MAX( 0, MIN(BedPlan[[#This Row],[Expected End of Harvest]], EOMONTH(CW$4, 0)) - MAX(BedPlan[[#This Row],[Beginning of Harvest]], CW$4) + 1 )</f>
        <v>0</v>
      </c>
      <c r="CX133">
        <f>MAX( 0, MIN(BedPlan[[#This Row],[Expected End of Harvest]], EOMONTH(CX$4, 0)) - MAX(BedPlan[[#This Row],[Beginning of Harvest]], CX$4) + 1 )</f>
        <v>0</v>
      </c>
      <c r="CY133">
        <f>MAX( 0, MIN(BedPlan[[#This Row],[Expected End of Harvest]], EOMONTH(CY$4, 0)) - MAX(BedPlan[[#This Row],[Beginning of Harvest]], CY$4) + 1 )</f>
        <v>0</v>
      </c>
      <c r="CZ133">
        <f>MAX( 0, MIN(BedPlan[[#This Row],[Expected End of Harvest]], EOMONTH(CZ$4, 0)) - MAX(BedPlan[[#This Row],[Beginning of Harvest]], CZ$4) + 1 )</f>
        <v>0</v>
      </c>
      <c r="DA133">
        <f>MAX( 0, MIN(BedPlan[[#This Row],[Expected End of Harvest]], EOMONTH(DA$4, 0)) - MAX(BedPlan[[#This Row],[Beginning of Harvest]], DA$4) + 1 )</f>
        <v>0</v>
      </c>
      <c r="DB133">
        <f>MAX( 0, MIN(BedPlan[[#This Row],[Expected End of Harvest]], EOMONTH(DB$4, 0)) - MAX(BedPlan[[#This Row],[Beginning of Harvest]], DB$4) + 1 )</f>
        <v>0</v>
      </c>
      <c r="DC133">
        <f>MAX( 0, MIN(BedPlan[[#This Row],[Expected End of Harvest]], EOMONTH(DC$4, 0)) - MAX(BedPlan[[#This Row],[Beginning of Harvest]], DC$4) + 1 )</f>
        <v>0</v>
      </c>
      <c r="DD133">
        <f>MAX( 0, MIN(BedPlan[[#This Row],[Expected End of Harvest]], EOMONTH(DD$4, 0)) - MAX(BedPlan[[#This Row],[Beginning of Harvest]], DD$4) + 1 )</f>
        <v>0</v>
      </c>
      <c r="DE133">
        <f>MAX( 0, MIN(BedPlan[[#This Row],[Expected End of Harvest]], EOMONTH(DE$4, 0)) - MAX(BedPlan[[#This Row],[Beginning of Harvest]], DE$4) + 1 )</f>
        <v>0</v>
      </c>
      <c r="DF133">
        <f>MAX( 0, MIN(BedPlan[[#This Row],[Expected End of Harvest]], EOMONTH(DF$4, 0)) - MAX(BedPlan[[#This Row],[Beginning of Harvest]], DF$4) + 1 )</f>
        <v>0</v>
      </c>
      <c r="DG133">
        <f>MAX( 0, MIN(BedPlan[[#This Row],[Expected End of Harvest]], EOMONTH(DG$4, 0)) - MAX(BedPlan[[#This Row],[Beginning of Harvest]], DG$4) + 1 )</f>
        <v>0</v>
      </c>
      <c r="DH133">
        <f>MAX( 0, MIN(BedPlan[[#This Row],[Expected End of Harvest]], EOMONTH(DH$4, 0)) - MAX(BedPlan[[#This Row],[Beginning of Harvest]], DH$4) + 1 )</f>
        <v>0</v>
      </c>
      <c r="DI133" s="257" cm="1">
        <f t="array" ref="DI133">BedPlan[[#This Row],[Harvest Days January 2025]]/SUM(BedPlan[[#This Row],[Harvest Days January 2025]:[Harvest Days December 2026]])*BedPlan[[#This Row],[Revenue]:[Revenue]]</f>
        <v>0</v>
      </c>
      <c r="DJ133" s="257" cm="1">
        <f t="array" ref="DJ133">BedPlan[[#This Row],[Harvest Days February 2025]]/SUM(BedPlan[[#This Row],[Harvest Days January 2025]:[Harvest Days December 2026]])*BedPlan[[#This Row],[Revenue]:[Revenue]]</f>
        <v>0</v>
      </c>
      <c r="DK133" s="257" cm="1">
        <f t="array" ref="DK133">BedPlan[[#This Row],[Harvest Days March 2025]]/SUM(BedPlan[[#This Row],[Harvest Days January 2025]:[Harvest Days December 2026]])*BedPlan[[#This Row],[Revenue]:[Revenue]]</f>
        <v>0</v>
      </c>
      <c r="DL133" s="257" cm="1">
        <f t="array" ref="DL133">BedPlan[[#This Row],[Harvest Days April 2025]]/SUM(BedPlan[[#This Row],[Harvest Days January 2025]:[Harvest Days December 2026]])*BedPlan[[#This Row],[Revenue]:[Revenue]]</f>
        <v>0</v>
      </c>
      <c r="DM133" s="257" cm="1">
        <f t="array" ref="DM133">BedPlan[[#This Row],[Harvest Days May 2025]]/SUM(BedPlan[[#This Row],[Harvest Days January 2025]:[Harvest Days December 2026]])*BedPlan[[#This Row],[Revenue]:[Revenue]]</f>
        <v>0</v>
      </c>
      <c r="DN133" s="257" cm="1">
        <f t="array" ref="DN133">BedPlan[[#This Row],[Harvest Days June 2025]]/SUM(BedPlan[[#This Row],[Harvest Days January 2025]:[Harvest Days December 2026]])*BedPlan[[#This Row],[Revenue]:[Revenue]]</f>
        <v>0</v>
      </c>
      <c r="DO133" s="257" cm="1">
        <f t="array" ref="DO133">BedPlan[[#This Row],[Harvest Days July 2025]]/SUM(BedPlan[[#This Row],[Harvest Days January 2025]:[Harvest Days December 2026]])*BedPlan[[#This Row],[Revenue]:[Revenue]]</f>
        <v>0</v>
      </c>
      <c r="DP133" s="257" cm="1">
        <f t="array" ref="DP133">BedPlan[[#This Row],[Harvest Days August 2025]]/SUM(BedPlan[[#This Row],[Harvest Days January 2025]:[Harvest Days December 2026]])*BedPlan[[#This Row],[Revenue]:[Revenue]]</f>
        <v>0</v>
      </c>
      <c r="DQ133" s="257" cm="1">
        <f t="array" ref="DQ133">BedPlan[[#This Row],[Harvest Days September 2025]]/SUM(BedPlan[[#This Row],[Harvest Days January 2025]:[Harvest Days December 2026]])*BedPlan[[#This Row],[Revenue]:[Revenue]]</f>
        <v>5775</v>
      </c>
      <c r="DR133" s="257" cm="1">
        <f t="array" ref="DR133">BedPlan[[#This Row],[Harvest Days October 2025]]/SUM(BedPlan[[#This Row],[Harvest Days January 2025]:[Harvest Days December 2026]])*BedPlan[[#This Row],[Revenue]:[Revenue]]</f>
        <v>8137.5</v>
      </c>
      <c r="DS133" s="257" cm="1">
        <f t="array" ref="DS133">BedPlan[[#This Row],[Harvest Days November 2025]]/SUM(BedPlan[[#This Row],[Harvest Days January 2025]:[Harvest Days December 2026]])*BedPlan[[#This Row],[Revenue]:[Revenue]]</f>
        <v>2887.5</v>
      </c>
      <c r="DT133" s="257" cm="1">
        <f t="array" ref="DT133">BedPlan[[#This Row],[Harvest Days December 2025]]/SUM(BedPlan[[#This Row],[Harvest Days January 2025]:[Harvest Days December 2026]])*BedPlan[[#This Row],[Revenue]:[Revenue]]</f>
        <v>0</v>
      </c>
      <c r="DU133" s="257" cm="1">
        <f t="array" ref="DU133">BedPlan[[#This Row],[Harvest Days January 2026]]/SUM(BedPlan[[#This Row],[Harvest Days January 2025]:[Harvest Days December 2026]])*BedPlan[[#This Row],[Revenue]:[Revenue]]</f>
        <v>0</v>
      </c>
      <c r="DV133" s="257" cm="1">
        <f t="array" ref="DV133">BedPlan[[#This Row],[Harvest Days February 2026]]/SUM(BedPlan[[#This Row],[Harvest Days January 2025]:[Harvest Days December 2026]])*BedPlan[[#This Row],[Revenue]:[Revenue]]</f>
        <v>0</v>
      </c>
      <c r="DW133" s="257" cm="1">
        <f t="array" ref="DW133">BedPlan[[#This Row],[Harvest Days March 2026]]/SUM(BedPlan[[#This Row],[Harvest Days January 2025]:[Harvest Days December 2026]])*BedPlan[[#This Row],[Revenue]:[Revenue]]</f>
        <v>0</v>
      </c>
      <c r="DX133" s="257" cm="1">
        <f t="array" ref="DX133">BedPlan[[#This Row],[Harvest Days April 2026]]/SUM(BedPlan[[#This Row],[Harvest Days January 2025]:[Harvest Days December 2026]])*BedPlan[[#This Row],[Revenue]:[Revenue]]</f>
        <v>0</v>
      </c>
      <c r="DY133" cm="1">
        <f t="array" ref="DY133">BedPlan[[#This Row],[Harvest Days May 2026]]/SUM(BedPlan[[#This Row],[Harvest Days January 2025]:[Harvest Days December 2026]])*BedPlan[[#This Row],[Revenue]:[Revenue]]</f>
        <v>0</v>
      </c>
      <c r="DZ133" cm="1">
        <f t="array" ref="DZ133">BedPlan[[#This Row],[Harvest Days June 2026]]/SUM(BedPlan[[#This Row],[Harvest Days January 2025]:[Harvest Days December 2026]])*BedPlan[[#This Row],[Revenue]:[Revenue]]</f>
        <v>0</v>
      </c>
      <c r="EA133" cm="1">
        <f t="array" ref="EA133">BedPlan[[#This Row],[Harvest Days July 2026]]/SUM(BedPlan[[#This Row],[Harvest Days January 2025]:[Harvest Days December 2026]])*BedPlan[[#This Row],[Revenue]:[Revenue]]</f>
        <v>0</v>
      </c>
      <c r="EB133" cm="1">
        <f t="array" ref="EB133">BedPlan[[#This Row],[Harvest Days August 2026]]/SUM(BedPlan[[#This Row],[Harvest Days January 2025]:[Harvest Days December 2026]])*BedPlan[[#This Row],[Revenue]:[Revenue]]</f>
        <v>0</v>
      </c>
      <c r="EC133" cm="1">
        <f t="array" ref="EC133">BedPlan[[#This Row],[Harvest Days September 2026]]/SUM(BedPlan[[#This Row],[Harvest Days January 2025]:[Harvest Days December 2026]])*BedPlan[[#This Row],[Revenue]:[Revenue]]</f>
        <v>0</v>
      </c>
      <c r="ED133" cm="1">
        <f t="array" ref="ED133">BedPlan[[#This Row],[Harvest Days October 2026]]/SUM(BedPlan[[#This Row],[Harvest Days January 2025]:[Harvest Days December 2026]])*BedPlan[[#This Row],[Revenue]:[Revenue]]</f>
        <v>0</v>
      </c>
      <c r="EE133" cm="1">
        <f t="array" ref="EE133">BedPlan[[#This Row],[Harvest Days November 2026]]/SUM(BedPlan[[#This Row],[Harvest Days January 2025]:[Harvest Days December 2026]])*BedPlan[[#This Row],[Revenue]:[Revenue]]</f>
        <v>0</v>
      </c>
      <c r="EF133" cm="1">
        <f t="array" ref="EF133">BedPlan[[#This Row],[Harvest Days December 2026]]/SUM(BedPlan[[#This Row],[Harvest Days January 2025]:[Harvest Days December 2026]])*BedPlan[[#This Row],[Revenue]:[Revenue]]</f>
        <v>0</v>
      </c>
      <c r="EG133" t="b">
        <f>SUM(BedPlan[[#This Row],[Revenue January 2025]:[Revenue December 2026]])=BedPlan[[#This Row],[Revenue]]</f>
        <v>1</v>
      </c>
      <c r="EH133" cm="1">
        <f t="array" ref="EH133">INDEX(Crops[],BedPlan[[#This Row],[Chart Index]],EH$4,1)*BedPlan[[#This Row],['# Of Beds]]</f>
        <v>2400</v>
      </c>
      <c r="EI133" t="str" cm="1">
        <f t="array" ref="EI133">INDEX(Crops[],BedPlan[[#This Row],[Chart Index]],EI$4,1)</f>
        <v>Lb</v>
      </c>
      <c r="EJ133" t="str" cm="1">
        <f t="array" ref="EJ133">INDEX(Crops[],BedPlan[[#This Row],[Chart Index]],EJ$4,1)</f>
        <v>Ripe Fruit Medium</v>
      </c>
      <c r="EK133" t="str">
        <f>BedPlan[[#This Row],[Name]]&amp;" "&amp;BedPlan[[#This Row],[Product]]&amp; " - " &amp;BedPlan[[#This Row],[Unit]]</f>
        <v>Tomato Ripe Fruit Medium - Lb</v>
      </c>
      <c r="EL133" s="33" cm="1">
        <f t="array" ref="EL133">BedPlan[[#This Row],[Harvest Days January 2025]]/SUM(BedPlan[[#This Row],[Harvest Days January 2025]:[Harvest Days December 2026]])*BedPlan[[#This Row],[Yield]:[Yield]]</f>
        <v>0</v>
      </c>
      <c r="EM133" s="33" cm="1">
        <f t="array" ref="EM133">BedPlan[[#This Row],[Harvest Days February 2025]]/SUM(BedPlan[[#This Row],[Harvest Days January 2025]:[Harvest Days December 2026]])*BedPlan[[#This Row],[Yield]:[Yield]]</f>
        <v>0</v>
      </c>
      <c r="EN133" s="33" cm="1">
        <f t="array" ref="EN133">BedPlan[[#This Row],[Harvest Days March 2025]]/SUM(BedPlan[[#This Row],[Harvest Days January 2025]:[Harvest Days December 2026]])*BedPlan[[#This Row],[Yield]:[Yield]]</f>
        <v>0</v>
      </c>
      <c r="EO133" s="33" cm="1">
        <f t="array" ref="EO133">BedPlan[[#This Row],[Harvest Days April 2025]]/SUM(BedPlan[[#This Row],[Harvest Days January 2025]:[Harvest Days December 2026]])*BedPlan[[#This Row],[Yield]:[Yield]]</f>
        <v>0</v>
      </c>
      <c r="EP133" s="33" cm="1">
        <f t="array" ref="EP133">BedPlan[[#This Row],[Harvest Days May 2025]]/SUM(BedPlan[[#This Row],[Harvest Days January 2025]:[Harvest Days December 2026]])*BedPlan[[#This Row],[Yield]:[Yield]]</f>
        <v>0</v>
      </c>
      <c r="EQ133" s="33" cm="1">
        <f t="array" ref="EQ133">BedPlan[[#This Row],[Harvest Days June 2025]]/SUM(BedPlan[[#This Row],[Harvest Days January 2025]:[Harvest Days December 2026]])*BedPlan[[#This Row],[Yield]:[Yield]]</f>
        <v>0</v>
      </c>
      <c r="ER133" s="33" cm="1">
        <f t="array" ref="ER133">BedPlan[[#This Row],[Harvest Days July 2025]]/SUM(BedPlan[[#This Row],[Harvest Days January 2025]:[Harvest Days December 2026]])*BedPlan[[#This Row],[Yield]:[Yield]]</f>
        <v>0</v>
      </c>
      <c r="ES133" s="33" cm="1">
        <f t="array" ref="ES133">BedPlan[[#This Row],[Harvest Days August 2025]]/SUM(BedPlan[[#This Row],[Harvest Days January 2025]:[Harvest Days December 2026]])*BedPlan[[#This Row],[Yield]:[Yield]]</f>
        <v>0</v>
      </c>
      <c r="ET133" s="33" cm="1">
        <f t="array" ref="ET133">BedPlan[[#This Row],[Harvest Days September 2025]]/SUM(BedPlan[[#This Row],[Harvest Days January 2025]:[Harvest Days December 2026]])*BedPlan[[#This Row],[Yield]:[Yield]]</f>
        <v>825</v>
      </c>
      <c r="EU133" s="33" cm="1">
        <f t="array" ref="EU133">BedPlan[[#This Row],[Harvest Days October 2025]]/SUM(BedPlan[[#This Row],[Harvest Days January 2025]:[Harvest Days December 2026]])*BedPlan[[#This Row],[Yield]:[Yield]]</f>
        <v>1162.5</v>
      </c>
      <c r="EV133" s="33" cm="1">
        <f t="array" ref="EV133">BedPlan[[#This Row],[Harvest Days November 2025]]/SUM(BedPlan[[#This Row],[Harvest Days January 2025]:[Harvest Days December 2026]])*BedPlan[[#This Row],[Yield]:[Yield]]</f>
        <v>412.5</v>
      </c>
      <c r="EW133" s="33" cm="1">
        <f t="array" ref="EW133">BedPlan[[#This Row],[Harvest Days December 2025]]/SUM(BedPlan[[#This Row],[Harvest Days January 2025]:[Harvest Days December 2026]])*BedPlan[[#This Row],[Yield]:[Yield]]</f>
        <v>0</v>
      </c>
    </row>
    <row r="134" spans="1:153" ht="15" customHeight="1">
      <c r="A134" s="190" t="s">
        <v>3050</v>
      </c>
      <c r="B134" s="240" t="s">
        <v>3194</v>
      </c>
      <c r="C134" t="s">
        <v>1515</v>
      </c>
      <c r="D134" s="226" cm="1">
        <f t="array" ref="D134">INDEX(Crops[],BedPlan[[#This Row],[Chart Index]],D$4,1)*BedPlan[[#This Row],[Full Bed Equivalent]]</f>
        <v>44.44444444444445</v>
      </c>
      <c r="E134" s="226" cm="1">
        <f t="array" ref="E134">INDEX(Crops[],BedPlan[[#This Row],[Chart Index]],E$4,1)*BedPlan[[#This Row],[Full Bed Equivalent]]</f>
        <v>400</v>
      </c>
      <c r="F134" t="str">
        <f>UPPER(LEFT(BedPlan[[#This Row],[Crop]],3))</f>
        <v>TOM</v>
      </c>
      <c r="H134" s="143" t="str" cm="1">
        <f t="array" ref="H134">INDEX(Crops[],BedPlan[[#This Row],[Chart Index]],H$4,1)</f>
        <v>Tomato</v>
      </c>
      <c r="I134" s="268" t="s">
        <v>3041</v>
      </c>
      <c r="K134" s="34" t="str" cm="1">
        <f t="array" ref="K134">IF(ISNUMBER(MATCH(BedPlan[[#This Row],[Variety]],SeedMixes[Name],)),_xlfn.TEXTJOIN(", ",TRUE,_xlfn._xlws.FILTER(SeedMixes[Variety &amp; Company],SeedMixes[Name]=BedPlan[[#This Row],[Variety]])),"")</f>
        <v>Red Racer Harris, Orange You Glad Adaptive, Banana Legs Tomato Fest, Cream Sausage Tomato Fest, Sean's Yellow Dwarf Tomato Fest</v>
      </c>
      <c r="L134" s="33" cm="1">
        <f t="array" ref="L134">INDEX(Crops[],BedPlan[[#This Row],[Chart Index]],L$4,1)*BedPlan[[#This Row],[Full Bed Equivalent]]</f>
        <v>32.5</v>
      </c>
      <c r="N134">
        <f>1</f>
        <v>1</v>
      </c>
      <c r="O134">
        <v>1</v>
      </c>
      <c r="P134" s="31">
        <f>IF(ISNUMBER(BedPlan[[#This Row],[Planned Greenhouse Start Date]]),BedPlan[[#This Row],[Planned Greenhouse Start Date]],BedPlan[[#This Row],[Planned TP or DS Date]])</f>
        <v>45752</v>
      </c>
      <c r="Q134" s="259">
        <f>IF(BedPlan[[#This Row],[Days in Cells]]=0,"",IFERROR(_xlfn.XLOOKUP(BedPlan[[#This Row],[Follows Crop]],BedPlan[Identifier],BedPlan[Expected End of Harvest]) + 1+BedPlan[[#This Row],[Follow Offset]],BedPlan[[#This Row],[Fixed Field Start Date]])-BedPlan[[#This Row],[Days in Cells]])</f>
        <v>45752</v>
      </c>
      <c r="R134" s="259">
        <v>45763</v>
      </c>
      <c r="S134" s="259">
        <f>IF(ISNUMBER(BedPlan[[#This Row],[Actual Greenhouse Date]]),BedPlan[[#This Row],[Actual Greenhouse Date]],BedPlan[[#This Row],[Planned Greenhouse Start Date]])</f>
        <v>45763</v>
      </c>
      <c r="T134" s="259">
        <v>45808</v>
      </c>
      <c r="U134" s="260"/>
      <c r="V134" s="260"/>
      <c r="W13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4" s="259">
        <v>45815</v>
      </c>
      <c r="Y134" s="271">
        <f>BedPlan[[#This Row],[Actual TP or DS Date]]-BedPlan[[#This Row],[Planned TP or DS Date]]</f>
        <v>-4</v>
      </c>
      <c r="Z134" s="259">
        <f>IF(ISNUMBER(BedPlan[[#This Row],[Actual TP or DS Date]]),BedPlan[[#This Row],[Actual TP or DS Date]],BedPlan[[#This Row],[Planned TP or DS Date]])</f>
        <v>45815</v>
      </c>
      <c r="AA134" s="259"/>
      <c r="AB134" s="259">
        <f>IF(ISNUMBER(BedPlan[[#This Row],[Greenhouse Start Date]]),BedPlan[[#This Row],[Greenhouse Start Date]]+BedPlan[[#This Row],[DTM]],BedPlan[[#This Row],[TP or DS Date]]+BedPlan[[#This Row],[DTM]])</f>
        <v>45909</v>
      </c>
      <c r="AC134" s="259"/>
      <c r="AD134" s="259">
        <f>IF(ISNUMBER(BedPlan[[#This Row],[Actual Beginning of Harvest]]),BedPlan[[#This Row],[Actual Beginning of Harvest]],BedPlan[[#This Row],[Expected Beginning of Harvest]])</f>
        <v>45909</v>
      </c>
      <c r="AE134" s="259">
        <f>BedPlan[[#This Row],[Expected Beginning of Harvest]]+BedPlan[[#This Row],[Harvest Window]]+BedPlan[[#This Row],[Additional Days of Harvest]]</f>
        <v>45972</v>
      </c>
      <c r="AF134" s="259"/>
      <c r="AG134" s="259"/>
      <c r="AH134" s="34" t="b">
        <f>IF(AND( BedPlan[[#This Row],[Expected End of Harvest]] &gt;= DATE(2025, 8, 1), BedPlan[[#This Row],[Beginning of Harvest]] &lt;= DATE(2025, 8, 31) ), TRUE, FALSE)</f>
        <v>0</v>
      </c>
      <c r="AI134" s="31"/>
      <c r="AJ134" s="31">
        <f>IF(ISNUMBER(BedPlan[[#This Row],[Actual End of Harvest]]),BedPlan[[#This Row],[Actual End of Harvest]],BedPlan[[#This Row],[Expected End of Harvest]])</f>
        <v>45972</v>
      </c>
      <c r="AK134" t="b">
        <f>OR(ISNUMBER(BedPlan[[#This Row],[Actual Greenhouse Date]]),ISNUMBER(BedPlan[[#This Row],[Actual TP or DS Date]]))</f>
        <v>1</v>
      </c>
      <c r="AL134" t="b">
        <f>IF(ISNUMBER(BedPlan[[#This Row],[Planned Greenhouse Start Date]]),OR(ISNUMBER(BedPlan[[#This Row],[Actual TP or DS Date]]),BedPlan[[#This Row],[Failed]]),"-")</f>
        <v>1</v>
      </c>
      <c r="AM134" t="b">
        <f>OR(ISNUMBER(BedPlan[[#This Row],[Actual End of Harvest]]),BedPlan[[#This Row],[Failed]])</f>
        <v>0</v>
      </c>
      <c r="AN134" t="b">
        <f>OR(BedPlan[[#This Row],[Harvest Done]],BedPlan[[#This Row],[Failed]],BedPlan[[#This Row],[Name]]="Tarp")</f>
        <v>0</v>
      </c>
      <c r="AQ134" t="s">
        <v>3237</v>
      </c>
      <c r="AS134" s="26" t="str">
        <f>IF(BedPlan[[#This Row],[Broadfork]],BedPlan[[#This Row],[Actual TP or DS Date]],"")</f>
        <v/>
      </c>
      <c r="AT134" s="26" t="str">
        <f>IF(BedPlan[[#This Row],[Tilther]],BedPlan[[#This Row],[Actual TP or DS Date]],"")</f>
        <v/>
      </c>
      <c r="AU134" s="26">
        <f>IF(NOT(ISBLANK(BedPlan[[#This Row],[Amend]])),BedPlan[[#This Row],[Actual TP or DS Date]],"")</f>
        <v>45815</v>
      </c>
      <c r="AV134" s="26" t="str">
        <f>IF(BedPlan[[#This Row],[Row Cover]],BedPlan[[#This Row],[Actual TP or DS Date]],"")</f>
        <v/>
      </c>
      <c r="AX134" s="26"/>
      <c r="AZ134" s="26"/>
      <c r="BB134" s="26"/>
      <c r="BC134" s="36" cm="1">
        <f t="array" ref="BC134">INDEX(Crops[],BedPlan[[#This Row],[Chart Index]],BC$4,1)*BedPlan[[#This Row],[Full Bed Equivalent]]</f>
        <v>2100</v>
      </c>
      <c r="BD134" s="36" cm="1">
        <f t="array" ref="BD134">INDEX(Crops[],BedPlan[[#This Row],[Chart Index]],BD$4,1)*BedPlan[[#This Row],[Full Bed Equivalent]]</f>
        <v>13.725490196078431</v>
      </c>
      <c r="BE134" cm="1">
        <f t="array" ref="BE134">INDEX(Crops[],BedPlan[[#This Row],[Chart Index]],BE$4,1)+BedPlan[[#This Row],[Additional Days in Cells]]+BedPlan[[#This Row],[Additional Days In Field]]</f>
        <v>146</v>
      </c>
      <c r="BG134" cm="1">
        <f t="array" ref="BG134">INDEX(Crops[],BedPlan[[#This Row],[Chart Index]],BG$4,1)</f>
        <v>63</v>
      </c>
      <c r="BH134" t="str">
        <f>IF(ISNUMBER(BedPlan[[#This Row],[Planned Greenhouse Start Date]]),"TP","DS")</f>
        <v>TP</v>
      </c>
      <c r="BI134">
        <f>BedPlan[[#This Row],['# Of Beds]]</f>
        <v>1</v>
      </c>
      <c r="BJ134" cm="1">
        <f t="array" ref="BJ134">INDEX(Crops[],BedPlan[[#This Row],[Chart Index]],BJ$4,1)</f>
        <v>56</v>
      </c>
      <c r="BK134" cm="1">
        <f t="array" ref="BK134">INDEX(Crops[],BedPlan[[#This Row],[Chart Index]],BK$4,1)</f>
        <v>1</v>
      </c>
      <c r="BL134" cm="1">
        <f t="array" ref="BL134">INDEX(Crops[],BedPlan[[#This Row],[Chart Index]],BL$4,1)</f>
        <v>24</v>
      </c>
      <c r="BM134" cm="1">
        <f t="array" ref="BM134">INDEX(Crops[],BedPlan[[#This Row],[Chart Index]],BM$4,1)</f>
        <v>1</v>
      </c>
      <c r="BN134" s="32" cm="1">
        <f t="array" ref="BN134">INDEX(Crops[],BedPlan[[#This Row],[Chart Index]],BN$4,1)*BedPlan[[#This Row],[Full Bed Equivalent]]</f>
        <v>25</v>
      </c>
      <c r="BO134" t="str" cm="1">
        <f t="array" ref="BO134">IF(INDEX(Crops[],BedPlan[[#This Row],[Chart Index]],BO$4,1)=0,"",INDEX(Crops[],BedPlan[[#This Row],[Chart Index]],BO$4,1))</f>
        <v>DR</v>
      </c>
      <c r="BP134">
        <f>MATCH(BedPlan[[#This Row],[Crop]],Crops[Identifier],FALSE)</f>
        <v>330</v>
      </c>
      <c r="BQ134" t="str" cm="1">
        <f t="array" ref="BQ134">INDEX(Crops[],BedPlan[[#This Row],[Chart Index]],BQ$4,1)</f>
        <v>Medium Det</v>
      </c>
      <c r="BR134" t="str" cm="1">
        <f t="array" ref="BR134">INDEX(Crops[],BedPlan[[#This Row],[Chart Index]],BR$4,1)</f>
        <v>Su</v>
      </c>
      <c r="BS134" s="32">
        <f>BedPlan[[#This Row],[Expected Beginning of Harvest]]-DATE(2023,1,1)</f>
        <v>982</v>
      </c>
      <c r="BT134">
        <f>BedPlan[[#This Row],[Expected End of Harvest]]-BedPlan[[#This Row],[Expected Beginning of Harvest]]</f>
        <v>63</v>
      </c>
      <c r="BU134" t="str" cm="1">
        <f t="array" ref="BU134">INDEX(Crops[],BedPlan[[#This Row],[Chart Index]],BU$4,1)</f>
        <v>Tomato</v>
      </c>
      <c r="BV134" cm="1">
        <f t="array" ref="BV134">INDEX(Crops[],BedPlan[[#This Row],[Chart Index]],BV$4,1)</f>
        <v>5</v>
      </c>
      <c r="BW134" t="str" cm="1">
        <f t="array" ref="BW134">INDEX(Crops[],BedPlan[[#This Row],[Chart Index]],BW$4,1)</f>
        <v>Young</v>
      </c>
      <c r="BX134" cm="1">
        <f t="array" ref="BX134">INDEX(Crops[],BedPlan[[#This Row],[Chart Index]],BX$4,1)</f>
        <v>72</v>
      </c>
      <c r="BY134" cm="1">
        <f t="array" ref="BY134">INDEX(Crops[],BedPlan[[#This Row],[Chart Index]],BY$4,1)</f>
        <v>21</v>
      </c>
      <c r="BZ134" s="49" cm="1">
        <f t="array" ref="BZ134">IFERROR(INDEX(Crops[],BedPlan[[#This Row],[Chart Index]],BZ$4,1)*BedPlan[[#This Row],[Full Bed Equivalent]],"")</f>
        <v>0.4513888888888889</v>
      </c>
      <c r="CA134" cm="1">
        <f t="array" ref="CA134">INDEX(Crops[],BedPlan[[#This Row],[Chart Index]],CA$4,1)</f>
        <v>18</v>
      </c>
      <c r="CB134" cm="1">
        <f t="array" ref="CB134">INDEX(Crops[],BedPlan[[#This Row],[Chart Index]],CB$4,1)</f>
        <v>21</v>
      </c>
      <c r="CC134" s="49" cm="1">
        <f t="array" ref="CC134">IFERROR(INDEX(Crops[],BedPlan[[#This Row],[Chart Index]],CC$4,1)*BedPlan[[#This Row],[Full Bed Equivalent]],"")</f>
        <v>1.8055555555555556</v>
      </c>
      <c r="CD134" cm="1">
        <f t="array" ref="CD134">INDEX(Crops[],BedPlan[[#This Row],[Chart Index]],CD$4,1)</f>
        <v>9</v>
      </c>
      <c r="CE134" cm="1">
        <f t="array" ref="CE134">IF(INDEX(Crops[],BedPlan[[#This Row],[Chart Index]],CE$4,1)="",0,INDEX(Crops[],BedPlan[[#This Row],[Chart Index]],CE$4,1))</f>
        <v>14</v>
      </c>
      <c r="CF134" s="49" cm="1">
        <f t="array" ref="CF134">IFERROR(INDEX(Crops[],BedPlan[[#This Row],[Chart Index]],CF$4,1)*BedPlan[[#This Row],[Full Bed Equivalent]],"")</f>
        <v>3.6111111111111112</v>
      </c>
      <c r="CG134" cm="1">
        <f t="array" ref="CG134">IF(INDEX(Crops[],BedPlan[[#This Row],[Chart Index]],CG$4,1)="",0,INDEX(Crops[],BedPlan[[#This Row],[Chart Index]],CG$4,1))</f>
        <v>1.3</v>
      </c>
      <c r="CH134" cm="1">
        <f t="array" ref="CH134">IF(INDEX(Crops[],BedPlan[[#This Row],[Chart Index]],CH$4,1)="",0,INDEX(Crops[],BedPlan[[#This Row],[Chart Index]],CH$4,1))</f>
        <v>0</v>
      </c>
      <c r="CI134" t="str" cm="1">
        <f t="array" ref="CI134">INDEX(Crops[],BedPlan[[#This Row],[Chart Index]],CI$4,1)</f>
        <v>Field</v>
      </c>
      <c r="CJ134" t="str">
        <f>_xlfn.TEXTJOIN(CHAR(10),FALSE,BedPlan[[#This Row],[Name]],BedPlan[[#This Row],[Variety]],BedPlan[[#This Row],[Company]])</f>
        <v xml:space="preserve">Tomato
Determinate Medium Mix
</v>
      </c>
      <c r="CK134" s="32">
        <f>MAX( 0, MIN(BedPlan[[#This Row],[Expected End of Harvest]], EOMONTH(CK$4, 0)) - MAX(BedPlan[[#This Row],[Beginning of Harvest]], CK$4) + 1 )</f>
        <v>0</v>
      </c>
      <c r="CL134">
        <f>MAX( 0, MIN(BedPlan[[#This Row],[Expected End of Harvest]], EOMONTH(CL$4, 0)) - MAX(BedPlan[[#This Row],[Beginning of Harvest]], CL$4) + 1 )</f>
        <v>0</v>
      </c>
      <c r="CM134">
        <f>MAX( 0, MIN(BedPlan[[#This Row],[Expected End of Harvest]], EOMONTH(CM$4, 0)) - MAX(BedPlan[[#This Row],[Beginning of Harvest]], CM$4) + 1 )</f>
        <v>0</v>
      </c>
      <c r="CN134">
        <f>MAX( 0, MIN(BedPlan[[#This Row],[Expected End of Harvest]], EOMONTH(CN$4, 0)) - MAX(BedPlan[[#This Row],[Beginning of Harvest]], CN$4) + 1 )</f>
        <v>0</v>
      </c>
      <c r="CO134">
        <f>MAX( 0, MIN(BedPlan[[#This Row],[Expected End of Harvest]], EOMONTH(CO$4, 0)) - MAX(BedPlan[[#This Row],[Beginning of Harvest]], CO$4) + 1 )</f>
        <v>0</v>
      </c>
      <c r="CP134">
        <f>MAX( 0, MIN(BedPlan[[#This Row],[Expected End of Harvest]], EOMONTH(CP$4, 0)) - MAX(BedPlan[[#This Row],[Beginning of Harvest]], CP$4) + 1 )</f>
        <v>0</v>
      </c>
      <c r="CQ134">
        <f>MAX( 0, MIN(BedPlan[[#This Row],[Expected End of Harvest]], EOMONTH(CQ$4, 0)) - MAX(BedPlan[[#This Row],[Beginning of Harvest]], CQ$4) + 1 )</f>
        <v>0</v>
      </c>
      <c r="CR134">
        <f>MAX( 0, MIN(BedPlan[[#This Row],[Expected End of Harvest]], EOMONTH(CR$4, 0)) - MAX(BedPlan[[#This Row],[Beginning of Harvest]], CR$4) + 1 )</f>
        <v>0</v>
      </c>
      <c r="CS134">
        <f>MAX( 0, MIN(BedPlan[[#This Row],[Expected End of Harvest]], EOMONTH(CS$4, 0)) - MAX(BedPlan[[#This Row],[Beginning of Harvest]], CS$4) + 1 )</f>
        <v>22</v>
      </c>
      <c r="CT134">
        <f>MAX( 0, MIN(BedPlan[[#This Row],[Expected End of Harvest]], EOMONTH(CT$4, 0)) - MAX(BedPlan[[#This Row],[Beginning of Harvest]], CT$4) + 1 )</f>
        <v>31</v>
      </c>
      <c r="CU134">
        <f>MAX( 0, MIN(BedPlan[[#This Row],[Expected End of Harvest]], EOMONTH(CU$4, 0)) - MAX(BedPlan[[#This Row],[Beginning of Harvest]], CU$4) + 1 )</f>
        <v>11</v>
      </c>
      <c r="CV134">
        <f>MAX( 0, MIN(BedPlan[[#This Row],[Expected End of Harvest]], EOMONTH(CV$4, 0)) - MAX(BedPlan[[#This Row],[Beginning of Harvest]], CV$4) + 1 )</f>
        <v>0</v>
      </c>
      <c r="CW134">
        <f>MAX( 0, MIN(BedPlan[[#This Row],[Expected End of Harvest]], EOMONTH(CW$4, 0)) - MAX(BedPlan[[#This Row],[Beginning of Harvest]], CW$4) + 1 )</f>
        <v>0</v>
      </c>
      <c r="CX134">
        <f>MAX( 0, MIN(BedPlan[[#This Row],[Expected End of Harvest]], EOMONTH(CX$4, 0)) - MAX(BedPlan[[#This Row],[Beginning of Harvest]], CX$4) + 1 )</f>
        <v>0</v>
      </c>
      <c r="CY134">
        <f>MAX( 0, MIN(BedPlan[[#This Row],[Expected End of Harvest]], EOMONTH(CY$4, 0)) - MAX(BedPlan[[#This Row],[Beginning of Harvest]], CY$4) + 1 )</f>
        <v>0</v>
      </c>
      <c r="CZ134">
        <f>MAX( 0, MIN(BedPlan[[#This Row],[Expected End of Harvest]], EOMONTH(CZ$4, 0)) - MAX(BedPlan[[#This Row],[Beginning of Harvest]], CZ$4) + 1 )</f>
        <v>0</v>
      </c>
      <c r="DA134">
        <f>MAX( 0, MIN(BedPlan[[#This Row],[Expected End of Harvest]], EOMONTH(DA$4, 0)) - MAX(BedPlan[[#This Row],[Beginning of Harvest]], DA$4) + 1 )</f>
        <v>0</v>
      </c>
      <c r="DB134">
        <f>MAX( 0, MIN(BedPlan[[#This Row],[Expected End of Harvest]], EOMONTH(DB$4, 0)) - MAX(BedPlan[[#This Row],[Beginning of Harvest]], DB$4) + 1 )</f>
        <v>0</v>
      </c>
      <c r="DC134">
        <f>MAX( 0, MIN(BedPlan[[#This Row],[Expected End of Harvest]], EOMONTH(DC$4, 0)) - MAX(BedPlan[[#This Row],[Beginning of Harvest]], DC$4) + 1 )</f>
        <v>0</v>
      </c>
      <c r="DD134">
        <f>MAX( 0, MIN(BedPlan[[#This Row],[Expected End of Harvest]], EOMONTH(DD$4, 0)) - MAX(BedPlan[[#This Row],[Beginning of Harvest]], DD$4) + 1 )</f>
        <v>0</v>
      </c>
      <c r="DE134">
        <f>MAX( 0, MIN(BedPlan[[#This Row],[Expected End of Harvest]], EOMONTH(DE$4, 0)) - MAX(BedPlan[[#This Row],[Beginning of Harvest]], DE$4) + 1 )</f>
        <v>0</v>
      </c>
      <c r="DF134">
        <f>MAX( 0, MIN(BedPlan[[#This Row],[Expected End of Harvest]], EOMONTH(DF$4, 0)) - MAX(BedPlan[[#This Row],[Beginning of Harvest]], DF$4) + 1 )</f>
        <v>0</v>
      </c>
      <c r="DG134">
        <f>MAX( 0, MIN(BedPlan[[#This Row],[Expected End of Harvest]], EOMONTH(DG$4, 0)) - MAX(BedPlan[[#This Row],[Beginning of Harvest]], DG$4) + 1 )</f>
        <v>0</v>
      </c>
      <c r="DH134">
        <f>MAX( 0, MIN(BedPlan[[#This Row],[Expected End of Harvest]], EOMONTH(DH$4, 0)) - MAX(BedPlan[[#This Row],[Beginning of Harvest]], DH$4) + 1 )</f>
        <v>0</v>
      </c>
      <c r="DI134" s="257" cm="1">
        <f t="array" ref="DI134">BedPlan[[#This Row],[Harvest Days January 2025]]/SUM(BedPlan[[#This Row],[Harvest Days January 2025]:[Harvest Days December 2026]])*BedPlan[[#This Row],[Revenue]:[Revenue]]</f>
        <v>0</v>
      </c>
      <c r="DJ134" s="257" cm="1">
        <f t="array" ref="DJ134">BedPlan[[#This Row],[Harvest Days February 2025]]/SUM(BedPlan[[#This Row],[Harvest Days January 2025]:[Harvest Days December 2026]])*BedPlan[[#This Row],[Revenue]:[Revenue]]</f>
        <v>0</v>
      </c>
      <c r="DK134" s="257" cm="1">
        <f t="array" ref="DK134">BedPlan[[#This Row],[Harvest Days March 2025]]/SUM(BedPlan[[#This Row],[Harvest Days January 2025]:[Harvest Days December 2026]])*BedPlan[[#This Row],[Revenue]:[Revenue]]</f>
        <v>0</v>
      </c>
      <c r="DL134" s="257" cm="1">
        <f t="array" ref="DL134">BedPlan[[#This Row],[Harvest Days April 2025]]/SUM(BedPlan[[#This Row],[Harvest Days January 2025]:[Harvest Days December 2026]])*BedPlan[[#This Row],[Revenue]:[Revenue]]</f>
        <v>0</v>
      </c>
      <c r="DM134" s="257" cm="1">
        <f t="array" ref="DM134">BedPlan[[#This Row],[Harvest Days May 2025]]/SUM(BedPlan[[#This Row],[Harvest Days January 2025]:[Harvest Days December 2026]])*BedPlan[[#This Row],[Revenue]:[Revenue]]</f>
        <v>0</v>
      </c>
      <c r="DN134" s="257" cm="1">
        <f t="array" ref="DN134">BedPlan[[#This Row],[Harvest Days June 2025]]/SUM(BedPlan[[#This Row],[Harvest Days January 2025]:[Harvest Days December 2026]])*BedPlan[[#This Row],[Revenue]:[Revenue]]</f>
        <v>0</v>
      </c>
      <c r="DO134" s="257" cm="1">
        <f t="array" ref="DO134">BedPlan[[#This Row],[Harvest Days July 2025]]/SUM(BedPlan[[#This Row],[Harvest Days January 2025]:[Harvest Days December 2026]])*BedPlan[[#This Row],[Revenue]:[Revenue]]</f>
        <v>0</v>
      </c>
      <c r="DP134" s="257" cm="1">
        <f t="array" ref="DP134">BedPlan[[#This Row],[Harvest Days August 2025]]/SUM(BedPlan[[#This Row],[Harvest Days January 2025]:[Harvest Days December 2026]])*BedPlan[[#This Row],[Revenue]:[Revenue]]</f>
        <v>0</v>
      </c>
      <c r="DQ134" s="257" cm="1">
        <f t="array" ref="DQ134">BedPlan[[#This Row],[Harvest Days September 2025]]/SUM(BedPlan[[#This Row],[Harvest Days January 2025]:[Harvest Days December 2026]])*BedPlan[[#This Row],[Revenue]:[Revenue]]</f>
        <v>721.875</v>
      </c>
      <c r="DR134" s="257" cm="1">
        <f t="array" ref="DR134">BedPlan[[#This Row],[Harvest Days October 2025]]/SUM(BedPlan[[#This Row],[Harvest Days January 2025]:[Harvest Days December 2026]])*BedPlan[[#This Row],[Revenue]:[Revenue]]</f>
        <v>1017.1875</v>
      </c>
      <c r="DS134" s="257" cm="1">
        <f t="array" ref="DS134">BedPlan[[#This Row],[Harvest Days November 2025]]/SUM(BedPlan[[#This Row],[Harvest Days January 2025]:[Harvest Days December 2026]])*BedPlan[[#This Row],[Revenue]:[Revenue]]</f>
        <v>360.9375</v>
      </c>
      <c r="DT134" s="257" cm="1">
        <f t="array" ref="DT134">BedPlan[[#This Row],[Harvest Days December 2025]]/SUM(BedPlan[[#This Row],[Harvest Days January 2025]:[Harvest Days December 2026]])*BedPlan[[#This Row],[Revenue]:[Revenue]]</f>
        <v>0</v>
      </c>
      <c r="DU134" s="257" cm="1">
        <f t="array" ref="DU134">BedPlan[[#This Row],[Harvest Days January 2026]]/SUM(BedPlan[[#This Row],[Harvest Days January 2025]:[Harvest Days December 2026]])*BedPlan[[#This Row],[Revenue]:[Revenue]]</f>
        <v>0</v>
      </c>
      <c r="DV134" s="257" cm="1">
        <f t="array" ref="DV134">BedPlan[[#This Row],[Harvest Days February 2026]]/SUM(BedPlan[[#This Row],[Harvest Days January 2025]:[Harvest Days December 2026]])*BedPlan[[#This Row],[Revenue]:[Revenue]]</f>
        <v>0</v>
      </c>
      <c r="DW134" s="257" cm="1">
        <f t="array" ref="DW134">BedPlan[[#This Row],[Harvest Days March 2026]]/SUM(BedPlan[[#This Row],[Harvest Days January 2025]:[Harvest Days December 2026]])*BedPlan[[#This Row],[Revenue]:[Revenue]]</f>
        <v>0</v>
      </c>
      <c r="DX134" s="257" cm="1">
        <f t="array" ref="DX134">BedPlan[[#This Row],[Harvest Days April 2026]]/SUM(BedPlan[[#This Row],[Harvest Days January 2025]:[Harvest Days December 2026]])*BedPlan[[#This Row],[Revenue]:[Revenue]]</f>
        <v>0</v>
      </c>
      <c r="DY134" cm="1">
        <f t="array" ref="DY134">BedPlan[[#This Row],[Harvest Days May 2026]]/SUM(BedPlan[[#This Row],[Harvest Days January 2025]:[Harvest Days December 2026]])*BedPlan[[#This Row],[Revenue]:[Revenue]]</f>
        <v>0</v>
      </c>
      <c r="DZ134" cm="1">
        <f t="array" ref="DZ134">BedPlan[[#This Row],[Harvest Days June 2026]]/SUM(BedPlan[[#This Row],[Harvest Days January 2025]:[Harvest Days December 2026]])*BedPlan[[#This Row],[Revenue]:[Revenue]]</f>
        <v>0</v>
      </c>
      <c r="EA134" cm="1">
        <f t="array" ref="EA134">BedPlan[[#This Row],[Harvest Days July 2026]]/SUM(BedPlan[[#This Row],[Harvest Days January 2025]:[Harvest Days December 2026]])*BedPlan[[#This Row],[Revenue]:[Revenue]]</f>
        <v>0</v>
      </c>
      <c r="EB134" cm="1">
        <f t="array" ref="EB134">BedPlan[[#This Row],[Harvest Days August 2026]]/SUM(BedPlan[[#This Row],[Harvest Days January 2025]:[Harvest Days December 2026]])*BedPlan[[#This Row],[Revenue]:[Revenue]]</f>
        <v>0</v>
      </c>
      <c r="EC134" cm="1">
        <f t="array" ref="EC134">BedPlan[[#This Row],[Harvest Days September 2026]]/SUM(BedPlan[[#This Row],[Harvest Days January 2025]:[Harvest Days December 2026]])*BedPlan[[#This Row],[Revenue]:[Revenue]]</f>
        <v>0</v>
      </c>
      <c r="ED134" cm="1">
        <f t="array" ref="ED134">BedPlan[[#This Row],[Harvest Days October 2026]]/SUM(BedPlan[[#This Row],[Harvest Days January 2025]:[Harvest Days December 2026]])*BedPlan[[#This Row],[Revenue]:[Revenue]]</f>
        <v>0</v>
      </c>
      <c r="EE134" cm="1">
        <f t="array" ref="EE134">BedPlan[[#This Row],[Harvest Days November 2026]]/SUM(BedPlan[[#This Row],[Harvest Days January 2025]:[Harvest Days December 2026]])*BedPlan[[#This Row],[Revenue]:[Revenue]]</f>
        <v>0</v>
      </c>
      <c r="EF134" cm="1">
        <f t="array" ref="EF134">BedPlan[[#This Row],[Harvest Days December 2026]]/SUM(BedPlan[[#This Row],[Harvest Days January 2025]:[Harvest Days December 2026]])*BedPlan[[#This Row],[Revenue]:[Revenue]]</f>
        <v>0</v>
      </c>
      <c r="EG134" t="b">
        <f>SUM(BedPlan[[#This Row],[Revenue January 2025]:[Revenue December 2026]])=BedPlan[[#This Row],[Revenue]]</f>
        <v>1</v>
      </c>
      <c r="EH134" cm="1">
        <f t="array" ref="EH134">INDEX(Crops[],BedPlan[[#This Row],[Chart Index]],EH$4,1)*BedPlan[[#This Row],['# Of Beds]]</f>
        <v>300</v>
      </c>
      <c r="EI134" t="str" cm="1">
        <f t="array" ref="EI134">INDEX(Crops[],BedPlan[[#This Row],[Chart Index]],EI$4,1)</f>
        <v>Lb</v>
      </c>
      <c r="EJ134" t="str" cm="1">
        <f t="array" ref="EJ134">INDEX(Crops[],BedPlan[[#This Row],[Chart Index]],EJ$4,1)</f>
        <v>Ripe Fruit Medium</v>
      </c>
      <c r="EK134" t="str">
        <f>BedPlan[[#This Row],[Name]]&amp;" "&amp;BedPlan[[#This Row],[Product]]&amp; " - " &amp;BedPlan[[#This Row],[Unit]]</f>
        <v>Tomato Ripe Fruit Medium - Lb</v>
      </c>
      <c r="EL134" s="33" cm="1">
        <f t="array" ref="EL134">BedPlan[[#This Row],[Harvest Days January 2025]]/SUM(BedPlan[[#This Row],[Harvest Days January 2025]:[Harvest Days December 2026]])*BedPlan[[#This Row],[Yield]:[Yield]]</f>
        <v>0</v>
      </c>
      <c r="EM134" s="33" cm="1">
        <f t="array" ref="EM134">BedPlan[[#This Row],[Harvest Days February 2025]]/SUM(BedPlan[[#This Row],[Harvest Days January 2025]:[Harvest Days December 2026]])*BedPlan[[#This Row],[Yield]:[Yield]]</f>
        <v>0</v>
      </c>
      <c r="EN134" s="33" cm="1">
        <f t="array" ref="EN134">BedPlan[[#This Row],[Harvest Days March 2025]]/SUM(BedPlan[[#This Row],[Harvest Days January 2025]:[Harvest Days December 2026]])*BedPlan[[#This Row],[Yield]:[Yield]]</f>
        <v>0</v>
      </c>
      <c r="EO134" s="33" cm="1">
        <f t="array" ref="EO134">BedPlan[[#This Row],[Harvest Days April 2025]]/SUM(BedPlan[[#This Row],[Harvest Days January 2025]:[Harvest Days December 2026]])*BedPlan[[#This Row],[Yield]:[Yield]]</f>
        <v>0</v>
      </c>
      <c r="EP134" s="33" cm="1">
        <f t="array" ref="EP134">BedPlan[[#This Row],[Harvest Days May 2025]]/SUM(BedPlan[[#This Row],[Harvest Days January 2025]:[Harvest Days December 2026]])*BedPlan[[#This Row],[Yield]:[Yield]]</f>
        <v>0</v>
      </c>
      <c r="EQ134" s="33" cm="1">
        <f t="array" ref="EQ134">BedPlan[[#This Row],[Harvest Days June 2025]]/SUM(BedPlan[[#This Row],[Harvest Days January 2025]:[Harvest Days December 2026]])*BedPlan[[#This Row],[Yield]:[Yield]]</f>
        <v>0</v>
      </c>
      <c r="ER134" s="33" cm="1">
        <f t="array" ref="ER134">BedPlan[[#This Row],[Harvest Days July 2025]]/SUM(BedPlan[[#This Row],[Harvest Days January 2025]:[Harvest Days December 2026]])*BedPlan[[#This Row],[Yield]:[Yield]]</f>
        <v>0</v>
      </c>
      <c r="ES134" s="33" cm="1">
        <f t="array" ref="ES134">BedPlan[[#This Row],[Harvest Days August 2025]]/SUM(BedPlan[[#This Row],[Harvest Days January 2025]:[Harvest Days December 2026]])*BedPlan[[#This Row],[Yield]:[Yield]]</f>
        <v>0</v>
      </c>
      <c r="ET134" s="33" cm="1">
        <f t="array" ref="ET134">BedPlan[[#This Row],[Harvest Days September 2025]]/SUM(BedPlan[[#This Row],[Harvest Days January 2025]:[Harvest Days December 2026]])*BedPlan[[#This Row],[Yield]:[Yield]]</f>
        <v>103.125</v>
      </c>
      <c r="EU134" s="33" cm="1">
        <f t="array" ref="EU134">BedPlan[[#This Row],[Harvest Days October 2025]]/SUM(BedPlan[[#This Row],[Harvest Days January 2025]:[Harvest Days December 2026]])*BedPlan[[#This Row],[Yield]:[Yield]]</f>
        <v>145.3125</v>
      </c>
      <c r="EV134" s="33" cm="1">
        <f t="array" ref="EV134">BedPlan[[#This Row],[Harvest Days November 2025]]/SUM(BedPlan[[#This Row],[Harvest Days January 2025]:[Harvest Days December 2026]])*BedPlan[[#This Row],[Yield]:[Yield]]</f>
        <v>51.5625</v>
      </c>
      <c r="EW134" s="33" cm="1">
        <f t="array" ref="EW134">BedPlan[[#This Row],[Harvest Days December 2025]]/SUM(BedPlan[[#This Row],[Harvest Days January 2025]:[Harvest Days December 2026]])*BedPlan[[#This Row],[Yield]:[Yield]]</f>
        <v>0</v>
      </c>
    </row>
    <row r="135" spans="1:153" ht="15" customHeight="1">
      <c r="A135" s="190" t="s">
        <v>2620</v>
      </c>
      <c r="B135" t="s">
        <v>2677</v>
      </c>
      <c r="C135" s="226" t="s">
        <v>1483</v>
      </c>
      <c r="D135" s="226" cm="1">
        <f t="array" ref="D135">INDEX(Crops[],BedPlan[[#This Row],[Chart Index]],D$4,1)*BedPlan[[#This Row],[Full Bed Equivalent]]</f>
        <v>88.8888888888889</v>
      </c>
      <c r="E135" s="226" cm="1">
        <f t="array" ref="E135">INDEX(Crops[],BedPlan[[#This Row],[Chart Index]],E$4,1)*BedPlan[[#This Row],[Full Bed Equivalent]]</f>
        <v>800</v>
      </c>
      <c r="F135" s="34" t="str">
        <f>UPPER(LEFT(BedPlan[[#This Row],[Crop]],3))</f>
        <v>TOM</v>
      </c>
      <c r="G135" s="227"/>
      <c r="H135" s="143" t="str" cm="1">
        <f t="array" ref="H135">INDEX(Crops[],BedPlan[[#This Row],[Chart Index]],H$4,1)</f>
        <v>Tomato</v>
      </c>
      <c r="I135" s="227" t="s">
        <v>1857</v>
      </c>
      <c r="J135" s="227"/>
      <c r="K135" s="34" t="str" cm="1">
        <f t="array" ref="K135">IF(ISNUMBER(MATCH(BedPlan[[#This Row],[Variety]],SeedMixes[Name],)),_xlfn.TEXTJOIN(", ",TRUE,_xlfn._xlws.FILTER(SeedMixes[Variety &amp; Company],SeedMixes[Name]=BedPlan[[#This Row],[Variety]])),"")</f>
        <v>Blush Johnny's, Brad's Atomic Grape Garden Hoard, Pinky Uprising, Sun Dipper Osborne, Chocolate Sprinkles Osborne</v>
      </c>
      <c r="L135" s="229" cm="1">
        <f t="array" ref="L135">INDEX(Crops[],BedPlan[[#This Row],[Chart Index]],L$4,1)*BedPlan[[#This Row],[Full Bed Equivalent]]</f>
        <v>86.666666666666657</v>
      </c>
      <c r="N135" s="227">
        <v>2</v>
      </c>
      <c r="O135" s="227">
        <f>MAX(BedPlan[[#This Row],['# Of Beds]],0.5)</f>
        <v>2</v>
      </c>
      <c r="P135" s="230">
        <f>IF(ISNUMBER(BedPlan[[#This Row],[Planned Greenhouse Start Date]]),BedPlan[[#This Row],[Planned Greenhouse Start Date]],BedPlan[[#This Row],[Planned TP or DS Date]])</f>
        <v>45733</v>
      </c>
      <c r="Q135" s="261">
        <f>IF(BedPlan[[#This Row],[Days in Cells]]=0,"",IFERROR(_xlfn.XLOOKUP(BedPlan[[#This Row],[Follows Crop]],BedPlan[Identifier],BedPlan[Expected End of Harvest]) + 1+BedPlan[[#This Row],[Follow Offset]],BedPlan[[#This Row],[Fixed Field Start Date]])-BedPlan[[#This Row],[Days in Cells]])</f>
        <v>45733</v>
      </c>
      <c r="R135" s="261">
        <v>45748</v>
      </c>
      <c r="S135" s="261">
        <f>IF(ISNUMBER(BedPlan[[#This Row],[Actual Greenhouse Date]]),BedPlan[[#This Row],[Actual Greenhouse Date]],BedPlan[[#This Row],[Planned Greenhouse Start Date]])</f>
        <v>45748</v>
      </c>
      <c r="T135" s="262">
        <f>_xlfn.XLOOKUP(BedPlan[[#This Row],[Crop]],Crops[Identifier],Crops[Target Field Date])</f>
        <v>45789</v>
      </c>
      <c r="U135" s="263"/>
      <c r="V135" s="263"/>
      <c r="W135"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35" s="265">
        <v>45808</v>
      </c>
      <c r="Y135" s="270">
        <f>BedPlan[[#This Row],[Actual TP or DS Date]]-BedPlan[[#This Row],[Planned TP or DS Date]]</f>
        <v>4</v>
      </c>
      <c r="Z135" s="261">
        <f>IF(ISNUMBER(BedPlan[[#This Row],[Actual TP or DS Date]]),BedPlan[[#This Row],[Actual TP or DS Date]],BedPlan[[#This Row],[Planned TP or DS Date]])</f>
        <v>45808</v>
      </c>
      <c r="AA135" s="264"/>
      <c r="AB135" s="261">
        <f>IF(ISNUMBER(BedPlan[[#This Row],[Greenhouse Start Date]]),BedPlan[[#This Row],[Greenhouse Start Date]]+BedPlan[[#This Row],[DTM]],BedPlan[[#This Row],[TP or DS Date]]+BedPlan[[#This Row],[DTM]])</f>
        <v>45883</v>
      </c>
      <c r="AC135" s="265"/>
      <c r="AD135" s="261">
        <f>IF(ISNUMBER(BedPlan[[#This Row],[Actual Beginning of Harvest]]),BedPlan[[#This Row],[Actual Beginning of Harvest]],BedPlan[[#This Row],[Expected Beginning of Harvest]])</f>
        <v>45883</v>
      </c>
      <c r="AE135" s="261">
        <f>BedPlan[[#This Row],[Expected Beginning of Harvest]]+BedPlan[[#This Row],[Harvest Window]]+BedPlan[[#This Row],[Additional Days of Harvest]]</f>
        <v>45946</v>
      </c>
      <c r="AF135" s="265"/>
      <c r="AG135" s="261"/>
      <c r="AH135" s="230" t="b">
        <f>IF(AND( BedPlan[[#This Row],[Expected End of Harvest]] &gt;= DATE(2025, 8, 1), BedPlan[[#This Row],[Beginning of Harvest]] &lt;= DATE(2025, 8, 31) ), TRUE, FALSE)</f>
        <v>1</v>
      </c>
      <c r="AI135" s="230"/>
      <c r="AJ135" s="230">
        <f>IF(ISNUMBER(BedPlan[[#This Row],[Actual End of Harvest]]),BedPlan[[#This Row],[Actual End of Harvest]],BedPlan[[#This Row],[Expected End of Harvest]])</f>
        <v>45946</v>
      </c>
      <c r="AK135" s="34" t="b">
        <f>OR(ISNUMBER(BedPlan[[#This Row],[Actual Greenhouse Date]]),ISNUMBER(BedPlan[[#This Row],[Actual TP or DS Date]]))</f>
        <v>1</v>
      </c>
      <c r="AL135" s="34" t="b">
        <f>IF(ISNUMBER(BedPlan[[#This Row],[Planned Greenhouse Start Date]]),OR(ISNUMBER(BedPlan[[#This Row],[Actual TP or DS Date]]),BedPlan[[#This Row],[Failed]]),"-")</f>
        <v>1</v>
      </c>
      <c r="AM135" s="34" t="b">
        <f>OR(ISNUMBER(BedPlan[[#This Row],[Actual End of Harvest]]),BedPlan[[#This Row],[Failed]])</f>
        <v>0</v>
      </c>
      <c r="AN135" s="34" t="b">
        <f>OR(BedPlan[[#This Row],[Harvest Done]],BedPlan[[#This Row],[Failed]],BedPlan[[#This Row],[Name]]="Tarp")</f>
        <v>0</v>
      </c>
      <c r="AO135" s="34"/>
      <c r="AP135" s="34"/>
      <c r="AQ135" t="s">
        <v>3237</v>
      </c>
      <c r="AR135" s="34"/>
      <c r="AS135" s="256" t="str">
        <f>IF(BedPlan[[#This Row],[Broadfork]],BedPlan[[#This Row],[Actual TP or DS Date]],"")</f>
        <v/>
      </c>
      <c r="AT135" s="256" t="str">
        <f>IF(BedPlan[[#This Row],[Tilther]],BedPlan[[#This Row],[Actual TP or DS Date]],"")</f>
        <v/>
      </c>
      <c r="AU135" s="256">
        <f>IF(NOT(ISBLANK(BedPlan[[#This Row],[Amend]])),BedPlan[[#This Row],[Actual TP or DS Date]],"")</f>
        <v>45808</v>
      </c>
      <c r="AV135" s="256" t="str">
        <f>IF(BedPlan[[#This Row],[Row Cover]],BedPlan[[#This Row],[Actual TP or DS Date]],"")</f>
        <v/>
      </c>
      <c r="AW135" s="34"/>
      <c r="AX135" s="256"/>
      <c r="AY135" s="34"/>
      <c r="AZ135" s="256"/>
      <c r="BA135" s="34"/>
      <c r="BB135" s="256"/>
      <c r="BC135" s="231" cm="1">
        <f t="array" ref="BC135">INDEX(Crops[],BedPlan[[#This Row],[Chart Index]],BC$4,1)*BedPlan[[#This Row],[Full Bed Equivalent]]</f>
        <v>4200</v>
      </c>
      <c r="BD135" s="231" cm="1">
        <f t="array" ref="BD135">INDEX(Crops[],BedPlan[[#This Row],[Chart Index]],BD$4,1)*BedPlan[[#This Row],[Full Bed Equivalent]]</f>
        <v>29.577464788732396</v>
      </c>
      <c r="BE135" cm="1">
        <f t="array" ref="BE135">INDEX(Crops[],BedPlan[[#This Row],[Chart Index]],BE$4,1)+BedPlan[[#This Row],[Additional Days in Cells]]+BedPlan[[#This Row],[Additional Days In Field]]</f>
        <v>135</v>
      </c>
      <c r="BG135" cm="1">
        <f t="array" ref="BG135">INDEX(Crops[],BedPlan[[#This Row],[Chart Index]],BG$4,1)</f>
        <v>63</v>
      </c>
      <c r="BH135" t="str">
        <f>IF(ISNUMBER(BedPlan[[#This Row],[Planned Greenhouse Start Date]]),"TP","DS")</f>
        <v>TP</v>
      </c>
      <c r="BI135">
        <f>BedPlan[[#This Row],['# Of Beds]]</f>
        <v>2</v>
      </c>
      <c r="BJ135" cm="1">
        <f t="array" ref="BJ135">INDEX(Crops[],BedPlan[[#This Row],[Chart Index]],BJ$4,1)</f>
        <v>56</v>
      </c>
      <c r="BK135" cm="1">
        <f t="array" ref="BK135">INDEX(Crops[],BedPlan[[#This Row],[Chart Index]],BK$4,1)</f>
        <v>1</v>
      </c>
      <c r="BL135" cm="1">
        <f t="array" ref="BL135">INDEX(Crops[],BedPlan[[#This Row],[Chart Index]],BL$4,1)</f>
        <v>18</v>
      </c>
      <c r="BM135" cm="1">
        <f t="array" ref="BM135">INDEX(Crops[],BedPlan[[#This Row],[Chart Index]],BM$4,1)</f>
        <v>1</v>
      </c>
      <c r="BN135" s="32" cm="1">
        <f t="array" ref="BN135">INDEX(Crops[],BedPlan[[#This Row],[Chart Index]],BN$4,1)*BedPlan[[#This Row],[Full Bed Equivalent]]</f>
        <v>66.666666666666657</v>
      </c>
      <c r="BO135" t="str" cm="1">
        <f t="array" ref="BO135">IF(INDEX(Crops[],BedPlan[[#This Row],[Chart Index]],BO$4,1)=0,"",INDEX(Crops[],BedPlan[[#This Row],[Chart Index]],BO$4,1))</f>
        <v>DR</v>
      </c>
      <c r="BP135">
        <f>MATCH(BedPlan[[#This Row],[Crop]],Crops[Identifier],FALSE)</f>
        <v>331</v>
      </c>
      <c r="BQ135" t="str" cm="1">
        <f t="array" ref="BQ135">INDEX(Crops[],BedPlan[[#This Row],[Chart Index]],BQ$4,1)</f>
        <v>Medium</v>
      </c>
      <c r="BR135" t="str" cm="1">
        <f t="array" ref="BR135">INDEX(Crops[],BedPlan[[#This Row],[Chart Index]],BR$4,1)</f>
        <v>Su</v>
      </c>
      <c r="BS135" s="32">
        <f>BedPlan[[#This Row],[Expected Beginning of Harvest]]-DATE(2023,1,1)</f>
        <v>956</v>
      </c>
      <c r="BT135">
        <f>BedPlan[[#This Row],[Expected End of Harvest]]-BedPlan[[#This Row],[Expected Beginning of Harvest]]</f>
        <v>63</v>
      </c>
      <c r="BU135" t="str" cm="1">
        <f t="array" ref="BU135">INDEX(Crops[],BedPlan[[#This Row],[Chart Index]],BU$4,1)</f>
        <v>Tomato</v>
      </c>
      <c r="BV135" cm="1">
        <f t="array" ref="BV135">INDEX(Crops[],BedPlan[[#This Row],[Chart Index]],BV$4,1)</f>
        <v>5</v>
      </c>
      <c r="BW135" t="str" cm="1">
        <f t="array" ref="BW135">INDEX(Crops[],BedPlan[[#This Row],[Chart Index]],BW$4,1)</f>
        <v>Young</v>
      </c>
      <c r="BX135" cm="1">
        <f t="array" ref="BX135">INDEX(Crops[],BedPlan[[#This Row],[Chart Index]],BX$4,1)</f>
        <v>72</v>
      </c>
      <c r="BY135" cm="1">
        <f t="array" ref="BY135">INDEX(Crops[],BedPlan[[#This Row],[Chart Index]],BY$4,1)</f>
        <v>21</v>
      </c>
      <c r="BZ135" s="49" cm="1">
        <f t="array" ref="BZ135">IFERROR(INDEX(Crops[],BedPlan[[#This Row],[Chart Index]],BZ$4,1)*BedPlan[[#This Row],[Full Bed Equivalent]],"")</f>
        <v>1.2037037037037035</v>
      </c>
      <c r="CA135" cm="1">
        <f t="array" ref="CA135">INDEX(Crops[],BedPlan[[#This Row],[Chart Index]],CA$4,1)</f>
        <v>18</v>
      </c>
      <c r="CB135" cm="1">
        <f t="array" ref="CB135">INDEX(Crops[],BedPlan[[#This Row],[Chart Index]],CB$4,1)</f>
        <v>21</v>
      </c>
      <c r="CC135" s="49" cm="1">
        <f t="array" ref="CC135">IFERROR(INDEX(Crops[],BedPlan[[#This Row],[Chart Index]],CC$4,1)*BedPlan[[#This Row],[Full Bed Equivalent]],"")</f>
        <v>4.814814814814814</v>
      </c>
      <c r="CD135" cm="1">
        <f t="array" ref="CD135">INDEX(Crops[],BedPlan[[#This Row],[Chart Index]],CD$4,1)</f>
        <v>9</v>
      </c>
      <c r="CE135" cm="1">
        <f t="array" ref="CE135">IF(INDEX(Crops[],BedPlan[[#This Row],[Chart Index]],CE$4,1)="",0,INDEX(Crops[],BedPlan[[#This Row],[Chart Index]],CE$4,1))</f>
        <v>14</v>
      </c>
      <c r="CF135" s="49" cm="1">
        <f t="array" ref="CF135">IFERROR(INDEX(Crops[],BedPlan[[#This Row],[Chart Index]],CF$4,1)*BedPlan[[#This Row],[Full Bed Equivalent]],"")</f>
        <v>9.629629629629628</v>
      </c>
      <c r="CG135" cm="1">
        <f t="array" ref="CG135">IF(INDEX(Crops[],BedPlan[[#This Row],[Chart Index]],CG$4,1)="",0,INDEX(Crops[],BedPlan[[#This Row],[Chart Index]],CG$4,1))</f>
        <v>1.3</v>
      </c>
      <c r="CH135" cm="1">
        <f t="array" ref="CH135">IF(INDEX(Crops[],BedPlan[[#This Row],[Chart Index]],CH$4,1)="",0,INDEX(Crops[],BedPlan[[#This Row],[Chart Index]],CH$4,1))</f>
        <v>0</v>
      </c>
      <c r="CI135" t="str" cm="1">
        <f t="array" ref="CI135">INDEX(Crops[],BedPlan[[#This Row],[Chart Index]],CI$4,1)</f>
        <v>Field</v>
      </c>
      <c r="CJ135" s="30" t="str">
        <f>_xlfn.TEXTJOIN(CHAR(10),FALSE,BedPlan[[#This Row],[Name]],BedPlan[[#This Row],[Variety]],BedPlan[[#This Row],[Company]])</f>
        <v xml:space="preserve">Tomato
Medium Tomato Mix
</v>
      </c>
      <c r="CK135" s="32">
        <f>MAX( 0, MIN(BedPlan[[#This Row],[Expected End of Harvest]], EOMONTH(CK$4, 0)) - MAX(BedPlan[[#This Row],[Beginning of Harvest]], CK$4) + 1 )</f>
        <v>0</v>
      </c>
      <c r="CL135">
        <f>MAX( 0, MIN(BedPlan[[#This Row],[Expected End of Harvest]], EOMONTH(CL$4, 0)) - MAX(BedPlan[[#This Row],[Beginning of Harvest]], CL$4) + 1 )</f>
        <v>0</v>
      </c>
      <c r="CM135">
        <f>MAX( 0, MIN(BedPlan[[#This Row],[Expected End of Harvest]], EOMONTH(CM$4, 0)) - MAX(BedPlan[[#This Row],[Beginning of Harvest]], CM$4) + 1 )</f>
        <v>0</v>
      </c>
      <c r="CN135">
        <f>MAX( 0, MIN(BedPlan[[#This Row],[Expected End of Harvest]], EOMONTH(CN$4, 0)) - MAX(BedPlan[[#This Row],[Beginning of Harvest]], CN$4) + 1 )</f>
        <v>0</v>
      </c>
      <c r="CO135">
        <f>MAX( 0, MIN(BedPlan[[#This Row],[Expected End of Harvest]], EOMONTH(CO$4, 0)) - MAX(BedPlan[[#This Row],[Beginning of Harvest]], CO$4) + 1 )</f>
        <v>0</v>
      </c>
      <c r="CP135">
        <f>MAX( 0, MIN(BedPlan[[#This Row],[Expected End of Harvest]], EOMONTH(CP$4, 0)) - MAX(BedPlan[[#This Row],[Beginning of Harvest]], CP$4) + 1 )</f>
        <v>0</v>
      </c>
      <c r="CQ135">
        <f>MAX( 0, MIN(BedPlan[[#This Row],[Expected End of Harvest]], EOMONTH(CQ$4, 0)) - MAX(BedPlan[[#This Row],[Beginning of Harvest]], CQ$4) + 1 )</f>
        <v>0</v>
      </c>
      <c r="CR135">
        <f>MAX( 0, MIN(BedPlan[[#This Row],[Expected End of Harvest]], EOMONTH(CR$4, 0)) - MAX(BedPlan[[#This Row],[Beginning of Harvest]], CR$4) + 1 )</f>
        <v>18</v>
      </c>
      <c r="CS135">
        <f>MAX( 0, MIN(BedPlan[[#This Row],[Expected End of Harvest]], EOMONTH(CS$4, 0)) - MAX(BedPlan[[#This Row],[Beginning of Harvest]], CS$4) + 1 )</f>
        <v>30</v>
      </c>
      <c r="CT135">
        <f>MAX( 0, MIN(BedPlan[[#This Row],[Expected End of Harvest]], EOMONTH(CT$4, 0)) - MAX(BedPlan[[#This Row],[Beginning of Harvest]], CT$4) + 1 )</f>
        <v>16</v>
      </c>
      <c r="CU135">
        <f>MAX( 0, MIN(BedPlan[[#This Row],[Expected End of Harvest]], EOMONTH(CU$4, 0)) - MAX(BedPlan[[#This Row],[Beginning of Harvest]], CU$4) + 1 )</f>
        <v>0</v>
      </c>
      <c r="CV135">
        <f>MAX( 0, MIN(BedPlan[[#This Row],[Expected End of Harvest]], EOMONTH(CV$4, 0)) - MAX(BedPlan[[#This Row],[Beginning of Harvest]], CV$4) + 1 )</f>
        <v>0</v>
      </c>
      <c r="CW135">
        <f>MAX( 0, MIN(BedPlan[[#This Row],[Expected End of Harvest]], EOMONTH(CW$4, 0)) - MAX(BedPlan[[#This Row],[Beginning of Harvest]], CW$4) + 1 )</f>
        <v>0</v>
      </c>
      <c r="CX135">
        <f>MAX( 0, MIN(BedPlan[[#This Row],[Expected End of Harvest]], EOMONTH(CX$4, 0)) - MAX(BedPlan[[#This Row],[Beginning of Harvest]], CX$4) + 1 )</f>
        <v>0</v>
      </c>
      <c r="CY135">
        <f>MAX( 0, MIN(BedPlan[[#This Row],[Expected End of Harvest]], EOMONTH(CY$4, 0)) - MAX(BedPlan[[#This Row],[Beginning of Harvest]], CY$4) + 1 )</f>
        <v>0</v>
      </c>
      <c r="CZ135">
        <f>MAX( 0, MIN(BedPlan[[#This Row],[Expected End of Harvest]], EOMONTH(CZ$4, 0)) - MAX(BedPlan[[#This Row],[Beginning of Harvest]], CZ$4) + 1 )</f>
        <v>0</v>
      </c>
      <c r="DA135">
        <f>MAX( 0, MIN(BedPlan[[#This Row],[Expected End of Harvest]], EOMONTH(DA$4, 0)) - MAX(BedPlan[[#This Row],[Beginning of Harvest]], DA$4) + 1 )</f>
        <v>0</v>
      </c>
      <c r="DB135">
        <f>MAX( 0, MIN(BedPlan[[#This Row],[Expected End of Harvest]], EOMONTH(DB$4, 0)) - MAX(BedPlan[[#This Row],[Beginning of Harvest]], DB$4) + 1 )</f>
        <v>0</v>
      </c>
      <c r="DC135">
        <f>MAX( 0, MIN(BedPlan[[#This Row],[Expected End of Harvest]], EOMONTH(DC$4, 0)) - MAX(BedPlan[[#This Row],[Beginning of Harvest]], DC$4) + 1 )</f>
        <v>0</v>
      </c>
      <c r="DD135">
        <f>MAX( 0, MIN(BedPlan[[#This Row],[Expected End of Harvest]], EOMONTH(DD$4, 0)) - MAX(BedPlan[[#This Row],[Beginning of Harvest]], DD$4) + 1 )</f>
        <v>0</v>
      </c>
      <c r="DE135">
        <f>MAX( 0, MIN(BedPlan[[#This Row],[Expected End of Harvest]], EOMONTH(DE$4, 0)) - MAX(BedPlan[[#This Row],[Beginning of Harvest]], DE$4) + 1 )</f>
        <v>0</v>
      </c>
      <c r="DF135">
        <f>MAX( 0, MIN(BedPlan[[#This Row],[Expected End of Harvest]], EOMONTH(DF$4, 0)) - MAX(BedPlan[[#This Row],[Beginning of Harvest]], DF$4) + 1 )</f>
        <v>0</v>
      </c>
      <c r="DG135">
        <f>MAX( 0, MIN(BedPlan[[#This Row],[Expected End of Harvest]], EOMONTH(DG$4, 0)) - MAX(BedPlan[[#This Row],[Beginning of Harvest]], DG$4) + 1 )</f>
        <v>0</v>
      </c>
      <c r="DH135">
        <f>MAX( 0, MIN(BedPlan[[#This Row],[Expected End of Harvest]], EOMONTH(DH$4, 0)) - MAX(BedPlan[[#This Row],[Beginning of Harvest]], DH$4) + 1 )</f>
        <v>0</v>
      </c>
      <c r="DI135" s="257" cm="1">
        <f t="array" ref="DI135">BedPlan[[#This Row],[Harvest Days January 2025]]/SUM(BedPlan[[#This Row],[Harvest Days January 2025]:[Harvest Days December 2026]])*BedPlan[[#This Row],[Revenue]:[Revenue]]</f>
        <v>0</v>
      </c>
      <c r="DJ135" s="257" cm="1">
        <f t="array" ref="DJ135">BedPlan[[#This Row],[Harvest Days February 2025]]/SUM(BedPlan[[#This Row],[Harvest Days January 2025]:[Harvest Days December 2026]])*BedPlan[[#This Row],[Revenue]:[Revenue]]</f>
        <v>0</v>
      </c>
      <c r="DK135" s="257" cm="1">
        <f t="array" ref="DK135">BedPlan[[#This Row],[Harvest Days March 2025]]/SUM(BedPlan[[#This Row],[Harvest Days January 2025]:[Harvest Days December 2026]])*BedPlan[[#This Row],[Revenue]:[Revenue]]</f>
        <v>0</v>
      </c>
      <c r="DL135" s="257" cm="1">
        <f t="array" ref="DL135">BedPlan[[#This Row],[Harvest Days April 2025]]/SUM(BedPlan[[#This Row],[Harvest Days January 2025]:[Harvest Days December 2026]])*BedPlan[[#This Row],[Revenue]:[Revenue]]</f>
        <v>0</v>
      </c>
      <c r="DM135" s="257" cm="1">
        <f t="array" ref="DM135">BedPlan[[#This Row],[Harvest Days May 2025]]/SUM(BedPlan[[#This Row],[Harvest Days January 2025]:[Harvest Days December 2026]])*BedPlan[[#This Row],[Revenue]:[Revenue]]</f>
        <v>0</v>
      </c>
      <c r="DN135" s="257" cm="1">
        <f t="array" ref="DN135">BedPlan[[#This Row],[Harvest Days June 2025]]/SUM(BedPlan[[#This Row],[Harvest Days January 2025]:[Harvest Days December 2026]])*BedPlan[[#This Row],[Revenue]:[Revenue]]</f>
        <v>0</v>
      </c>
      <c r="DO135" s="257" cm="1">
        <f t="array" ref="DO135">BedPlan[[#This Row],[Harvest Days July 2025]]/SUM(BedPlan[[#This Row],[Harvest Days January 2025]:[Harvest Days December 2026]])*BedPlan[[#This Row],[Revenue]:[Revenue]]</f>
        <v>0</v>
      </c>
      <c r="DP135" s="257" cm="1">
        <f t="array" ref="DP135">BedPlan[[#This Row],[Harvest Days August 2025]]/SUM(BedPlan[[#This Row],[Harvest Days January 2025]:[Harvest Days December 2026]])*BedPlan[[#This Row],[Revenue]:[Revenue]]</f>
        <v>1181.25</v>
      </c>
      <c r="DQ135" s="257" cm="1">
        <f t="array" ref="DQ135">BedPlan[[#This Row],[Harvest Days September 2025]]/SUM(BedPlan[[#This Row],[Harvest Days January 2025]:[Harvest Days December 2026]])*BedPlan[[#This Row],[Revenue]:[Revenue]]</f>
        <v>1968.75</v>
      </c>
      <c r="DR135" s="257" cm="1">
        <f t="array" ref="DR135">BedPlan[[#This Row],[Harvest Days October 2025]]/SUM(BedPlan[[#This Row],[Harvest Days January 2025]:[Harvest Days December 2026]])*BedPlan[[#This Row],[Revenue]:[Revenue]]</f>
        <v>1050</v>
      </c>
      <c r="DS135" s="257" cm="1">
        <f t="array" ref="DS135">BedPlan[[#This Row],[Harvest Days November 2025]]/SUM(BedPlan[[#This Row],[Harvest Days January 2025]:[Harvest Days December 2026]])*BedPlan[[#This Row],[Revenue]:[Revenue]]</f>
        <v>0</v>
      </c>
      <c r="DT135" s="257" cm="1">
        <f t="array" ref="DT135">BedPlan[[#This Row],[Harvest Days December 2025]]/SUM(BedPlan[[#This Row],[Harvest Days January 2025]:[Harvest Days December 2026]])*BedPlan[[#This Row],[Revenue]:[Revenue]]</f>
        <v>0</v>
      </c>
      <c r="DU135" s="257" cm="1">
        <f t="array" ref="DU135">BedPlan[[#This Row],[Harvest Days January 2026]]/SUM(BedPlan[[#This Row],[Harvest Days January 2025]:[Harvest Days December 2026]])*BedPlan[[#This Row],[Revenue]:[Revenue]]</f>
        <v>0</v>
      </c>
      <c r="DV135" s="257" cm="1">
        <f t="array" ref="DV135">BedPlan[[#This Row],[Harvest Days February 2026]]/SUM(BedPlan[[#This Row],[Harvest Days January 2025]:[Harvest Days December 2026]])*BedPlan[[#This Row],[Revenue]:[Revenue]]</f>
        <v>0</v>
      </c>
      <c r="DW135" s="257" cm="1">
        <f t="array" ref="DW135">BedPlan[[#This Row],[Harvest Days March 2026]]/SUM(BedPlan[[#This Row],[Harvest Days January 2025]:[Harvest Days December 2026]])*BedPlan[[#This Row],[Revenue]:[Revenue]]</f>
        <v>0</v>
      </c>
      <c r="DX135" s="257" cm="1">
        <f t="array" ref="DX135">BedPlan[[#This Row],[Harvest Days April 2026]]/SUM(BedPlan[[#This Row],[Harvest Days January 2025]:[Harvest Days December 2026]])*BedPlan[[#This Row],[Revenue]:[Revenue]]</f>
        <v>0</v>
      </c>
      <c r="DY135" s="257" cm="1">
        <f t="array" ref="DY135">BedPlan[[#This Row],[Harvest Days May 2026]]/SUM(BedPlan[[#This Row],[Harvest Days January 2025]:[Harvest Days December 2026]])*BedPlan[[#This Row],[Revenue]:[Revenue]]</f>
        <v>0</v>
      </c>
      <c r="DZ135" s="257" cm="1">
        <f t="array" ref="DZ135">BedPlan[[#This Row],[Harvest Days June 2026]]/SUM(BedPlan[[#This Row],[Harvest Days January 2025]:[Harvest Days December 2026]])*BedPlan[[#This Row],[Revenue]:[Revenue]]</f>
        <v>0</v>
      </c>
      <c r="EA135" s="257" cm="1">
        <f t="array" ref="EA135">BedPlan[[#This Row],[Harvest Days July 2026]]/SUM(BedPlan[[#This Row],[Harvest Days January 2025]:[Harvest Days December 2026]])*BedPlan[[#This Row],[Revenue]:[Revenue]]</f>
        <v>0</v>
      </c>
      <c r="EB135" s="257" cm="1">
        <f t="array" ref="EB135">BedPlan[[#This Row],[Harvest Days August 2026]]/SUM(BedPlan[[#This Row],[Harvest Days January 2025]:[Harvest Days December 2026]])*BedPlan[[#This Row],[Revenue]:[Revenue]]</f>
        <v>0</v>
      </c>
      <c r="EC135" s="257" cm="1">
        <f t="array" ref="EC135">BedPlan[[#This Row],[Harvest Days September 2026]]/SUM(BedPlan[[#This Row],[Harvest Days January 2025]:[Harvest Days December 2026]])*BedPlan[[#This Row],[Revenue]:[Revenue]]</f>
        <v>0</v>
      </c>
      <c r="ED135" s="257" cm="1">
        <f t="array" ref="ED135">BedPlan[[#This Row],[Harvest Days October 2026]]/SUM(BedPlan[[#This Row],[Harvest Days January 2025]:[Harvest Days December 2026]])*BedPlan[[#This Row],[Revenue]:[Revenue]]</f>
        <v>0</v>
      </c>
      <c r="EE135" s="257" cm="1">
        <f t="array" ref="EE135">BedPlan[[#This Row],[Harvest Days November 2026]]/SUM(BedPlan[[#This Row],[Harvest Days January 2025]:[Harvest Days December 2026]])*BedPlan[[#This Row],[Revenue]:[Revenue]]</f>
        <v>0</v>
      </c>
      <c r="EF135" s="257" cm="1">
        <f t="array" ref="EF135">BedPlan[[#This Row],[Harvest Days December 2026]]/SUM(BedPlan[[#This Row],[Harvest Days January 2025]:[Harvest Days December 2026]])*BedPlan[[#This Row],[Revenue]:[Revenue]]</f>
        <v>0</v>
      </c>
      <c r="EG135" t="b">
        <f>SUM(BedPlan[[#This Row],[Revenue January 2025]:[Revenue December 2026]])=BedPlan[[#This Row],[Revenue]]</f>
        <v>1</v>
      </c>
      <c r="EH135" s="30" cm="1">
        <f t="array" ref="EH135">INDEX(Crops[],BedPlan[[#This Row],[Chart Index]],EH$4,1)*BedPlan[[#This Row],['# Of Beds]]</f>
        <v>600</v>
      </c>
      <c r="EI135" s="30" t="str" cm="1">
        <f t="array" ref="EI135">INDEX(Crops[],BedPlan[[#This Row],[Chart Index]],EI$4,1)</f>
        <v>Lb</v>
      </c>
      <c r="EJ135" s="30" t="str" cm="1">
        <f t="array" ref="EJ135">INDEX(Crops[],BedPlan[[#This Row],[Chart Index]],EJ$4,1)</f>
        <v>Ripe Fruit Medium</v>
      </c>
      <c r="EK135" s="30" t="str">
        <f>BedPlan[[#This Row],[Name]]&amp;" "&amp;BedPlan[[#This Row],[Product]]&amp; " - " &amp;BedPlan[[#This Row],[Unit]]</f>
        <v>Tomato Ripe Fruit Medium - Lb</v>
      </c>
      <c r="EL135" s="33" cm="1">
        <f t="array" ref="EL135">BedPlan[[#This Row],[Harvest Days January 2025]]/SUM(BedPlan[[#This Row],[Harvest Days January 2025]:[Harvest Days December 2026]])*BedPlan[[#This Row],[Yield]:[Yield]]</f>
        <v>0</v>
      </c>
      <c r="EM135" s="33" cm="1">
        <f t="array" ref="EM135">BedPlan[[#This Row],[Harvest Days February 2025]]/SUM(BedPlan[[#This Row],[Harvest Days January 2025]:[Harvest Days December 2026]])*BedPlan[[#This Row],[Yield]:[Yield]]</f>
        <v>0</v>
      </c>
      <c r="EN135" s="33" cm="1">
        <f t="array" ref="EN135">BedPlan[[#This Row],[Harvest Days March 2025]]/SUM(BedPlan[[#This Row],[Harvest Days January 2025]:[Harvest Days December 2026]])*BedPlan[[#This Row],[Yield]:[Yield]]</f>
        <v>0</v>
      </c>
      <c r="EO135" s="33" cm="1">
        <f t="array" ref="EO135">BedPlan[[#This Row],[Harvest Days April 2025]]/SUM(BedPlan[[#This Row],[Harvest Days January 2025]:[Harvest Days December 2026]])*BedPlan[[#This Row],[Yield]:[Yield]]</f>
        <v>0</v>
      </c>
      <c r="EP135" s="33" cm="1">
        <f t="array" ref="EP135">BedPlan[[#This Row],[Harvest Days May 2025]]/SUM(BedPlan[[#This Row],[Harvest Days January 2025]:[Harvest Days December 2026]])*BedPlan[[#This Row],[Yield]:[Yield]]</f>
        <v>0</v>
      </c>
      <c r="EQ135" s="33" cm="1">
        <f t="array" ref="EQ135">BedPlan[[#This Row],[Harvest Days June 2025]]/SUM(BedPlan[[#This Row],[Harvest Days January 2025]:[Harvest Days December 2026]])*BedPlan[[#This Row],[Yield]:[Yield]]</f>
        <v>0</v>
      </c>
      <c r="ER135" s="33" cm="1">
        <f t="array" ref="ER135">BedPlan[[#This Row],[Harvest Days July 2025]]/SUM(BedPlan[[#This Row],[Harvest Days January 2025]:[Harvest Days December 2026]])*BedPlan[[#This Row],[Yield]:[Yield]]</f>
        <v>0</v>
      </c>
      <c r="ES135" s="33" cm="1">
        <f t="array" ref="ES135">BedPlan[[#This Row],[Harvest Days August 2025]]/SUM(BedPlan[[#This Row],[Harvest Days January 2025]:[Harvest Days December 2026]])*BedPlan[[#This Row],[Yield]:[Yield]]</f>
        <v>168.75</v>
      </c>
      <c r="ET135" s="33" cm="1">
        <f t="array" ref="ET135">BedPlan[[#This Row],[Harvest Days September 2025]]/SUM(BedPlan[[#This Row],[Harvest Days January 2025]:[Harvest Days December 2026]])*BedPlan[[#This Row],[Yield]:[Yield]]</f>
        <v>281.25</v>
      </c>
      <c r="EU135" s="33" cm="1">
        <f t="array" ref="EU135">BedPlan[[#This Row],[Harvest Days October 2025]]/SUM(BedPlan[[#This Row],[Harvest Days January 2025]:[Harvest Days December 2026]])*BedPlan[[#This Row],[Yield]:[Yield]]</f>
        <v>150</v>
      </c>
      <c r="EV135" s="33" cm="1">
        <f t="array" ref="EV135">BedPlan[[#This Row],[Harvest Days November 2025]]/SUM(BedPlan[[#This Row],[Harvest Days January 2025]:[Harvest Days December 2026]])*BedPlan[[#This Row],[Yield]:[Yield]]</f>
        <v>0</v>
      </c>
      <c r="EW135" s="33" cm="1">
        <f t="array" ref="EW135">BedPlan[[#This Row],[Harvest Days December 2025]]/SUM(BedPlan[[#This Row],[Harvest Days January 2025]:[Harvest Days December 2026]])*BedPlan[[#This Row],[Yield]:[Yield]]</f>
        <v>0</v>
      </c>
    </row>
    <row r="136" spans="1:153" ht="15" customHeight="1">
      <c r="A136" s="191" t="s">
        <v>2751</v>
      </c>
      <c r="B136" t="s">
        <v>2678</v>
      </c>
      <c r="C136" s="226" t="s">
        <v>1437</v>
      </c>
      <c r="D136" s="226" cm="1">
        <f t="array" ref="D136">INDEX(Crops[],BedPlan[[#This Row],[Chart Index]],D$4,1)*BedPlan[[#This Row],[Full Bed Equivalent]]</f>
        <v>12.5</v>
      </c>
      <c r="E136" s="226" cm="1">
        <f t="array" ref="E136">INDEX(Crops[],BedPlan[[#This Row],[Chart Index]],E$4,1)*BedPlan[[#This Row],[Full Bed Equivalent]]</f>
        <v>50</v>
      </c>
      <c r="F136" s="34" t="str">
        <f>UPPER(LEFT(BedPlan[[#This Row],[Crop]],3))</f>
        <v>TUR</v>
      </c>
      <c r="G136" s="227"/>
      <c r="H136" s="143" t="str" cm="1">
        <f t="array" ref="H136">INDEX(Crops[],BedPlan[[#This Row],[Chart Index]],H$4,1)</f>
        <v>Turnip</v>
      </c>
      <c r="I136" s="227" t="s">
        <v>1686</v>
      </c>
      <c r="J136" s="227" t="s">
        <v>490</v>
      </c>
      <c r="K136" s="34" t="str" cm="1">
        <f t="array" ref="K136">IF(ISNUMBER(MATCH(BedPlan[[#This Row],[Variety]],SeedMixes[Name],)),_xlfn.TEXTJOIN(", ",TRUE,_xlfn._xlws.FILTER(SeedMixes[Variety &amp; Company],SeedMixes[Name]=BedPlan[[#This Row],[Variety]])),"")</f>
        <v/>
      </c>
      <c r="L136" s="229" cm="1">
        <f t="array" ref="L136">INDEX(Crops[],BedPlan[[#This Row],[Chart Index]],L$4,1)*BedPlan[[#This Row],[Full Bed Equivalent]]</f>
        <v>1040</v>
      </c>
      <c r="N136" s="227">
        <v>0.5</v>
      </c>
      <c r="O136" s="227">
        <f>MAX(BedPlan[[#This Row],['# Of Beds]],0.5)</f>
        <v>0.5</v>
      </c>
      <c r="P136" s="230">
        <f>IF(ISNUMBER(BedPlan[[#This Row],[Planned Greenhouse Start Date]]),BedPlan[[#This Row],[Planned Greenhouse Start Date]],BedPlan[[#This Row],[Planned TP or DS Date]])</f>
        <v>45748</v>
      </c>
      <c r="Q136" s="261" t="str">
        <f>IF(BedPlan[[#This Row],[Days in Cells]]=0,"",IFERROR(_xlfn.XLOOKUP(BedPlan[[#This Row],[Follows Crop]],BedPlan[Identifier],BedPlan[Expected End of Harvest]) + 1+BedPlan[[#This Row],[Follow Offset]],BedPlan[[#This Row],[Fixed Field Start Date]])-BedPlan[[#This Row],[Days in Cells]])</f>
        <v/>
      </c>
      <c r="R136" s="261"/>
      <c r="S136" s="261" t="str">
        <f>IF(ISNUMBER(BedPlan[[#This Row],[Actual Greenhouse Date]]),BedPlan[[#This Row],[Actual Greenhouse Date]],BedPlan[[#This Row],[Planned Greenhouse Start Date]])</f>
        <v/>
      </c>
      <c r="T136" s="262">
        <f>_xlfn.XLOOKUP(BedPlan[[#This Row],[Crop]],Crops[Identifier],Crops[Target Field Date])</f>
        <v>45748</v>
      </c>
      <c r="U136" s="263"/>
      <c r="V136" s="263"/>
      <c r="W136"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136" s="265">
        <v>45777</v>
      </c>
      <c r="Y136" s="270">
        <f>BedPlan[[#This Row],[Actual TP or DS Date]]-BedPlan[[#This Row],[Planned TP or DS Date]]</f>
        <v>29</v>
      </c>
      <c r="Z136" s="261">
        <f>IF(ISNUMBER(BedPlan[[#This Row],[Actual TP or DS Date]]),BedPlan[[#This Row],[Actual TP or DS Date]],BedPlan[[#This Row],[Planned TP or DS Date]])</f>
        <v>45777</v>
      </c>
      <c r="AA136" s="264"/>
      <c r="AB136" s="261">
        <f>IF(ISNUMBER(BedPlan[[#This Row],[Greenhouse Start Date]]),BedPlan[[#This Row],[Greenhouse Start Date]]+BedPlan[[#This Row],[DTM]],BedPlan[[#This Row],[TP or DS Date]]+BedPlan[[#This Row],[DTM]])</f>
        <v>45817</v>
      </c>
      <c r="AC136" s="265"/>
      <c r="AD136" s="261">
        <f>IF(ISNUMBER(BedPlan[[#This Row],[Actual Beginning of Harvest]]),BedPlan[[#This Row],[Actual Beginning of Harvest]],BedPlan[[#This Row],[Expected Beginning of Harvest]])</f>
        <v>45817</v>
      </c>
      <c r="AE136" s="261">
        <f>BedPlan[[#This Row],[Expected Beginning of Harvest]]+BedPlan[[#This Row],[Harvest Window]]+BedPlan[[#This Row],[Additional Days of Harvest]]</f>
        <v>45831</v>
      </c>
      <c r="AF136" s="265"/>
      <c r="AG136" s="261"/>
      <c r="AH136" s="230" t="b">
        <f>IF(AND( BedPlan[[#This Row],[Expected End of Harvest]] &gt;= DATE(2025, 8, 1), BedPlan[[#This Row],[Beginning of Harvest]] &lt;= DATE(2025, 8, 31) ), TRUE, FALSE)</f>
        <v>0</v>
      </c>
      <c r="AI136" s="230"/>
      <c r="AJ136" s="230">
        <f>IF(ISNUMBER(BedPlan[[#This Row],[Actual End of Harvest]]),BedPlan[[#This Row],[Actual End of Harvest]],BedPlan[[#This Row],[Expected End of Harvest]])</f>
        <v>45831</v>
      </c>
      <c r="AK136" s="34" t="b">
        <f>OR(ISNUMBER(BedPlan[[#This Row],[Actual Greenhouse Date]]),ISNUMBER(BedPlan[[#This Row],[Actual TP or DS Date]]))</f>
        <v>1</v>
      </c>
      <c r="AL136" s="34" t="str">
        <f>IF(ISNUMBER(BedPlan[[#This Row],[Planned Greenhouse Start Date]]),OR(ISNUMBER(BedPlan[[#This Row],[Actual TP or DS Date]]),BedPlan[[#This Row],[Failed]]),"-")</f>
        <v>-</v>
      </c>
      <c r="AM136" s="34" t="b">
        <f>OR(ISNUMBER(BedPlan[[#This Row],[Actual End of Harvest]]),BedPlan[[#This Row],[Failed]])</f>
        <v>0</v>
      </c>
      <c r="AN136" s="34" t="b">
        <f>OR(BedPlan[[#This Row],[Harvest Done]],BedPlan[[#This Row],[Failed]],BedPlan[[#This Row],[Name]]="Tarp")</f>
        <v>0</v>
      </c>
      <c r="AO136" t="b">
        <v>1</v>
      </c>
      <c r="AP136" t="b">
        <v>1</v>
      </c>
      <c r="AQ136" t="s">
        <v>3214</v>
      </c>
      <c r="AR136" s="34" t="b">
        <v>1</v>
      </c>
      <c r="AS136" s="256">
        <f>IF(BedPlan[[#This Row],[Broadfork]],BedPlan[[#This Row],[Actual TP or DS Date]],"")</f>
        <v>45777</v>
      </c>
      <c r="AT136" s="256">
        <f>IF(BedPlan[[#This Row],[Tilther]],BedPlan[[#This Row],[Actual TP or DS Date]],"")</f>
        <v>45777</v>
      </c>
      <c r="AU136" s="256">
        <f>IF(NOT(ISBLANK(BedPlan[[#This Row],[Amend]])),BedPlan[[#This Row],[Actual TP or DS Date]],"")</f>
        <v>45777</v>
      </c>
      <c r="AV136" s="256">
        <f>IF(BedPlan[[#This Row],[Row Cover]],BedPlan[[#This Row],[Actual TP or DS Date]],"")</f>
        <v>45777</v>
      </c>
      <c r="AW136" t="s">
        <v>3230</v>
      </c>
      <c r="AX136" s="26">
        <v>45826</v>
      </c>
      <c r="AY136" s="34"/>
      <c r="AZ136" s="256"/>
      <c r="BA136" s="34"/>
      <c r="BB136" s="256"/>
      <c r="BC136" s="231" cm="1">
        <f t="array" ref="BC136">INDEX(Crops[],BedPlan[[#This Row],[Chart Index]],BC$4,1)*BedPlan[[#This Row],[Full Bed Equivalent]]</f>
        <v>137.5</v>
      </c>
      <c r="BD136" s="231" cm="1">
        <f t="array" ref="BD136">INDEX(Crops[],BedPlan[[#This Row],[Chart Index]],BD$4,1)*BedPlan[[#This Row],[Full Bed Equivalent]]</f>
        <v>2.5462962962962963</v>
      </c>
      <c r="BE136" cm="1">
        <f t="array" ref="BE136">INDEX(Crops[],BedPlan[[#This Row],[Chart Index]],BE$4,1)+BedPlan[[#This Row],[Additional Days in Cells]]+BedPlan[[#This Row],[Additional Days In Field]]</f>
        <v>40</v>
      </c>
      <c r="BG136" cm="1">
        <f t="array" ref="BG136">INDEX(Crops[],BedPlan[[#This Row],[Chart Index]],BG$4,1)</f>
        <v>14</v>
      </c>
      <c r="BH136" t="str">
        <f>IF(ISNUMBER(BedPlan[[#This Row],[Planned Greenhouse Start Date]]),"TP","DS")</f>
        <v>DS</v>
      </c>
      <c r="BI136">
        <f>BedPlan[[#This Row],['# Of Beds]]</f>
        <v>0.5</v>
      </c>
      <c r="BJ136" cm="1">
        <f t="array" ref="BJ136">INDEX(Crops[],BedPlan[[#This Row],[Chart Index]],BJ$4,1)</f>
        <v>0</v>
      </c>
      <c r="BK136" cm="1">
        <f t="array" ref="BK136">INDEX(Crops[],BedPlan[[#This Row],[Chart Index]],BK$4,1)</f>
        <v>4</v>
      </c>
      <c r="BL136" cm="1">
        <f t="array" ref="BL136">INDEX(Crops[],BedPlan[[#This Row],[Chart Index]],BL$4,1)</f>
        <v>1.5</v>
      </c>
      <c r="BM136" cm="1">
        <f t="array" ref="BM136">INDEX(Crops[],BedPlan[[#This Row],[Chart Index]],BM$4,1)</f>
        <v>1</v>
      </c>
      <c r="BN136" s="32" cm="1">
        <f t="array" ref="BN136">INDEX(Crops[],BedPlan[[#This Row],[Chart Index]],BN$4,1)*BedPlan[[#This Row],[Full Bed Equivalent]]</f>
        <v>800</v>
      </c>
      <c r="BO136" t="str" cm="1">
        <f t="array" ref="BO136">IF(INDEX(Crops[],BedPlan[[#This Row],[Chart Index]],BO$4,1)=0,"",INDEX(Crops[],BedPlan[[#This Row],[Chart Index]],BO$4,1))</f>
        <v/>
      </c>
      <c r="BP136">
        <f>MATCH(BedPlan[[#This Row],[Crop]],Crops[Identifier],FALSE)</f>
        <v>335</v>
      </c>
      <c r="BQ136" t="str" cm="1">
        <f t="array" ref="BQ136">INDEX(Crops[],BedPlan[[#This Row],[Chart Index]],BQ$4,1)</f>
        <v>Tokyo</v>
      </c>
      <c r="BR136" t="str" cm="1">
        <f t="array" ref="BR136">INDEX(Crops[],BedPlan[[#This Row],[Chart Index]],BR$4,1)</f>
        <v>Sp</v>
      </c>
      <c r="BS136" s="32">
        <f>BedPlan[[#This Row],[Expected Beginning of Harvest]]-DATE(2023,1,1)</f>
        <v>890</v>
      </c>
      <c r="BT136">
        <f>BedPlan[[#This Row],[Expected End of Harvest]]-BedPlan[[#This Row],[Expected Beginning of Harvest]]</f>
        <v>14</v>
      </c>
      <c r="BU136" t="str" cm="1">
        <f t="array" ref="BU136">INDEX(Crops[],BedPlan[[#This Row],[Chart Index]],BU$4,1)</f>
        <v>Root</v>
      </c>
      <c r="BV136" cm="1">
        <f t="array" ref="BV136">INDEX(Crops[],BedPlan[[#This Row],[Chart Index]],BV$4,1)</f>
        <v>2</v>
      </c>
      <c r="BW136" cm="1">
        <f t="array" ref="BW136">INDEX(Crops[],BedPlan[[#This Row],[Chart Index]],BW$4,1)</f>
        <v>0</v>
      </c>
      <c r="BX136" cm="1">
        <f t="array" ref="BX136">INDEX(Crops[],BedPlan[[#This Row],[Chart Index]],BX$4,1)</f>
        <v>0</v>
      </c>
      <c r="BY136" cm="1">
        <f t="array" ref="BY136">INDEX(Crops[],BedPlan[[#This Row],[Chart Index]],BY$4,1)</f>
        <v>0</v>
      </c>
      <c r="BZ136" s="49" t="str" cm="1">
        <f t="array" ref="BZ136">IFERROR(INDEX(Crops[],BedPlan[[#This Row],[Chart Index]],BZ$4,1)*BedPlan[[#This Row],[Full Bed Equivalent]],"")</f>
        <v/>
      </c>
      <c r="CA136" cm="1">
        <f t="array" ref="CA136">INDEX(Crops[],BedPlan[[#This Row],[Chart Index]],CA$4,1)</f>
        <v>0</v>
      </c>
      <c r="CB136" cm="1">
        <f t="array" ref="CB136">INDEX(Crops[],BedPlan[[#This Row],[Chart Index]],CB$4,1)</f>
        <v>0</v>
      </c>
      <c r="CC136" s="49" t="str" cm="1">
        <f t="array" ref="CC136">IFERROR(INDEX(Crops[],BedPlan[[#This Row],[Chart Index]],CC$4,1)*BedPlan[[#This Row],[Full Bed Equivalent]],"")</f>
        <v/>
      </c>
      <c r="CD136" cm="1">
        <f t="array" ref="CD136">INDEX(Crops[],BedPlan[[#This Row],[Chart Index]],CD$4,1)</f>
        <v>0</v>
      </c>
      <c r="CE136" cm="1">
        <f t="array" ref="CE136">IF(INDEX(Crops[],BedPlan[[#This Row],[Chart Index]],CE$4,1)="",0,INDEX(Crops[],BedPlan[[#This Row],[Chart Index]],CE$4,1))</f>
        <v>0</v>
      </c>
      <c r="CF136" s="49" t="str" cm="1">
        <f t="array" ref="CF136">IFERROR(INDEX(Crops[],BedPlan[[#This Row],[Chart Index]],CF$4,1)*BedPlan[[#This Row],[Full Bed Equivalent]],"")</f>
        <v/>
      </c>
      <c r="CG136" cm="1">
        <f t="array" ref="CG136">IF(INDEX(Crops[],BedPlan[[#This Row],[Chart Index]],CG$4,1)="",0,INDEX(Crops[],BedPlan[[#This Row],[Chart Index]],CG$4,1))</f>
        <v>1.3</v>
      </c>
      <c r="CH136" cm="1">
        <f t="array" ref="CH136">IF(INDEX(Crops[],BedPlan[[#This Row],[Chart Index]],CH$4,1)="",0,INDEX(Crops[],BedPlan[[#This Row],[Chart Index]],CH$4,1))</f>
        <v>0</v>
      </c>
      <c r="CI136" t="str" cm="1">
        <f t="array" ref="CI136">INDEX(Crops[],BedPlan[[#This Row],[Chart Index]],CI$4,1)</f>
        <v>Field</v>
      </c>
      <c r="CJ136" s="30" t="str">
        <f>_xlfn.TEXTJOIN(CHAR(10),FALSE,BedPlan[[#This Row],[Name]],BedPlan[[#This Row],[Variety]],BedPlan[[#This Row],[Company]])</f>
        <v>Turnip
Hakurei
Johnny's</v>
      </c>
      <c r="CK136" s="32">
        <f>MAX( 0, MIN(BedPlan[[#This Row],[Expected End of Harvest]], EOMONTH(CK$4, 0)) - MAX(BedPlan[[#This Row],[Beginning of Harvest]], CK$4) + 1 )</f>
        <v>0</v>
      </c>
      <c r="CL136">
        <f>MAX( 0, MIN(BedPlan[[#This Row],[Expected End of Harvest]], EOMONTH(CL$4, 0)) - MAX(BedPlan[[#This Row],[Beginning of Harvest]], CL$4) + 1 )</f>
        <v>0</v>
      </c>
      <c r="CM136">
        <f>MAX( 0, MIN(BedPlan[[#This Row],[Expected End of Harvest]], EOMONTH(CM$4, 0)) - MAX(BedPlan[[#This Row],[Beginning of Harvest]], CM$4) + 1 )</f>
        <v>0</v>
      </c>
      <c r="CN136">
        <f>MAX( 0, MIN(BedPlan[[#This Row],[Expected End of Harvest]], EOMONTH(CN$4, 0)) - MAX(BedPlan[[#This Row],[Beginning of Harvest]], CN$4) + 1 )</f>
        <v>0</v>
      </c>
      <c r="CO136">
        <f>MAX( 0, MIN(BedPlan[[#This Row],[Expected End of Harvest]], EOMONTH(CO$4, 0)) - MAX(BedPlan[[#This Row],[Beginning of Harvest]], CO$4) + 1 )</f>
        <v>0</v>
      </c>
      <c r="CP136">
        <f>MAX( 0, MIN(BedPlan[[#This Row],[Expected End of Harvest]], EOMONTH(CP$4, 0)) - MAX(BedPlan[[#This Row],[Beginning of Harvest]], CP$4) + 1 )</f>
        <v>15</v>
      </c>
      <c r="CQ136">
        <f>MAX( 0, MIN(BedPlan[[#This Row],[Expected End of Harvest]], EOMONTH(CQ$4, 0)) - MAX(BedPlan[[#This Row],[Beginning of Harvest]], CQ$4) + 1 )</f>
        <v>0</v>
      </c>
      <c r="CR136">
        <f>MAX( 0, MIN(BedPlan[[#This Row],[Expected End of Harvest]], EOMONTH(CR$4, 0)) - MAX(BedPlan[[#This Row],[Beginning of Harvest]], CR$4) + 1 )</f>
        <v>0</v>
      </c>
      <c r="CS136">
        <f>MAX( 0, MIN(BedPlan[[#This Row],[Expected End of Harvest]], EOMONTH(CS$4, 0)) - MAX(BedPlan[[#This Row],[Beginning of Harvest]], CS$4) + 1 )</f>
        <v>0</v>
      </c>
      <c r="CT136">
        <f>MAX( 0, MIN(BedPlan[[#This Row],[Expected End of Harvest]], EOMONTH(CT$4, 0)) - MAX(BedPlan[[#This Row],[Beginning of Harvest]], CT$4) + 1 )</f>
        <v>0</v>
      </c>
      <c r="CU136">
        <f>MAX( 0, MIN(BedPlan[[#This Row],[Expected End of Harvest]], EOMONTH(CU$4, 0)) - MAX(BedPlan[[#This Row],[Beginning of Harvest]], CU$4) + 1 )</f>
        <v>0</v>
      </c>
      <c r="CV136">
        <f>MAX( 0, MIN(BedPlan[[#This Row],[Expected End of Harvest]], EOMONTH(CV$4, 0)) - MAX(BedPlan[[#This Row],[Beginning of Harvest]], CV$4) + 1 )</f>
        <v>0</v>
      </c>
      <c r="CW136">
        <f>MAX( 0, MIN(BedPlan[[#This Row],[Expected End of Harvest]], EOMONTH(CW$4, 0)) - MAX(BedPlan[[#This Row],[Beginning of Harvest]], CW$4) + 1 )</f>
        <v>0</v>
      </c>
      <c r="CX136">
        <f>MAX( 0, MIN(BedPlan[[#This Row],[Expected End of Harvest]], EOMONTH(CX$4, 0)) - MAX(BedPlan[[#This Row],[Beginning of Harvest]], CX$4) + 1 )</f>
        <v>0</v>
      </c>
      <c r="CY136">
        <f>MAX( 0, MIN(BedPlan[[#This Row],[Expected End of Harvest]], EOMONTH(CY$4, 0)) - MAX(BedPlan[[#This Row],[Beginning of Harvest]], CY$4) + 1 )</f>
        <v>0</v>
      </c>
      <c r="CZ136">
        <f>MAX( 0, MIN(BedPlan[[#This Row],[Expected End of Harvest]], EOMONTH(CZ$4, 0)) - MAX(BedPlan[[#This Row],[Beginning of Harvest]], CZ$4) + 1 )</f>
        <v>0</v>
      </c>
      <c r="DA136">
        <f>MAX( 0, MIN(BedPlan[[#This Row],[Expected End of Harvest]], EOMONTH(DA$4, 0)) - MAX(BedPlan[[#This Row],[Beginning of Harvest]], DA$4) + 1 )</f>
        <v>0</v>
      </c>
      <c r="DB136">
        <f>MAX( 0, MIN(BedPlan[[#This Row],[Expected End of Harvest]], EOMONTH(DB$4, 0)) - MAX(BedPlan[[#This Row],[Beginning of Harvest]], DB$4) + 1 )</f>
        <v>0</v>
      </c>
      <c r="DC136">
        <f>MAX( 0, MIN(BedPlan[[#This Row],[Expected End of Harvest]], EOMONTH(DC$4, 0)) - MAX(BedPlan[[#This Row],[Beginning of Harvest]], DC$4) + 1 )</f>
        <v>0</v>
      </c>
      <c r="DD136">
        <f>MAX( 0, MIN(BedPlan[[#This Row],[Expected End of Harvest]], EOMONTH(DD$4, 0)) - MAX(BedPlan[[#This Row],[Beginning of Harvest]], DD$4) + 1 )</f>
        <v>0</v>
      </c>
      <c r="DE136">
        <f>MAX( 0, MIN(BedPlan[[#This Row],[Expected End of Harvest]], EOMONTH(DE$4, 0)) - MAX(BedPlan[[#This Row],[Beginning of Harvest]], DE$4) + 1 )</f>
        <v>0</v>
      </c>
      <c r="DF136">
        <f>MAX( 0, MIN(BedPlan[[#This Row],[Expected End of Harvest]], EOMONTH(DF$4, 0)) - MAX(BedPlan[[#This Row],[Beginning of Harvest]], DF$4) + 1 )</f>
        <v>0</v>
      </c>
      <c r="DG136">
        <f>MAX( 0, MIN(BedPlan[[#This Row],[Expected End of Harvest]], EOMONTH(DG$4, 0)) - MAX(BedPlan[[#This Row],[Beginning of Harvest]], DG$4) + 1 )</f>
        <v>0</v>
      </c>
      <c r="DH136">
        <f>MAX( 0, MIN(BedPlan[[#This Row],[Expected End of Harvest]], EOMONTH(DH$4, 0)) - MAX(BedPlan[[#This Row],[Beginning of Harvest]], DH$4) + 1 )</f>
        <v>0</v>
      </c>
      <c r="DI136" s="257" cm="1">
        <f t="array" ref="DI136">BedPlan[[#This Row],[Harvest Days January 2025]]/SUM(BedPlan[[#This Row],[Harvest Days January 2025]:[Harvest Days December 2026]])*BedPlan[[#This Row],[Revenue]:[Revenue]]</f>
        <v>0</v>
      </c>
      <c r="DJ136" s="257" cm="1">
        <f t="array" ref="DJ136">BedPlan[[#This Row],[Harvest Days February 2025]]/SUM(BedPlan[[#This Row],[Harvest Days January 2025]:[Harvest Days December 2026]])*BedPlan[[#This Row],[Revenue]:[Revenue]]</f>
        <v>0</v>
      </c>
      <c r="DK136" s="257" cm="1">
        <f t="array" ref="DK136">BedPlan[[#This Row],[Harvest Days March 2025]]/SUM(BedPlan[[#This Row],[Harvest Days January 2025]:[Harvest Days December 2026]])*BedPlan[[#This Row],[Revenue]:[Revenue]]</f>
        <v>0</v>
      </c>
      <c r="DL136" s="257" cm="1">
        <f t="array" ref="DL136">BedPlan[[#This Row],[Harvest Days April 2025]]/SUM(BedPlan[[#This Row],[Harvest Days January 2025]:[Harvest Days December 2026]])*BedPlan[[#This Row],[Revenue]:[Revenue]]</f>
        <v>0</v>
      </c>
      <c r="DM136" s="257" cm="1">
        <f t="array" ref="DM136">BedPlan[[#This Row],[Harvest Days May 2025]]/SUM(BedPlan[[#This Row],[Harvest Days January 2025]:[Harvest Days December 2026]])*BedPlan[[#This Row],[Revenue]:[Revenue]]</f>
        <v>0</v>
      </c>
      <c r="DN136" s="257" cm="1">
        <f t="array" ref="DN136">BedPlan[[#This Row],[Harvest Days June 2025]]/SUM(BedPlan[[#This Row],[Harvest Days January 2025]:[Harvest Days December 2026]])*BedPlan[[#This Row],[Revenue]:[Revenue]]</f>
        <v>137.5</v>
      </c>
      <c r="DO136" s="257" cm="1">
        <f t="array" ref="DO136">BedPlan[[#This Row],[Harvest Days July 2025]]/SUM(BedPlan[[#This Row],[Harvest Days January 2025]:[Harvest Days December 2026]])*BedPlan[[#This Row],[Revenue]:[Revenue]]</f>
        <v>0</v>
      </c>
      <c r="DP136" s="257" cm="1">
        <f t="array" ref="DP136">BedPlan[[#This Row],[Harvest Days August 2025]]/SUM(BedPlan[[#This Row],[Harvest Days January 2025]:[Harvest Days December 2026]])*BedPlan[[#This Row],[Revenue]:[Revenue]]</f>
        <v>0</v>
      </c>
      <c r="DQ136" s="257" cm="1">
        <f t="array" ref="DQ136">BedPlan[[#This Row],[Harvest Days September 2025]]/SUM(BedPlan[[#This Row],[Harvest Days January 2025]:[Harvest Days December 2026]])*BedPlan[[#This Row],[Revenue]:[Revenue]]</f>
        <v>0</v>
      </c>
      <c r="DR136" s="257" cm="1">
        <f t="array" ref="DR136">BedPlan[[#This Row],[Harvest Days October 2025]]/SUM(BedPlan[[#This Row],[Harvest Days January 2025]:[Harvest Days December 2026]])*BedPlan[[#This Row],[Revenue]:[Revenue]]</f>
        <v>0</v>
      </c>
      <c r="DS136" s="257" cm="1">
        <f t="array" ref="DS136">BedPlan[[#This Row],[Harvest Days November 2025]]/SUM(BedPlan[[#This Row],[Harvest Days January 2025]:[Harvest Days December 2026]])*BedPlan[[#This Row],[Revenue]:[Revenue]]</f>
        <v>0</v>
      </c>
      <c r="DT136" s="257" cm="1">
        <f t="array" ref="DT136">BedPlan[[#This Row],[Harvest Days December 2025]]/SUM(BedPlan[[#This Row],[Harvest Days January 2025]:[Harvest Days December 2026]])*BedPlan[[#This Row],[Revenue]:[Revenue]]</f>
        <v>0</v>
      </c>
      <c r="DU136" s="257" cm="1">
        <f t="array" ref="DU136">BedPlan[[#This Row],[Harvest Days January 2026]]/SUM(BedPlan[[#This Row],[Harvest Days January 2025]:[Harvest Days December 2026]])*BedPlan[[#This Row],[Revenue]:[Revenue]]</f>
        <v>0</v>
      </c>
      <c r="DV136" s="257" cm="1">
        <f t="array" ref="DV136">BedPlan[[#This Row],[Harvest Days February 2026]]/SUM(BedPlan[[#This Row],[Harvest Days January 2025]:[Harvest Days December 2026]])*BedPlan[[#This Row],[Revenue]:[Revenue]]</f>
        <v>0</v>
      </c>
      <c r="DW136" s="257" cm="1">
        <f t="array" ref="DW136">BedPlan[[#This Row],[Harvest Days March 2026]]/SUM(BedPlan[[#This Row],[Harvest Days January 2025]:[Harvest Days December 2026]])*BedPlan[[#This Row],[Revenue]:[Revenue]]</f>
        <v>0</v>
      </c>
      <c r="DX136" s="257" cm="1">
        <f t="array" ref="DX136">BedPlan[[#This Row],[Harvest Days April 2026]]/SUM(BedPlan[[#This Row],[Harvest Days January 2025]:[Harvest Days December 2026]])*BedPlan[[#This Row],[Revenue]:[Revenue]]</f>
        <v>0</v>
      </c>
      <c r="DY136" s="257" cm="1">
        <f t="array" ref="DY136">BedPlan[[#This Row],[Harvest Days May 2026]]/SUM(BedPlan[[#This Row],[Harvest Days January 2025]:[Harvest Days December 2026]])*BedPlan[[#This Row],[Revenue]:[Revenue]]</f>
        <v>0</v>
      </c>
      <c r="DZ136" s="257" cm="1">
        <f t="array" ref="DZ136">BedPlan[[#This Row],[Harvest Days June 2026]]/SUM(BedPlan[[#This Row],[Harvest Days January 2025]:[Harvest Days December 2026]])*BedPlan[[#This Row],[Revenue]:[Revenue]]</f>
        <v>0</v>
      </c>
      <c r="EA136" s="257" cm="1">
        <f t="array" ref="EA136">BedPlan[[#This Row],[Harvest Days July 2026]]/SUM(BedPlan[[#This Row],[Harvest Days January 2025]:[Harvest Days December 2026]])*BedPlan[[#This Row],[Revenue]:[Revenue]]</f>
        <v>0</v>
      </c>
      <c r="EB136" s="257" cm="1">
        <f t="array" ref="EB136">BedPlan[[#This Row],[Harvest Days August 2026]]/SUM(BedPlan[[#This Row],[Harvest Days January 2025]:[Harvest Days December 2026]])*BedPlan[[#This Row],[Revenue]:[Revenue]]</f>
        <v>0</v>
      </c>
      <c r="EC136" s="257" cm="1">
        <f t="array" ref="EC136">BedPlan[[#This Row],[Harvest Days September 2026]]/SUM(BedPlan[[#This Row],[Harvest Days January 2025]:[Harvest Days December 2026]])*BedPlan[[#This Row],[Revenue]:[Revenue]]</f>
        <v>0</v>
      </c>
      <c r="ED136" s="257" cm="1">
        <f t="array" ref="ED136">BedPlan[[#This Row],[Harvest Days October 2026]]/SUM(BedPlan[[#This Row],[Harvest Days January 2025]:[Harvest Days December 2026]])*BedPlan[[#This Row],[Revenue]:[Revenue]]</f>
        <v>0</v>
      </c>
      <c r="EE136" s="257" cm="1">
        <f t="array" ref="EE136">BedPlan[[#This Row],[Harvest Days November 2026]]/SUM(BedPlan[[#This Row],[Harvest Days January 2025]:[Harvest Days December 2026]])*BedPlan[[#This Row],[Revenue]:[Revenue]]</f>
        <v>0</v>
      </c>
      <c r="EF136" s="257" cm="1">
        <f t="array" ref="EF136">BedPlan[[#This Row],[Harvest Days December 2026]]/SUM(BedPlan[[#This Row],[Harvest Days January 2025]:[Harvest Days December 2026]])*BedPlan[[#This Row],[Revenue]:[Revenue]]</f>
        <v>0</v>
      </c>
      <c r="EG136" t="b">
        <f>SUM(BedPlan[[#This Row],[Revenue January 2025]:[Revenue December 2026]])=BedPlan[[#This Row],[Revenue]]</f>
        <v>1</v>
      </c>
      <c r="EH136" s="30" cm="1">
        <f t="array" ref="EH136">INDEX(Crops[],BedPlan[[#This Row],[Chart Index]],EH$4,1)*BedPlan[[#This Row],['# Of Beds]]</f>
        <v>50</v>
      </c>
      <c r="EI136" s="30" t="str" cm="1">
        <f t="array" ref="EI136">INDEX(Crops[],BedPlan[[#This Row],[Chart Index]],EI$4,1)</f>
        <v>Bunch</v>
      </c>
      <c r="EJ136" s="30" t="str" cm="1">
        <f t="array" ref="EJ136">INDEX(Crops[],BedPlan[[#This Row],[Chart Index]],EJ$4,1)</f>
        <v>Mature Root</v>
      </c>
      <c r="EK136" s="30" t="str">
        <f>BedPlan[[#This Row],[Name]]&amp;" "&amp;BedPlan[[#This Row],[Product]]&amp; " - " &amp;BedPlan[[#This Row],[Unit]]</f>
        <v>Turnip Mature Root - Bunch</v>
      </c>
      <c r="EL136" s="33" cm="1">
        <f t="array" ref="EL136">BedPlan[[#This Row],[Harvest Days January 2025]]/SUM(BedPlan[[#This Row],[Harvest Days January 2025]:[Harvest Days December 2026]])*BedPlan[[#This Row],[Yield]:[Yield]]</f>
        <v>0</v>
      </c>
      <c r="EM136" s="33" cm="1">
        <f t="array" ref="EM136">BedPlan[[#This Row],[Harvest Days February 2025]]/SUM(BedPlan[[#This Row],[Harvest Days January 2025]:[Harvest Days December 2026]])*BedPlan[[#This Row],[Yield]:[Yield]]</f>
        <v>0</v>
      </c>
      <c r="EN136" s="33" cm="1">
        <f t="array" ref="EN136">BedPlan[[#This Row],[Harvest Days March 2025]]/SUM(BedPlan[[#This Row],[Harvest Days January 2025]:[Harvest Days December 2026]])*BedPlan[[#This Row],[Yield]:[Yield]]</f>
        <v>0</v>
      </c>
      <c r="EO136" s="33" cm="1">
        <f t="array" ref="EO136">BedPlan[[#This Row],[Harvest Days April 2025]]/SUM(BedPlan[[#This Row],[Harvest Days January 2025]:[Harvest Days December 2026]])*BedPlan[[#This Row],[Yield]:[Yield]]</f>
        <v>0</v>
      </c>
      <c r="EP136" s="33" cm="1">
        <f t="array" ref="EP136">BedPlan[[#This Row],[Harvest Days May 2025]]/SUM(BedPlan[[#This Row],[Harvest Days January 2025]:[Harvest Days December 2026]])*BedPlan[[#This Row],[Yield]:[Yield]]</f>
        <v>0</v>
      </c>
      <c r="EQ136" s="33" cm="1">
        <f t="array" ref="EQ136">BedPlan[[#This Row],[Harvest Days June 2025]]/SUM(BedPlan[[#This Row],[Harvest Days January 2025]:[Harvest Days December 2026]])*BedPlan[[#This Row],[Yield]:[Yield]]</f>
        <v>50</v>
      </c>
      <c r="ER136" s="33" cm="1">
        <f t="array" ref="ER136">BedPlan[[#This Row],[Harvest Days July 2025]]/SUM(BedPlan[[#This Row],[Harvest Days January 2025]:[Harvest Days December 2026]])*BedPlan[[#This Row],[Yield]:[Yield]]</f>
        <v>0</v>
      </c>
      <c r="ES136" s="33" cm="1">
        <f t="array" ref="ES136">BedPlan[[#This Row],[Harvest Days August 2025]]/SUM(BedPlan[[#This Row],[Harvest Days January 2025]:[Harvest Days December 2026]])*BedPlan[[#This Row],[Yield]:[Yield]]</f>
        <v>0</v>
      </c>
      <c r="ET136" s="33" cm="1">
        <f t="array" ref="ET136">BedPlan[[#This Row],[Harvest Days September 2025]]/SUM(BedPlan[[#This Row],[Harvest Days January 2025]:[Harvest Days December 2026]])*BedPlan[[#This Row],[Yield]:[Yield]]</f>
        <v>0</v>
      </c>
      <c r="EU136" s="33" cm="1">
        <f t="array" ref="EU136">BedPlan[[#This Row],[Harvest Days October 2025]]/SUM(BedPlan[[#This Row],[Harvest Days January 2025]:[Harvest Days December 2026]])*BedPlan[[#This Row],[Yield]:[Yield]]</f>
        <v>0</v>
      </c>
      <c r="EV136" s="33" cm="1">
        <f t="array" ref="EV136">BedPlan[[#This Row],[Harvest Days November 2025]]/SUM(BedPlan[[#This Row],[Harvest Days January 2025]:[Harvest Days December 2026]])*BedPlan[[#This Row],[Yield]:[Yield]]</f>
        <v>0</v>
      </c>
      <c r="EW136" s="33" cm="1">
        <f t="array" ref="EW136">BedPlan[[#This Row],[Harvest Days December 2025]]/SUM(BedPlan[[#This Row],[Harvest Days January 2025]:[Harvest Days December 2026]])*BedPlan[[#This Row],[Yield]:[Yield]]</f>
        <v>0</v>
      </c>
    </row>
    <row r="137" spans="1:153" ht="15" customHeight="1">
      <c r="A137" s="191" t="s">
        <v>2751</v>
      </c>
      <c r="B137" t="s">
        <v>2680</v>
      </c>
      <c r="C137" s="226" t="s">
        <v>1428</v>
      </c>
      <c r="D137" s="226" cm="1">
        <f t="array" ref="D137">INDEX(Crops[],BedPlan[[#This Row],[Chart Index]],D$4,1)*BedPlan[[#This Row],[Full Bed Equivalent]]</f>
        <v>6.25</v>
      </c>
      <c r="E137" s="226" cm="1">
        <f t="array" ref="E137">INDEX(Crops[],BedPlan[[#This Row],[Chart Index]],E$4,1)*BedPlan[[#This Row],[Full Bed Equivalent]]</f>
        <v>25</v>
      </c>
      <c r="F137" s="34" t="str">
        <f>UPPER(LEFT(BedPlan[[#This Row],[Crop]],3))</f>
        <v>TUR</v>
      </c>
      <c r="G137" s="227"/>
      <c r="H137" s="143" t="str" cm="1">
        <f t="array" ref="H137">INDEX(Crops[],BedPlan[[#This Row],[Chart Index]],H$4,1)</f>
        <v>Turnip</v>
      </c>
      <c r="I137" s="227" t="s">
        <v>1686</v>
      </c>
      <c r="J137" s="227" t="s">
        <v>490</v>
      </c>
      <c r="K137" s="34" t="str" cm="1">
        <f t="array" ref="K137">IF(ISNUMBER(MATCH(BedPlan[[#This Row],[Variety]],SeedMixes[Name],)),_xlfn.TEXTJOIN(", ",TRUE,_xlfn._xlws.FILTER(SeedMixes[Variety &amp; Company],SeedMixes[Name]=BedPlan[[#This Row],[Variety]])),"")</f>
        <v/>
      </c>
      <c r="L137" s="229" cm="1">
        <f t="array" ref="L137">INDEX(Crops[],BedPlan[[#This Row],[Chart Index]],L$4,1)*BedPlan[[#This Row],[Full Bed Equivalent]]</f>
        <v>520</v>
      </c>
      <c r="N137" s="227">
        <v>0.25</v>
      </c>
      <c r="O137" s="227">
        <f>MAX(BedPlan[[#This Row],['# Of Beds]],0.5)</f>
        <v>0.5</v>
      </c>
      <c r="P137" s="230">
        <f>IF(ISNUMBER(BedPlan[[#This Row],[Planned Greenhouse Start Date]]),BedPlan[[#This Row],[Planned Greenhouse Start Date]],BedPlan[[#This Row],[Planned TP or DS Date]])</f>
        <v>45748</v>
      </c>
      <c r="Q137" s="261" t="str">
        <f>IF(BedPlan[[#This Row],[Days in Cells]]=0,"",IFERROR(_xlfn.XLOOKUP(BedPlan[[#This Row],[Follows Crop]],BedPlan[Identifier],BedPlan[Expected End of Harvest]) + 1+BedPlan[[#This Row],[Follow Offset]],BedPlan[[#This Row],[Fixed Field Start Date]])-BedPlan[[#This Row],[Days in Cells]])</f>
        <v/>
      </c>
      <c r="R137" s="261"/>
      <c r="S137" s="261" t="str">
        <f>IF(ISNUMBER(BedPlan[[#This Row],[Actual Greenhouse Date]]),BedPlan[[#This Row],[Actual Greenhouse Date]],BedPlan[[#This Row],[Planned Greenhouse Start Date]])</f>
        <v/>
      </c>
      <c r="T137" s="262">
        <f>_xlfn.XLOOKUP(BedPlan[[#This Row],[Crop]],Crops[Identifier],Crops[Target Field Date])</f>
        <v>45748</v>
      </c>
      <c r="U137" s="263"/>
      <c r="V137" s="263"/>
      <c r="W137"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137" s="265">
        <v>45741</v>
      </c>
      <c r="Y137" s="270">
        <f>BedPlan[[#This Row],[Actual TP or DS Date]]-BedPlan[[#This Row],[Planned TP or DS Date]]</f>
        <v>-7</v>
      </c>
      <c r="Z137" s="261">
        <f>IF(ISNUMBER(BedPlan[[#This Row],[Actual TP or DS Date]]),BedPlan[[#This Row],[Actual TP or DS Date]],BedPlan[[#This Row],[Planned TP or DS Date]])</f>
        <v>45741</v>
      </c>
      <c r="AA137" s="264"/>
      <c r="AB137" s="261">
        <f>IF(ISNUMBER(BedPlan[[#This Row],[Greenhouse Start Date]]),BedPlan[[#This Row],[Greenhouse Start Date]]+BedPlan[[#This Row],[DTM]],BedPlan[[#This Row],[TP or DS Date]]+BedPlan[[#This Row],[DTM]])</f>
        <v>45781</v>
      </c>
      <c r="AC137" s="265"/>
      <c r="AD137" s="261">
        <f>IF(ISNUMBER(BedPlan[[#This Row],[Actual Beginning of Harvest]]),BedPlan[[#This Row],[Actual Beginning of Harvest]],BedPlan[[#This Row],[Expected Beginning of Harvest]])</f>
        <v>45781</v>
      </c>
      <c r="AE137" s="261">
        <f>BedPlan[[#This Row],[Expected Beginning of Harvest]]+BedPlan[[#This Row],[Harvest Window]]+BedPlan[[#This Row],[Additional Days of Harvest]]</f>
        <v>45795</v>
      </c>
      <c r="AF137" s="265"/>
      <c r="AG137" s="261"/>
      <c r="AH137" s="230" t="b">
        <f>IF(AND( BedPlan[[#This Row],[Expected End of Harvest]] &gt;= DATE(2025, 8, 1), BedPlan[[#This Row],[Beginning of Harvest]] &lt;= DATE(2025, 8, 31) ), TRUE, FALSE)</f>
        <v>0</v>
      </c>
      <c r="AI137" s="230"/>
      <c r="AJ137" s="230">
        <f>IF(ISNUMBER(BedPlan[[#This Row],[Actual End of Harvest]]),BedPlan[[#This Row],[Actual End of Harvest]],BedPlan[[#This Row],[Expected End of Harvest]])</f>
        <v>45795</v>
      </c>
      <c r="AK137" s="34" t="b">
        <f>OR(ISNUMBER(BedPlan[[#This Row],[Actual Greenhouse Date]]),ISNUMBER(BedPlan[[#This Row],[Actual TP or DS Date]]))</f>
        <v>1</v>
      </c>
      <c r="AL137" s="34" t="str">
        <f>IF(ISNUMBER(BedPlan[[#This Row],[Planned Greenhouse Start Date]]),OR(ISNUMBER(BedPlan[[#This Row],[Actual TP or DS Date]]),BedPlan[[#This Row],[Failed]]),"-")</f>
        <v>-</v>
      </c>
      <c r="AM137" s="34" t="b">
        <f>OR(ISNUMBER(BedPlan[[#This Row],[Actual End of Harvest]]),BedPlan[[#This Row],[Failed]])</f>
        <v>0</v>
      </c>
      <c r="AN137" s="34" t="b">
        <f>OR(BedPlan[[#This Row],[Harvest Done]],BedPlan[[#This Row],[Failed]],BedPlan[[#This Row],[Name]]="Tarp")</f>
        <v>0</v>
      </c>
      <c r="AR137" t="b">
        <v>1</v>
      </c>
      <c r="AS137" s="256" t="str">
        <f>IF(BedPlan[[#This Row],[Broadfork]],BedPlan[[#This Row],[Actual TP or DS Date]],"")</f>
        <v/>
      </c>
      <c r="AT137" s="256" t="str">
        <f>IF(BedPlan[[#This Row],[Tilther]],BedPlan[[#This Row],[Actual TP or DS Date]],"")</f>
        <v/>
      </c>
      <c r="AU137" s="256" t="str">
        <f>IF(NOT(ISBLANK(BedPlan[[#This Row],[Amend]])),BedPlan[[#This Row],[Actual TP or DS Date]],"")</f>
        <v/>
      </c>
      <c r="AV137" s="256">
        <f>IF(BedPlan[[#This Row],[Row Cover]],BedPlan[[#This Row],[Actual TP or DS Date]],"")</f>
        <v>45741</v>
      </c>
      <c r="AW137" s="34"/>
      <c r="AX137" s="256"/>
      <c r="AY137" s="34"/>
      <c r="AZ137" s="256"/>
      <c r="BA137" s="34"/>
      <c r="BB137" s="256"/>
      <c r="BC137" s="231" cm="1">
        <f t="array" ref="BC137">INDEX(Crops[],BedPlan[[#This Row],[Chart Index]],BC$4,1)*BedPlan[[#This Row],[Full Bed Equivalent]]</f>
        <v>68.75</v>
      </c>
      <c r="BD137" s="231" cm="1">
        <f t="array" ref="BD137">INDEX(Crops[],BedPlan[[#This Row],[Chart Index]],BD$4,1)*BedPlan[[#This Row],[Full Bed Equivalent]]</f>
        <v>1.2731481481481481</v>
      </c>
      <c r="BE137" cm="1">
        <f t="array" ref="BE137">INDEX(Crops[],BedPlan[[#This Row],[Chart Index]],BE$4,1)+BedPlan[[#This Row],[Additional Days in Cells]]+BedPlan[[#This Row],[Additional Days In Field]]</f>
        <v>40</v>
      </c>
      <c r="BG137" cm="1">
        <f t="array" ref="BG137">INDEX(Crops[],BedPlan[[#This Row],[Chart Index]],BG$4,1)</f>
        <v>14</v>
      </c>
      <c r="BH137" t="str">
        <f>IF(ISNUMBER(BedPlan[[#This Row],[Planned Greenhouse Start Date]]),"TP","DS")</f>
        <v>DS</v>
      </c>
      <c r="BI137">
        <f>BedPlan[[#This Row],['# Of Beds]]</f>
        <v>0.25</v>
      </c>
      <c r="BJ137" cm="1">
        <f t="array" ref="BJ137">INDEX(Crops[],BedPlan[[#This Row],[Chart Index]],BJ$4,1)</f>
        <v>0</v>
      </c>
      <c r="BK137" cm="1">
        <f t="array" ref="BK137">INDEX(Crops[],BedPlan[[#This Row],[Chart Index]],BK$4,1)</f>
        <v>4</v>
      </c>
      <c r="BL137" cm="1">
        <f t="array" ref="BL137">INDEX(Crops[],BedPlan[[#This Row],[Chart Index]],BL$4,1)</f>
        <v>1.5</v>
      </c>
      <c r="BM137" cm="1">
        <f t="array" ref="BM137">INDEX(Crops[],BedPlan[[#This Row],[Chart Index]],BM$4,1)</f>
        <v>1</v>
      </c>
      <c r="BN137" s="32" cm="1">
        <f t="array" ref="BN137">INDEX(Crops[],BedPlan[[#This Row],[Chart Index]],BN$4,1)*BedPlan[[#This Row],[Full Bed Equivalent]]</f>
        <v>400</v>
      </c>
      <c r="BO137" t="str" cm="1">
        <f t="array" ref="BO137">IF(INDEX(Crops[],BedPlan[[#This Row],[Chart Index]],BO$4,1)=0,"",INDEX(Crops[],BedPlan[[#This Row],[Chart Index]],BO$4,1))</f>
        <v/>
      </c>
      <c r="BP137">
        <f>MATCH(BedPlan[[#This Row],[Crop]],Crops[Identifier],FALSE)</f>
        <v>335</v>
      </c>
      <c r="BQ137" t="str" cm="1">
        <f t="array" ref="BQ137">INDEX(Crops[],BedPlan[[#This Row],[Chart Index]],BQ$4,1)</f>
        <v>Tokyo</v>
      </c>
      <c r="BR137" t="str" cm="1">
        <f t="array" ref="BR137">INDEX(Crops[],BedPlan[[#This Row],[Chart Index]],BR$4,1)</f>
        <v>Sp</v>
      </c>
      <c r="BS137" s="32">
        <f>BedPlan[[#This Row],[Expected Beginning of Harvest]]-DATE(2023,1,1)</f>
        <v>854</v>
      </c>
      <c r="BT137">
        <f>BedPlan[[#This Row],[Expected End of Harvest]]-BedPlan[[#This Row],[Expected Beginning of Harvest]]</f>
        <v>14</v>
      </c>
      <c r="BU137" t="str" cm="1">
        <f t="array" ref="BU137">INDEX(Crops[],BedPlan[[#This Row],[Chart Index]],BU$4,1)</f>
        <v>Root</v>
      </c>
      <c r="BV137" cm="1">
        <f t="array" ref="BV137">INDEX(Crops[],BedPlan[[#This Row],[Chart Index]],BV$4,1)</f>
        <v>2</v>
      </c>
      <c r="BW137" cm="1">
        <f t="array" ref="BW137">INDEX(Crops[],BedPlan[[#This Row],[Chart Index]],BW$4,1)</f>
        <v>0</v>
      </c>
      <c r="BX137" cm="1">
        <f t="array" ref="BX137">INDEX(Crops[],BedPlan[[#This Row],[Chart Index]],BX$4,1)</f>
        <v>0</v>
      </c>
      <c r="BY137" cm="1">
        <f t="array" ref="BY137">INDEX(Crops[],BedPlan[[#This Row],[Chart Index]],BY$4,1)</f>
        <v>0</v>
      </c>
      <c r="BZ137" s="49" t="str" cm="1">
        <f t="array" ref="BZ137">IFERROR(INDEX(Crops[],BedPlan[[#This Row],[Chart Index]],BZ$4,1)*BedPlan[[#This Row],[Full Bed Equivalent]],"")</f>
        <v/>
      </c>
      <c r="CA137" cm="1">
        <f t="array" ref="CA137">INDEX(Crops[],BedPlan[[#This Row],[Chart Index]],CA$4,1)</f>
        <v>0</v>
      </c>
      <c r="CB137" cm="1">
        <f t="array" ref="CB137">INDEX(Crops[],BedPlan[[#This Row],[Chart Index]],CB$4,1)</f>
        <v>0</v>
      </c>
      <c r="CC137" s="49" t="str" cm="1">
        <f t="array" ref="CC137">IFERROR(INDEX(Crops[],BedPlan[[#This Row],[Chart Index]],CC$4,1)*BedPlan[[#This Row],[Full Bed Equivalent]],"")</f>
        <v/>
      </c>
      <c r="CD137" cm="1">
        <f t="array" ref="CD137">INDEX(Crops[],BedPlan[[#This Row],[Chart Index]],CD$4,1)</f>
        <v>0</v>
      </c>
      <c r="CE137" cm="1">
        <f t="array" ref="CE137">IF(INDEX(Crops[],BedPlan[[#This Row],[Chart Index]],CE$4,1)="",0,INDEX(Crops[],BedPlan[[#This Row],[Chart Index]],CE$4,1))</f>
        <v>0</v>
      </c>
      <c r="CF137" s="49" t="str" cm="1">
        <f t="array" ref="CF137">IFERROR(INDEX(Crops[],BedPlan[[#This Row],[Chart Index]],CF$4,1)*BedPlan[[#This Row],[Full Bed Equivalent]],"")</f>
        <v/>
      </c>
      <c r="CG137" cm="1">
        <f t="array" ref="CG137">IF(INDEX(Crops[],BedPlan[[#This Row],[Chart Index]],CG$4,1)="",0,INDEX(Crops[],BedPlan[[#This Row],[Chart Index]],CG$4,1))</f>
        <v>1.3</v>
      </c>
      <c r="CH137" cm="1">
        <f t="array" ref="CH137">IF(INDEX(Crops[],BedPlan[[#This Row],[Chart Index]],CH$4,1)="",0,INDEX(Crops[],BedPlan[[#This Row],[Chart Index]],CH$4,1))</f>
        <v>0</v>
      </c>
      <c r="CI137" t="str" cm="1">
        <f t="array" ref="CI137">INDEX(Crops[],BedPlan[[#This Row],[Chart Index]],CI$4,1)</f>
        <v>Field</v>
      </c>
      <c r="CJ137" s="30" t="str">
        <f>_xlfn.TEXTJOIN(CHAR(10),FALSE,BedPlan[[#This Row],[Name]],BedPlan[[#This Row],[Variety]],BedPlan[[#This Row],[Company]])</f>
        <v>Turnip
Hakurei
Johnny's</v>
      </c>
      <c r="CK137" s="32">
        <f>MAX( 0, MIN(BedPlan[[#This Row],[Expected End of Harvest]], EOMONTH(CK$4, 0)) - MAX(BedPlan[[#This Row],[Beginning of Harvest]], CK$4) + 1 )</f>
        <v>0</v>
      </c>
      <c r="CL137">
        <f>MAX( 0, MIN(BedPlan[[#This Row],[Expected End of Harvest]], EOMONTH(CL$4, 0)) - MAX(BedPlan[[#This Row],[Beginning of Harvest]], CL$4) + 1 )</f>
        <v>0</v>
      </c>
      <c r="CM137">
        <f>MAX( 0, MIN(BedPlan[[#This Row],[Expected End of Harvest]], EOMONTH(CM$4, 0)) - MAX(BedPlan[[#This Row],[Beginning of Harvest]], CM$4) + 1 )</f>
        <v>0</v>
      </c>
      <c r="CN137">
        <f>MAX( 0, MIN(BedPlan[[#This Row],[Expected End of Harvest]], EOMONTH(CN$4, 0)) - MAX(BedPlan[[#This Row],[Beginning of Harvest]], CN$4) + 1 )</f>
        <v>0</v>
      </c>
      <c r="CO137">
        <f>MAX( 0, MIN(BedPlan[[#This Row],[Expected End of Harvest]], EOMONTH(CO$4, 0)) - MAX(BedPlan[[#This Row],[Beginning of Harvest]], CO$4) + 1 )</f>
        <v>15</v>
      </c>
      <c r="CP137">
        <f>MAX( 0, MIN(BedPlan[[#This Row],[Expected End of Harvest]], EOMONTH(CP$4, 0)) - MAX(BedPlan[[#This Row],[Beginning of Harvest]], CP$4) + 1 )</f>
        <v>0</v>
      </c>
      <c r="CQ137">
        <f>MAX( 0, MIN(BedPlan[[#This Row],[Expected End of Harvest]], EOMONTH(CQ$4, 0)) - MAX(BedPlan[[#This Row],[Beginning of Harvest]], CQ$4) + 1 )</f>
        <v>0</v>
      </c>
      <c r="CR137">
        <f>MAX( 0, MIN(BedPlan[[#This Row],[Expected End of Harvest]], EOMONTH(CR$4, 0)) - MAX(BedPlan[[#This Row],[Beginning of Harvest]], CR$4) + 1 )</f>
        <v>0</v>
      </c>
      <c r="CS137">
        <f>MAX( 0, MIN(BedPlan[[#This Row],[Expected End of Harvest]], EOMONTH(CS$4, 0)) - MAX(BedPlan[[#This Row],[Beginning of Harvest]], CS$4) + 1 )</f>
        <v>0</v>
      </c>
      <c r="CT137">
        <f>MAX( 0, MIN(BedPlan[[#This Row],[Expected End of Harvest]], EOMONTH(CT$4, 0)) - MAX(BedPlan[[#This Row],[Beginning of Harvest]], CT$4) + 1 )</f>
        <v>0</v>
      </c>
      <c r="CU137">
        <f>MAX( 0, MIN(BedPlan[[#This Row],[Expected End of Harvest]], EOMONTH(CU$4, 0)) - MAX(BedPlan[[#This Row],[Beginning of Harvest]], CU$4) + 1 )</f>
        <v>0</v>
      </c>
      <c r="CV137">
        <f>MAX( 0, MIN(BedPlan[[#This Row],[Expected End of Harvest]], EOMONTH(CV$4, 0)) - MAX(BedPlan[[#This Row],[Beginning of Harvest]], CV$4) + 1 )</f>
        <v>0</v>
      </c>
      <c r="CW137">
        <f>MAX( 0, MIN(BedPlan[[#This Row],[Expected End of Harvest]], EOMONTH(CW$4, 0)) - MAX(BedPlan[[#This Row],[Beginning of Harvest]], CW$4) + 1 )</f>
        <v>0</v>
      </c>
      <c r="CX137">
        <f>MAX( 0, MIN(BedPlan[[#This Row],[Expected End of Harvest]], EOMONTH(CX$4, 0)) - MAX(BedPlan[[#This Row],[Beginning of Harvest]], CX$4) + 1 )</f>
        <v>0</v>
      </c>
      <c r="CY137">
        <f>MAX( 0, MIN(BedPlan[[#This Row],[Expected End of Harvest]], EOMONTH(CY$4, 0)) - MAX(BedPlan[[#This Row],[Beginning of Harvest]], CY$4) + 1 )</f>
        <v>0</v>
      </c>
      <c r="CZ137">
        <f>MAX( 0, MIN(BedPlan[[#This Row],[Expected End of Harvest]], EOMONTH(CZ$4, 0)) - MAX(BedPlan[[#This Row],[Beginning of Harvest]], CZ$4) + 1 )</f>
        <v>0</v>
      </c>
      <c r="DA137">
        <f>MAX( 0, MIN(BedPlan[[#This Row],[Expected End of Harvest]], EOMONTH(DA$4, 0)) - MAX(BedPlan[[#This Row],[Beginning of Harvest]], DA$4) + 1 )</f>
        <v>0</v>
      </c>
      <c r="DB137">
        <f>MAX( 0, MIN(BedPlan[[#This Row],[Expected End of Harvest]], EOMONTH(DB$4, 0)) - MAX(BedPlan[[#This Row],[Beginning of Harvest]], DB$4) + 1 )</f>
        <v>0</v>
      </c>
      <c r="DC137">
        <f>MAX( 0, MIN(BedPlan[[#This Row],[Expected End of Harvest]], EOMONTH(DC$4, 0)) - MAX(BedPlan[[#This Row],[Beginning of Harvest]], DC$4) + 1 )</f>
        <v>0</v>
      </c>
      <c r="DD137">
        <f>MAX( 0, MIN(BedPlan[[#This Row],[Expected End of Harvest]], EOMONTH(DD$4, 0)) - MAX(BedPlan[[#This Row],[Beginning of Harvest]], DD$4) + 1 )</f>
        <v>0</v>
      </c>
      <c r="DE137">
        <f>MAX( 0, MIN(BedPlan[[#This Row],[Expected End of Harvest]], EOMONTH(DE$4, 0)) - MAX(BedPlan[[#This Row],[Beginning of Harvest]], DE$4) + 1 )</f>
        <v>0</v>
      </c>
      <c r="DF137">
        <f>MAX( 0, MIN(BedPlan[[#This Row],[Expected End of Harvest]], EOMONTH(DF$4, 0)) - MAX(BedPlan[[#This Row],[Beginning of Harvest]], DF$4) + 1 )</f>
        <v>0</v>
      </c>
      <c r="DG137">
        <f>MAX( 0, MIN(BedPlan[[#This Row],[Expected End of Harvest]], EOMONTH(DG$4, 0)) - MAX(BedPlan[[#This Row],[Beginning of Harvest]], DG$4) + 1 )</f>
        <v>0</v>
      </c>
      <c r="DH137">
        <f>MAX( 0, MIN(BedPlan[[#This Row],[Expected End of Harvest]], EOMONTH(DH$4, 0)) - MAX(BedPlan[[#This Row],[Beginning of Harvest]], DH$4) + 1 )</f>
        <v>0</v>
      </c>
      <c r="DI137" s="257" cm="1">
        <f t="array" ref="DI137">BedPlan[[#This Row],[Harvest Days January 2025]]/SUM(BedPlan[[#This Row],[Harvest Days January 2025]:[Harvest Days December 2026]])*BedPlan[[#This Row],[Revenue]:[Revenue]]</f>
        <v>0</v>
      </c>
      <c r="DJ137" s="257" cm="1">
        <f t="array" ref="DJ137">BedPlan[[#This Row],[Harvest Days February 2025]]/SUM(BedPlan[[#This Row],[Harvest Days January 2025]:[Harvest Days December 2026]])*BedPlan[[#This Row],[Revenue]:[Revenue]]</f>
        <v>0</v>
      </c>
      <c r="DK137" s="257" cm="1">
        <f t="array" ref="DK137">BedPlan[[#This Row],[Harvest Days March 2025]]/SUM(BedPlan[[#This Row],[Harvest Days January 2025]:[Harvest Days December 2026]])*BedPlan[[#This Row],[Revenue]:[Revenue]]</f>
        <v>0</v>
      </c>
      <c r="DL137" s="257" cm="1">
        <f t="array" ref="DL137">BedPlan[[#This Row],[Harvest Days April 2025]]/SUM(BedPlan[[#This Row],[Harvest Days January 2025]:[Harvest Days December 2026]])*BedPlan[[#This Row],[Revenue]:[Revenue]]</f>
        <v>0</v>
      </c>
      <c r="DM137" s="257" cm="1">
        <f t="array" ref="DM137">BedPlan[[#This Row],[Harvest Days May 2025]]/SUM(BedPlan[[#This Row],[Harvest Days January 2025]:[Harvest Days December 2026]])*BedPlan[[#This Row],[Revenue]:[Revenue]]</f>
        <v>68.75</v>
      </c>
      <c r="DN137" s="257" cm="1">
        <f t="array" ref="DN137">BedPlan[[#This Row],[Harvest Days June 2025]]/SUM(BedPlan[[#This Row],[Harvest Days January 2025]:[Harvest Days December 2026]])*BedPlan[[#This Row],[Revenue]:[Revenue]]</f>
        <v>0</v>
      </c>
      <c r="DO137" s="257" cm="1">
        <f t="array" ref="DO137">BedPlan[[#This Row],[Harvest Days July 2025]]/SUM(BedPlan[[#This Row],[Harvest Days January 2025]:[Harvest Days December 2026]])*BedPlan[[#This Row],[Revenue]:[Revenue]]</f>
        <v>0</v>
      </c>
      <c r="DP137" s="257" cm="1">
        <f t="array" ref="DP137">BedPlan[[#This Row],[Harvest Days August 2025]]/SUM(BedPlan[[#This Row],[Harvest Days January 2025]:[Harvest Days December 2026]])*BedPlan[[#This Row],[Revenue]:[Revenue]]</f>
        <v>0</v>
      </c>
      <c r="DQ137" s="257" cm="1">
        <f t="array" ref="DQ137">BedPlan[[#This Row],[Harvest Days September 2025]]/SUM(BedPlan[[#This Row],[Harvest Days January 2025]:[Harvest Days December 2026]])*BedPlan[[#This Row],[Revenue]:[Revenue]]</f>
        <v>0</v>
      </c>
      <c r="DR137" s="257" cm="1">
        <f t="array" ref="DR137">BedPlan[[#This Row],[Harvest Days October 2025]]/SUM(BedPlan[[#This Row],[Harvest Days January 2025]:[Harvest Days December 2026]])*BedPlan[[#This Row],[Revenue]:[Revenue]]</f>
        <v>0</v>
      </c>
      <c r="DS137" s="257" cm="1">
        <f t="array" ref="DS137">BedPlan[[#This Row],[Harvest Days November 2025]]/SUM(BedPlan[[#This Row],[Harvest Days January 2025]:[Harvest Days December 2026]])*BedPlan[[#This Row],[Revenue]:[Revenue]]</f>
        <v>0</v>
      </c>
      <c r="DT137" s="257" cm="1">
        <f t="array" ref="DT137">BedPlan[[#This Row],[Harvest Days December 2025]]/SUM(BedPlan[[#This Row],[Harvest Days January 2025]:[Harvest Days December 2026]])*BedPlan[[#This Row],[Revenue]:[Revenue]]</f>
        <v>0</v>
      </c>
      <c r="DU137" s="257" cm="1">
        <f t="array" ref="DU137">BedPlan[[#This Row],[Harvest Days January 2026]]/SUM(BedPlan[[#This Row],[Harvest Days January 2025]:[Harvest Days December 2026]])*BedPlan[[#This Row],[Revenue]:[Revenue]]</f>
        <v>0</v>
      </c>
      <c r="DV137" s="257" cm="1">
        <f t="array" ref="DV137">BedPlan[[#This Row],[Harvest Days February 2026]]/SUM(BedPlan[[#This Row],[Harvest Days January 2025]:[Harvest Days December 2026]])*BedPlan[[#This Row],[Revenue]:[Revenue]]</f>
        <v>0</v>
      </c>
      <c r="DW137" s="257" cm="1">
        <f t="array" ref="DW137">BedPlan[[#This Row],[Harvest Days March 2026]]/SUM(BedPlan[[#This Row],[Harvest Days January 2025]:[Harvest Days December 2026]])*BedPlan[[#This Row],[Revenue]:[Revenue]]</f>
        <v>0</v>
      </c>
      <c r="DX137" s="257" cm="1">
        <f t="array" ref="DX137">BedPlan[[#This Row],[Harvest Days April 2026]]/SUM(BedPlan[[#This Row],[Harvest Days January 2025]:[Harvest Days December 2026]])*BedPlan[[#This Row],[Revenue]:[Revenue]]</f>
        <v>0</v>
      </c>
      <c r="DY137" s="257" cm="1">
        <f t="array" ref="DY137">BedPlan[[#This Row],[Harvest Days May 2026]]/SUM(BedPlan[[#This Row],[Harvest Days January 2025]:[Harvest Days December 2026]])*BedPlan[[#This Row],[Revenue]:[Revenue]]</f>
        <v>0</v>
      </c>
      <c r="DZ137" s="257" cm="1">
        <f t="array" ref="DZ137">BedPlan[[#This Row],[Harvest Days June 2026]]/SUM(BedPlan[[#This Row],[Harvest Days January 2025]:[Harvest Days December 2026]])*BedPlan[[#This Row],[Revenue]:[Revenue]]</f>
        <v>0</v>
      </c>
      <c r="EA137" s="257" cm="1">
        <f t="array" ref="EA137">BedPlan[[#This Row],[Harvest Days July 2026]]/SUM(BedPlan[[#This Row],[Harvest Days January 2025]:[Harvest Days December 2026]])*BedPlan[[#This Row],[Revenue]:[Revenue]]</f>
        <v>0</v>
      </c>
      <c r="EB137" s="257" cm="1">
        <f t="array" ref="EB137">BedPlan[[#This Row],[Harvest Days August 2026]]/SUM(BedPlan[[#This Row],[Harvest Days January 2025]:[Harvest Days December 2026]])*BedPlan[[#This Row],[Revenue]:[Revenue]]</f>
        <v>0</v>
      </c>
      <c r="EC137" s="257" cm="1">
        <f t="array" ref="EC137">BedPlan[[#This Row],[Harvest Days September 2026]]/SUM(BedPlan[[#This Row],[Harvest Days January 2025]:[Harvest Days December 2026]])*BedPlan[[#This Row],[Revenue]:[Revenue]]</f>
        <v>0</v>
      </c>
      <c r="ED137" s="257" cm="1">
        <f t="array" ref="ED137">BedPlan[[#This Row],[Harvest Days October 2026]]/SUM(BedPlan[[#This Row],[Harvest Days January 2025]:[Harvest Days December 2026]])*BedPlan[[#This Row],[Revenue]:[Revenue]]</f>
        <v>0</v>
      </c>
      <c r="EE137" s="257" cm="1">
        <f t="array" ref="EE137">BedPlan[[#This Row],[Harvest Days November 2026]]/SUM(BedPlan[[#This Row],[Harvest Days January 2025]:[Harvest Days December 2026]])*BedPlan[[#This Row],[Revenue]:[Revenue]]</f>
        <v>0</v>
      </c>
      <c r="EF137" s="257" cm="1">
        <f t="array" ref="EF137">BedPlan[[#This Row],[Harvest Days December 2026]]/SUM(BedPlan[[#This Row],[Harvest Days January 2025]:[Harvest Days December 2026]])*BedPlan[[#This Row],[Revenue]:[Revenue]]</f>
        <v>0</v>
      </c>
      <c r="EG137" t="b">
        <f>SUM(BedPlan[[#This Row],[Revenue January 2025]:[Revenue December 2026]])=BedPlan[[#This Row],[Revenue]]</f>
        <v>1</v>
      </c>
      <c r="EH137" s="30" cm="1">
        <f t="array" ref="EH137">INDEX(Crops[],BedPlan[[#This Row],[Chart Index]],EH$4,1)*BedPlan[[#This Row],['# Of Beds]]</f>
        <v>25</v>
      </c>
      <c r="EI137" s="30" t="str" cm="1">
        <f t="array" ref="EI137">INDEX(Crops[],BedPlan[[#This Row],[Chart Index]],EI$4,1)</f>
        <v>Bunch</v>
      </c>
      <c r="EJ137" s="30" t="str" cm="1">
        <f t="array" ref="EJ137">INDEX(Crops[],BedPlan[[#This Row],[Chart Index]],EJ$4,1)</f>
        <v>Mature Root</v>
      </c>
      <c r="EK137" s="30" t="str">
        <f>BedPlan[[#This Row],[Name]]&amp;" "&amp;BedPlan[[#This Row],[Product]]&amp; " - " &amp;BedPlan[[#This Row],[Unit]]</f>
        <v>Turnip Mature Root - Bunch</v>
      </c>
      <c r="EL137" s="33" cm="1">
        <f t="array" ref="EL137">BedPlan[[#This Row],[Harvest Days January 2025]]/SUM(BedPlan[[#This Row],[Harvest Days January 2025]:[Harvest Days December 2026]])*BedPlan[[#This Row],[Yield]:[Yield]]</f>
        <v>0</v>
      </c>
      <c r="EM137" s="33" cm="1">
        <f t="array" ref="EM137">BedPlan[[#This Row],[Harvest Days February 2025]]/SUM(BedPlan[[#This Row],[Harvest Days January 2025]:[Harvest Days December 2026]])*BedPlan[[#This Row],[Yield]:[Yield]]</f>
        <v>0</v>
      </c>
      <c r="EN137" s="33" cm="1">
        <f t="array" ref="EN137">BedPlan[[#This Row],[Harvest Days March 2025]]/SUM(BedPlan[[#This Row],[Harvest Days January 2025]:[Harvest Days December 2026]])*BedPlan[[#This Row],[Yield]:[Yield]]</f>
        <v>0</v>
      </c>
      <c r="EO137" s="33" cm="1">
        <f t="array" ref="EO137">BedPlan[[#This Row],[Harvest Days April 2025]]/SUM(BedPlan[[#This Row],[Harvest Days January 2025]:[Harvest Days December 2026]])*BedPlan[[#This Row],[Yield]:[Yield]]</f>
        <v>0</v>
      </c>
      <c r="EP137" s="33" cm="1">
        <f t="array" ref="EP137">BedPlan[[#This Row],[Harvest Days May 2025]]/SUM(BedPlan[[#This Row],[Harvest Days January 2025]:[Harvest Days December 2026]])*BedPlan[[#This Row],[Yield]:[Yield]]</f>
        <v>25</v>
      </c>
      <c r="EQ137" s="33" cm="1">
        <f t="array" ref="EQ137">BedPlan[[#This Row],[Harvest Days June 2025]]/SUM(BedPlan[[#This Row],[Harvest Days January 2025]:[Harvest Days December 2026]])*BedPlan[[#This Row],[Yield]:[Yield]]</f>
        <v>0</v>
      </c>
      <c r="ER137" s="33" cm="1">
        <f t="array" ref="ER137">BedPlan[[#This Row],[Harvest Days July 2025]]/SUM(BedPlan[[#This Row],[Harvest Days January 2025]:[Harvest Days December 2026]])*BedPlan[[#This Row],[Yield]:[Yield]]</f>
        <v>0</v>
      </c>
      <c r="ES137" s="33" cm="1">
        <f t="array" ref="ES137">BedPlan[[#This Row],[Harvest Days August 2025]]/SUM(BedPlan[[#This Row],[Harvest Days January 2025]:[Harvest Days December 2026]])*BedPlan[[#This Row],[Yield]:[Yield]]</f>
        <v>0</v>
      </c>
      <c r="ET137" s="33" cm="1">
        <f t="array" ref="ET137">BedPlan[[#This Row],[Harvest Days September 2025]]/SUM(BedPlan[[#This Row],[Harvest Days January 2025]:[Harvest Days December 2026]])*BedPlan[[#This Row],[Yield]:[Yield]]</f>
        <v>0</v>
      </c>
      <c r="EU137" s="33" cm="1">
        <f t="array" ref="EU137">BedPlan[[#This Row],[Harvest Days October 2025]]/SUM(BedPlan[[#This Row],[Harvest Days January 2025]:[Harvest Days December 2026]])*BedPlan[[#This Row],[Yield]:[Yield]]</f>
        <v>0</v>
      </c>
      <c r="EV137" s="33" cm="1">
        <f t="array" ref="EV137">BedPlan[[#This Row],[Harvest Days November 2025]]/SUM(BedPlan[[#This Row],[Harvest Days January 2025]:[Harvest Days December 2026]])*BedPlan[[#This Row],[Yield]:[Yield]]</f>
        <v>0</v>
      </c>
      <c r="EW137" s="33" cm="1">
        <f t="array" ref="EW137">BedPlan[[#This Row],[Harvest Days December 2025]]/SUM(BedPlan[[#This Row],[Harvest Days January 2025]:[Harvest Days December 2026]])*BedPlan[[#This Row],[Yield]:[Yield]]</f>
        <v>0</v>
      </c>
    </row>
    <row r="138" spans="1:153" ht="15" customHeight="1">
      <c r="A138" s="191" t="s">
        <v>2750</v>
      </c>
      <c r="B138" t="s">
        <v>2679</v>
      </c>
      <c r="C138" s="226" t="s">
        <v>1454</v>
      </c>
      <c r="D138" s="226" cm="1">
        <f t="array" ref="D138">INDEX(Crops[],BedPlan[[#This Row],[Chart Index]],D$4,1)*BedPlan[[#This Row],[Full Bed Equivalent]]</f>
        <v>12.5</v>
      </c>
      <c r="E138" s="226" cm="1">
        <f t="array" ref="E138">INDEX(Crops[],BedPlan[[#This Row],[Chart Index]],E$4,1)*BedPlan[[#This Row],[Full Bed Equivalent]]</f>
        <v>50</v>
      </c>
      <c r="F138" s="34" t="str">
        <f>UPPER(LEFT(BedPlan[[#This Row],[Crop]],3))</f>
        <v>TUR</v>
      </c>
      <c r="G138" s="227"/>
      <c r="H138" s="143" t="str" cm="1">
        <f t="array" ref="H138">INDEX(Crops[],BedPlan[[#This Row],[Chart Index]],H$4,1)</f>
        <v>Turnip</v>
      </c>
      <c r="I138" s="227" t="s">
        <v>1686</v>
      </c>
      <c r="J138" s="227" t="s">
        <v>490</v>
      </c>
      <c r="K138" s="34" t="str" cm="1">
        <f t="array" ref="K138">IF(ISNUMBER(MATCH(BedPlan[[#This Row],[Variety]],SeedMixes[Name],)),_xlfn.TEXTJOIN(", ",TRUE,_xlfn._xlws.FILTER(SeedMixes[Variety &amp; Company],SeedMixes[Name]=BedPlan[[#This Row],[Variety]])),"")</f>
        <v/>
      </c>
      <c r="L138" s="229" cm="1">
        <f t="array" ref="L138">INDEX(Crops[],BedPlan[[#This Row],[Chart Index]],L$4,1)*BedPlan[[#This Row],[Full Bed Equivalent]]</f>
        <v>1040</v>
      </c>
      <c r="N138" s="227">
        <v>0.5</v>
      </c>
      <c r="O138" s="227">
        <f>MAX(BedPlan[[#This Row],['# Of Beds]],0.5)</f>
        <v>0.5</v>
      </c>
      <c r="P138" s="230">
        <f>IF(ISNUMBER(BedPlan[[#This Row],[Planned Greenhouse Start Date]]),BedPlan[[#This Row],[Planned Greenhouse Start Date]],BedPlan[[#This Row],[Planned TP or DS Date]])</f>
        <v>45822</v>
      </c>
      <c r="Q138" s="261" t="str">
        <f>IF(BedPlan[[#This Row],[Days in Cells]]=0,"",IFERROR(_xlfn.XLOOKUP(BedPlan[[#This Row],[Follows Crop]],BedPlan[Identifier],BedPlan[Expected End of Harvest]) + 1+BedPlan[[#This Row],[Follow Offset]],BedPlan[[#This Row],[Fixed Field Start Date]])-BedPlan[[#This Row],[Days in Cells]])</f>
        <v/>
      </c>
      <c r="R138" s="261"/>
      <c r="S138" s="261" t="str">
        <f>IF(ISNUMBER(BedPlan[[#This Row],[Actual Greenhouse Date]]),BedPlan[[#This Row],[Actual Greenhouse Date]],BedPlan[[#This Row],[Planned Greenhouse Start Date]])</f>
        <v/>
      </c>
      <c r="T138" s="262">
        <v>45822</v>
      </c>
      <c r="U138" s="263"/>
      <c r="V138" s="263"/>
      <c r="W138"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45822</v>
      </c>
      <c r="X138" s="265">
        <v>45838</v>
      </c>
      <c r="Y138" s="270">
        <f>BedPlan[[#This Row],[Actual TP or DS Date]]-BedPlan[[#This Row],[Planned TP or DS Date]]</f>
        <v>16</v>
      </c>
      <c r="Z138" s="261">
        <f>IF(ISNUMBER(BedPlan[[#This Row],[Actual TP or DS Date]]),BedPlan[[#This Row],[Actual TP or DS Date]],BedPlan[[#This Row],[Planned TP or DS Date]])</f>
        <v>45838</v>
      </c>
      <c r="AA138" s="264"/>
      <c r="AB138" s="261">
        <f>IF(ISNUMBER(BedPlan[[#This Row],[Greenhouse Start Date]]),BedPlan[[#This Row],[Greenhouse Start Date]]+BedPlan[[#This Row],[DTM]],BedPlan[[#This Row],[TP or DS Date]]+BedPlan[[#This Row],[DTM]])</f>
        <v>45878</v>
      </c>
      <c r="AC138" s="265"/>
      <c r="AD138" s="261">
        <f>IF(ISNUMBER(BedPlan[[#This Row],[Actual Beginning of Harvest]]),BedPlan[[#This Row],[Actual Beginning of Harvest]],BedPlan[[#This Row],[Expected Beginning of Harvest]])</f>
        <v>45878</v>
      </c>
      <c r="AE138" s="261">
        <f>BedPlan[[#This Row],[Expected Beginning of Harvest]]+BedPlan[[#This Row],[Harvest Window]]+BedPlan[[#This Row],[Additional Days of Harvest]]</f>
        <v>45892</v>
      </c>
      <c r="AF138" s="265"/>
      <c r="AG138" s="261"/>
      <c r="AH138" s="230" t="b">
        <f>IF(AND( BedPlan[[#This Row],[Expected End of Harvest]] &gt;= DATE(2025, 8, 1), BedPlan[[#This Row],[Beginning of Harvest]] &lt;= DATE(2025, 8, 31) ), TRUE, FALSE)</f>
        <v>1</v>
      </c>
      <c r="AI138" s="230"/>
      <c r="AJ138" s="230">
        <f>IF(ISNUMBER(BedPlan[[#This Row],[Actual End of Harvest]]),BedPlan[[#This Row],[Actual End of Harvest]],BedPlan[[#This Row],[Expected End of Harvest]])</f>
        <v>45892</v>
      </c>
      <c r="AK138" s="34" t="b">
        <f>OR(ISNUMBER(BedPlan[[#This Row],[Actual Greenhouse Date]]),ISNUMBER(BedPlan[[#This Row],[Actual TP or DS Date]]))</f>
        <v>1</v>
      </c>
      <c r="AL138" s="34" t="str">
        <f>IF(ISNUMBER(BedPlan[[#This Row],[Planned Greenhouse Start Date]]),OR(ISNUMBER(BedPlan[[#This Row],[Actual TP or DS Date]]),BedPlan[[#This Row],[Failed]]),"-")</f>
        <v>-</v>
      </c>
      <c r="AM138" s="34" t="b">
        <f>OR(ISNUMBER(BedPlan[[#This Row],[Actual End of Harvest]]),BedPlan[[#This Row],[Failed]])</f>
        <v>0</v>
      </c>
      <c r="AN138" s="34" t="b">
        <f>OR(BedPlan[[#This Row],[Harvest Done]],BedPlan[[#This Row],[Failed]],BedPlan[[#This Row],[Name]]="Tarp")</f>
        <v>0</v>
      </c>
      <c r="AO138" t="b">
        <v>1</v>
      </c>
      <c r="AP138" t="b">
        <v>1</v>
      </c>
      <c r="AQ138" t="s">
        <v>3257</v>
      </c>
      <c r="AR138" t="b">
        <v>1</v>
      </c>
      <c r="AS138" s="256">
        <f>IF(BedPlan[[#This Row],[Broadfork]],BedPlan[[#This Row],[Actual TP or DS Date]],"")</f>
        <v>45838</v>
      </c>
      <c r="AT138" s="256">
        <f>IF(BedPlan[[#This Row],[Tilther]],BedPlan[[#This Row],[Actual TP or DS Date]],"")</f>
        <v>45838</v>
      </c>
      <c r="AU138" s="256">
        <f>IF(NOT(ISBLANK(BedPlan[[#This Row],[Amend]])),BedPlan[[#This Row],[Actual TP or DS Date]],"")</f>
        <v>45838</v>
      </c>
      <c r="AV138" s="256">
        <f>IF(BedPlan[[#This Row],[Row Cover]],BedPlan[[#This Row],[Actual TP or DS Date]],"")</f>
        <v>45838</v>
      </c>
      <c r="AW138" s="34"/>
      <c r="AX138" s="256"/>
      <c r="AY138" s="34"/>
      <c r="AZ138" s="256"/>
      <c r="BA138" s="34"/>
      <c r="BB138" s="256"/>
      <c r="BC138" s="231" cm="1">
        <f t="array" ref="BC138">INDEX(Crops[],BedPlan[[#This Row],[Chart Index]],BC$4,1)*BedPlan[[#This Row],[Full Bed Equivalent]]</f>
        <v>137.5</v>
      </c>
      <c r="BD138" s="231" cm="1">
        <f t="array" ref="BD138">INDEX(Crops[],BedPlan[[#This Row],[Chart Index]],BD$4,1)*BedPlan[[#This Row],[Full Bed Equivalent]]</f>
        <v>2.5462962962962963</v>
      </c>
      <c r="BE138" cm="1">
        <f t="array" ref="BE138">INDEX(Crops[],BedPlan[[#This Row],[Chart Index]],BE$4,1)+BedPlan[[#This Row],[Additional Days in Cells]]+BedPlan[[#This Row],[Additional Days In Field]]</f>
        <v>40</v>
      </c>
      <c r="BG138" cm="1">
        <f t="array" ref="BG138">INDEX(Crops[],BedPlan[[#This Row],[Chart Index]],BG$4,1)</f>
        <v>14</v>
      </c>
      <c r="BH138" t="str">
        <f>IF(ISNUMBER(BedPlan[[#This Row],[Planned Greenhouse Start Date]]),"TP","DS")</f>
        <v>DS</v>
      </c>
      <c r="BI138">
        <f>BedPlan[[#This Row],['# Of Beds]]</f>
        <v>0.5</v>
      </c>
      <c r="BJ138" cm="1">
        <f t="array" ref="BJ138">INDEX(Crops[],BedPlan[[#This Row],[Chart Index]],BJ$4,1)</f>
        <v>0</v>
      </c>
      <c r="BK138" cm="1">
        <f t="array" ref="BK138">INDEX(Crops[],BedPlan[[#This Row],[Chart Index]],BK$4,1)</f>
        <v>4</v>
      </c>
      <c r="BL138" cm="1">
        <f t="array" ref="BL138">INDEX(Crops[],BedPlan[[#This Row],[Chart Index]],BL$4,1)</f>
        <v>1.5</v>
      </c>
      <c r="BM138" cm="1">
        <f t="array" ref="BM138">INDEX(Crops[],BedPlan[[#This Row],[Chart Index]],BM$4,1)</f>
        <v>1</v>
      </c>
      <c r="BN138" s="32" cm="1">
        <f t="array" ref="BN138">INDEX(Crops[],BedPlan[[#This Row],[Chart Index]],BN$4,1)*BedPlan[[#This Row],[Full Bed Equivalent]]</f>
        <v>800</v>
      </c>
      <c r="BO138" t="str" cm="1">
        <f t="array" ref="BO138">IF(INDEX(Crops[],BedPlan[[#This Row],[Chart Index]],BO$4,1)=0,"",INDEX(Crops[],BedPlan[[#This Row],[Chart Index]],BO$4,1))</f>
        <v/>
      </c>
      <c r="BP138">
        <f>MATCH(BedPlan[[#This Row],[Crop]],Crops[Identifier],FALSE)</f>
        <v>337</v>
      </c>
      <c r="BQ138" t="str" cm="1">
        <f t="array" ref="BQ138">INDEX(Crops[],BedPlan[[#This Row],[Chart Index]],BQ$4,1)</f>
        <v>Tokyo</v>
      </c>
      <c r="BR138" t="str" cm="1">
        <f t="array" ref="BR138">INDEX(Crops[],BedPlan[[#This Row],[Chart Index]],BR$4,1)</f>
        <v>SuFa</v>
      </c>
      <c r="BS138" s="32">
        <f>BedPlan[[#This Row],[Expected Beginning of Harvest]]-DATE(2023,1,1)</f>
        <v>951</v>
      </c>
      <c r="BT138">
        <f>BedPlan[[#This Row],[Expected End of Harvest]]-BedPlan[[#This Row],[Expected Beginning of Harvest]]</f>
        <v>14</v>
      </c>
      <c r="BU138" t="str" cm="1">
        <f t="array" ref="BU138">INDEX(Crops[],BedPlan[[#This Row],[Chart Index]],BU$4,1)</f>
        <v>Root</v>
      </c>
      <c r="BV138" cm="1">
        <f t="array" ref="BV138">INDEX(Crops[],BedPlan[[#This Row],[Chart Index]],BV$4,1)</f>
        <v>2</v>
      </c>
      <c r="BW138" cm="1">
        <f t="array" ref="BW138">INDEX(Crops[],BedPlan[[#This Row],[Chart Index]],BW$4,1)</f>
        <v>0</v>
      </c>
      <c r="BX138" cm="1">
        <f t="array" ref="BX138">INDEX(Crops[],BedPlan[[#This Row],[Chart Index]],BX$4,1)</f>
        <v>0</v>
      </c>
      <c r="BY138" cm="1">
        <f t="array" ref="BY138">INDEX(Crops[],BedPlan[[#This Row],[Chart Index]],BY$4,1)</f>
        <v>0</v>
      </c>
      <c r="BZ138" s="49" t="str" cm="1">
        <f t="array" ref="BZ138">IFERROR(INDEX(Crops[],BedPlan[[#This Row],[Chart Index]],BZ$4,1)*BedPlan[[#This Row],[Full Bed Equivalent]],"")</f>
        <v/>
      </c>
      <c r="CA138" cm="1">
        <f t="array" ref="CA138">INDEX(Crops[],BedPlan[[#This Row],[Chart Index]],CA$4,1)</f>
        <v>0</v>
      </c>
      <c r="CB138" cm="1">
        <f t="array" ref="CB138">INDEX(Crops[],BedPlan[[#This Row],[Chart Index]],CB$4,1)</f>
        <v>0</v>
      </c>
      <c r="CC138" s="49" t="str" cm="1">
        <f t="array" ref="CC138">IFERROR(INDEX(Crops[],BedPlan[[#This Row],[Chart Index]],CC$4,1)*BedPlan[[#This Row],[Full Bed Equivalent]],"")</f>
        <v/>
      </c>
      <c r="CD138" cm="1">
        <f t="array" ref="CD138">INDEX(Crops[],BedPlan[[#This Row],[Chart Index]],CD$4,1)</f>
        <v>0</v>
      </c>
      <c r="CE138" cm="1">
        <f t="array" ref="CE138">IF(INDEX(Crops[],BedPlan[[#This Row],[Chart Index]],CE$4,1)="",0,INDEX(Crops[],BedPlan[[#This Row],[Chart Index]],CE$4,1))</f>
        <v>0</v>
      </c>
      <c r="CF138" s="49" t="str" cm="1">
        <f t="array" ref="CF138">IFERROR(INDEX(Crops[],BedPlan[[#This Row],[Chart Index]],CF$4,1)*BedPlan[[#This Row],[Full Bed Equivalent]],"")</f>
        <v/>
      </c>
      <c r="CG138" cm="1">
        <f t="array" ref="CG138">IF(INDEX(Crops[],BedPlan[[#This Row],[Chart Index]],CG$4,1)="",0,INDEX(Crops[],BedPlan[[#This Row],[Chart Index]],CG$4,1))</f>
        <v>1.3</v>
      </c>
      <c r="CH138" cm="1">
        <f t="array" ref="CH138">IF(INDEX(Crops[],BedPlan[[#This Row],[Chart Index]],CH$4,1)="",0,INDEX(Crops[],BedPlan[[#This Row],[Chart Index]],CH$4,1))</f>
        <v>0</v>
      </c>
      <c r="CI138" t="str" cm="1">
        <f t="array" ref="CI138">INDEX(Crops[],BedPlan[[#This Row],[Chart Index]],CI$4,1)</f>
        <v>Field</v>
      </c>
      <c r="CJ138" s="30" t="str">
        <f>_xlfn.TEXTJOIN(CHAR(10),FALSE,BedPlan[[#This Row],[Name]],BedPlan[[#This Row],[Variety]],BedPlan[[#This Row],[Company]])</f>
        <v>Turnip
Hakurei
Johnny's</v>
      </c>
      <c r="CK138" s="32">
        <f>MAX( 0, MIN(BedPlan[[#This Row],[Expected End of Harvest]], EOMONTH(CK$4, 0)) - MAX(BedPlan[[#This Row],[Beginning of Harvest]], CK$4) + 1 )</f>
        <v>0</v>
      </c>
      <c r="CL138">
        <f>MAX( 0, MIN(BedPlan[[#This Row],[Expected End of Harvest]], EOMONTH(CL$4, 0)) - MAX(BedPlan[[#This Row],[Beginning of Harvest]], CL$4) + 1 )</f>
        <v>0</v>
      </c>
      <c r="CM138">
        <f>MAX( 0, MIN(BedPlan[[#This Row],[Expected End of Harvest]], EOMONTH(CM$4, 0)) - MAX(BedPlan[[#This Row],[Beginning of Harvest]], CM$4) + 1 )</f>
        <v>0</v>
      </c>
      <c r="CN138">
        <f>MAX( 0, MIN(BedPlan[[#This Row],[Expected End of Harvest]], EOMONTH(CN$4, 0)) - MAX(BedPlan[[#This Row],[Beginning of Harvest]], CN$4) + 1 )</f>
        <v>0</v>
      </c>
      <c r="CO138">
        <f>MAX( 0, MIN(BedPlan[[#This Row],[Expected End of Harvest]], EOMONTH(CO$4, 0)) - MAX(BedPlan[[#This Row],[Beginning of Harvest]], CO$4) + 1 )</f>
        <v>0</v>
      </c>
      <c r="CP138">
        <f>MAX( 0, MIN(BedPlan[[#This Row],[Expected End of Harvest]], EOMONTH(CP$4, 0)) - MAX(BedPlan[[#This Row],[Beginning of Harvest]], CP$4) + 1 )</f>
        <v>0</v>
      </c>
      <c r="CQ138">
        <f>MAX( 0, MIN(BedPlan[[#This Row],[Expected End of Harvest]], EOMONTH(CQ$4, 0)) - MAX(BedPlan[[#This Row],[Beginning of Harvest]], CQ$4) + 1 )</f>
        <v>0</v>
      </c>
      <c r="CR138">
        <f>MAX( 0, MIN(BedPlan[[#This Row],[Expected End of Harvest]], EOMONTH(CR$4, 0)) - MAX(BedPlan[[#This Row],[Beginning of Harvest]], CR$4) + 1 )</f>
        <v>15</v>
      </c>
      <c r="CS138">
        <f>MAX( 0, MIN(BedPlan[[#This Row],[Expected End of Harvest]], EOMONTH(CS$4, 0)) - MAX(BedPlan[[#This Row],[Beginning of Harvest]], CS$4) + 1 )</f>
        <v>0</v>
      </c>
      <c r="CT138">
        <f>MAX( 0, MIN(BedPlan[[#This Row],[Expected End of Harvest]], EOMONTH(CT$4, 0)) - MAX(BedPlan[[#This Row],[Beginning of Harvest]], CT$4) + 1 )</f>
        <v>0</v>
      </c>
      <c r="CU138">
        <f>MAX( 0, MIN(BedPlan[[#This Row],[Expected End of Harvest]], EOMONTH(CU$4, 0)) - MAX(BedPlan[[#This Row],[Beginning of Harvest]], CU$4) + 1 )</f>
        <v>0</v>
      </c>
      <c r="CV138">
        <f>MAX( 0, MIN(BedPlan[[#This Row],[Expected End of Harvest]], EOMONTH(CV$4, 0)) - MAX(BedPlan[[#This Row],[Beginning of Harvest]], CV$4) + 1 )</f>
        <v>0</v>
      </c>
      <c r="CW138">
        <f>MAX( 0, MIN(BedPlan[[#This Row],[Expected End of Harvest]], EOMONTH(CW$4, 0)) - MAX(BedPlan[[#This Row],[Beginning of Harvest]], CW$4) + 1 )</f>
        <v>0</v>
      </c>
      <c r="CX138">
        <f>MAX( 0, MIN(BedPlan[[#This Row],[Expected End of Harvest]], EOMONTH(CX$4, 0)) - MAX(BedPlan[[#This Row],[Beginning of Harvest]], CX$4) + 1 )</f>
        <v>0</v>
      </c>
      <c r="CY138">
        <f>MAX( 0, MIN(BedPlan[[#This Row],[Expected End of Harvest]], EOMONTH(CY$4, 0)) - MAX(BedPlan[[#This Row],[Beginning of Harvest]], CY$4) + 1 )</f>
        <v>0</v>
      </c>
      <c r="CZ138">
        <f>MAX( 0, MIN(BedPlan[[#This Row],[Expected End of Harvest]], EOMONTH(CZ$4, 0)) - MAX(BedPlan[[#This Row],[Beginning of Harvest]], CZ$4) + 1 )</f>
        <v>0</v>
      </c>
      <c r="DA138">
        <f>MAX( 0, MIN(BedPlan[[#This Row],[Expected End of Harvest]], EOMONTH(DA$4, 0)) - MAX(BedPlan[[#This Row],[Beginning of Harvest]], DA$4) + 1 )</f>
        <v>0</v>
      </c>
      <c r="DB138">
        <f>MAX( 0, MIN(BedPlan[[#This Row],[Expected End of Harvest]], EOMONTH(DB$4, 0)) - MAX(BedPlan[[#This Row],[Beginning of Harvest]], DB$4) + 1 )</f>
        <v>0</v>
      </c>
      <c r="DC138">
        <f>MAX( 0, MIN(BedPlan[[#This Row],[Expected End of Harvest]], EOMONTH(DC$4, 0)) - MAX(BedPlan[[#This Row],[Beginning of Harvest]], DC$4) + 1 )</f>
        <v>0</v>
      </c>
      <c r="DD138">
        <f>MAX( 0, MIN(BedPlan[[#This Row],[Expected End of Harvest]], EOMONTH(DD$4, 0)) - MAX(BedPlan[[#This Row],[Beginning of Harvest]], DD$4) + 1 )</f>
        <v>0</v>
      </c>
      <c r="DE138">
        <f>MAX( 0, MIN(BedPlan[[#This Row],[Expected End of Harvest]], EOMONTH(DE$4, 0)) - MAX(BedPlan[[#This Row],[Beginning of Harvest]], DE$4) + 1 )</f>
        <v>0</v>
      </c>
      <c r="DF138">
        <f>MAX( 0, MIN(BedPlan[[#This Row],[Expected End of Harvest]], EOMONTH(DF$4, 0)) - MAX(BedPlan[[#This Row],[Beginning of Harvest]], DF$4) + 1 )</f>
        <v>0</v>
      </c>
      <c r="DG138">
        <f>MAX( 0, MIN(BedPlan[[#This Row],[Expected End of Harvest]], EOMONTH(DG$4, 0)) - MAX(BedPlan[[#This Row],[Beginning of Harvest]], DG$4) + 1 )</f>
        <v>0</v>
      </c>
      <c r="DH138">
        <f>MAX( 0, MIN(BedPlan[[#This Row],[Expected End of Harvest]], EOMONTH(DH$4, 0)) - MAX(BedPlan[[#This Row],[Beginning of Harvest]], DH$4) + 1 )</f>
        <v>0</v>
      </c>
      <c r="DI138" s="257" cm="1">
        <f t="array" ref="DI138">BedPlan[[#This Row],[Harvest Days January 2025]]/SUM(BedPlan[[#This Row],[Harvest Days January 2025]:[Harvest Days December 2026]])*BedPlan[[#This Row],[Revenue]:[Revenue]]</f>
        <v>0</v>
      </c>
      <c r="DJ138" s="257" cm="1">
        <f t="array" ref="DJ138">BedPlan[[#This Row],[Harvest Days February 2025]]/SUM(BedPlan[[#This Row],[Harvest Days January 2025]:[Harvest Days December 2026]])*BedPlan[[#This Row],[Revenue]:[Revenue]]</f>
        <v>0</v>
      </c>
      <c r="DK138" s="257" cm="1">
        <f t="array" ref="DK138">BedPlan[[#This Row],[Harvest Days March 2025]]/SUM(BedPlan[[#This Row],[Harvest Days January 2025]:[Harvest Days December 2026]])*BedPlan[[#This Row],[Revenue]:[Revenue]]</f>
        <v>0</v>
      </c>
      <c r="DL138" s="257" cm="1">
        <f t="array" ref="DL138">BedPlan[[#This Row],[Harvest Days April 2025]]/SUM(BedPlan[[#This Row],[Harvest Days January 2025]:[Harvest Days December 2026]])*BedPlan[[#This Row],[Revenue]:[Revenue]]</f>
        <v>0</v>
      </c>
      <c r="DM138" s="257" cm="1">
        <f t="array" ref="DM138">BedPlan[[#This Row],[Harvest Days May 2025]]/SUM(BedPlan[[#This Row],[Harvest Days January 2025]:[Harvest Days December 2026]])*BedPlan[[#This Row],[Revenue]:[Revenue]]</f>
        <v>0</v>
      </c>
      <c r="DN138" s="257" cm="1">
        <f t="array" ref="DN138">BedPlan[[#This Row],[Harvest Days June 2025]]/SUM(BedPlan[[#This Row],[Harvest Days January 2025]:[Harvest Days December 2026]])*BedPlan[[#This Row],[Revenue]:[Revenue]]</f>
        <v>0</v>
      </c>
      <c r="DO138" s="257" cm="1">
        <f t="array" ref="DO138">BedPlan[[#This Row],[Harvest Days July 2025]]/SUM(BedPlan[[#This Row],[Harvest Days January 2025]:[Harvest Days December 2026]])*BedPlan[[#This Row],[Revenue]:[Revenue]]</f>
        <v>0</v>
      </c>
      <c r="DP138" s="257" cm="1">
        <f t="array" ref="DP138">BedPlan[[#This Row],[Harvest Days August 2025]]/SUM(BedPlan[[#This Row],[Harvest Days January 2025]:[Harvest Days December 2026]])*BedPlan[[#This Row],[Revenue]:[Revenue]]</f>
        <v>137.5</v>
      </c>
      <c r="DQ138" s="257" cm="1">
        <f t="array" ref="DQ138">BedPlan[[#This Row],[Harvest Days September 2025]]/SUM(BedPlan[[#This Row],[Harvest Days January 2025]:[Harvest Days December 2026]])*BedPlan[[#This Row],[Revenue]:[Revenue]]</f>
        <v>0</v>
      </c>
      <c r="DR138" s="257" cm="1">
        <f t="array" ref="DR138">BedPlan[[#This Row],[Harvest Days October 2025]]/SUM(BedPlan[[#This Row],[Harvest Days January 2025]:[Harvest Days December 2026]])*BedPlan[[#This Row],[Revenue]:[Revenue]]</f>
        <v>0</v>
      </c>
      <c r="DS138" s="257" cm="1">
        <f t="array" ref="DS138">BedPlan[[#This Row],[Harvest Days November 2025]]/SUM(BedPlan[[#This Row],[Harvest Days January 2025]:[Harvest Days December 2026]])*BedPlan[[#This Row],[Revenue]:[Revenue]]</f>
        <v>0</v>
      </c>
      <c r="DT138" s="257" cm="1">
        <f t="array" ref="DT138">BedPlan[[#This Row],[Harvest Days December 2025]]/SUM(BedPlan[[#This Row],[Harvest Days January 2025]:[Harvest Days December 2026]])*BedPlan[[#This Row],[Revenue]:[Revenue]]</f>
        <v>0</v>
      </c>
      <c r="DU138" s="257" cm="1">
        <f t="array" ref="DU138">BedPlan[[#This Row],[Harvest Days January 2026]]/SUM(BedPlan[[#This Row],[Harvest Days January 2025]:[Harvest Days December 2026]])*BedPlan[[#This Row],[Revenue]:[Revenue]]</f>
        <v>0</v>
      </c>
      <c r="DV138" s="257" cm="1">
        <f t="array" ref="DV138">BedPlan[[#This Row],[Harvest Days February 2026]]/SUM(BedPlan[[#This Row],[Harvest Days January 2025]:[Harvest Days December 2026]])*BedPlan[[#This Row],[Revenue]:[Revenue]]</f>
        <v>0</v>
      </c>
      <c r="DW138" s="257" cm="1">
        <f t="array" ref="DW138">BedPlan[[#This Row],[Harvest Days March 2026]]/SUM(BedPlan[[#This Row],[Harvest Days January 2025]:[Harvest Days December 2026]])*BedPlan[[#This Row],[Revenue]:[Revenue]]</f>
        <v>0</v>
      </c>
      <c r="DX138" s="257" cm="1">
        <f t="array" ref="DX138">BedPlan[[#This Row],[Harvest Days April 2026]]/SUM(BedPlan[[#This Row],[Harvest Days January 2025]:[Harvest Days December 2026]])*BedPlan[[#This Row],[Revenue]:[Revenue]]</f>
        <v>0</v>
      </c>
      <c r="DY138" s="257" cm="1">
        <f t="array" ref="DY138">BedPlan[[#This Row],[Harvest Days May 2026]]/SUM(BedPlan[[#This Row],[Harvest Days January 2025]:[Harvest Days December 2026]])*BedPlan[[#This Row],[Revenue]:[Revenue]]</f>
        <v>0</v>
      </c>
      <c r="DZ138" s="257" cm="1">
        <f t="array" ref="DZ138">BedPlan[[#This Row],[Harvest Days June 2026]]/SUM(BedPlan[[#This Row],[Harvest Days January 2025]:[Harvest Days December 2026]])*BedPlan[[#This Row],[Revenue]:[Revenue]]</f>
        <v>0</v>
      </c>
      <c r="EA138" s="257" cm="1">
        <f t="array" ref="EA138">BedPlan[[#This Row],[Harvest Days July 2026]]/SUM(BedPlan[[#This Row],[Harvest Days January 2025]:[Harvest Days December 2026]])*BedPlan[[#This Row],[Revenue]:[Revenue]]</f>
        <v>0</v>
      </c>
      <c r="EB138" s="257" cm="1">
        <f t="array" ref="EB138">BedPlan[[#This Row],[Harvest Days August 2026]]/SUM(BedPlan[[#This Row],[Harvest Days January 2025]:[Harvest Days December 2026]])*BedPlan[[#This Row],[Revenue]:[Revenue]]</f>
        <v>0</v>
      </c>
      <c r="EC138" s="257" cm="1">
        <f t="array" ref="EC138">BedPlan[[#This Row],[Harvest Days September 2026]]/SUM(BedPlan[[#This Row],[Harvest Days January 2025]:[Harvest Days December 2026]])*BedPlan[[#This Row],[Revenue]:[Revenue]]</f>
        <v>0</v>
      </c>
      <c r="ED138" s="257" cm="1">
        <f t="array" ref="ED138">BedPlan[[#This Row],[Harvest Days October 2026]]/SUM(BedPlan[[#This Row],[Harvest Days January 2025]:[Harvest Days December 2026]])*BedPlan[[#This Row],[Revenue]:[Revenue]]</f>
        <v>0</v>
      </c>
      <c r="EE138" s="257" cm="1">
        <f t="array" ref="EE138">BedPlan[[#This Row],[Harvest Days November 2026]]/SUM(BedPlan[[#This Row],[Harvest Days January 2025]:[Harvest Days December 2026]])*BedPlan[[#This Row],[Revenue]:[Revenue]]</f>
        <v>0</v>
      </c>
      <c r="EF138" s="257" cm="1">
        <f t="array" ref="EF138">BedPlan[[#This Row],[Harvest Days December 2026]]/SUM(BedPlan[[#This Row],[Harvest Days January 2025]:[Harvest Days December 2026]])*BedPlan[[#This Row],[Revenue]:[Revenue]]</f>
        <v>0</v>
      </c>
      <c r="EG138" t="b">
        <f>SUM(BedPlan[[#This Row],[Revenue January 2025]:[Revenue December 2026]])=BedPlan[[#This Row],[Revenue]]</f>
        <v>1</v>
      </c>
      <c r="EH138" s="30" cm="1">
        <f t="array" ref="EH138">INDEX(Crops[],BedPlan[[#This Row],[Chart Index]],EH$4,1)*BedPlan[[#This Row],['# Of Beds]]</f>
        <v>50</v>
      </c>
      <c r="EI138" s="30" t="str" cm="1">
        <f t="array" ref="EI138">INDEX(Crops[],BedPlan[[#This Row],[Chart Index]],EI$4,1)</f>
        <v>Bunch</v>
      </c>
      <c r="EJ138" s="30" t="str" cm="1">
        <f t="array" ref="EJ138">INDEX(Crops[],BedPlan[[#This Row],[Chart Index]],EJ$4,1)</f>
        <v>Mature Root</v>
      </c>
      <c r="EK138" s="30" t="str">
        <f>BedPlan[[#This Row],[Name]]&amp;" "&amp;BedPlan[[#This Row],[Product]]&amp; " - " &amp;BedPlan[[#This Row],[Unit]]</f>
        <v>Turnip Mature Root - Bunch</v>
      </c>
      <c r="EL138" s="33" cm="1">
        <f t="array" ref="EL138">BedPlan[[#This Row],[Harvest Days January 2025]]/SUM(BedPlan[[#This Row],[Harvest Days January 2025]:[Harvest Days December 2026]])*BedPlan[[#This Row],[Yield]:[Yield]]</f>
        <v>0</v>
      </c>
      <c r="EM138" s="33" cm="1">
        <f t="array" ref="EM138">BedPlan[[#This Row],[Harvest Days February 2025]]/SUM(BedPlan[[#This Row],[Harvest Days January 2025]:[Harvest Days December 2026]])*BedPlan[[#This Row],[Yield]:[Yield]]</f>
        <v>0</v>
      </c>
      <c r="EN138" s="33" cm="1">
        <f t="array" ref="EN138">BedPlan[[#This Row],[Harvest Days March 2025]]/SUM(BedPlan[[#This Row],[Harvest Days January 2025]:[Harvest Days December 2026]])*BedPlan[[#This Row],[Yield]:[Yield]]</f>
        <v>0</v>
      </c>
      <c r="EO138" s="33" cm="1">
        <f t="array" ref="EO138">BedPlan[[#This Row],[Harvest Days April 2025]]/SUM(BedPlan[[#This Row],[Harvest Days January 2025]:[Harvest Days December 2026]])*BedPlan[[#This Row],[Yield]:[Yield]]</f>
        <v>0</v>
      </c>
      <c r="EP138" s="33" cm="1">
        <f t="array" ref="EP138">BedPlan[[#This Row],[Harvest Days May 2025]]/SUM(BedPlan[[#This Row],[Harvest Days January 2025]:[Harvest Days December 2026]])*BedPlan[[#This Row],[Yield]:[Yield]]</f>
        <v>0</v>
      </c>
      <c r="EQ138" s="33" cm="1">
        <f t="array" ref="EQ138">BedPlan[[#This Row],[Harvest Days June 2025]]/SUM(BedPlan[[#This Row],[Harvest Days January 2025]:[Harvest Days December 2026]])*BedPlan[[#This Row],[Yield]:[Yield]]</f>
        <v>0</v>
      </c>
      <c r="ER138" s="33" cm="1">
        <f t="array" ref="ER138">BedPlan[[#This Row],[Harvest Days July 2025]]/SUM(BedPlan[[#This Row],[Harvest Days January 2025]:[Harvest Days December 2026]])*BedPlan[[#This Row],[Yield]:[Yield]]</f>
        <v>0</v>
      </c>
      <c r="ES138" s="33" cm="1">
        <f t="array" ref="ES138">BedPlan[[#This Row],[Harvest Days August 2025]]/SUM(BedPlan[[#This Row],[Harvest Days January 2025]:[Harvest Days December 2026]])*BedPlan[[#This Row],[Yield]:[Yield]]</f>
        <v>50</v>
      </c>
      <c r="ET138" s="33" cm="1">
        <f t="array" ref="ET138">BedPlan[[#This Row],[Harvest Days September 2025]]/SUM(BedPlan[[#This Row],[Harvest Days January 2025]:[Harvest Days December 2026]])*BedPlan[[#This Row],[Yield]:[Yield]]</f>
        <v>0</v>
      </c>
      <c r="EU138" s="33" cm="1">
        <f t="array" ref="EU138">BedPlan[[#This Row],[Harvest Days October 2025]]/SUM(BedPlan[[#This Row],[Harvest Days January 2025]:[Harvest Days December 2026]])*BedPlan[[#This Row],[Yield]:[Yield]]</f>
        <v>0</v>
      </c>
      <c r="EV138" s="33" cm="1">
        <f t="array" ref="EV138">BedPlan[[#This Row],[Harvest Days November 2025]]/SUM(BedPlan[[#This Row],[Harvest Days January 2025]:[Harvest Days December 2026]])*BedPlan[[#This Row],[Yield]:[Yield]]</f>
        <v>0</v>
      </c>
      <c r="EW138" s="33" cm="1">
        <f t="array" ref="EW138">BedPlan[[#This Row],[Harvest Days December 2025]]/SUM(BedPlan[[#This Row],[Harvest Days January 2025]:[Harvest Days December 2026]])*BedPlan[[#This Row],[Yield]:[Yield]]</f>
        <v>0</v>
      </c>
    </row>
    <row r="139" spans="1:153" ht="15" customHeight="1">
      <c r="A139" s="191" t="s">
        <v>2750</v>
      </c>
      <c r="B139" s="240" t="s">
        <v>2752</v>
      </c>
      <c r="C139" s="226" t="s">
        <v>1455</v>
      </c>
      <c r="D139" s="226" cm="1">
        <f t="array" ref="D139">INDEX(Crops[],BedPlan[[#This Row],[Chart Index]],D$4,1)*BedPlan[[#This Row],[Full Bed Equivalent]]</f>
        <v>12.5</v>
      </c>
      <c r="E139" s="226" cm="1">
        <f t="array" ref="E139">INDEX(Crops[],BedPlan[[#This Row],[Chart Index]],E$4,1)*BedPlan[[#This Row],[Full Bed Equivalent]]</f>
        <v>50</v>
      </c>
      <c r="F139" s="34" t="str">
        <f>UPPER(LEFT(BedPlan[[#This Row],[Crop]],3))</f>
        <v>TUR</v>
      </c>
      <c r="G139" s="227"/>
      <c r="H139" s="143" t="str" cm="1">
        <f t="array" ref="H139">INDEX(Crops[],BedPlan[[#This Row],[Chart Index]],H$4,1)</f>
        <v>Turnip</v>
      </c>
      <c r="I139" s="227" t="s">
        <v>1686</v>
      </c>
      <c r="J139" s="227" t="s">
        <v>490</v>
      </c>
      <c r="K139" s="34" t="str" cm="1">
        <f t="array" ref="K139">IF(ISNUMBER(MATCH(BedPlan[[#This Row],[Variety]],SeedMixes[Name],)),_xlfn.TEXTJOIN(", ",TRUE,_xlfn._xlws.FILTER(SeedMixes[Variety &amp; Company],SeedMixes[Name]=BedPlan[[#This Row],[Variety]])),"")</f>
        <v/>
      </c>
      <c r="L139" s="229" cm="1">
        <f t="array" ref="L139">INDEX(Crops[],BedPlan[[#This Row],[Chart Index]],L$4,1)*BedPlan[[#This Row],[Full Bed Equivalent]]</f>
        <v>1040</v>
      </c>
      <c r="N139" s="227">
        <v>0.5</v>
      </c>
      <c r="O139" s="227">
        <f>MAX(BedPlan[[#This Row],['# Of Beds]],0.5)</f>
        <v>0.5</v>
      </c>
      <c r="P139" s="230">
        <f>IF(ISNUMBER(BedPlan[[#This Row],[Planned Greenhouse Start Date]]),BedPlan[[#This Row],[Planned Greenhouse Start Date]],BedPlan[[#This Row],[Planned TP or DS Date]])</f>
        <v>45845</v>
      </c>
      <c r="Q139" s="261" t="str">
        <f>IF(BedPlan[[#This Row],[Days in Cells]]=0,"",IFERROR(_xlfn.XLOOKUP(BedPlan[[#This Row],[Follows Crop]],BedPlan[Identifier],BedPlan[Expected End of Harvest]) + 1+BedPlan[[#This Row],[Follow Offset]],BedPlan[[#This Row],[Fixed Field Start Date]])-BedPlan[[#This Row],[Days in Cells]])</f>
        <v/>
      </c>
      <c r="R139" s="261"/>
      <c r="S139" s="261" t="str">
        <f>IF(ISNUMBER(BedPlan[[#This Row],[Actual Greenhouse Date]]),BedPlan[[#This Row],[Actual Greenhouse Date]],BedPlan[[#This Row],[Planned Greenhouse Start Date]])</f>
        <v/>
      </c>
      <c r="T139" s="262">
        <v>45845</v>
      </c>
      <c r="U139" s="263"/>
      <c r="V139" s="263"/>
      <c r="W139"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45845</v>
      </c>
      <c r="X139" s="265">
        <v>45859</v>
      </c>
      <c r="Y139" s="270">
        <f>BedPlan[[#This Row],[Actual TP or DS Date]]-BedPlan[[#This Row],[Planned TP or DS Date]]</f>
        <v>14</v>
      </c>
      <c r="Z139" s="261">
        <f>IF(ISNUMBER(BedPlan[[#This Row],[Actual TP or DS Date]]),BedPlan[[#This Row],[Actual TP or DS Date]],BedPlan[[#This Row],[Planned TP or DS Date]])</f>
        <v>45859</v>
      </c>
      <c r="AA139" s="265"/>
      <c r="AB139" s="261">
        <f>IF(ISNUMBER(BedPlan[[#This Row],[Greenhouse Start Date]]),BedPlan[[#This Row],[Greenhouse Start Date]]+BedPlan[[#This Row],[DTM]],BedPlan[[#This Row],[TP or DS Date]]+BedPlan[[#This Row],[DTM]])</f>
        <v>45899</v>
      </c>
      <c r="AC139" s="265"/>
      <c r="AD139" s="261">
        <f>IF(ISNUMBER(BedPlan[[#This Row],[Actual Beginning of Harvest]]),BedPlan[[#This Row],[Actual Beginning of Harvest]],BedPlan[[#This Row],[Expected Beginning of Harvest]])</f>
        <v>45899</v>
      </c>
      <c r="AE139" s="261">
        <f>BedPlan[[#This Row],[Expected Beginning of Harvest]]+BedPlan[[#This Row],[Harvest Window]]+BedPlan[[#This Row],[Additional Days of Harvest]]</f>
        <v>45913</v>
      </c>
      <c r="AF139" s="265"/>
      <c r="AG139" s="261"/>
      <c r="AH139" s="230" t="b">
        <f>IF(AND( BedPlan[[#This Row],[Expected End of Harvest]] &gt;= DATE(2025, 8, 1), BedPlan[[#This Row],[Beginning of Harvest]] &lt;= DATE(2025, 8, 31) ), TRUE, FALSE)</f>
        <v>1</v>
      </c>
      <c r="AI139" s="230"/>
      <c r="AJ139" s="230">
        <f>IF(ISNUMBER(BedPlan[[#This Row],[Actual End of Harvest]]),BedPlan[[#This Row],[Actual End of Harvest]],BedPlan[[#This Row],[Expected End of Harvest]])</f>
        <v>45913</v>
      </c>
      <c r="AK139" s="34" t="b">
        <f>OR(ISNUMBER(BedPlan[[#This Row],[Actual Greenhouse Date]]),ISNUMBER(BedPlan[[#This Row],[Actual TP or DS Date]]))</f>
        <v>1</v>
      </c>
      <c r="AL139" s="34" t="str">
        <f>IF(ISNUMBER(BedPlan[[#This Row],[Planned Greenhouse Start Date]]),OR(ISNUMBER(BedPlan[[#This Row],[Actual TP or DS Date]]),BedPlan[[#This Row],[Failed]]),"-")</f>
        <v>-</v>
      </c>
      <c r="AM139" s="34" t="b">
        <f>OR(ISNUMBER(BedPlan[[#This Row],[Actual End of Harvest]]),BedPlan[[#This Row],[Failed]])</f>
        <v>0</v>
      </c>
      <c r="AN139" s="34" t="b">
        <f>OR(BedPlan[[#This Row],[Harvest Done]],BedPlan[[#This Row],[Failed]],BedPlan[[#This Row],[Name]]="Tarp")</f>
        <v>0</v>
      </c>
      <c r="AO139" s="34"/>
      <c r="AP139" s="34"/>
      <c r="AQ139" s="34"/>
      <c r="AR139" s="34"/>
      <c r="AS139" s="256" t="str">
        <f>IF(BedPlan[[#This Row],[Broadfork]],BedPlan[[#This Row],[Actual TP or DS Date]],"")</f>
        <v/>
      </c>
      <c r="AT139" s="256" t="str">
        <f>IF(BedPlan[[#This Row],[Tilther]],BedPlan[[#This Row],[Actual TP or DS Date]],"")</f>
        <v/>
      </c>
      <c r="AU139" s="256" t="str">
        <f>IF(NOT(ISBLANK(BedPlan[[#This Row],[Amend]])),BedPlan[[#This Row],[Actual TP or DS Date]],"")</f>
        <v/>
      </c>
      <c r="AV139" s="256" t="str">
        <f>IF(BedPlan[[#This Row],[Row Cover]],BedPlan[[#This Row],[Actual TP or DS Date]],"")</f>
        <v/>
      </c>
      <c r="AW139" s="34"/>
      <c r="AX139" s="256"/>
      <c r="AY139" s="34"/>
      <c r="AZ139" s="256"/>
      <c r="BA139" s="34"/>
      <c r="BB139" s="256"/>
      <c r="BC139" s="231" cm="1">
        <f t="array" ref="BC139">INDEX(Crops[],BedPlan[[#This Row],[Chart Index]],BC$4,1)*BedPlan[[#This Row],[Full Bed Equivalent]]</f>
        <v>137.5</v>
      </c>
      <c r="BD139" s="231" cm="1">
        <f t="array" ref="BD139">INDEX(Crops[],BedPlan[[#This Row],[Chart Index]],BD$4,1)*BedPlan[[#This Row],[Full Bed Equivalent]]</f>
        <v>2.5462962962962963</v>
      </c>
      <c r="BE139" cm="1">
        <f t="array" ref="BE139">INDEX(Crops[],BedPlan[[#This Row],[Chart Index]],BE$4,1)+BedPlan[[#This Row],[Additional Days in Cells]]+BedPlan[[#This Row],[Additional Days In Field]]</f>
        <v>40</v>
      </c>
      <c r="BG139" cm="1">
        <f t="array" ref="BG139">INDEX(Crops[],BedPlan[[#This Row],[Chart Index]],BG$4,1)</f>
        <v>14</v>
      </c>
      <c r="BH139" t="str">
        <f>IF(ISNUMBER(BedPlan[[#This Row],[Planned Greenhouse Start Date]]),"TP","DS")</f>
        <v>DS</v>
      </c>
      <c r="BI139">
        <f>BedPlan[[#This Row],['# Of Beds]]</f>
        <v>0.5</v>
      </c>
      <c r="BJ139" cm="1">
        <f t="array" ref="BJ139">INDEX(Crops[],BedPlan[[#This Row],[Chart Index]],BJ$4,1)</f>
        <v>0</v>
      </c>
      <c r="BK139" cm="1">
        <f t="array" ref="BK139">INDEX(Crops[],BedPlan[[#This Row],[Chart Index]],BK$4,1)</f>
        <v>4</v>
      </c>
      <c r="BL139" cm="1">
        <f t="array" ref="BL139">INDEX(Crops[],BedPlan[[#This Row],[Chart Index]],BL$4,1)</f>
        <v>1.5</v>
      </c>
      <c r="BM139" cm="1">
        <f t="array" ref="BM139">INDEX(Crops[],BedPlan[[#This Row],[Chart Index]],BM$4,1)</f>
        <v>1</v>
      </c>
      <c r="BN139" s="32" cm="1">
        <f t="array" ref="BN139">INDEX(Crops[],BedPlan[[#This Row],[Chart Index]],BN$4,1)*BedPlan[[#This Row],[Full Bed Equivalent]]</f>
        <v>800</v>
      </c>
      <c r="BO139" t="str" cm="1">
        <f t="array" ref="BO139">IF(INDEX(Crops[],BedPlan[[#This Row],[Chart Index]],BO$4,1)=0,"",INDEX(Crops[],BedPlan[[#This Row],[Chart Index]],BO$4,1))</f>
        <v/>
      </c>
      <c r="BP139">
        <f>MATCH(BedPlan[[#This Row],[Crop]],Crops[Identifier],FALSE)</f>
        <v>337</v>
      </c>
      <c r="BQ139" t="str" cm="1">
        <f t="array" ref="BQ139">INDEX(Crops[],BedPlan[[#This Row],[Chart Index]],BQ$4,1)</f>
        <v>Tokyo</v>
      </c>
      <c r="BR139" t="str" cm="1">
        <f t="array" ref="BR139">INDEX(Crops[],BedPlan[[#This Row],[Chart Index]],BR$4,1)</f>
        <v>SuFa</v>
      </c>
      <c r="BS139" s="32">
        <f>BedPlan[[#This Row],[Expected Beginning of Harvest]]-DATE(2023,1,1)</f>
        <v>972</v>
      </c>
      <c r="BT139">
        <f>BedPlan[[#This Row],[Expected End of Harvest]]-BedPlan[[#This Row],[Expected Beginning of Harvest]]</f>
        <v>14</v>
      </c>
      <c r="BU139" t="str" cm="1">
        <f t="array" ref="BU139">INDEX(Crops[],BedPlan[[#This Row],[Chart Index]],BU$4,1)</f>
        <v>Root</v>
      </c>
      <c r="BV139" cm="1">
        <f t="array" ref="BV139">INDEX(Crops[],BedPlan[[#This Row],[Chart Index]],BV$4,1)</f>
        <v>2</v>
      </c>
      <c r="BW139" cm="1">
        <f t="array" ref="BW139">INDEX(Crops[],BedPlan[[#This Row],[Chart Index]],BW$4,1)</f>
        <v>0</v>
      </c>
      <c r="BX139" cm="1">
        <f t="array" ref="BX139">INDEX(Crops[],BedPlan[[#This Row],[Chart Index]],BX$4,1)</f>
        <v>0</v>
      </c>
      <c r="BY139" cm="1">
        <f t="array" ref="BY139">INDEX(Crops[],BedPlan[[#This Row],[Chart Index]],BY$4,1)</f>
        <v>0</v>
      </c>
      <c r="BZ139" s="49" t="str" cm="1">
        <f t="array" ref="BZ139">IFERROR(INDEX(Crops[],BedPlan[[#This Row],[Chart Index]],BZ$4,1)*BedPlan[[#This Row],[Full Bed Equivalent]],"")</f>
        <v/>
      </c>
      <c r="CA139" cm="1">
        <f t="array" ref="CA139">INDEX(Crops[],BedPlan[[#This Row],[Chart Index]],CA$4,1)</f>
        <v>0</v>
      </c>
      <c r="CB139" cm="1">
        <f t="array" ref="CB139">INDEX(Crops[],BedPlan[[#This Row],[Chart Index]],CB$4,1)</f>
        <v>0</v>
      </c>
      <c r="CC139" s="49" t="str" cm="1">
        <f t="array" ref="CC139">IFERROR(INDEX(Crops[],BedPlan[[#This Row],[Chart Index]],CC$4,1)*BedPlan[[#This Row],[Full Bed Equivalent]],"")</f>
        <v/>
      </c>
      <c r="CD139" cm="1">
        <f t="array" ref="CD139">INDEX(Crops[],BedPlan[[#This Row],[Chart Index]],CD$4,1)</f>
        <v>0</v>
      </c>
      <c r="CE139" cm="1">
        <f t="array" ref="CE139">IF(INDEX(Crops[],BedPlan[[#This Row],[Chart Index]],CE$4,1)="",0,INDEX(Crops[],BedPlan[[#This Row],[Chart Index]],CE$4,1))</f>
        <v>0</v>
      </c>
      <c r="CF139" s="49" t="str" cm="1">
        <f t="array" ref="CF139">IFERROR(INDEX(Crops[],BedPlan[[#This Row],[Chart Index]],CF$4,1)*BedPlan[[#This Row],[Full Bed Equivalent]],"")</f>
        <v/>
      </c>
      <c r="CG139" cm="1">
        <f t="array" ref="CG139">IF(INDEX(Crops[],BedPlan[[#This Row],[Chart Index]],CG$4,1)="",0,INDEX(Crops[],BedPlan[[#This Row],[Chart Index]],CG$4,1))</f>
        <v>1.3</v>
      </c>
      <c r="CH139" cm="1">
        <f t="array" ref="CH139">IF(INDEX(Crops[],BedPlan[[#This Row],[Chart Index]],CH$4,1)="",0,INDEX(Crops[],BedPlan[[#This Row],[Chart Index]],CH$4,1))</f>
        <v>0</v>
      </c>
      <c r="CI139" t="str" cm="1">
        <f t="array" ref="CI139">INDEX(Crops[],BedPlan[[#This Row],[Chart Index]],CI$4,1)</f>
        <v>Field</v>
      </c>
      <c r="CJ139" s="30" t="str">
        <f>_xlfn.TEXTJOIN(CHAR(10),FALSE,BedPlan[[#This Row],[Name]],BedPlan[[#This Row],[Variety]],BedPlan[[#This Row],[Company]])</f>
        <v>Turnip
Hakurei
Johnny's</v>
      </c>
      <c r="CK139" s="32">
        <f>MAX( 0, MIN(BedPlan[[#This Row],[Expected End of Harvest]], EOMONTH(CK$4, 0)) - MAX(BedPlan[[#This Row],[Beginning of Harvest]], CK$4) + 1 )</f>
        <v>0</v>
      </c>
      <c r="CL139">
        <f>MAX( 0, MIN(BedPlan[[#This Row],[Expected End of Harvest]], EOMONTH(CL$4, 0)) - MAX(BedPlan[[#This Row],[Beginning of Harvest]], CL$4) + 1 )</f>
        <v>0</v>
      </c>
      <c r="CM139">
        <f>MAX( 0, MIN(BedPlan[[#This Row],[Expected End of Harvest]], EOMONTH(CM$4, 0)) - MAX(BedPlan[[#This Row],[Beginning of Harvest]], CM$4) + 1 )</f>
        <v>0</v>
      </c>
      <c r="CN139">
        <f>MAX( 0, MIN(BedPlan[[#This Row],[Expected End of Harvest]], EOMONTH(CN$4, 0)) - MAX(BedPlan[[#This Row],[Beginning of Harvest]], CN$4) + 1 )</f>
        <v>0</v>
      </c>
      <c r="CO139">
        <f>MAX( 0, MIN(BedPlan[[#This Row],[Expected End of Harvest]], EOMONTH(CO$4, 0)) - MAX(BedPlan[[#This Row],[Beginning of Harvest]], CO$4) + 1 )</f>
        <v>0</v>
      </c>
      <c r="CP139">
        <f>MAX( 0, MIN(BedPlan[[#This Row],[Expected End of Harvest]], EOMONTH(CP$4, 0)) - MAX(BedPlan[[#This Row],[Beginning of Harvest]], CP$4) + 1 )</f>
        <v>0</v>
      </c>
      <c r="CQ139">
        <f>MAX( 0, MIN(BedPlan[[#This Row],[Expected End of Harvest]], EOMONTH(CQ$4, 0)) - MAX(BedPlan[[#This Row],[Beginning of Harvest]], CQ$4) + 1 )</f>
        <v>0</v>
      </c>
      <c r="CR139">
        <f>MAX( 0, MIN(BedPlan[[#This Row],[Expected End of Harvest]], EOMONTH(CR$4, 0)) - MAX(BedPlan[[#This Row],[Beginning of Harvest]], CR$4) + 1 )</f>
        <v>2</v>
      </c>
      <c r="CS139">
        <f>MAX( 0, MIN(BedPlan[[#This Row],[Expected End of Harvest]], EOMONTH(CS$4, 0)) - MAX(BedPlan[[#This Row],[Beginning of Harvest]], CS$4) + 1 )</f>
        <v>13</v>
      </c>
      <c r="CT139">
        <f>MAX( 0, MIN(BedPlan[[#This Row],[Expected End of Harvest]], EOMONTH(CT$4, 0)) - MAX(BedPlan[[#This Row],[Beginning of Harvest]], CT$4) + 1 )</f>
        <v>0</v>
      </c>
      <c r="CU139">
        <f>MAX( 0, MIN(BedPlan[[#This Row],[Expected End of Harvest]], EOMONTH(CU$4, 0)) - MAX(BedPlan[[#This Row],[Beginning of Harvest]], CU$4) + 1 )</f>
        <v>0</v>
      </c>
      <c r="CV139">
        <f>MAX( 0, MIN(BedPlan[[#This Row],[Expected End of Harvest]], EOMONTH(CV$4, 0)) - MAX(BedPlan[[#This Row],[Beginning of Harvest]], CV$4) + 1 )</f>
        <v>0</v>
      </c>
      <c r="CW139">
        <f>MAX( 0, MIN(BedPlan[[#This Row],[Expected End of Harvest]], EOMONTH(CW$4, 0)) - MAX(BedPlan[[#This Row],[Beginning of Harvest]], CW$4) + 1 )</f>
        <v>0</v>
      </c>
      <c r="CX139">
        <f>MAX( 0, MIN(BedPlan[[#This Row],[Expected End of Harvest]], EOMONTH(CX$4, 0)) - MAX(BedPlan[[#This Row],[Beginning of Harvest]], CX$4) + 1 )</f>
        <v>0</v>
      </c>
      <c r="CY139">
        <f>MAX( 0, MIN(BedPlan[[#This Row],[Expected End of Harvest]], EOMONTH(CY$4, 0)) - MAX(BedPlan[[#This Row],[Beginning of Harvest]], CY$4) + 1 )</f>
        <v>0</v>
      </c>
      <c r="CZ139">
        <f>MAX( 0, MIN(BedPlan[[#This Row],[Expected End of Harvest]], EOMONTH(CZ$4, 0)) - MAX(BedPlan[[#This Row],[Beginning of Harvest]], CZ$4) + 1 )</f>
        <v>0</v>
      </c>
      <c r="DA139">
        <f>MAX( 0, MIN(BedPlan[[#This Row],[Expected End of Harvest]], EOMONTH(DA$4, 0)) - MAX(BedPlan[[#This Row],[Beginning of Harvest]], DA$4) + 1 )</f>
        <v>0</v>
      </c>
      <c r="DB139">
        <f>MAX( 0, MIN(BedPlan[[#This Row],[Expected End of Harvest]], EOMONTH(DB$4, 0)) - MAX(BedPlan[[#This Row],[Beginning of Harvest]], DB$4) + 1 )</f>
        <v>0</v>
      </c>
      <c r="DC139">
        <f>MAX( 0, MIN(BedPlan[[#This Row],[Expected End of Harvest]], EOMONTH(DC$4, 0)) - MAX(BedPlan[[#This Row],[Beginning of Harvest]], DC$4) + 1 )</f>
        <v>0</v>
      </c>
      <c r="DD139">
        <f>MAX( 0, MIN(BedPlan[[#This Row],[Expected End of Harvest]], EOMONTH(DD$4, 0)) - MAX(BedPlan[[#This Row],[Beginning of Harvest]], DD$4) + 1 )</f>
        <v>0</v>
      </c>
      <c r="DE139">
        <f>MAX( 0, MIN(BedPlan[[#This Row],[Expected End of Harvest]], EOMONTH(DE$4, 0)) - MAX(BedPlan[[#This Row],[Beginning of Harvest]], DE$4) + 1 )</f>
        <v>0</v>
      </c>
      <c r="DF139">
        <f>MAX( 0, MIN(BedPlan[[#This Row],[Expected End of Harvest]], EOMONTH(DF$4, 0)) - MAX(BedPlan[[#This Row],[Beginning of Harvest]], DF$4) + 1 )</f>
        <v>0</v>
      </c>
      <c r="DG139">
        <f>MAX( 0, MIN(BedPlan[[#This Row],[Expected End of Harvest]], EOMONTH(DG$4, 0)) - MAX(BedPlan[[#This Row],[Beginning of Harvest]], DG$4) + 1 )</f>
        <v>0</v>
      </c>
      <c r="DH139">
        <f>MAX( 0, MIN(BedPlan[[#This Row],[Expected End of Harvest]], EOMONTH(DH$4, 0)) - MAX(BedPlan[[#This Row],[Beginning of Harvest]], DH$4) + 1 )</f>
        <v>0</v>
      </c>
      <c r="DI139" s="257" cm="1">
        <f t="array" ref="DI139">BedPlan[[#This Row],[Harvest Days January 2025]]/SUM(BedPlan[[#This Row],[Harvest Days January 2025]:[Harvest Days December 2026]])*BedPlan[[#This Row],[Revenue]:[Revenue]]</f>
        <v>0</v>
      </c>
      <c r="DJ139" s="257" cm="1">
        <f t="array" ref="DJ139">BedPlan[[#This Row],[Harvest Days February 2025]]/SUM(BedPlan[[#This Row],[Harvest Days January 2025]:[Harvest Days December 2026]])*BedPlan[[#This Row],[Revenue]:[Revenue]]</f>
        <v>0</v>
      </c>
      <c r="DK139" s="257" cm="1">
        <f t="array" ref="DK139">BedPlan[[#This Row],[Harvest Days March 2025]]/SUM(BedPlan[[#This Row],[Harvest Days January 2025]:[Harvest Days December 2026]])*BedPlan[[#This Row],[Revenue]:[Revenue]]</f>
        <v>0</v>
      </c>
      <c r="DL139" s="257" cm="1">
        <f t="array" ref="DL139">BedPlan[[#This Row],[Harvest Days April 2025]]/SUM(BedPlan[[#This Row],[Harvest Days January 2025]:[Harvest Days December 2026]])*BedPlan[[#This Row],[Revenue]:[Revenue]]</f>
        <v>0</v>
      </c>
      <c r="DM139" s="257" cm="1">
        <f t="array" ref="DM139">BedPlan[[#This Row],[Harvest Days May 2025]]/SUM(BedPlan[[#This Row],[Harvest Days January 2025]:[Harvest Days December 2026]])*BedPlan[[#This Row],[Revenue]:[Revenue]]</f>
        <v>0</v>
      </c>
      <c r="DN139" s="257" cm="1">
        <f t="array" ref="DN139">BedPlan[[#This Row],[Harvest Days June 2025]]/SUM(BedPlan[[#This Row],[Harvest Days January 2025]:[Harvest Days December 2026]])*BedPlan[[#This Row],[Revenue]:[Revenue]]</f>
        <v>0</v>
      </c>
      <c r="DO139" s="257" cm="1">
        <f t="array" ref="DO139">BedPlan[[#This Row],[Harvest Days July 2025]]/SUM(BedPlan[[#This Row],[Harvest Days January 2025]:[Harvest Days December 2026]])*BedPlan[[#This Row],[Revenue]:[Revenue]]</f>
        <v>0</v>
      </c>
      <c r="DP139" s="257" cm="1">
        <f t="array" ref="DP139">BedPlan[[#This Row],[Harvest Days August 2025]]/SUM(BedPlan[[#This Row],[Harvest Days January 2025]:[Harvest Days December 2026]])*BedPlan[[#This Row],[Revenue]:[Revenue]]</f>
        <v>18.333333333333332</v>
      </c>
      <c r="DQ139" s="257" cm="1">
        <f t="array" ref="DQ139">BedPlan[[#This Row],[Harvest Days September 2025]]/SUM(BedPlan[[#This Row],[Harvest Days January 2025]:[Harvest Days December 2026]])*BedPlan[[#This Row],[Revenue]:[Revenue]]</f>
        <v>119.16666666666667</v>
      </c>
      <c r="DR139" s="257" cm="1">
        <f t="array" ref="DR139">BedPlan[[#This Row],[Harvest Days October 2025]]/SUM(BedPlan[[#This Row],[Harvest Days January 2025]:[Harvest Days December 2026]])*BedPlan[[#This Row],[Revenue]:[Revenue]]</f>
        <v>0</v>
      </c>
      <c r="DS139" s="257" cm="1">
        <f t="array" ref="DS139">BedPlan[[#This Row],[Harvest Days November 2025]]/SUM(BedPlan[[#This Row],[Harvest Days January 2025]:[Harvest Days December 2026]])*BedPlan[[#This Row],[Revenue]:[Revenue]]</f>
        <v>0</v>
      </c>
      <c r="DT139" s="257" cm="1">
        <f t="array" ref="DT139">BedPlan[[#This Row],[Harvest Days December 2025]]/SUM(BedPlan[[#This Row],[Harvest Days January 2025]:[Harvest Days December 2026]])*BedPlan[[#This Row],[Revenue]:[Revenue]]</f>
        <v>0</v>
      </c>
      <c r="DU139" s="257" cm="1">
        <f t="array" ref="DU139">BedPlan[[#This Row],[Harvest Days January 2026]]/SUM(BedPlan[[#This Row],[Harvest Days January 2025]:[Harvest Days December 2026]])*BedPlan[[#This Row],[Revenue]:[Revenue]]</f>
        <v>0</v>
      </c>
      <c r="DV139" s="257" cm="1">
        <f t="array" ref="DV139">BedPlan[[#This Row],[Harvest Days February 2026]]/SUM(BedPlan[[#This Row],[Harvest Days January 2025]:[Harvest Days December 2026]])*BedPlan[[#This Row],[Revenue]:[Revenue]]</f>
        <v>0</v>
      </c>
      <c r="DW139" s="257" cm="1">
        <f t="array" ref="DW139">BedPlan[[#This Row],[Harvest Days March 2026]]/SUM(BedPlan[[#This Row],[Harvest Days January 2025]:[Harvest Days December 2026]])*BedPlan[[#This Row],[Revenue]:[Revenue]]</f>
        <v>0</v>
      </c>
      <c r="DX139" s="257" cm="1">
        <f t="array" ref="DX139">BedPlan[[#This Row],[Harvest Days April 2026]]/SUM(BedPlan[[#This Row],[Harvest Days January 2025]:[Harvest Days December 2026]])*BedPlan[[#This Row],[Revenue]:[Revenue]]</f>
        <v>0</v>
      </c>
      <c r="DY139" s="257" cm="1">
        <f t="array" ref="DY139">BedPlan[[#This Row],[Harvest Days May 2026]]/SUM(BedPlan[[#This Row],[Harvest Days January 2025]:[Harvest Days December 2026]])*BedPlan[[#This Row],[Revenue]:[Revenue]]</f>
        <v>0</v>
      </c>
      <c r="DZ139" s="257" cm="1">
        <f t="array" ref="DZ139">BedPlan[[#This Row],[Harvest Days June 2026]]/SUM(BedPlan[[#This Row],[Harvest Days January 2025]:[Harvest Days December 2026]])*BedPlan[[#This Row],[Revenue]:[Revenue]]</f>
        <v>0</v>
      </c>
      <c r="EA139" s="257" cm="1">
        <f t="array" ref="EA139">BedPlan[[#This Row],[Harvest Days July 2026]]/SUM(BedPlan[[#This Row],[Harvest Days January 2025]:[Harvest Days December 2026]])*BedPlan[[#This Row],[Revenue]:[Revenue]]</f>
        <v>0</v>
      </c>
      <c r="EB139" s="257" cm="1">
        <f t="array" ref="EB139">BedPlan[[#This Row],[Harvest Days August 2026]]/SUM(BedPlan[[#This Row],[Harvest Days January 2025]:[Harvest Days December 2026]])*BedPlan[[#This Row],[Revenue]:[Revenue]]</f>
        <v>0</v>
      </c>
      <c r="EC139" s="257" cm="1">
        <f t="array" ref="EC139">BedPlan[[#This Row],[Harvest Days September 2026]]/SUM(BedPlan[[#This Row],[Harvest Days January 2025]:[Harvest Days December 2026]])*BedPlan[[#This Row],[Revenue]:[Revenue]]</f>
        <v>0</v>
      </c>
      <c r="ED139" s="257" cm="1">
        <f t="array" ref="ED139">BedPlan[[#This Row],[Harvest Days October 2026]]/SUM(BedPlan[[#This Row],[Harvest Days January 2025]:[Harvest Days December 2026]])*BedPlan[[#This Row],[Revenue]:[Revenue]]</f>
        <v>0</v>
      </c>
      <c r="EE139" s="257" cm="1">
        <f t="array" ref="EE139">BedPlan[[#This Row],[Harvest Days November 2026]]/SUM(BedPlan[[#This Row],[Harvest Days January 2025]:[Harvest Days December 2026]])*BedPlan[[#This Row],[Revenue]:[Revenue]]</f>
        <v>0</v>
      </c>
      <c r="EF139" s="257" cm="1">
        <f t="array" ref="EF139">BedPlan[[#This Row],[Harvest Days December 2026]]/SUM(BedPlan[[#This Row],[Harvest Days January 2025]:[Harvest Days December 2026]])*BedPlan[[#This Row],[Revenue]:[Revenue]]</f>
        <v>0</v>
      </c>
      <c r="EG139" t="b">
        <f>SUM(BedPlan[[#This Row],[Revenue January 2025]:[Revenue December 2026]])=BedPlan[[#This Row],[Revenue]]</f>
        <v>1</v>
      </c>
      <c r="EH139" s="30" cm="1">
        <f t="array" ref="EH139">INDEX(Crops[],BedPlan[[#This Row],[Chart Index]],EH$4,1)*BedPlan[[#This Row],['# Of Beds]]</f>
        <v>50</v>
      </c>
      <c r="EI139" s="30" t="str" cm="1">
        <f t="array" ref="EI139">INDEX(Crops[],BedPlan[[#This Row],[Chart Index]],EI$4,1)</f>
        <v>Bunch</v>
      </c>
      <c r="EJ139" s="30" t="str" cm="1">
        <f t="array" ref="EJ139">INDEX(Crops[],BedPlan[[#This Row],[Chart Index]],EJ$4,1)</f>
        <v>Mature Root</v>
      </c>
      <c r="EK139" s="30" t="str">
        <f>BedPlan[[#This Row],[Name]]&amp;" "&amp;BedPlan[[#This Row],[Product]]&amp; " - " &amp;BedPlan[[#This Row],[Unit]]</f>
        <v>Turnip Mature Root - Bunch</v>
      </c>
      <c r="EL139" s="33" cm="1">
        <f t="array" ref="EL139">BedPlan[[#This Row],[Harvest Days January 2025]]/SUM(BedPlan[[#This Row],[Harvest Days January 2025]:[Harvest Days December 2026]])*BedPlan[[#This Row],[Yield]:[Yield]]</f>
        <v>0</v>
      </c>
      <c r="EM139" s="33" cm="1">
        <f t="array" ref="EM139">BedPlan[[#This Row],[Harvest Days February 2025]]/SUM(BedPlan[[#This Row],[Harvest Days January 2025]:[Harvest Days December 2026]])*BedPlan[[#This Row],[Yield]:[Yield]]</f>
        <v>0</v>
      </c>
      <c r="EN139" s="33" cm="1">
        <f t="array" ref="EN139">BedPlan[[#This Row],[Harvest Days March 2025]]/SUM(BedPlan[[#This Row],[Harvest Days January 2025]:[Harvest Days December 2026]])*BedPlan[[#This Row],[Yield]:[Yield]]</f>
        <v>0</v>
      </c>
      <c r="EO139" s="33" cm="1">
        <f t="array" ref="EO139">BedPlan[[#This Row],[Harvest Days April 2025]]/SUM(BedPlan[[#This Row],[Harvest Days January 2025]:[Harvest Days December 2026]])*BedPlan[[#This Row],[Yield]:[Yield]]</f>
        <v>0</v>
      </c>
      <c r="EP139" s="33" cm="1">
        <f t="array" ref="EP139">BedPlan[[#This Row],[Harvest Days May 2025]]/SUM(BedPlan[[#This Row],[Harvest Days January 2025]:[Harvest Days December 2026]])*BedPlan[[#This Row],[Yield]:[Yield]]</f>
        <v>0</v>
      </c>
      <c r="EQ139" s="33" cm="1">
        <f t="array" ref="EQ139">BedPlan[[#This Row],[Harvest Days June 2025]]/SUM(BedPlan[[#This Row],[Harvest Days January 2025]:[Harvest Days December 2026]])*BedPlan[[#This Row],[Yield]:[Yield]]</f>
        <v>0</v>
      </c>
      <c r="ER139" s="33" cm="1">
        <f t="array" ref="ER139">BedPlan[[#This Row],[Harvest Days July 2025]]/SUM(BedPlan[[#This Row],[Harvest Days January 2025]:[Harvest Days December 2026]])*BedPlan[[#This Row],[Yield]:[Yield]]</f>
        <v>0</v>
      </c>
      <c r="ES139" s="33" cm="1">
        <f t="array" ref="ES139">BedPlan[[#This Row],[Harvest Days August 2025]]/SUM(BedPlan[[#This Row],[Harvest Days January 2025]:[Harvest Days December 2026]])*BedPlan[[#This Row],[Yield]:[Yield]]</f>
        <v>6.666666666666667</v>
      </c>
      <c r="ET139" s="33" cm="1">
        <f t="array" ref="ET139">BedPlan[[#This Row],[Harvest Days September 2025]]/SUM(BedPlan[[#This Row],[Harvest Days January 2025]:[Harvest Days December 2026]])*BedPlan[[#This Row],[Yield]:[Yield]]</f>
        <v>43.333333333333336</v>
      </c>
      <c r="EU139" s="33" cm="1">
        <f t="array" ref="EU139">BedPlan[[#This Row],[Harvest Days October 2025]]/SUM(BedPlan[[#This Row],[Harvest Days January 2025]:[Harvest Days December 2026]])*BedPlan[[#This Row],[Yield]:[Yield]]</f>
        <v>0</v>
      </c>
      <c r="EV139" s="33" cm="1">
        <f t="array" ref="EV139">BedPlan[[#This Row],[Harvest Days November 2025]]/SUM(BedPlan[[#This Row],[Harvest Days January 2025]:[Harvest Days December 2026]])*BedPlan[[#This Row],[Yield]:[Yield]]</f>
        <v>0</v>
      </c>
      <c r="EW139" s="33" cm="1">
        <f t="array" ref="EW139">BedPlan[[#This Row],[Harvest Days December 2025]]/SUM(BedPlan[[#This Row],[Harvest Days January 2025]:[Harvest Days December 2026]])*BedPlan[[#This Row],[Yield]:[Yield]]</f>
        <v>0</v>
      </c>
    </row>
    <row r="140" spans="1:153" ht="15" customHeight="1">
      <c r="A140" s="191" t="s">
        <v>2750</v>
      </c>
      <c r="B140" s="240" t="s">
        <v>3271</v>
      </c>
      <c r="C140" s="226" t="s">
        <v>1450</v>
      </c>
      <c r="D140" s="226" cm="1">
        <f t="array" ref="D140">INDEX(Crops[],BedPlan[[#This Row],[Chart Index]],D$4,1)*BedPlan[[#This Row],[Full Bed Equivalent]]</f>
        <v>12.5</v>
      </c>
      <c r="E140" s="226" cm="1">
        <f t="array" ref="E140">INDEX(Crops[],BedPlan[[#This Row],[Chart Index]],E$4,1)*BedPlan[[#This Row],[Full Bed Equivalent]]</f>
        <v>50</v>
      </c>
      <c r="F140" s="34" t="str">
        <f>UPPER(LEFT(BedPlan[[#This Row],[Crop]],3))</f>
        <v>TUR</v>
      </c>
      <c r="G140" s="227"/>
      <c r="H140" s="143" t="str" cm="1">
        <f t="array" ref="H140">INDEX(Crops[],BedPlan[[#This Row],[Chart Index]],H$4,1)</f>
        <v>Turnip</v>
      </c>
      <c r="I140" s="227" t="s">
        <v>1686</v>
      </c>
      <c r="J140" s="227" t="s">
        <v>490</v>
      </c>
      <c r="K140" s="34" t="str" cm="1">
        <f t="array" ref="K140">IF(ISNUMBER(MATCH(BedPlan[[#This Row],[Variety]],SeedMixes[Name],)),_xlfn.TEXTJOIN(", ",TRUE,_xlfn._xlws.FILTER(SeedMixes[Variety &amp; Company],SeedMixes[Name]=BedPlan[[#This Row],[Variety]])),"")</f>
        <v/>
      </c>
      <c r="L140" s="229" cm="1">
        <f t="array" ref="L140">INDEX(Crops[],BedPlan[[#This Row],[Chart Index]],L$4,1)*BedPlan[[#This Row],[Full Bed Equivalent]]</f>
        <v>1040</v>
      </c>
      <c r="N140" s="227">
        <v>0.5</v>
      </c>
      <c r="O140" s="227">
        <f>MAX(BedPlan[[#This Row],['# Of Beds]],0.5)</f>
        <v>0.5</v>
      </c>
      <c r="P140" s="230">
        <f>IF(ISNUMBER(BedPlan[[#This Row],[Planned Greenhouse Start Date]]),BedPlan[[#This Row],[Planned Greenhouse Start Date]],BedPlan[[#This Row],[Planned TP or DS Date]])</f>
        <v>45870</v>
      </c>
      <c r="Q140" s="261" t="str">
        <f>IF(BedPlan[[#This Row],[Days in Cells]]=0,"",IFERROR(_xlfn.XLOOKUP(BedPlan[[#This Row],[Follows Crop]],BedPlan[Identifier],BedPlan[Expected End of Harvest]) + 1+BedPlan[[#This Row],[Follow Offset]],BedPlan[[#This Row],[Fixed Field Start Date]])-BedPlan[[#This Row],[Days in Cells]])</f>
        <v/>
      </c>
      <c r="R140" s="261"/>
      <c r="S140" s="261" t="str">
        <f>IF(ISNUMBER(BedPlan[[#This Row],[Actual Greenhouse Date]]),BedPlan[[#This Row],[Actual Greenhouse Date]],BedPlan[[#This Row],[Planned Greenhouse Start Date]])</f>
        <v/>
      </c>
      <c r="T140" s="262">
        <v>45870</v>
      </c>
      <c r="U140" s="263"/>
      <c r="V140" s="263"/>
      <c r="W140"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45870</v>
      </c>
      <c r="X140" s="265"/>
      <c r="Y140" s="270">
        <f>BedPlan[[#This Row],[Actual TP or DS Date]]-BedPlan[[#This Row],[Planned TP or DS Date]]</f>
        <v>-45870</v>
      </c>
      <c r="Z140" s="261">
        <f>IF(ISNUMBER(BedPlan[[#This Row],[Actual TP or DS Date]]),BedPlan[[#This Row],[Actual TP or DS Date]],BedPlan[[#This Row],[Planned TP or DS Date]])</f>
        <v>45870</v>
      </c>
      <c r="AA140" s="265"/>
      <c r="AB140" s="261">
        <f>IF(ISNUMBER(BedPlan[[#This Row],[Greenhouse Start Date]]),BedPlan[[#This Row],[Greenhouse Start Date]]+BedPlan[[#This Row],[DTM]],BedPlan[[#This Row],[TP or DS Date]]+BedPlan[[#This Row],[DTM]])</f>
        <v>45910</v>
      </c>
      <c r="AC140" s="265"/>
      <c r="AD140" s="261">
        <f>IF(ISNUMBER(BedPlan[[#This Row],[Actual Beginning of Harvest]]),BedPlan[[#This Row],[Actual Beginning of Harvest]],BedPlan[[#This Row],[Expected Beginning of Harvest]])</f>
        <v>45910</v>
      </c>
      <c r="AE140" s="261">
        <f>BedPlan[[#This Row],[Expected Beginning of Harvest]]+BedPlan[[#This Row],[Harvest Window]]+BedPlan[[#This Row],[Additional Days of Harvest]]</f>
        <v>45924</v>
      </c>
      <c r="AF140" s="265"/>
      <c r="AG140" s="261"/>
      <c r="AH140" s="230" t="b">
        <f>IF(AND( BedPlan[[#This Row],[Expected End of Harvest]] &gt;= DATE(2025, 8, 1), BedPlan[[#This Row],[Beginning of Harvest]] &lt;= DATE(2025, 8, 31) ), TRUE, FALSE)</f>
        <v>0</v>
      </c>
      <c r="AI140" s="230"/>
      <c r="AJ140" s="230">
        <f>IF(ISNUMBER(BedPlan[[#This Row],[Actual End of Harvest]]),BedPlan[[#This Row],[Actual End of Harvest]],BedPlan[[#This Row],[Expected End of Harvest]])</f>
        <v>45924</v>
      </c>
      <c r="AK140" s="34" t="b">
        <f>OR(ISNUMBER(BedPlan[[#This Row],[Actual Greenhouse Date]]),ISNUMBER(BedPlan[[#This Row],[Actual TP or DS Date]]))</f>
        <v>0</v>
      </c>
      <c r="AL140" s="34" t="str">
        <f>IF(ISNUMBER(BedPlan[[#This Row],[Planned Greenhouse Start Date]]),OR(ISNUMBER(BedPlan[[#This Row],[Actual TP or DS Date]]),BedPlan[[#This Row],[Failed]]),"-")</f>
        <v>-</v>
      </c>
      <c r="AM140" s="34" t="b">
        <f>OR(ISNUMBER(BedPlan[[#This Row],[Actual End of Harvest]]),BedPlan[[#This Row],[Failed]])</f>
        <v>0</v>
      </c>
      <c r="AN140" s="34" t="b">
        <f>OR(BedPlan[[#This Row],[Harvest Done]],BedPlan[[#This Row],[Failed]],BedPlan[[#This Row],[Name]]="Tarp")</f>
        <v>0</v>
      </c>
      <c r="AO140" s="34"/>
      <c r="AP140" s="34"/>
      <c r="AQ140" s="34"/>
      <c r="AR140" s="34"/>
      <c r="AS140" s="256" t="str">
        <f>IF(BedPlan[[#This Row],[Broadfork]],BedPlan[[#This Row],[Actual TP or DS Date]],"")</f>
        <v/>
      </c>
      <c r="AT140" s="256" t="str">
        <f>IF(BedPlan[[#This Row],[Tilther]],BedPlan[[#This Row],[Actual TP or DS Date]],"")</f>
        <v/>
      </c>
      <c r="AU140" s="256" t="str">
        <f>IF(NOT(ISBLANK(BedPlan[[#This Row],[Amend]])),BedPlan[[#This Row],[Actual TP or DS Date]],"")</f>
        <v/>
      </c>
      <c r="AV140" s="256" t="str">
        <f>IF(BedPlan[[#This Row],[Row Cover]],BedPlan[[#This Row],[Actual TP or DS Date]],"")</f>
        <v/>
      </c>
      <c r="AW140" s="34"/>
      <c r="AX140" s="256"/>
      <c r="AY140" s="34"/>
      <c r="AZ140" s="256"/>
      <c r="BA140" s="34"/>
      <c r="BB140" s="256"/>
      <c r="BC140" s="231" cm="1">
        <f t="array" ref="BC140">INDEX(Crops[],BedPlan[[#This Row],[Chart Index]],BC$4,1)*BedPlan[[#This Row],[Full Bed Equivalent]]</f>
        <v>137.5</v>
      </c>
      <c r="BD140" s="231" cm="1">
        <f t="array" ref="BD140">INDEX(Crops[],BedPlan[[#This Row],[Chart Index]],BD$4,1)*BedPlan[[#This Row],[Full Bed Equivalent]]</f>
        <v>2.5462962962962963</v>
      </c>
      <c r="BE140" cm="1">
        <f t="array" ref="BE140">INDEX(Crops[],BedPlan[[#This Row],[Chart Index]],BE$4,1)+BedPlan[[#This Row],[Additional Days in Cells]]+BedPlan[[#This Row],[Additional Days In Field]]</f>
        <v>40</v>
      </c>
      <c r="BG140" cm="1">
        <f t="array" ref="BG140">INDEX(Crops[],BedPlan[[#This Row],[Chart Index]],BG$4,1)</f>
        <v>14</v>
      </c>
      <c r="BH140" t="str">
        <f>IF(ISNUMBER(BedPlan[[#This Row],[Planned Greenhouse Start Date]]),"TP","DS")</f>
        <v>DS</v>
      </c>
      <c r="BI140">
        <f>BedPlan[[#This Row],['# Of Beds]]</f>
        <v>0.5</v>
      </c>
      <c r="BJ140" cm="1">
        <f t="array" ref="BJ140">INDEX(Crops[],BedPlan[[#This Row],[Chart Index]],BJ$4,1)</f>
        <v>0</v>
      </c>
      <c r="BK140" cm="1">
        <f t="array" ref="BK140">INDEX(Crops[],BedPlan[[#This Row],[Chart Index]],BK$4,1)</f>
        <v>4</v>
      </c>
      <c r="BL140" cm="1">
        <f t="array" ref="BL140">INDEX(Crops[],BedPlan[[#This Row],[Chart Index]],BL$4,1)</f>
        <v>1.5</v>
      </c>
      <c r="BM140" cm="1">
        <f t="array" ref="BM140">INDEX(Crops[],BedPlan[[#This Row],[Chart Index]],BM$4,1)</f>
        <v>1</v>
      </c>
      <c r="BN140" s="32" cm="1">
        <f t="array" ref="BN140">INDEX(Crops[],BedPlan[[#This Row],[Chart Index]],BN$4,1)*BedPlan[[#This Row],[Full Bed Equivalent]]</f>
        <v>800</v>
      </c>
      <c r="BO140" t="str" cm="1">
        <f t="array" ref="BO140">IF(INDEX(Crops[],BedPlan[[#This Row],[Chart Index]],BO$4,1)=0,"",INDEX(Crops[],BedPlan[[#This Row],[Chart Index]],BO$4,1))</f>
        <v/>
      </c>
      <c r="BP140">
        <f>MATCH(BedPlan[[#This Row],[Crop]],Crops[Identifier],FALSE)</f>
        <v>337</v>
      </c>
      <c r="BQ140" t="str" cm="1">
        <f t="array" ref="BQ140">INDEX(Crops[],BedPlan[[#This Row],[Chart Index]],BQ$4,1)</f>
        <v>Tokyo</v>
      </c>
      <c r="BR140" t="str" cm="1">
        <f t="array" ref="BR140">INDEX(Crops[],BedPlan[[#This Row],[Chart Index]],BR$4,1)</f>
        <v>SuFa</v>
      </c>
      <c r="BS140" s="32">
        <f>BedPlan[[#This Row],[Expected Beginning of Harvest]]-DATE(2023,1,1)</f>
        <v>983</v>
      </c>
      <c r="BT140">
        <f>BedPlan[[#This Row],[Expected End of Harvest]]-BedPlan[[#This Row],[Expected Beginning of Harvest]]</f>
        <v>14</v>
      </c>
      <c r="BU140" t="str" cm="1">
        <f t="array" ref="BU140">INDEX(Crops[],BedPlan[[#This Row],[Chart Index]],BU$4,1)</f>
        <v>Root</v>
      </c>
      <c r="BV140" cm="1">
        <f t="array" ref="BV140">INDEX(Crops[],BedPlan[[#This Row],[Chart Index]],BV$4,1)</f>
        <v>2</v>
      </c>
      <c r="BW140" cm="1">
        <f t="array" ref="BW140">INDEX(Crops[],BedPlan[[#This Row],[Chart Index]],BW$4,1)</f>
        <v>0</v>
      </c>
      <c r="BX140" cm="1">
        <f t="array" ref="BX140">INDEX(Crops[],BedPlan[[#This Row],[Chart Index]],BX$4,1)</f>
        <v>0</v>
      </c>
      <c r="BY140" cm="1">
        <f t="array" ref="BY140">INDEX(Crops[],BedPlan[[#This Row],[Chart Index]],BY$4,1)</f>
        <v>0</v>
      </c>
      <c r="BZ140" s="49" t="str" cm="1">
        <f t="array" ref="BZ140">IFERROR(INDEX(Crops[],BedPlan[[#This Row],[Chart Index]],BZ$4,1)*BedPlan[[#This Row],[Full Bed Equivalent]],"")</f>
        <v/>
      </c>
      <c r="CA140" cm="1">
        <f t="array" ref="CA140">INDEX(Crops[],BedPlan[[#This Row],[Chart Index]],CA$4,1)</f>
        <v>0</v>
      </c>
      <c r="CB140" cm="1">
        <f t="array" ref="CB140">INDEX(Crops[],BedPlan[[#This Row],[Chart Index]],CB$4,1)</f>
        <v>0</v>
      </c>
      <c r="CC140" s="49" t="str" cm="1">
        <f t="array" ref="CC140">IFERROR(INDEX(Crops[],BedPlan[[#This Row],[Chart Index]],CC$4,1)*BedPlan[[#This Row],[Full Bed Equivalent]],"")</f>
        <v/>
      </c>
      <c r="CD140" cm="1">
        <f t="array" ref="CD140">INDEX(Crops[],BedPlan[[#This Row],[Chart Index]],CD$4,1)</f>
        <v>0</v>
      </c>
      <c r="CE140" cm="1">
        <f t="array" ref="CE140">IF(INDEX(Crops[],BedPlan[[#This Row],[Chart Index]],CE$4,1)="",0,INDEX(Crops[],BedPlan[[#This Row],[Chart Index]],CE$4,1))</f>
        <v>0</v>
      </c>
      <c r="CF140" s="49" t="str" cm="1">
        <f t="array" ref="CF140">IFERROR(INDEX(Crops[],BedPlan[[#This Row],[Chart Index]],CF$4,1)*BedPlan[[#This Row],[Full Bed Equivalent]],"")</f>
        <v/>
      </c>
      <c r="CG140" cm="1">
        <f t="array" ref="CG140">IF(INDEX(Crops[],BedPlan[[#This Row],[Chart Index]],CG$4,1)="",0,INDEX(Crops[],BedPlan[[#This Row],[Chart Index]],CG$4,1))</f>
        <v>1.3</v>
      </c>
      <c r="CH140" cm="1">
        <f t="array" ref="CH140">IF(INDEX(Crops[],BedPlan[[#This Row],[Chart Index]],CH$4,1)="",0,INDEX(Crops[],BedPlan[[#This Row],[Chart Index]],CH$4,1))</f>
        <v>0</v>
      </c>
      <c r="CI140" t="str" cm="1">
        <f t="array" ref="CI140">INDEX(Crops[],BedPlan[[#This Row],[Chart Index]],CI$4,1)</f>
        <v>Field</v>
      </c>
      <c r="CJ140" s="30" t="str">
        <f>_xlfn.TEXTJOIN(CHAR(10),FALSE,BedPlan[[#This Row],[Name]],BedPlan[[#This Row],[Variety]],BedPlan[[#This Row],[Company]])</f>
        <v>Turnip
Hakurei
Johnny's</v>
      </c>
      <c r="CK140" s="32">
        <f>MAX( 0, MIN(BedPlan[[#This Row],[Expected End of Harvest]], EOMONTH(CK$4, 0)) - MAX(BedPlan[[#This Row],[Beginning of Harvest]], CK$4) + 1 )</f>
        <v>0</v>
      </c>
      <c r="CL140">
        <f>MAX( 0, MIN(BedPlan[[#This Row],[Expected End of Harvest]], EOMONTH(CL$4, 0)) - MAX(BedPlan[[#This Row],[Beginning of Harvest]], CL$4) + 1 )</f>
        <v>0</v>
      </c>
      <c r="CM140">
        <f>MAX( 0, MIN(BedPlan[[#This Row],[Expected End of Harvest]], EOMONTH(CM$4, 0)) - MAX(BedPlan[[#This Row],[Beginning of Harvest]], CM$4) + 1 )</f>
        <v>0</v>
      </c>
      <c r="CN140">
        <f>MAX( 0, MIN(BedPlan[[#This Row],[Expected End of Harvest]], EOMONTH(CN$4, 0)) - MAX(BedPlan[[#This Row],[Beginning of Harvest]], CN$4) + 1 )</f>
        <v>0</v>
      </c>
      <c r="CO140">
        <f>MAX( 0, MIN(BedPlan[[#This Row],[Expected End of Harvest]], EOMONTH(CO$4, 0)) - MAX(BedPlan[[#This Row],[Beginning of Harvest]], CO$4) + 1 )</f>
        <v>0</v>
      </c>
      <c r="CP140">
        <f>MAX( 0, MIN(BedPlan[[#This Row],[Expected End of Harvest]], EOMONTH(CP$4, 0)) - MAX(BedPlan[[#This Row],[Beginning of Harvest]], CP$4) + 1 )</f>
        <v>0</v>
      </c>
      <c r="CQ140">
        <f>MAX( 0, MIN(BedPlan[[#This Row],[Expected End of Harvest]], EOMONTH(CQ$4, 0)) - MAX(BedPlan[[#This Row],[Beginning of Harvest]], CQ$4) + 1 )</f>
        <v>0</v>
      </c>
      <c r="CR140">
        <f>MAX( 0, MIN(BedPlan[[#This Row],[Expected End of Harvest]], EOMONTH(CR$4, 0)) - MAX(BedPlan[[#This Row],[Beginning of Harvest]], CR$4) + 1 )</f>
        <v>0</v>
      </c>
      <c r="CS140">
        <f>MAX( 0, MIN(BedPlan[[#This Row],[Expected End of Harvest]], EOMONTH(CS$4, 0)) - MAX(BedPlan[[#This Row],[Beginning of Harvest]], CS$4) + 1 )</f>
        <v>15</v>
      </c>
      <c r="CT140">
        <f>MAX( 0, MIN(BedPlan[[#This Row],[Expected End of Harvest]], EOMONTH(CT$4, 0)) - MAX(BedPlan[[#This Row],[Beginning of Harvest]], CT$4) + 1 )</f>
        <v>0</v>
      </c>
      <c r="CU140">
        <f>MAX( 0, MIN(BedPlan[[#This Row],[Expected End of Harvest]], EOMONTH(CU$4, 0)) - MAX(BedPlan[[#This Row],[Beginning of Harvest]], CU$4) + 1 )</f>
        <v>0</v>
      </c>
      <c r="CV140">
        <f>MAX( 0, MIN(BedPlan[[#This Row],[Expected End of Harvest]], EOMONTH(CV$4, 0)) - MAX(BedPlan[[#This Row],[Beginning of Harvest]], CV$4) + 1 )</f>
        <v>0</v>
      </c>
      <c r="CW140">
        <f>MAX( 0, MIN(BedPlan[[#This Row],[Expected End of Harvest]], EOMONTH(CW$4, 0)) - MAX(BedPlan[[#This Row],[Beginning of Harvest]], CW$4) + 1 )</f>
        <v>0</v>
      </c>
      <c r="CX140">
        <f>MAX( 0, MIN(BedPlan[[#This Row],[Expected End of Harvest]], EOMONTH(CX$4, 0)) - MAX(BedPlan[[#This Row],[Beginning of Harvest]], CX$4) + 1 )</f>
        <v>0</v>
      </c>
      <c r="CY140">
        <f>MAX( 0, MIN(BedPlan[[#This Row],[Expected End of Harvest]], EOMONTH(CY$4, 0)) - MAX(BedPlan[[#This Row],[Beginning of Harvest]], CY$4) + 1 )</f>
        <v>0</v>
      </c>
      <c r="CZ140">
        <f>MAX( 0, MIN(BedPlan[[#This Row],[Expected End of Harvest]], EOMONTH(CZ$4, 0)) - MAX(BedPlan[[#This Row],[Beginning of Harvest]], CZ$4) + 1 )</f>
        <v>0</v>
      </c>
      <c r="DA140">
        <f>MAX( 0, MIN(BedPlan[[#This Row],[Expected End of Harvest]], EOMONTH(DA$4, 0)) - MAX(BedPlan[[#This Row],[Beginning of Harvest]], DA$4) + 1 )</f>
        <v>0</v>
      </c>
      <c r="DB140">
        <f>MAX( 0, MIN(BedPlan[[#This Row],[Expected End of Harvest]], EOMONTH(DB$4, 0)) - MAX(BedPlan[[#This Row],[Beginning of Harvest]], DB$4) + 1 )</f>
        <v>0</v>
      </c>
      <c r="DC140">
        <f>MAX( 0, MIN(BedPlan[[#This Row],[Expected End of Harvest]], EOMONTH(DC$4, 0)) - MAX(BedPlan[[#This Row],[Beginning of Harvest]], DC$4) + 1 )</f>
        <v>0</v>
      </c>
      <c r="DD140">
        <f>MAX( 0, MIN(BedPlan[[#This Row],[Expected End of Harvest]], EOMONTH(DD$4, 0)) - MAX(BedPlan[[#This Row],[Beginning of Harvest]], DD$4) + 1 )</f>
        <v>0</v>
      </c>
      <c r="DE140">
        <f>MAX( 0, MIN(BedPlan[[#This Row],[Expected End of Harvest]], EOMONTH(DE$4, 0)) - MAX(BedPlan[[#This Row],[Beginning of Harvest]], DE$4) + 1 )</f>
        <v>0</v>
      </c>
      <c r="DF140">
        <f>MAX( 0, MIN(BedPlan[[#This Row],[Expected End of Harvest]], EOMONTH(DF$4, 0)) - MAX(BedPlan[[#This Row],[Beginning of Harvest]], DF$4) + 1 )</f>
        <v>0</v>
      </c>
      <c r="DG140">
        <f>MAX( 0, MIN(BedPlan[[#This Row],[Expected End of Harvest]], EOMONTH(DG$4, 0)) - MAX(BedPlan[[#This Row],[Beginning of Harvest]], DG$4) + 1 )</f>
        <v>0</v>
      </c>
      <c r="DH140">
        <f>MAX( 0, MIN(BedPlan[[#This Row],[Expected End of Harvest]], EOMONTH(DH$4, 0)) - MAX(BedPlan[[#This Row],[Beginning of Harvest]], DH$4) + 1 )</f>
        <v>0</v>
      </c>
      <c r="DI140" s="257" cm="1">
        <f t="array" ref="DI140">BedPlan[[#This Row],[Harvest Days January 2025]]/SUM(BedPlan[[#This Row],[Harvest Days January 2025]:[Harvest Days December 2026]])*BedPlan[[#This Row],[Revenue]:[Revenue]]</f>
        <v>0</v>
      </c>
      <c r="DJ140" s="257" cm="1">
        <f t="array" ref="DJ140">BedPlan[[#This Row],[Harvest Days February 2025]]/SUM(BedPlan[[#This Row],[Harvest Days January 2025]:[Harvest Days December 2026]])*BedPlan[[#This Row],[Revenue]:[Revenue]]</f>
        <v>0</v>
      </c>
      <c r="DK140" s="257" cm="1">
        <f t="array" ref="DK140">BedPlan[[#This Row],[Harvest Days March 2025]]/SUM(BedPlan[[#This Row],[Harvest Days January 2025]:[Harvest Days December 2026]])*BedPlan[[#This Row],[Revenue]:[Revenue]]</f>
        <v>0</v>
      </c>
      <c r="DL140" s="257" cm="1">
        <f t="array" ref="DL140">BedPlan[[#This Row],[Harvest Days April 2025]]/SUM(BedPlan[[#This Row],[Harvest Days January 2025]:[Harvest Days December 2026]])*BedPlan[[#This Row],[Revenue]:[Revenue]]</f>
        <v>0</v>
      </c>
      <c r="DM140" s="257" cm="1">
        <f t="array" ref="DM140">BedPlan[[#This Row],[Harvest Days May 2025]]/SUM(BedPlan[[#This Row],[Harvest Days January 2025]:[Harvest Days December 2026]])*BedPlan[[#This Row],[Revenue]:[Revenue]]</f>
        <v>0</v>
      </c>
      <c r="DN140" s="257" cm="1">
        <f t="array" ref="DN140">BedPlan[[#This Row],[Harvest Days June 2025]]/SUM(BedPlan[[#This Row],[Harvest Days January 2025]:[Harvest Days December 2026]])*BedPlan[[#This Row],[Revenue]:[Revenue]]</f>
        <v>0</v>
      </c>
      <c r="DO140" s="257" cm="1">
        <f t="array" ref="DO140">BedPlan[[#This Row],[Harvest Days July 2025]]/SUM(BedPlan[[#This Row],[Harvest Days January 2025]:[Harvest Days December 2026]])*BedPlan[[#This Row],[Revenue]:[Revenue]]</f>
        <v>0</v>
      </c>
      <c r="DP140" s="257" cm="1">
        <f t="array" ref="DP140">BedPlan[[#This Row],[Harvest Days August 2025]]/SUM(BedPlan[[#This Row],[Harvest Days January 2025]:[Harvest Days December 2026]])*BedPlan[[#This Row],[Revenue]:[Revenue]]</f>
        <v>0</v>
      </c>
      <c r="DQ140" s="257" cm="1">
        <f t="array" ref="DQ140">BedPlan[[#This Row],[Harvest Days September 2025]]/SUM(BedPlan[[#This Row],[Harvest Days January 2025]:[Harvest Days December 2026]])*BedPlan[[#This Row],[Revenue]:[Revenue]]</f>
        <v>137.5</v>
      </c>
      <c r="DR140" s="257" cm="1">
        <f t="array" ref="DR140">BedPlan[[#This Row],[Harvest Days October 2025]]/SUM(BedPlan[[#This Row],[Harvest Days January 2025]:[Harvest Days December 2026]])*BedPlan[[#This Row],[Revenue]:[Revenue]]</f>
        <v>0</v>
      </c>
      <c r="DS140" s="257" cm="1">
        <f t="array" ref="DS140">BedPlan[[#This Row],[Harvest Days November 2025]]/SUM(BedPlan[[#This Row],[Harvest Days January 2025]:[Harvest Days December 2026]])*BedPlan[[#This Row],[Revenue]:[Revenue]]</f>
        <v>0</v>
      </c>
      <c r="DT140" s="257" cm="1">
        <f t="array" ref="DT140">BedPlan[[#This Row],[Harvest Days December 2025]]/SUM(BedPlan[[#This Row],[Harvest Days January 2025]:[Harvest Days December 2026]])*BedPlan[[#This Row],[Revenue]:[Revenue]]</f>
        <v>0</v>
      </c>
      <c r="DU140" s="257" cm="1">
        <f t="array" ref="DU140">BedPlan[[#This Row],[Harvest Days January 2026]]/SUM(BedPlan[[#This Row],[Harvest Days January 2025]:[Harvest Days December 2026]])*BedPlan[[#This Row],[Revenue]:[Revenue]]</f>
        <v>0</v>
      </c>
      <c r="DV140" s="257" cm="1">
        <f t="array" ref="DV140">BedPlan[[#This Row],[Harvest Days February 2026]]/SUM(BedPlan[[#This Row],[Harvest Days January 2025]:[Harvest Days December 2026]])*BedPlan[[#This Row],[Revenue]:[Revenue]]</f>
        <v>0</v>
      </c>
      <c r="DW140" s="257" cm="1">
        <f t="array" ref="DW140">BedPlan[[#This Row],[Harvest Days March 2026]]/SUM(BedPlan[[#This Row],[Harvest Days January 2025]:[Harvest Days December 2026]])*BedPlan[[#This Row],[Revenue]:[Revenue]]</f>
        <v>0</v>
      </c>
      <c r="DX140" s="257" cm="1">
        <f t="array" ref="DX140">BedPlan[[#This Row],[Harvest Days April 2026]]/SUM(BedPlan[[#This Row],[Harvest Days January 2025]:[Harvest Days December 2026]])*BedPlan[[#This Row],[Revenue]:[Revenue]]</f>
        <v>0</v>
      </c>
      <c r="DY140" s="257" cm="1">
        <f t="array" ref="DY140">BedPlan[[#This Row],[Harvest Days May 2026]]/SUM(BedPlan[[#This Row],[Harvest Days January 2025]:[Harvest Days December 2026]])*BedPlan[[#This Row],[Revenue]:[Revenue]]</f>
        <v>0</v>
      </c>
      <c r="DZ140" s="257" cm="1">
        <f t="array" ref="DZ140">BedPlan[[#This Row],[Harvest Days June 2026]]/SUM(BedPlan[[#This Row],[Harvest Days January 2025]:[Harvest Days December 2026]])*BedPlan[[#This Row],[Revenue]:[Revenue]]</f>
        <v>0</v>
      </c>
      <c r="EA140" s="257" cm="1">
        <f t="array" ref="EA140">BedPlan[[#This Row],[Harvest Days July 2026]]/SUM(BedPlan[[#This Row],[Harvest Days January 2025]:[Harvest Days December 2026]])*BedPlan[[#This Row],[Revenue]:[Revenue]]</f>
        <v>0</v>
      </c>
      <c r="EB140" s="257" cm="1">
        <f t="array" ref="EB140">BedPlan[[#This Row],[Harvest Days August 2026]]/SUM(BedPlan[[#This Row],[Harvest Days January 2025]:[Harvest Days December 2026]])*BedPlan[[#This Row],[Revenue]:[Revenue]]</f>
        <v>0</v>
      </c>
      <c r="EC140" s="257" cm="1">
        <f t="array" ref="EC140">BedPlan[[#This Row],[Harvest Days September 2026]]/SUM(BedPlan[[#This Row],[Harvest Days January 2025]:[Harvest Days December 2026]])*BedPlan[[#This Row],[Revenue]:[Revenue]]</f>
        <v>0</v>
      </c>
      <c r="ED140" s="257" cm="1">
        <f t="array" ref="ED140">BedPlan[[#This Row],[Harvest Days October 2026]]/SUM(BedPlan[[#This Row],[Harvest Days January 2025]:[Harvest Days December 2026]])*BedPlan[[#This Row],[Revenue]:[Revenue]]</f>
        <v>0</v>
      </c>
      <c r="EE140" s="257" cm="1">
        <f t="array" ref="EE140">BedPlan[[#This Row],[Harvest Days November 2026]]/SUM(BedPlan[[#This Row],[Harvest Days January 2025]:[Harvest Days December 2026]])*BedPlan[[#This Row],[Revenue]:[Revenue]]</f>
        <v>0</v>
      </c>
      <c r="EF140" s="257" cm="1">
        <f t="array" ref="EF140">BedPlan[[#This Row],[Harvest Days December 2026]]/SUM(BedPlan[[#This Row],[Harvest Days January 2025]:[Harvest Days December 2026]])*BedPlan[[#This Row],[Revenue]:[Revenue]]</f>
        <v>0</v>
      </c>
      <c r="EG140" t="b">
        <f>SUM(BedPlan[[#This Row],[Revenue January 2025]:[Revenue December 2026]])=BedPlan[[#This Row],[Revenue]]</f>
        <v>1</v>
      </c>
      <c r="EH140" s="30" cm="1">
        <f t="array" ref="EH140">INDEX(Crops[],BedPlan[[#This Row],[Chart Index]],EH$4,1)*BedPlan[[#This Row],['# Of Beds]]</f>
        <v>50</v>
      </c>
      <c r="EI140" s="30" t="str" cm="1">
        <f t="array" ref="EI140">INDEX(Crops[],BedPlan[[#This Row],[Chart Index]],EI$4,1)</f>
        <v>Bunch</v>
      </c>
      <c r="EJ140" s="30" t="str" cm="1">
        <f t="array" ref="EJ140">INDEX(Crops[],BedPlan[[#This Row],[Chart Index]],EJ$4,1)</f>
        <v>Mature Root</v>
      </c>
      <c r="EK140" s="30" t="str">
        <f>BedPlan[[#This Row],[Name]]&amp;" "&amp;BedPlan[[#This Row],[Product]]&amp; " - " &amp;BedPlan[[#This Row],[Unit]]</f>
        <v>Turnip Mature Root - Bunch</v>
      </c>
      <c r="EL140" s="33" cm="1">
        <f t="array" ref="EL140">BedPlan[[#This Row],[Harvest Days January 2025]]/SUM(BedPlan[[#This Row],[Harvest Days January 2025]:[Harvest Days December 2026]])*BedPlan[[#This Row],[Yield]:[Yield]]</f>
        <v>0</v>
      </c>
      <c r="EM140" s="33" cm="1">
        <f t="array" ref="EM140">BedPlan[[#This Row],[Harvest Days February 2025]]/SUM(BedPlan[[#This Row],[Harvest Days January 2025]:[Harvest Days December 2026]])*BedPlan[[#This Row],[Yield]:[Yield]]</f>
        <v>0</v>
      </c>
      <c r="EN140" s="33" cm="1">
        <f t="array" ref="EN140">BedPlan[[#This Row],[Harvest Days March 2025]]/SUM(BedPlan[[#This Row],[Harvest Days January 2025]:[Harvest Days December 2026]])*BedPlan[[#This Row],[Yield]:[Yield]]</f>
        <v>0</v>
      </c>
      <c r="EO140" s="33" cm="1">
        <f t="array" ref="EO140">BedPlan[[#This Row],[Harvest Days April 2025]]/SUM(BedPlan[[#This Row],[Harvest Days January 2025]:[Harvest Days December 2026]])*BedPlan[[#This Row],[Yield]:[Yield]]</f>
        <v>0</v>
      </c>
      <c r="EP140" s="33" cm="1">
        <f t="array" ref="EP140">BedPlan[[#This Row],[Harvest Days May 2025]]/SUM(BedPlan[[#This Row],[Harvest Days January 2025]:[Harvest Days December 2026]])*BedPlan[[#This Row],[Yield]:[Yield]]</f>
        <v>0</v>
      </c>
      <c r="EQ140" s="33" cm="1">
        <f t="array" ref="EQ140">BedPlan[[#This Row],[Harvest Days June 2025]]/SUM(BedPlan[[#This Row],[Harvest Days January 2025]:[Harvest Days December 2026]])*BedPlan[[#This Row],[Yield]:[Yield]]</f>
        <v>0</v>
      </c>
      <c r="ER140" s="33" cm="1">
        <f t="array" ref="ER140">BedPlan[[#This Row],[Harvest Days July 2025]]/SUM(BedPlan[[#This Row],[Harvest Days January 2025]:[Harvest Days December 2026]])*BedPlan[[#This Row],[Yield]:[Yield]]</f>
        <v>0</v>
      </c>
      <c r="ES140" s="33" cm="1">
        <f t="array" ref="ES140">BedPlan[[#This Row],[Harvest Days August 2025]]/SUM(BedPlan[[#This Row],[Harvest Days January 2025]:[Harvest Days December 2026]])*BedPlan[[#This Row],[Yield]:[Yield]]</f>
        <v>0</v>
      </c>
      <c r="ET140" s="33" cm="1">
        <f t="array" ref="ET140">BedPlan[[#This Row],[Harvest Days September 2025]]/SUM(BedPlan[[#This Row],[Harvest Days January 2025]:[Harvest Days December 2026]])*BedPlan[[#This Row],[Yield]:[Yield]]</f>
        <v>50</v>
      </c>
      <c r="EU140" s="33" cm="1">
        <f t="array" ref="EU140">BedPlan[[#This Row],[Harvest Days October 2025]]/SUM(BedPlan[[#This Row],[Harvest Days January 2025]:[Harvest Days December 2026]])*BedPlan[[#This Row],[Yield]:[Yield]]</f>
        <v>0</v>
      </c>
      <c r="EV140" s="33" cm="1">
        <f t="array" ref="EV140">BedPlan[[#This Row],[Harvest Days November 2025]]/SUM(BedPlan[[#This Row],[Harvest Days January 2025]:[Harvest Days December 2026]])*BedPlan[[#This Row],[Yield]:[Yield]]</f>
        <v>0</v>
      </c>
      <c r="EW140" s="33" cm="1">
        <f t="array" ref="EW140">BedPlan[[#This Row],[Harvest Days December 2025]]/SUM(BedPlan[[#This Row],[Harvest Days January 2025]:[Harvest Days December 2026]])*BedPlan[[#This Row],[Yield]:[Yield]]</f>
        <v>0</v>
      </c>
    </row>
    <row r="141" spans="1:153" ht="15" customHeight="1">
      <c r="A141" s="191" t="s">
        <v>2750</v>
      </c>
      <c r="B141" s="240" t="s">
        <v>2753</v>
      </c>
      <c r="C141" s="226" t="s">
        <v>1454</v>
      </c>
      <c r="D141" s="226" cm="1">
        <f t="array" ref="D141">INDEX(Crops[],BedPlan[[#This Row],[Chart Index]],D$4,1)*BedPlan[[#This Row],[Full Bed Equivalent]]</f>
        <v>12.5</v>
      </c>
      <c r="E141" s="226" cm="1">
        <f t="array" ref="E141">INDEX(Crops[],BedPlan[[#This Row],[Chart Index]],E$4,1)*BedPlan[[#This Row],[Full Bed Equivalent]]</f>
        <v>50</v>
      </c>
      <c r="F141" s="34" t="str">
        <f>UPPER(LEFT(BedPlan[[#This Row],[Crop]],3))</f>
        <v>TUR</v>
      </c>
      <c r="G141" s="227"/>
      <c r="H141" s="143" t="str" cm="1">
        <f t="array" ref="H141">INDEX(Crops[],BedPlan[[#This Row],[Chart Index]],H$4,1)</f>
        <v>Turnip</v>
      </c>
      <c r="I141" s="227" t="s">
        <v>1686</v>
      </c>
      <c r="J141" s="227" t="s">
        <v>490</v>
      </c>
      <c r="K141" s="34" t="str" cm="1">
        <f t="array" ref="K141">IF(ISNUMBER(MATCH(BedPlan[[#This Row],[Variety]],SeedMixes[Name],)),_xlfn.TEXTJOIN(", ",TRUE,_xlfn._xlws.FILTER(SeedMixes[Variety &amp; Company],SeedMixes[Name]=BedPlan[[#This Row],[Variety]])),"")</f>
        <v/>
      </c>
      <c r="L141" s="229" cm="1">
        <f t="array" ref="L141">INDEX(Crops[],BedPlan[[#This Row],[Chart Index]],L$4,1)*BedPlan[[#This Row],[Full Bed Equivalent]]</f>
        <v>1040</v>
      </c>
      <c r="N141" s="227">
        <v>0.5</v>
      </c>
      <c r="O141" s="227">
        <f>MAX(BedPlan[[#This Row],['# Of Beds]],0.5)</f>
        <v>0.5</v>
      </c>
      <c r="P141" s="230">
        <v>45876</v>
      </c>
      <c r="Q141" s="261" t="str">
        <f>IF(BedPlan[[#This Row],[Days in Cells]]=0,"",IFERROR(_xlfn.XLOOKUP(BedPlan[[#This Row],[Follows Crop]],BedPlan[Identifier],BedPlan[Expected End of Harvest]) + 1+BedPlan[[#This Row],[Follow Offset]],BedPlan[[#This Row],[Fixed Field Start Date]])-BedPlan[[#This Row],[Days in Cells]])</f>
        <v/>
      </c>
      <c r="R141" s="261"/>
      <c r="S141" s="261" t="str">
        <f>IF(ISNUMBER(BedPlan[[#This Row],[Actual Greenhouse Date]]),BedPlan[[#This Row],[Actual Greenhouse Date]],BedPlan[[#This Row],[Planned Greenhouse Start Date]])</f>
        <v/>
      </c>
      <c r="T141" s="262">
        <v>45876</v>
      </c>
      <c r="U141" s="263"/>
      <c r="V141" s="263"/>
      <c r="W141"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45876</v>
      </c>
      <c r="X141" s="265">
        <v>45894</v>
      </c>
      <c r="Y141" s="270">
        <f>BedPlan[[#This Row],[Actual TP or DS Date]]-BedPlan[[#This Row],[Planned TP or DS Date]]</f>
        <v>18</v>
      </c>
      <c r="Z141" s="261">
        <f>IF(ISNUMBER(BedPlan[[#This Row],[Actual TP or DS Date]]),BedPlan[[#This Row],[Actual TP or DS Date]],BedPlan[[#This Row],[Planned TP or DS Date]])</f>
        <v>45894</v>
      </c>
      <c r="AA141" s="265"/>
      <c r="AB141" s="261">
        <f>IF(ISNUMBER(BedPlan[[#This Row],[Greenhouse Start Date]]),BedPlan[[#This Row],[Greenhouse Start Date]]+BedPlan[[#This Row],[DTM]],BedPlan[[#This Row],[TP or DS Date]]+BedPlan[[#This Row],[DTM]])</f>
        <v>45934</v>
      </c>
      <c r="AC141" s="265"/>
      <c r="AD141" s="261">
        <f>IF(ISNUMBER(BedPlan[[#This Row],[Actual Beginning of Harvest]]),BedPlan[[#This Row],[Actual Beginning of Harvest]],BedPlan[[#This Row],[Expected Beginning of Harvest]])</f>
        <v>45934</v>
      </c>
      <c r="AE141" s="261">
        <f>BedPlan[[#This Row],[Expected Beginning of Harvest]]+BedPlan[[#This Row],[Harvest Window]]+BedPlan[[#This Row],[Additional Days of Harvest]]</f>
        <v>45948</v>
      </c>
      <c r="AF141" s="265"/>
      <c r="AG141" s="261"/>
      <c r="AH141" s="230" t="b">
        <f>IF(AND( BedPlan[[#This Row],[Expected End of Harvest]] &gt;= DATE(2025, 8, 1), BedPlan[[#This Row],[Beginning of Harvest]] &lt;= DATE(2025, 8, 31) ), TRUE, FALSE)</f>
        <v>0</v>
      </c>
      <c r="AI141" s="230"/>
      <c r="AJ141" s="230">
        <f>IF(ISNUMBER(BedPlan[[#This Row],[Actual End of Harvest]]),BedPlan[[#This Row],[Actual End of Harvest]],BedPlan[[#This Row],[Expected End of Harvest]])</f>
        <v>45948</v>
      </c>
      <c r="AK141" s="34" t="b">
        <f>OR(ISNUMBER(BedPlan[[#This Row],[Actual Greenhouse Date]]),ISNUMBER(BedPlan[[#This Row],[Actual TP or DS Date]]))</f>
        <v>1</v>
      </c>
      <c r="AL141" s="34" t="str">
        <f>IF(ISNUMBER(BedPlan[[#This Row],[Planned Greenhouse Start Date]]),OR(ISNUMBER(BedPlan[[#This Row],[Actual TP or DS Date]]),BedPlan[[#This Row],[Failed]]),"-")</f>
        <v>-</v>
      </c>
      <c r="AM141" s="34" t="b">
        <f>OR(ISNUMBER(BedPlan[[#This Row],[Actual End of Harvest]]),BedPlan[[#This Row],[Failed]])</f>
        <v>0</v>
      </c>
      <c r="AN141" s="34" t="b">
        <f>OR(BedPlan[[#This Row],[Harvest Done]],BedPlan[[#This Row],[Failed]],BedPlan[[#This Row],[Name]]="Tarp")</f>
        <v>0</v>
      </c>
      <c r="AO141" s="34"/>
      <c r="AP141" s="34"/>
      <c r="AQ141" s="34"/>
      <c r="AR141" s="34"/>
      <c r="AS141" s="256" t="str">
        <f>IF(BedPlan[[#This Row],[Broadfork]],BedPlan[[#This Row],[Actual TP or DS Date]],"")</f>
        <v/>
      </c>
      <c r="AT141" s="256" t="str">
        <f>IF(BedPlan[[#This Row],[Tilther]],BedPlan[[#This Row],[Actual TP or DS Date]],"")</f>
        <v/>
      </c>
      <c r="AU141" s="256" t="str">
        <f>IF(NOT(ISBLANK(BedPlan[[#This Row],[Amend]])),BedPlan[[#This Row],[Actual TP or DS Date]],"")</f>
        <v/>
      </c>
      <c r="AV141" s="256" t="str">
        <f>IF(BedPlan[[#This Row],[Row Cover]],BedPlan[[#This Row],[Actual TP or DS Date]],"")</f>
        <v/>
      </c>
      <c r="AW141" s="34"/>
      <c r="AX141" s="256"/>
      <c r="AY141" s="34"/>
      <c r="AZ141" s="256"/>
      <c r="BA141" s="34"/>
      <c r="BB141" s="256"/>
      <c r="BC141" s="231" cm="1">
        <f t="array" ref="BC141">INDEX(Crops[],BedPlan[[#This Row],[Chart Index]],BC$4,1)*BedPlan[[#This Row],[Full Bed Equivalent]]</f>
        <v>137.5</v>
      </c>
      <c r="BD141" s="231" cm="1">
        <f t="array" ref="BD141">INDEX(Crops[],BedPlan[[#This Row],[Chart Index]],BD$4,1)*BedPlan[[#This Row],[Full Bed Equivalent]]</f>
        <v>2.5462962962962963</v>
      </c>
      <c r="BE141" cm="1">
        <f t="array" ref="BE141">INDEX(Crops[],BedPlan[[#This Row],[Chart Index]],BE$4,1)+BedPlan[[#This Row],[Additional Days in Cells]]+BedPlan[[#This Row],[Additional Days In Field]]</f>
        <v>40</v>
      </c>
      <c r="BG141" cm="1">
        <f t="array" ref="BG141">INDEX(Crops[],BedPlan[[#This Row],[Chart Index]],BG$4,1)</f>
        <v>14</v>
      </c>
      <c r="BH141" t="str">
        <f>IF(ISNUMBER(BedPlan[[#This Row],[Planned Greenhouse Start Date]]),"TP","DS")</f>
        <v>DS</v>
      </c>
      <c r="BI141">
        <f>BedPlan[[#This Row],['# Of Beds]]</f>
        <v>0.5</v>
      </c>
      <c r="BJ141" cm="1">
        <f t="array" ref="BJ141">INDEX(Crops[],BedPlan[[#This Row],[Chart Index]],BJ$4,1)</f>
        <v>0</v>
      </c>
      <c r="BK141" cm="1">
        <f t="array" ref="BK141">INDEX(Crops[],BedPlan[[#This Row],[Chart Index]],BK$4,1)</f>
        <v>4</v>
      </c>
      <c r="BL141" cm="1">
        <f t="array" ref="BL141">INDEX(Crops[],BedPlan[[#This Row],[Chart Index]],BL$4,1)</f>
        <v>1.5</v>
      </c>
      <c r="BM141" cm="1">
        <f t="array" ref="BM141">INDEX(Crops[],BedPlan[[#This Row],[Chart Index]],BM$4,1)</f>
        <v>1</v>
      </c>
      <c r="BN141" s="32" cm="1">
        <f t="array" ref="BN141">INDEX(Crops[],BedPlan[[#This Row],[Chart Index]],BN$4,1)*BedPlan[[#This Row],[Full Bed Equivalent]]</f>
        <v>800</v>
      </c>
      <c r="BO141" t="str" cm="1">
        <f t="array" ref="BO141">IF(INDEX(Crops[],BedPlan[[#This Row],[Chart Index]],BO$4,1)=0,"",INDEX(Crops[],BedPlan[[#This Row],[Chart Index]],BO$4,1))</f>
        <v/>
      </c>
      <c r="BP141">
        <f>MATCH(BedPlan[[#This Row],[Crop]],Crops[Identifier],FALSE)</f>
        <v>337</v>
      </c>
      <c r="BQ141" t="str" cm="1">
        <f t="array" ref="BQ141">INDEX(Crops[],BedPlan[[#This Row],[Chart Index]],BQ$4,1)</f>
        <v>Tokyo</v>
      </c>
      <c r="BR141" t="str" cm="1">
        <f t="array" ref="BR141">INDEX(Crops[],BedPlan[[#This Row],[Chart Index]],BR$4,1)</f>
        <v>SuFa</v>
      </c>
      <c r="BS141" s="32">
        <f>BedPlan[[#This Row],[Expected Beginning of Harvest]]-DATE(2023,1,1)</f>
        <v>1007</v>
      </c>
      <c r="BT141">
        <f>BedPlan[[#This Row],[Expected End of Harvest]]-BedPlan[[#This Row],[Expected Beginning of Harvest]]</f>
        <v>14</v>
      </c>
      <c r="BU141" t="str" cm="1">
        <f t="array" ref="BU141">INDEX(Crops[],BedPlan[[#This Row],[Chart Index]],BU$4,1)</f>
        <v>Root</v>
      </c>
      <c r="BV141" cm="1">
        <f t="array" ref="BV141">INDEX(Crops[],BedPlan[[#This Row],[Chart Index]],BV$4,1)</f>
        <v>2</v>
      </c>
      <c r="BW141" cm="1">
        <f t="array" ref="BW141">INDEX(Crops[],BedPlan[[#This Row],[Chart Index]],BW$4,1)</f>
        <v>0</v>
      </c>
      <c r="BX141" cm="1">
        <f t="array" ref="BX141">INDEX(Crops[],BedPlan[[#This Row],[Chart Index]],BX$4,1)</f>
        <v>0</v>
      </c>
      <c r="BY141" cm="1">
        <f t="array" ref="BY141">INDEX(Crops[],BedPlan[[#This Row],[Chart Index]],BY$4,1)</f>
        <v>0</v>
      </c>
      <c r="BZ141" s="49" t="str" cm="1">
        <f t="array" ref="BZ141">IFERROR(INDEX(Crops[],BedPlan[[#This Row],[Chart Index]],BZ$4,1)*BedPlan[[#This Row],[Full Bed Equivalent]],"")</f>
        <v/>
      </c>
      <c r="CA141" cm="1">
        <f t="array" ref="CA141">INDEX(Crops[],BedPlan[[#This Row],[Chart Index]],CA$4,1)</f>
        <v>0</v>
      </c>
      <c r="CB141" cm="1">
        <f t="array" ref="CB141">INDEX(Crops[],BedPlan[[#This Row],[Chart Index]],CB$4,1)</f>
        <v>0</v>
      </c>
      <c r="CC141" s="49" t="str" cm="1">
        <f t="array" ref="CC141">IFERROR(INDEX(Crops[],BedPlan[[#This Row],[Chart Index]],CC$4,1)*BedPlan[[#This Row],[Full Bed Equivalent]],"")</f>
        <v/>
      </c>
      <c r="CD141" cm="1">
        <f t="array" ref="CD141">INDEX(Crops[],BedPlan[[#This Row],[Chart Index]],CD$4,1)</f>
        <v>0</v>
      </c>
      <c r="CE141" cm="1">
        <f t="array" ref="CE141">IF(INDEX(Crops[],BedPlan[[#This Row],[Chart Index]],CE$4,1)="",0,INDEX(Crops[],BedPlan[[#This Row],[Chart Index]],CE$4,1))</f>
        <v>0</v>
      </c>
      <c r="CF141" s="49" t="str" cm="1">
        <f t="array" ref="CF141">IFERROR(INDEX(Crops[],BedPlan[[#This Row],[Chart Index]],CF$4,1)*BedPlan[[#This Row],[Full Bed Equivalent]],"")</f>
        <v/>
      </c>
      <c r="CG141" cm="1">
        <f t="array" ref="CG141">IF(INDEX(Crops[],BedPlan[[#This Row],[Chart Index]],CG$4,1)="",0,INDEX(Crops[],BedPlan[[#This Row],[Chart Index]],CG$4,1))</f>
        <v>1.3</v>
      </c>
      <c r="CH141" cm="1">
        <f t="array" ref="CH141">IF(INDEX(Crops[],BedPlan[[#This Row],[Chart Index]],CH$4,1)="",0,INDEX(Crops[],BedPlan[[#This Row],[Chart Index]],CH$4,1))</f>
        <v>0</v>
      </c>
      <c r="CI141" t="str" cm="1">
        <f t="array" ref="CI141">INDEX(Crops[],BedPlan[[#This Row],[Chart Index]],CI$4,1)</f>
        <v>Field</v>
      </c>
      <c r="CJ141" s="30" t="str">
        <f>_xlfn.TEXTJOIN(CHAR(10),FALSE,BedPlan[[#This Row],[Name]],BedPlan[[#This Row],[Variety]],BedPlan[[#This Row],[Company]])</f>
        <v>Turnip
Hakurei
Johnny's</v>
      </c>
      <c r="CK141" s="32">
        <f>MAX( 0, MIN(BedPlan[[#This Row],[Expected End of Harvest]], EOMONTH(CK$4, 0)) - MAX(BedPlan[[#This Row],[Beginning of Harvest]], CK$4) + 1 )</f>
        <v>0</v>
      </c>
      <c r="CL141">
        <f>MAX( 0, MIN(BedPlan[[#This Row],[Expected End of Harvest]], EOMONTH(CL$4, 0)) - MAX(BedPlan[[#This Row],[Beginning of Harvest]], CL$4) + 1 )</f>
        <v>0</v>
      </c>
      <c r="CM141">
        <f>MAX( 0, MIN(BedPlan[[#This Row],[Expected End of Harvest]], EOMONTH(CM$4, 0)) - MAX(BedPlan[[#This Row],[Beginning of Harvest]], CM$4) + 1 )</f>
        <v>0</v>
      </c>
      <c r="CN141">
        <f>MAX( 0, MIN(BedPlan[[#This Row],[Expected End of Harvest]], EOMONTH(CN$4, 0)) - MAX(BedPlan[[#This Row],[Beginning of Harvest]], CN$4) + 1 )</f>
        <v>0</v>
      </c>
      <c r="CO141">
        <f>MAX( 0, MIN(BedPlan[[#This Row],[Expected End of Harvest]], EOMONTH(CO$4, 0)) - MAX(BedPlan[[#This Row],[Beginning of Harvest]], CO$4) + 1 )</f>
        <v>0</v>
      </c>
      <c r="CP141">
        <f>MAX( 0, MIN(BedPlan[[#This Row],[Expected End of Harvest]], EOMONTH(CP$4, 0)) - MAX(BedPlan[[#This Row],[Beginning of Harvest]], CP$4) + 1 )</f>
        <v>0</v>
      </c>
      <c r="CQ141">
        <f>MAX( 0, MIN(BedPlan[[#This Row],[Expected End of Harvest]], EOMONTH(CQ$4, 0)) - MAX(BedPlan[[#This Row],[Beginning of Harvest]], CQ$4) + 1 )</f>
        <v>0</v>
      </c>
      <c r="CR141">
        <f>MAX( 0, MIN(BedPlan[[#This Row],[Expected End of Harvest]], EOMONTH(CR$4, 0)) - MAX(BedPlan[[#This Row],[Beginning of Harvest]], CR$4) + 1 )</f>
        <v>0</v>
      </c>
      <c r="CS141">
        <f>MAX( 0, MIN(BedPlan[[#This Row],[Expected End of Harvest]], EOMONTH(CS$4, 0)) - MAX(BedPlan[[#This Row],[Beginning of Harvest]], CS$4) + 1 )</f>
        <v>0</v>
      </c>
      <c r="CT141">
        <f>MAX( 0, MIN(BedPlan[[#This Row],[Expected End of Harvest]], EOMONTH(CT$4, 0)) - MAX(BedPlan[[#This Row],[Beginning of Harvest]], CT$4) + 1 )</f>
        <v>15</v>
      </c>
      <c r="CU141">
        <f>MAX( 0, MIN(BedPlan[[#This Row],[Expected End of Harvest]], EOMONTH(CU$4, 0)) - MAX(BedPlan[[#This Row],[Beginning of Harvest]], CU$4) + 1 )</f>
        <v>0</v>
      </c>
      <c r="CV141">
        <f>MAX( 0, MIN(BedPlan[[#This Row],[Expected End of Harvest]], EOMONTH(CV$4, 0)) - MAX(BedPlan[[#This Row],[Beginning of Harvest]], CV$4) + 1 )</f>
        <v>0</v>
      </c>
      <c r="CW141">
        <f>MAX( 0, MIN(BedPlan[[#This Row],[Expected End of Harvest]], EOMONTH(CW$4, 0)) - MAX(BedPlan[[#This Row],[Beginning of Harvest]], CW$4) + 1 )</f>
        <v>0</v>
      </c>
      <c r="CX141">
        <f>MAX( 0, MIN(BedPlan[[#This Row],[Expected End of Harvest]], EOMONTH(CX$4, 0)) - MAX(BedPlan[[#This Row],[Beginning of Harvest]], CX$4) + 1 )</f>
        <v>0</v>
      </c>
      <c r="CY141">
        <f>MAX( 0, MIN(BedPlan[[#This Row],[Expected End of Harvest]], EOMONTH(CY$4, 0)) - MAX(BedPlan[[#This Row],[Beginning of Harvest]], CY$4) + 1 )</f>
        <v>0</v>
      </c>
      <c r="CZ141">
        <f>MAX( 0, MIN(BedPlan[[#This Row],[Expected End of Harvest]], EOMONTH(CZ$4, 0)) - MAX(BedPlan[[#This Row],[Beginning of Harvest]], CZ$4) + 1 )</f>
        <v>0</v>
      </c>
      <c r="DA141">
        <f>MAX( 0, MIN(BedPlan[[#This Row],[Expected End of Harvest]], EOMONTH(DA$4, 0)) - MAX(BedPlan[[#This Row],[Beginning of Harvest]], DA$4) + 1 )</f>
        <v>0</v>
      </c>
      <c r="DB141">
        <f>MAX( 0, MIN(BedPlan[[#This Row],[Expected End of Harvest]], EOMONTH(DB$4, 0)) - MAX(BedPlan[[#This Row],[Beginning of Harvest]], DB$4) + 1 )</f>
        <v>0</v>
      </c>
      <c r="DC141">
        <f>MAX( 0, MIN(BedPlan[[#This Row],[Expected End of Harvest]], EOMONTH(DC$4, 0)) - MAX(BedPlan[[#This Row],[Beginning of Harvest]], DC$4) + 1 )</f>
        <v>0</v>
      </c>
      <c r="DD141">
        <f>MAX( 0, MIN(BedPlan[[#This Row],[Expected End of Harvest]], EOMONTH(DD$4, 0)) - MAX(BedPlan[[#This Row],[Beginning of Harvest]], DD$4) + 1 )</f>
        <v>0</v>
      </c>
      <c r="DE141">
        <f>MAX( 0, MIN(BedPlan[[#This Row],[Expected End of Harvest]], EOMONTH(DE$4, 0)) - MAX(BedPlan[[#This Row],[Beginning of Harvest]], DE$4) + 1 )</f>
        <v>0</v>
      </c>
      <c r="DF141">
        <f>MAX( 0, MIN(BedPlan[[#This Row],[Expected End of Harvest]], EOMONTH(DF$4, 0)) - MAX(BedPlan[[#This Row],[Beginning of Harvest]], DF$4) + 1 )</f>
        <v>0</v>
      </c>
      <c r="DG141">
        <f>MAX( 0, MIN(BedPlan[[#This Row],[Expected End of Harvest]], EOMONTH(DG$4, 0)) - MAX(BedPlan[[#This Row],[Beginning of Harvest]], DG$4) + 1 )</f>
        <v>0</v>
      </c>
      <c r="DH141">
        <f>MAX( 0, MIN(BedPlan[[#This Row],[Expected End of Harvest]], EOMONTH(DH$4, 0)) - MAX(BedPlan[[#This Row],[Beginning of Harvest]], DH$4) + 1 )</f>
        <v>0</v>
      </c>
      <c r="DI141" s="257" cm="1">
        <f t="array" ref="DI141">BedPlan[[#This Row],[Harvest Days January 2025]]/SUM(BedPlan[[#This Row],[Harvest Days January 2025]:[Harvest Days December 2026]])*BedPlan[[#This Row],[Revenue]:[Revenue]]</f>
        <v>0</v>
      </c>
      <c r="DJ141" s="257" cm="1">
        <f t="array" ref="DJ141">BedPlan[[#This Row],[Harvest Days February 2025]]/SUM(BedPlan[[#This Row],[Harvest Days January 2025]:[Harvest Days December 2026]])*BedPlan[[#This Row],[Revenue]:[Revenue]]</f>
        <v>0</v>
      </c>
      <c r="DK141" s="257" cm="1">
        <f t="array" ref="DK141">BedPlan[[#This Row],[Harvest Days March 2025]]/SUM(BedPlan[[#This Row],[Harvest Days January 2025]:[Harvest Days December 2026]])*BedPlan[[#This Row],[Revenue]:[Revenue]]</f>
        <v>0</v>
      </c>
      <c r="DL141" s="257" cm="1">
        <f t="array" ref="DL141">BedPlan[[#This Row],[Harvest Days April 2025]]/SUM(BedPlan[[#This Row],[Harvest Days January 2025]:[Harvest Days December 2026]])*BedPlan[[#This Row],[Revenue]:[Revenue]]</f>
        <v>0</v>
      </c>
      <c r="DM141" s="257" cm="1">
        <f t="array" ref="DM141">BedPlan[[#This Row],[Harvest Days May 2025]]/SUM(BedPlan[[#This Row],[Harvest Days January 2025]:[Harvest Days December 2026]])*BedPlan[[#This Row],[Revenue]:[Revenue]]</f>
        <v>0</v>
      </c>
      <c r="DN141" s="257" cm="1">
        <f t="array" ref="DN141">BedPlan[[#This Row],[Harvest Days June 2025]]/SUM(BedPlan[[#This Row],[Harvest Days January 2025]:[Harvest Days December 2026]])*BedPlan[[#This Row],[Revenue]:[Revenue]]</f>
        <v>0</v>
      </c>
      <c r="DO141" s="257" cm="1">
        <f t="array" ref="DO141">BedPlan[[#This Row],[Harvest Days July 2025]]/SUM(BedPlan[[#This Row],[Harvest Days January 2025]:[Harvest Days December 2026]])*BedPlan[[#This Row],[Revenue]:[Revenue]]</f>
        <v>0</v>
      </c>
      <c r="DP141" s="257" cm="1">
        <f t="array" ref="DP141">BedPlan[[#This Row],[Harvest Days August 2025]]/SUM(BedPlan[[#This Row],[Harvest Days January 2025]:[Harvest Days December 2026]])*BedPlan[[#This Row],[Revenue]:[Revenue]]</f>
        <v>0</v>
      </c>
      <c r="DQ141" s="257" cm="1">
        <f t="array" ref="DQ141">BedPlan[[#This Row],[Harvest Days September 2025]]/SUM(BedPlan[[#This Row],[Harvest Days January 2025]:[Harvest Days December 2026]])*BedPlan[[#This Row],[Revenue]:[Revenue]]</f>
        <v>0</v>
      </c>
      <c r="DR141" s="257" cm="1">
        <f t="array" ref="DR141">BedPlan[[#This Row],[Harvest Days October 2025]]/SUM(BedPlan[[#This Row],[Harvest Days January 2025]:[Harvest Days December 2026]])*BedPlan[[#This Row],[Revenue]:[Revenue]]</f>
        <v>137.5</v>
      </c>
      <c r="DS141" s="257" cm="1">
        <f t="array" ref="DS141">BedPlan[[#This Row],[Harvest Days November 2025]]/SUM(BedPlan[[#This Row],[Harvest Days January 2025]:[Harvest Days December 2026]])*BedPlan[[#This Row],[Revenue]:[Revenue]]</f>
        <v>0</v>
      </c>
      <c r="DT141" s="257" cm="1">
        <f t="array" ref="DT141">BedPlan[[#This Row],[Harvest Days December 2025]]/SUM(BedPlan[[#This Row],[Harvest Days January 2025]:[Harvest Days December 2026]])*BedPlan[[#This Row],[Revenue]:[Revenue]]</f>
        <v>0</v>
      </c>
      <c r="DU141" s="257" cm="1">
        <f t="array" ref="DU141">BedPlan[[#This Row],[Harvest Days January 2026]]/SUM(BedPlan[[#This Row],[Harvest Days January 2025]:[Harvest Days December 2026]])*BedPlan[[#This Row],[Revenue]:[Revenue]]</f>
        <v>0</v>
      </c>
      <c r="DV141" s="257" cm="1">
        <f t="array" ref="DV141">BedPlan[[#This Row],[Harvest Days February 2026]]/SUM(BedPlan[[#This Row],[Harvest Days January 2025]:[Harvest Days December 2026]])*BedPlan[[#This Row],[Revenue]:[Revenue]]</f>
        <v>0</v>
      </c>
      <c r="DW141" s="257" cm="1">
        <f t="array" ref="DW141">BedPlan[[#This Row],[Harvest Days March 2026]]/SUM(BedPlan[[#This Row],[Harvest Days January 2025]:[Harvest Days December 2026]])*BedPlan[[#This Row],[Revenue]:[Revenue]]</f>
        <v>0</v>
      </c>
      <c r="DX141" s="257" cm="1">
        <f t="array" ref="DX141">BedPlan[[#This Row],[Harvest Days April 2026]]/SUM(BedPlan[[#This Row],[Harvest Days January 2025]:[Harvest Days December 2026]])*BedPlan[[#This Row],[Revenue]:[Revenue]]</f>
        <v>0</v>
      </c>
      <c r="DY141" s="257" cm="1">
        <f t="array" ref="DY141">BedPlan[[#This Row],[Harvest Days May 2026]]/SUM(BedPlan[[#This Row],[Harvest Days January 2025]:[Harvest Days December 2026]])*BedPlan[[#This Row],[Revenue]:[Revenue]]</f>
        <v>0</v>
      </c>
      <c r="DZ141" s="257" cm="1">
        <f t="array" ref="DZ141">BedPlan[[#This Row],[Harvest Days June 2026]]/SUM(BedPlan[[#This Row],[Harvest Days January 2025]:[Harvest Days December 2026]])*BedPlan[[#This Row],[Revenue]:[Revenue]]</f>
        <v>0</v>
      </c>
      <c r="EA141" s="257" cm="1">
        <f t="array" ref="EA141">BedPlan[[#This Row],[Harvest Days July 2026]]/SUM(BedPlan[[#This Row],[Harvest Days January 2025]:[Harvest Days December 2026]])*BedPlan[[#This Row],[Revenue]:[Revenue]]</f>
        <v>0</v>
      </c>
      <c r="EB141" s="257" cm="1">
        <f t="array" ref="EB141">BedPlan[[#This Row],[Harvest Days August 2026]]/SUM(BedPlan[[#This Row],[Harvest Days January 2025]:[Harvest Days December 2026]])*BedPlan[[#This Row],[Revenue]:[Revenue]]</f>
        <v>0</v>
      </c>
      <c r="EC141" s="257" cm="1">
        <f t="array" ref="EC141">BedPlan[[#This Row],[Harvest Days September 2026]]/SUM(BedPlan[[#This Row],[Harvest Days January 2025]:[Harvest Days December 2026]])*BedPlan[[#This Row],[Revenue]:[Revenue]]</f>
        <v>0</v>
      </c>
      <c r="ED141" s="257" cm="1">
        <f t="array" ref="ED141">BedPlan[[#This Row],[Harvest Days October 2026]]/SUM(BedPlan[[#This Row],[Harvest Days January 2025]:[Harvest Days December 2026]])*BedPlan[[#This Row],[Revenue]:[Revenue]]</f>
        <v>0</v>
      </c>
      <c r="EE141" s="257" cm="1">
        <f t="array" ref="EE141">BedPlan[[#This Row],[Harvest Days November 2026]]/SUM(BedPlan[[#This Row],[Harvest Days January 2025]:[Harvest Days December 2026]])*BedPlan[[#This Row],[Revenue]:[Revenue]]</f>
        <v>0</v>
      </c>
      <c r="EF141" s="257" cm="1">
        <f t="array" ref="EF141">BedPlan[[#This Row],[Harvest Days December 2026]]/SUM(BedPlan[[#This Row],[Harvest Days January 2025]:[Harvest Days December 2026]])*BedPlan[[#This Row],[Revenue]:[Revenue]]</f>
        <v>0</v>
      </c>
      <c r="EG141" t="b">
        <f>SUM(BedPlan[[#This Row],[Revenue January 2025]:[Revenue December 2026]])=BedPlan[[#This Row],[Revenue]]</f>
        <v>1</v>
      </c>
      <c r="EH141" s="30" cm="1">
        <f t="array" ref="EH141">INDEX(Crops[],BedPlan[[#This Row],[Chart Index]],EH$4,1)*BedPlan[[#This Row],['# Of Beds]]</f>
        <v>50</v>
      </c>
      <c r="EI141" s="30" t="str" cm="1">
        <f t="array" ref="EI141">INDEX(Crops[],BedPlan[[#This Row],[Chart Index]],EI$4,1)</f>
        <v>Bunch</v>
      </c>
      <c r="EJ141" s="30" t="str" cm="1">
        <f t="array" ref="EJ141">INDEX(Crops[],BedPlan[[#This Row],[Chart Index]],EJ$4,1)</f>
        <v>Mature Root</v>
      </c>
      <c r="EK141" s="30" t="str">
        <f>BedPlan[[#This Row],[Name]]&amp;" "&amp;BedPlan[[#This Row],[Product]]&amp; " - " &amp;BedPlan[[#This Row],[Unit]]</f>
        <v>Turnip Mature Root - Bunch</v>
      </c>
      <c r="EL141" s="33" cm="1">
        <f t="array" ref="EL141">BedPlan[[#This Row],[Harvest Days January 2025]]/SUM(BedPlan[[#This Row],[Harvest Days January 2025]:[Harvest Days December 2026]])*BedPlan[[#This Row],[Yield]:[Yield]]</f>
        <v>0</v>
      </c>
      <c r="EM141" s="33" cm="1">
        <f t="array" ref="EM141">BedPlan[[#This Row],[Harvest Days February 2025]]/SUM(BedPlan[[#This Row],[Harvest Days January 2025]:[Harvest Days December 2026]])*BedPlan[[#This Row],[Yield]:[Yield]]</f>
        <v>0</v>
      </c>
      <c r="EN141" s="33" cm="1">
        <f t="array" ref="EN141">BedPlan[[#This Row],[Harvest Days March 2025]]/SUM(BedPlan[[#This Row],[Harvest Days January 2025]:[Harvest Days December 2026]])*BedPlan[[#This Row],[Yield]:[Yield]]</f>
        <v>0</v>
      </c>
      <c r="EO141" s="33" cm="1">
        <f t="array" ref="EO141">BedPlan[[#This Row],[Harvest Days April 2025]]/SUM(BedPlan[[#This Row],[Harvest Days January 2025]:[Harvest Days December 2026]])*BedPlan[[#This Row],[Yield]:[Yield]]</f>
        <v>0</v>
      </c>
      <c r="EP141" s="33" cm="1">
        <f t="array" ref="EP141">BedPlan[[#This Row],[Harvest Days May 2025]]/SUM(BedPlan[[#This Row],[Harvest Days January 2025]:[Harvest Days December 2026]])*BedPlan[[#This Row],[Yield]:[Yield]]</f>
        <v>0</v>
      </c>
      <c r="EQ141" s="33" cm="1">
        <f t="array" ref="EQ141">BedPlan[[#This Row],[Harvest Days June 2025]]/SUM(BedPlan[[#This Row],[Harvest Days January 2025]:[Harvest Days December 2026]])*BedPlan[[#This Row],[Yield]:[Yield]]</f>
        <v>0</v>
      </c>
      <c r="ER141" s="33" cm="1">
        <f t="array" ref="ER141">BedPlan[[#This Row],[Harvest Days July 2025]]/SUM(BedPlan[[#This Row],[Harvest Days January 2025]:[Harvest Days December 2026]])*BedPlan[[#This Row],[Yield]:[Yield]]</f>
        <v>0</v>
      </c>
      <c r="ES141" s="33" cm="1">
        <f t="array" ref="ES141">BedPlan[[#This Row],[Harvest Days August 2025]]/SUM(BedPlan[[#This Row],[Harvest Days January 2025]:[Harvest Days December 2026]])*BedPlan[[#This Row],[Yield]:[Yield]]</f>
        <v>0</v>
      </c>
      <c r="ET141" s="33" cm="1">
        <f t="array" ref="ET141">BedPlan[[#This Row],[Harvest Days September 2025]]/SUM(BedPlan[[#This Row],[Harvest Days January 2025]:[Harvest Days December 2026]])*BedPlan[[#This Row],[Yield]:[Yield]]</f>
        <v>0</v>
      </c>
      <c r="EU141" s="33" cm="1">
        <f t="array" ref="EU141">BedPlan[[#This Row],[Harvest Days October 2025]]/SUM(BedPlan[[#This Row],[Harvest Days January 2025]:[Harvest Days December 2026]])*BedPlan[[#This Row],[Yield]:[Yield]]</f>
        <v>50</v>
      </c>
      <c r="EV141" s="33" cm="1">
        <f t="array" ref="EV141">BedPlan[[#This Row],[Harvest Days November 2025]]/SUM(BedPlan[[#This Row],[Harvest Days January 2025]:[Harvest Days December 2026]])*BedPlan[[#This Row],[Yield]:[Yield]]</f>
        <v>0</v>
      </c>
      <c r="EW141" s="33" cm="1">
        <f t="array" ref="EW141">BedPlan[[#This Row],[Harvest Days December 2025]]/SUM(BedPlan[[#This Row],[Harvest Days January 2025]:[Harvest Days December 2026]])*BedPlan[[#This Row],[Yield]:[Yield]]</f>
        <v>0</v>
      </c>
    </row>
    <row r="142" spans="1:153" ht="15" customHeight="1">
      <c r="A142" s="191" t="s">
        <v>2750</v>
      </c>
      <c r="B142" s="240" t="s">
        <v>3272</v>
      </c>
      <c r="C142" s="226" t="s">
        <v>1470</v>
      </c>
      <c r="D142" s="226" cm="1">
        <f t="array" ref="D142">INDEX(Crops[],BedPlan[[#This Row],[Chart Index]],D$4,1)*BedPlan[[#This Row],[Full Bed Equivalent]]</f>
        <v>12.5</v>
      </c>
      <c r="E142" s="226" cm="1">
        <f t="array" ref="E142">INDEX(Crops[],BedPlan[[#This Row],[Chart Index]],E$4,1)*BedPlan[[#This Row],[Full Bed Equivalent]]</f>
        <v>50</v>
      </c>
      <c r="F142" s="34" t="str">
        <f>UPPER(LEFT(BedPlan[[#This Row],[Crop]],3))</f>
        <v>TUR</v>
      </c>
      <c r="G142" s="227"/>
      <c r="H142" s="143" t="str" cm="1">
        <f t="array" ref="H142">INDEX(Crops[],BedPlan[[#This Row],[Chart Index]],H$4,1)</f>
        <v>Turnip</v>
      </c>
      <c r="I142" s="227" t="s">
        <v>1686</v>
      </c>
      <c r="J142" s="227" t="s">
        <v>490</v>
      </c>
      <c r="K142" s="34" t="str" cm="1">
        <f t="array" ref="K142">IF(ISNUMBER(MATCH(BedPlan[[#This Row],[Variety]],SeedMixes[Name],)),_xlfn.TEXTJOIN(", ",TRUE,_xlfn._xlws.FILTER(SeedMixes[Variety &amp; Company],SeedMixes[Name]=BedPlan[[#This Row],[Variety]])),"")</f>
        <v/>
      </c>
      <c r="L142" s="229" cm="1">
        <f t="array" ref="L142">INDEX(Crops[],BedPlan[[#This Row],[Chart Index]],L$4,1)*BedPlan[[#This Row],[Full Bed Equivalent]]</f>
        <v>1040</v>
      </c>
      <c r="N142" s="227">
        <v>0.5</v>
      </c>
      <c r="O142" s="227">
        <f>MAX(BedPlan[[#This Row],['# Of Beds]],0.5)</f>
        <v>0.5</v>
      </c>
      <c r="P142" s="230">
        <f>IF(ISNUMBER(BedPlan[[#This Row],[Planned Greenhouse Start Date]]),BedPlan[[#This Row],[Planned Greenhouse Start Date]],BedPlan[[#This Row],[Planned TP or DS Date]])</f>
        <v>45889</v>
      </c>
      <c r="Q142" s="261" t="str">
        <f>IF(BedPlan[[#This Row],[Days in Cells]]=0,"",IFERROR(_xlfn.XLOOKUP(BedPlan[[#This Row],[Follows Crop]],BedPlan[Identifier],BedPlan[Expected End of Harvest]) + 1+BedPlan[[#This Row],[Follow Offset]],BedPlan[[#This Row],[Fixed Field Start Date]])-BedPlan[[#This Row],[Days in Cells]])</f>
        <v/>
      </c>
      <c r="R142" s="261"/>
      <c r="S142" s="261" t="str">
        <f>IF(ISNUMBER(BedPlan[[#This Row],[Actual Greenhouse Date]]),BedPlan[[#This Row],[Actual Greenhouse Date]],BedPlan[[#This Row],[Planned Greenhouse Start Date]])</f>
        <v/>
      </c>
      <c r="T142" s="262">
        <v>45889</v>
      </c>
      <c r="U142" s="263"/>
      <c r="V142" s="263"/>
      <c r="W142"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45889</v>
      </c>
      <c r="X142" s="265"/>
      <c r="Y142" s="270">
        <f>BedPlan[[#This Row],[Actual TP or DS Date]]-BedPlan[[#This Row],[Planned TP or DS Date]]</f>
        <v>-45889</v>
      </c>
      <c r="Z142" s="261">
        <f>IF(ISNUMBER(BedPlan[[#This Row],[Actual TP or DS Date]]),BedPlan[[#This Row],[Actual TP or DS Date]],BedPlan[[#This Row],[Planned TP or DS Date]])</f>
        <v>45889</v>
      </c>
      <c r="AA142" s="265"/>
      <c r="AB142" s="261">
        <f>IF(ISNUMBER(BedPlan[[#This Row],[Greenhouse Start Date]]),BedPlan[[#This Row],[Greenhouse Start Date]]+BedPlan[[#This Row],[DTM]],BedPlan[[#This Row],[TP or DS Date]]+BedPlan[[#This Row],[DTM]])</f>
        <v>45929</v>
      </c>
      <c r="AC142" s="265"/>
      <c r="AD142" s="261">
        <f>IF(ISNUMBER(BedPlan[[#This Row],[Actual Beginning of Harvest]]),BedPlan[[#This Row],[Actual Beginning of Harvest]],BedPlan[[#This Row],[Expected Beginning of Harvest]])</f>
        <v>45929</v>
      </c>
      <c r="AE142" s="261">
        <f>BedPlan[[#This Row],[Expected Beginning of Harvest]]+BedPlan[[#This Row],[Harvest Window]]+BedPlan[[#This Row],[Additional Days of Harvest]]</f>
        <v>45943</v>
      </c>
      <c r="AF142" s="265"/>
      <c r="AG142" s="261"/>
      <c r="AH142" s="230" t="b">
        <f>IF(AND( BedPlan[[#This Row],[Expected End of Harvest]] &gt;= DATE(2025, 8, 1), BedPlan[[#This Row],[Beginning of Harvest]] &lt;= DATE(2025, 8, 31) ), TRUE, FALSE)</f>
        <v>0</v>
      </c>
      <c r="AI142" s="230"/>
      <c r="AJ142" s="230">
        <f>IF(ISNUMBER(BedPlan[[#This Row],[Actual End of Harvest]]),BedPlan[[#This Row],[Actual End of Harvest]],BedPlan[[#This Row],[Expected End of Harvest]])</f>
        <v>45943</v>
      </c>
      <c r="AK142" s="34" t="b">
        <f>OR(ISNUMBER(BedPlan[[#This Row],[Actual Greenhouse Date]]),ISNUMBER(BedPlan[[#This Row],[Actual TP or DS Date]]))</f>
        <v>0</v>
      </c>
      <c r="AL142" s="34" t="str">
        <f>IF(ISNUMBER(BedPlan[[#This Row],[Planned Greenhouse Start Date]]),OR(ISNUMBER(BedPlan[[#This Row],[Actual TP or DS Date]]),BedPlan[[#This Row],[Failed]]),"-")</f>
        <v>-</v>
      </c>
      <c r="AM142" s="34" t="b">
        <f>OR(ISNUMBER(BedPlan[[#This Row],[Actual End of Harvest]]),BedPlan[[#This Row],[Failed]])</f>
        <v>0</v>
      </c>
      <c r="AN142" s="34" t="b">
        <f>OR(BedPlan[[#This Row],[Harvest Done]],BedPlan[[#This Row],[Failed]],BedPlan[[#This Row],[Name]]="Tarp")</f>
        <v>0</v>
      </c>
      <c r="AO142" s="34"/>
      <c r="AP142" s="34"/>
      <c r="AQ142" s="34"/>
      <c r="AR142" s="34"/>
      <c r="AS142" s="256" t="str">
        <f>IF(BedPlan[[#This Row],[Broadfork]],BedPlan[[#This Row],[Actual TP or DS Date]],"")</f>
        <v/>
      </c>
      <c r="AT142" s="256" t="str">
        <f>IF(BedPlan[[#This Row],[Tilther]],BedPlan[[#This Row],[Actual TP or DS Date]],"")</f>
        <v/>
      </c>
      <c r="AU142" s="256" t="str">
        <f>IF(NOT(ISBLANK(BedPlan[[#This Row],[Amend]])),BedPlan[[#This Row],[Actual TP or DS Date]],"")</f>
        <v/>
      </c>
      <c r="AV142" s="256" t="str">
        <f>IF(BedPlan[[#This Row],[Row Cover]],BedPlan[[#This Row],[Actual TP or DS Date]],"")</f>
        <v/>
      </c>
      <c r="AW142" s="34"/>
      <c r="AX142" s="256"/>
      <c r="AY142" s="34"/>
      <c r="AZ142" s="256"/>
      <c r="BA142" s="34"/>
      <c r="BB142" s="256"/>
      <c r="BC142" s="231" cm="1">
        <f t="array" ref="BC142">INDEX(Crops[],BedPlan[[#This Row],[Chart Index]],BC$4,1)*BedPlan[[#This Row],[Full Bed Equivalent]]</f>
        <v>137.5</v>
      </c>
      <c r="BD142" s="231" cm="1">
        <f t="array" ref="BD142">INDEX(Crops[],BedPlan[[#This Row],[Chart Index]],BD$4,1)*BedPlan[[#This Row],[Full Bed Equivalent]]</f>
        <v>2.5462962962962963</v>
      </c>
      <c r="BE142" cm="1">
        <f t="array" ref="BE142">INDEX(Crops[],BedPlan[[#This Row],[Chart Index]],BE$4,1)+BedPlan[[#This Row],[Additional Days in Cells]]+BedPlan[[#This Row],[Additional Days In Field]]</f>
        <v>40</v>
      </c>
      <c r="BG142" cm="1">
        <f t="array" ref="BG142">INDEX(Crops[],BedPlan[[#This Row],[Chart Index]],BG$4,1)</f>
        <v>14</v>
      </c>
      <c r="BH142" t="str">
        <f>IF(ISNUMBER(BedPlan[[#This Row],[Planned Greenhouse Start Date]]),"TP","DS")</f>
        <v>DS</v>
      </c>
      <c r="BI142">
        <f>BedPlan[[#This Row],['# Of Beds]]</f>
        <v>0.5</v>
      </c>
      <c r="BJ142" cm="1">
        <f t="array" ref="BJ142">INDEX(Crops[],BedPlan[[#This Row],[Chart Index]],BJ$4,1)</f>
        <v>0</v>
      </c>
      <c r="BK142" cm="1">
        <f t="array" ref="BK142">INDEX(Crops[],BedPlan[[#This Row],[Chart Index]],BK$4,1)</f>
        <v>4</v>
      </c>
      <c r="BL142" cm="1">
        <f t="array" ref="BL142">INDEX(Crops[],BedPlan[[#This Row],[Chart Index]],BL$4,1)</f>
        <v>1.5</v>
      </c>
      <c r="BM142" cm="1">
        <f t="array" ref="BM142">INDEX(Crops[],BedPlan[[#This Row],[Chart Index]],BM$4,1)</f>
        <v>1</v>
      </c>
      <c r="BN142" s="32" cm="1">
        <f t="array" ref="BN142">INDEX(Crops[],BedPlan[[#This Row],[Chart Index]],BN$4,1)*BedPlan[[#This Row],[Full Bed Equivalent]]</f>
        <v>800</v>
      </c>
      <c r="BO142" t="str" cm="1">
        <f t="array" ref="BO142">IF(INDEX(Crops[],BedPlan[[#This Row],[Chart Index]],BO$4,1)=0,"",INDEX(Crops[],BedPlan[[#This Row],[Chart Index]],BO$4,1))</f>
        <v/>
      </c>
      <c r="BP142">
        <f>MATCH(BedPlan[[#This Row],[Crop]],Crops[Identifier],FALSE)</f>
        <v>337</v>
      </c>
      <c r="BQ142" t="str" cm="1">
        <f t="array" ref="BQ142">INDEX(Crops[],BedPlan[[#This Row],[Chart Index]],BQ$4,1)</f>
        <v>Tokyo</v>
      </c>
      <c r="BR142" t="str" cm="1">
        <f t="array" ref="BR142">INDEX(Crops[],BedPlan[[#This Row],[Chart Index]],BR$4,1)</f>
        <v>SuFa</v>
      </c>
      <c r="BS142" s="32">
        <f>BedPlan[[#This Row],[Expected Beginning of Harvest]]-DATE(2023,1,1)</f>
        <v>1002</v>
      </c>
      <c r="BT142">
        <f>BedPlan[[#This Row],[Expected End of Harvest]]-BedPlan[[#This Row],[Expected Beginning of Harvest]]</f>
        <v>14</v>
      </c>
      <c r="BU142" t="str" cm="1">
        <f t="array" ref="BU142">INDEX(Crops[],BedPlan[[#This Row],[Chart Index]],BU$4,1)</f>
        <v>Root</v>
      </c>
      <c r="BV142" cm="1">
        <f t="array" ref="BV142">INDEX(Crops[],BedPlan[[#This Row],[Chart Index]],BV$4,1)</f>
        <v>2</v>
      </c>
      <c r="BW142" cm="1">
        <f t="array" ref="BW142">INDEX(Crops[],BedPlan[[#This Row],[Chart Index]],BW$4,1)</f>
        <v>0</v>
      </c>
      <c r="BX142" cm="1">
        <f t="array" ref="BX142">INDEX(Crops[],BedPlan[[#This Row],[Chart Index]],BX$4,1)</f>
        <v>0</v>
      </c>
      <c r="BY142" cm="1">
        <f t="array" ref="BY142">INDEX(Crops[],BedPlan[[#This Row],[Chart Index]],BY$4,1)</f>
        <v>0</v>
      </c>
      <c r="BZ142" s="49" t="str" cm="1">
        <f t="array" ref="BZ142">IFERROR(INDEX(Crops[],BedPlan[[#This Row],[Chart Index]],BZ$4,1)*BedPlan[[#This Row],[Full Bed Equivalent]],"")</f>
        <v/>
      </c>
      <c r="CA142" cm="1">
        <f t="array" ref="CA142">INDEX(Crops[],BedPlan[[#This Row],[Chart Index]],CA$4,1)</f>
        <v>0</v>
      </c>
      <c r="CB142" cm="1">
        <f t="array" ref="CB142">INDEX(Crops[],BedPlan[[#This Row],[Chart Index]],CB$4,1)</f>
        <v>0</v>
      </c>
      <c r="CC142" s="49" t="str" cm="1">
        <f t="array" ref="CC142">IFERROR(INDEX(Crops[],BedPlan[[#This Row],[Chart Index]],CC$4,1)*BedPlan[[#This Row],[Full Bed Equivalent]],"")</f>
        <v/>
      </c>
      <c r="CD142" cm="1">
        <f t="array" ref="CD142">INDEX(Crops[],BedPlan[[#This Row],[Chart Index]],CD$4,1)</f>
        <v>0</v>
      </c>
      <c r="CE142" cm="1">
        <f t="array" ref="CE142">IF(INDEX(Crops[],BedPlan[[#This Row],[Chart Index]],CE$4,1)="",0,INDEX(Crops[],BedPlan[[#This Row],[Chart Index]],CE$4,1))</f>
        <v>0</v>
      </c>
      <c r="CF142" s="49" t="str" cm="1">
        <f t="array" ref="CF142">IFERROR(INDEX(Crops[],BedPlan[[#This Row],[Chart Index]],CF$4,1)*BedPlan[[#This Row],[Full Bed Equivalent]],"")</f>
        <v/>
      </c>
      <c r="CG142" cm="1">
        <f t="array" ref="CG142">IF(INDEX(Crops[],BedPlan[[#This Row],[Chart Index]],CG$4,1)="",0,INDEX(Crops[],BedPlan[[#This Row],[Chart Index]],CG$4,1))</f>
        <v>1.3</v>
      </c>
      <c r="CH142" cm="1">
        <f t="array" ref="CH142">IF(INDEX(Crops[],BedPlan[[#This Row],[Chart Index]],CH$4,1)="",0,INDEX(Crops[],BedPlan[[#This Row],[Chart Index]],CH$4,1))</f>
        <v>0</v>
      </c>
      <c r="CI142" t="str" cm="1">
        <f t="array" ref="CI142">INDEX(Crops[],BedPlan[[#This Row],[Chart Index]],CI$4,1)</f>
        <v>Field</v>
      </c>
      <c r="CJ142" s="30" t="str">
        <f>_xlfn.TEXTJOIN(CHAR(10),FALSE,BedPlan[[#This Row],[Name]],BedPlan[[#This Row],[Variety]],BedPlan[[#This Row],[Company]])</f>
        <v>Turnip
Hakurei
Johnny's</v>
      </c>
      <c r="CK142" s="32">
        <f>MAX( 0, MIN(BedPlan[[#This Row],[Expected End of Harvest]], EOMONTH(CK$4, 0)) - MAX(BedPlan[[#This Row],[Beginning of Harvest]], CK$4) + 1 )</f>
        <v>0</v>
      </c>
      <c r="CL142">
        <f>MAX( 0, MIN(BedPlan[[#This Row],[Expected End of Harvest]], EOMONTH(CL$4, 0)) - MAX(BedPlan[[#This Row],[Beginning of Harvest]], CL$4) + 1 )</f>
        <v>0</v>
      </c>
      <c r="CM142">
        <f>MAX( 0, MIN(BedPlan[[#This Row],[Expected End of Harvest]], EOMONTH(CM$4, 0)) - MAX(BedPlan[[#This Row],[Beginning of Harvest]], CM$4) + 1 )</f>
        <v>0</v>
      </c>
      <c r="CN142">
        <f>MAX( 0, MIN(BedPlan[[#This Row],[Expected End of Harvest]], EOMONTH(CN$4, 0)) - MAX(BedPlan[[#This Row],[Beginning of Harvest]], CN$4) + 1 )</f>
        <v>0</v>
      </c>
      <c r="CO142">
        <f>MAX( 0, MIN(BedPlan[[#This Row],[Expected End of Harvest]], EOMONTH(CO$4, 0)) - MAX(BedPlan[[#This Row],[Beginning of Harvest]], CO$4) + 1 )</f>
        <v>0</v>
      </c>
      <c r="CP142">
        <f>MAX( 0, MIN(BedPlan[[#This Row],[Expected End of Harvest]], EOMONTH(CP$4, 0)) - MAX(BedPlan[[#This Row],[Beginning of Harvest]], CP$4) + 1 )</f>
        <v>0</v>
      </c>
      <c r="CQ142">
        <f>MAX( 0, MIN(BedPlan[[#This Row],[Expected End of Harvest]], EOMONTH(CQ$4, 0)) - MAX(BedPlan[[#This Row],[Beginning of Harvest]], CQ$4) + 1 )</f>
        <v>0</v>
      </c>
      <c r="CR142">
        <f>MAX( 0, MIN(BedPlan[[#This Row],[Expected End of Harvest]], EOMONTH(CR$4, 0)) - MAX(BedPlan[[#This Row],[Beginning of Harvest]], CR$4) + 1 )</f>
        <v>0</v>
      </c>
      <c r="CS142">
        <f>MAX( 0, MIN(BedPlan[[#This Row],[Expected End of Harvest]], EOMONTH(CS$4, 0)) - MAX(BedPlan[[#This Row],[Beginning of Harvest]], CS$4) + 1 )</f>
        <v>2</v>
      </c>
      <c r="CT142">
        <f>MAX( 0, MIN(BedPlan[[#This Row],[Expected End of Harvest]], EOMONTH(CT$4, 0)) - MAX(BedPlan[[#This Row],[Beginning of Harvest]], CT$4) + 1 )</f>
        <v>13</v>
      </c>
      <c r="CU142">
        <f>MAX( 0, MIN(BedPlan[[#This Row],[Expected End of Harvest]], EOMONTH(CU$4, 0)) - MAX(BedPlan[[#This Row],[Beginning of Harvest]], CU$4) + 1 )</f>
        <v>0</v>
      </c>
      <c r="CV142">
        <f>MAX( 0, MIN(BedPlan[[#This Row],[Expected End of Harvest]], EOMONTH(CV$4, 0)) - MAX(BedPlan[[#This Row],[Beginning of Harvest]], CV$4) + 1 )</f>
        <v>0</v>
      </c>
      <c r="CW142">
        <f>MAX( 0, MIN(BedPlan[[#This Row],[Expected End of Harvest]], EOMONTH(CW$4, 0)) - MAX(BedPlan[[#This Row],[Beginning of Harvest]], CW$4) + 1 )</f>
        <v>0</v>
      </c>
      <c r="CX142">
        <f>MAX( 0, MIN(BedPlan[[#This Row],[Expected End of Harvest]], EOMONTH(CX$4, 0)) - MAX(BedPlan[[#This Row],[Beginning of Harvest]], CX$4) + 1 )</f>
        <v>0</v>
      </c>
      <c r="CY142">
        <f>MAX( 0, MIN(BedPlan[[#This Row],[Expected End of Harvest]], EOMONTH(CY$4, 0)) - MAX(BedPlan[[#This Row],[Beginning of Harvest]], CY$4) + 1 )</f>
        <v>0</v>
      </c>
      <c r="CZ142">
        <f>MAX( 0, MIN(BedPlan[[#This Row],[Expected End of Harvest]], EOMONTH(CZ$4, 0)) - MAX(BedPlan[[#This Row],[Beginning of Harvest]], CZ$4) + 1 )</f>
        <v>0</v>
      </c>
      <c r="DA142">
        <f>MAX( 0, MIN(BedPlan[[#This Row],[Expected End of Harvest]], EOMONTH(DA$4, 0)) - MAX(BedPlan[[#This Row],[Beginning of Harvest]], DA$4) + 1 )</f>
        <v>0</v>
      </c>
      <c r="DB142">
        <f>MAX( 0, MIN(BedPlan[[#This Row],[Expected End of Harvest]], EOMONTH(DB$4, 0)) - MAX(BedPlan[[#This Row],[Beginning of Harvest]], DB$4) + 1 )</f>
        <v>0</v>
      </c>
      <c r="DC142">
        <f>MAX( 0, MIN(BedPlan[[#This Row],[Expected End of Harvest]], EOMONTH(DC$4, 0)) - MAX(BedPlan[[#This Row],[Beginning of Harvest]], DC$4) + 1 )</f>
        <v>0</v>
      </c>
      <c r="DD142">
        <f>MAX( 0, MIN(BedPlan[[#This Row],[Expected End of Harvest]], EOMONTH(DD$4, 0)) - MAX(BedPlan[[#This Row],[Beginning of Harvest]], DD$4) + 1 )</f>
        <v>0</v>
      </c>
      <c r="DE142">
        <f>MAX( 0, MIN(BedPlan[[#This Row],[Expected End of Harvest]], EOMONTH(DE$4, 0)) - MAX(BedPlan[[#This Row],[Beginning of Harvest]], DE$4) + 1 )</f>
        <v>0</v>
      </c>
      <c r="DF142">
        <f>MAX( 0, MIN(BedPlan[[#This Row],[Expected End of Harvest]], EOMONTH(DF$4, 0)) - MAX(BedPlan[[#This Row],[Beginning of Harvest]], DF$4) + 1 )</f>
        <v>0</v>
      </c>
      <c r="DG142">
        <f>MAX( 0, MIN(BedPlan[[#This Row],[Expected End of Harvest]], EOMONTH(DG$4, 0)) - MAX(BedPlan[[#This Row],[Beginning of Harvest]], DG$4) + 1 )</f>
        <v>0</v>
      </c>
      <c r="DH142">
        <f>MAX( 0, MIN(BedPlan[[#This Row],[Expected End of Harvest]], EOMONTH(DH$4, 0)) - MAX(BedPlan[[#This Row],[Beginning of Harvest]], DH$4) + 1 )</f>
        <v>0</v>
      </c>
      <c r="DI142" s="257" cm="1">
        <f t="array" ref="DI142">BedPlan[[#This Row],[Harvest Days January 2025]]/SUM(BedPlan[[#This Row],[Harvest Days January 2025]:[Harvest Days December 2026]])*BedPlan[[#This Row],[Revenue]:[Revenue]]</f>
        <v>0</v>
      </c>
      <c r="DJ142" s="257" cm="1">
        <f t="array" ref="DJ142">BedPlan[[#This Row],[Harvest Days February 2025]]/SUM(BedPlan[[#This Row],[Harvest Days January 2025]:[Harvest Days December 2026]])*BedPlan[[#This Row],[Revenue]:[Revenue]]</f>
        <v>0</v>
      </c>
      <c r="DK142" s="257" cm="1">
        <f t="array" ref="DK142">BedPlan[[#This Row],[Harvest Days March 2025]]/SUM(BedPlan[[#This Row],[Harvest Days January 2025]:[Harvest Days December 2026]])*BedPlan[[#This Row],[Revenue]:[Revenue]]</f>
        <v>0</v>
      </c>
      <c r="DL142" s="257" cm="1">
        <f t="array" ref="DL142">BedPlan[[#This Row],[Harvest Days April 2025]]/SUM(BedPlan[[#This Row],[Harvest Days January 2025]:[Harvest Days December 2026]])*BedPlan[[#This Row],[Revenue]:[Revenue]]</f>
        <v>0</v>
      </c>
      <c r="DM142" s="257" cm="1">
        <f t="array" ref="DM142">BedPlan[[#This Row],[Harvest Days May 2025]]/SUM(BedPlan[[#This Row],[Harvest Days January 2025]:[Harvest Days December 2026]])*BedPlan[[#This Row],[Revenue]:[Revenue]]</f>
        <v>0</v>
      </c>
      <c r="DN142" s="257" cm="1">
        <f t="array" ref="DN142">BedPlan[[#This Row],[Harvest Days June 2025]]/SUM(BedPlan[[#This Row],[Harvest Days January 2025]:[Harvest Days December 2026]])*BedPlan[[#This Row],[Revenue]:[Revenue]]</f>
        <v>0</v>
      </c>
      <c r="DO142" s="257" cm="1">
        <f t="array" ref="DO142">BedPlan[[#This Row],[Harvest Days July 2025]]/SUM(BedPlan[[#This Row],[Harvest Days January 2025]:[Harvest Days December 2026]])*BedPlan[[#This Row],[Revenue]:[Revenue]]</f>
        <v>0</v>
      </c>
      <c r="DP142" s="257" cm="1">
        <f t="array" ref="DP142">BedPlan[[#This Row],[Harvest Days August 2025]]/SUM(BedPlan[[#This Row],[Harvest Days January 2025]:[Harvest Days December 2026]])*BedPlan[[#This Row],[Revenue]:[Revenue]]</f>
        <v>0</v>
      </c>
      <c r="DQ142" s="257" cm="1">
        <f t="array" ref="DQ142">BedPlan[[#This Row],[Harvest Days September 2025]]/SUM(BedPlan[[#This Row],[Harvest Days January 2025]:[Harvest Days December 2026]])*BedPlan[[#This Row],[Revenue]:[Revenue]]</f>
        <v>18.333333333333332</v>
      </c>
      <c r="DR142" s="257" cm="1">
        <f t="array" ref="DR142">BedPlan[[#This Row],[Harvest Days October 2025]]/SUM(BedPlan[[#This Row],[Harvest Days January 2025]:[Harvest Days December 2026]])*BedPlan[[#This Row],[Revenue]:[Revenue]]</f>
        <v>119.16666666666667</v>
      </c>
      <c r="DS142" s="257" cm="1">
        <f t="array" ref="DS142">BedPlan[[#This Row],[Harvest Days November 2025]]/SUM(BedPlan[[#This Row],[Harvest Days January 2025]:[Harvest Days December 2026]])*BedPlan[[#This Row],[Revenue]:[Revenue]]</f>
        <v>0</v>
      </c>
      <c r="DT142" s="257" cm="1">
        <f t="array" ref="DT142">BedPlan[[#This Row],[Harvest Days December 2025]]/SUM(BedPlan[[#This Row],[Harvest Days January 2025]:[Harvest Days December 2026]])*BedPlan[[#This Row],[Revenue]:[Revenue]]</f>
        <v>0</v>
      </c>
      <c r="DU142" s="257" cm="1">
        <f t="array" ref="DU142">BedPlan[[#This Row],[Harvest Days January 2026]]/SUM(BedPlan[[#This Row],[Harvest Days January 2025]:[Harvest Days December 2026]])*BedPlan[[#This Row],[Revenue]:[Revenue]]</f>
        <v>0</v>
      </c>
      <c r="DV142" s="257" cm="1">
        <f t="array" ref="DV142">BedPlan[[#This Row],[Harvest Days February 2026]]/SUM(BedPlan[[#This Row],[Harvest Days January 2025]:[Harvest Days December 2026]])*BedPlan[[#This Row],[Revenue]:[Revenue]]</f>
        <v>0</v>
      </c>
      <c r="DW142" s="257" cm="1">
        <f t="array" ref="DW142">BedPlan[[#This Row],[Harvest Days March 2026]]/SUM(BedPlan[[#This Row],[Harvest Days January 2025]:[Harvest Days December 2026]])*BedPlan[[#This Row],[Revenue]:[Revenue]]</f>
        <v>0</v>
      </c>
      <c r="DX142" s="257" cm="1">
        <f t="array" ref="DX142">BedPlan[[#This Row],[Harvest Days April 2026]]/SUM(BedPlan[[#This Row],[Harvest Days January 2025]:[Harvest Days December 2026]])*BedPlan[[#This Row],[Revenue]:[Revenue]]</f>
        <v>0</v>
      </c>
      <c r="DY142" s="257" cm="1">
        <f t="array" ref="DY142">BedPlan[[#This Row],[Harvest Days May 2026]]/SUM(BedPlan[[#This Row],[Harvest Days January 2025]:[Harvest Days December 2026]])*BedPlan[[#This Row],[Revenue]:[Revenue]]</f>
        <v>0</v>
      </c>
      <c r="DZ142" s="257" cm="1">
        <f t="array" ref="DZ142">BedPlan[[#This Row],[Harvest Days June 2026]]/SUM(BedPlan[[#This Row],[Harvest Days January 2025]:[Harvest Days December 2026]])*BedPlan[[#This Row],[Revenue]:[Revenue]]</f>
        <v>0</v>
      </c>
      <c r="EA142" s="257" cm="1">
        <f t="array" ref="EA142">BedPlan[[#This Row],[Harvest Days July 2026]]/SUM(BedPlan[[#This Row],[Harvest Days January 2025]:[Harvest Days December 2026]])*BedPlan[[#This Row],[Revenue]:[Revenue]]</f>
        <v>0</v>
      </c>
      <c r="EB142" s="257" cm="1">
        <f t="array" ref="EB142">BedPlan[[#This Row],[Harvest Days August 2026]]/SUM(BedPlan[[#This Row],[Harvest Days January 2025]:[Harvest Days December 2026]])*BedPlan[[#This Row],[Revenue]:[Revenue]]</f>
        <v>0</v>
      </c>
      <c r="EC142" s="257" cm="1">
        <f t="array" ref="EC142">BedPlan[[#This Row],[Harvest Days September 2026]]/SUM(BedPlan[[#This Row],[Harvest Days January 2025]:[Harvest Days December 2026]])*BedPlan[[#This Row],[Revenue]:[Revenue]]</f>
        <v>0</v>
      </c>
      <c r="ED142" s="257" cm="1">
        <f t="array" ref="ED142">BedPlan[[#This Row],[Harvest Days October 2026]]/SUM(BedPlan[[#This Row],[Harvest Days January 2025]:[Harvest Days December 2026]])*BedPlan[[#This Row],[Revenue]:[Revenue]]</f>
        <v>0</v>
      </c>
      <c r="EE142" s="257" cm="1">
        <f t="array" ref="EE142">BedPlan[[#This Row],[Harvest Days November 2026]]/SUM(BedPlan[[#This Row],[Harvest Days January 2025]:[Harvest Days December 2026]])*BedPlan[[#This Row],[Revenue]:[Revenue]]</f>
        <v>0</v>
      </c>
      <c r="EF142" s="257" cm="1">
        <f t="array" ref="EF142">BedPlan[[#This Row],[Harvest Days December 2026]]/SUM(BedPlan[[#This Row],[Harvest Days January 2025]:[Harvest Days December 2026]])*BedPlan[[#This Row],[Revenue]:[Revenue]]</f>
        <v>0</v>
      </c>
      <c r="EG142" t="b">
        <f>SUM(BedPlan[[#This Row],[Revenue January 2025]:[Revenue December 2026]])=BedPlan[[#This Row],[Revenue]]</f>
        <v>1</v>
      </c>
      <c r="EH142" s="30" cm="1">
        <f t="array" ref="EH142">INDEX(Crops[],BedPlan[[#This Row],[Chart Index]],EH$4,1)*BedPlan[[#This Row],['# Of Beds]]</f>
        <v>50</v>
      </c>
      <c r="EI142" s="30" t="str" cm="1">
        <f t="array" ref="EI142">INDEX(Crops[],BedPlan[[#This Row],[Chart Index]],EI$4,1)</f>
        <v>Bunch</v>
      </c>
      <c r="EJ142" s="30" t="str" cm="1">
        <f t="array" ref="EJ142">INDEX(Crops[],BedPlan[[#This Row],[Chart Index]],EJ$4,1)</f>
        <v>Mature Root</v>
      </c>
      <c r="EK142" s="30" t="str">
        <f>BedPlan[[#This Row],[Name]]&amp;" "&amp;BedPlan[[#This Row],[Product]]&amp; " - " &amp;BedPlan[[#This Row],[Unit]]</f>
        <v>Turnip Mature Root - Bunch</v>
      </c>
      <c r="EL142" s="33" cm="1">
        <f t="array" ref="EL142">BedPlan[[#This Row],[Harvest Days January 2025]]/SUM(BedPlan[[#This Row],[Harvest Days January 2025]:[Harvest Days December 2026]])*BedPlan[[#This Row],[Yield]:[Yield]]</f>
        <v>0</v>
      </c>
      <c r="EM142" s="33" cm="1">
        <f t="array" ref="EM142">BedPlan[[#This Row],[Harvest Days February 2025]]/SUM(BedPlan[[#This Row],[Harvest Days January 2025]:[Harvest Days December 2026]])*BedPlan[[#This Row],[Yield]:[Yield]]</f>
        <v>0</v>
      </c>
      <c r="EN142" s="33" cm="1">
        <f t="array" ref="EN142">BedPlan[[#This Row],[Harvest Days March 2025]]/SUM(BedPlan[[#This Row],[Harvest Days January 2025]:[Harvest Days December 2026]])*BedPlan[[#This Row],[Yield]:[Yield]]</f>
        <v>0</v>
      </c>
      <c r="EO142" s="33" cm="1">
        <f t="array" ref="EO142">BedPlan[[#This Row],[Harvest Days April 2025]]/SUM(BedPlan[[#This Row],[Harvest Days January 2025]:[Harvest Days December 2026]])*BedPlan[[#This Row],[Yield]:[Yield]]</f>
        <v>0</v>
      </c>
      <c r="EP142" s="33" cm="1">
        <f t="array" ref="EP142">BedPlan[[#This Row],[Harvest Days May 2025]]/SUM(BedPlan[[#This Row],[Harvest Days January 2025]:[Harvest Days December 2026]])*BedPlan[[#This Row],[Yield]:[Yield]]</f>
        <v>0</v>
      </c>
      <c r="EQ142" s="33" cm="1">
        <f t="array" ref="EQ142">BedPlan[[#This Row],[Harvest Days June 2025]]/SUM(BedPlan[[#This Row],[Harvest Days January 2025]:[Harvest Days December 2026]])*BedPlan[[#This Row],[Yield]:[Yield]]</f>
        <v>0</v>
      </c>
      <c r="ER142" s="33" cm="1">
        <f t="array" ref="ER142">BedPlan[[#This Row],[Harvest Days July 2025]]/SUM(BedPlan[[#This Row],[Harvest Days January 2025]:[Harvest Days December 2026]])*BedPlan[[#This Row],[Yield]:[Yield]]</f>
        <v>0</v>
      </c>
      <c r="ES142" s="33" cm="1">
        <f t="array" ref="ES142">BedPlan[[#This Row],[Harvest Days August 2025]]/SUM(BedPlan[[#This Row],[Harvest Days January 2025]:[Harvest Days December 2026]])*BedPlan[[#This Row],[Yield]:[Yield]]</f>
        <v>0</v>
      </c>
      <c r="ET142" s="33" cm="1">
        <f t="array" ref="ET142">BedPlan[[#This Row],[Harvest Days September 2025]]/SUM(BedPlan[[#This Row],[Harvest Days January 2025]:[Harvest Days December 2026]])*BedPlan[[#This Row],[Yield]:[Yield]]</f>
        <v>6.666666666666667</v>
      </c>
      <c r="EU142" s="33" cm="1">
        <f t="array" ref="EU142">BedPlan[[#This Row],[Harvest Days October 2025]]/SUM(BedPlan[[#This Row],[Harvest Days January 2025]:[Harvest Days December 2026]])*BedPlan[[#This Row],[Yield]:[Yield]]</f>
        <v>43.333333333333336</v>
      </c>
      <c r="EV142" s="33" cm="1">
        <f t="array" ref="EV142">BedPlan[[#This Row],[Harvest Days November 2025]]/SUM(BedPlan[[#This Row],[Harvest Days January 2025]:[Harvest Days December 2026]])*BedPlan[[#This Row],[Yield]:[Yield]]</f>
        <v>0</v>
      </c>
      <c r="EW142" s="33" cm="1">
        <f t="array" ref="EW142">BedPlan[[#This Row],[Harvest Days December 2025]]/SUM(BedPlan[[#This Row],[Harvest Days January 2025]:[Harvest Days December 2026]])*BedPlan[[#This Row],[Yield]:[Yield]]</f>
        <v>0</v>
      </c>
    </row>
    <row r="143" spans="1:153" ht="15" customHeight="1">
      <c r="A143" s="191" t="s">
        <v>2750</v>
      </c>
      <c r="B143" s="240" t="s">
        <v>2754</v>
      </c>
      <c r="C143" s="226" t="s">
        <v>1455</v>
      </c>
      <c r="D143" s="226" cm="1">
        <f t="array" ref="D143">INDEX(Crops[],BedPlan[[#This Row],[Chart Index]],D$4,1)*BedPlan[[#This Row],[Full Bed Equivalent]]</f>
        <v>12.5</v>
      </c>
      <c r="E143" s="226" cm="1">
        <f t="array" ref="E143">INDEX(Crops[],BedPlan[[#This Row],[Chart Index]],E$4,1)*BedPlan[[#This Row],[Full Bed Equivalent]]</f>
        <v>50</v>
      </c>
      <c r="F143" s="34" t="str">
        <f>UPPER(LEFT(BedPlan[[#This Row],[Crop]],3))</f>
        <v>TUR</v>
      </c>
      <c r="G143" s="227"/>
      <c r="H143" s="143" t="str" cm="1">
        <f t="array" ref="H143">INDEX(Crops[],BedPlan[[#This Row],[Chart Index]],H$4,1)</f>
        <v>Turnip</v>
      </c>
      <c r="I143" s="227" t="s">
        <v>1686</v>
      </c>
      <c r="J143" s="227" t="s">
        <v>490</v>
      </c>
      <c r="K143" s="34" t="str" cm="1">
        <f t="array" ref="K143">IF(ISNUMBER(MATCH(BedPlan[[#This Row],[Variety]],SeedMixes[Name],)),_xlfn.TEXTJOIN(", ",TRUE,_xlfn._xlws.FILTER(SeedMixes[Variety &amp; Company],SeedMixes[Name]=BedPlan[[#This Row],[Variety]])),"")</f>
        <v/>
      </c>
      <c r="L143" s="229" cm="1">
        <f t="array" ref="L143">INDEX(Crops[],BedPlan[[#This Row],[Chart Index]],L$4,1)*BedPlan[[#This Row],[Full Bed Equivalent]]</f>
        <v>1040</v>
      </c>
      <c r="N143" s="227">
        <v>0.5</v>
      </c>
      <c r="O143" s="227">
        <f>MAX(BedPlan[[#This Row],['# Of Beds]],0.5)</f>
        <v>0.5</v>
      </c>
      <c r="P143" s="230">
        <f>IF(ISNUMBER(BedPlan[[#This Row],[Planned Greenhouse Start Date]]),BedPlan[[#This Row],[Planned Greenhouse Start Date]],BedPlan[[#This Row],[Planned TP or DS Date]])</f>
        <v>45907</v>
      </c>
      <c r="Q143" s="261" t="str">
        <f>IF(BedPlan[[#This Row],[Days in Cells]]=0,"",IFERROR(_xlfn.XLOOKUP(BedPlan[[#This Row],[Follows Crop]],BedPlan[Identifier],BedPlan[Expected End of Harvest]) + 1+BedPlan[[#This Row],[Follow Offset]],BedPlan[[#This Row],[Fixed Field Start Date]])-BedPlan[[#This Row],[Days in Cells]])</f>
        <v/>
      </c>
      <c r="R143" s="261"/>
      <c r="S143" s="261" t="str">
        <f>IF(ISNUMBER(BedPlan[[#This Row],[Actual Greenhouse Date]]),BedPlan[[#This Row],[Actual Greenhouse Date]],BedPlan[[#This Row],[Planned Greenhouse Start Date]])</f>
        <v/>
      </c>
      <c r="T143" s="262">
        <v>45907</v>
      </c>
      <c r="U143" s="263"/>
      <c r="V143" s="263"/>
      <c r="W143"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45907</v>
      </c>
      <c r="X143" s="265"/>
      <c r="Y143" s="270">
        <f>BedPlan[[#This Row],[Actual TP or DS Date]]-BedPlan[[#This Row],[Planned TP or DS Date]]</f>
        <v>-45907</v>
      </c>
      <c r="Z143" s="261">
        <f>IF(ISNUMBER(BedPlan[[#This Row],[Actual TP or DS Date]]),BedPlan[[#This Row],[Actual TP or DS Date]],BedPlan[[#This Row],[Planned TP or DS Date]])</f>
        <v>45907</v>
      </c>
      <c r="AA143" s="265"/>
      <c r="AB143" s="261">
        <f>IF(ISNUMBER(BedPlan[[#This Row],[Greenhouse Start Date]]),BedPlan[[#This Row],[Greenhouse Start Date]]+BedPlan[[#This Row],[DTM]],BedPlan[[#This Row],[TP or DS Date]]+BedPlan[[#This Row],[DTM]])</f>
        <v>45947</v>
      </c>
      <c r="AC143" s="265"/>
      <c r="AD143" s="261">
        <f>IF(ISNUMBER(BedPlan[[#This Row],[Actual Beginning of Harvest]]),BedPlan[[#This Row],[Actual Beginning of Harvest]],BedPlan[[#This Row],[Expected Beginning of Harvest]])</f>
        <v>45947</v>
      </c>
      <c r="AE143" s="261">
        <f>BedPlan[[#This Row],[Expected Beginning of Harvest]]+BedPlan[[#This Row],[Harvest Window]]+BedPlan[[#This Row],[Additional Days of Harvest]]</f>
        <v>45961</v>
      </c>
      <c r="AF143" s="265"/>
      <c r="AG143" s="261"/>
      <c r="AH143" s="230" t="b">
        <f>IF(AND( BedPlan[[#This Row],[Expected End of Harvest]] &gt;= DATE(2025, 8, 1), BedPlan[[#This Row],[Beginning of Harvest]] &lt;= DATE(2025, 8, 31) ), TRUE, FALSE)</f>
        <v>0</v>
      </c>
      <c r="AI143" s="230"/>
      <c r="AJ143" s="230">
        <f>IF(ISNUMBER(BedPlan[[#This Row],[Actual End of Harvest]]),BedPlan[[#This Row],[Actual End of Harvest]],BedPlan[[#This Row],[Expected End of Harvest]])</f>
        <v>45961</v>
      </c>
      <c r="AK143" s="34" t="b">
        <f>OR(ISNUMBER(BedPlan[[#This Row],[Actual Greenhouse Date]]),ISNUMBER(BedPlan[[#This Row],[Actual TP or DS Date]]))</f>
        <v>0</v>
      </c>
      <c r="AL143" s="34" t="str">
        <f>IF(ISNUMBER(BedPlan[[#This Row],[Planned Greenhouse Start Date]]),OR(ISNUMBER(BedPlan[[#This Row],[Actual TP or DS Date]]),BedPlan[[#This Row],[Failed]]),"-")</f>
        <v>-</v>
      </c>
      <c r="AM143" s="34" t="b">
        <f>OR(ISNUMBER(BedPlan[[#This Row],[Actual End of Harvest]]),BedPlan[[#This Row],[Failed]])</f>
        <v>0</v>
      </c>
      <c r="AN143" s="34" t="b">
        <f>OR(BedPlan[[#This Row],[Harvest Done]],BedPlan[[#This Row],[Failed]],BedPlan[[#This Row],[Name]]="Tarp")</f>
        <v>0</v>
      </c>
      <c r="AO143" s="34"/>
      <c r="AP143" s="34"/>
      <c r="AQ143" s="34"/>
      <c r="AR143" s="34"/>
      <c r="AS143" s="256" t="str">
        <f>IF(BedPlan[[#This Row],[Broadfork]],BedPlan[[#This Row],[Actual TP or DS Date]],"")</f>
        <v/>
      </c>
      <c r="AT143" s="256" t="str">
        <f>IF(BedPlan[[#This Row],[Tilther]],BedPlan[[#This Row],[Actual TP or DS Date]],"")</f>
        <v/>
      </c>
      <c r="AU143" s="256" t="str">
        <f>IF(NOT(ISBLANK(BedPlan[[#This Row],[Amend]])),BedPlan[[#This Row],[Actual TP or DS Date]],"")</f>
        <v/>
      </c>
      <c r="AV143" s="256" t="str">
        <f>IF(BedPlan[[#This Row],[Row Cover]],BedPlan[[#This Row],[Actual TP or DS Date]],"")</f>
        <v/>
      </c>
      <c r="AW143" s="34"/>
      <c r="AX143" s="256"/>
      <c r="AY143" s="34"/>
      <c r="AZ143" s="256"/>
      <c r="BA143" s="34"/>
      <c r="BB143" s="256"/>
      <c r="BC143" s="231" cm="1">
        <f t="array" ref="BC143">INDEX(Crops[],BedPlan[[#This Row],[Chart Index]],BC$4,1)*BedPlan[[#This Row],[Full Bed Equivalent]]</f>
        <v>137.5</v>
      </c>
      <c r="BD143" s="231" cm="1">
        <f t="array" ref="BD143">INDEX(Crops[],BedPlan[[#This Row],[Chart Index]],BD$4,1)*BedPlan[[#This Row],[Full Bed Equivalent]]</f>
        <v>2.5462962962962963</v>
      </c>
      <c r="BE143" cm="1">
        <f t="array" ref="BE143">INDEX(Crops[],BedPlan[[#This Row],[Chart Index]],BE$4,1)+BedPlan[[#This Row],[Additional Days in Cells]]+BedPlan[[#This Row],[Additional Days In Field]]</f>
        <v>40</v>
      </c>
      <c r="BG143" cm="1">
        <f t="array" ref="BG143">INDEX(Crops[],BedPlan[[#This Row],[Chart Index]],BG$4,1)</f>
        <v>14</v>
      </c>
      <c r="BH143" t="str">
        <f>IF(ISNUMBER(BedPlan[[#This Row],[Planned Greenhouse Start Date]]),"TP","DS")</f>
        <v>DS</v>
      </c>
      <c r="BI143">
        <f>BedPlan[[#This Row],['# Of Beds]]</f>
        <v>0.5</v>
      </c>
      <c r="BJ143" cm="1">
        <f t="array" ref="BJ143">INDEX(Crops[],BedPlan[[#This Row],[Chart Index]],BJ$4,1)</f>
        <v>0</v>
      </c>
      <c r="BK143" cm="1">
        <f t="array" ref="BK143">INDEX(Crops[],BedPlan[[#This Row],[Chart Index]],BK$4,1)</f>
        <v>4</v>
      </c>
      <c r="BL143" cm="1">
        <f t="array" ref="BL143">INDEX(Crops[],BedPlan[[#This Row],[Chart Index]],BL$4,1)</f>
        <v>1.5</v>
      </c>
      <c r="BM143" cm="1">
        <f t="array" ref="BM143">INDEX(Crops[],BedPlan[[#This Row],[Chart Index]],BM$4,1)</f>
        <v>1</v>
      </c>
      <c r="BN143" s="32" cm="1">
        <f t="array" ref="BN143">INDEX(Crops[],BedPlan[[#This Row],[Chart Index]],BN$4,1)*BedPlan[[#This Row],[Full Bed Equivalent]]</f>
        <v>800</v>
      </c>
      <c r="BO143" t="str" cm="1">
        <f t="array" ref="BO143">IF(INDEX(Crops[],BedPlan[[#This Row],[Chart Index]],BO$4,1)=0,"",INDEX(Crops[],BedPlan[[#This Row],[Chart Index]],BO$4,1))</f>
        <v/>
      </c>
      <c r="BP143">
        <f>MATCH(BedPlan[[#This Row],[Crop]],Crops[Identifier],FALSE)</f>
        <v>337</v>
      </c>
      <c r="BQ143" t="str" cm="1">
        <f t="array" ref="BQ143">INDEX(Crops[],BedPlan[[#This Row],[Chart Index]],BQ$4,1)</f>
        <v>Tokyo</v>
      </c>
      <c r="BR143" t="str" cm="1">
        <f t="array" ref="BR143">INDEX(Crops[],BedPlan[[#This Row],[Chart Index]],BR$4,1)</f>
        <v>SuFa</v>
      </c>
      <c r="BS143" s="32">
        <f>BedPlan[[#This Row],[Expected Beginning of Harvest]]-DATE(2023,1,1)</f>
        <v>1020</v>
      </c>
      <c r="BT143">
        <f>BedPlan[[#This Row],[Expected End of Harvest]]-BedPlan[[#This Row],[Expected Beginning of Harvest]]</f>
        <v>14</v>
      </c>
      <c r="BU143" t="str" cm="1">
        <f t="array" ref="BU143">INDEX(Crops[],BedPlan[[#This Row],[Chart Index]],BU$4,1)</f>
        <v>Root</v>
      </c>
      <c r="BV143" cm="1">
        <f t="array" ref="BV143">INDEX(Crops[],BedPlan[[#This Row],[Chart Index]],BV$4,1)</f>
        <v>2</v>
      </c>
      <c r="BW143" cm="1">
        <f t="array" ref="BW143">INDEX(Crops[],BedPlan[[#This Row],[Chart Index]],BW$4,1)</f>
        <v>0</v>
      </c>
      <c r="BX143" cm="1">
        <f t="array" ref="BX143">INDEX(Crops[],BedPlan[[#This Row],[Chart Index]],BX$4,1)</f>
        <v>0</v>
      </c>
      <c r="BY143" cm="1">
        <f t="array" ref="BY143">INDEX(Crops[],BedPlan[[#This Row],[Chart Index]],BY$4,1)</f>
        <v>0</v>
      </c>
      <c r="BZ143" s="49" t="str" cm="1">
        <f t="array" ref="BZ143">IFERROR(INDEX(Crops[],BedPlan[[#This Row],[Chart Index]],BZ$4,1)*BedPlan[[#This Row],[Full Bed Equivalent]],"")</f>
        <v/>
      </c>
      <c r="CA143" cm="1">
        <f t="array" ref="CA143">INDEX(Crops[],BedPlan[[#This Row],[Chart Index]],CA$4,1)</f>
        <v>0</v>
      </c>
      <c r="CB143" cm="1">
        <f t="array" ref="CB143">INDEX(Crops[],BedPlan[[#This Row],[Chart Index]],CB$4,1)</f>
        <v>0</v>
      </c>
      <c r="CC143" s="49" t="str" cm="1">
        <f t="array" ref="CC143">IFERROR(INDEX(Crops[],BedPlan[[#This Row],[Chart Index]],CC$4,1)*BedPlan[[#This Row],[Full Bed Equivalent]],"")</f>
        <v/>
      </c>
      <c r="CD143" cm="1">
        <f t="array" ref="CD143">INDEX(Crops[],BedPlan[[#This Row],[Chart Index]],CD$4,1)</f>
        <v>0</v>
      </c>
      <c r="CE143" cm="1">
        <f t="array" ref="CE143">IF(INDEX(Crops[],BedPlan[[#This Row],[Chart Index]],CE$4,1)="",0,INDEX(Crops[],BedPlan[[#This Row],[Chart Index]],CE$4,1))</f>
        <v>0</v>
      </c>
      <c r="CF143" s="49" t="str" cm="1">
        <f t="array" ref="CF143">IFERROR(INDEX(Crops[],BedPlan[[#This Row],[Chart Index]],CF$4,1)*BedPlan[[#This Row],[Full Bed Equivalent]],"")</f>
        <v/>
      </c>
      <c r="CG143" cm="1">
        <f t="array" ref="CG143">IF(INDEX(Crops[],BedPlan[[#This Row],[Chart Index]],CG$4,1)="",0,INDEX(Crops[],BedPlan[[#This Row],[Chart Index]],CG$4,1))</f>
        <v>1.3</v>
      </c>
      <c r="CH143" cm="1">
        <f t="array" ref="CH143">IF(INDEX(Crops[],BedPlan[[#This Row],[Chart Index]],CH$4,1)="",0,INDEX(Crops[],BedPlan[[#This Row],[Chart Index]],CH$4,1))</f>
        <v>0</v>
      </c>
      <c r="CI143" t="str" cm="1">
        <f t="array" ref="CI143">INDEX(Crops[],BedPlan[[#This Row],[Chart Index]],CI$4,1)</f>
        <v>Field</v>
      </c>
      <c r="CJ143" s="30" t="str">
        <f>_xlfn.TEXTJOIN(CHAR(10),FALSE,BedPlan[[#This Row],[Name]],BedPlan[[#This Row],[Variety]],BedPlan[[#This Row],[Company]])</f>
        <v>Turnip
Hakurei
Johnny's</v>
      </c>
      <c r="CK143" s="32">
        <f>MAX( 0, MIN(BedPlan[[#This Row],[Expected End of Harvest]], EOMONTH(CK$4, 0)) - MAX(BedPlan[[#This Row],[Beginning of Harvest]], CK$4) + 1 )</f>
        <v>0</v>
      </c>
      <c r="CL143">
        <f>MAX( 0, MIN(BedPlan[[#This Row],[Expected End of Harvest]], EOMONTH(CL$4, 0)) - MAX(BedPlan[[#This Row],[Beginning of Harvest]], CL$4) + 1 )</f>
        <v>0</v>
      </c>
      <c r="CM143">
        <f>MAX( 0, MIN(BedPlan[[#This Row],[Expected End of Harvest]], EOMONTH(CM$4, 0)) - MAX(BedPlan[[#This Row],[Beginning of Harvest]], CM$4) + 1 )</f>
        <v>0</v>
      </c>
      <c r="CN143">
        <f>MAX( 0, MIN(BedPlan[[#This Row],[Expected End of Harvest]], EOMONTH(CN$4, 0)) - MAX(BedPlan[[#This Row],[Beginning of Harvest]], CN$4) + 1 )</f>
        <v>0</v>
      </c>
      <c r="CO143">
        <f>MAX( 0, MIN(BedPlan[[#This Row],[Expected End of Harvest]], EOMONTH(CO$4, 0)) - MAX(BedPlan[[#This Row],[Beginning of Harvest]], CO$4) + 1 )</f>
        <v>0</v>
      </c>
      <c r="CP143">
        <f>MAX( 0, MIN(BedPlan[[#This Row],[Expected End of Harvest]], EOMONTH(CP$4, 0)) - MAX(BedPlan[[#This Row],[Beginning of Harvest]], CP$4) + 1 )</f>
        <v>0</v>
      </c>
      <c r="CQ143">
        <f>MAX( 0, MIN(BedPlan[[#This Row],[Expected End of Harvest]], EOMONTH(CQ$4, 0)) - MAX(BedPlan[[#This Row],[Beginning of Harvest]], CQ$4) + 1 )</f>
        <v>0</v>
      </c>
      <c r="CR143">
        <f>MAX( 0, MIN(BedPlan[[#This Row],[Expected End of Harvest]], EOMONTH(CR$4, 0)) - MAX(BedPlan[[#This Row],[Beginning of Harvest]], CR$4) + 1 )</f>
        <v>0</v>
      </c>
      <c r="CS143">
        <f>MAX( 0, MIN(BedPlan[[#This Row],[Expected End of Harvest]], EOMONTH(CS$4, 0)) - MAX(BedPlan[[#This Row],[Beginning of Harvest]], CS$4) + 1 )</f>
        <v>0</v>
      </c>
      <c r="CT143">
        <f>MAX( 0, MIN(BedPlan[[#This Row],[Expected End of Harvest]], EOMONTH(CT$4, 0)) - MAX(BedPlan[[#This Row],[Beginning of Harvest]], CT$4) + 1 )</f>
        <v>15</v>
      </c>
      <c r="CU143">
        <f>MAX( 0, MIN(BedPlan[[#This Row],[Expected End of Harvest]], EOMONTH(CU$4, 0)) - MAX(BedPlan[[#This Row],[Beginning of Harvest]], CU$4) + 1 )</f>
        <v>0</v>
      </c>
      <c r="CV143">
        <f>MAX( 0, MIN(BedPlan[[#This Row],[Expected End of Harvest]], EOMONTH(CV$4, 0)) - MAX(BedPlan[[#This Row],[Beginning of Harvest]], CV$4) + 1 )</f>
        <v>0</v>
      </c>
      <c r="CW143">
        <f>MAX( 0, MIN(BedPlan[[#This Row],[Expected End of Harvest]], EOMONTH(CW$4, 0)) - MAX(BedPlan[[#This Row],[Beginning of Harvest]], CW$4) + 1 )</f>
        <v>0</v>
      </c>
      <c r="CX143">
        <f>MAX( 0, MIN(BedPlan[[#This Row],[Expected End of Harvest]], EOMONTH(CX$4, 0)) - MAX(BedPlan[[#This Row],[Beginning of Harvest]], CX$4) + 1 )</f>
        <v>0</v>
      </c>
      <c r="CY143">
        <f>MAX( 0, MIN(BedPlan[[#This Row],[Expected End of Harvest]], EOMONTH(CY$4, 0)) - MAX(BedPlan[[#This Row],[Beginning of Harvest]], CY$4) + 1 )</f>
        <v>0</v>
      </c>
      <c r="CZ143">
        <f>MAX( 0, MIN(BedPlan[[#This Row],[Expected End of Harvest]], EOMONTH(CZ$4, 0)) - MAX(BedPlan[[#This Row],[Beginning of Harvest]], CZ$4) + 1 )</f>
        <v>0</v>
      </c>
      <c r="DA143">
        <f>MAX( 0, MIN(BedPlan[[#This Row],[Expected End of Harvest]], EOMONTH(DA$4, 0)) - MAX(BedPlan[[#This Row],[Beginning of Harvest]], DA$4) + 1 )</f>
        <v>0</v>
      </c>
      <c r="DB143">
        <f>MAX( 0, MIN(BedPlan[[#This Row],[Expected End of Harvest]], EOMONTH(DB$4, 0)) - MAX(BedPlan[[#This Row],[Beginning of Harvest]], DB$4) + 1 )</f>
        <v>0</v>
      </c>
      <c r="DC143">
        <f>MAX( 0, MIN(BedPlan[[#This Row],[Expected End of Harvest]], EOMONTH(DC$4, 0)) - MAX(BedPlan[[#This Row],[Beginning of Harvest]], DC$4) + 1 )</f>
        <v>0</v>
      </c>
      <c r="DD143">
        <f>MAX( 0, MIN(BedPlan[[#This Row],[Expected End of Harvest]], EOMONTH(DD$4, 0)) - MAX(BedPlan[[#This Row],[Beginning of Harvest]], DD$4) + 1 )</f>
        <v>0</v>
      </c>
      <c r="DE143">
        <f>MAX( 0, MIN(BedPlan[[#This Row],[Expected End of Harvest]], EOMONTH(DE$4, 0)) - MAX(BedPlan[[#This Row],[Beginning of Harvest]], DE$4) + 1 )</f>
        <v>0</v>
      </c>
      <c r="DF143">
        <f>MAX( 0, MIN(BedPlan[[#This Row],[Expected End of Harvest]], EOMONTH(DF$4, 0)) - MAX(BedPlan[[#This Row],[Beginning of Harvest]], DF$4) + 1 )</f>
        <v>0</v>
      </c>
      <c r="DG143">
        <f>MAX( 0, MIN(BedPlan[[#This Row],[Expected End of Harvest]], EOMONTH(DG$4, 0)) - MAX(BedPlan[[#This Row],[Beginning of Harvest]], DG$4) + 1 )</f>
        <v>0</v>
      </c>
      <c r="DH143">
        <f>MAX( 0, MIN(BedPlan[[#This Row],[Expected End of Harvest]], EOMONTH(DH$4, 0)) - MAX(BedPlan[[#This Row],[Beginning of Harvest]], DH$4) + 1 )</f>
        <v>0</v>
      </c>
      <c r="DI143" s="257" cm="1">
        <f t="array" ref="DI143">BedPlan[[#This Row],[Harvest Days January 2025]]/SUM(BedPlan[[#This Row],[Harvest Days January 2025]:[Harvest Days December 2026]])*BedPlan[[#This Row],[Revenue]:[Revenue]]</f>
        <v>0</v>
      </c>
      <c r="DJ143" s="257" cm="1">
        <f t="array" ref="DJ143">BedPlan[[#This Row],[Harvest Days February 2025]]/SUM(BedPlan[[#This Row],[Harvest Days January 2025]:[Harvest Days December 2026]])*BedPlan[[#This Row],[Revenue]:[Revenue]]</f>
        <v>0</v>
      </c>
      <c r="DK143" s="257" cm="1">
        <f t="array" ref="DK143">BedPlan[[#This Row],[Harvest Days March 2025]]/SUM(BedPlan[[#This Row],[Harvest Days January 2025]:[Harvest Days December 2026]])*BedPlan[[#This Row],[Revenue]:[Revenue]]</f>
        <v>0</v>
      </c>
      <c r="DL143" s="257" cm="1">
        <f t="array" ref="DL143">BedPlan[[#This Row],[Harvest Days April 2025]]/SUM(BedPlan[[#This Row],[Harvest Days January 2025]:[Harvest Days December 2026]])*BedPlan[[#This Row],[Revenue]:[Revenue]]</f>
        <v>0</v>
      </c>
      <c r="DM143" s="257" cm="1">
        <f t="array" ref="DM143">BedPlan[[#This Row],[Harvest Days May 2025]]/SUM(BedPlan[[#This Row],[Harvest Days January 2025]:[Harvest Days December 2026]])*BedPlan[[#This Row],[Revenue]:[Revenue]]</f>
        <v>0</v>
      </c>
      <c r="DN143" s="257" cm="1">
        <f t="array" ref="DN143">BedPlan[[#This Row],[Harvest Days June 2025]]/SUM(BedPlan[[#This Row],[Harvest Days January 2025]:[Harvest Days December 2026]])*BedPlan[[#This Row],[Revenue]:[Revenue]]</f>
        <v>0</v>
      </c>
      <c r="DO143" s="257" cm="1">
        <f t="array" ref="DO143">BedPlan[[#This Row],[Harvest Days July 2025]]/SUM(BedPlan[[#This Row],[Harvest Days January 2025]:[Harvest Days December 2026]])*BedPlan[[#This Row],[Revenue]:[Revenue]]</f>
        <v>0</v>
      </c>
      <c r="DP143" s="257" cm="1">
        <f t="array" ref="DP143">BedPlan[[#This Row],[Harvest Days August 2025]]/SUM(BedPlan[[#This Row],[Harvest Days January 2025]:[Harvest Days December 2026]])*BedPlan[[#This Row],[Revenue]:[Revenue]]</f>
        <v>0</v>
      </c>
      <c r="DQ143" s="257" cm="1">
        <f t="array" ref="DQ143">BedPlan[[#This Row],[Harvest Days September 2025]]/SUM(BedPlan[[#This Row],[Harvest Days January 2025]:[Harvest Days December 2026]])*BedPlan[[#This Row],[Revenue]:[Revenue]]</f>
        <v>0</v>
      </c>
      <c r="DR143" s="257" cm="1">
        <f t="array" ref="DR143">BedPlan[[#This Row],[Harvest Days October 2025]]/SUM(BedPlan[[#This Row],[Harvest Days January 2025]:[Harvest Days December 2026]])*BedPlan[[#This Row],[Revenue]:[Revenue]]</f>
        <v>137.5</v>
      </c>
      <c r="DS143" s="257" cm="1">
        <f t="array" ref="DS143">BedPlan[[#This Row],[Harvest Days November 2025]]/SUM(BedPlan[[#This Row],[Harvest Days January 2025]:[Harvest Days December 2026]])*BedPlan[[#This Row],[Revenue]:[Revenue]]</f>
        <v>0</v>
      </c>
      <c r="DT143" s="257" cm="1">
        <f t="array" ref="DT143">BedPlan[[#This Row],[Harvest Days December 2025]]/SUM(BedPlan[[#This Row],[Harvest Days January 2025]:[Harvest Days December 2026]])*BedPlan[[#This Row],[Revenue]:[Revenue]]</f>
        <v>0</v>
      </c>
      <c r="DU143" s="257" cm="1">
        <f t="array" ref="DU143">BedPlan[[#This Row],[Harvest Days January 2026]]/SUM(BedPlan[[#This Row],[Harvest Days January 2025]:[Harvest Days December 2026]])*BedPlan[[#This Row],[Revenue]:[Revenue]]</f>
        <v>0</v>
      </c>
      <c r="DV143" s="257" cm="1">
        <f t="array" ref="DV143">BedPlan[[#This Row],[Harvest Days February 2026]]/SUM(BedPlan[[#This Row],[Harvest Days January 2025]:[Harvest Days December 2026]])*BedPlan[[#This Row],[Revenue]:[Revenue]]</f>
        <v>0</v>
      </c>
      <c r="DW143" s="257" cm="1">
        <f t="array" ref="DW143">BedPlan[[#This Row],[Harvest Days March 2026]]/SUM(BedPlan[[#This Row],[Harvest Days January 2025]:[Harvest Days December 2026]])*BedPlan[[#This Row],[Revenue]:[Revenue]]</f>
        <v>0</v>
      </c>
      <c r="DX143" s="257" cm="1">
        <f t="array" ref="DX143">BedPlan[[#This Row],[Harvest Days April 2026]]/SUM(BedPlan[[#This Row],[Harvest Days January 2025]:[Harvest Days December 2026]])*BedPlan[[#This Row],[Revenue]:[Revenue]]</f>
        <v>0</v>
      </c>
      <c r="DY143" s="257" cm="1">
        <f t="array" ref="DY143">BedPlan[[#This Row],[Harvest Days May 2026]]/SUM(BedPlan[[#This Row],[Harvest Days January 2025]:[Harvest Days December 2026]])*BedPlan[[#This Row],[Revenue]:[Revenue]]</f>
        <v>0</v>
      </c>
      <c r="DZ143" s="257" cm="1">
        <f t="array" ref="DZ143">BedPlan[[#This Row],[Harvest Days June 2026]]/SUM(BedPlan[[#This Row],[Harvest Days January 2025]:[Harvest Days December 2026]])*BedPlan[[#This Row],[Revenue]:[Revenue]]</f>
        <v>0</v>
      </c>
      <c r="EA143" s="257" cm="1">
        <f t="array" ref="EA143">BedPlan[[#This Row],[Harvest Days July 2026]]/SUM(BedPlan[[#This Row],[Harvest Days January 2025]:[Harvest Days December 2026]])*BedPlan[[#This Row],[Revenue]:[Revenue]]</f>
        <v>0</v>
      </c>
      <c r="EB143" s="257" cm="1">
        <f t="array" ref="EB143">BedPlan[[#This Row],[Harvest Days August 2026]]/SUM(BedPlan[[#This Row],[Harvest Days January 2025]:[Harvest Days December 2026]])*BedPlan[[#This Row],[Revenue]:[Revenue]]</f>
        <v>0</v>
      </c>
      <c r="EC143" s="257" cm="1">
        <f t="array" ref="EC143">BedPlan[[#This Row],[Harvest Days September 2026]]/SUM(BedPlan[[#This Row],[Harvest Days January 2025]:[Harvest Days December 2026]])*BedPlan[[#This Row],[Revenue]:[Revenue]]</f>
        <v>0</v>
      </c>
      <c r="ED143" s="257" cm="1">
        <f t="array" ref="ED143">BedPlan[[#This Row],[Harvest Days October 2026]]/SUM(BedPlan[[#This Row],[Harvest Days January 2025]:[Harvest Days December 2026]])*BedPlan[[#This Row],[Revenue]:[Revenue]]</f>
        <v>0</v>
      </c>
      <c r="EE143" s="257" cm="1">
        <f t="array" ref="EE143">BedPlan[[#This Row],[Harvest Days November 2026]]/SUM(BedPlan[[#This Row],[Harvest Days January 2025]:[Harvest Days December 2026]])*BedPlan[[#This Row],[Revenue]:[Revenue]]</f>
        <v>0</v>
      </c>
      <c r="EF143" s="257" cm="1">
        <f t="array" ref="EF143">BedPlan[[#This Row],[Harvest Days December 2026]]/SUM(BedPlan[[#This Row],[Harvest Days January 2025]:[Harvest Days December 2026]])*BedPlan[[#This Row],[Revenue]:[Revenue]]</f>
        <v>0</v>
      </c>
      <c r="EG143" t="b">
        <f>SUM(BedPlan[[#This Row],[Revenue January 2025]:[Revenue December 2026]])=BedPlan[[#This Row],[Revenue]]</f>
        <v>1</v>
      </c>
      <c r="EH143" s="30" cm="1">
        <f t="array" ref="EH143">INDEX(Crops[],BedPlan[[#This Row],[Chart Index]],EH$4,1)*BedPlan[[#This Row],['# Of Beds]]</f>
        <v>50</v>
      </c>
      <c r="EI143" s="30" t="str" cm="1">
        <f t="array" ref="EI143">INDEX(Crops[],BedPlan[[#This Row],[Chart Index]],EI$4,1)</f>
        <v>Bunch</v>
      </c>
      <c r="EJ143" s="30" t="str" cm="1">
        <f t="array" ref="EJ143">INDEX(Crops[],BedPlan[[#This Row],[Chart Index]],EJ$4,1)</f>
        <v>Mature Root</v>
      </c>
      <c r="EK143" s="30" t="str">
        <f>BedPlan[[#This Row],[Name]]&amp;" "&amp;BedPlan[[#This Row],[Product]]&amp; " - " &amp;BedPlan[[#This Row],[Unit]]</f>
        <v>Turnip Mature Root - Bunch</v>
      </c>
      <c r="EL143" s="33" cm="1">
        <f t="array" ref="EL143">BedPlan[[#This Row],[Harvest Days January 2025]]/SUM(BedPlan[[#This Row],[Harvest Days January 2025]:[Harvest Days December 2026]])*BedPlan[[#This Row],[Yield]:[Yield]]</f>
        <v>0</v>
      </c>
      <c r="EM143" s="33" cm="1">
        <f t="array" ref="EM143">BedPlan[[#This Row],[Harvest Days February 2025]]/SUM(BedPlan[[#This Row],[Harvest Days January 2025]:[Harvest Days December 2026]])*BedPlan[[#This Row],[Yield]:[Yield]]</f>
        <v>0</v>
      </c>
      <c r="EN143" s="33" cm="1">
        <f t="array" ref="EN143">BedPlan[[#This Row],[Harvest Days March 2025]]/SUM(BedPlan[[#This Row],[Harvest Days January 2025]:[Harvest Days December 2026]])*BedPlan[[#This Row],[Yield]:[Yield]]</f>
        <v>0</v>
      </c>
      <c r="EO143" s="33" cm="1">
        <f t="array" ref="EO143">BedPlan[[#This Row],[Harvest Days April 2025]]/SUM(BedPlan[[#This Row],[Harvest Days January 2025]:[Harvest Days December 2026]])*BedPlan[[#This Row],[Yield]:[Yield]]</f>
        <v>0</v>
      </c>
      <c r="EP143" s="33" cm="1">
        <f t="array" ref="EP143">BedPlan[[#This Row],[Harvest Days May 2025]]/SUM(BedPlan[[#This Row],[Harvest Days January 2025]:[Harvest Days December 2026]])*BedPlan[[#This Row],[Yield]:[Yield]]</f>
        <v>0</v>
      </c>
      <c r="EQ143" s="33" cm="1">
        <f t="array" ref="EQ143">BedPlan[[#This Row],[Harvest Days June 2025]]/SUM(BedPlan[[#This Row],[Harvest Days January 2025]:[Harvest Days December 2026]])*BedPlan[[#This Row],[Yield]:[Yield]]</f>
        <v>0</v>
      </c>
      <c r="ER143" s="33" cm="1">
        <f t="array" ref="ER143">BedPlan[[#This Row],[Harvest Days July 2025]]/SUM(BedPlan[[#This Row],[Harvest Days January 2025]:[Harvest Days December 2026]])*BedPlan[[#This Row],[Yield]:[Yield]]</f>
        <v>0</v>
      </c>
      <c r="ES143" s="33" cm="1">
        <f t="array" ref="ES143">BedPlan[[#This Row],[Harvest Days August 2025]]/SUM(BedPlan[[#This Row],[Harvest Days January 2025]:[Harvest Days December 2026]])*BedPlan[[#This Row],[Yield]:[Yield]]</f>
        <v>0</v>
      </c>
      <c r="ET143" s="33" cm="1">
        <f t="array" ref="ET143">BedPlan[[#This Row],[Harvest Days September 2025]]/SUM(BedPlan[[#This Row],[Harvest Days January 2025]:[Harvest Days December 2026]])*BedPlan[[#This Row],[Yield]:[Yield]]</f>
        <v>0</v>
      </c>
      <c r="EU143" s="33" cm="1">
        <f t="array" ref="EU143">BedPlan[[#This Row],[Harvest Days October 2025]]/SUM(BedPlan[[#This Row],[Harvest Days January 2025]:[Harvest Days December 2026]])*BedPlan[[#This Row],[Yield]:[Yield]]</f>
        <v>50</v>
      </c>
      <c r="EV143" s="33" cm="1">
        <f t="array" ref="EV143">BedPlan[[#This Row],[Harvest Days November 2025]]/SUM(BedPlan[[#This Row],[Harvest Days January 2025]:[Harvest Days December 2026]])*BedPlan[[#This Row],[Yield]:[Yield]]</f>
        <v>0</v>
      </c>
      <c r="EW143" s="33" cm="1">
        <f t="array" ref="EW143">BedPlan[[#This Row],[Harvest Days December 2025]]/SUM(BedPlan[[#This Row],[Harvest Days January 2025]:[Harvest Days December 2026]])*BedPlan[[#This Row],[Yield]:[Yield]]</f>
        <v>0</v>
      </c>
    </row>
    <row r="158" spans="8:8" ht="15" customHeight="1">
      <c r="H158" t="str" cm="1">
        <f t="array" ref="H158:H203">_xlfn.UNIQUE(BedPlan[Name])</f>
        <v>Arugula</v>
      </c>
    </row>
    <row r="159" spans="8:8" ht="15" customHeight="1">
      <c r="H159" t="str">
        <v>Asian Greens</v>
      </c>
    </row>
    <row r="160" spans="8:8" ht="15" customHeight="1">
      <c r="H160" t="str">
        <v>Basil</v>
      </c>
    </row>
    <row r="161" spans="8:8" ht="15" customHeight="1">
      <c r="H161" t="str">
        <v>Bean</v>
      </c>
    </row>
    <row r="162" spans="8:8" ht="15" customHeight="1">
      <c r="H162" t="str">
        <v>Beet</v>
      </c>
    </row>
    <row r="163" spans="8:8" ht="15" customHeight="1">
      <c r="H163" t="str">
        <v>Bok Choy</v>
      </c>
    </row>
    <row r="164" spans="8:8" ht="15" customHeight="1">
      <c r="H164" t="str">
        <v>Broccoli</v>
      </c>
    </row>
    <row r="165" spans="8:8" ht="15" customHeight="1">
      <c r="H165" t="str">
        <v>Cabbage</v>
      </c>
    </row>
    <row r="166" spans="8:8" ht="15" customHeight="1">
      <c r="H166" t="str">
        <v>Carrot</v>
      </c>
    </row>
    <row r="167" spans="8:8" ht="15" customHeight="1">
      <c r="H167" t="str">
        <v>Cauliflower</v>
      </c>
    </row>
    <row r="168" spans="8:8" ht="15" customHeight="1">
      <c r="H168" t="str">
        <v>Celery</v>
      </c>
    </row>
    <row r="169" spans="8:8" ht="15" customHeight="1">
      <c r="H169" t="str">
        <v>Choi Sum</v>
      </c>
    </row>
    <row r="170" spans="8:8" ht="15" customHeight="1">
      <c r="H170" t="str">
        <v>Chrysanthemum Greens</v>
      </c>
    </row>
    <row r="171" spans="8:8" ht="15" customHeight="1">
      <c r="H171" t="str">
        <v>Cilantro</v>
      </c>
    </row>
    <row r="172" spans="8:8" ht="15" customHeight="1">
      <c r="H172" t="str">
        <v xml:space="preserve">Corn </v>
      </c>
    </row>
    <row r="173" spans="8:8" ht="15" customHeight="1">
      <c r="H173" t="str">
        <v>Cucumber</v>
      </c>
    </row>
    <row r="174" spans="8:8" ht="15" customHeight="1">
      <c r="H174" t="str">
        <v>Dahlia</v>
      </c>
    </row>
    <row r="175" spans="8:8" ht="15" customHeight="1">
      <c r="H175" t="str">
        <v>Dill</v>
      </c>
    </row>
    <row r="176" spans="8:8" ht="15" customHeight="1">
      <c r="H176" t="str">
        <v>Fava Bean</v>
      </c>
    </row>
    <row r="177" spans="8:8" ht="15" customHeight="1">
      <c r="H177" t="str">
        <v>Fennel</v>
      </c>
    </row>
    <row r="178" spans="8:8" ht="15" customHeight="1">
      <c r="H178" t="str">
        <v>Garlic</v>
      </c>
    </row>
    <row r="179" spans="8:8" ht="15" customHeight="1">
      <c r="H179" t="str">
        <v>Gooseberry</v>
      </c>
    </row>
    <row r="180" spans="8:8" ht="15" customHeight="1">
      <c r="H180" t="str">
        <v>Kale</v>
      </c>
    </row>
    <row r="181" spans="8:8" ht="15" customHeight="1">
      <c r="H181" t="str">
        <v>Kohlrabi</v>
      </c>
    </row>
    <row r="182" spans="8:8" ht="15" customHeight="1">
      <c r="H182" t="str">
        <v>Leek</v>
      </c>
    </row>
    <row r="183" spans="8:8" ht="15" customHeight="1">
      <c r="H183" t="str">
        <v>Lemongrass</v>
      </c>
    </row>
    <row r="184" spans="8:8" ht="15" customHeight="1">
      <c r="H184" t="str">
        <v>Lettuce</v>
      </c>
    </row>
    <row r="185" spans="8:8" ht="15" customHeight="1">
      <c r="H185" t="str">
        <v>Lovage</v>
      </c>
    </row>
    <row r="186" spans="8:8" ht="15" customHeight="1">
      <c r="H186" t="str">
        <v>Magenta Spreen</v>
      </c>
    </row>
    <row r="187" spans="8:8" ht="15" customHeight="1">
      <c r="H187" t="str">
        <v>Melon</v>
      </c>
    </row>
    <row r="188" spans="8:8" ht="15" customHeight="1">
      <c r="H188" t="str">
        <v>Onion</v>
      </c>
    </row>
    <row r="189" spans="8:8" ht="15" customHeight="1">
      <c r="H189" t="str">
        <v>Parsley</v>
      </c>
    </row>
    <row r="190" spans="8:8" ht="15" customHeight="1">
      <c r="H190" t="str">
        <v>Peas</v>
      </c>
    </row>
    <row r="191" spans="8:8" ht="15" customHeight="1">
      <c r="H191" t="str">
        <v>Pepper</v>
      </c>
    </row>
    <row r="192" spans="8:8" ht="15" customHeight="1">
      <c r="H192" t="str">
        <v>Potato</v>
      </c>
    </row>
    <row r="193" spans="8:8" ht="15" customHeight="1">
      <c r="H193" t="str">
        <v>Radicchio</v>
      </c>
    </row>
    <row r="194" spans="8:8" ht="15" customHeight="1">
      <c r="H194" t="str">
        <v>Radish</v>
      </c>
    </row>
    <row r="195" spans="8:8" ht="15" customHeight="1">
      <c r="H195" t="str">
        <v>Rutabaga</v>
      </c>
    </row>
    <row r="196" spans="8:8" ht="15" customHeight="1">
      <c r="H196" t="str">
        <v>Scallion</v>
      </c>
    </row>
    <row r="197" spans="8:8" ht="15" customHeight="1">
      <c r="H197" t="str">
        <v>Sorrel</v>
      </c>
    </row>
    <row r="198" spans="8:8" ht="15" customHeight="1">
      <c r="H198" t="str">
        <v>Squash</v>
      </c>
    </row>
    <row r="199" spans="8:8" ht="15" customHeight="1">
      <c r="H199" t="str">
        <v>Summer Squash</v>
      </c>
    </row>
    <row r="200" spans="8:8" ht="15" customHeight="1">
      <c r="H200" t="str">
        <v>Swiss Chard</v>
      </c>
    </row>
    <row r="201" spans="8:8" ht="15" customHeight="1">
      <c r="H201" t="str">
        <v>Tomatillo</v>
      </c>
    </row>
    <row r="202" spans="8:8" ht="15" customHeight="1">
      <c r="H202" t="str">
        <v>Tomato</v>
      </c>
    </row>
    <row r="203" spans="8:8" ht="15" customHeight="1">
      <c r="H203" t="str">
        <v>Turnip</v>
      </c>
    </row>
  </sheetData>
  <phoneticPr fontId="4" type="noConversion"/>
  <pageMargins left="0.7" right="0.7" top="0.75" bottom="0.75" header="0.3" footer="0.3"/>
  <pageSetup scale="17" fitToHeight="0"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260" r:id="rId4" name="Button 188">
              <controlPr defaultSize="0" print="0" autoFill="0" autoPict="0" macro="[0]!GenerateUniqueIdentifiers">
                <anchor moveWithCells="1" sizeWithCells="1">
                  <from>
                    <xdr:col>0</xdr:col>
                    <xdr:colOff>1752600</xdr:colOff>
                    <xdr:row>1</xdr:row>
                    <xdr:rowOff>76200</xdr:rowOff>
                  </from>
                  <to>
                    <xdr:col>1</xdr:col>
                    <xdr:colOff>3695700</xdr:colOff>
                    <xdr:row>3</xdr:row>
                    <xdr:rowOff>12700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4E7BA-AB7E-1D48-9FB5-6DB07DE4EF2B}">
  <dimension ref="B2:AE140"/>
  <sheetViews>
    <sheetView tabSelected="1" topLeftCell="A125" zoomScale="130" zoomScaleNormal="130" workbookViewId="0">
      <selection activeCell="S136" sqref="S136"/>
    </sheetView>
  </sheetViews>
  <sheetFormatPr baseColWidth="10" defaultRowHeight="15" outlineLevelCol="1"/>
  <cols>
    <col min="2" max="2" width="46.33203125" bestFit="1" customWidth="1"/>
    <col min="3" max="3" width="13.5" bestFit="1" customWidth="1"/>
    <col min="4" max="4" width="9.1640625" bestFit="1" customWidth="1"/>
    <col min="5" max="5" width="21.1640625" hidden="1" customWidth="1" outlineLevel="1"/>
    <col min="6" max="6" width="13.33203125" hidden="1" customWidth="1" outlineLevel="1"/>
    <col min="7" max="10" width="0" hidden="1" customWidth="1" outlineLevel="1"/>
    <col min="11" max="11" width="14.1640625" hidden="1" customWidth="1" outlineLevel="1"/>
    <col min="12" max="12" width="11.1640625" hidden="1" customWidth="1" outlineLevel="1"/>
    <col min="13" max="13" width="27.6640625" hidden="1" customWidth="1" outlineLevel="1"/>
    <col min="14" max="14" width="22.33203125" hidden="1" customWidth="1" outlineLevel="1"/>
    <col min="15" max="15" width="21" hidden="1" customWidth="1" outlineLevel="1"/>
    <col min="16" max="16" width="19.83203125" hidden="1" customWidth="1" outlineLevel="1"/>
    <col min="17" max="17" width="13.33203125" hidden="1" customWidth="1" outlineLevel="1"/>
    <col min="18" max="18" width="16.1640625" hidden="1" customWidth="1" outlineLevel="1"/>
    <col min="19" max="19" width="14.83203125" customWidth="1" collapsed="1"/>
    <col min="20" max="20" width="19" hidden="1" customWidth="1" outlineLevel="1"/>
    <col min="21" max="21" width="18.6640625" hidden="1" customWidth="1" outlineLevel="1"/>
    <col min="22" max="22" width="13.6640625" hidden="1" customWidth="1" outlineLevel="1"/>
    <col min="23" max="23" width="21.5" hidden="1" customWidth="1" outlineLevel="1"/>
    <col min="24" max="24" width="26.6640625" hidden="1" customWidth="1" outlineLevel="1"/>
    <col min="25" max="25" width="24.5" hidden="1" customWidth="1" outlineLevel="1"/>
    <col min="26" max="26" width="19.1640625" hidden="1" customWidth="1" outlineLevel="1"/>
    <col min="27" max="27" width="21.83203125" hidden="1" customWidth="1" outlineLevel="1"/>
    <col min="28" max="28" width="19.6640625" hidden="1" customWidth="1" outlineLevel="1"/>
    <col min="29" max="29" width="25" customWidth="1" collapsed="1"/>
    <col min="30" max="30" width="31.33203125" customWidth="1"/>
  </cols>
  <sheetData>
    <row r="2" spans="2:31" ht="32">
      <c r="B2" s="318" t="s">
        <v>4</v>
      </c>
      <c r="C2" s="318" t="s">
        <v>5</v>
      </c>
      <c r="D2" s="319" t="s">
        <v>1505</v>
      </c>
      <c r="E2" s="319" t="s">
        <v>2592</v>
      </c>
      <c r="F2" s="319" t="s">
        <v>2719</v>
      </c>
      <c r="G2" s="318" t="s">
        <v>249</v>
      </c>
      <c r="H2" s="320" t="s">
        <v>39</v>
      </c>
      <c r="I2" s="318" t="s">
        <v>243</v>
      </c>
      <c r="J2" s="320" t="s">
        <v>247</v>
      </c>
      <c r="K2" s="320" t="s">
        <v>248</v>
      </c>
      <c r="L2" s="318" t="s">
        <v>1508</v>
      </c>
      <c r="M2" s="318" t="s">
        <v>1509</v>
      </c>
      <c r="N2" s="321" t="s">
        <v>1349</v>
      </c>
      <c r="O2" s="318" t="s">
        <v>251</v>
      </c>
      <c r="P2" s="320" t="s">
        <v>252</v>
      </c>
      <c r="Q2" s="320" t="s">
        <v>253</v>
      </c>
      <c r="R2" s="320" t="s">
        <v>1391</v>
      </c>
      <c r="S2" s="318" t="s">
        <v>1375</v>
      </c>
      <c r="T2" s="321" t="s">
        <v>1350</v>
      </c>
      <c r="U2" s="321" t="s">
        <v>3195</v>
      </c>
      <c r="V2" s="318" t="s">
        <v>254</v>
      </c>
      <c r="W2" s="321" t="s">
        <v>263</v>
      </c>
      <c r="X2" s="318" t="s">
        <v>1402</v>
      </c>
      <c r="Y2" s="321" t="s">
        <v>1393</v>
      </c>
      <c r="Z2" s="318" t="s">
        <v>255</v>
      </c>
      <c r="AA2" s="318" t="s">
        <v>1403</v>
      </c>
      <c r="AB2" s="321" t="s">
        <v>1392</v>
      </c>
      <c r="AC2" s="318" t="s">
        <v>3374</v>
      </c>
      <c r="AD2" s="318" t="s">
        <v>3375</v>
      </c>
      <c r="AE2" s="318" t="s">
        <v>3285</v>
      </c>
    </row>
    <row r="3" spans="2:31" ht="18.75" customHeight="1">
      <c r="B3" s="308" t="s">
        <v>1714</v>
      </c>
      <c r="C3" s="275" t="s">
        <v>2632</v>
      </c>
      <c r="D3" s="275" t="s">
        <v>1424</v>
      </c>
      <c r="E3" s="275">
        <v>42.857142899999999</v>
      </c>
      <c r="F3" s="275">
        <v>171.42857100000001</v>
      </c>
      <c r="G3" s="275" t="s">
        <v>3303</v>
      </c>
      <c r="H3" s="275"/>
      <c r="I3" s="287" t="s">
        <v>3304</v>
      </c>
      <c r="J3" s="275">
        <v>1</v>
      </c>
      <c r="K3" s="275">
        <v>1</v>
      </c>
      <c r="L3" s="277">
        <v>45743</v>
      </c>
      <c r="M3" s="278"/>
      <c r="N3" s="278"/>
      <c r="O3" s="278"/>
      <c r="P3" s="278">
        <v>45743</v>
      </c>
      <c r="Q3" s="279"/>
      <c r="R3" s="279"/>
      <c r="S3" s="278">
        <v>45743</v>
      </c>
      <c r="T3" s="278">
        <v>45752</v>
      </c>
      <c r="U3" s="280">
        <v>9</v>
      </c>
      <c r="V3" s="278">
        <v>45752</v>
      </c>
      <c r="W3" s="279"/>
      <c r="X3" s="278">
        <v>45822</v>
      </c>
      <c r="Y3" s="278"/>
      <c r="Z3" s="278">
        <v>45822</v>
      </c>
      <c r="AA3" s="278">
        <v>45843</v>
      </c>
      <c r="AB3" s="278"/>
      <c r="AC3" s="332" t="s">
        <v>3376</v>
      </c>
      <c r="AD3" s="332" t="s">
        <v>3377</v>
      </c>
      <c r="AE3" s="332"/>
    </row>
    <row r="4" spans="2:31" ht="18.75" customHeight="1">
      <c r="B4" s="304" t="s">
        <v>1916</v>
      </c>
      <c r="C4" s="219" t="s">
        <v>2647</v>
      </c>
      <c r="D4" s="219" t="s">
        <v>1424</v>
      </c>
      <c r="E4" s="219">
        <v>150</v>
      </c>
      <c r="F4" s="219">
        <v>300</v>
      </c>
      <c r="G4" s="219" t="s">
        <v>3332</v>
      </c>
      <c r="H4" s="219"/>
      <c r="I4" s="286" t="s">
        <v>3333</v>
      </c>
      <c r="J4" s="219">
        <v>1</v>
      </c>
      <c r="K4" s="219">
        <v>1</v>
      </c>
      <c r="L4" s="282">
        <v>45823</v>
      </c>
      <c r="M4" s="283">
        <v>45823</v>
      </c>
      <c r="N4" s="283">
        <v>45841</v>
      </c>
      <c r="O4" s="283">
        <v>45841</v>
      </c>
      <c r="P4" s="283">
        <v>45848</v>
      </c>
      <c r="Q4" s="284"/>
      <c r="R4" s="284"/>
      <c r="S4" s="283">
        <v>45866</v>
      </c>
      <c r="T4" s="283"/>
      <c r="U4" s="285">
        <v>-45866</v>
      </c>
      <c r="V4" s="283">
        <v>45866</v>
      </c>
      <c r="W4" s="284"/>
      <c r="X4" s="283">
        <v>45914</v>
      </c>
      <c r="Y4" s="283"/>
      <c r="Z4" s="283">
        <v>45914</v>
      </c>
      <c r="AA4" s="283">
        <v>45928</v>
      </c>
      <c r="AB4" s="283"/>
      <c r="AC4" s="292" t="s">
        <v>3378</v>
      </c>
      <c r="AD4" s="292" t="s">
        <v>3379</v>
      </c>
      <c r="AE4" s="292"/>
    </row>
    <row r="5" spans="2:31" ht="18.75" customHeight="1">
      <c r="B5" s="304" t="s">
        <v>2604</v>
      </c>
      <c r="C5" s="275" t="s">
        <v>2648</v>
      </c>
      <c r="D5" s="275" t="s">
        <v>1425</v>
      </c>
      <c r="E5" s="275">
        <v>150</v>
      </c>
      <c r="F5" s="275">
        <v>300</v>
      </c>
      <c r="G5" s="275" t="s">
        <v>3332</v>
      </c>
      <c r="H5" s="275"/>
      <c r="I5" s="287" t="s">
        <v>3333</v>
      </c>
      <c r="J5" s="275">
        <v>1</v>
      </c>
      <c r="K5" s="275">
        <v>1</v>
      </c>
      <c r="L5" s="277">
        <v>45718</v>
      </c>
      <c r="M5" s="278">
        <v>45718</v>
      </c>
      <c r="N5" s="278">
        <v>45741</v>
      </c>
      <c r="O5" s="278">
        <v>45741</v>
      </c>
      <c r="P5" s="278">
        <v>45743</v>
      </c>
      <c r="Q5" s="279"/>
      <c r="R5" s="279"/>
      <c r="S5" s="278">
        <v>45766</v>
      </c>
      <c r="T5" s="278">
        <v>45767</v>
      </c>
      <c r="U5" s="280">
        <v>1</v>
      </c>
      <c r="V5" s="278">
        <v>45767</v>
      </c>
      <c r="W5" s="279"/>
      <c r="X5" s="278">
        <v>45796</v>
      </c>
      <c r="Y5" s="278"/>
      <c r="Z5" s="278">
        <v>45796</v>
      </c>
      <c r="AA5" s="278">
        <v>45810</v>
      </c>
      <c r="AB5" s="278"/>
      <c r="AC5" s="292" t="s">
        <v>3378</v>
      </c>
      <c r="AD5" s="292"/>
      <c r="AE5" s="292"/>
    </row>
    <row r="6" spans="2:31" ht="18.75" customHeight="1">
      <c r="B6" s="304" t="s">
        <v>3108</v>
      </c>
      <c r="C6" s="275" t="s">
        <v>3262</v>
      </c>
      <c r="D6" s="275" t="s">
        <v>1425</v>
      </c>
      <c r="E6" s="275" t="e">
        <v>#N/A</v>
      </c>
      <c r="F6" s="275" t="e">
        <v>#N/A</v>
      </c>
      <c r="G6" s="275" t="s">
        <v>3289</v>
      </c>
      <c r="H6" s="275" t="s">
        <v>1517</v>
      </c>
      <c r="I6" s="287" t="s">
        <v>3290</v>
      </c>
      <c r="J6" s="275">
        <v>1</v>
      </c>
      <c r="K6" s="275">
        <v>1</v>
      </c>
      <c r="L6" s="277">
        <v>45856</v>
      </c>
      <c r="M6" s="278">
        <v>45856</v>
      </c>
      <c r="N6" s="278"/>
      <c r="O6" s="278">
        <v>45856</v>
      </c>
      <c r="P6" s="278">
        <v>45884</v>
      </c>
      <c r="Q6" s="279"/>
      <c r="R6" s="279"/>
      <c r="S6" s="278">
        <v>45884</v>
      </c>
      <c r="T6" s="278"/>
      <c r="U6" s="280">
        <v>-45884</v>
      </c>
      <c r="V6" s="278">
        <v>45884</v>
      </c>
      <c r="W6" s="279"/>
      <c r="X6" s="278">
        <v>45921</v>
      </c>
      <c r="Y6" s="278"/>
      <c r="Z6" s="278">
        <v>45921</v>
      </c>
      <c r="AA6" s="278">
        <v>45935</v>
      </c>
      <c r="AB6" s="278"/>
      <c r="AC6" s="292" t="s">
        <v>3380</v>
      </c>
      <c r="AD6" s="292" t="s">
        <v>3381</v>
      </c>
      <c r="AE6" s="292"/>
    </row>
    <row r="7" spans="2:31" ht="18.75" customHeight="1">
      <c r="B7" s="304" t="s">
        <v>2601</v>
      </c>
      <c r="C7" s="219" t="s">
        <v>2637</v>
      </c>
      <c r="D7" s="219" t="s">
        <v>1426</v>
      </c>
      <c r="E7" s="219">
        <v>33.3333333</v>
      </c>
      <c r="F7" s="219">
        <v>133.33333300000001</v>
      </c>
      <c r="G7" s="219" t="s">
        <v>3309</v>
      </c>
      <c r="H7" s="219"/>
      <c r="I7" s="286" t="s">
        <v>3310</v>
      </c>
      <c r="J7" s="219">
        <v>1</v>
      </c>
      <c r="K7" s="219">
        <v>1</v>
      </c>
      <c r="L7" s="282">
        <v>45708</v>
      </c>
      <c r="M7" s="283">
        <v>45708</v>
      </c>
      <c r="N7" s="283">
        <v>45737</v>
      </c>
      <c r="O7" s="283">
        <v>45737</v>
      </c>
      <c r="P7" s="283">
        <v>45738</v>
      </c>
      <c r="Q7" s="284"/>
      <c r="R7" s="284"/>
      <c r="S7" s="283">
        <v>45767</v>
      </c>
      <c r="T7" s="283">
        <v>45770</v>
      </c>
      <c r="U7" s="285">
        <v>3</v>
      </c>
      <c r="V7" s="283">
        <v>45770</v>
      </c>
      <c r="W7" s="284"/>
      <c r="X7" s="283">
        <v>45794</v>
      </c>
      <c r="Y7" s="283"/>
      <c r="Z7" s="283">
        <v>45794</v>
      </c>
      <c r="AA7" s="283">
        <v>45822</v>
      </c>
      <c r="AB7" s="283"/>
      <c r="AC7" s="292" t="s">
        <v>3376</v>
      </c>
      <c r="AD7" s="292" t="s">
        <v>3382</v>
      </c>
      <c r="AE7" s="292"/>
    </row>
    <row r="8" spans="2:31" ht="18.75" customHeight="1">
      <c r="B8" s="313" t="s">
        <v>2611</v>
      </c>
      <c r="C8" s="219" t="s">
        <v>2660</v>
      </c>
      <c r="D8" s="219" t="s">
        <v>1426</v>
      </c>
      <c r="E8" s="219">
        <v>28.125</v>
      </c>
      <c r="F8" s="219">
        <v>506.25</v>
      </c>
      <c r="G8" s="219" t="s">
        <v>3351</v>
      </c>
      <c r="H8" s="219"/>
      <c r="I8" s="286" t="s">
        <v>3352</v>
      </c>
      <c r="J8" s="219">
        <v>0.5</v>
      </c>
      <c r="K8" s="219">
        <v>0.5</v>
      </c>
      <c r="L8" s="282">
        <v>45708</v>
      </c>
      <c r="M8" s="283">
        <v>45708</v>
      </c>
      <c r="N8" s="283">
        <v>45737</v>
      </c>
      <c r="O8" s="283">
        <v>45737</v>
      </c>
      <c r="P8" s="283">
        <v>45798</v>
      </c>
      <c r="Q8" s="284"/>
      <c r="R8" s="284"/>
      <c r="S8" s="283">
        <v>45827</v>
      </c>
      <c r="T8" s="283">
        <v>45828</v>
      </c>
      <c r="U8" s="285">
        <v>1</v>
      </c>
      <c r="V8" s="283">
        <v>45828</v>
      </c>
      <c r="W8" s="284"/>
      <c r="X8" s="283">
        <v>45887</v>
      </c>
      <c r="Y8" s="283"/>
      <c r="Z8" s="283">
        <v>45887</v>
      </c>
      <c r="AA8" s="283">
        <v>46013</v>
      </c>
      <c r="AB8" s="283"/>
      <c r="AC8" s="292" t="s">
        <v>3384</v>
      </c>
      <c r="AD8" s="292" t="s">
        <v>3383</v>
      </c>
      <c r="AE8" s="292"/>
    </row>
    <row r="9" spans="2:31" ht="18.75" customHeight="1">
      <c r="B9" s="313" t="s">
        <v>2613</v>
      </c>
      <c r="C9" s="275" t="s">
        <v>2662</v>
      </c>
      <c r="D9" s="275" t="s">
        <v>1426</v>
      </c>
      <c r="E9" s="275">
        <v>28.125</v>
      </c>
      <c r="F9" s="275">
        <v>506.25</v>
      </c>
      <c r="G9" s="275" t="s">
        <v>3351</v>
      </c>
      <c r="H9" s="275"/>
      <c r="I9" s="287" t="s">
        <v>3352</v>
      </c>
      <c r="J9" s="275">
        <v>0.5</v>
      </c>
      <c r="K9" s="275">
        <v>0.5</v>
      </c>
      <c r="L9" s="277">
        <v>45708</v>
      </c>
      <c r="M9" s="278">
        <v>45708</v>
      </c>
      <c r="N9" s="278">
        <v>45737</v>
      </c>
      <c r="O9" s="278">
        <v>45737</v>
      </c>
      <c r="P9" s="278">
        <v>45798</v>
      </c>
      <c r="Q9" s="279"/>
      <c r="R9" s="279"/>
      <c r="S9" s="278">
        <v>45827</v>
      </c>
      <c r="T9" s="278">
        <v>45828</v>
      </c>
      <c r="U9" s="280">
        <v>1</v>
      </c>
      <c r="V9" s="278">
        <v>45828</v>
      </c>
      <c r="W9" s="279"/>
      <c r="X9" s="278">
        <v>45887</v>
      </c>
      <c r="Y9" s="278"/>
      <c r="Z9" s="278">
        <v>45887</v>
      </c>
      <c r="AA9" s="278">
        <v>46013</v>
      </c>
      <c r="AB9" s="278"/>
      <c r="AC9" s="292" t="s">
        <v>3384</v>
      </c>
      <c r="AD9" s="292" t="s">
        <v>3385</v>
      </c>
      <c r="AE9" s="292"/>
    </row>
    <row r="10" spans="2:31" ht="18.75" customHeight="1">
      <c r="B10" s="315" t="s">
        <v>2713</v>
      </c>
      <c r="C10" s="288" t="s">
        <v>2714</v>
      </c>
      <c r="D10" s="219" t="s">
        <v>1427</v>
      </c>
      <c r="E10" s="219">
        <v>18.75</v>
      </c>
      <c r="F10" s="219">
        <v>112.5</v>
      </c>
      <c r="G10" s="219" t="s">
        <v>3341</v>
      </c>
      <c r="H10" s="219"/>
      <c r="I10" s="286" t="s">
        <v>3342</v>
      </c>
      <c r="J10" s="219">
        <v>0.25</v>
      </c>
      <c r="K10" s="219">
        <v>0.5</v>
      </c>
      <c r="L10" s="282">
        <v>45733</v>
      </c>
      <c r="M10" s="283"/>
      <c r="N10" s="283"/>
      <c r="O10" s="283"/>
      <c r="P10" s="283">
        <v>45733</v>
      </c>
      <c r="Q10" s="284"/>
      <c r="R10" s="284"/>
      <c r="S10" s="283">
        <v>45733</v>
      </c>
      <c r="T10" s="283">
        <v>45741</v>
      </c>
      <c r="U10" s="285">
        <v>8</v>
      </c>
      <c r="V10" s="283">
        <v>45741</v>
      </c>
      <c r="W10" s="284"/>
      <c r="X10" s="283">
        <v>45801</v>
      </c>
      <c r="Y10" s="283"/>
      <c r="Z10" s="283">
        <v>45801</v>
      </c>
      <c r="AA10" s="283">
        <v>45836</v>
      </c>
      <c r="AB10" s="283"/>
      <c r="AC10" s="292" t="s">
        <v>3387</v>
      </c>
      <c r="AD10" s="292" t="s">
        <v>3386</v>
      </c>
      <c r="AE10" s="292"/>
    </row>
    <row r="11" spans="2:31" ht="18.75" customHeight="1">
      <c r="B11" s="308" t="s">
        <v>2748</v>
      </c>
      <c r="C11" s="275" t="s">
        <v>2643</v>
      </c>
      <c r="D11" s="275" t="s">
        <v>1427</v>
      </c>
      <c r="E11" s="275">
        <v>56</v>
      </c>
      <c r="F11" s="275">
        <v>160</v>
      </c>
      <c r="G11" s="275" t="s">
        <v>3321</v>
      </c>
      <c r="H11" s="275"/>
      <c r="I11" s="287" t="s">
        <v>3322</v>
      </c>
      <c r="J11" s="275">
        <v>0.25</v>
      </c>
      <c r="K11" s="275">
        <v>0.5</v>
      </c>
      <c r="L11" s="277">
        <v>45728</v>
      </c>
      <c r="M11" s="278">
        <v>45728</v>
      </c>
      <c r="N11" s="278">
        <v>45741</v>
      </c>
      <c r="O11" s="278">
        <v>45741</v>
      </c>
      <c r="P11" s="278">
        <v>45754</v>
      </c>
      <c r="Q11" s="279"/>
      <c r="R11" s="279"/>
      <c r="S11" s="278">
        <v>45767</v>
      </c>
      <c r="T11" s="278">
        <v>45767</v>
      </c>
      <c r="U11" s="280">
        <v>0</v>
      </c>
      <c r="V11" s="278">
        <v>45767</v>
      </c>
      <c r="W11" s="279"/>
      <c r="X11" s="278">
        <v>45817</v>
      </c>
      <c r="Y11" s="278"/>
      <c r="Z11" s="278">
        <v>45817</v>
      </c>
      <c r="AA11" s="278">
        <v>45834</v>
      </c>
      <c r="AB11" s="278"/>
      <c r="AC11" s="292" t="s">
        <v>3384</v>
      </c>
      <c r="AD11" s="292" t="s">
        <v>3389</v>
      </c>
      <c r="AE11" s="292"/>
    </row>
    <row r="12" spans="2:31" ht="18.75" customHeight="1">
      <c r="B12" s="305" t="s">
        <v>2747</v>
      </c>
      <c r="C12" s="275" t="s">
        <v>2639</v>
      </c>
      <c r="D12" s="275" t="s">
        <v>1427</v>
      </c>
      <c r="E12" s="275">
        <v>50</v>
      </c>
      <c r="F12" s="275">
        <v>100</v>
      </c>
      <c r="G12" s="275" t="s">
        <v>3313</v>
      </c>
      <c r="H12" s="275"/>
      <c r="I12" s="287" t="s">
        <v>3314</v>
      </c>
      <c r="J12" s="275">
        <v>0.25</v>
      </c>
      <c r="K12" s="275">
        <v>0.5</v>
      </c>
      <c r="L12" s="277">
        <v>45728</v>
      </c>
      <c r="M12" s="278">
        <v>45728</v>
      </c>
      <c r="N12" s="278">
        <v>45744</v>
      </c>
      <c r="O12" s="278">
        <v>45744</v>
      </c>
      <c r="P12" s="278">
        <v>45758</v>
      </c>
      <c r="Q12" s="279"/>
      <c r="R12" s="279"/>
      <c r="S12" s="278">
        <v>45774</v>
      </c>
      <c r="T12" s="278">
        <v>45767</v>
      </c>
      <c r="U12" s="280">
        <v>-7</v>
      </c>
      <c r="V12" s="278">
        <v>45767</v>
      </c>
      <c r="W12" s="279"/>
      <c r="X12" s="278">
        <v>45824</v>
      </c>
      <c r="Y12" s="278"/>
      <c r="Z12" s="278">
        <v>45824</v>
      </c>
      <c r="AA12" s="278">
        <v>45838</v>
      </c>
      <c r="AB12" s="278"/>
      <c r="AC12" s="292" t="s">
        <v>3384</v>
      </c>
      <c r="AD12" s="292" t="s">
        <v>3388</v>
      </c>
      <c r="AE12" s="292"/>
    </row>
    <row r="13" spans="2:31" ht="18.75" customHeight="1">
      <c r="B13" s="312" t="s">
        <v>3189</v>
      </c>
      <c r="C13" s="288" t="s">
        <v>2717</v>
      </c>
      <c r="D13" s="289" t="s">
        <v>1427</v>
      </c>
      <c r="E13" s="289">
        <v>25</v>
      </c>
      <c r="F13" s="289">
        <v>50</v>
      </c>
      <c r="G13" s="297" t="s">
        <v>3360</v>
      </c>
      <c r="H13" s="291"/>
      <c r="I13" s="287" t="s">
        <v>3361</v>
      </c>
      <c r="J13" s="291">
        <v>0.25</v>
      </c>
      <c r="K13" s="291">
        <v>0.5</v>
      </c>
      <c r="L13" s="299">
        <v>45718</v>
      </c>
      <c r="M13" s="298">
        <v>45718</v>
      </c>
      <c r="N13" s="298">
        <v>45741</v>
      </c>
      <c r="O13" s="298">
        <v>45741</v>
      </c>
      <c r="P13" s="293">
        <v>45760</v>
      </c>
      <c r="Q13" s="294"/>
      <c r="R13" s="294"/>
      <c r="S13" s="298">
        <v>45783</v>
      </c>
      <c r="T13" s="296">
        <v>45741</v>
      </c>
      <c r="U13" s="300">
        <v>-42</v>
      </c>
      <c r="V13" s="298">
        <v>45728</v>
      </c>
      <c r="W13" s="295"/>
      <c r="X13" s="298">
        <v>45833</v>
      </c>
      <c r="Y13" s="296"/>
      <c r="Z13" s="298">
        <v>45833</v>
      </c>
      <c r="AA13" s="298">
        <v>45847</v>
      </c>
      <c r="AB13" s="296"/>
      <c r="AC13" s="292" t="s">
        <v>3384</v>
      </c>
      <c r="AD13" s="292" t="s">
        <v>3390</v>
      </c>
      <c r="AE13" s="292"/>
    </row>
    <row r="14" spans="2:31" ht="18.75" customHeight="1">
      <c r="B14" s="311" t="s">
        <v>2720</v>
      </c>
      <c r="C14" s="275" t="s">
        <v>2642</v>
      </c>
      <c r="D14" s="275" t="s">
        <v>1427</v>
      </c>
      <c r="E14" s="275">
        <v>12.5</v>
      </c>
      <c r="F14" s="275">
        <v>178.57142899999999</v>
      </c>
      <c r="G14" s="275" t="s">
        <v>3317</v>
      </c>
      <c r="H14" s="275"/>
      <c r="I14" s="287" t="s">
        <v>3318</v>
      </c>
      <c r="J14" s="275">
        <v>0.25</v>
      </c>
      <c r="K14" s="275">
        <v>0.5</v>
      </c>
      <c r="L14" s="277">
        <v>45748</v>
      </c>
      <c r="M14" s="278">
        <v>45748</v>
      </c>
      <c r="N14" s="278">
        <v>45763</v>
      </c>
      <c r="O14" s="278">
        <v>45763</v>
      </c>
      <c r="P14" s="278">
        <v>45783</v>
      </c>
      <c r="Q14" s="279"/>
      <c r="R14" s="279"/>
      <c r="S14" s="278">
        <v>45798</v>
      </c>
      <c r="T14" s="278">
        <v>45807</v>
      </c>
      <c r="U14" s="280">
        <v>9</v>
      </c>
      <c r="V14" s="278">
        <v>45807</v>
      </c>
      <c r="W14" s="279"/>
      <c r="X14" s="278">
        <v>45833</v>
      </c>
      <c r="Y14" s="278"/>
      <c r="Z14" s="278">
        <v>45833</v>
      </c>
      <c r="AA14" s="278">
        <v>45938</v>
      </c>
      <c r="AB14" s="278"/>
      <c r="AC14" s="292" t="s">
        <v>3391</v>
      </c>
      <c r="AD14" s="292" t="s">
        <v>3392</v>
      </c>
      <c r="AE14" s="292"/>
    </row>
    <row r="15" spans="2:31" ht="18.75" customHeight="1">
      <c r="B15" s="305" t="s">
        <v>1712</v>
      </c>
      <c r="C15" s="275" t="s">
        <v>2622</v>
      </c>
      <c r="D15" s="275" t="s">
        <v>1427</v>
      </c>
      <c r="E15" s="275">
        <v>3.125</v>
      </c>
      <c r="F15" s="275">
        <v>25</v>
      </c>
      <c r="G15" s="275" t="s">
        <v>3291</v>
      </c>
      <c r="H15" s="275"/>
      <c r="I15" s="287" t="s">
        <v>3292</v>
      </c>
      <c r="J15" s="275">
        <v>1</v>
      </c>
      <c r="K15" s="275">
        <v>1</v>
      </c>
      <c r="L15" s="277">
        <v>45748</v>
      </c>
      <c r="M15" s="278">
        <v>45748</v>
      </c>
      <c r="N15" s="278">
        <v>45763</v>
      </c>
      <c r="O15" s="278">
        <v>45763</v>
      </c>
      <c r="P15" s="278">
        <v>45788</v>
      </c>
      <c r="Q15" s="279"/>
      <c r="R15" s="279"/>
      <c r="S15" s="278">
        <v>45803</v>
      </c>
      <c r="T15" s="278"/>
      <c r="U15" s="280">
        <v>-45803</v>
      </c>
      <c r="V15" s="278">
        <v>45803</v>
      </c>
      <c r="W15" s="279"/>
      <c r="X15" s="278">
        <v>45858</v>
      </c>
      <c r="Y15" s="278"/>
      <c r="Z15" s="278">
        <v>45858</v>
      </c>
      <c r="AA15" s="278">
        <v>45907</v>
      </c>
      <c r="AB15" s="278"/>
      <c r="AC15" s="292" t="s">
        <v>3384</v>
      </c>
      <c r="AD15" s="292" t="s">
        <v>3393</v>
      </c>
      <c r="AE15" s="292"/>
    </row>
    <row r="16" spans="2:31" ht="18.75" customHeight="1">
      <c r="B16" s="313" t="s">
        <v>2619</v>
      </c>
      <c r="C16" s="275" t="s">
        <v>2676</v>
      </c>
      <c r="D16" s="289" t="s">
        <v>1427</v>
      </c>
      <c r="E16" s="289">
        <v>13.8888889</v>
      </c>
      <c r="F16" s="289">
        <v>222.22222199999999</v>
      </c>
      <c r="G16" s="297" t="s">
        <v>3369</v>
      </c>
      <c r="H16" s="291"/>
      <c r="I16" s="287" t="s">
        <v>3371</v>
      </c>
      <c r="J16" s="291">
        <v>0.5</v>
      </c>
      <c r="K16" s="291">
        <v>0.5</v>
      </c>
      <c r="L16" s="299">
        <v>45723</v>
      </c>
      <c r="M16" s="298">
        <v>45723</v>
      </c>
      <c r="N16" s="298">
        <v>45748</v>
      </c>
      <c r="O16" s="298">
        <v>45748</v>
      </c>
      <c r="P16" s="293">
        <v>45779</v>
      </c>
      <c r="Q16" s="294"/>
      <c r="R16" s="294"/>
      <c r="S16" s="298">
        <v>45804</v>
      </c>
      <c r="T16" s="278">
        <v>45807</v>
      </c>
      <c r="U16" s="280">
        <v>3</v>
      </c>
      <c r="V16" s="298">
        <v>45807</v>
      </c>
      <c r="W16" s="295"/>
      <c r="X16" s="298">
        <v>45838</v>
      </c>
      <c r="Y16" s="296"/>
      <c r="Z16" s="298">
        <v>45838</v>
      </c>
      <c r="AA16" s="298">
        <v>45950</v>
      </c>
      <c r="AB16" s="296"/>
      <c r="AC16" s="292" t="s">
        <v>3380</v>
      </c>
      <c r="AD16" s="292" t="s">
        <v>3394</v>
      </c>
      <c r="AE16" s="292"/>
    </row>
    <row r="17" spans="2:31" ht="18.75" customHeight="1">
      <c r="B17" s="304" t="s">
        <v>1726</v>
      </c>
      <c r="C17" s="275" t="s">
        <v>2666</v>
      </c>
      <c r="D17" s="275" t="s">
        <v>1428</v>
      </c>
      <c r="E17" s="275">
        <v>7.8125</v>
      </c>
      <c r="F17" s="275">
        <v>31.25</v>
      </c>
      <c r="G17" s="275" t="s">
        <v>3355</v>
      </c>
      <c r="H17" s="275"/>
      <c r="I17" s="287" t="s">
        <v>3357</v>
      </c>
      <c r="J17" s="275">
        <v>0.25</v>
      </c>
      <c r="K17" s="275">
        <v>0.5</v>
      </c>
      <c r="L17" s="277">
        <v>45728</v>
      </c>
      <c r="M17" s="278"/>
      <c r="N17" s="278"/>
      <c r="O17" s="278"/>
      <c r="P17" s="278">
        <v>45728</v>
      </c>
      <c r="Q17" s="279"/>
      <c r="R17" s="279"/>
      <c r="S17" s="278">
        <v>45728</v>
      </c>
      <c r="T17" s="278">
        <v>45741</v>
      </c>
      <c r="U17" s="280">
        <v>13</v>
      </c>
      <c r="V17" s="278">
        <v>45741</v>
      </c>
      <c r="W17" s="279"/>
      <c r="X17" s="278">
        <v>45773</v>
      </c>
      <c r="Y17" s="278"/>
      <c r="Z17" s="278">
        <v>45773</v>
      </c>
      <c r="AA17" s="278">
        <v>45794</v>
      </c>
      <c r="AB17" s="278"/>
      <c r="AC17" s="292" t="s">
        <v>3384</v>
      </c>
      <c r="AD17" s="292" t="s">
        <v>3395</v>
      </c>
      <c r="AE17" s="292"/>
    </row>
    <row r="18" spans="2:31" ht="18.75" customHeight="1">
      <c r="B18" s="304" t="s">
        <v>1520</v>
      </c>
      <c r="C18" s="219" t="s">
        <v>2638</v>
      </c>
      <c r="D18" s="219" t="s">
        <v>1428</v>
      </c>
      <c r="E18" s="219">
        <v>18.75</v>
      </c>
      <c r="F18" s="219">
        <v>150</v>
      </c>
      <c r="G18" s="219" t="s">
        <v>3311</v>
      </c>
      <c r="H18" s="219"/>
      <c r="I18" s="286" t="s">
        <v>3312</v>
      </c>
      <c r="J18" s="219">
        <v>0.25</v>
      </c>
      <c r="K18" s="219">
        <v>0.5</v>
      </c>
      <c r="L18" s="282">
        <v>45743</v>
      </c>
      <c r="M18" s="283"/>
      <c r="N18" s="283"/>
      <c r="O18" s="283"/>
      <c r="P18" s="283">
        <v>45743</v>
      </c>
      <c r="Q18" s="284"/>
      <c r="R18" s="284"/>
      <c r="S18" s="283">
        <v>45743</v>
      </c>
      <c r="T18" s="283">
        <v>45741</v>
      </c>
      <c r="U18" s="285">
        <v>-2</v>
      </c>
      <c r="V18" s="283">
        <v>45741</v>
      </c>
      <c r="W18" s="284"/>
      <c r="X18" s="283">
        <v>45778</v>
      </c>
      <c r="Y18" s="283"/>
      <c r="Z18" s="283">
        <v>45778</v>
      </c>
      <c r="AA18" s="283">
        <v>45834</v>
      </c>
      <c r="AB18" s="283"/>
      <c r="AC18" s="292" t="s">
        <v>3384</v>
      </c>
      <c r="AD18" s="292" t="s">
        <v>3386</v>
      </c>
      <c r="AE18" s="292"/>
    </row>
    <row r="19" spans="2:31" ht="18.75" customHeight="1">
      <c r="B19" s="304" t="s">
        <v>2751</v>
      </c>
      <c r="C19" s="219" t="s">
        <v>2680</v>
      </c>
      <c r="D19" s="289" t="s">
        <v>1428</v>
      </c>
      <c r="E19" s="289">
        <v>6.25</v>
      </c>
      <c r="F19" s="289">
        <v>25</v>
      </c>
      <c r="G19" s="290" t="s">
        <v>3372</v>
      </c>
      <c r="H19" s="291"/>
      <c r="I19" s="286" t="s">
        <v>3373</v>
      </c>
      <c r="J19" s="291">
        <v>0.25</v>
      </c>
      <c r="K19" s="291">
        <v>0.5</v>
      </c>
      <c r="L19" s="302">
        <v>45748</v>
      </c>
      <c r="M19" s="292"/>
      <c r="N19" s="292"/>
      <c r="O19" s="292"/>
      <c r="P19" s="293">
        <v>45748</v>
      </c>
      <c r="Q19" s="294"/>
      <c r="R19" s="294"/>
      <c r="S19" s="292">
        <v>45748</v>
      </c>
      <c r="T19" s="296">
        <v>45741</v>
      </c>
      <c r="U19" s="300">
        <v>-7</v>
      </c>
      <c r="V19" s="292">
        <v>45741</v>
      </c>
      <c r="W19" s="295"/>
      <c r="X19" s="292">
        <v>45781</v>
      </c>
      <c r="Y19" s="296"/>
      <c r="Z19" s="292">
        <v>45781</v>
      </c>
      <c r="AA19" s="292">
        <v>45795</v>
      </c>
      <c r="AB19" s="296"/>
      <c r="AC19" s="292" t="s">
        <v>3384</v>
      </c>
      <c r="AD19" s="292" t="s">
        <v>3397</v>
      </c>
      <c r="AE19" s="292"/>
    </row>
    <row r="20" spans="2:31" ht="18.75" customHeight="1">
      <c r="B20" s="303" t="s">
        <v>2300</v>
      </c>
      <c r="C20" s="275" t="s">
        <v>2621</v>
      </c>
      <c r="D20" s="275" t="s">
        <v>1428</v>
      </c>
      <c r="E20" s="276">
        <v>7.5</v>
      </c>
      <c r="F20" s="276">
        <v>22.5</v>
      </c>
      <c r="G20" s="275" t="s">
        <v>3288</v>
      </c>
      <c r="H20" s="275"/>
      <c r="I20" s="276" t="s">
        <v>42</v>
      </c>
      <c r="J20" s="275">
        <v>0.25</v>
      </c>
      <c r="K20" s="275">
        <v>0.5</v>
      </c>
      <c r="L20" s="277">
        <v>45758</v>
      </c>
      <c r="M20" s="278"/>
      <c r="N20" s="278"/>
      <c r="O20" s="278"/>
      <c r="P20" s="278">
        <v>45758</v>
      </c>
      <c r="Q20" s="279"/>
      <c r="R20" s="279"/>
      <c r="S20" s="278">
        <v>45758</v>
      </c>
      <c r="T20" s="278">
        <v>45741</v>
      </c>
      <c r="U20" s="280">
        <v>-17</v>
      </c>
      <c r="V20" s="278">
        <v>45741</v>
      </c>
      <c r="W20" s="279"/>
      <c r="X20" s="278">
        <v>45772</v>
      </c>
      <c r="Y20" s="278"/>
      <c r="Z20" s="278">
        <v>45772</v>
      </c>
      <c r="AA20" s="278">
        <v>45790</v>
      </c>
      <c r="AB20" s="278"/>
      <c r="AC20" s="292" t="s">
        <v>3384</v>
      </c>
      <c r="AD20" s="292" t="s">
        <v>3396</v>
      </c>
      <c r="AE20" s="292"/>
    </row>
    <row r="21" spans="2:31" ht="18.75" customHeight="1">
      <c r="B21" s="311" t="s">
        <v>2602</v>
      </c>
      <c r="C21" s="275" t="s">
        <v>2641</v>
      </c>
      <c r="D21" s="275" t="s">
        <v>1428</v>
      </c>
      <c r="E21" s="275">
        <v>25</v>
      </c>
      <c r="F21" s="275">
        <v>357.14285699999999</v>
      </c>
      <c r="G21" s="275" t="s">
        <v>3317</v>
      </c>
      <c r="H21" s="275"/>
      <c r="I21" s="287" t="s">
        <v>3318</v>
      </c>
      <c r="J21" s="275">
        <v>0.75</v>
      </c>
      <c r="K21" s="275">
        <v>0.5</v>
      </c>
      <c r="L21" s="277">
        <v>45748</v>
      </c>
      <c r="M21" s="278">
        <v>45748</v>
      </c>
      <c r="N21" s="278">
        <v>45763</v>
      </c>
      <c r="O21" s="278">
        <v>45763</v>
      </c>
      <c r="P21" s="278">
        <v>45783</v>
      </c>
      <c r="Q21" s="279"/>
      <c r="R21" s="279"/>
      <c r="S21" s="278">
        <v>45798</v>
      </c>
      <c r="T21" s="278">
        <v>45807</v>
      </c>
      <c r="U21" s="280">
        <v>9</v>
      </c>
      <c r="V21" s="278">
        <v>45807</v>
      </c>
      <c r="W21" s="279"/>
      <c r="X21" s="278">
        <v>45833</v>
      </c>
      <c r="Y21" s="278"/>
      <c r="Z21" s="278">
        <v>45833</v>
      </c>
      <c r="AA21" s="278">
        <v>45938</v>
      </c>
      <c r="AB21" s="278"/>
      <c r="AC21" s="292" t="s">
        <v>3391</v>
      </c>
      <c r="AD21" s="292" t="s">
        <v>3398</v>
      </c>
      <c r="AE21" s="292"/>
    </row>
    <row r="22" spans="2:31" ht="18.75" customHeight="1">
      <c r="B22" s="313" t="s">
        <v>2618</v>
      </c>
      <c r="C22" s="219" t="s">
        <v>2675</v>
      </c>
      <c r="D22" s="289" t="s">
        <v>1428</v>
      </c>
      <c r="E22" s="289">
        <v>20.8333333</v>
      </c>
      <c r="F22" s="289">
        <v>250</v>
      </c>
      <c r="G22" s="290" t="s">
        <v>3369</v>
      </c>
      <c r="H22" s="291"/>
      <c r="I22" s="286" t="s">
        <v>3371</v>
      </c>
      <c r="J22" s="291">
        <v>0.5</v>
      </c>
      <c r="K22" s="291">
        <v>0.5</v>
      </c>
      <c r="L22" s="302">
        <v>45723</v>
      </c>
      <c r="M22" s="292">
        <v>45723</v>
      </c>
      <c r="N22" s="292">
        <v>45748</v>
      </c>
      <c r="O22" s="292">
        <v>45748</v>
      </c>
      <c r="P22" s="293">
        <v>45779</v>
      </c>
      <c r="Q22" s="294"/>
      <c r="R22" s="294"/>
      <c r="S22" s="292">
        <v>45804</v>
      </c>
      <c r="T22" s="283">
        <v>45807</v>
      </c>
      <c r="U22" s="285">
        <v>3</v>
      </c>
      <c r="V22" s="292">
        <v>45807</v>
      </c>
      <c r="W22" s="295"/>
      <c r="X22" s="292">
        <v>45868</v>
      </c>
      <c r="Y22" s="296"/>
      <c r="Z22" s="292">
        <v>45868</v>
      </c>
      <c r="AA22" s="292">
        <v>45952</v>
      </c>
      <c r="AB22" s="296"/>
      <c r="AC22" s="292" t="s">
        <v>3384</v>
      </c>
      <c r="AD22" s="292" t="s">
        <v>3399</v>
      </c>
      <c r="AE22" s="292"/>
    </row>
    <row r="23" spans="2:31" ht="18.75" customHeight="1">
      <c r="B23" s="303" t="s">
        <v>2727</v>
      </c>
      <c r="C23" s="219" t="s">
        <v>2709</v>
      </c>
      <c r="D23" s="219" t="s">
        <v>1429</v>
      </c>
      <c r="E23" s="219">
        <v>49.8711111</v>
      </c>
      <c r="F23" s="219">
        <v>356.22222199999999</v>
      </c>
      <c r="G23" s="219" t="s">
        <v>3338</v>
      </c>
      <c r="H23" s="219"/>
      <c r="I23" s="286" t="s">
        <v>3339</v>
      </c>
      <c r="J23" s="219">
        <v>1</v>
      </c>
      <c r="K23" s="219">
        <v>1</v>
      </c>
      <c r="L23" s="282">
        <v>45713</v>
      </c>
      <c r="M23" s="283">
        <v>45713</v>
      </c>
      <c r="N23" s="283">
        <v>45744</v>
      </c>
      <c r="O23" s="283">
        <v>45744</v>
      </c>
      <c r="P23" s="283">
        <v>45743</v>
      </c>
      <c r="Q23" s="284"/>
      <c r="R23" s="284"/>
      <c r="S23" s="283">
        <v>45774</v>
      </c>
      <c r="T23" s="283">
        <v>45775</v>
      </c>
      <c r="U23" s="285">
        <v>1</v>
      </c>
      <c r="V23" s="283">
        <v>45775</v>
      </c>
      <c r="W23" s="284"/>
      <c r="X23" s="283">
        <v>45829</v>
      </c>
      <c r="Y23" s="283"/>
      <c r="Z23" s="283">
        <v>45829</v>
      </c>
      <c r="AA23" s="283">
        <v>45842</v>
      </c>
      <c r="AB23" s="283"/>
      <c r="AC23" s="292" t="s">
        <v>3384</v>
      </c>
      <c r="AD23" s="292" t="s">
        <v>3400</v>
      </c>
      <c r="AE23" s="292"/>
    </row>
    <row r="24" spans="2:31" ht="18.75" customHeight="1">
      <c r="B24" s="313" t="s">
        <v>3103</v>
      </c>
      <c r="C24" s="219" t="s">
        <v>2645</v>
      </c>
      <c r="D24" s="219" t="s">
        <v>1429</v>
      </c>
      <c r="E24" s="219">
        <v>11.428571399999999</v>
      </c>
      <c r="F24" s="219">
        <v>160</v>
      </c>
      <c r="G24" s="219" t="s">
        <v>3328</v>
      </c>
      <c r="H24" s="219"/>
      <c r="I24" s="286" t="s">
        <v>3329</v>
      </c>
      <c r="J24" s="219">
        <v>0.5</v>
      </c>
      <c r="K24" s="219">
        <v>0.5</v>
      </c>
      <c r="L24" s="282">
        <v>45748</v>
      </c>
      <c r="M24" s="283">
        <v>45748</v>
      </c>
      <c r="N24" s="283"/>
      <c r="O24" s="283">
        <v>45748</v>
      </c>
      <c r="P24" s="283">
        <v>45801</v>
      </c>
      <c r="Q24" s="284"/>
      <c r="R24" s="284"/>
      <c r="S24" s="283">
        <v>45801</v>
      </c>
      <c r="T24" s="283">
        <v>45658</v>
      </c>
      <c r="U24" s="285">
        <v>-143</v>
      </c>
      <c r="V24" s="283">
        <v>45658</v>
      </c>
      <c r="W24" s="284"/>
      <c r="X24" s="283">
        <v>45906</v>
      </c>
      <c r="Y24" s="283"/>
      <c r="Z24" s="283">
        <v>45906</v>
      </c>
      <c r="AA24" s="283">
        <v>46004</v>
      </c>
      <c r="AB24" s="283"/>
      <c r="AC24" s="292" t="s">
        <v>3402</v>
      </c>
      <c r="AD24" s="292" t="s">
        <v>3401</v>
      </c>
      <c r="AE24" s="292"/>
    </row>
    <row r="25" spans="2:31" ht="18.75" customHeight="1">
      <c r="B25" s="305" t="s">
        <v>2596</v>
      </c>
      <c r="C25" s="219" t="s">
        <v>2623</v>
      </c>
      <c r="D25" s="219" t="s">
        <v>1429</v>
      </c>
      <c r="E25" s="219">
        <v>12.5</v>
      </c>
      <c r="F25" s="219">
        <v>100</v>
      </c>
      <c r="G25" s="219" t="s">
        <v>3291</v>
      </c>
      <c r="H25" s="219"/>
      <c r="I25" s="286" t="s">
        <v>3292</v>
      </c>
      <c r="J25" s="219">
        <v>1</v>
      </c>
      <c r="K25" s="219">
        <v>1</v>
      </c>
      <c r="L25" s="282">
        <v>45783</v>
      </c>
      <c r="M25" s="283">
        <v>45783</v>
      </c>
      <c r="N25" s="283">
        <v>45796</v>
      </c>
      <c r="O25" s="283">
        <v>45796</v>
      </c>
      <c r="P25" s="283">
        <v>45823</v>
      </c>
      <c r="Q25" s="284"/>
      <c r="R25" s="284"/>
      <c r="S25" s="283">
        <v>45836</v>
      </c>
      <c r="T25" s="283"/>
      <c r="U25" s="285">
        <v>-45836</v>
      </c>
      <c r="V25" s="283">
        <v>45836</v>
      </c>
      <c r="W25" s="284"/>
      <c r="X25" s="283">
        <v>45891</v>
      </c>
      <c r="Y25" s="283"/>
      <c r="Z25" s="283">
        <v>45891</v>
      </c>
      <c r="AA25" s="283">
        <v>45940</v>
      </c>
      <c r="AB25" s="283"/>
      <c r="AC25" s="292" t="s">
        <v>3384</v>
      </c>
      <c r="AD25" s="292" t="s">
        <v>3403</v>
      </c>
      <c r="AE25" s="292"/>
    </row>
    <row r="26" spans="2:31" ht="18.75" customHeight="1">
      <c r="B26" s="313" t="s">
        <v>309</v>
      </c>
      <c r="C26" s="219" t="s">
        <v>2673</v>
      </c>
      <c r="D26" s="219" t="s">
        <v>1430</v>
      </c>
      <c r="E26" s="219">
        <v>34.567901200000001</v>
      </c>
      <c r="F26" s="219">
        <v>355.55555600000002</v>
      </c>
      <c r="G26" s="219" t="s">
        <v>3369</v>
      </c>
      <c r="H26" s="219"/>
      <c r="I26" s="286" t="s">
        <v>3370</v>
      </c>
      <c r="J26" s="219">
        <v>1</v>
      </c>
      <c r="K26" s="219">
        <v>1</v>
      </c>
      <c r="L26" s="282">
        <v>45738</v>
      </c>
      <c r="M26" s="283">
        <v>45738</v>
      </c>
      <c r="N26" s="283">
        <v>45748</v>
      </c>
      <c r="O26" s="283">
        <v>45748</v>
      </c>
      <c r="P26" s="283">
        <v>45794</v>
      </c>
      <c r="Q26" s="284"/>
      <c r="R26" s="284"/>
      <c r="S26" s="283">
        <v>45804</v>
      </c>
      <c r="T26" s="283">
        <v>45823</v>
      </c>
      <c r="U26" s="285">
        <v>19</v>
      </c>
      <c r="V26" s="283">
        <v>45823</v>
      </c>
      <c r="W26" s="284"/>
      <c r="X26" s="283">
        <v>45838</v>
      </c>
      <c r="Y26" s="283"/>
      <c r="Z26" s="283">
        <v>45838</v>
      </c>
      <c r="AA26" s="283">
        <v>45908</v>
      </c>
      <c r="AB26" s="283"/>
      <c r="AC26" s="292" t="s">
        <v>3387</v>
      </c>
      <c r="AD26" s="292" t="s">
        <v>3404</v>
      </c>
      <c r="AE26" s="292"/>
    </row>
    <row r="27" spans="2:31" ht="18.75" customHeight="1">
      <c r="B27" s="312" t="s">
        <v>2608</v>
      </c>
      <c r="C27" s="275" t="s">
        <v>2654</v>
      </c>
      <c r="D27" s="275" t="s">
        <v>1431</v>
      </c>
      <c r="E27" s="275">
        <v>18.75</v>
      </c>
      <c r="F27" s="275">
        <v>150</v>
      </c>
      <c r="G27" s="275" t="s">
        <v>3345</v>
      </c>
      <c r="H27" s="275"/>
      <c r="I27" s="287" t="s">
        <v>3346</v>
      </c>
      <c r="J27" s="275">
        <v>1</v>
      </c>
      <c r="K27" s="275">
        <v>1</v>
      </c>
      <c r="L27" s="277">
        <v>45713</v>
      </c>
      <c r="M27" s="278">
        <v>45713</v>
      </c>
      <c r="N27" s="278">
        <v>45737</v>
      </c>
      <c r="O27" s="278">
        <v>45737</v>
      </c>
      <c r="P27" s="278">
        <v>45741</v>
      </c>
      <c r="Q27" s="279"/>
      <c r="R27" s="279"/>
      <c r="S27" s="278">
        <v>45765</v>
      </c>
      <c r="T27" s="278">
        <v>45767</v>
      </c>
      <c r="U27" s="280">
        <v>2</v>
      </c>
      <c r="V27" s="278">
        <v>45767</v>
      </c>
      <c r="W27" s="279"/>
      <c r="X27" s="278">
        <v>45827</v>
      </c>
      <c r="Y27" s="278"/>
      <c r="Z27" s="278">
        <v>45827</v>
      </c>
      <c r="AA27" s="278">
        <v>45883</v>
      </c>
      <c r="AB27" s="278"/>
      <c r="AC27" s="292" t="s">
        <v>3391</v>
      </c>
      <c r="AD27" s="292" t="s">
        <v>3405</v>
      </c>
      <c r="AE27" s="292"/>
    </row>
    <row r="28" spans="2:31" ht="18.75" customHeight="1">
      <c r="B28" s="307" t="s">
        <v>1750</v>
      </c>
      <c r="C28" s="288" t="s">
        <v>3261</v>
      </c>
      <c r="D28" s="219" t="s">
        <v>1431</v>
      </c>
      <c r="E28" s="289">
        <v>16.6666667</v>
      </c>
      <c r="F28" s="289">
        <v>100</v>
      </c>
      <c r="G28" s="219" t="s">
        <v>3295</v>
      </c>
      <c r="H28" s="219"/>
      <c r="I28" s="286" t="s">
        <v>3296</v>
      </c>
      <c r="J28" s="219">
        <v>1</v>
      </c>
      <c r="K28" s="219">
        <v>1</v>
      </c>
      <c r="L28" s="282">
        <v>45849</v>
      </c>
      <c r="M28" s="283">
        <v>45849</v>
      </c>
      <c r="N28" s="283"/>
      <c r="O28" s="283">
        <v>45849</v>
      </c>
      <c r="P28" s="283">
        <v>45884</v>
      </c>
      <c r="Q28" s="284"/>
      <c r="R28" s="284"/>
      <c r="S28" s="283">
        <v>45884</v>
      </c>
      <c r="T28" s="283"/>
      <c r="U28" s="285">
        <v>-45884</v>
      </c>
      <c r="V28" s="283">
        <v>45884</v>
      </c>
      <c r="W28" s="283"/>
      <c r="X28" s="283">
        <v>45929</v>
      </c>
      <c r="Y28" s="283"/>
      <c r="Z28" s="283">
        <v>45929</v>
      </c>
      <c r="AA28" s="283">
        <v>45964</v>
      </c>
      <c r="AB28" s="283"/>
      <c r="AC28" s="292"/>
      <c r="AD28" s="292" t="s">
        <v>3406</v>
      </c>
      <c r="AE28" s="292"/>
    </row>
    <row r="29" spans="2:31" ht="18.75" customHeight="1">
      <c r="B29" s="306" t="s">
        <v>2603</v>
      </c>
      <c r="C29" s="288" t="s">
        <v>2644</v>
      </c>
      <c r="D29" s="275" t="s">
        <v>1432</v>
      </c>
      <c r="E29" s="289">
        <v>44.444444400000002</v>
      </c>
      <c r="F29" s="289">
        <v>133.33333300000001</v>
      </c>
      <c r="G29" s="275" t="s">
        <v>3323</v>
      </c>
      <c r="H29" s="275"/>
      <c r="I29" s="287" t="s">
        <v>3324</v>
      </c>
      <c r="J29" s="275">
        <v>1</v>
      </c>
      <c r="K29" s="275">
        <v>1</v>
      </c>
      <c r="L29" s="277">
        <v>45688</v>
      </c>
      <c r="M29" s="278"/>
      <c r="N29" s="278"/>
      <c r="O29" s="278"/>
      <c r="P29" s="278">
        <v>45688</v>
      </c>
      <c r="Q29" s="279"/>
      <c r="R29" s="279"/>
      <c r="S29" s="278">
        <v>45688</v>
      </c>
      <c r="T29" s="278">
        <v>45688</v>
      </c>
      <c r="U29" s="280">
        <v>0</v>
      </c>
      <c r="V29" s="278">
        <v>45688</v>
      </c>
      <c r="W29" s="280">
        <v>-40</v>
      </c>
      <c r="X29" s="278">
        <v>45828</v>
      </c>
      <c r="Y29" s="278"/>
      <c r="Z29" s="278">
        <v>45828</v>
      </c>
      <c r="AA29" s="278">
        <v>45849</v>
      </c>
      <c r="AB29" s="278"/>
      <c r="AC29" s="292" t="s">
        <v>3384</v>
      </c>
      <c r="AD29" s="292" t="s">
        <v>3407</v>
      </c>
      <c r="AE29" s="292"/>
    </row>
    <row r="30" spans="2:31" ht="18.75" customHeight="1">
      <c r="B30" s="308" t="s">
        <v>3259</v>
      </c>
      <c r="C30" s="288" t="s">
        <v>3264</v>
      </c>
      <c r="D30" s="219" t="s">
        <v>1432</v>
      </c>
      <c r="E30" s="289">
        <v>42.857142899999999</v>
      </c>
      <c r="F30" s="289">
        <v>171.42857100000001</v>
      </c>
      <c r="G30" s="219" t="s">
        <v>3303</v>
      </c>
      <c r="H30" s="219"/>
      <c r="I30" s="286" t="s">
        <v>3304</v>
      </c>
      <c r="J30" s="219">
        <v>1</v>
      </c>
      <c r="K30" s="219">
        <v>1</v>
      </c>
      <c r="L30" s="282">
        <v>45870</v>
      </c>
      <c r="M30" s="283"/>
      <c r="N30" s="283"/>
      <c r="O30" s="283"/>
      <c r="P30" s="283">
        <v>45870</v>
      </c>
      <c r="Q30" s="284"/>
      <c r="R30" s="284"/>
      <c r="S30" s="283">
        <v>45870</v>
      </c>
      <c r="T30" s="283"/>
      <c r="U30" s="285">
        <v>-45870</v>
      </c>
      <c r="V30" s="283">
        <v>45870</v>
      </c>
      <c r="W30" s="283"/>
      <c r="X30" s="283">
        <v>45940</v>
      </c>
      <c r="Y30" s="283"/>
      <c r="Z30" s="283">
        <v>45940</v>
      </c>
      <c r="AA30" s="283">
        <v>45961</v>
      </c>
      <c r="AB30" s="283"/>
      <c r="AC30" s="292" t="s">
        <v>3391</v>
      </c>
      <c r="AD30" s="292" t="s">
        <v>3409</v>
      </c>
      <c r="AE30" s="292" t="s">
        <v>3408</v>
      </c>
    </row>
    <row r="31" spans="2:31" ht="18.75" customHeight="1">
      <c r="B31" s="308" t="s">
        <v>2748</v>
      </c>
      <c r="C31" s="219" t="s">
        <v>2716</v>
      </c>
      <c r="D31" s="219" t="s">
        <v>1433</v>
      </c>
      <c r="E31" s="219">
        <v>56</v>
      </c>
      <c r="F31" s="219">
        <v>160</v>
      </c>
      <c r="G31" s="219" t="s">
        <v>3321</v>
      </c>
      <c r="H31" s="219"/>
      <c r="I31" s="286" t="s">
        <v>3322</v>
      </c>
      <c r="J31" s="219">
        <v>0.25</v>
      </c>
      <c r="K31" s="219">
        <v>0.5</v>
      </c>
      <c r="L31" s="282">
        <v>45728</v>
      </c>
      <c r="M31" s="283">
        <v>45728</v>
      </c>
      <c r="N31" s="283">
        <v>45741</v>
      </c>
      <c r="O31" s="283">
        <v>45741</v>
      </c>
      <c r="P31" s="283">
        <v>45754</v>
      </c>
      <c r="Q31" s="284"/>
      <c r="R31" s="284"/>
      <c r="S31" s="283">
        <v>45767</v>
      </c>
      <c r="T31" s="283">
        <v>45767</v>
      </c>
      <c r="U31" s="285">
        <v>0</v>
      </c>
      <c r="V31" s="283">
        <v>45767</v>
      </c>
      <c r="W31" s="284">
        <v>7</v>
      </c>
      <c r="X31" s="283">
        <v>45824</v>
      </c>
      <c r="Y31" s="283"/>
      <c r="Z31" s="283">
        <v>45824</v>
      </c>
      <c r="AA31" s="283">
        <v>45841</v>
      </c>
      <c r="AB31" s="283"/>
      <c r="AC31" s="292" t="s">
        <v>3387</v>
      </c>
      <c r="AD31" s="292" t="s">
        <v>3410</v>
      </c>
      <c r="AE31" s="292"/>
    </row>
    <row r="32" spans="2:31" ht="18.75" customHeight="1">
      <c r="B32" s="305" t="s">
        <v>2747</v>
      </c>
      <c r="C32" s="219" t="s">
        <v>2715</v>
      </c>
      <c r="D32" s="219" t="s">
        <v>1433</v>
      </c>
      <c r="E32" s="219">
        <v>50</v>
      </c>
      <c r="F32" s="219">
        <v>100</v>
      </c>
      <c r="G32" s="219" t="s">
        <v>3313</v>
      </c>
      <c r="H32" s="219"/>
      <c r="I32" s="286" t="s">
        <v>3314</v>
      </c>
      <c r="J32" s="219">
        <v>0.25</v>
      </c>
      <c r="K32" s="219">
        <v>0.5</v>
      </c>
      <c r="L32" s="282">
        <v>45729</v>
      </c>
      <c r="M32" s="283">
        <v>45729</v>
      </c>
      <c r="N32" s="283">
        <v>45744</v>
      </c>
      <c r="O32" s="283">
        <v>45744</v>
      </c>
      <c r="P32" s="283">
        <v>45759</v>
      </c>
      <c r="Q32" s="284"/>
      <c r="R32" s="284"/>
      <c r="S32" s="283">
        <v>45774</v>
      </c>
      <c r="T32" s="283">
        <v>45767</v>
      </c>
      <c r="U32" s="285">
        <v>-7</v>
      </c>
      <c r="V32" s="283">
        <v>45767</v>
      </c>
      <c r="W32" s="284">
        <v>7</v>
      </c>
      <c r="X32" s="283">
        <v>45831</v>
      </c>
      <c r="Y32" s="283"/>
      <c r="Z32" s="283">
        <v>45831</v>
      </c>
      <c r="AA32" s="283">
        <v>45845</v>
      </c>
      <c r="AB32" s="283"/>
      <c r="AC32" s="292" t="s">
        <v>3387</v>
      </c>
      <c r="AD32" s="292" t="s">
        <v>3411</v>
      </c>
      <c r="AE32" s="292"/>
    </row>
    <row r="33" spans="2:31" ht="18.75" customHeight="1">
      <c r="B33" s="305" t="s">
        <v>2747</v>
      </c>
      <c r="C33" s="288" t="s">
        <v>2734</v>
      </c>
      <c r="D33" s="275" t="s">
        <v>1433</v>
      </c>
      <c r="E33" s="289">
        <v>50</v>
      </c>
      <c r="F33" s="289">
        <v>100</v>
      </c>
      <c r="G33" s="275" t="s">
        <v>3313</v>
      </c>
      <c r="H33" s="275"/>
      <c r="I33" s="287" t="s">
        <v>3314</v>
      </c>
      <c r="J33" s="275">
        <v>0.25</v>
      </c>
      <c r="K33" s="275">
        <v>0.5</v>
      </c>
      <c r="L33" s="277">
        <v>45742</v>
      </c>
      <c r="M33" s="278">
        <v>45742</v>
      </c>
      <c r="N33" s="278">
        <v>45744</v>
      </c>
      <c r="O33" s="278">
        <v>45744</v>
      </c>
      <c r="P33" s="278">
        <v>45772</v>
      </c>
      <c r="Q33" s="279"/>
      <c r="R33" s="279"/>
      <c r="S33" s="278">
        <v>45774</v>
      </c>
      <c r="T33" s="278">
        <v>45767</v>
      </c>
      <c r="U33" s="280">
        <v>-7</v>
      </c>
      <c r="V33" s="278">
        <v>45767</v>
      </c>
      <c r="W33" s="279">
        <v>7</v>
      </c>
      <c r="X33" s="278">
        <v>45831</v>
      </c>
      <c r="Y33" s="278"/>
      <c r="Z33" s="278">
        <v>45831</v>
      </c>
      <c r="AA33" s="278">
        <v>45845</v>
      </c>
      <c r="AB33" s="278"/>
      <c r="AC33" s="292" t="s">
        <v>3387</v>
      </c>
      <c r="AD33" s="292" t="s">
        <v>3411</v>
      </c>
      <c r="AE33" s="292"/>
    </row>
    <row r="34" spans="2:31" ht="18.75" customHeight="1">
      <c r="B34" s="308" t="s">
        <v>2746</v>
      </c>
      <c r="C34" s="288" t="s">
        <v>2741</v>
      </c>
      <c r="D34" s="219" t="s">
        <v>1433</v>
      </c>
      <c r="E34" s="289">
        <v>56</v>
      </c>
      <c r="F34" s="289">
        <v>160</v>
      </c>
      <c r="G34" s="219" t="s">
        <v>3321</v>
      </c>
      <c r="H34" s="219"/>
      <c r="I34" s="286" t="s">
        <v>3322</v>
      </c>
      <c r="J34" s="219">
        <v>0.25</v>
      </c>
      <c r="K34" s="219">
        <v>0.5</v>
      </c>
      <c r="L34" s="282">
        <v>45756</v>
      </c>
      <c r="M34" s="283">
        <v>45756</v>
      </c>
      <c r="N34" s="283">
        <v>45763</v>
      </c>
      <c r="O34" s="283">
        <v>45763</v>
      </c>
      <c r="P34" s="283">
        <v>45782</v>
      </c>
      <c r="Q34" s="284"/>
      <c r="R34" s="284"/>
      <c r="S34" s="283">
        <v>45789</v>
      </c>
      <c r="T34" s="283">
        <v>45795</v>
      </c>
      <c r="U34" s="285">
        <v>6</v>
      </c>
      <c r="V34" s="283">
        <v>45795</v>
      </c>
      <c r="W34" s="284">
        <v>7</v>
      </c>
      <c r="X34" s="283">
        <v>45856</v>
      </c>
      <c r="Y34" s="283"/>
      <c r="Z34" s="283">
        <v>45856</v>
      </c>
      <c r="AA34" s="283">
        <v>45873</v>
      </c>
      <c r="AB34" s="283"/>
      <c r="AC34" s="292" t="s">
        <v>3387</v>
      </c>
      <c r="AD34" s="292" t="s">
        <v>3412</v>
      </c>
      <c r="AE34" s="292"/>
    </row>
    <row r="35" spans="2:31" ht="18.75" customHeight="1">
      <c r="B35" s="305" t="s">
        <v>2747</v>
      </c>
      <c r="C35" s="288" t="s">
        <v>2735</v>
      </c>
      <c r="D35" s="219" t="s">
        <v>1433</v>
      </c>
      <c r="E35" s="289">
        <v>50</v>
      </c>
      <c r="F35" s="289">
        <v>100</v>
      </c>
      <c r="G35" s="219" t="s">
        <v>3313</v>
      </c>
      <c r="H35" s="219"/>
      <c r="I35" s="286" t="s">
        <v>3314</v>
      </c>
      <c r="J35" s="219">
        <v>0.25</v>
      </c>
      <c r="K35" s="219">
        <v>0.5</v>
      </c>
      <c r="L35" s="282">
        <v>45756</v>
      </c>
      <c r="M35" s="283">
        <v>45756</v>
      </c>
      <c r="N35" s="283">
        <v>45763</v>
      </c>
      <c r="O35" s="283">
        <v>45763</v>
      </c>
      <c r="P35" s="283">
        <v>45786</v>
      </c>
      <c r="Q35" s="284"/>
      <c r="R35" s="284"/>
      <c r="S35" s="283">
        <v>45793</v>
      </c>
      <c r="T35" s="283">
        <v>45795</v>
      </c>
      <c r="U35" s="285">
        <v>2</v>
      </c>
      <c r="V35" s="283">
        <v>45795</v>
      </c>
      <c r="W35" s="284">
        <v>7</v>
      </c>
      <c r="X35" s="283">
        <v>45850</v>
      </c>
      <c r="Y35" s="283"/>
      <c r="Z35" s="283">
        <v>45850</v>
      </c>
      <c r="AA35" s="283">
        <v>45864</v>
      </c>
      <c r="AB35" s="283"/>
      <c r="AC35" s="292" t="s">
        <v>3387</v>
      </c>
      <c r="AD35" s="292" t="s">
        <v>3412</v>
      </c>
      <c r="AE35" s="292"/>
    </row>
    <row r="36" spans="2:31" ht="18.75" customHeight="1">
      <c r="B36" s="308" t="s">
        <v>2748</v>
      </c>
      <c r="C36" s="288" t="s">
        <v>2742</v>
      </c>
      <c r="D36" s="275" t="s">
        <v>1433</v>
      </c>
      <c r="E36" s="289">
        <v>56</v>
      </c>
      <c r="F36" s="289">
        <v>160</v>
      </c>
      <c r="G36" s="275" t="s">
        <v>3321</v>
      </c>
      <c r="H36" s="275"/>
      <c r="I36" s="287" t="s">
        <v>3322</v>
      </c>
      <c r="J36" s="275">
        <v>0.25</v>
      </c>
      <c r="K36" s="275">
        <v>0.5</v>
      </c>
      <c r="L36" s="277">
        <v>45770</v>
      </c>
      <c r="M36" s="278">
        <v>45770</v>
      </c>
      <c r="N36" s="278">
        <v>45767</v>
      </c>
      <c r="O36" s="278">
        <v>45767</v>
      </c>
      <c r="P36" s="278">
        <v>45796</v>
      </c>
      <c r="Q36" s="279"/>
      <c r="R36" s="279"/>
      <c r="S36" s="278">
        <v>45793</v>
      </c>
      <c r="T36" s="278">
        <v>45795</v>
      </c>
      <c r="U36" s="280">
        <v>2</v>
      </c>
      <c r="V36" s="278">
        <v>45795</v>
      </c>
      <c r="W36" s="279"/>
      <c r="X36" s="278">
        <v>45843</v>
      </c>
      <c r="Y36" s="278"/>
      <c r="Z36" s="278">
        <v>45843</v>
      </c>
      <c r="AA36" s="278">
        <v>45860</v>
      </c>
      <c r="AB36" s="278"/>
      <c r="AC36" s="292" t="s">
        <v>3387</v>
      </c>
      <c r="AD36" s="292" t="s">
        <v>3412</v>
      </c>
      <c r="AE36" s="292"/>
    </row>
    <row r="37" spans="2:31" ht="18.75" customHeight="1">
      <c r="B37" s="305" t="s">
        <v>2747</v>
      </c>
      <c r="C37" s="288" t="s">
        <v>2736</v>
      </c>
      <c r="D37" s="275" t="s">
        <v>1433</v>
      </c>
      <c r="E37" s="289">
        <v>50</v>
      </c>
      <c r="F37" s="289">
        <v>100</v>
      </c>
      <c r="G37" s="275" t="s">
        <v>3313</v>
      </c>
      <c r="H37" s="275"/>
      <c r="I37" s="287" t="s">
        <v>3314</v>
      </c>
      <c r="J37" s="275">
        <v>0.25</v>
      </c>
      <c r="K37" s="275">
        <v>0.5</v>
      </c>
      <c r="L37" s="277">
        <v>45770</v>
      </c>
      <c r="M37" s="278">
        <v>45770</v>
      </c>
      <c r="N37" s="278">
        <v>45767</v>
      </c>
      <c r="O37" s="278">
        <v>45767</v>
      </c>
      <c r="P37" s="278">
        <v>45800</v>
      </c>
      <c r="Q37" s="279"/>
      <c r="R37" s="279"/>
      <c r="S37" s="278">
        <v>45797</v>
      </c>
      <c r="T37" s="278">
        <v>45795</v>
      </c>
      <c r="U37" s="280">
        <v>-2</v>
      </c>
      <c r="V37" s="278">
        <v>45795</v>
      </c>
      <c r="W37" s="279"/>
      <c r="X37" s="278">
        <v>45847</v>
      </c>
      <c r="Y37" s="278"/>
      <c r="Z37" s="278">
        <v>45847</v>
      </c>
      <c r="AA37" s="278">
        <v>45861</v>
      </c>
      <c r="AB37" s="278"/>
      <c r="AC37" s="292" t="s">
        <v>3387</v>
      </c>
      <c r="AD37" s="292" t="s">
        <v>3412</v>
      </c>
      <c r="AE37" s="292"/>
    </row>
    <row r="38" spans="2:31" ht="18.75" customHeight="1">
      <c r="B38" s="305" t="s">
        <v>2747</v>
      </c>
      <c r="C38" s="288" t="s">
        <v>2737</v>
      </c>
      <c r="D38" s="219" t="s">
        <v>1433</v>
      </c>
      <c r="E38" s="289">
        <v>50</v>
      </c>
      <c r="F38" s="289">
        <v>100</v>
      </c>
      <c r="G38" s="219" t="s">
        <v>3313</v>
      </c>
      <c r="H38" s="219"/>
      <c r="I38" s="286" t="s">
        <v>3314</v>
      </c>
      <c r="J38" s="219">
        <v>0.25</v>
      </c>
      <c r="K38" s="219">
        <v>0.5</v>
      </c>
      <c r="L38" s="282">
        <v>45784</v>
      </c>
      <c r="M38" s="283">
        <v>45784</v>
      </c>
      <c r="N38" s="283">
        <v>45791</v>
      </c>
      <c r="O38" s="283">
        <v>45791</v>
      </c>
      <c r="P38" s="283">
        <v>45814</v>
      </c>
      <c r="Q38" s="284"/>
      <c r="R38" s="284"/>
      <c r="S38" s="283">
        <v>45821</v>
      </c>
      <c r="T38" s="283"/>
      <c r="U38" s="285">
        <v>-45821</v>
      </c>
      <c r="V38" s="283">
        <v>45821</v>
      </c>
      <c r="W38" s="284"/>
      <c r="X38" s="283">
        <v>45871</v>
      </c>
      <c r="Y38" s="283"/>
      <c r="Z38" s="283">
        <v>45871</v>
      </c>
      <c r="AA38" s="283">
        <v>45885</v>
      </c>
      <c r="AB38" s="283"/>
      <c r="AC38" s="292" t="s">
        <v>3387</v>
      </c>
      <c r="AD38" s="292" t="s">
        <v>3412</v>
      </c>
      <c r="AE38" s="292"/>
    </row>
    <row r="39" spans="2:31" ht="18.75" customHeight="1">
      <c r="B39" s="304" t="s">
        <v>2228</v>
      </c>
      <c r="C39" s="275" t="s">
        <v>2646</v>
      </c>
      <c r="D39" s="275" t="s">
        <v>1434</v>
      </c>
      <c r="E39" s="275">
        <v>66.666666699999993</v>
      </c>
      <c r="F39" s="275">
        <v>533.33333300000004</v>
      </c>
      <c r="G39" s="275" t="s">
        <v>3330</v>
      </c>
      <c r="H39" s="275"/>
      <c r="I39" s="287" t="s">
        <v>3331</v>
      </c>
      <c r="J39" s="275">
        <v>2</v>
      </c>
      <c r="K39" s="275">
        <v>2</v>
      </c>
      <c r="L39" s="277">
        <v>45738</v>
      </c>
      <c r="M39" s="278">
        <v>45738</v>
      </c>
      <c r="N39" s="278">
        <v>45748</v>
      </c>
      <c r="O39" s="278">
        <v>45748</v>
      </c>
      <c r="P39" s="278">
        <v>45773</v>
      </c>
      <c r="Q39" s="279"/>
      <c r="R39" s="279"/>
      <c r="S39" s="278">
        <v>45783</v>
      </c>
      <c r="T39" s="278">
        <v>45775</v>
      </c>
      <c r="U39" s="280">
        <v>-8</v>
      </c>
      <c r="V39" s="278">
        <v>45775</v>
      </c>
      <c r="W39" s="279"/>
      <c r="X39" s="278">
        <v>45838</v>
      </c>
      <c r="Y39" s="278"/>
      <c r="Z39" s="278">
        <v>45838</v>
      </c>
      <c r="AA39" s="278">
        <v>45894</v>
      </c>
      <c r="AB39" s="278"/>
      <c r="AC39" s="292" t="s">
        <v>3378</v>
      </c>
      <c r="AD39" s="292" t="s">
        <v>3413</v>
      </c>
      <c r="AE39" s="292"/>
    </row>
    <row r="40" spans="2:31" ht="18.75" customHeight="1">
      <c r="B40" s="304" t="s">
        <v>1923</v>
      </c>
      <c r="C40" s="275" t="s">
        <v>2668</v>
      </c>
      <c r="D40" s="275" t="s">
        <v>1436</v>
      </c>
      <c r="E40" s="275">
        <v>21.428571399999999</v>
      </c>
      <c r="F40" s="275">
        <v>85.714285700000005</v>
      </c>
      <c r="G40" s="275" t="s">
        <v>3355</v>
      </c>
      <c r="H40" s="275"/>
      <c r="I40" s="287" t="s">
        <v>3357</v>
      </c>
      <c r="J40" s="275">
        <v>1</v>
      </c>
      <c r="K40" s="275">
        <v>1</v>
      </c>
      <c r="L40" s="277">
        <v>45838</v>
      </c>
      <c r="M40" s="278"/>
      <c r="N40" s="278"/>
      <c r="O40" s="278"/>
      <c r="P40" s="278">
        <v>45838</v>
      </c>
      <c r="Q40" s="279"/>
      <c r="R40" s="279"/>
      <c r="S40" s="278">
        <v>45838</v>
      </c>
      <c r="T40" s="278"/>
      <c r="U40" s="280">
        <v>-45838</v>
      </c>
      <c r="V40" s="278">
        <v>45838</v>
      </c>
      <c r="W40" s="279"/>
      <c r="X40" s="278">
        <v>45888</v>
      </c>
      <c r="Y40" s="278"/>
      <c r="Z40" s="278">
        <v>45888</v>
      </c>
      <c r="AA40" s="278">
        <v>45909</v>
      </c>
      <c r="AB40" s="278"/>
      <c r="AC40" s="292" t="s">
        <v>3380</v>
      </c>
      <c r="AD40" s="292" t="s">
        <v>3414</v>
      </c>
      <c r="AE40" s="292"/>
    </row>
    <row r="41" spans="2:31" ht="18.75" customHeight="1">
      <c r="B41" s="304" t="s">
        <v>1726</v>
      </c>
      <c r="C41" s="288" t="s">
        <v>2755</v>
      </c>
      <c r="D41" s="219" t="s">
        <v>1437</v>
      </c>
      <c r="E41" s="289">
        <v>15.625</v>
      </c>
      <c r="F41" s="289">
        <v>62.5</v>
      </c>
      <c r="G41" s="219" t="s">
        <v>3355</v>
      </c>
      <c r="H41" s="219"/>
      <c r="I41" s="286" t="s">
        <v>3357</v>
      </c>
      <c r="J41" s="219">
        <v>0.5</v>
      </c>
      <c r="K41" s="219">
        <v>0.5</v>
      </c>
      <c r="L41" s="282">
        <v>45748</v>
      </c>
      <c r="M41" s="283"/>
      <c r="N41" s="283"/>
      <c r="O41" s="283"/>
      <c r="P41" s="283">
        <v>45748</v>
      </c>
      <c r="Q41" s="284"/>
      <c r="R41" s="284"/>
      <c r="S41" s="283">
        <v>45748</v>
      </c>
      <c r="T41" s="283">
        <v>45777</v>
      </c>
      <c r="U41" s="285">
        <v>29</v>
      </c>
      <c r="V41" s="283">
        <v>45777</v>
      </c>
      <c r="W41" s="283"/>
      <c r="X41" s="283">
        <v>45809</v>
      </c>
      <c r="Y41" s="283"/>
      <c r="Z41" s="283">
        <v>45809</v>
      </c>
      <c r="AA41" s="283">
        <v>45830</v>
      </c>
      <c r="AB41" s="283"/>
      <c r="AC41" s="292" t="s">
        <v>3380</v>
      </c>
      <c r="AD41" s="292" t="s">
        <v>3414</v>
      </c>
      <c r="AE41" s="292"/>
    </row>
    <row r="42" spans="2:31" ht="18.75" customHeight="1">
      <c r="B42" s="304" t="s">
        <v>2751</v>
      </c>
      <c r="C42" s="275" t="s">
        <v>2678</v>
      </c>
      <c r="D42" s="289" t="s">
        <v>1437</v>
      </c>
      <c r="E42" s="289">
        <v>12.5</v>
      </c>
      <c r="F42" s="289">
        <v>50</v>
      </c>
      <c r="G42" s="297" t="s">
        <v>3372</v>
      </c>
      <c r="H42" s="291"/>
      <c r="I42" s="287" t="s">
        <v>3373</v>
      </c>
      <c r="J42" s="291">
        <v>0.5</v>
      </c>
      <c r="K42" s="291">
        <v>0.5</v>
      </c>
      <c r="L42" s="299">
        <v>45748</v>
      </c>
      <c r="M42" s="298"/>
      <c r="N42" s="298"/>
      <c r="O42" s="298"/>
      <c r="P42" s="293">
        <v>45748</v>
      </c>
      <c r="Q42" s="294"/>
      <c r="R42" s="294"/>
      <c r="S42" s="298">
        <v>45748</v>
      </c>
      <c r="T42" s="296">
        <v>45777</v>
      </c>
      <c r="U42" s="300">
        <v>29</v>
      </c>
      <c r="V42" s="298">
        <v>45777</v>
      </c>
      <c r="W42" s="295"/>
      <c r="X42" s="298">
        <v>45817</v>
      </c>
      <c r="Y42" s="296"/>
      <c r="Z42" s="298">
        <v>45817</v>
      </c>
      <c r="AA42" s="298">
        <v>45831</v>
      </c>
      <c r="AB42" s="296"/>
      <c r="AC42" s="292" t="s">
        <v>3380</v>
      </c>
      <c r="AD42" s="292" t="s">
        <v>3415</v>
      </c>
      <c r="AE42" s="292"/>
    </row>
    <row r="43" spans="2:31" ht="18.75" customHeight="1">
      <c r="B43" s="304" t="s">
        <v>1924</v>
      </c>
      <c r="C43" s="219" t="s">
        <v>2667</v>
      </c>
      <c r="D43" s="219" t="s">
        <v>1437</v>
      </c>
      <c r="E43" s="219">
        <v>75</v>
      </c>
      <c r="F43" s="219">
        <v>300</v>
      </c>
      <c r="G43" s="219" t="s">
        <v>3355</v>
      </c>
      <c r="H43" s="219"/>
      <c r="I43" s="286" t="s">
        <v>3357</v>
      </c>
      <c r="J43" s="219">
        <v>1</v>
      </c>
      <c r="K43" s="219">
        <v>1</v>
      </c>
      <c r="L43" s="282">
        <v>45828</v>
      </c>
      <c r="M43" s="283">
        <v>45828</v>
      </c>
      <c r="N43" s="283">
        <v>45839</v>
      </c>
      <c r="O43" s="283">
        <v>45839</v>
      </c>
      <c r="P43" s="283">
        <v>45853</v>
      </c>
      <c r="Q43" s="284"/>
      <c r="R43" s="284"/>
      <c r="S43" s="283">
        <v>45864</v>
      </c>
      <c r="T43" s="283"/>
      <c r="U43" s="285">
        <v>-45864</v>
      </c>
      <c r="V43" s="283">
        <v>45864</v>
      </c>
      <c r="W43" s="284"/>
      <c r="X43" s="283">
        <v>45914</v>
      </c>
      <c r="Y43" s="283"/>
      <c r="Z43" s="283">
        <v>45914</v>
      </c>
      <c r="AA43" s="283">
        <v>45935</v>
      </c>
      <c r="AB43" s="283"/>
      <c r="AC43" s="292"/>
      <c r="AD43" s="292" t="s">
        <v>3406</v>
      </c>
      <c r="AE43" s="292"/>
    </row>
    <row r="44" spans="2:31" ht="18.75" customHeight="1">
      <c r="B44" s="311" t="s">
        <v>270</v>
      </c>
      <c r="C44" s="275" t="s">
        <v>2652</v>
      </c>
      <c r="D44" s="275" t="s">
        <v>1438</v>
      </c>
      <c r="E44" s="275">
        <v>66.666666699999993</v>
      </c>
      <c r="F44" s="275">
        <v>200</v>
      </c>
      <c r="G44" s="275" t="s">
        <v>3343</v>
      </c>
      <c r="H44" s="275"/>
      <c r="I44" s="287" t="s">
        <v>3344</v>
      </c>
      <c r="J44" s="275">
        <v>2</v>
      </c>
      <c r="K44" s="275">
        <v>2</v>
      </c>
      <c r="L44" s="277">
        <v>45763</v>
      </c>
      <c r="M44" s="278">
        <v>45763</v>
      </c>
      <c r="N44" s="278">
        <v>45763</v>
      </c>
      <c r="O44" s="278">
        <v>45763</v>
      </c>
      <c r="P44" s="278">
        <v>45784</v>
      </c>
      <c r="Q44" s="279"/>
      <c r="R44" s="279"/>
      <c r="S44" s="278">
        <v>45784</v>
      </c>
      <c r="T44" s="278">
        <v>45804</v>
      </c>
      <c r="U44" s="280">
        <v>20</v>
      </c>
      <c r="V44" s="278">
        <v>45804</v>
      </c>
      <c r="W44" s="279"/>
      <c r="X44" s="278">
        <v>45874</v>
      </c>
      <c r="Y44" s="278"/>
      <c r="Z44" s="278">
        <v>45874</v>
      </c>
      <c r="AA44" s="278">
        <v>45895</v>
      </c>
      <c r="AB44" s="278"/>
      <c r="AC44" s="292" t="s">
        <v>3384</v>
      </c>
      <c r="AD44" s="292" t="s">
        <v>3416</v>
      </c>
      <c r="AE44" s="292"/>
    </row>
    <row r="45" spans="2:31" ht="18.75" customHeight="1">
      <c r="B45" s="310" t="s">
        <v>1886</v>
      </c>
      <c r="C45" s="219" t="s">
        <v>2640</v>
      </c>
      <c r="D45" s="219" t="s">
        <v>1440</v>
      </c>
      <c r="E45" s="219">
        <v>100</v>
      </c>
      <c r="F45" s="219">
        <v>200</v>
      </c>
      <c r="G45" s="219" t="s">
        <v>3315</v>
      </c>
      <c r="H45" s="219"/>
      <c r="I45" s="286" t="s">
        <v>3316</v>
      </c>
      <c r="J45" s="219">
        <v>2</v>
      </c>
      <c r="K45" s="219">
        <v>2</v>
      </c>
      <c r="L45" s="282">
        <v>45823</v>
      </c>
      <c r="M45" s="283"/>
      <c r="N45" s="283"/>
      <c r="O45" s="283"/>
      <c r="P45" s="283">
        <v>45823</v>
      </c>
      <c r="Q45" s="284"/>
      <c r="R45" s="284"/>
      <c r="S45" s="283">
        <v>45823</v>
      </c>
      <c r="T45" s="283">
        <v>45828</v>
      </c>
      <c r="U45" s="285">
        <v>5</v>
      </c>
      <c r="V45" s="283">
        <v>45828</v>
      </c>
      <c r="W45" s="284"/>
      <c r="X45" s="283">
        <v>45928</v>
      </c>
      <c r="Y45" s="283"/>
      <c r="Z45" s="283">
        <v>45928</v>
      </c>
      <c r="AA45" s="283">
        <v>45942</v>
      </c>
      <c r="AB45" s="283"/>
      <c r="AC45" s="292" t="s">
        <v>3391</v>
      </c>
      <c r="AD45" s="292" t="s">
        <v>3417</v>
      </c>
      <c r="AE45" s="292"/>
    </row>
    <row r="46" spans="2:31" ht="18.75" customHeight="1">
      <c r="B46" s="312" t="s">
        <v>3189</v>
      </c>
      <c r="C46" s="288" t="s">
        <v>2764</v>
      </c>
      <c r="D46" s="289" t="s">
        <v>1442</v>
      </c>
      <c r="E46" s="289">
        <v>50</v>
      </c>
      <c r="F46" s="289">
        <v>100</v>
      </c>
      <c r="G46" s="297" t="s">
        <v>3360</v>
      </c>
      <c r="H46" s="291"/>
      <c r="I46" s="287" t="s">
        <v>3361</v>
      </c>
      <c r="J46" s="291">
        <v>0.5</v>
      </c>
      <c r="K46" s="291">
        <v>0.5</v>
      </c>
      <c r="L46" s="299">
        <v>45760</v>
      </c>
      <c r="M46" s="298">
        <v>45760</v>
      </c>
      <c r="N46" s="298">
        <v>45761</v>
      </c>
      <c r="O46" s="298">
        <v>45761</v>
      </c>
      <c r="P46" s="293">
        <v>45802</v>
      </c>
      <c r="Q46" s="294"/>
      <c r="R46" s="294"/>
      <c r="S46" s="298">
        <v>45803</v>
      </c>
      <c r="T46" s="296">
        <v>45795</v>
      </c>
      <c r="U46" s="300">
        <v>-8</v>
      </c>
      <c r="V46" s="298">
        <v>45795</v>
      </c>
      <c r="W46" s="296"/>
      <c r="X46" s="298">
        <v>45853</v>
      </c>
      <c r="Y46" s="296"/>
      <c r="Z46" s="298">
        <v>45853</v>
      </c>
      <c r="AA46" s="298">
        <v>45867</v>
      </c>
      <c r="AB46" s="296"/>
      <c r="AC46" s="292" t="s">
        <v>3419</v>
      </c>
      <c r="AD46" s="292" t="s">
        <v>3418</v>
      </c>
      <c r="AE46" s="292"/>
    </row>
    <row r="47" spans="2:31" ht="18.75" customHeight="1">
      <c r="B47" s="312" t="s">
        <v>3258</v>
      </c>
      <c r="C47" s="288" t="s">
        <v>3270</v>
      </c>
      <c r="D47" s="289" t="s">
        <v>1442</v>
      </c>
      <c r="E47" s="289">
        <v>33.3333333</v>
      </c>
      <c r="F47" s="289">
        <v>66.666666699999993</v>
      </c>
      <c r="G47" s="297" t="s">
        <v>3360</v>
      </c>
      <c r="H47" s="291"/>
      <c r="I47" s="287" t="s">
        <v>3361</v>
      </c>
      <c r="J47" s="291">
        <v>0.5</v>
      </c>
      <c r="K47" s="291">
        <v>0.5</v>
      </c>
      <c r="L47" s="299">
        <v>45833</v>
      </c>
      <c r="M47" s="298"/>
      <c r="N47" s="298"/>
      <c r="O47" s="298"/>
      <c r="P47" s="293">
        <v>45833</v>
      </c>
      <c r="Q47" s="294"/>
      <c r="R47" s="294"/>
      <c r="S47" s="298">
        <v>45833</v>
      </c>
      <c r="T47" s="296"/>
      <c r="U47" s="301">
        <v>-45833</v>
      </c>
      <c r="V47" s="298">
        <v>45833</v>
      </c>
      <c r="W47" s="296"/>
      <c r="X47" s="298">
        <v>45910</v>
      </c>
      <c r="Y47" s="296"/>
      <c r="Z47" s="298">
        <v>45910</v>
      </c>
      <c r="AA47" s="298">
        <v>45924</v>
      </c>
      <c r="AB47" s="296"/>
      <c r="AC47" s="292" t="s">
        <v>3419</v>
      </c>
      <c r="AD47" s="292" t="s">
        <v>3418</v>
      </c>
      <c r="AE47" s="292"/>
    </row>
    <row r="48" spans="2:31" ht="18.75" customHeight="1">
      <c r="B48" s="312" t="s">
        <v>3258</v>
      </c>
      <c r="C48" s="288" t="s">
        <v>3269</v>
      </c>
      <c r="D48" s="289" t="s">
        <v>1442</v>
      </c>
      <c r="E48" s="289">
        <v>33.3333333</v>
      </c>
      <c r="F48" s="289">
        <v>66.666666699999993</v>
      </c>
      <c r="G48" s="290" t="s">
        <v>3360</v>
      </c>
      <c r="H48" s="291"/>
      <c r="I48" s="286" t="s">
        <v>3361</v>
      </c>
      <c r="J48" s="291">
        <v>0.5</v>
      </c>
      <c r="K48" s="291">
        <v>0.5</v>
      </c>
      <c r="L48" s="302">
        <v>45884</v>
      </c>
      <c r="M48" s="292"/>
      <c r="N48" s="292"/>
      <c r="O48" s="292"/>
      <c r="P48" s="293">
        <v>45884</v>
      </c>
      <c r="Q48" s="294"/>
      <c r="R48" s="294"/>
      <c r="S48" s="292">
        <v>45884</v>
      </c>
      <c r="T48" s="296"/>
      <c r="U48" s="301">
        <v>-45884</v>
      </c>
      <c r="V48" s="292">
        <v>45884</v>
      </c>
      <c r="W48" s="296"/>
      <c r="X48" s="292">
        <v>45961</v>
      </c>
      <c r="Y48" s="296"/>
      <c r="Z48" s="292">
        <v>45961</v>
      </c>
      <c r="AA48" s="292">
        <v>45975</v>
      </c>
      <c r="AB48" s="296"/>
      <c r="AC48" s="292" t="s">
        <v>3419</v>
      </c>
      <c r="AD48" s="292" t="s">
        <v>3418</v>
      </c>
      <c r="AE48" s="292"/>
    </row>
    <row r="49" spans="2:31" ht="18.75" customHeight="1">
      <c r="B49" s="312" t="s">
        <v>1711</v>
      </c>
      <c r="C49" s="219" t="s">
        <v>2655</v>
      </c>
      <c r="D49" s="219" t="s">
        <v>1443</v>
      </c>
      <c r="E49" s="219">
        <v>18.75</v>
      </c>
      <c r="F49" s="219">
        <v>150</v>
      </c>
      <c r="G49" s="219" t="s">
        <v>3345</v>
      </c>
      <c r="H49" s="219"/>
      <c r="I49" s="286" t="s">
        <v>3346</v>
      </c>
      <c r="J49" s="219">
        <v>1</v>
      </c>
      <c r="K49" s="219">
        <v>1</v>
      </c>
      <c r="L49" s="282">
        <v>45738</v>
      </c>
      <c r="M49" s="283">
        <v>45738</v>
      </c>
      <c r="N49" s="283">
        <v>45744</v>
      </c>
      <c r="O49" s="283">
        <v>45744</v>
      </c>
      <c r="P49" s="283">
        <v>45766</v>
      </c>
      <c r="Q49" s="284"/>
      <c r="R49" s="284"/>
      <c r="S49" s="283">
        <v>45772</v>
      </c>
      <c r="T49" s="283">
        <v>45769</v>
      </c>
      <c r="U49" s="285">
        <v>-3</v>
      </c>
      <c r="V49" s="283">
        <v>45769</v>
      </c>
      <c r="W49" s="284"/>
      <c r="X49" s="283">
        <v>45834</v>
      </c>
      <c r="Y49" s="283"/>
      <c r="Z49" s="283">
        <v>45834</v>
      </c>
      <c r="AA49" s="283">
        <v>45890</v>
      </c>
      <c r="AB49" s="283"/>
      <c r="AC49" s="292" t="s">
        <v>3402</v>
      </c>
      <c r="AD49" s="292" t="s">
        <v>3420</v>
      </c>
      <c r="AE49" s="292"/>
    </row>
    <row r="50" spans="2:31" ht="18.75" customHeight="1">
      <c r="B50" s="313" t="s">
        <v>1760</v>
      </c>
      <c r="C50" s="275" t="s">
        <v>2664</v>
      </c>
      <c r="D50" s="275" t="s">
        <v>1444</v>
      </c>
      <c r="E50" s="275">
        <v>175</v>
      </c>
      <c r="F50" s="275">
        <v>175</v>
      </c>
      <c r="G50" s="275" t="s">
        <v>3353</v>
      </c>
      <c r="H50" s="275"/>
      <c r="I50" s="287" t="s">
        <v>3354</v>
      </c>
      <c r="J50" s="275">
        <v>2</v>
      </c>
      <c r="K50" s="275">
        <v>2</v>
      </c>
      <c r="L50" s="277">
        <v>45768</v>
      </c>
      <c r="M50" s="278"/>
      <c r="N50" s="278"/>
      <c r="O50" s="278"/>
      <c r="P50" s="278">
        <v>45768</v>
      </c>
      <c r="Q50" s="279"/>
      <c r="R50" s="279"/>
      <c r="S50" s="278">
        <v>45768</v>
      </c>
      <c r="T50" s="278">
        <v>45771</v>
      </c>
      <c r="U50" s="280">
        <v>3</v>
      </c>
      <c r="V50" s="278">
        <v>45771</v>
      </c>
      <c r="W50" s="279"/>
      <c r="X50" s="278">
        <v>45891</v>
      </c>
      <c r="Y50" s="278"/>
      <c r="Z50" s="278">
        <v>45891</v>
      </c>
      <c r="AA50" s="278">
        <v>45898</v>
      </c>
      <c r="AB50" s="278"/>
      <c r="AC50" s="292" t="s">
        <v>3387</v>
      </c>
      <c r="AD50" s="292" t="s">
        <v>3421</v>
      </c>
      <c r="AE50" s="292"/>
    </row>
    <row r="51" spans="2:31" ht="18.75" customHeight="1">
      <c r="B51" s="307" t="s">
        <v>1751</v>
      </c>
      <c r="C51" s="219" t="s">
        <v>2625</v>
      </c>
      <c r="D51" s="219" t="s">
        <v>1446</v>
      </c>
      <c r="E51" s="219">
        <v>33.3333333</v>
      </c>
      <c r="F51" s="219">
        <v>200</v>
      </c>
      <c r="G51" s="219" t="s">
        <v>3295</v>
      </c>
      <c r="H51" s="219"/>
      <c r="I51" s="286" t="s">
        <v>3296</v>
      </c>
      <c r="J51" s="219">
        <v>2</v>
      </c>
      <c r="K51" s="219">
        <v>2</v>
      </c>
      <c r="L51" s="282">
        <v>45738</v>
      </c>
      <c r="M51" s="283">
        <v>45738</v>
      </c>
      <c r="N51" s="283">
        <v>45744</v>
      </c>
      <c r="O51" s="283">
        <v>45744</v>
      </c>
      <c r="P51" s="283">
        <v>45773</v>
      </c>
      <c r="Q51" s="284"/>
      <c r="R51" s="284"/>
      <c r="S51" s="283">
        <v>45779</v>
      </c>
      <c r="T51" s="283"/>
      <c r="U51" s="285">
        <v>-45779</v>
      </c>
      <c r="V51" s="283">
        <v>45779</v>
      </c>
      <c r="W51" s="284"/>
      <c r="X51" s="283">
        <v>45835</v>
      </c>
      <c r="Y51" s="283"/>
      <c r="Z51" s="283">
        <v>45835</v>
      </c>
      <c r="AA51" s="283">
        <v>45870</v>
      </c>
      <c r="AB51" s="283"/>
      <c r="AC51" s="292" t="s">
        <v>3384</v>
      </c>
      <c r="AD51" s="292" t="s">
        <v>3422</v>
      </c>
      <c r="AE51" s="292"/>
    </row>
    <row r="52" spans="2:31" ht="18.75" customHeight="1">
      <c r="B52" s="303" t="s">
        <v>1308</v>
      </c>
      <c r="C52" s="219" t="s">
        <v>2665</v>
      </c>
      <c r="D52" s="219" t="s">
        <v>1446</v>
      </c>
      <c r="E52" s="219">
        <v>120</v>
      </c>
      <c r="F52" s="219">
        <v>240</v>
      </c>
      <c r="G52" s="219" t="s">
        <v>3355</v>
      </c>
      <c r="H52" s="219"/>
      <c r="I52" s="286" t="s">
        <v>3356</v>
      </c>
      <c r="J52" s="219">
        <v>1.6</v>
      </c>
      <c r="K52" s="219">
        <v>4</v>
      </c>
      <c r="L52" s="282">
        <v>45808</v>
      </c>
      <c r="M52" s="283">
        <v>45808</v>
      </c>
      <c r="N52" s="283">
        <v>45829</v>
      </c>
      <c r="O52" s="283">
        <v>45829</v>
      </c>
      <c r="P52" s="283">
        <v>45838</v>
      </c>
      <c r="Q52" s="284"/>
      <c r="R52" s="284"/>
      <c r="S52" s="283">
        <v>45859</v>
      </c>
      <c r="T52" s="283"/>
      <c r="U52" s="285">
        <v>-45859</v>
      </c>
      <c r="V52" s="283">
        <v>45859</v>
      </c>
      <c r="W52" s="283"/>
      <c r="X52" s="283">
        <v>45949</v>
      </c>
      <c r="Y52" s="283"/>
      <c r="Z52" s="283">
        <v>45949</v>
      </c>
      <c r="AA52" s="283">
        <v>45963</v>
      </c>
      <c r="AB52" s="283"/>
      <c r="AC52" s="292"/>
      <c r="AD52" s="292" t="s">
        <v>3406</v>
      </c>
      <c r="AE52" s="292"/>
    </row>
    <row r="53" spans="2:31" ht="18.75" customHeight="1">
      <c r="B53" s="304" t="s">
        <v>2601</v>
      </c>
      <c r="C53" s="275" t="s">
        <v>3265</v>
      </c>
      <c r="D53" s="275" t="s">
        <v>1447</v>
      </c>
      <c r="E53" s="275">
        <v>33.3333333</v>
      </c>
      <c r="F53" s="275">
        <v>133.33333300000001</v>
      </c>
      <c r="G53" s="275" t="s">
        <v>3309</v>
      </c>
      <c r="H53" s="275"/>
      <c r="I53" s="287" t="s">
        <v>3310</v>
      </c>
      <c r="J53" s="275">
        <v>1</v>
      </c>
      <c r="K53" s="275">
        <v>1</v>
      </c>
      <c r="L53" s="277">
        <v>45846</v>
      </c>
      <c r="M53" s="278">
        <v>45846</v>
      </c>
      <c r="N53" s="278"/>
      <c r="O53" s="278">
        <v>45846</v>
      </c>
      <c r="P53" s="278">
        <v>45876</v>
      </c>
      <c r="Q53" s="279"/>
      <c r="R53" s="279"/>
      <c r="S53" s="278">
        <v>45876</v>
      </c>
      <c r="T53" s="278"/>
      <c r="U53" s="280">
        <v>-45876</v>
      </c>
      <c r="V53" s="278">
        <v>45876</v>
      </c>
      <c r="W53" s="279"/>
      <c r="X53" s="278">
        <v>45903</v>
      </c>
      <c r="Y53" s="278"/>
      <c r="Z53" s="278">
        <v>45903</v>
      </c>
      <c r="AA53" s="278">
        <v>45931</v>
      </c>
      <c r="AB53" s="278"/>
      <c r="AC53" s="292"/>
      <c r="AD53" s="292" t="s">
        <v>3406</v>
      </c>
      <c r="AE53" s="292"/>
    </row>
    <row r="54" spans="2:31" ht="18.75" customHeight="1">
      <c r="B54" s="304" t="s">
        <v>2795</v>
      </c>
      <c r="C54" s="219" t="s">
        <v>2631</v>
      </c>
      <c r="D54" s="219" t="s">
        <v>1448</v>
      </c>
      <c r="E54" s="219">
        <v>200</v>
      </c>
      <c r="F54" s="219">
        <v>200</v>
      </c>
      <c r="G54" s="219" t="s">
        <v>3301</v>
      </c>
      <c r="H54" s="219"/>
      <c r="I54" s="286" t="s">
        <v>3302</v>
      </c>
      <c r="J54" s="219">
        <v>1</v>
      </c>
      <c r="K54" s="219">
        <v>1</v>
      </c>
      <c r="L54" s="282">
        <v>45733</v>
      </c>
      <c r="M54" s="283">
        <v>45733</v>
      </c>
      <c r="N54" s="283">
        <v>45748</v>
      </c>
      <c r="O54" s="283">
        <v>45748</v>
      </c>
      <c r="P54" s="283">
        <v>45768</v>
      </c>
      <c r="Q54" s="284"/>
      <c r="R54" s="284"/>
      <c r="S54" s="283">
        <v>45783</v>
      </c>
      <c r="T54" s="283">
        <v>45778</v>
      </c>
      <c r="U54" s="285">
        <v>-5</v>
      </c>
      <c r="V54" s="283">
        <v>45778</v>
      </c>
      <c r="W54" s="284"/>
      <c r="X54" s="283">
        <v>45838</v>
      </c>
      <c r="Y54" s="283"/>
      <c r="Z54" s="283">
        <v>45838</v>
      </c>
      <c r="AA54" s="283">
        <v>45845</v>
      </c>
      <c r="AB54" s="283"/>
      <c r="AC54" s="292" t="s">
        <v>3384</v>
      </c>
      <c r="AD54" s="292" t="s">
        <v>3423</v>
      </c>
      <c r="AE54" s="292"/>
    </row>
    <row r="55" spans="2:31" ht="18.75" customHeight="1">
      <c r="B55" s="304" t="s">
        <v>2614</v>
      </c>
      <c r="C55" s="288" t="s">
        <v>3267</v>
      </c>
      <c r="D55" s="219" t="s">
        <v>1448</v>
      </c>
      <c r="E55" s="289">
        <v>15.625</v>
      </c>
      <c r="F55" s="289">
        <v>62.5</v>
      </c>
      <c r="G55" s="219" t="s">
        <v>3355</v>
      </c>
      <c r="H55" s="219"/>
      <c r="I55" s="286" t="s">
        <v>3357</v>
      </c>
      <c r="J55" s="219">
        <v>0.5</v>
      </c>
      <c r="K55" s="219">
        <v>0.5</v>
      </c>
      <c r="L55" s="282">
        <v>45889</v>
      </c>
      <c r="M55" s="283"/>
      <c r="N55" s="283"/>
      <c r="O55" s="283"/>
      <c r="P55" s="283">
        <v>45889</v>
      </c>
      <c r="Q55" s="284"/>
      <c r="R55" s="284"/>
      <c r="S55" s="283">
        <v>45889</v>
      </c>
      <c r="T55" s="283"/>
      <c r="U55" s="285">
        <v>-45889</v>
      </c>
      <c r="V55" s="283">
        <v>45889</v>
      </c>
      <c r="W55" s="283"/>
      <c r="X55" s="283">
        <v>45921</v>
      </c>
      <c r="Y55" s="283"/>
      <c r="Z55" s="283">
        <v>45921</v>
      </c>
      <c r="AA55" s="283">
        <v>45942</v>
      </c>
      <c r="AB55" s="283"/>
      <c r="AC55" s="292" t="s">
        <v>3384</v>
      </c>
      <c r="AD55" s="292" t="s">
        <v>3406</v>
      </c>
      <c r="AE55" s="292"/>
    </row>
    <row r="56" spans="2:31" ht="18.75" customHeight="1">
      <c r="B56" s="308" t="s">
        <v>1722</v>
      </c>
      <c r="C56" s="288" t="s">
        <v>2776</v>
      </c>
      <c r="D56" s="219" t="s">
        <v>1449</v>
      </c>
      <c r="E56" s="289" t="e">
        <v>#DIV/0!</v>
      </c>
      <c r="F56" s="289" t="e">
        <v>#DIV/0!</v>
      </c>
      <c r="G56" s="219" t="s">
        <v>3325</v>
      </c>
      <c r="H56" s="219"/>
      <c r="I56" s="286" t="s">
        <v>3326</v>
      </c>
      <c r="J56" s="219">
        <v>1</v>
      </c>
      <c r="K56" s="219">
        <v>1</v>
      </c>
      <c r="L56" s="282">
        <v>45723</v>
      </c>
      <c r="M56" s="283">
        <v>45723</v>
      </c>
      <c r="N56" s="283">
        <v>45737</v>
      </c>
      <c r="O56" s="283">
        <v>45737</v>
      </c>
      <c r="P56" s="283">
        <v>45753</v>
      </c>
      <c r="Q56" s="284"/>
      <c r="R56" s="284"/>
      <c r="S56" s="283">
        <v>45767</v>
      </c>
      <c r="T56" s="283">
        <v>45781</v>
      </c>
      <c r="U56" s="285">
        <v>14</v>
      </c>
      <c r="V56" s="283">
        <v>45781</v>
      </c>
      <c r="W56" s="283"/>
      <c r="X56" s="283">
        <v>45814</v>
      </c>
      <c r="Y56" s="283"/>
      <c r="Z56" s="283">
        <v>45814</v>
      </c>
      <c r="AA56" s="283">
        <v>45828</v>
      </c>
      <c r="AB56" s="283"/>
      <c r="AC56" s="292" t="s">
        <v>3419</v>
      </c>
      <c r="AD56" s="292" t="s">
        <v>3425</v>
      </c>
      <c r="AE56" s="292" t="s">
        <v>3424</v>
      </c>
    </row>
    <row r="57" spans="2:31" ht="18.75" customHeight="1">
      <c r="B57" s="308" t="s">
        <v>353</v>
      </c>
      <c r="C57" s="288" t="s">
        <v>2779</v>
      </c>
      <c r="D57" s="219" t="s">
        <v>1449</v>
      </c>
      <c r="E57" s="289">
        <v>45</v>
      </c>
      <c r="F57" s="289">
        <v>180</v>
      </c>
      <c r="G57" s="219" t="s">
        <v>3303</v>
      </c>
      <c r="H57" s="219"/>
      <c r="I57" s="286" t="s">
        <v>3304</v>
      </c>
      <c r="J57" s="219">
        <v>1</v>
      </c>
      <c r="K57" s="219">
        <v>1</v>
      </c>
      <c r="L57" s="282">
        <v>45839</v>
      </c>
      <c r="M57" s="283"/>
      <c r="N57" s="283"/>
      <c r="O57" s="283"/>
      <c r="P57" s="283">
        <v>45839</v>
      </c>
      <c r="Q57" s="284"/>
      <c r="R57" s="284"/>
      <c r="S57" s="283">
        <v>45839</v>
      </c>
      <c r="T57" s="283"/>
      <c r="U57" s="285">
        <v>-45839</v>
      </c>
      <c r="V57" s="283">
        <v>45839</v>
      </c>
      <c r="W57" s="283"/>
      <c r="X57" s="283">
        <v>45923</v>
      </c>
      <c r="Y57" s="283"/>
      <c r="Z57" s="283">
        <v>45923</v>
      </c>
      <c r="AA57" s="283">
        <v>45944</v>
      </c>
      <c r="AB57" s="283"/>
      <c r="AC57" s="292" t="s">
        <v>3376</v>
      </c>
      <c r="AD57" s="292" t="s">
        <v>3426</v>
      </c>
      <c r="AE57" s="292"/>
    </row>
    <row r="58" spans="2:31" ht="18.75" customHeight="1">
      <c r="B58" s="308" t="s">
        <v>1714</v>
      </c>
      <c r="C58" s="219" t="s">
        <v>2633</v>
      </c>
      <c r="D58" s="219" t="s">
        <v>1450</v>
      </c>
      <c r="E58" s="219">
        <v>21.428571399999999</v>
      </c>
      <c r="F58" s="219">
        <v>85.714285700000005</v>
      </c>
      <c r="G58" s="219" t="s">
        <v>3303</v>
      </c>
      <c r="H58" s="219"/>
      <c r="I58" s="286" t="s">
        <v>3304</v>
      </c>
      <c r="J58" s="219">
        <v>0.5</v>
      </c>
      <c r="K58" s="219">
        <v>0.5</v>
      </c>
      <c r="L58" s="282">
        <v>45764</v>
      </c>
      <c r="M58" s="283"/>
      <c r="N58" s="283"/>
      <c r="O58" s="283"/>
      <c r="P58" s="283">
        <v>45764</v>
      </c>
      <c r="Q58" s="284"/>
      <c r="R58" s="284"/>
      <c r="S58" s="283">
        <v>45764</v>
      </c>
      <c r="T58" s="283">
        <v>45777</v>
      </c>
      <c r="U58" s="285">
        <v>13</v>
      </c>
      <c r="V58" s="283">
        <v>45777</v>
      </c>
      <c r="W58" s="284"/>
      <c r="X58" s="283">
        <v>45847</v>
      </c>
      <c r="Y58" s="283"/>
      <c r="Z58" s="283">
        <v>45847</v>
      </c>
      <c r="AA58" s="283">
        <v>45868</v>
      </c>
      <c r="AB58" s="283"/>
      <c r="AC58" s="292" t="s">
        <v>3376</v>
      </c>
      <c r="AD58" s="292" t="s">
        <v>3426</v>
      </c>
      <c r="AE58" s="292"/>
    </row>
    <row r="59" spans="2:31" ht="18.75" customHeight="1">
      <c r="B59" s="308" t="s">
        <v>1714</v>
      </c>
      <c r="C59" s="288" t="s">
        <v>2760</v>
      </c>
      <c r="D59" s="275" t="s">
        <v>1450</v>
      </c>
      <c r="E59" s="289">
        <v>21.428571399999999</v>
      </c>
      <c r="F59" s="289">
        <v>85.714285700000005</v>
      </c>
      <c r="G59" s="275" t="s">
        <v>3303</v>
      </c>
      <c r="H59" s="275"/>
      <c r="I59" s="287" t="s">
        <v>3304</v>
      </c>
      <c r="J59" s="275">
        <v>0.5</v>
      </c>
      <c r="K59" s="275">
        <v>0.5</v>
      </c>
      <c r="L59" s="277">
        <v>45785</v>
      </c>
      <c r="M59" s="278"/>
      <c r="N59" s="278"/>
      <c r="O59" s="278"/>
      <c r="P59" s="278">
        <v>45785</v>
      </c>
      <c r="Q59" s="279"/>
      <c r="R59" s="279"/>
      <c r="S59" s="278">
        <v>45785</v>
      </c>
      <c r="T59" s="278">
        <v>45777</v>
      </c>
      <c r="U59" s="280">
        <v>-8</v>
      </c>
      <c r="V59" s="278">
        <v>45777</v>
      </c>
      <c r="W59" s="278"/>
      <c r="X59" s="278">
        <v>45847</v>
      </c>
      <c r="Y59" s="278"/>
      <c r="Z59" s="278">
        <v>45847</v>
      </c>
      <c r="AA59" s="278">
        <v>45868</v>
      </c>
      <c r="AB59" s="278"/>
      <c r="AC59" s="292" t="s">
        <v>3376</v>
      </c>
      <c r="AD59" s="292" t="s">
        <v>3426</v>
      </c>
      <c r="AE59" s="292"/>
    </row>
    <row r="60" spans="2:31" ht="18.75" customHeight="1">
      <c r="B60" s="304" t="s">
        <v>2614</v>
      </c>
      <c r="C60" s="288" t="s">
        <v>3266</v>
      </c>
      <c r="D60" s="275" t="s">
        <v>1450</v>
      </c>
      <c r="E60" s="289">
        <v>15.625</v>
      </c>
      <c r="F60" s="289">
        <v>62.5</v>
      </c>
      <c r="G60" s="275" t="s">
        <v>3355</v>
      </c>
      <c r="H60" s="275"/>
      <c r="I60" s="287" t="s">
        <v>3357</v>
      </c>
      <c r="J60" s="275">
        <v>0.5</v>
      </c>
      <c r="K60" s="275">
        <v>0.5</v>
      </c>
      <c r="L60" s="277">
        <v>45870</v>
      </c>
      <c r="M60" s="278"/>
      <c r="N60" s="278"/>
      <c r="O60" s="278"/>
      <c r="P60" s="278">
        <v>45870</v>
      </c>
      <c r="Q60" s="279"/>
      <c r="R60" s="279"/>
      <c r="S60" s="278">
        <v>45870</v>
      </c>
      <c r="T60" s="278"/>
      <c r="U60" s="280">
        <v>-45870</v>
      </c>
      <c r="V60" s="278">
        <v>45870</v>
      </c>
      <c r="W60" s="278"/>
      <c r="X60" s="278">
        <v>45902</v>
      </c>
      <c r="Y60" s="278"/>
      <c r="Z60" s="278">
        <v>45902</v>
      </c>
      <c r="AA60" s="278">
        <v>45923</v>
      </c>
      <c r="AB60" s="278"/>
      <c r="AC60" s="292"/>
      <c r="AD60" s="292" t="s">
        <v>3406</v>
      </c>
      <c r="AE60" s="292"/>
    </row>
    <row r="61" spans="2:31" ht="18.75" customHeight="1">
      <c r="B61" s="304" t="s">
        <v>2750</v>
      </c>
      <c r="C61" s="288" t="s">
        <v>3271</v>
      </c>
      <c r="D61" s="289" t="s">
        <v>1450</v>
      </c>
      <c r="E61" s="289">
        <v>12.5</v>
      </c>
      <c r="F61" s="289">
        <v>50</v>
      </c>
      <c r="G61" s="297" t="s">
        <v>3372</v>
      </c>
      <c r="H61" s="291"/>
      <c r="I61" s="287" t="s">
        <v>3373</v>
      </c>
      <c r="J61" s="291">
        <v>0.5</v>
      </c>
      <c r="K61" s="291">
        <v>0.5</v>
      </c>
      <c r="L61" s="299">
        <v>45870</v>
      </c>
      <c r="M61" s="298"/>
      <c r="N61" s="298"/>
      <c r="O61" s="298"/>
      <c r="P61" s="293">
        <v>45870</v>
      </c>
      <c r="Q61" s="294"/>
      <c r="R61" s="294"/>
      <c r="S61" s="298">
        <v>45870</v>
      </c>
      <c r="T61" s="296"/>
      <c r="U61" s="300">
        <v>-45870</v>
      </c>
      <c r="V61" s="298">
        <v>45870</v>
      </c>
      <c r="W61" s="296"/>
      <c r="X61" s="298">
        <v>45910</v>
      </c>
      <c r="Y61" s="296"/>
      <c r="Z61" s="298">
        <v>45910</v>
      </c>
      <c r="AA61" s="298">
        <v>45924</v>
      </c>
      <c r="AB61" s="296"/>
      <c r="AC61" s="292"/>
      <c r="AD61" s="292" t="s">
        <v>3406</v>
      </c>
      <c r="AE61" s="292"/>
    </row>
    <row r="62" spans="2:31" ht="18.75" customHeight="1">
      <c r="B62" s="308" t="s">
        <v>1714</v>
      </c>
      <c r="C62" s="288" t="s">
        <v>2761</v>
      </c>
      <c r="D62" s="219" t="s">
        <v>1451</v>
      </c>
      <c r="E62" s="289">
        <v>21.428571399999999</v>
      </c>
      <c r="F62" s="289">
        <v>85.714285700000005</v>
      </c>
      <c r="G62" s="219" t="s">
        <v>3303</v>
      </c>
      <c r="H62" s="219"/>
      <c r="I62" s="286" t="s">
        <v>3304</v>
      </c>
      <c r="J62" s="219">
        <v>0.5</v>
      </c>
      <c r="K62" s="219">
        <v>0.5</v>
      </c>
      <c r="L62" s="282">
        <v>45806</v>
      </c>
      <c r="M62" s="283"/>
      <c r="N62" s="283"/>
      <c r="O62" s="283"/>
      <c r="P62" s="283">
        <v>45806</v>
      </c>
      <c r="Q62" s="284"/>
      <c r="R62" s="284"/>
      <c r="S62" s="283">
        <v>45806</v>
      </c>
      <c r="T62" s="283">
        <v>45837</v>
      </c>
      <c r="U62" s="285">
        <v>31</v>
      </c>
      <c r="V62" s="283">
        <v>45837</v>
      </c>
      <c r="W62" s="283"/>
      <c r="X62" s="283">
        <v>45907</v>
      </c>
      <c r="Y62" s="283"/>
      <c r="Z62" s="283">
        <v>45907</v>
      </c>
      <c r="AA62" s="283">
        <v>45928</v>
      </c>
      <c r="AB62" s="283"/>
      <c r="AC62" s="292" t="s">
        <v>3376</v>
      </c>
      <c r="AD62" s="292" t="s">
        <v>3426</v>
      </c>
      <c r="AE62" s="292"/>
    </row>
    <row r="63" spans="2:31" ht="18.75" customHeight="1">
      <c r="B63" s="308" t="s">
        <v>1714</v>
      </c>
      <c r="C63" s="288" t="s">
        <v>2762</v>
      </c>
      <c r="D63" s="275" t="s">
        <v>1451</v>
      </c>
      <c r="E63" s="289">
        <v>21.428571399999999</v>
      </c>
      <c r="F63" s="289">
        <v>85.714285700000005</v>
      </c>
      <c r="G63" s="275" t="s">
        <v>3303</v>
      </c>
      <c r="H63" s="275"/>
      <c r="I63" s="287" t="s">
        <v>3304</v>
      </c>
      <c r="J63" s="275">
        <v>0.5</v>
      </c>
      <c r="K63" s="275">
        <v>0.5</v>
      </c>
      <c r="L63" s="277">
        <v>45827</v>
      </c>
      <c r="M63" s="278"/>
      <c r="N63" s="278"/>
      <c r="O63" s="278"/>
      <c r="P63" s="278">
        <v>45827</v>
      </c>
      <c r="Q63" s="279"/>
      <c r="R63" s="279"/>
      <c r="S63" s="278">
        <v>45827</v>
      </c>
      <c r="T63" s="278">
        <v>45837</v>
      </c>
      <c r="U63" s="280">
        <v>10</v>
      </c>
      <c r="V63" s="278">
        <v>45837</v>
      </c>
      <c r="W63" s="278"/>
      <c r="X63" s="278">
        <v>45907</v>
      </c>
      <c r="Y63" s="278"/>
      <c r="Z63" s="278">
        <v>45907</v>
      </c>
      <c r="AA63" s="278">
        <v>45928</v>
      </c>
      <c r="AB63" s="278"/>
      <c r="AC63" s="292" t="s">
        <v>3376</v>
      </c>
      <c r="AD63" s="292" t="s">
        <v>3426</v>
      </c>
      <c r="AE63" s="292"/>
    </row>
    <row r="64" spans="2:31" ht="18.75" customHeight="1">
      <c r="B64" s="308" t="s">
        <v>2748</v>
      </c>
      <c r="C64" s="288" t="s">
        <v>2743</v>
      </c>
      <c r="D64" s="219" t="s">
        <v>1452</v>
      </c>
      <c r="E64" s="289">
        <v>56</v>
      </c>
      <c r="F64" s="289">
        <v>160</v>
      </c>
      <c r="G64" s="219" t="s">
        <v>3321</v>
      </c>
      <c r="H64" s="219"/>
      <c r="I64" s="286" t="s">
        <v>3322</v>
      </c>
      <c r="J64" s="219">
        <v>0.25</v>
      </c>
      <c r="K64" s="219">
        <v>0.5</v>
      </c>
      <c r="L64" s="282">
        <v>45784</v>
      </c>
      <c r="M64" s="283">
        <v>45784</v>
      </c>
      <c r="N64" s="283">
        <v>45791</v>
      </c>
      <c r="O64" s="283">
        <v>45791</v>
      </c>
      <c r="P64" s="283">
        <v>45810</v>
      </c>
      <c r="Q64" s="284"/>
      <c r="R64" s="284"/>
      <c r="S64" s="283">
        <v>45817</v>
      </c>
      <c r="T64" s="283"/>
      <c r="U64" s="285">
        <v>-45817</v>
      </c>
      <c r="V64" s="283">
        <v>45817</v>
      </c>
      <c r="W64" s="284"/>
      <c r="X64" s="283">
        <v>45867</v>
      </c>
      <c r="Y64" s="283"/>
      <c r="Z64" s="283">
        <v>45867</v>
      </c>
      <c r="AA64" s="283">
        <v>45884</v>
      </c>
      <c r="AB64" s="283"/>
      <c r="AC64" s="292" t="s">
        <v>3384</v>
      </c>
      <c r="AD64" s="292" t="s">
        <v>3429</v>
      </c>
      <c r="AE64" s="292"/>
    </row>
    <row r="65" spans="2:31" ht="18.75" customHeight="1">
      <c r="B65" s="303" t="s">
        <v>2300</v>
      </c>
      <c r="C65" s="219" t="s">
        <v>3192</v>
      </c>
      <c r="D65" s="219" t="s">
        <v>1452</v>
      </c>
      <c r="E65" s="281">
        <v>15</v>
      </c>
      <c r="F65" s="281">
        <v>45</v>
      </c>
      <c r="G65" s="219" t="s">
        <v>3288</v>
      </c>
      <c r="H65" s="219"/>
      <c r="I65" s="281" t="s">
        <v>42</v>
      </c>
      <c r="J65" s="219">
        <v>0.5</v>
      </c>
      <c r="K65" s="219">
        <v>0.5</v>
      </c>
      <c r="L65" s="282">
        <v>45823</v>
      </c>
      <c r="M65" s="283"/>
      <c r="N65" s="283"/>
      <c r="O65" s="283"/>
      <c r="P65" s="283">
        <v>45823</v>
      </c>
      <c r="Q65" s="284"/>
      <c r="R65" s="284"/>
      <c r="S65" s="283">
        <v>45823</v>
      </c>
      <c r="T65" s="283">
        <v>45838</v>
      </c>
      <c r="U65" s="285">
        <v>15</v>
      </c>
      <c r="V65" s="283">
        <v>45838</v>
      </c>
      <c r="W65" s="284"/>
      <c r="X65" s="283">
        <v>45869</v>
      </c>
      <c r="Y65" s="283"/>
      <c r="Z65" s="283">
        <v>45869</v>
      </c>
      <c r="AA65" s="283">
        <v>45887</v>
      </c>
      <c r="AB65" s="283"/>
      <c r="AC65" s="292" t="s">
        <v>3384</v>
      </c>
      <c r="AD65" s="292" t="s">
        <v>3430</v>
      </c>
      <c r="AE65" s="292"/>
    </row>
    <row r="66" spans="2:31" ht="18.75" customHeight="1">
      <c r="B66" s="303" t="s">
        <v>2300</v>
      </c>
      <c r="C66" s="275" t="s">
        <v>3287</v>
      </c>
      <c r="D66" s="275" t="s">
        <v>1452</v>
      </c>
      <c r="E66" s="276">
        <v>15</v>
      </c>
      <c r="F66" s="276">
        <v>45</v>
      </c>
      <c r="G66" s="275" t="s">
        <v>3288</v>
      </c>
      <c r="H66" s="275"/>
      <c r="I66" s="276" t="s">
        <v>42</v>
      </c>
      <c r="J66" s="275">
        <v>0.5</v>
      </c>
      <c r="K66" s="275">
        <v>0.5</v>
      </c>
      <c r="L66" s="277">
        <v>45884</v>
      </c>
      <c r="M66" s="278"/>
      <c r="N66" s="278"/>
      <c r="O66" s="278"/>
      <c r="P66" s="278">
        <v>45884</v>
      </c>
      <c r="Q66" s="279"/>
      <c r="R66" s="279"/>
      <c r="S66" s="278">
        <v>45884</v>
      </c>
      <c r="T66" s="278"/>
      <c r="U66" s="280">
        <v>-45884</v>
      </c>
      <c r="V66" s="278">
        <v>45884</v>
      </c>
      <c r="W66" s="279"/>
      <c r="X66" s="278">
        <v>45915</v>
      </c>
      <c r="Y66" s="278"/>
      <c r="Z66" s="278">
        <v>45915</v>
      </c>
      <c r="AA66" s="278">
        <v>45933</v>
      </c>
      <c r="AB66" s="278"/>
      <c r="AC66" s="292" t="s">
        <v>3384</v>
      </c>
      <c r="AD66" s="292" t="s">
        <v>3430</v>
      </c>
      <c r="AE66" s="292"/>
    </row>
    <row r="67" spans="2:31" ht="18.75" customHeight="1">
      <c r="B67" s="305" t="s">
        <v>2747</v>
      </c>
      <c r="C67" s="288" t="s">
        <v>2740</v>
      </c>
      <c r="D67" s="275" t="s">
        <v>1452</v>
      </c>
      <c r="E67" s="289">
        <v>50</v>
      </c>
      <c r="F67" s="289">
        <v>100</v>
      </c>
      <c r="G67" s="275" t="s">
        <v>3313</v>
      </c>
      <c r="H67" s="275"/>
      <c r="I67" s="287" t="s">
        <v>3314</v>
      </c>
      <c r="J67" s="275">
        <v>0.25</v>
      </c>
      <c r="K67" s="275">
        <v>0.5</v>
      </c>
      <c r="L67" s="277">
        <v>45854</v>
      </c>
      <c r="M67" s="278">
        <v>45854</v>
      </c>
      <c r="N67" s="278"/>
      <c r="O67" s="278">
        <v>45854</v>
      </c>
      <c r="P67" s="278">
        <v>45884</v>
      </c>
      <c r="Q67" s="279"/>
      <c r="R67" s="279"/>
      <c r="S67" s="278">
        <v>45884</v>
      </c>
      <c r="T67" s="278"/>
      <c r="U67" s="280">
        <v>-45884</v>
      </c>
      <c r="V67" s="278">
        <v>45884</v>
      </c>
      <c r="W67" s="279"/>
      <c r="X67" s="278">
        <v>45934</v>
      </c>
      <c r="Y67" s="278"/>
      <c r="Z67" s="278">
        <v>45934</v>
      </c>
      <c r="AA67" s="278">
        <v>45948</v>
      </c>
      <c r="AB67" s="278"/>
      <c r="AC67" s="292"/>
      <c r="AD67" s="292" t="s">
        <v>3406</v>
      </c>
      <c r="AE67" s="292"/>
    </row>
    <row r="68" spans="2:31" ht="18.75" customHeight="1">
      <c r="B68" s="308" t="s">
        <v>353</v>
      </c>
      <c r="C68" s="288" t="s">
        <v>2634</v>
      </c>
      <c r="D68" s="275" t="s">
        <v>1453</v>
      </c>
      <c r="E68" s="289">
        <v>45</v>
      </c>
      <c r="F68" s="289">
        <v>180</v>
      </c>
      <c r="G68" s="275" t="s">
        <v>3303</v>
      </c>
      <c r="H68" s="275"/>
      <c r="I68" s="287" t="s">
        <v>3304</v>
      </c>
      <c r="J68" s="275">
        <v>1</v>
      </c>
      <c r="K68" s="275">
        <v>1</v>
      </c>
      <c r="L68" s="277">
        <v>45808</v>
      </c>
      <c r="M68" s="278"/>
      <c r="N68" s="278"/>
      <c r="O68" s="278"/>
      <c r="P68" s="278">
        <v>45808</v>
      </c>
      <c r="Q68" s="279"/>
      <c r="R68" s="279"/>
      <c r="S68" s="278">
        <v>45808</v>
      </c>
      <c r="T68" s="278">
        <v>45837</v>
      </c>
      <c r="U68" s="280">
        <v>29</v>
      </c>
      <c r="V68" s="278">
        <v>45837</v>
      </c>
      <c r="W68" s="278"/>
      <c r="X68" s="278">
        <v>45921</v>
      </c>
      <c r="Y68" s="278"/>
      <c r="Z68" s="278">
        <v>45921</v>
      </c>
      <c r="AA68" s="278">
        <v>45942</v>
      </c>
      <c r="AB68" s="278"/>
      <c r="AC68" s="292" t="s">
        <v>3376</v>
      </c>
      <c r="AD68" s="292" t="s">
        <v>3426</v>
      </c>
      <c r="AE68" s="292"/>
    </row>
    <row r="69" spans="2:31" ht="18.75" customHeight="1">
      <c r="B69" s="304" t="s">
        <v>2614</v>
      </c>
      <c r="C69" s="288" t="s">
        <v>2756</v>
      </c>
      <c r="D69" s="219" t="s">
        <v>1454</v>
      </c>
      <c r="E69" s="289">
        <v>15.625</v>
      </c>
      <c r="F69" s="289">
        <v>62.5</v>
      </c>
      <c r="G69" s="219" t="s">
        <v>3355</v>
      </c>
      <c r="H69" s="219"/>
      <c r="I69" s="286" t="s">
        <v>3357</v>
      </c>
      <c r="J69" s="219">
        <v>0.5</v>
      </c>
      <c r="K69" s="219">
        <v>0.5</v>
      </c>
      <c r="L69" s="282">
        <v>45808</v>
      </c>
      <c r="M69" s="283"/>
      <c r="N69" s="283"/>
      <c r="O69" s="283"/>
      <c r="P69" s="283">
        <v>45808</v>
      </c>
      <c r="Q69" s="284"/>
      <c r="R69" s="284"/>
      <c r="S69" s="283">
        <v>45808</v>
      </c>
      <c r="T69" s="283">
        <v>45837</v>
      </c>
      <c r="U69" s="285">
        <v>29</v>
      </c>
      <c r="V69" s="283">
        <v>45837</v>
      </c>
      <c r="W69" s="283"/>
      <c r="X69" s="283">
        <v>45869</v>
      </c>
      <c r="Y69" s="283"/>
      <c r="Z69" s="283">
        <v>45869</v>
      </c>
      <c r="AA69" s="283">
        <v>45890</v>
      </c>
      <c r="AB69" s="283"/>
      <c r="AC69" s="292" t="s">
        <v>3384</v>
      </c>
      <c r="AD69" s="292" t="s">
        <v>3427</v>
      </c>
      <c r="AE69" s="292"/>
    </row>
    <row r="70" spans="2:31" ht="18.75" customHeight="1">
      <c r="B70" s="304" t="s">
        <v>2750</v>
      </c>
      <c r="C70" s="275" t="s">
        <v>2679</v>
      </c>
      <c r="D70" s="289" t="s">
        <v>1454</v>
      </c>
      <c r="E70" s="289">
        <v>12.5</v>
      </c>
      <c r="F70" s="289">
        <v>50</v>
      </c>
      <c r="G70" s="297" t="s">
        <v>3372</v>
      </c>
      <c r="H70" s="291"/>
      <c r="I70" s="287" t="s">
        <v>3373</v>
      </c>
      <c r="J70" s="291">
        <v>0.5</v>
      </c>
      <c r="K70" s="291">
        <v>0.5</v>
      </c>
      <c r="L70" s="299">
        <v>45822</v>
      </c>
      <c r="M70" s="298"/>
      <c r="N70" s="298"/>
      <c r="O70" s="298"/>
      <c r="P70" s="293">
        <v>45822</v>
      </c>
      <c r="Q70" s="294"/>
      <c r="R70" s="294"/>
      <c r="S70" s="298">
        <v>45822</v>
      </c>
      <c r="T70" s="296">
        <v>45838</v>
      </c>
      <c r="U70" s="300">
        <v>16</v>
      </c>
      <c r="V70" s="298">
        <v>45838</v>
      </c>
      <c r="W70" s="295"/>
      <c r="X70" s="298">
        <v>45878</v>
      </c>
      <c r="Y70" s="296"/>
      <c r="Z70" s="298">
        <v>45878</v>
      </c>
      <c r="AA70" s="298">
        <v>45892</v>
      </c>
      <c r="AB70" s="296"/>
      <c r="AC70" s="292" t="s">
        <v>3384</v>
      </c>
      <c r="AD70" s="292" t="s">
        <v>3428</v>
      </c>
      <c r="AE70" s="292"/>
    </row>
    <row r="71" spans="2:31" ht="18.75" customHeight="1">
      <c r="B71" s="304" t="s">
        <v>2614</v>
      </c>
      <c r="C71" s="288" t="s">
        <v>2758</v>
      </c>
      <c r="D71" s="219" t="s">
        <v>1454</v>
      </c>
      <c r="E71" s="289">
        <v>15.625</v>
      </c>
      <c r="F71" s="289">
        <v>62.5</v>
      </c>
      <c r="G71" s="219" t="s">
        <v>3355</v>
      </c>
      <c r="H71" s="219"/>
      <c r="I71" s="286" t="s">
        <v>3357</v>
      </c>
      <c r="J71" s="219">
        <v>0.5</v>
      </c>
      <c r="K71" s="219">
        <v>0.5</v>
      </c>
      <c r="L71" s="282">
        <v>45868</v>
      </c>
      <c r="M71" s="283"/>
      <c r="N71" s="283"/>
      <c r="O71" s="283"/>
      <c r="P71" s="283">
        <v>45868</v>
      </c>
      <c r="Q71" s="284"/>
      <c r="R71" s="284"/>
      <c r="S71" s="283">
        <v>45868</v>
      </c>
      <c r="T71" s="283">
        <v>45894</v>
      </c>
      <c r="U71" s="285">
        <v>26</v>
      </c>
      <c r="V71" s="283">
        <v>45894</v>
      </c>
      <c r="W71" s="283"/>
      <c r="X71" s="283">
        <v>45926</v>
      </c>
      <c r="Y71" s="283"/>
      <c r="Z71" s="283">
        <v>45926</v>
      </c>
      <c r="AA71" s="283">
        <v>45947</v>
      </c>
      <c r="AB71" s="283"/>
      <c r="AC71" s="292"/>
      <c r="AD71" s="292"/>
      <c r="AE71" s="292"/>
    </row>
    <row r="72" spans="2:31" ht="18.75" customHeight="1">
      <c r="B72" s="304" t="s">
        <v>2750</v>
      </c>
      <c r="C72" s="288" t="s">
        <v>2753</v>
      </c>
      <c r="D72" s="289" t="s">
        <v>1454</v>
      </c>
      <c r="E72" s="289">
        <v>12.5</v>
      </c>
      <c r="F72" s="289">
        <v>50</v>
      </c>
      <c r="G72" s="290" t="s">
        <v>3372</v>
      </c>
      <c r="H72" s="291"/>
      <c r="I72" s="286" t="s">
        <v>3373</v>
      </c>
      <c r="J72" s="291">
        <v>0.5</v>
      </c>
      <c r="K72" s="291">
        <v>0.5</v>
      </c>
      <c r="L72" s="302">
        <v>45876</v>
      </c>
      <c r="M72" s="292"/>
      <c r="N72" s="292"/>
      <c r="O72" s="292"/>
      <c r="P72" s="293">
        <v>45876</v>
      </c>
      <c r="Q72" s="294"/>
      <c r="R72" s="294"/>
      <c r="S72" s="292">
        <v>45876</v>
      </c>
      <c r="T72" s="296">
        <v>45894</v>
      </c>
      <c r="U72" s="300">
        <v>18</v>
      </c>
      <c r="V72" s="292">
        <v>45894</v>
      </c>
      <c r="W72" s="296"/>
      <c r="X72" s="292">
        <v>45934</v>
      </c>
      <c r="Y72" s="296"/>
      <c r="Z72" s="292">
        <v>45934</v>
      </c>
      <c r="AA72" s="292">
        <v>45948</v>
      </c>
      <c r="AB72" s="296"/>
      <c r="AC72" s="292"/>
      <c r="AD72" s="292"/>
      <c r="AE72" s="292"/>
    </row>
    <row r="73" spans="2:31" ht="18.75" customHeight="1">
      <c r="B73" s="304" t="s">
        <v>2614</v>
      </c>
      <c r="C73" s="288" t="s">
        <v>2757</v>
      </c>
      <c r="D73" s="275" t="s">
        <v>1455</v>
      </c>
      <c r="E73" s="289">
        <v>15.625</v>
      </c>
      <c r="F73" s="289">
        <v>62.5</v>
      </c>
      <c r="G73" s="275" t="s">
        <v>3355</v>
      </c>
      <c r="H73" s="275"/>
      <c r="I73" s="287" t="s">
        <v>3357</v>
      </c>
      <c r="J73" s="275">
        <v>0.5</v>
      </c>
      <c r="K73" s="275">
        <v>0.5</v>
      </c>
      <c r="L73" s="277">
        <v>45838</v>
      </c>
      <c r="M73" s="278"/>
      <c r="N73" s="278"/>
      <c r="O73" s="278"/>
      <c r="P73" s="278">
        <v>45838</v>
      </c>
      <c r="Q73" s="279"/>
      <c r="R73" s="279"/>
      <c r="S73" s="278">
        <v>45838</v>
      </c>
      <c r="T73" s="278">
        <v>45859</v>
      </c>
      <c r="U73" s="280">
        <v>21</v>
      </c>
      <c r="V73" s="278">
        <v>45859</v>
      </c>
      <c r="W73" s="278"/>
      <c r="X73" s="278">
        <v>45891</v>
      </c>
      <c r="Y73" s="278"/>
      <c r="Z73" s="278">
        <v>45891</v>
      </c>
      <c r="AA73" s="278">
        <v>45912</v>
      </c>
      <c r="AB73" s="278"/>
      <c r="AC73" s="292"/>
      <c r="AD73" s="292"/>
      <c r="AE73" s="292"/>
    </row>
    <row r="74" spans="2:31" ht="18.75" customHeight="1">
      <c r="B74" s="304" t="s">
        <v>2750</v>
      </c>
      <c r="C74" s="288" t="s">
        <v>2752</v>
      </c>
      <c r="D74" s="289" t="s">
        <v>1455</v>
      </c>
      <c r="E74" s="289">
        <v>12.5</v>
      </c>
      <c r="F74" s="289">
        <v>50</v>
      </c>
      <c r="G74" s="290" t="s">
        <v>3372</v>
      </c>
      <c r="H74" s="291"/>
      <c r="I74" s="286" t="s">
        <v>3373</v>
      </c>
      <c r="J74" s="291">
        <v>0.5</v>
      </c>
      <c r="K74" s="291">
        <v>0.5</v>
      </c>
      <c r="L74" s="302">
        <v>45845</v>
      </c>
      <c r="M74" s="292"/>
      <c r="N74" s="292"/>
      <c r="O74" s="292"/>
      <c r="P74" s="293">
        <v>45845</v>
      </c>
      <c r="Q74" s="294"/>
      <c r="R74" s="294"/>
      <c r="S74" s="292">
        <v>45845</v>
      </c>
      <c r="T74" s="296">
        <v>45859</v>
      </c>
      <c r="U74" s="300">
        <v>14</v>
      </c>
      <c r="V74" s="292">
        <v>45859</v>
      </c>
      <c r="W74" s="296"/>
      <c r="X74" s="292">
        <v>45899</v>
      </c>
      <c r="Y74" s="296"/>
      <c r="Z74" s="292">
        <v>45899</v>
      </c>
      <c r="AA74" s="292">
        <v>45913</v>
      </c>
      <c r="AB74" s="296"/>
      <c r="AC74" s="292"/>
      <c r="AD74" s="292"/>
      <c r="AE74" s="292"/>
    </row>
    <row r="75" spans="2:31" ht="18.75" customHeight="1">
      <c r="B75" s="304" t="s">
        <v>2614</v>
      </c>
      <c r="C75" s="288" t="s">
        <v>2759</v>
      </c>
      <c r="D75" s="275" t="s">
        <v>1455</v>
      </c>
      <c r="E75" s="289">
        <v>15.625</v>
      </c>
      <c r="F75" s="289">
        <v>62.5</v>
      </c>
      <c r="G75" s="275" t="s">
        <v>3355</v>
      </c>
      <c r="H75" s="275"/>
      <c r="I75" s="287" t="s">
        <v>3357</v>
      </c>
      <c r="J75" s="275">
        <v>0.5</v>
      </c>
      <c r="K75" s="275">
        <v>0.5</v>
      </c>
      <c r="L75" s="277">
        <v>45898</v>
      </c>
      <c r="M75" s="278"/>
      <c r="N75" s="278"/>
      <c r="O75" s="278"/>
      <c r="P75" s="278">
        <v>45898</v>
      </c>
      <c r="Q75" s="279"/>
      <c r="R75" s="279"/>
      <c r="S75" s="278">
        <v>45898</v>
      </c>
      <c r="T75" s="278"/>
      <c r="U75" s="280">
        <v>-45898</v>
      </c>
      <c r="V75" s="278">
        <v>45898</v>
      </c>
      <c r="W75" s="278"/>
      <c r="X75" s="278">
        <v>45930</v>
      </c>
      <c r="Y75" s="278"/>
      <c r="Z75" s="278">
        <v>45930</v>
      </c>
      <c r="AA75" s="278">
        <v>45951</v>
      </c>
      <c r="AB75" s="278"/>
      <c r="AC75" s="292"/>
      <c r="AD75" s="292"/>
      <c r="AE75" s="292"/>
    </row>
    <row r="76" spans="2:31" ht="18.75" customHeight="1">
      <c r="B76" s="304" t="s">
        <v>2750</v>
      </c>
      <c r="C76" s="288" t="s">
        <v>2754</v>
      </c>
      <c r="D76" s="289" t="s">
        <v>1455</v>
      </c>
      <c r="E76" s="289">
        <v>12.5</v>
      </c>
      <c r="F76" s="289">
        <v>50</v>
      </c>
      <c r="G76" s="290" t="s">
        <v>3372</v>
      </c>
      <c r="H76" s="291"/>
      <c r="I76" s="286" t="s">
        <v>3373</v>
      </c>
      <c r="J76" s="291">
        <v>0.5</v>
      </c>
      <c r="K76" s="291">
        <v>0.5</v>
      </c>
      <c r="L76" s="302">
        <v>45907</v>
      </c>
      <c r="M76" s="292"/>
      <c r="N76" s="292"/>
      <c r="O76" s="292"/>
      <c r="P76" s="293">
        <v>45907</v>
      </c>
      <c r="Q76" s="294"/>
      <c r="R76" s="294"/>
      <c r="S76" s="292">
        <v>45907</v>
      </c>
      <c r="T76" s="296"/>
      <c r="U76" s="300">
        <v>-45907</v>
      </c>
      <c r="V76" s="292">
        <v>45907</v>
      </c>
      <c r="W76" s="296"/>
      <c r="X76" s="292">
        <v>45947</v>
      </c>
      <c r="Y76" s="296"/>
      <c r="Z76" s="292">
        <v>45947</v>
      </c>
      <c r="AA76" s="292">
        <v>45961</v>
      </c>
      <c r="AB76" s="296"/>
      <c r="AC76" s="292"/>
      <c r="AD76" s="292"/>
      <c r="AE76" s="292"/>
    </row>
    <row r="77" spans="2:31" ht="18.75" customHeight="1">
      <c r="B77" s="303" t="s">
        <v>2729</v>
      </c>
      <c r="C77" s="288" t="s">
        <v>2731</v>
      </c>
      <c r="D77" s="275" t="s">
        <v>1456</v>
      </c>
      <c r="E77" s="289">
        <v>53.3333333</v>
      </c>
      <c r="F77" s="289">
        <v>106.666667</v>
      </c>
      <c r="G77" s="275" t="s">
        <v>3338</v>
      </c>
      <c r="H77" s="275"/>
      <c r="I77" s="287" t="s">
        <v>3339</v>
      </c>
      <c r="J77" s="275">
        <v>0.4</v>
      </c>
      <c r="K77" s="275">
        <v>1</v>
      </c>
      <c r="L77" s="277">
        <v>45749</v>
      </c>
      <c r="M77" s="278">
        <v>45749</v>
      </c>
      <c r="N77" s="278">
        <v>45763</v>
      </c>
      <c r="O77" s="278">
        <v>45763</v>
      </c>
      <c r="P77" s="278">
        <v>45779</v>
      </c>
      <c r="Q77" s="279"/>
      <c r="R77" s="279"/>
      <c r="S77" s="278">
        <v>45793</v>
      </c>
      <c r="T77" s="278">
        <v>45787</v>
      </c>
      <c r="U77" s="280">
        <v>-6</v>
      </c>
      <c r="V77" s="278">
        <v>45787</v>
      </c>
      <c r="W77" s="279">
        <v>-7</v>
      </c>
      <c r="X77" s="278">
        <v>45851</v>
      </c>
      <c r="Y77" s="278"/>
      <c r="Z77" s="278">
        <v>45851</v>
      </c>
      <c r="AA77" s="278">
        <v>45865</v>
      </c>
      <c r="AB77" s="278"/>
      <c r="AC77" s="292" t="s">
        <v>3387</v>
      </c>
      <c r="AD77" s="292" t="s">
        <v>3431</v>
      </c>
      <c r="AE77" s="292"/>
    </row>
    <row r="78" spans="2:31" ht="18.75" customHeight="1">
      <c r="B78" s="303" t="s">
        <v>2729</v>
      </c>
      <c r="C78" s="288" t="s">
        <v>2730</v>
      </c>
      <c r="D78" s="219" t="s">
        <v>1457</v>
      </c>
      <c r="E78" s="289">
        <v>53.3333333</v>
      </c>
      <c r="F78" s="289">
        <v>106.666667</v>
      </c>
      <c r="G78" s="219" t="s">
        <v>3338</v>
      </c>
      <c r="H78" s="219"/>
      <c r="I78" s="286" t="s">
        <v>3339</v>
      </c>
      <c r="J78" s="219">
        <v>0.4</v>
      </c>
      <c r="K78" s="219">
        <v>1</v>
      </c>
      <c r="L78" s="282">
        <v>45728</v>
      </c>
      <c r="M78" s="283">
        <v>45728</v>
      </c>
      <c r="N78" s="283">
        <v>45748</v>
      </c>
      <c r="O78" s="283">
        <v>45748</v>
      </c>
      <c r="P78" s="283">
        <v>45758</v>
      </c>
      <c r="Q78" s="284"/>
      <c r="R78" s="284"/>
      <c r="S78" s="283">
        <v>45778</v>
      </c>
      <c r="T78" s="283">
        <v>45787</v>
      </c>
      <c r="U78" s="285">
        <v>9</v>
      </c>
      <c r="V78" s="283">
        <v>45787</v>
      </c>
      <c r="W78" s="284"/>
      <c r="X78" s="283">
        <v>45843</v>
      </c>
      <c r="Y78" s="283"/>
      <c r="Z78" s="283">
        <v>45843</v>
      </c>
      <c r="AA78" s="283">
        <v>45857</v>
      </c>
      <c r="AB78" s="283"/>
      <c r="AC78" s="292" t="s">
        <v>3387</v>
      </c>
      <c r="AD78" s="292" t="s">
        <v>3432</v>
      </c>
      <c r="AE78" s="292"/>
    </row>
    <row r="79" spans="2:31" ht="18.75" customHeight="1">
      <c r="B79" s="304" t="s">
        <v>3108</v>
      </c>
      <c r="C79" s="219" t="s">
        <v>2627</v>
      </c>
      <c r="D79" s="219" t="s">
        <v>1458</v>
      </c>
      <c r="E79" s="219" t="e">
        <v>#N/A</v>
      </c>
      <c r="F79" s="219" t="e">
        <v>#N/A</v>
      </c>
      <c r="G79" s="219" t="s">
        <v>3289</v>
      </c>
      <c r="H79" s="219" t="s">
        <v>1517</v>
      </c>
      <c r="I79" s="286" t="s">
        <v>3290</v>
      </c>
      <c r="J79" s="219">
        <v>1.6</v>
      </c>
      <c r="K79" s="219">
        <v>4</v>
      </c>
      <c r="L79" s="282">
        <v>45748</v>
      </c>
      <c r="M79" s="283">
        <v>45748</v>
      </c>
      <c r="N79" s="283">
        <v>45761</v>
      </c>
      <c r="O79" s="283">
        <v>45761</v>
      </c>
      <c r="P79" s="283">
        <v>45776</v>
      </c>
      <c r="Q79" s="284"/>
      <c r="R79" s="284"/>
      <c r="S79" s="283">
        <v>45789</v>
      </c>
      <c r="T79" s="283">
        <v>45784</v>
      </c>
      <c r="U79" s="285">
        <v>-5</v>
      </c>
      <c r="V79" s="283">
        <v>45784</v>
      </c>
      <c r="W79" s="284"/>
      <c r="X79" s="283">
        <v>45826</v>
      </c>
      <c r="Y79" s="283"/>
      <c r="Z79" s="283">
        <v>45826</v>
      </c>
      <c r="AA79" s="283">
        <v>45840</v>
      </c>
      <c r="AB79" s="283"/>
      <c r="AC79" s="292" t="s">
        <v>3387</v>
      </c>
      <c r="AD79" s="292" t="s">
        <v>3433</v>
      </c>
      <c r="AE79" s="292"/>
    </row>
    <row r="80" spans="2:31" ht="18.75" customHeight="1">
      <c r="B80" s="303" t="s">
        <v>2729</v>
      </c>
      <c r="C80" s="288" t="s">
        <v>2732</v>
      </c>
      <c r="D80" s="219" t="s">
        <v>1461</v>
      </c>
      <c r="E80" s="289">
        <v>53.3333333</v>
      </c>
      <c r="F80" s="289">
        <v>106.666667</v>
      </c>
      <c r="G80" s="219" t="s">
        <v>3338</v>
      </c>
      <c r="H80" s="219"/>
      <c r="I80" s="286" t="s">
        <v>3339</v>
      </c>
      <c r="J80" s="219">
        <v>0.4</v>
      </c>
      <c r="K80" s="219">
        <v>1</v>
      </c>
      <c r="L80" s="282">
        <v>45770</v>
      </c>
      <c r="M80" s="283">
        <v>45770</v>
      </c>
      <c r="N80" s="283">
        <v>45771</v>
      </c>
      <c r="O80" s="283">
        <v>45771</v>
      </c>
      <c r="P80" s="283">
        <v>45800</v>
      </c>
      <c r="Q80" s="284"/>
      <c r="R80" s="284"/>
      <c r="S80" s="283">
        <v>45801</v>
      </c>
      <c r="T80" s="283">
        <v>45814</v>
      </c>
      <c r="U80" s="285">
        <v>13</v>
      </c>
      <c r="V80" s="283">
        <v>45814</v>
      </c>
      <c r="W80" s="284">
        <v>-14</v>
      </c>
      <c r="X80" s="283">
        <v>45852</v>
      </c>
      <c r="Y80" s="283"/>
      <c r="Z80" s="283">
        <v>45852</v>
      </c>
      <c r="AA80" s="283">
        <v>45866</v>
      </c>
      <c r="AB80" s="283"/>
      <c r="AC80" s="292" t="s">
        <v>3387</v>
      </c>
      <c r="AD80" s="292" t="s">
        <v>3431</v>
      </c>
      <c r="AE80" s="292"/>
    </row>
    <row r="81" spans="2:31" ht="18.75" customHeight="1">
      <c r="B81" s="304" t="s">
        <v>2797</v>
      </c>
      <c r="C81" s="275" t="s">
        <v>2630</v>
      </c>
      <c r="D81" s="275" t="s">
        <v>1462</v>
      </c>
      <c r="E81" s="275">
        <v>80</v>
      </c>
      <c r="F81" s="275">
        <v>80</v>
      </c>
      <c r="G81" s="275" t="s">
        <v>3301</v>
      </c>
      <c r="H81" s="275"/>
      <c r="I81" s="287" t="s">
        <v>3302</v>
      </c>
      <c r="J81" s="275">
        <v>0.4</v>
      </c>
      <c r="K81" s="275">
        <v>1</v>
      </c>
      <c r="L81" s="277">
        <v>45713</v>
      </c>
      <c r="M81" s="278">
        <v>45713</v>
      </c>
      <c r="N81" s="278">
        <v>45744</v>
      </c>
      <c r="O81" s="278">
        <v>45744</v>
      </c>
      <c r="P81" s="278">
        <v>45748</v>
      </c>
      <c r="Q81" s="279"/>
      <c r="R81" s="279"/>
      <c r="S81" s="278">
        <v>45779</v>
      </c>
      <c r="T81" s="278">
        <v>45782</v>
      </c>
      <c r="U81" s="280">
        <v>3</v>
      </c>
      <c r="V81" s="278">
        <v>45782</v>
      </c>
      <c r="W81" s="279"/>
      <c r="X81" s="278">
        <v>45849</v>
      </c>
      <c r="Y81" s="278"/>
      <c r="Z81" s="278">
        <v>45849</v>
      </c>
      <c r="AA81" s="278">
        <v>45856</v>
      </c>
      <c r="AB81" s="278"/>
      <c r="AC81" s="292" t="s">
        <v>3387</v>
      </c>
      <c r="AD81" s="292" t="s">
        <v>3434</v>
      </c>
      <c r="AE81" s="292"/>
    </row>
    <row r="82" spans="2:31" ht="18.75" customHeight="1">
      <c r="B82" s="303" t="s">
        <v>2775</v>
      </c>
      <c r="C82" s="288" t="s">
        <v>2772</v>
      </c>
      <c r="D82" s="275" t="s">
        <v>1462</v>
      </c>
      <c r="E82" s="289">
        <v>53.3333333</v>
      </c>
      <c r="F82" s="289">
        <v>106.666667</v>
      </c>
      <c r="G82" s="275" t="s">
        <v>3338</v>
      </c>
      <c r="H82" s="275"/>
      <c r="I82" s="287" t="s">
        <v>3339</v>
      </c>
      <c r="J82" s="275">
        <v>0.4</v>
      </c>
      <c r="K82" s="275">
        <v>1</v>
      </c>
      <c r="L82" s="277">
        <v>45812</v>
      </c>
      <c r="M82" s="278">
        <v>45812</v>
      </c>
      <c r="N82" s="278">
        <v>45839</v>
      </c>
      <c r="O82" s="278">
        <v>45839</v>
      </c>
      <c r="P82" s="278">
        <v>45842</v>
      </c>
      <c r="Q82" s="279"/>
      <c r="R82" s="279"/>
      <c r="S82" s="278">
        <v>45869</v>
      </c>
      <c r="T82" s="278"/>
      <c r="U82" s="280">
        <v>-45869</v>
      </c>
      <c r="V82" s="278">
        <v>45869</v>
      </c>
      <c r="W82" s="278"/>
      <c r="X82" s="278">
        <v>45909</v>
      </c>
      <c r="Y82" s="278"/>
      <c r="Z82" s="278">
        <v>45909</v>
      </c>
      <c r="AA82" s="278">
        <v>45923</v>
      </c>
      <c r="AB82" s="278"/>
      <c r="AC82" s="292" t="s">
        <v>3387</v>
      </c>
      <c r="AD82" s="292" t="s">
        <v>3431</v>
      </c>
      <c r="AE82" s="292"/>
    </row>
    <row r="83" spans="2:31" ht="18.75" customHeight="1">
      <c r="B83" s="303" t="s">
        <v>2729</v>
      </c>
      <c r="C83" s="288" t="s">
        <v>2733</v>
      </c>
      <c r="D83" s="219" t="s">
        <v>1463</v>
      </c>
      <c r="E83" s="289">
        <v>53.3333333</v>
      </c>
      <c r="F83" s="289">
        <v>106.666667</v>
      </c>
      <c r="G83" s="219" t="s">
        <v>3338</v>
      </c>
      <c r="H83" s="219"/>
      <c r="I83" s="286" t="s">
        <v>3339</v>
      </c>
      <c r="J83" s="219">
        <v>0.4</v>
      </c>
      <c r="K83" s="219">
        <v>1</v>
      </c>
      <c r="L83" s="282">
        <v>45791</v>
      </c>
      <c r="M83" s="283">
        <v>45791</v>
      </c>
      <c r="N83" s="283">
        <v>45791</v>
      </c>
      <c r="O83" s="283">
        <v>45791</v>
      </c>
      <c r="P83" s="283">
        <v>45821</v>
      </c>
      <c r="Q83" s="284"/>
      <c r="R83" s="284"/>
      <c r="S83" s="283">
        <v>45821</v>
      </c>
      <c r="T83" s="283"/>
      <c r="U83" s="285">
        <v>-45821</v>
      </c>
      <c r="V83" s="283">
        <v>45821</v>
      </c>
      <c r="W83" s="284">
        <v>-21</v>
      </c>
      <c r="X83" s="283">
        <v>45865</v>
      </c>
      <c r="Y83" s="283"/>
      <c r="Z83" s="283">
        <v>45865</v>
      </c>
      <c r="AA83" s="283">
        <v>45879</v>
      </c>
      <c r="AB83" s="283"/>
      <c r="AC83" s="292" t="s">
        <v>3387</v>
      </c>
      <c r="AD83" s="292" t="s">
        <v>3431</v>
      </c>
      <c r="AE83" s="292"/>
    </row>
    <row r="84" spans="2:31" ht="18.75" customHeight="1">
      <c r="B84" s="303" t="s">
        <v>2775</v>
      </c>
      <c r="C84" s="288" t="s">
        <v>2774</v>
      </c>
      <c r="D84" s="219" t="s">
        <v>1463</v>
      </c>
      <c r="E84" s="289">
        <v>53.3333333</v>
      </c>
      <c r="F84" s="289">
        <v>106.666667</v>
      </c>
      <c r="G84" s="219" t="s">
        <v>3338</v>
      </c>
      <c r="H84" s="219"/>
      <c r="I84" s="286" t="s">
        <v>3339</v>
      </c>
      <c r="J84" s="219">
        <v>0.4</v>
      </c>
      <c r="K84" s="219">
        <v>1</v>
      </c>
      <c r="L84" s="282">
        <v>45854</v>
      </c>
      <c r="M84" s="283">
        <v>45854</v>
      </c>
      <c r="N84" s="283"/>
      <c r="O84" s="283">
        <v>45854</v>
      </c>
      <c r="P84" s="283">
        <v>45884</v>
      </c>
      <c r="Q84" s="284"/>
      <c r="R84" s="284"/>
      <c r="S84" s="283">
        <v>45884</v>
      </c>
      <c r="T84" s="283"/>
      <c r="U84" s="285">
        <v>-45884</v>
      </c>
      <c r="V84" s="283">
        <v>45884</v>
      </c>
      <c r="W84" s="283"/>
      <c r="X84" s="283">
        <v>45924</v>
      </c>
      <c r="Y84" s="283"/>
      <c r="Z84" s="283">
        <v>45924</v>
      </c>
      <c r="AA84" s="283">
        <v>45938</v>
      </c>
      <c r="AB84" s="283"/>
      <c r="AC84" s="292" t="s">
        <v>3387</v>
      </c>
      <c r="AD84" s="292" t="s">
        <v>3431</v>
      </c>
      <c r="AE84" s="292"/>
    </row>
    <row r="85" spans="2:31" ht="18.75" customHeight="1">
      <c r="B85" s="311" t="s">
        <v>269</v>
      </c>
      <c r="C85" s="219" t="s">
        <v>2722</v>
      </c>
      <c r="D85" s="219" t="s">
        <v>1464</v>
      </c>
      <c r="E85" s="289">
        <v>17.5</v>
      </c>
      <c r="F85" s="289">
        <v>180</v>
      </c>
      <c r="G85" s="219" t="s">
        <v>3317</v>
      </c>
      <c r="H85" s="219"/>
      <c r="I85" s="286" t="s">
        <v>3318</v>
      </c>
      <c r="J85" s="219">
        <v>1</v>
      </c>
      <c r="K85" s="219">
        <v>1</v>
      </c>
      <c r="L85" s="282">
        <v>45758</v>
      </c>
      <c r="M85" s="283">
        <v>45758</v>
      </c>
      <c r="N85" s="283">
        <v>45763</v>
      </c>
      <c r="O85" s="283">
        <v>45763</v>
      </c>
      <c r="P85" s="283">
        <v>45793</v>
      </c>
      <c r="Q85" s="284"/>
      <c r="R85" s="284"/>
      <c r="S85" s="283">
        <v>45798</v>
      </c>
      <c r="T85" s="283">
        <v>45803</v>
      </c>
      <c r="U85" s="285">
        <v>5</v>
      </c>
      <c r="V85" s="283">
        <v>45803</v>
      </c>
      <c r="W85" s="284"/>
      <c r="X85" s="283">
        <v>45843</v>
      </c>
      <c r="Y85" s="283"/>
      <c r="Z85" s="283">
        <v>45843</v>
      </c>
      <c r="AA85" s="283">
        <v>45920</v>
      </c>
      <c r="AB85" s="283"/>
      <c r="AC85" s="292" t="s">
        <v>3384</v>
      </c>
      <c r="AD85" s="292" t="s">
        <v>3435</v>
      </c>
      <c r="AE85" s="292"/>
    </row>
    <row r="86" spans="2:31" ht="18.75" customHeight="1">
      <c r="B86" s="311" t="s">
        <v>2721</v>
      </c>
      <c r="C86" s="219" t="s">
        <v>2723</v>
      </c>
      <c r="D86" s="219" t="s">
        <v>1465</v>
      </c>
      <c r="E86" s="289">
        <v>17.5</v>
      </c>
      <c r="F86" s="289">
        <v>180</v>
      </c>
      <c r="G86" s="219" t="s">
        <v>3317</v>
      </c>
      <c r="H86" s="219"/>
      <c r="I86" s="286" t="s">
        <v>3318</v>
      </c>
      <c r="J86" s="219">
        <v>1</v>
      </c>
      <c r="K86" s="219">
        <v>1</v>
      </c>
      <c r="L86" s="282">
        <v>45758</v>
      </c>
      <c r="M86" s="283">
        <v>45758</v>
      </c>
      <c r="N86" s="283">
        <v>45763</v>
      </c>
      <c r="O86" s="283">
        <v>45763</v>
      </c>
      <c r="P86" s="283">
        <v>45793</v>
      </c>
      <c r="Q86" s="284"/>
      <c r="R86" s="284"/>
      <c r="S86" s="283">
        <v>45798</v>
      </c>
      <c r="T86" s="283">
        <v>45803</v>
      </c>
      <c r="U86" s="285">
        <v>5</v>
      </c>
      <c r="V86" s="283">
        <v>45803</v>
      </c>
      <c r="W86" s="284"/>
      <c r="X86" s="283">
        <v>45843</v>
      </c>
      <c r="Y86" s="283"/>
      <c r="Z86" s="283">
        <v>45843</v>
      </c>
      <c r="AA86" s="283">
        <v>45920</v>
      </c>
      <c r="AB86" s="283"/>
      <c r="AC86" s="292" t="s">
        <v>3384</v>
      </c>
      <c r="AD86" s="292" t="s">
        <v>3435</v>
      </c>
      <c r="AE86" s="292"/>
    </row>
    <row r="87" spans="2:31" ht="18.75" customHeight="1">
      <c r="B87" s="312" t="s">
        <v>1803</v>
      </c>
      <c r="C87" s="219" t="s">
        <v>2653</v>
      </c>
      <c r="D87" s="219" t="s">
        <v>1466</v>
      </c>
      <c r="E87" s="219">
        <v>103.125</v>
      </c>
      <c r="F87" s="219">
        <v>206.25</v>
      </c>
      <c r="G87" s="219" t="s">
        <v>3345</v>
      </c>
      <c r="H87" s="219"/>
      <c r="I87" s="286" t="s">
        <v>3346</v>
      </c>
      <c r="J87" s="219">
        <v>1</v>
      </c>
      <c r="K87" s="219">
        <v>1</v>
      </c>
      <c r="L87" s="282">
        <v>45718</v>
      </c>
      <c r="M87" s="283">
        <v>45718</v>
      </c>
      <c r="N87" s="283">
        <v>45737</v>
      </c>
      <c r="O87" s="283">
        <v>45737</v>
      </c>
      <c r="P87" s="283">
        <v>45760</v>
      </c>
      <c r="Q87" s="284"/>
      <c r="R87" s="284"/>
      <c r="S87" s="283">
        <v>45779</v>
      </c>
      <c r="T87" s="283">
        <v>45782</v>
      </c>
      <c r="U87" s="285">
        <v>3</v>
      </c>
      <c r="V87" s="283">
        <v>45782</v>
      </c>
      <c r="W87" s="284"/>
      <c r="X87" s="283">
        <v>45872</v>
      </c>
      <c r="Y87" s="283"/>
      <c r="Z87" s="283">
        <v>45872</v>
      </c>
      <c r="AA87" s="283">
        <v>45886</v>
      </c>
      <c r="AB87" s="283"/>
      <c r="AC87" s="292" t="s">
        <v>3391</v>
      </c>
      <c r="AD87" s="292" t="s">
        <v>3436</v>
      </c>
      <c r="AE87" s="292"/>
    </row>
    <row r="88" spans="2:31" ht="18.75" customHeight="1">
      <c r="B88" s="313" t="s">
        <v>1761</v>
      </c>
      <c r="C88" s="219" t="s">
        <v>2663</v>
      </c>
      <c r="D88" s="219" t="s">
        <v>1467</v>
      </c>
      <c r="E88" s="219">
        <v>186.66666699999999</v>
      </c>
      <c r="F88" s="219">
        <v>186.66666699999999</v>
      </c>
      <c r="G88" s="219" t="s">
        <v>3353</v>
      </c>
      <c r="H88" s="219"/>
      <c r="I88" s="286" t="s">
        <v>3354</v>
      </c>
      <c r="J88" s="219">
        <v>2</v>
      </c>
      <c r="K88" s="219">
        <v>2</v>
      </c>
      <c r="L88" s="282">
        <v>45748</v>
      </c>
      <c r="M88" s="283"/>
      <c r="N88" s="283"/>
      <c r="O88" s="283"/>
      <c r="P88" s="283">
        <v>45748</v>
      </c>
      <c r="Q88" s="284"/>
      <c r="R88" s="284"/>
      <c r="S88" s="283">
        <v>45748</v>
      </c>
      <c r="T88" s="283">
        <v>45765</v>
      </c>
      <c r="U88" s="285">
        <v>17</v>
      </c>
      <c r="V88" s="283">
        <v>45765</v>
      </c>
      <c r="W88" s="284"/>
      <c r="X88" s="283">
        <v>45825</v>
      </c>
      <c r="Y88" s="283"/>
      <c r="Z88" s="283">
        <v>45825</v>
      </c>
      <c r="AA88" s="283">
        <v>45832</v>
      </c>
      <c r="AB88" s="283"/>
      <c r="AC88" s="292" t="s">
        <v>3391</v>
      </c>
      <c r="AD88" s="292" t="s">
        <v>3437</v>
      </c>
      <c r="AE88" s="292"/>
    </row>
    <row r="89" spans="2:31" ht="18.75" customHeight="1">
      <c r="B89" s="304" t="s">
        <v>404</v>
      </c>
      <c r="C89" s="288" t="s">
        <v>2635</v>
      </c>
      <c r="D89" s="275" t="s">
        <v>1467</v>
      </c>
      <c r="E89" s="289">
        <v>14.2857143</v>
      </c>
      <c r="F89" s="289">
        <v>57.142857100000001</v>
      </c>
      <c r="G89" s="275" t="s">
        <v>3305</v>
      </c>
      <c r="H89" s="275"/>
      <c r="I89" s="287" t="s">
        <v>3306</v>
      </c>
      <c r="J89" s="275">
        <v>1</v>
      </c>
      <c r="K89" s="275">
        <v>1</v>
      </c>
      <c r="L89" s="277">
        <v>45818</v>
      </c>
      <c r="M89" s="278">
        <v>45818</v>
      </c>
      <c r="N89" s="278">
        <v>45829</v>
      </c>
      <c r="O89" s="278">
        <v>45829</v>
      </c>
      <c r="P89" s="278">
        <v>45853</v>
      </c>
      <c r="Q89" s="279"/>
      <c r="R89" s="279"/>
      <c r="S89" s="278">
        <v>45864</v>
      </c>
      <c r="T89" s="278"/>
      <c r="U89" s="280">
        <v>-45864</v>
      </c>
      <c r="V89" s="278">
        <v>45864</v>
      </c>
      <c r="W89" s="278"/>
      <c r="X89" s="278">
        <v>45949</v>
      </c>
      <c r="Y89" s="278"/>
      <c r="Z89" s="278">
        <v>45949</v>
      </c>
      <c r="AA89" s="278">
        <v>45970</v>
      </c>
      <c r="AB89" s="278"/>
      <c r="AC89" s="292" t="s">
        <v>3402</v>
      </c>
      <c r="AD89" s="292" t="s">
        <v>3438</v>
      </c>
      <c r="AE89" s="292"/>
    </row>
    <row r="90" spans="2:31" ht="18.75" customHeight="1">
      <c r="B90" s="304" t="s">
        <v>2597</v>
      </c>
      <c r="C90" s="219" t="s">
        <v>2628</v>
      </c>
      <c r="D90" s="219" t="s">
        <v>1468</v>
      </c>
      <c r="E90" s="219">
        <v>16.6666667</v>
      </c>
      <c r="F90" s="219">
        <v>66.666666699999993</v>
      </c>
      <c r="G90" s="219" t="s">
        <v>3301</v>
      </c>
      <c r="H90" s="219"/>
      <c r="I90" s="286" t="s">
        <v>3302</v>
      </c>
      <c r="J90" s="219">
        <v>1</v>
      </c>
      <c r="K90" s="219">
        <v>1</v>
      </c>
      <c r="L90" s="282">
        <v>45818</v>
      </c>
      <c r="M90" s="283">
        <v>45818</v>
      </c>
      <c r="N90" s="283">
        <v>45829</v>
      </c>
      <c r="O90" s="283">
        <v>45829</v>
      </c>
      <c r="P90" s="283">
        <v>45853</v>
      </c>
      <c r="Q90" s="284"/>
      <c r="R90" s="284"/>
      <c r="S90" s="283">
        <v>45864</v>
      </c>
      <c r="T90" s="283"/>
      <c r="U90" s="285">
        <v>-45864</v>
      </c>
      <c r="V90" s="283">
        <v>45864</v>
      </c>
      <c r="W90" s="284"/>
      <c r="X90" s="283">
        <v>45949</v>
      </c>
      <c r="Y90" s="283"/>
      <c r="Z90" s="283">
        <v>45949</v>
      </c>
      <c r="AA90" s="283">
        <v>45970</v>
      </c>
      <c r="AB90" s="283"/>
      <c r="AC90" s="292" t="s">
        <v>3402</v>
      </c>
      <c r="AD90" s="292" t="s">
        <v>3439</v>
      </c>
      <c r="AE90" s="292"/>
    </row>
    <row r="91" spans="2:31" ht="18.75" customHeight="1">
      <c r="B91" s="303" t="s">
        <v>2607</v>
      </c>
      <c r="C91" s="275" t="s">
        <v>2651</v>
      </c>
      <c r="D91" s="275" t="s">
        <v>1469</v>
      </c>
      <c r="E91" s="275">
        <v>83.274074100000007</v>
      </c>
      <c r="F91" s="275">
        <v>356.88888900000001</v>
      </c>
      <c r="G91" s="275" t="s">
        <v>3338</v>
      </c>
      <c r="H91" s="275"/>
      <c r="I91" s="287" t="s">
        <v>3339</v>
      </c>
      <c r="J91" s="275">
        <v>2</v>
      </c>
      <c r="K91" s="275">
        <v>2</v>
      </c>
      <c r="L91" s="277">
        <v>45728</v>
      </c>
      <c r="M91" s="278">
        <v>45728</v>
      </c>
      <c r="N91" s="278">
        <v>45746</v>
      </c>
      <c r="O91" s="278">
        <v>45746</v>
      </c>
      <c r="P91" s="278">
        <v>45758</v>
      </c>
      <c r="Q91" s="279"/>
      <c r="R91" s="279"/>
      <c r="S91" s="278">
        <v>45776</v>
      </c>
      <c r="T91" s="278">
        <v>45785</v>
      </c>
      <c r="U91" s="280">
        <v>9</v>
      </c>
      <c r="V91" s="278">
        <v>45785</v>
      </c>
      <c r="W91" s="279"/>
      <c r="X91" s="278">
        <v>45831</v>
      </c>
      <c r="Y91" s="278"/>
      <c r="Z91" s="278">
        <v>45831</v>
      </c>
      <c r="AA91" s="278">
        <v>45842</v>
      </c>
      <c r="AB91" s="278"/>
      <c r="AC91" s="292" t="s">
        <v>3378</v>
      </c>
      <c r="AD91" s="292" t="s">
        <v>3440</v>
      </c>
      <c r="AE91" s="292"/>
    </row>
    <row r="92" spans="2:31" ht="18.75" customHeight="1">
      <c r="B92" s="304" t="s">
        <v>3260</v>
      </c>
      <c r="C92" s="288" t="s">
        <v>3268</v>
      </c>
      <c r="D92" s="219" t="s">
        <v>1469</v>
      </c>
      <c r="E92" s="289" t="e">
        <v>#DIV/0!</v>
      </c>
      <c r="F92" s="289" t="e">
        <v>#DIV/0!</v>
      </c>
      <c r="G92" s="219" t="s">
        <v>3358</v>
      </c>
      <c r="H92" s="219"/>
      <c r="I92" s="286" t="s">
        <v>3359</v>
      </c>
      <c r="J92" s="219">
        <v>2</v>
      </c>
      <c r="K92" s="219">
        <v>2</v>
      </c>
      <c r="L92" s="282">
        <v>45856</v>
      </c>
      <c r="M92" s="283">
        <v>45856</v>
      </c>
      <c r="N92" s="283"/>
      <c r="O92" s="283">
        <v>45856</v>
      </c>
      <c r="P92" s="283">
        <v>45884</v>
      </c>
      <c r="Q92" s="284"/>
      <c r="R92" s="284"/>
      <c r="S92" s="283">
        <v>45884</v>
      </c>
      <c r="T92" s="283"/>
      <c r="U92" s="285">
        <v>-45884</v>
      </c>
      <c r="V92" s="283">
        <v>45884</v>
      </c>
      <c r="W92" s="283"/>
      <c r="X92" s="283">
        <v>45976</v>
      </c>
      <c r="Y92" s="283"/>
      <c r="Z92" s="283">
        <v>45976</v>
      </c>
      <c r="AA92" s="283">
        <v>45997</v>
      </c>
      <c r="AB92" s="283"/>
      <c r="AC92" s="292"/>
      <c r="AD92" s="292" t="s">
        <v>3406</v>
      </c>
      <c r="AE92" s="292"/>
    </row>
    <row r="93" spans="2:31" ht="18.75" customHeight="1">
      <c r="B93" s="304" t="s">
        <v>2750</v>
      </c>
      <c r="C93" s="288" t="s">
        <v>3272</v>
      </c>
      <c r="D93" s="289" t="s">
        <v>1470</v>
      </c>
      <c r="E93" s="289">
        <v>12.5</v>
      </c>
      <c r="F93" s="289">
        <v>50</v>
      </c>
      <c r="G93" s="297" t="s">
        <v>3372</v>
      </c>
      <c r="H93" s="291"/>
      <c r="I93" s="287" t="s">
        <v>3373</v>
      </c>
      <c r="J93" s="291">
        <v>0.5</v>
      </c>
      <c r="K93" s="291">
        <v>0.5</v>
      </c>
      <c r="L93" s="299">
        <v>45889</v>
      </c>
      <c r="M93" s="298"/>
      <c r="N93" s="298"/>
      <c r="O93" s="298"/>
      <c r="P93" s="293">
        <v>45889</v>
      </c>
      <c r="Q93" s="294"/>
      <c r="R93" s="294"/>
      <c r="S93" s="298">
        <v>45889</v>
      </c>
      <c r="T93" s="296"/>
      <c r="U93" s="300">
        <v>-45889</v>
      </c>
      <c r="V93" s="298">
        <v>45889</v>
      </c>
      <c r="W93" s="296"/>
      <c r="X93" s="298">
        <v>45929</v>
      </c>
      <c r="Y93" s="296"/>
      <c r="Z93" s="298">
        <v>45929</v>
      </c>
      <c r="AA93" s="298">
        <v>45943</v>
      </c>
      <c r="AB93" s="296"/>
      <c r="AC93" s="292"/>
      <c r="AD93" s="292" t="s">
        <v>3406</v>
      </c>
      <c r="AE93" s="292"/>
    </row>
    <row r="94" spans="2:31" ht="18.75" customHeight="1">
      <c r="B94" s="317" t="s">
        <v>2616</v>
      </c>
      <c r="C94" s="219" t="s">
        <v>2671</v>
      </c>
      <c r="D94" s="219" t="s">
        <v>1471</v>
      </c>
      <c r="E94" s="219">
        <v>62.5</v>
      </c>
      <c r="F94" s="219">
        <v>375</v>
      </c>
      <c r="G94" s="219" t="s">
        <v>3365</v>
      </c>
      <c r="H94" s="219"/>
      <c r="I94" s="286" t="s">
        <v>3366</v>
      </c>
      <c r="J94" s="219">
        <v>2</v>
      </c>
      <c r="K94" s="219">
        <v>2</v>
      </c>
      <c r="L94" s="282">
        <v>45748</v>
      </c>
      <c r="M94" s="283">
        <v>45748</v>
      </c>
      <c r="N94" s="283">
        <v>45763</v>
      </c>
      <c r="O94" s="283">
        <v>45763</v>
      </c>
      <c r="P94" s="283">
        <v>45776</v>
      </c>
      <c r="Q94" s="284"/>
      <c r="R94" s="284"/>
      <c r="S94" s="283">
        <v>45791</v>
      </c>
      <c r="T94" s="283">
        <v>45800</v>
      </c>
      <c r="U94" s="285">
        <v>9</v>
      </c>
      <c r="V94" s="283">
        <v>45800</v>
      </c>
      <c r="W94" s="284"/>
      <c r="X94" s="283">
        <v>45823</v>
      </c>
      <c r="Y94" s="283"/>
      <c r="Z94" s="283">
        <v>45823</v>
      </c>
      <c r="AA94" s="283">
        <v>45900</v>
      </c>
      <c r="AB94" s="283"/>
      <c r="AC94" s="292" t="s">
        <v>3402</v>
      </c>
      <c r="AD94" s="292" t="s">
        <v>3441</v>
      </c>
      <c r="AE94" s="292"/>
    </row>
    <row r="95" spans="2:31" ht="18.75" customHeight="1">
      <c r="B95" s="309" t="s">
        <v>1748</v>
      </c>
      <c r="C95" s="275" t="s">
        <v>2656</v>
      </c>
      <c r="D95" s="275" t="s">
        <v>1764</v>
      </c>
      <c r="E95" s="275">
        <v>50</v>
      </c>
      <c r="F95" s="275">
        <v>900</v>
      </c>
      <c r="G95" s="275" t="s">
        <v>3347</v>
      </c>
      <c r="H95" s="275"/>
      <c r="I95" s="287" t="s">
        <v>3348</v>
      </c>
      <c r="J95" s="275">
        <v>1</v>
      </c>
      <c r="K95" s="275">
        <v>1</v>
      </c>
      <c r="L95" s="277">
        <v>45738</v>
      </c>
      <c r="M95" s="278">
        <v>45738</v>
      </c>
      <c r="N95" s="278">
        <v>45748</v>
      </c>
      <c r="O95" s="278">
        <v>45748</v>
      </c>
      <c r="P95" s="278">
        <v>45773</v>
      </c>
      <c r="Q95" s="279"/>
      <c r="R95" s="279"/>
      <c r="S95" s="278">
        <v>45783</v>
      </c>
      <c r="T95" s="278">
        <v>45813</v>
      </c>
      <c r="U95" s="280">
        <v>30</v>
      </c>
      <c r="V95" s="278">
        <v>45813</v>
      </c>
      <c r="W95" s="279"/>
      <c r="X95" s="278">
        <v>45823</v>
      </c>
      <c r="Y95" s="278"/>
      <c r="Z95" s="278">
        <v>45823</v>
      </c>
      <c r="AA95" s="278">
        <v>45942</v>
      </c>
      <c r="AB95" s="278"/>
      <c r="AC95" s="292" t="s">
        <v>3378</v>
      </c>
      <c r="AD95" s="292" t="s">
        <v>3442</v>
      </c>
      <c r="AE95" s="292"/>
    </row>
    <row r="96" spans="2:31" ht="18.75" customHeight="1">
      <c r="B96" s="309" t="s">
        <v>271</v>
      </c>
      <c r="C96" s="275" t="s">
        <v>2636</v>
      </c>
      <c r="D96" s="275" t="s">
        <v>1473</v>
      </c>
      <c r="E96" s="275">
        <v>85.714285700000005</v>
      </c>
      <c r="F96" s="275">
        <v>1800</v>
      </c>
      <c r="G96" s="275" t="s">
        <v>3307</v>
      </c>
      <c r="H96" s="275"/>
      <c r="I96" s="287" t="s">
        <v>3308</v>
      </c>
      <c r="J96" s="275">
        <v>1</v>
      </c>
      <c r="K96" s="275">
        <v>1</v>
      </c>
      <c r="L96" s="277">
        <v>45708</v>
      </c>
      <c r="M96" s="278">
        <v>45708</v>
      </c>
      <c r="N96" s="278">
        <v>45744</v>
      </c>
      <c r="O96" s="278">
        <v>45744</v>
      </c>
      <c r="P96" s="278">
        <v>45777</v>
      </c>
      <c r="Q96" s="279"/>
      <c r="R96" s="279"/>
      <c r="S96" s="278">
        <v>45813</v>
      </c>
      <c r="T96" s="278">
        <v>45813</v>
      </c>
      <c r="U96" s="280">
        <v>0</v>
      </c>
      <c r="V96" s="278">
        <v>45813</v>
      </c>
      <c r="W96" s="279"/>
      <c r="X96" s="278">
        <v>45844</v>
      </c>
      <c r="Y96" s="278"/>
      <c r="Z96" s="278">
        <v>45844</v>
      </c>
      <c r="AA96" s="278">
        <v>45991</v>
      </c>
      <c r="AB96" s="278"/>
      <c r="AC96" s="292" t="s">
        <v>3378</v>
      </c>
      <c r="AD96" s="292" t="s">
        <v>3443</v>
      </c>
      <c r="AE96" s="292"/>
    </row>
    <row r="97" spans="2:31" ht="18.75" customHeight="1">
      <c r="B97" s="312" t="s">
        <v>3101</v>
      </c>
      <c r="C97" s="219" t="s">
        <v>2649</v>
      </c>
      <c r="D97" s="219" t="s">
        <v>1474</v>
      </c>
      <c r="E97" s="219">
        <v>133.33333300000001</v>
      </c>
      <c r="F97" s="219">
        <v>533.33333300000004</v>
      </c>
      <c r="G97" s="219" t="s">
        <v>3334</v>
      </c>
      <c r="H97" s="219"/>
      <c r="I97" s="286" t="s">
        <v>3335</v>
      </c>
      <c r="J97" s="219">
        <v>2</v>
      </c>
      <c r="K97" s="219">
        <v>2</v>
      </c>
      <c r="L97" s="282">
        <v>45748</v>
      </c>
      <c r="M97" s="283">
        <v>45748</v>
      </c>
      <c r="N97" s="283">
        <v>45762</v>
      </c>
      <c r="O97" s="283">
        <v>45762</v>
      </c>
      <c r="P97" s="283">
        <v>45808</v>
      </c>
      <c r="Q97" s="284"/>
      <c r="R97" s="284"/>
      <c r="S97" s="283">
        <v>45822</v>
      </c>
      <c r="T97" s="283">
        <v>45836</v>
      </c>
      <c r="U97" s="285">
        <v>14</v>
      </c>
      <c r="V97" s="283">
        <v>45836</v>
      </c>
      <c r="W97" s="284"/>
      <c r="X97" s="283">
        <v>45904</v>
      </c>
      <c r="Y97" s="283"/>
      <c r="Z97" s="283">
        <v>45904</v>
      </c>
      <c r="AA97" s="283">
        <v>45932</v>
      </c>
      <c r="AB97" s="283"/>
      <c r="AC97" s="292" t="s">
        <v>3391</v>
      </c>
      <c r="AD97" s="292" t="s">
        <v>3444</v>
      </c>
      <c r="AE97" s="292"/>
    </row>
    <row r="98" spans="2:31" ht="18.75" customHeight="1">
      <c r="B98" s="303" t="s">
        <v>2303</v>
      </c>
      <c r="C98" s="288" t="s">
        <v>2766</v>
      </c>
      <c r="D98" s="219" t="s">
        <v>1476</v>
      </c>
      <c r="E98" s="289">
        <v>41.714814799999999</v>
      </c>
      <c r="F98" s="289">
        <v>178.77777800000001</v>
      </c>
      <c r="G98" s="219" t="s">
        <v>3338</v>
      </c>
      <c r="H98" s="219"/>
      <c r="I98" s="286" t="s">
        <v>3339</v>
      </c>
      <c r="J98" s="219">
        <v>1</v>
      </c>
      <c r="K98" s="219">
        <v>1</v>
      </c>
      <c r="L98" s="282">
        <v>45748</v>
      </c>
      <c r="M98" s="283">
        <v>45748</v>
      </c>
      <c r="N98" s="283">
        <v>45763</v>
      </c>
      <c r="O98" s="283">
        <v>45763</v>
      </c>
      <c r="P98" s="283">
        <v>45778</v>
      </c>
      <c r="Q98" s="284"/>
      <c r="R98" s="284"/>
      <c r="S98" s="283">
        <v>45793</v>
      </c>
      <c r="T98" s="283">
        <v>45789</v>
      </c>
      <c r="U98" s="285">
        <v>-4</v>
      </c>
      <c r="V98" s="283">
        <v>45789</v>
      </c>
      <c r="W98" s="283"/>
      <c r="X98" s="283">
        <v>45833</v>
      </c>
      <c r="Y98" s="283"/>
      <c r="Z98" s="283">
        <v>45833</v>
      </c>
      <c r="AA98" s="283">
        <v>45860</v>
      </c>
      <c r="AB98" s="283"/>
      <c r="AC98" s="292" t="s">
        <v>3380</v>
      </c>
      <c r="AD98" s="292" t="s">
        <v>3445</v>
      </c>
      <c r="AE98" s="292"/>
    </row>
    <row r="99" spans="2:31" ht="18.75" customHeight="1">
      <c r="B99" s="303" t="s">
        <v>2303</v>
      </c>
      <c r="C99" s="288" t="s">
        <v>2771</v>
      </c>
      <c r="D99" s="275" t="s">
        <v>1476</v>
      </c>
      <c r="E99" s="289">
        <v>41.714814799999999</v>
      </c>
      <c r="F99" s="289">
        <v>178.77777800000001</v>
      </c>
      <c r="G99" s="275" t="s">
        <v>3338</v>
      </c>
      <c r="H99" s="275"/>
      <c r="I99" s="287" t="s">
        <v>3339</v>
      </c>
      <c r="J99" s="275">
        <v>1</v>
      </c>
      <c r="K99" s="275">
        <v>1</v>
      </c>
      <c r="L99" s="277">
        <v>45853</v>
      </c>
      <c r="M99" s="278">
        <v>45853</v>
      </c>
      <c r="N99" s="278"/>
      <c r="O99" s="278">
        <v>45853</v>
      </c>
      <c r="P99" s="278">
        <v>45883</v>
      </c>
      <c r="Q99" s="279"/>
      <c r="R99" s="279"/>
      <c r="S99" s="278">
        <v>45883</v>
      </c>
      <c r="T99" s="278"/>
      <c r="U99" s="280">
        <v>-45883</v>
      </c>
      <c r="V99" s="278">
        <v>45883</v>
      </c>
      <c r="W99" s="278"/>
      <c r="X99" s="278">
        <v>45923</v>
      </c>
      <c r="Y99" s="278"/>
      <c r="Z99" s="278">
        <v>45923</v>
      </c>
      <c r="AA99" s="278">
        <v>45950</v>
      </c>
      <c r="AB99" s="278"/>
      <c r="AC99" s="292" t="s">
        <v>3380</v>
      </c>
      <c r="AD99" s="292" t="s">
        <v>3445</v>
      </c>
      <c r="AE99" s="292"/>
    </row>
    <row r="100" spans="2:31" ht="18.75" customHeight="1">
      <c r="B100" s="303" t="s">
        <v>2303</v>
      </c>
      <c r="C100" s="288" t="s">
        <v>2767</v>
      </c>
      <c r="D100" s="275" t="s">
        <v>1477</v>
      </c>
      <c r="E100" s="289">
        <v>41.714814799999999</v>
      </c>
      <c r="F100" s="289">
        <v>178.77777800000001</v>
      </c>
      <c r="G100" s="275" t="s">
        <v>3338</v>
      </c>
      <c r="H100" s="275"/>
      <c r="I100" s="287" t="s">
        <v>3339</v>
      </c>
      <c r="J100" s="275">
        <v>1</v>
      </c>
      <c r="K100" s="275">
        <v>1</v>
      </c>
      <c r="L100" s="277">
        <v>45769</v>
      </c>
      <c r="M100" s="278">
        <v>45769</v>
      </c>
      <c r="N100" s="278">
        <v>45767</v>
      </c>
      <c r="O100" s="278">
        <v>45767</v>
      </c>
      <c r="P100" s="278">
        <v>45799</v>
      </c>
      <c r="Q100" s="279"/>
      <c r="R100" s="279"/>
      <c r="S100" s="278">
        <v>45797</v>
      </c>
      <c r="T100" s="278">
        <v>45795</v>
      </c>
      <c r="U100" s="280">
        <v>-2</v>
      </c>
      <c r="V100" s="278">
        <v>45795</v>
      </c>
      <c r="W100" s="278"/>
      <c r="X100" s="278">
        <v>45837</v>
      </c>
      <c r="Y100" s="278"/>
      <c r="Z100" s="278">
        <v>45837</v>
      </c>
      <c r="AA100" s="278">
        <v>45864</v>
      </c>
      <c r="AB100" s="278"/>
      <c r="AC100" s="292" t="s">
        <v>3380</v>
      </c>
      <c r="AD100" s="292" t="s">
        <v>3445</v>
      </c>
      <c r="AE100" s="292"/>
    </row>
    <row r="101" spans="2:31" ht="18.75" customHeight="1">
      <c r="B101" s="303" t="s">
        <v>2303</v>
      </c>
      <c r="C101" s="288" t="s">
        <v>2769</v>
      </c>
      <c r="D101" s="219" t="s">
        <v>1477</v>
      </c>
      <c r="E101" s="289">
        <v>41.714814799999999</v>
      </c>
      <c r="F101" s="289">
        <v>178.77777800000001</v>
      </c>
      <c r="G101" s="219" t="s">
        <v>3338</v>
      </c>
      <c r="H101" s="219"/>
      <c r="I101" s="286" t="s">
        <v>3339</v>
      </c>
      <c r="J101" s="219">
        <v>1</v>
      </c>
      <c r="K101" s="219">
        <v>1</v>
      </c>
      <c r="L101" s="282">
        <v>45811</v>
      </c>
      <c r="M101" s="283">
        <v>45811</v>
      </c>
      <c r="N101" s="283">
        <v>45839</v>
      </c>
      <c r="O101" s="283">
        <v>45839</v>
      </c>
      <c r="P101" s="283">
        <v>45841</v>
      </c>
      <c r="Q101" s="284"/>
      <c r="R101" s="284"/>
      <c r="S101" s="283">
        <v>45869</v>
      </c>
      <c r="T101" s="283"/>
      <c r="U101" s="285">
        <v>-45869</v>
      </c>
      <c r="V101" s="283">
        <v>45869</v>
      </c>
      <c r="W101" s="283"/>
      <c r="X101" s="283">
        <v>45909</v>
      </c>
      <c r="Y101" s="283"/>
      <c r="Z101" s="283">
        <v>45909</v>
      </c>
      <c r="AA101" s="283">
        <v>45936</v>
      </c>
      <c r="AB101" s="283"/>
      <c r="AC101" s="292" t="s">
        <v>3380</v>
      </c>
      <c r="AD101" s="292" t="s">
        <v>3445</v>
      </c>
      <c r="AE101" s="292"/>
    </row>
    <row r="102" spans="2:31" ht="18.75" customHeight="1">
      <c r="B102" s="306" t="s">
        <v>3102</v>
      </c>
      <c r="C102" s="219" t="s">
        <v>2624</v>
      </c>
      <c r="D102" s="219" t="s">
        <v>1478</v>
      </c>
      <c r="E102" s="219">
        <v>93.333333300000007</v>
      </c>
      <c r="F102" s="219">
        <v>520</v>
      </c>
      <c r="G102" s="219" t="s">
        <v>3293</v>
      </c>
      <c r="H102" s="219"/>
      <c r="I102" s="286" t="s">
        <v>3294</v>
      </c>
      <c r="J102" s="219">
        <v>2</v>
      </c>
      <c r="K102" s="219">
        <v>2</v>
      </c>
      <c r="L102" s="282">
        <v>45783</v>
      </c>
      <c r="M102" s="283">
        <v>45783</v>
      </c>
      <c r="N102" s="283">
        <v>45796</v>
      </c>
      <c r="O102" s="283">
        <v>45796</v>
      </c>
      <c r="P102" s="283">
        <v>45797</v>
      </c>
      <c r="Q102" s="284"/>
      <c r="R102" s="284"/>
      <c r="S102" s="283">
        <v>45810</v>
      </c>
      <c r="T102" s="283">
        <v>45813</v>
      </c>
      <c r="U102" s="285">
        <v>3</v>
      </c>
      <c r="V102" s="283">
        <v>45813</v>
      </c>
      <c r="W102" s="284"/>
      <c r="X102" s="283">
        <v>45886</v>
      </c>
      <c r="Y102" s="283"/>
      <c r="Z102" s="283">
        <v>45886</v>
      </c>
      <c r="AA102" s="283">
        <v>45929</v>
      </c>
      <c r="AB102" s="283"/>
      <c r="AC102" s="292" t="s">
        <v>3384</v>
      </c>
      <c r="AD102" s="292" t="s">
        <v>3446</v>
      </c>
      <c r="AE102" s="292"/>
    </row>
    <row r="103" spans="2:31" ht="18.75" customHeight="1">
      <c r="B103" s="317" t="s">
        <v>1723</v>
      </c>
      <c r="C103" s="275" t="s">
        <v>2670</v>
      </c>
      <c r="D103" s="275" t="s">
        <v>1480</v>
      </c>
      <c r="E103" s="275">
        <v>25</v>
      </c>
      <c r="F103" s="275">
        <v>321.42857099999998</v>
      </c>
      <c r="G103" s="275" t="s">
        <v>3365</v>
      </c>
      <c r="H103" s="275"/>
      <c r="I103" s="287" t="s">
        <v>3366</v>
      </c>
      <c r="J103" s="275">
        <v>1</v>
      </c>
      <c r="K103" s="275">
        <v>1</v>
      </c>
      <c r="L103" s="277">
        <v>45748</v>
      </c>
      <c r="M103" s="278">
        <v>45748</v>
      </c>
      <c r="N103" s="278">
        <v>45763</v>
      </c>
      <c r="O103" s="278">
        <v>45763</v>
      </c>
      <c r="P103" s="278">
        <v>45776</v>
      </c>
      <c r="Q103" s="279"/>
      <c r="R103" s="279"/>
      <c r="S103" s="278">
        <v>45791</v>
      </c>
      <c r="T103" s="278">
        <v>45796</v>
      </c>
      <c r="U103" s="280">
        <v>5</v>
      </c>
      <c r="V103" s="278">
        <v>45796</v>
      </c>
      <c r="W103" s="279"/>
      <c r="X103" s="278">
        <v>45823</v>
      </c>
      <c r="Y103" s="278"/>
      <c r="Z103" s="278">
        <v>45823</v>
      </c>
      <c r="AA103" s="278">
        <v>45918</v>
      </c>
      <c r="AB103" s="278"/>
      <c r="AC103" s="292" t="s">
        <v>3391</v>
      </c>
      <c r="AD103" s="292" t="s">
        <v>3447</v>
      </c>
      <c r="AE103" s="292"/>
    </row>
    <row r="104" spans="2:31" ht="18.75" customHeight="1">
      <c r="B104" s="313" t="s">
        <v>2617</v>
      </c>
      <c r="C104" s="275" t="s">
        <v>2674</v>
      </c>
      <c r="D104" s="275" t="s">
        <v>1481</v>
      </c>
      <c r="E104" s="275">
        <v>83.333333300000007</v>
      </c>
      <c r="F104" s="275">
        <v>750</v>
      </c>
      <c r="G104" s="275" t="s">
        <v>3369</v>
      </c>
      <c r="H104" s="275"/>
      <c r="I104" s="287" t="s">
        <v>3371</v>
      </c>
      <c r="J104" s="275">
        <v>2</v>
      </c>
      <c r="K104" s="275">
        <v>2</v>
      </c>
      <c r="L104" s="277">
        <v>45733</v>
      </c>
      <c r="M104" s="278">
        <v>45733</v>
      </c>
      <c r="N104" s="278">
        <v>45748</v>
      </c>
      <c r="O104" s="278">
        <v>45748</v>
      </c>
      <c r="P104" s="278">
        <v>45789</v>
      </c>
      <c r="Q104" s="279"/>
      <c r="R104" s="279"/>
      <c r="S104" s="278">
        <v>45804</v>
      </c>
      <c r="T104" s="278">
        <v>45808</v>
      </c>
      <c r="U104" s="280">
        <v>4</v>
      </c>
      <c r="V104" s="278">
        <v>45808</v>
      </c>
      <c r="W104" s="279"/>
      <c r="X104" s="278">
        <v>45883</v>
      </c>
      <c r="Y104" s="278"/>
      <c r="Z104" s="278">
        <v>45883</v>
      </c>
      <c r="AA104" s="278">
        <v>45946</v>
      </c>
      <c r="AB104" s="278"/>
      <c r="AC104" s="292" t="s">
        <v>3384</v>
      </c>
      <c r="AD104" s="292" t="s">
        <v>3448</v>
      </c>
      <c r="AE104" s="292"/>
    </row>
    <row r="105" spans="2:31" ht="18.75" customHeight="1">
      <c r="B105" s="313" t="s">
        <v>2620</v>
      </c>
      <c r="C105" s="219" t="s">
        <v>2677</v>
      </c>
      <c r="D105" s="289" t="s">
        <v>1483</v>
      </c>
      <c r="E105" s="289">
        <v>88.888888899999998</v>
      </c>
      <c r="F105" s="289">
        <v>800</v>
      </c>
      <c r="G105" s="290" t="s">
        <v>3369</v>
      </c>
      <c r="H105" s="291"/>
      <c r="I105" s="286" t="s">
        <v>3371</v>
      </c>
      <c r="J105" s="291">
        <v>2</v>
      </c>
      <c r="K105" s="291">
        <v>2</v>
      </c>
      <c r="L105" s="302">
        <v>45733</v>
      </c>
      <c r="M105" s="292">
        <v>45733</v>
      </c>
      <c r="N105" s="292">
        <v>45748</v>
      </c>
      <c r="O105" s="292">
        <v>45748</v>
      </c>
      <c r="P105" s="293">
        <v>45789</v>
      </c>
      <c r="Q105" s="294"/>
      <c r="R105" s="294"/>
      <c r="S105" s="292">
        <v>45804</v>
      </c>
      <c r="T105" s="296">
        <v>45808</v>
      </c>
      <c r="U105" s="300">
        <v>4</v>
      </c>
      <c r="V105" s="292">
        <v>45808</v>
      </c>
      <c r="W105" s="295"/>
      <c r="X105" s="292">
        <v>45883</v>
      </c>
      <c r="Y105" s="296"/>
      <c r="Z105" s="292">
        <v>45883</v>
      </c>
      <c r="AA105" s="292">
        <v>45946</v>
      </c>
      <c r="AB105" s="296"/>
      <c r="AC105" s="292" t="s">
        <v>3384</v>
      </c>
      <c r="AD105" s="292" t="s">
        <v>3449</v>
      </c>
      <c r="AE105" s="292"/>
    </row>
    <row r="106" spans="2:31" ht="18.75" customHeight="1">
      <c r="B106" s="314" t="s">
        <v>402</v>
      </c>
      <c r="C106" s="275" t="s">
        <v>2650</v>
      </c>
      <c r="D106" s="275" t="s">
        <v>1485</v>
      </c>
      <c r="E106" s="275">
        <v>80</v>
      </c>
      <c r="F106" s="275">
        <v>800</v>
      </c>
      <c r="G106" s="275" t="s">
        <v>3336</v>
      </c>
      <c r="H106" s="275"/>
      <c r="I106" s="287" t="s">
        <v>3337</v>
      </c>
      <c r="J106" s="275">
        <v>1</v>
      </c>
      <c r="K106" s="275">
        <v>1</v>
      </c>
      <c r="L106" s="277">
        <v>45738</v>
      </c>
      <c r="M106" s="278">
        <v>45738</v>
      </c>
      <c r="N106" s="278">
        <v>45748</v>
      </c>
      <c r="O106" s="278">
        <v>45748</v>
      </c>
      <c r="P106" s="278">
        <v>45778</v>
      </c>
      <c r="Q106" s="279"/>
      <c r="R106" s="279"/>
      <c r="S106" s="278">
        <v>45788</v>
      </c>
      <c r="T106" s="278">
        <v>45808</v>
      </c>
      <c r="U106" s="280">
        <v>20</v>
      </c>
      <c r="V106" s="278">
        <v>45808</v>
      </c>
      <c r="W106" s="279"/>
      <c r="X106" s="278">
        <v>45868</v>
      </c>
      <c r="Y106" s="278"/>
      <c r="Z106" s="278">
        <v>45868</v>
      </c>
      <c r="AA106" s="278">
        <v>45931</v>
      </c>
      <c r="AB106" s="278"/>
      <c r="AC106" s="292" t="s">
        <v>3419</v>
      </c>
      <c r="AD106" s="292" t="s">
        <v>3450</v>
      </c>
      <c r="AE106" s="292"/>
    </row>
    <row r="107" spans="2:31" ht="18.75" customHeight="1">
      <c r="B107" s="303" t="s">
        <v>2729</v>
      </c>
      <c r="C107" s="288" t="s">
        <v>3188</v>
      </c>
      <c r="D107" s="275" t="s">
        <v>1487</v>
      </c>
      <c r="E107" s="289">
        <v>133.33333300000001</v>
      </c>
      <c r="F107" s="289">
        <v>266.66666700000002</v>
      </c>
      <c r="G107" s="275" t="s">
        <v>3338</v>
      </c>
      <c r="H107" s="275"/>
      <c r="I107" s="287" t="s">
        <v>3339</v>
      </c>
      <c r="J107" s="275">
        <v>1</v>
      </c>
      <c r="K107" s="275">
        <v>1</v>
      </c>
      <c r="L107" s="277">
        <v>45779</v>
      </c>
      <c r="M107" s="278">
        <v>45779</v>
      </c>
      <c r="N107" s="278">
        <v>45796</v>
      </c>
      <c r="O107" s="278">
        <v>45796</v>
      </c>
      <c r="P107" s="278">
        <v>45809</v>
      </c>
      <c r="Q107" s="279"/>
      <c r="R107" s="279"/>
      <c r="S107" s="278">
        <v>45826</v>
      </c>
      <c r="T107" s="278"/>
      <c r="U107" s="280">
        <v>-45826</v>
      </c>
      <c r="V107" s="278">
        <v>45826</v>
      </c>
      <c r="W107" s="279">
        <v>-21</v>
      </c>
      <c r="X107" s="278">
        <v>45870</v>
      </c>
      <c r="Y107" s="278"/>
      <c r="Z107" s="278">
        <v>45870</v>
      </c>
      <c r="AA107" s="278">
        <v>45884</v>
      </c>
      <c r="AB107" s="278"/>
      <c r="AC107" s="292" t="s">
        <v>3419</v>
      </c>
      <c r="AD107" s="292" t="s">
        <v>3451</v>
      </c>
      <c r="AE107" s="292"/>
    </row>
    <row r="108" spans="2:31" ht="18.75" customHeight="1">
      <c r="B108" s="303" t="s">
        <v>2300</v>
      </c>
      <c r="C108" s="219" t="s">
        <v>3191</v>
      </c>
      <c r="D108" s="219" t="s">
        <v>1488</v>
      </c>
      <c r="E108" s="281">
        <v>30</v>
      </c>
      <c r="F108" s="281">
        <v>90</v>
      </c>
      <c r="G108" s="219" t="s">
        <v>3288</v>
      </c>
      <c r="H108" s="219"/>
      <c r="I108" s="281" t="s">
        <v>42</v>
      </c>
      <c r="J108" s="219">
        <v>1</v>
      </c>
      <c r="K108" s="219">
        <v>1</v>
      </c>
      <c r="L108" s="282">
        <v>45754</v>
      </c>
      <c r="M108" s="283"/>
      <c r="N108" s="283"/>
      <c r="O108" s="283"/>
      <c r="P108" s="283">
        <v>45754</v>
      </c>
      <c r="Q108" s="284"/>
      <c r="R108" s="284"/>
      <c r="S108" s="283">
        <v>45754</v>
      </c>
      <c r="T108" s="283">
        <v>45781</v>
      </c>
      <c r="U108" s="285">
        <v>27</v>
      </c>
      <c r="V108" s="283">
        <v>45781</v>
      </c>
      <c r="W108" s="284"/>
      <c r="X108" s="283">
        <v>45812</v>
      </c>
      <c r="Y108" s="283"/>
      <c r="Z108" s="283">
        <v>45812</v>
      </c>
      <c r="AA108" s="283">
        <v>45830</v>
      </c>
      <c r="AB108" s="283"/>
      <c r="AC108" s="292" t="s">
        <v>3378</v>
      </c>
      <c r="AD108" s="292" t="s">
        <v>3452</v>
      </c>
      <c r="AE108" s="292"/>
    </row>
    <row r="109" spans="2:31" ht="18.75" customHeight="1">
      <c r="B109" s="313" t="s">
        <v>2610</v>
      </c>
      <c r="C109" s="275" t="s">
        <v>2659</v>
      </c>
      <c r="D109" s="275" t="s">
        <v>1488</v>
      </c>
      <c r="E109" s="275">
        <v>14.0625</v>
      </c>
      <c r="F109" s="275">
        <v>140.625</v>
      </c>
      <c r="G109" s="275" t="s">
        <v>3351</v>
      </c>
      <c r="H109" s="275"/>
      <c r="I109" s="287" t="s">
        <v>3352</v>
      </c>
      <c r="J109" s="275">
        <v>0.5</v>
      </c>
      <c r="K109" s="275">
        <v>0.5</v>
      </c>
      <c r="L109" s="277">
        <v>45723</v>
      </c>
      <c r="M109" s="278">
        <v>45723</v>
      </c>
      <c r="N109" s="278">
        <v>45737</v>
      </c>
      <c r="O109" s="278">
        <v>45737</v>
      </c>
      <c r="P109" s="278">
        <v>45813</v>
      </c>
      <c r="Q109" s="279"/>
      <c r="R109" s="279"/>
      <c r="S109" s="278">
        <v>45827</v>
      </c>
      <c r="T109" s="278">
        <v>45826</v>
      </c>
      <c r="U109" s="280">
        <v>-1</v>
      </c>
      <c r="V109" s="278">
        <v>45826</v>
      </c>
      <c r="W109" s="279"/>
      <c r="X109" s="278">
        <v>45887</v>
      </c>
      <c r="Y109" s="278"/>
      <c r="Z109" s="278">
        <v>45887</v>
      </c>
      <c r="AA109" s="278">
        <v>45957</v>
      </c>
      <c r="AB109" s="278"/>
      <c r="AC109" s="292" t="s">
        <v>3378</v>
      </c>
      <c r="AD109" s="292" t="s">
        <v>3453</v>
      </c>
      <c r="AE109" s="292"/>
    </row>
    <row r="110" spans="2:31" ht="18.75" customHeight="1">
      <c r="B110" s="313" t="s">
        <v>2612</v>
      </c>
      <c r="C110" s="275" t="s">
        <v>2661</v>
      </c>
      <c r="D110" s="275" t="s">
        <v>1488</v>
      </c>
      <c r="E110" s="275">
        <v>28.125</v>
      </c>
      <c r="F110" s="275">
        <v>281.25</v>
      </c>
      <c r="G110" s="275" t="s">
        <v>3351</v>
      </c>
      <c r="H110" s="275"/>
      <c r="I110" s="287" t="s">
        <v>3352</v>
      </c>
      <c r="J110" s="275">
        <v>0.5</v>
      </c>
      <c r="K110" s="275">
        <v>0.5</v>
      </c>
      <c r="L110" s="277">
        <v>45723</v>
      </c>
      <c r="M110" s="278">
        <v>45723</v>
      </c>
      <c r="N110" s="278">
        <v>45737</v>
      </c>
      <c r="O110" s="278">
        <v>45737</v>
      </c>
      <c r="P110" s="278">
        <v>45813</v>
      </c>
      <c r="Q110" s="279"/>
      <c r="R110" s="279"/>
      <c r="S110" s="278">
        <v>45827</v>
      </c>
      <c r="T110" s="278">
        <v>45826</v>
      </c>
      <c r="U110" s="280">
        <v>-1</v>
      </c>
      <c r="V110" s="278">
        <v>45826</v>
      </c>
      <c r="W110" s="279"/>
      <c r="X110" s="278">
        <v>45887</v>
      </c>
      <c r="Y110" s="278"/>
      <c r="Z110" s="278">
        <v>45887</v>
      </c>
      <c r="AA110" s="278">
        <v>45957</v>
      </c>
      <c r="AB110" s="278"/>
      <c r="AC110" s="292" t="s">
        <v>3378</v>
      </c>
      <c r="AD110" s="292" t="s">
        <v>3453</v>
      </c>
      <c r="AE110" s="292"/>
    </row>
    <row r="111" spans="2:31" ht="18.75" customHeight="1">
      <c r="B111" s="306" t="s">
        <v>2609</v>
      </c>
      <c r="C111" s="219" t="s">
        <v>2658</v>
      </c>
      <c r="D111" s="219" t="s">
        <v>1489</v>
      </c>
      <c r="E111" s="219">
        <v>25</v>
      </c>
      <c r="F111" s="219">
        <v>100</v>
      </c>
      <c r="G111" s="219" t="s">
        <v>3349</v>
      </c>
      <c r="H111" s="219"/>
      <c r="I111" s="286" t="s">
        <v>3350</v>
      </c>
      <c r="J111" s="219">
        <v>2</v>
      </c>
      <c r="K111" s="219">
        <v>2</v>
      </c>
      <c r="L111" s="282">
        <v>45718</v>
      </c>
      <c r="M111" s="283">
        <v>45718</v>
      </c>
      <c r="N111" s="283">
        <v>45737</v>
      </c>
      <c r="O111" s="283">
        <v>45737</v>
      </c>
      <c r="P111" s="283">
        <v>45739</v>
      </c>
      <c r="Q111" s="284"/>
      <c r="R111" s="284"/>
      <c r="S111" s="283">
        <v>45758</v>
      </c>
      <c r="T111" s="283">
        <v>45749</v>
      </c>
      <c r="U111" s="285">
        <v>-9</v>
      </c>
      <c r="V111" s="283">
        <v>45749</v>
      </c>
      <c r="W111" s="284"/>
      <c r="X111" s="283">
        <v>45817</v>
      </c>
      <c r="Y111" s="283"/>
      <c r="Z111" s="283">
        <v>45817</v>
      </c>
      <c r="AA111" s="283">
        <v>45850</v>
      </c>
      <c r="AB111" s="283"/>
      <c r="AC111" s="292" t="s">
        <v>3391</v>
      </c>
      <c r="AD111" s="292" t="s">
        <v>3454</v>
      </c>
      <c r="AE111" s="292"/>
    </row>
    <row r="112" spans="2:31" ht="18.75" customHeight="1">
      <c r="B112" s="304" t="s">
        <v>2807</v>
      </c>
      <c r="C112" s="288" t="s">
        <v>2808</v>
      </c>
      <c r="D112" s="219" t="s">
        <v>1489</v>
      </c>
      <c r="E112" s="289">
        <v>14.2857143</v>
      </c>
      <c r="F112" s="289">
        <v>57.142857100000001</v>
      </c>
      <c r="G112" s="219" t="s">
        <v>3305</v>
      </c>
      <c r="H112" s="219"/>
      <c r="I112" s="286" t="s">
        <v>3306</v>
      </c>
      <c r="J112" s="219">
        <v>1</v>
      </c>
      <c r="K112" s="219">
        <v>1</v>
      </c>
      <c r="L112" s="282">
        <v>45835</v>
      </c>
      <c r="M112" s="283">
        <v>45835</v>
      </c>
      <c r="N112" s="283">
        <v>45839</v>
      </c>
      <c r="O112" s="283">
        <v>45839</v>
      </c>
      <c r="P112" s="283">
        <v>45870</v>
      </c>
      <c r="Q112" s="284"/>
      <c r="R112" s="284"/>
      <c r="S112" s="283">
        <v>45874</v>
      </c>
      <c r="T112" s="283"/>
      <c r="U112" s="285">
        <v>-45874</v>
      </c>
      <c r="V112" s="283">
        <v>45874</v>
      </c>
      <c r="W112" s="283"/>
      <c r="X112" s="283">
        <v>45916</v>
      </c>
      <c r="Y112" s="283"/>
      <c r="Z112" s="283">
        <v>45916</v>
      </c>
      <c r="AA112" s="283">
        <v>45937</v>
      </c>
      <c r="AB112" s="283"/>
      <c r="AC112" s="292" t="s">
        <v>3391</v>
      </c>
      <c r="AD112" s="292" t="s">
        <v>3456</v>
      </c>
      <c r="AE112" s="292" t="s">
        <v>3455</v>
      </c>
    </row>
    <row r="113" spans="2:31" ht="18.75" customHeight="1">
      <c r="B113" s="304" t="s">
        <v>2777</v>
      </c>
      <c r="C113" s="288" t="s">
        <v>2778</v>
      </c>
      <c r="D113" s="219" t="s">
        <v>1490</v>
      </c>
      <c r="E113" s="289">
        <v>50</v>
      </c>
      <c r="F113" s="289">
        <v>200</v>
      </c>
      <c r="G113" s="219" t="s">
        <v>3299</v>
      </c>
      <c r="H113" s="219"/>
      <c r="I113" s="286" t="s">
        <v>3300</v>
      </c>
      <c r="J113" s="219">
        <v>1</v>
      </c>
      <c r="K113" s="219">
        <v>1</v>
      </c>
      <c r="L113" s="282">
        <v>45818</v>
      </c>
      <c r="M113" s="283">
        <v>45818</v>
      </c>
      <c r="N113" s="283">
        <v>45829</v>
      </c>
      <c r="O113" s="283">
        <v>45829</v>
      </c>
      <c r="P113" s="283">
        <v>45846</v>
      </c>
      <c r="Q113" s="284"/>
      <c r="R113" s="284"/>
      <c r="S113" s="283">
        <v>45857</v>
      </c>
      <c r="T113" s="283"/>
      <c r="U113" s="285">
        <v>-45857</v>
      </c>
      <c r="V113" s="283">
        <v>45857</v>
      </c>
      <c r="W113" s="283"/>
      <c r="X113" s="283">
        <v>45902</v>
      </c>
      <c r="Y113" s="283"/>
      <c r="Z113" s="283">
        <v>45902</v>
      </c>
      <c r="AA113" s="283">
        <v>45923</v>
      </c>
      <c r="AB113" s="283"/>
      <c r="AC113" s="292" t="s">
        <v>3391</v>
      </c>
      <c r="AD113" s="292" t="s">
        <v>3457</v>
      </c>
      <c r="AE113" s="292" t="s">
        <v>3458</v>
      </c>
    </row>
    <row r="114" spans="2:31" ht="18.75" customHeight="1">
      <c r="B114" s="306" t="s">
        <v>3102</v>
      </c>
      <c r="C114" s="275" t="s">
        <v>3190</v>
      </c>
      <c r="D114" s="275" t="s">
        <v>1491</v>
      </c>
      <c r="E114" s="275">
        <v>46.6666667</v>
      </c>
      <c r="F114" s="275">
        <v>260</v>
      </c>
      <c r="G114" s="275" t="s">
        <v>3293</v>
      </c>
      <c r="H114" s="275"/>
      <c r="I114" s="287" t="s">
        <v>3294</v>
      </c>
      <c r="J114" s="275">
        <v>1</v>
      </c>
      <c r="K114" s="275">
        <v>1</v>
      </c>
      <c r="L114" s="277">
        <v>45783</v>
      </c>
      <c r="M114" s="278">
        <v>45783</v>
      </c>
      <c r="N114" s="278">
        <v>45796</v>
      </c>
      <c r="O114" s="278">
        <v>45796</v>
      </c>
      <c r="P114" s="278">
        <v>45797</v>
      </c>
      <c r="Q114" s="279"/>
      <c r="R114" s="279"/>
      <c r="S114" s="278">
        <v>45810</v>
      </c>
      <c r="T114" s="278">
        <v>45813</v>
      </c>
      <c r="U114" s="280">
        <v>3</v>
      </c>
      <c r="V114" s="278">
        <v>45813</v>
      </c>
      <c r="W114" s="279"/>
      <c r="X114" s="278">
        <v>45886</v>
      </c>
      <c r="Y114" s="278"/>
      <c r="Z114" s="278">
        <v>45886</v>
      </c>
      <c r="AA114" s="278">
        <v>45929</v>
      </c>
      <c r="AB114" s="278"/>
      <c r="AC114" s="292" t="s">
        <v>3419</v>
      </c>
      <c r="AD114" s="292" t="s">
        <v>3459</v>
      </c>
      <c r="AE114" s="292"/>
    </row>
    <row r="115" spans="2:31" ht="18.75" customHeight="1">
      <c r="B115" s="307" t="s">
        <v>1733</v>
      </c>
      <c r="C115" s="275" t="s">
        <v>2672</v>
      </c>
      <c r="D115" s="275" t="s">
        <v>1492</v>
      </c>
      <c r="E115" s="275">
        <v>29.1666667</v>
      </c>
      <c r="F115" s="275">
        <v>350</v>
      </c>
      <c r="G115" s="275" t="s">
        <v>3367</v>
      </c>
      <c r="H115" s="275"/>
      <c r="I115" s="287" t="s">
        <v>3368</v>
      </c>
      <c r="J115" s="275">
        <v>1</v>
      </c>
      <c r="K115" s="275">
        <v>1</v>
      </c>
      <c r="L115" s="277">
        <v>45768</v>
      </c>
      <c r="M115" s="278">
        <v>45768</v>
      </c>
      <c r="N115" s="278">
        <v>45767</v>
      </c>
      <c r="O115" s="278">
        <v>45767</v>
      </c>
      <c r="P115" s="278">
        <v>45792</v>
      </c>
      <c r="Q115" s="279"/>
      <c r="R115" s="279"/>
      <c r="S115" s="278">
        <v>45791</v>
      </c>
      <c r="T115" s="278">
        <v>45813</v>
      </c>
      <c r="U115" s="280">
        <v>22</v>
      </c>
      <c r="V115" s="278">
        <v>45813</v>
      </c>
      <c r="W115" s="279"/>
      <c r="X115" s="278">
        <v>45830</v>
      </c>
      <c r="Y115" s="278"/>
      <c r="Z115" s="278">
        <v>45830</v>
      </c>
      <c r="AA115" s="278">
        <v>45917</v>
      </c>
      <c r="AB115" s="278"/>
      <c r="AC115" s="292" t="s">
        <v>3384</v>
      </c>
      <c r="AD115" s="292" t="s">
        <v>3460</v>
      </c>
      <c r="AE115" s="292"/>
    </row>
    <row r="116" spans="2:31" ht="18.75" customHeight="1">
      <c r="B116" s="312" t="s">
        <v>1533</v>
      </c>
      <c r="C116" s="219" t="s">
        <v>1799</v>
      </c>
      <c r="D116" s="289" t="s">
        <v>1493</v>
      </c>
      <c r="E116" s="289">
        <v>85.714285700000005</v>
      </c>
      <c r="F116" s="289">
        <v>85.714285700000005</v>
      </c>
      <c r="G116" s="290" t="s">
        <v>2693</v>
      </c>
      <c r="H116" s="291" t="s">
        <v>2694</v>
      </c>
      <c r="I116" s="286" t="s">
        <v>3327</v>
      </c>
      <c r="J116" s="291">
        <v>2</v>
      </c>
      <c r="K116" s="291">
        <v>2</v>
      </c>
      <c r="L116" s="282">
        <v>45647</v>
      </c>
      <c r="M116" s="292"/>
      <c r="N116" s="292"/>
      <c r="O116" s="292"/>
      <c r="P116" s="293">
        <v>45523</v>
      </c>
      <c r="Q116" s="294"/>
      <c r="R116" s="294"/>
      <c r="S116" s="292">
        <v>45523</v>
      </c>
      <c r="T116" s="283">
        <v>45647</v>
      </c>
      <c r="U116" s="285">
        <v>124</v>
      </c>
      <c r="V116" s="283">
        <v>45647</v>
      </c>
      <c r="W116" s="295"/>
      <c r="X116" s="283">
        <v>45809</v>
      </c>
      <c r="Y116" s="296"/>
      <c r="Z116" s="283">
        <v>45809</v>
      </c>
      <c r="AA116" s="283">
        <v>45823</v>
      </c>
      <c r="AB116" s="296"/>
      <c r="AC116" s="292" t="s">
        <v>3419</v>
      </c>
      <c r="AD116" s="292" t="s">
        <v>3461</v>
      </c>
      <c r="AE116" s="292"/>
    </row>
    <row r="117" spans="2:31" ht="18.75" customHeight="1">
      <c r="B117" s="304" t="s">
        <v>2598</v>
      </c>
      <c r="C117" s="275" t="s">
        <v>2629</v>
      </c>
      <c r="D117" s="275" t="s">
        <v>1493</v>
      </c>
      <c r="E117" s="275">
        <v>40</v>
      </c>
      <c r="F117" s="275">
        <v>80</v>
      </c>
      <c r="G117" s="275" t="s">
        <v>3301</v>
      </c>
      <c r="H117" s="275"/>
      <c r="I117" s="287" t="s">
        <v>3302</v>
      </c>
      <c r="J117" s="275">
        <v>1</v>
      </c>
      <c r="K117" s="275">
        <v>1</v>
      </c>
      <c r="L117" s="277">
        <v>45817</v>
      </c>
      <c r="M117" s="278">
        <v>45817</v>
      </c>
      <c r="N117" s="278">
        <v>45829</v>
      </c>
      <c r="O117" s="278">
        <v>45829</v>
      </c>
      <c r="P117" s="278">
        <v>45845</v>
      </c>
      <c r="Q117" s="279"/>
      <c r="R117" s="279"/>
      <c r="S117" s="278">
        <v>45857</v>
      </c>
      <c r="T117" s="278"/>
      <c r="U117" s="280">
        <v>-45857</v>
      </c>
      <c r="V117" s="278">
        <v>45857</v>
      </c>
      <c r="W117" s="279"/>
      <c r="X117" s="278">
        <v>45914</v>
      </c>
      <c r="Y117" s="278"/>
      <c r="Z117" s="278">
        <v>45914</v>
      </c>
      <c r="AA117" s="278">
        <v>45928</v>
      </c>
      <c r="AB117" s="278"/>
      <c r="AC117" s="292" t="s">
        <v>3384</v>
      </c>
      <c r="AD117" s="292" t="s">
        <v>3463</v>
      </c>
      <c r="AE117" s="292"/>
    </row>
    <row r="118" spans="2:31" ht="18.75" customHeight="1">
      <c r="B118" s="304" t="s">
        <v>2799</v>
      </c>
      <c r="C118" s="288" t="s">
        <v>2800</v>
      </c>
      <c r="D118" s="219" t="s">
        <v>1494</v>
      </c>
      <c r="E118" s="289">
        <v>75</v>
      </c>
      <c r="F118" s="289">
        <v>150</v>
      </c>
      <c r="G118" s="219" t="s">
        <v>3301</v>
      </c>
      <c r="H118" s="219"/>
      <c r="I118" s="286" t="s">
        <v>3302</v>
      </c>
      <c r="J118" s="219">
        <v>1</v>
      </c>
      <c r="K118" s="219">
        <v>1</v>
      </c>
      <c r="L118" s="282">
        <v>45817</v>
      </c>
      <c r="M118" s="283">
        <v>45817</v>
      </c>
      <c r="N118" s="283">
        <v>45841</v>
      </c>
      <c r="O118" s="283">
        <v>45841</v>
      </c>
      <c r="P118" s="283">
        <v>45845</v>
      </c>
      <c r="Q118" s="284"/>
      <c r="R118" s="284"/>
      <c r="S118" s="283">
        <v>45869</v>
      </c>
      <c r="T118" s="283"/>
      <c r="U118" s="285">
        <v>-45869</v>
      </c>
      <c r="V118" s="283">
        <v>45869</v>
      </c>
      <c r="W118" s="283"/>
      <c r="X118" s="283">
        <v>45919</v>
      </c>
      <c r="Y118" s="283"/>
      <c r="Z118" s="283">
        <v>45919</v>
      </c>
      <c r="AA118" s="283">
        <v>45933</v>
      </c>
      <c r="AB118" s="283"/>
      <c r="AC118" s="292" t="s">
        <v>3384</v>
      </c>
      <c r="AD118" s="292" t="s">
        <v>3462</v>
      </c>
      <c r="AE118" s="292"/>
    </row>
    <row r="119" spans="2:31" ht="18.75" customHeight="1">
      <c r="B119" s="312" t="s">
        <v>1532</v>
      </c>
      <c r="C119" s="275" t="s">
        <v>1800</v>
      </c>
      <c r="D119" s="289" t="s">
        <v>1495</v>
      </c>
      <c r="E119" s="289">
        <v>42.857142899999999</v>
      </c>
      <c r="F119" s="289">
        <v>42.857142899999999</v>
      </c>
      <c r="G119" s="297" t="s">
        <v>2693</v>
      </c>
      <c r="H119" s="291" t="s">
        <v>2695</v>
      </c>
      <c r="I119" s="287" t="s">
        <v>3327</v>
      </c>
      <c r="J119" s="291">
        <v>1</v>
      </c>
      <c r="K119" s="291">
        <v>1</v>
      </c>
      <c r="L119" s="277">
        <v>45647</v>
      </c>
      <c r="M119" s="298"/>
      <c r="N119" s="298"/>
      <c r="O119" s="298"/>
      <c r="P119" s="293">
        <v>45523</v>
      </c>
      <c r="Q119" s="294"/>
      <c r="R119" s="294"/>
      <c r="S119" s="298">
        <v>45523</v>
      </c>
      <c r="T119" s="278">
        <v>45647</v>
      </c>
      <c r="U119" s="280">
        <v>124</v>
      </c>
      <c r="V119" s="278">
        <v>45647</v>
      </c>
      <c r="W119" s="295"/>
      <c r="X119" s="278">
        <v>45823</v>
      </c>
      <c r="Y119" s="296"/>
      <c r="Z119" s="278">
        <v>45823</v>
      </c>
      <c r="AA119" s="278">
        <v>45833</v>
      </c>
      <c r="AB119" s="296"/>
      <c r="AC119" s="292" t="s">
        <v>3419</v>
      </c>
      <c r="AD119" s="292" t="s">
        <v>3461</v>
      </c>
      <c r="AE119" s="292"/>
    </row>
    <row r="120" spans="2:31" ht="18.75" customHeight="1">
      <c r="B120" s="307" t="s">
        <v>1750</v>
      </c>
      <c r="C120" s="275" t="s">
        <v>2626</v>
      </c>
      <c r="D120" s="275" t="s">
        <v>1495</v>
      </c>
      <c r="E120" s="275">
        <v>33.3333333</v>
      </c>
      <c r="F120" s="275">
        <v>200</v>
      </c>
      <c r="G120" s="275" t="s">
        <v>3295</v>
      </c>
      <c r="H120" s="275"/>
      <c r="I120" s="287" t="s">
        <v>3296</v>
      </c>
      <c r="J120" s="275">
        <v>2</v>
      </c>
      <c r="K120" s="275">
        <v>2</v>
      </c>
      <c r="L120" s="277">
        <v>45808</v>
      </c>
      <c r="M120" s="278">
        <v>45808</v>
      </c>
      <c r="N120" s="278">
        <v>45829</v>
      </c>
      <c r="O120" s="278">
        <v>45829</v>
      </c>
      <c r="P120" s="278">
        <v>45843</v>
      </c>
      <c r="Q120" s="279"/>
      <c r="R120" s="279"/>
      <c r="S120" s="278">
        <v>45864</v>
      </c>
      <c r="T120" s="278"/>
      <c r="U120" s="280">
        <v>-45864</v>
      </c>
      <c r="V120" s="278">
        <v>45864</v>
      </c>
      <c r="W120" s="279"/>
      <c r="X120" s="278">
        <v>45909</v>
      </c>
      <c r="Y120" s="278"/>
      <c r="Z120" s="278">
        <v>45909</v>
      </c>
      <c r="AA120" s="278">
        <v>45944</v>
      </c>
      <c r="AB120" s="278"/>
      <c r="AC120" s="292" t="s">
        <v>3380</v>
      </c>
      <c r="AD120" s="292" t="s">
        <v>3464</v>
      </c>
      <c r="AE120" s="292"/>
    </row>
    <row r="121" spans="2:31" ht="18.75" customHeight="1">
      <c r="B121" s="312" t="s">
        <v>2724</v>
      </c>
      <c r="C121" s="288" t="s">
        <v>2725</v>
      </c>
      <c r="D121" s="275" t="s">
        <v>1496</v>
      </c>
      <c r="E121" s="289" t="e">
        <v>#DIV/0!</v>
      </c>
      <c r="F121" s="289">
        <v>128.57142899999999</v>
      </c>
      <c r="G121" s="275" t="s">
        <v>2693</v>
      </c>
      <c r="H121" s="275"/>
      <c r="I121" s="287" t="s">
        <v>3327</v>
      </c>
      <c r="J121" s="275">
        <v>1</v>
      </c>
      <c r="K121" s="275">
        <v>1</v>
      </c>
      <c r="L121" s="277">
        <v>41994</v>
      </c>
      <c r="M121" s="278"/>
      <c r="N121" s="278"/>
      <c r="O121" s="278"/>
      <c r="P121" s="278">
        <v>45888</v>
      </c>
      <c r="Q121" s="279"/>
      <c r="R121" s="279"/>
      <c r="S121" s="278">
        <v>45888</v>
      </c>
      <c r="T121" s="278">
        <v>45647</v>
      </c>
      <c r="U121" s="280">
        <v>-241</v>
      </c>
      <c r="V121" s="278">
        <v>45647</v>
      </c>
      <c r="W121" s="279"/>
      <c r="X121" s="278">
        <v>45778</v>
      </c>
      <c r="Y121" s="278"/>
      <c r="Z121" s="278">
        <v>45778</v>
      </c>
      <c r="AA121" s="278">
        <v>45807</v>
      </c>
      <c r="AB121" s="278"/>
      <c r="AC121" s="292" t="s">
        <v>3419</v>
      </c>
      <c r="AD121" s="292" t="s">
        <v>3461</v>
      </c>
      <c r="AE121" s="292"/>
    </row>
    <row r="122" spans="2:31" ht="18.75" customHeight="1">
      <c r="B122" s="305" t="s">
        <v>3125</v>
      </c>
      <c r="C122" s="275" t="s">
        <v>2726</v>
      </c>
      <c r="D122" s="275" t="s">
        <v>1497</v>
      </c>
      <c r="E122" s="289" t="e">
        <v>#N/A</v>
      </c>
      <c r="F122" s="289" t="e">
        <v>#N/A</v>
      </c>
      <c r="G122" s="275" t="s">
        <v>3291</v>
      </c>
      <c r="H122" s="275"/>
      <c r="I122" s="287" t="s">
        <v>3292</v>
      </c>
      <c r="J122" s="275">
        <v>0.4</v>
      </c>
      <c r="K122" s="275">
        <v>1</v>
      </c>
      <c r="L122" s="277">
        <v>45758</v>
      </c>
      <c r="M122" s="278">
        <v>45758</v>
      </c>
      <c r="N122" s="278">
        <v>45763</v>
      </c>
      <c r="O122" s="278">
        <v>45763</v>
      </c>
      <c r="P122" s="278">
        <v>45798</v>
      </c>
      <c r="Q122" s="279"/>
      <c r="R122" s="279"/>
      <c r="S122" s="278">
        <v>45803</v>
      </c>
      <c r="T122" s="278">
        <v>45812</v>
      </c>
      <c r="U122" s="280">
        <v>9</v>
      </c>
      <c r="V122" s="278">
        <v>45812</v>
      </c>
      <c r="W122" s="279"/>
      <c r="X122" s="278">
        <v>45863</v>
      </c>
      <c r="Y122" s="278"/>
      <c r="Z122" s="278">
        <v>45863</v>
      </c>
      <c r="AA122" s="278">
        <v>45975</v>
      </c>
      <c r="AB122" s="278"/>
      <c r="AC122" s="292" t="s">
        <v>3419</v>
      </c>
      <c r="AD122" s="292" t="s">
        <v>3465</v>
      </c>
      <c r="AE122" s="292"/>
    </row>
    <row r="123" spans="2:31" ht="18.75" customHeight="1">
      <c r="B123" s="316" t="s">
        <v>1541</v>
      </c>
      <c r="C123" s="219" t="s">
        <v>1802</v>
      </c>
      <c r="D123" s="289" t="s">
        <v>1498</v>
      </c>
      <c r="E123" s="289" t="e">
        <v>#DIV/0!</v>
      </c>
      <c r="F123" s="289" t="e">
        <v>#DIV/0!</v>
      </c>
      <c r="G123" s="290" t="s">
        <v>2697</v>
      </c>
      <c r="H123" s="291" t="s">
        <v>2698</v>
      </c>
      <c r="I123" s="286" t="s">
        <v>3362</v>
      </c>
      <c r="J123" s="291">
        <v>0.4</v>
      </c>
      <c r="K123" s="291">
        <v>0.5</v>
      </c>
      <c r="L123" s="302">
        <v>45374</v>
      </c>
      <c r="M123" s="292">
        <v>45383</v>
      </c>
      <c r="N123" s="292">
        <v>45374</v>
      </c>
      <c r="O123" s="292">
        <v>45374</v>
      </c>
      <c r="P123" s="293">
        <v>45411</v>
      </c>
      <c r="Q123" s="294"/>
      <c r="R123" s="294"/>
      <c r="S123" s="292">
        <v>45402</v>
      </c>
      <c r="T123" s="296">
        <v>45408</v>
      </c>
      <c r="U123" s="300">
        <v>6</v>
      </c>
      <c r="V123" s="292">
        <v>45408</v>
      </c>
      <c r="W123" s="295"/>
      <c r="X123" s="292">
        <v>45444</v>
      </c>
      <c r="Y123" s="296"/>
      <c r="Z123" s="292">
        <v>45444</v>
      </c>
      <c r="AA123" s="292">
        <v>45668</v>
      </c>
      <c r="AB123" s="296">
        <v>45688</v>
      </c>
      <c r="AC123" s="292" t="s">
        <v>3419</v>
      </c>
      <c r="AD123" s="292" t="s">
        <v>3466</v>
      </c>
      <c r="AE123" s="292"/>
    </row>
    <row r="124" spans="2:31" ht="18.75" customHeight="1">
      <c r="B124" s="313" t="s">
        <v>2612</v>
      </c>
      <c r="C124" s="219" t="s">
        <v>2781</v>
      </c>
      <c r="D124" s="219" t="s">
        <v>1499</v>
      </c>
      <c r="E124" s="219">
        <v>22.5</v>
      </c>
      <c r="F124" s="219">
        <v>225</v>
      </c>
      <c r="G124" s="219" t="s">
        <v>3351</v>
      </c>
      <c r="H124" s="219"/>
      <c r="I124" s="286" t="s">
        <v>3352</v>
      </c>
      <c r="J124" s="219">
        <v>0.4</v>
      </c>
      <c r="K124" s="219">
        <v>1</v>
      </c>
      <c r="L124" s="282">
        <v>45723</v>
      </c>
      <c r="M124" s="283">
        <v>45723</v>
      </c>
      <c r="N124" s="283">
        <v>45748</v>
      </c>
      <c r="O124" s="283">
        <v>45748</v>
      </c>
      <c r="P124" s="283">
        <v>45813</v>
      </c>
      <c r="Q124" s="284"/>
      <c r="R124" s="284"/>
      <c r="S124" s="283">
        <v>45838</v>
      </c>
      <c r="T124" s="283"/>
      <c r="U124" s="285">
        <v>-45838</v>
      </c>
      <c r="V124" s="283">
        <v>45838</v>
      </c>
      <c r="W124" s="284"/>
      <c r="X124" s="283">
        <v>45898</v>
      </c>
      <c r="Y124" s="283"/>
      <c r="Z124" s="283">
        <v>45898</v>
      </c>
      <c r="AA124" s="283">
        <v>45968</v>
      </c>
      <c r="AB124" s="283"/>
      <c r="AC124" s="292" t="s">
        <v>3391</v>
      </c>
      <c r="AD124" s="292" t="s">
        <v>3467</v>
      </c>
      <c r="AE124" s="292"/>
    </row>
    <row r="125" spans="2:31" ht="18.75" customHeight="1">
      <c r="B125" s="312" t="s">
        <v>3189</v>
      </c>
      <c r="C125" s="288" t="s">
        <v>2763</v>
      </c>
      <c r="D125" s="289" t="s">
        <v>1501</v>
      </c>
      <c r="E125" s="289">
        <v>80</v>
      </c>
      <c r="F125" s="289">
        <v>160</v>
      </c>
      <c r="G125" s="290" t="s">
        <v>3360</v>
      </c>
      <c r="H125" s="291"/>
      <c r="I125" s="286" t="s">
        <v>3361</v>
      </c>
      <c r="J125" s="291">
        <v>0.8</v>
      </c>
      <c r="K125" s="291">
        <v>2</v>
      </c>
      <c r="L125" s="302">
        <v>45739</v>
      </c>
      <c r="M125" s="292">
        <v>45739</v>
      </c>
      <c r="N125" s="292">
        <v>45791</v>
      </c>
      <c r="O125" s="292">
        <v>45791</v>
      </c>
      <c r="P125" s="293">
        <v>45781</v>
      </c>
      <c r="Q125" s="294"/>
      <c r="R125" s="294"/>
      <c r="S125" s="292">
        <v>45833</v>
      </c>
      <c r="T125" s="296"/>
      <c r="U125" s="300">
        <v>-45833</v>
      </c>
      <c r="V125" s="292">
        <v>45833</v>
      </c>
      <c r="W125" s="296"/>
      <c r="X125" s="292">
        <v>45883</v>
      </c>
      <c r="Y125" s="296"/>
      <c r="Z125" s="292">
        <v>45883</v>
      </c>
      <c r="AA125" s="292">
        <v>45897</v>
      </c>
      <c r="AB125" s="296"/>
      <c r="AC125" s="292" t="s">
        <v>3384</v>
      </c>
      <c r="AD125" s="292" t="s">
        <v>3468</v>
      </c>
      <c r="AE125" s="292"/>
    </row>
    <row r="126" spans="2:31" ht="18.75" customHeight="1">
      <c r="B126" s="309" t="s">
        <v>1528</v>
      </c>
      <c r="C126" s="275" t="s">
        <v>1801</v>
      </c>
      <c r="D126" s="289" t="s">
        <v>1504</v>
      </c>
      <c r="E126" s="289" t="e">
        <v>#DIV/0!</v>
      </c>
      <c r="F126" s="289" t="e">
        <v>#DIV/0!</v>
      </c>
      <c r="G126" s="297" t="s">
        <v>2696</v>
      </c>
      <c r="H126" s="291" t="s">
        <v>1521</v>
      </c>
      <c r="I126" s="287" t="s">
        <v>3340</v>
      </c>
      <c r="J126" s="291">
        <v>0.4</v>
      </c>
      <c r="K126" s="291">
        <v>0.5</v>
      </c>
      <c r="L126" s="299">
        <v>45292</v>
      </c>
      <c r="M126" s="298"/>
      <c r="N126" s="298">
        <v>45292</v>
      </c>
      <c r="O126" s="298">
        <v>45292</v>
      </c>
      <c r="P126" s="293">
        <v>45318</v>
      </c>
      <c r="Q126" s="294"/>
      <c r="R126" s="294"/>
      <c r="S126" s="298">
        <v>45292</v>
      </c>
      <c r="T126" s="296">
        <v>45292</v>
      </c>
      <c r="U126" s="300">
        <v>0</v>
      </c>
      <c r="V126" s="298">
        <v>45292</v>
      </c>
      <c r="W126" s="295"/>
      <c r="X126" s="298">
        <v>45417</v>
      </c>
      <c r="Y126" s="296">
        <v>45392</v>
      </c>
      <c r="Z126" s="298">
        <v>45392</v>
      </c>
      <c r="AA126" s="298">
        <v>45677</v>
      </c>
      <c r="AB126" s="296"/>
      <c r="AC126" s="292" t="s">
        <v>3384</v>
      </c>
      <c r="AD126" s="292" t="s">
        <v>3469</v>
      </c>
      <c r="AE126" s="292"/>
    </row>
    <row r="127" spans="2:31" ht="18.75" customHeight="1">
      <c r="B127" s="311" t="s">
        <v>3273</v>
      </c>
      <c r="C127" s="288" t="s">
        <v>3274</v>
      </c>
      <c r="D127" s="275" t="s">
        <v>3256</v>
      </c>
      <c r="E127" s="289" t="e">
        <v>#DIV/0!</v>
      </c>
      <c r="F127" s="289" t="e">
        <v>#N/A</v>
      </c>
      <c r="G127" s="275" t="s">
        <v>3319</v>
      </c>
      <c r="H127" s="275"/>
      <c r="I127" s="287" t="s">
        <v>3320</v>
      </c>
      <c r="J127" s="275">
        <v>4</v>
      </c>
      <c r="K127" s="275">
        <v>1</v>
      </c>
      <c r="L127" s="277">
        <v>45748</v>
      </c>
      <c r="M127" s="278"/>
      <c r="N127" s="278"/>
      <c r="O127" s="278"/>
      <c r="P127" s="278">
        <v>45748</v>
      </c>
      <c r="Q127" s="279"/>
      <c r="R127" s="279"/>
      <c r="S127" s="278">
        <v>45748</v>
      </c>
      <c r="T127" s="278"/>
      <c r="U127" s="280">
        <v>-45748</v>
      </c>
      <c r="V127" s="278">
        <v>45748</v>
      </c>
      <c r="W127" s="278"/>
      <c r="X127" s="278">
        <v>45851</v>
      </c>
      <c r="Y127" s="278"/>
      <c r="Z127" s="278">
        <v>45851</v>
      </c>
      <c r="AA127" s="278">
        <v>45858</v>
      </c>
      <c r="AB127" s="278"/>
      <c r="AC127" s="292" t="s">
        <v>3402</v>
      </c>
      <c r="AD127" s="292" t="s">
        <v>3470</v>
      </c>
      <c r="AE127" s="292"/>
    </row>
    <row r="128" spans="2:31" ht="18.75" customHeight="1">
      <c r="B128" s="317" t="s">
        <v>1740</v>
      </c>
      <c r="C128" s="275" t="s">
        <v>2669</v>
      </c>
      <c r="D128" s="275" t="s">
        <v>3256</v>
      </c>
      <c r="E128" s="275">
        <v>33.3333333</v>
      </c>
      <c r="F128" s="275">
        <v>33.3333333</v>
      </c>
      <c r="G128" s="275" t="s">
        <v>3363</v>
      </c>
      <c r="H128" s="275"/>
      <c r="I128" s="287" t="s">
        <v>3364</v>
      </c>
      <c r="J128" s="275">
        <v>1</v>
      </c>
      <c r="K128" s="275">
        <v>1</v>
      </c>
      <c r="L128" s="277">
        <v>45758</v>
      </c>
      <c r="M128" s="278">
        <v>45758</v>
      </c>
      <c r="N128" s="278">
        <v>45763</v>
      </c>
      <c r="O128" s="278">
        <v>45763</v>
      </c>
      <c r="P128" s="278">
        <v>45786</v>
      </c>
      <c r="Q128" s="279"/>
      <c r="R128" s="279"/>
      <c r="S128" s="278">
        <v>45791</v>
      </c>
      <c r="T128" s="278">
        <v>45812</v>
      </c>
      <c r="U128" s="280">
        <v>21</v>
      </c>
      <c r="V128" s="278">
        <v>45812</v>
      </c>
      <c r="W128" s="279"/>
      <c r="X128" s="278">
        <v>45891</v>
      </c>
      <c r="Y128" s="278"/>
      <c r="Z128" s="278">
        <v>45891</v>
      </c>
      <c r="AA128" s="278">
        <v>45898</v>
      </c>
      <c r="AB128" s="278"/>
      <c r="AC128" s="292" t="s">
        <v>3419</v>
      </c>
      <c r="AD128" s="292" t="s">
        <v>3471</v>
      </c>
      <c r="AE128" s="292"/>
    </row>
    <row r="129" spans="2:31" ht="18.75" customHeight="1">
      <c r="B129" s="317" t="s">
        <v>1741</v>
      </c>
      <c r="C129" s="288" t="s">
        <v>3060</v>
      </c>
      <c r="D129" s="219" t="s">
        <v>3256</v>
      </c>
      <c r="E129" s="289">
        <v>800</v>
      </c>
      <c r="F129" s="289">
        <v>800</v>
      </c>
      <c r="G129" s="219" t="s">
        <v>3363</v>
      </c>
      <c r="H129" s="219"/>
      <c r="I129" s="286" t="s">
        <v>3364</v>
      </c>
      <c r="J129" s="219">
        <v>16</v>
      </c>
      <c r="K129" s="219">
        <v>1</v>
      </c>
      <c r="L129" s="282">
        <v>45758</v>
      </c>
      <c r="M129" s="283">
        <v>45758</v>
      </c>
      <c r="N129" s="283">
        <v>45763</v>
      </c>
      <c r="O129" s="283">
        <v>45763</v>
      </c>
      <c r="P129" s="283">
        <v>45786</v>
      </c>
      <c r="Q129" s="284"/>
      <c r="R129" s="284"/>
      <c r="S129" s="283">
        <v>45791</v>
      </c>
      <c r="T129" s="283">
        <v>45812</v>
      </c>
      <c r="U129" s="285">
        <v>21</v>
      </c>
      <c r="V129" s="283">
        <v>45812</v>
      </c>
      <c r="W129" s="283"/>
      <c r="X129" s="283">
        <v>45891</v>
      </c>
      <c r="Y129" s="283"/>
      <c r="Z129" s="283">
        <v>45891</v>
      </c>
      <c r="AA129" s="283">
        <v>45898</v>
      </c>
      <c r="AB129" s="283"/>
      <c r="AC129" s="292" t="s">
        <v>3402</v>
      </c>
      <c r="AD129" s="292" t="s">
        <v>3472</v>
      </c>
      <c r="AE129" s="292"/>
    </row>
    <row r="130" spans="2:31" ht="18.75" customHeight="1">
      <c r="B130" s="313" t="s">
        <v>3048</v>
      </c>
      <c r="C130" s="288" t="s">
        <v>3006</v>
      </c>
      <c r="D130" s="275" t="s">
        <v>3256</v>
      </c>
      <c r="E130" s="289">
        <v>250</v>
      </c>
      <c r="F130" s="289">
        <v>2250</v>
      </c>
      <c r="G130" s="275" t="s">
        <v>3369</v>
      </c>
      <c r="H130" s="275"/>
      <c r="I130" s="287" t="s">
        <v>3371</v>
      </c>
      <c r="J130" s="275">
        <v>6</v>
      </c>
      <c r="K130" s="275">
        <v>1</v>
      </c>
      <c r="L130" s="277">
        <v>45736</v>
      </c>
      <c r="M130" s="278">
        <v>45736</v>
      </c>
      <c r="N130" s="278">
        <v>45763</v>
      </c>
      <c r="O130" s="278">
        <v>45763</v>
      </c>
      <c r="P130" s="278">
        <v>45792</v>
      </c>
      <c r="Q130" s="279"/>
      <c r="R130" s="279"/>
      <c r="S130" s="278">
        <v>45819</v>
      </c>
      <c r="T130" s="278">
        <v>45821</v>
      </c>
      <c r="U130" s="280">
        <v>2</v>
      </c>
      <c r="V130" s="278">
        <v>45821</v>
      </c>
      <c r="W130" s="278"/>
      <c r="X130" s="278">
        <v>45874</v>
      </c>
      <c r="Y130" s="278"/>
      <c r="Z130" s="278">
        <v>45874</v>
      </c>
      <c r="AA130" s="278">
        <v>45937</v>
      </c>
      <c r="AB130" s="278"/>
      <c r="AC130" s="292"/>
      <c r="AD130" s="292"/>
      <c r="AE130" s="292"/>
    </row>
    <row r="131" spans="2:31" ht="18.75" customHeight="1">
      <c r="B131" s="313" t="s">
        <v>3049</v>
      </c>
      <c r="C131" s="288" t="s">
        <v>3007</v>
      </c>
      <c r="D131" s="275" t="s">
        <v>3256</v>
      </c>
      <c r="E131" s="289">
        <v>222.22222199999999</v>
      </c>
      <c r="F131" s="289">
        <v>3111.1111099999998</v>
      </c>
      <c r="G131" s="275" t="s">
        <v>3369</v>
      </c>
      <c r="H131" s="275"/>
      <c r="I131" s="287" t="s">
        <v>3371</v>
      </c>
      <c r="J131" s="275">
        <v>8</v>
      </c>
      <c r="K131" s="275">
        <v>1</v>
      </c>
      <c r="L131" s="277">
        <v>45752</v>
      </c>
      <c r="M131" s="278">
        <v>45752</v>
      </c>
      <c r="N131" s="278">
        <v>45763</v>
      </c>
      <c r="O131" s="278">
        <v>45763</v>
      </c>
      <c r="P131" s="278">
        <v>45808</v>
      </c>
      <c r="Q131" s="279"/>
      <c r="R131" s="279"/>
      <c r="S131" s="278">
        <v>45819</v>
      </c>
      <c r="T131" s="278">
        <v>45823</v>
      </c>
      <c r="U131" s="280">
        <v>4</v>
      </c>
      <c r="V131" s="278">
        <v>45823</v>
      </c>
      <c r="W131" s="278"/>
      <c r="X131" s="278">
        <v>45889</v>
      </c>
      <c r="Y131" s="278"/>
      <c r="Z131" s="278">
        <v>45889</v>
      </c>
      <c r="AA131" s="278">
        <v>45987</v>
      </c>
      <c r="AB131" s="278"/>
      <c r="AC131" s="292"/>
      <c r="AD131" s="292"/>
      <c r="AE131" s="292"/>
    </row>
    <row r="132" spans="2:31" ht="18.75" customHeight="1">
      <c r="B132" s="313" t="s">
        <v>3050</v>
      </c>
      <c r="C132" s="288" t="s">
        <v>3008</v>
      </c>
      <c r="D132" s="219" t="s">
        <v>3256</v>
      </c>
      <c r="E132" s="289">
        <v>355.55555600000002</v>
      </c>
      <c r="F132" s="289">
        <v>3200</v>
      </c>
      <c r="G132" s="219" t="s">
        <v>3369</v>
      </c>
      <c r="H132" s="219"/>
      <c r="I132" s="286" t="s">
        <v>3371</v>
      </c>
      <c r="J132" s="219">
        <v>8</v>
      </c>
      <c r="K132" s="219">
        <v>1</v>
      </c>
      <c r="L132" s="282">
        <v>45752</v>
      </c>
      <c r="M132" s="283">
        <v>45752</v>
      </c>
      <c r="N132" s="283">
        <v>45763</v>
      </c>
      <c r="O132" s="283">
        <v>45763</v>
      </c>
      <c r="P132" s="283">
        <v>45808</v>
      </c>
      <c r="Q132" s="284"/>
      <c r="R132" s="284"/>
      <c r="S132" s="283">
        <v>45819</v>
      </c>
      <c r="T132" s="283">
        <v>45823</v>
      </c>
      <c r="U132" s="285">
        <v>4</v>
      </c>
      <c r="V132" s="283">
        <v>45823</v>
      </c>
      <c r="W132" s="283"/>
      <c r="X132" s="283">
        <v>45909</v>
      </c>
      <c r="Y132" s="283"/>
      <c r="Z132" s="283">
        <v>45909</v>
      </c>
      <c r="AA132" s="283">
        <v>45972</v>
      </c>
      <c r="AB132" s="283"/>
      <c r="AC132" s="292"/>
      <c r="AD132" s="292"/>
      <c r="AE132" s="292"/>
    </row>
    <row r="133" spans="2:31" ht="18.75" customHeight="1">
      <c r="B133" s="304" t="s">
        <v>2614</v>
      </c>
      <c r="C133" s="288" t="s">
        <v>3104</v>
      </c>
      <c r="D133" s="275" t="s">
        <v>1515</v>
      </c>
      <c r="E133" s="289">
        <v>31.25</v>
      </c>
      <c r="F133" s="289">
        <v>125</v>
      </c>
      <c r="G133" s="275" t="s">
        <v>3355</v>
      </c>
      <c r="H133" s="275"/>
      <c r="I133" s="287" t="s">
        <v>3357</v>
      </c>
      <c r="J133" s="275">
        <v>1</v>
      </c>
      <c r="K133" s="275">
        <v>1</v>
      </c>
      <c r="L133" s="277">
        <v>45754</v>
      </c>
      <c r="M133" s="278"/>
      <c r="N133" s="278"/>
      <c r="O133" s="278"/>
      <c r="P133" s="278">
        <v>45754</v>
      </c>
      <c r="Q133" s="279"/>
      <c r="R133" s="279"/>
      <c r="S133" s="278">
        <v>45754</v>
      </c>
      <c r="T133" s="278">
        <v>45753</v>
      </c>
      <c r="U133" s="280">
        <v>-1</v>
      </c>
      <c r="V133" s="278">
        <v>45753</v>
      </c>
      <c r="W133" s="278"/>
      <c r="X133" s="278">
        <v>45785</v>
      </c>
      <c r="Y133" s="278"/>
      <c r="Z133" s="278">
        <v>45785</v>
      </c>
      <c r="AA133" s="278">
        <v>45806</v>
      </c>
      <c r="AB133" s="278"/>
      <c r="AC133" s="292"/>
      <c r="AD133" s="292" t="s">
        <v>3406</v>
      </c>
      <c r="AE133" s="292"/>
    </row>
    <row r="134" spans="2:31" ht="18.75" customHeight="1">
      <c r="B134" s="313" t="s">
        <v>3050</v>
      </c>
      <c r="C134" s="288" t="s">
        <v>3194</v>
      </c>
      <c r="D134" s="275" t="s">
        <v>1515</v>
      </c>
      <c r="E134" s="289">
        <v>44.444444400000002</v>
      </c>
      <c r="F134" s="289">
        <v>400</v>
      </c>
      <c r="G134" s="275" t="s">
        <v>3369</v>
      </c>
      <c r="H134" s="275"/>
      <c r="I134" s="287" t="s">
        <v>3371</v>
      </c>
      <c r="J134" s="275">
        <v>1</v>
      </c>
      <c r="K134" s="275">
        <v>1</v>
      </c>
      <c r="L134" s="277">
        <v>45752</v>
      </c>
      <c r="M134" s="278">
        <v>45752</v>
      </c>
      <c r="N134" s="278">
        <v>45763</v>
      </c>
      <c r="O134" s="278">
        <v>45763</v>
      </c>
      <c r="P134" s="278">
        <v>45808</v>
      </c>
      <c r="Q134" s="279"/>
      <c r="R134" s="279"/>
      <c r="S134" s="278">
        <v>45819</v>
      </c>
      <c r="T134" s="278">
        <v>45815</v>
      </c>
      <c r="U134" s="280">
        <v>-4</v>
      </c>
      <c r="V134" s="278">
        <v>45815</v>
      </c>
      <c r="W134" s="278"/>
      <c r="X134" s="278">
        <v>45909</v>
      </c>
      <c r="Y134" s="278"/>
      <c r="Z134" s="278">
        <v>45909</v>
      </c>
      <c r="AA134" s="278">
        <v>45972</v>
      </c>
      <c r="AB134" s="278"/>
      <c r="AC134" s="292"/>
      <c r="AD134" s="292"/>
      <c r="AE134" s="292"/>
    </row>
    <row r="135" spans="2:31" ht="18.75" customHeight="1">
      <c r="B135" s="303" t="s">
        <v>2300</v>
      </c>
      <c r="C135" s="275" t="s">
        <v>3110</v>
      </c>
      <c r="D135" s="275" t="s">
        <v>1514</v>
      </c>
      <c r="E135" s="276">
        <v>15</v>
      </c>
      <c r="F135" s="276">
        <v>45</v>
      </c>
      <c r="G135" s="275" t="s">
        <v>3288</v>
      </c>
      <c r="H135" s="275"/>
      <c r="I135" s="276" t="s">
        <v>42</v>
      </c>
      <c r="J135" s="275">
        <v>0.5</v>
      </c>
      <c r="K135" s="275">
        <v>0.5</v>
      </c>
      <c r="L135" s="277">
        <v>45754</v>
      </c>
      <c r="M135" s="278"/>
      <c r="N135" s="278"/>
      <c r="O135" s="278"/>
      <c r="P135" s="278">
        <v>45754</v>
      </c>
      <c r="Q135" s="279"/>
      <c r="R135" s="279"/>
      <c r="S135" s="278">
        <v>45754</v>
      </c>
      <c r="T135" s="278">
        <v>45754</v>
      </c>
      <c r="U135" s="280">
        <v>0</v>
      </c>
      <c r="V135" s="278">
        <v>45754</v>
      </c>
      <c r="W135" s="279"/>
      <c r="X135" s="278">
        <v>45785</v>
      </c>
      <c r="Y135" s="278"/>
      <c r="Z135" s="278">
        <v>45785</v>
      </c>
      <c r="AA135" s="278">
        <v>45803</v>
      </c>
      <c r="AB135" s="278"/>
      <c r="AC135" s="292"/>
      <c r="AD135" s="292" t="s">
        <v>3406</v>
      </c>
      <c r="AE135" s="292"/>
    </row>
    <row r="136" spans="2:31" ht="18.75" customHeight="1">
      <c r="B136" s="304" t="s">
        <v>3106</v>
      </c>
      <c r="C136" s="288" t="s">
        <v>3107</v>
      </c>
      <c r="D136" s="219" t="s">
        <v>1514</v>
      </c>
      <c r="E136" s="289" t="e">
        <v>#N/A</v>
      </c>
      <c r="F136" s="289" t="e">
        <v>#N/A</v>
      </c>
      <c r="G136" s="219" t="s">
        <v>3289</v>
      </c>
      <c r="H136" s="219"/>
      <c r="I136" s="286" t="s">
        <v>3290</v>
      </c>
      <c r="J136" s="219">
        <v>0.5</v>
      </c>
      <c r="K136" s="219">
        <v>0.5</v>
      </c>
      <c r="L136" s="282">
        <v>45754</v>
      </c>
      <c r="M136" s="283"/>
      <c r="N136" s="283"/>
      <c r="O136" s="283"/>
      <c r="P136" s="283">
        <v>45754</v>
      </c>
      <c r="Q136" s="284"/>
      <c r="R136" s="284"/>
      <c r="S136" s="283">
        <v>45754</v>
      </c>
      <c r="T136" s="283">
        <v>45754</v>
      </c>
      <c r="U136" s="285">
        <v>0</v>
      </c>
      <c r="V136" s="283">
        <v>45754</v>
      </c>
      <c r="W136" s="283"/>
      <c r="X136" s="283">
        <v>45804</v>
      </c>
      <c r="Y136" s="283"/>
      <c r="Z136" s="283">
        <v>45804</v>
      </c>
      <c r="AA136" s="283">
        <v>45818</v>
      </c>
      <c r="AB136" s="283"/>
      <c r="AC136" s="292"/>
      <c r="AD136" s="292" t="s">
        <v>3406</v>
      </c>
      <c r="AE136" s="292"/>
    </row>
    <row r="137" spans="2:31" ht="18.75" customHeight="1">
      <c r="B137" s="313" t="s">
        <v>3048</v>
      </c>
      <c r="C137" s="288" t="s">
        <v>3061</v>
      </c>
      <c r="D137" s="219" t="s">
        <v>1514</v>
      </c>
      <c r="E137" s="289">
        <v>83.333333300000007</v>
      </c>
      <c r="F137" s="289">
        <v>750</v>
      </c>
      <c r="G137" s="219" t="s">
        <v>3369</v>
      </c>
      <c r="H137" s="219"/>
      <c r="I137" s="286" t="s">
        <v>3371</v>
      </c>
      <c r="J137" s="219">
        <v>2</v>
      </c>
      <c r="K137" s="219">
        <v>2</v>
      </c>
      <c r="L137" s="282">
        <v>45736</v>
      </c>
      <c r="M137" s="283">
        <v>45736</v>
      </c>
      <c r="N137" s="283">
        <v>45763</v>
      </c>
      <c r="O137" s="283">
        <v>45763</v>
      </c>
      <c r="P137" s="283">
        <v>45792</v>
      </c>
      <c r="Q137" s="284"/>
      <c r="R137" s="284"/>
      <c r="S137" s="283">
        <v>45819</v>
      </c>
      <c r="T137" s="283">
        <v>45815</v>
      </c>
      <c r="U137" s="285">
        <v>-4</v>
      </c>
      <c r="V137" s="283">
        <v>45815</v>
      </c>
      <c r="W137" s="283"/>
      <c r="X137" s="283">
        <v>45874</v>
      </c>
      <c r="Y137" s="283"/>
      <c r="Z137" s="283">
        <v>45874</v>
      </c>
      <c r="AA137" s="283">
        <v>45937</v>
      </c>
      <c r="AB137" s="283"/>
      <c r="AC137" s="292"/>
      <c r="AD137" s="292"/>
      <c r="AE137" s="292"/>
    </row>
    <row r="138" spans="2:31" ht="18.75" customHeight="1">
      <c r="B138" s="313" t="s">
        <v>3049</v>
      </c>
      <c r="C138" s="288" t="s">
        <v>3193</v>
      </c>
      <c r="D138" s="219" t="s">
        <v>1512</v>
      </c>
      <c r="E138" s="289">
        <v>27.777777799999999</v>
      </c>
      <c r="F138" s="289">
        <v>388.88888900000001</v>
      </c>
      <c r="G138" s="219" t="s">
        <v>3369</v>
      </c>
      <c r="H138" s="219"/>
      <c r="I138" s="286" t="s">
        <v>3371</v>
      </c>
      <c r="J138" s="219">
        <v>1</v>
      </c>
      <c r="K138" s="219">
        <v>1</v>
      </c>
      <c r="L138" s="282">
        <v>45752</v>
      </c>
      <c r="M138" s="283">
        <v>45752</v>
      </c>
      <c r="N138" s="283">
        <v>45763</v>
      </c>
      <c r="O138" s="283">
        <v>45763</v>
      </c>
      <c r="P138" s="283">
        <v>45808</v>
      </c>
      <c r="Q138" s="284"/>
      <c r="R138" s="284"/>
      <c r="S138" s="283">
        <v>45819</v>
      </c>
      <c r="T138" s="283">
        <v>45815</v>
      </c>
      <c r="U138" s="285">
        <v>-4</v>
      </c>
      <c r="V138" s="283">
        <v>45815</v>
      </c>
      <c r="W138" s="283"/>
      <c r="X138" s="283">
        <v>45889</v>
      </c>
      <c r="Y138" s="283"/>
      <c r="Z138" s="283">
        <v>45889</v>
      </c>
      <c r="AA138" s="283">
        <v>45987</v>
      </c>
      <c r="AB138" s="283"/>
      <c r="AC138" s="292"/>
      <c r="AD138" s="292"/>
      <c r="AE138" s="292"/>
    </row>
    <row r="139" spans="2:31" ht="18.75" customHeight="1">
      <c r="B139" s="304" t="s">
        <v>2777</v>
      </c>
      <c r="C139" s="288" t="s">
        <v>3263</v>
      </c>
      <c r="D139" s="275"/>
      <c r="E139" s="289">
        <v>20</v>
      </c>
      <c r="F139" s="289">
        <v>80</v>
      </c>
      <c r="G139" s="275" t="s">
        <v>3299</v>
      </c>
      <c r="H139" s="275"/>
      <c r="I139" s="287" t="s">
        <v>3300</v>
      </c>
      <c r="J139" s="275">
        <v>0.4</v>
      </c>
      <c r="K139" s="275">
        <v>1</v>
      </c>
      <c r="L139" s="277">
        <v>45848</v>
      </c>
      <c r="M139" s="278">
        <v>45848</v>
      </c>
      <c r="N139" s="278"/>
      <c r="O139" s="278">
        <v>45848</v>
      </c>
      <c r="P139" s="278">
        <v>45876</v>
      </c>
      <c r="Q139" s="279"/>
      <c r="R139" s="279"/>
      <c r="S139" s="278">
        <v>45876</v>
      </c>
      <c r="T139" s="278"/>
      <c r="U139" s="280">
        <v>-45876</v>
      </c>
      <c r="V139" s="278">
        <v>45876</v>
      </c>
      <c r="W139" s="278"/>
      <c r="X139" s="278">
        <v>45921</v>
      </c>
      <c r="Y139" s="278"/>
      <c r="Z139" s="278">
        <v>45921</v>
      </c>
      <c r="AA139" s="278">
        <v>45942</v>
      </c>
      <c r="AB139" s="278"/>
      <c r="AC139" s="292"/>
      <c r="AD139" s="292" t="s">
        <v>3406</v>
      </c>
      <c r="AE139" s="292"/>
    </row>
    <row r="140" spans="2:31" ht="18.75" customHeight="1">
      <c r="B140" s="325" t="s">
        <v>3283</v>
      </c>
      <c r="C140" s="322" t="s">
        <v>3284</v>
      </c>
      <c r="D140" s="326"/>
      <c r="E140" s="323">
        <v>66.666666699999993</v>
      </c>
      <c r="F140" s="323">
        <v>133.33333300000001</v>
      </c>
      <c r="G140" s="326" t="s">
        <v>3297</v>
      </c>
      <c r="H140" s="326"/>
      <c r="I140" s="327" t="s">
        <v>3298</v>
      </c>
      <c r="J140" s="326">
        <v>0.5</v>
      </c>
      <c r="K140" s="326">
        <v>0.5</v>
      </c>
      <c r="L140" s="328">
        <v>45856</v>
      </c>
      <c r="M140" s="329">
        <v>45856</v>
      </c>
      <c r="N140" s="329"/>
      <c r="O140" s="329">
        <v>45856</v>
      </c>
      <c r="P140" s="329">
        <v>45884</v>
      </c>
      <c r="Q140" s="330"/>
      <c r="R140" s="330"/>
      <c r="S140" s="329">
        <v>45884</v>
      </c>
      <c r="T140" s="329"/>
      <c r="U140" s="331">
        <v>-45884</v>
      </c>
      <c r="V140" s="329">
        <v>45884</v>
      </c>
      <c r="W140" s="330"/>
      <c r="X140" s="329">
        <v>45934</v>
      </c>
      <c r="Y140" s="329"/>
      <c r="Z140" s="329">
        <v>45934</v>
      </c>
      <c r="AA140" s="329">
        <v>45948</v>
      </c>
      <c r="AB140" s="329"/>
      <c r="AC140" s="324"/>
      <c r="AD140" s="324" t="s">
        <v>3406</v>
      </c>
      <c r="AE140" s="324"/>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2765-3A6A-4AEC-9B27-458BD082B329}">
  <sheetPr codeName="Sheet3">
    <pageSetUpPr fitToPage="1"/>
  </sheetPr>
  <dimension ref="A1:CT77"/>
  <sheetViews>
    <sheetView zoomScale="85" zoomScaleNormal="85" workbookViewId="0">
      <pane xSplit="3" ySplit="29" topLeftCell="AR40" activePane="bottomRight" state="frozen"/>
      <selection pane="topRight" activeCell="D1" sqref="D1"/>
      <selection pane="bottomLeft" activeCell="A30" sqref="A30"/>
      <selection pane="bottomRight" activeCell="AW43" sqref="AW43"/>
    </sheetView>
  </sheetViews>
  <sheetFormatPr baseColWidth="10" defaultColWidth="14.6640625" defaultRowHeight="45" customHeight="1" outlineLevelRow="1"/>
  <cols>
    <col min="1" max="1" width="9.1640625" customWidth="1"/>
    <col min="2" max="2" width="65.83203125" customWidth="1"/>
    <col min="3" max="3" width="12.1640625" customWidth="1"/>
  </cols>
  <sheetData>
    <row r="1" spans="1:98" ht="15">
      <c r="A1" t="s">
        <v>217</v>
      </c>
      <c r="B1">
        <v>14</v>
      </c>
      <c r="H1" t="s">
        <v>2711</v>
      </c>
      <c r="AD1">
        <f>7*8*1.5</f>
        <v>84</v>
      </c>
    </row>
    <row r="2" spans="1:98" ht="15">
      <c r="A2" t="s">
        <v>218</v>
      </c>
      <c r="B2">
        <v>45</v>
      </c>
    </row>
    <row r="3" spans="1:98" ht="16" thickBot="1">
      <c r="A3" t="s">
        <v>219</v>
      </c>
      <c r="B3" t="str">
        <f>"mm/dd"</f>
        <v>mm/dd</v>
      </c>
      <c r="E3" t="s">
        <v>2710</v>
      </c>
      <c r="G3" t="s">
        <v>2712</v>
      </c>
      <c r="J3" t="s">
        <v>131</v>
      </c>
      <c r="M3" t="s">
        <v>2718</v>
      </c>
      <c r="AQ3" t="s">
        <v>101</v>
      </c>
      <c r="AR3" t="s">
        <v>2701</v>
      </c>
      <c r="AS3" t="s">
        <v>2701</v>
      </c>
      <c r="AT3" t="s">
        <v>118</v>
      </c>
      <c r="BH3" t="s">
        <v>55</v>
      </c>
      <c r="BI3" t="s">
        <v>55</v>
      </c>
      <c r="BO3" t="s">
        <v>140</v>
      </c>
      <c r="BY3" t="s">
        <v>2702</v>
      </c>
      <c r="CC3" t="s">
        <v>142</v>
      </c>
      <c r="CF3" t="s">
        <v>1767</v>
      </c>
    </row>
    <row r="4" spans="1:98" ht="45" customHeight="1" thickBot="1">
      <c r="A4" t="s">
        <v>220</v>
      </c>
      <c r="B4">
        <v>2024</v>
      </c>
      <c r="D4" s="335" t="s">
        <v>221</v>
      </c>
      <c r="E4" s="336"/>
      <c r="F4" s="336"/>
      <c r="G4" s="336"/>
      <c r="H4" s="336"/>
      <c r="I4" s="336"/>
      <c r="J4" s="336"/>
      <c r="K4" s="337"/>
      <c r="L4" s="335" t="s">
        <v>234</v>
      </c>
      <c r="M4" s="336"/>
      <c r="N4" s="336"/>
      <c r="O4" s="336"/>
      <c r="P4" s="336"/>
      <c r="Q4" s="336"/>
      <c r="R4" s="336"/>
      <c r="S4" s="337"/>
      <c r="T4" s="335" t="s">
        <v>235</v>
      </c>
      <c r="U4" s="336"/>
      <c r="V4" s="336"/>
      <c r="W4" s="336"/>
      <c r="X4" s="336"/>
      <c r="Y4" s="336"/>
      <c r="Z4" s="336"/>
      <c r="AA4" s="337"/>
      <c r="AB4" s="335" t="s">
        <v>236</v>
      </c>
      <c r="AC4" s="336"/>
      <c r="AD4" s="336"/>
      <c r="AE4" s="336"/>
      <c r="AF4" s="336"/>
      <c r="AG4" s="336"/>
      <c r="AH4" s="336"/>
      <c r="AI4" s="337"/>
      <c r="AJ4" s="338" t="s">
        <v>237</v>
      </c>
      <c r="AK4" s="339"/>
      <c r="AL4" s="339"/>
      <c r="AM4" s="339"/>
      <c r="AN4" s="339"/>
      <c r="AO4" s="339"/>
      <c r="AP4" s="339"/>
      <c r="AQ4" s="340"/>
      <c r="AR4" s="335" t="s">
        <v>238</v>
      </c>
      <c r="AS4" s="336"/>
      <c r="AT4" s="336"/>
      <c r="AU4" s="336"/>
      <c r="AV4" s="336"/>
      <c r="AW4" s="336"/>
      <c r="AX4" s="336"/>
      <c r="AY4" s="336"/>
      <c r="AZ4" s="337"/>
      <c r="BA4" s="335" t="s">
        <v>239</v>
      </c>
      <c r="BB4" s="336"/>
      <c r="BC4" s="336"/>
      <c r="BD4" s="336"/>
      <c r="BE4" s="336"/>
      <c r="BF4" s="336"/>
      <c r="BG4" s="336"/>
      <c r="BH4" s="336"/>
      <c r="BI4" s="337"/>
      <c r="BJ4" s="335" t="s">
        <v>240</v>
      </c>
      <c r="BK4" s="336"/>
      <c r="BL4" s="336"/>
      <c r="BM4" s="336"/>
      <c r="BN4" s="336"/>
      <c r="BO4" s="336"/>
      <c r="BP4" s="336"/>
      <c r="BQ4" s="337"/>
      <c r="BR4" s="335" t="s">
        <v>241</v>
      </c>
      <c r="BS4" s="336"/>
      <c r="BT4" s="336"/>
      <c r="BU4" s="336"/>
      <c r="BV4" s="336"/>
      <c r="BW4" s="336"/>
      <c r="BX4" s="336"/>
      <c r="BY4" s="337"/>
      <c r="BZ4" s="338" t="s">
        <v>242</v>
      </c>
      <c r="CA4" s="339"/>
      <c r="CB4" s="339"/>
      <c r="CC4" s="339"/>
      <c r="CD4" s="339"/>
      <c r="CE4" s="339"/>
      <c r="CF4" s="339"/>
      <c r="CG4" s="340"/>
      <c r="CH4" s="335" t="s">
        <v>1516</v>
      </c>
      <c r="CI4" s="336"/>
      <c r="CJ4" s="336"/>
      <c r="CK4" s="337"/>
      <c r="CL4" s="333" t="s">
        <v>3255</v>
      </c>
      <c r="CM4" s="334"/>
      <c r="CN4" s="334"/>
      <c r="CO4" s="334"/>
      <c r="CP4" s="334"/>
      <c r="CQ4" s="52"/>
    </row>
    <row r="5" spans="1:98" ht="45" customHeight="1" thickBot="1">
      <c r="C5" s="50">
        <f ca="1">TODAY()</f>
        <v>45990</v>
      </c>
      <c r="D5" s="14" t="s">
        <v>1424</v>
      </c>
      <c r="E5" s="15" t="s">
        <v>1425</v>
      </c>
      <c r="F5" s="15" t="s">
        <v>1426</v>
      </c>
      <c r="G5" s="15" t="s">
        <v>1427</v>
      </c>
      <c r="H5" s="15" t="s">
        <v>1428</v>
      </c>
      <c r="I5" s="15" t="s">
        <v>1429</v>
      </c>
      <c r="J5" s="15" t="s">
        <v>1430</v>
      </c>
      <c r="K5" s="16" t="s">
        <v>1431</v>
      </c>
      <c r="L5" s="14" t="s">
        <v>1432</v>
      </c>
      <c r="M5" s="15" t="s">
        <v>1433</v>
      </c>
      <c r="N5" s="15" t="s">
        <v>1434</v>
      </c>
      <c r="O5" s="15" t="s">
        <v>1435</v>
      </c>
      <c r="P5" s="15" t="s">
        <v>1436</v>
      </c>
      <c r="Q5" s="15" t="s">
        <v>1437</v>
      </c>
      <c r="R5" s="15" t="s">
        <v>1438</v>
      </c>
      <c r="S5" s="16" t="s">
        <v>1439</v>
      </c>
      <c r="T5" s="14" t="s">
        <v>1440</v>
      </c>
      <c r="U5" s="15" t="s">
        <v>1441</v>
      </c>
      <c r="V5" s="15" t="s">
        <v>1442</v>
      </c>
      <c r="W5" s="15" t="s">
        <v>1443</v>
      </c>
      <c r="X5" s="15" t="s">
        <v>1444</v>
      </c>
      <c r="Y5" s="15" t="s">
        <v>1445</v>
      </c>
      <c r="Z5" s="15" t="s">
        <v>1446</v>
      </c>
      <c r="AA5" s="16" t="s">
        <v>1447</v>
      </c>
      <c r="AB5" s="14" t="s">
        <v>1448</v>
      </c>
      <c r="AC5" s="15" t="s">
        <v>1449</v>
      </c>
      <c r="AD5" s="15" t="s">
        <v>1450</v>
      </c>
      <c r="AE5" s="15" t="s">
        <v>1451</v>
      </c>
      <c r="AF5" s="15" t="s">
        <v>1452</v>
      </c>
      <c r="AG5" s="15" t="s">
        <v>1453</v>
      </c>
      <c r="AH5" s="15" t="s">
        <v>1454</v>
      </c>
      <c r="AI5" s="16" t="s">
        <v>1455</v>
      </c>
      <c r="AJ5" s="14" t="s">
        <v>1456</v>
      </c>
      <c r="AK5" s="15" t="s">
        <v>1457</v>
      </c>
      <c r="AL5" s="15" t="s">
        <v>1458</v>
      </c>
      <c r="AM5" s="15" t="s">
        <v>1459</v>
      </c>
      <c r="AN5" s="15" t="s">
        <v>1460</v>
      </c>
      <c r="AO5" s="15" t="s">
        <v>1461</v>
      </c>
      <c r="AP5" s="15" t="s">
        <v>1462</v>
      </c>
      <c r="AQ5" s="16" t="s">
        <v>1463</v>
      </c>
      <c r="AR5" s="14" t="s">
        <v>1464</v>
      </c>
      <c r="AS5" s="54" t="s">
        <v>1465</v>
      </c>
      <c r="AT5" s="15" t="s">
        <v>1466</v>
      </c>
      <c r="AU5" s="15" t="s">
        <v>1467</v>
      </c>
      <c r="AV5" s="15" t="s">
        <v>1468</v>
      </c>
      <c r="AW5" s="15" t="s">
        <v>1469</v>
      </c>
      <c r="AX5" s="15" t="s">
        <v>1470</v>
      </c>
      <c r="AY5" s="15" t="s">
        <v>1471</v>
      </c>
      <c r="AZ5" s="16" t="s">
        <v>1472</v>
      </c>
      <c r="BA5" s="146" t="s">
        <v>1764</v>
      </c>
      <c r="BB5" s="15" t="s">
        <v>1473</v>
      </c>
      <c r="BC5" s="15" t="s">
        <v>1474</v>
      </c>
      <c r="BD5" s="15" t="s">
        <v>1475</v>
      </c>
      <c r="BE5" s="15" t="s">
        <v>1476</v>
      </c>
      <c r="BF5" s="15" t="s">
        <v>1477</v>
      </c>
      <c r="BG5" s="15" t="s">
        <v>1478</v>
      </c>
      <c r="BH5" s="15" t="s">
        <v>1479</v>
      </c>
      <c r="BI5" s="16" t="s">
        <v>1480</v>
      </c>
      <c r="BJ5" s="14" t="s">
        <v>1481</v>
      </c>
      <c r="BK5" s="15" t="s">
        <v>1482</v>
      </c>
      <c r="BL5" s="15" t="s">
        <v>1483</v>
      </c>
      <c r="BM5" s="15" t="s">
        <v>1484</v>
      </c>
      <c r="BN5" s="15" t="s">
        <v>1485</v>
      </c>
      <c r="BO5" s="15" t="s">
        <v>1486</v>
      </c>
      <c r="BP5" s="15" t="s">
        <v>1487</v>
      </c>
      <c r="BQ5" s="16" t="s">
        <v>1488</v>
      </c>
      <c r="BR5" s="14" t="s">
        <v>1489</v>
      </c>
      <c r="BS5" s="15" t="s">
        <v>1490</v>
      </c>
      <c r="BT5" s="15" t="s">
        <v>1491</v>
      </c>
      <c r="BU5" s="15" t="s">
        <v>1492</v>
      </c>
      <c r="BV5" s="15" t="s">
        <v>1493</v>
      </c>
      <c r="BW5" s="15" t="s">
        <v>1494</v>
      </c>
      <c r="BX5" s="15" t="s">
        <v>1495</v>
      </c>
      <c r="BY5" s="16" t="s">
        <v>1496</v>
      </c>
      <c r="BZ5" s="14" t="s">
        <v>1497</v>
      </c>
      <c r="CA5" s="15" t="s">
        <v>1498</v>
      </c>
      <c r="CB5" s="15" t="s">
        <v>1499</v>
      </c>
      <c r="CC5" s="15" t="s">
        <v>1500</v>
      </c>
      <c r="CD5" s="15" t="s">
        <v>1501</v>
      </c>
      <c r="CE5" s="15" t="s">
        <v>1502</v>
      </c>
      <c r="CF5" s="15" t="s">
        <v>1503</v>
      </c>
      <c r="CG5" s="16" t="s">
        <v>1504</v>
      </c>
      <c r="CH5" s="14" t="s">
        <v>1515</v>
      </c>
      <c r="CI5" s="15" t="s">
        <v>1514</v>
      </c>
      <c r="CJ5" s="15" t="s">
        <v>1513</v>
      </c>
      <c r="CK5" s="16" t="s">
        <v>1512</v>
      </c>
      <c r="CL5" s="1" t="s">
        <v>3256</v>
      </c>
      <c r="CM5" s="1" t="s">
        <v>3256</v>
      </c>
      <c r="CN5" s="1" t="s">
        <v>3256</v>
      </c>
      <c r="CO5" s="1" t="s">
        <v>3256</v>
      </c>
      <c r="CP5" s="1" t="s">
        <v>3256</v>
      </c>
      <c r="CQ5" s="1" t="s">
        <v>3256</v>
      </c>
      <c r="CR5" s="1"/>
      <c r="CS5" s="1"/>
    </row>
    <row r="6" spans="1:98" ht="45" hidden="1" customHeight="1" outlineLevel="1">
      <c r="A6" s="133">
        <v>2023</v>
      </c>
      <c r="C6" s="130" t="s">
        <v>222</v>
      </c>
      <c r="D6" s="62"/>
      <c r="E6" s="89"/>
      <c r="F6" s="103"/>
      <c r="G6" s="63"/>
      <c r="H6" s="63"/>
      <c r="I6" s="63"/>
      <c r="J6" s="103"/>
      <c r="K6" s="64"/>
      <c r="L6" s="62"/>
      <c r="M6" s="89"/>
      <c r="N6" s="103"/>
      <c r="O6" s="63"/>
      <c r="P6" s="63"/>
      <c r="Q6" s="63"/>
      <c r="R6" s="103"/>
      <c r="S6" s="64"/>
      <c r="T6" s="62"/>
      <c r="U6" s="89"/>
      <c r="V6" s="103"/>
      <c r="W6" s="63"/>
      <c r="X6" s="63"/>
      <c r="Y6" s="63"/>
      <c r="Z6" s="103"/>
      <c r="AA6" s="64"/>
      <c r="AB6" s="62"/>
      <c r="AC6" s="89"/>
      <c r="AD6" s="103"/>
      <c r="AE6" s="63"/>
      <c r="AF6" s="63"/>
      <c r="AG6" s="63"/>
      <c r="AH6" s="103"/>
      <c r="AI6" s="64"/>
      <c r="AJ6" s="62"/>
      <c r="AK6" s="89"/>
      <c r="AL6" s="103"/>
      <c r="AM6" s="63"/>
      <c r="AN6" s="63"/>
      <c r="AO6" s="63"/>
      <c r="AP6" s="103"/>
      <c r="AQ6" s="64"/>
      <c r="AR6" s="62"/>
      <c r="AS6" s="63"/>
      <c r="AT6" s="89"/>
      <c r="AU6" s="232"/>
      <c r="AV6" s="63"/>
      <c r="AW6" s="63"/>
      <c r="AX6" s="63"/>
      <c r="AY6" s="232"/>
      <c r="AZ6" s="64"/>
      <c r="BA6" s="62"/>
      <c r="BB6" s="63"/>
      <c r="BC6" s="63"/>
      <c r="BD6" s="63"/>
      <c r="BE6" s="63"/>
      <c r="BF6" s="63"/>
      <c r="BG6" s="63"/>
      <c r="BH6" s="63"/>
      <c r="BI6" s="64"/>
      <c r="BJ6" s="62"/>
      <c r="BK6" s="89"/>
      <c r="BL6" s="103"/>
      <c r="BM6" s="63"/>
      <c r="BN6" s="63"/>
      <c r="BO6" s="63"/>
      <c r="BP6" s="103"/>
      <c r="BQ6" s="64"/>
      <c r="BR6" s="62"/>
      <c r="BS6" s="63"/>
      <c r="BT6" s="63"/>
      <c r="BU6" s="63"/>
      <c r="BV6" s="63"/>
      <c r="BW6" s="63"/>
      <c r="BX6" s="63"/>
      <c r="BY6" s="64"/>
      <c r="BZ6" s="62"/>
      <c r="CA6" s="63"/>
      <c r="CB6" s="63"/>
      <c r="CC6" s="63"/>
      <c r="CD6" s="63"/>
      <c r="CE6" s="63"/>
      <c r="CF6" s="63"/>
      <c r="CG6" s="64"/>
      <c r="CH6" s="62"/>
      <c r="CI6" s="63"/>
      <c r="CJ6" s="63"/>
      <c r="CK6" s="64"/>
      <c r="CL6" s="30"/>
      <c r="CR6">
        <v>38</v>
      </c>
      <c r="CS6">
        <v>42</v>
      </c>
      <c r="CT6">
        <v>48</v>
      </c>
    </row>
    <row r="7" spans="1:98" ht="45" hidden="1" customHeight="1" outlineLevel="1">
      <c r="A7" s="133">
        <v>2023</v>
      </c>
      <c r="C7" s="131" t="str">
        <f>CR6&amp;" - "&amp;CT6 &amp;" (" &amp; CS6 &amp; ")"</f>
        <v>38 - 48 (42)</v>
      </c>
      <c r="D7" s="65"/>
      <c r="E7" s="90"/>
      <c r="F7" s="104"/>
      <c r="G7" s="66"/>
      <c r="H7" s="66"/>
      <c r="I7" s="66"/>
      <c r="J7" s="104"/>
      <c r="K7" s="67"/>
      <c r="L7" s="65"/>
      <c r="M7" s="90"/>
      <c r="N7" s="104"/>
      <c r="O7" s="66"/>
      <c r="P7" s="66"/>
      <c r="Q7" s="66"/>
      <c r="R7" s="104"/>
      <c r="S7" s="67"/>
      <c r="T7" s="65"/>
      <c r="U7" s="90"/>
      <c r="V7" s="104"/>
      <c r="W7" s="66"/>
      <c r="X7" s="66"/>
      <c r="Y7" s="66"/>
      <c r="Z7" s="104"/>
      <c r="AA7" s="67"/>
      <c r="AB7" s="65"/>
      <c r="AC7" s="90"/>
      <c r="AD7" s="104"/>
      <c r="AE7" s="66"/>
      <c r="AF7" s="66"/>
      <c r="AG7" s="66"/>
      <c r="AH7" s="104"/>
      <c r="AI7" s="67"/>
      <c r="AJ7" s="65"/>
      <c r="AK7" s="90"/>
      <c r="AL7" s="104"/>
      <c r="AM7" s="66"/>
      <c r="AN7" s="66"/>
      <c r="AO7" s="66"/>
      <c r="AP7" s="104"/>
      <c r="AQ7" s="67"/>
      <c r="AR7" s="65"/>
      <c r="AS7" s="66"/>
      <c r="AT7" s="90"/>
      <c r="AU7" s="119"/>
      <c r="AV7" s="66"/>
      <c r="AW7" s="66"/>
      <c r="AX7" s="66"/>
      <c r="AY7" s="119"/>
      <c r="AZ7" s="67"/>
      <c r="BA7" s="65"/>
      <c r="BB7" s="66"/>
      <c r="BC7" s="66"/>
      <c r="BD7" s="66"/>
      <c r="BE7" s="66"/>
      <c r="BF7" s="66"/>
      <c r="BG7" s="66"/>
      <c r="BH7" s="66"/>
      <c r="BI7" s="67"/>
      <c r="BJ7" s="65"/>
      <c r="BK7" s="90"/>
      <c r="BL7" s="104"/>
      <c r="BM7" s="66"/>
      <c r="BN7" s="66"/>
      <c r="BO7" s="66"/>
      <c r="BP7" s="104"/>
      <c r="BQ7" s="67"/>
      <c r="BR7" s="65"/>
      <c r="BS7" s="66"/>
      <c r="BT7" s="66"/>
      <c r="BU7" s="66"/>
      <c r="BV7" s="66"/>
      <c r="BW7" s="66"/>
      <c r="BX7" s="66"/>
      <c r="BY7" s="67"/>
      <c r="BZ7" s="65"/>
      <c r="CA7" s="66"/>
      <c r="CB7" s="66"/>
      <c r="CC7" s="66"/>
      <c r="CD7" s="66"/>
      <c r="CE7" s="66"/>
      <c r="CF7" s="66"/>
      <c r="CG7" s="67"/>
      <c r="CH7" s="65"/>
      <c r="CI7" s="66"/>
      <c r="CJ7" s="66"/>
      <c r="CK7" s="67"/>
      <c r="CL7" s="30"/>
    </row>
    <row r="8" spans="1:98" ht="45" hidden="1" customHeight="1" outlineLevel="1">
      <c r="A8" s="133">
        <v>2023</v>
      </c>
      <c r="C8" s="130" t="s">
        <v>223</v>
      </c>
      <c r="D8" s="68"/>
      <c r="E8" s="91"/>
      <c r="F8" s="105"/>
      <c r="G8" s="69"/>
      <c r="H8" s="69"/>
      <c r="I8" s="69"/>
      <c r="J8" s="105"/>
      <c r="K8" s="70"/>
      <c r="L8" s="68"/>
      <c r="M8" s="91"/>
      <c r="N8" s="105"/>
      <c r="O8" s="69"/>
      <c r="P8" s="69"/>
      <c r="Q8" s="69"/>
      <c r="R8" s="105"/>
      <c r="S8" s="70"/>
      <c r="T8" s="68"/>
      <c r="U8" s="91"/>
      <c r="V8" s="105"/>
      <c r="W8" s="69"/>
      <c r="X8" s="69"/>
      <c r="Y8" s="69"/>
      <c r="Z8" s="105"/>
      <c r="AA8" s="70"/>
      <c r="AB8" s="68"/>
      <c r="AC8" s="91"/>
      <c r="AD8" s="105"/>
      <c r="AE8" s="69"/>
      <c r="AF8" s="69"/>
      <c r="AG8" s="69"/>
      <c r="AH8" s="105"/>
      <c r="AI8" s="70"/>
      <c r="AJ8" s="68"/>
      <c r="AK8" s="91"/>
      <c r="AL8" s="105"/>
      <c r="AM8" s="69"/>
      <c r="AN8" s="69"/>
      <c r="AO8" s="69"/>
      <c r="AP8" s="105"/>
      <c r="AQ8" s="70"/>
      <c r="AR8" s="68"/>
      <c r="AS8" s="69"/>
      <c r="AT8" s="91"/>
      <c r="AU8" s="118"/>
      <c r="AV8" s="69"/>
      <c r="AW8" s="69"/>
      <c r="AX8" s="69"/>
      <c r="AY8" s="118"/>
      <c r="AZ8" s="70"/>
      <c r="BA8" s="68"/>
      <c r="BB8" s="69"/>
      <c r="BC8" s="69"/>
      <c r="BD8" s="69"/>
      <c r="BE8" s="69"/>
      <c r="BF8" s="69"/>
      <c r="BG8" s="69"/>
      <c r="BH8" s="69"/>
      <c r="BI8" s="70"/>
      <c r="BJ8" s="68"/>
      <c r="BK8" s="91"/>
      <c r="BL8" s="105"/>
      <c r="BM8" s="69"/>
      <c r="BN8" s="69"/>
      <c r="BO8" s="69"/>
      <c r="BP8" s="105"/>
      <c r="BQ8" s="70"/>
      <c r="BR8" s="68"/>
      <c r="BS8" s="69"/>
      <c r="BT8" s="69"/>
      <c r="BU8" s="69"/>
      <c r="BV8" s="69"/>
      <c r="BW8" s="69"/>
      <c r="BX8" s="69"/>
      <c r="BY8" s="70"/>
      <c r="BZ8" s="68"/>
      <c r="CA8" s="69"/>
      <c r="CB8" s="69"/>
      <c r="CC8" s="69"/>
      <c r="CD8" s="69"/>
      <c r="CE8" s="69"/>
      <c r="CF8" s="69"/>
      <c r="CG8" s="70"/>
      <c r="CH8" s="68"/>
      <c r="CI8" s="69"/>
      <c r="CJ8" s="69"/>
      <c r="CK8" s="70"/>
      <c r="CL8" s="234"/>
      <c r="CR8">
        <v>39</v>
      </c>
      <c r="CS8">
        <v>44</v>
      </c>
      <c r="CT8">
        <v>51</v>
      </c>
    </row>
    <row r="9" spans="1:98" ht="45" hidden="1" customHeight="1" outlineLevel="1">
      <c r="A9" s="133">
        <v>2023</v>
      </c>
      <c r="C9" s="131" t="str">
        <f>CR8&amp;" - "&amp;CT8 &amp;" (" &amp; CS8 &amp; ")"</f>
        <v>39 - 51 (44)</v>
      </c>
      <c r="D9" s="68"/>
      <c r="E9" s="91"/>
      <c r="F9" s="105"/>
      <c r="G9" s="69"/>
      <c r="H9" s="69"/>
      <c r="I9" s="69"/>
      <c r="J9" s="105"/>
      <c r="K9" s="70"/>
      <c r="L9" s="68"/>
      <c r="M9" s="91"/>
      <c r="N9" s="105"/>
      <c r="O9" s="69"/>
      <c r="P9" s="69"/>
      <c r="Q9" s="69"/>
      <c r="R9" s="105"/>
      <c r="S9" s="70"/>
      <c r="T9" s="68"/>
      <c r="U9" s="91"/>
      <c r="V9" s="105"/>
      <c r="W9" s="69"/>
      <c r="X9" s="69"/>
      <c r="Y9" s="69"/>
      <c r="Z9" s="105"/>
      <c r="AA9" s="70"/>
      <c r="AB9" s="68"/>
      <c r="AC9" s="91"/>
      <c r="AD9" s="105"/>
      <c r="AE9" s="69"/>
      <c r="AF9" s="69"/>
      <c r="AG9" s="69"/>
      <c r="AH9" s="105"/>
      <c r="AI9" s="70"/>
      <c r="AJ9" s="68"/>
      <c r="AK9" s="91"/>
      <c r="AL9" s="105"/>
      <c r="AM9" s="69"/>
      <c r="AN9" s="69"/>
      <c r="AO9" s="69"/>
      <c r="AP9" s="105"/>
      <c r="AQ9" s="70"/>
      <c r="AR9" s="68"/>
      <c r="AS9" s="69"/>
      <c r="AT9" s="91"/>
      <c r="AU9" s="118"/>
      <c r="AV9" s="69"/>
      <c r="AW9" s="69"/>
      <c r="AX9" s="69"/>
      <c r="AY9" s="118"/>
      <c r="AZ9" s="70"/>
      <c r="BA9" s="68"/>
      <c r="BB9" s="69"/>
      <c r="BC9" s="69"/>
      <c r="BD9" s="69"/>
      <c r="BE9" s="69"/>
      <c r="BF9" s="69"/>
      <c r="BG9" s="69"/>
      <c r="BH9" s="69"/>
      <c r="BI9" s="70"/>
      <c r="BJ9" s="68"/>
      <c r="BK9" s="91"/>
      <c r="BL9" s="105"/>
      <c r="BM9" s="69"/>
      <c r="BN9" s="69"/>
      <c r="BO9" s="69"/>
      <c r="BP9" s="105"/>
      <c r="BQ9" s="70"/>
      <c r="BR9" s="68"/>
      <c r="BS9" s="69"/>
      <c r="BT9" s="69"/>
      <c r="BU9" s="69"/>
      <c r="BV9" s="69"/>
      <c r="BW9" s="69"/>
      <c r="BX9" s="69"/>
      <c r="BY9" s="70"/>
      <c r="BZ9" s="68"/>
      <c r="CA9" s="69"/>
      <c r="CB9" s="69"/>
      <c r="CC9" s="69"/>
      <c r="CD9" s="69"/>
      <c r="CE9" s="69"/>
      <c r="CF9" s="69"/>
      <c r="CG9" s="70"/>
      <c r="CH9" s="68"/>
      <c r="CI9" s="69"/>
      <c r="CJ9" s="69"/>
      <c r="CK9" s="70"/>
      <c r="CL9" s="234"/>
    </row>
    <row r="10" spans="1:98" ht="45" hidden="1" customHeight="1" outlineLevel="1">
      <c r="A10" s="133">
        <v>2023</v>
      </c>
      <c r="C10" s="130" t="s">
        <v>224</v>
      </c>
      <c r="D10" s="71"/>
      <c r="E10" s="92"/>
      <c r="F10" s="106"/>
      <c r="G10" s="72"/>
      <c r="H10" s="72"/>
      <c r="I10" s="72"/>
      <c r="J10" s="106"/>
      <c r="K10" s="73"/>
      <c r="L10" s="71"/>
      <c r="M10" s="92"/>
      <c r="N10" s="106"/>
      <c r="O10" s="72"/>
      <c r="P10" s="72"/>
      <c r="Q10" s="72"/>
      <c r="R10" s="106"/>
      <c r="S10" s="73"/>
      <c r="T10" s="71"/>
      <c r="U10" s="92"/>
      <c r="V10" s="106"/>
      <c r="W10" s="72"/>
      <c r="X10" s="72"/>
      <c r="Y10" s="72"/>
      <c r="Z10" s="106"/>
      <c r="AA10" s="73"/>
      <c r="AB10" s="71"/>
      <c r="AC10" s="92"/>
      <c r="AD10" s="106"/>
      <c r="AE10" s="72"/>
      <c r="AF10" s="72"/>
      <c r="AG10" s="72"/>
      <c r="AH10" s="106"/>
      <c r="AI10" s="73"/>
      <c r="AJ10" s="71"/>
      <c r="AK10" s="92"/>
      <c r="AL10" s="106"/>
      <c r="AM10" s="72"/>
      <c r="AN10" s="72"/>
      <c r="AO10" s="72"/>
      <c r="AP10" s="106"/>
      <c r="AQ10" s="73"/>
      <c r="AR10" s="71"/>
      <c r="AS10" s="72"/>
      <c r="AT10" s="92"/>
      <c r="AU10" s="233"/>
      <c r="AV10" s="72"/>
      <c r="AW10" s="72"/>
      <c r="AX10" s="72"/>
      <c r="AY10" s="233"/>
      <c r="AZ10" s="73"/>
      <c r="BA10" s="71"/>
      <c r="BB10" s="72"/>
      <c r="BC10" s="72"/>
      <c r="BD10" s="72"/>
      <c r="BE10" s="72"/>
      <c r="BF10" s="72"/>
      <c r="BG10" s="72"/>
      <c r="BH10" s="72"/>
      <c r="BI10" s="73"/>
      <c r="BJ10" s="71"/>
      <c r="BK10" s="92"/>
      <c r="BL10" s="106"/>
      <c r="BM10" s="72"/>
      <c r="BN10" s="72"/>
      <c r="BO10" s="72"/>
      <c r="BP10" s="106"/>
      <c r="BQ10" s="73"/>
      <c r="BR10" s="71"/>
      <c r="BS10" s="72"/>
      <c r="BT10" s="72"/>
      <c r="BU10" s="72"/>
      <c r="BV10" s="72"/>
      <c r="BW10" s="72"/>
      <c r="BX10" s="72"/>
      <c r="BY10" s="73"/>
      <c r="BZ10" s="71"/>
      <c r="CA10" s="72"/>
      <c r="CB10" s="72"/>
      <c r="CC10" s="72"/>
      <c r="CD10" s="72"/>
      <c r="CE10" s="72"/>
      <c r="CF10" s="72"/>
      <c r="CG10" s="73"/>
      <c r="CH10" s="71"/>
      <c r="CI10" s="72"/>
      <c r="CJ10" s="72"/>
      <c r="CK10" s="73"/>
      <c r="CL10" s="235"/>
      <c r="CR10">
        <v>42</v>
      </c>
      <c r="CS10">
        <v>47</v>
      </c>
      <c r="CT10">
        <v>55</v>
      </c>
    </row>
    <row r="11" spans="1:98" ht="45" hidden="1" customHeight="1" outlineLevel="1">
      <c r="A11" s="133">
        <v>2023</v>
      </c>
      <c r="C11" s="131" t="str">
        <f>CR10&amp;" - "&amp;CT10 &amp;" (" &amp; CS10 &amp; ")"</f>
        <v>42 - 55 (47)</v>
      </c>
      <c r="D11" s="74"/>
      <c r="E11" s="93"/>
      <c r="F11" s="107"/>
      <c r="G11" s="75"/>
      <c r="H11" s="75"/>
      <c r="I11" s="75"/>
      <c r="J11" s="107"/>
      <c r="K11" s="76"/>
      <c r="L11" s="74"/>
      <c r="M11" s="93"/>
      <c r="N11" s="107"/>
      <c r="O11" s="75"/>
      <c r="P11" s="75"/>
      <c r="Q11" s="75"/>
      <c r="R11" s="107"/>
      <c r="S11" s="76"/>
      <c r="T11" s="74"/>
      <c r="U11" s="93"/>
      <c r="V11" s="107"/>
      <c r="W11" s="75"/>
      <c r="X11" s="75"/>
      <c r="Y11" s="75"/>
      <c r="Z11" s="107"/>
      <c r="AA11" s="76"/>
      <c r="AB11" s="74"/>
      <c r="AC11" s="93"/>
      <c r="AD11" s="107"/>
      <c r="AE11" s="75"/>
      <c r="AF11" s="75"/>
      <c r="AG11" s="75"/>
      <c r="AH11" s="107"/>
      <c r="AI11" s="76"/>
      <c r="AJ11" s="74"/>
      <c r="AK11" s="93"/>
      <c r="AL11" s="107"/>
      <c r="AM11" s="75"/>
      <c r="AN11" s="75"/>
      <c r="AO11" s="75"/>
      <c r="AP11" s="107"/>
      <c r="AQ11" s="76"/>
      <c r="AR11" s="74"/>
      <c r="AS11" s="75"/>
      <c r="AT11" s="93"/>
      <c r="AU11" s="120"/>
      <c r="AV11" s="75"/>
      <c r="AW11" s="75"/>
      <c r="AX11" s="75"/>
      <c r="AY11" s="120"/>
      <c r="AZ11" s="76"/>
      <c r="BA11" s="74"/>
      <c r="BB11" s="75"/>
      <c r="BC11" s="75"/>
      <c r="BD11" s="75"/>
      <c r="BE11" s="75"/>
      <c r="BF11" s="75"/>
      <c r="BG11" s="75"/>
      <c r="BH11" s="75"/>
      <c r="BI11" s="76"/>
      <c r="BJ11" s="74"/>
      <c r="BK11" s="93"/>
      <c r="BL11" s="107"/>
      <c r="BM11" s="75"/>
      <c r="BN11" s="75"/>
      <c r="BO11" s="75"/>
      <c r="BP11" s="107"/>
      <c r="BQ11" s="76"/>
      <c r="BR11" s="74"/>
      <c r="BS11" s="75"/>
      <c r="BT11" s="75"/>
      <c r="BU11" s="75"/>
      <c r="BV11" s="75"/>
      <c r="BW11" s="75"/>
      <c r="BX11" s="75"/>
      <c r="BY11" s="76"/>
      <c r="BZ11" s="74"/>
      <c r="CA11" s="75"/>
      <c r="CB11" s="75"/>
      <c r="CC11" s="75"/>
      <c r="CD11" s="75"/>
      <c r="CE11" s="75"/>
      <c r="CF11" s="75"/>
      <c r="CG11" s="76"/>
      <c r="CH11" s="74"/>
      <c r="CI11" s="75"/>
      <c r="CJ11" s="75"/>
      <c r="CK11" s="76"/>
      <c r="CL11" s="236"/>
    </row>
    <row r="12" spans="1:98" ht="45" hidden="1" customHeight="1" outlineLevel="1">
      <c r="A12" s="133">
        <v>2023</v>
      </c>
      <c r="C12" s="130" t="s">
        <v>225</v>
      </c>
      <c r="D12" s="77"/>
      <c r="E12" s="94"/>
      <c r="F12" s="108"/>
      <c r="G12" s="78"/>
      <c r="H12" s="78"/>
      <c r="I12" s="78"/>
      <c r="J12" s="108" t="s">
        <v>131</v>
      </c>
      <c r="K12" s="79"/>
      <c r="L12" s="77"/>
      <c r="M12" s="94"/>
      <c r="N12" s="108"/>
      <c r="O12" s="78"/>
      <c r="P12" s="78"/>
      <c r="Q12" s="78"/>
      <c r="R12" s="108"/>
      <c r="S12" s="79"/>
      <c r="T12" s="77"/>
      <c r="U12" s="94"/>
      <c r="V12" s="108"/>
      <c r="W12" s="78"/>
      <c r="X12" s="78"/>
      <c r="Y12" s="78"/>
      <c r="Z12" s="108"/>
      <c r="AA12" s="79"/>
      <c r="AB12" s="77"/>
      <c r="AC12" s="94"/>
      <c r="AD12" s="108"/>
      <c r="AE12" s="78"/>
      <c r="AF12" s="78"/>
      <c r="AG12" s="78"/>
      <c r="AH12" s="108"/>
      <c r="AI12" s="79"/>
      <c r="AJ12" s="77"/>
      <c r="AK12" s="94"/>
      <c r="AL12" s="108"/>
      <c r="AM12" s="78"/>
      <c r="AN12" s="78"/>
      <c r="AO12" s="78"/>
      <c r="AP12" s="108"/>
      <c r="AQ12" s="79"/>
      <c r="AR12" s="77"/>
      <c r="AS12" s="80"/>
      <c r="AT12" s="94"/>
      <c r="AU12" s="117"/>
      <c r="AV12" s="78"/>
      <c r="AW12" s="78"/>
      <c r="AX12" s="78"/>
      <c r="AY12" s="117"/>
      <c r="AZ12" s="79"/>
      <c r="BA12" s="147"/>
      <c r="BB12" s="78"/>
      <c r="BC12" s="78"/>
      <c r="BD12" s="78"/>
      <c r="BE12" s="78"/>
      <c r="BF12" s="78"/>
      <c r="BG12" s="78"/>
      <c r="BH12" s="78"/>
      <c r="BI12" s="79"/>
      <c r="BJ12" s="77"/>
      <c r="BK12" s="94"/>
      <c r="BL12" s="108"/>
      <c r="BM12" s="78"/>
      <c r="BN12" s="78"/>
      <c r="BO12" s="78"/>
      <c r="BP12" s="108"/>
      <c r="BQ12" s="79"/>
      <c r="BR12" s="77"/>
      <c r="BS12" s="78"/>
      <c r="BT12" s="78"/>
      <c r="BU12" s="78"/>
      <c r="BV12" s="78"/>
      <c r="BW12" s="78"/>
      <c r="BX12" s="78"/>
      <c r="BY12" s="79"/>
      <c r="BZ12" s="77"/>
      <c r="CA12" s="78"/>
      <c r="CB12" s="78"/>
      <c r="CC12" s="78"/>
      <c r="CD12" s="78"/>
      <c r="CE12" s="78"/>
      <c r="CF12" s="78"/>
      <c r="CG12" s="79"/>
      <c r="CH12" s="77"/>
      <c r="CI12" s="78"/>
      <c r="CJ12" s="78"/>
      <c r="CK12" s="79"/>
      <c r="CL12" s="237"/>
      <c r="CR12">
        <v>45</v>
      </c>
      <c r="CS12">
        <v>51</v>
      </c>
      <c r="CT12">
        <v>60</v>
      </c>
    </row>
    <row r="13" spans="1:98" ht="45" hidden="1" customHeight="1" outlineLevel="1">
      <c r="A13" s="133">
        <v>2023</v>
      </c>
      <c r="C13" s="131" t="str">
        <f>CR12&amp;" - "&amp;CT12 &amp;" (" &amp; CS12 &amp; ")"</f>
        <v>45 - 60 (51)</v>
      </c>
      <c r="D13" s="68"/>
      <c r="E13" s="91"/>
      <c r="F13" s="105"/>
      <c r="G13" s="69"/>
      <c r="H13" s="69"/>
      <c r="I13" s="69"/>
      <c r="J13" s="105"/>
      <c r="K13" s="70"/>
      <c r="L13" s="68"/>
      <c r="M13" s="91"/>
      <c r="N13" s="105"/>
      <c r="O13" s="69"/>
      <c r="P13" s="69"/>
      <c r="Q13" s="69"/>
      <c r="R13" s="105"/>
      <c r="S13" s="70"/>
      <c r="T13" s="68"/>
      <c r="U13" s="91"/>
      <c r="V13" s="105"/>
      <c r="W13" s="69"/>
      <c r="X13" s="69"/>
      <c r="Y13" s="69"/>
      <c r="Z13" s="105"/>
      <c r="AA13" s="70"/>
      <c r="AB13" s="68"/>
      <c r="AC13" s="91"/>
      <c r="AD13" s="105"/>
      <c r="AE13" s="69"/>
      <c r="AF13" s="69"/>
      <c r="AG13" s="69"/>
      <c r="AH13" s="105"/>
      <c r="AI13" s="70"/>
      <c r="AJ13" s="68"/>
      <c r="AK13" s="91"/>
      <c r="AL13" s="105"/>
      <c r="AM13" s="69"/>
      <c r="AN13" s="69"/>
      <c r="AO13" s="69"/>
      <c r="AP13" s="105"/>
      <c r="AQ13" s="70"/>
      <c r="AR13" s="68"/>
      <c r="AS13" s="69"/>
      <c r="AT13" s="91"/>
      <c r="AU13" s="118"/>
      <c r="AV13" s="69"/>
      <c r="AW13" s="69"/>
      <c r="AX13" s="69"/>
      <c r="AY13" s="118"/>
      <c r="AZ13" s="70"/>
      <c r="BA13" s="148"/>
      <c r="BB13" s="69"/>
      <c r="BC13" s="69"/>
      <c r="BD13" s="69"/>
      <c r="BE13" s="69"/>
      <c r="BF13" s="69"/>
      <c r="BG13" s="69"/>
      <c r="BH13" s="69"/>
      <c r="BI13" s="70"/>
      <c r="BJ13" s="68"/>
      <c r="BK13" s="91"/>
      <c r="BL13" s="105"/>
      <c r="BM13" s="69"/>
      <c r="BN13" s="69"/>
      <c r="BO13" s="69"/>
      <c r="BP13" s="105"/>
      <c r="BQ13" s="70"/>
      <c r="BR13" s="68"/>
      <c r="BS13" s="69"/>
      <c r="BT13" s="69"/>
      <c r="BU13" s="69"/>
      <c r="BV13" s="69"/>
      <c r="BW13" s="69"/>
      <c r="BX13" s="69"/>
      <c r="BY13" s="70"/>
      <c r="BZ13" s="68"/>
      <c r="CA13" s="69"/>
      <c r="CB13" s="69"/>
      <c r="CC13" s="69"/>
      <c r="CD13" s="69"/>
      <c r="CE13" s="69"/>
      <c r="CF13" s="69"/>
      <c r="CG13" s="70"/>
      <c r="CH13" s="68"/>
      <c r="CI13" s="69"/>
      <c r="CJ13" s="69"/>
      <c r="CK13" s="70"/>
      <c r="CL13" s="234"/>
    </row>
    <row r="14" spans="1:98" ht="45" hidden="1" customHeight="1" outlineLevel="1">
      <c r="A14" s="133">
        <v>2023</v>
      </c>
      <c r="C14" s="130" t="s">
        <v>226</v>
      </c>
      <c r="D14" s="65"/>
      <c r="E14" s="90"/>
      <c r="F14" s="104"/>
      <c r="G14" s="66"/>
      <c r="H14" s="66"/>
      <c r="I14" s="66"/>
      <c r="J14" s="104"/>
      <c r="K14" s="67"/>
      <c r="L14" s="65"/>
      <c r="M14" s="90"/>
      <c r="N14" s="104"/>
      <c r="O14" s="66"/>
      <c r="P14" s="66"/>
      <c r="Q14" s="66"/>
      <c r="R14" s="104"/>
      <c r="S14" s="67"/>
      <c r="T14" s="65"/>
      <c r="U14" s="90"/>
      <c r="V14" s="104"/>
      <c r="W14" s="66"/>
      <c r="X14" s="66"/>
      <c r="Y14" s="66"/>
      <c r="Z14" s="104"/>
      <c r="AA14" s="67"/>
      <c r="AB14" s="65"/>
      <c r="AC14" s="90"/>
      <c r="AD14" s="104"/>
      <c r="AE14" s="66"/>
      <c r="AF14" s="66"/>
      <c r="AG14" s="66"/>
      <c r="AH14" s="104"/>
      <c r="AI14" s="67"/>
      <c r="AJ14" s="65"/>
      <c r="AK14" s="90"/>
      <c r="AL14" s="104"/>
      <c r="AM14" s="66"/>
      <c r="AN14" s="66"/>
      <c r="AO14" s="66"/>
      <c r="AP14" s="104"/>
      <c r="AQ14" s="67"/>
      <c r="AR14" s="65"/>
      <c r="AS14" s="66"/>
      <c r="AT14" s="90"/>
      <c r="AU14" s="119"/>
      <c r="AV14" s="66"/>
      <c r="AW14" s="66"/>
      <c r="AX14" s="66"/>
      <c r="AY14" s="119"/>
      <c r="AZ14" s="67"/>
      <c r="BA14" s="149"/>
      <c r="BB14" s="66"/>
      <c r="BC14" s="66"/>
      <c r="BD14" s="66"/>
      <c r="BE14" s="66"/>
      <c r="BF14" s="66"/>
      <c r="BG14" s="66"/>
      <c r="BH14" s="66"/>
      <c r="BI14" s="67"/>
      <c r="BJ14" s="65"/>
      <c r="BK14" s="90"/>
      <c r="BL14" s="104"/>
      <c r="BM14" s="66"/>
      <c r="BN14" s="66"/>
      <c r="BO14" s="66"/>
      <c r="BP14" s="104"/>
      <c r="BQ14" s="67"/>
      <c r="BR14" s="65"/>
      <c r="BS14" s="66"/>
      <c r="BT14" s="66"/>
      <c r="BU14" s="66"/>
      <c r="BV14" s="66"/>
      <c r="BW14" s="66"/>
      <c r="BX14" s="66"/>
      <c r="BY14" s="67"/>
      <c r="BZ14" s="65"/>
      <c r="CA14" s="66"/>
      <c r="CB14" s="66"/>
      <c r="CC14" s="66"/>
      <c r="CD14" s="66"/>
      <c r="CE14" s="66"/>
      <c r="CF14" s="66"/>
      <c r="CG14" s="67"/>
      <c r="CH14" s="65"/>
      <c r="CI14" s="66"/>
      <c r="CJ14" s="66"/>
      <c r="CK14" s="67"/>
      <c r="CL14" s="30"/>
      <c r="CR14">
        <v>50</v>
      </c>
      <c r="CS14">
        <v>57</v>
      </c>
      <c r="CT14">
        <v>66</v>
      </c>
    </row>
    <row r="15" spans="1:98" ht="45" hidden="1" customHeight="1" outlineLevel="1">
      <c r="A15" s="133">
        <v>2023</v>
      </c>
      <c r="C15" s="131" t="str">
        <f>CR14&amp;" - "&amp;CT14 &amp;" (" &amp; CS14 &amp; ")"</f>
        <v>50 - 66 (57)</v>
      </c>
      <c r="D15" s="65"/>
      <c r="E15" s="90"/>
      <c r="F15" s="104"/>
      <c r="G15" s="66"/>
      <c r="H15" s="66"/>
      <c r="I15" s="66"/>
      <c r="J15" s="104"/>
      <c r="K15" s="67"/>
      <c r="L15" s="65"/>
      <c r="M15" s="90"/>
      <c r="N15" s="104"/>
      <c r="O15" s="66"/>
      <c r="P15" s="66"/>
      <c r="Q15" s="66"/>
      <c r="R15" s="104"/>
      <c r="S15" s="67"/>
      <c r="T15" s="65"/>
      <c r="U15" s="90"/>
      <c r="V15" s="104"/>
      <c r="W15" s="66"/>
      <c r="X15" s="66"/>
      <c r="Y15" s="66"/>
      <c r="Z15" s="104"/>
      <c r="AA15" s="67"/>
      <c r="AB15" s="65"/>
      <c r="AC15" s="90"/>
      <c r="AD15" s="104"/>
      <c r="AE15" s="66"/>
      <c r="AF15" s="66"/>
      <c r="AG15" s="66"/>
      <c r="AH15" s="104"/>
      <c r="AI15" s="67"/>
      <c r="AJ15" s="65"/>
      <c r="AK15" s="90"/>
      <c r="AL15" s="104"/>
      <c r="AM15" s="66"/>
      <c r="AN15" s="66"/>
      <c r="AO15" s="66"/>
      <c r="AP15" s="104"/>
      <c r="AQ15" s="67"/>
      <c r="AR15" s="65"/>
      <c r="AS15" s="66"/>
      <c r="AT15" s="90"/>
      <c r="AU15" s="119"/>
      <c r="AV15" s="66"/>
      <c r="AW15" s="66"/>
      <c r="AX15" s="66"/>
      <c r="AY15" s="119"/>
      <c r="AZ15" s="67"/>
      <c r="BA15" s="149"/>
      <c r="BB15" s="66"/>
      <c r="BC15" s="66"/>
      <c r="BD15" s="66"/>
      <c r="BE15" s="66"/>
      <c r="BF15" s="66"/>
      <c r="BG15" s="66"/>
      <c r="BH15" s="66"/>
      <c r="BI15" s="67"/>
      <c r="BJ15" s="65"/>
      <c r="BK15" s="90"/>
      <c r="BL15" s="104"/>
      <c r="BM15" s="66"/>
      <c r="BN15" s="66"/>
      <c r="BO15" s="66"/>
      <c r="BP15" s="104"/>
      <c r="BQ15" s="67"/>
      <c r="BR15" s="65"/>
      <c r="BS15" s="66"/>
      <c r="BT15" s="66"/>
      <c r="BU15" s="66"/>
      <c r="BV15" s="66"/>
      <c r="BW15" s="66"/>
      <c r="BX15" s="66"/>
      <c r="BY15" s="67"/>
      <c r="BZ15" s="65"/>
      <c r="CA15" s="66"/>
      <c r="CB15" s="66"/>
      <c r="CC15" s="66"/>
      <c r="CD15" s="66"/>
      <c r="CE15" s="66"/>
      <c r="CF15" s="66"/>
      <c r="CG15" s="67"/>
      <c r="CH15" s="65"/>
      <c r="CI15" s="66"/>
      <c r="CJ15" s="66"/>
      <c r="CK15" s="67"/>
      <c r="CL15" s="30"/>
    </row>
    <row r="16" spans="1:98" ht="45" hidden="1" customHeight="1" outlineLevel="1">
      <c r="A16" s="133">
        <v>2023</v>
      </c>
      <c r="C16" s="130" t="s">
        <v>227</v>
      </c>
      <c r="D16" s="68"/>
      <c r="E16" s="91"/>
      <c r="F16" s="105"/>
      <c r="G16" s="69"/>
      <c r="H16" s="69"/>
      <c r="I16" s="69"/>
      <c r="J16" s="105"/>
      <c r="K16" s="70"/>
      <c r="L16" s="68"/>
      <c r="M16" s="91"/>
      <c r="N16" s="105"/>
      <c r="O16" s="69"/>
      <c r="P16" s="69"/>
      <c r="Q16" s="69"/>
      <c r="R16" s="105"/>
      <c r="S16" s="70"/>
      <c r="T16" s="68"/>
      <c r="U16" s="91"/>
      <c r="V16" s="105"/>
      <c r="W16" s="69"/>
      <c r="X16" s="69"/>
      <c r="Y16" s="69"/>
      <c r="Z16" s="105"/>
      <c r="AA16" s="70"/>
      <c r="AB16" s="68"/>
      <c r="AC16" s="91"/>
      <c r="AD16" s="105"/>
      <c r="AE16" s="69"/>
      <c r="AF16" s="69"/>
      <c r="AG16" s="69"/>
      <c r="AH16" s="105"/>
      <c r="AI16" s="70"/>
      <c r="AJ16" s="68"/>
      <c r="AK16" s="91"/>
      <c r="AL16" s="105"/>
      <c r="AM16" s="69"/>
      <c r="AN16" s="69"/>
      <c r="AO16" s="69"/>
      <c r="AP16" s="105"/>
      <c r="AQ16" s="70"/>
      <c r="AR16" s="68"/>
      <c r="AS16" s="69"/>
      <c r="AT16" s="91"/>
      <c r="AU16" s="118"/>
      <c r="AV16" s="69"/>
      <c r="AW16" s="69"/>
      <c r="AX16" s="69"/>
      <c r="AY16" s="118"/>
      <c r="AZ16" s="70"/>
      <c r="BA16" s="148"/>
      <c r="BB16" s="69"/>
      <c r="BC16" s="69"/>
      <c r="BD16" s="69"/>
      <c r="BE16" s="69"/>
      <c r="BF16" s="69"/>
      <c r="BG16" s="69"/>
      <c r="BH16" s="69"/>
      <c r="BI16" s="70"/>
      <c r="BJ16" s="68"/>
      <c r="BK16" s="91"/>
      <c r="BL16" s="105"/>
      <c r="BM16" s="69"/>
      <c r="BN16" s="69"/>
      <c r="BO16" s="69"/>
      <c r="BP16" s="105"/>
      <c r="BQ16" s="70"/>
      <c r="BR16" s="68"/>
      <c r="BS16" s="69"/>
      <c r="BT16" s="69"/>
      <c r="BU16" s="69"/>
      <c r="BV16" s="69"/>
      <c r="BW16" s="69"/>
      <c r="BX16" s="69"/>
      <c r="BY16" s="70"/>
      <c r="BZ16" s="68"/>
      <c r="CA16" s="69"/>
      <c r="CB16" s="69"/>
      <c r="CC16" s="69"/>
      <c r="CD16" s="69"/>
      <c r="CE16" s="69"/>
      <c r="CF16" s="69"/>
      <c r="CG16" s="70"/>
      <c r="CH16" s="68"/>
      <c r="CI16" s="69"/>
      <c r="CJ16" s="69"/>
      <c r="CK16" s="70"/>
      <c r="CL16" s="234"/>
      <c r="CR16">
        <v>55</v>
      </c>
      <c r="CS16">
        <v>62</v>
      </c>
      <c r="CT16">
        <v>72</v>
      </c>
    </row>
    <row r="17" spans="1:98" ht="45" hidden="1" customHeight="1" outlineLevel="1">
      <c r="A17" s="133">
        <v>2023</v>
      </c>
      <c r="C17" s="131" t="str">
        <f>CR16&amp;" - "&amp;CT16 &amp;" (" &amp; CS16 &amp; ")"</f>
        <v>55 - 72 (62)</v>
      </c>
      <c r="D17" s="68"/>
      <c r="E17" s="91"/>
      <c r="F17" s="105"/>
      <c r="G17" s="69"/>
      <c r="H17" s="69"/>
      <c r="I17" s="69"/>
      <c r="J17" s="105"/>
      <c r="K17" s="70"/>
      <c r="L17" s="68"/>
      <c r="M17" s="91"/>
      <c r="N17" s="105"/>
      <c r="O17" s="69"/>
      <c r="P17" s="69"/>
      <c r="Q17" s="69"/>
      <c r="R17" s="105"/>
      <c r="S17" s="70"/>
      <c r="T17" s="68"/>
      <c r="U17" s="91"/>
      <c r="V17" s="105"/>
      <c r="W17" s="69"/>
      <c r="X17" s="69"/>
      <c r="Y17" s="69"/>
      <c r="Z17" s="105"/>
      <c r="AA17" s="70"/>
      <c r="AB17" s="68"/>
      <c r="AC17" s="91"/>
      <c r="AD17" s="105"/>
      <c r="AE17" s="69"/>
      <c r="AF17" s="69"/>
      <c r="AG17" s="69"/>
      <c r="AH17" s="105"/>
      <c r="AI17" s="70"/>
      <c r="AJ17" s="68"/>
      <c r="AK17" s="91"/>
      <c r="AL17" s="105"/>
      <c r="AM17" s="69"/>
      <c r="AN17" s="69"/>
      <c r="AO17" s="69"/>
      <c r="AP17" s="105"/>
      <c r="AQ17" s="70"/>
      <c r="AR17" s="68"/>
      <c r="AS17" s="69"/>
      <c r="AT17" s="91"/>
      <c r="AU17" s="118"/>
      <c r="AV17" s="69"/>
      <c r="AW17" s="69"/>
      <c r="AX17" s="69"/>
      <c r="AY17" s="118"/>
      <c r="AZ17" s="70"/>
      <c r="BA17" s="148"/>
      <c r="BB17" s="69"/>
      <c r="BC17" s="69"/>
      <c r="BD17" s="69"/>
      <c r="BE17" s="69"/>
      <c r="BF17" s="69"/>
      <c r="BG17" s="69"/>
      <c r="BH17" s="69"/>
      <c r="BI17" s="70"/>
      <c r="BJ17" s="68"/>
      <c r="BK17" s="91"/>
      <c r="BL17" s="105"/>
      <c r="BM17" s="69"/>
      <c r="BN17" s="69"/>
      <c r="BO17" s="69"/>
      <c r="BP17" s="105"/>
      <c r="BQ17" s="70"/>
      <c r="BR17" s="68"/>
      <c r="BS17" s="69"/>
      <c r="BT17" s="69"/>
      <c r="BU17" s="69"/>
      <c r="BV17" s="69"/>
      <c r="BW17" s="69"/>
      <c r="BX17" s="69"/>
      <c r="BY17" s="70"/>
      <c r="BZ17" s="68"/>
      <c r="CA17" s="69"/>
      <c r="CB17" s="69"/>
      <c r="CC17" s="69"/>
      <c r="CD17" s="69"/>
      <c r="CE17" s="69"/>
      <c r="CF17" s="69"/>
      <c r="CG17" s="70"/>
      <c r="CH17" s="68"/>
      <c r="CI17" s="69"/>
      <c r="CJ17" s="69"/>
      <c r="CK17" s="70"/>
      <c r="CL17" s="234"/>
    </row>
    <row r="18" spans="1:98" ht="45" hidden="1" customHeight="1" outlineLevel="1">
      <c r="A18" s="133">
        <v>2023</v>
      </c>
      <c r="C18" s="130" t="s">
        <v>228</v>
      </c>
      <c r="D18" s="65"/>
      <c r="E18" s="90"/>
      <c r="F18" s="104"/>
      <c r="G18" s="66"/>
      <c r="H18" s="66"/>
      <c r="I18" s="66"/>
      <c r="J18" s="104"/>
      <c r="K18" s="67"/>
      <c r="L18" s="65"/>
      <c r="M18" s="90"/>
      <c r="N18" s="104"/>
      <c r="O18" s="66"/>
      <c r="P18" s="66"/>
      <c r="Q18" s="66"/>
      <c r="R18" s="104"/>
      <c r="S18" s="67"/>
      <c r="T18" s="65"/>
      <c r="U18" s="90"/>
      <c r="V18" s="104"/>
      <c r="W18" s="66"/>
      <c r="X18" s="66"/>
      <c r="Y18" s="66"/>
      <c r="Z18" s="104"/>
      <c r="AA18" s="67"/>
      <c r="AB18" s="65"/>
      <c r="AC18" s="90"/>
      <c r="AD18" s="104"/>
      <c r="AE18" s="66"/>
      <c r="AF18" s="66"/>
      <c r="AG18" s="66"/>
      <c r="AH18" s="104"/>
      <c r="AI18" s="67"/>
      <c r="AJ18" s="65"/>
      <c r="AK18" s="90"/>
      <c r="AL18" s="104"/>
      <c r="AM18" s="66"/>
      <c r="AN18" s="66"/>
      <c r="AO18" s="66"/>
      <c r="AP18" s="104"/>
      <c r="AQ18" s="67"/>
      <c r="AR18" s="65"/>
      <c r="AS18" s="66"/>
      <c r="AT18" s="90"/>
      <c r="AU18" s="119"/>
      <c r="AV18" s="66"/>
      <c r="AW18" s="66"/>
      <c r="AX18" s="66"/>
      <c r="AY18" s="119"/>
      <c r="AZ18" s="67"/>
      <c r="BA18" s="149"/>
      <c r="BB18" s="66"/>
      <c r="BC18" s="66"/>
      <c r="BD18" s="66"/>
      <c r="BE18" s="66"/>
      <c r="BF18" s="66"/>
      <c r="BG18" s="66"/>
      <c r="BH18" s="66"/>
      <c r="BI18" s="67"/>
      <c r="BJ18" s="65"/>
      <c r="BK18" s="90"/>
      <c r="BL18" s="104"/>
      <c r="BM18" s="66"/>
      <c r="BN18" s="66"/>
      <c r="BO18" s="66"/>
      <c r="BP18" s="104"/>
      <c r="BQ18" s="67"/>
      <c r="BR18" s="65"/>
      <c r="BS18" s="66"/>
      <c r="BT18" s="66"/>
      <c r="BU18" s="66"/>
      <c r="BV18" s="66"/>
      <c r="BW18" s="66"/>
      <c r="BX18" s="66"/>
      <c r="BY18" s="67"/>
      <c r="BZ18" s="65"/>
      <c r="CA18" s="66"/>
      <c r="CB18" s="66"/>
      <c r="CC18" s="66"/>
      <c r="CD18" s="66"/>
      <c r="CE18" s="66"/>
      <c r="CF18" s="66"/>
      <c r="CG18" s="67"/>
      <c r="CH18" s="65"/>
      <c r="CI18" s="66"/>
      <c r="CJ18" s="66"/>
      <c r="CK18" s="67"/>
      <c r="CL18" s="30"/>
      <c r="CR18">
        <v>58</v>
      </c>
      <c r="CS18">
        <v>66</v>
      </c>
      <c r="CT18">
        <v>77</v>
      </c>
    </row>
    <row r="19" spans="1:98" ht="45" hidden="1" customHeight="1" outlineLevel="1">
      <c r="A19" s="133">
        <v>2023</v>
      </c>
      <c r="C19" s="131" t="str">
        <f>CR18&amp;" - "&amp;CT18 &amp;" (" &amp; CS18 &amp; ")"</f>
        <v>58 - 77 (66)</v>
      </c>
      <c r="D19" s="65"/>
      <c r="E19" s="90"/>
      <c r="F19" s="104"/>
      <c r="G19" s="66"/>
      <c r="H19" s="66"/>
      <c r="I19" s="66"/>
      <c r="J19" s="104"/>
      <c r="K19" s="67"/>
      <c r="M19" s="90"/>
      <c r="N19" s="104"/>
      <c r="O19" s="66"/>
      <c r="P19" s="66"/>
      <c r="Q19" s="66"/>
      <c r="R19" s="104"/>
      <c r="S19" s="67"/>
      <c r="T19" s="65"/>
      <c r="U19" s="90"/>
      <c r="V19" s="104"/>
      <c r="W19" s="66"/>
      <c r="X19" s="66"/>
      <c r="Y19" s="66"/>
      <c r="Z19" s="104"/>
      <c r="AA19" s="67"/>
      <c r="AB19" s="65"/>
      <c r="AC19" s="90"/>
      <c r="AD19" s="90"/>
      <c r="AE19" s="66"/>
      <c r="AF19" s="66"/>
      <c r="AG19" s="66"/>
      <c r="AH19" s="104"/>
      <c r="AI19" s="67"/>
      <c r="AJ19" s="65"/>
      <c r="AK19" s="90"/>
      <c r="AL19" s="104"/>
      <c r="AM19" s="66"/>
      <c r="AN19" s="66"/>
      <c r="AO19" s="66"/>
      <c r="AP19" s="104"/>
      <c r="AQ19" s="67"/>
      <c r="AR19" s="65" t="s">
        <v>2701</v>
      </c>
      <c r="AS19" s="66" t="s">
        <v>2701</v>
      </c>
      <c r="AT19" s="90"/>
      <c r="AU19" s="119"/>
      <c r="AV19" s="66"/>
      <c r="AW19" s="66"/>
      <c r="AX19" s="66"/>
      <c r="AY19" s="119"/>
      <c r="AZ19" s="67"/>
      <c r="BA19" s="149"/>
      <c r="BB19" s="66"/>
      <c r="BC19" s="66"/>
      <c r="BD19" s="66"/>
      <c r="BE19" s="66"/>
      <c r="BF19" s="66"/>
      <c r="BG19" s="66"/>
      <c r="BH19" s="66"/>
      <c r="BI19" s="67"/>
      <c r="BJ19" s="65"/>
      <c r="BK19" s="90"/>
      <c r="BL19" s="104"/>
      <c r="BM19" s="66"/>
      <c r="BN19" s="66"/>
      <c r="BO19" s="66"/>
      <c r="BP19" s="104"/>
      <c r="BQ19" s="67"/>
      <c r="BR19" s="65"/>
      <c r="BS19" s="66"/>
      <c r="BT19" s="66"/>
      <c r="BU19" s="66"/>
      <c r="BV19" s="66"/>
      <c r="BW19" s="66"/>
      <c r="BX19" s="66"/>
      <c r="BY19" s="67"/>
      <c r="BZ19" s="65"/>
      <c r="CA19" s="66"/>
      <c r="CB19" s="66"/>
      <c r="CC19" s="66"/>
      <c r="CD19" s="66"/>
      <c r="CE19" s="66"/>
      <c r="CF19" s="66"/>
      <c r="CG19" s="67"/>
      <c r="CH19" s="65"/>
      <c r="CI19" s="66"/>
      <c r="CJ19" s="66"/>
      <c r="CK19" s="67"/>
      <c r="CL19" s="30"/>
    </row>
    <row r="20" spans="1:98" ht="45" hidden="1" customHeight="1" outlineLevel="1">
      <c r="A20" s="133">
        <v>2023</v>
      </c>
      <c r="C20" s="130" t="s">
        <v>229</v>
      </c>
      <c r="D20" s="68"/>
      <c r="E20" s="91"/>
      <c r="F20" s="105"/>
      <c r="G20" s="69"/>
      <c r="H20" s="69"/>
      <c r="I20" s="69"/>
      <c r="J20" s="105"/>
      <c r="K20" s="70"/>
      <c r="L20" s="65"/>
      <c r="M20" s="91"/>
      <c r="N20" s="105"/>
      <c r="O20" s="69"/>
      <c r="P20" s="69"/>
      <c r="Q20" s="69"/>
      <c r="R20" s="105"/>
      <c r="S20" s="70"/>
      <c r="T20" s="68"/>
      <c r="U20" s="91"/>
      <c r="V20" s="105"/>
      <c r="W20" s="69"/>
      <c r="X20" s="69"/>
      <c r="Y20" s="69"/>
      <c r="Z20" s="105"/>
      <c r="AA20" s="70"/>
      <c r="AB20" s="68"/>
      <c r="AC20" s="91"/>
      <c r="AD20" s="105"/>
      <c r="AE20" s="69"/>
      <c r="AF20" s="69"/>
      <c r="AG20" s="69"/>
      <c r="AH20" s="105"/>
      <c r="AI20" s="70"/>
      <c r="AJ20" s="68"/>
      <c r="AK20" s="91"/>
      <c r="AL20" s="105"/>
      <c r="AM20" s="69"/>
      <c r="AN20" s="69"/>
      <c r="AO20" s="69"/>
      <c r="AP20" s="105"/>
      <c r="AQ20" s="70"/>
      <c r="AR20" s="68"/>
      <c r="AS20" s="69"/>
      <c r="AT20" s="91"/>
      <c r="AU20" s="118"/>
      <c r="AV20" s="69"/>
      <c r="AW20" s="69"/>
      <c r="AX20" s="69"/>
      <c r="AY20" s="118"/>
      <c r="AZ20" s="70"/>
      <c r="BA20" s="148"/>
      <c r="BB20" s="69"/>
      <c r="BC20" s="69"/>
      <c r="BD20" s="69"/>
      <c r="BE20" s="69"/>
      <c r="BF20" s="69"/>
      <c r="BG20" s="69"/>
      <c r="BH20" s="69"/>
      <c r="BI20" s="70"/>
      <c r="BJ20" s="68"/>
      <c r="BK20" s="91"/>
      <c r="BL20" s="105"/>
      <c r="BM20" s="69"/>
      <c r="BN20" s="69"/>
      <c r="BO20" s="69"/>
      <c r="BP20" s="105"/>
      <c r="BQ20" s="70"/>
      <c r="BR20" s="68"/>
      <c r="BS20" s="69"/>
      <c r="BT20" s="69"/>
      <c r="BU20" s="69"/>
      <c r="BV20" s="69"/>
      <c r="BW20" s="69"/>
      <c r="BX20" s="69"/>
      <c r="BY20" s="70"/>
      <c r="BZ20" s="68"/>
      <c r="CA20" s="69"/>
      <c r="CB20" s="69"/>
      <c r="CC20" s="69"/>
      <c r="CD20" s="69"/>
      <c r="CE20" s="69"/>
      <c r="CF20" s="69"/>
      <c r="CG20" s="70"/>
      <c r="CH20" s="68"/>
      <c r="CI20" s="69"/>
      <c r="CJ20" s="69"/>
      <c r="CK20" s="70"/>
      <c r="CL20" s="234"/>
      <c r="CR20">
        <v>58</v>
      </c>
      <c r="CS20">
        <v>62</v>
      </c>
      <c r="CT20">
        <v>71</v>
      </c>
    </row>
    <row r="21" spans="1:98" ht="45" hidden="1" customHeight="1" outlineLevel="1">
      <c r="A21" s="133">
        <v>2023</v>
      </c>
      <c r="C21" s="131" t="str">
        <f>CR20&amp;" - "&amp;CT20 &amp;" (" &amp; CS20 &amp; ")"</f>
        <v>58 - 71 (62)</v>
      </c>
      <c r="D21" s="68"/>
      <c r="E21" s="91"/>
      <c r="F21" s="105"/>
      <c r="G21" s="69"/>
      <c r="H21" s="69"/>
      <c r="I21" s="69"/>
      <c r="J21" s="105"/>
      <c r="K21" s="70"/>
      <c r="L21" s="68"/>
      <c r="M21" s="91"/>
      <c r="N21" s="105"/>
      <c r="O21" s="69"/>
      <c r="P21" s="69"/>
      <c r="Q21" s="69"/>
      <c r="R21" s="105"/>
      <c r="S21" s="70"/>
      <c r="T21" s="68"/>
      <c r="U21" s="91"/>
      <c r="V21" s="105"/>
      <c r="W21" s="69"/>
      <c r="X21" s="69"/>
      <c r="Y21" s="69"/>
      <c r="Z21" s="105"/>
      <c r="AA21" s="70"/>
      <c r="AB21" s="68"/>
      <c r="AC21" s="91"/>
      <c r="AD21" s="105"/>
      <c r="AE21" s="69"/>
      <c r="AF21" s="69"/>
      <c r="AG21" s="69"/>
      <c r="AH21" s="105"/>
      <c r="AI21" s="70"/>
      <c r="AJ21" s="68"/>
      <c r="AK21" s="91"/>
      <c r="AL21" s="105"/>
      <c r="AM21" s="69"/>
      <c r="AN21" s="69"/>
      <c r="AO21" s="69"/>
      <c r="AP21" s="105"/>
      <c r="AQ21" s="70"/>
      <c r="AR21" s="68"/>
      <c r="AS21" s="69"/>
      <c r="AT21" s="91"/>
      <c r="AU21" s="118"/>
      <c r="AV21" s="69"/>
      <c r="AW21" s="69"/>
      <c r="AX21" s="69"/>
      <c r="AY21" s="118"/>
      <c r="AZ21" s="70"/>
      <c r="BA21" s="148"/>
      <c r="BB21" s="69"/>
      <c r="BC21" s="69"/>
      <c r="BD21" s="69"/>
      <c r="BE21" s="69"/>
      <c r="BF21" s="69"/>
      <c r="BG21" s="69"/>
      <c r="BH21" s="69"/>
      <c r="BI21" s="70"/>
      <c r="BJ21" s="68"/>
      <c r="BK21" s="91"/>
      <c r="BL21" s="105"/>
      <c r="BM21" s="69"/>
      <c r="BN21" s="69"/>
      <c r="BO21" s="69"/>
      <c r="BP21" s="105"/>
      <c r="BQ21" s="70"/>
      <c r="BR21" s="68"/>
      <c r="BS21" s="69"/>
      <c r="BT21" s="69"/>
      <c r="BU21" s="69"/>
      <c r="BV21" s="69"/>
      <c r="BW21" s="69"/>
      <c r="BX21" s="69"/>
      <c r="BY21" s="70"/>
      <c r="BZ21" s="68"/>
      <c r="CA21" s="69"/>
      <c r="CB21" s="69"/>
      <c r="CC21" s="69"/>
      <c r="CD21" s="69"/>
      <c r="CE21" s="69"/>
      <c r="CF21" s="69"/>
      <c r="CG21" s="70"/>
      <c r="CH21" s="68"/>
      <c r="CI21" s="69"/>
      <c r="CJ21" s="69"/>
      <c r="CK21" s="70"/>
      <c r="CL21" s="234"/>
    </row>
    <row r="22" spans="1:98" ht="45" hidden="1" customHeight="1" outlineLevel="1">
      <c r="A22" s="133">
        <v>2023</v>
      </c>
      <c r="C22" s="130" t="s">
        <v>230</v>
      </c>
      <c r="D22" s="65"/>
      <c r="E22" s="90"/>
      <c r="F22" s="104"/>
      <c r="G22" s="66"/>
      <c r="H22" s="66"/>
      <c r="I22" s="66"/>
      <c r="J22" s="104"/>
      <c r="K22" s="67"/>
      <c r="L22" s="65"/>
      <c r="M22" s="90"/>
      <c r="N22" s="104"/>
      <c r="O22" s="66"/>
      <c r="P22" s="66"/>
      <c r="Q22" s="66"/>
      <c r="R22" s="104"/>
      <c r="S22" s="67"/>
      <c r="T22" s="65"/>
      <c r="U22" s="90"/>
      <c r="V22" s="104"/>
      <c r="W22" s="66"/>
      <c r="X22" s="66"/>
      <c r="Y22" s="66"/>
      <c r="Z22" s="104"/>
      <c r="AA22" s="67"/>
      <c r="AB22" s="65"/>
      <c r="AC22" s="90"/>
      <c r="AD22" s="104"/>
      <c r="AE22" s="66"/>
      <c r="AF22" s="66"/>
      <c r="AG22" s="66"/>
      <c r="AH22" s="104"/>
      <c r="AI22" s="67"/>
      <c r="AJ22" s="65"/>
      <c r="AK22" s="90"/>
      <c r="AL22" s="104"/>
      <c r="AM22" s="66"/>
      <c r="AN22" s="66"/>
      <c r="AO22" s="66"/>
      <c r="AP22" s="104"/>
      <c r="AQ22" s="67"/>
      <c r="AR22" s="65"/>
      <c r="AS22" s="66"/>
      <c r="AT22" s="90"/>
      <c r="AU22" s="119"/>
      <c r="AV22" s="66"/>
      <c r="AW22" s="66"/>
      <c r="AX22" s="66"/>
      <c r="AY22" s="119"/>
      <c r="AZ22" s="67"/>
      <c r="BA22" s="149"/>
      <c r="BB22" s="66"/>
      <c r="BC22" s="66"/>
      <c r="BD22" s="66"/>
      <c r="BE22" s="66"/>
      <c r="BF22" s="66"/>
      <c r="BG22" s="66"/>
      <c r="BH22" s="66"/>
      <c r="BI22" s="66"/>
      <c r="BJ22" s="65"/>
      <c r="BK22" s="90"/>
      <c r="BL22" s="104"/>
      <c r="BM22" s="66"/>
      <c r="BN22" s="66"/>
      <c r="BO22" s="66"/>
      <c r="BP22" s="104"/>
      <c r="BQ22" s="67"/>
      <c r="BR22" s="65"/>
      <c r="BS22" s="66"/>
      <c r="BT22" s="66"/>
      <c r="BU22" s="66"/>
      <c r="BV22" s="66"/>
      <c r="BW22" s="66"/>
      <c r="BX22" s="66"/>
      <c r="BY22" s="67"/>
      <c r="BZ22" s="65"/>
      <c r="CA22" s="66"/>
      <c r="CB22" s="66"/>
      <c r="CC22" s="66"/>
      <c r="CD22" s="66"/>
      <c r="CE22" s="66"/>
      <c r="CF22" s="66"/>
      <c r="CG22" s="67"/>
      <c r="CH22" s="65"/>
      <c r="CI22" s="66"/>
      <c r="CJ22" s="66"/>
      <c r="CK22" s="67"/>
      <c r="CL22" s="30"/>
      <c r="CR22">
        <v>54</v>
      </c>
      <c r="CS22">
        <v>62</v>
      </c>
      <c r="CT22">
        <v>71</v>
      </c>
    </row>
    <row r="23" spans="1:98" ht="45" hidden="1" customHeight="1" outlineLevel="1">
      <c r="A23" s="133">
        <v>2023</v>
      </c>
      <c r="C23" s="131" t="str">
        <f>CR22&amp;" - "&amp;CT22 &amp;" (" &amp; CS22 &amp; ")"</f>
        <v>54 - 71 (62)</v>
      </c>
      <c r="D23" s="65"/>
      <c r="E23" s="90"/>
      <c r="F23" s="104"/>
      <c r="G23" s="66"/>
      <c r="H23" s="66"/>
      <c r="I23" s="66"/>
      <c r="J23" s="104"/>
      <c r="K23" s="67"/>
      <c r="L23" s="65"/>
      <c r="M23" s="90"/>
      <c r="N23" s="104"/>
      <c r="O23" s="66"/>
      <c r="P23" s="66"/>
      <c r="Q23" s="66"/>
      <c r="R23" s="104"/>
      <c r="S23" s="67"/>
      <c r="T23" s="65"/>
      <c r="U23" s="90"/>
      <c r="V23" s="104"/>
      <c r="W23" s="66"/>
      <c r="X23" s="66"/>
      <c r="Y23" s="66"/>
      <c r="Z23" s="104"/>
      <c r="AA23" s="67"/>
      <c r="AB23" s="65"/>
      <c r="AC23" s="90"/>
      <c r="AD23" s="104"/>
      <c r="AE23" s="66"/>
      <c r="AF23" s="66"/>
      <c r="AG23" s="66"/>
      <c r="AH23" s="104"/>
      <c r="AI23" s="67"/>
      <c r="AJ23" s="65"/>
      <c r="AK23" s="90"/>
      <c r="AL23" s="104"/>
      <c r="AM23" s="66"/>
      <c r="AN23" s="66"/>
      <c r="AO23" s="66"/>
      <c r="AP23" s="104"/>
      <c r="AQ23" s="67"/>
      <c r="AR23" s="65"/>
      <c r="AS23" s="66"/>
      <c r="AT23" s="90"/>
      <c r="AU23" s="119"/>
      <c r="AV23" s="66"/>
      <c r="AW23" s="66"/>
      <c r="AX23" s="66"/>
      <c r="AY23" s="119"/>
      <c r="AZ23" s="67"/>
      <c r="BA23" s="149"/>
      <c r="BB23" s="66"/>
      <c r="BC23" s="66"/>
      <c r="BD23" s="66"/>
      <c r="BE23" s="66"/>
      <c r="BF23" s="66"/>
      <c r="BG23" s="66"/>
      <c r="BH23" s="66"/>
      <c r="BI23" s="67"/>
      <c r="BJ23" s="65"/>
      <c r="BK23" s="90"/>
      <c r="BL23" s="104"/>
      <c r="BM23" s="66"/>
      <c r="BN23" s="66"/>
      <c r="BO23" s="66"/>
      <c r="BP23" s="104"/>
      <c r="BQ23" s="67"/>
      <c r="BR23" s="65"/>
      <c r="BS23" s="66"/>
      <c r="BT23" s="66"/>
      <c r="BU23" s="66"/>
      <c r="BV23" s="66"/>
      <c r="BW23" s="66"/>
      <c r="BX23" s="66"/>
      <c r="BY23" s="67"/>
      <c r="BZ23" s="65"/>
      <c r="CA23" s="66"/>
      <c r="CB23" s="66"/>
      <c r="CC23" s="66"/>
      <c r="CD23" s="66"/>
      <c r="CE23" s="66"/>
      <c r="CF23" s="66"/>
      <c r="CG23" s="67"/>
      <c r="CH23" s="65"/>
      <c r="CI23" s="66"/>
      <c r="CJ23" s="66"/>
      <c r="CK23" s="67"/>
      <c r="CL23" s="30"/>
    </row>
    <row r="24" spans="1:98" ht="45" hidden="1" customHeight="1" outlineLevel="1">
      <c r="A24" s="133">
        <v>2023</v>
      </c>
      <c r="C24" s="130" t="s">
        <v>231</v>
      </c>
      <c r="D24" s="68"/>
      <c r="E24" s="91"/>
      <c r="F24" s="105"/>
      <c r="G24" s="69"/>
      <c r="H24" s="69"/>
      <c r="I24" s="69"/>
      <c r="J24" s="105"/>
      <c r="K24" s="70"/>
      <c r="L24" s="68"/>
      <c r="M24" s="91"/>
      <c r="N24" s="105"/>
      <c r="O24" s="69"/>
      <c r="P24" s="69"/>
      <c r="Q24" s="69"/>
      <c r="R24" s="105"/>
      <c r="S24" s="70"/>
      <c r="T24" s="68"/>
      <c r="U24" s="91"/>
      <c r="V24" s="105"/>
      <c r="W24" s="69"/>
      <c r="X24" s="69"/>
      <c r="Y24" s="69"/>
      <c r="Z24" s="105"/>
      <c r="AA24" s="70"/>
      <c r="AB24" s="68"/>
      <c r="AC24" s="91"/>
      <c r="AD24" s="105"/>
      <c r="AE24" s="69"/>
      <c r="AF24" s="69"/>
      <c r="AG24" s="69"/>
      <c r="AH24" s="105"/>
      <c r="AI24" s="70"/>
      <c r="AJ24" s="68"/>
      <c r="AK24" s="91"/>
      <c r="AL24" s="105"/>
      <c r="AM24" s="69"/>
      <c r="AN24" s="69"/>
      <c r="AO24" s="69"/>
      <c r="AP24" s="105"/>
      <c r="AQ24" s="70"/>
      <c r="AR24" s="68"/>
      <c r="AS24" s="69"/>
      <c r="AT24" s="91"/>
      <c r="AU24" s="118"/>
      <c r="AV24" s="69"/>
      <c r="AW24" s="69"/>
      <c r="AX24" s="69"/>
      <c r="AY24" s="118"/>
      <c r="AZ24" s="70"/>
      <c r="BA24" s="148"/>
      <c r="BB24" s="69"/>
      <c r="BC24" s="69"/>
      <c r="BD24" s="69"/>
      <c r="BE24" s="69"/>
      <c r="BF24" s="69"/>
      <c r="BG24" s="69"/>
      <c r="BH24" s="69"/>
      <c r="BI24" s="70"/>
      <c r="BJ24" s="68"/>
      <c r="BK24" s="91"/>
      <c r="BL24" s="105"/>
      <c r="BM24" s="69"/>
      <c r="BN24" s="69"/>
      <c r="BO24" s="69"/>
      <c r="BP24" s="105"/>
      <c r="BQ24" s="70"/>
      <c r="BR24" s="68"/>
      <c r="BS24" s="69"/>
      <c r="BT24" s="69"/>
      <c r="BU24" s="69"/>
      <c r="BV24" s="69"/>
      <c r="BW24" s="69"/>
      <c r="BX24" s="69"/>
      <c r="BY24" s="70"/>
      <c r="BZ24" s="68"/>
      <c r="CA24" s="69"/>
      <c r="CB24" s="69"/>
      <c r="CC24" s="69"/>
      <c r="CD24" s="69"/>
      <c r="CE24" s="69"/>
      <c r="CF24" s="69"/>
      <c r="CG24" s="70"/>
      <c r="CH24" s="68"/>
      <c r="CI24" s="69"/>
      <c r="CJ24" s="69"/>
      <c r="CK24" s="70"/>
      <c r="CL24" s="234"/>
      <c r="CR24">
        <v>48</v>
      </c>
      <c r="CS24">
        <v>53</v>
      </c>
      <c r="CT24">
        <v>61</v>
      </c>
    </row>
    <row r="25" spans="1:98" ht="45" hidden="1" customHeight="1" outlineLevel="1">
      <c r="A25" s="133">
        <v>2023</v>
      </c>
      <c r="C25" s="131" t="str">
        <f>CR24&amp;" - "&amp;CT24 &amp;" (" &amp; CS24 &amp; ")"</f>
        <v>48 - 61 (53)</v>
      </c>
      <c r="D25" s="77"/>
      <c r="E25" s="94"/>
      <c r="F25" s="108"/>
      <c r="G25" s="78"/>
      <c r="H25" s="78"/>
      <c r="I25" s="78"/>
      <c r="J25" s="108"/>
      <c r="K25" s="79"/>
      <c r="L25" s="77"/>
      <c r="M25" s="94"/>
      <c r="N25" s="108"/>
      <c r="O25" s="78"/>
      <c r="P25" s="78"/>
      <c r="Q25" s="78"/>
      <c r="R25" s="108"/>
      <c r="S25" s="79"/>
      <c r="T25" s="77"/>
      <c r="U25" s="94"/>
      <c r="V25" s="108"/>
      <c r="W25" s="78"/>
      <c r="X25" s="78"/>
      <c r="Y25" s="78"/>
      <c r="Z25" s="108"/>
      <c r="AA25" s="79"/>
      <c r="AB25" s="77"/>
      <c r="AC25" s="94"/>
      <c r="AD25" s="108"/>
      <c r="AE25" s="78"/>
      <c r="AF25" s="78"/>
      <c r="AG25" s="78"/>
      <c r="AH25" s="108"/>
      <c r="AI25" s="79"/>
      <c r="AJ25" s="77"/>
      <c r="AK25" s="94"/>
      <c r="AL25" s="108"/>
      <c r="AM25" s="78"/>
      <c r="AN25" s="78"/>
      <c r="AO25" s="78"/>
      <c r="AP25" s="108"/>
      <c r="AQ25" s="79"/>
      <c r="AR25" s="77"/>
      <c r="AS25" s="80"/>
      <c r="AT25" s="94"/>
      <c r="AU25" s="117"/>
      <c r="AV25" s="78"/>
      <c r="AW25" s="78"/>
      <c r="AX25" s="78"/>
      <c r="AY25" s="117"/>
      <c r="AZ25" s="79"/>
      <c r="BA25" s="147"/>
      <c r="BB25" s="78"/>
      <c r="BC25" s="78"/>
      <c r="BD25" s="78"/>
      <c r="BE25" s="78"/>
      <c r="BF25" s="78"/>
      <c r="BG25" s="78"/>
      <c r="BH25" s="78"/>
      <c r="BI25" s="79"/>
      <c r="BJ25" s="77"/>
      <c r="BK25" s="94"/>
      <c r="BL25" s="108"/>
      <c r="BM25" s="78"/>
      <c r="BN25" s="78"/>
      <c r="BO25" s="78"/>
      <c r="BP25" s="108"/>
      <c r="BQ25" s="79"/>
      <c r="BR25" s="77"/>
      <c r="BS25" s="78"/>
      <c r="BT25" s="78"/>
      <c r="BU25" s="78"/>
      <c r="BV25" s="78"/>
      <c r="BW25" s="78"/>
      <c r="BX25" s="78"/>
      <c r="BY25" s="79"/>
      <c r="BZ25" s="77"/>
      <c r="CA25" s="78"/>
      <c r="CB25" s="78"/>
      <c r="CC25" s="78"/>
      <c r="CD25" s="78"/>
      <c r="CE25" s="78"/>
      <c r="CF25" s="78"/>
      <c r="CG25" s="79"/>
      <c r="CH25" s="77"/>
      <c r="CI25" s="78"/>
      <c r="CJ25" s="78"/>
      <c r="CK25" s="79"/>
      <c r="CL25" s="237"/>
    </row>
    <row r="26" spans="1:98" ht="45" hidden="1" customHeight="1" outlineLevel="1">
      <c r="A26" s="133">
        <v>2023</v>
      </c>
      <c r="C26" s="130" t="s">
        <v>232</v>
      </c>
      <c r="D26" s="74"/>
      <c r="E26" s="93"/>
      <c r="F26" s="107"/>
      <c r="G26" s="75"/>
      <c r="H26" s="75"/>
      <c r="I26" s="75"/>
      <c r="J26" s="107"/>
      <c r="K26" s="76"/>
      <c r="L26" s="74"/>
      <c r="M26" s="93"/>
      <c r="N26" s="107"/>
      <c r="O26" s="75"/>
      <c r="P26" s="75"/>
      <c r="Q26" s="75"/>
      <c r="R26" s="107"/>
      <c r="S26" s="76"/>
      <c r="T26" s="74"/>
      <c r="U26" s="93"/>
      <c r="V26" s="107"/>
      <c r="W26" s="75"/>
      <c r="X26" s="75"/>
      <c r="Y26" s="75"/>
      <c r="Z26" s="107"/>
      <c r="AA26" s="76"/>
      <c r="AB26" s="74"/>
      <c r="AC26" s="93"/>
      <c r="AD26" s="107"/>
      <c r="AE26" s="75"/>
      <c r="AF26" s="75"/>
      <c r="AG26" s="75"/>
      <c r="AH26" s="107"/>
      <c r="AI26" s="76"/>
      <c r="AJ26" s="74"/>
      <c r="AK26" s="93"/>
      <c r="AL26" s="107"/>
      <c r="AM26" s="75"/>
      <c r="AN26" s="75"/>
      <c r="AO26" s="75"/>
      <c r="AP26" s="107"/>
      <c r="AQ26" s="76"/>
      <c r="AR26" s="74"/>
      <c r="AS26" s="81"/>
      <c r="AT26" s="93"/>
      <c r="AU26" s="120"/>
      <c r="AV26" s="75"/>
      <c r="AW26" s="75"/>
      <c r="AX26" s="75"/>
      <c r="AY26" s="120"/>
      <c r="AZ26" s="76"/>
      <c r="BA26" s="150"/>
      <c r="BB26" s="75"/>
      <c r="BC26" s="75"/>
      <c r="BD26" s="75"/>
      <c r="BE26" s="75"/>
      <c r="BF26" s="75"/>
      <c r="BG26" s="75"/>
      <c r="BH26" s="75"/>
      <c r="BI26" s="76"/>
      <c r="BJ26" s="74"/>
      <c r="BK26" s="93"/>
      <c r="BL26" s="107"/>
      <c r="BM26" s="75"/>
      <c r="BN26" s="75"/>
      <c r="BO26" s="75"/>
      <c r="BP26" s="107"/>
      <c r="BQ26" s="76"/>
      <c r="BR26" s="74"/>
      <c r="BS26" s="75"/>
      <c r="BT26" s="75"/>
      <c r="BU26" s="75"/>
      <c r="BV26" s="75"/>
      <c r="BW26" s="75"/>
      <c r="BX26" s="75"/>
      <c r="BY26" s="76"/>
      <c r="BZ26" s="74"/>
      <c r="CA26" s="75"/>
      <c r="CB26" s="75"/>
      <c r="CC26" s="75"/>
      <c r="CD26" s="75"/>
      <c r="CE26" s="75"/>
      <c r="CF26" s="75"/>
      <c r="CG26" s="76"/>
      <c r="CH26" s="74"/>
      <c r="CI26" s="75"/>
      <c r="CJ26" s="75"/>
      <c r="CK26" s="76"/>
      <c r="CL26" s="236"/>
      <c r="CR26">
        <v>42</v>
      </c>
      <c r="CS26">
        <v>46</v>
      </c>
      <c r="CT26">
        <v>52</v>
      </c>
    </row>
    <row r="27" spans="1:98" ht="45" hidden="1" customHeight="1" outlineLevel="1">
      <c r="A27" s="133">
        <v>2023</v>
      </c>
      <c r="C27" s="131" t="str">
        <f>CR26&amp;" - "&amp;CT26 &amp;" (" &amp; CS26 &amp; ")"</f>
        <v>42 - 52 (46)</v>
      </c>
      <c r="D27" s="65"/>
      <c r="E27" s="90"/>
      <c r="F27" s="104"/>
      <c r="G27" s="66"/>
      <c r="H27" s="66"/>
      <c r="I27" s="66"/>
      <c r="J27" s="104"/>
      <c r="K27" s="67"/>
      <c r="L27" s="65"/>
      <c r="M27" s="90"/>
      <c r="N27" s="104"/>
      <c r="O27" s="66"/>
      <c r="P27" s="66"/>
      <c r="Q27" s="66"/>
      <c r="R27" s="104"/>
      <c r="S27" s="67"/>
      <c r="T27" s="65"/>
      <c r="U27" s="90"/>
      <c r="V27" s="104"/>
      <c r="W27" s="66"/>
      <c r="X27" s="66"/>
      <c r="Y27" s="66"/>
      <c r="Z27" s="104"/>
      <c r="AA27" s="67"/>
      <c r="AB27" s="65"/>
      <c r="AC27" s="90"/>
      <c r="AD27" s="104"/>
      <c r="AE27" s="66"/>
      <c r="AF27" s="66"/>
      <c r="AG27" s="66"/>
      <c r="AH27" s="104"/>
      <c r="AI27" s="67"/>
      <c r="AJ27" s="65"/>
      <c r="AK27" s="90"/>
      <c r="AL27" s="104"/>
      <c r="AM27" s="66"/>
      <c r="AN27" s="66"/>
      <c r="AO27" s="66"/>
      <c r="AP27" s="104"/>
      <c r="AQ27" s="67"/>
      <c r="AR27" s="65"/>
      <c r="AS27" s="82"/>
      <c r="AT27" s="90"/>
      <c r="AU27" s="119"/>
      <c r="AV27" s="66"/>
      <c r="AW27" s="66"/>
      <c r="AX27" s="66"/>
      <c r="AY27" s="119"/>
      <c r="AZ27" s="67"/>
      <c r="BA27" s="149"/>
      <c r="BB27" s="66"/>
      <c r="BC27" s="66"/>
      <c r="BD27" s="66"/>
      <c r="BE27" s="66"/>
      <c r="BF27" s="66"/>
      <c r="BG27" s="66"/>
      <c r="BH27" s="66"/>
      <c r="BI27" s="67"/>
      <c r="BJ27" s="65"/>
      <c r="BK27" s="90"/>
      <c r="BL27" s="104"/>
      <c r="BM27" s="66"/>
      <c r="BN27" s="66"/>
      <c r="BO27" s="66"/>
      <c r="BP27" s="104"/>
      <c r="BQ27" s="67"/>
      <c r="BR27" s="65"/>
      <c r="BS27" s="66"/>
      <c r="BT27" s="66"/>
      <c r="BU27" s="66"/>
      <c r="BV27" s="66"/>
      <c r="BW27" s="66"/>
      <c r="BX27" s="66"/>
      <c r="BY27" s="67"/>
      <c r="BZ27" s="65"/>
      <c r="CA27" s="66"/>
      <c r="CB27" s="66"/>
      <c r="CC27" s="66"/>
      <c r="CD27" s="66"/>
      <c r="CE27" s="66"/>
      <c r="CF27" s="66"/>
      <c r="CG27" s="67"/>
      <c r="CH27" s="65"/>
      <c r="CI27" s="66"/>
      <c r="CJ27" s="66"/>
      <c r="CK27" s="67"/>
      <c r="CL27" s="30"/>
    </row>
    <row r="28" spans="1:98" ht="45" hidden="1" customHeight="1" outlineLevel="1">
      <c r="A28" s="133">
        <v>2023</v>
      </c>
      <c r="C28" s="130" t="s">
        <v>233</v>
      </c>
      <c r="D28" s="68"/>
      <c r="E28" s="91"/>
      <c r="F28" s="105"/>
      <c r="G28" s="69"/>
      <c r="H28" s="69"/>
      <c r="I28" s="69"/>
      <c r="J28" s="105"/>
      <c r="K28" s="70"/>
      <c r="L28" s="68"/>
      <c r="M28" s="91"/>
      <c r="N28" s="105"/>
      <c r="O28" s="69"/>
      <c r="P28" s="69"/>
      <c r="Q28" s="69"/>
      <c r="R28" s="105"/>
      <c r="S28" s="70"/>
      <c r="T28" s="68"/>
      <c r="U28" s="91"/>
      <c r="V28" s="105"/>
      <c r="W28" s="69"/>
      <c r="X28" s="69"/>
      <c r="Y28" s="69"/>
      <c r="Z28" s="105"/>
      <c r="AA28" s="70"/>
      <c r="AB28" s="68"/>
      <c r="AC28" s="91"/>
      <c r="AD28" s="105"/>
      <c r="AE28" s="69"/>
      <c r="AF28" s="69"/>
      <c r="AG28" s="69"/>
      <c r="AH28" s="105"/>
      <c r="AI28" s="70"/>
      <c r="AJ28" s="68"/>
      <c r="AK28" s="91"/>
      <c r="AL28" s="105"/>
      <c r="AM28" s="69"/>
      <c r="AN28" s="69"/>
      <c r="AO28" s="69"/>
      <c r="AP28" s="105"/>
      <c r="AQ28" s="70"/>
      <c r="AR28" s="68"/>
      <c r="AS28" s="83"/>
      <c r="AT28" s="91"/>
      <c r="AU28" s="118"/>
      <c r="AV28" s="69"/>
      <c r="AW28" s="69"/>
      <c r="AX28" s="69"/>
      <c r="AY28" s="118"/>
      <c r="AZ28" s="70"/>
      <c r="BA28" s="148"/>
      <c r="BB28" s="69"/>
      <c r="BC28" s="69"/>
      <c r="BD28" s="69"/>
      <c r="BE28" s="69"/>
      <c r="BF28" s="69"/>
      <c r="BG28" s="69"/>
      <c r="BH28" s="69"/>
      <c r="BI28" s="70"/>
      <c r="BJ28" s="68"/>
      <c r="BK28" s="91"/>
      <c r="BL28" s="105"/>
      <c r="BM28" s="69"/>
      <c r="BN28" s="69"/>
      <c r="BO28" s="69"/>
      <c r="BP28" s="105"/>
      <c r="BQ28" s="70"/>
      <c r="BR28" s="68"/>
      <c r="BS28" s="69"/>
      <c r="BT28" s="69"/>
      <c r="BU28" s="69"/>
      <c r="BV28" s="69"/>
      <c r="BW28" s="69"/>
      <c r="BX28" s="69"/>
      <c r="BY28" s="70"/>
      <c r="BZ28" s="68"/>
      <c r="CA28" s="69"/>
      <c r="CB28" s="69"/>
      <c r="CC28" s="69"/>
      <c r="CD28" s="69"/>
      <c r="CE28" s="69"/>
      <c r="CF28" s="69"/>
      <c r="CG28" s="70"/>
      <c r="CH28" s="68"/>
      <c r="CI28" s="69"/>
      <c r="CJ28" s="69"/>
      <c r="CK28" s="70"/>
      <c r="CL28" s="234"/>
      <c r="CR28">
        <v>38</v>
      </c>
      <c r="CS28">
        <v>41</v>
      </c>
      <c r="CT28">
        <v>47</v>
      </c>
    </row>
    <row r="29" spans="1:98" ht="45" hidden="1" customHeight="1" outlineLevel="1" thickBot="1">
      <c r="A29" s="133">
        <v>2023</v>
      </c>
      <c r="C29" s="131" t="str">
        <f>CR28&amp;" - "&amp;CT28 &amp;" (" &amp; CS28 &amp; ")"</f>
        <v>38 - 47 (41)</v>
      </c>
      <c r="D29" s="84"/>
      <c r="E29" s="95"/>
      <c r="F29" s="109"/>
      <c r="G29" s="85"/>
      <c r="H29" s="85"/>
      <c r="I29" s="85"/>
      <c r="J29" s="109"/>
      <c r="K29" s="86"/>
      <c r="L29" s="84"/>
      <c r="M29" s="95"/>
      <c r="N29" s="109"/>
      <c r="O29" s="85"/>
      <c r="P29" s="85"/>
      <c r="Q29" s="85"/>
      <c r="R29" s="109"/>
      <c r="S29" s="86"/>
      <c r="T29" s="84"/>
      <c r="U29" s="95"/>
      <c r="V29" s="109"/>
      <c r="W29" s="85"/>
      <c r="X29" s="85"/>
      <c r="Y29" s="85"/>
      <c r="Z29" s="109"/>
      <c r="AA29" s="86"/>
      <c r="AB29" s="84"/>
      <c r="AC29" s="95"/>
      <c r="AD29" s="109"/>
      <c r="AE29" s="85"/>
      <c r="AF29" s="85"/>
      <c r="AG29" s="95"/>
      <c r="AH29" s="109"/>
      <c r="AI29" s="86"/>
      <c r="AJ29" s="84"/>
      <c r="AK29" s="95"/>
      <c r="AL29" s="109"/>
      <c r="AM29" s="85"/>
      <c r="AN29" s="85"/>
      <c r="AO29" s="85"/>
      <c r="AP29" s="109"/>
      <c r="AQ29" s="86"/>
      <c r="AR29" s="84"/>
      <c r="AS29" s="87"/>
      <c r="AT29" s="95"/>
      <c r="AU29" s="121"/>
      <c r="AV29" s="85"/>
      <c r="AW29" s="85"/>
      <c r="AX29" s="85"/>
      <c r="AY29" s="121"/>
      <c r="AZ29" s="86"/>
      <c r="BA29" s="151"/>
      <c r="BB29" s="85"/>
      <c r="BC29" s="85"/>
      <c r="BD29" s="85"/>
      <c r="BE29" s="85"/>
      <c r="BF29" s="85"/>
      <c r="BG29" s="85"/>
      <c r="BH29" s="85"/>
      <c r="BI29" s="86"/>
      <c r="BJ29" s="84"/>
      <c r="BK29" s="95"/>
      <c r="BL29" s="109"/>
      <c r="BM29" s="85"/>
      <c r="BN29" s="85"/>
      <c r="BO29" s="85"/>
      <c r="BP29" s="109"/>
      <c r="BQ29" s="86"/>
      <c r="BR29" s="84"/>
      <c r="BS29" s="85"/>
      <c r="BT29" s="85"/>
      <c r="BU29" s="85"/>
      <c r="BV29" s="85"/>
      <c r="BW29" s="85"/>
      <c r="BX29" s="85"/>
      <c r="BY29" s="86"/>
      <c r="BZ29" s="84"/>
      <c r="CA29" s="85"/>
      <c r="CB29" s="85"/>
      <c r="CC29" s="85"/>
      <c r="CD29" s="85"/>
      <c r="CE29" s="85"/>
      <c r="CF29" s="85"/>
      <c r="CG29" s="86"/>
      <c r="CH29" s="84"/>
      <c r="CI29" s="85"/>
      <c r="CJ29" s="85"/>
      <c r="CK29" s="86"/>
      <c r="CL29" s="234"/>
    </row>
    <row r="30" spans="1:98" ht="45" customHeight="1" collapsed="1">
      <c r="A30" s="133">
        <v>2024</v>
      </c>
      <c r="C30" s="130" t="s">
        <v>222</v>
      </c>
      <c r="D30" s="2"/>
      <c r="E30" s="96"/>
      <c r="F30" s="110"/>
      <c r="G30" s="3"/>
      <c r="H30" s="3"/>
      <c r="I30" s="3"/>
      <c r="J30" s="104"/>
      <c r="K30" s="4"/>
      <c r="M30" s="96"/>
      <c r="N30" s="110"/>
      <c r="O30" s="3"/>
      <c r="P30" s="66"/>
      <c r="Q30" s="3"/>
      <c r="R30" s="110"/>
      <c r="S30" s="4"/>
      <c r="T30" s="2"/>
      <c r="U30" s="96"/>
      <c r="V30" s="110"/>
      <c r="W30" s="3"/>
      <c r="X30" s="3"/>
      <c r="Y30" s="3"/>
      <c r="Z30" s="3"/>
      <c r="AA30" s="3"/>
      <c r="AB30" s="2"/>
      <c r="AC30" s="96"/>
      <c r="AD30" s="110"/>
      <c r="AE30" s="66"/>
      <c r="AF30" s="3"/>
      <c r="AG30" s="96"/>
      <c r="AH30" s="110"/>
      <c r="AI30" s="4"/>
      <c r="AJ30" s="2"/>
      <c r="AK30" s="96"/>
      <c r="AL30" s="110"/>
      <c r="AM30" s="3"/>
      <c r="AN30" s="3"/>
      <c r="AO30" s="3"/>
      <c r="AP30" s="110"/>
      <c r="AQ30" s="4"/>
      <c r="AR30" s="2"/>
      <c r="AS30" s="60"/>
      <c r="AT30" s="96"/>
      <c r="AU30" s="122"/>
      <c r="AV30" s="3"/>
      <c r="AW30" s="3"/>
      <c r="AX30" s="3"/>
      <c r="AY30" s="122"/>
      <c r="AZ30" s="4"/>
      <c r="BA30" s="152"/>
      <c r="BB30" s="3"/>
      <c r="BC30" s="3"/>
      <c r="BD30" s="3"/>
      <c r="BE30" s="3"/>
      <c r="BF30" s="3"/>
      <c r="BG30" s="3"/>
      <c r="BH30" s="3"/>
      <c r="BI30" s="4"/>
      <c r="BJ30" s="2"/>
      <c r="BK30" s="96"/>
      <c r="BL30" s="110"/>
      <c r="BM30" s="3"/>
      <c r="BN30" s="3"/>
      <c r="BO30" s="110" t="s">
        <v>140</v>
      </c>
      <c r="BP30" s="110"/>
      <c r="BQ30" s="4"/>
      <c r="BR30" s="137"/>
      <c r="BS30" s="138"/>
      <c r="BT30" s="138"/>
      <c r="BU30" s="138"/>
      <c r="BV30" s="138"/>
      <c r="BW30" s="138"/>
      <c r="BX30" s="138"/>
      <c r="BY30" s="139"/>
      <c r="BZ30" s="2"/>
      <c r="CA30" s="3"/>
      <c r="CB30" s="3"/>
      <c r="CC30" s="3"/>
      <c r="CD30" s="3"/>
      <c r="CE30" s="3"/>
      <c r="CF30" s="3"/>
      <c r="CG30" s="4"/>
      <c r="CH30" s="2"/>
      <c r="CI30" s="3"/>
      <c r="CJ30" s="3"/>
      <c r="CK30" s="4"/>
      <c r="CR30">
        <v>38</v>
      </c>
      <c r="CS30">
        <v>42</v>
      </c>
      <c r="CT30">
        <v>48</v>
      </c>
    </row>
    <row r="31" spans="1:98" ht="45" customHeight="1">
      <c r="A31" s="133">
        <v>2024</v>
      </c>
      <c r="C31" s="131" t="str">
        <f>CR30&amp;" - "&amp;CT30 &amp;" (" &amp; CS30 &amp; ")"</f>
        <v>38 - 48 (42)</v>
      </c>
      <c r="D31" s="5"/>
      <c r="E31" s="97"/>
      <c r="F31" s="111"/>
      <c r="G31" s="6"/>
      <c r="H31" s="6"/>
      <c r="I31" s="6"/>
      <c r="J31" s="111"/>
      <c r="K31" s="7"/>
      <c r="L31" s="5"/>
      <c r="M31" s="97"/>
      <c r="N31" s="111"/>
      <c r="O31" s="6"/>
      <c r="P31" s="6"/>
      <c r="Q31" s="6"/>
      <c r="R31" s="111"/>
      <c r="S31" s="7"/>
      <c r="T31" s="5"/>
      <c r="U31" s="97"/>
      <c r="V31" s="111"/>
      <c r="W31" s="6"/>
      <c r="X31" s="6"/>
      <c r="Y31" s="6"/>
      <c r="Z31" s="111"/>
      <c r="AA31" s="7"/>
      <c r="AB31" s="5"/>
      <c r="AC31" s="97"/>
      <c r="AD31" s="111"/>
      <c r="AE31" s="6"/>
      <c r="AF31" s="6"/>
      <c r="AG31" s="6"/>
      <c r="AH31" s="111"/>
      <c r="AI31" s="7"/>
      <c r="AJ31" s="5"/>
      <c r="AK31" s="97"/>
      <c r="AL31" s="111"/>
      <c r="AM31" s="6"/>
      <c r="AN31" s="6"/>
      <c r="AO31" s="6"/>
      <c r="AP31" s="111"/>
      <c r="AQ31" s="7"/>
      <c r="AR31" s="5"/>
      <c r="AS31" s="57"/>
      <c r="AT31" s="97"/>
      <c r="AU31" s="123"/>
      <c r="AV31" s="6"/>
      <c r="AW31" s="6"/>
      <c r="AX31" s="6"/>
      <c r="AY31" s="123"/>
      <c r="AZ31" s="7"/>
      <c r="BA31" s="153"/>
      <c r="BB31" s="6"/>
      <c r="BC31" s="6"/>
      <c r="BD31" s="6"/>
      <c r="BE31" s="6"/>
      <c r="BF31" s="6"/>
      <c r="BG31" s="6"/>
      <c r="BH31" s="6"/>
      <c r="BI31" s="7"/>
      <c r="BJ31" s="5"/>
      <c r="BK31" s="97"/>
      <c r="BL31" s="111"/>
      <c r="BM31" s="6"/>
      <c r="BN31" s="6"/>
      <c r="BO31" s="6" t="s">
        <v>140</v>
      </c>
      <c r="BP31" s="111"/>
      <c r="BQ31" s="7"/>
      <c r="BR31" s="140"/>
      <c r="BS31" s="141"/>
      <c r="BT31" s="141"/>
      <c r="BU31" s="141"/>
      <c r="BV31" s="141"/>
      <c r="BW31" s="141"/>
      <c r="BX31" s="141"/>
      <c r="BY31" s="142"/>
      <c r="BZ31" s="5"/>
      <c r="CA31" s="6"/>
      <c r="CB31" s="6"/>
      <c r="CC31" s="6"/>
      <c r="CD31" s="6"/>
      <c r="CE31" s="6"/>
      <c r="CF31" s="6"/>
      <c r="CG31" s="7"/>
      <c r="CH31" s="5"/>
      <c r="CI31" s="6"/>
      <c r="CJ31" s="6"/>
      <c r="CK31" s="7"/>
    </row>
    <row r="32" spans="1:98" ht="45" customHeight="1">
      <c r="A32" s="133">
        <v>2024</v>
      </c>
      <c r="B32">
        <f>4000/(100*16)</f>
        <v>2.5</v>
      </c>
      <c r="C32" s="130" t="s">
        <v>223</v>
      </c>
      <c r="D32" s="8"/>
      <c r="E32" s="98"/>
      <c r="F32" s="112"/>
      <c r="G32" s="9"/>
      <c r="H32" s="9"/>
      <c r="I32" s="9"/>
      <c r="J32" s="112"/>
      <c r="K32" s="10"/>
      <c r="L32" s="8"/>
      <c r="M32" s="98"/>
      <c r="N32" s="112"/>
      <c r="O32" s="9"/>
      <c r="P32" s="9"/>
      <c r="Q32" s="9"/>
      <c r="R32" s="112"/>
      <c r="S32" s="10"/>
      <c r="T32" s="8"/>
      <c r="U32" s="98"/>
      <c r="V32" s="112"/>
      <c r="W32" s="9"/>
      <c r="X32" s="9"/>
      <c r="Y32" s="9"/>
      <c r="Z32" s="112"/>
      <c r="AA32" s="10"/>
      <c r="AB32" s="8"/>
      <c r="AC32" s="98"/>
      <c r="AD32" s="112"/>
      <c r="AE32" s="9"/>
      <c r="AF32" s="9"/>
      <c r="AG32" s="9"/>
      <c r="AH32" s="112"/>
      <c r="AI32" s="10"/>
      <c r="AJ32" s="8"/>
      <c r="AK32" s="98"/>
      <c r="AL32" s="112"/>
      <c r="AM32" s="9"/>
      <c r="AN32" s="9"/>
      <c r="AO32" s="9"/>
      <c r="AP32" s="112"/>
      <c r="AQ32" s="10"/>
      <c r="AR32" s="8"/>
      <c r="AS32" s="58"/>
      <c r="AT32" s="98"/>
      <c r="AU32" s="124"/>
      <c r="AV32" s="9"/>
      <c r="AW32" s="9"/>
      <c r="AX32" s="9"/>
      <c r="AY32" s="124"/>
      <c r="AZ32" s="10"/>
      <c r="BA32" s="154"/>
      <c r="BB32" s="9"/>
      <c r="BC32" s="9"/>
      <c r="BD32" s="9"/>
      <c r="BE32" s="9"/>
      <c r="BF32" s="9"/>
      <c r="BG32" s="9"/>
      <c r="BH32" s="9"/>
      <c r="BI32" s="10"/>
      <c r="BJ32" s="8"/>
      <c r="BK32" s="98"/>
      <c r="BL32" s="112"/>
      <c r="BM32" s="9"/>
      <c r="BN32" s="9"/>
      <c r="BO32" s="9" t="s">
        <v>140</v>
      </c>
      <c r="BP32" s="112"/>
      <c r="BQ32" s="10"/>
      <c r="BR32" s="134"/>
      <c r="BS32" s="135"/>
      <c r="BT32" s="135"/>
      <c r="BU32" s="135"/>
      <c r="BV32" s="135"/>
      <c r="BW32" s="135"/>
      <c r="BX32" s="135"/>
      <c r="BY32" s="136"/>
      <c r="BZ32" s="8"/>
      <c r="CA32" s="9"/>
      <c r="CB32" s="9"/>
      <c r="CC32" s="9"/>
      <c r="CD32" s="9"/>
      <c r="CE32" s="9"/>
      <c r="CF32" s="9"/>
      <c r="CG32" s="10"/>
      <c r="CH32" s="8"/>
      <c r="CI32" s="9"/>
      <c r="CJ32" s="9"/>
      <c r="CK32" s="10"/>
      <c r="CL32" s="238"/>
      <c r="CR32">
        <v>39</v>
      </c>
      <c r="CS32">
        <v>44</v>
      </c>
      <c r="CT32">
        <v>51</v>
      </c>
    </row>
    <row r="33" spans="1:98" ht="45" customHeight="1">
      <c r="A33" s="133">
        <v>2024</v>
      </c>
      <c r="C33" s="131" t="str">
        <f>CR32&amp;" - "&amp;CT32 &amp;" (" &amp; CS32 &amp; ")"</f>
        <v>39 - 51 (44)</v>
      </c>
      <c r="D33" s="8"/>
      <c r="E33" s="98"/>
      <c r="F33" s="112"/>
      <c r="G33" s="9"/>
      <c r="H33" s="9"/>
      <c r="I33" s="9"/>
      <c r="J33" s="112"/>
      <c r="K33" s="10"/>
      <c r="L33" s="8"/>
      <c r="M33" s="98"/>
      <c r="N33" s="112"/>
      <c r="O33" s="9"/>
      <c r="P33" s="9"/>
      <c r="Q33" s="9"/>
      <c r="R33" s="112"/>
      <c r="S33" s="10"/>
      <c r="T33" s="8"/>
      <c r="U33" s="98"/>
      <c r="V33" s="112"/>
      <c r="W33" s="9"/>
      <c r="X33" s="9"/>
      <c r="Y33" s="9"/>
      <c r="Z33" s="112"/>
      <c r="AA33" s="10"/>
      <c r="AB33" s="8"/>
      <c r="AC33" s="98"/>
      <c r="AD33" s="112"/>
      <c r="AE33" s="9"/>
      <c r="AF33" s="9"/>
      <c r="AG33" s="9"/>
      <c r="AH33" s="112"/>
      <c r="AI33" s="10"/>
      <c r="AJ33" s="8"/>
      <c r="AK33" s="98"/>
      <c r="AL33" s="112"/>
      <c r="AM33" s="9"/>
      <c r="AN33" s="9"/>
      <c r="AO33" s="9"/>
      <c r="AP33" s="112"/>
      <c r="AQ33" s="10"/>
      <c r="AR33" s="8"/>
      <c r="AS33" s="58"/>
      <c r="AT33" s="98"/>
      <c r="AU33" s="124"/>
      <c r="AV33" s="9"/>
      <c r="AW33" s="9"/>
      <c r="AX33" s="9"/>
      <c r="AY33" s="124"/>
      <c r="AZ33" s="10"/>
      <c r="BA33" s="154"/>
      <c r="BB33" s="9"/>
      <c r="BC33" s="9"/>
      <c r="BD33" s="9"/>
      <c r="BE33" s="9"/>
      <c r="BF33" s="9"/>
      <c r="BG33" s="9"/>
      <c r="BH33" s="9"/>
      <c r="BI33" s="10"/>
      <c r="BJ33" s="8"/>
      <c r="BK33" s="98"/>
      <c r="BL33" s="112"/>
      <c r="BM33" s="9"/>
      <c r="BN33" s="9"/>
      <c r="BO33" s="9" t="s">
        <v>140</v>
      </c>
      <c r="BP33" s="112"/>
      <c r="BQ33" s="10"/>
      <c r="BR33" s="8"/>
      <c r="BS33" s="9"/>
      <c r="BT33" s="9"/>
      <c r="BU33" s="9"/>
      <c r="BV33" s="9"/>
      <c r="BW33" s="9"/>
      <c r="BX33" s="9"/>
      <c r="BY33" s="10"/>
      <c r="BZ33" s="8"/>
      <c r="CA33" s="9"/>
      <c r="CB33" s="9"/>
      <c r="CC33" s="9"/>
      <c r="CD33" s="9"/>
      <c r="CE33" s="9"/>
      <c r="CF33" s="9"/>
      <c r="CG33" s="10"/>
      <c r="CH33" s="8"/>
      <c r="CI33" s="9"/>
      <c r="CJ33" s="9"/>
      <c r="CK33" s="10"/>
      <c r="CL33" s="238"/>
    </row>
    <row r="34" spans="1:98" ht="45" customHeight="1">
      <c r="A34" s="133">
        <v>2024</v>
      </c>
      <c r="C34" s="130" t="s">
        <v>224</v>
      </c>
      <c r="D34" s="17"/>
      <c r="E34" s="99"/>
      <c r="F34" s="113"/>
      <c r="G34" s="18"/>
      <c r="H34" s="18"/>
      <c r="I34" s="18"/>
      <c r="J34" s="113"/>
      <c r="K34" s="19"/>
      <c r="L34" s="17"/>
      <c r="M34" s="99"/>
      <c r="N34" s="113"/>
      <c r="O34" s="18"/>
      <c r="P34" s="18"/>
      <c r="Q34" s="18"/>
      <c r="R34" s="113"/>
      <c r="S34" s="19"/>
      <c r="T34" s="17"/>
      <c r="U34" s="99"/>
      <c r="V34" s="113"/>
      <c r="W34" s="18"/>
      <c r="X34" s="18"/>
      <c r="Y34" s="18"/>
      <c r="Z34" s="113"/>
      <c r="AA34" s="19"/>
      <c r="AB34" s="17"/>
      <c r="AC34" s="99"/>
      <c r="AD34" s="113"/>
      <c r="AE34" s="18"/>
      <c r="AF34" s="18"/>
      <c r="AG34" s="18"/>
      <c r="AH34" s="113"/>
      <c r="AI34" s="19"/>
      <c r="AJ34" s="17"/>
      <c r="AK34" s="99"/>
      <c r="AL34" s="113"/>
      <c r="AM34" s="18"/>
      <c r="AN34" s="18"/>
      <c r="AO34" s="18"/>
      <c r="AP34" s="113"/>
      <c r="AQ34" s="19"/>
      <c r="AR34" s="17"/>
      <c r="AS34" s="61"/>
      <c r="AT34" s="99"/>
      <c r="AU34" s="125"/>
      <c r="AV34" s="18"/>
      <c r="AW34" s="18"/>
      <c r="AX34" s="18"/>
      <c r="AY34" s="125"/>
      <c r="AZ34" s="19"/>
      <c r="BA34" s="155"/>
      <c r="BB34" s="18"/>
      <c r="BC34" s="18"/>
      <c r="BD34" s="18"/>
      <c r="BE34" s="18"/>
      <c r="BF34" s="18"/>
      <c r="BG34" s="18"/>
      <c r="BH34" s="18"/>
      <c r="BI34" s="19"/>
      <c r="BJ34" s="17"/>
      <c r="BK34" s="99"/>
      <c r="BL34" s="113"/>
      <c r="BM34" s="18"/>
      <c r="BN34" s="18"/>
      <c r="BO34" s="18" t="s">
        <v>140</v>
      </c>
      <c r="BP34" s="113"/>
      <c r="BQ34" s="19"/>
      <c r="BR34" s="17"/>
      <c r="BS34" s="18"/>
      <c r="BT34" s="18"/>
      <c r="BU34" s="18"/>
      <c r="BV34" s="18"/>
      <c r="BW34" s="18"/>
      <c r="BX34" s="18"/>
      <c r="BY34" s="19"/>
      <c r="BZ34" s="17"/>
      <c r="CA34" s="18"/>
      <c r="CB34" s="18"/>
      <c r="CC34" s="18"/>
      <c r="CD34" s="18"/>
      <c r="CE34" s="18"/>
      <c r="CF34" s="18"/>
      <c r="CG34" s="19"/>
      <c r="CH34" s="17"/>
      <c r="CI34" s="18"/>
      <c r="CJ34" s="18"/>
      <c r="CK34" s="19"/>
      <c r="CL34" s="239"/>
      <c r="CR34">
        <v>42</v>
      </c>
      <c r="CS34">
        <v>47</v>
      </c>
      <c r="CT34">
        <v>55</v>
      </c>
    </row>
    <row r="35" spans="1:98" ht="45" customHeight="1">
      <c r="A35" s="133">
        <v>2024</v>
      </c>
      <c r="C35" s="131" t="str">
        <f>CR34&amp;" - "&amp;CT34 &amp;" (" &amp; CS34 &amp; ")"</f>
        <v>42 - 55 (47)</v>
      </c>
      <c r="D35" s="20"/>
      <c r="E35" s="100"/>
      <c r="F35" s="114"/>
      <c r="G35" s="21"/>
      <c r="H35" s="21"/>
      <c r="I35" s="21"/>
      <c r="J35" s="114"/>
      <c r="K35" s="22"/>
      <c r="L35" s="20"/>
      <c r="M35" s="100"/>
      <c r="N35" s="114"/>
      <c r="O35" s="21"/>
      <c r="P35" s="21"/>
      <c r="Q35" s="21"/>
      <c r="R35" s="114"/>
      <c r="S35" s="22"/>
      <c r="T35" s="20"/>
      <c r="U35" s="100"/>
      <c r="V35" s="114"/>
      <c r="W35" s="21"/>
      <c r="X35" s="21"/>
      <c r="Y35" s="21"/>
      <c r="Z35" s="114"/>
      <c r="AA35" s="22"/>
      <c r="AB35" s="20"/>
      <c r="AC35" s="100"/>
      <c r="AD35" s="114"/>
      <c r="AE35" s="21"/>
      <c r="AF35" s="21"/>
      <c r="AG35" s="21"/>
      <c r="AH35" s="114"/>
      <c r="AI35" s="22"/>
      <c r="AJ35" s="20"/>
      <c r="AK35" s="100"/>
      <c r="AL35" s="114"/>
      <c r="AM35" s="21"/>
      <c r="AN35" s="21"/>
      <c r="AO35" s="21"/>
      <c r="AP35" s="114"/>
      <c r="AQ35" s="22"/>
      <c r="AR35" s="20"/>
      <c r="AS35" s="56"/>
      <c r="AT35" s="100"/>
      <c r="AU35" s="126"/>
      <c r="AV35" s="21"/>
      <c r="AW35" s="21"/>
      <c r="AX35" s="21"/>
      <c r="AY35" s="126"/>
      <c r="AZ35" s="22"/>
      <c r="BA35" s="156"/>
      <c r="BB35" s="21"/>
      <c r="BC35" s="21"/>
      <c r="BD35" s="21"/>
      <c r="BE35" s="21"/>
      <c r="BF35" s="21"/>
      <c r="BG35" s="21"/>
      <c r="BH35" s="21"/>
      <c r="BI35" s="22"/>
      <c r="BJ35" s="20"/>
      <c r="BK35" s="100"/>
      <c r="BL35" s="114"/>
      <c r="BM35" s="21"/>
      <c r="BN35" s="21"/>
      <c r="BO35" s="21" t="s">
        <v>140</v>
      </c>
      <c r="BP35" s="114"/>
      <c r="BQ35" s="22"/>
      <c r="BR35" s="20"/>
      <c r="BS35" s="21"/>
      <c r="BT35" s="21"/>
      <c r="BU35" s="21"/>
      <c r="BV35" s="21"/>
      <c r="BW35" s="21"/>
      <c r="BX35" s="21"/>
      <c r="BY35" s="22"/>
      <c r="BZ35" s="20"/>
      <c r="CA35" s="21"/>
      <c r="CB35" s="20"/>
      <c r="CC35" s="21"/>
      <c r="CD35" s="20"/>
      <c r="CE35" s="20"/>
      <c r="CF35" s="21"/>
      <c r="CG35" s="22"/>
      <c r="CH35" s="20"/>
      <c r="CI35" s="21"/>
      <c r="CJ35" s="21"/>
      <c r="CK35" s="22"/>
      <c r="CL35" s="28"/>
    </row>
    <row r="36" spans="1:98" ht="45" customHeight="1">
      <c r="A36" s="133">
        <v>2024</v>
      </c>
      <c r="C36" s="130" t="s">
        <v>225</v>
      </c>
      <c r="D36" s="23"/>
      <c r="E36" s="101"/>
      <c r="F36" s="115"/>
      <c r="G36" s="24"/>
      <c r="H36" s="24"/>
      <c r="I36" s="24"/>
      <c r="J36" s="115"/>
      <c r="K36" s="25"/>
      <c r="L36" s="23"/>
      <c r="M36" s="101"/>
      <c r="N36" s="115"/>
      <c r="O36" s="24"/>
      <c r="P36" s="24"/>
      <c r="Q36" s="24"/>
      <c r="R36" s="115"/>
      <c r="S36" s="25"/>
      <c r="T36" s="23"/>
      <c r="U36" s="101"/>
      <c r="V36" s="115"/>
      <c r="W36" s="24"/>
      <c r="X36" s="24"/>
      <c r="Y36" s="24"/>
      <c r="Z36" s="115"/>
      <c r="AA36" s="25"/>
      <c r="AB36" s="23"/>
      <c r="AC36" s="101"/>
      <c r="AD36" s="115"/>
      <c r="AE36" s="24"/>
      <c r="AF36" s="24"/>
      <c r="AG36" s="24"/>
      <c r="AH36" s="115"/>
      <c r="AI36" s="25"/>
      <c r="AJ36" s="23"/>
      <c r="AK36" s="101"/>
      <c r="AL36" s="115"/>
      <c r="AM36" s="24"/>
      <c r="AN36" s="24"/>
      <c r="AO36" s="24"/>
      <c r="AP36" s="115"/>
      <c r="AQ36" s="25"/>
      <c r="AR36" s="23" t="s">
        <v>2701</v>
      </c>
      <c r="AS36" s="55" t="s">
        <v>2701</v>
      </c>
      <c r="AT36" s="101"/>
      <c r="AU36" s="127"/>
      <c r="AV36" s="24"/>
      <c r="AW36" s="24"/>
      <c r="AX36" s="24"/>
      <c r="AY36" s="127"/>
      <c r="AZ36" s="25"/>
      <c r="BA36" s="157"/>
      <c r="BB36" s="24"/>
      <c r="BC36" s="24"/>
      <c r="BD36" s="24"/>
      <c r="BE36" s="24"/>
      <c r="BF36" s="24"/>
      <c r="BG36" s="24"/>
      <c r="BH36" s="24"/>
      <c r="BI36" s="25"/>
      <c r="BJ36" s="23"/>
      <c r="BK36" s="101"/>
      <c r="BL36" s="115"/>
      <c r="BM36" s="24"/>
      <c r="BN36" s="24"/>
      <c r="BO36" s="24" t="s">
        <v>140</v>
      </c>
      <c r="BP36" s="115"/>
      <c r="BQ36" s="25"/>
      <c r="BR36" s="23"/>
      <c r="BS36" s="24"/>
      <c r="BT36" s="24"/>
      <c r="BU36" s="24"/>
      <c r="BV36" s="24"/>
      <c r="BW36" s="24"/>
      <c r="BX36" s="24"/>
      <c r="BY36" s="25"/>
      <c r="BZ36" s="23"/>
      <c r="CA36" s="24" t="s">
        <v>122</v>
      </c>
      <c r="CB36" s="24"/>
      <c r="CC36" s="24" t="s">
        <v>142</v>
      </c>
      <c r="CD36" s="24"/>
      <c r="CE36" s="24"/>
      <c r="CF36" s="24" t="s">
        <v>1767</v>
      </c>
      <c r="CG36" s="25" t="s">
        <v>95</v>
      </c>
      <c r="CH36" s="23"/>
      <c r="CI36" s="24"/>
      <c r="CJ36" s="24"/>
      <c r="CK36" s="24"/>
      <c r="CL36" s="192"/>
      <c r="CR36">
        <v>45</v>
      </c>
      <c r="CS36">
        <v>51</v>
      </c>
      <c r="CT36">
        <v>60</v>
      </c>
    </row>
    <row r="37" spans="1:98" ht="45" customHeight="1">
      <c r="A37" s="133">
        <v>2024</v>
      </c>
      <c r="C37" s="131" t="str">
        <f>CR36&amp;" - "&amp;CT36 &amp;" (" &amp; CS36 &amp; ")"</f>
        <v>45 - 60 (51)</v>
      </c>
      <c r="D37" s="8"/>
      <c r="E37" s="98"/>
      <c r="F37" s="112"/>
      <c r="G37" s="9"/>
      <c r="H37" s="9"/>
      <c r="I37" s="9"/>
      <c r="J37" s="112"/>
      <c r="K37" s="10"/>
      <c r="L37" s="8"/>
      <c r="M37" s="98"/>
      <c r="N37" s="112"/>
      <c r="O37" s="9"/>
      <c r="P37" s="9"/>
      <c r="Q37" s="9"/>
      <c r="R37" s="112"/>
      <c r="S37" s="10"/>
      <c r="T37" s="8"/>
      <c r="U37" s="98"/>
      <c r="V37" s="112"/>
      <c r="W37" s="9"/>
      <c r="X37" s="9"/>
      <c r="Y37" s="9"/>
      <c r="Z37" s="112"/>
      <c r="AA37" s="10"/>
      <c r="AB37" s="8"/>
      <c r="AC37" s="98"/>
      <c r="AD37" s="112"/>
      <c r="AE37" s="9"/>
      <c r="AF37" s="9"/>
      <c r="AG37" s="9"/>
      <c r="AH37" s="112"/>
      <c r="AI37" s="10"/>
      <c r="AJ37" s="8"/>
      <c r="AK37" s="98"/>
      <c r="AL37" s="112"/>
      <c r="AM37" s="9"/>
      <c r="AN37" s="9"/>
      <c r="AO37" s="9"/>
      <c r="AP37" s="112"/>
      <c r="AQ37" s="10"/>
      <c r="AR37" s="8" t="s">
        <v>2701</v>
      </c>
      <c r="AS37" s="58" t="s">
        <v>2701</v>
      </c>
      <c r="AT37" s="98"/>
      <c r="AU37" s="124"/>
      <c r="AV37" s="9"/>
      <c r="AW37" s="9"/>
      <c r="AX37" s="9"/>
      <c r="AY37" s="124"/>
      <c r="AZ37" s="124"/>
      <c r="BA37" s="154"/>
      <c r="BB37" s="9"/>
      <c r="BC37" s="9"/>
      <c r="BD37" s="9"/>
      <c r="BE37" s="9"/>
      <c r="BF37" s="9"/>
      <c r="BG37" s="9"/>
      <c r="BH37" s="9"/>
      <c r="BI37" s="10"/>
      <c r="BJ37" s="8"/>
      <c r="BK37" s="98"/>
      <c r="BL37" s="112"/>
      <c r="BM37" s="9"/>
      <c r="BN37" s="9"/>
      <c r="BO37" s="9" t="s">
        <v>140</v>
      </c>
      <c r="BP37" s="112"/>
      <c r="BQ37" s="10"/>
      <c r="BR37" s="8"/>
      <c r="BS37" s="9"/>
      <c r="BT37" s="9"/>
      <c r="BU37" s="9"/>
      <c r="BV37" s="9"/>
      <c r="BW37" s="9"/>
      <c r="BX37" s="9"/>
      <c r="BY37" s="10"/>
      <c r="BZ37" s="8"/>
      <c r="CA37" s="9" t="s">
        <v>122</v>
      </c>
      <c r="CB37" s="9"/>
      <c r="CC37" s="9" t="s">
        <v>142</v>
      </c>
      <c r="CD37" s="9"/>
      <c r="CE37" s="9"/>
      <c r="CF37" s="9" t="s">
        <v>1767</v>
      </c>
      <c r="CG37" s="10" t="s">
        <v>95</v>
      </c>
      <c r="CH37" s="8"/>
      <c r="CI37" s="9"/>
      <c r="CJ37" s="9"/>
      <c r="CK37" s="10"/>
      <c r="CL37" s="238"/>
    </row>
    <row r="38" spans="1:98" ht="45" customHeight="1">
      <c r="A38" s="133">
        <v>2024</v>
      </c>
      <c r="C38" s="130" t="s">
        <v>226</v>
      </c>
      <c r="D38" s="5"/>
      <c r="E38" s="97"/>
      <c r="F38" s="111"/>
      <c r="G38" s="6"/>
      <c r="H38" s="6"/>
      <c r="I38" s="6"/>
      <c r="J38" s="111"/>
      <c r="K38" s="7"/>
      <c r="L38" s="5"/>
      <c r="M38" s="97"/>
      <c r="N38" s="111"/>
      <c r="O38" s="6"/>
      <c r="P38" s="6"/>
      <c r="Q38" s="6"/>
      <c r="R38" s="111"/>
      <c r="T38" s="5"/>
      <c r="U38" s="97"/>
      <c r="V38" s="111"/>
      <c r="W38" s="6"/>
      <c r="X38" s="6"/>
      <c r="Y38" s="6"/>
      <c r="Z38" s="111"/>
      <c r="AA38" s="7"/>
      <c r="AB38" s="5"/>
      <c r="AC38" s="97"/>
      <c r="AD38" s="111"/>
      <c r="AE38" s="6"/>
      <c r="AF38" s="6"/>
      <c r="AG38" s="6"/>
      <c r="AH38" s="111"/>
      <c r="AI38" s="7" t="s">
        <v>42</v>
      </c>
      <c r="AJ38" s="5"/>
      <c r="AK38" s="97"/>
      <c r="AL38" s="111"/>
      <c r="AM38" s="6"/>
      <c r="AN38" s="6"/>
      <c r="AO38" s="6"/>
      <c r="AP38" s="111"/>
      <c r="AQ38" s="7"/>
      <c r="AR38" s="5" t="s">
        <v>2701</v>
      </c>
      <c r="AS38" s="57" t="s">
        <v>2701</v>
      </c>
      <c r="AT38" s="97"/>
      <c r="AU38" s="123"/>
      <c r="AV38" s="6"/>
      <c r="AW38" s="6"/>
      <c r="AX38" s="6"/>
      <c r="AY38" s="123"/>
      <c r="AZ38" s="7"/>
      <c r="BA38" s="153"/>
      <c r="BB38" s="6"/>
      <c r="BD38" s="6"/>
      <c r="BE38" s="6"/>
      <c r="BF38" s="6"/>
      <c r="BG38" s="6"/>
      <c r="BH38" s="6"/>
      <c r="BI38" s="7"/>
      <c r="BJ38" s="5"/>
      <c r="BK38" s="97"/>
      <c r="BL38" s="111"/>
      <c r="BM38" s="6"/>
      <c r="BN38" s="6"/>
      <c r="BO38" s="6" t="s">
        <v>140</v>
      </c>
      <c r="BP38" s="111"/>
      <c r="BQ38" s="7"/>
      <c r="BR38" s="5"/>
      <c r="BS38" s="6"/>
      <c r="BT38" s="6"/>
      <c r="BU38" s="6"/>
      <c r="BV38" s="6"/>
      <c r="BW38" s="6"/>
      <c r="BX38" s="6"/>
      <c r="BY38" s="7"/>
      <c r="BZ38" s="5"/>
      <c r="CA38" s="6" t="s">
        <v>122</v>
      </c>
      <c r="CB38" s="6"/>
      <c r="CC38" s="6" t="s">
        <v>142</v>
      </c>
      <c r="CD38" s="6"/>
      <c r="CE38" s="6"/>
      <c r="CF38" s="6" t="s">
        <v>1767</v>
      </c>
      <c r="CG38" s="7" t="s">
        <v>95</v>
      </c>
      <c r="CH38" s="5"/>
      <c r="CI38" s="6"/>
      <c r="CJ38" s="6"/>
      <c r="CK38" s="7"/>
      <c r="CR38">
        <v>50</v>
      </c>
      <c r="CS38">
        <v>57</v>
      </c>
      <c r="CT38">
        <v>66</v>
      </c>
    </row>
    <row r="39" spans="1:98" ht="45" customHeight="1">
      <c r="A39" s="133">
        <v>2024</v>
      </c>
      <c r="C39" s="131" t="str">
        <f>CR38&amp;" - "&amp;CT38 &amp;" (" &amp; CS38 &amp; ")"</f>
        <v>50 - 66 (57)</v>
      </c>
      <c r="D39" s="5"/>
      <c r="E39" s="97"/>
      <c r="F39" s="111"/>
      <c r="G39" s="6"/>
      <c r="H39" s="6"/>
      <c r="I39" s="6"/>
      <c r="J39" s="111"/>
      <c r="K39" s="7"/>
      <c r="L39" s="5"/>
      <c r="N39" s="111"/>
      <c r="O39" s="6"/>
      <c r="P39" s="6"/>
      <c r="Q39" s="6"/>
      <c r="R39" s="111"/>
      <c r="S39" s="7"/>
      <c r="T39" s="5"/>
      <c r="U39" s="97"/>
      <c r="V39" s="111"/>
      <c r="W39" s="6"/>
      <c r="X39" s="6"/>
      <c r="Y39" s="6"/>
      <c r="Z39" s="111"/>
      <c r="AA39" s="7"/>
      <c r="AB39" s="5"/>
      <c r="AC39" s="97"/>
      <c r="AD39" s="111"/>
      <c r="AE39" s="6"/>
      <c r="AF39" s="6"/>
      <c r="AG39" s="6"/>
      <c r="AH39" s="111"/>
      <c r="AI39" s="7"/>
      <c r="AJ39" s="5"/>
      <c r="AK39" s="97"/>
      <c r="AL39" s="111"/>
      <c r="AM39" s="6"/>
      <c r="AN39" s="6"/>
      <c r="AO39" s="6"/>
      <c r="AP39" s="111"/>
      <c r="AQ39" s="7"/>
      <c r="AR39" s="5"/>
      <c r="AS39" s="57"/>
      <c r="AT39" s="97"/>
      <c r="AU39" s="123"/>
      <c r="AV39" s="6"/>
      <c r="AW39" s="6"/>
      <c r="AX39" s="6"/>
      <c r="AY39" s="123"/>
      <c r="AZ39" s="7"/>
      <c r="BA39" s="153"/>
      <c r="BB39" s="6"/>
      <c r="BC39" s="6"/>
      <c r="BD39" s="6"/>
      <c r="BE39" s="6"/>
      <c r="BF39" s="6"/>
      <c r="BG39" s="6"/>
      <c r="BH39" s="6"/>
      <c r="BI39" s="7"/>
      <c r="BJ39" s="5"/>
      <c r="BK39" s="97"/>
      <c r="BL39" s="111"/>
      <c r="BM39" s="6"/>
      <c r="BN39" s="6"/>
      <c r="BO39" s="6" t="s">
        <v>140</v>
      </c>
      <c r="BP39" s="111"/>
      <c r="BQ39" s="111"/>
      <c r="BR39" s="5"/>
      <c r="BS39" s="6"/>
      <c r="BT39" s="6"/>
      <c r="BU39" s="6"/>
      <c r="BV39" s="6"/>
      <c r="BW39" s="6"/>
      <c r="BX39" s="6"/>
      <c r="BY39" s="7"/>
      <c r="BZ39" s="5"/>
      <c r="CA39" s="6" t="s">
        <v>122</v>
      </c>
      <c r="CB39" s="6"/>
      <c r="CC39" s="6" t="s">
        <v>142</v>
      </c>
      <c r="CD39" s="6"/>
      <c r="CE39" s="6"/>
      <c r="CF39" s="6" t="s">
        <v>1767</v>
      </c>
      <c r="CG39" s="7" t="s">
        <v>95</v>
      </c>
      <c r="CH39" s="5"/>
      <c r="CI39" s="6"/>
      <c r="CJ39" s="6"/>
      <c r="CK39" s="7"/>
    </row>
    <row r="40" spans="1:98" ht="45" customHeight="1">
      <c r="A40" s="133">
        <v>2024</v>
      </c>
      <c r="C40" s="130" t="s">
        <v>227</v>
      </c>
      <c r="D40" s="8"/>
      <c r="E40" s="98"/>
      <c r="F40" s="112"/>
      <c r="G40" s="9"/>
      <c r="H40" s="9"/>
      <c r="I40" s="9"/>
      <c r="J40" s="112"/>
      <c r="K40" s="10"/>
      <c r="L40" s="8"/>
      <c r="M40" s="98"/>
      <c r="N40" s="112"/>
      <c r="O40" s="9"/>
      <c r="P40" s="9"/>
      <c r="Q40" s="9"/>
      <c r="R40" s="112"/>
      <c r="S40" s="10"/>
      <c r="T40" s="8"/>
      <c r="U40" s="98"/>
      <c r="V40" s="112"/>
      <c r="W40" s="9"/>
      <c r="X40" s="9"/>
      <c r="Y40" s="9"/>
      <c r="Z40" s="112"/>
      <c r="AA40" s="10"/>
      <c r="AB40" s="8"/>
      <c r="AC40" s="98"/>
      <c r="AD40" s="112"/>
      <c r="AE40" s="9"/>
      <c r="AF40" s="9"/>
      <c r="AG40" s="9"/>
      <c r="AH40" s="112"/>
      <c r="AI40" s="10"/>
      <c r="AJ40" s="8"/>
      <c r="AK40" s="98"/>
      <c r="AL40" s="112"/>
      <c r="AM40" s="9"/>
      <c r="AN40" s="9"/>
      <c r="AO40" s="9"/>
      <c r="AP40" s="112"/>
      <c r="AQ40" s="10"/>
      <c r="AR40" s="8"/>
      <c r="AS40" s="58"/>
      <c r="AT40" s="98"/>
      <c r="AU40" s="124"/>
      <c r="AV40" s="9"/>
      <c r="AW40" s="9"/>
      <c r="AX40" s="9"/>
      <c r="AY40" s="124"/>
      <c r="AZ40" s="10"/>
      <c r="BA40" s="154"/>
      <c r="BB40" s="9"/>
      <c r="BC40" s="9"/>
      <c r="BD40" s="9"/>
      <c r="BE40" s="9"/>
      <c r="BF40" s="9"/>
      <c r="BG40" s="9"/>
      <c r="BH40" s="9"/>
      <c r="BI40" s="10"/>
      <c r="BJ40" s="8"/>
      <c r="BK40" s="98"/>
      <c r="BL40" s="112"/>
      <c r="BM40" s="9"/>
      <c r="BN40" s="9"/>
      <c r="BO40" s="9" t="s">
        <v>140</v>
      </c>
      <c r="BP40" s="112"/>
      <c r="BQ40" s="10"/>
      <c r="BR40" s="8"/>
      <c r="BS40" s="9"/>
      <c r="BT40" s="9"/>
      <c r="BU40" s="9"/>
      <c r="BV40" s="9"/>
      <c r="BW40" s="9"/>
      <c r="BX40" s="9"/>
      <c r="BY40" s="10"/>
      <c r="BZ40" s="8"/>
      <c r="CA40" s="9" t="s">
        <v>122</v>
      </c>
      <c r="CB40" s="9"/>
      <c r="CC40" s="9" t="s">
        <v>142</v>
      </c>
      <c r="CD40" s="9"/>
      <c r="CE40" s="9"/>
      <c r="CF40" s="9" t="s">
        <v>1767</v>
      </c>
      <c r="CG40" s="10" t="s">
        <v>95</v>
      </c>
      <c r="CH40" s="8"/>
      <c r="CI40" s="9"/>
      <c r="CJ40" s="9"/>
      <c r="CK40" s="10"/>
      <c r="CL40" s="238"/>
      <c r="CR40">
        <v>55</v>
      </c>
      <c r="CS40">
        <v>62</v>
      </c>
      <c r="CT40">
        <v>72</v>
      </c>
    </row>
    <row r="41" spans="1:98" ht="45" customHeight="1">
      <c r="A41" s="133">
        <v>2024</v>
      </c>
      <c r="C41" s="131" t="str">
        <f>CR40&amp;" - "&amp;CT40 &amp;" (" &amp; CS40 &amp; ")"</f>
        <v>55 - 72 (62)</v>
      </c>
      <c r="D41" s="8"/>
      <c r="E41" s="98"/>
      <c r="F41" s="112"/>
      <c r="G41" s="9"/>
      <c r="H41" s="9"/>
      <c r="I41" s="9"/>
      <c r="J41" s="112"/>
      <c r="K41" s="10"/>
      <c r="L41" s="8"/>
      <c r="M41" s="98"/>
      <c r="N41" s="112"/>
      <c r="O41" s="9"/>
      <c r="P41" s="9"/>
      <c r="Q41" s="9"/>
      <c r="R41" s="112"/>
      <c r="S41" s="10"/>
      <c r="T41" s="8"/>
      <c r="U41" s="98"/>
      <c r="V41" s="112"/>
      <c r="W41" s="9"/>
      <c r="X41" s="9"/>
      <c r="Y41" s="9"/>
      <c r="Z41" s="112"/>
      <c r="AA41" s="10"/>
      <c r="AB41" s="8"/>
      <c r="AC41" s="98"/>
      <c r="AD41" s="112"/>
      <c r="AE41" s="9"/>
      <c r="AF41" s="9"/>
      <c r="AG41" s="9"/>
      <c r="AH41" s="112"/>
      <c r="AI41" s="10"/>
      <c r="AJ41" s="8"/>
      <c r="AK41" s="98"/>
      <c r="AL41" s="112"/>
      <c r="AM41" s="9"/>
      <c r="AN41" s="9"/>
      <c r="AO41" s="9"/>
      <c r="AP41" s="112"/>
      <c r="AQ41" s="10"/>
      <c r="AR41" s="8"/>
      <c r="AS41" s="58"/>
      <c r="AT41" s="98"/>
      <c r="AU41" s="124"/>
      <c r="AV41" s="9"/>
      <c r="AW41" s="9"/>
      <c r="AX41" s="9"/>
      <c r="AY41" s="124"/>
      <c r="AZ41" s="10"/>
      <c r="BA41" s="154"/>
      <c r="BB41" s="9"/>
      <c r="BC41" s="9"/>
      <c r="BD41" s="9"/>
      <c r="BE41" s="9"/>
      <c r="BF41" s="9"/>
      <c r="BG41" s="9"/>
      <c r="BH41" s="9"/>
      <c r="BI41" s="10"/>
      <c r="BJ41" s="8"/>
      <c r="BK41" s="98"/>
      <c r="BL41" s="112"/>
      <c r="BM41" s="9"/>
      <c r="BN41" s="9"/>
      <c r="BO41" s="9" t="s">
        <v>140</v>
      </c>
      <c r="BP41" s="112"/>
      <c r="BQ41" s="10"/>
      <c r="BR41" s="8"/>
      <c r="BS41" s="9"/>
      <c r="BT41" s="9"/>
      <c r="BU41" s="9"/>
      <c r="BV41" s="9"/>
      <c r="BW41" s="9"/>
      <c r="BX41" s="6"/>
      <c r="BY41" s="10"/>
      <c r="BZ41" s="8"/>
      <c r="CA41" s="9" t="s">
        <v>122</v>
      </c>
      <c r="CB41" s="9"/>
      <c r="CC41" s="9" t="s">
        <v>142</v>
      </c>
      <c r="CD41" s="9"/>
      <c r="CE41" s="9"/>
      <c r="CF41" s="9" t="s">
        <v>1767</v>
      </c>
      <c r="CG41" s="10" t="s">
        <v>95</v>
      </c>
      <c r="CH41" s="8"/>
      <c r="CI41" s="9"/>
      <c r="CJ41" s="9"/>
      <c r="CK41" s="10"/>
      <c r="CL41" s="238"/>
    </row>
    <row r="42" spans="1:98" ht="45" customHeight="1">
      <c r="A42" s="133">
        <v>2024</v>
      </c>
      <c r="C42" s="130" t="s">
        <v>228</v>
      </c>
      <c r="D42" s="5"/>
      <c r="E42" s="97"/>
      <c r="F42" s="111"/>
      <c r="G42" s="6"/>
      <c r="H42" s="6"/>
      <c r="I42" s="6"/>
      <c r="J42" s="111"/>
      <c r="K42" s="7"/>
      <c r="L42" s="5"/>
      <c r="M42" s="97"/>
      <c r="N42" s="111"/>
      <c r="O42" s="6"/>
      <c r="P42" s="6"/>
      <c r="Q42" s="6"/>
      <c r="R42" s="111"/>
      <c r="S42" s="7"/>
      <c r="T42" s="5"/>
      <c r="U42" s="97"/>
      <c r="V42" s="111"/>
      <c r="W42" s="6"/>
      <c r="X42" s="6"/>
      <c r="Y42" s="6"/>
      <c r="Z42" s="111"/>
      <c r="AA42" s="7"/>
      <c r="AB42" s="5"/>
      <c r="AC42" s="97"/>
      <c r="AD42" s="111"/>
      <c r="AE42" s="6"/>
      <c r="AF42" s="6"/>
      <c r="AG42" s="6"/>
      <c r="AH42" s="111"/>
      <c r="AI42" s="7"/>
      <c r="AJ42" s="5"/>
      <c r="AK42" s="97"/>
      <c r="AL42" s="111"/>
      <c r="AM42" s="6"/>
      <c r="AN42" s="6"/>
      <c r="AO42" s="6"/>
      <c r="AP42" s="111"/>
      <c r="AQ42" s="7"/>
      <c r="AR42" s="5"/>
      <c r="AS42" s="57"/>
      <c r="AT42" s="97"/>
      <c r="AU42" s="123"/>
      <c r="AV42" s="6"/>
      <c r="AW42" s="6"/>
      <c r="AX42" s="6"/>
      <c r="AY42" s="6"/>
      <c r="AZ42" s="6"/>
      <c r="BA42" s="153"/>
      <c r="BB42" s="6"/>
      <c r="BC42" s="6"/>
      <c r="BD42" s="6"/>
      <c r="BE42" s="6"/>
      <c r="BF42" s="6"/>
      <c r="BG42" s="6"/>
      <c r="BH42" s="6"/>
      <c r="BI42" s="7"/>
      <c r="BJ42" s="5"/>
      <c r="BK42" s="97"/>
      <c r="BL42" s="111"/>
      <c r="BM42" s="6"/>
      <c r="BN42" s="6"/>
      <c r="BO42" s="6" t="s">
        <v>140</v>
      </c>
      <c r="BP42" s="111"/>
      <c r="BQ42" s="7"/>
      <c r="BR42" s="5"/>
      <c r="BS42" s="6"/>
      <c r="BT42" s="6"/>
      <c r="BU42" s="6"/>
      <c r="BV42" s="6"/>
      <c r="BW42" s="6"/>
      <c r="BY42" s="7"/>
      <c r="BZ42" s="5"/>
      <c r="CA42" s="6" t="s">
        <v>122</v>
      </c>
      <c r="CB42" s="6"/>
      <c r="CC42" s="6" t="s">
        <v>142</v>
      </c>
      <c r="CD42" s="6"/>
      <c r="CE42" s="6"/>
      <c r="CF42" s="6" t="s">
        <v>1767</v>
      </c>
      <c r="CG42" s="7" t="s">
        <v>95</v>
      </c>
      <c r="CH42" s="5"/>
      <c r="CI42" s="6"/>
      <c r="CJ42" s="6"/>
      <c r="CK42" s="7"/>
      <c r="CR42">
        <v>58</v>
      </c>
      <c r="CS42">
        <v>66</v>
      </c>
      <c r="CT42">
        <v>77</v>
      </c>
    </row>
    <row r="43" spans="1:98" ht="45" customHeight="1">
      <c r="A43" s="133">
        <v>2024</v>
      </c>
      <c r="C43" s="131" t="str">
        <f>CR42&amp;" - "&amp;CT42 &amp;" (" &amp; CS42 &amp; ")"</f>
        <v>58 - 77 (66)</v>
      </c>
      <c r="D43" s="5"/>
      <c r="E43" s="97"/>
      <c r="F43" s="111"/>
      <c r="G43" s="6"/>
      <c r="H43" s="6"/>
      <c r="I43" s="6"/>
      <c r="J43" s="111"/>
      <c r="K43" s="7"/>
      <c r="L43" s="5"/>
      <c r="M43" s="97"/>
      <c r="N43" s="111"/>
      <c r="O43" s="6"/>
      <c r="P43" s="6"/>
      <c r="Q43" s="6"/>
      <c r="R43" s="111"/>
      <c r="S43" s="7"/>
      <c r="T43" s="5"/>
      <c r="U43" s="97"/>
      <c r="V43" s="111"/>
      <c r="W43" s="6"/>
      <c r="X43" s="6"/>
      <c r="Y43" s="6"/>
      <c r="Z43" s="111"/>
      <c r="AA43" s="7"/>
      <c r="AB43" s="5"/>
      <c r="AC43" s="97"/>
      <c r="AD43" s="111"/>
      <c r="AE43" s="6"/>
      <c r="AF43" s="6"/>
      <c r="AG43" s="6"/>
      <c r="AH43" s="111"/>
      <c r="AI43" s="7"/>
      <c r="AJ43" s="5"/>
      <c r="AK43" s="97"/>
      <c r="AL43" s="111"/>
      <c r="AM43" s="6"/>
      <c r="AN43" s="6"/>
      <c r="AO43" s="6"/>
      <c r="AP43" s="111"/>
      <c r="AQ43" s="7"/>
      <c r="AR43" s="5"/>
      <c r="AS43" s="57"/>
      <c r="AT43" s="97"/>
      <c r="AU43" s="123"/>
      <c r="AV43" s="6"/>
      <c r="AW43" s="6"/>
      <c r="AX43" s="6"/>
      <c r="AY43" s="123"/>
      <c r="AZ43" s="7"/>
      <c r="BA43" s="153"/>
      <c r="BB43" s="6"/>
      <c r="BC43" s="6"/>
      <c r="BD43" s="6"/>
      <c r="BE43" s="6"/>
      <c r="BF43" s="6"/>
      <c r="BG43" s="6"/>
      <c r="BH43" s="6"/>
      <c r="BI43" s="7"/>
      <c r="BJ43" s="5"/>
      <c r="BK43" s="97"/>
      <c r="BL43" s="111"/>
      <c r="BM43" s="6"/>
      <c r="BN43" s="6"/>
      <c r="BO43" s="6" t="s">
        <v>140</v>
      </c>
      <c r="BP43" s="111"/>
      <c r="BQ43" s="7"/>
      <c r="BR43" s="5"/>
      <c r="BS43" s="6"/>
      <c r="BT43" s="6"/>
      <c r="BU43" s="6"/>
      <c r="BV43" s="6"/>
      <c r="BW43" s="6"/>
      <c r="BX43" s="6"/>
      <c r="BY43" s="7"/>
      <c r="BZ43" s="5"/>
      <c r="CA43" s="6" t="s">
        <v>122</v>
      </c>
      <c r="CB43" s="6"/>
      <c r="CC43" s="6" t="s">
        <v>142</v>
      </c>
      <c r="CD43" s="6"/>
      <c r="CE43" s="6"/>
      <c r="CF43" s="6" t="s">
        <v>1767</v>
      </c>
      <c r="CG43" s="7" t="s">
        <v>95</v>
      </c>
      <c r="CH43" s="5"/>
      <c r="CI43" s="6"/>
      <c r="CJ43" s="6"/>
      <c r="CK43" s="7"/>
    </row>
    <row r="44" spans="1:98" ht="45" customHeight="1">
      <c r="A44" s="133">
        <v>2024</v>
      </c>
      <c r="C44" s="130" t="s">
        <v>229</v>
      </c>
      <c r="D44" s="8"/>
      <c r="E44" s="98"/>
      <c r="F44" s="112"/>
      <c r="G44" s="9"/>
      <c r="H44" s="9"/>
      <c r="I44" s="9"/>
      <c r="J44" s="112"/>
      <c r="K44" s="10"/>
      <c r="L44" s="8"/>
      <c r="M44" s="98"/>
      <c r="N44" s="112"/>
      <c r="O44" s="9"/>
      <c r="P44" s="9"/>
      <c r="Q44" s="9"/>
      <c r="R44" s="112"/>
      <c r="S44" s="10"/>
      <c r="T44" s="8"/>
      <c r="U44" s="98"/>
      <c r="V44" s="112"/>
      <c r="W44" s="9"/>
      <c r="X44" s="9"/>
      <c r="Y44" s="9"/>
      <c r="Z44" s="112"/>
      <c r="AA44" s="9"/>
      <c r="AB44" s="8"/>
      <c r="AC44" s="98"/>
      <c r="AD44" s="112"/>
      <c r="AE44" s="9"/>
      <c r="AF44" s="9"/>
      <c r="AG44" s="9"/>
      <c r="AH44" s="112"/>
      <c r="AI44" s="10"/>
      <c r="AJ44" s="8"/>
      <c r="AK44" s="98"/>
      <c r="AL44" s="112"/>
      <c r="AM44" s="9"/>
      <c r="AN44" s="9"/>
      <c r="AO44" s="9"/>
      <c r="AP44" s="112"/>
      <c r="AQ44" s="10"/>
      <c r="AR44" s="8"/>
      <c r="AS44" s="58"/>
      <c r="AT44" s="98"/>
      <c r="AU44" s="124"/>
      <c r="AV44" s="9"/>
      <c r="AW44" s="9"/>
      <c r="AX44" s="9"/>
      <c r="AY44" s="124"/>
      <c r="AZ44" s="10"/>
      <c r="BA44" s="154"/>
      <c r="BB44" s="9"/>
      <c r="BC44" s="9"/>
      <c r="BD44" s="9"/>
      <c r="BE44" s="9"/>
      <c r="BF44" s="9"/>
      <c r="BG44" s="9"/>
      <c r="BH44" s="9"/>
      <c r="BI44" s="10"/>
      <c r="BJ44" s="8"/>
      <c r="BK44" s="98"/>
      <c r="BL44" s="112"/>
      <c r="BM44" s="9"/>
      <c r="BN44" s="9"/>
      <c r="BO44" s="9" t="s">
        <v>140</v>
      </c>
      <c r="BP44" s="112"/>
      <c r="BQ44" s="10"/>
      <c r="BR44" s="8"/>
      <c r="BS44" s="9"/>
      <c r="BT44" s="9"/>
      <c r="BU44" s="9"/>
      <c r="BV44" s="9"/>
      <c r="BW44" s="9"/>
      <c r="BX44" s="9"/>
      <c r="BY44" s="10"/>
      <c r="BZ44" s="8"/>
      <c r="CA44" s="9" t="s">
        <v>122</v>
      </c>
      <c r="CB44" s="9"/>
      <c r="CC44" s="9" t="s">
        <v>142</v>
      </c>
      <c r="CD44" s="9"/>
      <c r="CE44" s="9"/>
      <c r="CF44" s="9" t="s">
        <v>1767</v>
      </c>
      <c r="CG44" s="10" t="s">
        <v>95</v>
      </c>
      <c r="CH44" s="8"/>
      <c r="CI44" s="9"/>
      <c r="CJ44" s="9"/>
      <c r="CK44" s="10"/>
      <c r="CL44" s="238"/>
      <c r="CR44">
        <v>58</v>
      </c>
      <c r="CS44">
        <v>62</v>
      </c>
      <c r="CT44">
        <v>71</v>
      </c>
    </row>
    <row r="45" spans="1:98" ht="45" customHeight="1">
      <c r="A45" s="133">
        <v>2024</v>
      </c>
      <c r="C45" s="131" t="str">
        <f>CR44&amp;" - "&amp;CT44 &amp;" (" &amp; CS44 &amp; ")"</f>
        <v>58 - 71 (62)</v>
      </c>
      <c r="D45" s="8"/>
      <c r="E45" s="98"/>
      <c r="F45" s="112"/>
      <c r="G45" s="9"/>
      <c r="H45" s="9"/>
      <c r="I45" s="9"/>
      <c r="J45" s="112"/>
      <c r="K45" s="10"/>
      <c r="L45" s="8"/>
      <c r="M45" s="98"/>
      <c r="N45" s="112"/>
      <c r="O45" s="9"/>
      <c r="P45" s="9"/>
      <c r="Q45" s="9"/>
      <c r="R45" s="112"/>
      <c r="S45" s="10"/>
      <c r="T45" s="8"/>
      <c r="U45" s="98"/>
      <c r="V45" s="112"/>
      <c r="W45" s="9"/>
      <c r="X45" s="9"/>
      <c r="Y45" s="9"/>
      <c r="Z45" s="112"/>
      <c r="AA45" s="9"/>
      <c r="AB45" s="8"/>
      <c r="AC45" s="98"/>
      <c r="AD45" s="112"/>
      <c r="AE45" s="9"/>
      <c r="AF45" s="9"/>
      <c r="AG45" s="9"/>
      <c r="AH45" s="112"/>
      <c r="AI45" s="10"/>
      <c r="AJ45" s="8"/>
      <c r="AK45" s="98"/>
      <c r="AL45" s="112"/>
      <c r="AM45" s="9"/>
      <c r="AN45" s="9"/>
      <c r="AO45" s="9"/>
      <c r="AP45" s="112"/>
      <c r="AQ45" s="10"/>
      <c r="AR45" s="8"/>
      <c r="AS45" s="58"/>
      <c r="AT45" s="98"/>
      <c r="AU45" s="124"/>
      <c r="AV45" s="9"/>
      <c r="AW45" s="9"/>
      <c r="AX45" s="9"/>
      <c r="AY45" s="124"/>
      <c r="AZ45" s="10"/>
      <c r="BA45" s="154"/>
      <c r="BB45" s="9"/>
      <c r="BC45" s="9"/>
      <c r="BD45" s="9"/>
      <c r="BE45" s="9"/>
      <c r="BF45" s="9"/>
      <c r="BG45" s="9"/>
      <c r="BH45" s="9"/>
      <c r="BI45" s="10"/>
      <c r="BJ45" s="8"/>
      <c r="BK45" s="98"/>
      <c r="BL45" s="112"/>
      <c r="BM45" s="9"/>
      <c r="BN45" s="9"/>
      <c r="BO45" s="9" t="s">
        <v>140</v>
      </c>
      <c r="BP45" s="112"/>
      <c r="BQ45" s="10"/>
      <c r="BR45" s="8"/>
      <c r="BS45" s="9"/>
      <c r="BT45" s="9"/>
      <c r="BU45" s="9"/>
      <c r="BV45" s="9"/>
      <c r="BW45" s="9"/>
      <c r="BX45" s="9"/>
      <c r="BY45" s="10"/>
      <c r="BZ45" s="8"/>
      <c r="CA45" s="9" t="s">
        <v>122</v>
      </c>
      <c r="CB45" s="9"/>
      <c r="CC45" s="9" t="s">
        <v>142</v>
      </c>
      <c r="CD45" s="9"/>
      <c r="CE45" s="9"/>
      <c r="CF45" s="9" t="s">
        <v>1767</v>
      </c>
      <c r="CG45" s="10" t="s">
        <v>95</v>
      </c>
      <c r="CH45" s="8"/>
      <c r="CI45" s="9"/>
      <c r="CJ45" s="9"/>
      <c r="CK45" s="10"/>
      <c r="CL45" s="238"/>
    </row>
    <row r="46" spans="1:98" ht="45" customHeight="1">
      <c r="A46" s="133">
        <v>2024</v>
      </c>
      <c r="C46" s="130" t="s">
        <v>230</v>
      </c>
      <c r="D46" s="5"/>
      <c r="E46" s="97"/>
      <c r="F46" s="111"/>
      <c r="G46" s="6"/>
      <c r="H46" s="6"/>
      <c r="I46" s="6"/>
      <c r="J46" s="111"/>
      <c r="K46" s="7"/>
      <c r="L46" s="5"/>
      <c r="M46" s="97"/>
      <c r="N46" s="111" t="s">
        <v>3278</v>
      </c>
      <c r="O46" s="6"/>
      <c r="P46" s="6"/>
      <c r="Q46" s="6"/>
      <c r="R46" s="111" t="s">
        <v>3279</v>
      </c>
      <c r="S46" s="7"/>
      <c r="T46" s="5"/>
      <c r="U46" s="97"/>
      <c r="V46" s="111"/>
      <c r="W46" s="6"/>
      <c r="X46" s="6" t="s">
        <v>3280</v>
      </c>
      <c r="Y46" s="6"/>
      <c r="Z46" s="111"/>
      <c r="AA46" s="6"/>
      <c r="AB46" s="5"/>
      <c r="AC46" s="97"/>
      <c r="AD46" s="111"/>
      <c r="AE46" s="6"/>
      <c r="AF46" s="6"/>
      <c r="AG46" s="6"/>
      <c r="AH46" s="111"/>
      <c r="AI46" s="7"/>
      <c r="AJ46" s="5"/>
      <c r="AK46" s="97"/>
      <c r="AL46" s="111"/>
      <c r="AM46" s="6"/>
      <c r="AN46" s="6"/>
      <c r="AO46" s="6"/>
      <c r="AP46" s="111"/>
      <c r="AQ46" s="7"/>
      <c r="AR46" s="5"/>
      <c r="AS46" s="57"/>
      <c r="AT46" s="97"/>
      <c r="AU46" s="123"/>
      <c r="AV46" s="6"/>
      <c r="AW46" s="6"/>
      <c r="AX46" s="6"/>
      <c r="AY46" s="123"/>
      <c r="AZ46" s="7"/>
      <c r="BA46" s="153"/>
      <c r="BB46" s="6"/>
      <c r="BC46" s="6"/>
      <c r="BD46" s="6"/>
      <c r="BE46" s="6"/>
      <c r="BF46" s="6"/>
      <c r="BG46" s="6"/>
      <c r="BH46" s="6"/>
      <c r="BI46" s="7"/>
      <c r="BJ46" s="5"/>
      <c r="BK46" s="97"/>
      <c r="BL46" s="111"/>
      <c r="BM46" s="6"/>
      <c r="BN46" s="6"/>
      <c r="BO46" s="6" t="s">
        <v>140</v>
      </c>
      <c r="BP46" s="111"/>
      <c r="BQ46" s="7"/>
      <c r="BR46" s="5"/>
      <c r="BS46" s="6"/>
      <c r="BT46" s="6"/>
      <c r="BU46" s="6"/>
      <c r="BV46" s="6"/>
      <c r="BW46" s="6"/>
      <c r="BX46" s="6"/>
      <c r="BY46" s="7"/>
      <c r="BZ46" s="5"/>
      <c r="CA46" s="6"/>
      <c r="CB46" s="6"/>
      <c r="CC46" s="6" t="s">
        <v>142</v>
      </c>
      <c r="CD46" s="6"/>
      <c r="CE46" s="6"/>
      <c r="CF46" s="6" t="s">
        <v>1767</v>
      </c>
      <c r="CG46" s="7" t="s">
        <v>95</v>
      </c>
      <c r="CH46" s="5"/>
      <c r="CI46" s="6"/>
      <c r="CJ46" s="6"/>
      <c r="CK46" s="7"/>
      <c r="CR46">
        <v>54</v>
      </c>
      <c r="CS46">
        <v>62</v>
      </c>
      <c r="CT46">
        <v>71</v>
      </c>
    </row>
    <row r="47" spans="1:98" ht="45" customHeight="1">
      <c r="A47" s="133">
        <v>2024</v>
      </c>
      <c r="C47" s="131" t="str">
        <f>CR46&amp;" - "&amp;CT46 &amp;" (" &amp; CS46 &amp; ")"</f>
        <v>54 - 71 (62)</v>
      </c>
      <c r="D47" s="5"/>
      <c r="E47" s="97"/>
      <c r="F47" s="111"/>
      <c r="G47" s="6"/>
      <c r="H47" s="6"/>
      <c r="I47" s="6"/>
      <c r="J47" s="111"/>
      <c r="K47" s="7"/>
      <c r="L47" s="5"/>
      <c r="M47" s="97"/>
      <c r="N47" s="111"/>
      <c r="O47" s="6"/>
      <c r="P47" s="6"/>
      <c r="Q47" s="6"/>
      <c r="R47" s="111"/>
      <c r="S47" s="7"/>
      <c r="T47" s="5"/>
      <c r="U47" s="97"/>
      <c r="V47" s="111"/>
      <c r="W47" s="6"/>
      <c r="X47" s="6"/>
      <c r="Y47" s="6"/>
      <c r="Z47" s="111"/>
      <c r="AA47" s="6"/>
      <c r="AB47" s="5"/>
      <c r="AC47" s="97"/>
      <c r="AD47" s="111"/>
      <c r="AE47" s="6"/>
      <c r="AF47" s="6"/>
      <c r="AG47" s="6"/>
      <c r="AH47" s="111"/>
      <c r="AI47" s="7"/>
      <c r="AJ47" s="5"/>
      <c r="AK47" s="97"/>
      <c r="AL47" s="111"/>
      <c r="AM47" s="6"/>
      <c r="AN47" s="6"/>
      <c r="AO47" s="6"/>
      <c r="AP47" s="111"/>
      <c r="AQ47" s="7"/>
      <c r="AR47" s="5" t="s">
        <v>3282</v>
      </c>
      <c r="AS47" s="57"/>
      <c r="AT47" s="97"/>
      <c r="AU47" s="123"/>
      <c r="AV47" s="6"/>
      <c r="AW47" s="6"/>
      <c r="AX47" s="6"/>
      <c r="AY47" s="123"/>
      <c r="AZ47" s="7"/>
      <c r="BA47" s="153"/>
      <c r="BB47" s="6"/>
      <c r="BC47" s="6"/>
      <c r="BD47" s="6"/>
      <c r="BE47" s="6"/>
      <c r="BF47" s="6"/>
      <c r="BG47" s="6"/>
      <c r="BH47" s="6"/>
      <c r="BI47" s="7"/>
      <c r="BJ47" s="5"/>
      <c r="BK47" s="97"/>
      <c r="BL47" s="111"/>
      <c r="BM47" s="6"/>
      <c r="BN47" s="6"/>
      <c r="BO47" s="6" t="s">
        <v>140</v>
      </c>
      <c r="BP47" s="111"/>
      <c r="BQ47" s="7"/>
      <c r="BR47" s="5"/>
      <c r="BS47" s="6"/>
      <c r="BT47" s="6"/>
      <c r="BU47" s="6"/>
      <c r="BV47" s="6"/>
      <c r="BW47" s="6"/>
      <c r="BX47" s="6"/>
      <c r="BY47" s="7"/>
      <c r="BZ47" s="5"/>
      <c r="CA47" s="6"/>
      <c r="CB47" s="6"/>
      <c r="CC47" s="6" t="s">
        <v>142</v>
      </c>
      <c r="CD47" s="6"/>
      <c r="CE47" s="6"/>
      <c r="CF47" s="6" t="s">
        <v>1767</v>
      </c>
      <c r="CG47" s="7" t="s">
        <v>95</v>
      </c>
      <c r="CH47" s="5"/>
      <c r="CI47" s="6"/>
      <c r="CJ47" s="6"/>
      <c r="CK47" s="7"/>
    </row>
    <row r="48" spans="1:98" ht="45" customHeight="1">
      <c r="A48" s="133">
        <v>2024</v>
      </c>
      <c r="C48" s="130" t="s">
        <v>231</v>
      </c>
      <c r="D48" s="8"/>
      <c r="E48" s="98"/>
      <c r="F48" s="112"/>
      <c r="G48" s="9"/>
      <c r="H48" s="9"/>
      <c r="I48" s="9"/>
      <c r="J48" s="112"/>
      <c r="K48" s="10"/>
      <c r="L48" s="8"/>
      <c r="M48" s="98"/>
      <c r="N48" s="112"/>
      <c r="O48" s="9"/>
      <c r="P48" s="9"/>
      <c r="Q48" s="9"/>
      <c r="R48" s="112"/>
      <c r="S48" s="10"/>
      <c r="T48" s="8"/>
      <c r="U48" s="98"/>
      <c r="V48" s="112"/>
      <c r="W48" s="9"/>
      <c r="X48" s="9"/>
      <c r="Y48" s="9"/>
      <c r="Z48" s="112"/>
      <c r="AA48" s="9"/>
      <c r="AB48" s="8"/>
      <c r="AC48" s="98"/>
      <c r="AD48" s="112"/>
      <c r="AE48" s="9"/>
      <c r="AF48" s="9"/>
      <c r="AG48" s="9"/>
      <c r="AH48" s="112"/>
      <c r="AI48" s="10"/>
      <c r="AJ48" s="8"/>
      <c r="AK48" s="98"/>
      <c r="AL48" s="112"/>
      <c r="AM48" s="9"/>
      <c r="AN48" s="9"/>
      <c r="AO48" s="9"/>
      <c r="AP48" s="112"/>
      <c r="AQ48" s="10"/>
      <c r="AR48" s="8"/>
      <c r="AS48" s="58"/>
      <c r="AT48" s="98"/>
      <c r="AU48" s="124"/>
      <c r="AV48" s="9"/>
      <c r="AW48" s="9"/>
      <c r="AX48" s="9"/>
      <c r="AY48" s="124"/>
      <c r="AZ48" s="10"/>
      <c r="BA48" s="154"/>
      <c r="BB48" s="9"/>
      <c r="BC48" s="9"/>
      <c r="BD48" s="9"/>
      <c r="BE48" s="9"/>
      <c r="BF48" s="9"/>
      <c r="BG48" s="9"/>
      <c r="BH48" s="9"/>
      <c r="BI48" s="10"/>
      <c r="BJ48" s="8"/>
      <c r="BK48" s="98"/>
      <c r="BL48" s="112"/>
      <c r="BM48" s="9"/>
      <c r="BN48" s="9"/>
      <c r="BO48" s="9" t="s">
        <v>140</v>
      </c>
      <c r="BP48" s="112"/>
      <c r="BQ48" s="10"/>
      <c r="BR48" s="8"/>
      <c r="BS48" s="9"/>
      <c r="BT48" s="9"/>
      <c r="BU48" s="9"/>
      <c r="BV48" s="9"/>
      <c r="BW48" s="9"/>
      <c r="BX48" s="9"/>
      <c r="BY48" s="10"/>
      <c r="BZ48" s="8"/>
      <c r="CA48" s="9"/>
      <c r="CB48" s="9"/>
      <c r="CC48" s="9" t="s">
        <v>142</v>
      </c>
      <c r="CD48" s="9"/>
      <c r="CE48" s="9"/>
      <c r="CF48" s="9" t="s">
        <v>1767</v>
      </c>
      <c r="CG48" s="10" t="s">
        <v>95</v>
      </c>
      <c r="CH48" s="8"/>
      <c r="CI48" s="9"/>
      <c r="CJ48" s="9"/>
      <c r="CK48" s="10"/>
      <c r="CL48" s="238"/>
      <c r="CR48">
        <v>48</v>
      </c>
      <c r="CS48">
        <v>53</v>
      </c>
      <c r="CT48">
        <v>61</v>
      </c>
    </row>
    <row r="49" spans="1:98" ht="45" customHeight="1">
      <c r="A49" s="133">
        <v>2024</v>
      </c>
      <c r="C49" s="131" t="str">
        <f>CR48&amp;" - "&amp;CT48 &amp;" (" &amp; CS48 &amp; ")"</f>
        <v>48 - 61 (53)</v>
      </c>
      <c r="D49" s="23"/>
      <c r="E49" s="101"/>
      <c r="F49" s="115"/>
      <c r="G49" s="24"/>
      <c r="H49" s="24"/>
      <c r="I49" s="24"/>
      <c r="J49" s="115"/>
      <c r="K49" s="25"/>
      <c r="L49" s="23"/>
      <c r="M49" s="101"/>
      <c r="N49" s="115"/>
      <c r="O49" s="24"/>
      <c r="P49" s="24"/>
      <c r="Q49" s="24"/>
      <c r="R49" s="115"/>
      <c r="S49" s="25"/>
      <c r="T49" s="23"/>
      <c r="U49" s="101"/>
      <c r="V49" s="115"/>
      <c r="W49" s="24"/>
      <c r="X49" s="24"/>
      <c r="Y49" s="24"/>
      <c r="Z49" s="115"/>
      <c r="AA49" s="25"/>
      <c r="AB49" s="23"/>
      <c r="AC49" s="101"/>
      <c r="AD49" s="115"/>
      <c r="AE49" s="24"/>
      <c r="AF49" s="24"/>
      <c r="AG49" s="24"/>
      <c r="AH49" s="115"/>
      <c r="AI49" s="25"/>
      <c r="AJ49" s="23"/>
      <c r="AK49" s="101"/>
      <c r="AL49" s="115"/>
      <c r="AM49" s="24"/>
      <c r="AN49" s="24"/>
      <c r="AO49" s="24"/>
      <c r="AP49" s="115"/>
      <c r="AQ49" s="25"/>
      <c r="AR49" s="23"/>
      <c r="AS49" s="55"/>
      <c r="AT49" s="101"/>
      <c r="AU49" s="127"/>
      <c r="AV49" s="24"/>
      <c r="AW49" s="24"/>
      <c r="AX49" s="24"/>
      <c r="AY49" s="127"/>
      <c r="AZ49" s="25"/>
      <c r="BA49" s="157"/>
      <c r="BB49" s="24"/>
      <c r="BC49" s="24"/>
      <c r="BD49" s="24"/>
      <c r="BE49" s="24"/>
      <c r="BF49" s="24"/>
      <c r="BG49" s="24"/>
      <c r="BH49" s="24"/>
      <c r="BI49" s="25"/>
      <c r="BJ49" s="23"/>
      <c r="BK49" s="101"/>
      <c r="BL49" s="115"/>
      <c r="BM49" s="24"/>
      <c r="BN49" s="24"/>
      <c r="BO49" s="24" t="s">
        <v>140</v>
      </c>
      <c r="BP49" s="115"/>
      <c r="BQ49" s="25"/>
      <c r="BR49" s="23"/>
      <c r="BS49" s="24"/>
      <c r="BT49" s="24"/>
      <c r="BU49" s="24"/>
      <c r="BV49" s="24"/>
      <c r="BW49" s="24"/>
      <c r="BX49" s="24"/>
      <c r="BY49" s="25"/>
      <c r="BZ49" s="23"/>
      <c r="CA49" s="24"/>
      <c r="CB49" s="24"/>
      <c r="CC49" s="24" t="s">
        <v>142</v>
      </c>
      <c r="CD49" s="24"/>
      <c r="CE49" s="24"/>
      <c r="CF49" s="24" t="s">
        <v>1767</v>
      </c>
      <c r="CG49" s="25" t="s">
        <v>95</v>
      </c>
      <c r="CH49" s="23"/>
      <c r="CI49" s="24"/>
      <c r="CJ49" s="24"/>
      <c r="CK49" s="25"/>
      <c r="CL49" s="192"/>
    </row>
    <row r="50" spans="1:98" ht="45" customHeight="1">
      <c r="A50" s="133">
        <v>2024</v>
      </c>
      <c r="C50" s="130" t="s">
        <v>232</v>
      </c>
      <c r="D50" s="20"/>
      <c r="E50" s="100"/>
      <c r="F50" s="114"/>
      <c r="G50" s="21"/>
      <c r="H50" s="21"/>
      <c r="I50" s="21"/>
      <c r="J50" s="114"/>
      <c r="K50" s="22"/>
      <c r="L50" s="20"/>
      <c r="M50" s="100"/>
      <c r="N50" s="114"/>
      <c r="O50" s="21"/>
      <c r="P50" s="21"/>
      <c r="Q50" s="21"/>
      <c r="R50" s="114"/>
      <c r="S50" s="22"/>
      <c r="T50" s="20"/>
      <c r="U50" s="100"/>
      <c r="V50" s="114"/>
      <c r="W50" s="21"/>
      <c r="X50" s="21"/>
      <c r="Y50" s="21"/>
      <c r="Z50" s="114"/>
      <c r="AA50" s="22"/>
      <c r="AB50" s="20"/>
      <c r="AC50" s="100"/>
      <c r="AD50" s="114"/>
      <c r="AE50" s="21"/>
      <c r="AF50" s="21"/>
      <c r="AG50" s="21"/>
      <c r="AH50" s="114"/>
      <c r="AI50" s="22"/>
      <c r="AJ50" s="20"/>
      <c r="AK50" s="100"/>
      <c r="AL50" s="114"/>
      <c r="AM50" s="21"/>
      <c r="AN50" s="21"/>
      <c r="AO50" s="21"/>
      <c r="AP50" s="114"/>
      <c r="AQ50" s="22"/>
      <c r="AR50" s="20"/>
      <c r="AS50" s="56"/>
      <c r="AT50" s="100"/>
      <c r="AU50" s="126"/>
      <c r="AV50" s="21"/>
      <c r="AW50" s="21"/>
      <c r="AX50" s="21"/>
      <c r="AY50" s="126"/>
      <c r="AZ50" s="22"/>
      <c r="BA50" s="156"/>
      <c r="BB50" s="21"/>
      <c r="BC50" s="21"/>
      <c r="BD50" s="21"/>
      <c r="BE50" s="21"/>
      <c r="BF50" s="21"/>
      <c r="BG50" s="21"/>
      <c r="BH50" s="21"/>
      <c r="BI50" s="22"/>
      <c r="BJ50" s="20"/>
      <c r="BK50" s="100"/>
      <c r="BL50" s="114"/>
      <c r="BM50" s="21"/>
      <c r="BN50" s="21"/>
      <c r="BO50" s="21" t="s">
        <v>140</v>
      </c>
      <c r="BP50" s="114"/>
      <c r="BQ50" s="22"/>
      <c r="BR50" s="20"/>
      <c r="BS50" s="21"/>
      <c r="BT50" s="21"/>
      <c r="BU50" s="21"/>
      <c r="BV50" s="21"/>
      <c r="BW50" s="21"/>
      <c r="BX50" s="21"/>
      <c r="BY50" s="22"/>
      <c r="BZ50" s="20"/>
      <c r="CA50" s="21"/>
      <c r="CB50" s="21"/>
      <c r="CC50" s="21" t="s">
        <v>142</v>
      </c>
      <c r="CD50" s="21"/>
      <c r="CE50" s="21"/>
      <c r="CF50" s="21" t="s">
        <v>1767</v>
      </c>
      <c r="CG50" s="22" t="s">
        <v>95</v>
      </c>
      <c r="CH50" s="20"/>
      <c r="CI50" s="21"/>
      <c r="CJ50" s="21"/>
      <c r="CK50" s="22"/>
      <c r="CL50" s="28"/>
      <c r="CR50">
        <v>42</v>
      </c>
      <c r="CS50">
        <v>46</v>
      </c>
      <c r="CT50">
        <v>52</v>
      </c>
    </row>
    <row r="51" spans="1:98" ht="45" customHeight="1">
      <c r="A51" s="133">
        <v>2024</v>
      </c>
      <c r="C51" s="131" t="str">
        <f>CR50&amp;" - "&amp;CT50 &amp;" (" &amp; CS50 &amp; ")"</f>
        <v>42 - 52 (46)</v>
      </c>
      <c r="D51" s="5"/>
      <c r="E51" s="97"/>
      <c r="F51" s="111"/>
      <c r="G51" s="6"/>
      <c r="H51" s="6"/>
      <c r="I51" s="6"/>
      <c r="J51" s="111"/>
      <c r="K51" s="7"/>
      <c r="L51" s="5"/>
      <c r="M51" s="97"/>
      <c r="N51" s="111"/>
      <c r="O51" s="6"/>
      <c r="P51" s="6"/>
      <c r="Q51" s="6"/>
      <c r="R51" s="111"/>
      <c r="S51" s="7"/>
      <c r="T51" s="5"/>
      <c r="U51" s="97"/>
      <c r="V51" s="111"/>
      <c r="W51" s="6"/>
      <c r="X51" s="6"/>
      <c r="Y51" s="6"/>
      <c r="Z51" s="111"/>
      <c r="AA51" s="7"/>
      <c r="AB51" s="5"/>
      <c r="AC51" s="97"/>
      <c r="AD51" s="111"/>
      <c r="AE51" s="6"/>
      <c r="AF51" s="6"/>
      <c r="AG51" s="6"/>
      <c r="AH51" s="111"/>
      <c r="AI51" s="7"/>
      <c r="AJ51" s="5"/>
      <c r="AK51" s="97"/>
      <c r="AL51" s="111"/>
      <c r="AM51" s="6"/>
      <c r="AN51" s="6"/>
      <c r="AO51" s="6"/>
      <c r="AP51" s="111"/>
      <c r="AQ51" s="7"/>
      <c r="AR51" s="5"/>
      <c r="AS51" s="57"/>
      <c r="AT51" s="57"/>
      <c r="AU51" s="123"/>
      <c r="AV51" s="6"/>
      <c r="AW51" s="6"/>
      <c r="AX51" s="6"/>
      <c r="AY51" s="123"/>
      <c r="AZ51" s="7"/>
      <c r="BA51" s="153"/>
      <c r="BB51" s="6"/>
      <c r="BC51" s="6"/>
      <c r="BD51" s="6"/>
      <c r="BE51" s="6"/>
      <c r="BF51" s="6"/>
      <c r="BG51" s="6"/>
      <c r="BH51" s="6"/>
      <c r="BI51" s="7"/>
      <c r="BJ51" s="5"/>
      <c r="BK51" s="97"/>
      <c r="BL51" s="111"/>
      <c r="BM51" s="6"/>
      <c r="BN51" s="6"/>
      <c r="BO51" s="6" t="s">
        <v>140</v>
      </c>
      <c r="BP51" s="111"/>
      <c r="BQ51" s="7"/>
      <c r="BR51" s="5"/>
      <c r="BS51" s="6"/>
      <c r="BT51" s="6"/>
      <c r="BU51" s="6"/>
      <c r="BV51" s="6"/>
      <c r="BW51" s="6"/>
      <c r="BX51" s="6"/>
      <c r="BY51" s="7"/>
      <c r="BZ51" s="5"/>
      <c r="CA51" s="6"/>
      <c r="CB51" s="6"/>
      <c r="CC51" s="6" t="s">
        <v>142</v>
      </c>
      <c r="CD51" s="6"/>
      <c r="CE51" s="6"/>
      <c r="CF51" s="6" t="s">
        <v>1767</v>
      </c>
      <c r="CG51" s="7" t="s">
        <v>95</v>
      </c>
      <c r="CH51" s="5"/>
      <c r="CI51" s="6"/>
      <c r="CJ51" s="6"/>
      <c r="CK51" s="7"/>
    </row>
    <row r="52" spans="1:98" ht="45" customHeight="1">
      <c r="A52" s="133">
        <v>2024</v>
      </c>
      <c r="C52" s="130" t="s">
        <v>233</v>
      </c>
      <c r="D52" s="8"/>
      <c r="E52" s="98"/>
      <c r="F52" s="112"/>
      <c r="G52" s="9"/>
      <c r="H52" s="9"/>
      <c r="I52" s="9"/>
      <c r="J52" s="112"/>
      <c r="K52" s="10"/>
      <c r="L52" s="8"/>
      <c r="M52" s="98"/>
      <c r="N52" s="112"/>
      <c r="O52" s="9"/>
      <c r="P52" s="9"/>
      <c r="Q52" s="9"/>
      <c r="R52" s="112"/>
      <c r="S52" s="10"/>
      <c r="T52" s="8"/>
      <c r="U52" s="98"/>
      <c r="V52" s="112"/>
      <c r="W52" s="9"/>
      <c r="X52" s="9"/>
      <c r="Y52" s="9"/>
      <c r="Z52" s="112"/>
      <c r="AA52" s="10"/>
      <c r="AB52" s="8"/>
      <c r="AC52" s="98"/>
      <c r="AD52" s="112"/>
      <c r="AE52" s="9"/>
      <c r="AF52" s="9"/>
      <c r="AG52" s="9"/>
      <c r="AH52" s="112"/>
      <c r="AI52" s="10"/>
      <c r="AJ52" s="8"/>
      <c r="AK52" s="98"/>
      <c r="AL52" s="112"/>
      <c r="AM52" s="9"/>
      <c r="AN52" s="9"/>
      <c r="AO52" s="9"/>
      <c r="AP52" s="112"/>
      <c r="AQ52" s="10"/>
      <c r="AR52" s="8"/>
      <c r="AS52" s="58"/>
      <c r="AT52" s="98"/>
      <c r="AU52" s="124"/>
      <c r="AV52" s="9"/>
      <c r="AW52" s="9"/>
      <c r="AX52" s="9"/>
      <c r="AY52" s="124"/>
      <c r="AZ52" s="10"/>
      <c r="BA52" s="154"/>
      <c r="BB52" s="9"/>
      <c r="BC52" s="9"/>
      <c r="BD52" s="9"/>
      <c r="BE52" s="9"/>
      <c r="BF52" s="9"/>
      <c r="BG52" s="9"/>
      <c r="BH52" s="9"/>
      <c r="BI52" s="10"/>
      <c r="BJ52" s="8"/>
      <c r="BK52" s="98"/>
      <c r="BL52" s="112"/>
      <c r="BM52" s="9"/>
      <c r="BN52" s="9"/>
      <c r="BO52" s="9" t="s">
        <v>140</v>
      </c>
      <c r="BP52" s="112"/>
      <c r="BQ52" s="10"/>
      <c r="BR52" s="8"/>
      <c r="BS52" s="9"/>
      <c r="BT52" s="9"/>
      <c r="BU52" s="9"/>
      <c r="BV52" s="9"/>
      <c r="BW52" s="9"/>
      <c r="BX52" s="9"/>
      <c r="BY52" s="10"/>
      <c r="BZ52" s="8"/>
      <c r="CA52" s="9"/>
      <c r="CB52" s="9"/>
      <c r="CC52" s="9" t="s">
        <v>142</v>
      </c>
      <c r="CD52" s="9"/>
      <c r="CE52" s="9"/>
      <c r="CF52" s="9" t="s">
        <v>1767</v>
      </c>
      <c r="CG52" s="10" t="s">
        <v>95</v>
      </c>
      <c r="CH52" s="8"/>
      <c r="CI52" s="9"/>
      <c r="CJ52" s="9"/>
      <c r="CK52" s="10"/>
      <c r="CL52" s="238"/>
      <c r="CR52">
        <v>38</v>
      </c>
      <c r="CS52">
        <v>41</v>
      </c>
      <c r="CT52">
        <v>47</v>
      </c>
    </row>
    <row r="53" spans="1:98" ht="45" customHeight="1" thickBot="1">
      <c r="A53" s="133">
        <v>2024</v>
      </c>
      <c r="C53" s="131" t="str">
        <f>CR52&amp;" - "&amp;CT52 &amp;" (" &amp; CS52 &amp; ")"</f>
        <v>38 - 47 (41)</v>
      </c>
      <c r="D53" s="11"/>
      <c r="E53" s="102"/>
      <c r="F53" s="116"/>
      <c r="G53" s="12"/>
      <c r="H53" s="12"/>
      <c r="I53" s="12"/>
      <c r="J53" s="116"/>
      <c r="K53" s="13"/>
      <c r="L53" s="11"/>
      <c r="M53" s="102"/>
      <c r="N53" s="116"/>
      <c r="O53" s="12"/>
      <c r="P53" s="12"/>
      <c r="Q53" s="12"/>
      <c r="R53" s="116"/>
      <c r="S53" s="13"/>
      <c r="T53" s="11"/>
      <c r="U53" s="102"/>
      <c r="V53" s="116"/>
      <c r="W53" s="12"/>
      <c r="X53" s="12"/>
      <c r="Y53" s="12"/>
      <c r="Z53" s="116"/>
      <c r="AA53" s="13"/>
      <c r="AB53" s="11"/>
      <c r="AC53" s="102"/>
      <c r="AD53" s="116"/>
      <c r="AE53" s="12"/>
      <c r="AF53" s="12"/>
      <c r="AG53" s="12"/>
      <c r="AH53" s="116"/>
      <c r="AI53" s="13"/>
      <c r="AJ53" s="11"/>
      <c r="AK53" s="102"/>
      <c r="AL53" s="116"/>
      <c r="AM53" s="12"/>
      <c r="AN53" s="12"/>
      <c r="AO53" s="12"/>
      <c r="AP53" s="116"/>
      <c r="AQ53" s="13"/>
      <c r="AR53" s="59"/>
      <c r="AS53" s="59"/>
      <c r="AT53" s="102"/>
      <c r="AU53" s="128"/>
      <c r="AV53" s="12"/>
      <c r="AW53" s="12"/>
      <c r="AX53" s="12"/>
      <c r="AY53" s="128"/>
      <c r="AZ53" s="13"/>
      <c r="BA53" s="158"/>
      <c r="BB53" s="12"/>
      <c r="BC53" s="12"/>
      <c r="BD53" s="12"/>
      <c r="BE53" s="12"/>
      <c r="BF53" s="12"/>
      <c r="BG53" s="12"/>
      <c r="BH53" s="12"/>
      <c r="BI53" s="13"/>
      <c r="BJ53" s="11"/>
      <c r="BK53" s="102"/>
      <c r="BL53" s="116"/>
      <c r="BM53" s="12"/>
      <c r="BN53" s="12"/>
      <c r="BO53" s="12" t="s">
        <v>140</v>
      </c>
      <c r="BP53" s="116"/>
      <c r="BQ53" s="13"/>
      <c r="BR53" s="11"/>
      <c r="BS53" s="12"/>
      <c r="BT53" s="12"/>
      <c r="BU53" s="12"/>
      <c r="BV53" s="12"/>
      <c r="BW53" s="12"/>
      <c r="BX53" s="12"/>
      <c r="BY53" s="13"/>
      <c r="BZ53" s="11"/>
      <c r="CA53" s="12"/>
      <c r="CB53" s="12"/>
      <c r="CC53" s="12" t="s">
        <v>142</v>
      </c>
      <c r="CD53" s="12"/>
      <c r="CE53" s="12"/>
      <c r="CF53" s="12" t="s">
        <v>1767</v>
      </c>
      <c r="CG53" s="13" t="s">
        <v>95</v>
      </c>
      <c r="CH53" s="11"/>
      <c r="CI53" s="12"/>
      <c r="CJ53" s="12"/>
      <c r="CK53" s="13"/>
      <c r="CL53" s="238"/>
    </row>
    <row r="54" spans="1:98" ht="45" hidden="1" customHeight="1" outlineLevel="1">
      <c r="A54" s="133">
        <v>2025</v>
      </c>
      <c r="C54" s="130" t="s">
        <v>222</v>
      </c>
      <c r="D54" s="2"/>
      <c r="E54" s="96"/>
      <c r="F54" s="110"/>
      <c r="G54" s="3"/>
      <c r="H54" s="3"/>
      <c r="I54" s="3"/>
      <c r="J54" s="110"/>
      <c r="K54" s="4"/>
      <c r="L54" s="2"/>
      <c r="M54" s="96"/>
      <c r="N54" s="110"/>
      <c r="O54" s="3"/>
      <c r="P54" s="3"/>
      <c r="Q54" s="3"/>
      <c r="R54" s="110"/>
      <c r="S54" s="4"/>
      <c r="T54" s="2"/>
      <c r="U54" s="96"/>
      <c r="V54" s="110"/>
      <c r="W54" s="3"/>
      <c r="X54" s="3"/>
      <c r="Y54" s="3"/>
      <c r="Z54" s="110"/>
      <c r="AA54" s="4"/>
      <c r="AB54" s="2"/>
      <c r="AC54" s="96"/>
      <c r="AD54" s="110"/>
      <c r="AE54" s="3"/>
      <c r="AF54" s="3"/>
      <c r="AG54" s="3"/>
      <c r="AH54" s="110"/>
      <c r="AI54" s="4"/>
      <c r="AJ54" s="2"/>
      <c r="AK54" s="96"/>
      <c r="AL54" s="110"/>
      <c r="AM54" s="3"/>
      <c r="AN54" s="3"/>
      <c r="AO54" s="3"/>
      <c r="AP54" s="110"/>
      <c r="AQ54" s="4"/>
      <c r="AR54" s="2"/>
      <c r="AS54" s="60"/>
      <c r="AT54" s="96"/>
      <c r="AU54" s="122"/>
      <c r="AV54" s="3"/>
      <c r="AW54" s="3"/>
      <c r="AX54" s="3"/>
      <c r="AY54" s="122"/>
      <c r="AZ54" s="4"/>
      <c r="BA54" s="152"/>
      <c r="BB54" s="3"/>
      <c r="BC54" s="3"/>
      <c r="BD54" s="3"/>
      <c r="BE54" s="3"/>
      <c r="BF54" s="3"/>
      <c r="BG54" s="3"/>
      <c r="BH54" s="3"/>
      <c r="BI54" s="4"/>
      <c r="BJ54" s="2"/>
      <c r="BK54" s="96"/>
      <c r="BL54" s="110"/>
      <c r="BM54" s="3"/>
      <c r="BN54" s="3"/>
      <c r="BO54" s="3"/>
      <c r="BP54" s="110"/>
      <c r="BQ54" s="4"/>
      <c r="BR54" s="2"/>
      <c r="BS54" s="3"/>
      <c r="BT54" s="3"/>
      <c r="BU54" s="3"/>
      <c r="BV54" s="3"/>
      <c r="BW54" s="3"/>
      <c r="BX54" s="3"/>
      <c r="BY54" s="4"/>
      <c r="BZ54" s="2"/>
      <c r="CA54" s="3"/>
      <c r="CB54" s="3"/>
      <c r="CC54" s="3"/>
      <c r="CD54" s="3"/>
      <c r="CE54" s="3"/>
      <c r="CF54" s="3"/>
      <c r="CG54" s="4"/>
      <c r="CH54" s="2"/>
      <c r="CI54" s="3"/>
      <c r="CJ54" s="3"/>
      <c r="CK54" s="4"/>
      <c r="CR54">
        <v>38</v>
      </c>
      <c r="CS54">
        <v>42</v>
      </c>
      <c r="CT54">
        <v>48</v>
      </c>
    </row>
    <row r="55" spans="1:98" ht="45" hidden="1" customHeight="1" outlineLevel="1">
      <c r="A55" s="133">
        <v>2025</v>
      </c>
      <c r="C55" s="131" t="str">
        <f>CR54&amp;" - "&amp;CT54 &amp;" (" &amp; CS54 &amp; ")"</f>
        <v>38 - 48 (42)</v>
      </c>
      <c r="D55" s="5"/>
      <c r="E55" s="97"/>
      <c r="F55" s="111"/>
      <c r="G55" s="6"/>
      <c r="H55" s="6"/>
      <c r="I55" s="6"/>
      <c r="J55" s="111"/>
      <c r="K55" s="7"/>
      <c r="L55" s="5"/>
      <c r="M55" s="97"/>
      <c r="N55" s="111"/>
      <c r="O55" s="6"/>
      <c r="P55" s="6"/>
      <c r="Q55" s="6"/>
      <c r="R55" s="111"/>
      <c r="S55" s="7"/>
      <c r="T55" s="5"/>
      <c r="U55" s="97"/>
      <c r="V55" s="111"/>
      <c r="W55" s="6"/>
      <c r="X55" s="6"/>
      <c r="Y55" s="6"/>
      <c r="Z55" s="111"/>
      <c r="AA55" s="7"/>
      <c r="AB55" s="5"/>
      <c r="AC55" s="97"/>
      <c r="AD55" s="111"/>
      <c r="AE55" s="6"/>
      <c r="AF55" s="6"/>
      <c r="AG55" s="6"/>
      <c r="AH55" s="111"/>
      <c r="AI55" s="7"/>
      <c r="AJ55" s="5"/>
      <c r="AK55" s="97"/>
      <c r="AL55" s="111"/>
      <c r="AM55" s="6"/>
      <c r="AN55" s="6"/>
      <c r="AO55" s="6"/>
      <c r="AP55" s="111"/>
      <c r="AQ55" s="7"/>
      <c r="AR55" s="5"/>
      <c r="AS55" s="57"/>
      <c r="AT55" s="97"/>
      <c r="AU55" s="123"/>
      <c r="AV55" s="6"/>
      <c r="AW55" s="6"/>
      <c r="AX55" s="6"/>
      <c r="AY55" s="123"/>
      <c r="AZ55" s="7"/>
      <c r="BA55" s="153"/>
      <c r="BB55" s="6"/>
      <c r="BC55" s="6"/>
      <c r="BD55" s="6"/>
      <c r="BE55" s="6"/>
      <c r="BF55" s="6"/>
      <c r="BG55" s="6"/>
      <c r="BH55" s="6"/>
      <c r="BI55" s="7"/>
      <c r="BJ55" s="5"/>
      <c r="BK55" s="97"/>
      <c r="BL55" s="111"/>
      <c r="BM55" s="6"/>
      <c r="BN55" s="6"/>
      <c r="BO55" s="6"/>
      <c r="BP55" s="111"/>
      <c r="BQ55" s="7"/>
      <c r="BR55" s="5"/>
      <c r="BS55" s="6"/>
      <c r="BT55" s="6"/>
      <c r="BU55" s="6"/>
      <c r="BV55" s="6"/>
      <c r="BW55" s="6"/>
      <c r="BX55" s="6"/>
      <c r="BY55" s="7"/>
      <c r="BZ55" s="5"/>
      <c r="CA55" s="6"/>
      <c r="CB55" s="6"/>
      <c r="CC55" s="6"/>
      <c r="CD55" s="6"/>
      <c r="CE55" s="6"/>
      <c r="CF55" s="6"/>
      <c r="CG55" s="7"/>
      <c r="CH55" s="5"/>
      <c r="CI55" s="6"/>
      <c r="CJ55" s="6"/>
      <c r="CK55" s="7"/>
    </row>
    <row r="56" spans="1:98" ht="45" hidden="1" customHeight="1" outlineLevel="1">
      <c r="A56" s="133">
        <v>2025</v>
      </c>
      <c r="C56" s="130" t="s">
        <v>223</v>
      </c>
      <c r="D56" s="8"/>
      <c r="E56" s="98"/>
      <c r="F56" s="112"/>
      <c r="G56" s="9"/>
      <c r="H56" s="9"/>
      <c r="I56" s="9"/>
      <c r="J56" s="112"/>
      <c r="K56" s="10"/>
      <c r="L56" s="8"/>
      <c r="M56" s="98"/>
      <c r="N56" s="112"/>
      <c r="O56" s="9"/>
      <c r="P56" s="9"/>
      <c r="Q56" s="9"/>
      <c r="R56" s="112"/>
      <c r="S56" s="10"/>
      <c r="T56" s="8"/>
      <c r="U56" s="98"/>
      <c r="V56" s="112"/>
      <c r="W56" s="9"/>
      <c r="X56" s="9"/>
      <c r="Y56" s="9"/>
      <c r="Z56" s="112"/>
      <c r="AA56" s="10"/>
      <c r="AB56" s="8"/>
      <c r="AC56" s="98"/>
      <c r="AD56" s="112"/>
      <c r="AE56" s="9"/>
      <c r="AF56" s="9"/>
      <c r="AG56" s="9"/>
      <c r="AH56" s="112"/>
      <c r="AI56" s="10"/>
      <c r="AJ56" s="8"/>
      <c r="AK56" s="98"/>
      <c r="AL56" s="112"/>
      <c r="AM56" s="9"/>
      <c r="AN56" s="9"/>
      <c r="AO56" s="9"/>
      <c r="AP56" s="112"/>
      <c r="AQ56" s="10"/>
      <c r="AR56" s="8"/>
      <c r="AS56" s="58"/>
      <c r="AT56" s="98"/>
      <c r="AU56" s="124"/>
      <c r="AV56" s="9"/>
      <c r="AW56" s="9"/>
      <c r="AX56" s="9"/>
      <c r="AY56" s="124"/>
      <c r="AZ56" s="10"/>
      <c r="BA56" s="154"/>
      <c r="BB56" s="9"/>
      <c r="BC56" s="9"/>
      <c r="BD56" s="9"/>
      <c r="BE56" s="9"/>
      <c r="BF56" s="9"/>
      <c r="BG56" s="9"/>
      <c r="BH56" s="9"/>
      <c r="BI56" s="10"/>
      <c r="BJ56" s="8"/>
      <c r="BK56" s="98"/>
      <c r="BL56" s="112"/>
      <c r="BM56" s="9"/>
      <c r="BN56" s="9"/>
      <c r="BO56" s="9"/>
      <c r="BP56" s="112"/>
      <c r="BQ56" s="10"/>
      <c r="BR56" s="8"/>
      <c r="BS56" s="9"/>
      <c r="BT56" s="9"/>
      <c r="BU56" s="9"/>
      <c r="BV56" s="9"/>
      <c r="BW56" s="9"/>
      <c r="BX56" s="9"/>
      <c r="BY56" s="10"/>
      <c r="BZ56" s="8"/>
      <c r="CA56" s="9"/>
      <c r="CB56" s="9"/>
      <c r="CC56" s="9"/>
      <c r="CD56" s="9"/>
      <c r="CE56" s="9"/>
      <c r="CF56" s="9"/>
      <c r="CG56" s="10"/>
      <c r="CH56" s="8"/>
      <c r="CI56" s="9"/>
      <c r="CJ56" s="9"/>
      <c r="CK56" s="10"/>
      <c r="CL56" s="238"/>
      <c r="CR56">
        <v>39</v>
      </c>
      <c r="CS56">
        <v>44</v>
      </c>
      <c r="CT56">
        <v>51</v>
      </c>
    </row>
    <row r="57" spans="1:98" ht="45" hidden="1" customHeight="1" outlineLevel="1">
      <c r="A57" s="133">
        <v>2025</v>
      </c>
      <c r="C57" s="131" t="str">
        <f>CR56&amp;" - "&amp;CT56 &amp;" (" &amp; CS56 &amp; ")"</f>
        <v>39 - 51 (44)</v>
      </c>
      <c r="D57" s="8"/>
      <c r="E57" s="98"/>
      <c r="F57" s="112"/>
      <c r="G57" s="9"/>
      <c r="H57" s="9"/>
      <c r="I57" s="9"/>
      <c r="J57" s="112"/>
      <c r="K57" s="10"/>
      <c r="L57" s="8"/>
      <c r="M57" s="98"/>
      <c r="N57" s="112"/>
      <c r="O57" s="9"/>
      <c r="P57" s="9"/>
      <c r="Q57" s="9"/>
      <c r="R57" s="112"/>
      <c r="S57" s="10"/>
      <c r="T57" s="8"/>
      <c r="U57" s="98"/>
      <c r="V57" s="112"/>
      <c r="W57" s="9"/>
      <c r="X57" s="9"/>
      <c r="Y57" s="9"/>
      <c r="Z57" s="112"/>
      <c r="AA57" s="10"/>
      <c r="AB57" s="8"/>
      <c r="AC57" s="98"/>
      <c r="AD57" s="112"/>
      <c r="AE57" s="9"/>
      <c r="AF57" s="9"/>
      <c r="AG57" s="9"/>
      <c r="AH57" s="112"/>
      <c r="AI57" s="10"/>
      <c r="AJ57" s="8"/>
      <c r="AK57" s="98"/>
      <c r="AL57" s="112"/>
      <c r="AM57" s="9"/>
      <c r="AN57" s="9"/>
      <c r="AO57" s="9"/>
      <c r="AP57" s="112"/>
      <c r="AQ57" s="10"/>
      <c r="AR57" s="8"/>
      <c r="AS57" s="58"/>
      <c r="AT57" s="98"/>
      <c r="AU57" s="124"/>
      <c r="AV57" s="9"/>
      <c r="AW57" s="9"/>
      <c r="AX57" s="9"/>
      <c r="AY57" s="124"/>
      <c r="AZ57" s="10"/>
      <c r="BA57" s="154"/>
      <c r="BB57" s="9"/>
      <c r="BC57" s="9"/>
      <c r="BD57" s="9"/>
      <c r="BE57" s="9"/>
      <c r="BF57" s="9"/>
      <c r="BG57" s="9"/>
      <c r="BH57" s="9"/>
      <c r="BI57" s="10"/>
      <c r="BJ57" s="8"/>
      <c r="BK57" s="98"/>
      <c r="BL57" s="112"/>
      <c r="BM57" s="9"/>
      <c r="BN57" s="9"/>
      <c r="BO57" s="9"/>
      <c r="BP57" s="112"/>
      <c r="BQ57" s="10"/>
      <c r="BR57" s="8"/>
      <c r="BS57" s="9"/>
      <c r="BT57" s="9"/>
      <c r="BU57" s="9"/>
      <c r="BV57" s="9"/>
      <c r="BW57" s="9"/>
      <c r="BX57" s="9"/>
      <c r="BY57" s="10"/>
      <c r="BZ57" s="8"/>
      <c r="CA57" s="9"/>
      <c r="CB57" s="9"/>
      <c r="CC57" s="9"/>
      <c r="CD57" s="9"/>
      <c r="CE57" s="9"/>
      <c r="CF57" s="9"/>
      <c r="CG57" s="10"/>
      <c r="CH57" s="8"/>
      <c r="CI57" s="9"/>
      <c r="CJ57" s="9"/>
      <c r="CK57" s="10"/>
      <c r="CL57" s="238"/>
    </row>
    <row r="58" spans="1:98" ht="45" hidden="1" customHeight="1" outlineLevel="1">
      <c r="A58" s="133">
        <v>2025</v>
      </c>
      <c r="C58" s="130" t="s">
        <v>224</v>
      </c>
      <c r="D58" s="17"/>
      <c r="E58" s="99"/>
      <c r="F58" s="113"/>
      <c r="G58" s="18"/>
      <c r="H58" s="18"/>
      <c r="I58" s="18"/>
      <c r="J58" s="113"/>
      <c r="K58" s="19"/>
      <c r="L58" s="17"/>
      <c r="M58" s="99"/>
      <c r="N58" s="113"/>
      <c r="O58" s="18"/>
      <c r="P58" s="18"/>
      <c r="Q58" s="18"/>
      <c r="R58" s="113"/>
      <c r="S58" s="19"/>
      <c r="T58" s="17"/>
      <c r="U58" s="99"/>
      <c r="V58" s="113"/>
      <c r="W58" s="18"/>
      <c r="X58" s="18"/>
      <c r="Y58" s="18"/>
      <c r="Z58" s="113"/>
      <c r="AA58" s="19"/>
      <c r="AB58" s="17"/>
      <c r="AC58" s="99"/>
      <c r="AD58" s="113"/>
      <c r="AE58" s="18"/>
      <c r="AF58" s="18"/>
      <c r="AG58" s="18"/>
      <c r="AH58" s="113"/>
      <c r="AI58" s="19"/>
      <c r="AJ58" s="17"/>
      <c r="AK58" s="99"/>
      <c r="AL58" s="113"/>
      <c r="AM58" s="18"/>
      <c r="AN58" s="18"/>
      <c r="AO58" s="18"/>
      <c r="AP58" s="113"/>
      <c r="AQ58" s="19"/>
      <c r="AR58" s="17"/>
      <c r="AS58" s="61"/>
      <c r="AT58" s="99"/>
      <c r="AU58" s="125"/>
      <c r="AV58" s="18"/>
      <c r="AW58" s="18"/>
      <c r="AX58" s="18"/>
      <c r="AY58" s="125"/>
      <c r="AZ58" s="19"/>
      <c r="BA58" s="155"/>
      <c r="BB58" s="18"/>
      <c r="BC58" s="18"/>
      <c r="BD58" s="18"/>
      <c r="BE58" s="18"/>
      <c r="BF58" s="18"/>
      <c r="BG58" s="18"/>
      <c r="BH58" s="18"/>
      <c r="BI58" s="19"/>
      <c r="BJ58" s="17"/>
      <c r="BK58" s="99"/>
      <c r="BL58" s="113"/>
      <c r="BM58" s="18"/>
      <c r="BN58" s="18"/>
      <c r="BO58" s="18"/>
      <c r="BP58" s="113"/>
      <c r="BQ58" s="19"/>
      <c r="BR58" s="17"/>
      <c r="BS58" s="18"/>
      <c r="BT58" s="18"/>
      <c r="BU58" s="18"/>
      <c r="BV58" s="18"/>
      <c r="BW58" s="18"/>
      <c r="BX58" s="18"/>
      <c r="BY58" s="19"/>
      <c r="BZ58" s="17"/>
      <c r="CA58" s="18"/>
      <c r="CB58" s="18"/>
      <c r="CC58" s="18"/>
      <c r="CD58" s="18"/>
      <c r="CE58" s="18"/>
      <c r="CF58" s="18"/>
      <c r="CG58" s="19"/>
      <c r="CH58" s="17"/>
      <c r="CI58" s="18"/>
      <c r="CJ58" s="18"/>
      <c r="CK58" s="19"/>
      <c r="CL58" s="239"/>
      <c r="CR58">
        <v>42</v>
      </c>
      <c r="CS58">
        <v>47</v>
      </c>
      <c r="CT58">
        <v>55</v>
      </c>
    </row>
    <row r="59" spans="1:98" ht="45" hidden="1" customHeight="1" outlineLevel="1">
      <c r="A59" s="133">
        <v>2025</v>
      </c>
      <c r="C59" s="131" t="str">
        <f>CR58&amp;" - "&amp;CT58 &amp;" (" &amp; CS58 &amp; ")"</f>
        <v>42 - 55 (47)</v>
      </c>
      <c r="D59" s="20"/>
      <c r="E59" s="100"/>
      <c r="F59" s="114"/>
      <c r="G59" s="21"/>
      <c r="H59" s="21"/>
      <c r="I59" s="21"/>
      <c r="J59" s="114"/>
      <c r="K59" s="22"/>
      <c r="L59" s="20"/>
      <c r="M59" s="100"/>
      <c r="N59" s="114"/>
      <c r="O59" s="21"/>
      <c r="P59" s="21"/>
      <c r="Q59" s="21"/>
      <c r="R59" s="114"/>
      <c r="S59" s="22"/>
      <c r="T59" s="20"/>
      <c r="U59" s="100"/>
      <c r="V59" s="114"/>
      <c r="W59" s="21"/>
      <c r="X59" s="21"/>
      <c r="Y59" s="21"/>
      <c r="Z59" s="114"/>
      <c r="AA59" s="22"/>
      <c r="AB59" s="20"/>
      <c r="AC59" s="100"/>
      <c r="AD59" s="114"/>
      <c r="AE59" s="21"/>
      <c r="AF59" s="21"/>
      <c r="AG59" s="21"/>
      <c r="AH59" s="114"/>
      <c r="AI59" s="22"/>
      <c r="AJ59" s="20"/>
      <c r="AK59" s="100"/>
      <c r="AL59" s="114"/>
      <c r="AM59" s="21"/>
      <c r="AN59" s="21"/>
      <c r="AO59" s="21"/>
      <c r="AP59" s="114"/>
      <c r="AQ59" s="22"/>
      <c r="AR59" s="20"/>
      <c r="AS59" s="56"/>
      <c r="AT59" s="100"/>
      <c r="AU59" s="126"/>
      <c r="AV59" s="21"/>
      <c r="AW59" s="21"/>
      <c r="AX59" s="21"/>
      <c r="AY59" s="126"/>
      <c r="AZ59" s="22"/>
      <c r="BA59" s="156"/>
      <c r="BB59" s="21"/>
      <c r="BC59" s="21"/>
      <c r="BD59" s="21"/>
      <c r="BE59" s="21"/>
      <c r="BF59" s="21"/>
      <c r="BG59" s="21"/>
      <c r="BH59" s="21"/>
      <c r="BI59" s="22"/>
      <c r="BJ59" s="20"/>
      <c r="BK59" s="100"/>
      <c r="BL59" s="114"/>
      <c r="BM59" s="21"/>
      <c r="BN59" s="21"/>
      <c r="BO59" s="21"/>
      <c r="BP59" s="114"/>
      <c r="BQ59" s="22"/>
      <c r="BR59" s="20"/>
      <c r="BS59" s="21"/>
      <c r="BT59" s="21"/>
      <c r="BU59" s="21"/>
      <c r="BV59" s="21"/>
      <c r="BW59" s="21"/>
      <c r="BX59" s="21"/>
      <c r="BY59" s="22"/>
      <c r="BZ59" s="20"/>
      <c r="CA59" s="21"/>
      <c r="CB59" s="21"/>
      <c r="CC59" s="21"/>
      <c r="CD59" s="21"/>
      <c r="CE59" s="21"/>
      <c r="CF59" s="21"/>
      <c r="CG59" s="22"/>
      <c r="CH59" s="20"/>
      <c r="CI59" s="21"/>
      <c r="CJ59" s="21"/>
      <c r="CK59" s="22"/>
      <c r="CL59" s="28"/>
    </row>
    <row r="60" spans="1:98" ht="45" hidden="1" customHeight="1" outlineLevel="1">
      <c r="A60" s="133">
        <v>2025</v>
      </c>
      <c r="C60" s="130" t="s">
        <v>225</v>
      </c>
      <c r="D60" s="23"/>
      <c r="E60" s="101"/>
      <c r="F60" s="115"/>
      <c r="G60" s="24"/>
      <c r="H60" s="24"/>
      <c r="I60" s="24"/>
      <c r="J60" s="115"/>
      <c r="K60" s="25"/>
      <c r="L60" s="23"/>
      <c r="M60" s="101"/>
      <c r="N60" s="115"/>
      <c r="O60" s="24"/>
      <c r="P60" s="24"/>
      <c r="Q60" s="24"/>
      <c r="R60" s="115"/>
      <c r="S60" s="25"/>
      <c r="T60" s="23"/>
      <c r="U60" s="101"/>
      <c r="V60" s="115"/>
      <c r="W60" s="24"/>
      <c r="X60" s="24"/>
      <c r="Y60" s="24"/>
      <c r="Z60" s="115"/>
      <c r="AA60" s="25"/>
      <c r="AB60" s="23"/>
      <c r="AC60" s="101"/>
      <c r="AD60" s="115"/>
      <c r="AE60" s="24"/>
      <c r="AF60" s="24"/>
      <c r="AG60" s="24"/>
      <c r="AH60" s="115"/>
      <c r="AI60" s="25"/>
      <c r="AJ60" s="23"/>
      <c r="AK60" s="101"/>
      <c r="AL60" s="115"/>
      <c r="AM60" s="24"/>
      <c r="AN60" s="24"/>
      <c r="AO60" s="24"/>
      <c r="AP60" s="115"/>
      <c r="AQ60" s="25"/>
      <c r="AR60" s="23"/>
      <c r="AS60" s="55"/>
      <c r="AT60" s="101"/>
      <c r="AU60" s="127"/>
      <c r="AV60" s="24"/>
      <c r="AW60" s="24"/>
      <c r="AX60" s="24"/>
      <c r="AY60" s="127"/>
      <c r="AZ60" s="25"/>
      <c r="BA60" s="157"/>
      <c r="BB60" s="24"/>
      <c r="BC60" s="24"/>
      <c r="BD60" s="24"/>
      <c r="BE60" s="24"/>
      <c r="BF60" s="24"/>
      <c r="BG60" s="24"/>
      <c r="BH60" s="24"/>
      <c r="BI60" s="25"/>
      <c r="BJ60" s="23"/>
      <c r="BK60" s="101"/>
      <c r="BL60" s="115"/>
      <c r="BM60" s="24"/>
      <c r="BN60" s="24"/>
      <c r="BO60" s="24"/>
      <c r="BP60" s="115"/>
      <c r="BQ60" s="25"/>
      <c r="BR60" s="23"/>
      <c r="BS60" s="24"/>
      <c r="BT60" s="24"/>
      <c r="BU60" s="24"/>
      <c r="BV60" s="24"/>
      <c r="BW60" s="24"/>
      <c r="BX60" s="24"/>
      <c r="BY60" s="25"/>
      <c r="BZ60" s="23"/>
      <c r="CA60" s="24"/>
      <c r="CB60" s="24"/>
      <c r="CC60" s="24"/>
      <c r="CD60" s="24"/>
      <c r="CE60" s="24"/>
      <c r="CF60" s="24"/>
      <c r="CG60" s="25"/>
      <c r="CH60" s="23"/>
      <c r="CI60" s="24"/>
      <c r="CJ60" s="24"/>
      <c r="CK60" s="25"/>
      <c r="CL60" s="192"/>
      <c r="CR60">
        <v>45</v>
      </c>
      <c r="CS60">
        <v>51</v>
      </c>
      <c r="CT60">
        <v>60</v>
      </c>
    </row>
    <row r="61" spans="1:98" ht="45" hidden="1" customHeight="1" outlineLevel="1">
      <c r="A61" s="133">
        <v>2025</v>
      </c>
      <c r="C61" s="131" t="str">
        <f>CR60&amp;" - "&amp;CT60 &amp;" (" &amp; CS60 &amp; ")"</f>
        <v>45 - 60 (51)</v>
      </c>
      <c r="D61" s="8"/>
      <c r="E61" s="98"/>
      <c r="F61" s="112"/>
      <c r="G61" s="9"/>
      <c r="H61" s="9"/>
      <c r="I61" s="9"/>
      <c r="J61" s="112"/>
      <c r="K61" s="10"/>
      <c r="L61" s="8"/>
      <c r="M61" s="98"/>
      <c r="N61" s="112"/>
      <c r="O61" s="9"/>
      <c r="P61" s="9"/>
      <c r="Q61" s="9"/>
      <c r="R61" s="112"/>
      <c r="S61" s="10"/>
      <c r="T61" s="8"/>
      <c r="U61" s="98"/>
      <c r="V61" s="112"/>
      <c r="W61" s="9"/>
      <c r="X61" s="9"/>
      <c r="Y61" s="9"/>
      <c r="Z61" s="112"/>
      <c r="AA61" s="10"/>
      <c r="AB61" s="8"/>
      <c r="AC61" s="98"/>
      <c r="AD61" s="112"/>
      <c r="AE61" s="9"/>
      <c r="AF61" s="9"/>
      <c r="AG61" s="9"/>
      <c r="AH61" s="112"/>
      <c r="AI61" s="10"/>
      <c r="AJ61" s="8"/>
      <c r="AK61" s="98"/>
      <c r="AL61" s="112"/>
      <c r="AM61" s="9"/>
      <c r="AN61" s="9"/>
      <c r="AO61" s="9"/>
      <c r="AP61" s="112"/>
      <c r="AQ61" s="10"/>
      <c r="AR61" s="8"/>
      <c r="AS61" s="58"/>
      <c r="AT61" s="98"/>
      <c r="AU61" s="124"/>
      <c r="AV61" s="9"/>
      <c r="AW61" s="9"/>
      <c r="AX61" s="9"/>
      <c r="AY61" s="124"/>
      <c r="AZ61" s="10"/>
      <c r="BA61" s="154"/>
      <c r="BB61" s="9"/>
      <c r="BC61" s="9"/>
      <c r="BD61" s="9"/>
      <c r="BE61" s="9"/>
      <c r="BF61" s="9"/>
      <c r="BG61" s="9"/>
      <c r="BH61" s="9"/>
      <c r="BI61" s="10"/>
      <c r="BJ61" s="8"/>
      <c r="BK61" s="98"/>
      <c r="BL61" s="112"/>
      <c r="BM61" s="9"/>
      <c r="BN61" s="9"/>
      <c r="BO61" s="9"/>
      <c r="BP61" s="112"/>
      <c r="BQ61" s="10"/>
      <c r="BR61" s="8"/>
      <c r="BS61" s="9"/>
      <c r="BT61" s="9"/>
      <c r="BU61" s="9"/>
      <c r="BV61" s="9"/>
      <c r="BW61" s="9"/>
      <c r="BX61" s="9"/>
      <c r="BY61" s="10"/>
      <c r="BZ61" s="8"/>
      <c r="CA61" s="9"/>
      <c r="CB61" s="9"/>
      <c r="CC61" s="9"/>
      <c r="CD61" s="9"/>
      <c r="CE61" s="9"/>
      <c r="CF61" s="9"/>
      <c r="CG61" s="10"/>
      <c r="CH61" s="8"/>
      <c r="CI61" s="9"/>
      <c r="CJ61" s="9"/>
      <c r="CK61" s="10"/>
      <c r="CL61" s="238"/>
    </row>
    <row r="62" spans="1:98" ht="45" hidden="1" customHeight="1" outlineLevel="1">
      <c r="A62" s="133">
        <v>2025</v>
      </c>
      <c r="C62" s="130" t="s">
        <v>226</v>
      </c>
      <c r="D62" s="5"/>
      <c r="E62" s="97"/>
      <c r="F62" s="111"/>
      <c r="G62" s="6"/>
      <c r="H62" s="6"/>
      <c r="I62" s="6"/>
      <c r="J62" s="111"/>
      <c r="K62" s="7"/>
      <c r="L62" s="5"/>
      <c r="M62" s="97"/>
      <c r="N62" s="111"/>
      <c r="O62" s="6"/>
      <c r="P62" s="6"/>
      <c r="Q62" s="6"/>
      <c r="R62" s="111"/>
      <c r="S62" s="7"/>
      <c r="T62" s="5"/>
      <c r="U62" s="97"/>
      <c r="V62" s="111"/>
      <c r="W62" s="6"/>
      <c r="X62" s="6"/>
      <c r="Y62" s="6"/>
      <c r="Z62" s="111"/>
      <c r="AA62" s="7"/>
      <c r="AB62" s="5"/>
      <c r="AC62" s="97"/>
      <c r="AD62" s="111"/>
      <c r="AE62" s="6"/>
      <c r="AF62" s="6"/>
      <c r="AG62" s="6"/>
      <c r="AH62" s="111"/>
      <c r="AI62" s="7"/>
      <c r="AJ62" s="5"/>
      <c r="AK62" s="97"/>
      <c r="AL62" s="111"/>
      <c r="AM62" s="6"/>
      <c r="AN62" s="6"/>
      <c r="AO62" s="6"/>
      <c r="AP62" s="111"/>
      <c r="AQ62" s="7"/>
      <c r="AR62" s="5"/>
      <c r="AS62" s="57"/>
      <c r="AT62" s="97"/>
      <c r="AU62" s="123"/>
      <c r="AV62" s="6"/>
      <c r="AW62" s="6"/>
      <c r="AX62" s="6"/>
      <c r="AY62" s="123"/>
      <c r="AZ62" s="7"/>
      <c r="BA62" s="153"/>
      <c r="BB62" s="6"/>
      <c r="BC62" s="6"/>
      <c r="BD62" s="6"/>
      <c r="BE62" s="6"/>
      <c r="BF62" s="6"/>
      <c r="BG62" s="6"/>
      <c r="BH62" s="6"/>
      <c r="BI62" s="7"/>
      <c r="BJ62" s="5"/>
      <c r="BK62" s="97"/>
      <c r="BL62" s="111"/>
      <c r="BM62" s="6"/>
      <c r="BN62" s="6"/>
      <c r="BO62" s="6"/>
      <c r="BP62" s="111"/>
      <c r="BQ62" s="7"/>
      <c r="BR62" s="5"/>
      <c r="BS62" s="6"/>
      <c r="BT62" s="6"/>
      <c r="BU62" s="6"/>
      <c r="BV62" s="6"/>
      <c r="BW62" s="6"/>
      <c r="BX62" s="6"/>
      <c r="BY62" s="7"/>
      <c r="BZ62" s="5"/>
      <c r="CA62" s="6"/>
      <c r="CB62" s="6"/>
      <c r="CC62" s="6"/>
      <c r="CD62" s="6"/>
      <c r="CE62" s="6"/>
      <c r="CF62" s="6"/>
      <c r="CG62" s="7"/>
      <c r="CH62" s="5"/>
      <c r="CI62" s="6"/>
      <c r="CJ62" s="6"/>
      <c r="CK62" s="7"/>
      <c r="CR62">
        <v>50</v>
      </c>
      <c r="CS62">
        <v>57</v>
      </c>
      <c r="CT62">
        <v>66</v>
      </c>
    </row>
    <row r="63" spans="1:98" ht="45" hidden="1" customHeight="1" outlineLevel="1">
      <c r="A63" s="133">
        <v>2025</v>
      </c>
      <c r="C63" s="131" t="str">
        <f>CR62&amp;" - "&amp;CT62 &amp;" (" &amp; CS62 &amp; ")"</f>
        <v>50 - 66 (57)</v>
      </c>
      <c r="D63" s="5"/>
      <c r="E63" s="97"/>
      <c r="F63" s="111"/>
      <c r="G63" s="6"/>
      <c r="H63" s="6"/>
      <c r="I63" s="6"/>
      <c r="J63" s="111"/>
      <c r="K63" s="7"/>
      <c r="L63" s="5"/>
      <c r="M63" s="97"/>
      <c r="N63" s="111"/>
      <c r="O63" s="6"/>
      <c r="P63" s="6"/>
      <c r="Q63" s="6"/>
      <c r="R63" s="111"/>
      <c r="S63" s="7"/>
      <c r="T63" s="5"/>
      <c r="U63" s="97"/>
      <c r="V63" s="111"/>
      <c r="W63" s="6"/>
      <c r="X63" s="6"/>
      <c r="Y63" s="6"/>
      <c r="Z63" s="111"/>
      <c r="AA63" s="7"/>
      <c r="AB63" s="5"/>
      <c r="AC63" s="97"/>
      <c r="AD63" s="111"/>
      <c r="AE63" s="6"/>
      <c r="AF63" s="6"/>
      <c r="AG63" s="6"/>
      <c r="AH63" s="111"/>
      <c r="AI63" s="7"/>
      <c r="AJ63" s="5"/>
      <c r="AK63" s="97"/>
      <c r="AL63" s="111"/>
      <c r="AM63" s="6"/>
      <c r="AN63" s="6"/>
      <c r="AO63" s="6"/>
      <c r="AP63" s="111"/>
      <c r="AQ63" s="7"/>
      <c r="AR63" s="5"/>
      <c r="AS63" s="57"/>
      <c r="AT63" s="97"/>
      <c r="AU63" s="123"/>
      <c r="AV63" s="6"/>
      <c r="AW63" s="6"/>
      <c r="AX63" s="6"/>
      <c r="AY63" s="123"/>
      <c r="AZ63" s="7"/>
      <c r="BA63" s="153"/>
      <c r="BB63" s="6"/>
      <c r="BC63" s="6"/>
      <c r="BD63" s="6"/>
      <c r="BE63" s="6"/>
      <c r="BF63" s="6"/>
      <c r="BG63" s="6"/>
      <c r="BH63" s="6"/>
      <c r="BI63" s="7"/>
      <c r="BJ63" s="5"/>
      <c r="BK63" s="97"/>
      <c r="BL63" s="111"/>
      <c r="BM63" s="6"/>
      <c r="BN63" s="6"/>
      <c r="BO63" s="6"/>
      <c r="BP63" s="111"/>
      <c r="BQ63" s="7"/>
      <c r="BR63" s="5"/>
      <c r="BS63" s="6"/>
      <c r="BT63" s="6"/>
      <c r="BU63" s="6"/>
      <c r="BV63" s="6"/>
      <c r="BW63" s="6"/>
      <c r="BX63" s="6"/>
      <c r="BY63" s="7"/>
      <c r="BZ63" s="5"/>
      <c r="CA63" s="6"/>
      <c r="CB63" s="6"/>
      <c r="CC63" s="6"/>
      <c r="CD63" s="6"/>
      <c r="CE63" s="6"/>
      <c r="CF63" s="6"/>
      <c r="CG63" s="7"/>
      <c r="CH63" s="5"/>
      <c r="CI63" s="6"/>
      <c r="CJ63" s="6"/>
      <c r="CK63" s="7"/>
    </row>
    <row r="64" spans="1:98" ht="45" hidden="1" customHeight="1" outlineLevel="1">
      <c r="A64" s="133">
        <v>2025</v>
      </c>
      <c r="C64" s="130" t="s">
        <v>227</v>
      </c>
      <c r="D64" s="8"/>
      <c r="E64" s="98"/>
      <c r="F64" s="112"/>
      <c r="G64" s="9"/>
      <c r="H64" s="9"/>
      <c r="I64" s="9"/>
      <c r="J64" s="112"/>
      <c r="K64" s="10"/>
      <c r="L64" s="8"/>
      <c r="M64" s="98"/>
      <c r="N64" s="112"/>
      <c r="O64" s="9"/>
      <c r="P64" s="9"/>
      <c r="Q64" s="9"/>
      <c r="R64" s="112"/>
      <c r="S64" s="10"/>
      <c r="T64" s="8"/>
      <c r="U64" s="98"/>
      <c r="V64" s="112"/>
      <c r="W64" s="9"/>
      <c r="X64" s="9"/>
      <c r="Y64" s="9"/>
      <c r="Z64" s="112"/>
      <c r="AA64" s="10"/>
      <c r="AB64" s="8"/>
      <c r="AC64" s="98"/>
      <c r="AD64" s="112"/>
      <c r="AE64" s="9"/>
      <c r="AF64" s="9"/>
      <c r="AG64" s="9"/>
      <c r="AH64" s="112"/>
      <c r="AI64" s="10"/>
      <c r="AJ64" s="8"/>
      <c r="AK64" s="98"/>
      <c r="AL64" s="112"/>
      <c r="AM64" s="9"/>
      <c r="AN64" s="9"/>
      <c r="AO64" s="9"/>
      <c r="AP64" s="112"/>
      <c r="AQ64" s="10"/>
      <c r="AR64" s="8"/>
      <c r="AS64" s="58"/>
      <c r="AT64" s="98"/>
      <c r="AU64" s="124"/>
      <c r="AV64" s="9"/>
      <c r="AW64" s="9"/>
      <c r="AX64" s="9"/>
      <c r="AY64" s="124"/>
      <c r="AZ64" s="10"/>
      <c r="BA64" s="154"/>
      <c r="BB64" s="9"/>
      <c r="BC64" s="9"/>
      <c r="BD64" s="9"/>
      <c r="BE64" s="9"/>
      <c r="BF64" s="9"/>
      <c r="BG64" s="9"/>
      <c r="BH64" s="9"/>
      <c r="BI64" s="10"/>
      <c r="BJ64" s="8"/>
      <c r="BK64" s="98"/>
      <c r="BL64" s="112"/>
      <c r="BM64" s="9"/>
      <c r="BN64" s="9"/>
      <c r="BO64" s="9"/>
      <c r="BP64" s="112"/>
      <c r="BQ64" s="10"/>
      <c r="BR64" s="8"/>
      <c r="BS64" s="9"/>
      <c r="BT64" s="9"/>
      <c r="BU64" s="9"/>
      <c r="BV64" s="9"/>
      <c r="BW64" s="9"/>
      <c r="BX64" s="9"/>
      <c r="BY64" s="10"/>
      <c r="BZ64" s="8"/>
      <c r="CA64" s="9"/>
      <c r="CB64" s="9"/>
      <c r="CC64" s="9"/>
      <c r="CD64" s="9"/>
      <c r="CE64" s="9"/>
      <c r="CF64" s="9"/>
      <c r="CG64" s="10"/>
      <c r="CH64" s="8"/>
      <c r="CI64" s="9"/>
      <c r="CJ64" s="9"/>
      <c r="CK64" s="10"/>
      <c r="CL64" s="238"/>
      <c r="CR64">
        <v>55</v>
      </c>
      <c r="CS64">
        <v>62</v>
      </c>
      <c r="CT64">
        <v>72</v>
      </c>
    </row>
    <row r="65" spans="1:98" ht="45" hidden="1" customHeight="1" outlineLevel="1">
      <c r="A65" s="133">
        <v>2025</v>
      </c>
      <c r="C65" s="131" t="str">
        <f>CR64&amp;" - "&amp;CT64 &amp;" (" &amp; CS64 &amp; ")"</f>
        <v>55 - 72 (62)</v>
      </c>
      <c r="D65" s="8"/>
      <c r="E65" s="98"/>
      <c r="F65" s="112"/>
      <c r="G65" s="9"/>
      <c r="H65" s="9"/>
      <c r="I65" s="9"/>
      <c r="J65" s="112"/>
      <c r="K65" s="10"/>
      <c r="L65" s="8"/>
      <c r="M65" s="98"/>
      <c r="N65" s="112"/>
      <c r="O65" s="9"/>
      <c r="P65" s="9"/>
      <c r="Q65" s="9"/>
      <c r="R65" s="112"/>
      <c r="S65" s="10"/>
      <c r="T65" s="8"/>
      <c r="U65" s="98"/>
      <c r="V65" s="112"/>
      <c r="W65" s="9"/>
      <c r="X65" s="9"/>
      <c r="Y65" s="9"/>
      <c r="Z65" s="112"/>
      <c r="AA65" s="10"/>
      <c r="AB65" s="8"/>
      <c r="AC65" s="98"/>
      <c r="AD65" s="112"/>
      <c r="AE65" s="9"/>
      <c r="AF65" s="9"/>
      <c r="AG65" s="9"/>
      <c r="AH65" s="112"/>
      <c r="AI65" s="10"/>
      <c r="AJ65" s="8"/>
      <c r="AK65" s="98"/>
      <c r="AL65" s="112"/>
      <c r="AM65" s="9"/>
      <c r="AN65" s="9"/>
      <c r="AO65" s="9"/>
      <c r="AP65" s="112"/>
      <c r="AQ65" s="10"/>
      <c r="AR65" s="8"/>
      <c r="AS65" s="58"/>
      <c r="AT65" s="98"/>
      <c r="AU65" s="124"/>
      <c r="AV65" s="9"/>
      <c r="AW65" s="9"/>
      <c r="AX65" s="9"/>
      <c r="AY65" s="124"/>
      <c r="AZ65" s="10"/>
      <c r="BA65" s="154"/>
      <c r="BB65" s="9"/>
      <c r="BC65" s="9"/>
      <c r="BD65" s="9"/>
      <c r="BE65" s="9"/>
      <c r="BF65" s="9"/>
      <c r="BG65" s="9"/>
      <c r="BH65" s="9"/>
      <c r="BI65" s="10"/>
      <c r="BJ65" s="8"/>
      <c r="BK65" s="98"/>
      <c r="BL65" s="112"/>
      <c r="BM65" s="9"/>
      <c r="BN65" s="9"/>
      <c r="BO65" s="9"/>
      <c r="BP65" s="112"/>
      <c r="BQ65" s="10"/>
      <c r="BR65" s="8"/>
      <c r="BS65" s="9"/>
      <c r="BT65" s="9"/>
      <c r="BU65" s="9"/>
      <c r="BV65" s="9"/>
      <c r="BW65" s="9"/>
      <c r="BX65" s="9"/>
      <c r="BY65" s="10"/>
      <c r="BZ65" s="8"/>
      <c r="CA65" s="9"/>
      <c r="CB65" s="9"/>
      <c r="CC65" s="9"/>
      <c r="CD65" s="9"/>
      <c r="CE65" s="9"/>
      <c r="CF65" s="9"/>
      <c r="CG65" s="10"/>
      <c r="CH65" s="8"/>
      <c r="CI65" s="9"/>
      <c r="CJ65" s="9"/>
      <c r="CK65" s="10"/>
      <c r="CL65" s="238"/>
    </row>
    <row r="66" spans="1:98" ht="45" hidden="1" customHeight="1" outlineLevel="1">
      <c r="A66" s="133">
        <v>2025</v>
      </c>
      <c r="C66" s="130" t="s">
        <v>228</v>
      </c>
      <c r="D66" s="5"/>
      <c r="E66" s="97"/>
      <c r="F66" s="111"/>
      <c r="G66" s="6"/>
      <c r="H66" s="6"/>
      <c r="I66" s="6"/>
      <c r="J66" s="111"/>
      <c r="K66" s="7"/>
      <c r="L66" s="5"/>
      <c r="M66" s="97"/>
      <c r="N66" s="111"/>
      <c r="O66" s="6"/>
      <c r="P66" s="6"/>
      <c r="Q66" s="6"/>
      <c r="R66" s="111"/>
      <c r="S66" s="7"/>
      <c r="T66" s="5"/>
      <c r="U66" s="97"/>
      <c r="V66" s="111"/>
      <c r="W66" s="6"/>
      <c r="X66" s="6"/>
      <c r="Y66" s="6"/>
      <c r="Z66" s="111"/>
      <c r="AA66" s="7"/>
      <c r="AB66" s="5"/>
      <c r="AC66" s="97"/>
      <c r="AD66" s="111"/>
      <c r="AE66" s="6"/>
      <c r="AF66" s="6"/>
      <c r="AG66" s="6"/>
      <c r="AH66" s="111"/>
      <c r="AI66" s="7"/>
      <c r="AJ66" s="5"/>
      <c r="AK66" s="97"/>
      <c r="AL66" s="111"/>
      <c r="AM66" s="6"/>
      <c r="AN66" s="6"/>
      <c r="AO66" s="6"/>
      <c r="AP66" s="111"/>
      <c r="AQ66" s="7"/>
      <c r="AR66" s="5"/>
      <c r="AS66" s="57"/>
      <c r="AT66" s="97"/>
      <c r="AU66" s="123"/>
      <c r="AV66" s="6"/>
      <c r="AW66" s="6"/>
      <c r="AX66" s="6"/>
      <c r="AY66" s="123"/>
      <c r="AZ66" s="7"/>
      <c r="BA66" s="153"/>
      <c r="BB66" s="6"/>
      <c r="BC66" s="6"/>
      <c r="BD66" s="6"/>
      <c r="BE66" s="6"/>
      <c r="BF66" s="6"/>
      <c r="BG66" s="6"/>
      <c r="BH66" s="6"/>
      <c r="BI66" s="7"/>
      <c r="BJ66" s="5"/>
      <c r="BK66" s="97"/>
      <c r="BL66" s="111"/>
      <c r="BM66" s="6"/>
      <c r="BN66" s="6"/>
      <c r="BO66" s="6"/>
      <c r="BP66" s="111"/>
      <c r="BQ66" s="7"/>
      <c r="BR66" s="5"/>
      <c r="BS66" s="6"/>
      <c r="BT66" s="6"/>
      <c r="BU66" s="6"/>
      <c r="BV66" s="6"/>
      <c r="BW66" s="6"/>
      <c r="BX66" s="6"/>
      <c r="BY66" s="7"/>
      <c r="BZ66" s="5"/>
      <c r="CA66" s="6"/>
      <c r="CB66" s="6"/>
      <c r="CC66" s="6"/>
      <c r="CD66" s="6"/>
      <c r="CE66" s="6"/>
      <c r="CF66" s="6"/>
      <c r="CG66" s="7"/>
      <c r="CH66" s="5"/>
      <c r="CI66" s="6"/>
      <c r="CJ66" s="6"/>
      <c r="CK66" s="7"/>
      <c r="CR66">
        <v>58</v>
      </c>
      <c r="CS66">
        <v>66</v>
      </c>
      <c r="CT66">
        <v>77</v>
      </c>
    </row>
    <row r="67" spans="1:98" ht="45" hidden="1" customHeight="1" outlineLevel="1">
      <c r="A67" s="133">
        <v>2025</v>
      </c>
      <c r="C67" s="131" t="str">
        <f>CR66&amp;" - "&amp;CT66 &amp;" (" &amp; CS66 &amp; ")"</f>
        <v>58 - 77 (66)</v>
      </c>
      <c r="D67" s="5"/>
      <c r="E67" s="97"/>
      <c r="F67" s="111"/>
      <c r="G67" s="6"/>
      <c r="H67" s="6"/>
      <c r="I67" s="6"/>
      <c r="J67" s="111"/>
      <c r="K67" s="7"/>
      <c r="L67" s="5"/>
      <c r="M67" s="97"/>
      <c r="N67" s="111"/>
      <c r="O67" s="6"/>
      <c r="P67" s="6"/>
      <c r="Q67" s="6"/>
      <c r="R67" s="111"/>
      <c r="S67" s="7"/>
      <c r="T67" s="5"/>
      <c r="U67" s="97"/>
      <c r="V67" s="111"/>
      <c r="W67" s="6"/>
      <c r="X67" s="6"/>
      <c r="Y67" s="6"/>
      <c r="Z67" s="111"/>
      <c r="AA67" s="7"/>
      <c r="AB67" s="5"/>
      <c r="AC67" s="97"/>
      <c r="AD67" s="111"/>
      <c r="AE67" s="6"/>
      <c r="AF67" s="6"/>
      <c r="AG67" s="6"/>
      <c r="AH67" s="111"/>
      <c r="AI67" s="7"/>
      <c r="AJ67" s="5"/>
      <c r="AK67" s="97"/>
      <c r="AL67" s="111"/>
      <c r="AM67" s="6"/>
      <c r="AN67" s="6"/>
      <c r="AO67" s="6"/>
      <c r="AP67" s="111"/>
      <c r="AQ67" s="7"/>
      <c r="AR67" s="5"/>
      <c r="AS67" s="57"/>
      <c r="AT67" s="97"/>
      <c r="AU67" s="123"/>
      <c r="AV67" s="6"/>
      <c r="AW67" s="6"/>
      <c r="AX67" s="6"/>
      <c r="AY67" s="123"/>
      <c r="AZ67" s="7"/>
      <c r="BA67" s="153"/>
      <c r="BB67" s="6"/>
      <c r="BC67" s="6"/>
      <c r="BD67" s="6"/>
      <c r="BE67" s="6"/>
      <c r="BF67" s="6"/>
      <c r="BG67" s="6"/>
      <c r="BH67" s="6"/>
      <c r="BI67" s="7"/>
      <c r="BJ67" s="5"/>
      <c r="BK67" s="97"/>
      <c r="BL67" s="111"/>
      <c r="BM67" s="6"/>
      <c r="BN67" s="6"/>
      <c r="BO67" s="6"/>
      <c r="BP67" s="111"/>
      <c r="BQ67" s="7"/>
      <c r="BR67" s="5"/>
      <c r="BS67" s="6"/>
      <c r="BT67" s="6"/>
      <c r="BU67" s="6"/>
      <c r="BV67" s="6"/>
      <c r="BW67" s="6"/>
      <c r="BX67" s="6"/>
      <c r="BY67" s="7"/>
      <c r="BZ67" s="5"/>
      <c r="CA67" s="6"/>
      <c r="CB67" s="6"/>
      <c r="CC67" s="6"/>
      <c r="CD67" s="6"/>
      <c r="CE67" s="6"/>
      <c r="CF67" s="6"/>
      <c r="CG67" s="7"/>
      <c r="CH67" s="5"/>
      <c r="CI67" s="6"/>
      <c r="CJ67" s="6"/>
      <c r="CK67" s="7"/>
    </row>
    <row r="68" spans="1:98" ht="45" hidden="1" customHeight="1" outlineLevel="1">
      <c r="A68" s="133">
        <v>2025</v>
      </c>
      <c r="C68" s="130" t="s">
        <v>229</v>
      </c>
      <c r="D68" s="8"/>
      <c r="E68" s="98"/>
      <c r="F68" s="112"/>
      <c r="G68" s="9"/>
      <c r="H68" s="9"/>
      <c r="I68" s="9"/>
      <c r="J68" s="112"/>
      <c r="K68" s="10"/>
      <c r="L68" s="8"/>
      <c r="M68" s="98"/>
      <c r="N68" s="112"/>
      <c r="O68" s="9"/>
      <c r="P68" s="9"/>
      <c r="Q68" s="9"/>
      <c r="R68" s="112"/>
      <c r="S68" s="10"/>
      <c r="T68" s="8"/>
      <c r="U68" s="98"/>
      <c r="V68" s="112"/>
      <c r="W68" s="9"/>
      <c r="X68" s="9"/>
      <c r="Y68" s="9"/>
      <c r="Z68" s="112"/>
      <c r="AA68" s="10"/>
      <c r="AB68" s="8"/>
      <c r="AC68" s="98"/>
      <c r="AD68" s="112"/>
      <c r="AE68" s="9"/>
      <c r="AF68" s="9"/>
      <c r="AG68" s="9"/>
      <c r="AH68" s="112"/>
      <c r="AI68" s="10"/>
      <c r="AJ68" s="8"/>
      <c r="AK68" s="98"/>
      <c r="AL68" s="112"/>
      <c r="AM68" s="9"/>
      <c r="AN68" s="9"/>
      <c r="AO68" s="9"/>
      <c r="AP68" s="112"/>
      <c r="AQ68" s="10"/>
      <c r="AR68" s="8"/>
      <c r="AS68" s="58"/>
      <c r="AT68" s="98"/>
      <c r="AU68" s="124"/>
      <c r="AV68" s="9"/>
      <c r="AW68" s="9"/>
      <c r="AX68" s="9"/>
      <c r="AY68" s="124"/>
      <c r="AZ68" s="10"/>
      <c r="BA68" s="154"/>
      <c r="BB68" s="9"/>
      <c r="BC68" s="9"/>
      <c r="BD68" s="9"/>
      <c r="BE68" s="9"/>
      <c r="BF68" s="9"/>
      <c r="BG68" s="9"/>
      <c r="BH68" s="9"/>
      <c r="BI68" s="10"/>
      <c r="BJ68" s="8"/>
      <c r="BK68" s="98"/>
      <c r="BL68" s="112"/>
      <c r="BM68" s="9"/>
      <c r="BN68" s="9"/>
      <c r="BO68" s="9"/>
      <c r="BP68" s="112"/>
      <c r="BQ68" s="10"/>
      <c r="BR68" s="8"/>
      <c r="BS68" s="9"/>
      <c r="BT68" s="9"/>
      <c r="BU68" s="9"/>
      <c r="BV68" s="9"/>
      <c r="BW68" s="9"/>
      <c r="BX68" s="9"/>
      <c r="BY68" s="10"/>
      <c r="BZ68" s="8"/>
      <c r="CA68" s="9"/>
      <c r="CB68" s="9"/>
      <c r="CC68" s="9"/>
      <c r="CD68" s="9"/>
      <c r="CE68" s="9"/>
      <c r="CF68" s="9"/>
      <c r="CG68" s="10"/>
      <c r="CH68" s="8"/>
      <c r="CI68" s="9"/>
      <c r="CJ68" s="9"/>
      <c r="CK68" s="10"/>
      <c r="CL68" s="238"/>
      <c r="CR68">
        <v>58</v>
      </c>
      <c r="CS68">
        <v>62</v>
      </c>
      <c r="CT68">
        <v>71</v>
      </c>
    </row>
    <row r="69" spans="1:98" ht="45" hidden="1" customHeight="1" outlineLevel="1">
      <c r="A69" s="133">
        <v>2025</v>
      </c>
      <c r="C69" s="131" t="str">
        <f>CR68&amp;" - "&amp;CT68 &amp;" (" &amp; CS68 &amp; ")"</f>
        <v>58 - 71 (62)</v>
      </c>
      <c r="D69" s="8"/>
      <c r="E69" s="98"/>
      <c r="F69" s="112"/>
      <c r="G69" s="9"/>
      <c r="H69" s="9"/>
      <c r="I69" s="9"/>
      <c r="J69" s="112"/>
      <c r="K69" s="10"/>
      <c r="L69" s="8"/>
      <c r="M69" s="98"/>
      <c r="N69" s="112"/>
      <c r="O69" s="9"/>
      <c r="P69" s="9"/>
      <c r="Q69" s="9"/>
      <c r="R69" s="112"/>
      <c r="S69" s="10"/>
      <c r="T69" s="8"/>
      <c r="U69" s="98"/>
      <c r="V69" s="112"/>
      <c r="W69" s="9"/>
      <c r="X69" s="9"/>
      <c r="Y69" s="9"/>
      <c r="Z69" s="112"/>
      <c r="AA69" s="10"/>
      <c r="AB69" s="8"/>
      <c r="AC69" s="98"/>
      <c r="AD69" s="112"/>
      <c r="AE69" s="9"/>
      <c r="AF69" s="9"/>
      <c r="AG69" s="9"/>
      <c r="AH69" s="112"/>
      <c r="AI69" s="10"/>
      <c r="AJ69" s="8"/>
      <c r="AK69" s="98"/>
      <c r="AL69" s="112"/>
      <c r="AM69" s="9"/>
      <c r="AN69" s="9"/>
      <c r="AO69" s="9"/>
      <c r="AP69" s="112"/>
      <c r="AQ69" s="10"/>
      <c r="AR69" s="8"/>
      <c r="AS69" s="58"/>
      <c r="AT69" s="98"/>
      <c r="AU69" s="124"/>
      <c r="AV69" s="9"/>
      <c r="AW69" s="9"/>
      <c r="AX69" s="9"/>
      <c r="AY69" s="124"/>
      <c r="AZ69" s="10"/>
      <c r="BA69" s="154"/>
      <c r="BB69" s="9"/>
      <c r="BC69" s="9"/>
      <c r="BD69" s="9"/>
      <c r="BE69" s="9"/>
      <c r="BF69" s="9"/>
      <c r="BG69" s="9"/>
      <c r="BH69" s="9"/>
      <c r="BI69" s="10"/>
      <c r="BJ69" s="8"/>
      <c r="BK69" s="98"/>
      <c r="BL69" s="112"/>
      <c r="BM69" s="9"/>
      <c r="BN69" s="9"/>
      <c r="BO69" s="9"/>
      <c r="BP69" s="112"/>
      <c r="BQ69" s="10"/>
      <c r="BR69" s="8"/>
      <c r="BS69" s="9"/>
      <c r="BT69" s="9"/>
      <c r="BU69" s="9"/>
      <c r="BV69" s="9"/>
      <c r="BW69" s="9"/>
      <c r="BX69" s="9"/>
      <c r="BY69" s="10"/>
      <c r="BZ69" s="8"/>
      <c r="CA69" s="9"/>
      <c r="CB69" s="9"/>
      <c r="CC69" s="9"/>
      <c r="CD69" s="9"/>
      <c r="CE69" s="9"/>
      <c r="CF69" s="9"/>
      <c r="CG69" s="10"/>
      <c r="CH69" s="8"/>
      <c r="CI69" s="9"/>
      <c r="CJ69" s="9"/>
      <c r="CK69" s="10"/>
      <c r="CL69" s="238"/>
    </row>
    <row r="70" spans="1:98" ht="45" hidden="1" customHeight="1" outlineLevel="1">
      <c r="A70" s="133">
        <v>2025</v>
      </c>
      <c r="C70" s="130" t="s">
        <v>230</v>
      </c>
      <c r="D70" s="5"/>
      <c r="E70" s="97"/>
      <c r="F70" s="111"/>
      <c r="G70" s="6"/>
      <c r="H70" s="6"/>
      <c r="I70" s="6"/>
      <c r="J70" s="111"/>
      <c r="K70" s="7"/>
      <c r="L70" s="5"/>
      <c r="M70" s="97"/>
      <c r="N70" s="111"/>
      <c r="O70" s="6"/>
      <c r="P70" s="6"/>
      <c r="Q70" s="6"/>
      <c r="R70" s="111"/>
      <c r="S70" s="7"/>
      <c r="T70" s="5"/>
      <c r="U70" s="97"/>
      <c r="V70" s="111"/>
      <c r="W70" s="6"/>
      <c r="X70" s="6"/>
      <c r="Y70" s="6"/>
      <c r="Z70" s="111"/>
      <c r="AA70" s="7"/>
      <c r="AB70" s="5"/>
      <c r="AC70" s="97"/>
      <c r="AD70" s="111"/>
      <c r="AE70" s="6"/>
      <c r="AF70" s="6"/>
      <c r="AG70" s="6"/>
      <c r="AH70" s="111"/>
      <c r="AI70" s="7"/>
      <c r="AJ70" s="5"/>
      <c r="AK70" s="97"/>
      <c r="AL70" s="111"/>
      <c r="AM70" s="6"/>
      <c r="AN70" s="6"/>
      <c r="AO70" s="6"/>
      <c r="AP70" s="111"/>
      <c r="AQ70" s="7"/>
      <c r="AR70" s="5"/>
      <c r="AS70" s="57"/>
      <c r="AT70" s="97"/>
      <c r="AU70" s="123"/>
      <c r="AV70" s="6"/>
      <c r="AW70" s="6"/>
      <c r="AX70" s="6"/>
      <c r="AY70" s="123"/>
      <c r="AZ70" s="7"/>
      <c r="BA70" s="153"/>
      <c r="BB70" s="6"/>
      <c r="BC70" s="6"/>
      <c r="BD70" s="6"/>
      <c r="BE70" s="6"/>
      <c r="BF70" s="6"/>
      <c r="BG70" s="6"/>
      <c r="BH70" s="6"/>
      <c r="BI70" s="7"/>
      <c r="BJ70" s="5"/>
      <c r="BK70" s="97"/>
      <c r="BL70" s="111"/>
      <c r="BM70" s="6"/>
      <c r="BN70" s="6"/>
      <c r="BO70" s="6"/>
      <c r="BP70" s="111"/>
      <c r="BQ70" s="7"/>
      <c r="BR70" s="5"/>
      <c r="BS70" s="6"/>
      <c r="BT70" s="6"/>
      <c r="BU70" s="6"/>
      <c r="BV70" s="6"/>
      <c r="BW70" s="6"/>
      <c r="BX70" s="6"/>
      <c r="BY70" s="7"/>
      <c r="BZ70" s="5"/>
      <c r="CA70" s="6"/>
      <c r="CB70" s="6"/>
      <c r="CC70" s="6"/>
      <c r="CD70" s="6"/>
      <c r="CE70" s="6"/>
      <c r="CF70" s="6"/>
      <c r="CG70" s="7"/>
      <c r="CH70" s="5"/>
      <c r="CI70" s="6"/>
      <c r="CJ70" s="6"/>
      <c r="CK70" s="7"/>
      <c r="CR70">
        <v>54</v>
      </c>
      <c r="CS70">
        <v>62</v>
      </c>
      <c r="CT70">
        <v>71</v>
      </c>
    </row>
    <row r="71" spans="1:98" ht="45" hidden="1" customHeight="1" outlineLevel="1">
      <c r="A71" s="133">
        <v>2025</v>
      </c>
      <c r="C71" s="131" t="str">
        <f>CR70&amp;" - "&amp;CT70 &amp;" (" &amp; CS70 &amp; ")"</f>
        <v>54 - 71 (62)</v>
      </c>
      <c r="D71" s="5"/>
      <c r="E71" s="97"/>
      <c r="F71" s="111"/>
      <c r="G71" s="6"/>
      <c r="H71" s="6"/>
      <c r="I71" s="6"/>
      <c r="J71" s="111"/>
      <c r="K71" s="7"/>
      <c r="L71" s="5"/>
      <c r="M71" s="97"/>
      <c r="N71" s="111"/>
      <c r="O71" s="6"/>
      <c r="P71" s="6"/>
      <c r="Q71" s="6"/>
      <c r="R71" s="111"/>
      <c r="S71" s="7"/>
      <c r="T71" s="5"/>
      <c r="U71" s="97"/>
      <c r="V71" s="111"/>
      <c r="W71" s="6"/>
      <c r="X71" s="6"/>
      <c r="Y71" s="6"/>
      <c r="Z71" s="111"/>
      <c r="AA71" s="7"/>
      <c r="AB71" s="5"/>
      <c r="AC71" s="97"/>
      <c r="AD71" s="111"/>
      <c r="AE71" s="6"/>
      <c r="AF71" s="6"/>
      <c r="AG71" s="6"/>
      <c r="AH71" s="111"/>
      <c r="AI71" s="7"/>
      <c r="AJ71" s="5"/>
      <c r="AK71" s="97"/>
      <c r="AL71" s="111"/>
      <c r="AM71" s="6"/>
      <c r="AN71" s="6"/>
      <c r="AO71" s="6"/>
      <c r="AP71" s="111"/>
      <c r="AQ71" s="7"/>
      <c r="AR71" s="5"/>
      <c r="AS71" s="57"/>
      <c r="AT71" s="97"/>
      <c r="AU71" s="123"/>
      <c r="AV71" s="6"/>
      <c r="AW71" s="6"/>
      <c r="AX71" s="6"/>
      <c r="AY71" s="123"/>
      <c r="AZ71" s="7"/>
      <c r="BA71" s="153"/>
      <c r="BB71" s="6"/>
      <c r="BC71" s="6"/>
      <c r="BD71" s="6"/>
      <c r="BE71" s="6"/>
      <c r="BF71" s="6"/>
      <c r="BG71" s="6"/>
      <c r="BH71" s="6"/>
      <c r="BI71" s="7"/>
      <c r="BJ71" s="5"/>
      <c r="BK71" s="97"/>
      <c r="BL71" s="111"/>
      <c r="BM71" s="6"/>
      <c r="BN71" s="6"/>
      <c r="BO71" s="6"/>
      <c r="BP71" s="111"/>
      <c r="BQ71" s="7"/>
      <c r="BR71" s="5"/>
      <c r="BS71" s="6"/>
      <c r="BT71" s="6"/>
      <c r="BU71" s="6"/>
      <c r="BV71" s="6"/>
      <c r="BW71" s="6"/>
      <c r="BX71" s="6"/>
      <c r="BY71" s="7"/>
      <c r="BZ71" s="5"/>
      <c r="CA71" s="6"/>
      <c r="CB71" s="6"/>
      <c r="CC71" s="6"/>
      <c r="CD71" s="6"/>
      <c r="CE71" s="6"/>
      <c r="CF71" s="6"/>
      <c r="CG71" s="7"/>
      <c r="CH71" s="5"/>
      <c r="CI71" s="6"/>
      <c r="CJ71" s="6"/>
      <c r="CK71" s="7"/>
    </row>
    <row r="72" spans="1:98" ht="45" hidden="1" customHeight="1" outlineLevel="1">
      <c r="A72" s="133">
        <v>2025</v>
      </c>
      <c r="C72" s="130" t="s">
        <v>231</v>
      </c>
      <c r="D72" s="8"/>
      <c r="E72" s="98"/>
      <c r="F72" s="112"/>
      <c r="G72" s="9"/>
      <c r="H72" s="9"/>
      <c r="I72" s="9"/>
      <c r="J72" s="112"/>
      <c r="K72" s="10"/>
      <c r="L72" s="8"/>
      <c r="M72" s="98"/>
      <c r="N72" s="112"/>
      <c r="O72" s="9"/>
      <c r="P72" s="9"/>
      <c r="Q72" s="9"/>
      <c r="R72" s="112"/>
      <c r="S72" s="10"/>
      <c r="T72" s="8"/>
      <c r="U72" s="98"/>
      <c r="V72" s="112"/>
      <c r="W72" s="9"/>
      <c r="X72" s="9"/>
      <c r="Y72" s="9"/>
      <c r="Z72" s="112"/>
      <c r="AA72" s="10"/>
      <c r="AB72" s="8"/>
      <c r="AC72" s="98"/>
      <c r="AD72" s="112"/>
      <c r="AE72" s="9"/>
      <c r="AF72" s="9"/>
      <c r="AG72" s="9"/>
      <c r="AH72" s="112"/>
      <c r="AI72" s="10"/>
      <c r="AJ72" s="8"/>
      <c r="AK72" s="98"/>
      <c r="AL72" s="112"/>
      <c r="AM72" s="9"/>
      <c r="AN72" s="9"/>
      <c r="AO72" s="9"/>
      <c r="AP72" s="112"/>
      <c r="AQ72" s="10"/>
      <c r="AR72" s="8"/>
      <c r="AS72" s="58"/>
      <c r="AT72" s="98"/>
      <c r="AU72" s="124"/>
      <c r="AV72" s="9"/>
      <c r="AW72" s="9"/>
      <c r="AX72" s="9"/>
      <c r="AY72" s="124"/>
      <c r="AZ72" s="10"/>
      <c r="BA72" s="154"/>
      <c r="BB72" s="9"/>
      <c r="BC72" s="9"/>
      <c r="BD72" s="9"/>
      <c r="BE72" s="9"/>
      <c r="BF72" s="9"/>
      <c r="BG72" s="9"/>
      <c r="BH72" s="9"/>
      <c r="BI72" s="10"/>
      <c r="BJ72" s="8"/>
      <c r="BK72" s="98"/>
      <c r="BL72" s="112"/>
      <c r="BM72" s="9"/>
      <c r="BN72" s="9"/>
      <c r="BO72" s="9"/>
      <c r="BP72" s="112"/>
      <c r="BQ72" s="10"/>
      <c r="BR72" s="8"/>
      <c r="BS72" s="9"/>
      <c r="BT72" s="9"/>
      <c r="BU72" s="9"/>
      <c r="BV72" s="9"/>
      <c r="BW72" s="9"/>
      <c r="BX72" s="9"/>
      <c r="BY72" s="10"/>
      <c r="BZ72" s="8"/>
      <c r="CA72" s="9"/>
      <c r="CB72" s="9"/>
      <c r="CC72" s="9"/>
      <c r="CD72" s="9"/>
      <c r="CE72" s="9"/>
      <c r="CF72" s="9"/>
      <c r="CG72" s="10"/>
      <c r="CH72" s="8"/>
      <c r="CI72" s="9"/>
      <c r="CJ72" s="9"/>
      <c r="CK72" s="10"/>
      <c r="CL72" s="238"/>
      <c r="CR72">
        <v>48</v>
      </c>
      <c r="CS72">
        <v>53</v>
      </c>
      <c r="CT72">
        <v>61</v>
      </c>
    </row>
    <row r="73" spans="1:98" ht="45" hidden="1" customHeight="1" outlineLevel="1">
      <c r="A73" s="133">
        <v>2025</v>
      </c>
      <c r="C73" s="131" t="str">
        <f>CR72&amp;" - "&amp;CT72 &amp;" (" &amp; CS72 &amp; ")"</f>
        <v>48 - 61 (53)</v>
      </c>
      <c r="D73" s="23"/>
      <c r="E73" s="101"/>
      <c r="F73" s="115"/>
      <c r="G73" s="24"/>
      <c r="H73" s="24"/>
      <c r="I73" s="24"/>
      <c r="J73" s="115"/>
      <c r="K73" s="25"/>
      <c r="L73" s="23"/>
      <c r="M73" s="101"/>
      <c r="N73" s="115"/>
      <c r="O73" s="24"/>
      <c r="P73" s="24"/>
      <c r="Q73" s="24"/>
      <c r="R73" s="115"/>
      <c r="S73" s="25"/>
      <c r="T73" s="23"/>
      <c r="U73" s="101"/>
      <c r="V73" s="115"/>
      <c r="W73" s="24"/>
      <c r="X73" s="24"/>
      <c r="Y73" s="24"/>
      <c r="Z73" s="115"/>
      <c r="AA73" s="25"/>
      <c r="AB73" s="23"/>
      <c r="AC73" s="101"/>
      <c r="AD73" s="115"/>
      <c r="AE73" s="24"/>
      <c r="AF73" s="24"/>
      <c r="AG73" s="24"/>
      <c r="AH73" s="115"/>
      <c r="AI73" s="25"/>
      <c r="AJ73" s="23"/>
      <c r="AK73" s="101"/>
      <c r="AL73" s="115"/>
      <c r="AM73" s="24"/>
      <c r="AN73" s="24"/>
      <c r="AO73" s="24"/>
      <c r="AP73" s="115"/>
      <c r="AQ73" s="25"/>
      <c r="AR73" s="23"/>
      <c r="AS73" s="55"/>
      <c r="AT73" s="101"/>
      <c r="AU73" s="127"/>
      <c r="AV73" s="24"/>
      <c r="AW73" s="24"/>
      <c r="AX73" s="24"/>
      <c r="AY73" s="127"/>
      <c r="AZ73" s="25"/>
      <c r="BA73" s="157"/>
      <c r="BB73" s="24"/>
      <c r="BC73" s="24"/>
      <c r="BD73" s="24"/>
      <c r="BE73" s="24"/>
      <c r="BF73" s="24"/>
      <c r="BG73" s="24"/>
      <c r="BH73" s="24"/>
      <c r="BI73" s="25"/>
      <c r="BJ73" s="23"/>
      <c r="BK73" s="101"/>
      <c r="BL73" s="115"/>
      <c r="BM73" s="24"/>
      <c r="BN73" s="24"/>
      <c r="BO73" s="24"/>
      <c r="BP73" s="115"/>
      <c r="BQ73" s="25"/>
      <c r="BR73" s="23"/>
      <c r="BS73" s="24"/>
      <c r="BT73" s="24"/>
      <c r="BU73" s="24"/>
      <c r="BV73" s="24"/>
      <c r="BW73" s="24"/>
      <c r="BX73" s="24"/>
      <c r="BY73" s="25"/>
      <c r="BZ73" s="23"/>
      <c r="CA73" s="24"/>
      <c r="CB73" s="24"/>
      <c r="CC73" s="24"/>
      <c r="CD73" s="24"/>
      <c r="CE73" s="24"/>
      <c r="CF73" s="24"/>
      <c r="CG73" s="25"/>
      <c r="CH73" s="23"/>
      <c r="CI73" s="24"/>
      <c r="CJ73" s="24"/>
      <c r="CK73" s="25"/>
      <c r="CL73" s="192"/>
    </row>
    <row r="74" spans="1:98" ht="45" hidden="1" customHeight="1" outlineLevel="1">
      <c r="A74" s="133">
        <v>2025</v>
      </c>
      <c r="C74" s="130" t="s">
        <v>232</v>
      </c>
      <c r="D74" s="20"/>
      <c r="E74" s="100"/>
      <c r="F74" s="114"/>
      <c r="G74" s="21"/>
      <c r="H74" s="21"/>
      <c r="I74" s="21"/>
      <c r="J74" s="114"/>
      <c r="K74" s="22"/>
      <c r="L74" s="20"/>
      <c r="M74" s="100"/>
      <c r="N74" s="114"/>
      <c r="O74" s="21"/>
      <c r="P74" s="21"/>
      <c r="Q74" s="21"/>
      <c r="R74" s="114"/>
      <c r="S74" s="22"/>
      <c r="T74" s="20"/>
      <c r="U74" s="100"/>
      <c r="V74" s="114"/>
      <c r="W74" s="21"/>
      <c r="X74" s="21"/>
      <c r="Y74" s="21"/>
      <c r="Z74" s="114"/>
      <c r="AA74" s="22"/>
      <c r="AB74" s="20"/>
      <c r="AC74" s="100"/>
      <c r="AD74" s="114"/>
      <c r="AE74" s="21"/>
      <c r="AF74" s="21"/>
      <c r="AG74" s="21"/>
      <c r="AH74" s="114"/>
      <c r="AI74" s="22"/>
      <c r="AJ74" s="20"/>
      <c r="AK74" s="100"/>
      <c r="AL74" s="114"/>
      <c r="AM74" s="21"/>
      <c r="AN74" s="21"/>
      <c r="AO74" s="21"/>
      <c r="AP74" s="114"/>
      <c r="AQ74" s="22"/>
      <c r="AR74" s="20"/>
      <c r="AS74" s="56"/>
      <c r="AT74" s="100"/>
      <c r="AU74" s="126"/>
      <c r="AV74" s="21"/>
      <c r="AW74" s="21"/>
      <c r="AX74" s="21"/>
      <c r="AY74" s="126"/>
      <c r="AZ74" s="22"/>
      <c r="BA74" s="156"/>
      <c r="BB74" s="21"/>
      <c r="BC74" s="21"/>
      <c r="BD74" s="21"/>
      <c r="BE74" s="21"/>
      <c r="BF74" s="21"/>
      <c r="BG74" s="21"/>
      <c r="BH74" s="21"/>
      <c r="BI74" s="22"/>
      <c r="BJ74" s="20"/>
      <c r="BK74" s="100"/>
      <c r="BL74" s="114"/>
      <c r="BM74" s="21"/>
      <c r="BN74" s="21"/>
      <c r="BO74" s="21"/>
      <c r="BP74" s="114"/>
      <c r="BQ74" s="22"/>
      <c r="BR74" s="20"/>
      <c r="BS74" s="21"/>
      <c r="BT74" s="21"/>
      <c r="BU74" s="21"/>
      <c r="BV74" s="21"/>
      <c r="BW74" s="21"/>
      <c r="BX74" s="21"/>
      <c r="BY74" s="22"/>
      <c r="BZ74" s="20"/>
      <c r="CA74" s="21"/>
      <c r="CB74" s="21"/>
      <c r="CC74" s="21"/>
      <c r="CD74" s="21"/>
      <c r="CE74" s="21"/>
      <c r="CF74" s="21"/>
      <c r="CG74" s="22"/>
      <c r="CH74" s="20"/>
      <c r="CI74" s="21"/>
      <c r="CJ74" s="21"/>
      <c r="CK74" s="22"/>
      <c r="CL74" s="28"/>
      <c r="CR74">
        <v>42</v>
      </c>
      <c r="CS74">
        <v>46</v>
      </c>
      <c r="CT74">
        <v>52</v>
      </c>
    </row>
    <row r="75" spans="1:98" ht="45" hidden="1" customHeight="1" outlineLevel="1">
      <c r="A75" s="133">
        <v>2025</v>
      </c>
      <c r="C75" s="131" t="str">
        <f>CR74&amp;" - "&amp;CT74 &amp;" (" &amp; CS74 &amp; ")"</f>
        <v>42 - 52 (46)</v>
      </c>
      <c r="D75" s="5"/>
      <c r="E75" s="97"/>
      <c r="F75" s="111"/>
      <c r="G75" s="6"/>
      <c r="H75" s="6"/>
      <c r="I75" s="6"/>
      <c r="J75" s="111"/>
      <c r="K75" s="7"/>
      <c r="L75" s="5"/>
      <c r="M75" s="97"/>
      <c r="N75" s="111"/>
      <c r="O75" s="6"/>
      <c r="P75" s="6"/>
      <c r="Q75" s="6"/>
      <c r="R75" s="111"/>
      <c r="S75" s="7"/>
      <c r="T75" s="5"/>
      <c r="U75" s="97"/>
      <c r="V75" s="111"/>
      <c r="W75" s="6"/>
      <c r="X75" s="6"/>
      <c r="Y75" s="6"/>
      <c r="Z75" s="111"/>
      <c r="AA75" s="7"/>
      <c r="AB75" s="5"/>
      <c r="AC75" s="97"/>
      <c r="AD75" s="111"/>
      <c r="AE75" s="6"/>
      <c r="AF75" s="6"/>
      <c r="AG75" s="6"/>
      <c r="AH75" s="111"/>
      <c r="AI75" s="7"/>
      <c r="AJ75" s="5"/>
      <c r="AK75" s="97"/>
      <c r="AL75" s="111"/>
      <c r="AM75" s="6"/>
      <c r="AN75" s="6"/>
      <c r="AO75" s="6"/>
      <c r="AP75" s="111"/>
      <c r="AQ75" s="7"/>
      <c r="AR75" s="5"/>
      <c r="AS75" s="57"/>
      <c r="AT75" s="97"/>
      <c r="AU75" s="123"/>
      <c r="AV75" s="6"/>
      <c r="AW75" s="6"/>
      <c r="AX75" s="6"/>
      <c r="AY75" s="123"/>
      <c r="AZ75" s="7"/>
      <c r="BA75" s="153"/>
      <c r="BB75" s="6"/>
      <c r="BC75" s="6"/>
      <c r="BD75" s="6"/>
      <c r="BE75" s="6"/>
      <c r="BF75" s="6"/>
      <c r="BG75" s="6"/>
      <c r="BH75" s="6"/>
      <c r="BI75" s="7"/>
      <c r="BJ75" s="5"/>
      <c r="BK75" s="97"/>
      <c r="BL75" s="111"/>
      <c r="BM75" s="6"/>
      <c r="BN75" s="6"/>
      <c r="BO75" s="6"/>
      <c r="BP75" s="111"/>
      <c r="BQ75" s="7"/>
      <c r="BR75" s="5"/>
      <c r="BS75" s="6"/>
      <c r="BT75" s="6"/>
      <c r="BU75" s="6"/>
      <c r="BV75" s="6"/>
      <c r="BW75" s="6"/>
      <c r="BX75" s="6"/>
      <c r="BY75" s="7"/>
      <c r="BZ75" s="5"/>
      <c r="CA75" s="6"/>
      <c r="CB75" s="6"/>
      <c r="CC75" s="6"/>
      <c r="CD75" s="6"/>
      <c r="CE75" s="6"/>
      <c r="CF75" s="6"/>
      <c r="CG75" s="7"/>
      <c r="CH75" s="5"/>
      <c r="CI75" s="6"/>
      <c r="CJ75" s="6"/>
      <c r="CK75" s="7"/>
    </row>
    <row r="76" spans="1:98" ht="45" hidden="1" customHeight="1" outlineLevel="1">
      <c r="A76" s="133">
        <v>2025</v>
      </c>
      <c r="C76" s="130" t="s">
        <v>233</v>
      </c>
      <c r="D76" s="8"/>
      <c r="E76" s="98"/>
      <c r="F76" s="112"/>
      <c r="G76" s="9"/>
      <c r="H76" s="9"/>
      <c r="I76" s="9"/>
      <c r="J76" s="112"/>
      <c r="K76" s="10"/>
      <c r="L76" s="8"/>
      <c r="M76" s="98"/>
      <c r="N76" s="112"/>
      <c r="O76" s="9"/>
      <c r="P76" s="9"/>
      <c r="Q76" s="9"/>
      <c r="R76" s="112"/>
      <c r="S76" s="10"/>
      <c r="T76" s="8"/>
      <c r="U76" s="98"/>
      <c r="V76" s="112"/>
      <c r="W76" s="9"/>
      <c r="X76" s="9"/>
      <c r="Y76" s="9"/>
      <c r="Z76" s="112"/>
      <c r="AA76" s="10"/>
      <c r="AB76" s="8"/>
      <c r="AC76" s="98"/>
      <c r="AD76" s="112"/>
      <c r="AE76" s="9"/>
      <c r="AF76" s="9"/>
      <c r="AG76" s="9"/>
      <c r="AH76" s="112"/>
      <c r="AI76" s="10"/>
      <c r="AJ76" s="8"/>
      <c r="AK76" s="98"/>
      <c r="AL76" s="112"/>
      <c r="AM76" s="9"/>
      <c r="AN76" s="9"/>
      <c r="AO76" s="9"/>
      <c r="AP76" s="112"/>
      <c r="AQ76" s="10"/>
      <c r="AR76" s="8"/>
      <c r="AS76" s="58"/>
      <c r="AT76" s="98"/>
      <c r="AU76" s="124"/>
      <c r="AV76" s="9"/>
      <c r="AW76" s="9"/>
      <c r="AX76" s="9"/>
      <c r="AY76" s="124"/>
      <c r="AZ76" s="10"/>
      <c r="BA76" s="154"/>
      <c r="BB76" s="9"/>
      <c r="BC76" s="9"/>
      <c r="BD76" s="9"/>
      <c r="BE76" s="9"/>
      <c r="BF76" s="9"/>
      <c r="BG76" s="9"/>
      <c r="BH76" s="9"/>
      <c r="BI76" s="10"/>
      <c r="BJ76" s="8"/>
      <c r="BK76" s="98"/>
      <c r="BL76" s="112"/>
      <c r="BM76" s="9"/>
      <c r="BN76" s="9"/>
      <c r="BO76" s="9"/>
      <c r="BP76" s="112"/>
      <c r="BQ76" s="10"/>
      <c r="BR76" s="8"/>
      <c r="BS76" s="9"/>
      <c r="BT76" s="9"/>
      <c r="BU76" s="9"/>
      <c r="BV76" s="9"/>
      <c r="BW76" s="9"/>
      <c r="BX76" s="9"/>
      <c r="BY76" s="10"/>
      <c r="BZ76" s="8"/>
      <c r="CA76" s="9"/>
      <c r="CB76" s="9"/>
      <c r="CC76" s="9"/>
      <c r="CD76" s="9"/>
      <c r="CE76" s="9"/>
      <c r="CF76" s="9"/>
      <c r="CG76" s="10"/>
      <c r="CH76" s="8"/>
      <c r="CI76" s="9"/>
      <c r="CJ76" s="9"/>
      <c r="CK76" s="10"/>
      <c r="CL76" s="238"/>
      <c r="CR76">
        <v>38</v>
      </c>
      <c r="CS76">
        <v>41</v>
      </c>
      <c r="CT76">
        <v>47</v>
      </c>
    </row>
    <row r="77" spans="1:98" ht="45" customHeight="1" collapsed="1" thickBot="1">
      <c r="A77" s="133">
        <v>2025</v>
      </c>
      <c r="C77" s="131" t="str">
        <f>CR76&amp;" - "&amp;CT76 &amp;" (" &amp; CS76 &amp; ")"</f>
        <v>38 - 47 (41)</v>
      </c>
      <c r="D77" s="11"/>
      <c r="E77" s="102"/>
      <c r="F77" s="116"/>
      <c r="G77" s="12"/>
      <c r="H77" s="12"/>
      <c r="I77" s="12"/>
      <c r="J77" s="116"/>
      <c r="K77" s="13"/>
      <c r="L77" s="11"/>
      <c r="M77" s="102"/>
      <c r="N77" s="116"/>
      <c r="O77" s="12"/>
      <c r="P77" s="12"/>
      <c r="Q77" s="12"/>
      <c r="R77" s="116"/>
      <c r="S77" s="13"/>
      <c r="T77" s="11"/>
      <c r="U77" s="102"/>
      <c r="V77" s="116"/>
      <c r="W77" s="12"/>
      <c r="X77" s="12"/>
      <c r="Y77" s="12"/>
      <c r="Z77" s="116"/>
      <c r="AA77" s="13"/>
      <c r="AB77" s="11"/>
      <c r="AC77" s="102"/>
      <c r="AD77" s="116"/>
      <c r="AE77" s="12"/>
      <c r="AF77" s="12"/>
      <c r="AG77" s="12"/>
      <c r="AH77" s="116"/>
      <c r="AI77" s="13"/>
      <c r="AJ77" s="11"/>
      <c r="AK77" s="102"/>
      <c r="AL77" s="116"/>
      <c r="AM77" s="12"/>
      <c r="AN77" s="12"/>
      <c r="AO77" s="12"/>
      <c r="AP77" s="116"/>
      <c r="AQ77" s="13"/>
      <c r="AR77" s="11"/>
      <c r="AS77" s="59"/>
      <c r="AT77" s="102"/>
      <c r="AU77" s="128"/>
      <c r="AV77" s="12"/>
      <c r="AW77" s="12"/>
      <c r="AX77" s="12"/>
      <c r="AY77" s="128"/>
      <c r="AZ77" s="13"/>
      <c r="BA77" s="158"/>
      <c r="BB77" s="12"/>
      <c r="BC77" s="12"/>
      <c r="BD77" s="12"/>
      <c r="BE77" s="12"/>
      <c r="BF77" s="12"/>
      <c r="BG77" s="12"/>
      <c r="BH77" s="12"/>
      <c r="BI77" s="13"/>
      <c r="BJ77" s="11"/>
      <c r="BK77" s="102"/>
      <c r="BL77" s="116"/>
      <c r="BM77" s="12"/>
      <c r="BN77" s="12"/>
      <c r="BO77" s="12"/>
      <c r="BP77" s="116"/>
      <c r="BQ77" s="13"/>
      <c r="BR77" s="11"/>
      <c r="BS77" s="12"/>
      <c r="BT77" s="12"/>
      <c r="BU77" s="12"/>
      <c r="BV77" s="12"/>
      <c r="BW77" s="12"/>
      <c r="BX77" s="12"/>
      <c r="BY77" s="13"/>
      <c r="BZ77" s="11"/>
      <c r="CA77" s="12"/>
      <c r="CB77" s="12"/>
      <c r="CC77" s="12"/>
      <c r="CD77" s="12"/>
      <c r="CE77" s="12"/>
      <c r="CF77" s="12"/>
      <c r="CG77" s="13"/>
      <c r="CH77" s="11"/>
      <c r="CI77" s="12"/>
      <c r="CJ77" s="12"/>
      <c r="CK77" s="13"/>
      <c r="CL77" s="238"/>
    </row>
  </sheetData>
  <mergeCells count="12">
    <mergeCell ref="CL4:CP4"/>
    <mergeCell ref="D4:K4"/>
    <mergeCell ref="L4:S4"/>
    <mergeCell ref="T4:AA4"/>
    <mergeCell ref="AB4:AI4"/>
    <mergeCell ref="AJ4:AQ4"/>
    <mergeCell ref="BZ4:CG4"/>
    <mergeCell ref="CH4:CK4"/>
    <mergeCell ref="AR4:AZ4"/>
    <mergeCell ref="BJ4:BQ4"/>
    <mergeCell ref="BR4:BY4"/>
    <mergeCell ref="BA4:BI4"/>
  </mergeCells>
  <pageMargins left="0.25" right="0.25" top="0.25" bottom="0.25" header="0.3" footer="0.3"/>
  <pageSetup scale="50" fitToWidth="0" orientation="landscape" horizontalDpi="360" verticalDpi="360" r:id="rId1"/>
  <colBreaks count="5" manualBreakCount="5">
    <brk id="19" min="3" max="52" man="1"/>
    <brk id="35" min="3" max="52" man="1"/>
    <brk id="52" min="3" max="52" man="1"/>
    <brk id="69" min="3" max="52" man="1"/>
    <brk id="85" min="3" max="52"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CropBoxes">
                <anchor moveWithCells="1" sizeWithCells="1">
                  <from>
                    <xdr:col>1</xdr:col>
                    <xdr:colOff>88900</xdr:colOff>
                    <xdr:row>4</xdr:row>
                    <xdr:rowOff>63500</xdr:rowOff>
                  </from>
                  <to>
                    <xdr:col>1</xdr:col>
                    <xdr:colOff>647700</xdr:colOff>
                    <xdr:row>4</xdr:row>
                    <xdr:rowOff>355600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79165-122E-474B-ABC7-21992CC564FD}">
  <sheetPr codeName="Sheet15"/>
  <dimension ref="B1:E44"/>
  <sheetViews>
    <sheetView workbookViewId="0"/>
  </sheetViews>
  <sheetFormatPr baseColWidth="10" defaultColWidth="11.5" defaultRowHeight="15"/>
  <cols>
    <col min="2" max="2" width="37.83203125" customWidth="1"/>
  </cols>
  <sheetData>
    <row r="1" spans="2:5">
      <c r="E1" t="s">
        <v>2780</v>
      </c>
    </row>
    <row r="2" spans="2:5">
      <c r="B2" s="194" t="s">
        <v>2411</v>
      </c>
      <c r="E2" s="202" t="s">
        <v>1519</v>
      </c>
    </row>
    <row r="3" spans="2:5">
      <c r="B3" s="200" t="s">
        <v>2412</v>
      </c>
      <c r="E3" s="202" t="s">
        <v>2599</v>
      </c>
    </row>
    <row r="4" spans="2:5">
      <c r="B4" s="200" t="s">
        <v>2413</v>
      </c>
      <c r="E4" s="202" t="s">
        <v>2600</v>
      </c>
    </row>
    <row r="5" spans="2:5">
      <c r="B5" s="201" t="s">
        <v>2414</v>
      </c>
      <c r="E5" s="202" t="s">
        <v>1506</v>
      </c>
    </row>
    <row r="6" spans="2:5">
      <c r="B6" s="202" t="s">
        <v>2415</v>
      </c>
      <c r="E6" s="243" t="s">
        <v>1533</v>
      </c>
    </row>
    <row r="7" spans="2:5">
      <c r="B7" s="202" t="s">
        <v>2416</v>
      </c>
      <c r="E7" s="243" t="s">
        <v>1532</v>
      </c>
    </row>
    <row r="8" spans="2:5">
      <c r="B8" s="203" t="s">
        <v>2417</v>
      </c>
      <c r="E8" s="202" t="s">
        <v>2226</v>
      </c>
    </row>
    <row r="9" spans="2:5">
      <c r="B9" s="195" t="s">
        <v>2418</v>
      </c>
      <c r="E9" s="202" t="s">
        <v>2227</v>
      </c>
    </row>
    <row r="10" spans="2:5">
      <c r="B10" s="200" t="s">
        <v>2419</v>
      </c>
      <c r="E10" s="200" t="s">
        <v>2605</v>
      </c>
    </row>
    <row r="11" spans="2:5">
      <c r="B11" s="200" t="s">
        <v>2420</v>
      </c>
      <c r="E11" s="200" t="s">
        <v>1797</v>
      </c>
    </row>
    <row r="12" spans="2:5">
      <c r="B12" s="204" t="s">
        <v>2421</v>
      </c>
      <c r="E12" s="200" t="s">
        <v>2606</v>
      </c>
    </row>
    <row r="13" spans="2:5">
      <c r="B13" s="204" t="s">
        <v>2422</v>
      </c>
      <c r="E13" s="200" t="s">
        <v>1818</v>
      </c>
    </row>
    <row r="14" spans="2:5">
      <c r="B14" s="194" t="s">
        <v>2423</v>
      </c>
      <c r="E14" s="243" t="s">
        <v>1507</v>
      </c>
    </row>
    <row r="15" spans="2:5">
      <c r="B15" s="200" t="s">
        <v>2424</v>
      </c>
      <c r="E15" s="244" t="s">
        <v>1749</v>
      </c>
    </row>
    <row r="16" spans="2:5">
      <c r="B16" s="201" t="s">
        <v>2425</v>
      </c>
      <c r="E16" s="200" t="s">
        <v>1307</v>
      </c>
    </row>
    <row r="17" spans="2:5">
      <c r="B17" s="204" t="s">
        <v>2426</v>
      </c>
      <c r="E17" s="243" t="s">
        <v>2615</v>
      </c>
    </row>
    <row r="18" spans="2:5">
      <c r="B18" s="203" t="s">
        <v>1707</v>
      </c>
      <c r="E18" s="245" t="s">
        <v>1420</v>
      </c>
    </row>
    <row r="19" spans="2:5">
      <c r="B19" s="202" t="s">
        <v>2427</v>
      </c>
    </row>
    <row r="20" spans="2:5">
      <c r="B20" s="201" t="s">
        <v>2428</v>
      </c>
    </row>
    <row r="21" spans="2:5">
      <c r="B21" s="202" t="s">
        <v>2429</v>
      </c>
    </row>
    <row r="22" spans="2:5">
      <c r="B22" s="201" t="s">
        <v>2430</v>
      </c>
    </row>
    <row r="23" spans="2:5">
      <c r="B23" s="203" t="s">
        <v>1705</v>
      </c>
    </row>
    <row r="24" spans="2:5">
      <c r="B24" s="203" t="s">
        <v>1704</v>
      </c>
    </row>
    <row r="25" spans="2:5">
      <c r="B25" s="201" t="s">
        <v>2431</v>
      </c>
    </row>
    <row r="26" spans="2:5">
      <c r="B26" s="201" t="s">
        <v>2432</v>
      </c>
    </row>
    <row r="27" spans="2:5">
      <c r="B27" s="205" t="s">
        <v>342</v>
      </c>
    </row>
    <row r="28" spans="2:5">
      <c r="B28" s="202" t="s">
        <v>2433</v>
      </c>
    </row>
    <row r="29" spans="2:5">
      <c r="B29" s="203" t="s">
        <v>1706</v>
      </c>
    </row>
    <row r="30" spans="2:5">
      <c r="B30" s="194" t="s">
        <v>2434</v>
      </c>
    </row>
    <row r="31" spans="2:5">
      <c r="B31" s="204" t="s">
        <v>2435</v>
      </c>
    </row>
    <row r="32" spans="2:5">
      <c r="B32" s="194" t="s">
        <v>2418</v>
      </c>
    </row>
    <row r="33" spans="2:2">
      <c r="B33" t="s">
        <v>2437</v>
      </c>
    </row>
    <row r="34" spans="2:2">
      <c r="B34" t="s">
        <v>2420</v>
      </c>
    </row>
    <row r="35" spans="2:2">
      <c r="B35" t="s">
        <v>2421</v>
      </c>
    </row>
    <row r="36" spans="2:2">
      <c r="B36" t="s">
        <v>2422</v>
      </c>
    </row>
    <row r="37" spans="2:2">
      <c r="B37" t="s">
        <v>2438</v>
      </c>
    </row>
    <row r="38" spans="2:2">
      <c r="B38" t="s">
        <v>2426</v>
      </c>
    </row>
    <row r="39" spans="2:2">
      <c r="B39" t="s">
        <v>2427</v>
      </c>
    </row>
    <row r="40" spans="2:2">
      <c r="B40" t="s">
        <v>2439</v>
      </c>
    </row>
    <row r="43" spans="2:2">
      <c r="B43" t="s">
        <v>2440</v>
      </c>
    </row>
    <row r="44" spans="2:2">
      <c r="B44" t="s">
        <v>2441</v>
      </c>
    </row>
  </sheetData>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02EB-26CD-428C-ADDB-7619381DA5D7}">
  <sheetPr codeName="Sheet13"/>
  <dimension ref="A1:BB170"/>
  <sheetViews>
    <sheetView workbookViewId="0"/>
  </sheetViews>
  <sheetFormatPr baseColWidth="10" defaultColWidth="8.83203125" defaultRowHeight="15"/>
  <cols>
    <col min="1" max="1" width="34.5" bestFit="1" customWidth="1"/>
    <col min="2" max="2" width="19.1640625" bestFit="1" customWidth="1"/>
    <col min="3" max="3" width="15.1640625" bestFit="1" customWidth="1"/>
    <col min="4" max="4" width="7.33203125" bestFit="1" customWidth="1"/>
    <col min="5" max="5" width="8.5" bestFit="1" customWidth="1"/>
    <col min="6" max="7" width="8.5" customWidth="1"/>
    <col min="8" max="8" width="10" customWidth="1"/>
    <col min="9" max="9" width="7.6640625" customWidth="1"/>
    <col min="10" max="10" width="8.5" customWidth="1"/>
    <col min="11" max="12" width="8.83203125" customWidth="1"/>
    <col min="13" max="13" width="10" bestFit="1" customWidth="1"/>
    <col min="14" max="14" width="6.1640625" customWidth="1"/>
    <col min="19" max="19" width="8.33203125" bestFit="1" customWidth="1"/>
    <col min="21" max="21" width="7.33203125" bestFit="1" customWidth="1"/>
    <col min="22" max="22" width="7.33203125" customWidth="1"/>
    <col min="23" max="23" width="7.33203125" bestFit="1" customWidth="1"/>
    <col min="24" max="24" width="6.6640625" bestFit="1" customWidth="1"/>
    <col min="25" max="28" width="8.33203125" bestFit="1" customWidth="1"/>
    <col min="29" max="30" width="7.6640625" bestFit="1" customWidth="1"/>
    <col min="31" max="32" width="8.6640625" bestFit="1" customWidth="1"/>
    <col min="33" max="40" width="8" bestFit="1" customWidth="1"/>
    <col min="41" max="44" width="7.83203125" bestFit="1" customWidth="1"/>
    <col min="45" max="48" width="7.6640625" bestFit="1" customWidth="1"/>
  </cols>
  <sheetData>
    <row r="1" spans="1:54" ht="31" customHeight="1">
      <c r="B1" s="174">
        <f>COUNTA(H3:T170)/(ROWS(H3:T170)*COLUMNS(H3:T170))</f>
        <v>0.9505494505494505</v>
      </c>
      <c r="AV1" t="s">
        <v>2594</v>
      </c>
      <c r="AW1">
        <v>18</v>
      </c>
      <c r="AY1">
        <f>SUM(AY7:AY169)/AW1</f>
        <v>9.375</v>
      </c>
      <c r="BA1">
        <f>SUM(BA7:BA166)</f>
        <v>685.5</v>
      </c>
      <c r="BB1" s="173">
        <f>BA1/AW1</f>
        <v>38.083333333333336</v>
      </c>
    </row>
    <row r="2" spans="1:54" ht="48">
      <c r="A2" s="40" t="s">
        <v>2340</v>
      </c>
      <c r="B2" s="40" t="s">
        <v>4</v>
      </c>
      <c r="C2" s="40" t="s">
        <v>7</v>
      </c>
      <c r="D2" s="40" t="s">
        <v>36</v>
      </c>
      <c r="E2" s="40" t="s">
        <v>2355</v>
      </c>
      <c r="F2" s="40" t="s">
        <v>2383</v>
      </c>
      <c r="G2" s="40" t="s">
        <v>2391</v>
      </c>
      <c r="H2" s="40" t="s">
        <v>2350</v>
      </c>
      <c r="I2" s="40" t="s">
        <v>2351</v>
      </c>
      <c r="J2" s="40" t="s">
        <v>2364</v>
      </c>
      <c r="K2" s="40" t="s">
        <v>2369</v>
      </c>
      <c r="L2" s="40" t="s">
        <v>2537</v>
      </c>
      <c r="M2" s="40" t="s">
        <v>2401</v>
      </c>
      <c r="N2" s="40" t="s">
        <v>2372</v>
      </c>
      <c r="O2" s="40" t="s">
        <v>2343</v>
      </c>
      <c r="P2" s="40" t="s">
        <v>2392</v>
      </c>
      <c r="Q2" s="40" t="s">
        <v>2344</v>
      </c>
      <c r="R2" s="40" t="s">
        <v>2345</v>
      </c>
      <c r="S2" s="40" t="s">
        <v>2346</v>
      </c>
      <c r="T2" s="40" t="s">
        <v>2347</v>
      </c>
      <c r="U2" s="40" t="s">
        <v>2348</v>
      </c>
      <c r="V2" s="40" t="s">
        <v>2349</v>
      </c>
      <c r="W2" s="40" t="s">
        <v>2403</v>
      </c>
      <c r="X2" s="40" t="s">
        <v>2444</v>
      </c>
      <c r="Y2" s="206" t="s">
        <v>2464</v>
      </c>
      <c r="Z2" s="206" t="s">
        <v>2465</v>
      </c>
      <c r="AA2" s="206" t="s">
        <v>2466</v>
      </c>
      <c r="AB2" s="206" t="s">
        <v>2467</v>
      </c>
      <c r="AC2" s="206" t="s">
        <v>2468</v>
      </c>
      <c r="AD2" s="206" t="s">
        <v>2469</v>
      </c>
      <c r="AE2" s="206" t="s">
        <v>2485</v>
      </c>
      <c r="AF2" s="206" t="s">
        <v>2486</v>
      </c>
      <c r="AG2" s="206" t="s">
        <v>2487</v>
      </c>
      <c r="AH2" s="206" t="s">
        <v>2488</v>
      </c>
      <c r="AI2" s="206" t="s">
        <v>2489</v>
      </c>
      <c r="AJ2" s="206" t="s">
        <v>2490</v>
      </c>
      <c r="AK2" s="206" t="s">
        <v>2470</v>
      </c>
      <c r="AL2" s="206" t="s">
        <v>2471</v>
      </c>
      <c r="AM2" s="206" t="s">
        <v>2472</v>
      </c>
      <c r="AN2" s="206" t="s">
        <v>2473</v>
      </c>
      <c r="AO2" s="206" t="s">
        <v>2474</v>
      </c>
      <c r="AP2" s="206" t="s">
        <v>2475</v>
      </c>
      <c r="AQ2" s="206" t="s">
        <v>2476</v>
      </c>
      <c r="AR2" s="206" t="s">
        <v>2477</v>
      </c>
      <c r="AS2" s="206" t="s">
        <v>2478</v>
      </c>
      <c r="AT2" s="206" t="s">
        <v>2479</v>
      </c>
      <c r="AU2" s="206" t="s">
        <v>2480</v>
      </c>
      <c r="AV2" s="206" t="s">
        <v>2481</v>
      </c>
      <c r="AW2" s="40" t="s">
        <v>2505</v>
      </c>
      <c r="AX2" s="40" t="s">
        <v>2506</v>
      </c>
      <c r="AY2" s="40" t="s">
        <v>2500</v>
      </c>
      <c r="AZ2" s="40" t="s">
        <v>2497</v>
      </c>
      <c r="BA2" s="40" t="s">
        <v>2498</v>
      </c>
      <c r="BB2" s="40" t="s">
        <v>2593</v>
      </c>
    </row>
    <row r="3" spans="1:54" hidden="1">
      <c r="A3" t="str">
        <f>Products[[#This Row],[Crop]]&amp;Products[[#This Row],[Product]]&amp;Products[[#This Row],[Unit]]</f>
        <v>AmaranthMature LeafBunch</v>
      </c>
      <c r="B3" t="s">
        <v>41</v>
      </c>
      <c r="C3" t="s">
        <v>179</v>
      </c>
      <c r="D3" t="s">
        <v>215</v>
      </c>
      <c r="E3" t="b">
        <v>1</v>
      </c>
      <c r="F3" t="s">
        <v>474</v>
      </c>
      <c r="G3">
        <v>1</v>
      </c>
      <c r="H3">
        <v>40</v>
      </c>
      <c r="I3">
        <v>40</v>
      </c>
      <c r="J3" t="s">
        <v>2368</v>
      </c>
      <c r="K3">
        <f>_xlfn.XLOOKUP(Products[[#This Row],[Packing Container]],Containers[Container],Containers[Cost])</f>
        <v>3.8</v>
      </c>
      <c r="M3">
        <v>5</v>
      </c>
      <c r="N3">
        <f>IF(Products[[#This Row],[Unit]]="Bunch",10,0)</f>
        <v>10</v>
      </c>
      <c r="O3">
        <v>45</v>
      </c>
      <c r="P3">
        <f>CrateHaulTime/Products[[#This Row],[Per Crate]]</f>
        <v>2.25</v>
      </c>
      <c r="Q3">
        <f>_xlfn.XLOOKUP(Products[[#This Row],[Wash Type]],Table9[Wash Type],Table9[Seconds])*Products[[#This Row],[Wash Factor]]</f>
        <v>0</v>
      </c>
      <c r="R3">
        <v>0</v>
      </c>
      <c r="S3">
        <v>0</v>
      </c>
      <c r="T3">
        <f>120/40</f>
        <v>3</v>
      </c>
      <c r="U3">
        <v>0</v>
      </c>
      <c r="V3">
        <v>0</v>
      </c>
      <c r="W3">
        <f>MarketHaulTime/CratesPerMarketLoad/Products[[#This Row],[Per Crate]]</f>
        <v>5.625</v>
      </c>
      <c r="X3" t="s">
        <v>2483</v>
      </c>
      <c r="Y3" s="184"/>
      <c r="Z3" s="184"/>
      <c r="AA3" s="184"/>
      <c r="AB3" s="184"/>
      <c r="AC3" s="184"/>
      <c r="AD3" s="184"/>
      <c r="AE3" s="184"/>
      <c r="AF3" s="184"/>
      <c r="AG3" s="207"/>
      <c r="AH3" s="184"/>
      <c r="AI3" s="184"/>
      <c r="AJ3" s="184"/>
      <c r="AK3" s="184"/>
      <c r="AL3" s="184"/>
      <c r="AM3" s="184"/>
      <c r="AN3" s="184"/>
      <c r="AO3" s="207"/>
      <c r="AP3" s="184"/>
      <c r="AQ3" s="184"/>
      <c r="AR3" s="184"/>
      <c r="AS3" s="184"/>
      <c r="AT3" s="184"/>
      <c r="AU3" s="184"/>
      <c r="AV3" s="184"/>
      <c r="AY3">
        <f>Products[[#This Row],[CSA Portion]]*Products[[#This Row],[CSA Times]]</f>
        <v>0</v>
      </c>
      <c r="BA3">
        <f>Products[[#This Row],[CSA Need]]*Products[[#This Row],[Market Price]]</f>
        <v>0</v>
      </c>
    </row>
    <row r="4" spans="1:54" hidden="1">
      <c r="A4" t="str">
        <f>Products[[#This Row],[Crop]]&amp;Products[[#This Row],[Product]]&amp;Products[[#This Row],[Unit]]</f>
        <v>AmaranthMature StemStem</v>
      </c>
      <c r="B4" t="s">
        <v>41</v>
      </c>
      <c r="C4" t="s">
        <v>181</v>
      </c>
      <c r="D4" t="s">
        <v>213</v>
      </c>
      <c r="E4" t="b">
        <v>1</v>
      </c>
      <c r="F4" t="s">
        <v>474</v>
      </c>
      <c r="G4">
        <v>1</v>
      </c>
      <c r="H4">
        <v>60</v>
      </c>
      <c r="I4">
        <v>60</v>
      </c>
      <c r="J4" t="s">
        <v>2367</v>
      </c>
      <c r="K4">
        <f>_xlfn.XLOOKUP(Products[[#This Row],[Packing Container]],Containers[Container],Containers[Cost])</f>
        <v>4</v>
      </c>
      <c r="M4">
        <v>6</v>
      </c>
      <c r="N4">
        <f>IF(Products[[#This Row],[Unit]]="Bunch",10,0)</f>
        <v>0</v>
      </c>
      <c r="O4">
        <v>5</v>
      </c>
      <c r="P4">
        <f>CrateHaulTime/Products[[#This Row],[Per Crate]]</f>
        <v>1.5</v>
      </c>
      <c r="Q4">
        <f>_xlfn.XLOOKUP(Products[[#This Row],[Wash Type]],Table9[Wash Type],Table9[Seconds])*Products[[#This Row],[Wash Factor]]</f>
        <v>0</v>
      </c>
      <c r="R4">
        <v>0</v>
      </c>
      <c r="S4">
        <v>2</v>
      </c>
      <c r="T4">
        <v>3</v>
      </c>
      <c r="U4">
        <v>0</v>
      </c>
      <c r="V4">
        <v>0</v>
      </c>
      <c r="W4">
        <f>MarketHaulTime/CratesPerMarketLoad/Products[[#This Row],[Per Crate]]</f>
        <v>3.75</v>
      </c>
      <c r="X4" t="s">
        <v>2482</v>
      </c>
      <c r="AY4">
        <f>Products[[#This Row],[CSA Portion]]*Products[[#This Row],[CSA Times]]</f>
        <v>0</v>
      </c>
      <c r="BA4">
        <f>Products[[#This Row],[CSA Need]]*Products[[#This Row],[Market Price]]</f>
        <v>0</v>
      </c>
    </row>
    <row r="5" spans="1:54" hidden="1">
      <c r="A5" t="str">
        <f>Products[[#This Row],[Crop]]&amp;Products[[#This Row],[Product]]&amp;Products[[#This Row],[Unit]]</f>
        <v>Anise HysoppBunchBunch</v>
      </c>
      <c r="B5" t="s">
        <v>2297</v>
      </c>
      <c r="C5" t="s">
        <v>215</v>
      </c>
      <c r="D5" t="s">
        <v>215</v>
      </c>
      <c r="E5" t="b">
        <v>0</v>
      </c>
      <c r="F5" t="s">
        <v>474</v>
      </c>
      <c r="G5">
        <v>1</v>
      </c>
      <c r="H5">
        <v>40</v>
      </c>
      <c r="I5">
        <v>40</v>
      </c>
      <c r="J5" t="s">
        <v>2368</v>
      </c>
      <c r="K5">
        <f>_xlfn.XLOOKUP(Products[[#This Row],[Packing Container]],Containers[Container],Containers[Cost])</f>
        <v>3.8</v>
      </c>
      <c r="M5">
        <v>3</v>
      </c>
      <c r="N5">
        <f>IF(Products[[#This Row],[Unit]]="Bunch",10,0)</f>
        <v>10</v>
      </c>
      <c r="O5">
        <v>20</v>
      </c>
      <c r="P5">
        <f>CrateHaulTime/Products[[#This Row],[Per Crate]]</f>
        <v>2.25</v>
      </c>
      <c r="Q5">
        <f>_xlfn.XLOOKUP(Products[[#This Row],[Wash Type]],Table9[Wash Type],Table9[Seconds])*Products[[#This Row],[Wash Factor]]</f>
        <v>0</v>
      </c>
      <c r="R5">
        <v>0</v>
      </c>
      <c r="S5">
        <v>0</v>
      </c>
      <c r="T5">
        <v>3</v>
      </c>
      <c r="U5">
        <v>0</v>
      </c>
      <c r="V5">
        <v>0</v>
      </c>
      <c r="W5">
        <f>MarketHaulTime/CratesPerMarketLoad/Products[[#This Row],[Per Crate]]</f>
        <v>5.625</v>
      </c>
      <c r="X5" t="s">
        <v>2482</v>
      </c>
      <c r="AY5">
        <f>Products[[#This Row],[CSA Portion]]*Products[[#This Row],[CSA Times]]</f>
        <v>0</v>
      </c>
      <c r="BA5">
        <f>Products[[#This Row],[CSA Need]]*Products[[#This Row],[Market Price]]</f>
        <v>0</v>
      </c>
    </row>
    <row r="6" spans="1:54" hidden="1">
      <c r="A6" t="str">
        <f>Products[[#This Row],[Crop]]&amp;Products[[#This Row],[Product]]&amp;Products[[#This Row],[Unit]]</f>
        <v>ArtichokeMature FlowerHead</v>
      </c>
      <c r="B6" t="s">
        <v>391</v>
      </c>
      <c r="C6" t="s">
        <v>400</v>
      </c>
      <c r="D6" t="s">
        <v>214</v>
      </c>
      <c r="E6" t="b">
        <v>0</v>
      </c>
      <c r="F6" t="s">
        <v>474</v>
      </c>
      <c r="G6">
        <v>1</v>
      </c>
      <c r="H6">
        <v>30</v>
      </c>
      <c r="I6">
        <v>20</v>
      </c>
      <c r="J6" t="s">
        <v>2368</v>
      </c>
      <c r="K6">
        <f>_xlfn.XLOOKUP(Products[[#This Row],[Packing Container]],Containers[Container],Containers[Cost])</f>
        <v>3.8</v>
      </c>
      <c r="M6">
        <v>5</v>
      </c>
      <c r="N6">
        <f>IF(Products[[#This Row],[Unit]]="Bunch",10,0)</f>
        <v>0</v>
      </c>
      <c r="O6">
        <v>10</v>
      </c>
      <c r="P6">
        <f>CrateHaulTime/Products[[#This Row],[Per Crate]]</f>
        <v>3</v>
      </c>
      <c r="Q6">
        <f>_xlfn.XLOOKUP(Products[[#This Row],[Wash Type]],Table9[Wash Type],Table9[Seconds])*Products[[#This Row],[Wash Factor]]</f>
        <v>0</v>
      </c>
      <c r="R6">
        <v>0</v>
      </c>
      <c r="S6">
        <v>0</v>
      </c>
      <c r="T6">
        <v>3</v>
      </c>
      <c r="U6">
        <v>0</v>
      </c>
      <c r="V6">
        <v>0</v>
      </c>
      <c r="W6">
        <f>MarketHaulTime/CratesPerMarketLoad/Products[[#This Row],[Per Crate]]</f>
        <v>7.5</v>
      </c>
      <c r="X6" t="s">
        <v>2483</v>
      </c>
      <c r="AG6" s="207"/>
      <c r="AM6" s="184"/>
      <c r="AN6" s="184"/>
      <c r="AO6" s="207"/>
      <c r="AP6" s="184"/>
      <c r="AY6">
        <f>Products[[#This Row],[CSA Portion]]*Products[[#This Row],[CSA Times]]</f>
        <v>0</v>
      </c>
      <c r="BA6">
        <f>Products[[#This Row],[CSA Need]]*Products[[#This Row],[Market Price]]</f>
        <v>0</v>
      </c>
    </row>
    <row r="7" spans="1:54" hidden="1">
      <c r="A7" t="str">
        <f>Products[[#This Row],[Crop]]&amp;Products[[#This Row],[Product]]&amp;Products[[#This Row],[Unit]]</f>
        <v>KaleBaby LeafLb</v>
      </c>
      <c r="B7" t="s">
        <v>88</v>
      </c>
      <c r="C7" t="s">
        <v>182</v>
      </c>
      <c r="D7" t="s">
        <v>383</v>
      </c>
      <c r="E7" t="b">
        <v>1</v>
      </c>
      <c r="F7" t="s">
        <v>2384</v>
      </c>
      <c r="G7">
        <v>1</v>
      </c>
      <c r="H7">
        <v>10</v>
      </c>
      <c r="I7">
        <v>10</v>
      </c>
      <c r="J7" s="197" t="s">
        <v>2368</v>
      </c>
      <c r="K7">
        <f>_xlfn.XLOOKUP(Products[[#This Row],[Packing Container]],Containers[Container],Containers[Cost])</f>
        <v>3.8</v>
      </c>
      <c r="L7">
        <v>0</v>
      </c>
      <c r="M7">
        <v>2</v>
      </c>
      <c r="N7">
        <f>IF(Products[[#This Row],[Unit]]="Bunch",10,0)</f>
        <v>0</v>
      </c>
      <c r="O7">
        <v>120</v>
      </c>
      <c r="P7">
        <f>CrateHaulTime/Products[[#This Row],[Per Crate]]</f>
        <v>9</v>
      </c>
      <c r="Q7">
        <f>_xlfn.XLOOKUP(Products[[#This Row],[Wash Type]],Table9[Wash Type],Table9[Seconds])*Products[[#This Row],[Wash Factor]]</f>
        <v>60</v>
      </c>
      <c r="R7">
        <v>0</v>
      </c>
      <c r="S7">
        <v>0</v>
      </c>
      <c r="T7">
        <v>3</v>
      </c>
      <c r="U7">
        <v>0</v>
      </c>
      <c r="V7">
        <v>0</v>
      </c>
      <c r="W7">
        <f>MarketHaulTime/CratesPerMarketLoad/Products[[#This Row],[Per Crate]]</f>
        <v>22.5</v>
      </c>
      <c r="X7" t="s">
        <v>2484</v>
      </c>
      <c r="Y7" s="184"/>
      <c r="Z7" s="184"/>
      <c r="AA7" s="184"/>
      <c r="AB7" s="184"/>
      <c r="AC7" s="184"/>
      <c r="AD7" s="184"/>
      <c r="AE7" s="184"/>
      <c r="AF7" s="184"/>
      <c r="AG7" s="207"/>
      <c r="AH7" s="184"/>
      <c r="AI7" s="184"/>
      <c r="AJ7" s="184"/>
      <c r="AK7" s="184"/>
      <c r="AL7" s="184"/>
      <c r="AM7" s="184"/>
      <c r="AN7" s="184"/>
      <c r="AO7" s="207"/>
      <c r="AP7" s="184"/>
      <c r="AQ7" s="184"/>
      <c r="AR7" s="184"/>
      <c r="AS7" s="184"/>
      <c r="AT7" s="184"/>
      <c r="AU7" s="184"/>
      <c r="AV7" s="184"/>
      <c r="AW7" s="173">
        <v>0.5</v>
      </c>
      <c r="AX7">
        <v>0</v>
      </c>
      <c r="AY7">
        <f>Products[[#This Row],[CSA Portion]]*Products[[#This Row],[CSA Times]]</f>
        <v>0</v>
      </c>
      <c r="BA7">
        <f>Products[[#This Row],[CSA Need]]*Products[[#This Row],[Market Price]]</f>
        <v>0</v>
      </c>
    </row>
    <row r="8" spans="1:54" hidden="1">
      <c r="A8" t="str">
        <f>Products[[#This Row],[Crop]]&amp;Products[[#This Row],[Product]]&amp;Products[[#This Row],[Unit]]</f>
        <v>ArugulaMature LeafLb</v>
      </c>
      <c r="B8" t="s">
        <v>42</v>
      </c>
      <c r="C8" t="s">
        <v>179</v>
      </c>
      <c r="D8" t="s">
        <v>383</v>
      </c>
      <c r="E8" t="b">
        <v>1</v>
      </c>
      <c r="F8" t="s">
        <v>2384</v>
      </c>
      <c r="G8">
        <v>1</v>
      </c>
      <c r="H8">
        <v>10</v>
      </c>
      <c r="I8">
        <v>10</v>
      </c>
      <c r="J8" t="s">
        <v>2368</v>
      </c>
      <c r="K8">
        <f>_xlfn.XLOOKUP(Products[[#This Row],[Packing Container]],Containers[Container],Containers[Cost])</f>
        <v>3.8</v>
      </c>
      <c r="M8">
        <v>2</v>
      </c>
      <c r="N8">
        <f>IF(Products[[#This Row],[Unit]]="Bunch",10,0)</f>
        <v>0</v>
      </c>
      <c r="O8">
        <v>120</v>
      </c>
      <c r="P8">
        <f>CrateHaulTime/Products[[#This Row],[Per Crate]]</f>
        <v>9</v>
      </c>
      <c r="Q8">
        <f>_xlfn.XLOOKUP(Products[[#This Row],[Wash Type]],Table9[Wash Type],Table9[Seconds])*Products[[#This Row],[Wash Factor]]</f>
        <v>60</v>
      </c>
      <c r="R8">
        <v>0</v>
      </c>
      <c r="S8">
        <v>7</v>
      </c>
      <c r="T8">
        <v>3</v>
      </c>
      <c r="U8">
        <v>0</v>
      </c>
      <c r="V8">
        <v>0</v>
      </c>
      <c r="W8">
        <f>MarketHaulTime/CratesPerMarketLoad/Products[[#This Row],[Per Crate]]</f>
        <v>22.5</v>
      </c>
      <c r="X8" t="s">
        <v>2482</v>
      </c>
      <c r="AY8">
        <f>Products[[#This Row],[CSA Portion]]*Products[[#This Row],[CSA Times]]</f>
        <v>0</v>
      </c>
      <c r="BA8">
        <f>Products[[#This Row],[CSA Need]]*Products[[#This Row],[Market Price]]</f>
        <v>0</v>
      </c>
    </row>
    <row r="9" spans="1:54">
      <c r="A9" t="str">
        <f>Products[[#This Row],[Crop]]&amp;Products[[#This Row],[Product]]&amp;Products[[#This Row],[Unit]]</f>
        <v>ArugulaBaby LeafLb</v>
      </c>
      <c r="B9" t="s">
        <v>42</v>
      </c>
      <c r="C9" t="s">
        <v>182</v>
      </c>
      <c r="D9" t="s">
        <v>383</v>
      </c>
      <c r="E9" t="b">
        <v>1</v>
      </c>
      <c r="F9" t="s">
        <v>2384</v>
      </c>
      <c r="G9">
        <v>1</v>
      </c>
      <c r="H9">
        <v>10</v>
      </c>
      <c r="I9">
        <v>10</v>
      </c>
      <c r="J9" t="s">
        <v>2368</v>
      </c>
      <c r="K9">
        <f>_xlfn.XLOOKUP(Products[[#This Row],[Packing Container]],Containers[Container],Containers[Cost])</f>
        <v>3.8</v>
      </c>
      <c r="L9">
        <v>3</v>
      </c>
      <c r="M9">
        <v>2</v>
      </c>
      <c r="N9">
        <f>IF(Products[[#This Row],[Unit]]="Bunch",10,0)</f>
        <v>0</v>
      </c>
      <c r="O9">
        <v>120</v>
      </c>
      <c r="P9">
        <f>CrateHaulTime/Products[[#This Row],[Per Crate]]</f>
        <v>9</v>
      </c>
      <c r="Q9">
        <f>_xlfn.XLOOKUP(Products[[#This Row],[Wash Type]],Table9[Wash Type],Table9[Seconds])*Products[[#This Row],[Wash Factor]]</f>
        <v>60</v>
      </c>
      <c r="R9">
        <v>0</v>
      </c>
      <c r="S9">
        <v>10</v>
      </c>
      <c r="T9">
        <v>3</v>
      </c>
      <c r="U9">
        <v>0</v>
      </c>
      <c r="V9">
        <v>0</v>
      </c>
      <c r="W9">
        <f>MarketHaulTime/CratesPerMarketLoad/Products[[#This Row],[Per Crate]]</f>
        <v>22.5</v>
      </c>
      <c r="X9" t="s">
        <v>2484</v>
      </c>
      <c r="Y9" s="184"/>
      <c r="Z9" s="184"/>
      <c r="AA9" s="184"/>
      <c r="AB9" s="184"/>
      <c r="AC9" s="184"/>
      <c r="AD9" s="184"/>
      <c r="AE9" s="184"/>
      <c r="AF9" s="184"/>
      <c r="AG9" s="207"/>
      <c r="AO9" s="207"/>
      <c r="AQ9" s="184"/>
      <c r="AR9" s="184"/>
      <c r="AS9" s="184"/>
      <c r="AT9" s="184"/>
      <c r="AU9" s="184"/>
      <c r="AV9" s="184"/>
      <c r="AW9">
        <v>0.25</v>
      </c>
      <c r="AX9">
        <v>2</v>
      </c>
      <c r="AY9">
        <f>Products[[#This Row],[CSA Portion]]*Products[[#This Row],[CSA Times]]</f>
        <v>0.5</v>
      </c>
      <c r="AZ9">
        <v>12</v>
      </c>
      <c r="BA9">
        <f>Products[[#This Row],[CSA Need]]*Products[[#This Row],[Market Price]]</f>
        <v>6</v>
      </c>
    </row>
    <row r="10" spans="1:54" hidden="1">
      <c r="A10" t="str">
        <f>Products[[#This Row],[Crop]]&amp;Products[[#This Row],[Product]]&amp;Products[[#This Row],[Unit]]</f>
        <v>AtriplexMature StemStem</v>
      </c>
      <c r="B10" t="s">
        <v>1785</v>
      </c>
      <c r="C10" t="s">
        <v>181</v>
      </c>
      <c r="D10" t="s">
        <v>213</v>
      </c>
      <c r="E10" t="b">
        <v>1</v>
      </c>
      <c r="F10" t="s">
        <v>474</v>
      </c>
      <c r="G10">
        <v>1</v>
      </c>
      <c r="H10">
        <v>40</v>
      </c>
      <c r="I10">
        <v>40</v>
      </c>
      <c r="J10" t="s">
        <v>2367</v>
      </c>
      <c r="K10">
        <f>_xlfn.XLOOKUP(Products[[#This Row],[Packing Container]],Containers[Container],Containers[Cost])</f>
        <v>4</v>
      </c>
      <c r="M10">
        <v>6</v>
      </c>
      <c r="N10">
        <f>IF(Products[[#This Row],[Unit]]="Bunch",10,0)</f>
        <v>0</v>
      </c>
      <c r="O10">
        <v>5</v>
      </c>
      <c r="P10">
        <f>CrateHaulTime/Products[[#This Row],[Per Crate]]</f>
        <v>2.25</v>
      </c>
      <c r="Q10">
        <f>_xlfn.XLOOKUP(Products[[#This Row],[Wash Type]],Table9[Wash Type],Table9[Seconds])*Products[[#This Row],[Wash Factor]]</f>
        <v>0</v>
      </c>
      <c r="R10">
        <v>0</v>
      </c>
      <c r="S10">
        <v>3</v>
      </c>
      <c r="T10">
        <v>3</v>
      </c>
      <c r="U10">
        <v>0</v>
      </c>
      <c r="V10">
        <v>0</v>
      </c>
      <c r="W10">
        <f>MarketHaulTime/CratesPerMarketLoad/Products[[#This Row],[Per Crate]]</f>
        <v>5.625</v>
      </c>
      <c r="X10" t="s">
        <v>2482</v>
      </c>
      <c r="AY10">
        <f>Products[[#This Row],[CSA Portion]]*Products[[#This Row],[CSA Times]]</f>
        <v>0</v>
      </c>
      <c r="BA10">
        <f>Products[[#This Row],[CSA Need]]*Products[[#This Row],[Market Price]]</f>
        <v>0</v>
      </c>
    </row>
    <row r="11" spans="1:54" hidden="1">
      <c r="A11" t="str">
        <f>Products[[#This Row],[Crop]]&amp;Products[[#This Row],[Product]]&amp;Products[[#This Row],[Unit]]</f>
        <v>Bachellor's ButtonMature StemStem</v>
      </c>
      <c r="B11" t="s">
        <v>65</v>
      </c>
      <c r="C11" t="s">
        <v>181</v>
      </c>
      <c r="D11" t="s">
        <v>213</v>
      </c>
      <c r="E11" t="b">
        <v>1</v>
      </c>
      <c r="F11" t="s">
        <v>474</v>
      </c>
      <c r="G11">
        <v>1</v>
      </c>
      <c r="H11">
        <v>80</v>
      </c>
      <c r="I11">
        <v>80</v>
      </c>
      <c r="J11" t="s">
        <v>2367</v>
      </c>
      <c r="K11">
        <f>_xlfn.XLOOKUP(Products[[#This Row],[Packing Container]],Containers[Container],Containers[Cost])</f>
        <v>4</v>
      </c>
      <c r="M11">
        <v>6</v>
      </c>
      <c r="N11">
        <f>IF(Products[[#This Row],[Unit]]="Bunch",10,0)</f>
        <v>0</v>
      </c>
      <c r="O11">
        <v>10</v>
      </c>
      <c r="P11">
        <f>CrateHaulTime/Products[[#This Row],[Per Crate]]</f>
        <v>1.125</v>
      </c>
      <c r="Q11">
        <f>_xlfn.XLOOKUP(Products[[#This Row],[Wash Type]],Table9[Wash Type],Table9[Seconds])*Products[[#This Row],[Wash Factor]]</f>
        <v>0</v>
      </c>
      <c r="R11">
        <v>0</v>
      </c>
      <c r="S11">
        <v>10</v>
      </c>
      <c r="T11">
        <v>3</v>
      </c>
      <c r="U11">
        <v>0</v>
      </c>
      <c r="V11">
        <v>0</v>
      </c>
      <c r="W11">
        <f>MarketHaulTime/CratesPerMarketLoad/Products[[#This Row],[Per Crate]]</f>
        <v>2.8125</v>
      </c>
      <c r="X11" t="s">
        <v>2482</v>
      </c>
      <c r="AY11">
        <f>Products[[#This Row],[CSA Portion]]*Products[[#This Row],[CSA Times]]</f>
        <v>0</v>
      </c>
      <c r="BA11">
        <f>Products[[#This Row],[CSA Need]]*Products[[#This Row],[Market Price]]</f>
        <v>0</v>
      </c>
    </row>
    <row r="12" spans="1:54">
      <c r="A12" t="str">
        <f>Products[[#This Row],[Crop]]&amp;Products[[#This Row],[Product]]&amp;Products[[#This Row],[Unit]]</f>
        <v>Asian GreensLoose LeafBunch</v>
      </c>
      <c r="B12" t="s">
        <v>1517</v>
      </c>
      <c r="C12" t="s">
        <v>190</v>
      </c>
      <c r="D12" t="s">
        <v>215</v>
      </c>
      <c r="E12" t="b">
        <v>1</v>
      </c>
      <c r="F12" t="s">
        <v>474</v>
      </c>
      <c r="G12">
        <v>1</v>
      </c>
      <c r="H12">
        <v>24</v>
      </c>
      <c r="I12">
        <v>24</v>
      </c>
      <c r="J12" t="s">
        <v>2368</v>
      </c>
      <c r="K12">
        <f>_xlfn.XLOOKUP(Products[[#This Row],[Packing Container]],Containers[Container],Containers[Cost])</f>
        <v>3.8</v>
      </c>
      <c r="L12">
        <v>7</v>
      </c>
      <c r="M12">
        <v>3</v>
      </c>
      <c r="N12">
        <f>IF(Products[[#This Row],[Unit]]="Bunch",10,0)</f>
        <v>10</v>
      </c>
      <c r="O12">
        <v>30</v>
      </c>
      <c r="P12">
        <f>CrateHaulTime/Products[[#This Row],[Per Crate]]</f>
        <v>3.75</v>
      </c>
      <c r="Q12">
        <f>_xlfn.XLOOKUP(Products[[#This Row],[Wash Type]],Table9[Wash Type],Table9[Seconds])*Products[[#This Row],[Wash Factor]]</f>
        <v>0</v>
      </c>
      <c r="R12">
        <v>10</v>
      </c>
      <c r="S12">
        <v>0</v>
      </c>
      <c r="T12">
        <v>3</v>
      </c>
      <c r="U12">
        <v>0</v>
      </c>
      <c r="V12">
        <v>0</v>
      </c>
      <c r="W12">
        <f>MarketHaulTime/CratesPerMarketLoad/Products[[#This Row],[Per Crate]]</f>
        <v>9.375</v>
      </c>
      <c r="X12" t="s">
        <v>2484</v>
      </c>
      <c r="Y12" s="184"/>
      <c r="Z12" s="184"/>
      <c r="AA12" s="184"/>
      <c r="AB12" s="184"/>
      <c r="AC12" s="184"/>
      <c r="AD12" s="184"/>
      <c r="AE12" s="184"/>
      <c r="AF12" s="184"/>
      <c r="AG12" s="207"/>
      <c r="AH12" s="184"/>
      <c r="AI12" s="184"/>
      <c r="AJ12" s="184"/>
      <c r="AK12" s="184"/>
      <c r="AL12" s="184"/>
      <c r="AM12" s="184"/>
      <c r="AN12" s="184"/>
      <c r="AO12" s="207"/>
      <c r="AP12" s="184"/>
      <c r="AQ12" s="184"/>
      <c r="AR12" s="184"/>
      <c r="AS12" s="184"/>
      <c r="AT12" s="184"/>
      <c r="AU12" s="184"/>
      <c r="AV12" s="184"/>
      <c r="AW12">
        <v>1</v>
      </c>
      <c r="AX12">
        <v>4</v>
      </c>
      <c r="AY12">
        <f>Products[[#This Row],[CSA Portion]]*Products[[#This Row],[CSA Times]]</f>
        <v>4</v>
      </c>
      <c r="AZ12">
        <v>3</v>
      </c>
      <c r="BA12">
        <f>Products[[#This Row],[CSA Need]]*Products[[#This Row],[Market Price]]</f>
        <v>12</v>
      </c>
    </row>
    <row r="13" spans="1:54" hidden="1">
      <c r="A13" t="str">
        <f>Products[[#This Row],[Crop]]&amp;Products[[#This Row],[Product]]&amp;Products[[#This Row],[Unit]]</f>
        <v>BasilMature StemStem</v>
      </c>
      <c r="B13" t="s">
        <v>43</v>
      </c>
      <c r="C13" t="s">
        <v>181</v>
      </c>
      <c r="D13" t="s">
        <v>213</v>
      </c>
      <c r="E13" t="b">
        <v>1</v>
      </c>
      <c r="F13" t="s">
        <v>474</v>
      </c>
      <c r="G13">
        <v>1</v>
      </c>
      <c r="H13">
        <v>40</v>
      </c>
      <c r="I13">
        <v>40</v>
      </c>
      <c r="J13" t="s">
        <v>2368</v>
      </c>
      <c r="K13">
        <f>_xlfn.XLOOKUP(Products[[#This Row],[Packing Container]],Containers[Container],Containers[Cost])</f>
        <v>3.8</v>
      </c>
      <c r="M13">
        <v>2</v>
      </c>
      <c r="N13">
        <f>IF(Products[[#This Row],[Unit]]="Bunch",10,0)</f>
        <v>0</v>
      </c>
      <c r="O13">
        <v>10</v>
      </c>
      <c r="P13">
        <f>CrateHaulTime/Products[[#This Row],[Per Crate]]</f>
        <v>2.25</v>
      </c>
      <c r="Q13">
        <f>_xlfn.XLOOKUP(Products[[#This Row],[Wash Type]],Table9[Wash Type],Table9[Seconds])*Products[[#This Row],[Wash Factor]]</f>
        <v>0</v>
      </c>
      <c r="R13">
        <v>0</v>
      </c>
      <c r="S13">
        <v>0</v>
      </c>
      <c r="T13">
        <v>3</v>
      </c>
      <c r="U13">
        <v>0</v>
      </c>
      <c r="V13">
        <v>0</v>
      </c>
      <c r="W13">
        <f>MarketHaulTime/CratesPerMarketLoad/Products[[#This Row],[Per Crate]]</f>
        <v>5.625</v>
      </c>
      <c r="X13" t="s">
        <v>2482</v>
      </c>
      <c r="AY13">
        <f>Products[[#This Row],[CSA Portion]]*Products[[#This Row],[CSA Times]]</f>
        <v>0</v>
      </c>
      <c r="BA13">
        <f>Products[[#This Row],[CSA Need]]*Products[[#This Row],[Market Price]]</f>
        <v>0</v>
      </c>
    </row>
    <row r="14" spans="1:54" hidden="1">
      <c r="A14" t="str">
        <f>Products[[#This Row],[Crop]]&amp;Products[[#This Row],[Product]]&amp;Products[[#This Row],[Unit]]</f>
        <v>BeanFlowering TendrilStem</v>
      </c>
      <c r="B14" t="s">
        <v>44</v>
      </c>
      <c r="C14" t="s">
        <v>184</v>
      </c>
      <c r="D14" t="s">
        <v>213</v>
      </c>
      <c r="E14" t="b">
        <v>0</v>
      </c>
      <c r="F14" t="s">
        <v>474</v>
      </c>
      <c r="G14">
        <v>1</v>
      </c>
      <c r="H14">
        <v>50</v>
      </c>
      <c r="I14">
        <v>50</v>
      </c>
      <c r="J14" t="s">
        <v>2367</v>
      </c>
      <c r="K14">
        <f>_xlfn.XLOOKUP(Products[[#This Row],[Packing Container]],Containers[Container],Containers[Cost])</f>
        <v>4</v>
      </c>
      <c r="M14">
        <v>6</v>
      </c>
      <c r="N14">
        <f>IF(Products[[#This Row],[Unit]]="Bunch",10,0)</f>
        <v>0</v>
      </c>
      <c r="O14">
        <v>60</v>
      </c>
      <c r="P14">
        <f>CrateHaulTime/Products[[#This Row],[Per Crate]]</f>
        <v>1.8</v>
      </c>
      <c r="Q14">
        <f>_xlfn.XLOOKUP(Products[[#This Row],[Wash Type]],Table9[Wash Type],Table9[Seconds])*Products[[#This Row],[Wash Factor]]</f>
        <v>0</v>
      </c>
      <c r="R14">
        <v>0</v>
      </c>
      <c r="S14">
        <v>0</v>
      </c>
      <c r="T14">
        <v>3</v>
      </c>
      <c r="U14">
        <v>0</v>
      </c>
      <c r="V14">
        <v>0</v>
      </c>
      <c r="W14">
        <f>MarketHaulTime/CratesPerMarketLoad/Products[[#This Row],[Per Crate]]</f>
        <v>4.5</v>
      </c>
      <c r="X14" t="s">
        <v>2482</v>
      </c>
      <c r="AY14">
        <f>Products[[#This Row],[CSA Portion]]*Products[[#This Row],[CSA Times]]</f>
        <v>0</v>
      </c>
      <c r="BA14">
        <f>Products[[#This Row],[CSA Need]]*Products[[#This Row],[Market Price]]</f>
        <v>0</v>
      </c>
    </row>
    <row r="15" spans="1:54">
      <c r="A15" t="str">
        <f>Products[[#This Row],[Crop]]&amp;Products[[#This Row],[Product]]&amp;Products[[#This Row],[Unit]]</f>
        <v>BasilMature LeafBunch</v>
      </c>
      <c r="B15" t="s">
        <v>43</v>
      </c>
      <c r="C15" t="s">
        <v>179</v>
      </c>
      <c r="D15" t="s">
        <v>215</v>
      </c>
      <c r="E15" t="b">
        <v>1</v>
      </c>
      <c r="F15" t="s">
        <v>474</v>
      </c>
      <c r="G15">
        <v>1</v>
      </c>
      <c r="H15">
        <v>40</v>
      </c>
      <c r="I15">
        <v>40</v>
      </c>
      <c r="J15" t="s">
        <v>2368</v>
      </c>
      <c r="K15">
        <f>_xlfn.XLOOKUP(Products[[#This Row],[Packing Container]],Containers[Container],Containers[Cost])</f>
        <v>3.8</v>
      </c>
      <c r="L15">
        <v>2</v>
      </c>
      <c r="M15">
        <v>2</v>
      </c>
      <c r="N15">
        <f>IF(Products[[#This Row],[Unit]]="Bunch",10,0)</f>
        <v>10</v>
      </c>
      <c r="O15">
        <f>600/16</f>
        <v>37.5</v>
      </c>
      <c r="P15">
        <f>CrateHaulTime/Products[[#This Row],[Per Crate]]</f>
        <v>2.25</v>
      </c>
      <c r="Q15">
        <f>_xlfn.XLOOKUP(Products[[#This Row],[Wash Type]],Table9[Wash Type],Table9[Seconds])*Products[[#This Row],[Wash Factor]]</f>
        <v>0</v>
      </c>
      <c r="R15">
        <v>0</v>
      </c>
      <c r="S15">
        <v>0</v>
      </c>
      <c r="T15">
        <v>3</v>
      </c>
      <c r="U15">
        <v>0</v>
      </c>
      <c r="V15">
        <v>0</v>
      </c>
      <c r="W15">
        <f>MarketHaulTime/CratesPerMarketLoad/Products[[#This Row],[Per Crate]]</f>
        <v>5.625</v>
      </c>
      <c r="X15" t="s">
        <v>2484</v>
      </c>
      <c r="AG15" s="207"/>
      <c r="AH15" s="184"/>
      <c r="AI15" s="184"/>
      <c r="AJ15" s="184"/>
      <c r="AK15" s="184"/>
      <c r="AL15" s="184"/>
      <c r="AM15" s="184"/>
      <c r="AN15" s="184"/>
      <c r="AO15" s="207"/>
      <c r="AP15" s="184"/>
      <c r="AQ15" s="184"/>
      <c r="AR15" s="184"/>
      <c r="AW15">
        <v>1</v>
      </c>
      <c r="AX15">
        <v>4</v>
      </c>
      <c r="AY15">
        <f>Products[[#This Row],[CSA Portion]]*Products[[#This Row],[CSA Times]]</f>
        <v>4</v>
      </c>
      <c r="AZ15">
        <v>3</v>
      </c>
      <c r="BA15">
        <f>Products[[#This Row],[CSA Need]]*Products[[#This Row],[Market Price]]</f>
        <v>12</v>
      </c>
    </row>
    <row r="16" spans="1:54" hidden="1">
      <c r="A16" t="str">
        <f>Products[[#This Row],[Crop]]&amp;Products[[#This Row],[Product]]&amp;Products[[#This Row],[Unit]]</f>
        <v>BeetBaby RootBunch</v>
      </c>
      <c r="B16" t="s">
        <v>46</v>
      </c>
      <c r="C16" t="s">
        <v>1755</v>
      </c>
      <c r="D16" t="s">
        <v>215</v>
      </c>
      <c r="E16" t="b">
        <v>0</v>
      </c>
      <c r="F16" t="s">
        <v>443</v>
      </c>
      <c r="G16">
        <v>6</v>
      </c>
      <c r="H16">
        <v>24</v>
      </c>
      <c r="I16">
        <v>24</v>
      </c>
      <c r="J16" t="s">
        <v>2368</v>
      </c>
      <c r="K16">
        <f>_xlfn.XLOOKUP(Products[[#This Row],[Packing Container]],Containers[Container],Containers[Cost])</f>
        <v>3.8</v>
      </c>
      <c r="M16">
        <v>2</v>
      </c>
      <c r="N16">
        <f>IF(Products[[#This Row],[Unit]]="Bunch",10,0)</f>
        <v>10</v>
      </c>
      <c r="O16">
        <f>8*3</f>
        <v>24</v>
      </c>
      <c r="P16">
        <f>CrateHaulTime/Products[[#This Row],[Per Crate]]</f>
        <v>3.75</v>
      </c>
      <c r="Q16">
        <f>_xlfn.XLOOKUP(Products[[#This Row],[Wash Type]],Table9[Wash Type],Table9[Seconds])*Products[[#This Row],[Wash Factor]]</f>
        <v>30</v>
      </c>
      <c r="R16">
        <v>0</v>
      </c>
      <c r="S16">
        <v>10</v>
      </c>
      <c r="T16">
        <v>3</v>
      </c>
      <c r="U16">
        <v>0</v>
      </c>
      <c r="V16">
        <v>0</v>
      </c>
      <c r="W16">
        <f>MarketHaulTime/CratesPerMarketLoad/Products[[#This Row],[Per Crate]]</f>
        <v>9.375</v>
      </c>
      <c r="X16" t="s">
        <v>2482</v>
      </c>
      <c r="AY16">
        <f>Products[[#This Row],[CSA Portion]]*Products[[#This Row],[CSA Times]]</f>
        <v>0</v>
      </c>
      <c r="BA16">
        <f>Products[[#This Row],[CSA Need]]*Products[[#This Row],[Market Price]]</f>
        <v>0</v>
      </c>
    </row>
    <row r="17" spans="1:53">
      <c r="A17" t="str">
        <f>Products[[#This Row],[Crop]]&amp;Products[[#This Row],[Product]]&amp;Products[[#This Row],[Unit]]</f>
        <v>BeanYoung PodLb</v>
      </c>
      <c r="B17" t="s">
        <v>44</v>
      </c>
      <c r="C17" t="s">
        <v>183</v>
      </c>
      <c r="D17" t="s">
        <v>383</v>
      </c>
      <c r="E17" t="b">
        <v>1</v>
      </c>
      <c r="F17" t="s">
        <v>474</v>
      </c>
      <c r="G17">
        <v>1</v>
      </c>
      <c r="H17">
        <v>40</v>
      </c>
      <c r="I17">
        <v>25</v>
      </c>
      <c r="J17" t="s">
        <v>2368</v>
      </c>
      <c r="K17">
        <f>_xlfn.XLOOKUP(Products[[#This Row],[Packing Container]],Containers[Container],Containers[Cost])</f>
        <v>3.8</v>
      </c>
      <c r="L17">
        <v>4</v>
      </c>
      <c r="M17">
        <v>1</v>
      </c>
      <c r="N17">
        <f>IF(Products[[#This Row],[Unit]]="Bunch",10,0)</f>
        <v>0</v>
      </c>
      <c r="O17">
        <f>60*3</f>
        <v>180</v>
      </c>
      <c r="P17">
        <f>CrateHaulTime/Products[[#This Row],[Per Crate]]</f>
        <v>2.25</v>
      </c>
      <c r="Q17">
        <f>_xlfn.XLOOKUP(Products[[#This Row],[Wash Type]],Table9[Wash Type],Table9[Seconds])*Products[[#This Row],[Wash Factor]]</f>
        <v>0</v>
      </c>
      <c r="R17">
        <v>0</v>
      </c>
      <c r="S17">
        <v>0</v>
      </c>
      <c r="T17">
        <v>3</v>
      </c>
      <c r="U17">
        <v>0</v>
      </c>
      <c r="V17">
        <v>0</v>
      </c>
      <c r="W17">
        <f>MarketHaulTime/CratesPerMarketLoad/Products[[#This Row],[Per Crate]]</f>
        <v>5.625</v>
      </c>
      <c r="X17" t="s">
        <v>2484</v>
      </c>
      <c r="AE17" s="184"/>
      <c r="AF17" s="184"/>
      <c r="AG17" s="207"/>
      <c r="AH17" s="184"/>
      <c r="AI17" s="184"/>
      <c r="AJ17" s="184"/>
      <c r="AK17" s="184"/>
      <c r="AL17" s="184"/>
      <c r="AM17" s="184"/>
      <c r="AN17" s="184"/>
      <c r="AO17" s="207"/>
      <c r="AP17" s="184"/>
      <c r="AQ17" s="184"/>
      <c r="AR17" s="184"/>
      <c r="AW17">
        <v>0.5</v>
      </c>
      <c r="AX17">
        <v>3</v>
      </c>
      <c r="AY17">
        <f>Products[[#This Row],[CSA Portion]]*Products[[#This Row],[CSA Times]]</f>
        <v>1.5</v>
      </c>
      <c r="AZ17">
        <v>7</v>
      </c>
      <c r="BA17">
        <f>Products[[#This Row],[CSA Need]]*Products[[#This Row],[Market Price]]</f>
        <v>10.5</v>
      </c>
    </row>
    <row r="18" spans="1:53" hidden="1">
      <c r="A18" t="str">
        <f>Products[[#This Row],[Crop]]&amp;Products[[#This Row],[Product]]&amp;Products[[#This Row],[Unit]]</f>
        <v>Mustard GreensBaby LeafLb</v>
      </c>
      <c r="B18" t="s">
        <v>101</v>
      </c>
      <c r="C18" t="s">
        <v>182</v>
      </c>
      <c r="D18" t="s">
        <v>383</v>
      </c>
      <c r="E18" t="b">
        <v>1</v>
      </c>
      <c r="F18" t="s">
        <v>474</v>
      </c>
      <c r="G18">
        <v>1</v>
      </c>
      <c r="H18">
        <v>10</v>
      </c>
      <c r="I18">
        <v>10</v>
      </c>
      <c r="J18" t="s">
        <v>2368</v>
      </c>
      <c r="K18">
        <f>_xlfn.XLOOKUP(Products[[#This Row],[Packing Container]],Containers[Container],Containers[Cost])</f>
        <v>3.8</v>
      </c>
      <c r="L18">
        <v>0</v>
      </c>
      <c r="M18">
        <v>4</v>
      </c>
      <c r="N18">
        <f>IF(Products[[#This Row],[Unit]]="Bunch",10,0)</f>
        <v>0</v>
      </c>
      <c r="O18">
        <v>120</v>
      </c>
      <c r="P18">
        <f>CrateHaulTime/Products[[#This Row],[Per Crate]]</f>
        <v>9</v>
      </c>
      <c r="Q18">
        <f>_xlfn.XLOOKUP(Products[[#This Row],[Wash Type]],Table9[Wash Type],Table9[Seconds])*Products[[#This Row],[Wash Factor]]</f>
        <v>0</v>
      </c>
      <c r="R18">
        <v>0</v>
      </c>
      <c r="S18">
        <v>30</v>
      </c>
      <c r="T18">
        <v>3</v>
      </c>
      <c r="U18">
        <v>0</v>
      </c>
      <c r="V18">
        <v>0</v>
      </c>
      <c r="W18">
        <f>MarketHaulTime/CratesPerMarketLoad/Products[[#This Row],[Per Crate]]</f>
        <v>22.5</v>
      </c>
      <c r="X18" t="s">
        <v>2484</v>
      </c>
      <c r="Y18" s="184"/>
      <c r="Z18" s="184"/>
      <c r="AA18" s="184"/>
      <c r="AB18" s="184"/>
      <c r="AC18" s="184"/>
      <c r="AD18" s="184"/>
      <c r="AE18" s="184"/>
      <c r="AF18" s="184"/>
      <c r="AG18" s="207"/>
      <c r="AH18" s="184"/>
      <c r="AI18" s="184"/>
      <c r="AJ18" s="184"/>
      <c r="AK18" s="184"/>
      <c r="AL18" s="184"/>
      <c r="AM18" s="184"/>
      <c r="AN18" s="184"/>
      <c r="AO18" s="207"/>
      <c r="AP18" s="184"/>
      <c r="AQ18" s="184"/>
      <c r="AR18" s="184"/>
      <c r="AS18" s="184"/>
      <c r="AT18" s="184"/>
      <c r="AU18" s="184"/>
      <c r="AV18" s="184"/>
      <c r="AW18">
        <v>0.5</v>
      </c>
      <c r="AX18">
        <v>0</v>
      </c>
      <c r="AY18">
        <f>Products[[#This Row],[CSA Portion]]*Products[[#This Row],[CSA Times]]</f>
        <v>0</v>
      </c>
      <c r="BA18">
        <f>Products[[#This Row],[CSA Need]]*Products[[#This Row],[Market Price]]</f>
        <v>0</v>
      </c>
    </row>
    <row r="19" spans="1:53" hidden="1">
      <c r="A19" t="str">
        <f>Products[[#This Row],[Crop]]&amp;Products[[#This Row],[Product]]&amp;Products[[#This Row],[Unit]]</f>
        <v>BorageEdible BloomBloom</v>
      </c>
      <c r="B19" t="s">
        <v>48</v>
      </c>
      <c r="C19" t="s">
        <v>1746</v>
      </c>
      <c r="D19" t="s">
        <v>2357</v>
      </c>
      <c r="E19" t="b">
        <v>1</v>
      </c>
      <c r="F19" t="s">
        <v>474</v>
      </c>
      <c r="G19">
        <v>1</v>
      </c>
      <c r="H19">
        <f>100*3*3*4</f>
        <v>3600</v>
      </c>
      <c r="I19">
        <v>100</v>
      </c>
      <c r="J19" t="s">
        <v>2365</v>
      </c>
      <c r="K19">
        <f>_xlfn.XLOOKUP(Products[[#This Row],[Packing Container]],Containers[Container],Containers[Cost])</f>
        <v>0.65</v>
      </c>
      <c r="M19">
        <v>3</v>
      </c>
      <c r="N19">
        <f>IF(Products[[#This Row],[Unit]]="Bunch",10,0)</f>
        <v>0</v>
      </c>
      <c r="O19">
        <v>3</v>
      </c>
      <c r="P19">
        <f>CrateHaulTime/Products[[#This Row],[Per Crate]]</f>
        <v>2.5000000000000001E-2</v>
      </c>
      <c r="Q19">
        <f>_xlfn.XLOOKUP(Products[[#This Row],[Wash Type]],Table9[Wash Type],Table9[Seconds])*Products[[#This Row],[Wash Factor]]</f>
        <v>0</v>
      </c>
      <c r="R19">
        <v>0</v>
      </c>
      <c r="S19">
        <v>0</v>
      </c>
      <c r="T19">
        <v>3</v>
      </c>
      <c r="U19">
        <v>0</v>
      </c>
      <c r="V19">
        <v>0</v>
      </c>
      <c r="W19">
        <f>MarketHaulTime/CratesPerMarketLoad/Products[[#This Row],[Per Crate]]</f>
        <v>6.25E-2</v>
      </c>
      <c r="X19" t="s">
        <v>2482</v>
      </c>
      <c r="AY19">
        <f>Products[[#This Row],[CSA Portion]]*Products[[#This Row],[CSA Times]]</f>
        <v>0</v>
      </c>
      <c r="BA19">
        <f>Products[[#This Row],[CSA Need]]*Products[[#This Row],[Market Price]]</f>
        <v>0</v>
      </c>
    </row>
    <row r="20" spans="1:53" hidden="1">
      <c r="A20" t="str">
        <f>Products[[#This Row],[Crop]]&amp;Products[[#This Row],[Product]]&amp;Products[[#This Row],[Unit]]</f>
        <v>BorageMature StemStem</v>
      </c>
      <c r="B20" t="s">
        <v>48</v>
      </c>
      <c r="C20" t="s">
        <v>181</v>
      </c>
      <c r="D20" t="s">
        <v>213</v>
      </c>
      <c r="E20" t="b">
        <v>1</v>
      </c>
      <c r="F20" t="s">
        <v>474</v>
      </c>
      <c r="G20">
        <v>1</v>
      </c>
      <c r="H20">
        <v>30</v>
      </c>
      <c r="I20">
        <v>30</v>
      </c>
      <c r="J20" t="s">
        <v>2367</v>
      </c>
      <c r="K20">
        <f>_xlfn.XLOOKUP(Products[[#This Row],[Packing Container]],Containers[Container],Containers[Cost])</f>
        <v>4</v>
      </c>
      <c r="M20">
        <v>3</v>
      </c>
      <c r="N20">
        <f>IF(Products[[#This Row],[Unit]]="Bunch",10,0)</f>
        <v>0</v>
      </c>
      <c r="O20">
        <v>10</v>
      </c>
      <c r="P20">
        <f>CrateHaulTime/Products[[#This Row],[Per Crate]]</f>
        <v>3</v>
      </c>
      <c r="Q20">
        <f>_xlfn.XLOOKUP(Products[[#This Row],[Wash Type]],Table9[Wash Type],Table9[Seconds])*Products[[#This Row],[Wash Factor]]</f>
        <v>0</v>
      </c>
      <c r="R20">
        <v>0</v>
      </c>
      <c r="S20">
        <v>5</v>
      </c>
      <c r="T20">
        <v>3</v>
      </c>
      <c r="U20">
        <v>0</v>
      </c>
      <c r="V20">
        <v>0</v>
      </c>
      <c r="W20">
        <f>MarketHaulTime/CratesPerMarketLoad/Products[[#This Row],[Per Crate]]</f>
        <v>7.5</v>
      </c>
      <c r="X20" t="s">
        <v>2482</v>
      </c>
      <c r="AY20">
        <f>Products[[#This Row],[CSA Portion]]*Products[[#This Row],[CSA Times]]</f>
        <v>0</v>
      </c>
      <c r="BA20">
        <f>Products[[#This Row],[CSA Need]]*Products[[#This Row],[Market Price]]</f>
        <v>0</v>
      </c>
    </row>
    <row r="21" spans="1:53" hidden="1">
      <c r="A21" t="str">
        <f>Products[[#This Row],[Crop]]&amp;Products[[#This Row],[Product]]&amp;Products[[#This Row],[Unit]]</f>
        <v>BroccoliMature HeadHead</v>
      </c>
      <c r="B21" t="s">
        <v>49</v>
      </c>
      <c r="C21" t="s">
        <v>186</v>
      </c>
      <c r="D21" t="s">
        <v>214</v>
      </c>
      <c r="E21" t="b">
        <v>1</v>
      </c>
      <c r="F21" t="s">
        <v>474</v>
      </c>
      <c r="G21">
        <v>1</v>
      </c>
      <c r="H21">
        <v>12</v>
      </c>
      <c r="I21">
        <v>12</v>
      </c>
      <c r="J21" t="s">
        <v>2368</v>
      </c>
      <c r="K21">
        <f>_xlfn.XLOOKUP(Products[[#This Row],[Packing Container]],Containers[Container],Containers[Cost])</f>
        <v>3.8</v>
      </c>
      <c r="M21">
        <v>2</v>
      </c>
      <c r="N21">
        <f>IF(Products[[#This Row],[Unit]]="Bunch",10,0)</f>
        <v>0</v>
      </c>
      <c r="O21">
        <v>10</v>
      </c>
      <c r="P21">
        <f>CrateHaulTime/Products[[#This Row],[Per Crate]]</f>
        <v>7.5</v>
      </c>
      <c r="Q21">
        <f>_xlfn.XLOOKUP(Products[[#This Row],[Wash Type]],Table9[Wash Type],Table9[Seconds])*Products[[#This Row],[Wash Factor]]</f>
        <v>0</v>
      </c>
      <c r="R21">
        <v>10</v>
      </c>
      <c r="S21">
        <v>3</v>
      </c>
      <c r="T21">
        <v>3</v>
      </c>
      <c r="U21">
        <v>0</v>
      </c>
      <c r="V21">
        <v>0</v>
      </c>
      <c r="W21">
        <f>MarketHaulTime/CratesPerMarketLoad/Products[[#This Row],[Per Crate]]</f>
        <v>18.75</v>
      </c>
      <c r="X21" t="s">
        <v>2483</v>
      </c>
      <c r="Y21" s="184"/>
      <c r="Z21" s="184"/>
      <c r="AA21" s="184"/>
      <c r="AB21" s="184"/>
      <c r="AC21" s="184"/>
      <c r="AD21" s="184"/>
      <c r="AE21" s="184"/>
      <c r="AF21" s="184"/>
      <c r="AG21" s="207"/>
      <c r="AH21" s="184"/>
      <c r="AI21" s="184"/>
      <c r="AJ21" s="184"/>
      <c r="AK21" s="184"/>
      <c r="AL21" s="184"/>
      <c r="AM21" s="184"/>
      <c r="AN21" s="184"/>
      <c r="AO21" s="207"/>
      <c r="AP21" s="184"/>
      <c r="AQ21" s="184"/>
      <c r="AR21" s="184"/>
      <c r="AS21" s="184"/>
      <c r="AT21" s="184"/>
      <c r="AU21" s="184"/>
      <c r="AV21" s="184"/>
      <c r="AY21">
        <f>Products[[#This Row],[CSA Portion]]*Products[[#This Row],[CSA Times]]</f>
        <v>0</v>
      </c>
      <c r="BA21">
        <f>Products[[#This Row],[CSA Need]]*Products[[#This Row],[Market Price]]</f>
        <v>0</v>
      </c>
    </row>
    <row r="22" spans="1:53" hidden="1">
      <c r="A22" t="str">
        <f>Products[[#This Row],[Crop]]&amp;Products[[#This Row],[Product]]&amp;Products[[#This Row],[Unit]]</f>
        <v>Brussel SproutsMature Sproutslb</v>
      </c>
      <c r="B22" t="s">
        <v>50</v>
      </c>
      <c r="C22" t="s">
        <v>399</v>
      </c>
      <c r="D22" t="s">
        <v>397</v>
      </c>
      <c r="E22" t="b">
        <v>1</v>
      </c>
      <c r="F22" t="s">
        <v>474</v>
      </c>
      <c r="G22">
        <v>1</v>
      </c>
      <c r="H22">
        <v>40</v>
      </c>
      <c r="I22">
        <v>30</v>
      </c>
      <c r="J22" t="s">
        <v>2368</v>
      </c>
      <c r="K22">
        <f>_xlfn.XLOOKUP(Products[[#This Row],[Packing Container]],Containers[Container],Containers[Cost])</f>
        <v>3.8</v>
      </c>
      <c r="M22">
        <v>2</v>
      </c>
      <c r="N22">
        <f>IF(Products[[#This Row],[Unit]]="Bunch",10,0)</f>
        <v>0</v>
      </c>
      <c r="O22">
        <v>20</v>
      </c>
      <c r="P22">
        <f>CrateHaulTime/Products[[#This Row],[Per Crate]]</f>
        <v>2.25</v>
      </c>
      <c r="Q22">
        <f>_xlfn.XLOOKUP(Products[[#This Row],[Wash Type]],Table9[Wash Type],Table9[Seconds])*Products[[#This Row],[Wash Factor]]</f>
        <v>0</v>
      </c>
      <c r="R22">
        <v>0</v>
      </c>
      <c r="S22">
        <v>0</v>
      </c>
      <c r="T22">
        <v>3</v>
      </c>
      <c r="U22">
        <v>0</v>
      </c>
      <c r="V22">
        <v>0</v>
      </c>
      <c r="W22">
        <f>MarketHaulTime/CratesPerMarketLoad/Products[[#This Row],[Per Crate]]</f>
        <v>5.625</v>
      </c>
      <c r="X22" t="s">
        <v>2483</v>
      </c>
      <c r="AG22" s="207"/>
      <c r="AO22" s="207"/>
      <c r="AS22" s="184"/>
      <c r="AT22" s="184"/>
      <c r="AU22" s="184"/>
      <c r="AV22" s="184"/>
      <c r="AY22">
        <f>Products[[#This Row],[CSA Portion]]*Products[[#This Row],[CSA Times]]</f>
        <v>0</v>
      </c>
      <c r="BA22">
        <f>Products[[#This Row],[CSA Need]]*Products[[#This Row],[Market Price]]</f>
        <v>0</v>
      </c>
    </row>
    <row r="23" spans="1:53" hidden="1">
      <c r="A23" t="str">
        <f>Products[[#This Row],[Crop]]&amp;Products[[#This Row],[Product]]&amp;Products[[#This Row],[Unit]]</f>
        <v>BuckwheatFlowering StemStem</v>
      </c>
      <c r="B23" t="s">
        <v>348</v>
      </c>
      <c r="C23" t="s">
        <v>1789</v>
      </c>
      <c r="D23" t="s">
        <v>213</v>
      </c>
      <c r="E23" t="b">
        <v>0</v>
      </c>
      <c r="F23" t="s">
        <v>474</v>
      </c>
      <c r="G23">
        <v>1</v>
      </c>
      <c r="H23">
        <v>80</v>
      </c>
      <c r="I23">
        <v>80</v>
      </c>
      <c r="J23" t="s">
        <v>2367</v>
      </c>
      <c r="K23">
        <f>_xlfn.XLOOKUP(Products[[#This Row],[Packing Container]],Containers[Container],Containers[Cost])</f>
        <v>4</v>
      </c>
      <c r="M23">
        <v>6</v>
      </c>
      <c r="N23">
        <f>IF(Products[[#This Row],[Unit]]="Bunch",10,0)</f>
        <v>0</v>
      </c>
      <c r="O23">
        <v>5</v>
      </c>
      <c r="P23">
        <f>CrateHaulTime/Products[[#This Row],[Per Crate]]</f>
        <v>1.125</v>
      </c>
      <c r="Q23">
        <f>_xlfn.XLOOKUP(Products[[#This Row],[Wash Type]],Table9[Wash Type],Table9[Seconds])*Products[[#This Row],[Wash Factor]]</f>
        <v>0</v>
      </c>
      <c r="R23">
        <v>0</v>
      </c>
      <c r="S23">
        <v>3</v>
      </c>
      <c r="T23">
        <v>3</v>
      </c>
      <c r="U23">
        <v>0</v>
      </c>
      <c r="V23">
        <v>0</v>
      </c>
      <c r="W23">
        <f>MarketHaulTime/CratesPerMarketLoad/Products[[#This Row],[Per Crate]]</f>
        <v>2.8125</v>
      </c>
      <c r="X23" t="s">
        <v>2482</v>
      </c>
      <c r="AY23">
        <f>Products[[#This Row],[CSA Portion]]*Products[[#This Row],[CSA Times]]</f>
        <v>0</v>
      </c>
      <c r="BA23">
        <f>Products[[#This Row],[CSA Need]]*Products[[#This Row],[Market Price]]</f>
        <v>0</v>
      </c>
    </row>
    <row r="24" spans="1:53" hidden="1">
      <c r="A24" t="str">
        <f>Products[[#This Row],[Crop]]&amp;Products[[#This Row],[Product]]&amp;Products[[#This Row],[Unit]]</f>
        <v>BupleurumMature StemStem</v>
      </c>
      <c r="B24" t="s">
        <v>1763</v>
      </c>
      <c r="C24" t="s">
        <v>181</v>
      </c>
      <c r="D24" t="s">
        <v>213</v>
      </c>
      <c r="E24" t="b">
        <v>1</v>
      </c>
      <c r="F24" t="s">
        <v>474</v>
      </c>
      <c r="G24">
        <v>1</v>
      </c>
      <c r="H24">
        <v>50</v>
      </c>
      <c r="I24">
        <v>50</v>
      </c>
      <c r="J24" t="s">
        <v>2367</v>
      </c>
      <c r="K24">
        <f>_xlfn.XLOOKUP(Products[[#This Row],[Packing Container]],Containers[Container],Containers[Cost])</f>
        <v>4</v>
      </c>
      <c r="M24">
        <v>6</v>
      </c>
      <c r="N24">
        <f>IF(Products[[#This Row],[Unit]]="Bunch",10,0)</f>
        <v>0</v>
      </c>
      <c r="O24">
        <v>15</v>
      </c>
      <c r="P24">
        <f>CrateHaulTime/Products[[#This Row],[Per Crate]]</f>
        <v>1.8</v>
      </c>
      <c r="Q24">
        <f>_xlfn.XLOOKUP(Products[[#This Row],[Wash Type]],Table9[Wash Type],Table9[Seconds])*Products[[#This Row],[Wash Factor]]</f>
        <v>0</v>
      </c>
      <c r="R24">
        <v>0</v>
      </c>
      <c r="S24">
        <v>3</v>
      </c>
      <c r="T24">
        <v>3</v>
      </c>
      <c r="U24">
        <v>0</v>
      </c>
      <c r="V24">
        <v>0</v>
      </c>
      <c r="W24">
        <f>MarketHaulTime/CratesPerMarketLoad/Products[[#This Row],[Per Crate]]</f>
        <v>4.5</v>
      </c>
      <c r="X24" t="s">
        <v>2482</v>
      </c>
      <c r="AY24">
        <f>Products[[#This Row],[CSA Portion]]*Products[[#This Row],[CSA Times]]</f>
        <v>0</v>
      </c>
      <c r="BA24">
        <f>Products[[#This Row],[CSA Need]]*Products[[#This Row],[Market Price]]</f>
        <v>0</v>
      </c>
    </row>
    <row r="25" spans="1:53" hidden="1">
      <c r="A25" t="str">
        <f>Products[[#This Row],[Crop]]&amp;Products[[#This Row],[Product]]&amp;Products[[#This Row],[Unit]]</f>
        <v>Butterfly FlowersFlowering TendrilStem</v>
      </c>
      <c r="B25" t="s">
        <v>51</v>
      </c>
      <c r="C25" t="s">
        <v>184</v>
      </c>
      <c r="D25" t="s">
        <v>213</v>
      </c>
      <c r="E25" t="b">
        <v>0</v>
      </c>
      <c r="F25" t="s">
        <v>474</v>
      </c>
      <c r="G25">
        <v>1</v>
      </c>
      <c r="H25">
        <v>50</v>
      </c>
      <c r="I25">
        <v>50</v>
      </c>
      <c r="J25" t="s">
        <v>2367</v>
      </c>
      <c r="K25">
        <f>_xlfn.XLOOKUP(Products[[#This Row],[Packing Container]],Containers[Container],Containers[Cost])</f>
        <v>4</v>
      </c>
      <c r="M25">
        <v>6</v>
      </c>
      <c r="N25">
        <f>IF(Products[[#This Row],[Unit]]="Bunch",10,0)</f>
        <v>0</v>
      </c>
      <c r="O25">
        <v>60</v>
      </c>
      <c r="P25">
        <f>CrateHaulTime/Products[[#This Row],[Per Crate]]</f>
        <v>1.8</v>
      </c>
      <c r="Q25">
        <f>_xlfn.XLOOKUP(Products[[#This Row],[Wash Type]],Table9[Wash Type],Table9[Seconds])*Products[[#This Row],[Wash Factor]]</f>
        <v>0</v>
      </c>
      <c r="R25">
        <v>0</v>
      </c>
      <c r="S25">
        <v>0</v>
      </c>
      <c r="T25">
        <v>3</v>
      </c>
      <c r="U25">
        <v>0</v>
      </c>
      <c r="V25">
        <v>0</v>
      </c>
      <c r="W25">
        <f>MarketHaulTime/CratesPerMarketLoad/Products[[#This Row],[Per Crate]]</f>
        <v>4.5</v>
      </c>
      <c r="X25" t="s">
        <v>2482</v>
      </c>
      <c r="AY25">
        <f>Products[[#This Row],[CSA Portion]]*Products[[#This Row],[CSA Times]]</f>
        <v>0</v>
      </c>
      <c r="BA25">
        <f>Products[[#This Row],[CSA Need]]*Products[[#This Row],[Market Price]]</f>
        <v>0</v>
      </c>
    </row>
    <row r="26" spans="1:53">
      <c r="A26" t="str">
        <f>Products[[#This Row],[Crop]]&amp;Products[[#This Row],[Product]]&amp;Products[[#This Row],[Unit]]</f>
        <v>BeetMature RootBunch</v>
      </c>
      <c r="B26" t="s">
        <v>46</v>
      </c>
      <c r="C26" t="s">
        <v>185</v>
      </c>
      <c r="D26" t="s">
        <v>215</v>
      </c>
      <c r="E26" t="b">
        <v>1</v>
      </c>
      <c r="F26" t="s">
        <v>443</v>
      </c>
      <c r="G26">
        <v>3</v>
      </c>
      <c r="H26">
        <v>24</v>
      </c>
      <c r="I26">
        <v>24</v>
      </c>
      <c r="J26" t="s">
        <v>2368</v>
      </c>
      <c r="K26">
        <f>_xlfn.XLOOKUP(Products[[#This Row],[Packing Container]],Containers[Container],Containers[Cost])</f>
        <v>3.8</v>
      </c>
      <c r="L26">
        <v>7</v>
      </c>
      <c r="M26">
        <v>6</v>
      </c>
      <c r="N26">
        <f>IF(Products[[#This Row],[Unit]]="Bunch",10,0)</f>
        <v>10</v>
      </c>
      <c r="O26">
        <v>10</v>
      </c>
      <c r="P26">
        <f>CrateHaulTime/Products[[#This Row],[Per Crate]]</f>
        <v>3.75</v>
      </c>
      <c r="Q26">
        <f>_xlfn.XLOOKUP(Products[[#This Row],[Wash Type]],Table9[Wash Type],Table9[Seconds])*Products[[#This Row],[Wash Factor]]</f>
        <v>15</v>
      </c>
      <c r="R26">
        <v>0</v>
      </c>
      <c r="S26">
        <v>10</v>
      </c>
      <c r="T26">
        <v>3</v>
      </c>
      <c r="U26">
        <v>0</v>
      </c>
      <c r="V26">
        <v>0</v>
      </c>
      <c r="W26">
        <f>MarketHaulTime/CratesPerMarketLoad/Products[[#This Row],[Per Crate]]</f>
        <v>9.375</v>
      </c>
      <c r="X26" t="s">
        <v>2484</v>
      </c>
      <c r="AE26" s="184"/>
      <c r="AF26" s="184"/>
      <c r="AG26" s="207"/>
      <c r="AH26" s="184"/>
      <c r="AI26" s="184"/>
      <c r="AJ26" s="184"/>
      <c r="AK26" s="184"/>
      <c r="AL26" s="184"/>
      <c r="AM26" s="184"/>
      <c r="AN26" s="184"/>
      <c r="AO26" s="207"/>
      <c r="AP26" s="184"/>
      <c r="AQ26" s="184"/>
      <c r="AR26" s="184"/>
      <c r="AS26" s="184"/>
      <c r="AT26" s="184"/>
      <c r="AU26" s="184"/>
      <c r="AV26" s="184"/>
      <c r="AW26">
        <v>1</v>
      </c>
      <c r="AX26">
        <v>3</v>
      </c>
      <c r="AY26">
        <f>Products[[#This Row],[CSA Portion]]*Products[[#This Row],[CSA Times]]</f>
        <v>3</v>
      </c>
      <c r="AZ26">
        <v>4</v>
      </c>
      <c r="BA26">
        <f>Products[[#This Row],[CSA Need]]*Products[[#This Row],[Market Price]]</f>
        <v>12</v>
      </c>
    </row>
    <row r="27" spans="1:53">
      <c r="A27" t="str">
        <f>Products[[#This Row],[Crop]]&amp;Products[[#This Row],[Product]]&amp;Products[[#This Row],[Unit]]</f>
        <v>Bok ChoyMature HeadHead</v>
      </c>
      <c r="B27" t="s">
        <v>47</v>
      </c>
      <c r="C27" t="s">
        <v>186</v>
      </c>
      <c r="D27" t="s">
        <v>214</v>
      </c>
      <c r="E27" t="b">
        <v>1</v>
      </c>
      <c r="F27" t="s">
        <v>474</v>
      </c>
      <c r="G27">
        <v>1</v>
      </c>
      <c r="H27">
        <v>24</v>
      </c>
      <c r="I27">
        <v>24</v>
      </c>
      <c r="J27" t="s">
        <v>2368</v>
      </c>
      <c r="K27">
        <f>_xlfn.XLOOKUP(Products[[#This Row],[Packing Container]],Containers[Container],Containers[Cost])</f>
        <v>3.8</v>
      </c>
      <c r="L27">
        <v>7</v>
      </c>
      <c r="M27">
        <v>2</v>
      </c>
      <c r="N27">
        <f>IF(Products[[#This Row],[Unit]]="Bunch",10,0)</f>
        <v>0</v>
      </c>
      <c r="O27">
        <v>5</v>
      </c>
      <c r="P27">
        <f>CrateHaulTime/Products[[#This Row],[Per Crate]]</f>
        <v>3.75</v>
      </c>
      <c r="Q27">
        <f>_xlfn.XLOOKUP(Products[[#This Row],[Wash Type]],Table9[Wash Type],Table9[Seconds])*Products[[#This Row],[Wash Factor]]</f>
        <v>0</v>
      </c>
      <c r="R27">
        <v>10</v>
      </c>
      <c r="S27">
        <v>10</v>
      </c>
      <c r="T27">
        <v>3</v>
      </c>
      <c r="U27">
        <v>0</v>
      </c>
      <c r="V27">
        <v>0</v>
      </c>
      <c r="W27">
        <f>MarketHaulTime/CratesPerMarketLoad/Products[[#This Row],[Per Crate]]</f>
        <v>9.375</v>
      </c>
      <c r="X27" t="s">
        <v>2484</v>
      </c>
      <c r="Y27" s="184"/>
      <c r="Z27" s="184"/>
      <c r="AA27" s="184"/>
      <c r="AB27" s="184"/>
      <c r="AC27" s="184"/>
      <c r="AD27" s="184"/>
      <c r="AE27" s="184"/>
      <c r="AF27" s="184"/>
      <c r="AG27" s="207"/>
      <c r="AH27" s="184"/>
      <c r="AI27" s="184"/>
      <c r="AJ27" s="184"/>
      <c r="AK27" s="184"/>
      <c r="AL27" s="184"/>
      <c r="AM27" s="184"/>
      <c r="AN27" s="184"/>
      <c r="AO27" s="207"/>
      <c r="AP27" s="184"/>
      <c r="AQ27" s="184"/>
      <c r="AR27" s="184"/>
      <c r="AS27" s="184"/>
      <c r="AT27" s="184"/>
      <c r="AU27" s="184"/>
      <c r="AV27" s="184"/>
      <c r="AW27">
        <v>1</v>
      </c>
      <c r="AX27">
        <v>1</v>
      </c>
      <c r="AY27">
        <f>Products[[#This Row],[CSA Portion]]*Products[[#This Row],[CSA Times]]</f>
        <v>1</v>
      </c>
      <c r="AZ27">
        <v>3</v>
      </c>
      <c r="BA27">
        <f>Products[[#This Row],[CSA Need]]*Products[[#This Row],[Market Price]]</f>
        <v>3</v>
      </c>
    </row>
    <row r="28" spans="1:53">
      <c r="A28" t="str">
        <f>Products[[#This Row],[Crop]]&amp;Products[[#This Row],[Product]]&amp;Products[[#This Row],[Unit]]</f>
        <v>CabbageLarge HeadHead</v>
      </c>
      <c r="B28" t="s">
        <v>52</v>
      </c>
      <c r="C28" t="s">
        <v>2360</v>
      </c>
      <c r="D28" t="s">
        <v>214</v>
      </c>
      <c r="E28" t="b">
        <v>1</v>
      </c>
      <c r="F28" t="s">
        <v>2385</v>
      </c>
      <c r="G28">
        <v>1</v>
      </c>
      <c r="H28">
        <v>8</v>
      </c>
      <c r="I28">
        <v>8</v>
      </c>
      <c r="J28" t="s">
        <v>2368</v>
      </c>
      <c r="K28">
        <f>_xlfn.XLOOKUP(Products[[#This Row],[Packing Container]],Containers[Container],Containers[Cost])</f>
        <v>3.8</v>
      </c>
      <c r="L28">
        <v>45</v>
      </c>
      <c r="M28">
        <v>2</v>
      </c>
      <c r="N28">
        <f>IF(Products[[#This Row],[Unit]]="Bunch",10,0)</f>
        <v>0</v>
      </c>
      <c r="O28">
        <v>10</v>
      </c>
      <c r="P28">
        <f>CrateHaulTime/Products[[#This Row],[Per Crate]]</f>
        <v>11.25</v>
      </c>
      <c r="Q28">
        <f>_xlfn.XLOOKUP(Products[[#This Row],[Wash Type]],Table9[Wash Type],Table9[Seconds])*Products[[#This Row],[Wash Factor]]</f>
        <v>5</v>
      </c>
      <c r="R28">
        <v>0</v>
      </c>
      <c r="S28">
        <v>10</v>
      </c>
      <c r="T28">
        <v>3</v>
      </c>
      <c r="U28">
        <v>0</v>
      </c>
      <c r="V28">
        <v>0</v>
      </c>
      <c r="W28">
        <f>MarketHaulTime/CratesPerMarketLoad/Products[[#This Row],[Per Crate]]</f>
        <v>28.125</v>
      </c>
      <c r="X28" t="s">
        <v>2484</v>
      </c>
      <c r="Y28" s="184"/>
      <c r="Z28" s="184"/>
      <c r="AA28" s="184"/>
      <c r="AB28" s="184"/>
      <c r="AC28" s="184"/>
      <c r="AD28" s="184"/>
      <c r="AE28" s="184"/>
      <c r="AF28" s="184"/>
      <c r="AG28" s="207"/>
      <c r="AH28" s="184"/>
      <c r="AI28" s="184"/>
      <c r="AJ28" s="184"/>
      <c r="AK28" s="184"/>
      <c r="AL28" s="184"/>
      <c r="AM28" s="184"/>
      <c r="AN28" s="184"/>
      <c r="AO28" s="207"/>
      <c r="AP28" s="184"/>
      <c r="AQ28" s="184"/>
      <c r="AR28" s="184"/>
      <c r="AS28" s="184"/>
      <c r="AT28" s="184"/>
      <c r="AU28" s="184"/>
      <c r="AV28" s="184"/>
      <c r="AW28">
        <v>1</v>
      </c>
      <c r="AX28">
        <v>2</v>
      </c>
      <c r="AY28">
        <f>Products[[#This Row],[CSA Portion]]*Products[[#This Row],[CSA Times]]</f>
        <v>2</v>
      </c>
      <c r="AZ28">
        <f>1.5*6</f>
        <v>9</v>
      </c>
      <c r="BA28">
        <f>Products[[#This Row],[CSA Need]]*Products[[#This Row],[Market Price]]</f>
        <v>18</v>
      </c>
    </row>
    <row r="29" spans="1:53">
      <c r="A29" t="str">
        <f>Products[[#This Row],[Crop]]&amp;Products[[#This Row],[Product]]&amp;Products[[#This Row],[Unit]]</f>
        <v>CabbageSmall HeadHead</v>
      </c>
      <c r="B29" t="s">
        <v>52</v>
      </c>
      <c r="C29" t="s">
        <v>2361</v>
      </c>
      <c r="D29" t="s">
        <v>214</v>
      </c>
      <c r="E29" t="b">
        <v>1</v>
      </c>
      <c r="F29" t="s">
        <v>2385</v>
      </c>
      <c r="G29">
        <v>1</v>
      </c>
      <c r="H29">
        <v>8</v>
      </c>
      <c r="I29">
        <v>12</v>
      </c>
      <c r="J29" t="s">
        <v>2368</v>
      </c>
      <c r="K29">
        <f>_xlfn.XLOOKUP(Products[[#This Row],[Packing Container]],Containers[Container],Containers[Cost])</f>
        <v>3.8</v>
      </c>
      <c r="L29">
        <v>25</v>
      </c>
      <c r="M29">
        <v>2</v>
      </c>
      <c r="N29">
        <f>IF(Products[[#This Row],[Unit]]="Bunch",10,0)</f>
        <v>0</v>
      </c>
      <c r="O29">
        <v>8</v>
      </c>
      <c r="P29">
        <f>CrateHaulTime/Products[[#This Row],[Per Crate]]</f>
        <v>11.25</v>
      </c>
      <c r="Q29">
        <f>_xlfn.XLOOKUP(Products[[#This Row],[Wash Type]],Table9[Wash Type],Table9[Seconds])*Products[[#This Row],[Wash Factor]]</f>
        <v>5</v>
      </c>
      <c r="R29">
        <v>0</v>
      </c>
      <c r="S29">
        <v>10</v>
      </c>
      <c r="T29">
        <v>3</v>
      </c>
      <c r="U29">
        <v>0</v>
      </c>
      <c r="V29">
        <v>0</v>
      </c>
      <c r="W29">
        <f>MarketHaulTime/CratesPerMarketLoad/Products[[#This Row],[Per Crate]]</f>
        <v>28.125</v>
      </c>
      <c r="X29" t="s">
        <v>2484</v>
      </c>
      <c r="Y29" s="184"/>
      <c r="Z29" s="184"/>
      <c r="AA29" s="184"/>
      <c r="AB29" s="184"/>
      <c r="AC29" s="184"/>
      <c r="AD29" s="184"/>
      <c r="AE29" s="184"/>
      <c r="AF29" s="184"/>
      <c r="AG29" s="207"/>
      <c r="AH29" s="184"/>
      <c r="AI29" s="184"/>
      <c r="AJ29" s="184"/>
      <c r="AK29" s="184"/>
      <c r="AL29" s="184"/>
      <c r="AM29" s="184"/>
      <c r="AN29" s="184"/>
      <c r="AO29" s="207"/>
      <c r="AP29" s="184"/>
      <c r="AQ29" s="184"/>
      <c r="AR29" s="184"/>
      <c r="AS29" s="184"/>
      <c r="AT29" s="184"/>
      <c r="AU29" s="184"/>
      <c r="AV29" s="184"/>
      <c r="AW29">
        <v>1</v>
      </c>
      <c r="AX29">
        <v>1</v>
      </c>
      <c r="AY29">
        <f>Products[[#This Row],[CSA Portion]]*Products[[#This Row],[CSA Times]]</f>
        <v>1</v>
      </c>
      <c r="AZ29">
        <f>2*1.25</f>
        <v>2.5</v>
      </c>
      <c r="BA29">
        <f>Products[[#This Row],[CSA Need]]*Products[[#This Row],[Market Price]]</f>
        <v>2.5</v>
      </c>
    </row>
    <row r="30" spans="1:53">
      <c r="A30" t="str">
        <f>Products[[#This Row],[Crop]]&amp;Products[[#This Row],[Product]]&amp;Products[[#This Row],[Unit]]</f>
        <v>CarrotMature RootBunch</v>
      </c>
      <c r="B30" t="s">
        <v>53</v>
      </c>
      <c r="C30" t="s">
        <v>185</v>
      </c>
      <c r="D30" t="s">
        <v>215</v>
      </c>
      <c r="E30" t="b">
        <v>1</v>
      </c>
      <c r="F30" t="s">
        <v>443</v>
      </c>
      <c r="G30">
        <v>5</v>
      </c>
      <c r="H30">
        <v>24</v>
      </c>
      <c r="I30">
        <v>24</v>
      </c>
      <c r="J30" t="s">
        <v>2368</v>
      </c>
      <c r="K30">
        <f>_xlfn.XLOOKUP(Products[[#This Row],[Packing Container]],Containers[Container],Containers[Cost])</f>
        <v>3.8</v>
      </c>
      <c r="L30">
        <v>7</v>
      </c>
      <c r="M30">
        <v>1</v>
      </c>
      <c r="N30">
        <f>IF(Products[[#This Row],[Unit]]="Bunch",10,0)</f>
        <v>10</v>
      </c>
      <c r="O30">
        <v>20</v>
      </c>
      <c r="P30">
        <f>CrateHaulTime/Products[[#This Row],[Per Crate]]</f>
        <v>3.75</v>
      </c>
      <c r="Q30">
        <f>_xlfn.XLOOKUP(Products[[#This Row],[Wash Type]],Table9[Wash Type],Table9[Seconds])*Products[[#This Row],[Wash Factor]]</f>
        <v>25</v>
      </c>
      <c r="R30">
        <v>0</v>
      </c>
      <c r="S30">
        <v>5</v>
      </c>
      <c r="T30">
        <v>3</v>
      </c>
      <c r="U30">
        <v>0</v>
      </c>
      <c r="V30">
        <v>0</v>
      </c>
      <c r="W30">
        <f>MarketHaulTime/CratesPerMarketLoad/Products[[#This Row],[Per Crate]]</f>
        <v>9.375</v>
      </c>
      <c r="X30" t="s">
        <v>2484</v>
      </c>
      <c r="AG30" s="207"/>
      <c r="AH30" s="184"/>
      <c r="AI30" s="184"/>
      <c r="AJ30" s="184"/>
      <c r="AK30" s="184"/>
      <c r="AL30" s="184"/>
      <c r="AM30" s="184"/>
      <c r="AN30" s="184"/>
      <c r="AO30" s="207"/>
      <c r="AP30" s="184"/>
      <c r="AQ30" s="184"/>
      <c r="AR30" s="184"/>
      <c r="AS30" s="184"/>
      <c r="AT30" s="184"/>
      <c r="AU30" s="184"/>
      <c r="AV30" s="184"/>
      <c r="AW30">
        <v>1</v>
      </c>
      <c r="AX30">
        <v>6</v>
      </c>
      <c r="AY30">
        <f>Products[[#This Row],[CSA Portion]]*Products[[#This Row],[CSA Times]]</f>
        <v>6</v>
      </c>
      <c r="AZ30">
        <v>4</v>
      </c>
      <c r="BA30">
        <f>Products[[#This Row],[CSA Need]]*Products[[#This Row],[Market Price]]</f>
        <v>24</v>
      </c>
    </row>
    <row r="31" spans="1:53" hidden="1">
      <c r="A31" t="str">
        <f>Products[[#This Row],[Crop]]&amp;Products[[#This Row],[Product]]&amp;Products[[#This Row],[Unit]]</f>
        <v>CatnipMature StemBunch</v>
      </c>
      <c r="B31" t="s">
        <v>2295</v>
      </c>
      <c r="C31" t="s">
        <v>181</v>
      </c>
      <c r="D31" t="s">
        <v>215</v>
      </c>
      <c r="E31" t="b">
        <v>0</v>
      </c>
      <c r="F31" t="s">
        <v>474</v>
      </c>
      <c r="G31">
        <v>1</v>
      </c>
      <c r="H31">
        <v>40</v>
      </c>
      <c r="I31">
        <v>40</v>
      </c>
      <c r="J31" s="196" t="s">
        <v>2368</v>
      </c>
      <c r="K31">
        <f>_xlfn.XLOOKUP(Products[[#This Row],[Packing Container]],Containers[Container],Containers[Cost])</f>
        <v>3.8</v>
      </c>
      <c r="M31">
        <v>4</v>
      </c>
      <c r="N31">
        <f>IF(Products[[#This Row],[Unit]]="Bunch",10,0)</f>
        <v>10</v>
      </c>
      <c r="O31">
        <v>20</v>
      </c>
      <c r="P31">
        <f>CrateHaulTime/Products[[#This Row],[Per Crate]]</f>
        <v>2.25</v>
      </c>
      <c r="Q31">
        <f>_xlfn.XLOOKUP(Products[[#This Row],[Wash Type]],Table9[Wash Type],Table9[Seconds])*Products[[#This Row],[Wash Factor]]</f>
        <v>0</v>
      </c>
      <c r="R31">
        <v>0</v>
      </c>
      <c r="S31">
        <v>0</v>
      </c>
      <c r="T31">
        <v>3</v>
      </c>
      <c r="U31">
        <v>0</v>
      </c>
      <c r="V31">
        <v>0</v>
      </c>
      <c r="W31">
        <f>MarketHaulTime/CratesPerMarketLoad/Products[[#This Row],[Per Crate]]</f>
        <v>5.625</v>
      </c>
      <c r="X31" t="s">
        <v>2482</v>
      </c>
      <c r="AY31">
        <f>Products[[#This Row],[CSA Portion]]*Products[[#This Row],[CSA Times]]</f>
        <v>0</v>
      </c>
      <c r="BA31">
        <f>Products[[#This Row],[CSA Need]]*Products[[#This Row],[Market Price]]</f>
        <v>0</v>
      </c>
    </row>
    <row r="32" spans="1:53">
      <c r="A32" t="str">
        <f>Products[[#This Row],[Crop]]&amp;Products[[#This Row],[Product]]&amp;Products[[#This Row],[Unit]]</f>
        <v>CarrotStorage RootLb</v>
      </c>
      <c r="B32" t="s">
        <v>53</v>
      </c>
      <c r="C32" t="s">
        <v>205</v>
      </c>
      <c r="D32" t="s">
        <v>383</v>
      </c>
      <c r="E32" t="b">
        <v>1</v>
      </c>
      <c r="F32" t="s">
        <v>443</v>
      </c>
      <c r="G32">
        <v>5</v>
      </c>
      <c r="H32">
        <v>40</v>
      </c>
      <c r="I32">
        <v>30</v>
      </c>
      <c r="J32" t="s">
        <v>2368</v>
      </c>
      <c r="K32">
        <f>_xlfn.XLOOKUP(Products[[#This Row],[Packing Container]],Containers[Container],Containers[Cost])</f>
        <v>3.8</v>
      </c>
      <c r="L32">
        <v>45</v>
      </c>
      <c r="M32">
        <v>1</v>
      </c>
      <c r="N32">
        <f>IF(Products[[#This Row],[Unit]]="Bunch",10,0)</f>
        <v>0</v>
      </c>
      <c r="O32">
        <v>20</v>
      </c>
      <c r="P32">
        <f>CrateHaulTime/Products[[#This Row],[Per Crate]]</f>
        <v>2.25</v>
      </c>
      <c r="Q32">
        <f>_xlfn.XLOOKUP(Products[[#This Row],[Wash Type]],Table9[Wash Type],Table9[Seconds])*Products[[#This Row],[Wash Factor]]</f>
        <v>25</v>
      </c>
      <c r="R32">
        <v>0</v>
      </c>
      <c r="S32">
        <v>10</v>
      </c>
      <c r="T32">
        <v>3</v>
      </c>
      <c r="U32">
        <v>0</v>
      </c>
      <c r="V32">
        <v>0</v>
      </c>
      <c r="W32">
        <f>MarketHaulTime/CratesPerMarketLoad/Products[[#This Row],[Per Crate]]</f>
        <v>5.625</v>
      </c>
      <c r="X32" t="s">
        <v>2484</v>
      </c>
      <c r="AC32" s="184">
        <v>2</v>
      </c>
      <c r="AD32" s="184"/>
      <c r="AE32" s="184">
        <v>2</v>
      </c>
      <c r="AF32" s="184"/>
      <c r="AG32" s="207"/>
      <c r="AH32" s="184">
        <v>2</v>
      </c>
      <c r="AI32" s="184"/>
      <c r="AJ32" s="184">
        <v>2</v>
      </c>
      <c r="AK32" s="184"/>
      <c r="AL32" s="184">
        <v>2</v>
      </c>
      <c r="AM32" s="184"/>
      <c r="AN32" s="184">
        <v>2</v>
      </c>
      <c r="AO32" s="207"/>
      <c r="AP32" s="184"/>
      <c r="AQ32" s="184">
        <v>2</v>
      </c>
      <c r="AR32" s="184"/>
      <c r="AS32" s="184">
        <v>2</v>
      </c>
      <c r="AT32" s="184"/>
      <c r="AU32" s="184">
        <v>2</v>
      </c>
      <c r="AV32" s="184"/>
      <c r="AW32">
        <v>1</v>
      </c>
      <c r="AX32">
        <v>4</v>
      </c>
      <c r="AY32">
        <f>Products[[#This Row],[CSA Portion]]*Products[[#This Row],[CSA Times]]</f>
        <v>4</v>
      </c>
      <c r="AZ32">
        <v>3</v>
      </c>
      <c r="BA32">
        <f>Products[[#This Row],[CSA Need]]*Products[[#This Row],[Market Price]]</f>
        <v>12</v>
      </c>
    </row>
    <row r="33" spans="1:54">
      <c r="A33" t="str">
        <f>Products[[#This Row],[Crop]]&amp;Products[[#This Row],[Product]]&amp;Products[[#This Row],[Unit]]</f>
        <v>CauliflowerMature HeadHead</v>
      </c>
      <c r="B33" t="s">
        <v>54</v>
      </c>
      <c r="C33" t="s">
        <v>186</v>
      </c>
      <c r="D33" t="s">
        <v>214</v>
      </c>
      <c r="E33" t="b">
        <v>1</v>
      </c>
      <c r="F33" t="s">
        <v>474</v>
      </c>
      <c r="G33">
        <v>1</v>
      </c>
      <c r="H33">
        <v>8</v>
      </c>
      <c r="I33">
        <v>8</v>
      </c>
      <c r="J33" t="s">
        <v>2368</v>
      </c>
      <c r="K33">
        <f>_xlfn.XLOOKUP(Products[[#This Row],[Packing Container]],Containers[Container],Containers[Cost])</f>
        <v>3.8</v>
      </c>
      <c r="L33">
        <v>7</v>
      </c>
      <c r="M33">
        <v>2</v>
      </c>
      <c r="N33">
        <f>IF(Products[[#This Row],[Unit]]="Bunch",10,0)</f>
        <v>0</v>
      </c>
      <c r="O33">
        <v>10</v>
      </c>
      <c r="P33">
        <f>CrateHaulTime/Products[[#This Row],[Per Crate]]</f>
        <v>11.25</v>
      </c>
      <c r="Q33">
        <f>_xlfn.XLOOKUP(Products[[#This Row],[Wash Type]],Table9[Wash Type],Table9[Seconds])*Products[[#This Row],[Wash Factor]]</f>
        <v>0</v>
      </c>
      <c r="R33">
        <v>0</v>
      </c>
      <c r="S33">
        <v>0</v>
      </c>
      <c r="T33">
        <v>3</v>
      </c>
      <c r="U33">
        <v>0</v>
      </c>
      <c r="V33">
        <v>0</v>
      </c>
      <c r="W33">
        <f>MarketHaulTime/CratesPerMarketLoad/Products[[#This Row],[Per Crate]]</f>
        <v>28.125</v>
      </c>
      <c r="X33" t="s">
        <v>2484</v>
      </c>
      <c r="Y33" s="184"/>
      <c r="Z33" s="184"/>
      <c r="AA33" s="184"/>
      <c r="AB33" s="184"/>
      <c r="AC33" s="184"/>
      <c r="AD33" s="184"/>
      <c r="AE33" s="184"/>
      <c r="AF33" s="184"/>
      <c r="AG33" s="207"/>
      <c r="AH33" s="184"/>
      <c r="AI33" s="184"/>
      <c r="AJ33" s="184"/>
      <c r="AK33" s="184"/>
      <c r="AL33" s="184"/>
      <c r="AM33" s="184"/>
      <c r="AN33" s="184"/>
      <c r="AO33" s="207"/>
      <c r="AP33" s="184"/>
      <c r="AQ33" s="184"/>
      <c r="AR33" s="184"/>
      <c r="AS33" s="184"/>
      <c r="AT33" s="184"/>
      <c r="AU33" s="184"/>
      <c r="AV33" s="184"/>
      <c r="AW33">
        <v>1</v>
      </c>
      <c r="AX33">
        <v>1</v>
      </c>
      <c r="AY33">
        <f>Products[[#This Row],[CSA Portion]]*Products[[#This Row],[CSA Times]]</f>
        <v>1</v>
      </c>
      <c r="AZ33">
        <v>11</v>
      </c>
      <c r="BA33">
        <f>Products[[#This Row],[CSA Need]]*Products[[#This Row],[Market Price]]</f>
        <v>11</v>
      </c>
      <c r="BB33" t="b">
        <v>1</v>
      </c>
    </row>
    <row r="34" spans="1:54" hidden="1">
      <c r="A34" t="str">
        <f>Products[[#This Row],[Crop]]&amp;Products[[#This Row],[Product]]&amp;Products[[#This Row],[Unit]]</f>
        <v>Celery RootMini RootRoot</v>
      </c>
      <c r="B34" t="s">
        <v>56</v>
      </c>
      <c r="C34" t="s">
        <v>189</v>
      </c>
      <c r="D34" t="s">
        <v>443</v>
      </c>
      <c r="E34" t="b">
        <v>1</v>
      </c>
      <c r="F34" t="s">
        <v>443</v>
      </c>
      <c r="G34">
        <v>1</v>
      </c>
      <c r="H34">
        <v>24</v>
      </c>
      <c r="I34">
        <v>24</v>
      </c>
      <c r="J34" t="s">
        <v>2368</v>
      </c>
      <c r="K34">
        <f>_xlfn.XLOOKUP(Products[[#This Row],[Packing Container]],Containers[Container],Containers[Cost])</f>
        <v>3.8</v>
      </c>
      <c r="M34">
        <v>4</v>
      </c>
      <c r="N34">
        <f>IF(Products[[#This Row],[Unit]]="Bunch",10,0)</f>
        <v>0</v>
      </c>
      <c r="O34">
        <v>10</v>
      </c>
      <c r="P34">
        <f>CrateHaulTime/Products[[#This Row],[Per Crate]]</f>
        <v>3.75</v>
      </c>
      <c r="Q34">
        <f>_xlfn.XLOOKUP(Products[[#This Row],[Wash Type]],Table9[Wash Type],Table9[Seconds])*Products[[#This Row],[Wash Factor]]</f>
        <v>5</v>
      </c>
      <c r="R34">
        <v>0</v>
      </c>
      <c r="S34">
        <v>5</v>
      </c>
      <c r="T34">
        <v>3</v>
      </c>
      <c r="U34">
        <v>0</v>
      </c>
      <c r="V34">
        <v>0</v>
      </c>
      <c r="W34">
        <f>MarketHaulTime/CratesPerMarketLoad/Products[[#This Row],[Per Crate]]</f>
        <v>9.375</v>
      </c>
      <c r="X34" t="s">
        <v>2483</v>
      </c>
      <c r="AG34" s="207"/>
      <c r="AO34" s="207"/>
      <c r="AQ34" s="184"/>
      <c r="AR34" s="184"/>
      <c r="AS34" s="184"/>
      <c r="AT34" s="184"/>
      <c r="AU34" s="184"/>
      <c r="AV34" s="184"/>
      <c r="AY34">
        <f>Products[[#This Row],[CSA Portion]]*Products[[#This Row],[CSA Times]]</f>
        <v>0</v>
      </c>
      <c r="BA34">
        <f>Products[[#This Row],[CSA Need]]*Products[[#This Row],[Market Price]]</f>
        <v>0</v>
      </c>
    </row>
    <row r="35" spans="1:54">
      <c r="A35" t="str">
        <f>Products[[#This Row],[Crop]]&amp;Products[[#This Row],[Product]]&amp;Products[[#This Row],[Unit]]</f>
        <v>Celery RootMature RootRoot</v>
      </c>
      <c r="B35" t="s">
        <v>56</v>
      </c>
      <c r="C35" t="s">
        <v>185</v>
      </c>
      <c r="D35" t="s">
        <v>443</v>
      </c>
      <c r="E35" t="b">
        <v>1</v>
      </c>
      <c r="F35" t="s">
        <v>443</v>
      </c>
      <c r="G35">
        <v>1</v>
      </c>
      <c r="H35">
        <v>18</v>
      </c>
      <c r="I35">
        <v>18</v>
      </c>
      <c r="J35" t="s">
        <v>2368</v>
      </c>
      <c r="K35">
        <f>_xlfn.XLOOKUP(Products[[#This Row],[Packing Container]],Containers[Container],Containers[Cost])</f>
        <v>3.8</v>
      </c>
      <c r="M35">
        <v>4</v>
      </c>
      <c r="N35">
        <f>IF(Products[[#This Row],[Unit]]="Bunch",10,0)</f>
        <v>0</v>
      </c>
      <c r="O35">
        <v>10</v>
      </c>
      <c r="P35">
        <f>CrateHaulTime/Products[[#This Row],[Per Crate]]</f>
        <v>5</v>
      </c>
      <c r="Q35">
        <f>_xlfn.XLOOKUP(Products[[#This Row],[Wash Type]],Table9[Wash Type],Table9[Seconds])*Products[[#This Row],[Wash Factor]]</f>
        <v>5</v>
      </c>
      <c r="R35">
        <v>0</v>
      </c>
      <c r="S35">
        <v>5</v>
      </c>
      <c r="T35">
        <v>3</v>
      </c>
      <c r="U35">
        <v>0</v>
      </c>
      <c r="V35">
        <v>0</v>
      </c>
      <c r="W35">
        <f>MarketHaulTime/CratesPerMarketLoad/Products[[#This Row],[Per Crate]]</f>
        <v>12.5</v>
      </c>
      <c r="X35" t="s">
        <v>2483</v>
      </c>
      <c r="AG35" s="207"/>
      <c r="AO35" s="207"/>
      <c r="AS35" s="184"/>
      <c r="AT35" s="184"/>
      <c r="AU35" s="184"/>
      <c r="AV35" s="184"/>
      <c r="AW35">
        <v>1</v>
      </c>
      <c r="AX35">
        <v>1</v>
      </c>
      <c r="AY35">
        <f>Products[[#This Row],[CSA Portion]]*Products[[#This Row],[CSA Times]]</f>
        <v>1</v>
      </c>
      <c r="AZ35">
        <v>4.5</v>
      </c>
      <c r="BA35">
        <f>Products[[#This Row],[CSA Need]]*Products[[#This Row],[Market Price]]</f>
        <v>4.5</v>
      </c>
    </row>
    <row r="36" spans="1:54" hidden="1">
      <c r="A36" t="str">
        <f>Products[[#This Row],[Crop]]&amp;Products[[#This Row],[Product]]&amp;Products[[#This Row],[Unit]]</f>
        <v>CelosiaMature StemStem</v>
      </c>
      <c r="B36" t="s">
        <v>57</v>
      </c>
      <c r="C36" t="s">
        <v>181</v>
      </c>
      <c r="D36" t="s">
        <v>213</v>
      </c>
      <c r="E36" t="b">
        <v>1</v>
      </c>
      <c r="F36" t="s">
        <v>474</v>
      </c>
      <c r="G36">
        <v>1</v>
      </c>
      <c r="H36">
        <v>50</v>
      </c>
      <c r="I36">
        <v>50</v>
      </c>
      <c r="J36" t="s">
        <v>2367</v>
      </c>
      <c r="K36">
        <f>_xlfn.XLOOKUP(Products[[#This Row],[Packing Container]],Containers[Container],Containers[Cost])</f>
        <v>4</v>
      </c>
      <c r="M36">
        <v>6</v>
      </c>
      <c r="N36">
        <f>IF(Products[[#This Row],[Unit]]="Bunch",10,0)</f>
        <v>0</v>
      </c>
      <c r="O36">
        <v>5</v>
      </c>
      <c r="P36">
        <f>CrateHaulTime/Products[[#This Row],[Per Crate]]</f>
        <v>1.8</v>
      </c>
      <c r="Q36">
        <f>_xlfn.XLOOKUP(Products[[#This Row],[Wash Type]],Table9[Wash Type],Table9[Seconds])*Products[[#This Row],[Wash Factor]]</f>
        <v>0</v>
      </c>
      <c r="R36">
        <v>0</v>
      </c>
      <c r="S36">
        <v>3</v>
      </c>
      <c r="T36">
        <v>3</v>
      </c>
      <c r="U36">
        <v>0</v>
      </c>
      <c r="V36">
        <v>0</v>
      </c>
      <c r="W36">
        <f>MarketHaulTime/CratesPerMarketLoad/Products[[#This Row],[Per Crate]]</f>
        <v>4.5</v>
      </c>
      <c r="X36" t="s">
        <v>2482</v>
      </c>
      <c r="AY36">
        <f>Products[[#This Row],[CSA Portion]]*Products[[#This Row],[CSA Times]]</f>
        <v>0</v>
      </c>
      <c r="BA36">
        <f>Products[[#This Row],[CSA Need]]*Products[[#This Row],[Market Price]]</f>
        <v>0</v>
      </c>
    </row>
    <row r="37" spans="1:54" hidden="1">
      <c r="A37" t="str">
        <f>Products[[#This Row],[Crop]]&amp;Products[[#This Row],[Product]]&amp;Products[[#This Row],[Unit]]</f>
        <v>ChervilBunchBunch</v>
      </c>
      <c r="B37" t="s">
        <v>2294</v>
      </c>
      <c r="C37" t="s">
        <v>215</v>
      </c>
      <c r="D37" t="s">
        <v>215</v>
      </c>
      <c r="E37" t="b">
        <v>0</v>
      </c>
      <c r="F37" t="s">
        <v>474</v>
      </c>
      <c r="G37">
        <v>1</v>
      </c>
      <c r="H37">
        <v>40</v>
      </c>
      <c r="I37">
        <v>40</v>
      </c>
      <c r="J37" s="196" t="s">
        <v>2368</v>
      </c>
      <c r="K37">
        <f>_xlfn.XLOOKUP(Products[[#This Row],[Packing Container]],Containers[Container],Containers[Cost])</f>
        <v>3.8</v>
      </c>
      <c r="M37">
        <v>4</v>
      </c>
      <c r="N37">
        <f>IF(Products[[#This Row],[Unit]]="Bunch",10,0)</f>
        <v>10</v>
      </c>
      <c r="O37">
        <v>20</v>
      </c>
      <c r="P37">
        <f>CrateHaulTime/Products[[#This Row],[Per Crate]]</f>
        <v>2.25</v>
      </c>
      <c r="Q37">
        <f>_xlfn.XLOOKUP(Products[[#This Row],[Wash Type]],Table9[Wash Type],Table9[Seconds])*Products[[#This Row],[Wash Factor]]</f>
        <v>0</v>
      </c>
      <c r="R37">
        <v>0</v>
      </c>
      <c r="S37">
        <v>0</v>
      </c>
      <c r="T37">
        <v>3</v>
      </c>
      <c r="U37">
        <v>0</v>
      </c>
      <c r="V37">
        <v>0</v>
      </c>
      <c r="W37">
        <f>MarketHaulTime/CratesPerMarketLoad/Products[[#This Row],[Per Crate]]</f>
        <v>5.625</v>
      </c>
      <c r="X37" t="s">
        <v>2482</v>
      </c>
      <c r="AY37">
        <f>Products[[#This Row],[CSA Portion]]*Products[[#This Row],[CSA Times]]</f>
        <v>0</v>
      </c>
      <c r="BA37">
        <f>Products[[#This Row],[CSA Need]]*Products[[#This Row],[Market Price]]</f>
        <v>0</v>
      </c>
    </row>
    <row r="38" spans="1:54" hidden="1">
      <c r="A38" t="str">
        <f>Products[[#This Row],[Crop]]&amp;Products[[#This Row],[Product]]&amp;Products[[#This Row],[Unit]]</f>
        <v>ChicoryChiconHead</v>
      </c>
      <c r="B38" t="s">
        <v>58</v>
      </c>
      <c r="C38" t="s">
        <v>355</v>
      </c>
      <c r="D38" t="s">
        <v>214</v>
      </c>
      <c r="E38" s="198" t="b">
        <v>1</v>
      </c>
      <c r="F38" t="s">
        <v>2390</v>
      </c>
      <c r="G38">
        <v>1</v>
      </c>
      <c r="H38">
        <v>36</v>
      </c>
      <c r="I38">
        <v>36</v>
      </c>
      <c r="J38" t="s">
        <v>2368</v>
      </c>
      <c r="K38">
        <f>_xlfn.XLOOKUP(Products[[#This Row],[Packing Container]],Containers[Container],Containers[Cost])</f>
        <v>3.8</v>
      </c>
      <c r="M38">
        <v>4</v>
      </c>
      <c r="N38">
        <f>IF(Products[[#This Row],[Unit]]="Bunch",10,0)</f>
        <v>0</v>
      </c>
      <c r="O38">
        <v>10</v>
      </c>
      <c r="P38">
        <f>CrateHaulTime/Products[[#This Row],[Per Crate]]</f>
        <v>2.5</v>
      </c>
      <c r="Q38">
        <f>_xlfn.XLOOKUP(Products[[#This Row],[Wash Type]],Table9[Wash Type],Table9[Seconds])*Products[[#This Row],[Wash Factor]]</f>
        <v>20</v>
      </c>
      <c r="R38">
        <v>0</v>
      </c>
      <c r="S38">
        <v>25</v>
      </c>
      <c r="T38">
        <v>3</v>
      </c>
      <c r="U38">
        <v>0</v>
      </c>
      <c r="V38">
        <v>0</v>
      </c>
      <c r="W38">
        <f>MarketHaulTime/CratesPerMarketLoad/Products[[#This Row],[Per Crate]]</f>
        <v>6.25</v>
      </c>
      <c r="X38" t="s">
        <v>2482</v>
      </c>
      <c r="AY38">
        <f>Products[[#This Row],[CSA Portion]]*Products[[#This Row],[CSA Times]]</f>
        <v>0</v>
      </c>
      <c r="BA38">
        <f>Products[[#This Row],[CSA Need]]*Products[[#This Row],[Market Price]]</f>
        <v>0</v>
      </c>
    </row>
    <row r="39" spans="1:54" hidden="1">
      <c r="A39" t="str">
        <f>Products[[#This Row],[Crop]]&amp;Products[[#This Row],[Product]]&amp;Products[[#This Row],[Unit]]</f>
        <v>ChicoryMature HeadHead</v>
      </c>
      <c r="B39" t="s">
        <v>58</v>
      </c>
      <c r="C39" t="s">
        <v>186</v>
      </c>
      <c r="D39" t="s">
        <v>214</v>
      </c>
      <c r="E39" s="198" t="b">
        <v>1</v>
      </c>
      <c r="F39" t="s">
        <v>2390</v>
      </c>
      <c r="G39">
        <v>1</v>
      </c>
      <c r="H39">
        <v>24</v>
      </c>
      <c r="I39">
        <v>24</v>
      </c>
      <c r="J39" t="s">
        <v>2368</v>
      </c>
      <c r="K39">
        <f>_xlfn.XLOOKUP(Products[[#This Row],[Packing Container]],Containers[Container],Containers[Cost])</f>
        <v>3.8</v>
      </c>
      <c r="M39">
        <v>4</v>
      </c>
      <c r="N39">
        <f>IF(Products[[#This Row],[Unit]]="Bunch",10,0)</f>
        <v>0</v>
      </c>
      <c r="O39">
        <v>10</v>
      </c>
      <c r="P39">
        <f>CrateHaulTime/Products[[#This Row],[Per Crate]]</f>
        <v>3.75</v>
      </c>
      <c r="Q39">
        <f>_xlfn.XLOOKUP(Products[[#This Row],[Wash Type]],Table9[Wash Type],Table9[Seconds])*Products[[#This Row],[Wash Factor]]</f>
        <v>20</v>
      </c>
      <c r="R39">
        <v>0</v>
      </c>
      <c r="S39">
        <v>10</v>
      </c>
      <c r="T39">
        <v>3</v>
      </c>
      <c r="U39">
        <v>0</v>
      </c>
      <c r="V39">
        <v>0</v>
      </c>
      <c r="W39">
        <f>MarketHaulTime/CratesPerMarketLoad/Products[[#This Row],[Per Crate]]</f>
        <v>9.375</v>
      </c>
      <c r="X39" t="s">
        <v>2483</v>
      </c>
      <c r="AG39" s="207"/>
      <c r="AO39" s="207"/>
      <c r="AP39" s="184"/>
      <c r="AQ39" s="184"/>
      <c r="AR39" s="184"/>
      <c r="AS39" s="184"/>
      <c r="AT39" s="184"/>
      <c r="AU39" s="184"/>
      <c r="AV39" s="184"/>
      <c r="AY39">
        <f>Products[[#This Row],[CSA Portion]]*Products[[#This Row],[CSA Times]]</f>
        <v>0</v>
      </c>
      <c r="BA39">
        <f>Products[[#This Row],[CSA Need]]*Products[[#This Row],[Market Price]]</f>
        <v>0</v>
      </c>
    </row>
    <row r="40" spans="1:54">
      <c r="A40" t="str">
        <f>Products[[#This Row],[Crop]]&amp;Products[[#This Row],[Product]]&amp;Products[[#This Row],[Unit]]</f>
        <v>CeleryLoose RibBunch</v>
      </c>
      <c r="B40" t="s">
        <v>55</v>
      </c>
      <c r="C40" t="s">
        <v>188</v>
      </c>
      <c r="D40" t="s">
        <v>215</v>
      </c>
      <c r="E40" t="b">
        <v>1</v>
      </c>
      <c r="F40" t="s">
        <v>2386</v>
      </c>
      <c r="G40">
        <v>8</v>
      </c>
      <c r="H40">
        <v>18</v>
      </c>
      <c r="I40">
        <v>18</v>
      </c>
      <c r="J40" s="198" t="s">
        <v>2368</v>
      </c>
      <c r="K40">
        <f>_xlfn.XLOOKUP(Products[[#This Row],[Packing Container]],Containers[Container],Containers[Cost])</f>
        <v>3.8</v>
      </c>
      <c r="L40">
        <v>7</v>
      </c>
      <c r="M40">
        <v>3</v>
      </c>
      <c r="N40">
        <f>IF(Products[[#This Row],[Unit]]="Bunch",10,0)</f>
        <v>10</v>
      </c>
      <c r="O40">
        <v>24</v>
      </c>
      <c r="P40">
        <f>CrateHaulTime/Products[[#This Row],[Per Crate]]</f>
        <v>5</v>
      </c>
      <c r="Q40">
        <f>_xlfn.XLOOKUP(Products[[#This Row],[Wash Type]],Table9[Wash Type],Table9[Seconds])*Products[[#This Row],[Wash Factor]]</f>
        <v>16</v>
      </c>
      <c r="R40">
        <v>0</v>
      </c>
      <c r="S40">
        <v>0</v>
      </c>
      <c r="T40">
        <v>3</v>
      </c>
      <c r="U40">
        <v>0</v>
      </c>
      <c r="V40">
        <v>0</v>
      </c>
      <c r="W40">
        <f>MarketHaulTime/CratesPerMarketLoad/Products[[#This Row],[Per Crate]]</f>
        <v>12.5</v>
      </c>
      <c r="X40" t="s">
        <v>2484</v>
      </c>
      <c r="AF40" s="184"/>
      <c r="AG40" s="207"/>
      <c r="AH40" s="184"/>
      <c r="AI40" s="184"/>
      <c r="AJ40" s="184"/>
      <c r="AK40" s="184"/>
      <c r="AL40" s="184"/>
      <c r="AM40" s="184"/>
      <c r="AN40" s="184"/>
      <c r="AO40" s="207"/>
      <c r="AP40" s="184"/>
      <c r="AQ40" s="184"/>
      <c r="AR40" s="184"/>
      <c r="AS40" s="184"/>
      <c r="AT40" s="184"/>
      <c r="AU40" s="184"/>
      <c r="AV40" s="184"/>
      <c r="AW40">
        <v>1</v>
      </c>
      <c r="AX40">
        <v>4</v>
      </c>
      <c r="AY40">
        <f>Products[[#This Row],[CSA Portion]]*Products[[#This Row],[CSA Times]]</f>
        <v>4</v>
      </c>
      <c r="AZ40">
        <v>3</v>
      </c>
      <c r="BA40">
        <f>Products[[#This Row],[CSA Need]]*Products[[#This Row],[Market Price]]</f>
        <v>12</v>
      </c>
    </row>
    <row r="41" spans="1:54">
      <c r="A41" t="str">
        <f>Products[[#This Row],[Crop]]&amp;Products[[#This Row],[Product]]&amp;Products[[#This Row],[Unit]]</f>
        <v>ChijimisaiMature HeadHead</v>
      </c>
      <c r="B41" t="s">
        <v>59</v>
      </c>
      <c r="C41" t="s">
        <v>186</v>
      </c>
      <c r="D41" t="s">
        <v>214</v>
      </c>
      <c r="E41" t="b">
        <v>1</v>
      </c>
      <c r="F41" t="s">
        <v>2387</v>
      </c>
      <c r="G41">
        <v>1</v>
      </c>
      <c r="H41">
        <v>12</v>
      </c>
      <c r="I41">
        <v>12</v>
      </c>
      <c r="J41" s="197" t="s">
        <v>2368</v>
      </c>
      <c r="K41">
        <f>_xlfn.XLOOKUP(Products[[#This Row],[Packing Container]],Containers[Container],Containers[Cost])</f>
        <v>3.8</v>
      </c>
      <c r="L41">
        <v>7</v>
      </c>
      <c r="M41">
        <v>4</v>
      </c>
      <c r="N41">
        <f>IF(Products[[#This Row],[Unit]]="Bunch",10,0)</f>
        <v>0</v>
      </c>
      <c r="O41">
        <v>10</v>
      </c>
      <c r="P41">
        <f>CrateHaulTime/Products[[#This Row],[Per Crate]]</f>
        <v>7.5</v>
      </c>
      <c r="Q41">
        <f>_xlfn.XLOOKUP(Products[[#This Row],[Wash Type]],Table9[Wash Type],Table9[Seconds])*Products[[#This Row],[Wash Factor]]</f>
        <v>10</v>
      </c>
      <c r="R41">
        <v>10</v>
      </c>
      <c r="S41">
        <v>10</v>
      </c>
      <c r="T41">
        <v>3</v>
      </c>
      <c r="U41">
        <v>0</v>
      </c>
      <c r="V41">
        <v>0</v>
      </c>
      <c r="W41">
        <f>MarketHaulTime/CratesPerMarketLoad/Products[[#This Row],[Per Crate]]</f>
        <v>18.75</v>
      </c>
      <c r="X41" t="s">
        <v>2484</v>
      </c>
      <c r="AG41" s="207"/>
      <c r="AO41" s="207"/>
      <c r="AR41" s="184"/>
      <c r="AS41" s="184"/>
      <c r="AT41" s="184"/>
      <c r="AU41" s="184"/>
      <c r="AV41" s="184"/>
      <c r="AW41">
        <v>1</v>
      </c>
      <c r="AX41">
        <v>0</v>
      </c>
      <c r="AY41">
        <f>Products[[#This Row],[CSA Portion]]*Products[[#This Row],[CSA Times]]</f>
        <v>0</v>
      </c>
      <c r="AZ41">
        <v>4</v>
      </c>
      <c r="BA41">
        <f>Products[[#This Row],[CSA Need]]*Products[[#This Row],[Market Price]]</f>
        <v>0</v>
      </c>
    </row>
    <row r="42" spans="1:54">
      <c r="A42" t="str">
        <f>Products[[#This Row],[Crop]]&amp;Products[[#This Row],[Product]]&amp;Products[[#This Row],[Unit]]</f>
        <v>Choi SumMature HeadBunch</v>
      </c>
      <c r="B42" t="s">
        <v>60</v>
      </c>
      <c r="C42" t="s">
        <v>186</v>
      </c>
      <c r="D42" t="s">
        <v>215</v>
      </c>
      <c r="E42" t="b">
        <v>1</v>
      </c>
      <c r="F42" t="s">
        <v>474</v>
      </c>
      <c r="G42">
        <v>1</v>
      </c>
      <c r="H42">
        <v>24</v>
      </c>
      <c r="I42">
        <v>24</v>
      </c>
      <c r="J42" t="s">
        <v>2368</v>
      </c>
      <c r="K42">
        <f>_xlfn.XLOOKUP(Products[[#This Row],[Packing Container]],Containers[Container],Containers[Cost])</f>
        <v>3.8</v>
      </c>
      <c r="L42">
        <v>7</v>
      </c>
      <c r="M42">
        <v>4</v>
      </c>
      <c r="N42">
        <f>IF(Products[[#This Row],[Unit]]="Bunch",10,0)</f>
        <v>10</v>
      </c>
      <c r="O42">
        <v>15</v>
      </c>
      <c r="P42">
        <f>CrateHaulTime/Products[[#This Row],[Per Crate]]</f>
        <v>3.75</v>
      </c>
      <c r="Q42">
        <f>_xlfn.XLOOKUP(Products[[#This Row],[Wash Type]],Table9[Wash Type],Table9[Seconds])*Products[[#This Row],[Wash Factor]]</f>
        <v>0</v>
      </c>
      <c r="R42">
        <v>10</v>
      </c>
      <c r="S42">
        <v>10</v>
      </c>
      <c r="T42">
        <v>3</v>
      </c>
      <c r="U42">
        <v>0</v>
      </c>
      <c r="V42">
        <v>0</v>
      </c>
      <c r="W42">
        <f>MarketHaulTime/CratesPerMarketLoad/Products[[#This Row],[Per Crate]]</f>
        <v>9.375</v>
      </c>
      <c r="X42" t="s">
        <v>2484</v>
      </c>
      <c r="Y42" s="184"/>
      <c r="Z42" s="184"/>
      <c r="AA42" s="184"/>
      <c r="AB42" s="184"/>
      <c r="AC42" s="184"/>
      <c r="AD42" s="184"/>
      <c r="AE42" s="184"/>
      <c r="AF42" s="184"/>
      <c r="AG42" s="207"/>
      <c r="AO42" s="207"/>
      <c r="AR42" s="184"/>
      <c r="AS42" s="184"/>
      <c r="AT42" s="184"/>
      <c r="AU42" s="184"/>
      <c r="AV42" s="184"/>
      <c r="AW42">
        <v>1</v>
      </c>
      <c r="AX42">
        <v>2</v>
      </c>
      <c r="AY42">
        <f>Products[[#This Row],[CSA Portion]]*Products[[#This Row],[CSA Times]]</f>
        <v>2</v>
      </c>
      <c r="AZ42">
        <v>3</v>
      </c>
      <c r="BA42">
        <f>Products[[#This Row],[CSA Need]]*Products[[#This Row],[Market Price]]</f>
        <v>6</v>
      </c>
    </row>
    <row r="43" spans="1:54" hidden="1">
      <c r="A43" t="str">
        <f>Products[[#This Row],[Crop]]&amp;Products[[#This Row],[Product]]&amp;Products[[#This Row],[Unit]]</f>
        <v>ChrysanthemumMature StemStem</v>
      </c>
      <c r="B43" t="s">
        <v>143</v>
      </c>
      <c r="C43" t="s">
        <v>181</v>
      </c>
      <c r="D43" t="s">
        <v>213</v>
      </c>
      <c r="E43" t="b">
        <v>0</v>
      </c>
      <c r="F43" t="s">
        <v>474</v>
      </c>
      <c r="G43">
        <v>1</v>
      </c>
      <c r="H43">
        <v>50</v>
      </c>
      <c r="I43">
        <v>50</v>
      </c>
      <c r="J43" t="s">
        <v>2367</v>
      </c>
      <c r="K43">
        <f>_xlfn.XLOOKUP(Products[[#This Row],[Packing Container]],Containers[Container],Containers[Cost])</f>
        <v>4</v>
      </c>
      <c r="M43">
        <v>4</v>
      </c>
      <c r="N43">
        <f>IF(Products[[#This Row],[Unit]]="Bunch",10,0)</f>
        <v>0</v>
      </c>
      <c r="O43">
        <v>5</v>
      </c>
      <c r="P43">
        <f>CrateHaulTime/Products[[#This Row],[Per Crate]]</f>
        <v>1.8</v>
      </c>
      <c r="Q43">
        <f>_xlfn.XLOOKUP(Products[[#This Row],[Wash Type]],Table9[Wash Type],Table9[Seconds])*Products[[#This Row],[Wash Factor]]</f>
        <v>0</v>
      </c>
      <c r="R43">
        <v>0</v>
      </c>
      <c r="S43">
        <v>3</v>
      </c>
      <c r="T43">
        <v>3</v>
      </c>
      <c r="U43">
        <v>0</v>
      </c>
      <c r="V43">
        <v>0</v>
      </c>
      <c r="W43">
        <f>MarketHaulTime/CratesPerMarketLoad/Products[[#This Row],[Per Crate]]</f>
        <v>4.5</v>
      </c>
      <c r="X43" t="s">
        <v>2482</v>
      </c>
      <c r="AY43">
        <f>Products[[#This Row],[CSA Portion]]*Products[[#This Row],[CSA Times]]</f>
        <v>0</v>
      </c>
      <c r="BA43">
        <f>Products[[#This Row],[CSA Need]]*Products[[#This Row],[Market Price]]</f>
        <v>0</v>
      </c>
    </row>
    <row r="44" spans="1:54">
      <c r="A44" t="str">
        <f>Products[[#This Row],[Crop]]&amp;Products[[#This Row],[Product]]&amp;Products[[#This Row],[Unit]]</f>
        <v>Chrysanthemum GreensMature LeafBunch</v>
      </c>
      <c r="B44" t="s">
        <v>61</v>
      </c>
      <c r="C44" t="s">
        <v>179</v>
      </c>
      <c r="D44" t="s">
        <v>215</v>
      </c>
      <c r="E44" t="b">
        <v>1</v>
      </c>
      <c r="F44" t="s">
        <v>474</v>
      </c>
      <c r="G44">
        <v>1</v>
      </c>
      <c r="H44">
        <v>24</v>
      </c>
      <c r="I44">
        <v>24</v>
      </c>
      <c r="J44" t="s">
        <v>2368</v>
      </c>
      <c r="K44">
        <f>_xlfn.XLOOKUP(Products[[#This Row],[Packing Container]],Containers[Container],Containers[Cost])</f>
        <v>3.8</v>
      </c>
      <c r="M44">
        <v>4</v>
      </c>
      <c r="N44">
        <f>IF(Products[[#This Row],[Unit]]="Bunch",10,0)</f>
        <v>10</v>
      </c>
      <c r="O44">
        <v>30</v>
      </c>
      <c r="P44">
        <f>CrateHaulTime/Products[[#This Row],[Per Crate]]</f>
        <v>3.75</v>
      </c>
      <c r="Q44">
        <f>_xlfn.XLOOKUP(Products[[#This Row],[Wash Type]],Table9[Wash Type],Table9[Seconds])*Products[[#This Row],[Wash Factor]]</f>
        <v>0</v>
      </c>
      <c r="R44">
        <v>10</v>
      </c>
      <c r="S44">
        <v>0</v>
      </c>
      <c r="T44">
        <v>3</v>
      </c>
      <c r="U44">
        <v>0</v>
      </c>
      <c r="V44">
        <v>0</v>
      </c>
      <c r="W44">
        <f>MarketHaulTime/CratesPerMarketLoad/Products[[#This Row],[Per Crate]]</f>
        <v>9.375</v>
      </c>
      <c r="X44" t="s">
        <v>2484</v>
      </c>
      <c r="Y44" s="184"/>
      <c r="Z44" s="184"/>
      <c r="AA44" s="184"/>
      <c r="AB44" s="184"/>
      <c r="AC44" s="184"/>
      <c r="AD44" s="184"/>
      <c r="AE44" s="184"/>
      <c r="AF44" s="184"/>
      <c r="AG44" s="207"/>
      <c r="AH44" s="184"/>
      <c r="AI44" s="184"/>
      <c r="AJ44" s="184"/>
      <c r="AK44" s="184"/>
      <c r="AL44" s="184"/>
      <c r="AM44" s="184"/>
      <c r="AN44" s="184"/>
      <c r="AO44" s="207"/>
      <c r="AP44" s="184"/>
      <c r="AQ44" s="184"/>
      <c r="AR44" s="184"/>
      <c r="AS44" s="184"/>
      <c r="AT44" s="184"/>
      <c r="AU44" s="184"/>
      <c r="AV44" s="184"/>
      <c r="AW44">
        <v>1</v>
      </c>
      <c r="AX44">
        <v>1</v>
      </c>
      <c r="AY44">
        <f>Products[[#This Row],[CSA Portion]]*Products[[#This Row],[CSA Times]]</f>
        <v>1</v>
      </c>
      <c r="AZ44">
        <v>4</v>
      </c>
      <c r="BA44">
        <f>Products[[#This Row],[CSA Need]]*Products[[#This Row],[Market Price]]</f>
        <v>4</v>
      </c>
    </row>
    <row r="45" spans="1:54" hidden="1">
      <c r="A45" t="str">
        <f>Products[[#This Row],[Crop]]&amp;Products[[#This Row],[Product]]&amp;Products[[#This Row],[Unit]]</f>
        <v>ClematisCut FlowerStem</v>
      </c>
      <c r="B45" t="s">
        <v>63</v>
      </c>
      <c r="C45" t="s">
        <v>187</v>
      </c>
      <c r="D45" t="s">
        <v>213</v>
      </c>
      <c r="E45" t="b">
        <v>0</v>
      </c>
      <c r="F45" t="s">
        <v>474</v>
      </c>
      <c r="G45">
        <v>1</v>
      </c>
      <c r="H45">
        <v>35</v>
      </c>
      <c r="I45">
        <v>35</v>
      </c>
      <c r="J45" t="s">
        <v>2367</v>
      </c>
      <c r="K45">
        <f>_xlfn.XLOOKUP(Products[[#This Row],[Packing Container]],Containers[Container],Containers[Cost])</f>
        <v>4</v>
      </c>
      <c r="M45">
        <v>6</v>
      </c>
      <c r="N45">
        <f>IF(Products[[#This Row],[Unit]]="Bunch",10,0)</f>
        <v>0</v>
      </c>
      <c r="O45">
        <v>15</v>
      </c>
      <c r="P45">
        <f>CrateHaulTime/Products[[#This Row],[Per Crate]]</f>
        <v>2.5714285714285716</v>
      </c>
      <c r="Q45">
        <f>_xlfn.XLOOKUP(Products[[#This Row],[Wash Type]],Table9[Wash Type],Table9[Seconds])*Products[[#This Row],[Wash Factor]]</f>
        <v>0</v>
      </c>
      <c r="R45">
        <v>0</v>
      </c>
      <c r="S45">
        <v>8</v>
      </c>
      <c r="T45">
        <v>3</v>
      </c>
      <c r="U45">
        <v>0</v>
      </c>
      <c r="V45">
        <v>0</v>
      </c>
      <c r="W45">
        <f>MarketHaulTime/CratesPerMarketLoad/Products[[#This Row],[Per Crate]]</f>
        <v>6.4285714285714288</v>
      </c>
      <c r="X45" t="s">
        <v>2482</v>
      </c>
      <c r="AY45">
        <f>Products[[#This Row],[CSA Portion]]*Products[[#This Row],[CSA Times]]</f>
        <v>0</v>
      </c>
      <c r="BA45">
        <f>Products[[#This Row],[CSA Need]]*Products[[#This Row],[Market Price]]</f>
        <v>0</v>
      </c>
    </row>
    <row r="46" spans="1:54" hidden="1">
      <c r="A46" t="str">
        <f>Products[[#This Row],[Crop]]&amp;Products[[#This Row],[Product]]&amp;Products[[#This Row],[Unit]]</f>
        <v>Collard GreensLoose LeafBunch</v>
      </c>
      <c r="B46" t="s">
        <v>64</v>
      </c>
      <c r="C46" t="s">
        <v>190</v>
      </c>
      <c r="D46" t="s">
        <v>215</v>
      </c>
      <c r="E46" t="b">
        <v>0</v>
      </c>
      <c r="F46" t="s">
        <v>2386</v>
      </c>
      <c r="G46">
        <v>5</v>
      </c>
      <c r="H46">
        <v>18</v>
      </c>
      <c r="I46">
        <v>12</v>
      </c>
      <c r="J46" s="196" t="s">
        <v>2368</v>
      </c>
      <c r="K46">
        <f>_xlfn.XLOOKUP(Products[[#This Row],[Packing Container]],Containers[Container],Containers[Cost])</f>
        <v>3.8</v>
      </c>
      <c r="M46">
        <v>4</v>
      </c>
      <c r="N46">
        <f>IF(Products[[#This Row],[Unit]]="Bunch",10,0)</f>
        <v>10</v>
      </c>
      <c r="O46">
        <f>3*6</f>
        <v>18</v>
      </c>
      <c r="P46">
        <f>CrateHaulTime/Products[[#This Row],[Per Crate]]</f>
        <v>5</v>
      </c>
      <c r="Q46">
        <f>_xlfn.XLOOKUP(Products[[#This Row],[Wash Type]],Table9[Wash Type],Table9[Seconds])*Products[[#This Row],[Wash Factor]]</f>
        <v>10</v>
      </c>
      <c r="R46">
        <v>10</v>
      </c>
      <c r="S46">
        <v>0</v>
      </c>
      <c r="T46">
        <v>3</v>
      </c>
      <c r="U46">
        <v>0</v>
      </c>
      <c r="V46">
        <v>0</v>
      </c>
      <c r="W46">
        <f>MarketHaulTime/CratesPerMarketLoad/Products[[#This Row],[Per Crate]]</f>
        <v>12.5</v>
      </c>
      <c r="X46" t="s">
        <v>2483</v>
      </c>
      <c r="Y46" s="184"/>
      <c r="Z46" s="184"/>
      <c r="AA46" s="184"/>
      <c r="AB46" s="184"/>
      <c r="AC46" s="184"/>
      <c r="AD46" s="184"/>
      <c r="AE46" s="184"/>
      <c r="AF46" s="184"/>
      <c r="AG46" s="207"/>
      <c r="AH46" s="184"/>
      <c r="AI46" s="184"/>
      <c r="AJ46" s="184"/>
      <c r="AK46" s="184"/>
      <c r="AL46" s="184"/>
      <c r="AM46" s="184"/>
      <c r="AN46" s="184"/>
      <c r="AO46" s="207"/>
      <c r="AP46" s="184"/>
      <c r="AQ46" s="184"/>
      <c r="AR46" s="184"/>
      <c r="AS46" s="184"/>
      <c r="AT46" s="184"/>
      <c r="AU46" s="184"/>
      <c r="AV46" s="184"/>
      <c r="AY46">
        <f>Products[[#This Row],[CSA Portion]]*Products[[#This Row],[CSA Times]]</f>
        <v>0</v>
      </c>
      <c r="BA46">
        <f>Products[[#This Row],[CSA Need]]*Products[[#This Row],[Market Price]]</f>
        <v>0</v>
      </c>
    </row>
    <row r="47" spans="1:54" hidden="1">
      <c r="A47" t="str">
        <f>Products[[#This Row],[Crop]]&amp;Products[[#This Row],[Product]]&amp;Products[[#This Row],[Unit]]</f>
        <v>CabbageMature LeafBunch</v>
      </c>
      <c r="B47" t="s">
        <v>52</v>
      </c>
      <c r="C47" t="s">
        <v>179</v>
      </c>
      <c r="D47" t="s">
        <v>215</v>
      </c>
      <c r="E47" t="b">
        <v>1</v>
      </c>
      <c r="F47" t="s">
        <v>2386</v>
      </c>
      <c r="G47">
        <v>6</v>
      </c>
      <c r="H47">
        <v>12</v>
      </c>
      <c r="I47">
        <v>12</v>
      </c>
      <c r="J47" t="s">
        <v>2368</v>
      </c>
      <c r="K47">
        <f>_xlfn.XLOOKUP(Products[[#This Row],[Packing Container]],Containers[Container],Containers[Cost])</f>
        <v>3.8</v>
      </c>
      <c r="L47">
        <v>7</v>
      </c>
      <c r="M47">
        <v>2</v>
      </c>
      <c r="N47">
        <f>IF(Products[[#This Row],[Unit]]="Bunch",10,0)</f>
        <v>10</v>
      </c>
      <c r="O47">
        <v>15</v>
      </c>
      <c r="P47">
        <f>CrateHaulTime/Products[[#This Row],[Per Crate]]</f>
        <v>7.5</v>
      </c>
      <c r="Q47">
        <f>_xlfn.XLOOKUP(Products[[#This Row],[Wash Type]],Table9[Wash Type],Table9[Seconds])*Products[[#This Row],[Wash Factor]]</f>
        <v>12</v>
      </c>
      <c r="R47">
        <v>0</v>
      </c>
      <c r="S47">
        <v>30</v>
      </c>
      <c r="T47">
        <v>3</v>
      </c>
      <c r="U47">
        <v>0</v>
      </c>
      <c r="V47">
        <v>0</v>
      </c>
      <c r="W47">
        <f>MarketHaulTime/CratesPerMarketLoad/Products[[#This Row],[Per Crate]]</f>
        <v>18.75</v>
      </c>
      <c r="X47" t="s">
        <v>2484</v>
      </c>
      <c r="Y47" s="184"/>
      <c r="Z47" s="184"/>
      <c r="AA47" s="184"/>
      <c r="AB47" s="184"/>
      <c r="AC47" s="184"/>
      <c r="AD47" s="184"/>
      <c r="AE47" s="184"/>
      <c r="AF47" s="184"/>
      <c r="AG47" s="207"/>
      <c r="AH47" s="184"/>
      <c r="AI47" s="184"/>
      <c r="AJ47" s="184"/>
      <c r="AK47" s="184"/>
      <c r="AL47" s="184"/>
      <c r="AM47" s="184"/>
      <c r="AN47" s="184"/>
      <c r="AO47" s="207"/>
      <c r="AP47" s="184"/>
      <c r="AQ47" s="184"/>
      <c r="AR47" s="184"/>
      <c r="AS47" s="184"/>
      <c r="AT47" s="184"/>
      <c r="AU47" s="184"/>
      <c r="AV47" s="184"/>
      <c r="AW47">
        <v>1</v>
      </c>
      <c r="AX47">
        <v>0</v>
      </c>
      <c r="AY47">
        <f>Products[[#This Row],[CSA Portion]]*Products[[#This Row],[CSA Times]]</f>
        <v>0</v>
      </c>
      <c r="BA47">
        <f>Products[[#This Row],[CSA Need]]*Products[[#This Row],[Market Price]]</f>
        <v>0</v>
      </c>
    </row>
    <row r="48" spans="1:54">
      <c r="A48" t="str">
        <f>Products[[#This Row],[Crop]]&amp;Products[[#This Row],[Product]]&amp;Products[[#This Row],[Unit]]</f>
        <v>CilantroLoose LeafBunch</v>
      </c>
      <c r="B48" t="s">
        <v>62</v>
      </c>
      <c r="C48" t="s">
        <v>190</v>
      </c>
      <c r="D48" t="s">
        <v>215</v>
      </c>
      <c r="E48" t="b">
        <v>1</v>
      </c>
      <c r="F48" t="s">
        <v>474</v>
      </c>
      <c r="G48">
        <v>1</v>
      </c>
      <c r="H48">
        <v>36</v>
      </c>
      <c r="I48">
        <v>36</v>
      </c>
      <c r="J48" t="s">
        <v>2368</v>
      </c>
      <c r="K48">
        <f>_xlfn.XLOOKUP(Products[[#This Row],[Packing Container]],Containers[Container],Containers[Cost])</f>
        <v>3.8</v>
      </c>
      <c r="L48">
        <v>0</v>
      </c>
      <c r="M48">
        <v>2</v>
      </c>
      <c r="N48">
        <f>IF(Products[[#This Row],[Unit]]="Bunch",10,0)</f>
        <v>10</v>
      </c>
      <c r="O48">
        <v>10</v>
      </c>
      <c r="P48">
        <f>CrateHaulTime/Products[[#This Row],[Per Crate]]</f>
        <v>2.5</v>
      </c>
      <c r="Q48">
        <f>_xlfn.XLOOKUP(Products[[#This Row],[Wash Type]],Table9[Wash Type],Table9[Seconds])*Products[[#This Row],[Wash Factor]]</f>
        <v>0</v>
      </c>
      <c r="R48">
        <v>0</v>
      </c>
      <c r="S48">
        <v>2</v>
      </c>
      <c r="T48">
        <v>3</v>
      </c>
      <c r="U48">
        <v>0</v>
      </c>
      <c r="V48">
        <v>0</v>
      </c>
      <c r="W48">
        <f>MarketHaulTime/CratesPerMarketLoad/Products[[#This Row],[Per Crate]]</f>
        <v>6.25</v>
      </c>
      <c r="X48" t="s">
        <v>2484</v>
      </c>
      <c r="Y48" s="184"/>
      <c r="Z48" s="184"/>
      <c r="AA48" s="184"/>
      <c r="AB48" s="184"/>
      <c r="AC48" s="184"/>
      <c r="AD48" s="184"/>
      <c r="AE48" s="184"/>
      <c r="AF48" s="184"/>
      <c r="AG48" s="207"/>
      <c r="AH48" s="184"/>
      <c r="AI48" s="184"/>
      <c r="AJ48" s="184"/>
      <c r="AK48" s="184"/>
      <c r="AL48" s="184"/>
      <c r="AM48" s="184"/>
      <c r="AN48" s="184"/>
      <c r="AO48" s="207"/>
      <c r="AP48" s="184"/>
      <c r="AQ48" s="184"/>
      <c r="AR48" s="184"/>
      <c r="AS48" s="184"/>
      <c r="AT48" s="184"/>
      <c r="AU48" s="184"/>
      <c r="AV48" s="184"/>
      <c r="AW48">
        <v>1</v>
      </c>
      <c r="AX48">
        <v>5</v>
      </c>
      <c r="AY48">
        <f>Products[[#This Row],[CSA Portion]]*Products[[#This Row],[CSA Times]]</f>
        <v>5</v>
      </c>
      <c r="AZ48">
        <v>3</v>
      </c>
      <c r="BA48">
        <f>Products[[#This Row],[CSA Need]]*Products[[#This Row],[Market Price]]</f>
        <v>15</v>
      </c>
    </row>
    <row r="49" spans="1:53" hidden="1">
      <c r="A49" t="str">
        <f>Products[[#This Row],[Crop]]&amp;Products[[#This Row],[Product]]&amp;Products[[#This Row],[Unit]]</f>
        <v>CosmosCut FlowerStem</v>
      </c>
      <c r="B49" t="s">
        <v>67</v>
      </c>
      <c r="C49" t="s">
        <v>187</v>
      </c>
      <c r="D49" t="s">
        <v>213</v>
      </c>
      <c r="E49" t="b">
        <v>1</v>
      </c>
      <c r="F49" t="s">
        <v>474</v>
      </c>
      <c r="G49">
        <v>1</v>
      </c>
      <c r="H49">
        <v>60</v>
      </c>
      <c r="I49">
        <v>60</v>
      </c>
      <c r="J49" t="s">
        <v>2367</v>
      </c>
      <c r="K49">
        <f>_xlfn.XLOOKUP(Products[[#This Row],[Packing Container]],Containers[Container],Containers[Cost])</f>
        <v>4</v>
      </c>
      <c r="M49">
        <v>6</v>
      </c>
      <c r="N49">
        <f>IF(Products[[#This Row],[Unit]]="Bunch",10,0)</f>
        <v>0</v>
      </c>
      <c r="O49">
        <v>15</v>
      </c>
      <c r="P49">
        <f>CrateHaulTime/Products[[#This Row],[Per Crate]]</f>
        <v>1.5</v>
      </c>
      <c r="Q49">
        <f>_xlfn.XLOOKUP(Products[[#This Row],[Wash Type]],Table9[Wash Type],Table9[Seconds])*Products[[#This Row],[Wash Factor]]</f>
        <v>0</v>
      </c>
      <c r="R49">
        <v>0</v>
      </c>
      <c r="S49">
        <v>3</v>
      </c>
      <c r="T49">
        <v>3</v>
      </c>
      <c r="U49">
        <v>0</v>
      </c>
      <c r="V49">
        <v>0</v>
      </c>
      <c r="W49">
        <f>MarketHaulTime/CratesPerMarketLoad/Products[[#This Row],[Per Crate]]</f>
        <v>3.75</v>
      </c>
      <c r="X49" t="s">
        <v>2482</v>
      </c>
      <c r="AY49">
        <f>Products[[#This Row],[CSA Portion]]*Products[[#This Row],[CSA Times]]</f>
        <v>0</v>
      </c>
      <c r="BA49">
        <f>Products[[#This Row],[CSA Need]]*Products[[#This Row],[Market Price]]</f>
        <v>0</v>
      </c>
    </row>
    <row r="50" spans="1:53" hidden="1">
      <c r="A50" t="str">
        <f>Products[[#This Row],[Crop]]&amp;Products[[#This Row],[Product]]&amp;Products[[#This Row],[Unit]]</f>
        <v>CressMature StemsStem</v>
      </c>
      <c r="B50" t="s">
        <v>1777</v>
      </c>
      <c r="C50" t="s">
        <v>1779</v>
      </c>
      <c r="D50" t="s">
        <v>213</v>
      </c>
      <c r="E50" t="b">
        <v>1</v>
      </c>
      <c r="F50" t="s">
        <v>474</v>
      </c>
      <c r="G50">
        <v>1</v>
      </c>
      <c r="H50">
        <v>60</v>
      </c>
      <c r="I50">
        <v>60</v>
      </c>
      <c r="J50" t="s">
        <v>2367</v>
      </c>
      <c r="K50">
        <f>_xlfn.XLOOKUP(Products[[#This Row],[Packing Container]],Containers[Container],Containers[Cost])</f>
        <v>4</v>
      </c>
      <c r="M50">
        <v>6</v>
      </c>
      <c r="N50">
        <f>IF(Products[[#This Row],[Unit]]="Bunch",10,0)</f>
        <v>0</v>
      </c>
      <c r="O50">
        <v>15</v>
      </c>
      <c r="P50">
        <f>CrateHaulTime/Products[[#This Row],[Per Crate]]</f>
        <v>1.5</v>
      </c>
      <c r="Q50">
        <f>_xlfn.XLOOKUP(Products[[#This Row],[Wash Type]],Table9[Wash Type],Table9[Seconds])*Products[[#This Row],[Wash Factor]]</f>
        <v>0</v>
      </c>
      <c r="R50">
        <v>0</v>
      </c>
      <c r="S50">
        <v>3</v>
      </c>
      <c r="T50">
        <v>3</v>
      </c>
      <c r="U50">
        <v>0</v>
      </c>
      <c r="V50">
        <v>0</v>
      </c>
      <c r="W50">
        <f>MarketHaulTime/CratesPerMarketLoad/Products[[#This Row],[Per Crate]]</f>
        <v>3.75</v>
      </c>
      <c r="X50" t="s">
        <v>2482</v>
      </c>
      <c r="AY50">
        <f>Products[[#This Row],[CSA Portion]]*Products[[#This Row],[CSA Times]]</f>
        <v>0</v>
      </c>
      <c r="BA50">
        <f>Products[[#This Row],[CSA Need]]*Products[[#This Row],[Market Price]]</f>
        <v>0</v>
      </c>
    </row>
    <row r="51" spans="1:53" hidden="1">
      <c r="A51" t="str">
        <f>Products[[#This Row],[Crop]]&amp;Products[[#This Row],[Product]]&amp;Products[[#This Row],[Unit]]</f>
        <v>CrosnesMature Rootlb</v>
      </c>
      <c r="B51" t="s">
        <v>69</v>
      </c>
      <c r="C51" t="s">
        <v>185</v>
      </c>
      <c r="D51" t="s">
        <v>397</v>
      </c>
      <c r="E51" t="b">
        <v>0</v>
      </c>
      <c r="F51" t="s">
        <v>443</v>
      </c>
      <c r="G51">
        <v>6</v>
      </c>
      <c r="H51">
        <v>40</v>
      </c>
      <c r="I51">
        <v>25</v>
      </c>
      <c r="J51" s="196" t="s">
        <v>2368</v>
      </c>
      <c r="K51">
        <f>_xlfn.XLOOKUP(Products[[#This Row],[Packing Container]],Containers[Container],Containers[Cost])</f>
        <v>3.8</v>
      </c>
      <c r="M51">
        <v>5</v>
      </c>
      <c r="N51">
        <f>IF(Products[[#This Row],[Unit]]="Bunch",10,0)</f>
        <v>0</v>
      </c>
      <c r="O51">
        <v>180</v>
      </c>
      <c r="P51">
        <f>CrateHaulTime/Products[[#This Row],[Per Crate]]</f>
        <v>2.25</v>
      </c>
      <c r="Q51">
        <f>_xlfn.XLOOKUP(Products[[#This Row],[Wash Type]],Table9[Wash Type],Table9[Seconds])*Products[[#This Row],[Wash Factor]]</f>
        <v>30</v>
      </c>
      <c r="R51">
        <v>0</v>
      </c>
      <c r="S51">
        <v>0</v>
      </c>
      <c r="T51">
        <v>3</v>
      </c>
      <c r="U51">
        <v>0</v>
      </c>
      <c r="V51">
        <v>0</v>
      </c>
      <c r="W51">
        <f>MarketHaulTime/CratesPerMarketLoad/Products[[#This Row],[Per Crate]]</f>
        <v>5.625</v>
      </c>
      <c r="X51" t="s">
        <v>2482</v>
      </c>
      <c r="AY51">
        <f>Products[[#This Row],[CSA Portion]]*Products[[#This Row],[CSA Times]]</f>
        <v>0</v>
      </c>
      <c r="BA51">
        <f>Products[[#This Row],[CSA Need]]*Products[[#This Row],[Market Price]]</f>
        <v>0</v>
      </c>
    </row>
    <row r="52" spans="1:53">
      <c r="A52" t="str">
        <f>Products[[#This Row],[Crop]]&amp;Products[[#This Row],[Product]]&amp;Products[[#This Row],[Unit]]</f>
        <v>Corn Mature CobCobs</v>
      </c>
      <c r="B52" t="s">
        <v>325</v>
      </c>
      <c r="C52" t="s">
        <v>326</v>
      </c>
      <c r="D52" t="s">
        <v>1302</v>
      </c>
      <c r="E52" t="b">
        <v>1</v>
      </c>
      <c r="F52" t="s">
        <v>474</v>
      </c>
      <c r="G52">
        <v>1</v>
      </c>
      <c r="H52">
        <v>24</v>
      </c>
      <c r="I52">
        <v>24</v>
      </c>
      <c r="J52" t="s">
        <v>2368</v>
      </c>
      <c r="K52">
        <f>_xlfn.XLOOKUP(Products[[#This Row],[Packing Container]],Containers[Container],Containers[Cost])</f>
        <v>3.8</v>
      </c>
      <c r="L52">
        <v>0</v>
      </c>
      <c r="M52">
        <v>3</v>
      </c>
      <c r="N52">
        <f>IF(Products[[#This Row],[Unit]]="Bunch",10,0)</f>
        <v>0</v>
      </c>
      <c r="O52">
        <v>10</v>
      </c>
      <c r="P52">
        <f>CrateHaulTime/Products[[#This Row],[Per Crate]]</f>
        <v>3.75</v>
      </c>
      <c r="Q52">
        <f>_xlfn.XLOOKUP(Products[[#This Row],[Wash Type]],Table9[Wash Type],Table9[Seconds])*Products[[#This Row],[Wash Factor]]</f>
        <v>0</v>
      </c>
      <c r="R52">
        <v>0</v>
      </c>
      <c r="S52">
        <v>0</v>
      </c>
      <c r="T52">
        <v>3</v>
      </c>
      <c r="U52">
        <v>0</v>
      </c>
      <c r="V52">
        <v>0</v>
      </c>
      <c r="W52">
        <f>MarketHaulTime/CratesPerMarketLoad/Products[[#This Row],[Per Crate]]</f>
        <v>9.375</v>
      </c>
      <c r="X52" t="s">
        <v>2484</v>
      </c>
      <c r="AG52" s="207"/>
      <c r="AK52" s="184"/>
      <c r="AL52" s="184"/>
      <c r="AM52" s="184"/>
      <c r="AN52" s="184"/>
      <c r="AO52" s="207"/>
      <c r="AP52" s="184"/>
      <c r="AQ52" s="184"/>
      <c r="AR52" s="184"/>
      <c r="AW52">
        <v>2</v>
      </c>
      <c r="AX52">
        <v>2</v>
      </c>
      <c r="AY52">
        <f>Products[[#This Row],[CSA Portion]]*Products[[#This Row],[CSA Times]]</f>
        <v>4</v>
      </c>
      <c r="AZ52">
        <v>2</v>
      </c>
      <c r="BA52">
        <f>Products[[#This Row],[CSA Need]]*Products[[#This Row],[Market Price]]</f>
        <v>8</v>
      </c>
    </row>
    <row r="53" spans="1:53">
      <c r="A53" t="str">
        <f>Products[[#This Row],[Crop]]&amp;Products[[#This Row],[Product]]&amp;Products[[#This Row],[Unit]]</f>
        <v>Corn SaladMature HeadLb</v>
      </c>
      <c r="B53" t="s">
        <v>66</v>
      </c>
      <c r="C53" t="s">
        <v>186</v>
      </c>
      <c r="D53" t="s">
        <v>383</v>
      </c>
      <c r="E53" t="b">
        <v>1</v>
      </c>
      <c r="F53" t="s">
        <v>2384</v>
      </c>
      <c r="G53">
        <v>8</v>
      </c>
      <c r="H53">
        <v>10</v>
      </c>
      <c r="I53">
        <v>10</v>
      </c>
      <c r="J53" t="s">
        <v>2368</v>
      </c>
      <c r="K53">
        <f>_xlfn.XLOOKUP(Products[[#This Row],[Packing Container]],Containers[Container],Containers[Cost])</f>
        <v>3.8</v>
      </c>
      <c r="L53">
        <v>7</v>
      </c>
      <c r="M53">
        <v>3</v>
      </c>
      <c r="N53">
        <f>IF(Products[[#This Row],[Unit]]="Bunch",10,0)</f>
        <v>0</v>
      </c>
      <c r="O53">
        <f>80</f>
        <v>80</v>
      </c>
      <c r="P53">
        <f>CrateHaulTime/Products[[#This Row],[Per Crate]]</f>
        <v>9</v>
      </c>
      <c r="Q53">
        <f>_xlfn.XLOOKUP(Products[[#This Row],[Wash Type]],Table9[Wash Type],Table9[Seconds])*Products[[#This Row],[Wash Factor]]</f>
        <v>480</v>
      </c>
      <c r="R53">
        <v>0</v>
      </c>
      <c r="S53">
        <v>180</v>
      </c>
      <c r="T53">
        <v>3</v>
      </c>
      <c r="U53">
        <v>0</v>
      </c>
      <c r="V53">
        <v>0</v>
      </c>
      <c r="W53">
        <f>MarketHaulTime/CratesPerMarketLoad/Products[[#This Row],[Per Crate]]</f>
        <v>22.5</v>
      </c>
      <c r="X53" t="s">
        <v>2484</v>
      </c>
      <c r="AG53" s="207"/>
      <c r="AH53" s="184"/>
      <c r="AO53" s="207"/>
      <c r="AS53" s="184"/>
      <c r="AT53" s="184"/>
      <c r="AU53" s="184"/>
      <c r="AV53" s="184"/>
      <c r="AW53">
        <v>0.5</v>
      </c>
      <c r="AX53">
        <v>0</v>
      </c>
      <c r="AY53">
        <f>Products[[#This Row],[CSA Portion]]*Products[[#This Row],[CSA Times]]</f>
        <v>0</v>
      </c>
      <c r="AZ53">
        <v>10</v>
      </c>
      <c r="BA53">
        <f>Products[[#This Row],[CSA Need]]*Products[[#This Row],[Market Price]]</f>
        <v>0</v>
      </c>
    </row>
    <row r="54" spans="1:53">
      <c r="A54" t="str">
        <f>Products[[#This Row],[Crop]]&amp;Products[[#This Row],[Product]]&amp;Products[[#This Row],[Unit]]</f>
        <v>CucumberLarge FruitFruit</v>
      </c>
      <c r="B54" t="s">
        <v>70</v>
      </c>
      <c r="C54" t="s">
        <v>2362</v>
      </c>
      <c r="D54" t="s">
        <v>1303</v>
      </c>
      <c r="E54" t="b">
        <v>1</v>
      </c>
      <c r="F54" t="s">
        <v>474</v>
      </c>
      <c r="G54">
        <v>1</v>
      </c>
      <c r="H54">
        <v>25</v>
      </c>
      <c r="I54">
        <v>25</v>
      </c>
      <c r="J54" t="s">
        <v>2368</v>
      </c>
      <c r="K54">
        <f>_xlfn.XLOOKUP(Products[[#This Row],[Packing Container]],Containers[Container],Containers[Cost])</f>
        <v>3.8</v>
      </c>
      <c r="L54">
        <v>4</v>
      </c>
      <c r="M54">
        <v>1</v>
      </c>
      <c r="N54">
        <f>IF(Products[[#This Row],[Unit]]="Bunch",10,0)</f>
        <v>0</v>
      </c>
      <c r="O54">
        <v>10</v>
      </c>
      <c r="P54">
        <f>CrateHaulTime/Products[[#This Row],[Per Crate]]</f>
        <v>3.6</v>
      </c>
      <c r="Q54">
        <f>_xlfn.XLOOKUP(Products[[#This Row],[Wash Type]],Table9[Wash Type],Table9[Seconds])*Products[[#This Row],[Wash Factor]]</f>
        <v>0</v>
      </c>
      <c r="R54">
        <v>0</v>
      </c>
      <c r="S54">
        <v>0</v>
      </c>
      <c r="T54">
        <v>3</v>
      </c>
      <c r="U54">
        <v>0</v>
      </c>
      <c r="V54">
        <v>0</v>
      </c>
      <c r="W54">
        <f>MarketHaulTime/CratesPerMarketLoad/Products[[#This Row],[Per Crate]]</f>
        <v>9</v>
      </c>
      <c r="X54" t="s">
        <v>2484</v>
      </c>
      <c r="AG54" s="207"/>
      <c r="AH54" s="184"/>
      <c r="AI54" s="184"/>
      <c r="AJ54" s="184"/>
      <c r="AK54" s="184"/>
      <c r="AL54" s="184"/>
      <c r="AM54" s="184"/>
      <c r="AN54" s="184"/>
      <c r="AO54" s="207"/>
      <c r="AP54" s="184"/>
      <c r="AQ54" s="184"/>
      <c r="AR54" s="184"/>
      <c r="AW54">
        <v>2</v>
      </c>
      <c r="AX54">
        <v>6</v>
      </c>
      <c r="AY54">
        <f>Products[[#This Row],[CSA Portion]]*Products[[#This Row],[CSA Times]]</f>
        <v>12</v>
      </c>
      <c r="AZ54">
        <v>3</v>
      </c>
      <c r="BA54">
        <f>Products[[#This Row],[CSA Need]]*Products[[#This Row],[Market Price]]</f>
        <v>36</v>
      </c>
    </row>
    <row r="55" spans="1:53" hidden="1">
      <c r="A55" t="str">
        <f>Products[[#This Row],[Crop]]&amp;Products[[#This Row],[Product]]&amp;Products[[#This Row],[Unit]]</f>
        <v>DahliaMature StemStem</v>
      </c>
      <c r="B55" t="s">
        <v>71</v>
      </c>
      <c r="C55" t="s">
        <v>181</v>
      </c>
      <c r="D55" t="s">
        <v>213</v>
      </c>
      <c r="E55" t="b">
        <v>1</v>
      </c>
      <c r="F55" t="s">
        <v>474</v>
      </c>
      <c r="G55">
        <v>1</v>
      </c>
      <c r="H55">
        <v>30</v>
      </c>
      <c r="I55">
        <v>30</v>
      </c>
      <c r="J55" t="s">
        <v>2367</v>
      </c>
      <c r="K55">
        <f>_xlfn.XLOOKUP(Products[[#This Row],[Packing Container]],Containers[Container],Containers[Cost])</f>
        <v>4</v>
      </c>
      <c r="M55">
        <v>6</v>
      </c>
      <c r="N55">
        <f>IF(Products[[#This Row],[Unit]]="Bunch",10,0)</f>
        <v>0</v>
      </c>
      <c r="O55">
        <v>10</v>
      </c>
      <c r="P55">
        <f>CrateHaulTime/Products[[#This Row],[Per Crate]]</f>
        <v>3</v>
      </c>
      <c r="Q55">
        <f>_xlfn.XLOOKUP(Products[[#This Row],[Wash Type]],Table9[Wash Type],Table9[Seconds])*Products[[#This Row],[Wash Factor]]</f>
        <v>0</v>
      </c>
      <c r="R55">
        <v>0</v>
      </c>
      <c r="S55">
        <v>15</v>
      </c>
      <c r="T55">
        <v>3</v>
      </c>
      <c r="U55">
        <v>0</v>
      </c>
      <c r="V55">
        <v>0</v>
      </c>
      <c r="W55">
        <f>MarketHaulTime/CratesPerMarketLoad/Products[[#This Row],[Per Crate]]</f>
        <v>7.5</v>
      </c>
      <c r="X55" t="s">
        <v>2482</v>
      </c>
      <c r="AY55">
        <f>Products[[#This Row],[CSA Portion]]*Products[[#This Row],[CSA Times]]</f>
        <v>0</v>
      </c>
      <c r="BA55">
        <f>Products[[#This Row],[CSA Need]]*Products[[#This Row],[Market Price]]</f>
        <v>0</v>
      </c>
    </row>
    <row r="56" spans="1:53" hidden="1">
      <c r="A56" t="str">
        <f>Products[[#This Row],[Crop]]&amp;Products[[#This Row],[Product]]&amp;Products[[#This Row],[Unit]]</f>
        <v>DelphiniumMature StemStem</v>
      </c>
      <c r="B56" t="s">
        <v>73</v>
      </c>
      <c r="C56" t="s">
        <v>181</v>
      </c>
      <c r="D56" t="s">
        <v>213</v>
      </c>
      <c r="E56" t="b">
        <v>0</v>
      </c>
      <c r="F56" t="s">
        <v>474</v>
      </c>
      <c r="G56">
        <v>1</v>
      </c>
      <c r="H56">
        <v>50</v>
      </c>
      <c r="I56">
        <v>50</v>
      </c>
      <c r="J56" t="s">
        <v>2367</v>
      </c>
      <c r="K56">
        <f>_xlfn.XLOOKUP(Products[[#This Row],[Packing Container]],Containers[Container],Containers[Cost])</f>
        <v>4</v>
      </c>
      <c r="M56">
        <v>6</v>
      </c>
      <c r="N56">
        <f>IF(Products[[#This Row],[Unit]]="Bunch",10,0)</f>
        <v>0</v>
      </c>
      <c r="O56">
        <v>5</v>
      </c>
      <c r="P56">
        <f>CrateHaulTime/Products[[#This Row],[Per Crate]]</f>
        <v>1.8</v>
      </c>
      <c r="Q56">
        <f>_xlfn.XLOOKUP(Products[[#This Row],[Wash Type]],Table9[Wash Type],Table9[Seconds])*Products[[#This Row],[Wash Factor]]</f>
        <v>0</v>
      </c>
      <c r="R56">
        <v>0</v>
      </c>
      <c r="S56">
        <v>3</v>
      </c>
      <c r="T56">
        <v>3</v>
      </c>
      <c r="U56">
        <v>0</v>
      </c>
      <c r="V56">
        <v>0</v>
      </c>
      <c r="W56">
        <f>MarketHaulTime/CratesPerMarketLoad/Products[[#This Row],[Per Crate]]</f>
        <v>4.5</v>
      </c>
      <c r="X56" t="s">
        <v>2482</v>
      </c>
      <c r="AY56">
        <f>Products[[#This Row],[CSA Portion]]*Products[[#This Row],[CSA Times]]</f>
        <v>0</v>
      </c>
      <c r="BA56">
        <f>Products[[#This Row],[CSA Need]]*Products[[#This Row],[Market Price]]</f>
        <v>0</v>
      </c>
    </row>
    <row r="57" spans="1:53" hidden="1">
      <c r="A57" t="str">
        <f>Products[[#This Row],[Crop]]&amp;Products[[#This Row],[Product]]&amp;Products[[#This Row],[Unit]]</f>
        <v>DianthusMature StemStem</v>
      </c>
      <c r="B57" t="s">
        <v>74</v>
      </c>
      <c r="C57" t="s">
        <v>181</v>
      </c>
      <c r="D57" t="s">
        <v>213</v>
      </c>
      <c r="E57" t="b">
        <v>1</v>
      </c>
      <c r="F57" t="s">
        <v>474</v>
      </c>
      <c r="G57">
        <v>1</v>
      </c>
      <c r="H57">
        <v>50</v>
      </c>
      <c r="I57">
        <v>50</v>
      </c>
      <c r="J57" t="s">
        <v>2367</v>
      </c>
      <c r="K57">
        <f>_xlfn.XLOOKUP(Products[[#This Row],[Packing Container]],Containers[Container],Containers[Cost])</f>
        <v>4</v>
      </c>
      <c r="M57">
        <v>6</v>
      </c>
      <c r="N57">
        <f>IF(Products[[#This Row],[Unit]]="Bunch",10,0)</f>
        <v>0</v>
      </c>
      <c r="O57">
        <v>5</v>
      </c>
      <c r="P57">
        <f>CrateHaulTime/Products[[#This Row],[Per Crate]]</f>
        <v>1.8</v>
      </c>
      <c r="Q57">
        <f>_xlfn.XLOOKUP(Products[[#This Row],[Wash Type]],Table9[Wash Type],Table9[Seconds])*Products[[#This Row],[Wash Factor]]</f>
        <v>0</v>
      </c>
      <c r="R57">
        <v>0</v>
      </c>
      <c r="S57">
        <v>15</v>
      </c>
      <c r="T57">
        <v>3</v>
      </c>
      <c r="U57">
        <v>0</v>
      </c>
      <c r="V57">
        <v>0</v>
      </c>
      <c r="W57">
        <f>MarketHaulTime/CratesPerMarketLoad/Products[[#This Row],[Per Crate]]</f>
        <v>4.5</v>
      </c>
      <c r="X57" t="s">
        <v>2482</v>
      </c>
      <c r="AY57">
        <f>Products[[#This Row],[CSA Portion]]*Products[[#This Row],[CSA Times]]</f>
        <v>0</v>
      </c>
      <c r="BA57">
        <f>Products[[#This Row],[CSA Need]]*Products[[#This Row],[Market Price]]</f>
        <v>0</v>
      </c>
    </row>
    <row r="58" spans="1:53">
      <c r="A58" t="str">
        <f>Products[[#This Row],[Crop]]&amp;Products[[#This Row],[Product]]&amp;Products[[#This Row],[Unit]]</f>
        <v>CucumberSmall FruitFruit</v>
      </c>
      <c r="B58" t="s">
        <v>70</v>
      </c>
      <c r="C58" t="s">
        <v>2363</v>
      </c>
      <c r="D58" t="s">
        <v>1303</v>
      </c>
      <c r="E58" t="b">
        <v>1</v>
      </c>
      <c r="F58" t="s">
        <v>474</v>
      </c>
      <c r="G58">
        <v>1</v>
      </c>
      <c r="H58">
        <v>50</v>
      </c>
      <c r="I58">
        <v>50</v>
      </c>
      <c r="J58" t="s">
        <v>2368</v>
      </c>
      <c r="K58">
        <f>_xlfn.XLOOKUP(Products[[#This Row],[Packing Container]],Containers[Container],Containers[Cost])</f>
        <v>3.8</v>
      </c>
      <c r="L58">
        <v>4</v>
      </c>
      <c r="M58">
        <v>1</v>
      </c>
      <c r="N58">
        <f>IF(Products[[#This Row],[Unit]]="Bunch",10,0)</f>
        <v>0</v>
      </c>
      <c r="O58">
        <v>10</v>
      </c>
      <c r="P58">
        <f>CrateHaulTime/Products[[#This Row],[Per Crate]]</f>
        <v>1.8</v>
      </c>
      <c r="Q58">
        <f>_xlfn.XLOOKUP(Products[[#This Row],[Wash Type]],Table9[Wash Type],Table9[Seconds])*Products[[#This Row],[Wash Factor]]</f>
        <v>0</v>
      </c>
      <c r="R58">
        <v>0</v>
      </c>
      <c r="S58">
        <v>0</v>
      </c>
      <c r="T58">
        <v>3</v>
      </c>
      <c r="U58">
        <v>0</v>
      </c>
      <c r="V58">
        <v>0</v>
      </c>
      <c r="W58">
        <f>MarketHaulTime/CratesPerMarketLoad/Products[[#This Row],[Per Crate]]</f>
        <v>4.5</v>
      </c>
      <c r="X58" t="s">
        <v>2484</v>
      </c>
      <c r="AG58" s="207"/>
      <c r="AH58" s="184"/>
      <c r="AI58" s="184"/>
      <c r="AJ58" s="184"/>
      <c r="AK58" s="184"/>
      <c r="AL58" s="184"/>
      <c r="AM58" s="184"/>
      <c r="AN58" s="184"/>
      <c r="AO58" s="207"/>
      <c r="AP58" s="184"/>
      <c r="AQ58" s="184"/>
      <c r="AR58" s="184"/>
      <c r="AW58">
        <v>4</v>
      </c>
      <c r="AX58">
        <v>2</v>
      </c>
      <c r="AY58">
        <f>Products[[#This Row],[CSA Portion]]*Products[[#This Row],[CSA Times]]</f>
        <v>8</v>
      </c>
      <c r="AZ58">
        <v>1</v>
      </c>
      <c r="BA58">
        <f>Products[[#This Row],[CSA Need]]*Products[[#This Row],[Market Price]]</f>
        <v>8</v>
      </c>
    </row>
    <row r="59" spans="1:53" hidden="1">
      <c r="A59" t="str">
        <f>Products[[#This Row],[Crop]]&amp;Products[[#This Row],[Product]]&amp;Products[[#This Row],[Unit]]</f>
        <v>DillMature StemStem</v>
      </c>
      <c r="B59" t="s">
        <v>75</v>
      </c>
      <c r="C59" t="s">
        <v>181</v>
      </c>
      <c r="D59" t="s">
        <v>213</v>
      </c>
      <c r="E59" t="b">
        <v>1</v>
      </c>
      <c r="F59" t="s">
        <v>474</v>
      </c>
      <c r="G59">
        <v>1</v>
      </c>
      <c r="H59">
        <v>50</v>
      </c>
      <c r="I59">
        <v>50</v>
      </c>
      <c r="J59" t="s">
        <v>2367</v>
      </c>
      <c r="K59">
        <f>_xlfn.XLOOKUP(Products[[#This Row],[Packing Container]],Containers[Container],Containers[Cost])</f>
        <v>4</v>
      </c>
      <c r="M59">
        <v>6</v>
      </c>
      <c r="N59">
        <f>IF(Products[[#This Row],[Unit]]="Bunch",10,0)</f>
        <v>0</v>
      </c>
      <c r="O59">
        <v>5</v>
      </c>
      <c r="P59">
        <f>CrateHaulTime/Products[[#This Row],[Per Crate]]</f>
        <v>1.8</v>
      </c>
      <c r="Q59">
        <f>_xlfn.XLOOKUP(Products[[#This Row],[Wash Type]],Table9[Wash Type],Table9[Seconds])*Products[[#This Row],[Wash Factor]]</f>
        <v>0</v>
      </c>
      <c r="R59">
        <v>0</v>
      </c>
      <c r="S59">
        <v>3</v>
      </c>
      <c r="T59">
        <v>3</v>
      </c>
      <c r="U59">
        <v>0</v>
      </c>
      <c r="V59">
        <v>0</v>
      </c>
      <c r="W59">
        <f>MarketHaulTime/CratesPerMarketLoad/Products[[#This Row],[Per Crate]]</f>
        <v>4.5</v>
      </c>
      <c r="X59" t="s">
        <v>2482</v>
      </c>
      <c r="AY59">
        <f>Products[[#This Row],[CSA Portion]]*Products[[#This Row],[CSA Times]]</f>
        <v>0</v>
      </c>
      <c r="BA59">
        <f>Products[[#This Row],[CSA Need]]*Products[[#This Row],[Market Price]]</f>
        <v>0</v>
      </c>
    </row>
    <row r="60" spans="1:53" hidden="1">
      <c r="A60" t="str">
        <f>Products[[#This Row],[Crop]]&amp;Products[[#This Row],[Product]]&amp;Products[[#This Row],[Unit]]</f>
        <v>DropmoreMature StemStem</v>
      </c>
      <c r="B60" t="s">
        <v>142</v>
      </c>
      <c r="C60" t="s">
        <v>181</v>
      </c>
      <c r="D60" t="s">
        <v>213</v>
      </c>
      <c r="E60" t="b">
        <v>1</v>
      </c>
      <c r="F60" t="s">
        <v>474</v>
      </c>
      <c r="G60">
        <v>1</v>
      </c>
      <c r="H60">
        <v>25</v>
      </c>
      <c r="I60">
        <v>25</v>
      </c>
      <c r="J60" t="s">
        <v>2367</v>
      </c>
      <c r="K60">
        <f>_xlfn.XLOOKUP(Products[[#This Row],[Packing Container]],Containers[Container],Containers[Cost])</f>
        <v>4</v>
      </c>
      <c r="M60">
        <v>6</v>
      </c>
      <c r="N60">
        <f>IF(Products[[#This Row],[Unit]]="Bunch",10,0)</f>
        <v>0</v>
      </c>
      <c r="O60">
        <v>10</v>
      </c>
      <c r="P60">
        <f>CrateHaulTime/Products[[#This Row],[Per Crate]]</f>
        <v>3.6</v>
      </c>
      <c r="Q60">
        <f>_xlfn.XLOOKUP(Products[[#This Row],[Wash Type]],Table9[Wash Type],Table9[Seconds])*Products[[#This Row],[Wash Factor]]</f>
        <v>0</v>
      </c>
      <c r="R60">
        <v>0</v>
      </c>
      <c r="S60">
        <v>10</v>
      </c>
      <c r="T60">
        <v>3</v>
      </c>
      <c r="U60">
        <v>0</v>
      </c>
      <c r="V60">
        <v>0</v>
      </c>
      <c r="W60">
        <f>MarketHaulTime/CratesPerMarketLoad/Products[[#This Row],[Per Crate]]</f>
        <v>9</v>
      </c>
      <c r="X60" t="s">
        <v>2482</v>
      </c>
      <c r="AY60">
        <f>Products[[#This Row],[CSA Portion]]*Products[[#This Row],[CSA Times]]</f>
        <v>0</v>
      </c>
      <c r="BA60">
        <f>Products[[#This Row],[CSA Need]]*Products[[#This Row],[Market Price]]</f>
        <v>0</v>
      </c>
    </row>
    <row r="61" spans="1:53" hidden="1">
      <c r="A61" t="str">
        <f>Products[[#This Row],[Crop]]&amp;Products[[#This Row],[Product]]&amp;Products[[#This Row],[Unit]]</f>
        <v>EggplantRipe FruitLb</v>
      </c>
      <c r="B61" t="s">
        <v>76</v>
      </c>
      <c r="C61" t="s">
        <v>191</v>
      </c>
      <c r="D61" t="s">
        <v>383</v>
      </c>
      <c r="E61" t="b">
        <v>1</v>
      </c>
      <c r="F61" t="s">
        <v>474</v>
      </c>
      <c r="G61">
        <v>1</v>
      </c>
      <c r="H61">
        <v>20</v>
      </c>
      <c r="I61">
        <v>20</v>
      </c>
      <c r="J61" t="s">
        <v>2368</v>
      </c>
      <c r="K61">
        <f>_xlfn.XLOOKUP(Products[[#This Row],[Packing Container]],Containers[Container],Containers[Cost])</f>
        <v>3.8</v>
      </c>
      <c r="M61">
        <v>3</v>
      </c>
      <c r="N61">
        <f>IF(Products[[#This Row],[Unit]]="Bunch",10,0)</f>
        <v>0</v>
      </c>
      <c r="O61">
        <v>15</v>
      </c>
      <c r="P61">
        <f>CrateHaulTime/Products[[#This Row],[Per Crate]]</f>
        <v>4.5</v>
      </c>
      <c r="Q61">
        <f>_xlfn.XLOOKUP(Products[[#This Row],[Wash Type]],Table9[Wash Type],Table9[Seconds])*Products[[#This Row],[Wash Factor]]</f>
        <v>0</v>
      </c>
      <c r="R61">
        <v>0</v>
      </c>
      <c r="S61">
        <v>0</v>
      </c>
      <c r="T61">
        <v>3</v>
      </c>
      <c r="U61">
        <v>0</v>
      </c>
      <c r="V61">
        <v>0</v>
      </c>
      <c r="W61">
        <f>MarketHaulTime/CratesPerMarketLoad/Products[[#This Row],[Per Crate]]</f>
        <v>11.25</v>
      </c>
      <c r="X61" t="s">
        <v>2483</v>
      </c>
      <c r="AG61" s="207"/>
      <c r="AI61" s="184"/>
      <c r="AJ61" s="184"/>
      <c r="AK61" s="184"/>
      <c r="AL61" s="184"/>
      <c r="AM61" s="184"/>
      <c r="AN61" s="184"/>
      <c r="AO61" s="207"/>
      <c r="AP61" s="184"/>
      <c r="AQ61" s="184"/>
      <c r="AR61" s="184"/>
      <c r="AS61" s="184"/>
      <c r="AT61" s="184"/>
      <c r="AY61">
        <f>Products[[#This Row],[CSA Portion]]*Products[[#This Row],[CSA Times]]</f>
        <v>0</v>
      </c>
      <c r="BA61">
        <f>Products[[#This Row],[CSA Need]]*Products[[#This Row],[Market Price]]</f>
        <v>0</v>
      </c>
    </row>
    <row r="62" spans="1:53" hidden="1">
      <c r="A62" t="str">
        <f>Products[[#This Row],[Crop]]&amp;Products[[#This Row],[Product]]&amp;Products[[#This Row],[Unit]]</f>
        <v>EpazoteBunchBunch</v>
      </c>
      <c r="B62" t="s">
        <v>2298</v>
      </c>
      <c r="C62" t="s">
        <v>215</v>
      </c>
      <c r="D62" t="s">
        <v>215</v>
      </c>
      <c r="E62" t="b">
        <v>0</v>
      </c>
      <c r="F62" t="s">
        <v>474</v>
      </c>
      <c r="G62">
        <v>1</v>
      </c>
      <c r="H62">
        <v>40</v>
      </c>
      <c r="I62">
        <v>40</v>
      </c>
      <c r="J62" s="196" t="s">
        <v>2368</v>
      </c>
      <c r="K62">
        <f>_xlfn.XLOOKUP(Products[[#This Row],[Packing Container]],Containers[Container],Containers[Cost])</f>
        <v>3.8</v>
      </c>
      <c r="M62">
        <v>5</v>
      </c>
      <c r="N62">
        <f>IF(Products[[#This Row],[Unit]]="Bunch",10,0)</f>
        <v>10</v>
      </c>
      <c r="O62">
        <v>20</v>
      </c>
      <c r="P62">
        <f>CrateHaulTime/Products[[#This Row],[Per Crate]]</f>
        <v>2.25</v>
      </c>
      <c r="Q62">
        <f>_xlfn.XLOOKUP(Products[[#This Row],[Wash Type]],Table9[Wash Type],Table9[Seconds])*Products[[#This Row],[Wash Factor]]</f>
        <v>0</v>
      </c>
      <c r="R62">
        <v>0</v>
      </c>
      <c r="S62">
        <v>0</v>
      </c>
      <c r="T62">
        <v>3</v>
      </c>
      <c r="U62">
        <v>0</v>
      </c>
      <c r="V62">
        <v>0</v>
      </c>
      <c r="W62">
        <f>MarketHaulTime/CratesPerMarketLoad/Products[[#This Row],[Per Crate]]</f>
        <v>5.625</v>
      </c>
      <c r="X62" t="s">
        <v>2482</v>
      </c>
      <c r="AY62">
        <f>Products[[#This Row],[CSA Portion]]*Products[[#This Row],[CSA Times]]</f>
        <v>0</v>
      </c>
      <c r="BA62">
        <f>Products[[#This Row],[CSA Need]]*Products[[#This Row],[Market Price]]</f>
        <v>0</v>
      </c>
    </row>
    <row r="63" spans="1:53" hidden="1">
      <c r="A63" t="str">
        <f>Products[[#This Row],[Crop]]&amp;Products[[#This Row],[Product]]&amp;Products[[#This Row],[Unit]]</f>
        <v>EverlastingMature StemStem</v>
      </c>
      <c r="B63" t="s">
        <v>1765</v>
      </c>
      <c r="C63" t="s">
        <v>181</v>
      </c>
      <c r="D63" t="s">
        <v>213</v>
      </c>
      <c r="E63" t="b">
        <v>1</v>
      </c>
      <c r="F63" t="s">
        <v>474</v>
      </c>
      <c r="G63">
        <v>1</v>
      </c>
      <c r="H63">
        <v>50</v>
      </c>
      <c r="I63">
        <v>50</v>
      </c>
      <c r="J63" t="s">
        <v>2367</v>
      </c>
      <c r="K63">
        <f>_xlfn.XLOOKUP(Products[[#This Row],[Packing Container]],Containers[Container],Containers[Cost])</f>
        <v>4</v>
      </c>
      <c r="M63">
        <v>6</v>
      </c>
      <c r="N63">
        <f>IF(Products[[#This Row],[Unit]]="Bunch",10,0)</f>
        <v>0</v>
      </c>
      <c r="O63">
        <v>5</v>
      </c>
      <c r="P63">
        <f>CrateHaulTime/Products[[#This Row],[Per Crate]]</f>
        <v>1.8</v>
      </c>
      <c r="Q63">
        <f>_xlfn.XLOOKUP(Products[[#This Row],[Wash Type]],Table9[Wash Type],Table9[Seconds])*Products[[#This Row],[Wash Factor]]</f>
        <v>0</v>
      </c>
      <c r="R63">
        <v>0</v>
      </c>
      <c r="S63">
        <v>3</v>
      </c>
      <c r="T63">
        <v>3</v>
      </c>
      <c r="U63">
        <v>0</v>
      </c>
      <c r="V63">
        <v>0</v>
      </c>
      <c r="W63">
        <f>MarketHaulTime/CratesPerMarketLoad/Products[[#This Row],[Per Crate]]</f>
        <v>4.5</v>
      </c>
      <c r="X63" t="s">
        <v>2482</v>
      </c>
      <c r="AY63">
        <f>Products[[#This Row],[CSA Portion]]*Products[[#This Row],[CSA Times]]</f>
        <v>0</v>
      </c>
      <c r="BA63">
        <f>Products[[#This Row],[CSA Need]]*Products[[#This Row],[Market Price]]</f>
        <v>0</v>
      </c>
    </row>
    <row r="64" spans="1:53">
      <c r="A64" t="str">
        <f>Products[[#This Row],[Crop]]&amp;Products[[#This Row],[Product]]&amp;Products[[#This Row],[Unit]]</f>
        <v>DillMature LeafBunch</v>
      </c>
      <c r="B64" t="s">
        <v>75</v>
      </c>
      <c r="C64" t="s">
        <v>179</v>
      </c>
      <c r="D64" t="s">
        <v>215</v>
      </c>
      <c r="E64" t="b">
        <v>1</v>
      </c>
      <c r="F64" t="s">
        <v>474</v>
      </c>
      <c r="G64">
        <v>1</v>
      </c>
      <c r="H64">
        <v>48</v>
      </c>
      <c r="I64">
        <v>48</v>
      </c>
      <c r="J64" t="s">
        <v>2368</v>
      </c>
      <c r="K64">
        <f>_xlfn.XLOOKUP(Products[[#This Row],[Packing Container]],Containers[Container],Containers[Cost])</f>
        <v>3.8</v>
      </c>
      <c r="L64">
        <v>0</v>
      </c>
      <c r="M64">
        <v>2</v>
      </c>
      <c r="N64">
        <f>IF(Products[[#This Row],[Unit]]="Bunch",10,0)</f>
        <v>10</v>
      </c>
      <c r="O64">
        <v>10</v>
      </c>
      <c r="P64">
        <f>CrateHaulTime/Products[[#This Row],[Per Crate]]</f>
        <v>1.875</v>
      </c>
      <c r="Q64">
        <f>_xlfn.XLOOKUP(Products[[#This Row],[Wash Type]],Table9[Wash Type],Table9[Seconds])*Products[[#This Row],[Wash Factor]]</f>
        <v>0</v>
      </c>
      <c r="R64">
        <v>0</v>
      </c>
      <c r="S64">
        <v>0</v>
      </c>
      <c r="T64">
        <v>3</v>
      </c>
      <c r="U64">
        <v>0</v>
      </c>
      <c r="V64">
        <v>0</v>
      </c>
      <c r="W64">
        <f>MarketHaulTime/CratesPerMarketLoad/Products[[#This Row],[Per Crate]]</f>
        <v>4.6875</v>
      </c>
      <c r="X64" t="s">
        <v>2484</v>
      </c>
      <c r="Y64" s="184"/>
      <c r="Z64" s="184"/>
      <c r="AA64" s="184"/>
      <c r="AB64" s="184"/>
      <c r="AC64" s="184"/>
      <c r="AD64" s="184"/>
      <c r="AE64" s="184"/>
      <c r="AF64" s="184"/>
      <c r="AG64" s="207"/>
      <c r="AH64" s="184"/>
      <c r="AI64" s="184"/>
      <c r="AJ64" s="184"/>
      <c r="AK64" s="184"/>
      <c r="AL64" s="184"/>
      <c r="AM64" s="184"/>
      <c r="AN64" s="184"/>
      <c r="AO64" s="207"/>
      <c r="AP64" s="184"/>
      <c r="AQ64" s="184"/>
      <c r="AR64" s="184"/>
      <c r="AS64" s="184"/>
      <c r="AT64" s="184"/>
      <c r="AU64" s="184"/>
      <c r="AV64" s="184"/>
      <c r="AW64">
        <v>1</v>
      </c>
      <c r="AX64">
        <v>5</v>
      </c>
      <c r="AY64">
        <f>Products[[#This Row],[CSA Portion]]*Products[[#This Row],[CSA Times]]</f>
        <v>5</v>
      </c>
      <c r="AZ64">
        <v>3</v>
      </c>
      <c r="BA64">
        <f>Products[[#This Row],[CSA Need]]*Products[[#This Row],[Market Price]]</f>
        <v>15</v>
      </c>
    </row>
    <row r="65" spans="1:53" hidden="1">
      <c r="A65" t="str">
        <f>Products[[#This Row],[Crop]]&amp;Products[[#This Row],[Product]]&amp;Products[[#This Row],[Unit]]</f>
        <v>FennelMature BulbBulb</v>
      </c>
      <c r="B65" t="s">
        <v>78</v>
      </c>
      <c r="C65" t="s">
        <v>198</v>
      </c>
      <c r="D65" t="s">
        <v>2356</v>
      </c>
      <c r="E65" t="b">
        <v>1</v>
      </c>
      <c r="F65" t="s">
        <v>2387</v>
      </c>
      <c r="G65">
        <v>1</v>
      </c>
      <c r="H65">
        <v>20</v>
      </c>
      <c r="I65">
        <v>20</v>
      </c>
      <c r="J65" t="s">
        <v>2368</v>
      </c>
      <c r="K65">
        <f>_xlfn.XLOOKUP(Products[[#This Row],[Packing Container]],Containers[Container],Containers[Cost])</f>
        <v>3.8</v>
      </c>
      <c r="M65">
        <v>2</v>
      </c>
      <c r="N65">
        <f>IF(Products[[#This Row],[Unit]]="Bunch",10,0)</f>
        <v>0</v>
      </c>
      <c r="O65">
        <v>5</v>
      </c>
      <c r="P65">
        <f>CrateHaulTime/Products[[#This Row],[Per Crate]]</f>
        <v>4.5</v>
      </c>
      <c r="Q65">
        <f>_xlfn.XLOOKUP(Products[[#This Row],[Wash Type]],Table9[Wash Type],Table9[Seconds])*Products[[#This Row],[Wash Factor]]</f>
        <v>10</v>
      </c>
      <c r="R65">
        <v>0</v>
      </c>
      <c r="S65">
        <v>10</v>
      </c>
      <c r="T65">
        <v>3</v>
      </c>
      <c r="U65">
        <v>0</v>
      </c>
      <c r="V65">
        <v>0</v>
      </c>
      <c r="W65">
        <f>MarketHaulTime/CratesPerMarketLoad/Products[[#This Row],[Per Crate]]</f>
        <v>11.25</v>
      </c>
      <c r="X65" t="s">
        <v>2483</v>
      </c>
      <c r="AB65" s="184"/>
      <c r="AC65" s="184"/>
      <c r="AD65" s="184"/>
      <c r="AE65" s="184"/>
      <c r="AF65" s="184"/>
      <c r="AG65" s="207"/>
      <c r="AO65" s="207"/>
      <c r="AR65" s="184"/>
      <c r="AS65" s="184"/>
      <c r="AT65" s="184"/>
      <c r="AU65" s="184"/>
      <c r="AV65" s="184"/>
      <c r="AY65">
        <f>Products[[#This Row],[CSA Portion]]*Products[[#This Row],[CSA Times]]</f>
        <v>0</v>
      </c>
      <c r="BA65">
        <f>Products[[#This Row],[CSA Need]]*Products[[#This Row],[Market Price]]</f>
        <v>0</v>
      </c>
    </row>
    <row r="66" spans="1:53" hidden="1">
      <c r="A66" t="str">
        <f>Products[[#This Row],[Crop]]&amp;Products[[#This Row],[Product]]&amp;Products[[#This Row],[Unit]]</f>
        <v>FennelMini BulbBulb</v>
      </c>
      <c r="B66" t="s">
        <v>78</v>
      </c>
      <c r="C66" t="s">
        <v>193</v>
      </c>
      <c r="D66" t="s">
        <v>2356</v>
      </c>
      <c r="E66" t="b">
        <v>1</v>
      </c>
      <c r="F66" t="s">
        <v>2387</v>
      </c>
      <c r="G66">
        <v>1</v>
      </c>
      <c r="H66">
        <v>70</v>
      </c>
      <c r="I66">
        <v>70</v>
      </c>
      <c r="J66" t="s">
        <v>2368</v>
      </c>
      <c r="K66">
        <f>_xlfn.XLOOKUP(Products[[#This Row],[Packing Container]],Containers[Container],Containers[Cost])</f>
        <v>3.8</v>
      </c>
      <c r="M66">
        <v>2</v>
      </c>
      <c r="N66">
        <f>IF(Products[[#This Row],[Unit]]="Bunch",10,0)</f>
        <v>0</v>
      </c>
      <c r="O66">
        <v>5</v>
      </c>
      <c r="P66">
        <f>CrateHaulTime/Products[[#This Row],[Per Crate]]</f>
        <v>1.2857142857142858</v>
      </c>
      <c r="Q66">
        <f>_xlfn.XLOOKUP(Products[[#This Row],[Wash Type]],Table9[Wash Type],Table9[Seconds])*Products[[#This Row],[Wash Factor]]</f>
        <v>10</v>
      </c>
      <c r="R66">
        <v>0</v>
      </c>
      <c r="S66">
        <v>10</v>
      </c>
      <c r="T66">
        <v>3</v>
      </c>
      <c r="U66">
        <v>0</v>
      </c>
      <c r="V66">
        <v>0</v>
      </c>
      <c r="W66">
        <f>MarketHaulTime/CratesPerMarketLoad/Products[[#This Row],[Per Crate]]</f>
        <v>3.2142857142857144</v>
      </c>
      <c r="X66" t="s">
        <v>2483</v>
      </c>
      <c r="AA66" s="184"/>
      <c r="AB66" s="184"/>
      <c r="AC66" s="184"/>
      <c r="AD66" s="184"/>
      <c r="AE66" s="184"/>
      <c r="AG66" s="207"/>
      <c r="AO66" s="207"/>
      <c r="AP66" s="184"/>
      <c r="AQ66" s="184"/>
      <c r="AR66" s="184"/>
      <c r="AS66" s="184"/>
      <c r="AT66" s="184"/>
      <c r="AU66" s="184"/>
      <c r="AV66" s="184"/>
      <c r="AY66">
        <f>Products[[#This Row],[CSA Portion]]*Products[[#This Row],[CSA Times]]</f>
        <v>0</v>
      </c>
      <c r="BA66">
        <f>Products[[#This Row],[CSA Need]]*Products[[#This Row],[Market Price]]</f>
        <v>0</v>
      </c>
    </row>
    <row r="67" spans="1:53" hidden="1">
      <c r="A67" t="str">
        <f>Products[[#This Row],[Crop]]&amp;Products[[#This Row],[Product]]&amp;Products[[#This Row],[Unit]]</f>
        <v>FlaxFlowering StalksStem</v>
      </c>
      <c r="B67" t="s">
        <v>1768</v>
      </c>
      <c r="C67" t="s">
        <v>368</v>
      </c>
      <c r="D67" t="s">
        <v>213</v>
      </c>
      <c r="E67" t="b">
        <v>1</v>
      </c>
      <c r="F67" t="s">
        <v>474</v>
      </c>
      <c r="G67">
        <v>1</v>
      </c>
      <c r="H67">
        <v>80</v>
      </c>
      <c r="I67">
        <v>80</v>
      </c>
      <c r="J67" t="s">
        <v>2367</v>
      </c>
      <c r="K67">
        <f>_xlfn.XLOOKUP(Products[[#This Row],[Packing Container]],Containers[Container],Containers[Cost])</f>
        <v>4</v>
      </c>
      <c r="M67">
        <v>6</v>
      </c>
      <c r="N67">
        <f>IF(Products[[#This Row],[Unit]]="Bunch",10,0)</f>
        <v>0</v>
      </c>
      <c r="O67">
        <v>5</v>
      </c>
      <c r="P67">
        <f>CrateHaulTime/Products[[#This Row],[Per Crate]]</f>
        <v>1.125</v>
      </c>
      <c r="Q67">
        <f>_xlfn.XLOOKUP(Products[[#This Row],[Wash Type]],Table9[Wash Type],Table9[Seconds])*Products[[#This Row],[Wash Factor]]</f>
        <v>0</v>
      </c>
      <c r="R67">
        <v>0</v>
      </c>
      <c r="S67">
        <v>3</v>
      </c>
      <c r="T67">
        <v>3</v>
      </c>
      <c r="U67">
        <v>0</v>
      </c>
      <c r="V67">
        <v>0</v>
      </c>
      <c r="W67">
        <f>MarketHaulTime/CratesPerMarketLoad/Products[[#This Row],[Per Crate]]</f>
        <v>2.8125</v>
      </c>
      <c r="X67" t="s">
        <v>2482</v>
      </c>
      <c r="AY67">
        <f>Products[[#This Row],[CSA Portion]]*Products[[#This Row],[CSA Times]]</f>
        <v>0</v>
      </c>
      <c r="BA67">
        <f>Products[[#This Row],[CSA Need]]*Products[[#This Row],[Market Price]]</f>
        <v>0</v>
      </c>
    </row>
    <row r="68" spans="1:53" hidden="1">
      <c r="A68" t="str">
        <f>Products[[#This Row],[Crop]]&amp;Products[[#This Row],[Product]]&amp;Products[[#This Row],[Unit]]</f>
        <v>FriséeBaby LeafLb</v>
      </c>
      <c r="B68" t="s">
        <v>79</v>
      </c>
      <c r="C68" t="s">
        <v>182</v>
      </c>
      <c r="D68" t="s">
        <v>383</v>
      </c>
      <c r="E68" t="b">
        <v>1</v>
      </c>
      <c r="F68" t="s">
        <v>2384</v>
      </c>
      <c r="G68">
        <v>1</v>
      </c>
      <c r="H68">
        <v>10</v>
      </c>
      <c r="I68">
        <v>10</v>
      </c>
      <c r="J68" t="s">
        <v>2368</v>
      </c>
      <c r="K68">
        <f>_xlfn.XLOOKUP(Products[[#This Row],[Packing Container]],Containers[Container],Containers[Cost])</f>
        <v>3.8</v>
      </c>
      <c r="M68">
        <v>3</v>
      </c>
      <c r="N68">
        <f>IF(Products[[#This Row],[Unit]]="Bunch",10,0)</f>
        <v>0</v>
      </c>
      <c r="O68">
        <v>120</v>
      </c>
      <c r="P68">
        <f>CrateHaulTime/Products[[#This Row],[Per Crate]]</f>
        <v>9</v>
      </c>
      <c r="Q68">
        <f>_xlfn.XLOOKUP(Products[[#This Row],[Wash Type]],Table9[Wash Type],Table9[Seconds])*Products[[#This Row],[Wash Factor]]</f>
        <v>60</v>
      </c>
      <c r="R68">
        <v>0</v>
      </c>
      <c r="S68">
        <v>10</v>
      </c>
      <c r="T68">
        <v>3</v>
      </c>
      <c r="U68">
        <v>0</v>
      </c>
      <c r="V68">
        <v>0</v>
      </c>
      <c r="W68">
        <f>MarketHaulTime/CratesPerMarketLoad/Products[[#This Row],[Per Crate]]</f>
        <v>22.5</v>
      </c>
      <c r="X68" t="s">
        <v>2483</v>
      </c>
      <c r="Y68" s="184"/>
      <c r="Z68" s="184"/>
      <c r="AA68" s="184"/>
      <c r="AB68" s="184"/>
      <c r="AC68" s="184"/>
      <c r="AD68" s="184"/>
      <c r="AE68" s="184"/>
      <c r="AF68" s="184"/>
      <c r="AG68" s="207"/>
      <c r="AH68" s="184"/>
      <c r="AI68" s="184"/>
      <c r="AJ68" s="184"/>
      <c r="AK68" s="184"/>
      <c r="AL68" s="184"/>
      <c r="AM68" s="184"/>
      <c r="AN68" s="184"/>
      <c r="AO68" s="207"/>
      <c r="AP68" s="184"/>
      <c r="AQ68" s="184"/>
      <c r="AR68" s="184"/>
      <c r="AS68" s="184"/>
      <c r="AT68" s="184"/>
      <c r="AU68" s="184"/>
      <c r="AV68" s="184"/>
      <c r="AY68">
        <f>Products[[#This Row],[CSA Portion]]*Products[[#This Row],[CSA Times]]</f>
        <v>0</v>
      </c>
      <c r="BA68">
        <f>Products[[#This Row],[CSA Need]]*Products[[#This Row],[Market Price]]</f>
        <v>0</v>
      </c>
    </row>
    <row r="69" spans="1:53" hidden="1">
      <c r="A69" t="str">
        <f>Products[[#This Row],[Crop]]&amp;Products[[#This Row],[Product]]&amp;Products[[#This Row],[Unit]]</f>
        <v>FriséeMature HeadHead</v>
      </c>
      <c r="B69" t="s">
        <v>79</v>
      </c>
      <c r="C69" t="s">
        <v>186</v>
      </c>
      <c r="D69" t="s">
        <v>214</v>
      </c>
      <c r="E69" t="b">
        <v>1</v>
      </c>
      <c r="F69" t="s">
        <v>2390</v>
      </c>
      <c r="G69">
        <v>1</v>
      </c>
      <c r="H69">
        <v>24</v>
      </c>
      <c r="I69">
        <v>24</v>
      </c>
      <c r="J69" t="s">
        <v>2368</v>
      </c>
      <c r="K69">
        <f>_xlfn.XLOOKUP(Products[[#This Row],[Packing Container]],Containers[Container],Containers[Cost])</f>
        <v>3.8</v>
      </c>
      <c r="M69">
        <v>3</v>
      </c>
      <c r="N69">
        <f>IF(Products[[#This Row],[Unit]]="Bunch",10,0)</f>
        <v>0</v>
      </c>
      <c r="O69">
        <v>10</v>
      </c>
      <c r="P69">
        <f>CrateHaulTime/Products[[#This Row],[Per Crate]]</f>
        <v>3.75</v>
      </c>
      <c r="Q69">
        <f>_xlfn.XLOOKUP(Products[[#This Row],[Wash Type]],Table9[Wash Type],Table9[Seconds])*Products[[#This Row],[Wash Factor]]</f>
        <v>20</v>
      </c>
      <c r="R69">
        <v>0</v>
      </c>
      <c r="S69">
        <v>10</v>
      </c>
      <c r="T69">
        <v>3</v>
      </c>
      <c r="U69">
        <v>0</v>
      </c>
      <c r="V69">
        <v>0</v>
      </c>
      <c r="W69">
        <f>MarketHaulTime/CratesPerMarketLoad/Products[[#This Row],[Per Crate]]</f>
        <v>9.375</v>
      </c>
      <c r="X69" t="s">
        <v>2483</v>
      </c>
      <c r="Y69" s="184"/>
      <c r="Z69" s="184"/>
      <c r="AA69" s="184"/>
      <c r="AB69" s="184"/>
      <c r="AC69" s="184"/>
      <c r="AD69" s="184"/>
      <c r="AE69" s="184"/>
      <c r="AF69" s="184"/>
      <c r="AG69" s="207"/>
      <c r="AH69" s="184"/>
      <c r="AI69" s="184"/>
      <c r="AJ69" s="184"/>
      <c r="AK69" s="184"/>
      <c r="AL69" s="184"/>
      <c r="AM69" s="184"/>
      <c r="AN69" s="184"/>
      <c r="AO69" s="207"/>
      <c r="AP69" s="184"/>
      <c r="AQ69" s="184"/>
      <c r="AR69" s="184"/>
      <c r="AS69" s="184"/>
      <c r="AT69" s="184"/>
      <c r="AU69" s="184"/>
      <c r="AV69" s="184"/>
      <c r="AY69">
        <f>Products[[#This Row],[CSA Portion]]*Products[[#This Row],[CSA Times]]</f>
        <v>0</v>
      </c>
      <c r="BA69">
        <f>Products[[#This Row],[CSA Need]]*Products[[#This Row],[Market Price]]</f>
        <v>0</v>
      </c>
    </row>
    <row r="70" spans="1:53">
      <c r="A70" t="str">
        <f>Products[[#This Row],[Crop]]&amp;Products[[#This Row],[Product]]&amp;Products[[#This Row],[Unit]]</f>
        <v>Fava BeanMature PodLb</v>
      </c>
      <c r="B70" t="s">
        <v>2281</v>
      </c>
      <c r="C70" t="s">
        <v>192</v>
      </c>
      <c r="D70" t="s">
        <v>383</v>
      </c>
      <c r="E70" t="b">
        <v>1</v>
      </c>
      <c r="F70" t="s">
        <v>474</v>
      </c>
      <c r="G70">
        <v>1</v>
      </c>
      <c r="H70">
        <v>40</v>
      </c>
      <c r="I70">
        <v>30</v>
      </c>
      <c r="J70" t="s">
        <v>2368</v>
      </c>
      <c r="K70">
        <f>_xlfn.XLOOKUP(Products[[#This Row],[Packing Container]],Containers[Container],Containers[Cost])</f>
        <v>3.8</v>
      </c>
      <c r="M70">
        <v>4</v>
      </c>
      <c r="N70">
        <f>IF(Products[[#This Row],[Unit]]="Bunch",10,0)</f>
        <v>0</v>
      </c>
      <c r="O70">
        <f>15*3</f>
        <v>45</v>
      </c>
      <c r="P70">
        <f>CrateHaulTime/Products[[#This Row],[Per Crate]]</f>
        <v>2.25</v>
      </c>
      <c r="Q70">
        <f>_xlfn.XLOOKUP(Products[[#This Row],[Wash Type]],Table9[Wash Type],Table9[Seconds])*Products[[#This Row],[Wash Factor]]</f>
        <v>0</v>
      </c>
      <c r="R70">
        <v>0</v>
      </c>
      <c r="S70">
        <v>0</v>
      </c>
      <c r="T70">
        <v>3</v>
      </c>
      <c r="U70">
        <v>0</v>
      </c>
      <c r="V70">
        <v>0</v>
      </c>
      <c r="W70">
        <f>MarketHaulTime/CratesPerMarketLoad/Products[[#This Row],[Per Crate]]</f>
        <v>5.625</v>
      </c>
      <c r="X70" t="s">
        <v>2483</v>
      </c>
      <c r="AC70" s="184"/>
      <c r="AD70" s="184"/>
      <c r="AE70" s="184"/>
      <c r="AF70" s="184"/>
      <c r="AG70" s="207"/>
      <c r="AH70" s="184"/>
      <c r="AI70" s="184"/>
      <c r="AJ70" s="184"/>
      <c r="AK70" s="184"/>
      <c r="AL70" s="184"/>
      <c r="AM70" s="184"/>
      <c r="AN70" s="184"/>
      <c r="AO70" s="207"/>
      <c r="AW70">
        <v>0.75</v>
      </c>
      <c r="AX70">
        <v>2</v>
      </c>
      <c r="AY70">
        <f>Products[[#This Row],[CSA Portion]]*Products[[#This Row],[CSA Times]]</f>
        <v>1.5</v>
      </c>
      <c r="AZ70">
        <v>8</v>
      </c>
      <c r="BA70">
        <f>Products[[#This Row],[CSA Need]]*Products[[#This Row],[Market Price]]</f>
        <v>12</v>
      </c>
    </row>
    <row r="71" spans="1:53">
      <c r="A71" t="str">
        <f>Products[[#This Row],[Crop]]&amp;Products[[#This Row],[Product]]&amp;Products[[#This Row],[Unit]]</f>
        <v>GarlicStorage BulbLb</v>
      </c>
      <c r="B71" t="s">
        <v>80</v>
      </c>
      <c r="C71" t="s">
        <v>194</v>
      </c>
      <c r="D71" t="s">
        <v>383</v>
      </c>
      <c r="E71" t="b">
        <v>1</v>
      </c>
      <c r="F71" t="s">
        <v>80</v>
      </c>
      <c r="G71">
        <v>8</v>
      </c>
      <c r="H71">
        <v>35</v>
      </c>
      <c r="I71">
        <v>35</v>
      </c>
      <c r="J71" t="s">
        <v>2368</v>
      </c>
      <c r="K71">
        <f>_xlfn.XLOOKUP(Products[[#This Row],[Packing Container]],Containers[Container],Containers[Cost])</f>
        <v>3.8</v>
      </c>
      <c r="L71">
        <v>90</v>
      </c>
      <c r="M71">
        <v>3</v>
      </c>
      <c r="N71">
        <f>IF(Products[[#This Row],[Unit]]="Bunch",10,0)</f>
        <v>0</v>
      </c>
      <c r="O71">
        <f>15*8</f>
        <v>120</v>
      </c>
      <c r="P71">
        <f>CrateHaulTime/Products[[#This Row],[Per Crate]]</f>
        <v>2.5714285714285716</v>
      </c>
      <c r="Q71">
        <f>_xlfn.XLOOKUP(Products[[#This Row],[Wash Type]],Table9[Wash Type],Table9[Seconds])*Products[[#This Row],[Wash Factor]]</f>
        <v>160</v>
      </c>
      <c r="R71">
        <v>0</v>
      </c>
      <c r="S71">
        <f>60*9</f>
        <v>540</v>
      </c>
      <c r="T71">
        <v>3</v>
      </c>
      <c r="U71">
        <v>0</v>
      </c>
      <c r="V71">
        <v>0</v>
      </c>
      <c r="W71">
        <f>MarketHaulTime/CratesPerMarketLoad/Products[[#This Row],[Per Crate]]</f>
        <v>6.4285714285714288</v>
      </c>
      <c r="X71" t="s">
        <v>2484</v>
      </c>
      <c r="AF71" s="184"/>
      <c r="AG71" s="207"/>
      <c r="AH71" s="184"/>
      <c r="AI71" s="184"/>
      <c r="AJ71" s="184"/>
      <c r="AK71" s="184"/>
      <c r="AL71" s="184"/>
      <c r="AM71" s="184"/>
      <c r="AN71" s="184"/>
      <c r="AO71" s="207"/>
      <c r="AP71" s="184"/>
      <c r="AQ71" s="184"/>
      <c r="AR71" s="184"/>
      <c r="AS71" s="184"/>
      <c r="AT71" s="184"/>
      <c r="AU71" s="184"/>
      <c r="AV71" s="184"/>
      <c r="AW71">
        <v>1</v>
      </c>
      <c r="AX71">
        <v>2</v>
      </c>
      <c r="AY71">
        <f>Products[[#This Row],[CSA Portion]]*Products[[#This Row],[CSA Times]]</f>
        <v>2</v>
      </c>
      <c r="AZ71">
        <v>15</v>
      </c>
      <c r="BA71">
        <v>18</v>
      </c>
    </row>
    <row r="72" spans="1:53" hidden="1">
      <c r="A72" t="str">
        <f>Products[[#This Row],[Crop]]&amp;Products[[#This Row],[Product]]&amp;Products[[#This Row],[Unit]]</f>
        <v>GingerYoung RootLb</v>
      </c>
      <c r="B72" t="s">
        <v>81</v>
      </c>
      <c r="C72" t="s">
        <v>195</v>
      </c>
      <c r="D72" t="s">
        <v>383</v>
      </c>
      <c r="E72" t="b">
        <v>0</v>
      </c>
      <c r="F72" t="s">
        <v>443</v>
      </c>
      <c r="G72">
        <v>4</v>
      </c>
      <c r="H72">
        <v>40</v>
      </c>
      <c r="I72">
        <v>30</v>
      </c>
      <c r="J72" s="196" t="s">
        <v>2368</v>
      </c>
      <c r="K72">
        <f>_xlfn.XLOOKUP(Products[[#This Row],[Packing Container]],Containers[Container],Containers[Cost])</f>
        <v>3.8</v>
      </c>
      <c r="M72">
        <v>4</v>
      </c>
      <c r="N72">
        <f>IF(Products[[#This Row],[Unit]]="Bunch",10,0)</f>
        <v>0</v>
      </c>
      <c r="O72">
        <v>30</v>
      </c>
      <c r="P72">
        <f>CrateHaulTime/Products[[#This Row],[Per Crate]]</f>
        <v>2.25</v>
      </c>
      <c r="Q72">
        <f>_xlfn.XLOOKUP(Products[[#This Row],[Wash Type]],Table9[Wash Type],Table9[Seconds])*Products[[#This Row],[Wash Factor]]</f>
        <v>20</v>
      </c>
      <c r="R72">
        <v>0</v>
      </c>
      <c r="S72">
        <v>20</v>
      </c>
      <c r="T72">
        <v>3</v>
      </c>
      <c r="U72">
        <v>0</v>
      </c>
      <c r="V72">
        <v>0</v>
      </c>
      <c r="W72">
        <f>MarketHaulTime/CratesPerMarketLoad/Products[[#This Row],[Per Crate]]</f>
        <v>5.625</v>
      </c>
      <c r="X72" t="s">
        <v>2483</v>
      </c>
      <c r="AG72" s="207"/>
      <c r="AO72" s="207"/>
      <c r="AY72">
        <f>Products[[#This Row],[CSA Portion]]*Products[[#This Row],[CSA Times]]</f>
        <v>0</v>
      </c>
      <c r="BA72">
        <f>Products[[#This Row],[CSA Need]]*Products[[#This Row],[Market Price]]</f>
        <v>0</v>
      </c>
    </row>
    <row r="73" spans="1:53">
      <c r="A73" t="str">
        <f>Products[[#This Row],[Crop]]&amp;Products[[#This Row],[Product]]&amp;Products[[#This Row],[Unit]]</f>
        <v>GarlicYoung BulbBunch</v>
      </c>
      <c r="B73" t="s">
        <v>80</v>
      </c>
      <c r="C73" t="s">
        <v>358</v>
      </c>
      <c r="D73" t="s">
        <v>215</v>
      </c>
      <c r="E73" t="b">
        <v>1</v>
      </c>
      <c r="F73" t="s">
        <v>2389</v>
      </c>
      <c r="G73">
        <v>1</v>
      </c>
      <c r="H73">
        <v>36</v>
      </c>
      <c r="I73">
        <v>36</v>
      </c>
      <c r="J73" t="s">
        <v>2368</v>
      </c>
      <c r="K73">
        <f>_xlfn.XLOOKUP(Products[[#This Row],[Packing Container]],Containers[Container],Containers[Cost])</f>
        <v>3.8</v>
      </c>
      <c r="L73">
        <v>28</v>
      </c>
      <c r="M73">
        <v>3</v>
      </c>
      <c r="N73">
        <f>IF(Products[[#This Row],[Unit]]="Bunch",10,0)</f>
        <v>10</v>
      </c>
      <c r="O73">
        <f>15*5</f>
        <v>75</v>
      </c>
      <c r="P73">
        <f>CrateHaulTime/Products[[#This Row],[Per Crate]]</f>
        <v>2.5</v>
      </c>
      <c r="Q73">
        <f>_xlfn.XLOOKUP(Products[[#This Row],[Wash Type]],Table9[Wash Type],Table9[Seconds])*Products[[#This Row],[Wash Factor]]</f>
        <v>10</v>
      </c>
      <c r="R73">
        <v>0</v>
      </c>
      <c r="S73">
        <v>60</v>
      </c>
      <c r="T73">
        <v>3</v>
      </c>
      <c r="U73">
        <v>0</v>
      </c>
      <c r="V73">
        <v>0</v>
      </c>
      <c r="W73">
        <f>MarketHaulTime/CratesPerMarketLoad/Products[[#This Row],[Per Crate]]</f>
        <v>6.25</v>
      </c>
      <c r="X73" t="s">
        <v>2484</v>
      </c>
      <c r="AC73" s="184"/>
      <c r="AD73" s="184"/>
      <c r="AE73" s="184"/>
      <c r="AF73" s="184"/>
      <c r="AG73" s="207"/>
      <c r="AH73" s="184"/>
      <c r="AI73" s="184"/>
      <c r="AJ73" s="184"/>
      <c r="AK73" s="184"/>
      <c r="AL73" s="184"/>
      <c r="AM73" s="184"/>
      <c r="AO73" s="207"/>
      <c r="AW73">
        <v>1</v>
      </c>
      <c r="AX73">
        <v>2</v>
      </c>
      <c r="AY73">
        <f>Products[[#This Row],[CSA Portion]]*Products[[#This Row],[CSA Times]]</f>
        <v>2</v>
      </c>
      <c r="AZ73">
        <v>5</v>
      </c>
      <c r="BA73">
        <f>Products[[#This Row],[CSA Need]]*Products[[#This Row],[Market Price]]</f>
        <v>10</v>
      </c>
    </row>
    <row r="74" spans="1:53" hidden="1">
      <c r="A74" t="str">
        <f>Products[[#This Row],[Crop]]&amp;Products[[#This Row],[Product]]&amp;Products[[#This Row],[Unit]]</f>
        <v>GrassMature StalksStem</v>
      </c>
      <c r="B74" t="s">
        <v>1771</v>
      </c>
      <c r="C74" t="s">
        <v>206</v>
      </c>
      <c r="D74" t="s">
        <v>213</v>
      </c>
      <c r="E74" t="b">
        <v>1</v>
      </c>
      <c r="F74" s="199" t="s">
        <v>474</v>
      </c>
      <c r="G74">
        <v>1</v>
      </c>
      <c r="H74">
        <v>80</v>
      </c>
      <c r="I74">
        <v>80</v>
      </c>
      <c r="J74" t="s">
        <v>2367</v>
      </c>
      <c r="K74">
        <f>_xlfn.XLOOKUP(Products[[#This Row],[Packing Container]],Containers[Container],Containers[Cost])</f>
        <v>4</v>
      </c>
      <c r="M74">
        <v>6</v>
      </c>
      <c r="N74">
        <f>IF(Products[[#This Row],[Unit]]="Bunch",10,0)</f>
        <v>0</v>
      </c>
      <c r="O74">
        <v>5</v>
      </c>
      <c r="P74">
        <f>CrateHaulTime/Products[[#This Row],[Per Crate]]</f>
        <v>1.125</v>
      </c>
      <c r="Q74">
        <f>_xlfn.XLOOKUP(Products[[#This Row],[Wash Type]],Table9[Wash Type],Table9[Seconds])*Products[[#This Row],[Wash Factor]]</f>
        <v>0</v>
      </c>
      <c r="R74">
        <v>0</v>
      </c>
      <c r="S74">
        <v>0</v>
      </c>
      <c r="T74">
        <v>3</v>
      </c>
      <c r="U74">
        <v>0</v>
      </c>
      <c r="V74">
        <v>0</v>
      </c>
      <c r="W74">
        <f>MarketHaulTime/CratesPerMarketLoad/Products[[#This Row],[Per Crate]]</f>
        <v>2.8125</v>
      </c>
      <c r="X74" t="s">
        <v>2482</v>
      </c>
      <c r="AY74">
        <f>Products[[#This Row],[CSA Portion]]*Products[[#This Row],[CSA Times]]</f>
        <v>0</v>
      </c>
      <c r="BA74">
        <f>Products[[#This Row],[CSA Need]]*Products[[#This Row],[Market Price]]</f>
        <v>0</v>
      </c>
    </row>
    <row r="75" spans="1:53" hidden="1">
      <c r="A75" t="str">
        <f>Products[[#This Row],[Crop]]&amp;Products[[#This Row],[Product]]&amp;Products[[#This Row],[Unit]]</f>
        <v>Ground CherryMature FruitLb</v>
      </c>
      <c r="B75" t="s">
        <v>82</v>
      </c>
      <c r="C75" t="s">
        <v>196</v>
      </c>
      <c r="D75" t="s">
        <v>383</v>
      </c>
      <c r="E75" t="b">
        <v>1</v>
      </c>
      <c r="F75" t="s">
        <v>474</v>
      </c>
      <c r="G75">
        <v>1</v>
      </c>
      <c r="H75">
        <v>75</v>
      </c>
      <c r="I75">
        <v>6</v>
      </c>
      <c r="J75" t="s">
        <v>2366</v>
      </c>
      <c r="K75">
        <f>_xlfn.XLOOKUP(Products[[#This Row],[Packing Container]],Containers[Container],Containers[Cost])</f>
        <v>2.16</v>
      </c>
      <c r="M75">
        <v>4</v>
      </c>
      <c r="N75">
        <f>IF(Products[[#This Row],[Unit]]="Bunch",10,0)</f>
        <v>0</v>
      </c>
      <c r="O75">
        <f>5*60</f>
        <v>300</v>
      </c>
      <c r="P75">
        <f>CrateHaulTime/Products[[#This Row],[Per Crate]]</f>
        <v>1.2</v>
      </c>
      <c r="Q75">
        <f>_xlfn.XLOOKUP(Products[[#This Row],[Wash Type]],Table9[Wash Type],Table9[Seconds])*Products[[#This Row],[Wash Factor]]</f>
        <v>0</v>
      </c>
      <c r="R75">
        <v>0</v>
      </c>
      <c r="S75">
        <v>0</v>
      </c>
      <c r="T75">
        <v>3</v>
      </c>
      <c r="U75">
        <v>0</v>
      </c>
      <c r="V75">
        <v>0</v>
      </c>
      <c r="W75">
        <f>MarketHaulTime/CratesPerMarketLoad/Products[[#This Row],[Per Crate]]</f>
        <v>3</v>
      </c>
      <c r="X75" t="s">
        <v>2483</v>
      </c>
      <c r="AG75" s="207"/>
      <c r="AI75" s="184"/>
      <c r="AJ75" s="184"/>
      <c r="AK75" s="184"/>
      <c r="AL75" s="184"/>
      <c r="AM75" s="184"/>
      <c r="AN75" s="184"/>
      <c r="AO75" s="207"/>
      <c r="AP75" s="184"/>
      <c r="AY75">
        <f>Products[[#This Row],[CSA Portion]]*Products[[#This Row],[CSA Times]]</f>
        <v>0</v>
      </c>
      <c r="BA75">
        <f>Products[[#This Row],[CSA Need]]*Products[[#This Row],[Market Price]]</f>
        <v>0</v>
      </c>
    </row>
    <row r="76" spans="1:53" hidden="1">
      <c r="A76" t="str">
        <f>Products[[#This Row],[Crop]]&amp;Products[[#This Row],[Product]]&amp;Products[[#This Row],[Unit]]</f>
        <v>HibiscusMature StemStem</v>
      </c>
      <c r="B76" t="s">
        <v>1773</v>
      </c>
      <c r="C76" t="s">
        <v>181</v>
      </c>
      <c r="D76" t="s">
        <v>213</v>
      </c>
      <c r="E76" s="196" t="b">
        <v>1</v>
      </c>
      <c r="F76" s="199" t="s">
        <v>474</v>
      </c>
      <c r="G76" s="197">
        <v>1</v>
      </c>
      <c r="H76">
        <v>36</v>
      </c>
      <c r="I76">
        <v>36</v>
      </c>
      <c r="J76" t="s">
        <v>2367</v>
      </c>
      <c r="K76">
        <f>_xlfn.XLOOKUP(Products[[#This Row],[Packing Container]],Containers[Container],Containers[Cost])</f>
        <v>4</v>
      </c>
      <c r="M76">
        <v>6</v>
      </c>
      <c r="N76">
        <f>IF(Products[[#This Row],[Unit]]="Bunch",10,0)</f>
        <v>0</v>
      </c>
      <c r="O76">
        <v>5</v>
      </c>
      <c r="P76">
        <f>CrateHaulTime/Products[[#This Row],[Per Crate]]</f>
        <v>2.5</v>
      </c>
      <c r="Q76">
        <f>_xlfn.XLOOKUP(Products[[#This Row],[Wash Type]],Table9[Wash Type],Table9[Seconds])*Products[[#This Row],[Wash Factor]]</f>
        <v>0</v>
      </c>
      <c r="R76">
        <v>0</v>
      </c>
      <c r="S76">
        <v>3</v>
      </c>
      <c r="T76">
        <v>3</v>
      </c>
      <c r="U76">
        <v>0</v>
      </c>
      <c r="V76">
        <v>0</v>
      </c>
      <c r="W76">
        <f>MarketHaulTime/CratesPerMarketLoad/Products[[#This Row],[Per Crate]]</f>
        <v>6.25</v>
      </c>
      <c r="X76" t="s">
        <v>2482</v>
      </c>
      <c r="AY76">
        <f>Products[[#This Row],[CSA Portion]]*Products[[#This Row],[CSA Times]]</f>
        <v>0</v>
      </c>
      <c r="BA76">
        <f>Products[[#This Row],[CSA Need]]*Products[[#This Row],[Market Price]]</f>
        <v>0</v>
      </c>
    </row>
    <row r="77" spans="1:53" hidden="1">
      <c r="A77" t="str">
        <f>Products[[#This Row],[Crop]]&amp;Products[[#This Row],[Product]]&amp;Products[[#This Row],[Unit]]</f>
        <v>Hops Vine with FlowersFlowering VineStem</v>
      </c>
      <c r="B77" t="s">
        <v>83</v>
      </c>
      <c r="C77" t="s">
        <v>197</v>
      </c>
      <c r="D77" t="s">
        <v>213</v>
      </c>
      <c r="E77" t="b">
        <v>0</v>
      </c>
      <c r="F77" s="199" t="s">
        <v>474</v>
      </c>
      <c r="G77">
        <v>1</v>
      </c>
      <c r="H77">
        <v>35</v>
      </c>
      <c r="I77">
        <v>35</v>
      </c>
      <c r="J77" t="s">
        <v>2367</v>
      </c>
      <c r="K77">
        <f>_xlfn.XLOOKUP(Products[[#This Row],[Packing Container]],Containers[Container],Containers[Cost])</f>
        <v>4</v>
      </c>
      <c r="M77">
        <v>6</v>
      </c>
      <c r="N77">
        <f>IF(Products[[#This Row],[Unit]]="Bunch",10,0)</f>
        <v>0</v>
      </c>
      <c r="O77">
        <v>60</v>
      </c>
      <c r="P77">
        <f>CrateHaulTime/Products[[#This Row],[Per Crate]]</f>
        <v>2.5714285714285716</v>
      </c>
      <c r="Q77">
        <f>_xlfn.XLOOKUP(Products[[#This Row],[Wash Type]],Table9[Wash Type],Table9[Seconds])*Products[[#This Row],[Wash Factor]]</f>
        <v>0</v>
      </c>
      <c r="R77">
        <v>0</v>
      </c>
      <c r="S77">
        <v>0</v>
      </c>
      <c r="T77">
        <v>3</v>
      </c>
      <c r="U77">
        <v>0</v>
      </c>
      <c r="V77">
        <v>0</v>
      </c>
      <c r="W77">
        <f>MarketHaulTime/CratesPerMarketLoad/Products[[#This Row],[Per Crate]]</f>
        <v>6.4285714285714288</v>
      </c>
      <c r="X77" t="s">
        <v>2482</v>
      </c>
      <c r="AY77">
        <f>Products[[#This Row],[CSA Portion]]*Products[[#This Row],[CSA Times]]</f>
        <v>0</v>
      </c>
      <c r="BA77">
        <f>Products[[#This Row],[CSA Need]]*Products[[#This Row],[Market Price]]</f>
        <v>0</v>
      </c>
    </row>
    <row r="78" spans="1:53" hidden="1">
      <c r="A78" t="str">
        <f>Products[[#This Row],[Crop]]&amp;Products[[#This Row],[Product]]&amp;Products[[#This Row],[Unit]]</f>
        <v>HuauzontleMature StemLb</v>
      </c>
      <c r="B78" t="s">
        <v>84</v>
      </c>
      <c r="C78" t="s">
        <v>181</v>
      </c>
      <c r="D78" t="s">
        <v>383</v>
      </c>
      <c r="E78" t="b">
        <v>0</v>
      </c>
      <c r="F78" s="199" t="s">
        <v>474</v>
      </c>
      <c r="G78">
        <v>1</v>
      </c>
      <c r="H78">
        <v>35</v>
      </c>
      <c r="I78">
        <v>25</v>
      </c>
      <c r="J78" s="196" t="s">
        <v>2368</v>
      </c>
      <c r="K78">
        <f>_xlfn.XLOOKUP(Products[[#This Row],[Packing Container]],Containers[Container],Containers[Cost])</f>
        <v>3.8</v>
      </c>
      <c r="M78">
        <v>6</v>
      </c>
      <c r="N78">
        <f>IF(Products[[#This Row],[Unit]]="Bunch",10,0)</f>
        <v>0</v>
      </c>
      <c r="O78">
        <v>5</v>
      </c>
      <c r="P78">
        <f>CrateHaulTime/Products[[#This Row],[Per Crate]]</f>
        <v>2.5714285714285716</v>
      </c>
      <c r="Q78">
        <f>_xlfn.XLOOKUP(Products[[#This Row],[Wash Type]],Table9[Wash Type],Table9[Seconds])*Products[[#This Row],[Wash Factor]]</f>
        <v>0</v>
      </c>
      <c r="R78">
        <v>0</v>
      </c>
      <c r="S78">
        <v>3</v>
      </c>
      <c r="T78">
        <v>3</v>
      </c>
      <c r="U78">
        <v>0</v>
      </c>
      <c r="V78">
        <v>0</v>
      </c>
      <c r="W78">
        <f>MarketHaulTime/CratesPerMarketLoad/Products[[#This Row],[Per Crate]]</f>
        <v>6.4285714285714288</v>
      </c>
      <c r="X78" t="s">
        <v>2482</v>
      </c>
      <c r="AY78">
        <f>Products[[#This Row],[CSA Portion]]*Products[[#This Row],[CSA Times]]</f>
        <v>0</v>
      </c>
      <c r="BA78">
        <f>Products[[#This Row],[CSA Need]]*Products[[#This Row],[Market Price]]</f>
        <v>0</v>
      </c>
    </row>
    <row r="79" spans="1:53" hidden="1">
      <c r="A79" t="str">
        <f>Products[[#This Row],[Crop]]&amp;Products[[#This Row],[Product]]&amp;Products[[#This Row],[Unit]]</f>
        <v>Hyacinth Bean VineFlowering TendrilStem</v>
      </c>
      <c r="B79" t="s">
        <v>85</v>
      </c>
      <c r="C79" t="s">
        <v>184</v>
      </c>
      <c r="D79" t="s">
        <v>213</v>
      </c>
      <c r="E79" t="b">
        <v>0</v>
      </c>
      <c r="F79" s="199" t="s">
        <v>474</v>
      </c>
      <c r="G79">
        <v>1</v>
      </c>
      <c r="H79">
        <v>40</v>
      </c>
      <c r="I79">
        <v>40</v>
      </c>
      <c r="J79" t="s">
        <v>2367</v>
      </c>
      <c r="K79">
        <f>_xlfn.XLOOKUP(Products[[#This Row],[Packing Container]],Containers[Container],Containers[Cost])</f>
        <v>4</v>
      </c>
      <c r="M79">
        <v>6</v>
      </c>
      <c r="N79">
        <f>IF(Products[[#This Row],[Unit]]="Bunch",10,0)</f>
        <v>0</v>
      </c>
      <c r="O79">
        <v>60</v>
      </c>
      <c r="P79">
        <f>CrateHaulTime/Products[[#This Row],[Per Crate]]</f>
        <v>2.25</v>
      </c>
      <c r="Q79">
        <f>_xlfn.XLOOKUP(Products[[#This Row],[Wash Type]],Table9[Wash Type],Table9[Seconds])*Products[[#This Row],[Wash Factor]]</f>
        <v>0</v>
      </c>
      <c r="R79">
        <v>0</v>
      </c>
      <c r="S79">
        <v>0</v>
      </c>
      <c r="T79">
        <v>3</v>
      </c>
      <c r="U79">
        <v>0</v>
      </c>
      <c r="V79">
        <v>0</v>
      </c>
      <c r="W79">
        <f>MarketHaulTime/CratesPerMarketLoad/Products[[#This Row],[Per Crate]]</f>
        <v>5.625</v>
      </c>
      <c r="X79" t="s">
        <v>2482</v>
      </c>
      <c r="AY79">
        <f>Products[[#This Row],[CSA Portion]]*Products[[#This Row],[CSA Times]]</f>
        <v>0</v>
      </c>
      <c r="BA79">
        <f>Products[[#This Row],[CSA Need]]*Products[[#This Row],[Market Price]]</f>
        <v>0</v>
      </c>
    </row>
    <row r="80" spans="1:53" hidden="1">
      <c r="A80" t="str">
        <f>Products[[#This Row],[Crop]]&amp;Products[[#This Row],[Product]]&amp;Products[[#This Row],[Unit]]</f>
        <v>HydrangeaMature StemStem</v>
      </c>
      <c r="B80" t="s">
        <v>86</v>
      </c>
      <c r="C80" t="s">
        <v>181</v>
      </c>
      <c r="D80" t="s">
        <v>213</v>
      </c>
      <c r="E80" t="b">
        <v>0</v>
      </c>
      <c r="F80" s="199" t="s">
        <v>474</v>
      </c>
      <c r="G80">
        <v>1</v>
      </c>
      <c r="H80">
        <v>24</v>
      </c>
      <c r="I80">
        <v>24</v>
      </c>
      <c r="J80" t="s">
        <v>2367</v>
      </c>
      <c r="K80">
        <f>_xlfn.XLOOKUP(Products[[#This Row],[Packing Container]],Containers[Container],Containers[Cost])</f>
        <v>4</v>
      </c>
      <c r="M80">
        <v>6</v>
      </c>
      <c r="N80">
        <f>IF(Products[[#This Row],[Unit]]="Bunch",10,0)</f>
        <v>0</v>
      </c>
      <c r="O80">
        <v>10</v>
      </c>
      <c r="P80">
        <f>CrateHaulTime/Products[[#This Row],[Per Crate]]</f>
        <v>3.75</v>
      </c>
      <c r="Q80">
        <f>_xlfn.XLOOKUP(Products[[#This Row],[Wash Type]],Table9[Wash Type],Table9[Seconds])*Products[[#This Row],[Wash Factor]]</f>
        <v>0</v>
      </c>
      <c r="R80">
        <v>2</v>
      </c>
      <c r="S80">
        <v>10</v>
      </c>
      <c r="T80">
        <v>3</v>
      </c>
      <c r="U80">
        <v>0</v>
      </c>
      <c r="V80">
        <v>0</v>
      </c>
      <c r="W80">
        <f>MarketHaulTime/CratesPerMarketLoad/Products[[#This Row],[Per Crate]]</f>
        <v>9.375</v>
      </c>
      <c r="X80" t="s">
        <v>2482</v>
      </c>
      <c r="AY80">
        <f>Products[[#This Row],[CSA Portion]]*Products[[#This Row],[CSA Times]]</f>
        <v>0</v>
      </c>
      <c r="BA80">
        <f>Products[[#This Row],[CSA Need]]*Products[[#This Row],[Market Price]]</f>
        <v>0</v>
      </c>
    </row>
    <row r="81" spans="1:54" hidden="1">
      <c r="A81" t="str">
        <f>Products[[#This Row],[Crop]]&amp;Products[[#This Row],[Product]]&amp;Products[[#This Row],[Unit]]</f>
        <v>Jelly MelonRipe FruitLb</v>
      </c>
      <c r="B81" t="s">
        <v>87</v>
      </c>
      <c r="C81" t="s">
        <v>191</v>
      </c>
      <c r="D81" t="s">
        <v>383</v>
      </c>
      <c r="E81" t="b">
        <v>0</v>
      </c>
      <c r="F81" t="s">
        <v>474</v>
      </c>
      <c r="G81">
        <v>1</v>
      </c>
      <c r="H81">
        <v>35</v>
      </c>
      <c r="I81">
        <v>25</v>
      </c>
      <c r="J81" s="196" t="s">
        <v>2368</v>
      </c>
      <c r="K81">
        <f>_xlfn.XLOOKUP(Products[[#This Row],[Packing Container]],Containers[Container],Containers[Cost])</f>
        <v>3.8</v>
      </c>
      <c r="M81">
        <v>5</v>
      </c>
      <c r="N81">
        <f>IF(Products[[#This Row],[Unit]]="Bunch",10,0)</f>
        <v>0</v>
      </c>
      <c r="O81">
        <v>8</v>
      </c>
      <c r="P81">
        <f>CrateHaulTime/Products[[#This Row],[Per Crate]]</f>
        <v>2.5714285714285716</v>
      </c>
      <c r="Q81">
        <f>_xlfn.XLOOKUP(Products[[#This Row],[Wash Type]],Table9[Wash Type],Table9[Seconds])*Products[[#This Row],[Wash Factor]]</f>
        <v>0</v>
      </c>
      <c r="R81">
        <v>0</v>
      </c>
      <c r="S81">
        <v>0</v>
      </c>
      <c r="T81">
        <v>3</v>
      </c>
      <c r="U81">
        <v>0</v>
      </c>
      <c r="V81">
        <v>0</v>
      </c>
      <c r="W81">
        <f>MarketHaulTime/CratesPerMarketLoad/Products[[#This Row],[Per Crate]]</f>
        <v>6.4285714285714288</v>
      </c>
      <c r="X81" t="s">
        <v>2482</v>
      </c>
      <c r="AY81">
        <f>Products[[#This Row],[CSA Portion]]*Products[[#This Row],[CSA Times]]</f>
        <v>0</v>
      </c>
      <c r="BA81">
        <f>Products[[#This Row],[CSA Need]]*Products[[#This Row],[Market Price]]</f>
        <v>0</v>
      </c>
    </row>
    <row r="82" spans="1:54" hidden="1">
      <c r="A82" t="str">
        <f>Products[[#This Row],[Crop]]&amp;Products[[#This Row],[Product]]&amp;Products[[#This Row],[Unit]]</f>
        <v>KaibrocLoose FloretsLb</v>
      </c>
      <c r="B82" t="s">
        <v>366</v>
      </c>
      <c r="C82" t="s">
        <v>367</v>
      </c>
      <c r="D82" t="s">
        <v>383</v>
      </c>
      <c r="E82" t="b">
        <v>1</v>
      </c>
      <c r="F82" t="s">
        <v>474</v>
      </c>
      <c r="G82">
        <v>1</v>
      </c>
      <c r="H82">
        <v>30</v>
      </c>
      <c r="I82">
        <v>25</v>
      </c>
      <c r="J82" t="s">
        <v>2368</v>
      </c>
      <c r="K82">
        <f>_xlfn.XLOOKUP(Products[[#This Row],[Packing Container]],Containers[Container],Containers[Cost])</f>
        <v>3.8</v>
      </c>
      <c r="M82">
        <v>2</v>
      </c>
      <c r="N82">
        <f>IF(Products[[#This Row],[Unit]]="Bunch",10,0)</f>
        <v>0</v>
      </c>
      <c r="O82">
        <v>10</v>
      </c>
      <c r="P82">
        <f>CrateHaulTime/Products[[#This Row],[Per Crate]]</f>
        <v>3</v>
      </c>
      <c r="Q82">
        <f>_xlfn.XLOOKUP(Products[[#This Row],[Wash Type]],Table9[Wash Type],Table9[Seconds])*Products[[#This Row],[Wash Factor]]</f>
        <v>0</v>
      </c>
      <c r="R82">
        <v>10</v>
      </c>
      <c r="S82">
        <v>0</v>
      </c>
      <c r="T82">
        <v>3</v>
      </c>
      <c r="U82">
        <v>0</v>
      </c>
      <c r="V82">
        <v>0</v>
      </c>
      <c r="W82">
        <f>MarketHaulTime/CratesPerMarketLoad/Products[[#This Row],[Per Crate]]</f>
        <v>7.5</v>
      </c>
      <c r="X82" t="s">
        <v>2483</v>
      </c>
      <c r="AG82" s="207"/>
      <c r="AO82" s="207"/>
      <c r="AY82">
        <f>Products[[#This Row],[CSA Portion]]*Products[[#This Row],[CSA Times]]</f>
        <v>0</v>
      </c>
      <c r="BA82">
        <f>Products[[#This Row],[CSA Need]]*Products[[#This Row],[Market Price]]</f>
        <v>0</v>
      </c>
    </row>
    <row r="83" spans="1:54">
      <c r="A83" t="str">
        <f>Products[[#This Row],[Crop]]&amp;Products[[#This Row],[Product]]&amp;Products[[#This Row],[Unit]]</f>
        <v>GooseberryMature BerryPint</v>
      </c>
      <c r="B83" t="s">
        <v>393</v>
      </c>
      <c r="C83" t="s">
        <v>395</v>
      </c>
      <c r="D83" t="s">
        <v>2359</v>
      </c>
      <c r="E83" t="b">
        <v>1</v>
      </c>
      <c r="F83" t="s">
        <v>474</v>
      </c>
      <c r="G83">
        <v>1</v>
      </c>
      <c r="H83">
        <f>3*5*5</f>
        <v>75</v>
      </c>
      <c r="I83">
        <v>6</v>
      </c>
      <c r="J83" t="s">
        <v>2366</v>
      </c>
      <c r="K83">
        <f>_xlfn.XLOOKUP(Products[[#This Row],[Packing Container]],Containers[Container],Containers[Cost])</f>
        <v>2.16</v>
      </c>
      <c r="M83">
        <v>5</v>
      </c>
      <c r="N83">
        <f>IF(Products[[#This Row],[Unit]]="Bunch",10,0)</f>
        <v>0</v>
      </c>
      <c r="O83">
        <f>4*40</f>
        <v>160</v>
      </c>
      <c r="P83">
        <f>CrateHaulTime/Products[[#This Row],[Per Crate]]</f>
        <v>1.2</v>
      </c>
      <c r="Q83">
        <f>_xlfn.XLOOKUP(Products[[#This Row],[Wash Type]],Table9[Wash Type],Table9[Seconds])*Products[[#This Row],[Wash Factor]]</f>
        <v>0</v>
      </c>
      <c r="R83">
        <v>0</v>
      </c>
      <c r="S83">
        <v>0</v>
      </c>
      <c r="T83">
        <v>3</v>
      </c>
      <c r="U83">
        <v>0</v>
      </c>
      <c r="V83">
        <v>0</v>
      </c>
      <c r="W83">
        <f>MarketHaulTime/CratesPerMarketLoad/Products[[#This Row],[Per Crate]]</f>
        <v>3</v>
      </c>
      <c r="X83" t="s">
        <v>2483</v>
      </c>
      <c r="AG83" s="207"/>
      <c r="AK83" s="184"/>
      <c r="AL83" s="184"/>
      <c r="AM83" s="184"/>
      <c r="AN83" s="184"/>
      <c r="AO83" s="207"/>
      <c r="AP83" s="184"/>
      <c r="AQ83" s="184"/>
      <c r="AR83" s="184"/>
      <c r="AS83" s="184"/>
      <c r="AT83" s="184"/>
      <c r="AU83" s="184"/>
      <c r="AV83" s="184"/>
      <c r="AW83">
        <v>0.5</v>
      </c>
      <c r="AX83">
        <v>1</v>
      </c>
      <c r="AY83">
        <f>Products[[#This Row],[CSA Portion]]*Products[[#This Row],[CSA Times]]</f>
        <v>0.5</v>
      </c>
      <c r="AZ83">
        <v>5</v>
      </c>
      <c r="BA83">
        <f>Products[[#This Row],[CSA Need]]*Products[[#This Row],[Market Price]]</f>
        <v>2.5</v>
      </c>
    </row>
    <row r="84" spans="1:54">
      <c r="A84" t="str">
        <f>Products[[#This Row],[Crop]]&amp;Products[[#This Row],[Product]]&amp;Products[[#This Row],[Unit]]</f>
        <v>KaleMature LeafBunch</v>
      </c>
      <c r="B84" t="s">
        <v>88</v>
      </c>
      <c r="C84" t="s">
        <v>179</v>
      </c>
      <c r="D84" t="s">
        <v>215</v>
      </c>
      <c r="E84" t="b">
        <v>1</v>
      </c>
      <c r="F84" t="s">
        <v>474</v>
      </c>
      <c r="G84">
        <v>1</v>
      </c>
      <c r="H84">
        <v>18</v>
      </c>
      <c r="I84">
        <v>18</v>
      </c>
      <c r="J84" s="198" t="s">
        <v>2368</v>
      </c>
      <c r="K84">
        <f>_xlfn.XLOOKUP(Products[[#This Row],[Packing Container]],Containers[Container],Containers[Cost])</f>
        <v>3.8</v>
      </c>
      <c r="L84">
        <v>5</v>
      </c>
      <c r="M84">
        <v>2</v>
      </c>
      <c r="N84">
        <f>IF(Products[[#This Row],[Unit]]="Bunch",10,0)</f>
        <v>10</v>
      </c>
      <c r="O84">
        <v>10</v>
      </c>
      <c r="P84">
        <f>CrateHaulTime/Products[[#This Row],[Per Crate]]</f>
        <v>5</v>
      </c>
      <c r="Q84">
        <f>_xlfn.XLOOKUP(Products[[#This Row],[Wash Type]],Table9[Wash Type],Table9[Seconds])*Products[[#This Row],[Wash Factor]]</f>
        <v>0</v>
      </c>
      <c r="R84">
        <v>10</v>
      </c>
      <c r="S84">
        <v>10</v>
      </c>
      <c r="T84">
        <v>3</v>
      </c>
      <c r="U84">
        <v>0</v>
      </c>
      <c r="V84">
        <v>0</v>
      </c>
      <c r="W84">
        <f>MarketHaulTime/CratesPerMarketLoad/Products[[#This Row],[Per Crate]]</f>
        <v>12.5</v>
      </c>
      <c r="X84" t="s">
        <v>2484</v>
      </c>
      <c r="AC84" s="184"/>
      <c r="AD84" s="184"/>
      <c r="AE84" s="184"/>
      <c r="AF84" s="184"/>
      <c r="AG84" s="207"/>
      <c r="AH84" s="184"/>
      <c r="AI84" s="184"/>
      <c r="AJ84" s="184"/>
      <c r="AK84" s="184"/>
      <c r="AL84" s="184"/>
      <c r="AM84" s="184"/>
      <c r="AN84" s="184"/>
      <c r="AO84" s="207"/>
      <c r="AP84" s="184"/>
      <c r="AQ84" s="184"/>
      <c r="AR84" s="184"/>
      <c r="AS84" s="184"/>
      <c r="AT84" s="184"/>
      <c r="AU84" s="184"/>
      <c r="AV84" s="184"/>
      <c r="AW84">
        <v>1</v>
      </c>
      <c r="AX84">
        <v>5</v>
      </c>
      <c r="AY84">
        <f>Products[[#This Row],[CSA Portion]]*Products[[#This Row],[CSA Times]]</f>
        <v>5</v>
      </c>
      <c r="AZ84">
        <v>3</v>
      </c>
      <c r="BA84">
        <f>Products[[#This Row],[CSA Need]]*Products[[#This Row],[Market Price]]</f>
        <v>15</v>
      </c>
    </row>
    <row r="85" spans="1:54">
      <c r="A85" t="str">
        <f>Products[[#This Row],[Crop]]&amp;Products[[#This Row],[Product]]&amp;Products[[#This Row],[Unit]]</f>
        <v>KohlrabiStorage BulbBulb</v>
      </c>
      <c r="B85" t="s">
        <v>89</v>
      </c>
      <c r="C85" t="s">
        <v>194</v>
      </c>
      <c r="D85" t="s">
        <v>2356</v>
      </c>
      <c r="E85" t="b">
        <v>1</v>
      </c>
      <c r="F85" t="s">
        <v>474</v>
      </c>
      <c r="G85">
        <v>1</v>
      </c>
      <c r="H85">
        <v>40</v>
      </c>
      <c r="I85">
        <v>25</v>
      </c>
      <c r="J85" s="196" t="s">
        <v>2368</v>
      </c>
      <c r="K85">
        <f>_xlfn.XLOOKUP(Products[[#This Row],[Packing Container]],Containers[Container],Containers[Cost])</f>
        <v>3.8</v>
      </c>
      <c r="M85">
        <v>3</v>
      </c>
      <c r="N85">
        <f>IF(Products[[#This Row],[Unit]]="Bunch",10,0)</f>
        <v>0</v>
      </c>
      <c r="O85">
        <v>10</v>
      </c>
      <c r="P85">
        <f>CrateHaulTime/Products[[#This Row],[Per Crate]]</f>
        <v>2.25</v>
      </c>
      <c r="Q85">
        <f>_xlfn.XLOOKUP(Products[[#This Row],[Wash Type]],Table9[Wash Type],Table9[Seconds])*Products[[#This Row],[Wash Factor]]</f>
        <v>0</v>
      </c>
      <c r="R85">
        <v>0</v>
      </c>
      <c r="S85">
        <v>10</v>
      </c>
      <c r="T85">
        <v>3</v>
      </c>
      <c r="U85">
        <v>0</v>
      </c>
      <c r="V85">
        <v>0</v>
      </c>
      <c r="W85">
        <f>MarketHaulTime/CratesPerMarketLoad/Products[[#This Row],[Per Crate]]</f>
        <v>5.625</v>
      </c>
      <c r="X85" t="s">
        <v>2483</v>
      </c>
      <c r="AG85" s="207"/>
      <c r="AM85" s="184"/>
      <c r="AN85" s="184"/>
      <c r="AO85" s="207"/>
      <c r="AP85" s="184"/>
      <c r="AQ85" s="184"/>
      <c r="AR85" s="184"/>
      <c r="AS85" s="184"/>
      <c r="AT85" s="184"/>
      <c r="AU85" s="184"/>
      <c r="AV85" s="184"/>
      <c r="AW85">
        <v>1</v>
      </c>
      <c r="AX85">
        <v>1</v>
      </c>
      <c r="AY85">
        <f>Products[[#This Row],[CSA Portion]]*Products[[#This Row],[CSA Times]]</f>
        <v>1</v>
      </c>
      <c r="AZ85">
        <v>4</v>
      </c>
      <c r="BA85">
        <f>Products[[#This Row],[CSA Need]]*Products[[#This Row],[Market Price]]</f>
        <v>4</v>
      </c>
    </row>
    <row r="86" spans="1:54">
      <c r="A86" t="str">
        <f>Products[[#This Row],[Crop]]&amp;Products[[#This Row],[Product]]&amp;Products[[#This Row],[Unit]]</f>
        <v>KomatsunaLoose LeafBunch</v>
      </c>
      <c r="B86" t="s">
        <v>90</v>
      </c>
      <c r="C86" t="s">
        <v>190</v>
      </c>
      <c r="D86" t="s">
        <v>215</v>
      </c>
      <c r="E86" t="b">
        <v>1</v>
      </c>
      <c r="F86" t="s">
        <v>474</v>
      </c>
      <c r="G86">
        <v>1</v>
      </c>
      <c r="H86">
        <v>24</v>
      </c>
      <c r="I86">
        <v>24</v>
      </c>
      <c r="J86" t="s">
        <v>2368</v>
      </c>
      <c r="K86">
        <f>_xlfn.XLOOKUP(Products[[#This Row],[Packing Container]],Containers[Container],Containers[Cost])</f>
        <v>3.8</v>
      </c>
      <c r="L86">
        <v>5</v>
      </c>
      <c r="M86">
        <v>4</v>
      </c>
      <c r="N86">
        <f>IF(Products[[#This Row],[Unit]]="Bunch",10,0)</f>
        <v>10</v>
      </c>
      <c r="O86">
        <v>24</v>
      </c>
      <c r="P86">
        <f>CrateHaulTime/Products[[#This Row],[Per Crate]]</f>
        <v>3.75</v>
      </c>
      <c r="Q86">
        <f>_xlfn.XLOOKUP(Products[[#This Row],[Wash Type]],Table9[Wash Type],Table9[Seconds])*Products[[#This Row],[Wash Factor]]</f>
        <v>0</v>
      </c>
      <c r="R86">
        <v>10</v>
      </c>
      <c r="S86">
        <v>0</v>
      </c>
      <c r="T86">
        <v>3</v>
      </c>
      <c r="U86">
        <v>0</v>
      </c>
      <c r="V86">
        <v>0</v>
      </c>
      <c r="W86">
        <f>MarketHaulTime/CratesPerMarketLoad/Products[[#This Row],[Per Crate]]</f>
        <v>9.375</v>
      </c>
      <c r="X86" t="s">
        <v>2484</v>
      </c>
      <c r="Y86" s="184"/>
      <c r="Z86" s="184"/>
      <c r="AA86" s="184"/>
      <c r="AB86" s="184"/>
      <c r="AC86" s="184"/>
      <c r="AD86" s="184"/>
      <c r="AE86" s="184"/>
      <c r="AF86" s="184"/>
      <c r="AG86" s="207"/>
      <c r="AH86" s="184"/>
      <c r="AI86" s="184"/>
      <c r="AJ86" s="184"/>
      <c r="AK86" s="184"/>
      <c r="AL86" s="184"/>
      <c r="AM86" s="184"/>
      <c r="AN86" s="184"/>
      <c r="AO86" s="207"/>
      <c r="AP86" s="184"/>
      <c r="AQ86" s="184"/>
      <c r="AR86" s="184"/>
      <c r="AS86" s="184"/>
      <c r="AT86" s="184"/>
      <c r="AU86" s="184"/>
      <c r="AV86" s="184"/>
      <c r="AW86">
        <v>1</v>
      </c>
      <c r="AX86">
        <v>2</v>
      </c>
      <c r="AY86">
        <f>Products[[#This Row],[CSA Portion]]*Products[[#This Row],[CSA Times]]</f>
        <v>2</v>
      </c>
      <c r="AZ86">
        <v>3</v>
      </c>
      <c r="BA86">
        <f>Products[[#This Row],[CSA Need]]*Products[[#This Row],[Market Price]]</f>
        <v>6</v>
      </c>
    </row>
    <row r="87" spans="1:54">
      <c r="A87" t="str">
        <f>Products[[#This Row],[Crop]]&amp;Products[[#This Row],[Product]]&amp;Products[[#This Row],[Unit]]</f>
        <v>LeekMature StalkBunch</v>
      </c>
      <c r="B87" t="s">
        <v>91</v>
      </c>
      <c r="C87" t="s">
        <v>199</v>
      </c>
      <c r="D87" t="s">
        <v>215</v>
      </c>
      <c r="E87" t="b">
        <v>1</v>
      </c>
      <c r="F87" t="s">
        <v>443</v>
      </c>
      <c r="G87">
        <v>3</v>
      </c>
      <c r="H87">
        <v>24</v>
      </c>
      <c r="I87">
        <v>24</v>
      </c>
      <c r="J87" t="s">
        <v>2368</v>
      </c>
      <c r="K87">
        <f>_xlfn.XLOOKUP(Products[[#This Row],[Packing Container]],Containers[Container],Containers[Cost])</f>
        <v>3.8</v>
      </c>
      <c r="L87">
        <v>30</v>
      </c>
      <c r="M87">
        <v>1</v>
      </c>
      <c r="N87">
        <f>IF(Products[[#This Row],[Unit]]="Bunch",10,0)</f>
        <v>10</v>
      </c>
      <c r="O87">
        <f>3*15</f>
        <v>45</v>
      </c>
      <c r="P87">
        <f>CrateHaulTime/Products[[#This Row],[Per Crate]]</f>
        <v>3.75</v>
      </c>
      <c r="Q87">
        <f>_xlfn.XLOOKUP(Products[[#This Row],[Wash Type]],Table9[Wash Type],Table9[Seconds])*Products[[#This Row],[Wash Factor]]</f>
        <v>15</v>
      </c>
      <c r="R87">
        <v>0</v>
      </c>
      <c r="S87">
        <v>40</v>
      </c>
      <c r="T87">
        <v>3</v>
      </c>
      <c r="U87">
        <v>0</v>
      </c>
      <c r="V87">
        <v>0</v>
      </c>
      <c r="W87">
        <f>MarketHaulTime/CratesPerMarketLoad/Products[[#This Row],[Per Crate]]</f>
        <v>9.375</v>
      </c>
      <c r="X87" t="s">
        <v>2484</v>
      </c>
      <c r="AG87" s="207"/>
      <c r="AH87" s="184"/>
      <c r="AI87" s="184"/>
      <c r="AJ87" s="184"/>
      <c r="AK87" s="184"/>
      <c r="AL87" s="184"/>
      <c r="AM87" s="184"/>
      <c r="AN87" s="184"/>
      <c r="AO87" s="207"/>
      <c r="AP87" s="184"/>
      <c r="AQ87" s="184"/>
      <c r="AR87" s="184"/>
      <c r="AS87" s="184"/>
      <c r="AT87" s="184"/>
      <c r="AU87" s="184"/>
      <c r="AV87" s="184"/>
      <c r="AW87">
        <v>1</v>
      </c>
      <c r="AX87">
        <v>2</v>
      </c>
      <c r="AY87">
        <f>Products[[#This Row],[CSA Portion]]*Products[[#This Row],[CSA Times]]</f>
        <v>2</v>
      </c>
      <c r="AZ87">
        <v>6</v>
      </c>
      <c r="BA87">
        <f>Products[[#This Row],[CSA Need]]*Products[[#This Row],[Market Price]]</f>
        <v>12</v>
      </c>
      <c r="BB87" t="b">
        <v>1</v>
      </c>
    </row>
    <row r="88" spans="1:54">
      <c r="A88" t="str">
        <f>Products[[#This Row],[Crop]]&amp;Products[[#This Row],[Product]]&amp;Products[[#This Row],[Unit]]</f>
        <v>LemongrassMature StalksBunch</v>
      </c>
      <c r="B88" t="s">
        <v>387</v>
      </c>
      <c r="C88" t="s">
        <v>206</v>
      </c>
      <c r="D88" t="s">
        <v>215</v>
      </c>
      <c r="E88" t="b">
        <v>1</v>
      </c>
      <c r="F88" t="s">
        <v>474</v>
      </c>
      <c r="G88">
        <v>1</v>
      </c>
      <c r="H88">
        <v>250</v>
      </c>
      <c r="I88">
        <v>250</v>
      </c>
      <c r="J88" t="s">
        <v>2368</v>
      </c>
      <c r="K88">
        <f>_xlfn.XLOOKUP(Products[[#This Row],[Packing Container]],Containers[Container],Containers[Cost])</f>
        <v>3.8</v>
      </c>
      <c r="M88">
        <v>4</v>
      </c>
      <c r="N88">
        <f>IF(Products[[#This Row],[Unit]]="Bunch",10,0)</f>
        <v>10</v>
      </c>
      <c r="O88">
        <v>48</v>
      </c>
      <c r="P88">
        <f>CrateHaulTime/Products[[#This Row],[Per Crate]]</f>
        <v>0.36</v>
      </c>
      <c r="Q88">
        <v>0</v>
      </c>
      <c r="R88">
        <v>0</v>
      </c>
      <c r="S88">
        <v>0</v>
      </c>
      <c r="T88">
        <v>3</v>
      </c>
      <c r="U88">
        <v>0</v>
      </c>
      <c r="V88">
        <v>0</v>
      </c>
      <c r="W88">
        <f>MarketHaulTime/CratesPerMarketLoad/Products[[#This Row],[Per Crate]]</f>
        <v>0.9</v>
      </c>
      <c r="X88" t="s">
        <v>2483</v>
      </c>
      <c r="AG88" s="207"/>
      <c r="AJ88" s="184"/>
      <c r="AK88" s="184"/>
      <c r="AL88" s="184"/>
      <c r="AM88" s="184"/>
      <c r="AN88" s="184"/>
      <c r="AO88" s="207"/>
      <c r="AP88" s="184"/>
      <c r="AQ88" s="184"/>
      <c r="AR88" s="184"/>
      <c r="AW88">
        <v>1</v>
      </c>
      <c r="AX88">
        <v>1</v>
      </c>
      <c r="AY88">
        <f>Products[[#This Row],[CSA Portion]]*Products[[#This Row],[CSA Times]]</f>
        <v>1</v>
      </c>
      <c r="AZ88">
        <v>3</v>
      </c>
      <c r="BA88">
        <f>Products[[#This Row],[CSA Need]]*Products[[#This Row],[Market Price]]</f>
        <v>3</v>
      </c>
    </row>
    <row r="89" spans="1:54">
      <c r="A89" t="str">
        <f>Products[[#This Row],[Crop]]&amp;Products[[#This Row],[Product]]&amp;Products[[#This Row],[Unit]]</f>
        <v>LettuceLoose LeafLb</v>
      </c>
      <c r="B89" t="s">
        <v>92</v>
      </c>
      <c r="C89" t="s">
        <v>190</v>
      </c>
      <c r="D89" t="s">
        <v>383</v>
      </c>
      <c r="E89" t="b">
        <v>1</v>
      </c>
      <c r="F89" t="s">
        <v>2384</v>
      </c>
      <c r="G89">
        <v>1</v>
      </c>
      <c r="H89">
        <v>10</v>
      </c>
      <c r="I89">
        <v>10</v>
      </c>
      <c r="J89" t="s">
        <v>2368</v>
      </c>
      <c r="K89">
        <f>_xlfn.XLOOKUP(Products[[#This Row],[Packing Container]],Containers[Container],Containers[Cost])</f>
        <v>3.8</v>
      </c>
      <c r="L89">
        <v>0</v>
      </c>
      <c r="M89">
        <v>2</v>
      </c>
      <c r="N89">
        <f>IF(Products[[#This Row],[Unit]]="Bunch",10,0)</f>
        <v>0</v>
      </c>
      <c r="O89">
        <v>120</v>
      </c>
      <c r="P89">
        <f>CrateHaulTime/Products[[#This Row],[Per Crate]]</f>
        <v>9</v>
      </c>
      <c r="Q89">
        <f>_xlfn.XLOOKUP(Products[[#This Row],[Wash Type]],Table9[Wash Type],Table9[Seconds])*Products[[#This Row],[Wash Factor]]</f>
        <v>60</v>
      </c>
      <c r="R89">
        <v>0</v>
      </c>
      <c r="S89">
        <v>30</v>
      </c>
      <c r="T89">
        <v>3</v>
      </c>
      <c r="U89">
        <v>0</v>
      </c>
      <c r="V89">
        <v>0</v>
      </c>
      <c r="W89">
        <f>MarketHaulTime/CratesPerMarketLoad/Products[[#This Row],[Per Crate]]</f>
        <v>22.5</v>
      </c>
      <c r="X89" t="s">
        <v>2484</v>
      </c>
      <c r="Y89" s="184"/>
      <c r="Z89" s="184"/>
      <c r="AA89" s="184"/>
      <c r="AB89" s="184"/>
      <c r="AC89" s="184"/>
      <c r="AD89" s="184"/>
      <c r="AE89" s="184"/>
      <c r="AF89" s="184"/>
      <c r="AG89" s="207"/>
      <c r="AH89" s="184"/>
      <c r="AI89" s="184"/>
      <c r="AJ89" s="184"/>
      <c r="AK89" s="184"/>
      <c r="AL89" s="184"/>
      <c r="AM89" s="184"/>
      <c r="AN89" s="184"/>
      <c r="AO89" s="207"/>
      <c r="AP89" s="184"/>
      <c r="AQ89" s="184"/>
      <c r="AR89" s="184"/>
      <c r="AS89" s="184"/>
      <c r="AT89" s="184"/>
      <c r="AU89" s="184"/>
      <c r="AV89" s="184"/>
      <c r="AW89">
        <v>0.75</v>
      </c>
      <c r="AX89">
        <v>10</v>
      </c>
      <c r="AY89">
        <f>Products[[#This Row],[CSA Portion]]*Products[[#This Row],[CSA Times]]</f>
        <v>7.5</v>
      </c>
      <c r="AZ89">
        <v>10</v>
      </c>
      <c r="BA89">
        <f>Products[[#This Row],[CSA Need]]*Products[[#This Row],[Market Price]]</f>
        <v>75</v>
      </c>
    </row>
    <row r="90" spans="1:54">
      <c r="A90" t="str">
        <f>Products[[#This Row],[Crop]]&amp;Products[[#This Row],[Product]]&amp;Products[[#This Row],[Unit]]</f>
        <v>LettuceMature HeadHead</v>
      </c>
      <c r="B90" t="s">
        <v>92</v>
      </c>
      <c r="C90" t="s">
        <v>186</v>
      </c>
      <c r="D90" t="s">
        <v>214</v>
      </c>
      <c r="E90" t="b">
        <v>1</v>
      </c>
      <c r="F90" t="s">
        <v>2390</v>
      </c>
      <c r="G90">
        <v>1</v>
      </c>
      <c r="H90">
        <v>24</v>
      </c>
      <c r="I90">
        <v>24</v>
      </c>
      <c r="J90" t="s">
        <v>2368</v>
      </c>
      <c r="K90">
        <f>_xlfn.XLOOKUP(Products[[#This Row],[Packing Container]],Containers[Container],Containers[Cost])</f>
        <v>3.8</v>
      </c>
      <c r="L90">
        <v>10</v>
      </c>
      <c r="M90">
        <v>2</v>
      </c>
      <c r="N90">
        <f>IF(Products[[#This Row],[Unit]]="Bunch",10,0)</f>
        <v>0</v>
      </c>
      <c r="O90">
        <v>10</v>
      </c>
      <c r="P90">
        <f>CrateHaulTime/Products[[#This Row],[Per Crate]]</f>
        <v>3.75</v>
      </c>
      <c r="Q90">
        <f>_xlfn.XLOOKUP(Products[[#This Row],[Wash Type]],Table9[Wash Type],Table9[Seconds])*Products[[#This Row],[Wash Factor]]</f>
        <v>20</v>
      </c>
      <c r="R90">
        <v>0</v>
      </c>
      <c r="S90">
        <v>10</v>
      </c>
      <c r="T90">
        <v>3</v>
      </c>
      <c r="U90">
        <v>0</v>
      </c>
      <c r="V90">
        <v>0</v>
      </c>
      <c r="W90">
        <f>MarketHaulTime/CratesPerMarketLoad/Products[[#This Row],[Per Crate]]</f>
        <v>9.375</v>
      </c>
      <c r="X90" t="s">
        <v>2484</v>
      </c>
      <c r="Y90" s="184"/>
      <c r="Z90" s="184"/>
      <c r="AA90" s="184"/>
      <c r="AB90" s="184"/>
      <c r="AC90" s="184"/>
      <c r="AD90" s="184"/>
      <c r="AE90" s="184"/>
      <c r="AF90" s="184"/>
      <c r="AG90" s="207"/>
      <c r="AH90" s="184"/>
      <c r="AI90" s="184"/>
      <c r="AJ90" s="184"/>
      <c r="AK90" s="184"/>
      <c r="AL90" s="184"/>
      <c r="AM90" s="184"/>
      <c r="AN90" s="184"/>
      <c r="AO90" s="207"/>
      <c r="AP90" s="184"/>
      <c r="AQ90" s="184"/>
      <c r="AR90" s="184"/>
      <c r="AS90" s="184"/>
      <c r="AT90" s="184"/>
      <c r="AU90" s="184"/>
      <c r="AV90" s="184"/>
      <c r="AW90">
        <v>1</v>
      </c>
      <c r="AX90">
        <v>2</v>
      </c>
      <c r="AY90">
        <f>Products[[#This Row],[CSA Portion]]*Products[[#This Row],[CSA Times]]</f>
        <v>2</v>
      </c>
      <c r="AZ90">
        <v>4</v>
      </c>
      <c r="BA90">
        <f>Products[[#This Row],[CSA Need]]*Products[[#This Row],[Market Price]]</f>
        <v>8</v>
      </c>
    </row>
    <row r="91" spans="1:54" hidden="1">
      <c r="A91" t="str">
        <f>Products[[#This Row],[Crop]]&amp;Products[[#This Row],[Product]]&amp;Products[[#This Row],[Unit]]</f>
        <v>Lemon BalmMature StemBunch</v>
      </c>
      <c r="B91" t="s">
        <v>2292</v>
      </c>
      <c r="C91" t="s">
        <v>181</v>
      </c>
      <c r="D91" t="s">
        <v>215</v>
      </c>
      <c r="E91" t="b">
        <v>0</v>
      </c>
      <c r="F91" t="s">
        <v>474</v>
      </c>
      <c r="G91">
        <v>1</v>
      </c>
      <c r="H91">
        <v>40</v>
      </c>
      <c r="I91">
        <v>40</v>
      </c>
      <c r="J91" s="196" t="s">
        <v>2368</v>
      </c>
      <c r="K91">
        <f>_xlfn.XLOOKUP(Products[[#This Row],[Packing Container]],Containers[Container],Containers[Cost])</f>
        <v>3.8</v>
      </c>
      <c r="M91">
        <v>3</v>
      </c>
      <c r="N91">
        <f>IF(Products[[#This Row],[Unit]]="Bunch",10,0)</f>
        <v>10</v>
      </c>
      <c r="O91">
        <v>20</v>
      </c>
      <c r="P91">
        <f>CrateHaulTime/Products[[#This Row],[Per Crate]]</f>
        <v>2.25</v>
      </c>
      <c r="Q91">
        <f>_xlfn.XLOOKUP(Products[[#This Row],[Wash Type]],Table9[Wash Type],Table9[Seconds])*Products[[#This Row],[Wash Factor]]</f>
        <v>0</v>
      </c>
      <c r="R91">
        <v>0</v>
      </c>
      <c r="S91">
        <v>0</v>
      </c>
      <c r="T91">
        <v>3</v>
      </c>
      <c r="U91">
        <v>0</v>
      </c>
      <c r="V91">
        <v>0</v>
      </c>
      <c r="W91">
        <f>MarketHaulTime/CratesPerMarketLoad/Products[[#This Row],[Per Crate]]</f>
        <v>5.625</v>
      </c>
      <c r="X91" t="s">
        <v>2482</v>
      </c>
      <c r="AY91">
        <f>Products[[#This Row],[CSA Portion]]*Products[[#This Row],[CSA Times]]</f>
        <v>0</v>
      </c>
      <c r="BA91">
        <f>Products[[#This Row],[CSA Need]]*Products[[#This Row],[Market Price]]</f>
        <v>0</v>
      </c>
    </row>
    <row r="92" spans="1:54" hidden="1">
      <c r="A92" t="str">
        <f>Products[[#This Row],[Crop]]&amp;Products[[#This Row],[Product]]&amp;Products[[#This Row],[Unit]]</f>
        <v>KomatsunaMature HeadBunch</v>
      </c>
      <c r="B92" t="s">
        <v>90</v>
      </c>
      <c r="C92" t="s">
        <v>186</v>
      </c>
      <c r="D92" t="s">
        <v>215</v>
      </c>
      <c r="E92" t="b">
        <v>1</v>
      </c>
      <c r="F92" t="s">
        <v>474</v>
      </c>
      <c r="G92">
        <v>1</v>
      </c>
      <c r="H92">
        <v>24</v>
      </c>
      <c r="I92">
        <v>24</v>
      </c>
      <c r="J92" t="s">
        <v>2368</v>
      </c>
      <c r="K92">
        <f>_xlfn.XLOOKUP(Products[[#This Row],[Packing Container]],Containers[Container],Containers[Cost])</f>
        <v>3.8</v>
      </c>
      <c r="L92">
        <v>10</v>
      </c>
      <c r="M92">
        <v>4</v>
      </c>
      <c r="N92">
        <f>IF(Products[[#This Row],[Unit]]="Bunch",10,0)</f>
        <v>10</v>
      </c>
      <c r="O92">
        <v>10</v>
      </c>
      <c r="P92">
        <f>CrateHaulTime/Products[[#This Row],[Per Crate]]</f>
        <v>3.75</v>
      </c>
      <c r="Q92">
        <f>_xlfn.XLOOKUP(Products[[#This Row],[Wash Type]],Table9[Wash Type],Table9[Seconds])*Products[[#This Row],[Wash Factor]]</f>
        <v>0</v>
      </c>
      <c r="R92">
        <v>10</v>
      </c>
      <c r="S92">
        <v>30</v>
      </c>
      <c r="T92">
        <v>3</v>
      </c>
      <c r="U92">
        <v>0</v>
      </c>
      <c r="V92">
        <v>0</v>
      </c>
      <c r="W92">
        <f>MarketHaulTime/CratesPerMarketLoad/Products[[#This Row],[Per Crate]]</f>
        <v>9.375</v>
      </c>
      <c r="X92" t="s">
        <v>2484</v>
      </c>
      <c r="Y92" s="184"/>
      <c r="Z92" s="184"/>
      <c r="AA92" s="184"/>
      <c r="AB92" s="184"/>
      <c r="AC92" s="184"/>
      <c r="AD92" s="184"/>
      <c r="AE92" s="184"/>
      <c r="AF92" s="184"/>
      <c r="AG92" s="207"/>
      <c r="AH92" s="184"/>
      <c r="AI92" s="184"/>
      <c r="AJ92" s="184"/>
      <c r="AK92" s="184"/>
      <c r="AL92" s="184"/>
      <c r="AM92" s="184"/>
      <c r="AN92" s="184"/>
      <c r="AO92" s="207"/>
      <c r="AP92" s="184"/>
      <c r="AQ92" s="184"/>
      <c r="AR92" s="184"/>
      <c r="AS92" s="184"/>
      <c r="AT92" s="184"/>
      <c r="AU92" s="184"/>
      <c r="AV92" s="184"/>
      <c r="AW92">
        <v>1</v>
      </c>
      <c r="AX92">
        <v>0</v>
      </c>
      <c r="AY92">
        <f>Products[[#This Row],[CSA Portion]]*Products[[#This Row],[CSA Times]]</f>
        <v>0</v>
      </c>
      <c r="BA92">
        <f>Products[[#This Row],[CSA Need]]*Products[[#This Row],[Market Price]]</f>
        <v>0</v>
      </c>
    </row>
    <row r="93" spans="1:54" hidden="1">
      <c r="A93" t="str">
        <f>Products[[#This Row],[Crop]]&amp;Products[[#This Row],[Product]]&amp;Products[[#This Row],[Unit]]</f>
        <v>KomatsunaMature LeafLb</v>
      </c>
      <c r="B93" t="s">
        <v>90</v>
      </c>
      <c r="C93" t="s">
        <v>179</v>
      </c>
      <c r="D93" t="s">
        <v>383</v>
      </c>
      <c r="E93" t="b">
        <v>1</v>
      </c>
      <c r="F93" t="s">
        <v>474</v>
      </c>
      <c r="G93">
        <v>1</v>
      </c>
      <c r="H93">
        <v>20</v>
      </c>
      <c r="I93">
        <v>20</v>
      </c>
      <c r="J93" t="s">
        <v>2368</v>
      </c>
      <c r="K93">
        <f>_xlfn.XLOOKUP(Products[[#This Row],[Packing Container]],Containers[Container],Containers[Cost])</f>
        <v>3.8</v>
      </c>
      <c r="L93">
        <v>5</v>
      </c>
      <c r="M93">
        <v>4</v>
      </c>
      <c r="N93">
        <f>IF(Products[[#This Row],[Unit]]="Bunch",10,0)</f>
        <v>0</v>
      </c>
      <c r="O93">
        <f>20*3</f>
        <v>60</v>
      </c>
      <c r="P93">
        <f>CrateHaulTime/Products[[#This Row],[Per Crate]]</f>
        <v>4.5</v>
      </c>
      <c r="Q93">
        <f>_xlfn.XLOOKUP(Products[[#This Row],[Wash Type]],Table9[Wash Type],Table9[Seconds])*Products[[#This Row],[Wash Factor]]</f>
        <v>0</v>
      </c>
      <c r="R93">
        <v>10</v>
      </c>
      <c r="S93">
        <v>0</v>
      </c>
      <c r="T93">
        <v>3</v>
      </c>
      <c r="U93">
        <v>0</v>
      </c>
      <c r="V93">
        <v>0</v>
      </c>
      <c r="W93">
        <f>MarketHaulTime/CratesPerMarketLoad/Products[[#This Row],[Per Crate]]</f>
        <v>11.25</v>
      </c>
      <c r="X93" t="s">
        <v>2484</v>
      </c>
      <c r="Y93" s="184"/>
      <c r="Z93" s="184"/>
      <c r="AA93" s="184"/>
      <c r="AB93" s="184"/>
      <c r="AC93" s="184"/>
      <c r="AD93" s="184"/>
      <c r="AE93" s="184"/>
      <c r="AF93" s="184"/>
      <c r="AG93" s="207"/>
      <c r="AH93" s="184"/>
      <c r="AI93" s="184"/>
      <c r="AJ93" s="184"/>
      <c r="AK93" s="184"/>
      <c r="AL93" s="184"/>
      <c r="AM93" s="184"/>
      <c r="AN93" s="184"/>
      <c r="AO93" s="207"/>
      <c r="AP93" s="184"/>
      <c r="AQ93" s="184"/>
      <c r="AR93" s="184"/>
      <c r="AS93" s="184"/>
      <c r="AT93" s="184"/>
      <c r="AU93" s="184"/>
      <c r="AV93" s="184"/>
      <c r="AW93">
        <v>1</v>
      </c>
      <c r="AX93">
        <v>0</v>
      </c>
      <c r="AY93">
        <f>Products[[#This Row],[CSA Portion]]*Products[[#This Row],[CSA Times]]</f>
        <v>0</v>
      </c>
      <c r="BA93">
        <f>Products[[#This Row],[CSA Need]]*Products[[#This Row],[Market Price]]</f>
        <v>0</v>
      </c>
    </row>
    <row r="94" spans="1:54">
      <c r="A94" t="str">
        <f>Products[[#This Row],[Crop]]&amp;Products[[#This Row],[Product]]&amp;Products[[#This Row],[Unit]]</f>
        <v>LettuceMini HeadHead</v>
      </c>
      <c r="B94" t="s">
        <v>92</v>
      </c>
      <c r="C94" t="s">
        <v>200</v>
      </c>
      <c r="D94" t="s">
        <v>214</v>
      </c>
      <c r="E94" t="b">
        <v>1</v>
      </c>
      <c r="F94" t="s">
        <v>2390</v>
      </c>
      <c r="G94">
        <v>1</v>
      </c>
      <c r="H94">
        <v>36</v>
      </c>
      <c r="I94">
        <v>36</v>
      </c>
      <c r="J94" t="s">
        <v>2368</v>
      </c>
      <c r="K94">
        <f>_xlfn.XLOOKUP(Products[[#This Row],[Packing Container]],Containers[Container],Containers[Cost])</f>
        <v>3.8</v>
      </c>
      <c r="L94">
        <v>10</v>
      </c>
      <c r="M94">
        <v>2</v>
      </c>
      <c r="N94">
        <f>IF(Products[[#This Row],[Unit]]="Bunch",10,0)</f>
        <v>0</v>
      </c>
      <c r="O94">
        <v>10</v>
      </c>
      <c r="P94">
        <f>CrateHaulTime/Products[[#This Row],[Per Crate]]</f>
        <v>2.5</v>
      </c>
      <c r="Q94">
        <f>_xlfn.XLOOKUP(Products[[#This Row],[Wash Type]],Table9[Wash Type],Table9[Seconds])*Products[[#This Row],[Wash Factor]]</f>
        <v>20</v>
      </c>
      <c r="R94">
        <v>0</v>
      </c>
      <c r="S94">
        <v>10</v>
      </c>
      <c r="T94">
        <v>3</v>
      </c>
      <c r="U94">
        <v>0</v>
      </c>
      <c r="V94">
        <v>0</v>
      </c>
      <c r="W94">
        <f>MarketHaulTime/CratesPerMarketLoad/Products[[#This Row],[Per Crate]]</f>
        <v>6.25</v>
      </c>
      <c r="X94" t="s">
        <v>2484</v>
      </c>
      <c r="Y94" s="184"/>
      <c r="Z94" s="184"/>
      <c r="AA94" s="184"/>
      <c r="AB94" s="184"/>
      <c r="AC94" s="184"/>
      <c r="AD94" s="184"/>
      <c r="AE94" s="184"/>
      <c r="AF94" s="184"/>
      <c r="AG94" s="207"/>
      <c r="AH94" s="184"/>
      <c r="AI94" s="184"/>
      <c r="AJ94" s="184"/>
      <c r="AK94" s="184"/>
      <c r="AL94" s="184"/>
      <c r="AM94" s="184"/>
      <c r="AN94" s="184"/>
      <c r="AO94" s="207"/>
      <c r="AP94" s="184"/>
      <c r="AQ94" s="184"/>
      <c r="AR94" s="184"/>
      <c r="AS94" s="184"/>
      <c r="AT94" s="184"/>
      <c r="AU94" s="184"/>
      <c r="AV94" s="184"/>
      <c r="AW94">
        <v>1</v>
      </c>
      <c r="AX94">
        <v>3</v>
      </c>
      <c r="AY94">
        <f>Products[[#This Row],[CSA Portion]]*Products[[#This Row],[CSA Times]]</f>
        <v>3</v>
      </c>
      <c r="AZ94">
        <v>3</v>
      </c>
      <c r="BA94">
        <f>Products[[#This Row],[CSA Need]]*Products[[#This Row],[Market Price]]</f>
        <v>9</v>
      </c>
    </row>
    <row r="95" spans="1:54" hidden="1">
      <c r="A95" t="str">
        <f>Products[[#This Row],[Crop]]&amp;Products[[#This Row],[Product]]&amp;Products[[#This Row],[Unit]]</f>
        <v>LeekMature StalkStalk</v>
      </c>
      <c r="B95" t="s">
        <v>91</v>
      </c>
      <c r="C95" t="s">
        <v>199</v>
      </c>
      <c r="D95" t="s">
        <v>2358</v>
      </c>
      <c r="E95" t="b">
        <v>1</v>
      </c>
      <c r="F95" t="s">
        <v>443</v>
      </c>
      <c r="G95">
        <v>1</v>
      </c>
      <c r="H95">
        <v>24</v>
      </c>
      <c r="I95">
        <v>24</v>
      </c>
      <c r="J95" t="s">
        <v>2368</v>
      </c>
      <c r="K95">
        <f>_xlfn.XLOOKUP(Products[[#This Row],[Packing Container]],Containers[Container],Containers[Cost])</f>
        <v>3.8</v>
      </c>
      <c r="L95">
        <v>30</v>
      </c>
      <c r="M95">
        <v>1</v>
      </c>
      <c r="N95">
        <f>IF(Products[[#This Row],[Unit]]="Bunch",10,0)</f>
        <v>0</v>
      </c>
      <c r="O95">
        <v>15</v>
      </c>
      <c r="P95">
        <f>CrateHaulTime/Products[[#This Row],[Per Crate]]</f>
        <v>3.75</v>
      </c>
      <c r="Q95">
        <f>_xlfn.XLOOKUP(Products[[#This Row],[Wash Type]],Table9[Wash Type],Table9[Seconds])*Products[[#This Row],[Wash Factor]]</f>
        <v>5</v>
      </c>
      <c r="R95">
        <v>0</v>
      </c>
      <c r="S95">
        <v>10</v>
      </c>
      <c r="T95">
        <v>3</v>
      </c>
      <c r="U95">
        <v>0</v>
      </c>
      <c r="V95">
        <v>0</v>
      </c>
      <c r="W95">
        <f>MarketHaulTime/CratesPerMarketLoad/Products[[#This Row],[Per Crate]]</f>
        <v>9.375</v>
      </c>
      <c r="X95" t="s">
        <v>2484</v>
      </c>
      <c r="AG95" s="207"/>
      <c r="AH95" s="184"/>
      <c r="AI95" s="184"/>
      <c r="AJ95" s="184"/>
      <c r="AK95" s="184"/>
      <c r="AL95" s="184"/>
      <c r="AM95" s="184"/>
      <c r="AN95" s="184"/>
      <c r="AO95" s="207"/>
      <c r="AP95" s="184"/>
      <c r="AQ95" s="184"/>
      <c r="AR95" s="184"/>
      <c r="AS95" s="184"/>
      <c r="AT95" s="184"/>
      <c r="AU95" s="184"/>
      <c r="AV95" s="184"/>
      <c r="AW95">
        <v>1</v>
      </c>
      <c r="AX95">
        <v>0</v>
      </c>
      <c r="AY95">
        <f>Products[[#This Row],[CSA Portion]]*Products[[#This Row],[CSA Times]]</f>
        <v>0</v>
      </c>
      <c r="BA95">
        <f>Products[[#This Row],[CSA Need]]*Products[[#This Row],[Market Price]]</f>
        <v>0</v>
      </c>
    </row>
    <row r="96" spans="1:54" hidden="1">
      <c r="A96" t="str">
        <f>Products[[#This Row],[Crop]]&amp;Products[[#This Row],[Product]]&amp;Products[[#This Row],[Unit]]</f>
        <v>LettuceOverwinter HeadHead</v>
      </c>
      <c r="B96" t="s">
        <v>92</v>
      </c>
      <c r="C96" t="s">
        <v>201</v>
      </c>
      <c r="D96" t="s">
        <v>214</v>
      </c>
      <c r="E96" t="b">
        <v>1</v>
      </c>
      <c r="F96" t="s">
        <v>2390</v>
      </c>
      <c r="G96">
        <v>1</v>
      </c>
      <c r="H96">
        <v>24</v>
      </c>
      <c r="I96">
        <v>24</v>
      </c>
      <c r="J96" t="s">
        <v>2368</v>
      </c>
      <c r="K96">
        <f>_xlfn.XLOOKUP(Products[[#This Row],[Packing Container]],Containers[Container],Containers[Cost])</f>
        <v>3.8</v>
      </c>
      <c r="M96">
        <v>2</v>
      </c>
      <c r="N96">
        <f>IF(Products[[#This Row],[Unit]]="Bunch",10,0)</f>
        <v>0</v>
      </c>
      <c r="O96">
        <v>10</v>
      </c>
      <c r="P96">
        <f>CrateHaulTime/Products[[#This Row],[Per Crate]]</f>
        <v>3.75</v>
      </c>
      <c r="Q96">
        <f>_xlfn.XLOOKUP(Products[[#This Row],[Wash Type]],Table9[Wash Type],Table9[Seconds])*Products[[#This Row],[Wash Factor]]</f>
        <v>20</v>
      </c>
      <c r="R96">
        <v>0</v>
      </c>
      <c r="S96">
        <v>10</v>
      </c>
      <c r="T96">
        <v>3</v>
      </c>
      <c r="U96">
        <v>0</v>
      </c>
      <c r="V96">
        <v>0</v>
      </c>
      <c r="W96">
        <f>MarketHaulTime/CratesPerMarketLoad/Products[[#This Row],[Per Crate]]</f>
        <v>9.375</v>
      </c>
      <c r="X96" t="s">
        <v>2482</v>
      </c>
      <c r="AY96">
        <f>Products[[#This Row],[CSA Portion]]*Products[[#This Row],[CSA Times]]</f>
        <v>0</v>
      </c>
      <c r="BA96">
        <f>Products[[#This Row],[CSA Need]]*Products[[#This Row],[Market Price]]</f>
        <v>0</v>
      </c>
    </row>
    <row r="97" spans="1:53" hidden="1">
      <c r="A97" t="str">
        <f>Products[[#This Row],[Crop]]&amp;Products[[#This Row],[Product]]&amp;Products[[#This Row],[Unit]]</f>
        <v>LiliesMature StalkStem</v>
      </c>
      <c r="B97" t="s">
        <v>93</v>
      </c>
      <c r="C97" t="s">
        <v>199</v>
      </c>
      <c r="D97" t="s">
        <v>213</v>
      </c>
      <c r="E97" t="b">
        <v>0</v>
      </c>
      <c r="F97" t="s">
        <v>474</v>
      </c>
      <c r="G97">
        <v>1</v>
      </c>
      <c r="H97">
        <v>35</v>
      </c>
      <c r="I97">
        <v>35</v>
      </c>
      <c r="J97" t="s">
        <v>2367</v>
      </c>
      <c r="K97">
        <f>_xlfn.XLOOKUP(Products[[#This Row],[Packing Container]],Containers[Container],Containers[Cost])</f>
        <v>4</v>
      </c>
      <c r="M97">
        <v>6</v>
      </c>
      <c r="N97">
        <f>IF(Products[[#This Row],[Unit]]="Bunch",10,0)</f>
        <v>0</v>
      </c>
      <c r="O97">
        <v>5</v>
      </c>
      <c r="P97">
        <f>CrateHaulTime/Products[[#This Row],[Per Crate]]</f>
        <v>2.5714285714285716</v>
      </c>
      <c r="Q97">
        <f>_xlfn.XLOOKUP(Products[[#This Row],[Wash Type]],Table9[Wash Type],Table9[Seconds])*Products[[#This Row],[Wash Factor]]</f>
        <v>0</v>
      </c>
      <c r="R97">
        <v>0</v>
      </c>
      <c r="S97">
        <v>3</v>
      </c>
      <c r="T97">
        <v>3</v>
      </c>
      <c r="U97">
        <v>0</v>
      </c>
      <c r="V97">
        <v>0</v>
      </c>
      <c r="W97">
        <f>MarketHaulTime/CratesPerMarketLoad/Products[[#This Row],[Per Crate]]</f>
        <v>6.4285714285714288</v>
      </c>
      <c r="X97" t="s">
        <v>2482</v>
      </c>
      <c r="AY97">
        <f>Products[[#This Row],[CSA Portion]]*Products[[#This Row],[CSA Times]]</f>
        <v>0</v>
      </c>
      <c r="BA97">
        <f>Products[[#This Row],[CSA Need]]*Products[[#This Row],[Market Price]]</f>
        <v>0</v>
      </c>
    </row>
    <row r="98" spans="1:53" hidden="1">
      <c r="A98" t="str">
        <f>Products[[#This Row],[Crop]]&amp;Products[[#This Row],[Product]]&amp;Products[[#This Row],[Unit]]</f>
        <v>LisianthusMature StalkStem</v>
      </c>
      <c r="B98" t="s">
        <v>94</v>
      </c>
      <c r="C98" t="s">
        <v>199</v>
      </c>
      <c r="D98" t="s">
        <v>213</v>
      </c>
      <c r="E98" t="b">
        <v>1</v>
      </c>
      <c r="F98" t="s">
        <v>474</v>
      </c>
      <c r="G98">
        <v>1</v>
      </c>
      <c r="H98">
        <v>50</v>
      </c>
      <c r="I98">
        <v>50</v>
      </c>
      <c r="J98" t="s">
        <v>2367</v>
      </c>
      <c r="K98">
        <f>_xlfn.XLOOKUP(Products[[#This Row],[Packing Container]],Containers[Container],Containers[Cost])</f>
        <v>4</v>
      </c>
      <c r="M98">
        <v>6</v>
      </c>
      <c r="N98">
        <f>IF(Products[[#This Row],[Unit]]="Bunch",10,0)</f>
        <v>0</v>
      </c>
      <c r="O98">
        <v>10</v>
      </c>
      <c r="P98">
        <f>CrateHaulTime/Products[[#This Row],[Per Crate]]</f>
        <v>1.8</v>
      </c>
      <c r="Q98">
        <f>_xlfn.XLOOKUP(Products[[#This Row],[Wash Type]],Table9[Wash Type],Table9[Seconds])*Products[[#This Row],[Wash Factor]]</f>
        <v>0</v>
      </c>
      <c r="R98">
        <v>0</v>
      </c>
      <c r="S98">
        <v>3</v>
      </c>
      <c r="T98">
        <v>3</v>
      </c>
      <c r="U98">
        <v>0</v>
      </c>
      <c r="V98">
        <v>0</v>
      </c>
      <c r="W98">
        <f>MarketHaulTime/CratesPerMarketLoad/Products[[#This Row],[Per Crate]]</f>
        <v>4.5</v>
      </c>
      <c r="X98" t="s">
        <v>2482</v>
      </c>
      <c r="AY98">
        <f>Products[[#This Row],[CSA Portion]]*Products[[#This Row],[CSA Times]]</f>
        <v>0</v>
      </c>
      <c r="BA98">
        <f>Products[[#This Row],[CSA Need]]*Products[[#This Row],[Market Price]]</f>
        <v>0</v>
      </c>
    </row>
    <row r="99" spans="1:53" hidden="1">
      <c r="A99" t="str">
        <f>Products[[#This Row],[Crop]]&amp;Products[[#This Row],[Product]]&amp;Products[[#This Row],[Unit]]</f>
        <v>LovageMature LeafBunch</v>
      </c>
      <c r="B99" t="s">
        <v>95</v>
      </c>
      <c r="C99" t="s">
        <v>179</v>
      </c>
      <c r="D99" t="s">
        <v>215</v>
      </c>
      <c r="E99" t="b">
        <v>1</v>
      </c>
      <c r="F99" t="s">
        <v>474</v>
      </c>
      <c r="G99">
        <v>8</v>
      </c>
      <c r="H99">
        <v>24</v>
      </c>
      <c r="I99">
        <v>24</v>
      </c>
      <c r="J99" t="s">
        <v>2368</v>
      </c>
      <c r="K99">
        <f>_xlfn.XLOOKUP(Products[[#This Row],[Packing Container]],Containers[Container],Containers[Cost])</f>
        <v>3.8</v>
      </c>
      <c r="M99">
        <v>4</v>
      </c>
      <c r="N99">
        <f>IF(Products[[#This Row],[Unit]]="Bunch",10,0)</f>
        <v>10</v>
      </c>
      <c r="O99">
        <v>20</v>
      </c>
      <c r="P99">
        <f>CrateHaulTime/Products[[#This Row],[Per Crate]]</f>
        <v>3.75</v>
      </c>
      <c r="Q99">
        <v>0</v>
      </c>
      <c r="R99">
        <v>0</v>
      </c>
      <c r="S99">
        <v>0</v>
      </c>
      <c r="T99">
        <v>3</v>
      </c>
      <c r="U99">
        <v>0</v>
      </c>
      <c r="V99">
        <v>0</v>
      </c>
      <c r="W99">
        <f>MarketHaulTime/CratesPerMarketLoad/Products[[#This Row],[Per Crate]]</f>
        <v>9.375</v>
      </c>
      <c r="X99" t="s">
        <v>2482</v>
      </c>
      <c r="AY99">
        <f>Products[[#This Row],[CSA Portion]]*Products[[#This Row],[CSA Times]]</f>
        <v>0</v>
      </c>
      <c r="BA99">
        <f>Products[[#This Row],[CSA Need]]*Products[[#This Row],[Market Price]]</f>
        <v>0</v>
      </c>
    </row>
    <row r="100" spans="1:53" hidden="1">
      <c r="A100" t="str">
        <f>Products[[#This Row],[Crop]]&amp;Products[[#This Row],[Product]]&amp;Products[[#This Row],[Unit]]</f>
        <v>Magenta SpreenFlowering StalksStem</v>
      </c>
      <c r="B100" t="s">
        <v>1793</v>
      </c>
      <c r="C100" t="s">
        <v>368</v>
      </c>
      <c r="D100" t="s">
        <v>213</v>
      </c>
      <c r="E100" t="b">
        <v>1</v>
      </c>
      <c r="F100" t="s">
        <v>474</v>
      </c>
      <c r="G100">
        <v>1</v>
      </c>
      <c r="H100">
        <v>50</v>
      </c>
      <c r="I100">
        <v>50</v>
      </c>
      <c r="J100" t="s">
        <v>2367</v>
      </c>
      <c r="K100">
        <f>_xlfn.XLOOKUP(Products[[#This Row],[Packing Container]],Containers[Container],Containers[Cost])</f>
        <v>4</v>
      </c>
      <c r="M100">
        <v>6</v>
      </c>
      <c r="N100">
        <f>IF(Products[[#This Row],[Unit]]="Bunch",10,0)</f>
        <v>0</v>
      </c>
      <c r="O100">
        <v>5</v>
      </c>
      <c r="P100">
        <f>CrateHaulTime/Products[[#This Row],[Per Crate]]</f>
        <v>1.8</v>
      </c>
      <c r="Q100">
        <f>_xlfn.XLOOKUP(Products[[#This Row],[Wash Type]],Table9[Wash Type],Table9[Seconds])*Products[[#This Row],[Wash Factor]]</f>
        <v>0</v>
      </c>
      <c r="R100">
        <v>0</v>
      </c>
      <c r="S100">
        <v>3</v>
      </c>
      <c r="T100">
        <v>3</v>
      </c>
      <c r="U100">
        <v>0</v>
      </c>
      <c r="V100">
        <v>0</v>
      </c>
      <c r="W100">
        <f>MarketHaulTime/CratesPerMarketLoad/Products[[#This Row],[Per Crate]]</f>
        <v>4.5</v>
      </c>
      <c r="X100" t="s">
        <v>2482</v>
      </c>
      <c r="AY100">
        <f>Products[[#This Row],[CSA Portion]]*Products[[#This Row],[CSA Times]]</f>
        <v>0</v>
      </c>
      <c r="BA100">
        <f>Products[[#This Row],[CSA Need]]*Products[[#This Row],[Market Price]]</f>
        <v>0</v>
      </c>
    </row>
    <row r="101" spans="1:53">
      <c r="A101" t="str">
        <f>Products[[#This Row],[Crop]]&amp;Products[[#This Row],[Product]]&amp;Products[[#This Row],[Unit]]</f>
        <v>Magenta SpreenYoung StemBunch</v>
      </c>
      <c r="B101" t="s">
        <v>1793</v>
      </c>
      <c r="C101" t="s">
        <v>2449</v>
      </c>
      <c r="D101" t="s">
        <v>215</v>
      </c>
      <c r="E101" t="b">
        <v>1</v>
      </c>
      <c r="F101" t="s">
        <v>474</v>
      </c>
      <c r="G101">
        <v>1</v>
      </c>
      <c r="H101">
        <v>40</v>
      </c>
      <c r="I101">
        <v>40</v>
      </c>
      <c r="J101" t="s">
        <v>2368</v>
      </c>
      <c r="K101">
        <f>_xlfn.XLOOKUP(Products[[#This Row],[Packing Container]],Containers[Container],Containers[Cost])</f>
        <v>3.8</v>
      </c>
      <c r="M101">
        <v>4</v>
      </c>
      <c r="N101">
        <f>IF(Products[[#This Row],[Unit]]="Bunch",10,0)</f>
        <v>10</v>
      </c>
      <c r="O101">
        <v>20</v>
      </c>
      <c r="P101">
        <f>CrateHaulTime/Products[[#This Row],[Per Crate]]</f>
        <v>2.25</v>
      </c>
      <c r="Q101">
        <f>_xlfn.XLOOKUP(Products[[#This Row],[Wash Type]],Table9[Wash Type],Table9[Seconds])*Products[[#This Row],[Wash Factor]]</f>
        <v>0</v>
      </c>
      <c r="R101">
        <v>0</v>
      </c>
      <c r="S101">
        <v>3</v>
      </c>
      <c r="T101">
        <v>3</v>
      </c>
      <c r="U101">
        <v>0</v>
      </c>
      <c r="V101">
        <v>0</v>
      </c>
      <c r="W101">
        <f>MarketHaulTime/CratesPerMarketLoad/Products[[#This Row],[Per Crate]]</f>
        <v>5.625</v>
      </c>
      <c r="X101" t="s">
        <v>2483</v>
      </c>
      <c r="Y101" s="184"/>
      <c r="Z101" s="184"/>
      <c r="AA101" s="184"/>
      <c r="AB101" s="184"/>
      <c r="AC101" s="184"/>
      <c r="AD101" s="184"/>
      <c r="AE101" s="184"/>
      <c r="AF101" s="184"/>
      <c r="AG101" s="207"/>
      <c r="AH101" s="184"/>
      <c r="AI101" s="184"/>
      <c r="AJ101" s="184"/>
      <c r="AK101" s="184"/>
      <c r="AL101" s="184"/>
      <c r="AM101" s="184"/>
      <c r="AN101" s="184"/>
      <c r="AO101" s="207"/>
      <c r="AP101" s="184"/>
      <c r="AQ101" s="184"/>
      <c r="AR101" s="184"/>
      <c r="AS101" s="184"/>
      <c r="AT101" s="184"/>
      <c r="AU101" s="184"/>
      <c r="AV101" s="184"/>
      <c r="AW101">
        <v>1</v>
      </c>
      <c r="AX101">
        <v>2</v>
      </c>
      <c r="AY101">
        <f>Products[[#This Row],[CSA Portion]]*Products[[#This Row],[CSA Times]]</f>
        <v>2</v>
      </c>
      <c r="AZ101">
        <v>4</v>
      </c>
      <c r="BA101">
        <f>Products[[#This Row],[CSA Need]]*Products[[#This Row],[Market Price]]</f>
        <v>8</v>
      </c>
    </row>
    <row r="102" spans="1:53" hidden="1">
      <c r="A102" t="str">
        <f>Products[[#This Row],[Crop]]&amp;Products[[#This Row],[Product]]&amp;Products[[#This Row],[Unit]]</f>
        <v>Malabar SpinachMature LeafLb</v>
      </c>
      <c r="B102" t="s">
        <v>96</v>
      </c>
      <c r="C102" t="s">
        <v>179</v>
      </c>
      <c r="D102" t="s">
        <v>383</v>
      </c>
      <c r="E102" t="b">
        <v>1</v>
      </c>
      <c r="F102" t="s">
        <v>474</v>
      </c>
      <c r="G102">
        <v>1</v>
      </c>
      <c r="H102">
        <v>10</v>
      </c>
      <c r="I102">
        <v>10</v>
      </c>
      <c r="J102" t="s">
        <v>2368</v>
      </c>
      <c r="K102">
        <f>_xlfn.XLOOKUP(Products[[#This Row],[Packing Container]],Containers[Container],Containers[Cost])</f>
        <v>3.8</v>
      </c>
      <c r="M102">
        <v>5</v>
      </c>
      <c r="N102">
        <f>IF(Products[[#This Row],[Unit]]="Bunch",10,0)</f>
        <v>0</v>
      </c>
      <c r="O102">
        <f>60*3</f>
        <v>180</v>
      </c>
      <c r="P102">
        <f>CrateHaulTime/Products[[#This Row],[Per Crate]]</f>
        <v>9</v>
      </c>
      <c r="Q102">
        <f>_xlfn.XLOOKUP(Products[[#This Row],[Wash Type]],Table9[Wash Type],Table9[Seconds])*Products[[#This Row],[Wash Factor]]</f>
        <v>0</v>
      </c>
      <c r="R102">
        <v>0</v>
      </c>
      <c r="S102">
        <v>0</v>
      </c>
      <c r="T102">
        <v>3</v>
      </c>
      <c r="U102">
        <v>0</v>
      </c>
      <c r="V102">
        <v>0</v>
      </c>
      <c r="W102">
        <f>MarketHaulTime/CratesPerMarketLoad/Products[[#This Row],[Per Crate]]</f>
        <v>22.5</v>
      </c>
      <c r="X102" t="s">
        <v>2482</v>
      </c>
      <c r="AY102">
        <f>Products[[#This Row],[CSA Portion]]*Products[[#This Row],[CSA Times]]</f>
        <v>0</v>
      </c>
      <c r="BA102">
        <f>Products[[#This Row],[CSA Need]]*Products[[#This Row],[Market Price]]</f>
        <v>0</v>
      </c>
    </row>
    <row r="103" spans="1:53" hidden="1">
      <c r="A103" t="str">
        <f>Products[[#This Row],[Crop]]&amp;Products[[#This Row],[Product]]&amp;Products[[#This Row],[Unit]]</f>
        <v>Malabar SpinachYoung BudsStem</v>
      </c>
      <c r="B103" t="s">
        <v>96</v>
      </c>
      <c r="C103" t="s">
        <v>202</v>
      </c>
      <c r="D103" t="s">
        <v>213</v>
      </c>
      <c r="E103" t="b">
        <v>1</v>
      </c>
      <c r="F103" t="s">
        <v>474</v>
      </c>
      <c r="G103">
        <v>1</v>
      </c>
      <c r="H103">
        <v>3000</v>
      </c>
      <c r="I103">
        <v>100</v>
      </c>
      <c r="J103" t="s">
        <v>2365</v>
      </c>
      <c r="K103">
        <f>_xlfn.XLOOKUP(Products[[#This Row],[Packing Container]],Containers[Container],Containers[Cost])</f>
        <v>0.65</v>
      </c>
      <c r="M103">
        <v>5</v>
      </c>
      <c r="N103">
        <f>IF(Products[[#This Row],[Unit]]="Bunch",10,0)</f>
        <v>0</v>
      </c>
      <c r="O103">
        <v>3</v>
      </c>
      <c r="P103">
        <f>CrateHaulTime/Products[[#This Row],[Per Crate]]</f>
        <v>0.03</v>
      </c>
      <c r="Q103">
        <f>_xlfn.XLOOKUP(Products[[#This Row],[Wash Type]],Table9[Wash Type],Table9[Seconds])*Products[[#This Row],[Wash Factor]]</f>
        <v>0</v>
      </c>
      <c r="R103">
        <v>0</v>
      </c>
      <c r="S103">
        <v>0</v>
      </c>
      <c r="T103">
        <v>3</v>
      </c>
      <c r="U103">
        <v>0</v>
      </c>
      <c r="V103">
        <v>0</v>
      </c>
      <c r="W103">
        <f>MarketHaulTime/CratesPerMarketLoad/Products[[#This Row],[Per Crate]]</f>
        <v>7.4999999999999997E-2</v>
      </c>
      <c r="X103" t="s">
        <v>2482</v>
      </c>
      <c r="AY103">
        <f>Products[[#This Row],[CSA Portion]]*Products[[#This Row],[CSA Times]]</f>
        <v>0</v>
      </c>
      <c r="BA103">
        <f>Products[[#This Row],[CSA Need]]*Products[[#This Row],[Market Price]]</f>
        <v>0</v>
      </c>
    </row>
    <row r="104" spans="1:53" hidden="1">
      <c r="A104" t="str">
        <f>Products[[#This Row],[Crop]]&amp;Products[[#This Row],[Product]]&amp;Products[[#This Row],[Unit]]</f>
        <v>MarigoldsBunchStem</v>
      </c>
      <c r="B104" t="s">
        <v>97</v>
      </c>
      <c r="C104" t="s">
        <v>215</v>
      </c>
      <c r="D104" t="s">
        <v>213</v>
      </c>
      <c r="E104" t="b">
        <v>1</v>
      </c>
      <c r="F104" t="s">
        <v>474</v>
      </c>
      <c r="G104">
        <v>1</v>
      </c>
      <c r="H104">
        <v>36</v>
      </c>
      <c r="I104">
        <v>36</v>
      </c>
      <c r="J104" t="s">
        <v>2367</v>
      </c>
      <c r="K104">
        <f>_xlfn.XLOOKUP(Products[[#This Row],[Packing Container]],Containers[Container],Containers[Cost])</f>
        <v>4</v>
      </c>
      <c r="M104">
        <v>6</v>
      </c>
      <c r="N104">
        <f>IF(Products[[#This Row],[Unit]]="Bunch",10,0)</f>
        <v>0</v>
      </c>
      <c r="O104">
        <v>5</v>
      </c>
      <c r="P104">
        <f>CrateHaulTime/Products[[#This Row],[Per Crate]]</f>
        <v>2.5</v>
      </c>
      <c r="Q104">
        <f>_xlfn.XLOOKUP(Products[[#This Row],[Wash Type]],Table9[Wash Type],Table9[Seconds])*Products[[#This Row],[Wash Factor]]</f>
        <v>0</v>
      </c>
      <c r="R104">
        <v>0</v>
      </c>
      <c r="S104">
        <v>20</v>
      </c>
      <c r="T104">
        <v>3</v>
      </c>
      <c r="U104">
        <v>0</v>
      </c>
      <c r="V104">
        <v>0</v>
      </c>
      <c r="W104">
        <f>MarketHaulTime/CratesPerMarketLoad/Products[[#This Row],[Per Crate]]</f>
        <v>6.25</v>
      </c>
      <c r="X104" t="s">
        <v>2482</v>
      </c>
      <c r="AY104">
        <f>Products[[#This Row],[CSA Portion]]*Products[[#This Row],[CSA Times]]</f>
        <v>0</v>
      </c>
      <c r="BA104">
        <f>Products[[#This Row],[CSA Need]]*Products[[#This Row],[Market Price]]</f>
        <v>0</v>
      </c>
    </row>
    <row r="105" spans="1:53" hidden="1">
      <c r="A105" t="str">
        <f>Products[[#This Row],[Crop]]&amp;Products[[#This Row],[Product]]&amp;Products[[#This Row],[Unit]]</f>
        <v>MarjoramMature StemBunch</v>
      </c>
      <c r="B105" t="s">
        <v>2296</v>
      </c>
      <c r="C105" t="s">
        <v>181</v>
      </c>
      <c r="D105" t="s">
        <v>215</v>
      </c>
      <c r="E105" t="b">
        <v>0</v>
      </c>
      <c r="F105" t="s">
        <v>474</v>
      </c>
      <c r="G105">
        <v>1</v>
      </c>
      <c r="H105">
        <v>40</v>
      </c>
      <c r="I105">
        <v>40</v>
      </c>
      <c r="J105" s="196" t="s">
        <v>2368</v>
      </c>
      <c r="K105">
        <f>_xlfn.XLOOKUP(Products[[#This Row],[Packing Container]],Containers[Container],Containers[Cost])</f>
        <v>3.8</v>
      </c>
      <c r="M105">
        <v>6</v>
      </c>
      <c r="N105">
        <f>IF(Products[[#This Row],[Unit]]="Bunch",10,0)</f>
        <v>10</v>
      </c>
      <c r="O105">
        <v>20</v>
      </c>
      <c r="P105">
        <f>CrateHaulTime/Products[[#This Row],[Per Crate]]</f>
        <v>2.25</v>
      </c>
      <c r="Q105">
        <f>_xlfn.XLOOKUP(Products[[#This Row],[Wash Type]],Table9[Wash Type],Table9[Seconds])*Products[[#This Row],[Wash Factor]]</f>
        <v>0</v>
      </c>
      <c r="R105">
        <v>0</v>
      </c>
      <c r="S105">
        <v>10</v>
      </c>
      <c r="T105">
        <v>3</v>
      </c>
      <c r="U105">
        <v>0</v>
      </c>
      <c r="V105">
        <v>0</v>
      </c>
      <c r="W105">
        <f>MarketHaulTime/CratesPerMarketLoad/Products[[#This Row],[Per Crate]]</f>
        <v>5.625</v>
      </c>
      <c r="X105" t="s">
        <v>2482</v>
      </c>
      <c r="AY105">
        <f>Products[[#This Row],[CSA Portion]]*Products[[#This Row],[CSA Times]]</f>
        <v>0</v>
      </c>
      <c r="BA105">
        <f>Products[[#This Row],[CSA Need]]*Products[[#This Row],[Market Price]]</f>
        <v>0</v>
      </c>
    </row>
    <row r="106" spans="1:53">
      <c r="A106" t="str">
        <f>Products[[#This Row],[Crop]]&amp;Products[[#This Row],[Product]]&amp;Products[[#This Row],[Unit]]</f>
        <v>MelonRipe FruitLb</v>
      </c>
      <c r="B106" t="s">
        <v>98</v>
      </c>
      <c r="C106" t="s">
        <v>191</v>
      </c>
      <c r="D106" t="s">
        <v>383</v>
      </c>
      <c r="E106" t="b">
        <v>1</v>
      </c>
      <c r="F106" t="s">
        <v>474</v>
      </c>
      <c r="G106">
        <v>1</v>
      </c>
      <c r="H106">
        <v>25</v>
      </c>
      <c r="I106">
        <v>25</v>
      </c>
      <c r="J106" t="s">
        <v>2368</v>
      </c>
      <c r="K106">
        <f>_xlfn.XLOOKUP(Products[[#This Row],[Packing Container]],Containers[Container],Containers[Cost])</f>
        <v>3.8</v>
      </c>
      <c r="L106">
        <v>5</v>
      </c>
      <c r="M106">
        <v>2</v>
      </c>
      <c r="N106">
        <f>IF(Products[[#This Row],[Unit]]="Bunch",10,0)</f>
        <v>0</v>
      </c>
      <c r="O106">
        <v>10</v>
      </c>
      <c r="P106">
        <f>CrateHaulTime/Products[[#This Row],[Per Crate]]</f>
        <v>3.6</v>
      </c>
      <c r="Q106">
        <f>_xlfn.XLOOKUP(Products[[#This Row],[Wash Type]],Table9[Wash Type],Table9[Seconds])*Products[[#This Row],[Wash Factor]]</f>
        <v>0</v>
      </c>
      <c r="R106">
        <v>0</v>
      </c>
      <c r="S106">
        <v>0</v>
      </c>
      <c r="T106">
        <v>3</v>
      </c>
      <c r="U106">
        <v>0</v>
      </c>
      <c r="V106">
        <v>0</v>
      </c>
      <c r="W106">
        <f>MarketHaulTime/CratesPerMarketLoad/Products[[#This Row],[Per Crate]]</f>
        <v>9</v>
      </c>
      <c r="X106" t="s">
        <v>2484</v>
      </c>
      <c r="AG106" s="207"/>
      <c r="AK106" s="184"/>
      <c r="AL106" s="184"/>
      <c r="AM106" s="184"/>
      <c r="AN106" s="184"/>
      <c r="AO106" s="207"/>
      <c r="AP106" s="184"/>
      <c r="AQ106" s="184"/>
      <c r="AR106" s="184"/>
      <c r="AW106">
        <v>3</v>
      </c>
      <c r="AX106">
        <v>1</v>
      </c>
      <c r="AY106">
        <f>Products[[#This Row],[CSA Portion]]*Products[[#This Row],[CSA Times]]</f>
        <v>3</v>
      </c>
      <c r="AZ106">
        <v>2.75</v>
      </c>
      <c r="BA106">
        <f>Products[[#This Row],[CSA Need]]*Products[[#This Row],[Market Price]]</f>
        <v>8.25</v>
      </c>
    </row>
    <row r="107" spans="1:53" hidden="1">
      <c r="A107" t="str">
        <f>Products[[#This Row],[Crop]]&amp;Products[[#This Row],[Product]]&amp;Products[[#This Row],[Unit]]</f>
        <v>MicrogreensMicro LeafOunce</v>
      </c>
      <c r="B107" t="s">
        <v>99</v>
      </c>
      <c r="C107" t="s">
        <v>203</v>
      </c>
      <c r="D107" t="s">
        <v>216</v>
      </c>
      <c r="E107" t="b">
        <v>1</v>
      </c>
      <c r="F107" t="s">
        <v>474</v>
      </c>
      <c r="G107">
        <v>1</v>
      </c>
      <c r="H107">
        <f>16*10</f>
        <v>160</v>
      </c>
      <c r="I107">
        <v>2</v>
      </c>
      <c r="J107" t="s">
        <v>2365</v>
      </c>
      <c r="K107">
        <f>_xlfn.XLOOKUP(Products[[#This Row],[Packing Container]],Containers[Container],Containers[Cost])</f>
        <v>0.65</v>
      </c>
      <c r="M107">
        <v>4</v>
      </c>
      <c r="N107">
        <f>IF(Products[[#This Row],[Unit]]="Bunch",10,0)</f>
        <v>0</v>
      </c>
      <c r="O107">
        <v>10</v>
      </c>
      <c r="P107">
        <f>CrateHaulTime/Products[[#This Row],[Per Crate]]</f>
        <v>0.5625</v>
      </c>
      <c r="Q107">
        <f>_xlfn.XLOOKUP(Products[[#This Row],[Wash Type]],Table9[Wash Type],Table9[Seconds])*Products[[#This Row],[Wash Factor]]</f>
        <v>0</v>
      </c>
      <c r="R107">
        <v>0</v>
      </c>
      <c r="S107">
        <v>0</v>
      </c>
      <c r="T107">
        <v>3</v>
      </c>
      <c r="U107">
        <v>0</v>
      </c>
      <c r="V107">
        <v>0</v>
      </c>
      <c r="W107">
        <f>MarketHaulTime/CratesPerMarketLoad/Products[[#This Row],[Per Crate]]</f>
        <v>1.40625</v>
      </c>
      <c r="X107" t="s">
        <v>2482</v>
      </c>
      <c r="AY107">
        <f>Products[[#This Row],[CSA Portion]]*Products[[#This Row],[CSA Times]]</f>
        <v>0</v>
      </c>
      <c r="BA107">
        <f>Products[[#This Row],[CSA Need]]*Products[[#This Row],[Market Price]]</f>
        <v>0</v>
      </c>
    </row>
    <row r="108" spans="1:53" hidden="1">
      <c r="A108" t="str">
        <f>Products[[#This Row],[Crop]]&amp;Products[[#This Row],[Product]]&amp;Products[[#This Row],[Unit]]</f>
        <v>MilkweedMature StemStem</v>
      </c>
      <c r="B108" t="s">
        <v>1766</v>
      </c>
      <c r="C108" t="s">
        <v>181</v>
      </c>
      <c r="D108" t="s">
        <v>213</v>
      </c>
      <c r="E108" t="b">
        <v>0</v>
      </c>
      <c r="F108" t="s">
        <v>474</v>
      </c>
      <c r="G108">
        <v>1</v>
      </c>
      <c r="H108">
        <v>50</v>
      </c>
      <c r="I108">
        <v>50</v>
      </c>
      <c r="J108" t="s">
        <v>2367</v>
      </c>
      <c r="K108">
        <f>_xlfn.XLOOKUP(Products[[#This Row],[Packing Container]],Containers[Container],Containers[Cost])</f>
        <v>4</v>
      </c>
      <c r="M108">
        <v>6</v>
      </c>
      <c r="N108">
        <f>IF(Products[[#This Row],[Unit]]="Bunch",10,0)</f>
        <v>0</v>
      </c>
      <c r="O108">
        <v>5</v>
      </c>
      <c r="P108">
        <f>CrateHaulTime/Products[[#This Row],[Per Crate]]</f>
        <v>1.8</v>
      </c>
      <c r="Q108">
        <f>_xlfn.XLOOKUP(Products[[#This Row],[Wash Type]],Table9[Wash Type],Table9[Seconds])*Products[[#This Row],[Wash Factor]]</f>
        <v>0</v>
      </c>
      <c r="R108">
        <v>0</v>
      </c>
      <c r="S108">
        <v>3</v>
      </c>
      <c r="T108">
        <v>3</v>
      </c>
      <c r="U108">
        <v>0</v>
      </c>
      <c r="V108">
        <v>0</v>
      </c>
      <c r="W108">
        <f>MarketHaulTime/CratesPerMarketLoad/Products[[#This Row],[Per Crate]]</f>
        <v>4.5</v>
      </c>
      <c r="X108" t="s">
        <v>2482</v>
      </c>
      <c r="AY108">
        <f>Products[[#This Row],[CSA Portion]]*Products[[#This Row],[CSA Times]]</f>
        <v>0</v>
      </c>
      <c r="BA108">
        <f>Products[[#This Row],[CSA Need]]*Products[[#This Row],[Market Price]]</f>
        <v>0</v>
      </c>
    </row>
    <row r="109" spans="1:53" hidden="1">
      <c r="A109" t="str">
        <f>Products[[#This Row],[Crop]]&amp;Products[[#This Row],[Product]]&amp;Products[[#This Row],[Unit]]</f>
        <v>Mock OrangeMature BranchStem</v>
      </c>
      <c r="B109" t="s">
        <v>100</v>
      </c>
      <c r="C109" t="s">
        <v>204</v>
      </c>
      <c r="D109" t="s">
        <v>213</v>
      </c>
      <c r="E109" t="b">
        <v>0</v>
      </c>
      <c r="F109" t="s">
        <v>474</v>
      </c>
      <c r="G109">
        <v>1</v>
      </c>
      <c r="H109">
        <v>35</v>
      </c>
      <c r="I109">
        <v>35</v>
      </c>
      <c r="J109" t="s">
        <v>2367</v>
      </c>
      <c r="K109">
        <f>_xlfn.XLOOKUP(Products[[#This Row],[Packing Container]],Containers[Container],Containers[Cost])</f>
        <v>4</v>
      </c>
      <c r="M109">
        <v>6</v>
      </c>
      <c r="N109">
        <f>IF(Products[[#This Row],[Unit]]="Bunch",10,0)</f>
        <v>0</v>
      </c>
      <c r="O109">
        <v>20</v>
      </c>
      <c r="P109">
        <f>CrateHaulTime/Products[[#This Row],[Per Crate]]</f>
        <v>2.5714285714285716</v>
      </c>
      <c r="Q109">
        <f>_xlfn.XLOOKUP(Products[[#This Row],[Wash Type]],Table9[Wash Type],Table9[Seconds])*Products[[#This Row],[Wash Factor]]</f>
        <v>0</v>
      </c>
      <c r="R109">
        <v>0</v>
      </c>
      <c r="S109">
        <v>10</v>
      </c>
      <c r="T109">
        <v>3</v>
      </c>
      <c r="U109">
        <v>0</v>
      </c>
      <c r="V109">
        <v>0</v>
      </c>
      <c r="W109">
        <f>MarketHaulTime/CratesPerMarketLoad/Products[[#This Row],[Per Crate]]</f>
        <v>6.4285714285714288</v>
      </c>
      <c r="X109" t="s">
        <v>2482</v>
      </c>
      <c r="AY109">
        <f>Products[[#This Row],[CSA Portion]]*Products[[#This Row],[CSA Times]]</f>
        <v>0</v>
      </c>
      <c r="BA109">
        <f>Products[[#This Row],[CSA Need]]*Products[[#This Row],[Market Price]]</f>
        <v>0</v>
      </c>
    </row>
    <row r="110" spans="1:53">
      <c r="A110" t="str">
        <f>Products[[#This Row],[Crop]]&amp;Products[[#This Row],[Product]]&amp;Products[[#This Row],[Unit]]</f>
        <v>OnionMature BulbLb</v>
      </c>
      <c r="B110" t="s">
        <v>105</v>
      </c>
      <c r="C110" t="s">
        <v>198</v>
      </c>
      <c r="D110" t="s">
        <v>383</v>
      </c>
      <c r="E110" t="b">
        <v>1</v>
      </c>
      <c r="F110" t="s">
        <v>474</v>
      </c>
      <c r="G110">
        <v>1</v>
      </c>
      <c r="H110">
        <v>40</v>
      </c>
      <c r="I110">
        <v>25</v>
      </c>
      <c r="J110" t="s">
        <v>2368</v>
      </c>
      <c r="K110">
        <f>_xlfn.XLOOKUP(Products[[#This Row],[Packing Container]],Containers[Container],Containers[Cost])</f>
        <v>3.8</v>
      </c>
      <c r="L110">
        <v>120</v>
      </c>
      <c r="M110">
        <v>1</v>
      </c>
      <c r="N110">
        <f>IF(Products[[#This Row],[Unit]]="Bunch",10,0)</f>
        <v>0</v>
      </c>
      <c r="O110">
        <f>3*10</f>
        <v>30</v>
      </c>
      <c r="P110">
        <f>CrateHaulTime/Products[[#This Row],[Per Crate]]</f>
        <v>2.25</v>
      </c>
      <c r="Q110">
        <f>_xlfn.XLOOKUP(Products[[#This Row],[Wash Type]],Table9[Wash Type],Table9[Seconds])*Products[[#This Row],[Wash Factor]]</f>
        <v>0</v>
      </c>
      <c r="R110">
        <v>0</v>
      </c>
      <c r="S110">
        <v>15</v>
      </c>
      <c r="T110">
        <v>3</v>
      </c>
      <c r="U110">
        <v>0</v>
      </c>
      <c r="V110">
        <v>0</v>
      </c>
      <c r="W110">
        <f>MarketHaulTime/CratesPerMarketLoad/Products[[#This Row],[Per Crate]]</f>
        <v>5.625</v>
      </c>
      <c r="X110" t="s">
        <v>2484</v>
      </c>
      <c r="AG110" s="207"/>
      <c r="AI110" s="184"/>
      <c r="AJ110" s="184"/>
      <c r="AK110" s="184"/>
      <c r="AL110" s="184"/>
      <c r="AM110" s="184"/>
      <c r="AN110" s="184"/>
      <c r="AO110" s="207"/>
      <c r="AP110" s="184"/>
      <c r="AQ110" s="184"/>
      <c r="AR110" s="184"/>
      <c r="AS110" s="184"/>
      <c r="AT110" s="184"/>
      <c r="AU110" s="184"/>
      <c r="AV110" s="184"/>
      <c r="AW110">
        <v>1</v>
      </c>
      <c r="AX110">
        <v>5</v>
      </c>
      <c r="AY110">
        <f>Products[[#This Row],[CSA Portion]]*Products[[#This Row],[CSA Times]]</f>
        <v>5</v>
      </c>
      <c r="AZ110">
        <v>3</v>
      </c>
      <c r="BA110">
        <f>Products[[#This Row],[CSA Need]]*Products[[#This Row],[Market Price]]</f>
        <v>15</v>
      </c>
    </row>
    <row r="111" spans="1:53" hidden="1">
      <c r="A111" t="str">
        <f>Products[[#This Row],[Crop]]&amp;Products[[#This Row],[Product]]&amp;Products[[#This Row],[Unit]]</f>
        <v>New Zealand SpinachMature LeafLb</v>
      </c>
      <c r="B111" t="s">
        <v>103</v>
      </c>
      <c r="C111" t="s">
        <v>179</v>
      </c>
      <c r="D111" t="s">
        <v>383</v>
      </c>
      <c r="E111" t="b">
        <v>0</v>
      </c>
      <c r="F111" t="s">
        <v>2384</v>
      </c>
      <c r="G111">
        <v>1</v>
      </c>
      <c r="H111">
        <v>10</v>
      </c>
      <c r="I111">
        <v>10</v>
      </c>
      <c r="J111" s="196" t="s">
        <v>2368</v>
      </c>
      <c r="K111">
        <f>_xlfn.XLOOKUP(Products[[#This Row],[Packing Container]],Containers[Container],Containers[Cost])</f>
        <v>3.8</v>
      </c>
      <c r="M111">
        <v>5</v>
      </c>
      <c r="N111">
        <f>IF(Products[[#This Row],[Unit]]="Bunch",10,0)</f>
        <v>0</v>
      </c>
      <c r="O111">
        <v>120</v>
      </c>
      <c r="P111">
        <f>CrateHaulTime/Products[[#This Row],[Per Crate]]</f>
        <v>9</v>
      </c>
      <c r="Q111">
        <f>_xlfn.XLOOKUP(Products[[#This Row],[Wash Type]],Table9[Wash Type],Table9[Seconds])*Products[[#This Row],[Wash Factor]]</f>
        <v>60</v>
      </c>
      <c r="R111">
        <v>0</v>
      </c>
      <c r="S111">
        <v>0</v>
      </c>
      <c r="T111">
        <v>3</v>
      </c>
      <c r="U111">
        <v>0</v>
      </c>
      <c r="V111">
        <v>0</v>
      </c>
      <c r="W111">
        <f>MarketHaulTime/CratesPerMarketLoad/Products[[#This Row],[Per Crate]]</f>
        <v>22.5</v>
      </c>
      <c r="X111" t="s">
        <v>2482</v>
      </c>
      <c r="AY111">
        <f>Products[[#This Row],[CSA Portion]]*Products[[#This Row],[CSA Times]]</f>
        <v>0</v>
      </c>
      <c r="BA111">
        <f>Products[[#This Row],[CSA Need]]*Products[[#This Row],[Market Price]]</f>
        <v>0</v>
      </c>
    </row>
    <row r="112" spans="1:53" hidden="1">
      <c r="A112" t="str">
        <f>Products[[#This Row],[Crop]]&amp;Products[[#This Row],[Product]]&amp;Products[[#This Row],[Unit]]</f>
        <v>NigellaMature StemStem</v>
      </c>
      <c r="B112" t="s">
        <v>104</v>
      </c>
      <c r="C112" t="s">
        <v>181</v>
      </c>
      <c r="D112" t="s">
        <v>213</v>
      </c>
      <c r="E112" t="b">
        <v>1</v>
      </c>
      <c r="F112" t="s">
        <v>474</v>
      </c>
      <c r="G112">
        <v>1</v>
      </c>
      <c r="H112">
        <v>80</v>
      </c>
      <c r="I112">
        <v>80</v>
      </c>
      <c r="J112" t="s">
        <v>2367</v>
      </c>
      <c r="K112">
        <f>_xlfn.XLOOKUP(Products[[#This Row],[Packing Container]],Containers[Container],Containers[Cost])</f>
        <v>4</v>
      </c>
      <c r="M112">
        <v>6</v>
      </c>
      <c r="N112">
        <f>IF(Products[[#This Row],[Unit]]="Bunch",10,0)</f>
        <v>0</v>
      </c>
      <c r="O112">
        <v>5</v>
      </c>
      <c r="P112">
        <f>CrateHaulTime/Products[[#This Row],[Per Crate]]</f>
        <v>1.125</v>
      </c>
      <c r="Q112">
        <f>_xlfn.XLOOKUP(Products[[#This Row],[Wash Type]],Table9[Wash Type],Table9[Seconds])*Products[[#This Row],[Wash Factor]]</f>
        <v>0</v>
      </c>
      <c r="R112">
        <v>0</v>
      </c>
      <c r="S112">
        <v>3</v>
      </c>
      <c r="T112">
        <v>3</v>
      </c>
      <c r="U112">
        <v>0</v>
      </c>
      <c r="V112">
        <v>0</v>
      </c>
      <c r="W112">
        <f>MarketHaulTime/CratesPerMarketLoad/Products[[#This Row],[Per Crate]]</f>
        <v>2.8125</v>
      </c>
      <c r="X112" t="s">
        <v>2482</v>
      </c>
      <c r="AY112">
        <f>Products[[#This Row],[CSA Portion]]*Products[[#This Row],[CSA Times]]</f>
        <v>0</v>
      </c>
      <c r="BA112">
        <f>Products[[#This Row],[CSA Need]]*Products[[#This Row],[Market Price]]</f>
        <v>0</v>
      </c>
    </row>
    <row r="113" spans="1:54">
      <c r="A113" t="str">
        <f>Products[[#This Row],[Crop]]&amp;Products[[#This Row],[Product]]&amp;Products[[#This Row],[Unit]]</f>
        <v>OnionYoung BulbBunch</v>
      </c>
      <c r="B113" t="s">
        <v>105</v>
      </c>
      <c r="C113" t="s">
        <v>358</v>
      </c>
      <c r="D113" t="s">
        <v>215</v>
      </c>
      <c r="E113" t="b">
        <v>1</v>
      </c>
      <c r="F113" t="s">
        <v>443</v>
      </c>
      <c r="G113">
        <v>5</v>
      </c>
      <c r="H113">
        <v>24</v>
      </c>
      <c r="I113">
        <v>24</v>
      </c>
      <c r="J113" t="s">
        <v>2368</v>
      </c>
      <c r="K113">
        <f>_xlfn.XLOOKUP(Products[[#This Row],[Packing Container]],Containers[Container],Containers[Cost])</f>
        <v>3.8</v>
      </c>
      <c r="L113">
        <v>14</v>
      </c>
      <c r="M113">
        <v>1</v>
      </c>
      <c r="N113">
        <f>IF(Products[[#This Row],[Unit]]="Bunch",10,0)</f>
        <v>10</v>
      </c>
      <c r="O113">
        <f>5*10</f>
        <v>50</v>
      </c>
      <c r="P113">
        <f>CrateHaulTime/Products[[#This Row],[Per Crate]]</f>
        <v>3.75</v>
      </c>
      <c r="Q113">
        <f>_xlfn.XLOOKUP(Products[[#This Row],[Wash Type]],Table9[Wash Type],Table9[Seconds])*Products[[#This Row],[Wash Factor]]</f>
        <v>25</v>
      </c>
      <c r="R113">
        <v>0</v>
      </c>
      <c r="S113">
        <v>60</v>
      </c>
      <c r="T113">
        <v>3</v>
      </c>
      <c r="U113">
        <v>0</v>
      </c>
      <c r="V113">
        <v>0</v>
      </c>
      <c r="W113">
        <f>MarketHaulTime/CratesPerMarketLoad/Products[[#This Row],[Per Crate]]</f>
        <v>9.375</v>
      </c>
      <c r="X113" t="s">
        <v>2484</v>
      </c>
      <c r="AE113" s="184"/>
      <c r="AF113" s="184"/>
      <c r="AG113" s="207"/>
      <c r="AH113" s="184"/>
      <c r="AI113" s="184"/>
      <c r="AJ113" s="184"/>
      <c r="AK113" s="184"/>
      <c r="AL113" s="184"/>
      <c r="AM113" s="184"/>
      <c r="AN113" s="184"/>
      <c r="AO113" s="207"/>
      <c r="AP113" s="184"/>
      <c r="AQ113" s="184"/>
      <c r="AR113" s="184"/>
      <c r="AS113" s="184"/>
      <c r="AT113" s="184"/>
      <c r="AU113" s="184"/>
      <c r="AV113" s="184"/>
      <c r="AW113">
        <v>1</v>
      </c>
      <c r="AX113">
        <v>5</v>
      </c>
      <c r="AY113">
        <f>Products[[#This Row],[CSA Portion]]*Products[[#This Row],[CSA Times]]</f>
        <v>5</v>
      </c>
      <c r="AZ113">
        <v>4</v>
      </c>
      <c r="BA113">
        <f>Products[[#This Row],[CSA Need]]*Products[[#This Row],[Market Price]]</f>
        <v>20</v>
      </c>
    </row>
    <row r="114" spans="1:54">
      <c r="A114" t="str">
        <f>Products[[#This Row],[Crop]]&amp;Products[[#This Row],[Product]]&amp;Products[[#This Row],[Unit]]</f>
        <v>ParsleyMature LeafBunch</v>
      </c>
      <c r="B114" t="s">
        <v>108</v>
      </c>
      <c r="C114" t="s">
        <v>179</v>
      </c>
      <c r="D114" t="s">
        <v>215</v>
      </c>
      <c r="E114" t="b">
        <v>1</v>
      </c>
      <c r="F114" t="s">
        <v>474</v>
      </c>
      <c r="G114">
        <v>1</v>
      </c>
      <c r="H114">
        <v>36</v>
      </c>
      <c r="I114">
        <v>36</v>
      </c>
      <c r="J114" t="s">
        <v>2368</v>
      </c>
      <c r="K114">
        <f>_xlfn.XLOOKUP(Products[[#This Row],[Packing Container]],Containers[Container],Containers[Cost])</f>
        <v>3.8</v>
      </c>
      <c r="L114">
        <v>4</v>
      </c>
      <c r="M114">
        <v>2</v>
      </c>
      <c r="N114">
        <f>IF(Products[[#This Row],[Unit]]="Bunch",10,0)</f>
        <v>10</v>
      </c>
      <c r="O114">
        <v>15</v>
      </c>
      <c r="P114">
        <f>CrateHaulTime/Products[[#This Row],[Per Crate]]</f>
        <v>2.5</v>
      </c>
      <c r="Q114">
        <f>_xlfn.XLOOKUP(Products[[#This Row],[Wash Type]],Table9[Wash Type],Table9[Seconds])*Products[[#This Row],[Wash Factor]]</f>
        <v>0</v>
      </c>
      <c r="R114">
        <v>0</v>
      </c>
      <c r="S114">
        <v>20</v>
      </c>
      <c r="T114">
        <v>3</v>
      </c>
      <c r="U114">
        <v>0</v>
      </c>
      <c r="V114">
        <v>0</v>
      </c>
      <c r="W114">
        <f>MarketHaulTime/CratesPerMarketLoad/Products[[#This Row],[Per Crate]]</f>
        <v>6.25</v>
      </c>
      <c r="X114" t="s">
        <v>2484</v>
      </c>
      <c r="Y114" s="184"/>
      <c r="Z114" s="184"/>
      <c r="AA114" s="184"/>
      <c r="AB114" s="184"/>
      <c r="AC114" s="184"/>
      <c r="AD114" s="184"/>
      <c r="AE114" s="184"/>
      <c r="AF114" s="184"/>
      <c r="AG114" s="207"/>
      <c r="AH114" s="184"/>
      <c r="AI114" s="184"/>
      <c r="AJ114" s="184"/>
      <c r="AK114" s="184"/>
      <c r="AL114" s="184"/>
      <c r="AM114" s="184"/>
      <c r="AN114" s="184"/>
      <c r="AO114" s="207"/>
      <c r="AP114" s="184"/>
      <c r="AQ114" s="184"/>
      <c r="AR114" s="184"/>
      <c r="AS114" s="184"/>
      <c r="AT114" s="184"/>
      <c r="AU114" s="184"/>
      <c r="AV114" s="184"/>
      <c r="AW114">
        <v>1</v>
      </c>
      <c r="AX114">
        <v>5</v>
      </c>
      <c r="AY114">
        <f>Products[[#This Row],[CSA Portion]]*Products[[#This Row],[CSA Times]]</f>
        <v>5</v>
      </c>
      <c r="AZ114">
        <v>3</v>
      </c>
      <c r="BA114">
        <f>Products[[#This Row],[CSA Need]]*Products[[#This Row],[Market Price]]</f>
        <v>15</v>
      </c>
    </row>
    <row r="115" spans="1:54" hidden="1">
      <c r="A115" t="str">
        <f>Products[[#This Row],[Crop]]&amp;Products[[#This Row],[Product]]&amp;Products[[#This Row],[Unit]]</f>
        <v>OreganoBunchBunch</v>
      </c>
      <c r="B115" t="s">
        <v>2293</v>
      </c>
      <c r="C115" t="s">
        <v>215</v>
      </c>
      <c r="D115" t="s">
        <v>215</v>
      </c>
      <c r="E115" t="b">
        <v>0</v>
      </c>
      <c r="F115" t="s">
        <v>474</v>
      </c>
      <c r="G115">
        <v>1</v>
      </c>
      <c r="H115">
        <v>40</v>
      </c>
      <c r="I115">
        <v>40</v>
      </c>
      <c r="J115" s="196" t="s">
        <v>2368</v>
      </c>
      <c r="K115">
        <f>_xlfn.XLOOKUP(Products[[#This Row],[Packing Container]],Containers[Container],Containers[Cost])</f>
        <v>3.8</v>
      </c>
      <c r="M115">
        <v>3</v>
      </c>
      <c r="N115">
        <f>IF(Products[[#This Row],[Unit]]="Bunch",10,0)</f>
        <v>10</v>
      </c>
      <c r="O115">
        <v>20</v>
      </c>
      <c r="P115">
        <f>CrateHaulTime/Products[[#This Row],[Per Crate]]</f>
        <v>2.25</v>
      </c>
      <c r="Q115">
        <f>_xlfn.XLOOKUP(Products[[#This Row],[Wash Type]],Table9[Wash Type],Table9[Seconds])*Products[[#This Row],[Wash Factor]]</f>
        <v>0</v>
      </c>
      <c r="R115">
        <v>0</v>
      </c>
      <c r="S115">
        <v>0</v>
      </c>
      <c r="T115">
        <v>3</v>
      </c>
      <c r="U115">
        <v>0</v>
      </c>
      <c r="V115">
        <v>0</v>
      </c>
      <c r="W115">
        <f>MarketHaulTime/CratesPerMarketLoad/Products[[#This Row],[Per Crate]]</f>
        <v>5.625</v>
      </c>
      <c r="X115" t="s">
        <v>2482</v>
      </c>
      <c r="Y115">
        <v>1</v>
      </c>
      <c r="AA115">
        <v>1</v>
      </c>
      <c r="AC115">
        <v>1</v>
      </c>
      <c r="AE115">
        <v>1</v>
      </c>
      <c r="AG115">
        <v>1</v>
      </c>
      <c r="AY115">
        <f>Products[[#This Row],[CSA Portion]]*Products[[#This Row],[CSA Times]]</f>
        <v>0</v>
      </c>
      <c r="BA115">
        <f>Products[[#This Row],[CSA Need]]*Products[[#This Row],[Market Price]]</f>
        <v>0</v>
      </c>
    </row>
    <row r="116" spans="1:54" hidden="1">
      <c r="A116" t="str">
        <f>Products[[#This Row],[Crop]]&amp;Products[[#This Row],[Product]]&amp;Products[[#This Row],[Unit]]</f>
        <v>Pansy and ViolasMature StemStem</v>
      </c>
      <c r="B116" t="s">
        <v>107</v>
      </c>
      <c r="C116" t="s">
        <v>181</v>
      </c>
      <c r="D116" t="s">
        <v>213</v>
      </c>
      <c r="E116" t="b">
        <v>1</v>
      </c>
      <c r="F116" t="s">
        <v>474</v>
      </c>
      <c r="G116">
        <v>1</v>
      </c>
      <c r="H116">
        <v>3000</v>
      </c>
      <c r="I116">
        <v>100</v>
      </c>
      <c r="J116" t="s">
        <v>2365</v>
      </c>
      <c r="K116">
        <f>_xlfn.XLOOKUP(Products[[#This Row],[Packing Container]],Containers[Container],Containers[Cost])</f>
        <v>0.65</v>
      </c>
      <c r="M116">
        <v>3</v>
      </c>
      <c r="N116">
        <f>IF(Products[[#This Row],[Unit]]="Bunch",10,0)</f>
        <v>0</v>
      </c>
      <c r="O116">
        <v>3</v>
      </c>
      <c r="P116">
        <f>CrateHaulTime/Products[[#This Row],[Per Crate]]</f>
        <v>0.03</v>
      </c>
      <c r="Q116">
        <f>_xlfn.XLOOKUP(Products[[#This Row],[Wash Type]],Table9[Wash Type],Table9[Seconds])*Products[[#This Row],[Wash Factor]]</f>
        <v>0</v>
      </c>
      <c r="R116">
        <v>0</v>
      </c>
      <c r="S116">
        <v>0</v>
      </c>
      <c r="T116">
        <v>3</v>
      </c>
      <c r="U116">
        <v>0</v>
      </c>
      <c r="V116">
        <v>0</v>
      </c>
      <c r="W116">
        <f>MarketHaulTime/CratesPerMarketLoad/Products[[#This Row],[Per Crate]]</f>
        <v>7.4999999999999997E-2</v>
      </c>
      <c r="X116" t="s">
        <v>2482</v>
      </c>
      <c r="AY116">
        <f>Products[[#This Row],[CSA Portion]]*Products[[#This Row],[CSA Times]]</f>
        <v>0</v>
      </c>
      <c r="BA116">
        <f>Products[[#This Row],[CSA Need]]*Products[[#This Row],[Market Price]]</f>
        <v>0</v>
      </c>
    </row>
    <row r="117" spans="1:54">
      <c r="A117" t="str">
        <f>Products[[#This Row],[Crop]]&amp;Products[[#This Row],[Product]]&amp;Products[[#This Row],[Unit]]</f>
        <v>ParsnipMature RootBunch</v>
      </c>
      <c r="B117" t="s">
        <v>109</v>
      </c>
      <c r="C117" t="s">
        <v>185</v>
      </c>
      <c r="D117" t="s">
        <v>215</v>
      </c>
      <c r="E117" t="b">
        <v>1</v>
      </c>
      <c r="F117" t="s">
        <v>443</v>
      </c>
      <c r="G117">
        <v>3</v>
      </c>
      <c r="H117">
        <v>18</v>
      </c>
      <c r="I117">
        <v>18</v>
      </c>
      <c r="J117" t="s">
        <v>2368</v>
      </c>
      <c r="K117">
        <f>_xlfn.XLOOKUP(Products[[#This Row],[Packing Container]],Containers[Container],Containers[Cost])</f>
        <v>3.8</v>
      </c>
      <c r="M117">
        <v>4</v>
      </c>
      <c r="N117">
        <f>IF(Products[[#This Row],[Unit]]="Bunch",10,0)</f>
        <v>10</v>
      </c>
      <c r="O117">
        <v>30</v>
      </c>
      <c r="P117">
        <f>CrateHaulTime/Products[[#This Row],[Per Crate]]</f>
        <v>5</v>
      </c>
      <c r="Q117">
        <f>_xlfn.XLOOKUP(Products[[#This Row],[Wash Type]],Table9[Wash Type],Table9[Seconds])*Products[[#This Row],[Wash Factor]]</f>
        <v>15</v>
      </c>
      <c r="R117">
        <v>0</v>
      </c>
      <c r="S117">
        <v>5</v>
      </c>
      <c r="T117">
        <v>3</v>
      </c>
      <c r="U117">
        <v>0</v>
      </c>
      <c r="V117">
        <v>0</v>
      </c>
      <c r="W117">
        <f>MarketHaulTime/CratesPerMarketLoad/Products[[#This Row],[Per Crate]]</f>
        <v>12.5</v>
      </c>
      <c r="X117" t="s">
        <v>2482</v>
      </c>
      <c r="AW117">
        <v>1</v>
      </c>
      <c r="AX117">
        <v>1</v>
      </c>
      <c r="AY117">
        <f>Products[[#This Row],[CSA Portion]]*Products[[#This Row],[CSA Times]]</f>
        <v>1</v>
      </c>
      <c r="BA117">
        <f>Products[[#This Row],[CSA Need]]*Products[[#This Row],[Market Price]]</f>
        <v>0</v>
      </c>
      <c r="BB117" t="b">
        <v>1</v>
      </c>
    </row>
    <row r="118" spans="1:54">
      <c r="A118" t="str">
        <f>Products[[#This Row],[Crop]]&amp;Products[[#This Row],[Product]]&amp;Products[[#This Row],[Unit]]</f>
        <v>PeasYoung PodLb</v>
      </c>
      <c r="B118" t="s">
        <v>110</v>
      </c>
      <c r="C118" t="s">
        <v>183</v>
      </c>
      <c r="D118" t="s">
        <v>383</v>
      </c>
      <c r="E118" t="b">
        <v>1</v>
      </c>
      <c r="F118" t="s">
        <v>474</v>
      </c>
      <c r="G118">
        <v>1</v>
      </c>
      <c r="H118">
        <v>25</v>
      </c>
      <c r="I118">
        <v>25</v>
      </c>
      <c r="J118" t="s">
        <v>2368</v>
      </c>
      <c r="K118">
        <f>_xlfn.XLOOKUP(Products[[#This Row],[Packing Container]],Containers[Container],Containers[Cost])</f>
        <v>3.8</v>
      </c>
      <c r="L118">
        <v>4</v>
      </c>
      <c r="M118">
        <v>1</v>
      </c>
      <c r="N118">
        <f>IF(Products[[#This Row],[Unit]]="Bunch",10,0)</f>
        <v>0</v>
      </c>
      <c r="O118">
        <f>40*5</f>
        <v>200</v>
      </c>
      <c r="P118">
        <f>CrateHaulTime/Products[[#This Row],[Per Crate]]</f>
        <v>3.6</v>
      </c>
      <c r="Q118">
        <f>_xlfn.XLOOKUP(Products[[#This Row],[Wash Type]],Table9[Wash Type],Table9[Seconds])*Products[[#This Row],[Wash Factor]]</f>
        <v>0</v>
      </c>
      <c r="R118">
        <v>0</v>
      </c>
      <c r="S118">
        <v>10</v>
      </c>
      <c r="T118">
        <v>3</v>
      </c>
      <c r="U118">
        <v>0</v>
      </c>
      <c r="V118">
        <v>0</v>
      </c>
      <c r="W118">
        <f>MarketHaulTime/CratesPerMarketLoad/Products[[#This Row],[Per Crate]]</f>
        <v>9</v>
      </c>
      <c r="X118" t="s">
        <v>2484</v>
      </c>
      <c r="AC118" s="184"/>
      <c r="AD118" s="184"/>
      <c r="AE118" s="184"/>
      <c r="AF118" s="184"/>
      <c r="AG118" s="207"/>
      <c r="AH118" s="184"/>
      <c r="AI118" s="184"/>
      <c r="AJ118" s="184"/>
      <c r="AO118" s="207"/>
      <c r="AS118" s="184"/>
      <c r="AT118" s="184"/>
      <c r="AU118" s="184"/>
      <c r="AV118" s="184"/>
      <c r="AW118">
        <v>0.5</v>
      </c>
      <c r="AX118">
        <v>2</v>
      </c>
      <c r="AY118">
        <f>Products[[#This Row],[CSA Portion]]*Products[[#This Row],[CSA Times]]</f>
        <v>1</v>
      </c>
      <c r="AZ118">
        <v>6</v>
      </c>
      <c r="BA118">
        <f>Products[[#This Row],[CSA Need]]*Products[[#This Row],[Market Price]]</f>
        <v>6</v>
      </c>
    </row>
    <row r="119" spans="1:54" hidden="1">
      <c r="A119" t="str">
        <f>Products[[#This Row],[Crop]]&amp;Products[[#This Row],[Product]]&amp;Products[[#This Row],[Unit]]</f>
        <v>Pea TendrilYoung ShootsLb</v>
      </c>
      <c r="B119" t="s">
        <v>382</v>
      </c>
      <c r="C119" t="s">
        <v>381</v>
      </c>
      <c r="D119" t="s">
        <v>383</v>
      </c>
      <c r="E119" t="b">
        <v>0</v>
      </c>
      <c r="F119" t="s">
        <v>474</v>
      </c>
      <c r="G119">
        <v>1</v>
      </c>
      <c r="H119">
        <v>10</v>
      </c>
      <c r="I119">
        <v>10</v>
      </c>
      <c r="J119" s="196" t="s">
        <v>2368</v>
      </c>
      <c r="K119">
        <f>_xlfn.XLOOKUP(Products[[#This Row],[Packing Container]],Containers[Container],Containers[Cost])</f>
        <v>3.8</v>
      </c>
      <c r="M119">
        <v>5</v>
      </c>
      <c r="N119">
        <f>IF(Products[[#This Row],[Unit]]="Bunch",10,0)</f>
        <v>0</v>
      </c>
      <c r="O119">
        <v>120</v>
      </c>
      <c r="P119">
        <f>CrateHaulTime/Products[[#This Row],[Per Crate]]</f>
        <v>9</v>
      </c>
      <c r="Q119">
        <f>_xlfn.XLOOKUP(Products[[#This Row],[Wash Type]],Table9[Wash Type],Table9[Seconds])*Products[[#This Row],[Wash Factor]]</f>
        <v>0</v>
      </c>
      <c r="R119">
        <v>0</v>
      </c>
      <c r="S119">
        <v>0</v>
      </c>
      <c r="T119">
        <v>3</v>
      </c>
      <c r="U119">
        <v>0</v>
      </c>
      <c r="V119">
        <v>0</v>
      </c>
      <c r="W119">
        <f>MarketHaulTime/CratesPerMarketLoad/Products[[#This Row],[Per Crate]]</f>
        <v>22.5</v>
      </c>
      <c r="X119" t="s">
        <v>2482</v>
      </c>
      <c r="AY119">
        <f>Products[[#This Row],[CSA Portion]]*Products[[#This Row],[CSA Times]]</f>
        <v>0</v>
      </c>
      <c r="BA119">
        <f>Products[[#This Row],[CSA Need]]*Products[[#This Row],[Market Price]]</f>
        <v>0</v>
      </c>
    </row>
    <row r="120" spans="1:54" hidden="1">
      <c r="A120" t="str">
        <f>Products[[#This Row],[Crop]]&amp;Products[[#This Row],[Product]]&amp;Products[[#This Row],[Unit]]</f>
        <v>Pea TendrilYoung ShootsLb</v>
      </c>
      <c r="B120" t="s">
        <v>382</v>
      </c>
      <c r="C120" t="s">
        <v>381</v>
      </c>
      <c r="D120" t="s">
        <v>383</v>
      </c>
      <c r="E120" t="b">
        <v>0</v>
      </c>
      <c r="F120" t="s">
        <v>474</v>
      </c>
      <c r="G120">
        <v>1</v>
      </c>
      <c r="H120">
        <v>10</v>
      </c>
      <c r="I120">
        <v>10</v>
      </c>
      <c r="J120" s="196" t="s">
        <v>2368</v>
      </c>
      <c r="K120">
        <f>_xlfn.XLOOKUP(Products[[#This Row],[Packing Container]],Containers[Container],Containers[Cost])</f>
        <v>3.8</v>
      </c>
      <c r="M120">
        <v>5</v>
      </c>
      <c r="N120">
        <f>IF(Products[[#This Row],[Unit]]="Bunch",10,0)</f>
        <v>0</v>
      </c>
      <c r="O120">
        <v>120</v>
      </c>
      <c r="P120">
        <f>CrateHaulTime/Products[[#This Row],[Per Crate]]</f>
        <v>9</v>
      </c>
      <c r="Q120">
        <f>_xlfn.XLOOKUP(Products[[#This Row],[Wash Type]],Table9[Wash Type],Table9[Seconds])*Products[[#This Row],[Wash Factor]]</f>
        <v>0</v>
      </c>
      <c r="R120">
        <v>0</v>
      </c>
      <c r="S120">
        <v>0</v>
      </c>
      <c r="T120">
        <v>3</v>
      </c>
      <c r="U120">
        <v>0</v>
      </c>
      <c r="V120">
        <v>0</v>
      </c>
      <c r="W120">
        <f>MarketHaulTime/CratesPerMarketLoad/Products[[#This Row],[Per Crate]]</f>
        <v>22.5</v>
      </c>
      <c r="X120" t="s">
        <v>2482</v>
      </c>
      <c r="AY120">
        <f>Products[[#This Row],[CSA Portion]]*Products[[#This Row],[CSA Times]]</f>
        <v>0</v>
      </c>
      <c r="BA120">
        <f>Products[[#This Row],[CSA Need]]*Products[[#This Row],[Market Price]]</f>
        <v>0</v>
      </c>
    </row>
    <row r="121" spans="1:54">
      <c r="A121" t="str">
        <f>Products[[#This Row],[Crop]]&amp;Products[[#This Row],[Product]]&amp;Products[[#This Row],[Unit]]</f>
        <v>PepperRipe Fruit LargeLb</v>
      </c>
      <c r="B121" t="s">
        <v>112</v>
      </c>
      <c r="C121" t="s">
        <v>2380</v>
      </c>
      <c r="D121" t="s">
        <v>383</v>
      </c>
      <c r="E121" t="b">
        <v>1</v>
      </c>
      <c r="F121" t="s">
        <v>474</v>
      </c>
      <c r="G121">
        <v>1</v>
      </c>
      <c r="H121">
        <v>20</v>
      </c>
      <c r="I121">
        <v>20</v>
      </c>
      <c r="J121" t="s">
        <v>2368</v>
      </c>
      <c r="K121">
        <f>_xlfn.XLOOKUP(Products[[#This Row],[Packing Container]],Containers[Container],Containers[Cost])</f>
        <v>3.8</v>
      </c>
      <c r="L121">
        <v>14</v>
      </c>
      <c r="M121">
        <v>3</v>
      </c>
      <c r="N121">
        <f>IF(Products[[#This Row],[Unit]]="Bunch",10,0)</f>
        <v>0</v>
      </c>
      <c r="O121">
        <f>8*6</f>
        <v>48</v>
      </c>
      <c r="P121">
        <f>CrateHaulTime/Products[[#This Row],[Per Crate]]</f>
        <v>4.5</v>
      </c>
      <c r="Q121">
        <f>_xlfn.XLOOKUP(Products[[#This Row],[Wash Type]],Table9[Wash Type],Table9[Seconds])*Products[[#This Row],[Wash Factor]]</f>
        <v>0</v>
      </c>
      <c r="R121">
        <v>0</v>
      </c>
      <c r="S121">
        <v>0</v>
      </c>
      <c r="T121">
        <v>3</v>
      </c>
      <c r="U121">
        <v>0</v>
      </c>
      <c r="V121">
        <v>0</v>
      </c>
      <c r="W121">
        <f>MarketHaulTime/CratesPerMarketLoad/Products[[#This Row],[Per Crate]]</f>
        <v>11.25</v>
      </c>
      <c r="X121" t="s">
        <v>2484</v>
      </c>
      <c r="AG121" s="207"/>
      <c r="AK121" s="184"/>
      <c r="AL121" s="184"/>
      <c r="AM121" s="184"/>
      <c r="AN121" s="184"/>
      <c r="AO121" s="207"/>
      <c r="AP121" s="184"/>
      <c r="AQ121" s="184"/>
      <c r="AR121" s="184"/>
      <c r="AS121" s="184"/>
      <c r="AT121" s="184"/>
      <c r="AU121" s="184"/>
      <c r="AV121" s="184"/>
      <c r="AW121">
        <v>1</v>
      </c>
      <c r="AX121">
        <v>4</v>
      </c>
      <c r="AY121">
        <f>Products[[#This Row],[CSA Portion]]*Products[[#This Row],[CSA Times]]</f>
        <v>4</v>
      </c>
      <c r="AZ121">
        <v>6</v>
      </c>
      <c r="BA121">
        <f>Products[[#This Row],[CSA Need]]*Products[[#This Row],[Market Price]]</f>
        <v>24</v>
      </c>
    </row>
    <row r="122" spans="1:54" hidden="1">
      <c r="A122" t="str">
        <f>Products[[#This Row],[Crop]]&amp;Products[[#This Row],[Product]]&amp;Products[[#This Row],[Unit]]</f>
        <v>PeoniesMature StalkStem</v>
      </c>
      <c r="B122" t="s">
        <v>111</v>
      </c>
      <c r="C122" t="s">
        <v>199</v>
      </c>
      <c r="D122" t="s">
        <v>213</v>
      </c>
      <c r="E122" t="b">
        <v>0</v>
      </c>
      <c r="F122" t="s">
        <v>474</v>
      </c>
      <c r="G122">
        <v>1</v>
      </c>
      <c r="H122">
        <v>35</v>
      </c>
      <c r="I122">
        <v>35</v>
      </c>
      <c r="J122" t="s">
        <v>2367</v>
      </c>
      <c r="K122">
        <f>_xlfn.XLOOKUP(Products[[#This Row],[Packing Container]],Containers[Container],Containers[Cost])</f>
        <v>4</v>
      </c>
      <c r="M122">
        <v>6</v>
      </c>
      <c r="N122">
        <f>IF(Products[[#This Row],[Unit]]="Bunch",10,0)</f>
        <v>0</v>
      </c>
      <c r="O122">
        <v>8</v>
      </c>
      <c r="P122">
        <f>CrateHaulTime/Products[[#This Row],[Per Crate]]</f>
        <v>2.5714285714285716</v>
      </c>
      <c r="Q122">
        <f>_xlfn.XLOOKUP(Products[[#This Row],[Wash Type]],Table9[Wash Type],Table9[Seconds])*Products[[#This Row],[Wash Factor]]</f>
        <v>0</v>
      </c>
      <c r="R122">
        <v>0</v>
      </c>
      <c r="S122">
        <v>3</v>
      </c>
      <c r="T122">
        <v>3</v>
      </c>
      <c r="U122">
        <v>0</v>
      </c>
      <c r="V122">
        <v>0</v>
      </c>
      <c r="W122">
        <f>MarketHaulTime/CratesPerMarketLoad/Products[[#This Row],[Per Crate]]</f>
        <v>6.4285714285714288</v>
      </c>
      <c r="X122" t="s">
        <v>2482</v>
      </c>
      <c r="AY122">
        <f>Products[[#This Row],[CSA Portion]]*Products[[#This Row],[CSA Times]]</f>
        <v>0</v>
      </c>
      <c r="BA122">
        <f>Products[[#This Row],[CSA Need]]*Products[[#This Row],[Market Price]]</f>
        <v>0</v>
      </c>
    </row>
    <row r="123" spans="1:54">
      <c r="A123" t="str">
        <f>Products[[#This Row],[Crop]]&amp;Products[[#This Row],[Product]]&amp;Products[[#This Row],[Unit]]</f>
        <v>PepperRipe Fruit SmallLb</v>
      </c>
      <c r="B123" t="s">
        <v>112</v>
      </c>
      <c r="C123" t="s">
        <v>2381</v>
      </c>
      <c r="D123" t="s">
        <v>383</v>
      </c>
      <c r="E123" t="b">
        <v>1</v>
      </c>
      <c r="F123" t="s">
        <v>474</v>
      </c>
      <c r="G123">
        <v>1</v>
      </c>
      <c r="H123">
        <v>20</v>
      </c>
      <c r="I123">
        <v>20</v>
      </c>
      <c r="J123" t="s">
        <v>2368</v>
      </c>
      <c r="K123">
        <f>_xlfn.XLOOKUP(Products[[#This Row],[Packing Container]],Containers[Container],Containers[Cost])</f>
        <v>3.8</v>
      </c>
      <c r="L123">
        <v>14</v>
      </c>
      <c r="M123">
        <v>3</v>
      </c>
      <c r="N123">
        <f>IF(Products[[#This Row],[Unit]]="Bunch",10,0)</f>
        <v>0</v>
      </c>
      <c r="O123">
        <f>8*20</f>
        <v>160</v>
      </c>
      <c r="P123">
        <f>CrateHaulTime/Products[[#This Row],[Per Crate]]</f>
        <v>4.5</v>
      </c>
      <c r="Q123">
        <f>_xlfn.XLOOKUP(Products[[#This Row],[Wash Type]],Table9[Wash Type],Table9[Seconds])*Products[[#This Row],[Wash Factor]]</f>
        <v>0</v>
      </c>
      <c r="R123">
        <v>0</v>
      </c>
      <c r="S123">
        <v>0</v>
      </c>
      <c r="T123">
        <v>3</v>
      </c>
      <c r="U123">
        <v>0</v>
      </c>
      <c r="V123">
        <v>0</v>
      </c>
      <c r="W123">
        <f>MarketHaulTime/CratesPerMarketLoad/Products[[#This Row],[Per Crate]]</f>
        <v>11.25</v>
      </c>
      <c r="X123" t="s">
        <v>2484</v>
      </c>
      <c r="AG123" s="207"/>
      <c r="AI123" s="184"/>
      <c r="AJ123" s="184"/>
      <c r="AK123" s="184"/>
      <c r="AL123" s="184"/>
      <c r="AM123" s="184"/>
      <c r="AN123" s="184"/>
      <c r="AO123" s="207"/>
      <c r="AP123" s="184"/>
      <c r="AQ123" s="184"/>
      <c r="AR123" s="184"/>
      <c r="AS123" s="184"/>
      <c r="AT123" s="184"/>
      <c r="AU123" s="184"/>
      <c r="AV123" s="184"/>
      <c r="AW123">
        <v>0.25</v>
      </c>
      <c r="AX123">
        <v>2</v>
      </c>
      <c r="AY123">
        <f>Products[[#This Row],[CSA Portion]]*Products[[#This Row],[CSA Times]]</f>
        <v>0.5</v>
      </c>
      <c r="AZ123">
        <v>10</v>
      </c>
      <c r="BA123">
        <f>Products[[#This Row],[CSA Need]]*Products[[#This Row],[Market Price]]</f>
        <v>5</v>
      </c>
    </row>
    <row r="124" spans="1:54">
      <c r="A124" t="str">
        <f>Products[[#This Row],[Crop]]&amp;Products[[#This Row],[Product]]&amp;Products[[#This Row],[Unit]]</f>
        <v>PotatoMature RootLb</v>
      </c>
      <c r="B124" t="s">
        <v>113</v>
      </c>
      <c r="C124" t="s">
        <v>185</v>
      </c>
      <c r="D124" t="s">
        <v>383</v>
      </c>
      <c r="E124" t="b">
        <v>1</v>
      </c>
      <c r="F124" t="s">
        <v>443</v>
      </c>
      <c r="G124">
        <v>2</v>
      </c>
      <c r="H124">
        <v>45</v>
      </c>
      <c r="I124">
        <v>25</v>
      </c>
      <c r="J124" t="s">
        <v>2368</v>
      </c>
      <c r="K124">
        <f>_xlfn.XLOOKUP(Products[[#This Row],[Packing Container]],Containers[Container],Containers[Cost])</f>
        <v>3.8</v>
      </c>
      <c r="L124">
        <v>30</v>
      </c>
      <c r="M124">
        <v>3</v>
      </c>
      <c r="N124">
        <f>IF(Products[[#This Row],[Unit]]="Bunch",10,0)</f>
        <v>0</v>
      </c>
      <c r="O124">
        <f>90</f>
        <v>90</v>
      </c>
      <c r="P124">
        <f>CrateHaulTime/Products[[#This Row],[Per Crate]]</f>
        <v>2</v>
      </c>
      <c r="Q124">
        <f>_xlfn.XLOOKUP(Products[[#This Row],[Wash Type]],Table9[Wash Type],Table9[Seconds])*Products[[#This Row],[Wash Factor]]</f>
        <v>10</v>
      </c>
      <c r="R124">
        <v>0</v>
      </c>
      <c r="S124">
        <v>0</v>
      </c>
      <c r="T124">
        <v>3</v>
      </c>
      <c r="U124">
        <v>0</v>
      </c>
      <c r="V124">
        <v>0</v>
      </c>
      <c r="W124">
        <f>MarketHaulTime/CratesPerMarketLoad/Products[[#This Row],[Per Crate]]</f>
        <v>5</v>
      </c>
      <c r="X124" t="s">
        <v>2484</v>
      </c>
      <c r="AG124" s="207"/>
      <c r="AH124" s="184"/>
      <c r="AI124" s="184"/>
      <c r="AJ124" s="184"/>
      <c r="AK124" s="184"/>
      <c r="AL124" s="184"/>
      <c r="AM124" s="184"/>
      <c r="AN124" s="184"/>
      <c r="AO124" s="207"/>
      <c r="AP124" s="184"/>
      <c r="AQ124" s="184"/>
      <c r="AR124" s="184"/>
      <c r="AS124" s="184"/>
      <c r="AT124" s="184"/>
      <c r="AU124" s="184"/>
      <c r="AV124" s="184"/>
      <c r="AW124">
        <v>1</v>
      </c>
      <c r="AX124">
        <v>2</v>
      </c>
      <c r="AY124">
        <f>Products[[#This Row],[CSA Portion]]*Products[[#This Row],[CSA Times]]</f>
        <v>2</v>
      </c>
      <c r="AZ124">
        <v>4</v>
      </c>
      <c r="BA124">
        <f>Products[[#This Row],[CSA Need]]*Products[[#This Row],[Market Price]]</f>
        <v>8</v>
      </c>
    </row>
    <row r="125" spans="1:54" hidden="1">
      <c r="A125" t="str">
        <f>Products[[#This Row],[Crop]]&amp;Products[[#This Row],[Product]]&amp;Products[[#This Row],[Unit]]</f>
        <v>PetuniaMature StemStem</v>
      </c>
      <c r="B125" t="s">
        <v>419</v>
      </c>
      <c r="C125" t="s">
        <v>181</v>
      </c>
      <c r="D125" t="s">
        <v>213</v>
      </c>
      <c r="E125" t="b">
        <v>0</v>
      </c>
      <c r="F125" t="s">
        <v>474</v>
      </c>
      <c r="G125">
        <v>1</v>
      </c>
      <c r="H125">
        <v>35</v>
      </c>
      <c r="I125">
        <v>35</v>
      </c>
      <c r="J125" t="s">
        <v>2367</v>
      </c>
      <c r="K125">
        <f>_xlfn.XLOOKUP(Products[[#This Row],[Packing Container]],Containers[Container],Containers[Cost])</f>
        <v>4</v>
      </c>
      <c r="M125">
        <v>6</v>
      </c>
      <c r="N125">
        <f>IF(Products[[#This Row],[Unit]]="Bunch",10,0)</f>
        <v>0</v>
      </c>
      <c r="O125">
        <v>5</v>
      </c>
      <c r="P125">
        <f>CrateHaulTime/Products[[#This Row],[Per Crate]]</f>
        <v>2.5714285714285716</v>
      </c>
      <c r="Q125">
        <f>_xlfn.XLOOKUP(Products[[#This Row],[Wash Type]],Table9[Wash Type],Table9[Seconds])*Products[[#This Row],[Wash Factor]]</f>
        <v>0</v>
      </c>
      <c r="R125">
        <v>0</v>
      </c>
      <c r="S125">
        <v>10</v>
      </c>
      <c r="T125">
        <v>3</v>
      </c>
      <c r="U125">
        <v>0</v>
      </c>
      <c r="V125">
        <v>0</v>
      </c>
      <c r="W125">
        <f>MarketHaulTime/CratesPerMarketLoad/Products[[#This Row],[Per Crate]]</f>
        <v>6.4285714285714288</v>
      </c>
      <c r="X125" t="s">
        <v>2482</v>
      </c>
      <c r="AY125">
        <f>Products[[#This Row],[CSA Portion]]*Products[[#This Row],[CSA Times]]</f>
        <v>0</v>
      </c>
      <c r="BA125">
        <f>Products[[#This Row],[CSA Need]]*Products[[#This Row],[Market Price]]</f>
        <v>0</v>
      </c>
    </row>
    <row r="126" spans="1:54">
      <c r="A126" t="str">
        <f>Products[[#This Row],[Crop]]&amp;Products[[#This Row],[Product]]&amp;Products[[#This Row],[Unit]]</f>
        <v>PotatoStorage RootLb</v>
      </c>
      <c r="B126" t="s">
        <v>113</v>
      </c>
      <c r="C126" t="s">
        <v>205</v>
      </c>
      <c r="D126" t="s">
        <v>383</v>
      </c>
      <c r="E126" t="b">
        <v>1</v>
      </c>
      <c r="F126" t="s">
        <v>474</v>
      </c>
      <c r="G126">
        <v>1</v>
      </c>
      <c r="H126">
        <v>45</v>
      </c>
      <c r="I126">
        <v>25</v>
      </c>
      <c r="J126" t="s">
        <v>2368</v>
      </c>
      <c r="K126">
        <f>_xlfn.XLOOKUP(Products[[#This Row],[Packing Container]],Containers[Container],Containers[Cost])</f>
        <v>3.8</v>
      </c>
      <c r="L126">
        <v>60</v>
      </c>
      <c r="M126">
        <v>3</v>
      </c>
      <c r="N126">
        <f>IF(Products[[#This Row],[Unit]]="Bunch",10,0)</f>
        <v>0</v>
      </c>
      <c r="O126">
        <v>60</v>
      </c>
      <c r="P126">
        <f>CrateHaulTime/Products[[#This Row],[Per Crate]]</f>
        <v>2</v>
      </c>
      <c r="Q126">
        <f>_xlfn.XLOOKUP(Products[[#This Row],[Wash Type]],Table9[Wash Type],Table9[Seconds])*Products[[#This Row],[Wash Factor]]</f>
        <v>0</v>
      </c>
      <c r="R126">
        <v>0</v>
      </c>
      <c r="S126">
        <v>0</v>
      </c>
      <c r="T126">
        <v>3</v>
      </c>
      <c r="U126">
        <v>0</v>
      </c>
      <c r="V126">
        <v>0</v>
      </c>
      <c r="W126">
        <f>MarketHaulTime/CratesPerMarketLoad/Products[[#This Row],[Per Crate]]</f>
        <v>5</v>
      </c>
      <c r="X126" t="s">
        <v>2484</v>
      </c>
      <c r="AG126" s="207"/>
      <c r="AH126" s="184"/>
      <c r="AI126" s="184"/>
      <c r="AJ126" s="184"/>
      <c r="AK126" s="184"/>
      <c r="AL126" s="184"/>
      <c r="AM126" s="184"/>
      <c r="AN126" s="184"/>
      <c r="AO126" s="207"/>
      <c r="AP126" s="184"/>
      <c r="AQ126" s="184"/>
      <c r="AR126" s="184"/>
      <c r="AS126" s="184"/>
      <c r="AT126" s="184"/>
      <c r="AU126" s="184"/>
      <c r="AV126" s="184"/>
      <c r="AW126">
        <v>1</v>
      </c>
      <c r="AX126">
        <v>2</v>
      </c>
      <c r="AY126">
        <f>Products[[#This Row],[CSA Portion]]*Products[[#This Row],[CSA Times]]</f>
        <v>2</v>
      </c>
      <c r="AZ126">
        <v>2.5</v>
      </c>
      <c r="BA126">
        <f>Products[[#This Row],[CSA Need]]*Products[[#This Row],[Market Price]]</f>
        <v>5</v>
      </c>
    </row>
    <row r="127" spans="1:54">
      <c r="A127" t="str">
        <f>Products[[#This Row],[Crop]]&amp;Products[[#This Row],[Product]]&amp;Products[[#This Row],[Unit]]</f>
        <v>RadicchioForced HeadHead</v>
      </c>
      <c r="B127" t="s">
        <v>356</v>
      </c>
      <c r="C127" t="s">
        <v>357</v>
      </c>
      <c r="D127" t="s">
        <v>214</v>
      </c>
      <c r="E127" t="b">
        <v>1</v>
      </c>
      <c r="F127" t="s">
        <v>474</v>
      </c>
      <c r="G127">
        <v>1</v>
      </c>
      <c r="H127">
        <v>24</v>
      </c>
      <c r="I127">
        <v>24</v>
      </c>
      <c r="J127" t="s">
        <v>2368</v>
      </c>
      <c r="K127">
        <f>_xlfn.XLOOKUP(Products[[#This Row],[Packing Container]],Containers[Container],Containers[Cost])</f>
        <v>3.8</v>
      </c>
      <c r="L127">
        <v>10</v>
      </c>
      <c r="M127">
        <v>4</v>
      </c>
      <c r="N127">
        <f>IF(Products[[#This Row],[Unit]]="Bunch",10,0)</f>
        <v>0</v>
      </c>
      <c r="O127">
        <v>10</v>
      </c>
      <c r="P127">
        <f>CrateHaulTime/Products[[#This Row],[Per Crate]]</f>
        <v>3.75</v>
      </c>
      <c r="Q127">
        <f>_xlfn.XLOOKUP(Products[[#This Row],[Wash Type]],Table9[Wash Type],Table9[Seconds])*Products[[#This Row],[Wash Factor]]</f>
        <v>0</v>
      </c>
      <c r="R127">
        <v>0</v>
      </c>
      <c r="S127">
        <v>10</v>
      </c>
      <c r="T127">
        <v>3</v>
      </c>
      <c r="U127">
        <v>0</v>
      </c>
      <c r="V127">
        <v>0</v>
      </c>
      <c r="W127">
        <f>MarketHaulTime/CratesPerMarketLoad/Products[[#This Row],[Per Crate]]</f>
        <v>9.375</v>
      </c>
      <c r="X127" t="s">
        <v>2484</v>
      </c>
      <c r="Y127" s="184"/>
      <c r="Z127" s="184"/>
      <c r="AA127" s="184"/>
      <c r="AB127" s="184"/>
      <c r="AC127" s="184"/>
      <c r="AD127" s="184"/>
      <c r="AE127" s="184"/>
      <c r="AF127" s="184"/>
      <c r="AG127" s="207"/>
      <c r="AO127" s="207"/>
      <c r="AS127" s="184"/>
      <c r="AT127" s="184"/>
      <c r="AU127" s="184"/>
      <c r="AV127" s="184"/>
      <c r="AW127">
        <v>1</v>
      </c>
      <c r="AX127">
        <v>1</v>
      </c>
      <c r="AY127">
        <f>Products[[#This Row],[CSA Portion]]*Products[[#This Row],[CSA Times]]</f>
        <v>1</v>
      </c>
      <c r="AZ127">
        <v>6</v>
      </c>
      <c r="BA127">
        <f>Products[[#This Row],[CSA Need]]*Products[[#This Row],[Market Price]]</f>
        <v>6</v>
      </c>
    </row>
    <row r="128" spans="1:54" hidden="1">
      <c r="A128" t="str">
        <f>Products[[#This Row],[Crop]]&amp;Products[[#This Row],[Product]]&amp;Products[[#This Row],[Unit]]</f>
        <v>Queen Anne's LaceMature StemStem</v>
      </c>
      <c r="B128" t="s">
        <v>141</v>
      </c>
      <c r="C128" t="s">
        <v>181</v>
      </c>
      <c r="D128" t="s">
        <v>213</v>
      </c>
      <c r="E128" t="b">
        <v>1</v>
      </c>
      <c r="F128" t="s">
        <v>474</v>
      </c>
      <c r="G128">
        <v>1</v>
      </c>
      <c r="H128">
        <v>80</v>
      </c>
      <c r="I128">
        <v>80</v>
      </c>
      <c r="J128" t="s">
        <v>2367</v>
      </c>
      <c r="K128">
        <f>_xlfn.XLOOKUP(Products[[#This Row],[Packing Container]],Containers[Container],Containers[Cost])</f>
        <v>4</v>
      </c>
      <c r="M128">
        <v>6</v>
      </c>
      <c r="N128">
        <f>IF(Products[[#This Row],[Unit]]="Bunch",10,0)</f>
        <v>0</v>
      </c>
      <c r="O128">
        <v>5</v>
      </c>
      <c r="P128">
        <f>CrateHaulTime/Products[[#This Row],[Per Crate]]</f>
        <v>1.125</v>
      </c>
      <c r="Q128">
        <f>_xlfn.XLOOKUP(Products[[#This Row],[Wash Type]],Table9[Wash Type],Table9[Seconds])*Products[[#This Row],[Wash Factor]]</f>
        <v>0</v>
      </c>
      <c r="R128">
        <v>0</v>
      </c>
      <c r="S128">
        <v>3</v>
      </c>
      <c r="T128">
        <v>3</v>
      </c>
      <c r="U128">
        <v>0</v>
      </c>
      <c r="V128">
        <v>0</v>
      </c>
      <c r="W128">
        <f>MarketHaulTime/CratesPerMarketLoad/Products[[#This Row],[Per Crate]]</f>
        <v>2.8125</v>
      </c>
      <c r="X128" t="s">
        <v>2482</v>
      </c>
      <c r="AY128">
        <f>Products[[#This Row],[CSA Portion]]*Products[[#This Row],[CSA Times]]</f>
        <v>0</v>
      </c>
      <c r="BA128">
        <f>Products[[#This Row],[CSA Need]]*Products[[#This Row],[Market Price]]</f>
        <v>0</v>
      </c>
    </row>
    <row r="129" spans="1:53">
      <c r="A129" t="str">
        <f>Products[[#This Row],[Crop]]&amp;Products[[#This Row],[Product]]&amp;Products[[#This Row],[Unit]]</f>
        <v>RadishMature RootBunch</v>
      </c>
      <c r="B129" t="s">
        <v>114</v>
      </c>
      <c r="C129" t="s">
        <v>185</v>
      </c>
      <c r="D129" t="s">
        <v>215</v>
      </c>
      <c r="E129" t="b">
        <v>1</v>
      </c>
      <c r="F129" t="s">
        <v>443</v>
      </c>
      <c r="G129">
        <v>4</v>
      </c>
      <c r="H129">
        <v>36</v>
      </c>
      <c r="I129">
        <v>36</v>
      </c>
      <c r="J129" t="s">
        <v>2368</v>
      </c>
      <c r="K129">
        <f>_xlfn.XLOOKUP(Products[[#This Row],[Packing Container]],Containers[Container],Containers[Cost])</f>
        <v>3.8</v>
      </c>
      <c r="L129">
        <v>7</v>
      </c>
      <c r="M129">
        <v>3</v>
      </c>
      <c r="N129">
        <f>IF(Products[[#This Row],[Unit]]="Bunch",10,0)</f>
        <v>10</v>
      </c>
      <c r="O129">
        <f>8*3</f>
        <v>24</v>
      </c>
      <c r="P129">
        <f>CrateHaulTime/Products[[#This Row],[Per Crate]]</f>
        <v>2.5</v>
      </c>
      <c r="Q129">
        <f>_xlfn.XLOOKUP(Products[[#This Row],[Wash Type]],Table9[Wash Type],Table9[Seconds])*Products[[#This Row],[Wash Factor]]</f>
        <v>20</v>
      </c>
      <c r="R129">
        <v>0</v>
      </c>
      <c r="S129">
        <v>15</v>
      </c>
      <c r="T129">
        <v>3</v>
      </c>
      <c r="U129">
        <v>0</v>
      </c>
      <c r="V129">
        <v>0</v>
      </c>
      <c r="W129">
        <f>MarketHaulTime/CratesPerMarketLoad/Products[[#This Row],[Per Crate]]</f>
        <v>6.25</v>
      </c>
      <c r="X129" t="s">
        <v>2484</v>
      </c>
      <c r="Y129" s="184"/>
      <c r="Z129" s="184"/>
      <c r="AA129" s="184"/>
      <c r="AB129" s="184"/>
      <c r="AC129" s="184"/>
      <c r="AD129" s="184"/>
      <c r="AE129" s="184"/>
      <c r="AF129" s="184"/>
      <c r="AG129" s="207"/>
      <c r="AH129" s="184"/>
      <c r="AI129" s="184"/>
      <c r="AJ129" s="184"/>
      <c r="AK129" s="184"/>
      <c r="AL129" s="184"/>
      <c r="AM129" s="184"/>
      <c r="AN129" s="184"/>
      <c r="AO129" s="207"/>
      <c r="AP129" s="184"/>
      <c r="AQ129" s="184"/>
      <c r="AR129" s="184"/>
      <c r="AS129" s="184"/>
      <c r="AT129" s="184"/>
      <c r="AU129" s="184"/>
      <c r="AV129" s="184"/>
      <c r="AW129">
        <v>1</v>
      </c>
      <c r="AX129">
        <v>4</v>
      </c>
      <c r="AY129">
        <f>Products[[#This Row],[CSA Portion]]*Products[[#This Row],[CSA Times]]</f>
        <v>4</v>
      </c>
      <c r="AZ129">
        <v>3.5</v>
      </c>
      <c r="BA129">
        <f>Products[[#This Row],[CSA Need]]*Products[[#This Row],[Market Price]]</f>
        <v>14</v>
      </c>
    </row>
    <row r="130" spans="1:53">
      <c r="A130" t="str">
        <f>Products[[#This Row],[Crop]]&amp;Products[[#This Row],[Product]]&amp;Products[[#This Row],[Unit]]</f>
        <v>RadishStorage RootBunch</v>
      </c>
      <c r="B130" t="s">
        <v>114</v>
      </c>
      <c r="C130" t="s">
        <v>205</v>
      </c>
      <c r="D130" t="s">
        <v>215</v>
      </c>
      <c r="E130" t="b">
        <v>1</v>
      </c>
      <c r="F130" t="s">
        <v>443</v>
      </c>
      <c r="G130">
        <v>4</v>
      </c>
      <c r="H130">
        <v>36</v>
      </c>
      <c r="I130">
        <v>36</v>
      </c>
      <c r="J130" t="s">
        <v>2368</v>
      </c>
      <c r="K130">
        <f>_xlfn.XLOOKUP(Products[[#This Row],[Packing Container]],Containers[Container],Containers[Cost])</f>
        <v>3.8</v>
      </c>
      <c r="L130">
        <v>30</v>
      </c>
      <c r="M130">
        <v>3</v>
      </c>
      <c r="N130">
        <f>IF(Products[[#This Row],[Unit]]="Bunch",10,0)</f>
        <v>10</v>
      </c>
      <c r="O130">
        <f>8*3</f>
        <v>24</v>
      </c>
      <c r="P130">
        <f>CrateHaulTime/Products[[#This Row],[Per Crate]]</f>
        <v>2.5</v>
      </c>
      <c r="Q130">
        <f>_xlfn.XLOOKUP(Products[[#This Row],[Wash Type]],Table9[Wash Type],Table9[Seconds])*Products[[#This Row],[Wash Factor]]</f>
        <v>20</v>
      </c>
      <c r="R130">
        <v>0</v>
      </c>
      <c r="S130">
        <v>15</v>
      </c>
      <c r="T130">
        <v>3</v>
      </c>
      <c r="U130">
        <v>0</v>
      </c>
      <c r="V130">
        <v>0</v>
      </c>
      <c r="W130">
        <f>MarketHaulTime/CratesPerMarketLoad/Products[[#This Row],[Per Crate]]</f>
        <v>6.25</v>
      </c>
      <c r="X130" t="s">
        <v>2484</v>
      </c>
      <c r="Y130" s="184"/>
      <c r="Z130" s="184"/>
      <c r="AA130" s="184"/>
      <c r="AB130" s="184"/>
      <c r="AC130" s="184"/>
      <c r="AD130" s="184"/>
      <c r="AE130" s="184"/>
      <c r="AF130" s="184"/>
      <c r="AG130" s="207"/>
      <c r="AH130" s="184"/>
      <c r="AI130" s="184"/>
      <c r="AJ130" s="184"/>
      <c r="AK130" s="184"/>
      <c r="AL130" s="184"/>
      <c r="AM130" s="184"/>
      <c r="AN130" s="184"/>
      <c r="AO130" s="207"/>
      <c r="AP130" s="184"/>
      <c r="AQ130" s="184"/>
      <c r="AR130" s="184"/>
      <c r="AS130" s="184"/>
      <c r="AT130" s="184"/>
      <c r="AU130" s="184"/>
      <c r="AV130" s="184"/>
      <c r="AW130">
        <v>1</v>
      </c>
      <c r="AX130">
        <v>2</v>
      </c>
      <c r="AY130">
        <f>Products[[#This Row],[CSA Portion]]*Products[[#This Row],[CSA Times]]</f>
        <v>2</v>
      </c>
      <c r="AZ130">
        <v>5</v>
      </c>
      <c r="BA130">
        <f>Products[[#This Row],[CSA Need]]*Products[[#This Row],[Market Price]]</f>
        <v>10</v>
      </c>
    </row>
    <row r="131" spans="1:53">
      <c r="A131" t="str">
        <f>Products[[#This Row],[Crop]]&amp;Products[[#This Row],[Product]]&amp;Products[[#This Row],[Unit]]</f>
        <v>RadishStorage RootLb</v>
      </c>
      <c r="B131" t="s">
        <v>114</v>
      </c>
      <c r="C131" t="s">
        <v>205</v>
      </c>
      <c r="D131" t="s">
        <v>383</v>
      </c>
      <c r="E131" t="b">
        <v>1</v>
      </c>
      <c r="F131" t="s">
        <v>443</v>
      </c>
      <c r="G131">
        <v>4</v>
      </c>
      <c r="H131">
        <v>40</v>
      </c>
      <c r="I131">
        <v>25</v>
      </c>
      <c r="J131" t="s">
        <v>2368</v>
      </c>
      <c r="K131">
        <f>_xlfn.XLOOKUP(Products[[#This Row],[Packing Container]],Containers[Container],Containers[Cost])</f>
        <v>3.8</v>
      </c>
      <c r="L131">
        <v>30</v>
      </c>
      <c r="M131">
        <v>3</v>
      </c>
      <c r="N131">
        <f>IF(Products[[#This Row],[Unit]]="Bunch",10,0)</f>
        <v>0</v>
      </c>
      <c r="O131">
        <f>4*3</f>
        <v>12</v>
      </c>
      <c r="P131">
        <f>CrateHaulTime/Products[[#This Row],[Per Crate]]</f>
        <v>2.25</v>
      </c>
      <c r="Q131">
        <f>_xlfn.XLOOKUP(Products[[#This Row],[Wash Type]],Table9[Wash Type],Table9[Seconds])*Products[[#This Row],[Wash Factor]]</f>
        <v>20</v>
      </c>
      <c r="R131">
        <v>0</v>
      </c>
      <c r="S131">
        <v>30</v>
      </c>
      <c r="T131">
        <v>3</v>
      </c>
      <c r="U131">
        <v>0</v>
      </c>
      <c r="V131">
        <v>0</v>
      </c>
      <c r="W131">
        <f>MarketHaulTime/CratesPerMarketLoad/Products[[#This Row],[Per Crate]]</f>
        <v>5.625</v>
      </c>
      <c r="X131" t="s">
        <v>2484</v>
      </c>
      <c r="Y131" s="184"/>
      <c r="Z131" s="184"/>
      <c r="AA131" s="184"/>
      <c r="AB131" s="184"/>
      <c r="AC131" s="184"/>
      <c r="AD131" s="184"/>
      <c r="AE131" s="184"/>
      <c r="AF131" s="184"/>
      <c r="AG131" s="207"/>
      <c r="AH131" s="184"/>
      <c r="AI131" s="184"/>
      <c r="AJ131" s="184"/>
      <c r="AK131" s="184"/>
      <c r="AL131" s="184"/>
      <c r="AM131" s="184"/>
      <c r="AN131" s="184"/>
      <c r="AO131" s="207"/>
      <c r="AP131" s="184"/>
      <c r="AQ131" s="184"/>
      <c r="AR131" s="184"/>
      <c r="AS131" s="184"/>
      <c r="AT131" s="184"/>
      <c r="AU131" s="184"/>
      <c r="AV131" s="184"/>
      <c r="AW131">
        <v>2</v>
      </c>
      <c r="AX131">
        <v>1</v>
      </c>
      <c r="AY131">
        <f>Products[[#This Row],[CSA Portion]]*Products[[#This Row],[CSA Times]]</f>
        <v>2</v>
      </c>
      <c r="AZ131">
        <v>5</v>
      </c>
      <c r="BA131">
        <f>Products[[#This Row],[CSA Need]]*Products[[#This Row],[Market Price]]</f>
        <v>10</v>
      </c>
    </row>
    <row r="132" spans="1:53" hidden="1">
      <c r="A132" t="str">
        <f>Products[[#This Row],[Crop]]&amp;Products[[#This Row],[Product]]&amp;Products[[#This Row],[Unit]]</f>
        <v>ScallionMature StalkBunch</v>
      </c>
      <c r="B132" t="s">
        <v>119</v>
      </c>
      <c r="C132" t="s">
        <v>199</v>
      </c>
      <c r="D132" t="s">
        <v>215</v>
      </c>
      <c r="E132" t="b">
        <v>1</v>
      </c>
      <c r="F132" t="s">
        <v>443</v>
      </c>
      <c r="G132">
        <v>5</v>
      </c>
      <c r="H132">
        <v>36</v>
      </c>
      <c r="I132">
        <v>36</v>
      </c>
      <c r="J132" t="s">
        <v>2368</v>
      </c>
      <c r="K132">
        <f>_xlfn.XLOOKUP(Products[[#This Row],[Packing Container]],Containers[Container],Containers[Cost])</f>
        <v>3.8</v>
      </c>
      <c r="L132">
        <v>7</v>
      </c>
      <c r="M132">
        <v>2</v>
      </c>
      <c r="N132">
        <f>IF(Products[[#This Row],[Unit]]="Bunch",10,0)</f>
        <v>10</v>
      </c>
      <c r="O132">
        <f>30</f>
        <v>30</v>
      </c>
      <c r="P132">
        <f>CrateHaulTime/Products[[#This Row],[Per Crate]]</f>
        <v>2.5</v>
      </c>
      <c r="Q132">
        <f>_xlfn.XLOOKUP(Products[[#This Row],[Wash Type]],Table9[Wash Type],Table9[Seconds])*Products[[#This Row],[Wash Factor]]</f>
        <v>25</v>
      </c>
      <c r="R132">
        <v>0</v>
      </c>
      <c r="S132">
        <v>45</v>
      </c>
      <c r="T132">
        <v>3</v>
      </c>
      <c r="U132">
        <v>0</v>
      </c>
      <c r="V132">
        <v>0</v>
      </c>
      <c r="W132">
        <f>MarketHaulTime/CratesPerMarketLoad/Products[[#This Row],[Per Crate]]</f>
        <v>6.25</v>
      </c>
      <c r="X132" t="s">
        <v>2484</v>
      </c>
      <c r="Y132" s="184"/>
      <c r="Z132" s="184"/>
      <c r="AA132" s="184"/>
      <c r="AB132" s="184"/>
      <c r="AC132" s="184"/>
      <c r="AD132" s="184"/>
      <c r="AE132" s="184"/>
      <c r="AF132" s="184"/>
      <c r="AG132" s="207"/>
      <c r="AH132" s="184"/>
      <c r="AI132" s="184"/>
      <c r="AJ132" s="184"/>
      <c r="AK132" s="184"/>
      <c r="AL132" s="184"/>
      <c r="AM132" s="184"/>
      <c r="AN132" s="184"/>
      <c r="AO132" s="207"/>
      <c r="AP132" s="184"/>
      <c r="AQ132" s="184"/>
      <c r="AR132" s="184"/>
      <c r="AS132" s="184"/>
      <c r="AT132" s="184"/>
      <c r="AU132" s="184"/>
      <c r="AV132" s="184"/>
      <c r="AW132">
        <v>1</v>
      </c>
      <c r="AX132">
        <v>0</v>
      </c>
      <c r="AY132">
        <f>Products[[#This Row],[CSA Portion]]*Products[[#This Row],[CSA Times]]</f>
        <v>0</v>
      </c>
      <c r="BA132">
        <f>Products[[#This Row],[CSA Need]]*Products[[#This Row],[Market Price]]</f>
        <v>0</v>
      </c>
    </row>
    <row r="133" spans="1:53" hidden="1">
      <c r="A133" t="str">
        <f>Products[[#This Row],[Crop]]&amp;Products[[#This Row],[Product]]&amp;Products[[#This Row],[Unit]]</f>
        <v>RapiniYoung StalkBunch</v>
      </c>
      <c r="B133" t="s">
        <v>116</v>
      </c>
      <c r="C133" t="s">
        <v>207</v>
      </c>
      <c r="D133" t="s">
        <v>215</v>
      </c>
      <c r="E133" t="b">
        <v>1</v>
      </c>
      <c r="F133" t="s">
        <v>474</v>
      </c>
      <c r="G133">
        <v>1</v>
      </c>
      <c r="H133">
        <v>24</v>
      </c>
      <c r="I133">
        <v>24</v>
      </c>
      <c r="J133" t="s">
        <v>2368</v>
      </c>
      <c r="K133">
        <f>_xlfn.XLOOKUP(Products[[#This Row],[Packing Container]],Containers[Container],Containers[Cost])</f>
        <v>3.8</v>
      </c>
      <c r="M133">
        <v>2</v>
      </c>
      <c r="N133">
        <f>IF(Products[[#This Row],[Unit]]="Bunch",10,0)</f>
        <v>10</v>
      </c>
      <c r="O133">
        <f>8*3</f>
        <v>24</v>
      </c>
      <c r="P133">
        <f>CrateHaulTime/Products[[#This Row],[Per Crate]]</f>
        <v>3.75</v>
      </c>
      <c r="Q133">
        <f>_xlfn.XLOOKUP(Products[[#This Row],[Wash Type]],Table9[Wash Type],Table9[Seconds])*Products[[#This Row],[Wash Factor]]</f>
        <v>0</v>
      </c>
      <c r="R133">
        <v>10</v>
      </c>
      <c r="S133">
        <v>3</v>
      </c>
      <c r="T133">
        <v>3</v>
      </c>
      <c r="U133">
        <v>0</v>
      </c>
      <c r="V133">
        <v>0</v>
      </c>
      <c r="W133">
        <f>MarketHaulTime/CratesPerMarketLoad/Products[[#This Row],[Per Crate]]</f>
        <v>9.375</v>
      </c>
      <c r="X133" t="s">
        <v>2482</v>
      </c>
      <c r="AY133">
        <f>Products[[#This Row],[CSA Portion]]*Products[[#This Row],[CSA Times]]</f>
        <v>0</v>
      </c>
      <c r="BA133">
        <f>Products[[#This Row],[CSA Need]]*Products[[#This Row],[Market Price]]</f>
        <v>0</v>
      </c>
    </row>
    <row r="134" spans="1:53">
      <c r="A134" t="str">
        <f>Products[[#This Row],[Crop]]&amp;Products[[#This Row],[Product]]&amp;Products[[#This Row],[Unit]]</f>
        <v>RaspberryBlack Berry1/2 Pint</v>
      </c>
      <c r="B134" t="s">
        <v>2547</v>
      </c>
      <c r="C134" t="s">
        <v>2559</v>
      </c>
      <c r="D134" t="s">
        <v>2548</v>
      </c>
      <c r="E134" t="b">
        <v>1</v>
      </c>
      <c r="F134" t="s">
        <v>474</v>
      </c>
      <c r="G134">
        <v>1</v>
      </c>
      <c r="H134">
        <v>12</v>
      </c>
      <c r="I134">
        <v>6</v>
      </c>
      <c r="J134" t="s">
        <v>2366</v>
      </c>
      <c r="K134">
        <f>_xlfn.XLOOKUP(Products[[#This Row],[Packing Container]],Containers[Container],Containers[Cost])</f>
        <v>2.16</v>
      </c>
      <c r="L134">
        <v>0</v>
      </c>
      <c r="M134">
        <v>1</v>
      </c>
      <c r="N134">
        <f>IF(Products[[#This Row],[Unit]]="Bunch",10,0)</f>
        <v>0</v>
      </c>
      <c r="O134">
        <f>37*5</f>
        <v>185</v>
      </c>
      <c r="P134">
        <f>CrateHaulTime/Products[[#This Row],[Per Crate]]</f>
        <v>7.5</v>
      </c>
      <c r="Q134">
        <f>_xlfn.XLOOKUP(Products[[#This Row],[Wash Type]],Table9[Wash Type],Table9[Seconds])*Products[[#This Row],[Wash Factor]]</f>
        <v>0</v>
      </c>
      <c r="R134">
        <v>0</v>
      </c>
      <c r="S134">
        <v>0</v>
      </c>
      <c r="T134">
        <v>0</v>
      </c>
      <c r="U134">
        <v>0</v>
      </c>
      <c r="V134">
        <v>0</v>
      </c>
      <c r="W134">
        <f>MarketHaulTime/CratesPerMarketLoad/Products[[#This Row],[Per Crate]]</f>
        <v>18.75</v>
      </c>
      <c r="X134" t="s">
        <v>2484</v>
      </c>
      <c r="AG134" s="184"/>
      <c r="AH134" s="184"/>
      <c r="AI134" s="184"/>
      <c r="AJ134" s="184"/>
      <c r="AK134" s="184"/>
      <c r="AL134" s="184"/>
      <c r="AM134" s="184"/>
      <c r="AN134" s="184"/>
      <c r="AO134" s="184"/>
      <c r="AP134" s="184"/>
      <c r="AQ134" s="184"/>
      <c r="AR134" s="184"/>
      <c r="AS134" s="184"/>
      <c r="AW134">
        <v>1</v>
      </c>
      <c r="AX134">
        <v>1</v>
      </c>
      <c r="AY134">
        <f>Products[[#This Row],[CSA Portion]]*Products[[#This Row],[CSA Times]]</f>
        <v>1</v>
      </c>
      <c r="AZ134">
        <v>5</v>
      </c>
      <c r="BA134">
        <f>Products[[#This Row],[CSA Need]]*Products[[#This Row],[Market Price]]</f>
        <v>5</v>
      </c>
    </row>
    <row r="135" spans="1:53">
      <c r="A135" t="str">
        <f>Products[[#This Row],[Crop]]&amp;Products[[#This Row],[Product]]&amp;Products[[#This Row],[Unit]]</f>
        <v>RaspberryRed Berry1/2 Pint</v>
      </c>
      <c r="B135" t="s">
        <v>2547</v>
      </c>
      <c r="C135" t="s">
        <v>2558</v>
      </c>
      <c r="D135" t="s">
        <v>2548</v>
      </c>
      <c r="E135" t="b">
        <v>1</v>
      </c>
      <c r="F135" t="s">
        <v>474</v>
      </c>
      <c r="G135">
        <v>1</v>
      </c>
      <c r="H135">
        <v>12</v>
      </c>
      <c r="I135">
        <v>6</v>
      </c>
      <c r="J135" t="s">
        <v>2366</v>
      </c>
      <c r="K135">
        <f>_xlfn.XLOOKUP(Products[[#This Row],[Packing Container]],Containers[Container],Containers[Cost])</f>
        <v>2.16</v>
      </c>
      <c r="L135">
        <v>0</v>
      </c>
      <c r="M135">
        <v>1</v>
      </c>
      <c r="N135">
        <f>IF(Products[[#This Row],[Unit]]="Bunch",10,0)</f>
        <v>0</v>
      </c>
      <c r="O135">
        <f>37*5</f>
        <v>185</v>
      </c>
      <c r="P135">
        <f>CrateHaulTime/Products[[#This Row],[Per Crate]]</f>
        <v>7.5</v>
      </c>
      <c r="Q135">
        <f>_xlfn.XLOOKUP(Products[[#This Row],[Wash Type]],Table9[Wash Type],Table9[Seconds])*Products[[#This Row],[Wash Factor]]</f>
        <v>0</v>
      </c>
      <c r="R135">
        <v>0</v>
      </c>
      <c r="S135">
        <v>0</v>
      </c>
      <c r="T135">
        <v>0</v>
      </c>
      <c r="U135">
        <v>0</v>
      </c>
      <c r="V135">
        <v>0</v>
      </c>
      <c r="W135">
        <f>MarketHaulTime/CratesPerMarketLoad/Products[[#This Row],[Per Crate]]</f>
        <v>18.75</v>
      </c>
      <c r="X135" t="s">
        <v>2484</v>
      </c>
      <c r="AG135" s="184"/>
      <c r="AH135" s="184"/>
      <c r="AI135" s="184"/>
      <c r="AJ135" s="184"/>
      <c r="AK135" s="184"/>
      <c r="AL135" s="184"/>
      <c r="AM135" s="184"/>
      <c r="AN135" s="184"/>
      <c r="AO135" s="184"/>
      <c r="AP135" s="184"/>
      <c r="AQ135" s="184"/>
      <c r="AR135" s="184"/>
      <c r="AS135" s="184"/>
      <c r="AW135">
        <v>1</v>
      </c>
      <c r="AX135">
        <v>1</v>
      </c>
      <c r="AY135">
        <f>Products[[#This Row],[CSA Portion]]*Products[[#This Row],[CSA Times]]</f>
        <v>1</v>
      </c>
      <c r="AZ135">
        <v>5</v>
      </c>
      <c r="BA135">
        <f>Products[[#This Row],[CSA Need]]*Products[[#This Row],[Market Price]]</f>
        <v>5</v>
      </c>
    </row>
    <row r="136" spans="1:53" hidden="1">
      <c r="A136" t="str">
        <f>Products[[#This Row],[Crop]]&amp;Products[[#This Row],[Product]]&amp;Products[[#This Row],[Unit]]</f>
        <v>Rat Tail RadishMature PodLb</v>
      </c>
      <c r="B136" t="s">
        <v>117</v>
      </c>
      <c r="C136" t="s">
        <v>192</v>
      </c>
      <c r="D136" t="s">
        <v>383</v>
      </c>
      <c r="E136" t="b">
        <v>1</v>
      </c>
      <c r="F136" t="s">
        <v>474</v>
      </c>
      <c r="G136">
        <v>1</v>
      </c>
      <c r="H136">
        <v>35</v>
      </c>
      <c r="I136">
        <v>25</v>
      </c>
      <c r="J136" t="s">
        <v>2368</v>
      </c>
      <c r="K136">
        <f>_xlfn.XLOOKUP(Products[[#This Row],[Packing Container]],Containers[Container],Containers[Cost])</f>
        <v>3.8</v>
      </c>
      <c r="M136">
        <v>5</v>
      </c>
      <c r="N136">
        <f>IF(Products[[#This Row],[Unit]]="Bunch",10,0)</f>
        <v>0</v>
      </c>
      <c r="O136">
        <f>20*4</f>
        <v>80</v>
      </c>
      <c r="P136">
        <f>CrateHaulTime/Products[[#This Row],[Per Crate]]</f>
        <v>2.5714285714285716</v>
      </c>
      <c r="Q136">
        <f>_xlfn.XLOOKUP(Products[[#This Row],[Wash Type]],Table9[Wash Type],Table9[Seconds])*Products[[#This Row],[Wash Factor]]</f>
        <v>0</v>
      </c>
      <c r="R136">
        <v>0</v>
      </c>
      <c r="S136">
        <v>0</v>
      </c>
      <c r="T136">
        <v>3</v>
      </c>
      <c r="U136">
        <v>0</v>
      </c>
      <c r="V136">
        <v>0</v>
      </c>
      <c r="W136">
        <f>MarketHaulTime/CratesPerMarketLoad/Products[[#This Row],[Per Crate]]</f>
        <v>6.4285714285714288</v>
      </c>
      <c r="X136" t="s">
        <v>2483</v>
      </c>
      <c r="Y136" s="184"/>
      <c r="Z136" s="184"/>
      <c r="AA136" s="184"/>
      <c r="AB136" s="184"/>
      <c r="AC136" s="184"/>
      <c r="AD136" s="184"/>
      <c r="AE136" s="184"/>
      <c r="AF136" s="184"/>
      <c r="AG136" s="207"/>
      <c r="AH136" s="184"/>
      <c r="AI136" s="184"/>
      <c r="AJ136" s="184"/>
      <c r="AK136" s="184"/>
      <c r="AL136" s="184"/>
      <c r="AM136" s="184"/>
      <c r="AN136" s="184"/>
      <c r="AO136" s="207"/>
      <c r="AP136" s="184"/>
      <c r="AQ136" s="184"/>
      <c r="AR136" s="184"/>
      <c r="AS136" s="184"/>
      <c r="AT136" s="184"/>
      <c r="AU136" s="184"/>
      <c r="AV136" s="184"/>
      <c r="AY136">
        <f>Products[[#This Row],[CSA Portion]]*Products[[#This Row],[CSA Times]]</f>
        <v>0</v>
      </c>
      <c r="BA136">
        <f>Products[[#This Row],[CSA Need]]*Products[[#This Row],[Market Price]]</f>
        <v>0</v>
      </c>
    </row>
    <row r="137" spans="1:53" hidden="1">
      <c r="A137" t="str">
        <f>Products[[#This Row],[Crop]]&amp;Products[[#This Row],[Product]]&amp;Products[[#This Row],[Unit]]</f>
        <v>RoselleMature Leaflb</v>
      </c>
      <c r="B137" t="s">
        <v>1715</v>
      </c>
      <c r="C137" t="s">
        <v>179</v>
      </c>
      <c r="D137" t="s">
        <v>397</v>
      </c>
      <c r="E137" t="b">
        <v>1</v>
      </c>
      <c r="F137" t="s">
        <v>474</v>
      </c>
      <c r="G137">
        <v>1</v>
      </c>
      <c r="H137">
        <v>10</v>
      </c>
      <c r="I137">
        <v>10</v>
      </c>
      <c r="J137" t="s">
        <v>2368</v>
      </c>
      <c r="K137">
        <f>_xlfn.XLOOKUP(Products[[#This Row],[Packing Container]],Containers[Container],Containers[Cost])</f>
        <v>3.8</v>
      </c>
      <c r="M137">
        <v>5</v>
      </c>
      <c r="N137">
        <f>IF(Products[[#This Row],[Unit]]="Bunch",10,0)</f>
        <v>0</v>
      </c>
      <c r="O137">
        <f>50*3</f>
        <v>150</v>
      </c>
      <c r="P137">
        <f>CrateHaulTime/Products[[#This Row],[Per Crate]]</f>
        <v>9</v>
      </c>
      <c r="Q137">
        <f>_xlfn.XLOOKUP(Products[[#This Row],[Wash Type]],Table9[Wash Type],Table9[Seconds])*Products[[#This Row],[Wash Factor]]</f>
        <v>0</v>
      </c>
      <c r="R137">
        <v>0</v>
      </c>
      <c r="S137">
        <v>0</v>
      </c>
      <c r="T137">
        <v>3</v>
      </c>
      <c r="U137">
        <v>0</v>
      </c>
      <c r="V137">
        <v>0</v>
      </c>
      <c r="W137">
        <f>MarketHaulTime/CratesPerMarketLoad/Products[[#This Row],[Per Crate]]</f>
        <v>22.5</v>
      </c>
      <c r="X137" t="s">
        <v>2483</v>
      </c>
      <c r="AG137" s="207"/>
      <c r="AO137" s="207"/>
      <c r="AP137" s="184"/>
      <c r="AQ137" s="184"/>
      <c r="AR137" s="184"/>
      <c r="AS137" s="184"/>
      <c r="AT137" s="184"/>
      <c r="AU137" s="184"/>
      <c r="AV137" s="184"/>
      <c r="AY137">
        <f>Products[[#This Row],[CSA Portion]]*Products[[#This Row],[CSA Times]]</f>
        <v>0</v>
      </c>
      <c r="BA137">
        <f>Products[[#This Row],[CSA Need]]*Products[[#This Row],[Market Price]]</f>
        <v>0</v>
      </c>
    </row>
    <row r="138" spans="1:53" hidden="1">
      <c r="A138" t="str">
        <f>Products[[#This Row],[Crop]]&amp;Products[[#This Row],[Product]]&amp;Products[[#This Row],[Unit]]</f>
        <v>RoseMature StemStem</v>
      </c>
      <c r="B138" t="s">
        <v>2408</v>
      </c>
      <c r="C138" t="s">
        <v>181</v>
      </c>
      <c r="D138" t="s">
        <v>213</v>
      </c>
      <c r="E138" t="b">
        <v>0</v>
      </c>
      <c r="F138" t="s">
        <v>474</v>
      </c>
      <c r="G138">
        <v>1</v>
      </c>
      <c r="H138">
        <v>35</v>
      </c>
      <c r="I138">
        <v>35</v>
      </c>
      <c r="J138" t="s">
        <v>2367</v>
      </c>
      <c r="K138">
        <f>_xlfn.XLOOKUP(Products[[#This Row],[Packing Container]],Containers[Container],Containers[Cost])</f>
        <v>4</v>
      </c>
      <c r="M138">
        <v>6</v>
      </c>
      <c r="N138">
        <f>IF(Products[[#This Row],[Unit]]="Bunch",10,0)</f>
        <v>0</v>
      </c>
      <c r="O138">
        <v>15</v>
      </c>
      <c r="P138">
        <f>CrateHaulTime/Products[[#This Row],[Per Crate]]</f>
        <v>2.5714285714285716</v>
      </c>
      <c r="Q138">
        <f>_xlfn.XLOOKUP(Products[[#This Row],[Wash Type]],Table9[Wash Type],Table9[Seconds])*Products[[#This Row],[Wash Factor]]</f>
        <v>0</v>
      </c>
      <c r="R138">
        <v>0</v>
      </c>
      <c r="S138">
        <v>15</v>
      </c>
      <c r="T138">
        <v>3</v>
      </c>
      <c r="U138">
        <v>0</v>
      </c>
      <c r="V138">
        <v>0</v>
      </c>
      <c r="W138">
        <f>MarketHaulTime/CratesPerMarketLoad/Products[[#This Row],[Per Crate]]</f>
        <v>6.4285714285714288</v>
      </c>
      <c r="X138" t="s">
        <v>2482</v>
      </c>
      <c r="AY138">
        <f>Products[[#This Row],[CSA Portion]]*Products[[#This Row],[CSA Times]]</f>
        <v>0</v>
      </c>
      <c r="BA138">
        <f>Products[[#This Row],[CSA Need]]*Products[[#This Row],[Market Price]]</f>
        <v>0</v>
      </c>
    </row>
    <row r="139" spans="1:53" hidden="1">
      <c r="A139" t="str">
        <f>Products[[#This Row],[Crop]]&amp;Products[[#This Row],[Product]]&amp;Products[[#This Row],[Unit]]</f>
        <v>RubeckiaMature StemStem</v>
      </c>
      <c r="B139" t="s">
        <v>140</v>
      </c>
      <c r="C139" t="s">
        <v>181</v>
      </c>
      <c r="D139" t="s">
        <v>213</v>
      </c>
      <c r="E139" t="b">
        <v>1</v>
      </c>
      <c r="F139" t="s">
        <v>474</v>
      </c>
      <c r="G139">
        <v>1</v>
      </c>
      <c r="H139">
        <v>50</v>
      </c>
      <c r="I139">
        <v>50</v>
      </c>
      <c r="J139" t="s">
        <v>2367</v>
      </c>
      <c r="K139">
        <f>_xlfn.XLOOKUP(Products[[#This Row],[Packing Container]],Containers[Container],Containers[Cost])</f>
        <v>4</v>
      </c>
      <c r="M139">
        <v>6</v>
      </c>
      <c r="N139">
        <f>IF(Products[[#This Row],[Unit]]="Bunch",10,0)</f>
        <v>0</v>
      </c>
      <c r="O139">
        <v>5</v>
      </c>
      <c r="P139">
        <f>CrateHaulTime/Products[[#This Row],[Per Crate]]</f>
        <v>1.8</v>
      </c>
      <c r="Q139">
        <f>_xlfn.XLOOKUP(Products[[#This Row],[Wash Type]],Table9[Wash Type],Table9[Seconds])*Products[[#This Row],[Wash Factor]]</f>
        <v>0</v>
      </c>
      <c r="R139">
        <v>0</v>
      </c>
      <c r="T139">
        <v>3</v>
      </c>
      <c r="U139">
        <v>0</v>
      </c>
      <c r="V139">
        <v>0</v>
      </c>
      <c r="W139">
        <f>MarketHaulTime/CratesPerMarketLoad/Products[[#This Row],[Per Crate]]</f>
        <v>4.5</v>
      </c>
      <c r="X139" t="s">
        <v>2482</v>
      </c>
      <c r="AY139">
        <f>Products[[#This Row],[CSA Portion]]*Products[[#This Row],[CSA Times]]</f>
        <v>0</v>
      </c>
      <c r="BA139">
        <f>Products[[#This Row],[CSA Need]]*Products[[#This Row],[Market Price]]</f>
        <v>0</v>
      </c>
    </row>
    <row r="140" spans="1:53" hidden="1">
      <c r="A140" t="str">
        <f>Products[[#This Row],[Crop]]&amp;Products[[#This Row],[Product]]&amp;Products[[#This Row],[Unit]]</f>
        <v>RutabagaMature RootRoot</v>
      </c>
      <c r="B140" t="s">
        <v>118</v>
      </c>
      <c r="C140" t="s">
        <v>185</v>
      </c>
      <c r="D140" t="s">
        <v>443</v>
      </c>
      <c r="E140" t="b">
        <v>1</v>
      </c>
      <c r="F140" t="s">
        <v>443</v>
      </c>
      <c r="G140">
        <v>3</v>
      </c>
      <c r="H140">
        <v>40</v>
      </c>
      <c r="I140">
        <v>25</v>
      </c>
      <c r="J140" t="s">
        <v>2368</v>
      </c>
      <c r="K140">
        <f>_xlfn.XLOOKUP(Products[[#This Row],[Packing Container]],Containers[Container],Containers[Cost])</f>
        <v>3.8</v>
      </c>
      <c r="M140">
        <v>4</v>
      </c>
      <c r="N140">
        <f>IF(Products[[#This Row],[Unit]]="Bunch",10,0)</f>
        <v>0</v>
      </c>
      <c r="O140">
        <v>10</v>
      </c>
      <c r="P140">
        <f>CrateHaulTime/Products[[#This Row],[Per Crate]]</f>
        <v>2.25</v>
      </c>
      <c r="Q140">
        <f>_xlfn.XLOOKUP(Products[[#This Row],[Wash Type]],Table9[Wash Type],Table9[Seconds])*Products[[#This Row],[Wash Factor]]</f>
        <v>15</v>
      </c>
      <c r="R140">
        <v>0</v>
      </c>
      <c r="S140">
        <v>5</v>
      </c>
      <c r="T140">
        <v>3</v>
      </c>
      <c r="U140">
        <v>0</v>
      </c>
      <c r="V140">
        <v>0</v>
      </c>
      <c r="W140">
        <f>MarketHaulTime/CratesPerMarketLoad/Products[[#This Row],[Per Crate]]</f>
        <v>5.625</v>
      </c>
      <c r="X140" t="s">
        <v>2483</v>
      </c>
      <c r="AG140" s="207"/>
      <c r="AO140" s="207"/>
      <c r="AS140" s="184"/>
      <c r="AT140" s="184"/>
      <c r="AU140" s="184"/>
      <c r="AV140" s="184"/>
      <c r="AY140">
        <f>Products[[#This Row],[CSA Portion]]*Products[[#This Row],[CSA Times]]</f>
        <v>0</v>
      </c>
      <c r="BA140">
        <f>Products[[#This Row],[CSA Need]]*Products[[#This Row],[Market Price]]</f>
        <v>0</v>
      </c>
    </row>
    <row r="141" spans="1:53" hidden="1">
      <c r="A141" t="str">
        <f>Products[[#This Row],[Crop]]&amp;Products[[#This Row],[Product]]&amp;Products[[#This Row],[Unit]]</f>
        <v>SalsolaMature LeafBunch</v>
      </c>
      <c r="B141" t="s">
        <v>409</v>
      </c>
      <c r="C141" t="s">
        <v>179</v>
      </c>
      <c r="D141" t="s">
        <v>215</v>
      </c>
      <c r="E141" t="b">
        <v>0</v>
      </c>
      <c r="F141" t="s">
        <v>474</v>
      </c>
      <c r="G141">
        <v>1</v>
      </c>
      <c r="H141">
        <v>20</v>
      </c>
      <c r="I141">
        <v>20</v>
      </c>
      <c r="J141" s="196" t="s">
        <v>2368</v>
      </c>
      <c r="K141">
        <f>_xlfn.XLOOKUP(Products[[#This Row],[Packing Container]],Containers[Container],Containers[Cost])</f>
        <v>3.8</v>
      </c>
      <c r="M141">
        <v>5</v>
      </c>
      <c r="N141">
        <f>IF(Products[[#This Row],[Unit]]="Bunch",10,0)</f>
        <v>10</v>
      </c>
      <c r="O141">
        <v>30</v>
      </c>
      <c r="P141">
        <f>CrateHaulTime/Products[[#This Row],[Per Crate]]</f>
        <v>4.5</v>
      </c>
      <c r="Q141">
        <f>_xlfn.XLOOKUP(Products[[#This Row],[Wash Type]],Table9[Wash Type],Table9[Seconds])*Products[[#This Row],[Wash Factor]]</f>
        <v>0</v>
      </c>
      <c r="R141">
        <v>0</v>
      </c>
      <c r="S141">
        <v>15</v>
      </c>
      <c r="T141">
        <v>3</v>
      </c>
      <c r="U141">
        <v>0</v>
      </c>
      <c r="V141">
        <v>0</v>
      </c>
      <c r="W141">
        <f>MarketHaulTime/CratesPerMarketLoad/Products[[#This Row],[Per Crate]]</f>
        <v>11.25</v>
      </c>
      <c r="X141" t="s">
        <v>2482</v>
      </c>
      <c r="AY141">
        <f>Products[[#This Row],[CSA Portion]]*Products[[#This Row],[CSA Times]]</f>
        <v>0</v>
      </c>
      <c r="BA141">
        <f>Products[[#This Row],[CSA Need]]*Products[[#This Row],[Market Price]]</f>
        <v>0</v>
      </c>
    </row>
    <row r="142" spans="1:53" hidden="1">
      <c r="A142" t="str">
        <f>Products[[#This Row],[Crop]]&amp;Products[[#This Row],[Product]]&amp;Products[[#This Row],[Unit]]</f>
        <v>SalsolaMature LeafLb</v>
      </c>
      <c r="B142" t="s">
        <v>409</v>
      </c>
      <c r="C142" t="s">
        <v>179</v>
      </c>
      <c r="D142" t="s">
        <v>383</v>
      </c>
      <c r="E142" t="b">
        <v>0</v>
      </c>
      <c r="F142" t="s">
        <v>474</v>
      </c>
      <c r="G142">
        <v>1</v>
      </c>
      <c r="H142">
        <v>10</v>
      </c>
      <c r="I142">
        <v>10</v>
      </c>
      <c r="J142" s="196" t="s">
        <v>2368</v>
      </c>
      <c r="K142">
        <f>_xlfn.XLOOKUP(Products[[#This Row],[Packing Container]],Containers[Container],Containers[Cost])</f>
        <v>3.8</v>
      </c>
      <c r="M142">
        <v>5</v>
      </c>
      <c r="N142">
        <f>IF(Products[[#This Row],[Unit]]="Bunch",10,0)</f>
        <v>0</v>
      </c>
      <c r="O142">
        <v>300</v>
      </c>
      <c r="P142">
        <f>CrateHaulTime/Products[[#This Row],[Per Crate]]</f>
        <v>9</v>
      </c>
      <c r="Q142">
        <f>_xlfn.XLOOKUP(Products[[#This Row],[Wash Type]],Table9[Wash Type],Table9[Seconds])*Products[[#This Row],[Wash Factor]]</f>
        <v>0</v>
      </c>
      <c r="R142">
        <v>0</v>
      </c>
      <c r="S142">
        <v>0</v>
      </c>
      <c r="T142">
        <v>3</v>
      </c>
      <c r="U142">
        <v>0</v>
      </c>
      <c r="V142">
        <v>0</v>
      </c>
      <c r="W142">
        <f>MarketHaulTime/CratesPerMarketLoad/Products[[#This Row],[Per Crate]]</f>
        <v>22.5</v>
      </c>
      <c r="X142" t="s">
        <v>2482</v>
      </c>
      <c r="AY142">
        <f>Products[[#This Row],[CSA Portion]]*Products[[#This Row],[CSA Times]]</f>
        <v>0</v>
      </c>
      <c r="BA142">
        <f>Products[[#This Row],[CSA Need]]*Products[[#This Row],[Market Price]]</f>
        <v>0</v>
      </c>
    </row>
    <row r="143" spans="1:53" hidden="1">
      <c r="A143" t="str">
        <f>Products[[#This Row],[Crop]]&amp;Products[[#This Row],[Product]]&amp;Products[[#This Row],[Unit]]</f>
        <v>ScabiosaMature StemStem</v>
      </c>
      <c r="B143" t="s">
        <v>1769</v>
      </c>
      <c r="C143" t="s">
        <v>181</v>
      </c>
      <c r="D143" t="s">
        <v>213</v>
      </c>
      <c r="E143" t="b">
        <v>1</v>
      </c>
      <c r="F143" t="s">
        <v>474</v>
      </c>
      <c r="G143">
        <v>1</v>
      </c>
      <c r="H143">
        <v>80</v>
      </c>
      <c r="I143">
        <v>80</v>
      </c>
      <c r="J143" t="s">
        <v>2367</v>
      </c>
      <c r="K143">
        <f>_xlfn.XLOOKUP(Products[[#This Row],[Packing Container]],Containers[Container],Containers[Cost])</f>
        <v>4</v>
      </c>
      <c r="M143">
        <v>6</v>
      </c>
      <c r="N143">
        <f>IF(Products[[#This Row],[Unit]]="Bunch",10,0)</f>
        <v>0</v>
      </c>
      <c r="O143">
        <v>5</v>
      </c>
      <c r="P143">
        <f>CrateHaulTime/Products[[#This Row],[Per Crate]]</f>
        <v>1.125</v>
      </c>
      <c r="Q143">
        <f>_xlfn.XLOOKUP(Products[[#This Row],[Wash Type]],Table9[Wash Type],Table9[Seconds])*Products[[#This Row],[Wash Factor]]</f>
        <v>0</v>
      </c>
      <c r="R143">
        <v>0</v>
      </c>
      <c r="S143">
        <v>3</v>
      </c>
      <c r="T143">
        <v>3</v>
      </c>
      <c r="U143">
        <v>0</v>
      </c>
      <c r="V143">
        <v>0</v>
      </c>
      <c r="W143">
        <f>MarketHaulTime/CratesPerMarketLoad/Products[[#This Row],[Per Crate]]</f>
        <v>2.8125</v>
      </c>
      <c r="X143" t="s">
        <v>2482</v>
      </c>
      <c r="AY143">
        <f>Products[[#This Row],[CSA Portion]]*Products[[#This Row],[CSA Times]]</f>
        <v>0</v>
      </c>
      <c r="BA143">
        <f>Products[[#This Row],[CSA Need]]*Products[[#This Row],[Market Price]]</f>
        <v>0</v>
      </c>
    </row>
    <row r="144" spans="1:53">
      <c r="A144" t="str">
        <f>Products[[#This Row],[Crop]]&amp;Products[[#This Row],[Product]]&amp;Products[[#This Row],[Unit]]</f>
        <v>ScallionYoung StalkBunch</v>
      </c>
      <c r="B144" t="s">
        <v>119</v>
      </c>
      <c r="C144" t="s">
        <v>207</v>
      </c>
      <c r="D144" t="s">
        <v>215</v>
      </c>
      <c r="E144" t="b">
        <v>1</v>
      </c>
      <c r="F144" t="s">
        <v>443</v>
      </c>
      <c r="G144">
        <v>2</v>
      </c>
      <c r="H144">
        <v>36</v>
      </c>
      <c r="I144">
        <v>36</v>
      </c>
      <c r="J144" t="s">
        <v>2368</v>
      </c>
      <c r="K144">
        <f>_xlfn.XLOOKUP(Products[[#This Row],[Packing Container]],Containers[Container],Containers[Cost])</f>
        <v>3.8</v>
      </c>
      <c r="L144">
        <v>7</v>
      </c>
      <c r="M144">
        <v>2</v>
      </c>
      <c r="N144">
        <f>IF(Products[[#This Row],[Unit]]="Bunch",10,0)</f>
        <v>10</v>
      </c>
      <c r="O144">
        <f>30</f>
        <v>30</v>
      </c>
      <c r="P144">
        <f>CrateHaulTime/Products[[#This Row],[Per Crate]]</f>
        <v>2.5</v>
      </c>
      <c r="Q144">
        <f>_xlfn.XLOOKUP(Products[[#This Row],[Wash Type]],Table9[Wash Type],Table9[Seconds])*Products[[#This Row],[Wash Factor]]</f>
        <v>10</v>
      </c>
      <c r="R144">
        <v>0</v>
      </c>
      <c r="S144">
        <v>0</v>
      </c>
      <c r="T144">
        <v>3</v>
      </c>
      <c r="U144">
        <v>0</v>
      </c>
      <c r="V144">
        <v>0</v>
      </c>
      <c r="W144">
        <f>MarketHaulTime/CratesPerMarketLoad/Products[[#This Row],[Per Crate]]</f>
        <v>6.25</v>
      </c>
      <c r="X144" t="s">
        <v>2484</v>
      </c>
      <c r="Y144" s="184"/>
      <c r="Z144" s="184"/>
      <c r="AA144" s="184"/>
      <c r="AB144" s="184"/>
      <c r="AC144" s="184"/>
      <c r="AD144" s="184"/>
      <c r="AE144" s="184"/>
      <c r="AF144" s="184"/>
      <c r="AG144" s="207"/>
      <c r="AH144" s="184"/>
      <c r="AI144" s="184"/>
      <c r="AJ144" s="184"/>
      <c r="AK144" s="184"/>
      <c r="AL144" s="184"/>
      <c r="AM144" s="184"/>
      <c r="AN144" s="184"/>
      <c r="AO144" s="207"/>
      <c r="AP144" s="184"/>
      <c r="AQ144" s="184"/>
      <c r="AR144" s="184"/>
      <c r="AS144" s="184"/>
      <c r="AT144" s="184"/>
      <c r="AU144" s="184"/>
      <c r="AV144" s="184"/>
      <c r="AW144">
        <v>1</v>
      </c>
      <c r="AX144">
        <v>5</v>
      </c>
      <c r="AY144">
        <f>Products[[#This Row],[CSA Portion]]*Products[[#This Row],[CSA Times]]</f>
        <v>5</v>
      </c>
      <c r="AZ144">
        <v>3</v>
      </c>
      <c r="BA144">
        <f>Products[[#This Row],[CSA Need]]*Products[[#This Row],[Market Price]]</f>
        <v>15</v>
      </c>
    </row>
    <row r="145" spans="1:54">
      <c r="A145" t="str">
        <f>Products[[#This Row],[Crop]]&amp;Products[[#This Row],[Product]]&amp;Products[[#This Row],[Unit]]</f>
        <v>SquashStorageLb</v>
      </c>
      <c r="B145" t="s">
        <v>124</v>
      </c>
      <c r="C145" t="s">
        <v>208</v>
      </c>
      <c r="D145" t="s">
        <v>383</v>
      </c>
      <c r="E145" t="b">
        <v>1</v>
      </c>
      <c r="F145" t="s">
        <v>474</v>
      </c>
      <c r="G145">
        <v>1</v>
      </c>
      <c r="H145">
        <v>40</v>
      </c>
      <c r="I145">
        <v>25</v>
      </c>
      <c r="J145" t="s">
        <v>2368</v>
      </c>
      <c r="K145">
        <f>_xlfn.XLOOKUP(Products[[#This Row],[Packing Container]],Containers[Container],Containers[Cost])</f>
        <v>3.8</v>
      </c>
      <c r="L145">
        <v>7</v>
      </c>
      <c r="M145">
        <v>2</v>
      </c>
      <c r="N145">
        <f>IF(Products[[#This Row],[Unit]]="Bunch",10,0)</f>
        <v>0</v>
      </c>
      <c r="O145">
        <v>10</v>
      </c>
      <c r="P145">
        <f>CrateHaulTime/Products[[#This Row],[Per Crate]]</f>
        <v>2.25</v>
      </c>
      <c r="Q145">
        <f>_xlfn.XLOOKUP(Products[[#This Row],[Wash Type]],Table9[Wash Type],Table9[Seconds])*Products[[#This Row],[Wash Factor]]</f>
        <v>0</v>
      </c>
      <c r="R145">
        <v>0</v>
      </c>
      <c r="S145">
        <v>0</v>
      </c>
      <c r="T145">
        <v>3</v>
      </c>
      <c r="U145">
        <v>0</v>
      </c>
      <c r="V145">
        <v>0</v>
      </c>
      <c r="W145">
        <f>MarketHaulTime/CratesPerMarketLoad/Products[[#This Row],[Per Crate]]</f>
        <v>5.625</v>
      </c>
      <c r="X145" t="s">
        <v>2484</v>
      </c>
      <c r="AG145" s="207"/>
      <c r="AO145" s="207"/>
      <c r="AQ145" s="184"/>
      <c r="AR145" s="184"/>
      <c r="AS145" s="184"/>
      <c r="AT145" s="184"/>
      <c r="AU145" s="184"/>
      <c r="AV145" s="184"/>
      <c r="AW145">
        <v>3</v>
      </c>
      <c r="AX145">
        <v>1</v>
      </c>
      <c r="AY145">
        <f>Products[[#This Row],[CSA Portion]]*Products[[#This Row],[CSA Times]]</f>
        <v>3</v>
      </c>
      <c r="AZ145">
        <v>2.25</v>
      </c>
      <c r="BA145">
        <f>Products[[#This Row],[CSA Need]]*Products[[#This Row],[Market Price]]</f>
        <v>6.75</v>
      </c>
      <c r="BB145" t="b">
        <v>1</v>
      </c>
    </row>
    <row r="146" spans="1:54" hidden="1">
      <c r="A146" t="str">
        <f>Products[[#This Row],[Crop]]&amp;Products[[#This Row],[Product]]&amp;Products[[#This Row],[Unit]]</f>
        <v>ShallotsMature BulbLb</v>
      </c>
      <c r="B146" t="s">
        <v>120</v>
      </c>
      <c r="C146" t="s">
        <v>198</v>
      </c>
      <c r="D146" t="s">
        <v>383</v>
      </c>
      <c r="E146" t="b">
        <v>1</v>
      </c>
      <c r="F146" t="s">
        <v>443</v>
      </c>
      <c r="G146">
        <v>4</v>
      </c>
      <c r="H146">
        <v>40</v>
      </c>
      <c r="I146">
        <v>25</v>
      </c>
      <c r="J146" t="s">
        <v>2368</v>
      </c>
      <c r="K146">
        <f>_xlfn.XLOOKUP(Products[[#This Row],[Packing Container]],Containers[Container],Containers[Cost])</f>
        <v>3.8</v>
      </c>
      <c r="M146">
        <v>3</v>
      </c>
      <c r="N146">
        <f>IF(Products[[#This Row],[Unit]]="Bunch",10,0)</f>
        <v>0</v>
      </c>
      <c r="O146">
        <v>60</v>
      </c>
      <c r="P146">
        <f>CrateHaulTime/Products[[#This Row],[Per Crate]]</f>
        <v>2.25</v>
      </c>
      <c r="Q146">
        <f>_xlfn.XLOOKUP(Products[[#This Row],[Wash Type]],Table9[Wash Type],Table9[Seconds])*Products[[#This Row],[Wash Factor]]</f>
        <v>20</v>
      </c>
      <c r="R146">
        <v>0</v>
      </c>
      <c r="S146">
        <v>60</v>
      </c>
      <c r="T146">
        <v>3</v>
      </c>
      <c r="U146">
        <v>0</v>
      </c>
      <c r="V146">
        <v>0</v>
      </c>
      <c r="W146">
        <f>MarketHaulTime/CratesPerMarketLoad/Products[[#This Row],[Per Crate]]</f>
        <v>5.625</v>
      </c>
      <c r="X146" t="s">
        <v>2483</v>
      </c>
      <c r="Y146" s="184"/>
      <c r="Z146" s="184"/>
      <c r="AA146" s="184"/>
      <c r="AB146" s="184"/>
      <c r="AC146" s="184"/>
      <c r="AD146" s="184"/>
      <c r="AE146" s="184"/>
      <c r="AF146" s="184"/>
      <c r="AG146" s="207"/>
      <c r="AH146" s="184"/>
      <c r="AI146" s="184"/>
      <c r="AJ146" s="184"/>
      <c r="AK146" s="184"/>
      <c r="AL146" s="184"/>
      <c r="AM146" s="184"/>
      <c r="AN146" s="184"/>
      <c r="AO146" s="207"/>
      <c r="AP146" s="184"/>
      <c r="AQ146" s="184"/>
      <c r="AR146" s="184"/>
      <c r="AS146" s="184"/>
      <c r="AT146" s="184"/>
      <c r="AU146" s="184"/>
      <c r="AV146" s="184"/>
      <c r="AY146">
        <f>Products[[#This Row],[CSA Portion]]*Products[[#This Row],[CSA Times]]</f>
        <v>0</v>
      </c>
      <c r="BA146">
        <f>Products[[#This Row],[CSA Need]]*Products[[#This Row],[Market Price]]</f>
        <v>0</v>
      </c>
    </row>
    <row r="147" spans="1:54" hidden="1">
      <c r="A147" t="str">
        <f>Products[[#This Row],[Crop]]&amp;Products[[#This Row],[Product]]&amp;Products[[#This Row],[Unit]]</f>
        <v>ShisoLoose Leafbunch</v>
      </c>
      <c r="B147" t="s">
        <v>388</v>
      </c>
      <c r="C147" t="s">
        <v>190</v>
      </c>
      <c r="D147" t="s">
        <v>389</v>
      </c>
      <c r="E147" t="b">
        <v>1</v>
      </c>
      <c r="F147" t="s">
        <v>474</v>
      </c>
      <c r="G147">
        <v>1</v>
      </c>
      <c r="H147">
        <v>36</v>
      </c>
      <c r="I147">
        <v>36</v>
      </c>
      <c r="J147" t="s">
        <v>2368</v>
      </c>
      <c r="K147">
        <f>_xlfn.XLOOKUP(Products[[#This Row],[Packing Container]],Containers[Container],Containers[Cost])</f>
        <v>3.8</v>
      </c>
      <c r="M147">
        <v>5</v>
      </c>
      <c r="N147">
        <f>IF(Products[[#This Row],[Unit]]="Bunch",10,0)</f>
        <v>10</v>
      </c>
      <c r="O147">
        <f>16*3</f>
        <v>48</v>
      </c>
      <c r="P147">
        <f>CrateHaulTime/Products[[#This Row],[Per Crate]]</f>
        <v>2.5</v>
      </c>
      <c r="Q147">
        <f>_xlfn.XLOOKUP(Products[[#This Row],[Wash Type]],Table9[Wash Type],Table9[Seconds])*Products[[#This Row],[Wash Factor]]</f>
        <v>0</v>
      </c>
      <c r="R147">
        <v>0</v>
      </c>
      <c r="S147">
        <v>0</v>
      </c>
      <c r="T147">
        <v>3</v>
      </c>
      <c r="U147">
        <v>0</v>
      </c>
      <c r="V147">
        <v>0</v>
      </c>
      <c r="W147">
        <f>MarketHaulTime/CratesPerMarketLoad/Products[[#This Row],[Per Crate]]</f>
        <v>6.25</v>
      </c>
      <c r="X147" t="s">
        <v>2483</v>
      </c>
      <c r="AG147" s="207"/>
      <c r="AH147" s="184"/>
      <c r="AI147" s="184"/>
      <c r="AJ147" s="184"/>
      <c r="AK147" s="184"/>
      <c r="AL147" s="184"/>
      <c r="AM147" s="184"/>
      <c r="AN147" s="184"/>
      <c r="AO147" s="207"/>
      <c r="AP147" s="184"/>
      <c r="AQ147" s="184"/>
      <c r="AR147" s="184"/>
      <c r="AS147" s="184"/>
      <c r="AT147" s="184"/>
      <c r="AU147" s="184"/>
      <c r="AV147" s="184"/>
      <c r="AY147">
        <f>Products[[#This Row],[CSA Portion]]*Products[[#This Row],[CSA Times]]</f>
        <v>0</v>
      </c>
      <c r="BA147">
        <f>Products[[#This Row],[CSA Need]]*Products[[#This Row],[Market Price]]</f>
        <v>0</v>
      </c>
    </row>
    <row r="148" spans="1:54" hidden="1">
      <c r="A148" t="str">
        <f>Products[[#This Row],[Crop]]&amp;Products[[#This Row],[Product]]&amp;Products[[#This Row],[Unit]]</f>
        <v>SnapdragonsMature StemStem</v>
      </c>
      <c r="B148" t="s">
        <v>121</v>
      </c>
      <c r="C148" t="s">
        <v>181</v>
      </c>
      <c r="D148" t="s">
        <v>213</v>
      </c>
      <c r="E148" t="b">
        <v>1</v>
      </c>
      <c r="F148" t="s">
        <v>474</v>
      </c>
      <c r="G148">
        <v>1</v>
      </c>
      <c r="H148">
        <v>80</v>
      </c>
      <c r="I148">
        <v>80</v>
      </c>
      <c r="J148" t="s">
        <v>2367</v>
      </c>
      <c r="K148">
        <f>_xlfn.XLOOKUP(Products[[#This Row],[Packing Container]],Containers[Container],Containers[Cost])</f>
        <v>4</v>
      </c>
      <c r="M148">
        <v>6</v>
      </c>
      <c r="N148">
        <f>IF(Products[[#This Row],[Unit]]="Bunch",10,0)</f>
        <v>0</v>
      </c>
      <c r="O148">
        <v>10</v>
      </c>
      <c r="P148">
        <f>CrateHaulTime/Products[[#This Row],[Per Crate]]</f>
        <v>1.125</v>
      </c>
      <c r="Q148">
        <f>_xlfn.XLOOKUP(Products[[#This Row],[Wash Type]],Table9[Wash Type],Table9[Seconds])*Products[[#This Row],[Wash Factor]]</f>
        <v>0</v>
      </c>
      <c r="R148">
        <v>0</v>
      </c>
      <c r="S148">
        <v>3</v>
      </c>
      <c r="T148">
        <v>3</v>
      </c>
      <c r="U148">
        <v>0</v>
      </c>
      <c r="V148">
        <v>0</v>
      </c>
      <c r="W148">
        <f>MarketHaulTime/CratesPerMarketLoad/Products[[#This Row],[Per Crate]]</f>
        <v>2.8125</v>
      </c>
      <c r="X148" t="s">
        <v>2482</v>
      </c>
      <c r="AY148">
        <f>Products[[#This Row],[CSA Portion]]*Products[[#This Row],[CSA Times]]</f>
        <v>0</v>
      </c>
      <c r="BA148">
        <f>Products[[#This Row],[CSA Need]]*Products[[#This Row],[Market Price]]</f>
        <v>0</v>
      </c>
    </row>
    <row r="149" spans="1:54" hidden="1">
      <c r="A149" t="str">
        <f>Products[[#This Row],[Crop]]&amp;Products[[#This Row],[Product]]&amp;Products[[#This Row],[Unit]]</f>
        <v>SorrelMature LeafBunch</v>
      </c>
      <c r="B149" t="s">
        <v>122</v>
      </c>
      <c r="C149" t="s">
        <v>179</v>
      </c>
      <c r="D149" t="s">
        <v>215</v>
      </c>
      <c r="E149" t="b">
        <v>1</v>
      </c>
      <c r="F149" t="s">
        <v>474</v>
      </c>
      <c r="G149">
        <v>1</v>
      </c>
      <c r="H149">
        <v>30</v>
      </c>
      <c r="I149">
        <v>30</v>
      </c>
      <c r="J149" t="s">
        <v>2368</v>
      </c>
      <c r="K149">
        <f>_xlfn.XLOOKUP(Products[[#This Row],[Packing Container]],Containers[Container],Containers[Cost])</f>
        <v>3.8</v>
      </c>
      <c r="M149">
        <v>5</v>
      </c>
      <c r="N149">
        <f>IF(Products[[#This Row],[Unit]]="Bunch",10,0)</f>
        <v>10</v>
      </c>
      <c r="O149">
        <v>10</v>
      </c>
      <c r="P149">
        <f>CrateHaulTime/Products[[#This Row],[Per Crate]]</f>
        <v>3</v>
      </c>
      <c r="Q149">
        <f>_xlfn.XLOOKUP(Products[[#This Row],[Wash Type]],Table9[Wash Type],Table9[Seconds])*Products[[#This Row],[Wash Factor]]</f>
        <v>0</v>
      </c>
      <c r="R149">
        <v>10</v>
      </c>
      <c r="S149">
        <v>20</v>
      </c>
      <c r="T149">
        <v>3</v>
      </c>
      <c r="U149">
        <v>0</v>
      </c>
      <c r="V149">
        <v>0</v>
      </c>
      <c r="W149">
        <f>MarketHaulTime/CratesPerMarketLoad/Products[[#This Row],[Per Crate]]</f>
        <v>7.5</v>
      </c>
      <c r="X149" t="s">
        <v>2483</v>
      </c>
      <c r="Y149" s="184"/>
      <c r="Z149" s="184"/>
      <c r="AA149" s="184"/>
      <c r="AB149" s="184"/>
      <c r="AC149" s="184"/>
      <c r="AD149" s="184"/>
      <c r="AE149" s="184"/>
      <c r="AF149" s="184"/>
      <c r="AG149" s="207"/>
      <c r="AH149" s="184"/>
      <c r="AI149" s="184"/>
      <c r="AJ149" s="184"/>
      <c r="AK149" s="184"/>
      <c r="AL149" s="184"/>
      <c r="AM149" s="184"/>
      <c r="AN149" s="184"/>
      <c r="AO149" s="207"/>
      <c r="AP149" s="184"/>
      <c r="AQ149" s="184"/>
      <c r="AR149" s="184"/>
      <c r="AS149" s="184"/>
      <c r="AT149" s="184"/>
      <c r="AU149" s="184"/>
      <c r="AV149" s="184"/>
      <c r="AY149">
        <f>Products[[#This Row],[CSA Portion]]*Products[[#This Row],[CSA Times]]</f>
        <v>0</v>
      </c>
      <c r="BA149">
        <f>Products[[#This Row],[CSA Need]]*Products[[#This Row],[Market Price]]</f>
        <v>0</v>
      </c>
    </row>
    <row r="150" spans="1:54" hidden="1">
      <c r="A150" t="str">
        <f>Products[[#This Row],[Crop]]&amp;Products[[#This Row],[Product]]&amp;Products[[#This Row],[Unit]]</f>
        <v>SpinachBaby LeafLb</v>
      </c>
      <c r="B150" t="s">
        <v>123</v>
      </c>
      <c r="C150" t="s">
        <v>182</v>
      </c>
      <c r="D150" t="s">
        <v>383</v>
      </c>
      <c r="E150" t="b">
        <v>1</v>
      </c>
      <c r="F150" t="s">
        <v>474</v>
      </c>
      <c r="G150">
        <v>1</v>
      </c>
      <c r="H150">
        <v>10</v>
      </c>
      <c r="I150">
        <v>10</v>
      </c>
      <c r="J150" t="s">
        <v>2368</v>
      </c>
      <c r="K150">
        <f>_xlfn.XLOOKUP(Products[[#This Row],[Packing Container]],Containers[Container],Containers[Cost])</f>
        <v>3.8</v>
      </c>
      <c r="M150">
        <v>2</v>
      </c>
      <c r="N150">
        <f>IF(Products[[#This Row],[Unit]]="Bunch",10,0)</f>
        <v>0</v>
      </c>
      <c r="O150">
        <v>300</v>
      </c>
      <c r="P150">
        <f>CrateHaulTime/Products[[#This Row],[Per Crate]]</f>
        <v>9</v>
      </c>
      <c r="Q150">
        <f>_xlfn.XLOOKUP(Products[[#This Row],[Wash Type]],Table9[Wash Type],Table9[Seconds])*Products[[#This Row],[Wash Factor]]</f>
        <v>0</v>
      </c>
      <c r="R150">
        <v>0</v>
      </c>
      <c r="S150">
        <v>0</v>
      </c>
      <c r="T150">
        <v>3</v>
      </c>
      <c r="U150">
        <v>0</v>
      </c>
      <c r="V150">
        <v>0</v>
      </c>
      <c r="W150">
        <f>MarketHaulTime/CratesPerMarketLoad/Products[[#This Row],[Per Crate]]</f>
        <v>22.5</v>
      </c>
      <c r="X150" t="s">
        <v>2483</v>
      </c>
      <c r="Y150" s="184"/>
      <c r="Z150" s="184"/>
      <c r="AA150" s="184"/>
      <c r="AB150" s="184"/>
      <c r="AC150" s="184"/>
      <c r="AD150" s="184"/>
      <c r="AE150" s="184"/>
      <c r="AF150" s="184"/>
      <c r="AG150" s="207"/>
      <c r="AH150" s="184"/>
      <c r="AI150" s="184"/>
      <c r="AJ150" s="184"/>
      <c r="AK150" s="184"/>
      <c r="AL150" s="184"/>
      <c r="AM150" s="184"/>
      <c r="AN150" s="184"/>
      <c r="AO150" s="207"/>
      <c r="AP150" s="184"/>
      <c r="AQ150" s="184"/>
      <c r="AR150" s="184"/>
      <c r="AS150" s="184"/>
      <c r="AT150" s="184"/>
      <c r="AU150" s="184"/>
      <c r="AV150" s="184"/>
      <c r="AY150">
        <f>Products[[#This Row],[CSA Portion]]*Products[[#This Row],[CSA Times]]</f>
        <v>0</v>
      </c>
      <c r="BA150">
        <f>Products[[#This Row],[CSA Need]]*Products[[#This Row],[Market Price]]</f>
        <v>0</v>
      </c>
    </row>
    <row r="151" spans="1:54" hidden="1">
      <c r="A151" t="str">
        <f>Products[[#This Row],[Crop]]&amp;Products[[#This Row],[Product]]&amp;Products[[#This Row],[Unit]]</f>
        <v>SpinachMature LeafLb</v>
      </c>
      <c r="B151" t="s">
        <v>123</v>
      </c>
      <c r="C151" t="s">
        <v>179</v>
      </c>
      <c r="D151" t="s">
        <v>383</v>
      </c>
      <c r="E151" t="b">
        <v>1</v>
      </c>
      <c r="F151" t="s">
        <v>474</v>
      </c>
      <c r="G151">
        <v>1</v>
      </c>
      <c r="H151">
        <v>15</v>
      </c>
      <c r="I151">
        <v>15</v>
      </c>
      <c r="J151" t="s">
        <v>2368</v>
      </c>
      <c r="K151">
        <f>_xlfn.XLOOKUP(Products[[#This Row],[Packing Container]],Containers[Container],Containers[Cost])</f>
        <v>3.8</v>
      </c>
      <c r="M151">
        <v>2</v>
      </c>
      <c r="N151">
        <f>IF(Products[[#This Row],[Unit]]="Bunch",10,0)</f>
        <v>0</v>
      </c>
      <c r="O151">
        <f>24*3</f>
        <v>72</v>
      </c>
      <c r="P151">
        <f>CrateHaulTime/Products[[#This Row],[Per Crate]]</f>
        <v>6</v>
      </c>
      <c r="Q151">
        <f>_xlfn.XLOOKUP(Products[[#This Row],[Wash Type]],Table9[Wash Type],Table9[Seconds])*Products[[#This Row],[Wash Factor]]</f>
        <v>0</v>
      </c>
      <c r="R151">
        <v>0</v>
      </c>
      <c r="S151">
        <v>0</v>
      </c>
      <c r="T151">
        <v>3</v>
      </c>
      <c r="U151">
        <v>0</v>
      </c>
      <c r="V151">
        <v>0</v>
      </c>
      <c r="W151">
        <f>MarketHaulTime/CratesPerMarketLoad/Products[[#This Row],[Per Crate]]</f>
        <v>15</v>
      </c>
      <c r="X151" t="s">
        <v>2483</v>
      </c>
      <c r="Y151" s="184"/>
      <c r="Z151" s="184"/>
      <c r="AA151" s="184"/>
      <c r="AB151" s="184"/>
      <c r="AG151" s="207"/>
      <c r="AO151" s="207"/>
      <c r="AP151" s="184"/>
      <c r="AQ151" s="184"/>
      <c r="AR151" s="184"/>
      <c r="AS151" s="184"/>
      <c r="AT151" s="184"/>
      <c r="AU151" s="184"/>
      <c r="AV151" s="184"/>
      <c r="AY151">
        <f>Products[[#This Row],[CSA Portion]]*Products[[#This Row],[CSA Times]]</f>
        <v>0</v>
      </c>
      <c r="BA151">
        <f>Products[[#This Row],[CSA Need]]*Products[[#This Row],[Market Price]]</f>
        <v>0</v>
      </c>
    </row>
    <row r="152" spans="1:54">
      <c r="A152" t="str">
        <f>Products[[#This Row],[Crop]]&amp;Products[[#This Row],[Product]]&amp;Products[[#This Row],[Unit]]</f>
        <v>StrawberryRipe FruitLb</v>
      </c>
      <c r="B152" t="s">
        <v>126</v>
      </c>
      <c r="C152" t="s">
        <v>191</v>
      </c>
      <c r="D152" t="s">
        <v>383</v>
      </c>
      <c r="E152" t="b">
        <v>1</v>
      </c>
      <c r="F152" t="s">
        <v>474</v>
      </c>
      <c r="G152">
        <v>1</v>
      </c>
      <c r="H152">
        <v>40</v>
      </c>
      <c r="I152">
        <f>0.75*6</f>
        <v>4.5</v>
      </c>
      <c r="J152" t="s">
        <v>2366</v>
      </c>
      <c r="K152">
        <f>_xlfn.XLOOKUP(Products[[#This Row],[Packing Container]],Containers[Container],Containers[Cost])</f>
        <v>2.16</v>
      </c>
      <c r="M152">
        <v>1</v>
      </c>
      <c r="N152">
        <f>IF(Products[[#This Row],[Unit]]="Bunch",10,0)</f>
        <v>0</v>
      </c>
      <c r="O152">
        <f>20*5</f>
        <v>100</v>
      </c>
      <c r="P152">
        <f>CrateHaulTime/Products[[#This Row],[Per Crate]]</f>
        <v>2.25</v>
      </c>
      <c r="Q152">
        <v>0</v>
      </c>
      <c r="R152">
        <v>0</v>
      </c>
      <c r="S152">
        <v>0</v>
      </c>
      <c r="T152">
        <v>3</v>
      </c>
      <c r="U152">
        <v>0</v>
      </c>
      <c r="V152">
        <v>0</v>
      </c>
      <c r="W152">
        <f>MarketHaulTime/CratesPerMarketLoad/Products[[#This Row],[Per Crate]]</f>
        <v>5.625</v>
      </c>
      <c r="X152" t="s">
        <v>2483</v>
      </c>
      <c r="AD152" s="184"/>
      <c r="AE152" s="184"/>
      <c r="AF152" s="184"/>
      <c r="AG152" s="207"/>
      <c r="AH152" s="184"/>
      <c r="AI152" s="184"/>
      <c r="AJ152" s="184"/>
      <c r="AK152" s="184"/>
      <c r="AL152" s="184"/>
      <c r="AM152" s="184"/>
      <c r="AN152" s="184"/>
      <c r="AO152" s="207"/>
      <c r="AP152" s="184"/>
      <c r="AQ152" s="184"/>
      <c r="AR152" s="184"/>
      <c r="AW152">
        <v>0.75</v>
      </c>
      <c r="AX152">
        <v>1</v>
      </c>
      <c r="AY152">
        <f>Products[[#This Row],[CSA Portion]]*Products[[#This Row],[CSA Times]]</f>
        <v>0.75</v>
      </c>
      <c r="AZ152">
        <v>6</v>
      </c>
      <c r="BA152">
        <f>Products[[#This Row],[CSA Need]]*Products[[#This Row],[Market Price]]</f>
        <v>4.5</v>
      </c>
    </row>
    <row r="153" spans="1:54" hidden="1">
      <c r="A153" t="str">
        <f>Products[[#This Row],[Crop]]&amp;Products[[#This Row],[Product]]&amp;Products[[#This Row],[Unit]]</f>
        <v>StockMature StemStem</v>
      </c>
      <c r="B153" t="s">
        <v>125</v>
      </c>
      <c r="C153" t="s">
        <v>181</v>
      </c>
      <c r="D153" t="s">
        <v>213</v>
      </c>
      <c r="E153" t="b">
        <v>1</v>
      </c>
      <c r="F153" t="s">
        <v>474</v>
      </c>
      <c r="G153">
        <v>1</v>
      </c>
      <c r="H153">
        <v>80</v>
      </c>
      <c r="I153">
        <v>80</v>
      </c>
      <c r="J153" t="s">
        <v>2367</v>
      </c>
      <c r="K153">
        <f>_xlfn.XLOOKUP(Products[[#This Row],[Packing Container]],Containers[Container],Containers[Cost])</f>
        <v>4</v>
      </c>
      <c r="M153">
        <v>6</v>
      </c>
      <c r="N153">
        <f>IF(Products[[#This Row],[Unit]]="Bunch",10,0)</f>
        <v>0</v>
      </c>
      <c r="O153">
        <v>10</v>
      </c>
      <c r="P153">
        <f>CrateHaulTime/Products[[#This Row],[Per Crate]]</f>
        <v>1.125</v>
      </c>
      <c r="Q153">
        <f>_xlfn.XLOOKUP(Products[[#This Row],[Wash Type]],Table9[Wash Type],Table9[Seconds])*Products[[#This Row],[Wash Factor]]</f>
        <v>0</v>
      </c>
      <c r="R153">
        <v>0</v>
      </c>
      <c r="S153">
        <v>3</v>
      </c>
      <c r="T153">
        <v>3</v>
      </c>
      <c r="U153">
        <v>0</v>
      </c>
      <c r="V153">
        <v>0</v>
      </c>
      <c r="W153">
        <f>MarketHaulTime/CratesPerMarketLoad/Products[[#This Row],[Per Crate]]</f>
        <v>2.8125</v>
      </c>
      <c r="X153" t="s">
        <v>2482</v>
      </c>
      <c r="AY153">
        <f>Products[[#This Row],[CSA Portion]]*Products[[#This Row],[CSA Times]]</f>
        <v>0</v>
      </c>
      <c r="BA153">
        <f>Products[[#This Row],[CSA Need]]*Products[[#This Row],[Market Price]]</f>
        <v>0</v>
      </c>
    </row>
    <row r="154" spans="1:54" hidden="1">
      <c r="A154" t="str">
        <f>Products[[#This Row],[Crop]]&amp;Products[[#This Row],[Product]]&amp;Products[[#This Row],[Unit]]</f>
        <v>Strawberry SpinachMature LeafLb</v>
      </c>
      <c r="B154" t="s">
        <v>127</v>
      </c>
      <c r="C154" t="s">
        <v>179</v>
      </c>
      <c r="D154" t="s">
        <v>383</v>
      </c>
      <c r="E154" t="b">
        <v>0</v>
      </c>
      <c r="F154" t="s">
        <v>2387</v>
      </c>
      <c r="G154">
        <v>1</v>
      </c>
      <c r="H154">
        <v>10</v>
      </c>
      <c r="I154">
        <v>10</v>
      </c>
      <c r="J154" s="197" t="s">
        <v>2368</v>
      </c>
      <c r="K154">
        <f>_xlfn.XLOOKUP(Products[[#This Row],[Packing Container]],Containers[Container],Containers[Cost])</f>
        <v>3.8</v>
      </c>
      <c r="M154">
        <v>5</v>
      </c>
      <c r="N154">
        <f>IF(Products[[#This Row],[Unit]]="Bunch",10,0)</f>
        <v>0</v>
      </c>
      <c r="O154">
        <f>10*6</f>
        <v>60</v>
      </c>
      <c r="P154">
        <f>CrateHaulTime/Products[[#This Row],[Per Crate]]</f>
        <v>9</v>
      </c>
      <c r="Q154">
        <f>_xlfn.XLOOKUP(Products[[#This Row],[Wash Type]],Table9[Wash Type],Table9[Seconds])*Products[[#This Row],[Wash Factor]]</f>
        <v>10</v>
      </c>
      <c r="R154">
        <v>0</v>
      </c>
      <c r="S154">
        <f>15*6</f>
        <v>90</v>
      </c>
      <c r="T154">
        <v>3</v>
      </c>
      <c r="U154">
        <v>0</v>
      </c>
      <c r="V154">
        <v>0</v>
      </c>
      <c r="W154">
        <f>MarketHaulTime/CratesPerMarketLoad/Products[[#This Row],[Per Crate]]</f>
        <v>22.5</v>
      </c>
      <c r="X154" t="s">
        <v>2482</v>
      </c>
      <c r="AY154">
        <f>Products[[#This Row],[CSA Portion]]*Products[[#This Row],[CSA Times]]</f>
        <v>0</v>
      </c>
      <c r="BA154">
        <f>Products[[#This Row],[CSA Need]]*Products[[#This Row],[Market Price]]</f>
        <v>0</v>
      </c>
    </row>
    <row r="155" spans="1:54">
      <c r="A155" t="str">
        <f>Products[[#This Row],[Crop]]&amp;Products[[#This Row],[Product]]&amp;Products[[#This Row],[Unit]]</f>
        <v>Summer SquashRipe FruitLb</v>
      </c>
      <c r="B155" t="s">
        <v>128</v>
      </c>
      <c r="C155" t="s">
        <v>191</v>
      </c>
      <c r="D155" t="s">
        <v>383</v>
      </c>
      <c r="E155" t="b">
        <v>1</v>
      </c>
      <c r="F155" t="s">
        <v>474</v>
      </c>
      <c r="G155">
        <v>1</v>
      </c>
      <c r="H155">
        <v>40</v>
      </c>
      <c r="I155">
        <v>25</v>
      </c>
      <c r="J155" s="198" t="s">
        <v>2368</v>
      </c>
      <c r="K155">
        <f>_xlfn.XLOOKUP(Products[[#This Row],[Packing Container]],Containers[Container],Containers[Cost])</f>
        <v>3.8</v>
      </c>
      <c r="L155">
        <v>7</v>
      </c>
      <c r="M155">
        <v>3</v>
      </c>
      <c r="N155">
        <f>IF(Products[[#This Row],[Unit]]="Bunch",10,0)</f>
        <v>0</v>
      </c>
      <c r="O155">
        <v>10</v>
      </c>
      <c r="P155">
        <f>CrateHaulTime/Products[[#This Row],[Per Crate]]</f>
        <v>2.25</v>
      </c>
      <c r="Q155">
        <f>_xlfn.XLOOKUP(Products[[#This Row],[Wash Type]],Table9[Wash Type],Table9[Seconds])*Products[[#This Row],[Wash Factor]]</f>
        <v>0</v>
      </c>
      <c r="R155">
        <v>0</v>
      </c>
      <c r="S155">
        <v>0</v>
      </c>
      <c r="T155">
        <v>3</v>
      </c>
      <c r="U155">
        <v>0</v>
      </c>
      <c r="V155">
        <v>0</v>
      </c>
      <c r="W155">
        <f>MarketHaulTime/CratesPerMarketLoad/Products[[#This Row],[Per Crate]]</f>
        <v>5.625</v>
      </c>
      <c r="X155" t="s">
        <v>2484</v>
      </c>
      <c r="AE155" s="184"/>
      <c r="AF155" s="184"/>
      <c r="AG155" s="207"/>
      <c r="AH155" s="184"/>
      <c r="AI155" s="184"/>
      <c r="AJ155" s="184"/>
      <c r="AK155" s="184"/>
      <c r="AL155" s="184"/>
      <c r="AM155" s="184"/>
      <c r="AN155" s="184"/>
      <c r="AO155" s="207"/>
      <c r="AP155" s="184"/>
      <c r="AQ155" s="184"/>
      <c r="AR155" s="184"/>
      <c r="AW155">
        <v>1</v>
      </c>
      <c r="AX155">
        <v>4</v>
      </c>
      <c r="AY155">
        <f>Products[[#This Row],[CSA Portion]]*Products[[#This Row],[CSA Times]]</f>
        <v>4</v>
      </c>
      <c r="AZ155">
        <v>2.75</v>
      </c>
      <c r="BA155">
        <f>Products[[#This Row],[CSA Need]]*Products[[#This Row],[Market Price]]</f>
        <v>11</v>
      </c>
    </row>
    <row r="156" spans="1:54" hidden="1">
      <c r="A156" t="str">
        <f>Products[[#This Row],[Crop]]&amp;Products[[#This Row],[Product]]&amp;Products[[#This Row],[Unit]]</f>
        <v>StrawflowerMature StemStem</v>
      </c>
      <c r="B156" t="s">
        <v>1695</v>
      </c>
      <c r="C156" t="s">
        <v>181</v>
      </c>
      <c r="D156" t="s">
        <v>213</v>
      </c>
      <c r="E156" t="b">
        <v>1</v>
      </c>
      <c r="F156" t="s">
        <v>474</v>
      </c>
      <c r="G156">
        <v>1</v>
      </c>
      <c r="H156">
        <v>50</v>
      </c>
      <c r="I156">
        <v>50</v>
      </c>
      <c r="J156" t="s">
        <v>2367</v>
      </c>
      <c r="K156">
        <f>_xlfn.XLOOKUP(Products[[#This Row],[Packing Container]],Containers[Container],Containers[Cost])</f>
        <v>4</v>
      </c>
      <c r="M156">
        <v>6</v>
      </c>
      <c r="N156">
        <f>IF(Products[[#This Row],[Unit]]="Bunch",10,0)</f>
        <v>0</v>
      </c>
      <c r="O156">
        <v>5</v>
      </c>
      <c r="P156">
        <f>CrateHaulTime/Products[[#This Row],[Per Crate]]</f>
        <v>1.8</v>
      </c>
      <c r="Q156">
        <f>_xlfn.XLOOKUP(Products[[#This Row],[Wash Type]],Table9[Wash Type],Table9[Seconds])*Products[[#This Row],[Wash Factor]]</f>
        <v>0</v>
      </c>
      <c r="R156">
        <v>0</v>
      </c>
      <c r="S156">
        <v>3</v>
      </c>
      <c r="T156">
        <v>3</v>
      </c>
      <c r="U156">
        <v>0</v>
      </c>
      <c r="V156">
        <v>0</v>
      </c>
      <c r="W156">
        <f>MarketHaulTime/CratesPerMarketLoad/Products[[#This Row],[Per Crate]]</f>
        <v>4.5</v>
      </c>
      <c r="X156" t="s">
        <v>2482</v>
      </c>
      <c r="AY156">
        <f>Products[[#This Row],[CSA Portion]]*Products[[#This Row],[CSA Times]]</f>
        <v>0</v>
      </c>
      <c r="BA156">
        <f>Products[[#This Row],[CSA Need]]*Products[[#This Row],[Market Price]]</f>
        <v>0</v>
      </c>
    </row>
    <row r="157" spans="1:54" hidden="1">
      <c r="A157" t="str">
        <f>Products[[#This Row],[Crop]]&amp;Products[[#This Row],[Product]]&amp;Products[[#This Row],[Unit]]</f>
        <v>CucumberRipe FruitLb</v>
      </c>
      <c r="B157" t="s">
        <v>70</v>
      </c>
      <c r="C157" t="s">
        <v>191</v>
      </c>
      <c r="D157" t="s">
        <v>383</v>
      </c>
      <c r="E157" t="b">
        <v>1</v>
      </c>
      <c r="F157" t="s">
        <v>474</v>
      </c>
      <c r="G157">
        <v>1</v>
      </c>
      <c r="H157">
        <v>25</v>
      </c>
      <c r="I157">
        <v>25</v>
      </c>
      <c r="J157" t="s">
        <v>2368</v>
      </c>
      <c r="K157">
        <f>_xlfn.XLOOKUP(Products[[#This Row],[Packing Container]],Containers[Container],Containers[Cost])</f>
        <v>3.8</v>
      </c>
      <c r="L157">
        <v>4</v>
      </c>
      <c r="M157">
        <v>1</v>
      </c>
      <c r="N157">
        <f>IF(Products[[#This Row],[Unit]]="Bunch",10,0)</f>
        <v>0</v>
      </c>
      <c r="O157">
        <v>10</v>
      </c>
      <c r="P157">
        <f>CrateHaulTime/Products[[#This Row],[Per Crate]]</f>
        <v>3.6</v>
      </c>
      <c r="Q157">
        <f>_xlfn.XLOOKUP(Products[[#This Row],[Wash Type]],Table9[Wash Type],Table9[Seconds])*Products[[#This Row],[Wash Factor]]</f>
        <v>0</v>
      </c>
      <c r="R157">
        <v>0</v>
      </c>
      <c r="S157">
        <v>0</v>
      </c>
      <c r="T157">
        <v>3</v>
      </c>
      <c r="U157">
        <v>0</v>
      </c>
      <c r="V157">
        <v>0</v>
      </c>
      <c r="W157">
        <f>MarketHaulTime/CratesPerMarketLoad/Products[[#This Row],[Per Crate]]</f>
        <v>9</v>
      </c>
      <c r="X157" t="s">
        <v>2484</v>
      </c>
      <c r="AG157" s="207"/>
      <c r="AH157" s="184"/>
      <c r="AI157" s="184"/>
      <c r="AJ157" s="184"/>
      <c r="AK157" s="184"/>
      <c r="AL157" s="184"/>
      <c r="AM157" s="184"/>
      <c r="AN157" s="184"/>
      <c r="AO157" s="207"/>
      <c r="AP157" s="184"/>
      <c r="AQ157" s="184"/>
      <c r="AR157" s="184"/>
      <c r="AW157">
        <v>2</v>
      </c>
      <c r="AX157">
        <v>0</v>
      </c>
      <c r="AY157">
        <f>Products[[#This Row],[CSA Portion]]*Products[[#This Row],[CSA Times]]</f>
        <v>0</v>
      </c>
      <c r="BA157">
        <f>Products[[#This Row],[CSA Need]]*Products[[#This Row],[Market Price]]</f>
        <v>0</v>
      </c>
    </row>
    <row r="158" spans="1:54" hidden="1">
      <c r="A158" t="str">
        <f>Products[[#This Row],[Crop]]&amp;Products[[#This Row],[Product]]&amp;Products[[#This Row],[Unit]]</f>
        <v>SunflowerMature StemStem</v>
      </c>
      <c r="B158" t="s">
        <v>129</v>
      </c>
      <c r="C158" t="s">
        <v>181</v>
      </c>
      <c r="D158" t="s">
        <v>213</v>
      </c>
      <c r="E158" t="b">
        <v>1</v>
      </c>
      <c r="F158" t="s">
        <v>474</v>
      </c>
      <c r="G158">
        <v>1</v>
      </c>
      <c r="H158">
        <v>30</v>
      </c>
      <c r="I158">
        <v>30</v>
      </c>
      <c r="J158" t="s">
        <v>2367</v>
      </c>
      <c r="K158">
        <f>_xlfn.XLOOKUP(Products[[#This Row],[Packing Container]],Containers[Container],Containers[Cost])</f>
        <v>4</v>
      </c>
      <c r="M158">
        <v>6</v>
      </c>
      <c r="N158">
        <f>IF(Products[[#This Row],[Unit]]="Bunch",10,0)</f>
        <v>0</v>
      </c>
      <c r="O158">
        <v>10</v>
      </c>
      <c r="P158">
        <f>CrateHaulTime/Products[[#This Row],[Per Crate]]</f>
        <v>3</v>
      </c>
      <c r="Q158">
        <f>_xlfn.XLOOKUP(Products[[#This Row],[Wash Type]],Table9[Wash Type],Table9[Seconds])*Products[[#This Row],[Wash Factor]]</f>
        <v>0</v>
      </c>
      <c r="R158">
        <v>0</v>
      </c>
      <c r="S158">
        <v>15</v>
      </c>
      <c r="T158">
        <v>3</v>
      </c>
      <c r="U158">
        <v>0</v>
      </c>
      <c r="V158">
        <v>0</v>
      </c>
      <c r="W158">
        <f>MarketHaulTime/CratesPerMarketLoad/Products[[#This Row],[Per Crate]]</f>
        <v>7.5</v>
      </c>
      <c r="X158" t="s">
        <v>2482</v>
      </c>
      <c r="AY158">
        <f>Products[[#This Row],[CSA Portion]]*Products[[#This Row],[CSA Times]]</f>
        <v>0</v>
      </c>
      <c r="BA158">
        <f>Products[[#This Row],[CSA Need]]*Products[[#This Row],[Market Price]]</f>
        <v>0</v>
      </c>
    </row>
    <row r="159" spans="1:54" hidden="1">
      <c r="A159" t="str">
        <f>Products[[#This Row],[Crop]]&amp;Products[[#This Row],[Product]]&amp;Products[[#This Row],[Unit]]</f>
        <v>SunchokeMature RootLb</v>
      </c>
      <c r="B159" t="s">
        <v>1317</v>
      </c>
      <c r="C159" t="s">
        <v>185</v>
      </c>
      <c r="D159" t="s">
        <v>383</v>
      </c>
      <c r="E159" t="b">
        <v>0</v>
      </c>
      <c r="F159" t="s">
        <v>443</v>
      </c>
      <c r="G159">
        <v>8</v>
      </c>
      <c r="H159">
        <v>40</v>
      </c>
      <c r="I159">
        <v>25</v>
      </c>
      <c r="J159" t="s">
        <v>2368</v>
      </c>
      <c r="K159">
        <f>_xlfn.XLOOKUP(Products[[#This Row],[Packing Container]],Containers[Container],Containers[Cost])</f>
        <v>3.8</v>
      </c>
      <c r="M159">
        <v>4</v>
      </c>
      <c r="N159">
        <f>IF(Products[[#This Row],[Unit]]="Bunch",10,0)</f>
        <v>0</v>
      </c>
      <c r="O159">
        <v>120</v>
      </c>
      <c r="P159">
        <f>CrateHaulTime/Products[[#This Row],[Per Crate]]</f>
        <v>2.25</v>
      </c>
      <c r="Q159">
        <f>_xlfn.XLOOKUP(Products[[#This Row],[Wash Type]],Table9[Wash Type],Table9[Seconds])*Products[[#This Row],[Wash Factor]]</f>
        <v>40</v>
      </c>
      <c r="R159">
        <v>0</v>
      </c>
      <c r="S159">
        <v>0</v>
      </c>
      <c r="T159">
        <v>3</v>
      </c>
      <c r="U159">
        <v>0</v>
      </c>
      <c r="V159">
        <v>0</v>
      </c>
      <c r="W159">
        <f>MarketHaulTime/CratesPerMarketLoad/Products[[#This Row],[Per Crate]]</f>
        <v>5.625</v>
      </c>
      <c r="X159" t="s">
        <v>2482</v>
      </c>
      <c r="AY159">
        <f>Products[[#This Row],[CSA Portion]]*Products[[#This Row],[CSA Times]]</f>
        <v>0</v>
      </c>
      <c r="BA159">
        <f>Products[[#This Row],[CSA Need]]*Products[[#This Row],[Market Price]]</f>
        <v>0</v>
      </c>
    </row>
    <row r="160" spans="1:54">
      <c r="A160" t="str">
        <f>Products[[#This Row],[Crop]]&amp;Products[[#This Row],[Product]]&amp;Products[[#This Row],[Unit]]</f>
        <v>Swiss ChardMature LeafBunch</v>
      </c>
      <c r="B160" t="s">
        <v>131</v>
      </c>
      <c r="C160" t="s">
        <v>179</v>
      </c>
      <c r="D160" t="s">
        <v>215</v>
      </c>
      <c r="E160" t="b">
        <v>1</v>
      </c>
      <c r="F160" t="s">
        <v>474</v>
      </c>
      <c r="G160">
        <v>1</v>
      </c>
      <c r="H160">
        <v>24</v>
      </c>
      <c r="I160">
        <v>24</v>
      </c>
      <c r="J160" t="s">
        <v>2368</v>
      </c>
      <c r="K160">
        <f>_xlfn.XLOOKUP(Products[[#This Row],[Packing Container]],Containers[Container],Containers[Cost])</f>
        <v>3.8</v>
      </c>
      <c r="L160">
        <v>7</v>
      </c>
      <c r="M160">
        <v>3</v>
      </c>
      <c r="N160">
        <f>IF(Products[[#This Row],[Unit]]="Bunch",10,0)</f>
        <v>10</v>
      </c>
      <c r="O160">
        <f>3*10</f>
        <v>30</v>
      </c>
      <c r="P160">
        <f>CrateHaulTime/Products[[#This Row],[Per Crate]]</f>
        <v>3.75</v>
      </c>
      <c r="Q160">
        <f>_xlfn.XLOOKUP(Products[[#This Row],[Wash Type]],Table9[Wash Type],Table9[Seconds])*Products[[#This Row],[Wash Factor]]</f>
        <v>0</v>
      </c>
      <c r="R160">
        <v>10</v>
      </c>
      <c r="S160">
        <v>10</v>
      </c>
      <c r="T160">
        <v>3</v>
      </c>
      <c r="U160">
        <v>0</v>
      </c>
      <c r="V160">
        <v>0</v>
      </c>
      <c r="W160">
        <f>MarketHaulTime/CratesPerMarketLoad/Products[[#This Row],[Per Crate]]</f>
        <v>9.375</v>
      </c>
      <c r="X160" t="s">
        <v>2484</v>
      </c>
      <c r="Y160" s="184"/>
      <c r="Z160" s="184"/>
      <c r="AA160" s="184"/>
      <c r="AB160" s="184"/>
      <c r="AG160" s="207"/>
      <c r="AH160" s="184"/>
      <c r="AI160" s="184"/>
      <c r="AJ160" s="184"/>
      <c r="AK160" s="184"/>
      <c r="AL160" s="184"/>
      <c r="AM160" s="184"/>
      <c r="AN160" s="184"/>
      <c r="AO160" s="207"/>
      <c r="AP160" s="184"/>
      <c r="AQ160" s="184"/>
      <c r="AR160" s="184"/>
      <c r="AS160" s="184"/>
      <c r="AT160" s="184"/>
      <c r="AU160" s="184"/>
      <c r="AV160" s="184"/>
      <c r="AW160">
        <v>1</v>
      </c>
      <c r="AX160">
        <v>2</v>
      </c>
      <c r="AY160">
        <f>Products[[#This Row],[CSA Portion]]*Products[[#This Row],[CSA Times]]</f>
        <v>2</v>
      </c>
      <c r="AZ160">
        <v>3</v>
      </c>
      <c r="BA160">
        <f>Products[[#This Row],[CSA Need]]*Products[[#This Row],[Market Price]]</f>
        <v>6</v>
      </c>
    </row>
    <row r="161" spans="1:53" hidden="1">
      <c r="A161" t="str">
        <f>Products[[#This Row],[Crop]]&amp;Products[[#This Row],[Product]]&amp;Products[[#This Row],[Unit]]</f>
        <v>TalinumMature StemStem</v>
      </c>
      <c r="B161" t="s">
        <v>1791</v>
      </c>
      <c r="C161" t="s">
        <v>181</v>
      </c>
      <c r="D161" t="s">
        <v>213</v>
      </c>
      <c r="E161" t="b">
        <v>0</v>
      </c>
      <c r="F161" t="s">
        <v>474</v>
      </c>
      <c r="G161">
        <v>1</v>
      </c>
      <c r="H161">
        <v>50</v>
      </c>
      <c r="I161">
        <v>50</v>
      </c>
      <c r="J161" t="s">
        <v>2367</v>
      </c>
      <c r="K161">
        <f>_xlfn.XLOOKUP(Products[[#This Row],[Packing Container]],Containers[Container],Containers[Cost])</f>
        <v>4</v>
      </c>
      <c r="M161">
        <v>6</v>
      </c>
      <c r="N161">
        <f>IF(Products[[#This Row],[Unit]]="Bunch",10,0)</f>
        <v>0</v>
      </c>
      <c r="O161">
        <v>5</v>
      </c>
      <c r="P161">
        <f>CrateHaulTime/Products[[#This Row],[Per Crate]]</f>
        <v>1.8</v>
      </c>
      <c r="Q161">
        <f>_xlfn.XLOOKUP(Products[[#This Row],[Wash Type]],Table9[Wash Type],Table9[Seconds])*Products[[#This Row],[Wash Factor]]</f>
        <v>0</v>
      </c>
      <c r="R161">
        <v>0</v>
      </c>
      <c r="S161">
        <v>3</v>
      </c>
      <c r="T161">
        <v>3</v>
      </c>
      <c r="U161">
        <v>0</v>
      </c>
      <c r="V161">
        <v>0</v>
      </c>
      <c r="W161">
        <f>MarketHaulTime/CratesPerMarketLoad/Products[[#This Row],[Per Crate]]</f>
        <v>4.5</v>
      </c>
      <c r="X161" t="s">
        <v>2482</v>
      </c>
      <c r="AY161">
        <f>Products[[#This Row],[CSA Portion]]*Products[[#This Row],[CSA Times]]</f>
        <v>0</v>
      </c>
      <c r="BA161">
        <f>Products[[#This Row],[CSA Need]]*Products[[#This Row],[Market Price]]</f>
        <v>0</v>
      </c>
    </row>
    <row r="162" spans="1:53">
      <c r="A162" t="str">
        <f>Products[[#This Row],[Crop]]&amp;Products[[#This Row],[Product]]&amp;Products[[#This Row],[Unit]]</f>
        <v>TomatilloRipe FruitLb</v>
      </c>
      <c r="B162" t="s">
        <v>135</v>
      </c>
      <c r="C162" t="s">
        <v>191</v>
      </c>
      <c r="D162" t="s">
        <v>383</v>
      </c>
      <c r="E162" t="b">
        <v>1</v>
      </c>
      <c r="F162" t="s">
        <v>474</v>
      </c>
      <c r="G162">
        <v>1</v>
      </c>
      <c r="H162">
        <v>40</v>
      </c>
      <c r="I162">
        <v>5</v>
      </c>
      <c r="J162" t="s">
        <v>2366</v>
      </c>
      <c r="K162">
        <f>_xlfn.XLOOKUP(Products[[#This Row],[Packing Container]],Containers[Container],Containers[Cost])</f>
        <v>2.16</v>
      </c>
      <c r="L162">
        <v>14</v>
      </c>
      <c r="M162">
        <v>4</v>
      </c>
      <c r="N162">
        <f>IF(Products[[#This Row],[Unit]]="Bunch",10,0)</f>
        <v>0</v>
      </c>
      <c r="O162">
        <f>4*20</f>
        <v>80</v>
      </c>
      <c r="P162">
        <f>CrateHaulTime/Products[[#This Row],[Per Crate]]</f>
        <v>2.25</v>
      </c>
      <c r="Q162">
        <f>_xlfn.XLOOKUP(Products[[#This Row],[Wash Type]],Table9[Wash Type],Table9[Seconds])*Products[[#This Row],[Wash Factor]]</f>
        <v>0</v>
      </c>
      <c r="R162">
        <v>0</v>
      </c>
      <c r="S162">
        <v>0</v>
      </c>
      <c r="T162">
        <v>3</v>
      </c>
      <c r="U162">
        <v>0</v>
      </c>
      <c r="V162">
        <v>0</v>
      </c>
      <c r="W162">
        <f>MarketHaulTime/CratesPerMarketLoad/Products[[#This Row],[Per Crate]]</f>
        <v>5.625</v>
      </c>
      <c r="X162" t="s">
        <v>2484</v>
      </c>
      <c r="AE162" s="184"/>
      <c r="AF162" s="184"/>
      <c r="AG162" s="207"/>
      <c r="AH162" s="184"/>
      <c r="AI162" s="184"/>
      <c r="AJ162" s="184"/>
      <c r="AK162" s="184"/>
      <c r="AL162" s="184"/>
      <c r="AO162" s="207"/>
      <c r="AW162">
        <v>0.75</v>
      </c>
      <c r="AX162">
        <v>2</v>
      </c>
      <c r="AY162">
        <f>Products[[#This Row],[CSA Portion]]*Products[[#This Row],[CSA Times]]</f>
        <v>1.5</v>
      </c>
      <c r="AZ162">
        <v>6</v>
      </c>
      <c r="BA162">
        <f>Products[[#This Row],[CSA Need]]*Products[[#This Row],[Market Price]]</f>
        <v>9</v>
      </c>
    </row>
    <row r="163" spans="1:53">
      <c r="A163" t="str">
        <f>Products[[#This Row],[Crop]]&amp;Products[[#This Row],[Product]]&amp;Products[[#This Row],[Unit]]</f>
        <v>TomatoRipe Fruit LargeLb</v>
      </c>
      <c r="B163" t="s">
        <v>136</v>
      </c>
      <c r="C163" t="s">
        <v>2380</v>
      </c>
      <c r="D163" t="s">
        <v>383</v>
      </c>
      <c r="E163" t="b">
        <v>1</v>
      </c>
      <c r="F163" t="s">
        <v>474</v>
      </c>
      <c r="G163">
        <v>1</v>
      </c>
      <c r="H163">
        <v>40</v>
      </c>
      <c r="I163">
        <v>5</v>
      </c>
      <c r="J163" t="s">
        <v>2366</v>
      </c>
      <c r="K163">
        <f>_xlfn.XLOOKUP(Products[[#This Row],[Packing Container]],Containers[Container],Containers[Cost])</f>
        <v>2.16</v>
      </c>
      <c r="L163">
        <v>10</v>
      </c>
      <c r="M163">
        <v>1</v>
      </c>
      <c r="N163">
        <f>IF(Products[[#This Row],[Unit]]="Bunch",10,0)</f>
        <v>0</v>
      </c>
      <c r="O163">
        <f>2*8</f>
        <v>16</v>
      </c>
      <c r="P163">
        <f>CrateHaulTime/Products[[#This Row],[Per Crate]]</f>
        <v>2.25</v>
      </c>
      <c r="Q163">
        <f>_xlfn.XLOOKUP(Products[[#This Row],[Wash Type]],Table9[Wash Type],Table9[Seconds])*Products[[#This Row],[Wash Factor]]</f>
        <v>0</v>
      </c>
      <c r="R163">
        <v>0</v>
      </c>
      <c r="S163">
        <v>0</v>
      </c>
      <c r="T163">
        <v>3</v>
      </c>
      <c r="U163">
        <v>0</v>
      </c>
      <c r="V163">
        <v>0</v>
      </c>
      <c r="W163">
        <f>MarketHaulTime/CratesPerMarketLoad/Products[[#This Row],[Per Crate]]</f>
        <v>5.625</v>
      </c>
      <c r="X163" t="s">
        <v>2484</v>
      </c>
      <c r="AG163" s="207"/>
      <c r="AK163" s="184"/>
      <c r="AL163" s="184"/>
      <c r="AM163" s="184"/>
      <c r="AN163" s="184"/>
      <c r="AO163" s="207"/>
      <c r="AP163" s="184"/>
      <c r="AQ163" s="184"/>
      <c r="AR163" s="184"/>
      <c r="AS163" s="184"/>
      <c r="AT163" s="184"/>
      <c r="AU163" s="184"/>
      <c r="AV163" s="184"/>
      <c r="AW163">
        <v>1</v>
      </c>
      <c r="AX163">
        <v>3</v>
      </c>
      <c r="AY163">
        <f>Products[[#This Row],[CSA Portion]]*Products[[#This Row],[CSA Times]]</f>
        <v>3</v>
      </c>
      <c r="AZ163">
        <v>6</v>
      </c>
      <c r="BA163">
        <f>Products[[#This Row],[CSA Need]]*Products[[#This Row],[Market Price]]</f>
        <v>18</v>
      </c>
    </row>
    <row r="164" spans="1:53">
      <c r="A164" t="str">
        <f>Products[[#This Row],[Crop]]&amp;Products[[#This Row],[Product]]&amp;Products[[#This Row],[Unit]]</f>
        <v>TomatoRipe Fruit MediumLb</v>
      </c>
      <c r="B164" t="s">
        <v>136</v>
      </c>
      <c r="C164" t="s">
        <v>2407</v>
      </c>
      <c r="D164" t="s">
        <v>383</v>
      </c>
      <c r="E164" t="b">
        <v>1</v>
      </c>
      <c r="F164" t="s">
        <v>474</v>
      </c>
      <c r="G164">
        <v>1</v>
      </c>
      <c r="H164">
        <v>40</v>
      </c>
      <c r="I164">
        <v>5</v>
      </c>
      <c r="J164" t="s">
        <v>2366</v>
      </c>
      <c r="K164">
        <f>_xlfn.XLOOKUP(Products[[#This Row],[Packing Container]],Containers[Container],Containers[Cost])</f>
        <v>2.16</v>
      </c>
      <c r="L164">
        <v>7</v>
      </c>
      <c r="M164">
        <v>1</v>
      </c>
      <c r="N164">
        <f>IF(Products[[#This Row],[Unit]]="Bunch",10,0)</f>
        <v>0</v>
      </c>
      <c r="O164">
        <f>20*5</f>
        <v>100</v>
      </c>
      <c r="P164">
        <f>CrateHaulTime/Products[[#This Row],[Per Crate]]</f>
        <v>2.25</v>
      </c>
      <c r="Q164">
        <f>_xlfn.XLOOKUP(Products[[#This Row],[Wash Type]],Table9[Wash Type],Table9[Seconds])*Products[[#This Row],[Wash Factor]]</f>
        <v>0</v>
      </c>
      <c r="R164">
        <v>0</v>
      </c>
      <c r="S164">
        <v>0</v>
      </c>
      <c r="T164">
        <v>3</v>
      </c>
      <c r="U164">
        <v>0</v>
      </c>
      <c r="V164">
        <v>0</v>
      </c>
      <c r="W164">
        <f>MarketHaulTime/CratesPerMarketLoad/Products[[#This Row],[Per Crate]]</f>
        <v>5.625</v>
      </c>
      <c r="X164" t="s">
        <v>2484</v>
      </c>
      <c r="AG164" s="207"/>
      <c r="AH164" s="184"/>
      <c r="AI164" s="184"/>
      <c r="AJ164" s="184"/>
      <c r="AK164" s="184"/>
      <c r="AL164" s="184"/>
      <c r="AM164" s="184"/>
      <c r="AN164" s="184"/>
      <c r="AO164" s="207"/>
      <c r="AP164" s="184"/>
      <c r="AQ164" s="184"/>
      <c r="AR164" s="184"/>
      <c r="AS164" s="184"/>
      <c r="AT164" s="184"/>
      <c r="AU164" s="184"/>
      <c r="AV164" s="184"/>
      <c r="AW164">
        <v>0.75</v>
      </c>
      <c r="AX164">
        <v>4</v>
      </c>
      <c r="AY164">
        <f>Products[[#This Row],[CSA Portion]]*Products[[#This Row],[CSA Times]]</f>
        <v>3</v>
      </c>
      <c r="AZ164">
        <v>7</v>
      </c>
      <c r="BA164">
        <f>Products[[#This Row],[CSA Need]]*Products[[#This Row],[Market Price]]</f>
        <v>21</v>
      </c>
    </row>
    <row r="165" spans="1:53">
      <c r="A165" t="str">
        <f>Products[[#This Row],[Crop]]&amp;Products[[#This Row],[Product]]&amp;Products[[#This Row],[Unit]]</f>
        <v>TomatoRipe Fruit SmallLb</v>
      </c>
      <c r="B165" t="s">
        <v>136</v>
      </c>
      <c r="C165" t="s">
        <v>2381</v>
      </c>
      <c r="D165" t="s">
        <v>383</v>
      </c>
      <c r="E165" t="b">
        <v>1</v>
      </c>
      <c r="F165" t="s">
        <v>474</v>
      </c>
      <c r="G165">
        <v>1</v>
      </c>
      <c r="H165">
        <v>40</v>
      </c>
      <c r="I165">
        <v>5</v>
      </c>
      <c r="J165" t="s">
        <v>2366</v>
      </c>
      <c r="K165">
        <f>_xlfn.XLOOKUP(Products[[#This Row],[Packing Container]],Containers[Container],Containers[Cost])</f>
        <v>2.16</v>
      </c>
      <c r="L165">
        <v>4</v>
      </c>
      <c r="M165">
        <v>1</v>
      </c>
      <c r="N165">
        <f>IF(Products[[#This Row],[Unit]]="Bunch",10,0)</f>
        <v>0</v>
      </c>
      <c r="O165">
        <f>40*5</f>
        <v>200</v>
      </c>
      <c r="P165">
        <f>CrateHaulTime/Products[[#This Row],[Per Crate]]</f>
        <v>2.25</v>
      </c>
      <c r="Q165">
        <f>_xlfn.XLOOKUP(Products[[#This Row],[Wash Type]],Table9[Wash Type],Table9[Seconds])*Products[[#This Row],[Wash Factor]]</f>
        <v>0</v>
      </c>
      <c r="R165">
        <v>0</v>
      </c>
      <c r="S165">
        <v>0</v>
      </c>
      <c r="T165">
        <v>3</v>
      </c>
      <c r="U165">
        <v>0</v>
      </c>
      <c r="V165">
        <v>0</v>
      </c>
      <c r="W165">
        <f>MarketHaulTime/CratesPerMarketLoad/Products[[#This Row],[Per Crate]]</f>
        <v>5.625</v>
      </c>
      <c r="X165" t="s">
        <v>2484</v>
      </c>
      <c r="AE165" s="184"/>
      <c r="AF165" s="184"/>
      <c r="AG165" s="207"/>
      <c r="AH165" s="184"/>
      <c r="AI165" s="184"/>
      <c r="AJ165" s="184"/>
      <c r="AK165" s="184"/>
      <c r="AL165" s="184"/>
      <c r="AM165" s="184"/>
      <c r="AN165" s="184"/>
      <c r="AO165" s="207"/>
      <c r="AP165" s="184"/>
      <c r="AQ165" s="184"/>
      <c r="AR165" s="184"/>
      <c r="AS165" s="184"/>
      <c r="AT165" s="184"/>
      <c r="AU165" s="184"/>
      <c r="AV165" s="184"/>
      <c r="AW165">
        <v>0.75</v>
      </c>
      <c r="AX165">
        <v>2</v>
      </c>
      <c r="AY165">
        <f>Products[[#This Row],[CSA Portion]]*Products[[#This Row],[CSA Times]]</f>
        <v>1.5</v>
      </c>
      <c r="AZ165">
        <v>8</v>
      </c>
      <c r="BA165">
        <f>Products[[#This Row],[CSA Need]]*Products[[#This Row],[Market Price]]</f>
        <v>12</v>
      </c>
    </row>
    <row r="166" spans="1:53">
      <c r="A166" t="str">
        <f>Products[[#This Row],[Crop]]&amp;Products[[#This Row],[Product]]&amp;Products[[#This Row],[Unit]]</f>
        <v>TurnipMature RootBunch</v>
      </c>
      <c r="B166" t="s">
        <v>137</v>
      </c>
      <c r="C166" t="s">
        <v>185</v>
      </c>
      <c r="D166" t="s">
        <v>215</v>
      </c>
      <c r="E166" t="b">
        <v>1</v>
      </c>
      <c r="F166" t="s">
        <v>443</v>
      </c>
      <c r="G166">
        <v>5</v>
      </c>
      <c r="H166">
        <v>24</v>
      </c>
      <c r="I166">
        <v>24</v>
      </c>
      <c r="J166" t="s">
        <v>2368</v>
      </c>
      <c r="K166">
        <f>_xlfn.XLOOKUP(Products[[#This Row],[Packing Container]],Containers[Container],Containers[Cost])</f>
        <v>3.8</v>
      </c>
      <c r="L166">
        <v>7</v>
      </c>
      <c r="M166">
        <v>2</v>
      </c>
      <c r="N166">
        <f>IF(Products[[#This Row],[Unit]]="Bunch",10,0)</f>
        <v>10</v>
      </c>
      <c r="O166">
        <f>3*8</f>
        <v>24</v>
      </c>
      <c r="P166">
        <f>CrateHaulTime/Products[[#This Row],[Per Crate]]</f>
        <v>3.75</v>
      </c>
      <c r="Q166">
        <f>_xlfn.XLOOKUP(Products[[#This Row],[Wash Type]],Table9[Wash Type],Table9[Seconds])*Products[[#This Row],[Wash Factor]]</f>
        <v>25</v>
      </c>
      <c r="R166">
        <v>0</v>
      </c>
      <c r="S166">
        <v>15</v>
      </c>
      <c r="T166">
        <v>3</v>
      </c>
      <c r="U166">
        <v>0</v>
      </c>
      <c r="V166">
        <v>0</v>
      </c>
      <c r="W166">
        <f>MarketHaulTime/CratesPerMarketLoad/Products[[#This Row],[Per Crate]]</f>
        <v>9.375</v>
      </c>
      <c r="X166" t="s">
        <v>2484</v>
      </c>
      <c r="Y166" s="184"/>
      <c r="Z166" s="184"/>
      <c r="AA166" s="184"/>
      <c r="AB166" s="184"/>
      <c r="AC166" s="184"/>
      <c r="AD166" s="184"/>
      <c r="AE166" s="184"/>
      <c r="AF166" s="184"/>
      <c r="AG166" s="207"/>
      <c r="AO166" s="207"/>
      <c r="AS166" s="184"/>
      <c r="AT166" s="184"/>
      <c r="AU166" s="184"/>
      <c r="AV166" s="184"/>
      <c r="AW166">
        <v>1</v>
      </c>
      <c r="AX166">
        <v>4</v>
      </c>
      <c r="AY166">
        <f>Products[[#This Row],[CSA Portion]]*Products[[#This Row],[CSA Times]]</f>
        <v>4</v>
      </c>
      <c r="AZ166">
        <v>3</v>
      </c>
      <c r="BA166">
        <f>Products[[#This Row],[CSA Need]]*Products[[#This Row],[Market Price]]</f>
        <v>12</v>
      </c>
    </row>
    <row r="167" spans="1:53" hidden="1">
      <c r="A167" t="str">
        <f>Products[[#This Row],[Crop]]&amp;Products[[#This Row],[Product]]&amp;Products[[#This Row],[Unit]]</f>
        <v>WisteriaMature StemStem</v>
      </c>
      <c r="B167" t="s">
        <v>138</v>
      </c>
      <c r="C167" t="s">
        <v>181</v>
      </c>
      <c r="D167" t="s">
        <v>213</v>
      </c>
      <c r="E167" t="b">
        <v>0</v>
      </c>
      <c r="F167" t="s">
        <v>474</v>
      </c>
      <c r="G167">
        <v>1</v>
      </c>
      <c r="H167">
        <v>35</v>
      </c>
      <c r="I167">
        <v>35</v>
      </c>
      <c r="J167" t="s">
        <v>2367</v>
      </c>
      <c r="K167">
        <f>_xlfn.XLOOKUP(Products[[#This Row],[Packing Container]],Containers[Container],Containers[Cost])</f>
        <v>4</v>
      </c>
      <c r="M167">
        <v>6</v>
      </c>
      <c r="N167">
        <f>IF(Products[[#This Row],[Unit]]="Bunch",10,0)</f>
        <v>0</v>
      </c>
      <c r="O167">
        <v>15</v>
      </c>
      <c r="P167">
        <f>CrateHaulTime/Products[[#This Row],[Per Crate]]</f>
        <v>2.5714285714285716</v>
      </c>
      <c r="Q167">
        <f>_xlfn.XLOOKUP(Products[[#This Row],[Wash Type]],Table9[Wash Type],Table9[Seconds])*Products[[#This Row],[Wash Factor]]</f>
        <v>0</v>
      </c>
      <c r="R167">
        <v>0</v>
      </c>
      <c r="S167">
        <v>10</v>
      </c>
      <c r="T167">
        <v>3</v>
      </c>
      <c r="U167">
        <v>0</v>
      </c>
      <c r="V167">
        <v>0</v>
      </c>
      <c r="W167">
        <f>MarketHaulTime/CratesPerMarketLoad/Products[[#This Row],[Per Crate]]</f>
        <v>6.4285714285714288</v>
      </c>
      <c r="X167" t="s">
        <v>2482</v>
      </c>
      <c r="AY167">
        <f>Products[[#This Row],[CSA Portion]]*Products[[#This Row],[CSA Times]]</f>
        <v>0</v>
      </c>
      <c r="BA167">
        <f>Products[[#This Row],[CSA Need]]*Products[[#This Row],[Market Price]]</f>
        <v>0</v>
      </c>
    </row>
    <row r="168" spans="1:53" hidden="1">
      <c r="A168" t="str">
        <f>Products[[#This Row],[Crop]]&amp;Products[[#This Row],[Product]]&amp;Products[[#This Row],[Unit]]</f>
        <v>YarrowMature StemStem</v>
      </c>
      <c r="B168" t="s">
        <v>1767</v>
      </c>
      <c r="C168" t="s">
        <v>181</v>
      </c>
      <c r="D168" t="s">
        <v>213</v>
      </c>
      <c r="E168" t="b">
        <v>1</v>
      </c>
      <c r="F168" t="s">
        <v>474</v>
      </c>
      <c r="G168">
        <v>1</v>
      </c>
      <c r="H168">
        <v>50</v>
      </c>
      <c r="I168">
        <v>50</v>
      </c>
      <c r="J168" t="s">
        <v>2367</v>
      </c>
      <c r="K168">
        <f>_xlfn.XLOOKUP(Products[[#This Row],[Packing Container]],Containers[Container],Containers[Cost])</f>
        <v>4</v>
      </c>
      <c r="M168">
        <v>6</v>
      </c>
      <c r="N168">
        <f>IF(Products[[#This Row],[Unit]]="Bunch",10,0)</f>
        <v>0</v>
      </c>
      <c r="O168">
        <v>5</v>
      </c>
      <c r="P168">
        <f>CrateHaulTime/Products[[#This Row],[Per Crate]]</f>
        <v>1.8</v>
      </c>
      <c r="Q168">
        <f>_xlfn.XLOOKUP(Products[[#This Row],[Wash Type]],Table9[Wash Type],Table9[Seconds])*Products[[#This Row],[Wash Factor]]</f>
        <v>0</v>
      </c>
      <c r="R168">
        <v>0</v>
      </c>
      <c r="S168">
        <v>3</v>
      </c>
      <c r="T168">
        <v>3</v>
      </c>
      <c r="U168">
        <v>0</v>
      </c>
      <c r="V168">
        <v>0</v>
      </c>
      <c r="W168">
        <f>MarketHaulTime/CratesPerMarketLoad/Products[[#This Row],[Per Crate]]</f>
        <v>4.5</v>
      </c>
      <c r="X168" t="s">
        <v>2482</v>
      </c>
      <c r="AY168">
        <f>Products[[#This Row],[CSA Portion]]*Products[[#This Row],[CSA Times]]</f>
        <v>0</v>
      </c>
      <c r="BA168">
        <f>Products[[#This Row],[CSA Need]]*Products[[#This Row],[Market Price]]</f>
        <v>0</v>
      </c>
    </row>
    <row r="169" spans="1:53" hidden="1">
      <c r="A169" t="str">
        <f>Products[[#This Row],[Crop]]&amp;Products[[#This Row],[Product]]&amp;Products[[#This Row],[Unit]]</f>
        <v>ZinniaMature StemStem</v>
      </c>
      <c r="B169" t="s">
        <v>139</v>
      </c>
      <c r="C169" t="s">
        <v>181</v>
      </c>
      <c r="D169" t="s">
        <v>213</v>
      </c>
      <c r="E169" t="b">
        <v>1</v>
      </c>
      <c r="F169" t="s">
        <v>474</v>
      </c>
      <c r="G169">
        <v>1</v>
      </c>
      <c r="H169">
        <v>60</v>
      </c>
      <c r="I169">
        <v>60</v>
      </c>
      <c r="J169" t="s">
        <v>2367</v>
      </c>
      <c r="K169">
        <f>_xlfn.XLOOKUP(Products[[#This Row],[Packing Container]],Containers[Container],Containers[Cost])</f>
        <v>4</v>
      </c>
      <c r="M169">
        <v>6</v>
      </c>
      <c r="N169">
        <f>IF(Products[[#This Row],[Unit]]="Bunch",10,0)</f>
        <v>0</v>
      </c>
      <c r="O169">
        <v>5</v>
      </c>
      <c r="P169">
        <f>CrateHaulTime/Products[[#This Row],[Per Crate]]</f>
        <v>1.5</v>
      </c>
      <c r="Q169">
        <f>_xlfn.XLOOKUP(Products[[#This Row],[Wash Type]],Table9[Wash Type],Table9[Seconds])*Products[[#This Row],[Wash Factor]]</f>
        <v>0</v>
      </c>
      <c r="R169">
        <v>0</v>
      </c>
      <c r="S169">
        <v>3</v>
      </c>
      <c r="T169">
        <v>3</v>
      </c>
      <c r="U169">
        <v>0</v>
      </c>
      <c r="V169">
        <v>0</v>
      </c>
      <c r="W169">
        <f>MarketHaulTime/CratesPerMarketLoad/Products[[#This Row],[Per Crate]]</f>
        <v>3.75</v>
      </c>
      <c r="X169" t="s">
        <v>2482</v>
      </c>
      <c r="AY169">
        <f>Products[[#This Row],[CSA Portion]]*Products[[#This Row],[CSA Times]]</f>
        <v>0</v>
      </c>
      <c r="BA169">
        <f>Products[[#This Row],[CSA Need]]*Products[[#This Row],[Market Price]]</f>
        <v>0</v>
      </c>
    </row>
    <row r="170" spans="1:53">
      <c r="A170" t="str">
        <f>Products[[#This Row],[Crop]]&amp;Products[[#This Row],[Product]]&amp;Products[[#This Row],[Unit]]</f>
        <v>BroccoliLoose FloretsBunch</v>
      </c>
      <c r="B170" t="s">
        <v>49</v>
      </c>
      <c r="C170" t="s">
        <v>367</v>
      </c>
      <c r="D170" t="s">
        <v>215</v>
      </c>
      <c r="E170" t="b">
        <v>1</v>
      </c>
      <c r="F170" t="s">
        <v>474</v>
      </c>
      <c r="G170">
        <v>1</v>
      </c>
      <c r="H170">
        <v>24</v>
      </c>
      <c r="I170">
        <v>24</v>
      </c>
      <c r="J170" t="s">
        <v>2368</v>
      </c>
      <c r="K170">
        <f>_xlfn.XLOOKUP(Products[[#This Row],[Packing Container]],Containers[Container],Containers[Cost])</f>
        <v>3.8</v>
      </c>
      <c r="L170">
        <v>7</v>
      </c>
      <c r="M170">
        <v>2</v>
      </c>
      <c r="N170">
        <f>IF(Products[[#This Row],[Unit]]="Bunch",10,0)</f>
        <v>10</v>
      </c>
      <c r="O170">
        <f>8*5</f>
        <v>40</v>
      </c>
      <c r="P170">
        <f>CrateHaulTime/Products[[#This Row],[Per Crate]]</f>
        <v>3.75</v>
      </c>
      <c r="Q170">
        <f>_xlfn.XLOOKUP(Products[[#This Row],[Wash Type]],Table9[Wash Type],Table9[Seconds])*Products[[#This Row],[Wash Factor]]</f>
        <v>0</v>
      </c>
      <c r="R170">
        <v>0</v>
      </c>
      <c r="S170">
        <v>3</v>
      </c>
      <c r="T170">
        <v>3</v>
      </c>
      <c r="U170">
        <v>0</v>
      </c>
      <c r="V170">
        <v>0</v>
      </c>
      <c r="W170">
        <f>MarketHaulTime/CratesPerMarketLoad/Products[[#This Row],[Per Crate]]</f>
        <v>9.375</v>
      </c>
      <c r="X170" t="s">
        <v>2484</v>
      </c>
      <c r="AW170">
        <v>1</v>
      </c>
      <c r="AX170">
        <v>1</v>
      </c>
      <c r="AY170">
        <f>Products[[#This Row],[CSA Portion]]*Products[[#This Row],[CSA Times]]</f>
        <v>1</v>
      </c>
      <c r="AZ170">
        <v>4</v>
      </c>
      <c r="BA170">
        <f>Products[[#This Row],[CSA Need]]*Products[[#This Row],[Market Price]]</f>
        <v>4</v>
      </c>
    </row>
  </sheetData>
  <phoneticPr fontId="4" type="noConversion"/>
  <pageMargins left="0.7" right="0.7" top="0.75" bottom="0.75" header="0.3" footer="0.3"/>
  <pageSetup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1E321-3DE3-7042-8AB7-7B70348F3531}">
  <sheetPr codeName="Sheet16"/>
  <dimension ref="A1"/>
  <sheetViews>
    <sheetView workbookViewId="0"/>
  </sheetViews>
  <sheetFormatPr baseColWidth="10" defaultColWidth="11.5" defaultRowHeight="15"/>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94C0-94D7-459E-B27F-3D47774F5A5F}">
  <sheetPr codeName="Sheet9"/>
  <dimension ref="B2:S733"/>
  <sheetViews>
    <sheetView topLeftCell="A16" workbookViewId="0"/>
  </sheetViews>
  <sheetFormatPr baseColWidth="10" defaultColWidth="8.83203125" defaultRowHeight="15" customHeight="1" outlineLevelCol="1"/>
  <cols>
    <col min="2" max="2" width="26.83203125" customWidth="1"/>
    <col min="3" max="3" width="23.6640625" customWidth="1" outlineLevel="1"/>
    <col min="4" max="4" width="15.33203125" customWidth="1" outlineLevel="1"/>
    <col min="5" max="5" width="23.6640625" customWidth="1" outlineLevel="1"/>
    <col min="6" max="6" width="7.33203125" bestFit="1" customWidth="1" outlineLevel="1"/>
    <col min="7" max="7" width="25.33203125" customWidth="1" outlineLevel="1"/>
    <col min="8" max="8" width="9.33203125" customWidth="1" outlineLevel="1"/>
    <col min="9" max="9" width="9.33203125" customWidth="1"/>
    <col min="10" max="10" width="9.33203125" hidden="1" customWidth="1" outlineLevel="1"/>
    <col min="11" max="11" width="13.5" hidden="1" customWidth="1" outlineLevel="1"/>
    <col min="12" max="12" width="13" hidden="1" customWidth="1" outlineLevel="1"/>
    <col min="13" max="13" width="13.5" hidden="1" customWidth="1" outlineLevel="1"/>
    <col min="14" max="16" width="10" hidden="1" customWidth="1" outlineLevel="1"/>
    <col min="17" max="17" width="10" customWidth="1" collapsed="1"/>
    <col min="18" max="18" width="10" customWidth="1"/>
    <col min="19" max="19" width="14.33203125" customWidth="1"/>
    <col min="20" max="20" width="138.33203125" bestFit="1" customWidth="1"/>
    <col min="21" max="21" width="28.6640625" customWidth="1"/>
  </cols>
  <sheetData>
    <row r="2" spans="2:19" ht="15" customHeight="1">
      <c r="B2" t="s">
        <v>1265</v>
      </c>
      <c r="C2" t="s">
        <v>4</v>
      </c>
      <c r="D2" t="s">
        <v>712</v>
      </c>
      <c r="E2" t="s">
        <v>6</v>
      </c>
      <c r="F2" t="s">
        <v>28</v>
      </c>
      <c r="G2" t="s">
        <v>244</v>
      </c>
      <c r="H2" t="s">
        <v>713</v>
      </c>
      <c r="I2" t="s">
        <v>2216</v>
      </c>
      <c r="J2" t="s">
        <v>2230</v>
      </c>
      <c r="K2" t="s">
        <v>2016</v>
      </c>
      <c r="L2" t="s">
        <v>1591</v>
      </c>
      <c r="M2" t="s">
        <v>39</v>
      </c>
      <c r="N2" t="s">
        <v>2014</v>
      </c>
      <c r="O2" t="s">
        <v>2015</v>
      </c>
      <c r="P2" t="s">
        <v>310</v>
      </c>
      <c r="Q2" t="s">
        <v>369</v>
      </c>
      <c r="R2" t="s">
        <v>1230</v>
      </c>
      <c r="S2" t="s">
        <v>714</v>
      </c>
    </row>
    <row r="3" spans="2:19" ht="15" customHeight="1">
      <c r="B3" t="str">
        <f>Varieties[[#This Row],[Company]] &amp; " " &amp;  Varieties[[#This Row],[Variety]]</f>
        <v>A H Whaley 42-Day</v>
      </c>
      <c r="C3" t="s">
        <v>136</v>
      </c>
      <c r="E3" s="268" t="s">
        <v>3009</v>
      </c>
      <c r="G3" s="268" t="s">
        <v>3010</v>
      </c>
      <c r="H3" t="b">
        <v>0</v>
      </c>
      <c r="P3" t="b">
        <f>ISNUMBER(MATCH(Varieties[[#This Row],[Id]],SeedOrder[Id],0))</f>
        <v>1</v>
      </c>
      <c r="Q3" t="s">
        <v>2916</v>
      </c>
      <c r="S3" t="s">
        <v>3090</v>
      </c>
    </row>
    <row r="4" spans="2:19" ht="15" customHeight="1">
      <c r="B4" t="str">
        <f>Varieties[[#This Row],[Company]] &amp; " " &amp;  Varieties[[#This Row],[Variety]]</f>
        <v>Adaptive Adaptive Early Thai</v>
      </c>
      <c r="C4" t="s">
        <v>112</v>
      </c>
      <c r="D4" t="s">
        <v>171</v>
      </c>
      <c r="E4" t="s">
        <v>861</v>
      </c>
      <c r="G4" t="s">
        <v>488</v>
      </c>
      <c r="H4" t="b">
        <v>1</v>
      </c>
      <c r="P4" t="b">
        <f>ISNUMBER(MATCH(Varieties[[#This Row],[Id]],SeedOrder[Id],0))</f>
        <v>0</v>
      </c>
      <c r="Q4" t="e">
        <v>#N/A</v>
      </c>
      <c r="R4" t="e">
        <v>#N/A</v>
      </c>
      <c r="S4" t="s">
        <v>862</v>
      </c>
    </row>
    <row r="5" spans="2:19" ht="15" customHeight="1">
      <c r="B5" t="str">
        <f>Varieties[[#This Row],[Company]] &amp; " " &amp;  Varieties[[#This Row],[Variety]]</f>
        <v xml:space="preserve"> Affirmed</v>
      </c>
      <c r="C5" t="s">
        <v>44</v>
      </c>
      <c r="D5" t="s">
        <v>151</v>
      </c>
      <c r="E5" t="s">
        <v>1596</v>
      </c>
      <c r="L5">
        <v>4.4000000000000004</v>
      </c>
      <c r="P5" t="b">
        <f>ISNUMBER(MATCH(Varieties[[#This Row],[Id]],SeedOrder[Id],0))</f>
        <v>0</v>
      </c>
      <c r="Q5" t="e">
        <v>#N/A</v>
      </c>
      <c r="R5" t="e">
        <v>#N/A</v>
      </c>
    </row>
    <row r="6" spans="2:19" ht="15" customHeight="1">
      <c r="B6" t="str">
        <f>Varieties[[#This Row],[Company]] &amp; " " &amp;  Varieties[[#This Row],[Variety]]</f>
        <v>Weston Agretti Roscano Saltwort</v>
      </c>
      <c r="C6" t="s">
        <v>409</v>
      </c>
      <c r="D6" t="s">
        <v>1110</v>
      </c>
      <c r="E6" t="s">
        <v>672</v>
      </c>
      <c r="G6" t="s">
        <v>1296</v>
      </c>
      <c r="H6" t="b">
        <v>1</v>
      </c>
      <c r="M6" t="s">
        <v>1111</v>
      </c>
      <c r="P6" t="b">
        <f>ISNUMBER(MATCH(Varieties[[#This Row],[Id]],SeedOrder[Id],0))</f>
        <v>0</v>
      </c>
      <c r="Q6">
        <v>0</v>
      </c>
      <c r="R6">
        <v>0</v>
      </c>
      <c r="S6" t="s">
        <v>1112</v>
      </c>
    </row>
    <row r="7" spans="2:19" ht="15" customHeight="1">
      <c r="B7" t="str">
        <f>Varieties[[#This Row],[Company]] &amp; " " &amp;  Varieties[[#This Row],[Variety]]</f>
        <v>High Mowing Ailsa Craig</v>
      </c>
      <c r="C7" t="s">
        <v>105</v>
      </c>
      <c r="E7" t="s">
        <v>1850</v>
      </c>
      <c r="G7" t="s">
        <v>482</v>
      </c>
      <c r="H7" t="b">
        <v>1</v>
      </c>
      <c r="P7" t="b">
        <f>ISNUMBER(MATCH(Varieties[[#This Row],[Id]],SeedOrder[Id],0))</f>
        <v>0</v>
      </c>
      <c r="Q7">
        <v>6000</v>
      </c>
      <c r="R7" t="s">
        <v>1242</v>
      </c>
      <c r="S7" s="160" t="s">
        <v>2064</v>
      </c>
    </row>
    <row r="8" spans="2:19" ht="15" customHeight="1">
      <c r="B8" t="str">
        <f>Varieties[[#This Row],[Company]] &amp; " " &amp;  Varieties[[#This Row],[Variety]]</f>
        <v xml:space="preserve"> Aji Rico</v>
      </c>
      <c r="C8" t="s">
        <v>112</v>
      </c>
      <c r="D8" t="s">
        <v>171</v>
      </c>
      <c r="E8" t="s">
        <v>1555</v>
      </c>
      <c r="L8">
        <v>4.2</v>
      </c>
      <c r="M8" t="s">
        <v>1553</v>
      </c>
      <c r="P8" t="b">
        <f>ISNUMBER(MATCH(Varieties[[#This Row],[Id]],SeedOrder[Id],0))</f>
        <v>0</v>
      </c>
      <c r="Q8" t="e">
        <v>#N/A</v>
      </c>
      <c r="R8" t="e">
        <v>#N/A</v>
      </c>
    </row>
    <row r="9" spans="2:19" ht="15" customHeight="1">
      <c r="B9" t="str">
        <f>Varieties[[#This Row],[Company]] &amp; " " &amp;  Varieties[[#This Row],[Variety]]</f>
        <v>Uprising All The Year Round</v>
      </c>
      <c r="C9" t="s">
        <v>54</v>
      </c>
      <c r="E9" t="s">
        <v>507</v>
      </c>
      <c r="G9" t="s">
        <v>484</v>
      </c>
      <c r="H9" t="b">
        <v>1</v>
      </c>
      <c r="M9" t="s">
        <v>1198</v>
      </c>
      <c r="P9" t="b">
        <f>ISNUMBER(MATCH(Varieties[[#This Row],[Id]],SeedOrder[Id],0))</f>
        <v>0</v>
      </c>
      <c r="Q9">
        <v>0</v>
      </c>
      <c r="R9">
        <v>0</v>
      </c>
      <c r="S9" t="s">
        <v>1199</v>
      </c>
    </row>
    <row r="10" spans="2:19" ht="15" customHeight="1">
      <c r="B10" t="str">
        <f>Varieties[[#This Row],[Company]] &amp; " " &amp;  Varieties[[#This Row],[Variety]]</f>
        <v>Irish Eyes Allred</v>
      </c>
      <c r="C10" t="s">
        <v>113</v>
      </c>
      <c r="D10" t="s">
        <v>1075</v>
      </c>
      <c r="E10" t="s">
        <v>654</v>
      </c>
      <c r="G10" t="s">
        <v>653</v>
      </c>
      <c r="H10" t="b">
        <v>1</v>
      </c>
      <c r="M10" t="s">
        <v>1076</v>
      </c>
      <c r="P10" t="b">
        <f>ISNUMBER(MATCH(Varieties[[#This Row],[Id]],SeedOrder[Id],0))</f>
        <v>0</v>
      </c>
      <c r="Q10">
        <v>0</v>
      </c>
      <c r="R10">
        <v>0</v>
      </c>
      <c r="S10" t="s">
        <v>1077</v>
      </c>
    </row>
    <row r="11" spans="2:19" ht="15" customHeight="1">
      <c r="B11" t="str">
        <f>Varieties[[#This Row],[Company]] &amp; " " &amp;  Varieties[[#This Row],[Variety]]</f>
        <v>High Mowing Allure F1</v>
      </c>
      <c r="C11" t="s">
        <v>325</v>
      </c>
      <c r="E11" t="s">
        <v>1876</v>
      </c>
      <c r="G11" t="s">
        <v>482</v>
      </c>
      <c r="H11" t="b">
        <v>1</v>
      </c>
      <c r="P11" t="b">
        <f>ISNUMBER(MATCH(Varieties[[#This Row],[Id]],SeedOrder[Id],0))</f>
        <v>0</v>
      </c>
      <c r="Q11">
        <v>1700</v>
      </c>
      <c r="R11" t="s">
        <v>1242</v>
      </c>
      <c r="S11" s="160" t="s">
        <v>2057</v>
      </c>
    </row>
    <row r="12" spans="2:19" ht="15" customHeight="1">
      <c r="B12" t="str">
        <f>Varieties[[#This Row],[Company]] &amp; " " &amp;  Varieties[[#This Row],[Variety]]</f>
        <v>High Mowing Amber</v>
      </c>
      <c r="C12" t="s">
        <v>105</v>
      </c>
      <c r="E12" t="s">
        <v>1844</v>
      </c>
      <c r="G12" t="s">
        <v>482</v>
      </c>
      <c r="H12" t="b">
        <v>1</v>
      </c>
      <c r="P12" t="b">
        <f>ISNUMBER(MATCH(Varieties[[#This Row],[Id]],SeedOrder[Id],0))</f>
        <v>0</v>
      </c>
      <c r="Q12">
        <v>6000</v>
      </c>
      <c r="R12" t="s">
        <v>1242</v>
      </c>
      <c r="S12" s="160" t="s">
        <v>2068</v>
      </c>
    </row>
    <row r="13" spans="2:19" ht="15" customHeight="1">
      <c r="B13" t="str">
        <f>Varieties[[#This Row],[Company]] &amp; " " &amp;  Varieties[[#This Row],[Variety]]</f>
        <v>Adaptive Ambrosia</v>
      </c>
      <c r="C13" t="s">
        <v>75</v>
      </c>
      <c r="E13" t="s">
        <v>523</v>
      </c>
      <c r="G13" t="s">
        <v>488</v>
      </c>
      <c r="H13" t="b">
        <v>1</v>
      </c>
      <c r="P13" t="b">
        <f>ISNUMBER(MATCH(Varieties[[#This Row],[Id]],SeedOrder[Id],0))</f>
        <v>0</v>
      </c>
      <c r="Q13">
        <v>400</v>
      </c>
      <c r="R13" t="s">
        <v>1243</v>
      </c>
      <c r="S13" s="160" t="s">
        <v>821</v>
      </c>
    </row>
    <row r="14" spans="2:19" ht="15" customHeight="1">
      <c r="B14" t="str">
        <f>Varieties[[#This Row],[Company]] &amp; " " &amp;  Varieties[[#This Row],[Variety]]</f>
        <v xml:space="preserve"> Amish Snap</v>
      </c>
      <c r="C14" t="s">
        <v>447</v>
      </c>
      <c r="E14" t="s">
        <v>1622</v>
      </c>
      <c r="L14">
        <v>4.2</v>
      </c>
      <c r="P14" t="b">
        <f>ISNUMBER(MATCH(Varieties[[#This Row],[Id]],SeedOrder[Id],0))</f>
        <v>0</v>
      </c>
      <c r="Q14" t="e">
        <v>#N/A</v>
      </c>
      <c r="R14" t="e">
        <v>#N/A</v>
      </c>
    </row>
    <row r="15" spans="2:19" ht="15" customHeight="1">
      <c r="B15" t="str">
        <f>Varieties[[#This Row],[Company]] &amp; " " &amp;  Varieties[[#This Row],[Variety]]</f>
        <v>Uprising Anarchy Mix</v>
      </c>
      <c r="C15" t="s">
        <v>130</v>
      </c>
      <c r="D15" t="s">
        <v>176</v>
      </c>
      <c r="E15" t="s">
        <v>177</v>
      </c>
      <c r="G15" t="s">
        <v>484</v>
      </c>
      <c r="H15" t="b">
        <v>1</v>
      </c>
      <c r="M15" t="s">
        <v>946</v>
      </c>
      <c r="P15" t="b">
        <f>ISNUMBER(MATCH(Varieties[[#This Row],[Id]],SeedOrder[Id],0))</f>
        <v>0</v>
      </c>
      <c r="Q15" t="e">
        <v>#N/A</v>
      </c>
      <c r="R15" t="e">
        <v>#N/A</v>
      </c>
      <c r="S15" t="s">
        <v>947</v>
      </c>
    </row>
    <row r="16" spans="2:19" ht="15" customHeight="1">
      <c r="B16" t="str">
        <f>Varieties[[#This Row],[Company]] &amp; " " &amp;  Varieties[[#This Row],[Variety]]</f>
        <v>Wild Garden Anemones</v>
      </c>
      <c r="C16" t="s">
        <v>140</v>
      </c>
      <c r="E16" t="s">
        <v>664</v>
      </c>
      <c r="G16" t="s">
        <v>526</v>
      </c>
      <c r="H16" t="b">
        <v>1</v>
      </c>
      <c r="P16" t="b">
        <f>ISNUMBER(MATCH(Varieties[[#This Row],[Id]],SeedOrder[Id],0))</f>
        <v>0</v>
      </c>
      <c r="Q16">
        <v>1618</v>
      </c>
      <c r="R16" t="s">
        <v>1243</v>
      </c>
      <c r="S16" s="160" t="s">
        <v>921</v>
      </c>
    </row>
    <row r="17" spans="2:19" ht="15" customHeight="1">
      <c r="B17" t="str">
        <f>Varieties[[#This Row],[Company]] &amp; " " &amp;  Varieties[[#This Row],[Variety]]</f>
        <v xml:space="preserve"> Annaheim 118</v>
      </c>
      <c r="C17" t="s">
        <v>112</v>
      </c>
      <c r="D17" t="s">
        <v>171</v>
      </c>
      <c r="E17" t="s">
        <v>1667</v>
      </c>
      <c r="L17">
        <v>4.2</v>
      </c>
      <c r="P17" t="b">
        <f>ISNUMBER(MATCH(Varieties[[#This Row],[Id]],SeedOrder[Id],0))</f>
        <v>0</v>
      </c>
      <c r="Q17" t="e">
        <v>#N/A</v>
      </c>
      <c r="R17" t="e">
        <v>#N/A</v>
      </c>
    </row>
    <row r="18" spans="2:19" ht="15" customHeight="1">
      <c r="B18" t="str">
        <f>Varieties[[#This Row],[Company]] &amp; " " &amp;  Varieties[[#This Row],[Variety]]</f>
        <v>High Mowing Annina F1</v>
      </c>
      <c r="C18" t="s">
        <v>76</v>
      </c>
      <c r="E18" t="s">
        <v>1813</v>
      </c>
      <c r="G18" t="s">
        <v>482</v>
      </c>
      <c r="H18" t="b">
        <v>1</v>
      </c>
      <c r="P18" t="b">
        <f>ISNUMBER(MATCH(Varieties[[#This Row],[Id]],SeedOrder[Id],0))</f>
        <v>0</v>
      </c>
      <c r="Q18">
        <v>5500</v>
      </c>
      <c r="R18" t="s">
        <v>1242</v>
      </c>
      <c r="S18" s="160" t="s">
        <v>2060</v>
      </c>
    </row>
    <row r="19" spans="2:19" ht="15" customHeight="1">
      <c r="B19" t="str">
        <f>Varieties[[#This Row],[Company]] &amp; " " &amp;  Varieties[[#This Row],[Variety]]</f>
        <v>Moonglow Gardens Antho Pink Panther</v>
      </c>
      <c r="C19" t="s">
        <v>136</v>
      </c>
      <c r="D19" t="s">
        <v>2267</v>
      </c>
      <c r="E19" t="s">
        <v>2268</v>
      </c>
      <c r="G19" t="s">
        <v>2260</v>
      </c>
      <c r="H19" t="b">
        <v>1</v>
      </c>
      <c r="P19" t="b">
        <f>ISNUMBER(MATCH(Varieties[[#This Row],[Id]],SeedOrder[Id],0))</f>
        <v>0</v>
      </c>
      <c r="S19" t="s">
        <v>2269</v>
      </c>
    </row>
    <row r="20" spans="2:19" ht="15" customHeight="1">
      <c r="B20" t="str">
        <f>Varieties[[#This Row],[Company]] &amp; " " &amp;  Varieties[[#This Row],[Variety]]</f>
        <v>Johnny's Antique Pink</v>
      </c>
      <c r="C20" t="s">
        <v>125</v>
      </c>
      <c r="E20" t="s">
        <v>174</v>
      </c>
      <c r="G20" t="s">
        <v>490</v>
      </c>
      <c r="H20" t="b">
        <v>0</v>
      </c>
      <c r="P20" t="b">
        <f>ISNUMBER(MATCH(Varieties[[#This Row],[Id]],SeedOrder[Id],0))</f>
        <v>0</v>
      </c>
      <c r="Q20">
        <v>13800</v>
      </c>
      <c r="R20" t="s">
        <v>1242</v>
      </c>
      <c r="S20" t="s">
        <v>941</v>
      </c>
    </row>
    <row r="21" spans="2:19" ht="15" customHeight="1">
      <c r="B21" t="str">
        <f>Varieties[[#This Row],[Company]] &amp; " " &amp;  Varieties[[#This Row],[Variety]]</f>
        <v>seed savers Apollo</v>
      </c>
      <c r="C21" t="s">
        <v>42</v>
      </c>
      <c r="E21" t="s">
        <v>534</v>
      </c>
      <c r="G21" t="s">
        <v>725</v>
      </c>
      <c r="H21" t="b">
        <v>0</v>
      </c>
      <c r="P21" t="b">
        <f>ISNUMBER(MATCH(Varieties[[#This Row],[Id]],SeedOrder[Id],0))</f>
        <v>0</v>
      </c>
      <c r="Q21" t="e">
        <v>#N/A</v>
      </c>
      <c r="R21" t="e">
        <v>#N/A</v>
      </c>
      <c r="S21" t="s">
        <v>726</v>
      </c>
    </row>
    <row r="22" spans="2:19" ht="15" customHeight="1">
      <c r="B22" t="str">
        <f>Varieties[[#This Row],[Company]] &amp; " " &amp;  Varieties[[#This Row],[Variety]]</f>
        <v>Territorial Apollo</v>
      </c>
      <c r="C22" t="s">
        <v>366</v>
      </c>
      <c r="E22" t="s">
        <v>534</v>
      </c>
      <c r="G22" t="s">
        <v>533</v>
      </c>
      <c r="H22" t="b">
        <v>1</v>
      </c>
      <c r="M22" t="s">
        <v>1203</v>
      </c>
      <c r="P22" t="b">
        <f>ISNUMBER(MATCH(Varieties[[#This Row],[Id]],SeedOrder[Id],0))</f>
        <v>0</v>
      </c>
      <c r="Q22">
        <v>0</v>
      </c>
      <c r="R22">
        <v>0</v>
      </c>
      <c r="S22" t="s">
        <v>1203</v>
      </c>
    </row>
    <row r="23" spans="2:19" ht="15" customHeight="1">
      <c r="B23" t="str">
        <f>Varieties[[#This Row],[Company]] &amp; " " &amp;  Varieties[[#This Row],[Variety]]</f>
        <v>Wild Garden Apricotta</v>
      </c>
      <c r="C23" t="s">
        <v>67</v>
      </c>
      <c r="E23" t="s">
        <v>1947</v>
      </c>
      <c r="G23" t="s">
        <v>526</v>
      </c>
      <c r="H23" t="b">
        <v>1</v>
      </c>
      <c r="P23" t="b">
        <f>ISNUMBER(MATCH(Varieties[[#This Row],[Id]],SeedOrder[Id],0))</f>
        <v>0</v>
      </c>
      <c r="Q23">
        <v>4000</v>
      </c>
      <c r="R23" t="s">
        <v>1242</v>
      </c>
      <c r="S23" s="160" t="s">
        <v>2167</v>
      </c>
    </row>
    <row r="24" spans="2:19" ht="15" customHeight="1">
      <c r="B24" t="str">
        <f>Varieties[[#This Row],[Company]] &amp; " " &amp;  Varieties[[#This Row],[Variety]]</f>
        <v>Adaptive Aprovecho Hardy</v>
      </c>
      <c r="C24" t="s">
        <v>137</v>
      </c>
      <c r="E24" t="s">
        <v>978</v>
      </c>
      <c r="G24" t="s">
        <v>488</v>
      </c>
      <c r="H24" t="b">
        <v>1</v>
      </c>
      <c r="P24" t="b">
        <f>ISNUMBER(MATCH(Varieties[[#This Row],[Id]],SeedOrder[Id],0))</f>
        <v>0</v>
      </c>
      <c r="Q24">
        <v>250</v>
      </c>
      <c r="R24" t="s">
        <v>1243</v>
      </c>
      <c r="S24" s="160" t="s">
        <v>979</v>
      </c>
    </row>
    <row r="25" spans="2:19" ht="15" customHeight="1">
      <c r="B25" t="str">
        <f>Varieties[[#This Row],[Company]] &amp; " " &amp;  Varieties[[#This Row],[Variety]]</f>
        <v>Sustainable Seed Company Aquadulce</v>
      </c>
      <c r="C25" t="s">
        <v>77</v>
      </c>
      <c r="E25" t="s">
        <v>1815</v>
      </c>
      <c r="G25" t="s">
        <v>1814</v>
      </c>
      <c r="H25" t="b">
        <v>1</v>
      </c>
      <c r="P25" t="b">
        <f>ISNUMBER(MATCH(Varieties[[#This Row],[Id]],SeedOrder[Id],0))</f>
        <v>0</v>
      </c>
      <c r="Q25">
        <v>20</v>
      </c>
      <c r="R25" t="s">
        <v>1242</v>
      </c>
      <c r="S25" s="160" t="s">
        <v>2149</v>
      </c>
    </row>
    <row r="26" spans="2:19" ht="15" customHeight="1">
      <c r="B26" t="str">
        <f>Varieties[[#This Row],[Company]] &amp; " " &amp;  Varieties[[#This Row],[Variety]]</f>
        <v>Uprising AQUADULCE</v>
      </c>
      <c r="C26" t="s">
        <v>77</v>
      </c>
      <c r="E26" t="s">
        <v>619</v>
      </c>
      <c r="G26" t="s">
        <v>484</v>
      </c>
      <c r="H26" t="b">
        <v>1</v>
      </c>
      <c r="M26" t="s">
        <v>1021</v>
      </c>
      <c r="P26" t="b">
        <f>ISNUMBER(MATCH(Varieties[[#This Row],[Id]],SeedOrder[Id],0))</f>
        <v>0</v>
      </c>
      <c r="Q26">
        <v>0</v>
      </c>
      <c r="R26">
        <v>0</v>
      </c>
      <c r="S26" t="s">
        <v>1022</v>
      </c>
    </row>
    <row r="27" spans="2:19" ht="15" customHeight="1">
      <c r="B27" t="str">
        <f>Varieties[[#This Row],[Company]] &amp; " " &amp;  Varieties[[#This Row],[Variety]]</f>
        <v>High Mowing Arun F1</v>
      </c>
      <c r="C27" t="s">
        <v>88</v>
      </c>
      <c r="E27" t="s">
        <v>1915</v>
      </c>
      <c r="G27" t="s">
        <v>482</v>
      </c>
      <c r="H27" t="b">
        <v>1</v>
      </c>
      <c r="P27" t="b">
        <f>ISNUMBER(MATCH(Varieties[[#This Row],[Id]],SeedOrder[Id],0))</f>
        <v>0</v>
      </c>
      <c r="Q27">
        <v>5600</v>
      </c>
      <c r="R27" t="s">
        <v>1242</v>
      </c>
      <c r="S27" s="160" t="s">
        <v>2084</v>
      </c>
    </row>
    <row r="28" spans="2:19" ht="15" customHeight="1">
      <c r="B28" t="str">
        <f>Varieties[[#This Row],[Company]] &amp; " " &amp;  Varieties[[#This Row],[Variety]]</f>
        <v xml:space="preserve"> Astro</v>
      </c>
      <c r="C28" t="s">
        <v>1651</v>
      </c>
      <c r="E28" t="s">
        <v>481</v>
      </c>
      <c r="L28">
        <v>3.5</v>
      </c>
      <c r="P28" t="b">
        <f>ISNUMBER(MATCH(Varieties[[#This Row],[Id]],SeedOrder[Id],0))</f>
        <v>0</v>
      </c>
      <c r="Q28" t="e">
        <v>#N/A</v>
      </c>
      <c r="R28" t="e">
        <v>#N/A</v>
      </c>
    </row>
    <row r="29" spans="2:19" ht="15" customHeight="1">
      <c r="B29" t="str">
        <f>Varieties[[#This Row],[Company]] &amp; " " &amp;  Varieties[[#This Row],[Variety]]</f>
        <v>High Mowing Astro</v>
      </c>
      <c r="C29" t="s">
        <v>42</v>
      </c>
      <c r="E29" t="s">
        <v>481</v>
      </c>
      <c r="G29" t="s">
        <v>482</v>
      </c>
      <c r="H29" t="b">
        <v>1</v>
      </c>
      <c r="P29" t="b">
        <f>ISNUMBER(MATCH(Varieties[[#This Row],[Id]],SeedOrder[Id],0))</f>
        <v>0</v>
      </c>
      <c r="Q29">
        <v>13000</v>
      </c>
      <c r="R29" t="s">
        <v>1242</v>
      </c>
      <c r="S29" t="s">
        <v>727</v>
      </c>
    </row>
    <row r="30" spans="2:19" ht="15" customHeight="1">
      <c r="B30" t="str">
        <f>Varieties[[#This Row],[Company]] &amp; " " &amp;  Varieties[[#This Row],[Variety]]</f>
        <v>Garden Hoard Atomic Fusion</v>
      </c>
      <c r="C30" t="s">
        <v>136</v>
      </c>
      <c r="E30" t="s">
        <v>916</v>
      </c>
      <c r="G30" t="s">
        <v>501</v>
      </c>
      <c r="P30" t="b">
        <f>ISNUMBER(MATCH(Varieties[[#This Row],[Id]],SeedOrder[Id],0))</f>
        <v>0</v>
      </c>
      <c r="Q30" t="e">
        <v>#N/A</v>
      </c>
      <c r="R30" t="e">
        <v>#N/A</v>
      </c>
      <c r="S30" t="s">
        <v>917</v>
      </c>
    </row>
    <row r="31" spans="2:19" ht="15" customHeight="1">
      <c r="B31" t="str">
        <f>Varieties[[#This Row],[Company]] &amp; " " &amp;  Varieties[[#This Row],[Variety]]</f>
        <v>Wild Board Atomic Sunset</v>
      </c>
      <c r="C31" t="s">
        <v>136</v>
      </c>
      <c r="E31" t="s">
        <v>970</v>
      </c>
      <c r="G31" t="s">
        <v>968</v>
      </c>
      <c r="P31" t="b">
        <f>ISNUMBER(MATCH(Varieties[[#This Row],[Id]],SeedOrder[Id],0))</f>
        <v>0</v>
      </c>
      <c r="Q31" t="e">
        <v>#N/A</v>
      </c>
      <c r="R31" t="e">
        <v>#N/A</v>
      </c>
      <c r="S31" t="s">
        <v>971</v>
      </c>
    </row>
    <row r="32" spans="2:19" ht="15" customHeight="1">
      <c r="B32" t="str">
        <f>Varieties[[#This Row],[Company]] &amp; " " &amp;  Varieties[[#This Row],[Variety]]</f>
        <v>Uprising AUNT MOLLY'S</v>
      </c>
      <c r="C32" t="s">
        <v>82</v>
      </c>
      <c r="E32" t="s">
        <v>853</v>
      </c>
      <c r="G32" t="s">
        <v>484</v>
      </c>
      <c r="H32" t="b">
        <v>1</v>
      </c>
      <c r="M32" t="s">
        <v>854</v>
      </c>
      <c r="P32" t="b">
        <f>ISNUMBER(MATCH(Varieties[[#This Row],[Id]],SeedOrder[Id],0))</f>
        <v>0</v>
      </c>
      <c r="Q32" t="s">
        <v>2192</v>
      </c>
      <c r="R32" t="s">
        <v>2192</v>
      </c>
      <c r="S32" s="160" t="s">
        <v>855</v>
      </c>
    </row>
    <row r="33" spans="2:19" ht="15" customHeight="1">
      <c r="B33" t="str">
        <f>Varieties[[#This Row],[Company]] &amp; " " &amp;  Varieties[[#This Row],[Variety]]</f>
        <v>Osborne Austrian Winter Pea</v>
      </c>
      <c r="C33" t="s">
        <v>447</v>
      </c>
      <c r="D33" t="s">
        <v>341</v>
      </c>
      <c r="E33" t="s">
        <v>371</v>
      </c>
      <c r="G33" t="s">
        <v>503</v>
      </c>
      <c r="H33" t="b">
        <v>1</v>
      </c>
      <c r="M33" s="47" t="s">
        <v>1267</v>
      </c>
      <c r="N33" s="47"/>
      <c r="O33" s="47"/>
      <c r="P33" s="47" t="b">
        <f>ISNUMBER(MATCH(Varieties[[#This Row],[Id]],SeedOrder[Id],0))</f>
        <v>0</v>
      </c>
      <c r="Q33" t="e">
        <v>#N/A</v>
      </c>
      <c r="R33" s="47" t="e">
        <v>#N/A</v>
      </c>
      <c r="S33" t="s">
        <v>1266</v>
      </c>
    </row>
    <row r="34" spans="2:19" ht="15" customHeight="1">
      <c r="B34" t="str">
        <f>Varieties[[#This Row],[Company]] &amp; " " &amp;  Varieties[[#This Row],[Variety]]</f>
        <v>Uprising Autum Sunset</v>
      </c>
      <c r="C34" t="s">
        <v>140</v>
      </c>
      <c r="E34" t="s">
        <v>662</v>
      </c>
      <c r="G34" t="s">
        <v>484</v>
      </c>
      <c r="H34" t="b">
        <v>1</v>
      </c>
      <c r="P34" t="b">
        <f>ISNUMBER(MATCH(Varieties[[#This Row],[Id]],SeedOrder[Id],0))</f>
        <v>0</v>
      </c>
      <c r="Q34" t="s">
        <v>2192</v>
      </c>
      <c r="R34" t="s">
        <v>2192</v>
      </c>
      <c r="S34" s="160" t="s">
        <v>919</v>
      </c>
    </row>
    <row r="35" spans="2:19" ht="15" customHeight="1">
      <c r="B35" t="str">
        <f>Varieties[[#This Row],[Company]] &amp; " " &amp;  Varieties[[#This Row],[Variety]]</f>
        <v>Wild Garden Autum Sunset</v>
      </c>
      <c r="C35" t="s">
        <v>140</v>
      </c>
      <c r="E35" t="s">
        <v>662</v>
      </c>
      <c r="G35" t="s">
        <v>526</v>
      </c>
      <c r="H35" t="b">
        <v>1</v>
      </c>
      <c r="P35" t="b">
        <f>ISNUMBER(MATCH(Varieties[[#This Row],[Id]],SeedOrder[Id],0))</f>
        <v>0</v>
      </c>
      <c r="Q35" t="e">
        <v>#N/A</v>
      </c>
      <c r="R35" t="e">
        <v>#N/A</v>
      </c>
      <c r="S35" t="s">
        <v>924</v>
      </c>
    </row>
    <row r="36" spans="2:19" ht="15" customHeight="1">
      <c r="B36" t="str">
        <f>Varieties[[#This Row],[Company]] &amp; " " &amp;  Varieties[[#This Row],[Variety]]</f>
        <v>High Mowing Badger Flame</v>
      </c>
      <c r="C36" t="s">
        <v>46</v>
      </c>
      <c r="E36" t="s">
        <v>601</v>
      </c>
      <c r="G36" t="s">
        <v>482</v>
      </c>
      <c r="H36" t="b">
        <v>1</v>
      </c>
      <c r="M36" s="30" t="s">
        <v>1300</v>
      </c>
      <c r="N36" s="30"/>
      <c r="O36" s="30"/>
      <c r="P36" s="30" t="b">
        <f>ISNUMBER(MATCH(Varieties[[#This Row],[Id]],SeedOrder[Id],0))</f>
        <v>1</v>
      </c>
      <c r="Q36">
        <v>1500</v>
      </c>
      <c r="R36" s="30" t="s">
        <v>1242</v>
      </c>
      <c r="S36" t="s">
        <v>1299</v>
      </c>
    </row>
    <row r="37" spans="2:19" ht="15" customHeight="1">
      <c r="B37" t="str">
        <f>Varieties[[#This Row],[Company]] &amp; " " &amp;  Varieties[[#This Row],[Variety]]</f>
        <v>Row 7 Badger Flame</v>
      </c>
      <c r="C37" t="s">
        <v>46</v>
      </c>
      <c r="D37" t="s">
        <v>1123</v>
      </c>
      <c r="E37" t="s">
        <v>601</v>
      </c>
      <c r="G37" t="s">
        <v>602</v>
      </c>
      <c r="H37" t="b">
        <v>1</v>
      </c>
      <c r="M37" t="s">
        <v>1141</v>
      </c>
      <c r="P37" t="b">
        <f>ISNUMBER(MATCH(Varieties[[#This Row],[Id]],SeedOrder[Id],0))</f>
        <v>0</v>
      </c>
      <c r="Q37" t="s">
        <v>2192</v>
      </c>
      <c r="R37" t="s">
        <v>2192</v>
      </c>
      <c r="S37" s="160" t="s">
        <v>1142</v>
      </c>
    </row>
    <row r="38" spans="2:19" ht="15" customHeight="1">
      <c r="B38" t="str">
        <f>Varieties[[#This Row],[Company]] &amp; " " &amp;  Varieties[[#This Row],[Variety]]</f>
        <v>True Love Seeds BAMBARA GROUNDNUTS MIX</v>
      </c>
      <c r="C38" t="s">
        <v>1113</v>
      </c>
      <c r="D38" t="s">
        <v>160</v>
      </c>
      <c r="E38" t="s">
        <v>1114</v>
      </c>
      <c r="G38" t="s">
        <v>1115</v>
      </c>
      <c r="M38" t="s">
        <v>1116</v>
      </c>
      <c r="P38" t="b">
        <f>ISNUMBER(MATCH(Varieties[[#This Row],[Id]],SeedOrder[Id],0))</f>
        <v>0</v>
      </c>
      <c r="Q38" t="e">
        <v>#N/A</v>
      </c>
      <c r="R38" t="e">
        <v>#N/A</v>
      </c>
      <c r="S38" t="s">
        <v>1117</v>
      </c>
    </row>
    <row r="39" spans="2:19" ht="15" customHeight="1">
      <c r="B39" t="str">
        <f>Varieties[[#This Row],[Company]] &amp; " " &amp;  Varieties[[#This Row],[Variety]]</f>
        <v>Tomato Fest Banana Legs</v>
      </c>
      <c r="C39" t="s">
        <v>136</v>
      </c>
      <c r="E39" s="268" t="s">
        <v>3024</v>
      </c>
      <c r="G39" s="268" t="s">
        <v>695</v>
      </c>
      <c r="H39" t="b">
        <v>1</v>
      </c>
      <c r="P39" t="b">
        <f>ISNUMBER(MATCH(Varieties[[#This Row],[Id]],SeedOrder[Id],0))</f>
        <v>1</v>
      </c>
      <c r="Q39" t="s">
        <v>2916</v>
      </c>
      <c r="S39" t="s">
        <v>3079</v>
      </c>
    </row>
    <row r="40" spans="2:19" ht="15" customHeight="1">
      <c r="B40" t="str">
        <f>Varieties[[#This Row],[Company]] &amp; " " &amp;  Varieties[[#This Row],[Variety]]</f>
        <v>Adaptive Bangkok</v>
      </c>
      <c r="C40" t="s">
        <v>80</v>
      </c>
      <c r="E40" t="s">
        <v>840</v>
      </c>
      <c r="G40" t="s">
        <v>488</v>
      </c>
      <c r="H40" t="b">
        <v>1</v>
      </c>
      <c r="P40" t="b">
        <f>ISNUMBER(MATCH(Varieties[[#This Row],[Id]],SeedOrder[Id],0))</f>
        <v>0</v>
      </c>
      <c r="Q40" t="e">
        <v>#N/A</v>
      </c>
      <c r="R40" t="e">
        <v>#N/A</v>
      </c>
      <c r="S40" t="s">
        <v>841</v>
      </c>
    </row>
    <row r="41" spans="2:19" ht="15" customHeight="1">
      <c r="B41" t="str">
        <f>Varieties[[#This Row],[Company]] &amp; " " &amp;  Varieties[[#This Row],[Variety]]</f>
        <v xml:space="preserve"> Banjo</v>
      </c>
      <c r="C41" t="s">
        <v>123</v>
      </c>
      <c r="E41" t="s">
        <v>1636</v>
      </c>
      <c r="L41">
        <v>3.7</v>
      </c>
      <c r="P41" t="b">
        <f>ISNUMBER(MATCH(Varieties[[#This Row],[Id]],SeedOrder[Id],0))</f>
        <v>0</v>
      </c>
      <c r="Q41" t="e">
        <v>#N/A</v>
      </c>
      <c r="R41" t="e">
        <v>#N/A</v>
      </c>
    </row>
    <row r="42" spans="2:19" ht="15" customHeight="1">
      <c r="B42" t="str">
        <f>Varieties[[#This Row],[Company]] &amp; " " &amp;  Varieties[[#This Row],[Variety]]</f>
        <v>Uprising Barnwood Gem</v>
      </c>
      <c r="C42" t="s">
        <v>92</v>
      </c>
      <c r="D42" t="s">
        <v>942</v>
      </c>
      <c r="E42" t="s">
        <v>544</v>
      </c>
      <c r="G42" t="s">
        <v>484</v>
      </c>
      <c r="H42" t="b">
        <v>1</v>
      </c>
      <c r="P42" t="b">
        <f>ISNUMBER(MATCH(Varieties[[#This Row],[Id]],SeedOrder[Id],0))</f>
        <v>0</v>
      </c>
      <c r="Q42" t="e">
        <v>#N/A</v>
      </c>
      <c r="R42" t="e">
        <v>#N/A</v>
      </c>
      <c r="S42" t="s">
        <v>944</v>
      </c>
    </row>
    <row r="43" spans="2:19" ht="15" customHeight="1">
      <c r="B43" t="str">
        <f>Varieties[[#This Row],[Company]] &amp; " " &amp;  Varieties[[#This Row],[Variety]]</f>
        <v>Uprising BASKET FLOWER, 'ALOHA BLANCA'</v>
      </c>
      <c r="C43" t="s">
        <v>65</v>
      </c>
      <c r="D43" t="s">
        <v>735</v>
      </c>
      <c r="E43" t="s">
        <v>596</v>
      </c>
      <c r="G43" t="s">
        <v>484</v>
      </c>
      <c r="H43" t="b">
        <v>1</v>
      </c>
      <c r="P43" t="b">
        <f>ISNUMBER(MATCH(Varieties[[#This Row],[Id]],SeedOrder[Id],0))</f>
        <v>0</v>
      </c>
      <c r="Q43">
        <v>0</v>
      </c>
      <c r="R43">
        <v>0</v>
      </c>
      <c r="S43" t="s">
        <v>736</v>
      </c>
    </row>
    <row r="44" spans="2:19" ht="15" customHeight="1">
      <c r="B44" t="str">
        <f>Varieties[[#This Row],[Company]] &amp; " " &amp;  Varieties[[#This Row],[Variety]]</f>
        <v>Uprising Basque</v>
      </c>
      <c r="C44" t="s">
        <v>112</v>
      </c>
      <c r="D44" t="s">
        <v>171</v>
      </c>
      <c r="E44" t="s">
        <v>859</v>
      </c>
      <c r="G44" t="s">
        <v>484</v>
      </c>
      <c r="H44" t="b">
        <v>1</v>
      </c>
      <c r="P44" t="b">
        <f>ISNUMBER(MATCH(Varieties[[#This Row],[Id]],SeedOrder[Id],0))</f>
        <v>0</v>
      </c>
      <c r="Q44" t="e">
        <v>#N/A</v>
      </c>
      <c r="R44" t="e">
        <v>#N/A</v>
      </c>
      <c r="S44" t="s">
        <v>860</v>
      </c>
    </row>
    <row r="45" spans="2:19" ht="15" customHeight="1">
      <c r="B45" t="str">
        <f>Varieties[[#This Row],[Company]] &amp; " " &amp;  Varieties[[#This Row],[Variety]]</f>
        <v>Johnny's Bastan</v>
      </c>
      <c r="C45" t="s">
        <v>112</v>
      </c>
      <c r="D45" t="s">
        <v>171</v>
      </c>
      <c r="E45" t="s">
        <v>863</v>
      </c>
      <c r="G45" t="s">
        <v>490</v>
      </c>
      <c r="P45" t="b">
        <f>ISNUMBER(MATCH(Varieties[[#This Row],[Id]],SeedOrder[Id],0))</f>
        <v>0</v>
      </c>
      <c r="Q45" t="e">
        <v>#N/A</v>
      </c>
      <c r="R45" t="e">
        <v>#N/A</v>
      </c>
      <c r="S45" t="s">
        <v>1359</v>
      </c>
    </row>
    <row r="46" spans="2:19" ht="15" customHeight="1">
      <c r="B46" t="str">
        <f>Varieties[[#This Row],[Company]] &amp; " " &amp;  Varieties[[#This Row],[Variety]]</f>
        <v>Johnny's Bastan F1</v>
      </c>
      <c r="C46" t="s">
        <v>112</v>
      </c>
      <c r="E46" t="s">
        <v>1882</v>
      </c>
      <c r="G46" t="s">
        <v>490</v>
      </c>
      <c r="H46" t="b">
        <v>1</v>
      </c>
      <c r="P46" t="b">
        <f>ISNUMBER(MATCH(Varieties[[#This Row],[Id]],SeedOrder[Id],0))</f>
        <v>0</v>
      </c>
      <c r="Q46">
        <v>55000</v>
      </c>
      <c r="R46" t="s">
        <v>1241</v>
      </c>
      <c r="S46" s="160" t="s">
        <v>1359</v>
      </c>
    </row>
    <row r="47" spans="2:19" ht="15" customHeight="1">
      <c r="B47" t="str">
        <f>Varieties[[#This Row],[Company]] &amp; " " &amp;  Varieties[[#This Row],[Variety]]</f>
        <v>Johnny's Bauer</v>
      </c>
      <c r="C47" t="s">
        <v>92</v>
      </c>
      <c r="E47" t="s">
        <v>1827</v>
      </c>
      <c r="G47" t="s">
        <v>490</v>
      </c>
      <c r="H47" t="b">
        <v>1</v>
      </c>
      <c r="P47" t="b">
        <f>ISNUMBER(MATCH(Varieties[[#This Row],[Id]],SeedOrder[Id],0))</f>
        <v>0</v>
      </c>
      <c r="Q47">
        <v>524393</v>
      </c>
      <c r="R47" t="s">
        <v>1241</v>
      </c>
      <c r="S47" s="160" t="s">
        <v>2100</v>
      </c>
    </row>
    <row r="48" spans="2:19" ht="15" customHeight="1">
      <c r="B48" t="str">
        <f>Varieties[[#This Row],[Company]] &amp; " " &amp;  Varieties[[#This Row],[Variety]]</f>
        <v>Osborne BAUER LETTUCE - Pelleted</v>
      </c>
      <c r="C48" t="s">
        <v>92</v>
      </c>
      <c r="D48" t="s">
        <v>942</v>
      </c>
      <c r="E48" t="s">
        <v>548</v>
      </c>
      <c r="G48" t="s">
        <v>503</v>
      </c>
      <c r="H48" t="b">
        <v>1</v>
      </c>
      <c r="M48" t="s">
        <v>1045</v>
      </c>
      <c r="P48" t="b">
        <f>ISNUMBER(MATCH(Varieties[[#This Row],[Id]],SeedOrder[Id],0))</f>
        <v>0</v>
      </c>
      <c r="Q48">
        <v>0</v>
      </c>
      <c r="R48">
        <v>0</v>
      </c>
      <c r="S48" t="s">
        <v>1046</v>
      </c>
    </row>
    <row r="49" spans="2:19" ht="15" customHeight="1">
      <c r="B49" t="str">
        <f>Varieties[[#This Row],[Company]] &amp; " " &amp;  Varieties[[#This Row],[Variety]]</f>
        <v xml:space="preserve"> Beacon</v>
      </c>
      <c r="C49" t="s">
        <v>112</v>
      </c>
      <c r="D49" t="s">
        <v>994</v>
      </c>
      <c r="E49" t="s">
        <v>1670</v>
      </c>
      <c r="L49">
        <v>4.0999999999999996</v>
      </c>
      <c r="P49" t="b">
        <f>ISNUMBER(MATCH(Varieties[[#This Row],[Id]],SeedOrder[Id],0))</f>
        <v>0</v>
      </c>
      <c r="Q49" t="e">
        <v>#N/A</v>
      </c>
      <c r="R49" t="e">
        <v>#N/A</v>
      </c>
    </row>
    <row r="50" spans="2:19" ht="15" customHeight="1">
      <c r="B50" t="str">
        <f>Varieties[[#This Row],[Company]] &amp; " " &amp;  Varieties[[#This Row],[Variety]]</f>
        <v>Uprising BEATRICE</v>
      </c>
      <c r="C50" t="s">
        <v>356</v>
      </c>
      <c r="D50" t="s">
        <v>1220</v>
      </c>
      <c r="E50" t="s">
        <v>658</v>
      </c>
      <c r="G50" t="s">
        <v>484</v>
      </c>
      <c r="H50" t="b">
        <v>1</v>
      </c>
      <c r="M50" s="30" t="s">
        <v>1291</v>
      </c>
      <c r="N50" s="30"/>
      <c r="O50" s="30"/>
      <c r="P50" s="30" t="b">
        <f>ISNUMBER(MATCH(Varieties[[#This Row],[Id]],SeedOrder[Id],0))</f>
        <v>0</v>
      </c>
      <c r="Q50">
        <v>18000</v>
      </c>
      <c r="R50" t="s">
        <v>1242</v>
      </c>
      <c r="S50" s="160" t="s">
        <v>1221</v>
      </c>
    </row>
    <row r="51" spans="2:19" ht="15" customHeight="1">
      <c r="B51" t="str">
        <f>Varieties[[#This Row],[Company]] &amp; " " &amp;  Varieties[[#This Row],[Variety]]</f>
        <v>Uprising Beatrice</v>
      </c>
      <c r="C51" t="s">
        <v>356</v>
      </c>
      <c r="E51" t="s">
        <v>1866</v>
      </c>
      <c r="G51" t="s">
        <v>484</v>
      </c>
      <c r="H51" t="b">
        <v>1</v>
      </c>
      <c r="P51" t="b">
        <f>ISNUMBER(MATCH(Varieties[[#This Row],[Id]],SeedOrder[Id],0))</f>
        <v>0</v>
      </c>
      <c r="Q51">
        <v>13000</v>
      </c>
      <c r="R51" t="s">
        <v>1242</v>
      </c>
      <c r="S51" s="160" t="s">
        <v>2157</v>
      </c>
    </row>
    <row r="52" spans="2:19" ht="15" customHeight="1">
      <c r="B52" t="str">
        <f>Varieties[[#This Row],[Company]] &amp; " " &amp;  Varieties[[#This Row],[Variety]]</f>
        <v>A P Whaley Beauty King</v>
      </c>
      <c r="C52" t="s">
        <v>136</v>
      </c>
      <c r="E52" s="268" t="s">
        <v>3036</v>
      </c>
      <c r="G52" s="268" t="s">
        <v>3040</v>
      </c>
      <c r="H52" t="b">
        <v>1</v>
      </c>
      <c r="P52" t="b">
        <f>ISNUMBER(MATCH(Varieties[[#This Row],[Id]],SeedOrder[Id],0))</f>
        <v>1</v>
      </c>
      <c r="Q52" t="s">
        <v>2916</v>
      </c>
      <c r="S52" t="s">
        <v>3096</v>
      </c>
    </row>
    <row r="53" spans="2:19" ht="15" customHeight="1">
      <c r="B53" t="str">
        <f>Varieties[[#This Row],[Company]] &amp; " " &amp;  Varieties[[#This Row],[Variety]]</f>
        <v>A P Whaley Beefy Purple</v>
      </c>
      <c r="C53" t="s">
        <v>136</v>
      </c>
      <c r="E53" s="268" t="s">
        <v>3091</v>
      </c>
      <c r="G53" s="268" t="s">
        <v>3040</v>
      </c>
      <c r="H53" t="b">
        <v>1</v>
      </c>
      <c r="P53" t="b">
        <f>ISNUMBER(MATCH(Varieties[[#This Row],[Id]],SeedOrder[Id],0))</f>
        <v>1</v>
      </c>
      <c r="Q53" t="s">
        <v>2916</v>
      </c>
      <c r="S53" t="s">
        <v>3092</v>
      </c>
    </row>
    <row r="54" spans="2:19" ht="15" customHeight="1">
      <c r="B54" t="str">
        <f>Varieties[[#This Row],[Company]] &amp; " " &amp;  Varieties[[#This Row],[Variety]]</f>
        <v xml:space="preserve"> Beet</v>
      </c>
      <c r="C54" t="s">
        <v>46</v>
      </c>
      <c r="D54" t="s">
        <v>551</v>
      </c>
      <c r="E54" t="s">
        <v>46</v>
      </c>
      <c r="L54">
        <v>3.4</v>
      </c>
      <c r="P54" t="b">
        <f>ISNUMBER(MATCH(Varieties[[#This Row],[Id]],SeedOrder[Id],0))</f>
        <v>0</v>
      </c>
      <c r="Q54" t="e">
        <v>#N/A</v>
      </c>
      <c r="R54" t="e">
        <v>#N/A</v>
      </c>
    </row>
    <row r="55" spans="2:19" ht="15" customHeight="1">
      <c r="B55" t="str">
        <f>Varieties[[#This Row],[Company]] &amp; " " &amp;  Varieties[[#This Row],[Variety]]</f>
        <v xml:space="preserve"> Belmonda</v>
      </c>
      <c r="C55" t="s">
        <v>113</v>
      </c>
      <c r="D55" t="s">
        <v>1123</v>
      </c>
      <c r="E55" t="s">
        <v>1678</v>
      </c>
      <c r="L55">
        <v>4.0999999999999996</v>
      </c>
      <c r="P55" t="b">
        <f>ISNUMBER(MATCH(Varieties[[#This Row],[Id]],SeedOrder[Id],0))</f>
        <v>0</v>
      </c>
      <c r="Q55" t="e">
        <v>#N/A</v>
      </c>
      <c r="R55" t="e">
        <v>#N/A</v>
      </c>
    </row>
    <row r="56" spans="2:19" ht="15" customHeight="1">
      <c r="B56" t="str">
        <f>Varieties[[#This Row],[Company]] &amp; " " &amp;  Varieties[[#This Row],[Variety]]</f>
        <v>Johnny's Benary's Giant Mix</v>
      </c>
      <c r="C56" t="s">
        <v>139</v>
      </c>
      <c r="E56" t="s">
        <v>2006</v>
      </c>
      <c r="G56" t="s">
        <v>490</v>
      </c>
      <c r="H56" t="b">
        <v>0</v>
      </c>
      <c r="P56" t="b">
        <f>ISNUMBER(MATCH(Varieties[[#This Row],[Id]],SeedOrder[Id],0))</f>
        <v>0</v>
      </c>
      <c r="Q56">
        <v>3200</v>
      </c>
      <c r="R56" t="s">
        <v>1242</v>
      </c>
      <c r="S56" s="160" t="s">
        <v>2140</v>
      </c>
    </row>
    <row r="57" spans="2:19" ht="15" customHeight="1">
      <c r="B57" t="str">
        <f>Varieties[[#This Row],[Company]] &amp; " " &amp;  Varieties[[#This Row],[Variety]]</f>
        <v>Fedco Benary's Giant Mix</v>
      </c>
      <c r="C57" t="s">
        <v>139</v>
      </c>
      <c r="E57" t="s">
        <v>2006</v>
      </c>
      <c r="G57" t="s">
        <v>2023</v>
      </c>
      <c r="H57" t="b">
        <v>0</v>
      </c>
      <c r="P57" t="b">
        <f>ISNUMBER(MATCH(Varieties[[#This Row],[Id]],SeedOrder[Id],0))</f>
        <v>0</v>
      </c>
      <c r="Q57">
        <v>3200</v>
      </c>
      <c r="R57" t="s">
        <v>1242</v>
      </c>
      <c r="S57" s="160" t="s">
        <v>2280</v>
      </c>
    </row>
    <row r="58" spans="2:19" ht="15" customHeight="1">
      <c r="B58" t="str">
        <f>Varieties[[#This Row],[Company]] &amp; " " &amp;  Varieties[[#This Row],[Variety]]</f>
        <v>Bene Benevento</v>
      </c>
      <c r="C58" t="s">
        <v>136</v>
      </c>
      <c r="E58" t="s">
        <v>2845</v>
      </c>
      <c r="G58" s="268" t="s">
        <v>2846</v>
      </c>
      <c r="H58" t="b">
        <v>0</v>
      </c>
      <c r="P58" t="b">
        <f>ISNUMBER(MATCH(Varieties[[#This Row],[Id]],SeedOrder[Id],0))</f>
        <v>0</v>
      </c>
      <c r="Q58" t="s">
        <v>2916</v>
      </c>
      <c r="S58" t="s">
        <v>2934</v>
      </c>
    </row>
    <row r="59" spans="2:19" ht="15" customHeight="1">
      <c r="B59" t="str">
        <f>Varieties[[#This Row],[Company]] &amp; " " &amp;  Varieties[[#This Row],[Variety]]</f>
        <v>High Mowing Bengala F1</v>
      </c>
      <c r="C59" t="s">
        <v>53</v>
      </c>
      <c r="D59" t="s">
        <v>988</v>
      </c>
      <c r="E59" t="s">
        <v>1269</v>
      </c>
      <c r="G59" t="s">
        <v>482</v>
      </c>
      <c r="H59" t="b">
        <v>1</v>
      </c>
      <c r="M59" s="30" t="s">
        <v>1270</v>
      </c>
      <c r="N59" s="30"/>
      <c r="O59" s="30"/>
      <c r="P59" s="30" t="b">
        <f>ISNUMBER(MATCH(Varieties[[#This Row],[Id]],SeedOrder[Id],0))</f>
        <v>1</v>
      </c>
      <c r="Q59">
        <v>11000</v>
      </c>
      <c r="R59" s="30" t="s">
        <v>1242</v>
      </c>
      <c r="S59" t="s">
        <v>1268</v>
      </c>
    </row>
    <row r="60" spans="2:19" ht="15" customHeight="1">
      <c r="B60" t="str">
        <f>Varieties[[#This Row],[Company]] &amp; " " &amp;  Varieties[[#This Row],[Variety]]</f>
        <v>Park Seed Berlin F1 Berlicum</v>
      </c>
      <c r="C60" t="s">
        <v>53</v>
      </c>
      <c r="D60" t="s">
        <v>988</v>
      </c>
      <c r="E60" t="s">
        <v>504</v>
      </c>
      <c r="G60" t="s">
        <v>505</v>
      </c>
      <c r="H60" t="b">
        <v>0</v>
      </c>
      <c r="M60" t="s">
        <v>989</v>
      </c>
      <c r="P60" t="b">
        <f>ISNUMBER(MATCH(Varieties[[#This Row],[Id]],SeedOrder[Id],0))</f>
        <v>0</v>
      </c>
      <c r="Q60" t="e">
        <v>#N/A</v>
      </c>
      <c r="R60" t="e">
        <v>#N/A</v>
      </c>
      <c r="S60" t="s">
        <v>990</v>
      </c>
    </row>
    <row r="61" spans="2:19" ht="15" customHeight="1">
      <c r="B61" t="str">
        <f>Varieties[[#This Row],[Company]] &amp; " " &amp;  Varieties[[#This Row],[Variety]]</f>
        <v>Wild Garden Bicolor Violet</v>
      </c>
      <c r="C61" t="s">
        <v>67</v>
      </c>
      <c r="E61" t="s">
        <v>2166</v>
      </c>
      <c r="G61" t="s">
        <v>526</v>
      </c>
      <c r="H61" t="b">
        <v>1</v>
      </c>
      <c r="P61" t="b">
        <f>ISNUMBER(MATCH(Varieties[[#This Row],[Id]],SeedOrder[Id],0))</f>
        <v>0</v>
      </c>
      <c r="Q61">
        <v>4000</v>
      </c>
      <c r="R61" t="s">
        <v>1242</v>
      </c>
      <c r="S61" s="160" t="s">
        <v>2165</v>
      </c>
    </row>
    <row r="62" spans="2:19" ht="15" customHeight="1">
      <c r="B62" t="str">
        <f>Varieties[[#This Row],[Company]] &amp; " " &amp;  Varieties[[#This Row],[Variety]]</f>
        <v>Kitazawa Big Round Leaf</v>
      </c>
      <c r="C62" t="s">
        <v>96</v>
      </c>
      <c r="E62" t="s">
        <v>2018</v>
      </c>
      <c r="G62" t="s">
        <v>510</v>
      </c>
      <c r="H62" t="b">
        <v>0</v>
      </c>
      <c r="P62" t="b">
        <f>ISNUMBER(MATCH(Varieties[[#This Row],[Id]],SeedOrder[Id],0))</f>
        <v>0</v>
      </c>
      <c r="Q62">
        <v>800</v>
      </c>
      <c r="R62" t="s">
        <v>1242</v>
      </c>
      <c r="S62" s="160" t="s">
        <v>2141</v>
      </c>
    </row>
    <row r="63" spans="2:19" ht="15" customHeight="1">
      <c r="B63" t="str">
        <f>Varieties[[#This Row],[Company]] &amp; " " &amp;  Varieties[[#This Row],[Variety]]</f>
        <v>High Mowing Bilko F1</v>
      </c>
      <c r="C63" t="s">
        <v>52</v>
      </c>
      <c r="E63" t="s">
        <v>1903</v>
      </c>
      <c r="G63" t="s">
        <v>482</v>
      </c>
      <c r="H63" t="b">
        <v>1</v>
      </c>
      <c r="P63" t="b">
        <f>ISNUMBER(MATCH(Varieties[[#This Row],[Id]],SeedOrder[Id],0))</f>
        <v>1</v>
      </c>
      <c r="Q63">
        <v>4800</v>
      </c>
      <c r="R63" t="s">
        <v>1242</v>
      </c>
      <c r="S63" s="160" t="s">
        <v>2040</v>
      </c>
    </row>
    <row r="64" spans="2:19" ht="15" customHeight="1">
      <c r="B64" t="str">
        <f>Varieties[[#This Row],[Company]] &amp; " " &amp;  Varieties[[#This Row],[Variety]]</f>
        <v>Uprising Biquinho Red</v>
      </c>
      <c r="C64" t="s">
        <v>112</v>
      </c>
      <c r="D64" t="s">
        <v>171</v>
      </c>
      <c r="E64" t="s">
        <v>644</v>
      </c>
      <c r="G64" t="s">
        <v>484</v>
      </c>
      <c r="H64" t="b">
        <v>1</v>
      </c>
      <c r="M64" t="s">
        <v>856</v>
      </c>
      <c r="P64" t="b">
        <f>ISNUMBER(MATCH(Varieties[[#This Row],[Id]],SeedOrder[Id],0))</f>
        <v>0</v>
      </c>
      <c r="Q64" t="e">
        <v>#N/A</v>
      </c>
      <c r="R64" t="e">
        <v>#N/A</v>
      </c>
      <c r="S64" t="s">
        <v>857</v>
      </c>
    </row>
    <row r="65" spans="2:19" ht="15" customHeight="1">
      <c r="B65" t="str">
        <f>Varieties[[#This Row],[Company]] &amp; " " &amp;  Varieties[[#This Row],[Variety]]</f>
        <v>Uprising Biquinho Yellow</v>
      </c>
      <c r="C65" t="s">
        <v>112</v>
      </c>
      <c r="D65" t="s">
        <v>171</v>
      </c>
      <c r="E65" t="s">
        <v>645</v>
      </c>
      <c r="G65" t="s">
        <v>484</v>
      </c>
      <c r="H65" t="b">
        <v>1</v>
      </c>
      <c r="M65" t="s">
        <v>856</v>
      </c>
      <c r="P65" t="b">
        <f>ISNUMBER(MATCH(Varieties[[#This Row],[Id]],SeedOrder[Id],0))</f>
        <v>0</v>
      </c>
      <c r="Q65" t="e">
        <v>#N/A</v>
      </c>
      <c r="R65" t="e">
        <v>#N/A</v>
      </c>
      <c r="S65" t="s">
        <v>858</v>
      </c>
    </row>
    <row r="66" spans="2:19" ht="15" customHeight="1">
      <c r="B66" t="str">
        <f>Varieties[[#This Row],[Company]] &amp; " " &amp;  Varieties[[#This Row],[Variety]]</f>
        <v>Johnny's Black Button</v>
      </c>
      <c r="C66" t="s">
        <v>65</v>
      </c>
      <c r="E66" t="s">
        <v>594</v>
      </c>
      <c r="G66" t="s">
        <v>490</v>
      </c>
      <c r="H66" t="b">
        <v>0</v>
      </c>
      <c r="P66" t="b">
        <f>ISNUMBER(MATCH(Varieties[[#This Row],[Id]],SeedOrder[Id],0))</f>
        <v>0</v>
      </c>
      <c r="Q66">
        <v>5900</v>
      </c>
      <c r="R66" t="s">
        <v>1242</v>
      </c>
      <c r="S66" t="s">
        <v>733</v>
      </c>
    </row>
    <row r="67" spans="2:19" ht="15" customHeight="1">
      <c r="B67" t="str">
        <f>Varieties[[#This Row],[Company]] &amp; " " &amp;  Varieties[[#This Row],[Variety]]</f>
        <v>Johnny's Black Cherry OG</v>
      </c>
      <c r="C67" t="s">
        <v>136</v>
      </c>
      <c r="E67" t="s">
        <v>2847</v>
      </c>
      <c r="G67" s="268" t="s">
        <v>490</v>
      </c>
      <c r="H67" t="b">
        <v>1</v>
      </c>
      <c r="P67" t="b">
        <f>ISNUMBER(MATCH(Varieties[[#This Row],[Id]],SeedOrder[Id],0))</f>
        <v>0</v>
      </c>
      <c r="Q67" s="176">
        <v>17668</v>
      </c>
      <c r="R67" t="s">
        <v>1242</v>
      </c>
      <c r="S67" t="s">
        <v>2889</v>
      </c>
    </row>
    <row r="68" spans="2:19" ht="15" customHeight="1">
      <c r="B68" t="str">
        <f>Varieties[[#This Row],[Company]] &amp; " " &amp;  Varieties[[#This Row],[Variety]]</f>
        <v>Baker Creek Black Devil Pansy</v>
      </c>
      <c r="C68" t="s">
        <v>107</v>
      </c>
      <c r="E68" t="s">
        <v>637</v>
      </c>
      <c r="G68" t="s">
        <v>492</v>
      </c>
      <c r="H68" t="b">
        <v>0</v>
      </c>
      <c r="K68">
        <v>2024</v>
      </c>
      <c r="P68" t="b">
        <f>ISNUMBER(MATCH(Varieties[[#This Row],[Id]],SeedOrder[Id],0))</f>
        <v>0</v>
      </c>
      <c r="Q68">
        <v>22000</v>
      </c>
      <c r="R68" t="s">
        <v>1242</v>
      </c>
      <c r="S68" s="160" t="s">
        <v>2187</v>
      </c>
    </row>
    <row r="69" spans="2:19" ht="15" customHeight="1">
      <c r="B69" t="str">
        <f>Varieties[[#This Row],[Company]] &amp; " " &amp;  Varieties[[#This Row],[Variety]]</f>
        <v>High Mowing Black Jack F1</v>
      </c>
      <c r="C69" t="s">
        <v>88</v>
      </c>
      <c r="E69" t="s">
        <v>2022</v>
      </c>
      <c r="G69" t="s">
        <v>482</v>
      </c>
      <c r="H69" t="b">
        <v>1</v>
      </c>
      <c r="P69" t="b">
        <f>ISNUMBER(MATCH(Varieties[[#This Row],[Id]],SeedOrder[Id],0))</f>
        <v>0</v>
      </c>
      <c r="Q69">
        <v>5600</v>
      </c>
      <c r="R69" t="s">
        <v>1242</v>
      </c>
      <c r="S69" s="160" t="s">
        <v>2085</v>
      </c>
    </row>
    <row r="70" spans="2:19" ht="15" customHeight="1">
      <c r="B70" t="str">
        <f>Varieties[[#This Row],[Company]] &amp; " " &amp;  Varieties[[#This Row],[Variety]]</f>
        <v>Johnny's Black Magic F1</v>
      </c>
      <c r="C70" t="s">
        <v>112</v>
      </c>
      <c r="E70" t="s">
        <v>2155</v>
      </c>
      <c r="G70" t="s">
        <v>490</v>
      </c>
      <c r="H70" t="b">
        <v>1</v>
      </c>
      <c r="P70" t="b">
        <f>ISNUMBER(MATCH(Varieties[[#This Row],[Id]],SeedOrder[Id],0))</f>
        <v>0</v>
      </c>
      <c r="Q70">
        <v>64300</v>
      </c>
      <c r="R70" t="s">
        <v>1241</v>
      </c>
      <c r="S70" s="160" t="s">
        <v>2156</v>
      </c>
    </row>
    <row r="71" spans="2:19" ht="15" customHeight="1">
      <c r="B71" t="str">
        <f>Varieties[[#This Row],[Company]] &amp; " " &amp;  Varieties[[#This Row],[Variety]]</f>
        <v>Tomato Fest Black Sea Man</v>
      </c>
      <c r="C71" t="s">
        <v>136</v>
      </c>
      <c r="E71" s="268" t="s">
        <v>3019</v>
      </c>
      <c r="G71" s="268" t="s">
        <v>695</v>
      </c>
      <c r="H71" t="b">
        <v>1</v>
      </c>
      <c r="P71" t="b">
        <f>ISNUMBER(MATCH(Varieties[[#This Row],[Id]],SeedOrder[Id],0))</f>
        <v>1</v>
      </c>
      <c r="Q71" t="s">
        <v>2916</v>
      </c>
      <c r="S71" t="s">
        <v>3077</v>
      </c>
    </row>
    <row r="72" spans="2:19" ht="15" customHeight="1">
      <c r="B72" t="str">
        <f>Varieties[[#This Row],[Company]] &amp; " " &amp;  Varieties[[#This Row],[Variety]]</f>
        <v>High Mowing Black Seeded Simpson</v>
      </c>
      <c r="C72" t="s">
        <v>92</v>
      </c>
      <c r="E72" t="s">
        <v>1825</v>
      </c>
      <c r="G72" t="s">
        <v>482</v>
      </c>
      <c r="H72" t="b">
        <v>1</v>
      </c>
      <c r="P72" t="b">
        <f>ISNUMBER(MATCH(Varieties[[#This Row],[Id]],SeedOrder[Id],0))</f>
        <v>0</v>
      </c>
      <c r="Q72">
        <v>24000</v>
      </c>
      <c r="R72" t="s">
        <v>1242</v>
      </c>
      <c r="S72" s="160" t="s">
        <v>2062</v>
      </c>
    </row>
    <row r="73" spans="2:19" ht="15" customHeight="1">
      <c r="B73" t="str">
        <f>Varieties[[#This Row],[Company]] &amp; " " &amp;  Varieties[[#This Row],[Variety]]</f>
        <v>High Mowing Blacktail Mountain</v>
      </c>
      <c r="C73" t="s">
        <v>98</v>
      </c>
      <c r="E73" t="s">
        <v>3066</v>
      </c>
      <c r="G73" t="s">
        <v>482</v>
      </c>
      <c r="H73" t="b">
        <v>1</v>
      </c>
      <c r="P73" t="b">
        <f>ISNUMBER(MATCH(Varieties[[#This Row],[Id]],SeedOrder[Id],0))</f>
        <v>1</v>
      </c>
      <c r="Q73">
        <v>500</v>
      </c>
      <c r="R73" t="s">
        <v>1242</v>
      </c>
      <c r="S73" t="s">
        <v>3082</v>
      </c>
    </row>
    <row r="74" spans="2:19" ht="15" customHeight="1">
      <c r="B74" t="str">
        <f>Varieties[[#This Row],[Company]] &amp; " " &amp;  Varieties[[#This Row],[Variety]]</f>
        <v>Adaptive Blue</v>
      </c>
      <c r="C74" t="s">
        <v>48</v>
      </c>
      <c r="D74" t="s">
        <v>495</v>
      </c>
      <c r="E74" t="s">
        <v>495</v>
      </c>
      <c r="G74" t="s">
        <v>488</v>
      </c>
      <c r="H74" t="b">
        <v>1</v>
      </c>
      <c r="P74" t="b">
        <f>ISNUMBER(MATCH(Varieties[[#This Row],[Id]],SeedOrder[Id],0))</f>
        <v>0</v>
      </c>
      <c r="Q74">
        <v>60</v>
      </c>
      <c r="R74" t="s">
        <v>1243</v>
      </c>
      <c r="S74" s="160" t="s">
        <v>767</v>
      </c>
    </row>
    <row r="75" spans="2:19" ht="15" customHeight="1">
      <c r="B75" t="str">
        <f>Varieties[[#This Row],[Company]] &amp; " " &amp;  Varieties[[#This Row],[Variety]]</f>
        <v>High Mowing Blue</v>
      </c>
      <c r="C75" t="s">
        <v>104</v>
      </c>
      <c r="E75" t="s">
        <v>495</v>
      </c>
      <c r="G75" t="s">
        <v>482</v>
      </c>
      <c r="H75" t="b">
        <v>1</v>
      </c>
      <c r="P75" t="b">
        <f>ISNUMBER(MATCH(Varieties[[#This Row],[Id]],SeedOrder[Id],0))</f>
        <v>0</v>
      </c>
      <c r="Q75">
        <v>0</v>
      </c>
      <c r="R75">
        <v>0</v>
      </c>
      <c r="S75" t="s">
        <v>868</v>
      </c>
    </row>
    <row r="76" spans="2:19" ht="15" customHeight="1">
      <c r="B76" t="str">
        <f>Varieties[[#This Row],[Company]] &amp; " " &amp;  Varieties[[#This Row],[Variety]]</f>
        <v>Baker Creek Blue Queen</v>
      </c>
      <c r="C76" t="s">
        <v>51</v>
      </c>
      <c r="E76" t="s">
        <v>605</v>
      </c>
      <c r="G76" t="s">
        <v>492</v>
      </c>
      <c r="H76" t="b">
        <v>0</v>
      </c>
      <c r="P76" t="b">
        <f>ISNUMBER(MATCH(Varieties[[#This Row],[Id]],SeedOrder[Id],0))</f>
        <v>0</v>
      </c>
      <c r="Q76">
        <v>22000</v>
      </c>
      <c r="R76" t="s">
        <v>1242</v>
      </c>
      <c r="S76" t="s">
        <v>770</v>
      </c>
    </row>
    <row r="77" spans="2:19" ht="15" customHeight="1">
      <c r="B77" t="str">
        <f>Varieties[[#This Row],[Company]] &amp; " " &amp;  Varieties[[#This Row],[Variety]]</f>
        <v>Adaptive Blue Star Gai Lan</v>
      </c>
      <c r="C77" t="s">
        <v>366</v>
      </c>
      <c r="E77" t="s">
        <v>1200</v>
      </c>
      <c r="G77" t="s">
        <v>488</v>
      </c>
      <c r="H77" t="b">
        <v>1</v>
      </c>
      <c r="M77" t="s">
        <v>1201</v>
      </c>
      <c r="P77" t="b">
        <f>ISNUMBER(MATCH(Varieties[[#This Row],[Id]],SeedOrder[Id],0))</f>
        <v>0</v>
      </c>
      <c r="Q77" t="e">
        <v>#N/A</v>
      </c>
      <c r="R77" t="e">
        <v>#N/A</v>
      </c>
      <c r="S77" t="s">
        <v>1202</v>
      </c>
    </row>
    <row r="78" spans="2:19" ht="15" customHeight="1">
      <c r="B78" t="str">
        <f>Varieties[[#This Row],[Company]] &amp; " " &amp;  Varieties[[#This Row],[Variety]]</f>
        <v>Johnny's Blush</v>
      </c>
      <c r="C78" t="s">
        <v>136</v>
      </c>
      <c r="E78" t="s">
        <v>1859</v>
      </c>
      <c r="G78" t="s">
        <v>490</v>
      </c>
      <c r="H78" t="b">
        <v>1</v>
      </c>
      <c r="P78" t="b">
        <f>ISNUMBER(MATCH(Varieties[[#This Row],[Id]],SeedOrder[Id],0))</f>
        <v>0</v>
      </c>
      <c r="Q78">
        <v>19000</v>
      </c>
      <c r="R78" t="s">
        <v>1242</v>
      </c>
      <c r="S78" s="160" t="s">
        <v>2123</v>
      </c>
    </row>
    <row r="79" spans="2:19" ht="15" customHeight="1">
      <c r="B79" t="str">
        <f>Varieties[[#This Row],[Company]] &amp; " " &amp;  Varieties[[#This Row],[Variety]]</f>
        <v xml:space="preserve"> Blushing Not Bashful</v>
      </c>
      <c r="C79" t="s">
        <v>46</v>
      </c>
      <c r="D79" t="s">
        <v>169</v>
      </c>
      <c r="E79" t="s">
        <v>1571</v>
      </c>
      <c r="L79">
        <v>4</v>
      </c>
      <c r="M79" t="s">
        <v>1563</v>
      </c>
      <c r="P79" t="b">
        <f>ISNUMBER(MATCH(Varieties[[#This Row],[Id]],SeedOrder[Id],0))</f>
        <v>0</v>
      </c>
      <c r="Q79" t="e">
        <v>#N/A</v>
      </c>
      <c r="R79" t="e">
        <v>#N/A</v>
      </c>
    </row>
    <row r="80" spans="2:19" ht="15" customHeight="1">
      <c r="B80" t="str">
        <f>Varieties[[#This Row],[Company]] &amp; " " &amp;  Varieties[[#This Row],[Variety]]</f>
        <v xml:space="preserve"> Blushing Not Bashful</v>
      </c>
      <c r="C80" t="s">
        <v>136</v>
      </c>
      <c r="D80" t="s">
        <v>1592</v>
      </c>
      <c r="E80" t="s">
        <v>1571</v>
      </c>
      <c r="L80">
        <v>3.7</v>
      </c>
      <c r="P80" t="b">
        <f>ISNUMBER(MATCH(Varieties[[#This Row],[Id]],SeedOrder[Id],0))</f>
        <v>0</v>
      </c>
      <c r="Q80" t="e">
        <v>#N/A</v>
      </c>
      <c r="R80" t="e">
        <v>#N/A</v>
      </c>
    </row>
    <row r="81" spans="2:19" ht="15" customHeight="1">
      <c r="B81" t="str">
        <f>Varieties[[#This Row],[Company]] &amp; " " &amp;  Varieties[[#This Row],[Variety]]</f>
        <v xml:space="preserve"> Bolero</v>
      </c>
      <c r="C81" t="s">
        <v>53</v>
      </c>
      <c r="D81" t="s">
        <v>1580</v>
      </c>
      <c r="E81" t="s">
        <v>1579</v>
      </c>
      <c r="L81">
        <v>3.9</v>
      </c>
      <c r="M81" t="s">
        <v>1581</v>
      </c>
      <c r="P81" t="b">
        <f>ISNUMBER(MATCH(Varieties[[#This Row],[Id]],SeedOrder[Id],0))</f>
        <v>0</v>
      </c>
      <c r="Q81" t="e">
        <v>#N/A</v>
      </c>
      <c r="R81" t="e">
        <v>#N/A</v>
      </c>
    </row>
    <row r="82" spans="2:19" ht="15" customHeight="1">
      <c r="B82" t="str">
        <f>Varieties[[#This Row],[Company]] &amp; " " &amp;  Varieties[[#This Row],[Variety]]</f>
        <v>Johnny's Bolero F1</v>
      </c>
      <c r="C82" t="s">
        <v>53</v>
      </c>
      <c r="E82" t="s">
        <v>2212</v>
      </c>
      <c r="G82" t="s">
        <v>490</v>
      </c>
      <c r="H82" t="b">
        <v>0</v>
      </c>
      <c r="P82" t="b">
        <f>ISNUMBER(MATCH(Varieties[[#This Row],[Id]],SeedOrder[Id],0))</f>
        <v>1</v>
      </c>
      <c r="Q82">
        <v>250400</v>
      </c>
      <c r="R82" t="s">
        <v>1241</v>
      </c>
      <c r="S82" s="160" t="s">
        <v>2091</v>
      </c>
    </row>
    <row r="83" spans="2:19" ht="15" customHeight="1">
      <c r="B83" t="str">
        <f>Varieties[[#This Row],[Company]] &amp; " " &amp;  Varieties[[#This Row],[Variety]]</f>
        <v>Osborne Bolero F1</v>
      </c>
      <c r="C83" t="s">
        <v>53</v>
      </c>
      <c r="E83" t="s">
        <v>2212</v>
      </c>
      <c r="G83" t="s">
        <v>503</v>
      </c>
      <c r="H83" t="b">
        <v>1</v>
      </c>
      <c r="P83" t="b">
        <f>ISNUMBER(MATCH(Varieties[[#This Row],[Id]],SeedOrder[Id],0))</f>
        <v>0</v>
      </c>
      <c r="Q83" s="176">
        <v>250400</v>
      </c>
      <c r="R83" t="s">
        <v>1241</v>
      </c>
      <c r="S83" t="s">
        <v>2895</v>
      </c>
    </row>
    <row r="84" spans="2:19" ht="15" customHeight="1">
      <c r="B84" t="str">
        <f>Varieties[[#This Row],[Company]] &amp; " " &amp;  Varieties[[#This Row],[Variety]]</f>
        <v>Osborne Bopak</v>
      </c>
      <c r="C84" t="s">
        <v>106</v>
      </c>
      <c r="E84" t="s">
        <v>891</v>
      </c>
      <c r="G84" t="s">
        <v>503</v>
      </c>
      <c r="P84" t="b">
        <f>ISNUMBER(MATCH(Varieties[[#This Row],[Id]],SeedOrder[Id],0))</f>
        <v>0</v>
      </c>
      <c r="Q84" t="e">
        <v>#N/A</v>
      </c>
      <c r="R84" t="e">
        <v>#N/A</v>
      </c>
      <c r="S84" t="s">
        <v>892</v>
      </c>
    </row>
    <row r="85" spans="2:19" ht="15" customHeight="1">
      <c r="B85" t="str">
        <f>Varieties[[#This Row],[Company]] &amp; " " &amp;  Varieties[[#This Row],[Variety]]</f>
        <v>Johnny's Bopak</v>
      </c>
      <c r="C85" t="s">
        <v>47</v>
      </c>
      <c r="E85" t="s">
        <v>891</v>
      </c>
      <c r="G85" t="s">
        <v>490</v>
      </c>
      <c r="H85" t="b">
        <v>1</v>
      </c>
      <c r="P85" t="b">
        <f>ISNUMBER(MATCH(Varieties[[#This Row],[Id]],SeedOrder[Id],0))</f>
        <v>0</v>
      </c>
      <c r="Q85">
        <v>122900</v>
      </c>
      <c r="R85" t="s">
        <v>1241</v>
      </c>
      <c r="S85" t="s">
        <v>2869</v>
      </c>
    </row>
    <row r="86" spans="2:19" ht="15" customHeight="1">
      <c r="B86" t="str">
        <f>Varieties[[#This Row],[Company]] &amp; " " &amp;  Varieties[[#This Row],[Variety]]</f>
        <v xml:space="preserve"> Bornio Tadiva</v>
      </c>
      <c r="C86" t="s">
        <v>356</v>
      </c>
      <c r="D86" t="s">
        <v>1626</v>
      </c>
      <c r="E86" t="s">
        <v>1625</v>
      </c>
      <c r="L86">
        <v>3.6</v>
      </c>
      <c r="P86" t="b">
        <f>ISNUMBER(MATCH(Varieties[[#This Row],[Id]],SeedOrder[Id],0))</f>
        <v>0</v>
      </c>
      <c r="Q86" t="e">
        <v>#N/A</v>
      </c>
      <c r="R86" t="e">
        <v>#N/A</v>
      </c>
    </row>
    <row r="87" spans="2:19" ht="15" customHeight="1">
      <c r="B87" t="str">
        <f>Varieties[[#This Row],[Company]] &amp; " " &amp;  Varieties[[#This Row],[Variety]]</f>
        <v>High Mowing Boro F1</v>
      </c>
      <c r="C87" t="s">
        <v>46</v>
      </c>
      <c r="D87" t="s">
        <v>551</v>
      </c>
      <c r="E87" t="s">
        <v>763</v>
      </c>
      <c r="G87" t="s">
        <v>482</v>
      </c>
      <c r="H87" t="b">
        <v>1</v>
      </c>
      <c r="M87" s="30" t="s">
        <v>1257</v>
      </c>
      <c r="N87" s="30"/>
      <c r="O87" s="30"/>
      <c r="P87" s="30" t="b">
        <f>ISNUMBER(MATCH(Varieties[[#This Row],[Id]],SeedOrder[Id],0))</f>
        <v>1</v>
      </c>
      <c r="Q87">
        <v>2000</v>
      </c>
      <c r="R87" s="30" t="s">
        <v>1242</v>
      </c>
      <c r="S87" s="160" t="s">
        <v>1256</v>
      </c>
    </row>
    <row r="88" spans="2:19" ht="15" customHeight="1">
      <c r="B88" t="str">
        <f>Varieties[[#This Row],[Company]] &amp; " " &amp;  Varieties[[#This Row],[Variety]]</f>
        <v>Johnny's Boro F1</v>
      </c>
      <c r="C88" t="s">
        <v>46</v>
      </c>
      <c r="E88" t="s">
        <v>763</v>
      </c>
      <c r="G88" t="s">
        <v>490</v>
      </c>
      <c r="H88" t="b">
        <v>1</v>
      </c>
      <c r="P88" t="b">
        <f>ISNUMBER(MATCH(Varieties[[#This Row],[Id]],SeedOrder[Id],0))</f>
        <v>0</v>
      </c>
      <c r="Q88" t="e">
        <v>#N/A</v>
      </c>
      <c r="R88" t="e">
        <v>#N/A</v>
      </c>
      <c r="S88" t="s">
        <v>1360</v>
      </c>
    </row>
    <row r="89" spans="2:19" ht="15" customHeight="1">
      <c r="B89" t="str">
        <f>Varieties[[#This Row],[Company]] &amp; " " &amp;  Varieties[[#This Row],[Variety]]</f>
        <v xml:space="preserve"> Bottiglione</v>
      </c>
      <c r="C89" t="s">
        <v>356</v>
      </c>
      <c r="D89" t="s">
        <v>1630</v>
      </c>
      <c r="E89" t="s">
        <v>1629</v>
      </c>
      <c r="L89">
        <v>3.4</v>
      </c>
      <c r="P89" t="b">
        <f>ISNUMBER(MATCH(Varieties[[#This Row],[Id]],SeedOrder[Id],0))</f>
        <v>0</v>
      </c>
      <c r="Q89" t="e">
        <v>#N/A</v>
      </c>
      <c r="R89" t="e">
        <v>#N/A</v>
      </c>
    </row>
    <row r="90" spans="2:19" ht="15" customHeight="1">
      <c r="B90" t="str">
        <f>Varieties[[#This Row],[Company]] &amp; " " &amp;  Varieties[[#This Row],[Variety]]</f>
        <v>Osborne Bouquet OG</v>
      </c>
      <c r="C90" t="s">
        <v>75</v>
      </c>
      <c r="E90" t="s">
        <v>2900</v>
      </c>
      <c r="G90" s="268" t="s">
        <v>503</v>
      </c>
      <c r="H90" t="b">
        <v>1</v>
      </c>
      <c r="P90" t="b">
        <f>ISNUMBER(MATCH(Varieties[[#This Row],[Id]],SeedOrder[Id],0))</f>
        <v>0</v>
      </c>
      <c r="Q90">
        <v>16900</v>
      </c>
      <c r="R90" t="s">
        <v>1242</v>
      </c>
      <c r="S90" t="s">
        <v>2917</v>
      </c>
    </row>
    <row r="91" spans="2:19" ht="15" customHeight="1">
      <c r="B91" t="str">
        <f>Varieties[[#This Row],[Company]] &amp; " " &amp;  Varieties[[#This Row],[Variety]]</f>
        <v>Garden Hoard Brad's Atomic Grape</v>
      </c>
      <c r="C91" t="s">
        <v>136</v>
      </c>
      <c r="D91" t="s">
        <v>908</v>
      </c>
      <c r="E91" t="s">
        <v>687</v>
      </c>
      <c r="G91" t="s">
        <v>501</v>
      </c>
      <c r="H91" t="b">
        <v>1</v>
      </c>
      <c r="P91" t="b">
        <f>ISNUMBER(MATCH(Varieties[[#This Row],[Id]],SeedOrder[Id],0))</f>
        <v>0</v>
      </c>
      <c r="Q91" t="s">
        <v>2192</v>
      </c>
      <c r="R91" t="s">
        <v>2192</v>
      </c>
      <c r="S91" s="160" t="s">
        <v>2186</v>
      </c>
    </row>
    <row r="92" spans="2:19" ht="15" customHeight="1">
      <c r="B92" t="str">
        <f>Varieties[[#This Row],[Company]] &amp; " " &amp;  Varieties[[#This Row],[Variety]]</f>
        <v>High Mowing Brandywine</v>
      </c>
      <c r="C92" t="s">
        <v>136</v>
      </c>
      <c r="E92" t="s">
        <v>701</v>
      </c>
      <c r="G92" t="s">
        <v>482</v>
      </c>
      <c r="H92" t="b">
        <v>1</v>
      </c>
      <c r="P92" t="b">
        <f>ISNUMBER(MATCH(Varieties[[#This Row],[Id]],SeedOrder[Id],0))</f>
        <v>0</v>
      </c>
      <c r="Q92">
        <v>225</v>
      </c>
      <c r="R92" t="s">
        <v>1243</v>
      </c>
      <c r="S92" s="160" t="s">
        <v>2077</v>
      </c>
    </row>
    <row r="93" spans="2:19" ht="15" customHeight="1">
      <c r="B93" t="str">
        <f>Varieties[[#This Row],[Company]] &amp; " " &amp;  Varieties[[#This Row],[Variety]]</f>
        <v>Seed Savers Brandywine</v>
      </c>
      <c r="C93" t="s">
        <v>136</v>
      </c>
      <c r="D93" t="s">
        <v>1178</v>
      </c>
      <c r="E93" t="s">
        <v>701</v>
      </c>
      <c r="G93" t="s">
        <v>600</v>
      </c>
      <c r="H93" t="b">
        <v>1</v>
      </c>
      <c r="M93" t="s">
        <v>1179</v>
      </c>
      <c r="P93" t="b">
        <f>ISNUMBER(MATCH(Varieties[[#This Row],[Id]],SeedOrder[Id],0))</f>
        <v>1</v>
      </c>
      <c r="Q93">
        <v>0</v>
      </c>
      <c r="R93">
        <v>0</v>
      </c>
      <c r="S93" s="160" t="s">
        <v>1180</v>
      </c>
    </row>
    <row r="94" spans="2:19" ht="15" customHeight="1">
      <c r="B94" t="str">
        <f>Varieties[[#This Row],[Company]] &amp; " " &amp;  Varieties[[#This Row],[Variety]]</f>
        <v>Johnny's Bright Lights</v>
      </c>
      <c r="C94" t="s">
        <v>131</v>
      </c>
      <c r="E94" t="s">
        <v>2013</v>
      </c>
      <c r="G94" t="s">
        <v>490</v>
      </c>
      <c r="H94" t="b">
        <v>0</v>
      </c>
      <c r="P94" t="b">
        <f>ISNUMBER(MATCH(Varieties[[#This Row],[Id]],SeedOrder[Id],0))</f>
        <v>0</v>
      </c>
      <c r="Q94">
        <v>30400</v>
      </c>
      <c r="R94" t="s">
        <v>1241</v>
      </c>
      <c r="S94" s="160" t="s">
        <v>2129</v>
      </c>
    </row>
    <row r="95" spans="2:19" ht="15" customHeight="1">
      <c r="B95" t="str">
        <f>Varieties[[#This Row],[Company]] &amp; " " &amp;  Varieties[[#This Row],[Variety]]</f>
        <v>High Mowing Bronco F1</v>
      </c>
      <c r="C95" t="s">
        <v>52</v>
      </c>
      <c r="E95" t="s">
        <v>1891</v>
      </c>
      <c r="G95" t="s">
        <v>482</v>
      </c>
      <c r="H95" t="b">
        <v>1</v>
      </c>
      <c r="P95" t="b">
        <f>ISNUMBER(MATCH(Varieties[[#This Row],[Id]],SeedOrder[Id],0))</f>
        <v>1</v>
      </c>
      <c r="Q95">
        <v>4800</v>
      </c>
      <c r="R95" t="s">
        <v>1242</v>
      </c>
      <c r="S95" s="160" t="s">
        <v>2039</v>
      </c>
    </row>
    <row r="96" spans="2:19" ht="15" customHeight="1">
      <c r="B96" t="str">
        <f>Varieties[[#This Row],[Company]] &amp; " " &amp;  Varieties[[#This Row],[Variety]]</f>
        <v>Wild Garden Brown Goldring</v>
      </c>
      <c r="C96" t="s">
        <v>92</v>
      </c>
      <c r="E96" t="s">
        <v>542</v>
      </c>
      <c r="G96" t="s">
        <v>526</v>
      </c>
      <c r="H96" t="b">
        <v>1</v>
      </c>
      <c r="P96" t="b">
        <f>ISNUMBER(MATCH(Varieties[[#This Row],[Id]],SeedOrder[Id],0))</f>
        <v>0</v>
      </c>
      <c r="Q96">
        <v>600</v>
      </c>
      <c r="R96" t="s">
        <v>1243</v>
      </c>
      <c r="S96" s="160" t="s">
        <v>933</v>
      </c>
    </row>
    <row r="97" spans="2:19" ht="15" customHeight="1">
      <c r="B97" t="str">
        <f>Varieties[[#This Row],[Company]] &amp; " " &amp;  Varieties[[#This Row],[Variety]]</f>
        <v xml:space="preserve"> Brulee</v>
      </c>
      <c r="C97" t="s">
        <v>124</v>
      </c>
      <c r="D97" t="s">
        <v>341</v>
      </c>
      <c r="E97" t="s">
        <v>1647</v>
      </c>
      <c r="L97">
        <v>3.7</v>
      </c>
      <c r="P97" t="b">
        <f>ISNUMBER(MATCH(Varieties[[#This Row],[Id]],SeedOrder[Id],0))</f>
        <v>0</v>
      </c>
      <c r="Q97" t="e">
        <v>#N/A</v>
      </c>
      <c r="R97" t="e">
        <v>#N/A</v>
      </c>
    </row>
    <row r="98" spans="2:19" ht="15" customHeight="1">
      <c r="B98" t="str">
        <f>Varieties[[#This Row],[Company]] &amp; " " &amp;  Varieties[[#This Row],[Variety]]</f>
        <v xml:space="preserve"> Brulee</v>
      </c>
      <c r="C98" t="s">
        <v>124</v>
      </c>
      <c r="D98" t="s">
        <v>1135</v>
      </c>
      <c r="E98" t="s">
        <v>1647</v>
      </c>
      <c r="L98">
        <v>3.7</v>
      </c>
      <c r="P98" t="b">
        <f>ISNUMBER(MATCH(Varieties[[#This Row],[Id]],SeedOrder[Id],0))</f>
        <v>0</v>
      </c>
      <c r="Q98" t="e">
        <v>#N/A</v>
      </c>
      <c r="R98" t="e">
        <v>#N/A</v>
      </c>
    </row>
    <row r="99" spans="2:19" ht="15" customHeight="1">
      <c r="B99" t="str">
        <f>Varieties[[#This Row],[Company]] &amp; " " &amp;  Varieties[[#This Row],[Variety]]</f>
        <v>Baker Creek Brush Strokes</v>
      </c>
      <c r="C99" t="s">
        <v>2235</v>
      </c>
      <c r="E99" t="s">
        <v>639</v>
      </c>
      <c r="G99" t="s">
        <v>492</v>
      </c>
      <c r="H99" t="b">
        <v>0</v>
      </c>
      <c r="P99" t="b">
        <f>ISNUMBER(MATCH(Varieties[[#This Row],[Id]],SeedOrder[Id],0))</f>
        <v>0</v>
      </c>
      <c r="Q99" t="s">
        <v>2192</v>
      </c>
      <c r="R99" t="s">
        <v>2192</v>
      </c>
      <c r="S99" t="s">
        <v>770</v>
      </c>
    </row>
    <row r="100" spans="2:19" ht="15" customHeight="1">
      <c r="B100" t="str">
        <f>Varieties[[#This Row],[Company]] &amp; " " &amp;  Varieties[[#This Row],[Variety]]</f>
        <v>Johnny's Brush Strokes</v>
      </c>
      <c r="C100" t="s">
        <v>107</v>
      </c>
      <c r="E100" t="s">
        <v>639</v>
      </c>
      <c r="G100" t="s">
        <v>490</v>
      </c>
      <c r="H100" t="b">
        <v>0</v>
      </c>
      <c r="P100" t="b">
        <f>ISNUMBER(MATCH(Varieties[[#This Row],[Id]],SeedOrder[Id],0))</f>
        <v>0</v>
      </c>
      <c r="Q100">
        <v>29240</v>
      </c>
      <c r="R100" t="s">
        <v>1242</v>
      </c>
      <c r="S100" s="160" t="s">
        <v>894</v>
      </c>
    </row>
    <row r="101" spans="2:19" ht="15" customHeight="1">
      <c r="B101" t="str">
        <f>Varieties[[#This Row],[Company]] &amp; " " &amp;  Varieties[[#This Row],[Variety]]</f>
        <v>High Mowing Bull's Blood</v>
      </c>
      <c r="C101" t="s">
        <v>46</v>
      </c>
      <c r="E101" t="s">
        <v>761</v>
      </c>
      <c r="G101" t="s">
        <v>482</v>
      </c>
      <c r="H101" t="b">
        <v>1</v>
      </c>
      <c r="P101" t="b">
        <f>ISNUMBER(MATCH(Varieties[[#This Row],[Id]],SeedOrder[Id],0))</f>
        <v>0</v>
      </c>
      <c r="Q101" t="e">
        <v>#N/A</v>
      </c>
      <c r="R101" t="e">
        <v>#N/A</v>
      </c>
      <c r="S101" t="s">
        <v>762</v>
      </c>
    </row>
    <row r="102" spans="2:19" ht="15" customHeight="1">
      <c r="B102" t="str">
        <f>Varieties[[#This Row],[Company]] &amp; " " &amp;  Varieties[[#This Row],[Variety]]</f>
        <v>Johnny's Burgundy</v>
      </c>
      <c r="C102" t="s">
        <v>49</v>
      </c>
      <c r="E102" t="s">
        <v>2854</v>
      </c>
      <c r="G102" s="268" t="s">
        <v>490</v>
      </c>
      <c r="H102" t="b">
        <v>0</v>
      </c>
      <c r="P102" t="b">
        <f>ISNUMBER(MATCH(Varieties[[#This Row],[Id]],SeedOrder[Id],0))</f>
        <v>0</v>
      </c>
      <c r="Q102" s="176">
        <v>128400</v>
      </c>
      <c r="R102" t="s">
        <v>1241</v>
      </c>
      <c r="S102" t="s">
        <v>2870</v>
      </c>
    </row>
    <row r="103" spans="2:19" ht="15" customHeight="1">
      <c r="B103" t="str">
        <f>Varieties[[#This Row],[Company]] &amp; " " &amp;  Varieties[[#This Row],[Variety]]</f>
        <v>Seed Savers Burpee's Golden</v>
      </c>
      <c r="C103" t="s">
        <v>46</v>
      </c>
      <c r="D103" t="s">
        <v>380</v>
      </c>
      <c r="E103" t="s">
        <v>599</v>
      </c>
      <c r="G103" t="s">
        <v>600</v>
      </c>
      <c r="H103" t="b">
        <v>1</v>
      </c>
      <c r="P103" t="b">
        <f>ISNUMBER(MATCH(Varieties[[#This Row],[Id]],SeedOrder[Id],0))</f>
        <v>0</v>
      </c>
      <c r="Q103">
        <v>1600</v>
      </c>
      <c r="R103" t="s">
        <v>1242</v>
      </c>
      <c r="S103" t="s">
        <v>764</v>
      </c>
    </row>
    <row r="104" spans="2:19" ht="15" customHeight="1">
      <c r="B104" t="str">
        <f>Varieties[[#This Row],[Company]] &amp; " " &amp;  Varieties[[#This Row],[Variety]]</f>
        <v>High Mowing Bush Delicata</v>
      </c>
      <c r="C104" t="s">
        <v>124</v>
      </c>
      <c r="E104" t="s">
        <v>1934</v>
      </c>
      <c r="G104" t="s">
        <v>482</v>
      </c>
      <c r="H104" t="b">
        <v>1</v>
      </c>
      <c r="P104" t="b">
        <f>ISNUMBER(MATCH(Varieties[[#This Row],[Id]],SeedOrder[Id],0))</f>
        <v>0</v>
      </c>
      <c r="Q104">
        <v>425</v>
      </c>
      <c r="R104" t="s">
        <v>1242</v>
      </c>
      <c r="S104" s="160" t="s">
        <v>2074</v>
      </c>
    </row>
    <row r="105" spans="2:19" ht="15" customHeight="1">
      <c r="B105" t="str">
        <f>Varieties[[#This Row],[Company]] &amp; " " &amp;  Varieties[[#This Row],[Variety]]</f>
        <v>Johnny's Butterfingers</v>
      </c>
      <c r="C105" t="s">
        <v>128</v>
      </c>
      <c r="E105" t="s">
        <v>1939</v>
      </c>
      <c r="G105" t="s">
        <v>490</v>
      </c>
      <c r="H105" t="b">
        <v>1</v>
      </c>
      <c r="P105" t="b">
        <f>ISNUMBER(MATCH(Varieties[[#This Row],[Id]],SeedOrder[Id],0))</f>
        <v>0</v>
      </c>
      <c r="Q105">
        <v>4800</v>
      </c>
      <c r="R105" t="s">
        <v>1241</v>
      </c>
      <c r="S105" s="160" t="s">
        <v>2116</v>
      </c>
    </row>
    <row r="106" spans="2:19" ht="15" customHeight="1">
      <c r="B106" t="str">
        <f>Varieties[[#This Row],[Company]] &amp; " " &amp;  Varieties[[#This Row],[Variety]]</f>
        <v>High Mowing Butterscotch PMR F1</v>
      </c>
      <c r="C106" t="s">
        <v>124</v>
      </c>
      <c r="E106" t="s">
        <v>1932</v>
      </c>
      <c r="G106" t="s">
        <v>482</v>
      </c>
      <c r="H106" t="b">
        <v>1</v>
      </c>
      <c r="P106" t="b">
        <f>ISNUMBER(MATCH(Varieties[[#This Row],[Id]],SeedOrder[Id],0))</f>
        <v>0</v>
      </c>
      <c r="Q106">
        <v>260</v>
      </c>
      <c r="R106" t="s">
        <v>1242</v>
      </c>
      <c r="S106" s="160" t="s">
        <v>2073</v>
      </c>
    </row>
    <row r="107" spans="2:19" ht="15" customHeight="1">
      <c r="B107" t="str">
        <f>Varieties[[#This Row],[Company]] &amp; " " &amp;  Varieties[[#This Row],[Variety]]</f>
        <v xml:space="preserve"> Byrd</v>
      </c>
      <c r="C107" t="s">
        <v>1649</v>
      </c>
      <c r="E107" t="s">
        <v>1652</v>
      </c>
      <c r="L107">
        <v>3.9</v>
      </c>
      <c r="P107" t="b">
        <f>ISNUMBER(MATCH(Varieties[[#This Row],[Id]],SeedOrder[Id],0))</f>
        <v>0</v>
      </c>
      <c r="Q107" t="e">
        <v>#N/A</v>
      </c>
      <c r="R107" t="e">
        <v>#N/A</v>
      </c>
    </row>
    <row r="108" spans="2:19" ht="15" customHeight="1">
      <c r="B108" t="str">
        <f>Varieties[[#This Row],[Company]] &amp; " " &amp;  Varieties[[#This Row],[Variety]]</f>
        <v>Zephyros Cafe, and others</v>
      </c>
      <c r="C108" t="s">
        <v>72</v>
      </c>
      <c r="D108" t="s">
        <v>159</v>
      </c>
      <c r="E108" t="s">
        <v>811</v>
      </c>
      <c r="G108" t="s">
        <v>812</v>
      </c>
      <c r="P108" t="b">
        <f>ISNUMBER(MATCH(Varieties[[#This Row],[Id]],SeedOrder[Id],0))</f>
        <v>0</v>
      </c>
      <c r="Q108" t="e">
        <v>#N/A</v>
      </c>
      <c r="R108" t="e">
        <v>#N/A</v>
      </c>
      <c r="S108" t="s">
        <v>813</v>
      </c>
    </row>
    <row r="109" spans="2:19" ht="15" customHeight="1">
      <c r="B109" t="str">
        <f>Varieties[[#This Row],[Company]] &amp; " " &amp;  Varieties[[#This Row],[Variety]]</f>
        <v>Uprising Callaloo</v>
      </c>
      <c r="C109" t="s">
        <v>41</v>
      </c>
      <c r="E109" t="s">
        <v>1806</v>
      </c>
      <c r="G109" t="s">
        <v>484</v>
      </c>
      <c r="H109" t="b">
        <v>1</v>
      </c>
      <c r="P109" t="b">
        <f>ISNUMBER(MATCH(Varieties[[#This Row],[Id]],SeedOrder[Id],0))</f>
        <v>0</v>
      </c>
      <c r="Q109">
        <v>35000</v>
      </c>
      <c r="R109" t="s">
        <v>1242</v>
      </c>
      <c r="S109" s="160" t="s">
        <v>2151</v>
      </c>
    </row>
    <row r="110" spans="2:19" ht="15" customHeight="1">
      <c r="B110" t="str">
        <f>Varieties[[#This Row],[Company]] &amp; " " &amp;  Varieties[[#This Row],[Variety]]</f>
        <v>Johnny's Calypso</v>
      </c>
      <c r="C110" t="s">
        <v>62</v>
      </c>
      <c r="E110" t="s">
        <v>2810</v>
      </c>
      <c r="G110" s="268" t="s">
        <v>490</v>
      </c>
      <c r="H110" t="b">
        <v>0</v>
      </c>
      <c r="P110" t="b">
        <f>ISNUMBER(MATCH(Varieties[[#This Row],[Id]],SeedOrder[Id],0))</f>
        <v>0</v>
      </c>
      <c r="Q110">
        <v>3400</v>
      </c>
      <c r="R110" t="s">
        <v>1242</v>
      </c>
      <c r="S110" t="s">
        <v>2876</v>
      </c>
    </row>
    <row r="111" spans="2:19" ht="15" customHeight="1">
      <c r="B111" t="str">
        <f>Varieties[[#This Row],[Company]] &amp; " " &amp;  Varieties[[#This Row],[Variety]]</f>
        <v xml:space="preserve"> Candystick Dessert Delicata</v>
      </c>
      <c r="C111" t="s">
        <v>124</v>
      </c>
      <c r="D111" t="s">
        <v>341</v>
      </c>
      <c r="E111" s="144" t="s">
        <v>1688</v>
      </c>
      <c r="F111" s="144"/>
      <c r="L111">
        <v>3.9</v>
      </c>
      <c r="P111" t="b">
        <f>ISNUMBER(MATCH(Varieties[[#This Row],[Id]],SeedOrder[Id],0))</f>
        <v>0</v>
      </c>
      <c r="Q111" t="e">
        <v>#N/A</v>
      </c>
      <c r="R111" t="e">
        <v>#N/A</v>
      </c>
    </row>
    <row r="112" spans="2:19" ht="15" customHeight="1">
      <c r="B112" t="str">
        <f>Varieties[[#This Row],[Company]] &amp; " " &amp;  Varieties[[#This Row],[Variety]]</f>
        <v>High Mowing Caraflex F1</v>
      </c>
      <c r="C112" t="s">
        <v>52</v>
      </c>
      <c r="D112" t="s">
        <v>982</v>
      </c>
      <c r="E112" t="s">
        <v>983</v>
      </c>
      <c r="G112" t="s">
        <v>482</v>
      </c>
      <c r="H112" t="b">
        <v>1</v>
      </c>
      <c r="M112" t="s">
        <v>984</v>
      </c>
      <c r="P112" t="b">
        <f>ISNUMBER(MATCH(Varieties[[#This Row],[Id]],SeedOrder[Id],0))</f>
        <v>0</v>
      </c>
      <c r="Q112" t="e">
        <v>#N/A</v>
      </c>
      <c r="R112" t="e">
        <v>#N/A</v>
      </c>
      <c r="S112" t="s">
        <v>985</v>
      </c>
    </row>
    <row r="113" spans="2:19" ht="15" customHeight="1">
      <c r="B113" t="str">
        <f>Varieties[[#This Row],[Company]] &amp; " " &amp;  Varieties[[#This Row],[Variety]]</f>
        <v>Johnny's Carlton F1</v>
      </c>
      <c r="C113" t="s">
        <v>90</v>
      </c>
      <c r="E113" t="s">
        <v>1384</v>
      </c>
      <c r="G113" t="s">
        <v>490</v>
      </c>
      <c r="H113" t="b">
        <v>0</v>
      </c>
      <c r="P113" t="b">
        <f>ISNUMBER(MATCH(Varieties[[#This Row],[Id]],SeedOrder[Id],0))</f>
        <v>0</v>
      </c>
      <c r="Q113">
        <v>9600</v>
      </c>
      <c r="R113" t="s">
        <v>1242</v>
      </c>
      <c r="S113" s="160" t="s">
        <v>2026</v>
      </c>
    </row>
    <row r="114" spans="2:19" ht="15" customHeight="1">
      <c r="B114" t="str">
        <f>Varieties[[#This Row],[Company]] &amp; " " &amp;  Varieties[[#This Row],[Variety]]</f>
        <v xml:space="preserve"> Carmen</v>
      </c>
      <c r="C114" t="s">
        <v>112</v>
      </c>
      <c r="D114" t="s">
        <v>994</v>
      </c>
      <c r="E114" t="s">
        <v>1672</v>
      </c>
      <c r="L114">
        <v>4</v>
      </c>
      <c r="P114" t="b">
        <f>ISNUMBER(MATCH(Varieties[[#This Row],[Id]],SeedOrder[Id],0))</f>
        <v>0</v>
      </c>
      <c r="Q114" t="e">
        <v>#N/A</v>
      </c>
      <c r="R114" t="e">
        <v>#N/A</v>
      </c>
    </row>
    <row r="115" spans="2:19" ht="15" customHeight="1">
      <c r="B115" t="str">
        <f>Varieties[[#This Row],[Company]] &amp; " " &amp;  Varieties[[#This Row],[Variety]]</f>
        <v>Johnny's Carmen F1</v>
      </c>
      <c r="C115" t="s">
        <v>112</v>
      </c>
      <c r="E115" t="s">
        <v>1883</v>
      </c>
      <c r="G115" t="s">
        <v>490</v>
      </c>
      <c r="H115" t="b">
        <v>1</v>
      </c>
      <c r="P115" t="b">
        <f>ISNUMBER(MATCH(Varieties[[#This Row],[Id]],SeedOrder[Id],0))</f>
        <v>0</v>
      </c>
      <c r="Q115">
        <v>4500</v>
      </c>
      <c r="R115" t="s">
        <v>1242</v>
      </c>
      <c r="S115" s="160" t="s">
        <v>2110</v>
      </c>
    </row>
    <row r="116" spans="2:19" ht="15" customHeight="1">
      <c r="B116" t="str">
        <f>Varieties[[#This Row],[Company]] &amp; " " &amp;  Varieties[[#This Row],[Variety]]</f>
        <v xml:space="preserve"> Carola</v>
      </c>
      <c r="C116" t="s">
        <v>113</v>
      </c>
      <c r="E116" t="s">
        <v>1567</v>
      </c>
      <c r="L116">
        <v>4</v>
      </c>
      <c r="M116" t="s">
        <v>1568</v>
      </c>
      <c r="P116" t="b">
        <f>ISNUMBER(MATCH(Varieties[[#This Row],[Id]],SeedOrder[Id],0))</f>
        <v>0</v>
      </c>
      <c r="Q116" t="e">
        <v>#N/A</v>
      </c>
      <c r="R116" t="e">
        <v>#N/A</v>
      </c>
    </row>
    <row r="117" spans="2:19" ht="15" customHeight="1">
      <c r="B117" t="str">
        <f>Varieties[[#This Row],[Company]] &amp; " " &amp;  Varieties[[#This Row],[Variety]]</f>
        <v xml:space="preserve"> Cascadia</v>
      </c>
      <c r="C117" t="s">
        <v>1145</v>
      </c>
      <c r="E117" t="s">
        <v>1561</v>
      </c>
      <c r="L117">
        <v>4.0999999999999996</v>
      </c>
      <c r="M117" t="s">
        <v>1562</v>
      </c>
      <c r="P117" t="b">
        <f>ISNUMBER(MATCH(Varieties[[#This Row],[Id]],SeedOrder[Id],0))</f>
        <v>0</v>
      </c>
      <c r="Q117" t="e">
        <v>#N/A</v>
      </c>
      <c r="R117" t="e">
        <v>#N/A</v>
      </c>
    </row>
    <row r="118" spans="2:19" ht="15" customHeight="1">
      <c r="B118" t="str">
        <f>Varieties[[#This Row],[Company]] &amp; " " &amp;  Varieties[[#This Row],[Variety]]</f>
        <v>Territorial Cascadia OG</v>
      </c>
      <c r="C118" t="s">
        <v>110</v>
      </c>
      <c r="E118" t="s">
        <v>2861</v>
      </c>
      <c r="G118" t="s">
        <v>533</v>
      </c>
      <c r="H118" t="b">
        <v>1</v>
      </c>
      <c r="P118" t="b">
        <f>ISNUMBER(MATCH(Varieties[[#This Row],[Id]],SeedOrder[Id],0))</f>
        <v>0</v>
      </c>
      <c r="Q118">
        <v>2000</v>
      </c>
      <c r="R118" t="s">
        <v>1241</v>
      </c>
      <c r="S118" t="s">
        <v>2928</v>
      </c>
    </row>
    <row r="119" spans="2:19" ht="15" customHeight="1">
      <c r="B119" t="str">
        <f>Varieties[[#This Row],[Company]] &amp; " " &amp;  Varieties[[#This Row],[Variety]]</f>
        <v xml:space="preserve"> Cecelia</v>
      </c>
      <c r="C119" t="s">
        <v>356</v>
      </c>
      <c r="D119" t="s">
        <v>1633</v>
      </c>
      <c r="E119" t="s">
        <v>1634</v>
      </c>
      <c r="L119">
        <v>3.2</v>
      </c>
      <c r="P119" t="b">
        <f>ISNUMBER(MATCH(Varieties[[#This Row],[Id]],SeedOrder[Id],0))</f>
        <v>0</v>
      </c>
      <c r="Q119" t="e">
        <v>#N/A</v>
      </c>
      <c r="R119" t="e">
        <v>#N/A</v>
      </c>
    </row>
    <row r="120" spans="2:19" ht="15" customHeight="1">
      <c r="B120" t="str">
        <f>Varieties[[#This Row],[Company]] &amp; " " &amp;  Varieties[[#This Row],[Variety]]</f>
        <v>Baker Creek Celestial Blue Pansy</v>
      </c>
      <c r="C120" t="s">
        <v>107</v>
      </c>
      <c r="E120" t="s">
        <v>643</v>
      </c>
      <c r="G120" t="s">
        <v>492</v>
      </c>
      <c r="H120" t="b">
        <v>0</v>
      </c>
      <c r="P120" t="b">
        <f>ISNUMBER(MATCH(Varieties[[#This Row],[Id]],SeedOrder[Id],0))</f>
        <v>0</v>
      </c>
      <c r="Q120" t="s">
        <v>2192</v>
      </c>
      <c r="R120" t="s">
        <v>2192</v>
      </c>
      <c r="S120" s="160" t="s">
        <v>2188</v>
      </c>
    </row>
    <row r="121" spans="2:19" ht="15" customHeight="1">
      <c r="B121" t="str">
        <f>Varieties[[#This Row],[Company]] &amp; " " &amp;  Varieties[[#This Row],[Variety]]</f>
        <v>Uprising Cengelkoy</v>
      </c>
      <c r="C121" t="s">
        <v>70</v>
      </c>
      <c r="E121" t="s">
        <v>1869</v>
      </c>
      <c r="G121" t="s">
        <v>484</v>
      </c>
      <c r="H121" t="b">
        <v>1</v>
      </c>
      <c r="P121" t="b">
        <f>ISNUMBER(MATCH(Varieties[[#This Row],[Id]],SeedOrder[Id],0))</f>
        <v>0</v>
      </c>
      <c r="Q121">
        <v>40</v>
      </c>
      <c r="R121" t="s">
        <v>1243</v>
      </c>
      <c r="S121" s="160" t="s">
        <v>2153</v>
      </c>
    </row>
    <row r="122" spans="2:19" ht="15" customHeight="1">
      <c r="B122" t="str">
        <f>Varieties[[#This Row],[Company]] &amp; " " &amp;  Varieties[[#This Row],[Variety]]</f>
        <v>Uprising ÇENGELKÖY'</v>
      </c>
      <c r="C122" t="s">
        <v>70</v>
      </c>
      <c r="E122" t="s">
        <v>608</v>
      </c>
      <c r="G122" t="s">
        <v>484</v>
      </c>
      <c r="H122" t="b">
        <v>1</v>
      </c>
      <c r="M122" t="s">
        <v>806</v>
      </c>
      <c r="P122" t="b">
        <f>ISNUMBER(MATCH(Varieties[[#This Row],[Id]],SeedOrder[Id],0))</f>
        <v>0</v>
      </c>
      <c r="Q122">
        <v>0</v>
      </c>
      <c r="R122">
        <v>0</v>
      </c>
      <c r="S122" t="s">
        <v>807</v>
      </c>
    </row>
    <row r="123" spans="2:19" ht="15" customHeight="1">
      <c r="B123" t="str">
        <f>Varieties[[#This Row],[Company]] &amp; " " &amp;  Varieties[[#This Row],[Variety]]</f>
        <v xml:space="preserve"> Centercut</v>
      </c>
      <c r="C123" t="s">
        <v>124</v>
      </c>
      <c r="D123" t="s">
        <v>341</v>
      </c>
      <c r="E123" t="s">
        <v>676</v>
      </c>
      <c r="L123">
        <v>3.7</v>
      </c>
      <c r="P123" t="b">
        <f>ISNUMBER(MATCH(Varieties[[#This Row],[Id]],SeedOrder[Id],0))</f>
        <v>0</v>
      </c>
      <c r="Q123" t="e">
        <v>#N/A</v>
      </c>
      <c r="R123" t="e">
        <v>#N/A</v>
      </c>
    </row>
    <row r="124" spans="2:19" ht="15" customHeight="1">
      <c r="B124" t="str">
        <f>Varieties[[#This Row],[Company]] &amp; " " &amp;  Varieties[[#This Row],[Variety]]</f>
        <v>Row 7 Centercut</v>
      </c>
      <c r="C124" t="s">
        <v>128</v>
      </c>
      <c r="D124" t="s">
        <v>1132</v>
      </c>
      <c r="E124" t="s">
        <v>676</v>
      </c>
      <c r="G124" t="s">
        <v>602</v>
      </c>
      <c r="H124" t="b">
        <v>1</v>
      </c>
      <c r="M124" t="s">
        <v>1133</v>
      </c>
      <c r="P124" t="b">
        <f>ISNUMBER(MATCH(Varieties[[#This Row],[Id]],SeedOrder[Id],0))</f>
        <v>0</v>
      </c>
      <c r="Q124" t="s">
        <v>2192</v>
      </c>
      <c r="R124" t="s">
        <v>2192</v>
      </c>
      <c r="S124" s="160" t="s">
        <v>1134</v>
      </c>
    </row>
    <row r="125" spans="2:19" ht="15" customHeight="1">
      <c r="B125" t="str">
        <f>Varieties[[#This Row],[Company]] &amp; " " &amp;  Varieties[[#This Row],[Variety]]</f>
        <v>Adaptive Chai Thai</v>
      </c>
      <c r="C125" t="s">
        <v>55</v>
      </c>
      <c r="D125" t="s">
        <v>444</v>
      </c>
      <c r="E125" t="s">
        <v>1096</v>
      </c>
      <c r="G125" t="s">
        <v>488</v>
      </c>
      <c r="H125" t="b">
        <v>1</v>
      </c>
      <c r="P125" t="b">
        <f>ISNUMBER(MATCH(Varieties[[#This Row],[Id]],SeedOrder[Id],0))</f>
        <v>0</v>
      </c>
      <c r="Q125" t="e">
        <v>#N/A</v>
      </c>
      <c r="R125" t="e">
        <v>#N/A</v>
      </c>
      <c r="S125" t="s">
        <v>1097</v>
      </c>
    </row>
    <row r="126" spans="2:19" ht="15" customHeight="1">
      <c r="B126" t="str">
        <f>Varieties[[#This Row],[Company]] &amp; " " &amp;  Varieties[[#This Row],[Variety]]</f>
        <v>Osborne Chantilly Cream Yellow</v>
      </c>
      <c r="C126" t="s">
        <v>1340</v>
      </c>
      <c r="E126" t="s">
        <v>2243</v>
      </c>
      <c r="G126" t="s">
        <v>503</v>
      </c>
      <c r="H126" t="b">
        <v>0</v>
      </c>
      <c r="P126" t="b">
        <f>ISNUMBER(MATCH(Varieties[[#This Row],[Id]],SeedOrder[Id],0))</f>
        <v>0</v>
      </c>
      <c r="Q126" t="s">
        <v>2192</v>
      </c>
      <c r="R126" t="s">
        <v>2192</v>
      </c>
      <c r="S126" s="160" t="s">
        <v>2244</v>
      </c>
    </row>
    <row r="127" spans="2:19" ht="15" customHeight="1">
      <c r="B127" t="str">
        <f>Varieties[[#This Row],[Company]] &amp; " " &amp;  Varieties[[#This Row],[Variety]]</f>
        <v xml:space="preserve"> Cherokee Purple</v>
      </c>
      <c r="C127" t="s">
        <v>136</v>
      </c>
      <c r="D127" t="s">
        <v>427</v>
      </c>
      <c r="E127" t="s">
        <v>1584</v>
      </c>
      <c r="L127">
        <v>3.9</v>
      </c>
      <c r="M127" t="s">
        <v>1585</v>
      </c>
      <c r="P127" t="b">
        <f>ISNUMBER(MATCH(Varieties[[#This Row],[Id]],SeedOrder[Id],0))</f>
        <v>0</v>
      </c>
      <c r="Q127" t="e">
        <v>#N/A</v>
      </c>
      <c r="R127" t="e">
        <v>#N/A</v>
      </c>
    </row>
    <row r="128" spans="2:19" ht="15" customHeight="1">
      <c r="B128" t="str">
        <f>Varieties[[#This Row],[Company]] &amp; " " &amp;  Varieties[[#This Row],[Variety]]</f>
        <v>High Mowing Cherokee Purple</v>
      </c>
      <c r="C128" t="s">
        <v>136</v>
      </c>
      <c r="E128" t="s">
        <v>1584</v>
      </c>
      <c r="G128" t="s">
        <v>482</v>
      </c>
      <c r="H128" t="b">
        <v>1</v>
      </c>
      <c r="P128" t="b">
        <f>ISNUMBER(MATCH(Varieties[[#This Row],[Id]],SeedOrder[Id],0))</f>
        <v>0</v>
      </c>
      <c r="Q128">
        <v>225</v>
      </c>
      <c r="R128" t="s">
        <v>1243</v>
      </c>
      <c r="S128" s="160" t="s">
        <v>2078</v>
      </c>
    </row>
    <row r="129" spans="2:19" ht="15" customHeight="1">
      <c r="B129" t="str">
        <f>Varieties[[#This Row],[Company]] &amp; " " &amp;  Varieties[[#This Row],[Variety]]</f>
        <v>A P Whaley Cherry Falls</v>
      </c>
      <c r="C129" t="s">
        <v>136</v>
      </c>
      <c r="E129" t="s">
        <v>3012</v>
      </c>
      <c r="G129" t="s">
        <v>3040</v>
      </c>
      <c r="H129" t="b">
        <v>1</v>
      </c>
      <c r="P129" t="b">
        <f>ISNUMBER(MATCH(Varieties[[#This Row],[Id]],SeedOrder[Id],0))</f>
        <v>1</v>
      </c>
      <c r="Q129" t="s">
        <v>2916</v>
      </c>
      <c r="S129" t="s">
        <v>3093</v>
      </c>
    </row>
    <row r="130" spans="2:19" ht="15" customHeight="1">
      <c r="B130" t="str">
        <f>Varieties[[#This Row],[Company]] &amp; " " &amp;  Varieties[[#This Row],[Variety]]</f>
        <v>Baker Creek Chijimisai</v>
      </c>
      <c r="C130" t="s">
        <v>47</v>
      </c>
      <c r="E130" t="s">
        <v>59</v>
      </c>
      <c r="G130" t="s">
        <v>492</v>
      </c>
      <c r="P130" t="b">
        <f>ISNUMBER(MATCH(Varieties[[#This Row],[Id]],SeedOrder[Id],0))</f>
        <v>0</v>
      </c>
      <c r="Q130" t="e">
        <v>#N/A</v>
      </c>
      <c r="R130" t="e">
        <v>#N/A</v>
      </c>
      <c r="S130" t="s">
        <v>765</v>
      </c>
    </row>
    <row r="131" spans="2:19" ht="15" customHeight="1">
      <c r="B131" t="str">
        <f>Varieties[[#This Row],[Company]] &amp; " " &amp;  Varieties[[#This Row],[Variety]]</f>
        <v>Baker Creek Chijimisai</v>
      </c>
      <c r="C131" t="s">
        <v>59</v>
      </c>
      <c r="E131" t="s">
        <v>59</v>
      </c>
      <c r="G131" t="s">
        <v>492</v>
      </c>
      <c r="H131" t="b">
        <v>0</v>
      </c>
      <c r="P131" t="b">
        <f>ISNUMBER(MATCH(Varieties[[#This Row],[Id]],SeedOrder[Id],0))</f>
        <v>0</v>
      </c>
      <c r="Q131" t="e">
        <v>#N/A</v>
      </c>
      <c r="R131" t="e">
        <v>#N/A</v>
      </c>
      <c r="S131" t="s">
        <v>785</v>
      </c>
    </row>
    <row r="132" spans="2:19" ht="15" customHeight="1">
      <c r="B132" t="str">
        <f>Varieties[[#This Row],[Company]] &amp; " " &amp;  Varieties[[#This Row],[Variety]]</f>
        <v>Territorial Chinook OG</v>
      </c>
      <c r="C132" t="s">
        <v>91</v>
      </c>
      <c r="E132" t="s">
        <v>2858</v>
      </c>
      <c r="G132" s="268" t="s">
        <v>533</v>
      </c>
      <c r="H132" t="b">
        <v>1</v>
      </c>
      <c r="P132" t="b">
        <f>ISNUMBER(MATCH(Varieties[[#This Row],[Id]],SeedOrder[Id],0))</f>
        <v>0</v>
      </c>
      <c r="Q132" t="s">
        <v>2916</v>
      </c>
      <c r="S132" t="s">
        <v>2922</v>
      </c>
    </row>
    <row r="133" spans="2:19" ht="15" customHeight="1">
      <c r="B133" t="str">
        <f>Varieties[[#This Row],[Company]] &amp; " " &amp;  Varieties[[#This Row],[Variety]]</f>
        <v>Adaptive Chiogga</v>
      </c>
      <c r="C133" t="s">
        <v>46</v>
      </c>
      <c r="D133" t="s">
        <v>551</v>
      </c>
      <c r="E133" t="s">
        <v>598</v>
      </c>
      <c r="G133" t="s">
        <v>488</v>
      </c>
      <c r="H133" t="b">
        <v>1</v>
      </c>
      <c r="M133" s="30" t="s">
        <v>1251</v>
      </c>
      <c r="N133" s="30"/>
      <c r="O133" s="30"/>
      <c r="P133" s="30" t="b">
        <f>ISNUMBER(MATCH(Varieties[[#This Row],[Id]],SeedOrder[Id],0))</f>
        <v>1</v>
      </c>
      <c r="Q133">
        <v>80</v>
      </c>
      <c r="R133" s="30" t="s">
        <v>1243</v>
      </c>
      <c r="S133" s="160" t="s">
        <v>1252</v>
      </c>
    </row>
    <row r="134" spans="2:19" ht="15" customHeight="1">
      <c r="B134" t="str">
        <f>Varieties[[#This Row],[Company]] &amp; " " &amp;  Varieties[[#This Row],[Variety]]</f>
        <v>Uprising Chiogga</v>
      </c>
      <c r="C134" t="s">
        <v>46</v>
      </c>
      <c r="E134" t="s">
        <v>598</v>
      </c>
      <c r="G134" t="s">
        <v>484</v>
      </c>
      <c r="H134" t="b">
        <v>1</v>
      </c>
      <c r="P134" t="b">
        <f>ISNUMBER(MATCH(Varieties[[#This Row],[Id]],SeedOrder[Id],0))</f>
        <v>0</v>
      </c>
      <c r="Q134" t="e">
        <v>#N/A</v>
      </c>
      <c r="R134" t="e">
        <v>#N/A</v>
      </c>
      <c r="S134" t="s">
        <v>760</v>
      </c>
    </row>
    <row r="135" spans="2:19" ht="15" customHeight="1">
      <c r="B135" t="str">
        <f>Varieties[[#This Row],[Company]] &amp; " " &amp;  Varieties[[#This Row],[Variety]]</f>
        <v>Osborne Chocolate Sprinkles</v>
      </c>
      <c r="C135" t="s">
        <v>136</v>
      </c>
      <c r="E135" t="s">
        <v>2843</v>
      </c>
      <c r="G135" t="s">
        <v>503</v>
      </c>
      <c r="H135" t="b">
        <v>1</v>
      </c>
      <c r="P135" t="b">
        <f>ISNUMBER(MATCH(Varieties[[#This Row],[Id]],SeedOrder[Id],0))</f>
        <v>0</v>
      </c>
      <c r="Q135" t="s">
        <v>2916</v>
      </c>
      <c r="S135" t="s">
        <v>2915</v>
      </c>
    </row>
    <row r="136" spans="2:19" ht="15" customHeight="1">
      <c r="B136" t="str">
        <f>Varieties[[#This Row],[Company]] &amp; " " &amp;  Varieties[[#This Row],[Variety]]</f>
        <v>Baker Creek Choi Sum</v>
      </c>
      <c r="C136" t="s">
        <v>60</v>
      </c>
      <c r="E136" t="s">
        <v>60</v>
      </c>
      <c r="G136" t="s">
        <v>492</v>
      </c>
      <c r="H136" t="b">
        <v>0</v>
      </c>
      <c r="P136" t="b">
        <f>ISNUMBER(MATCH(Varieties[[#This Row],[Id]],SeedOrder[Id],0))</f>
        <v>0</v>
      </c>
      <c r="Q136" t="e">
        <v>#N/A</v>
      </c>
      <c r="R136" t="e">
        <v>#N/A</v>
      </c>
      <c r="S136" t="s">
        <v>786</v>
      </c>
    </row>
    <row r="137" spans="2:19" ht="15" customHeight="1">
      <c r="B137" t="str">
        <f>Varieties[[#This Row],[Company]] &amp; " " &amp;  Varieties[[#This Row],[Variety]]</f>
        <v>Adaptive Cicilian</v>
      </c>
      <c r="C137" t="s">
        <v>108</v>
      </c>
      <c r="D137" t="s">
        <v>1098</v>
      </c>
      <c r="E137" t="s">
        <v>561</v>
      </c>
      <c r="G137" t="s">
        <v>488</v>
      </c>
      <c r="H137" t="b">
        <v>1</v>
      </c>
      <c r="M137" t="s">
        <v>1101</v>
      </c>
      <c r="P137" t="b">
        <f>ISNUMBER(MATCH(Varieties[[#This Row],[Id]],SeedOrder[Id],0))</f>
        <v>0</v>
      </c>
      <c r="Q137">
        <v>450</v>
      </c>
      <c r="R137" t="s">
        <v>1243</v>
      </c>
      <c r="S137" t="s">
        <v>1102</v>
      </c>
    </row>
    <row r="138" spans="2:19" ht="15" customHeight="1">
      <c r="B138" t="str">
        <f>Varieties[[#This Row],[Company]] &amp; " " &amp;  Varieties[[#This Row],[Variety]]</f>
        <v>Adaptive Cilician</v>
      </c>
      <c r="C138" t="s">
        <v>108</v>
      </c>
      <c r="E138" t="s">
        <v>2030</v>
      </c>
      <c r="G138" t="s">
        <v>488</v>
      </c>
      <c r="H138" t="b">
        <v>1</v>
      </c>
      <c r="P138" t="b">
        <f>ISNUMBER(MATCH(Varieties[[#This Row],[Id]],SeedOrder[Id],0))</f>
        <v>0</v>
      </c>
      <c r="Q138">
        <v>450</v>
      </c>
      <c r="R138" t="s">
        <v>1243</v>
      </c>
      <c r="S138" t="s">
        <v>1102</v>
      </c>
    </row>
    <row r="139" spans="2:19" ht="15" customHeight="1">
      <c r="B139" t="str">
        <f>Varieties[[#This Row],[Company]] &amp; " " &amp;  Varieties[[#This Row],[Variety]]</f>
        <v xml:space="preserve"> Cipolla's Pride</v>
      </c>
      <c r="C139" t="s">
        <v>136</v>
      </c>
      <c r="D139" t="s">
        <v>1155</v>
      </c>
      <c r="E139" t="s">
        <v>1639</v>
      </c>
      <c r="L139">
        <v>4</v>
      </c>
      <c r="M139" t="s">
        <v>1640</v>
      </c>
      <c r="P139" t="b">
        <f>ISNUMBER(MATCH(Varieties[[#This Row],[Id]],SeedOrder[Id],0))</f>
        <v>0</v>
      </c>
      <c r="Q139" t="e">
        <v>#N/A</v>
      </c>
      <c r="R139" t="e">
        <v>#N/A</v>
      </c>
    </row>
    <row r="140" spans="2:19" ht="15" customHeight="1">
      <c r="B140" t="str">
        <f>Varieties[[#This Row],[Company]] &amp; " " &amp;  Varieties[[#This Row],[Variety]]</f>
        <v>Johnny's Cipolla's Pride</v>
      </c>
      <c r="C140" t="s">
        <v>490</v>
      </c>
      <c r="E140" t="s">
        <v>1639</v>
      </c>
      <c r="G140" t="s">
        <v>490</v>
      </c>
      <c r="H140" t="b">
        <v>1</v>
      </c>
      <c r="P140" t="b">
        <f>ISNUMBER(MATCH(Varieties[[#This Row],[Id]],SeedOrder[Id],0))</f>
        <v>0</v>
      </c>
      <c r="Q140">
        <v>165000</v>
      </c>
      <c r="R140" t="s">
        <v>1241</v>
      </c>
      <c r="S140" s="160" t="s">
        <v>2259</v>
      </c>
    </row>
    <row r="141" spans="2:19" ht="15" customHeight="1">
      <c r="B141" t="str">
        <f>Varieties[[#This Row],[Company]] &amp; " " &amp;  Varieties[[#This Row],[Variety]]</f>
        <v>Johnny's Classic Magic (purple, black)</v>
      </c>
      <c r="C141" t="s">
        <v>65</v>
      </c>
      <c r="E141" t="s">
        <v>595</v>
      </c>
      <c r="G141" t="s">
        <v>490</v>
      </c>
      <c r="H141" t="b">
        <v>0</v>
      </c>
      <c r="P141" t="b">
        <f>ISNUMBER(MATCH(Varieties[[#This Row],[Id]],SeedOrder[Id],0))</f>
        <v>0</v>
      </c>
      <c r="Q141">
        <v>5900</v>
      </c>
      <c r="R141" t="s">
        <v>1242</v>
      </c>
      <c r="S141" t="s">
        <v>734</v>
      </c>
    </row>
    <row r="142" spans="2:19" ht="15" customHeight="1">
      <c r="B142" t="str">
        <f>Varieties[[#This Row],[Company]] &amp; " " &amp;  Varieties[[#This Row],[Variety]]</f>
        <v>Johnny's Classic Romantic (reds, pinks, white)</v>
      </c>
      <c r="C142" t="s">
        <v>65</v>
      </c>
      <c r="E142" t="s">
        <v>593</v>
      </c>
      <c r="G142" t="s">
        <v>490</v>
      </c>
      <c r="H142" t="b">
        <v>0</v>
      </c>
      <c r="P142" t="b">
        <f>ISNUMBER(MATCH(Varieties[[#This Row],[Id]],SeedOrder[Id],0))</f>
        <v>0</v>
      </c>
      <c r="Q142">
        <v>6300</v>
      </c>
      <c r="R142" t="s">
        <v>1242</v>
      </c>
      <c r="S142" t="s">
        <v>732</v>
      </c>
    </row>
    <row r="143" spans="2:19" ht="15" customHeight="1">
      <c r="B143" t="str">
        <f>Varieties[[#This Row],[Company]] &amp; " " &amp;  Varieties[[#This Row],[Variety]]</f>
        <v>Wild Garden Classico</v>
      </c>
      <c r="C143" t="s">
        <v>43</v>
      </c>
      <c r="D143" t="s">
        <v>149</v>
      </c>
      <c r="E143" t="s">
        <v>1034</v>
      </c>
      <c r="G143" t="s">
        <v>526</v>
      </c>
      <c r="H143" t="b">
        <v>1</v>
      </c>
      <c r="M143" t="s">
        <v>1035</v>
      </c>
      <c r="P143" t="b">
        <f>ISNUMBER(MATCH(Varieties[[#This Row],[Id]],SeedOrder[Id],0))</f>
        <v>0</v>
      </c>
      <c r="Q143" t="e">
        <v>#N/A</v>
      </c>
      <c r="R143" t="e">
        <v>#N/A</v>
      </c>
      <c r="S143" t="s">
        <v>1036</v>
      </c>
    </row>
    <row r="144" spans="2:19" ht="15" customHeight="1">
      <c r="B144" t="str">
        <f>Varieties[[#This Row],[Company]] &amp; " " &amp;  Varieties[[#This Row],[Variety]]</f>
        <v xml:space="preserve"> Clemson Spineless</v>
      </c>
      <c r="C144" t="s">
        <v>1582</v>
      </c>
      <c r="D144" t="s">
        <v>441</v>
      </c>
      <c r="E144" t="s">
        <v>1583</v>
      </c>
      <c r="L144">
        <v>3.9</v>
      </c>
      <c r="M144" t="s">
        <v>1581</v>
      </c>
      <c r="P144" t="b">
        <f>ISNUMBER(MATCH(Varieties[[#This Row],[Id]],SeedOrder[Id],0))</f>
        <v>0</v>
      </c>
      <c r="Q144" t="e">
        <v>#N/A</v>
      </c>
      <c r="R144" t="e">
        <v>#N/A</v>
      </c>
    </row>
    <row r="145" spans="2:19" ht="15" customHeight="1">
      <c r="B145" t="str">
        <f>Varieties[[#This Row],[Company]] &amp; " " &amp;  Varieties[[#This Row],[Variety]]</f>
        <v>Johnny's Coco</v>
      </c>
      <c r="C145" t="s">
        <v>97</v>
      </c>
      <c r="E145" t="s">
        <v>623</v>
      </c>
      <c r="G145" t="s">
        <v>490</v>
      </c>
      <c r="H145" t="b">
        <v>0</v>
      </c>
      <c r="P145" t="b">
        <f>ISNUMBER(MATCH(Varieties[[#This Row],[Id]],SeedOrder[Id],0))</f>
        <v>0</v>
      </c>
      <c r="Q145">
        <v>9200</v>
      </c>
      <c r="R145" t="s">
        <v>1242</v>
      </c>
      <c r="S145" t="s">
        <v>875</v>
      </c>
    </row>
    <row r="146" spans="2:19" ht="15" customHeight="1">
      <c r="B146" t="str">
        <f>Varieties[[#This Row],[Company]] &amp; " " &amp;  Varieties[[#This Row],[Variety]]</f>
        <v>Johnny's Coco Gold F1</v>
      </c>
      <c r="C146" t="s">
        <v>97</v>
      </c>
      <c r="E146" t="s">
        <v>1381</v>
      </c>
      <c r="G146" t="s">
        <v>490</v>
      </c>
      <c r="H146" t="b">
        <v>0</v>
      </c>
      <c r="P146" t="b">
        <f>ISNUMBER(MATCH(Varieties[[#This Row],[Id]],SeedOrder[Id],0))</f>
        <v>0</v>
      </c>
      <c r="Q146">
        <v>7200</v>
      </c>
      <c r="R146" t="s">
        <v>1242</v>
      </c>
      <c r="S146" s="160" t="s">
        <v>2027</v>
      </c>
    </row>
    <row r="147" spans="2:19" ht="15" customHeight="1">
      <c r="B147" t="str">
        <f>Varieties[[#This Row],[Company]] &amp; " " &amp;  Varieties[[#This Row],[Variety]]</f>
        <v>High Mowing COCOZELLE</v>
      </c>
      <c r="C147" t="s">
        <v>128</v>
      </c>
      <c r="D147" t="s">
        <v>1118</v>
      </c>
      <c r="E147" t="s">
        <v>679</v>
      </c>
      <c r="G147" t="s">
        <v>482</v>
      </c>
      <c r="H147" t="b">
        <v>1</v>
      </c>
      <c r="M147" t="s">
        <v>1121</v>
      </c>
      <c r="P147" t="b">
        <f>ISNUMBER(MATCH(Varieties[[#This Row],[Id]],SeedOrder[Id],0))</f>
        <v>0</v>
      </c>
      <c r="Q147">
        <v>160</v>
      </c>
      <c r="R147" t="s">
        <v>1242</v>
      </c>
      <c r="S147" t="s">
        <v>1122</v>
      </c>
    </row>
    <row r="148" spans="2:19" ht="15" customHeight="1">
      <c r="B148" t="str">
        <f>Varieties[[#This Row],[Company]] &amp; " " &amp;  Varieties[[#This Row],[Variety]]</f>
        <v>Johnny's Conservor F1</v>
      </c>
      <c r="C148" t="s">
        <v>120</v>
      </c>
      <c r="E148" t="s">
        <v>1855</v>
      </c>
      <c r="G148" t="s">
        <v>490</v>
      </c>
      <c r="H148" t="b">
        <v>0</v>
      </c>
      <c r="P148" t="b">
        <f>ISNUMBER(MATCH(Varieties[[#This Row],[Id]],SeedOrder[Id],0))</f>
        <v>0</v>
      </c>
      <c r="Q148">
        <v>125200</v>
      </c>
      <c r="R148" t="s">
        <v>1242</v>
      </c>
      <c r="S148" s="160" t="s">
        <v>2136</v>
      </c>
    </row>
    <row r="149" spans="2:19" ht="15" customHeight="1">
      <c r="B149" t="str">
        <f>Varieties[[#This Row],[Company]] &amp; " " &amp;  Varieties[[#This Row],[Variety]]</f>
        <v>High Mowing Conservor F1</v>
      </c>
      <c r="C149" t="s">
        <v>120</v>
      </c>
      <c r="E149" t="s">
        <v>1855</v>
      </c>
      <c r="G149" t="s">
        <v>482</v>
      </c>
      <c r="H149" t="b">
        <v>0</v>
      </c>
      <c r="P149" t="b">
        <f>ISNUMBER(MATCH(Varieties[[#This Row],[Id]],SeedOrder[Id],0))</f>
        <v>0</v>
      </c>
      <c r="Q149">
        <v>125200</v>
      </c>
      <c r="R149" t="s">
        <v>1242</v>
      </c>
      <c r="S149" s="160" t="s">
        <v>2272</v>
      </c>
    </row>
    <row r="150" spans="2:19" ht="15" customHeight="1">
      <c r="B150" t="str">
        <f>Varieties[[#This Row],[Company]] &amp; " " &amp;  Varieties[[#This Row],[Variety]]</f>
        <v>Johnny's Copper Plume</v>
      </c>
      <c r="C150" t="s">
        <v>1785</v>
      </c>
      <c r="E150" t="s">
        <v>1954</v>
      </c>
      <c r="G150" t="s">
        <v>490</v>
      </c>
      <c r="H150" t="b">
        <v>1</v>
      </c>
      <c r="P150" t="b">
        <f>ISNUMBER(MATCH(Varieties[[#This Row],[Id]],SeedOrder[Id],0))</f>
        <v>0</v>
      </c>
      <c r="Q150">
        <v>7100</v>
      </c>
      <c r="R150" t="s">
        <v>1242</v>
      </c>
      <c r="S150" s="160" t="s">
        <v>2132</v>
      </c>
    </row>
    <row r="151" spans="2:19" ht="15" customHeight="1">
      <c r="B151" t="str">
        <f>Varieties[[#This Row],[Company]] &amp; " " &amp;  Varieties[[#This Row],[Variety]]</f>
        <v>Johnny's Coral Foundain</v>
      </c>
      <c r="C151" t="s">
        <v>41</v>
      </c>
      <c r="E151" t="s">
        <v>721</v>
      </c>
      <c r="G151" t="s">
        <v>490</v>
      </c>
      <c r="H151" t="b">
        <v>0</v>
      </c>
      <c r="P151" t="b">
        <f>ISNUMBER(MATCH(Varieties[[#This Row],[Id]],SeedOrder[Id],0))</f>
        <v>0</v>
      </c>
      <c r="Q151" t="e">
        <v>#N/A</v>
      </c>
      <c r="R151" t="e">
        <v>#N/A</v>
      </c>
      <c r="S151" t="s">
        <v>1361</v>
      </c>
    </row>
    <row r="152" spans="2:19" ht="15" customHeight="1">
      <c r="B152" t="str">
        <f>Varieties[[#This Row],[Company]] &amp; " " &amp;  Varieties[[#This Row],[Variety]]</f>
        <v>Johnny's Corinto</v>
      </c>
      <c r="C152" t="s">
        <v>70</v>
      </c>
      <c r="E152" t="s">
        <v>2877</v>
      </c>
      <c r="G152" s="268" t="s">
        <v>490</v>
      </c>
      <c r="H152" t="b">
        <v>1</v>
      </c>
      <c r="P152" t="b">
        <f>ISNUMBER(MATCH(Varieties[[#This Row],[Id]],SeedOrder[Id],0))</f>
        <v>0</v>
      </c>
      <c r="Q152" s="176">
        <v>17700</v>
      </c>
      <c r="R152" t="s">
        <v>1241</v>
      </c>
      <c r="S152" t="s">
        <v>2878</v>
      </c>
    </row>
    <row r="153" spans="2:19" ht="15" customHeight="1">
      <c r="B153" t="str">
        <f>Varieties[[#This Row],[Company]] &amp; " " &amp;  Varieties[[#This Row],[Variety]]</f>
        <v xml:space="preserve"> Cortland</v>
      </c>
      <c r="C153" t="s">
        <v>105</v>
      </c>
      <c r="D153" t="s">
        <v>1123</v>
      </c>
      <c r="E153" t="s">
        <v>1662</v>
      </c>
      <c r="L153">
        <v>4.2</v>
      </c>
      <c r="P153" t="b">
        <f>ISNUMBER(MATCH(Varieties[[#This Row],[Id]],SeedOrder[Id],0))</f>
        <v>0</v>
      </c>
      <c r="Q153" t="e">
        <v>#N/A</v>
      </c>
      <c r="R153" t="e">
        <v>#N/A</v>
      </c>
    </row>
    <row r="154" spans="2:19" ht="15" customHeight="1">
      <c r="B154" t="str">
        <f>Varieties[[#This Row],[Company]] &amp; " " &amp;  Varieties[[#This Row],[Variety]]</f>
        <v>High Mowing Cortland F1</v>
      </c>
      <c r="C154" t="s">
        <v>105</v>
      </c>
      <c r="E154" t="s">
        <v>1845</v>
      </c>
      <c r="G154" t="s">
        <v>482</v>
      </c>
      <c r="H154" t="b">
        <v>1</v>
      </c>
      <c r="P154" t="b">
        <f>ISNUMBER(MATCH(Varieties[[#This Row],[Id]],SeedOrder[Id],0))</f>
        <v>0</v>
      </c>
      <c r="Q154">
        <v>6000</v>
      </c>
      <c r="R154" t="s">
        <v>1242</v>
      </c>
      <c r="S154" s="160" t="s">
        <v>2065</v>
      </c>
    </row>
    <row r="155" spans="2:19" ht="15" customHeight="1">
      <c r="B155" t="str">
        <f>Varieties[[#This Row],[Company]] &amp; " " &amp;  Varieties[[#This Row],[Variety]]</f>
        <v xml:space="preserve"> Cosmic Mountain Sunset</v>
      </c>
      <c r="C155" t="s">
        <v>136</v>
      </c>
      <c r="D155" t="s">
        <v>178</v>
      </c>
      <c r="E155" t="s">
        <v>1641</v>
      </c>
      <c r="L155">
        <v>3.9</v>
      </c>
      <c r="M155" t="s">
        <v>1642</v>
      </c>
      <c r="P155" t="b">
        <f>ISNUMBER(MATCH(Varieties[[#This Row],[Id]],SeedOrder[Id],0))</f>
        <v>0</v>
      </c>
      <c r="Q155" t="e">
        <v>#N/A</v>
      </c>
      <c r="R155" t="e">
        <v>#N/A</v>
      </c>
    </row>
    <row r="156" spans="2:19" ht="15" customHeight="1">
      <c r="B156" t="str">
        <f>Varieties[[#This Row],[Company]] &amp; " " &amp;  Varieties[[#This Row],[Variety]]</f>
        <v>Wild Mountain Cosmic Mountain Sunset</v>
      </c>
      <c r="C156" t="s">
        <v>136</v>
      </c>
      <c r="E156" t="s">
        <v>1641</v>
      </c>
      <c r="G156" t="s">
        <v>2024</v>
      </c>
      <c r="H156" t="b">
        <v>0</v>
      </c>
      <c r="P156" t="b">
        <f>ISNUMBER(MATCH(Varieties[[#This Row],[Id]],SeedOrder[Id],0))</f>
        <v>0</v>
      </c>
      <c r="Q156" t="s">
        <v>2192</v>
      </c>
      <c r="R156" t="s">
        <v>2192</v>
      </c>
      <c r="S156" s="160" t="s">
        <v>2184</v>
      </c>
    </row>
    <row r="157" spans="2:19" ht="15" customHeight="1">
      <c r="B157" t="str">
        <f>Varieties[[#This Row],[Company]] &amp; " " &amp;  Varieties[[#This Row],[Variety]]</f>
        <v>High Mowing Cosmic Purple</v>
      </c>
      <c r="C157" t="s">
        <v>53</v>
      </c>
      <c r="E157" t="s">
        <v>2802</v>
      </c>
      <c r="G157" s="268" t="s">
        <v>482</v>
      </c>
      <c r="H157" t="b">
        <v>1</v>
      </c>
      <c r="P157" t="b">
        <f>ISNUMBER(MATCH(Varieties[[#This Row],[Id]],SeedOrder[Id],0))</f>
        <v>0</v>
      </c>
      <c r="Q157">
        <v>20000</v>
      </c>
      <c r="R157" t="s">
        <v>1241</v>
      </c>
      <c r="S157" t="s">
        <v>2896</v>
      </c>
    </row>
    <row r="158" spans="2:19" ht="15" customHeight="1">
      <c r="B158" t="str">
        <f>Varieties[[#This Row],[Company]] &amp; " " &amp;  Varieties[[#This Row],[Variety]]</f>
        <v xml:space="preserve"> Costarossa</v>
      </c>
      <c r="C158" t="s">
        <v>356</v>
      </c>
      <c r="D158" t="s">
        <v>1631</v>
      </c>
      <c r="E158" t="s">
        <v>1632</v>
      </c>
      <c r="L158">
        <v>3.3</v>
      </c>
      <c r="P158" t="b">
        <f>ISNUMBER(MATCH(Varieties[[#This Row],[Id]],SeedOrder[Id],0))</f>
        <v>0</v>
      </c>
      <c r="Q158" t="e">
        <v>#N/A</v>
      </c>
      <c r="R158" t="e">
        <v>#N/A</v>
      </c>
    </row>
    <row r="159" spans="2:19" ht="15" customHeight="1">
      <c r="B159" t="str">
        <f>Varieties[[#This Row],[Company]] &amp; " " &amp;  Varieties[[#This Row],[Variety]]</f>
        <v>Johnny's Costata Romanesco</v>
      </c>
      <c r="C159" t="s">
        <v>128</v>
      </c>
      <c r="E159" t="s">
        <v>1378</v>
      </c>
      <c r="G159" t="s">
        <v>490</v>
      </c>
      <c r="H159" t="b">
        <v>0</v>
      </c>
      <c r="P159" t="b">
        <f>ISNUMBER(MATCH(Varieties[[#This Row],[Id]],SeedOrder[Id],0))</f>
        <v>0</v>
      </c>
      <c r="Q159">
        <v>2700</v>
      </c>
      <c r="R159" t="s">
        <v>1241</v>
      </c>
      <c r="S159" s="160" t="s">
        <v>2115</v>
      </c>
    </row>
    <row r="160" spans="2:19" ht="15" customHeight="1">
      <c r="B160" t="str">
        <f>Varieties[[#This Row],[Company]] &amp; " " &amp;  Varieties[[#This Row],[Variety]]</f>
        <v>Uprising Costata Romanesco</v>
      </c>
      <c r="C160" t="s">
        <v>128</v>
      </c>
      <c r="E160" t="s">
        <v>1378</v>
      </c>
      <c r="G160" t="s">
        <v>484</v>
      </c>
      <c r="H160" t="b">
        <v>1</v>
      </c>
      <c r="P160" t="b">
        <f>ISNUMBER(MATCH(Varieties[[#This Row],[Id]],SeedOrder[Id],0))</f>
        <v>0</v>
      </c>
      <c r="Q160" t="e">
        <v>#N/A</v>
      </c>
      <c r="R160" t="e">
        <v>#N/A</v>
      </c>
    </row>
    <row r="161" spans="2:19" ht="15" customHeight="1">
      <c r="B161" t="str">
        <f>Varieties[[#This Row],[Company]] &amp; " " &amp;  Varieties[[#This Row],[Variety]]</f>
        <v>High Mowing Costata Romanesco</v>
      </c>
      <c r="C161" t="s">
        <v>128</v>
      </c>
      <c r="E161" t="s">
        <v>1378</v>
      </c>
      <c r="G161" s="268" t="s">
        <v>482</v>
      </c>
      <c r="H161" t="b">
        <v>1</v>
      </c>
      <c r="P161" t="b">
        <f>ISNUMBER(MATCH(Varieties[[#This Row],[Id]],SeedOrder[Id],0))</f>
        <v>1</v>
      </c>
      <c r="Q161">
        <v>185</v>
      </c>
      <c r="R161" t="s">
        <v>1242</v>
      </c>
      <c r="S161" t="s">
        <v>1120</v>
      </c>
    </row>
    <row r="162" spans="2:19" ht="15" customHeight="1">
      <c r="B162" t="str">
        <f>Varieties[[#This Row],[Company]] &amp; " " &amp;  Varieties[[#This Row],[Variety]]</f>
        <v>High Mowing COSTATA ROMANESCO ZUCCHINI</v>
      </c>
      <c r="C162" t="s">
        <v>128</v>
      </c>
      <c r="D162" t="s">
        <v>1118</v>
      </c>
      <c r="E162" t="s">
        <v>678</v>
      </c>
      <c r="G162" t="s">
        <v>482</v>
      </c>
      <c r="H162" t="b">
        <v>1</v>
      </c>
      <c r="M162" t="s">
        <v>1119</v>
      </c>
      <c r="P162" t="b">
        <f>ISNUMBER(MATCH(Varieties[[#This Row],[Id]],SeedOrder[Id],0))</f>
        <v>0</v>
      </c>
      <c r="Q162">
        <v>260</v>
      </c>
      <c r="R162" t="s">
        <v>1242</v>
      </c>
      <c r="S162" t="s">
        <v>1120</v>
      </c>
    </row>
    <row r="163" spans="2:19" ht="15" customHeight="1">
      <c r="B163" t="str">
        <f>Varieties[[#This Row],[Company]] &amp; " " &amp;  Varieties[[#This Row],[Variety]]</f>
        <v>Osborne Crackerjack</v>
      </c>
      <c r="C163" t="s">
        <v>97</v>
      </c>
      <c r="E163" t="s">
        <v>620</v>
      </c>
      <c r="G163" t="s">
        <v>503</v>
      </c>
      <c r="H163" t="b">
        <v>0</v>
      </c>
      <c r="P163" t="b">
        <f>ISNUMBER(MATCH(Varieties[[#This Row],[Id]],SeedOrder[Id],0))</f>
        <v>0</v>
      </c>
      <c r="Q163" t="e">
        <v>#N/A</v>
      </c>
      <c r="R163" t="e">
        <v>#N/A</v>
      </c>
      <c r="S163" t="s">
        <v>872</v>
      </c>
    </row>
    <row r="164" spans="2:19" ht="15" customHeight="1">
      <c r="B164" t="str">
        <f>Varieties[[#This Row],[Company]] &amp; " " &amp;  Varieties[[#This Row],[Variety]]</f>
        <v>High Mowing Cramer's Plum</v>
      </c>
      <c r="C164" t="s">
        <v>104</v>
      </c>
      <c r="E164" t="s">
        <v>633</v>
      </c>
      <c r="G164" t="s">
        <v>482</v>
      </c>
      <c r="H164" t="b">
        <v>1</v>
      </c>
      <c r="P164" t="b">
        <f>ISNUMBER(MATCH(Varieties[[#This Row],[Id]],SeedOrder[Id],0))</f>
        <v>0</v>
      </c>
      <c r="Q164">
        <v>0</v>
      </c>
      <c r="R164">
        <v>0</v>
      </c>
      <c r="S164" t="s">
        <v>886</v>
      </c>
    </row>
    <row r="165" spans="2:19" ht="15" customHeight="1">
      <c r="B165" t="str">
        <f>Varieties[[#This Row],[Company]] &amp; " " &amp;  Varieties[[#This Row],[Variety]]</f>
        <v>Tomato Fest Cream Sausage</v>
      </c>
      <c r="C165" t="s">
        <v>136</v>
      </c>
      <c r="E165" t="s">
        <v>3025</v>
      </c>
      <c r="G165" t="s">
        <v>695</v>
      </c>
      <c r="H165" t="b">
        <v>1</v>
      </c>
      <c r="P165" t="b">
        <f>ISNUMBER(MATCH(Varieties[[#This Row],[Id]],SeedOrder[Id],0))</f>
        <v>1</v>
      </c>
      <c r="Q165" t="s">
        <v>2916</v>
      </c>
      <c r="S165" t="s">
        <v>3080</v>
      </c>
    </row>
    <row r="166" spans="2:19" ht="15" customHeight="1">
      <c r="B166" t="str">
        <f>Varieties[[#This Row],[Company]] &amp; " " &amp;  Varieties[[#This Row],[Variety]]</f>
        <v>Johnny's Crème Brulee</v>
      </c>
      <c r="C166" t="s">
        <v>120</v>
      </c>
      <c r="E166" t="s">
        <v>1856</v>
      </c>
      <c r="G166" t="s">
        <v>490</v>
      </c>
      <c r="H166" t="b">
        <v>0</v>
      </c>
      <c r="P166" t="b">
        <f>ISNUMBER(MATCH(Varieties[[#This Row],[Id]],SeedOrder[Id],0))</f>
        <v>0</v>
      </c>
      <c r="Q166">
        <v>111700</v>
      </c>
      <c r="R166" t="s">
        <v>1242</v>
      </c>
      <c r="S166" s="160" t="s">
        <v>2137</v>
      </c>
    </row>
    <row r="167" spans="2:19" ht="15" customHeight="1">
      <c r="B167" t="str">
        <f>Varieties[[#This Row],[Company]] &amp; " " &amp;  Varieties[[#This Row],[Variety]]</f>
        <v>Everwilde Crosby's Egyptian</v>
      </c>
      <c r="C167" t="s">
        <v>46</v>
      </c>
      <c r="D167" t="s">
        <v>551</v>
      </c>
      <c r="E167" t="s">
        <v>1255</v>
      </c>
      <c r="G167" t="s">
        <v>753</v>
      </c>
      <c r="H167" t="b">
        <v>1</v>
      </c>
      <c r="M167" s="30" t="s">
        <v>1254</v>
      </c>
      <c r="N167" s="30"/>
      <c r="O167" s="30"/>
      <c r="P167" s="30" t="b">
        <f>ISNUMBER(MATCH(Varieties[[#This Row],[Id]],SeedOrder[Id],0))</f>
        <v>0</v>
      </c>
      <c r="Q167" t="e">
        <v>#N/A</v>
      </c>
      <c r="R167" s="30" t="e">
        <v>#N/A</v>
      </c>
      <c r="S167" t="s">
        <v>1253</v>
      </c>
    </row>
    <row r="168" spans="2:19" ht="15" customHeight="1">
      <c r="B168" t="str">
        <f>Varieties[[#This Row],[Company]] &amp; " " &amp;  Varieties[[#This Row],[Variety]]</f>
        <v>High Mowing Cruiser</v>
      </c>
      <c r="C168" t="s">
        <v>62</v>
      </c>
      <c r="E168" t="s">
        <v>1807</v>
      </c>
      <c r="G168" t="s">
        <v>482</v>
      </c>
      <c r="H168" t="b">
        <v>1</v>
      </c>
      <c r="P168" t="b">
        <f>ISNUMBER(MATCH(Varieties[[#This Row],[Id]],SeedOrder[Id],0))</f>
        <v>0</v>
      </c>
      <c r="Q168">
        <v>3800</v>
      </c>
      <c r="R168" t="s">
        <v>1242</v>
      </c>
      <c r="S168" s="160" t="s">
        <v>2054</v>
      </c>
    </row>
    <row r="169" spans="2:19" ht="15" customHeight="1">
      <c r="B169" t="str">
        <f>Varieties[[#This Row],[Company]] &amp; " " &amp;  Varieties[[#This Row],[Variety]]</f>
        <v>Wild Board Crushed Heart</v>
      </c>
      <c r="C169" t="s">
        <v>136</v>
      </c>
      <c r="E169" t="s">
        <v>967</v>
      </c>
      <c r="G169" t="s">
        <v>968</v>
      </c>
      <c r="P169" t="b">
        <f>ISNUMBER(MATCH(Varieties[[#This Row],[Id]],SeedOrder[Id],0))</f>
        <v>0</v>
      </c>
      <c r="Q169" t="e">
        <v>#N/A</v>
      </c>
      <c r="R169" t="e">
        <v>#N/A</v>
      </c>
      <c r="S169" t="s">
        <v>969</v>
      </c>
    </row>
    <row r="170" spans="2:19" ht="15" customHeight="1">
      <c r="B170" t="str">
        <f>Varieties[[#This Row],[Company]] &amp; " " &amp;  Varieties[[#This Row],[Variety]]</f>
        <v>Adaptive Cupidon</v>
      </c>
      <c r="C170" t="s">
        <v>44</v>
      </c>
      <c r="D170" t="s">
        <v>151</v>
      </c>
      <c r="E170" t="s">
        <v>487</v>
      </c>
      <c r="G170" t="s">
        <v>488</v>
      </c>
      <c r="H170" t="b">
        <v>1</v>
      </c>
      <c r="P170" t="b">
        <f>ISNUMBER(MATCH(Varieties[[#This Row],[Id]],SeedOrder[Id],0))</f>
        <v>0</v>
      </c>
      <c r="Q170">
        <v>120</v>
      </c>
      <c r="R170" t="s">
        <v>1242</v>
      </c>
      <c r="S170" t="s">
        <v>751</v>
      </c>
    </row>
    <row r="171" spans="2:19" ht="15" customHeight="1">
      <c r="B171" t="str">
        <f>Varieties[[#This Row],[Company]] &amp; " " &amp;  Varieties[[#This Row],[Variety]]</f>
        <v>High Mowing Daikon</v>
      </c>
      <c r="C171" t="s">
        <v>114</v>
      </c>
      <c r="E171" t="s">
        <v>1922</v>
      </c>
      <c r="G171" t="s">
        <v>482</v>
      </c>
      <c r="H171" t="b">
        <v>1</v>
      </c>
      <c r="P171" t="b">
        <f>ISNUMBER(MATCH(Varieties[[#This Row],[Id]],SeedOrder[Id],0))</f>
        <v>0</v>
      </c>
      <c r="Q171">
        <v>1800</v>
      </c>
      <c r="R171" t="s">
        <v>1242</v>
      </c>
      <c r="S171" s="160" t="s">
        <v>2070</v>
      </c>
    </row>
    <row r="172" spans="2:19" ht="15" customHeight="1">
      <c r="B172" t="str">
        <f>Varieties[[#This Row],[Company]] &amp; " " &amp;  Varieties[[#This Row],[Variety]]</f>
        <v>Wild Garden Dara</v>
      </c>
      <c r="C172" t="s">
        <v>141</v>
      </c>
      <c r="E172" t="s">
        <v>569</v>
      </c>
      <c r="G172" t="s">
        <v>526</v>
      </c>
      <c r="H172" t="b">
        <v>1</v>
      </c>
      <c r="P172" t="b">
        <f>ISNUMBER(MATCH(Varieties[[#This Row],[Id]],SeedOrder[Id],0))</f>
        <v>0</v>
      </c>
      <c r="Q172">
        <v>1071</v>
      </c>
      <c r="R172" t="s">
        <v>1243</v>
      </c>
      <c r="S172" s="160" t="s">
        <v>907</v>
      </c>
    </row>
    <row r="173" spans="2:19" ht="15" customHeight="1">
      <c r="B173" t="str">
        <f>Varieties[[#This Row],[Company]] &amp; " " &amp;  Varieties[[#This Row],[Variety]]</f>
        <v xml:space="preserve"> Darkibor</v>
      </c>
      <c r="C173" t="s">
        <v>88</v>
      </c>
      <c r="E173" t="s">
        <v>1617</v>
      </c>
      <c r="L173">
        <v>3.4</v>
      </c>
      <c r="P173" t="b">
        <f>ISNUMBER(MATCH(Varieties[[#This Row],[Id]],SeedOrder[Id],0))</f>
        <v>0</v>
      </c>
      <c r="Q173" t="e">
        <v>#N/A</v>
      </c>
      <c r="R173" t="e">
        <v>#N/A</v>
      </c>
    </row>
    <row r="174" spans="2:19" ht="15" customHeight="1">
      <c r="B174" t="str">
        <f>Varieties[[#This Row],[Company]] &amp; " " &amp;  Varieties[[#This Row],[Variety]]</f>
        <v>High Mowing Darkibor</v>
      </c>
      <c r="C174" t="s">
        <v>88</v>
      </c>
      <c r="E174" t="s">
        <v>1617</v>
      </c>
      <c r="G174" t="s">
        <v>482</v>
      </c>
      <c r="H174" t="b">
        <v>1</v>
      </c>
      <c r="P174" t="b">
        <f>ISNUMBER(MATCH(Varieties[[#This Row],[Id]],SeedOrder[Id],0))</f>
        <v>0</v>
      </c>
      <c r="Q174">
        <v>5600</v>
      </c>
      <c r="R174" t="s">
        <v>1242</v>
      </c>
      <c r="S174" s="160" t="s">
        <v>2081</v>
      </c>
    </row>
    <row r="175" spans="2:19" ht="15" customHeight="1">
      <c r="B175" t="str">
        <f>Varieties[[#This Row],[Company]] &amp; " " &amp;  Varieties[[#This Row],[Variety]]</f>
        <v>Adaptive Daydream</v>
      </c>
      <c r="C175" t="s">
        <v>67</v>
      </c>
      <c r="E175" t="s">
        <v>607</v>
      </c>
      <c r="G175" t="s">
        <v>488</v>
      </c>
      <c r="H175" t="b">
        <v>1</v>
      </c>
      <c r="P175" t="b">
        <f>ISNUMBER(MATCH(Varieties[[#This Row],[Id]],SeedOrder[Id],0))</f>
        <v>0</v>
      </c>
      <c r="Q175">
        <v>150</v>
      </c>
      <c r="R175" t="s">
        <v>1243</v>
      </c>
      <c r="S175" s="160" t="s">
        <v>800</v>
      </c>
    </row>
    <row r="176" spans="2:19" ht="15" customHeight="1">
      <c r="B176" t="str">
        <f>Varieties[[#This Row],[Company]] &amp; " " &amp;  Varieties[[#This Row],[Variety]]</f>
        <v xml:space="preserve"> Dazzling Blue</v>
      </c>
      <c r="C176" t="s">
        <v>88</v>
      </c>
      <c r="E176" t="s">
        <v>1554</v>
      </c>
      <c r="L176">
        <v>4.2</v>
      </c>
      <c r="M176" t="s">
        <v>1553</v>
      </c>
      <c r="P176" t="b">
        <f>ISNUMBER(MATCH(Varieties[[#This Row],[Id]],SeedOrder[Id],0))</f>
        <v>0</v>
      </c>
      <c r="Q176" t="e">
        <v>#N/A</v>
      </c>
      <c r="R176" t="e">
        <v>#N/A</v>
      </c>
    </row>
    <row r="177" spans="2:19" ht="15" customHeight="1">
      <c r="B177" t="str">
        <f>Varieties[[#This Row],[Company]] &amp; " " &amp;  Varieties[[#This Row],[Variety]]</f>
        <v>High Mowing Dazzling Blue</v>
      </c>
      <c r="C177" t="s">
        <v>88</v>
      </c>
      <c r="E177" t="s">
        <v>1554</v>
      </c>
      <c r="G177" t="s">
        <v>482</v>
      </c>
      <c r="H177" t="b">
        <v>1</v>
      </c>
      <c r="P177" t="b">
        <f>ISNUMBER(MATCH(Varieties[[#This Row],[Id]],SeedOrder[Id],0))</f>
        <v>0</v>
      </c>
      <c r="Q177">
        <v>5600</v>
      </c>
      <c r="R177" t="s">
        <v>1242</v>
      </c>
      <c r="S177" s="160" t="s">
        <v>2082</v>
      </c>
    </row>
    <row r="178" spans="2:19" ht="15" customHeight="1">
      <c r="B178" t="str">
        <f>Varieties[[#This Row],[Company]] &amp; " " &amp;  Varieties[[#This Row],[Variety]]</f>
        <v>Johnny's De Cicco/Santee</v>
      </c>
      <c r="C178" t="s">
        <v>116</v>
      </c>
      <c r="E178" t="s">
        <v>913</v>
      </c>
      <c r="G178" t="s">
        <v>490</v>
      </c>
      <c r="P178" t="b">
        <f>ISNUMBER(MATCH(Varieties[[#This Row],[Id]],SeedOrder[Id],0))</f>
        <v>0</v>
      </c>
      <c r="Q178" t="e">
        <v>#N/A</v>
      </c>
      <c r="R178" t="e">
        <v>#N/A</v>
      </c>
      <c r="S178" t="s">
        <v>914</v>
      </c>
    </row>
    <row r="179" spans="2:19" ht="15" customHeight="1">
      <c r="B179" t="str">
        <f>Varieties[[#This Row],[Company]] &amp; " " &amp;  Varieties[[#This Row],[Variety]]</f>
        <v>Johnny's De Milpa</v>
      </c>
      <c r="C179" t="s">
        <v>135</v>
      </c>
      <c r="E179" t="s">
        <v>2840</v>
      </c>
      <c r="G179" t="s">
        <v>490</v>
      </c>
      <c r="H179" t="b">
        <v>1</v>
      </c>
      <c r="P179" t="b">
        <f>ISNUMBER(MATCH(Varieties[[#This Row],[Id]],SeedOrder[Id],0))</f>
        <v>0</v>
      </c>
      <c r="Q179" s="248">
        <v>18800</v>
      </c>
      <c r="R179" t="s">
        <v>1242</v>
      </c>
      <c r="S179" t="s">
        <v>2886</v>
      </c>
    </row>
    <row r="180" spans="2:19" ht="15" customHeight="1">
      <c r="B180" t="str">
        <f>Varieties[[#This Row],[Company]] &amp; " " &amp;  Varieties[[#This Row],[Variety]]</f>
        <v>High Mowing Deadon F1</v>
      </c>
      <c r="C180" t="s">
        <v>52</v>
      </c>
      <c r="E180" t="s">
        <v>775</v>
      </c>
      <c r="G180" t="s">
        <v>482</v>
      </c>
      <c r="H180" t="b">
        <v>1</v>
      </c>
      <c r="P180" t="b">
        <f>ISNUMBER(MATCH(Varieties[[#This Row],[Id]],SeedOrder[Id],0))</f>
        <v>0</v>
      </c>
      <c r="Q180">
        <v>4800</v>
      </c>
      <c r="R180" t="s">
        <v>1242</v>
      </c>
      <c r="S180" s="160" t="s">
        <v>776</v>
      </c>
    </row>
    <row r="181" spans="2:19" ht="15" customHeight="1">
      <c r="B181" t="str">
        <f>Varieties[[#This Row],[Company]] &amp; " " &amp;  Varieties[[#This Row],[Variety]]</f>
        <v>Johnny's Deadon F1</v>
      </c>
      <c r="C181" t="s">
        <v>52</v>
      </c>
      <c r="E181" t="s">
        <v>775</v>
      </c>
      <c r="G181" t="s">
        <v>490</v>
      </c>
      <c r="H181" t="b">
        <v>1</v>
      </c>
      <c r="P181" t="b">
        <f>ISNUMBER(MATCH(Varieties[[#This Row],[Id]],SeedOrder[Id],0))</f>
        <v>0</v>
      </c>
      <c r="Q181">
        <v>4800</v>
      </c>
      <c r="R181" t="s">
        <v>1242</v>
      </c>
      <c r="S181" s="160" t="s">
        <v>2273</v>
      </c>
    </row>
    <row r="182" spans="2:19" ht="15" customHeight="1">
      <c r="B182" t="str">
        <f>Varieties[[#This Row],[Company]] &amp; " " &amp;  Varieties[[#This Row],[Variety]]</f>
        <v xml:space="preserve"> Deep Purple</v>
      </c>
      <c r="C182" t="s">
        <v>53</v>
      </c>
      <c r="D182" t="s">
        <v>743</v>
      </c>
      <c r="E182" t="s">
        <v>1605</v>
      </c>
      <c r="L182">
        <v>3.8</v>
      </c>
      <c r="P182" t="b">
        <f>ISNUMBER(MATCH(Varieties[[#This Row],[Id]],SeedOrder[Id],0))</f>
        <v>0</v>
      </c>
      <c r="Q182" t="e">
        <v>#N/A</v>
      </c>
      <c r="R182" t="e">
        <v>#N/A</v>
      </c>
    </row>
    <row r="183" spans="2:19" ht="15" customHeight="1">
      <c r="B183" t="str">
        <f>Varieties[[#This Row],[Company]] &amp; " " &amp;  Varieties[[#This Row],[Variety]]</f>
        <v>High Mowing Deep Purple Basil</v>
      </c>
      <c r="C183" t="s">
        <v>43</v>
      </c>
      <c r="D183" t="s">
        <v>743</v>
      </c>
      <c r="E183" t="s">
        <v>485</v>
      </c>
      <c r="G183" t="s">
        <v>482</v>
      </c>
      <c r="H183" t="b">
        <v>1</v>
      </c>
      <c r="P183" t="b">
        <f>ISNUMBER(MATCH(Varieties[[#This Row],[Id]],SeedOrder[Id],0))</f>
        <v>0</v>
      </c>
      <c r="Q183">
        <v>20000</v>
      </c>
      <c r="R183" t="s">
        <v>1242</v>
      </c>
      <c r="S183" t="s">
        <v>744</v>
      </c>
    </row>
    <row r="184" spans="2:19" ht="15" customHeight="1">
      <c r="B184" t="str">
        <f>Varieties[[#This Row],[Company]] &amp; " " &amp;  Varieties[[#This Row],[Variety]]</f>
        <v>Johnny's Deep Purple F1</v>
      </c>
      <c r="C184" t="s">
        <v>53</v>
      </c>
      <c r="E184" t="s">
        <v>2213</v>
      </c>
      <c r="G184" t="s">
        <v>490</v>
      </c>
      <c r="H184" t="b">
        <v>0</v>
      </c>
      <c r="P184" t="b">
        <f>ISNUMBER(MATCH(Varieties[[#This Row],[Id]],SeedOrder[Id],0))</f>
        <v>0</v>
      </c>
      <c r="Q184">
        <v>20000</v>
      </c>
      <c r="R184" t="s">
        <v>1241</v>
      </c>
      <c r="S184" s="160" t="s">
        <v>2253</v>
      </c>
    </row>
    <row r="185" spans="2:19" ht="15" customHeight="1">
      <c r="B185" t="str">
        <f>Varieties[[#This Row],[Company]] &amp; " " &amp;  Varieties[[#This Row],[Variety]]</f>
        <v>Uprising Diamond</v>
      </c>
      <c r="C185" t="s">
        <v>76</v>
      </c>
      <c r="E185" t="s">
        <v>617</v>
      </c>
      <c r="G185" t="s">
        <v>484</v>
      </c>
      <c r="H185" t="b">
        <v>1</v>
      </c>
      <c r="L185">
        <v>3.4</v>
      </c>
      <c r="M185" t="s">
        <v>1014</v>
      </c>
      <c r="P185" t="b">
        <f>ISNUMBER(MATCH(Varieties[[#This Row],[Id]],SeedOrder[Id],0))</f>
        <v>0</v>
      </c>
      <c r="Q185">
        <v>0</v>
      </c>
      <c r="R185">
        <v>0</v>
      </c>
      <c r="S185" t="s">
        <v>1015</v>
      </c>
    </row>
    <row r="186" spans="2:19" ht="15" customHeight="1">
      <c r="B186" t="str">
        <f>Varieties[[#This Row],[Company]] &amp; " " &amp;  Varieties[[#This Row],[Variety]]</f>
        <v>Osborne Diana</v>
      </c>
      <c r="C186" t="s">
        <v>77</v>
      </c>
      <c r="E186" t="s">
        <v>829</v>
      </c>
      <c r="G186" t="s">
        <v>503</v>
      </c>
      <c r="H186" t="b">
        <v>1</v>
      </c>
      <c r="P186" t="b">
        <f>ISNUMBER(MATCH(Varieties[[#This Row],[Id]],SeedOrder[Id],0))</f>
        <v>0</v>
      </c>
      <c r="Q186" t="e">
        <v>#N/A</v>
      </c>
      <c r="R186" t="e">
        <v>#N/A</v>
      </c>
      <c r="S186" t="s">
        <v>830</v>
      </c>
    </row>
    <row r="187" spans="2:19" ht="15" customHeight="1">
      <c r="B187" t="str">
        <f>Varieties[[#This Row],[Company]] &amp; " " &amp;  Varieties[[#This Row],[Variety]]</f>
        <v>Johnny's Diva</v>
      </c>
      <c r="C187" t="s">
        <v>70</v>
      </c>
      <c r="D187" t="s">
        <v>999</v>
      </c>
      <c r="E187" t="s">
        <v>609</v>
      </c>
      <c r="G187" t="s">
        <v>490</v>
      </c>
      <c r="M187" t="s">
        <v>1000</v>
      </c>
      <c r="P187" t="b">
        <f>ISNUMBER(MATCH(Varieties[[#This Row],[Id]],SeedOrder[Id],0))</f>
        <v>0</v>
      </c>
      <c r="Q187">
        <v>18800</v>
      </c>
      <c r="R187" t="s">
        <v>1241</v>
      </c>
      <c r="S187" t="s">
        <v>1001</v>
      </c>
    </row>
    <row r="188" spans="2:19" ht="15" customHeight="1">
      <c r="B188" t="str">
        <f>Varieties[[#This Row],[Company]] &amp; " " &amp;  Varieties[[#This Row],[Variety]]</f>
        <v>Johnny's Divergent F1</v>
      </c>
      <c r="C188" t="s">
        <v>98</v>
      </c>
      <c r="D188" t="s">
        <v>1060</v>
      </c>
      <c r="E188" t="s">
        <v>2249</v>
      </c>
      <c r="G188" t="s">
        <v>490</v>
      </c>
      <c r="H188" t="b">
        <v>1</v>
      </c>
      <c r="L188">
        <v>3.6</v>
      </c>
      <c r="P188" t="b">
        <f>ISNUMBER(MATCH(Varieties[[#This Row],[Id]],SeedOrder[Id],0))</f>
        <v>0</v>
      </c>
      <c r="Q188">
        <v>15000</v>
      </c>
      <c r="R188" t="s">
        <v>1241</v>
      </c>
      <c r="S188" t="s">
        <v>2250</v>
      </c>
    </row>
    <row r="189" spans="2:19" ht="15" customHeight="1">
      <c r="B189" t="str">
        <f>Varieties[[#This Row],[Company]] &amp; " " &amp;  Varieties[[#This Row],[Variety]]</f>
        <v>Osborne Divergent F1</v>
      </c>
      <c r="C189" t="s">
        <v>98</v>
      </c>
      <c r="E189" t="s">
        <v>2249</v>
      </c>
      <c r="G189" t="s">
        <v>503</v>
      </c>
      <c r="H189" t="b">
        <v>1</v>
      </c>
      <c r="P189" t="b">
        <f>ISNUMBER(MATCH(Varieties[[#This Row],[Id]],SeedOrder[Id],0))</f>
        <v>0</v>
      </c>
      <c r="Q189" t="s">
        <v>2916</v>
      </c>
      <c r="S189" t="s">
        <v>2912</v>
      </c>
    </row>
    <row r="190" spans="2:19" ht="15" customHeight="1">
      <c r="B190" t="str">
        <f>Varieties[[#This Row],[Company]] &amp; " " &amp;  Varieties[[#This Row],[Variety]]</f>
        <v xml:space="preserve"> Doe Hill</v>
      </c>
      <c r="C190" t="s">
        <v>112</v>
      </c>
      <c r="D190" t="s">
        <v>170</v>
      </c>
      <c r="E190" t="s">
        <v>1671</v>
      </c>
      <c r="L190">
        <v>4</v>
      </c>
      <c r="P190" t="b">
        <f>ISNUMBER(MATCH(Varieties[[#This Row],[Id]],SeedOrder[Id],0))</f>
        <v>0</v>
      </c>
      <c r="Q190" t="e">
        <v>#N/A</v>
      </c>
      <c r="R190" t="e">
        <v>#N/A</v>
      </c>
    </row>
    <row r="191" spans="2:19" ht="15" customHeight="1">
      <c r="B191" t="str">
        <f>Varieties[[#This Row],[Company]] &amp; " " &amp;  Varieties[[#This Row],[Variety]]</f>
        <v>High Mowing Dolciva F1</v>
      </c>
      <c r="C191" t="s">
        <v>53</v>
      </c>
      <c r="E191" t="s">
        <v>2804</v>
      </c>
      <c r="G191" t="s">
        <v>482</v>
      </c>
      <c r="H191" t="b">
        <v>1</v>
      </c>
      <c r="P191" t="b">
        <f>ISNUMBER(MATCH(Varieties[[#This Row],[Id]],SeedOrder[Id],0))</f>
        <v>1</v>
      </c>
      <c r="Q191">
        <v>20000</v>
      </c>
      <c r="R191" t="s">
        <v>1241</v>
      </c>
      <c r="S191" t="s">
        <v>2897</v>
      </c>
    </row>
    <row r="192" spans="2:19" ht="15" customHeight="1">
      <c r="B192" t="str">
        <f>Varieties[[#This Row],[Company]] &amp; " " &amp;  Varieties[[#This Row],[Variety]]</f>
        <v>Johnny's Double click mix</v>
      </c>
      <c r="C192" t="s">
        <v>67</v>
      </c>
      <c r="E192" t="s">
        <v>606</v>
      </c>
      <c r="G192" t="s">
        <v>490</v>
      </c>
      <c r="H192" t="b">
        <v>0</v>
      </c>
      <c r="P192" t="b">
        <f>ISNUMBER(MATCH(Varieties[[#This Row],[Id]],SeedOrder[Id],0))</f>
        <v>0</v>
      </c>
      <c r="Q192">
        <v>3800</v>
      </c>
      <c r="R192" t="s">
        <v>1242</v>
      </c>
      <c r="S192" t="s">
        <v>799</v>
      </c>
    </row>
    <row r="193" spans="2:19" ht="15" customHeight="1">
      <c r="B193" t="str">
        <f>Varieties[[#This Row],[Company]] &amp; " " &amp;  Varieties[[#This Row],[Variety]]</f>
        <v>Wild Garden Double click Snowpuff</v>
      </c>
      <c r="C193" t="s">
        <v>67</v>
      </c>
      <c r="E193" t="s">
        <v>1946</v>
      </c>
      <c r="G193" t="s">
        <v>526</v>
      </c>
      <c r="H193" t="b">
        <v>1</v>
      </c>
      <c r="P193" t="b">
        <f>ISNUMBER(MATCH(Varieties[[#This Row],[Id]],SeedOrder[Id],0))</f>
        <v>0</v>
      </c>
      <c r="Q193">
        <v>4000</v>
      </c>
      <c r="R193" t="s">
        <v>1242</v>
      </c>
      <c r="S193" s="160" t="s">
        <v>2164</v>
      </c>
    </row>
    <row r="194" spans="2:19" ht="15" customHeight="1">
      <c r="B194" t="str">
        <f>Varieties[[#This Row],[Company]] &amp; " " &amp;  Varieties[[#This Row],[Variety]]</f>
        <v>Adaptive Double Red</v>
      </c>
      <c r="C194" t="s">
        <v>410</v>
      </c>
      <c r="E194" t="s">
        <v>793</v>
      </c>
      <c r="G194" t="s">
        <v>488</v>
      </c>
      <c r="H194" t="b">
        <v>1</v>
      </c>
      <c r="P194" t="b">
        <f>ISNUMBER(MATCH(Varieties[[#This Row],[Id]],SeedOrder[Id],0))</f>
        <v>0</v>
      </c>
      <c r="Q194" t="e">
        <v>#N/A</v>
      </c>
      <c r="R194" t="e">
        <v>#N/A</v>
      </c>
      <c r="S194" t="s">
        <v>794</v>
      </c>
    </row>
    <row r="195" spans="2:19" ht="15" customHeight="1">
      <c r="B195" t="str">
        <f>Varieties[[#This Row],[Company]] &amp; " " &amp;  Varieties[[#This Row],[Variety]]</f>
        <v xml:space="preserve"> Dragon</v>
      </c>
      <c r="C195" t="s">
        <v>53</v>
      </c>
      <c r="D195" t="s">
        <v>551</v>
      </c>
      <c r="E195" t="s">
        <v>1606</v>
      </c>
      <c r="L195">
        <v>3.8</v>
      </c>
      <c r="P195" t="b">
        <f>ISNUMBER(MATCH(Varieties[[#This Row],[Id]],SeedOrder[Id],0))</f>
        <v>0</v>
      </c>
      <c r="Q195" t="e">
        <v>#N/A</v>
      </c>
      <c r="R195" t="e">
        <v>#N/A</v>
      </c>
    </row>
    <row r="196" spans="2:19" ht="15" customHeight="1">
      <c r="B196" t="str">
        <f>Varieties[[#This Row],[Company]] &amp; " " &amp;  Varieties[[#This Row],[Variety]]</f>
        <v>High Mowing Dragon</v>
      </c>
      <c r="C196" t="s">
        <v>53</v>
      </c>
      <c r="E196" t="s">
        <v>1606</v>
      </c>
      <c r="G196" t="s">
        <v>482</v>
      </c>
      <c r="H196" t="b">
        <v>1</v>
      </c>
      <c r="P196" t="b">
        <f>ISNUMBER(MATCH(Varieties[[#This Row],[Id]],SeedOrder[Id],0))</f>
        <v>0</v>
      </c>
      <c r="Q196">
        <v>24250</v>
      </c>
      <c r="R196" t="s">
        <v>1242</v>
      </c>
      <c r="S196" s="160" t="s">
        <v>2050</v>
      </c>
    </row>
    <row r="197" spans="2:19" ht="15" customHeight="1">
      <c r="B197" t="str">
        <f>Varieties[[#This Row],[Company]] &amp; " " &amp;  Varieties[[#This Row],[Variety]]</f>
        <v>High Mowing Dragon Langerie</v>
      </c>
      <c r="C197" t="s">
        <v>44</v>
      </c>
      <c r="E197" t="s">
        <v>2787</v>
      </c>
      <c r="G197" t="s">
        <v>482</v>
      </c>
      <c r="H197" t="b">
        <v>1</v>
      </c>
      <c r="P197" t="b">
        <f>ISNUMBER(MATCH(Varieties[[#This Row],[Id]],SeedOrder[Id],0))</f>
        <v>0</v>
      </c>
      <c r="Q197">
        <v>1200</v>
      </c>
      <c r="R197" t="s">
        <v>1241</v>
      </c>
      <c r="S197" t="s">
        <v>2893</v>
      </c>
    </row>
    <row r="198" spans="2:19" ht="15" customHeight="1">
      <c r="B198" t="str">
        <f>Varieties[[#This Row],[Company]] &amp; " " &amp;  Varieties[[#This Row],[Variety]]</f>
        <v xml:space="preserve"> Dragonfly</v>
      </c>
      <c r="C198" t="s">
        <v>112</v>
      </c>
      <c r="D198" t="s">
        <v>170</v>
      </c>
      <c r="E198" t="s">
        <v>1623</v>
      </c>
      <c r="L198">
        <v>4.2</v>
      </c>
      <c r="M198" t="s">
        <v>1624</v>
      </c>
      <c r="P198" t="b">
        <f>ISNUMBER(MATCH(Varieties[[#This Row],[Id]],SeedOrder[Id],0))</f>
        <v>0</v>
      </c>
      <c r="Q198" t="e">
        <v>#N/A</v>
      </c>
      <c r="R198" t="e">
        <v>#N/A</v>
      </c>
    </row>
    <row r="199" spans="2:19" ht="15" customHeight="1">
      <c r="B199" t="str">
        <f>Varieties[[#This Row],[Company]] &amp; " " &amp;  Varieties[[#This Row],[Variety]]</f>
        <v>Swallowtail Garden Dropmore</v>
      </c>
      <c r="C199" t="s">
        <v>142</v>
      </c>
      <c r="E199" t="s">
        <v>142</v>
      </c>
      <c r="G199" t="s">
        <v>1298</v>
      </c>
      <c r="H199" t="b">
        <v>0</v>
      </c>
      <c r="P199" t="b">
        <f>ISNUMBER(MATCH(Varieties[[#This Row],[Id]],SeedOrder[Id],0))</f>
        <v>0</v>
      </c>
      <c r="Q199">
        <v>0</v>
      </c>
      <c r="R199">
        <v>0</v>
      </c>
      <c r="S199" t="s">
        <v>828</v>
      </c>
    </row>
    <row r="200" spans="2:19" ht="15" customHeight="1">
      <c r="B200" t="str">
        <f>Varieties[[#This Row],[Company]] &amp; " " &amp;  Varieties[[#This Row],[Variety]]</f>
        <v>Wild Garden Dubya Dapple Density</v>
      </c>
      <c r="C200" t="s">
        <v>92</v>
      </c>
      <c r="E200" t="s">
        <v>547</v>
      </c>
      <c r="G200" t="s">
        <v>526</v>
      </c>
      <c r="H200" t="b">
        <v>1</v>
      </c>
      <c r="M200" t="s">
        <v>1039</v>
      </c>
      <c r="P200" t="b">
        <f>ISNUMBER(MATCH(Varieties[[#This Row],[Id]],SeedOrder[Id],0))</f>
        <v>0</v>
      </c>
      <c r="Q200">
        <v>250000</v>
      </c>
      <c r="R200" t="s">
        <v>1241</v>
      </c>
      <c r="S200" t="s">
        <v>1040</v>
      </c>
    </row>
    <row r="201" spans="2:19" ht="15" customHeight="1">
      <c r="B201" t="str">
        <f>Varieties[[#This Row],[Company]] &amp; " " &amp;  Varieties[[#This Row],[Variety]]</f>
        <v>High Mowing Dunja F1</v>
      </c>
      <c r="C201" t="s">
        <v>1341</v>
      </c>
      <c r="E201" t="s">
        <v>1941</v>
      </c>
      <c r="G201" t="s">
        <v>482</v>
      </c>
      <c r="H201" t="b">
        <v>1</v>
      </c>
      <c r="P201" t="b">
        <f>ISNUMBER(MATCH(Varieties[[#This Row],[Id]],SeedOrder[Id],0))</f>
        <v>1</v>
      </c>
      <c r="Q201">
        <v>3950</v>
      </c>
      <c r="R201" t="s">
        <v>1241</v>
      </c>
      <c r="S201" s="160" t="s">
        <v>2201</v>
      </c>
    </row>
    <row r="202" spans="2:19" ht="15" customHeight="1">
      <c r="B202" t="str">
        <f>Varieties[[#This Row],[Company]] &amp; " " &amp;  Varieties[[#This Row],[Variety]]</f>
        <v>Johnny's Dunja F1</v>
      </c>
      <c r="C202" t="s">
        <v>128</v>
      </c>
      <c r="E202" t="s">
        <v>1941</v>
      </c>
      <c r="G202" t="s">
        <v>490</v>
      </c>
      <c r="H202" t="b">
        <v>1</v>
      </c>
      <c r="P202" t="b">
        <f>ISNUMBER(MATCH(Varieties[[#This Row],[Id]],SeedOrder[Id],0))</f>
        <v>0</v>
      </c>
      <c r="Q202">
        <v>3950</v>
      </c>
      <c r="R202" t="s">
        <v>1241</v>
      </c>
      <c r="S202" s="160" t="s">
        <v>2118</v>
      </c>
    </row>
    <row r="203" spans="2:19" ht="15" customHeight="1">
      <c r="B203" t="str">
        <f>Varieties[[#This Row],[Company]] &amp; " " &amp;  Varieties[[#This Row],[Variety]]</f>
        <v>Tomato Fest Dwarf Purple Heart</v>
      </c>
      <c r="C203" t="s">
        <v>136</v>
      </c>
      <c r="E203" t="s">
        <v>3023</v>
      </c>
      <c r="G203" t="s">
        <v>695</v>
      </c>
      <c r="H203" t="b">
        <v>1</v>
      </c>
      <c r="P203" t="b">
        <f>ISNUMBER(MATCH(Varieties[[#This Row],[Id]],SeedOrder[Id],0))</f>
        <v>1</v>
      </c>
      <c r="Q203" t="s">
        <v>2916</v>
      </c>
      <c r="S203" t="s">
        <v>3078</v>
      </c>
    </row>
    <row r="204" spans="2:19" ht="15" customHeight="1">
      <c r="B204" t="str">
        <f>Varieties[[#This Row],[Company]] &amp; " " &amp;  Varieties[[#This Row],[Variety]]</f>
        <v>Wild Board Farm Dynamite Delight</v>
      </c>
      <c r="C204" t="s">
        <v>136</v>
      </c>
      <c r="E204" t="s">
        <v>3021</v>
      </c>
      <c r="G204" t="s">
        <v>3022</v>
      </c>
      <c r="H204" t="b">
        <v>0</v>
      </c>
      <c r="P204" t="b">
        <f>ISNUMBER(MATCH(Varieties[[#This Row],[Id]],SeedOrder[Id],0))</f>
        <v>1</v>
      </c>
      <c r="Q204" t="s">
        <v>2916</v>
      </c>
      <c r="S204" t="s">
        <v>3086</v>
      </c>
    </row>
    <row r="205" spans="2:19" ht="15" customHeight="1">
      <c r="B205" t="str">
        <f>Varieties[[#This Row],[Company]] &amp; " " &amp;  Varieties[[#This Row],[Variety]]</f>
        <v xml:space="preserve"> Earlisnow</v>
      </c>
      <c r="C205" t="s">
        <v>54</v>
      </c>
      <c r="D205" t="s">
        <v>169</v>
      </c>
      <c r="E205" t="s">
        <v>1607</v>
      </c>
      <c r="L205">
        <v>3.6</v>
      </c>
      <c r="P205" t="b">
        <f>ISNUMBER(MATCH(Varieties[[#This Row],[Id]],SeedOrder[Id],0))</f>
        <v>0</v>
      </c>
      <c r="Q205" t="e">
        <v>#N/A</v>
      </c>
      <c r="R205" t="e">
        <v>#N/A</v>
      </c>
    </row>
    <row r="206" spans="2:19" ht="15" customHeight="1">
      <c r="B206" t="str">
        <f>Varieties[[#This Row],[Company]] &amp; " " &amp;  Varieties[[#This Row],[Variety]]</f>
        <v>Territorial Early Cherry</v>
      </c>
      <c r="C206" t="s">
        <v>136</v>
      </c>
      <c r="E206" t="s">
        <v>3011</v>
      </c>
      <c r="G206" t="s">
        <v>533</v>
      </c>
      <c r="H206" t="b">
        <v>1</v>
      </c>
      <c r="P206" t="b">
        <f>ISNUMBER(MATCH(Varieties[[#This Row],[Id]],SeedOrder[Id],0))</f>
        <v>1</v>
      </c>
      <c r="Q206">
        <v>300</v>
      </c>
      <c r="R206" t="s">
        <v>1243</v>
      </c>
      <c r="S206" s="160" t="s">
        <v>3076</v>
      </c>
    </row>
    <row r="207" spans="2:19" ht="15" customHeight="1">
      <c r="B207" t="str">
        <f>Varieties[[#This Row],[Company]] &amp; " " &amp;  Varieties[[#This Row],[Variety]]</f>
        <v>Johnny's East Indian</v>
      </c>
      <c r="C207" t="s">
        <v>1206</v>
      </c>
      <c r="E207" t="s">
        <v>536</v>
      </c>
      <c r="G207" t="s">
        <v>490</v>
      </c>
      <c r="H207" t="b">
        <v>0</v>
      </c>
      <c r="M207" t="s">
        <v>1207</v>
      </c>
      <c r="P207" t="b">
        <f>ISNUMBER(MATCH(Varieties[[#This Row],[Id]],SeedOrder[Id],0))</f>
        <v>0</v>
      </c>
      <c r="Q207">
        <v>74300</v>
      </c>
      <c r="R207" t="s">
        <v>1242</v>
      </c>
      <c r="S207" t="s">
        <v>1208</v>
      </c>
    </row>
    <row r="208" spans="2:19" ht="15" customHeight="1">
      <c r="B208" t="str">
        <f>Varieties[[#This Row],[Company]] &amp; " " &amp;  Varieties[[#This Row],[Variety]]</f>
        <v>Johnny's East Indian Lemongrass</v>
      </c>
      <c r="C208" t="s">
        <v>387</v>
      </c>
      <c r="E208" t="s">
        <v>1877</v>
      </c>
      <c r="G208" t="s">
        <v>490</v>
      </c>
      <c r="H208" t="b">
        <v>0</v>
      </c>
      <c r="P208" t="b">
        <f>ISNUMBER(MATCH(Varieties[[#This Row],[Id]],SeedOrder[Id],0))</f>
        <v>0</v>
      </c>
      <c r="Q208">
        <v>74300</v>
      </c>
      <c r="R208" t="s">
        <v>1242</v>
      </c>
      <c r="S208" s="160" t="s">
        <v>1208</v>
      </c>
    </row>
    <row r="209" spans="2:19" ht="15" customHeight="1">
      <c r="B209" t="str">
        <f>Varieties[[#This Row],[Company]] &amp; " " &amp;  Varieties[[#This Row],[Variety]]</f>
        <v>Adaptive Einfache Schnitt 3</v>
      </c>
      <c r="C209" t="s">
        <v>108</v>
      </c>
      <c r="D209" t="s">
        <v>1098</v>
      </c>
      <c r="E209" t="s">
        <v>560</v>
      </c>
      <c r="G209" t="s">
        <v>488</v>
      </c>
      <c r="H209" t="b">
        <v>1</v>
      </c>
      <c r="M209" t="s">
        <v>1099</v>
      </c>
      <c r="P209" t="b">
        <f>ISNUMBER(MATCH(Varieties[[#This Row],[Id]],SeedOrder[Id],0))</f>
        <v>0</v>
      </c>
      <c r="Q209">
        <v>450</v>
      </c>
      <c r="R209" t="s">
        <v>1243</v>
      </c>
      <c r="S209" s="160" t="s">
        <v>1100</v>
      </c>
    </row>
    <row r="210" spans="2:19" ht="15" customHeight="1">
      <c r="B210" t="str">
        <f>Varieties[[#This Row],[Company]] &amp; " " &amp;  Varieties[[#This Row],[Variety]]</f>
        <v xml:space="preserve"> El Jefe</v>
      </c>
      <c r="C210" t="s">
        <v>112</v>
      </c>
      <c r="D210" t="s">
        <v>1547</v>
      </c>
      <c r="E210" t="s">
        <v>1548</v>
      </c>
      <c r="L210">
        <v>4.3</v>
      </c>
      <c r="M210" t="s">
        <v>1545</v>
      </c>
      <c r="P210" t="b">
        <f>ISNUMBER(MATCH(Varieties[[#This Row],[Id]],SeedOrder[Id],0))</f>
        <v>0</v>
      </c>
      <c r="Q210" t="e">
        <v>#N/A</v>
      </c>
      <c r="R210" t="e">
        <v>#N/A</v>
      </c>
    </row>
    <row r="211" spans="2:19" ht="15" customHeight="1">
      <c r="B211" t="str">
        <f>Varieties[[#This Row],[Company]] &amp; " " &amp;  Varieties[[#This Row],[Variety]]</f>
        <v>High Mowing Elba</v>
      </c>
      <c r="C211" t="s">
        <v>113</v>
      </c>
      <c r="E211" t="s">
        <v>2830</v>
      </c>
      <c r="G211" t="s">
        <v>482</v>
      </c>
      <c r="H211" t="b">
        <v>1</v>
      </c>
      <c r="P211" t="b">
        <f>ISNUMBER(MATCH(Varieties[[#This Row],[Id]],SeedOrder[Id],0))</f>
        <v>0</v>
      </c>
      <c r="Q211">
        <v>9</v>
      </c>
      <c r="R211" t="s">
        <v>1241</v>
      </c>
      <c r="S211" t="s">
        <v>2892</v>
      </c>
    </row>
    <row r="212" spans="2:19" ht="15" customHeight="1">
      <c r="B212" t="str">
        <f>Varieties[[#This Row],[Company]] &amp; " " &amp;  Varieties[[#This Row],[Variety]]</f>
        <v>Uprising ELEPHANT'S EAR</v>
      </c>
      <c r="C212" t="s">
        <v>112</v>
      </c>
      <c r="D212" t="s">
        <v>994</v>
      </c>
      <c r="E212" t="s">
        <v>647</v>
      </c>
      <c r="G212" t="s">
        <v>484</v>
      </c>
      <c r="H212" t="b">
        <v>1</v>
      </c>
      <c r="L212">
        <v>4</v>
      </c>
      <c r="M212" t="s">
        <v>1575</v>
      </c>
      <c r="P212" t="b">
        <f>ISNUMBER(MATCH(Varieties[[#This Row],[Id]],SeedOrder[Id],0))</f>
        <v>0</v>
      </c>
      <c r="Q212" t="s">
        <v>2192</v>
      </c>
      <c r="R212" t="s">
        <v>2192</v>
      </c>
      <c r="S212" s="160" t="s">
        <v>1013</v>
      </c>
    </row>
    <row r="213" spans="2:19" ht="15" customHeight="1">
      <c r="B213" t="str">
        <f>Varieties[[#This Row],[Company]] &amp; " " &amp;  Varieties[[#This Row],[Variety]]</f>
        <v>Uprising Elephant's Ear</v>
      </c>
      <c r="C213" t="s">
        <v>112</v>
      </c>
      <c r="E213" t="s">
        <v>1867</v>
      </c>
      <c r="G213" t="s">
        <v>484</v>
      </c>
      <c r="H213" t="b">
        <v>1</v>
      </c>
      <c r="P213" t="b">
        <f>ISNUMBER(MATCH(Varieties[[#This Row],[Id]],SeedOrder[Id],0))</f>
        <v>0</v>
      </c>
      <c r="Q213" t="s">
        <v>2192</v>
      </c>
      <c r="R213" t="s">
        <v>2192</v>
      </c>
      <c r="S213" s="160" t="s">
        <v>2154</v>
      </c>
    </row>
    <row r="214" spans="2:19" ht="15" customHeight="1">
      <c r="B214" t="str">
        <f>Varieties[[#This Row],[Company]] &amp; " " &amp;  Varieties[[#This Row],[Variety]]</f>
        <v>West Coast Ella Organic</v>
      </c>
      <c r="C214" t="s">
        <v>75</v>
      </c>
      <c r="E214" t="s">
        <v>823</v>
      </c>
      <c r="G214" t="s">
        <v>1297</v>
      </c>
      <c r="P214" t="b">
        <f>ISNUMBER(MATCH(Varieties[[#This Row],[Id]],SeedOrder[Id],0))</f>
        <v>0</v>
      </c>
      <c r="Q214" t="e">
        <v>#N/A</v>
      </c>
      <c r="R214" t="e">
        <v>#N/A</v>
      </c>
      <c r="S214" t="s">
        <v>824</v>
      </c>
    </row>
    <row r="215" spans="2:19" ht="15" customHeight="1">
      <c r="B215" t="str">
        <f>Varieties[[#This Row],[Company]] &amp; " " &amp;  Varieties[[#This Row],[Variety]]</f>
        <v>Wild Board Farm Emerald Flame</v>
      </c>
      <c r="C215" t="s">
        <v>136</v>
      </c>
      <c r="E215" s="268" t="s">
        <v>3026</v>
      </c>
      <c r="G215" s="268" t="s">
        <v>3022</v>
      </c>
      <c r="H215" t="b">
        <v>0</v>
      </c>
      <c r="P215" t="b">
        <f>ISNUMBER(MATCH(Varieties[[#This Row],[Id]],SeedOrder[Id],0))</f>
        <v>1</v>
      </c>
      <c r="Q215" t="s">
        <v>2916</v>
      </c>
      <c r="S215" t="s">
        <v>3087</v>
      </c>
    </row>
    <row r="216" spans="2:19" ht="15" customHeight="1">
      <c r="B216" t="str">
        <f>Varieties[[#This Row],[Company]] &amp; " " &amp;  Varieties[[#This Row],[Variety]]</f>
        <v>Johnny's Emerald Tassels</v>
      </c>
      <c r="C216" t="s">
        <v>41</v>
      </c>
      <c r="E216" t="s">
        <v>707</v>
      </c>
      <c r="G216" t="s">
        <v>490</v>
      </c>
      <c r="H216" t="b">
        <v>0</v>
      </c>
      <c r="P216" t="b">
        <f>ISNUMBER(MATCH(Varieties[[#This Row],[Id]],SeedOrder[Id],0))</f>
        <v>0</v>
      </c>
      <c r="Q216">
        <v>48000</v>
      </c>
      <c r="R216" t="s">
        <v>1242</v>
      </c>
      <c r="S216" s="160" t="s">
        <v>722</v>
      </c>
    </row>
    <row r="217" spans="2:19" ht="15" customHeight="1">
      <c r="B217" t="str">
        <f>Varieties[[#This Row],[Company]] &amp; " " &amp;  Varieties[[#This Row],[Variety]]</f>
        <v>High Mowing Emiko F1</v>
      </c>
      <c r="C217" t="s">
        <v>52</v>
      </c>
      <c r="E217" t="s">
        <v>1904</v>
      </c>
      <c r="G217" t="s">
        <v>482</v>
      </c>
      <c r="H217" t="b">
        <v>1</v>
      </c>
      <c r="P217" t="b">
        <f>ISNUMBER(MATCH(Varieties[[#This Row],[Id]],SeedOrder[Id],0))</f>
        <v>1</v>
      </c>
      <c r="Q217">
        <v>4800</v>
      </c>
      <c r="R217" t="s">
        <v>1242</v>
      </c>
      <c r="S217" s="160" t="s">
        <v>2041</v>
      </c>
    </row>
    <row r="218" spans="2:19" ht="15" customHeight="1">
      <c r="B218" t="str">
        <f>Varieties[[#This Row],[Company]] &amp; " " &amp;  Varieties[[#This Row],[Variety]]</f>
        <v>Uprising Empress (mid summer prefered)</v>
      </c>
      <c r="C218" t="s">
        <v>44</v>
      </c>
      <c r="D218" t="s">
        <v>151</v>
      </c>
      <c r="E218" t="s">
        <v>749</v>
      </c>
      <c r="G218" t="s">
        <v>484</v>
      </c>
      <c r="H218" t="b">
        <v>1</v>
      </c>
      <c r="P218" t="b">
        <f>ISNUMBER(MATCH(Varieties[[#This Row],[Id]],SeedOrder[Id],0))</f>
        <v>0</v>
      </c>
      <c r="Q218" t="e">
        <v>#N/A</v>
      </c>
      <c r="R218" t="e">
        <v>#N/A</v>
      </c>
      <c r="S218" t="s">
        <v>750</v>
      </c>
    </row>
    <row r="219" spans="2:19" ht="15" customHeight="1">
      <c r="B219" t="str">
        <f>Varieties[[#This Row],[Company]] &amp; " " &amp;  Varieties[[#This Row],[Variety]]</f>
        <v>Johnny's Empress of India</v>
      </c>
      <c r="C219" t="s">
        <v>102</v>
      </c>
      <c r="E219" t="s">
        <v>632</v>
      </c>
      <c r="G219" t="s">
        <v>490</v>
      </c>
      <c r="H219" t="b">
        <v>1</v>
      </c>
      <c r="M219" t="s">
        <v>884</v>
      </c>
      <c r="P219" t="b">
        <f>ISNUMBER(MATCH(Varieties[[#This Row],[Id]],SeedOrder[Id],0))</f>
        <v>0</v>
      </c>
      <c r="Q219">
        <v>300</v>
      </c>
      <c r="R219" t="s">
        <v>1242</v>
      </c>
      <c r="S219" t="s">
        <v>885</v>
      </c>
    </row>
    <row r="220" spans="2:19" ht="15" customHeight="1">
      <c r="B220" t="str">
        <f>Varieties[[#This Row],[Company]] &amp; " " &amp;  Varieties[[#This Row],[Variety]]</f>
        <v>High Mowing Enchanted F1</v>
      </c>
      <c r="C220" t="s">
        <v>325</v>
      </c>
      <c r="E220" t="s">
        <v>1875</v>
      </c>
      <c r="G220" t="s">
        <v>482</v>
      </c>
      <c r="H220" t="b">
        <v>1</v>
      </c>
      <c r="P220" t="b">
        <f>ISNUMBER(MATCH(Varieties[[#This Row],[Id]],SeedOrder[Id],0))</f>
        <v>1</v>
      </c>
      <c r="Q220">
        <v>170</v>
      </c>
      <c r="R220" t="s">
        <v>1242</v>
      </c>
      <c r="S220" s="160" t="s">
        <v>2056</v>
      </c>
    </row>
    <row r="221" spans="2:19" ht="15" customHeight="1">
      <c r="B221" t="str">
        <f>Varieties[[#This Row],[Company]] &amp; " " &amp;  Varieties[[#This Row],[Variety]]</f>
        <v>Uprising Eruption</v>
      </c>
      <c r="C221" t="s">
        <v>92</v>
      </c>
      <c r="D221" t="s">
        <v>942</v>
      </c>
      <c r="E221" t="s">
        <v>545</v>
      </c>
      <c r="G221" t="s">
        <v>484</v>
      </c>
      <c r="H221" t="b">
        <v>1</v>
      </c>
      <c r="P221" t="b">
        <f>ISNUMBER(MATCH(Varieties[[#This Row],[Id]],SeedOrder[Id],0))</f>
        <v>0</v>
      </c>
      <c r="Q221" t="e">
        <v>#N/A</v>
      </c>
      <c r="R221" t="e">
        <v>#N/A</v>
      </c>
      <c r="S221" t="s">
        <v>945</v>
      </c>
    </row>
    <row r="222" spans="2:19" ht="15" customHeight="1">
      <c r="B222" t="str">
        <f>Varieties[[#This Row],[Company]] &amp; " " &amp;  Varieties[[#This Row],[Variety]]</f>
        <v>Johnny's Esmee</v>
      </c>
      <c r="C222" t="s">
        <v>42</v>
      </c>
      <c r="E222" t="s">
        <v>2851</v>
      </c>
      <c r="G222" t="s">
        <v>490</v>
      </c>
      <c r="H222" t="b">
        <v>1</v>
      </c>
      <c r="P222" t="b">
        <f>ISNUMBER(MATCH(Varieties[[#This Row],[Id]],SeedOrder[Id],0))</f>
        <v>0</v>
      </c>
      <c r="Q222">
        <v>220000</v>
      </c>
      <c r="R222" t="s">
        <v>1241</v>
      </c>
      <c r="S222" t="s">
        <v>2867</v>
      </c>
    </row>
    <row r="223" spans="2:19" ht="15" customHeight="1">
      <c r="B223" t="str">
        <f>Varieties[[#This Row],[Company]] &amp; " " &amp;  Varieties[[#This Row],[Variety]]</f>
        <v xml:space="preserve"> Esperanza</v>
      </c>
      <c r="C223" t="s">
        <v>52</v>
      </c>
      <c r="D223" s="144"/>
      <c r="E223" s="144" t="s">
        <v>1573</v>
      </c>
      <c r="F223" s="144"/>
      <c r="L223">
        <v>4</v>
      </c>
      <c r="M223" t="s">
        <v>1574</v>
      </c>
      <c r="P223" t="b">
        <f>ISNUMBER(MATCH(Varieties[[#This Row],[Id]],SeedOrder[Id],0))</f>
        <v>0</v>
      </c>
      <c r="Q223" t="e">
        <v>#N/A</v>
      </c>
      <c r="R223" t="e">
        <v>#N/A</v>
      </c>
    </row>
    <row r="224" spans="2:19" ht="15" customHeight="1">
      <c r="B224" t="str">
        <f>Varieties[[#This Row],[Company]] &amp; " " &amp;  Varieties[[#This Row],[Variety]]</f>
        <v>High Mowing Expect F1</v>
      </c>
      <c r="C224" t="s">
        <v>52</v>
      </c>
      <c r="E224" t="s">
        <v>1890</v>
      </c>
      <c r="G224" t="s">
        <v>482</v>
      </c>
      <c r="H224" t="b">
        <v>1</v>
      </c>
      <c r="P224" t="b">
        <f>ISNUMBER(MATCH(Varieties[[#This Row],[Id]],SeedOrder[Id],0))</f>
        <v>0</v>
      </c>
      <c r="Q224">
        <v>4800</v>
      </c>
      <c r="R224" t="s">
        <v>1242</v>
      </c>
      <c r="S224" s="160" t="s">
        <v>2049</v>
      </c>
    </row>
    <row r="225" spans="2:19" ht="15" customHeight="1">
      <c r="B225" t="str">
        <f>Varieties[[#This Row],[Company]] &amp; " " &amp;  Varieties[[#This Row],[Variety]]</f>
        <v>Osborne EZPark</v>
      </c>
      <c r="C225" t="s">
        <v>92</v>
      </c>
      <c r="E225" t="s">
        <v>867</v>
      </c>
      <c r="G225" t="s">
        <v>503</v>
      </c>
      <c r="P225" t="b">
        <f>ISNUMBER(MATCH(Varieties[[#This Row],[Id]],SeedOrder[Id],0))</f>
        <v>0</v>
      </c>
      <c r="Q225" t="e">
        <v>#N/A</v>
      </c>
      <c r="R225" t="e">
        <v>#N/A</v>
      </c>
    </row>
    <row r="226" spans="2:19" ht="15" customHeight="1">
      <c r="B226" t="str">
        <f>Varieties[[#This Row],[Company]] &amp; " " &amp;  Varieties[[#This Row],[Variety]]</f>
        <v>High Mowing Famosa F1</v>
      </c>
      <c r="C226" t="s">
        <v>52</v>
      </c>
      <c r="E226" t="s">
        <v>1900</v>
      </c>
      <c r="G226" t="s">
        <v>482</v>
      </c>
      <c r="H226" t="b">
        <v>1</v>
      </c>
      <c r="P226" t="b">
        <f>ISNUMBER(MATCH(Varieties[[#This Row],[Id]],SeedOrder[Id],0))</f>
        <v>0</v>
      </c>
      <c r="Q226">
        <v>4800</v>
      </c>
      <c r="R226" t="s">
        <v>1242</v>
      </c>
      <c r="S226" s="160" t="s">
        <v>2046</v>
      </c>
    </row>
    <row r="227" spans="2:19" ht="15" customHeight="1">
      <c r="B227" t="str">
        <f>Varieties[[#This Row],[Company]] &amp; " " &amp;  Varieties[[#This Row],[Variety]]</f>
        <v>High Mowing Farao F1</v>
      </c>
      <c r="C227" t="s">
        <v>52</v>
      </c>
      <c r="E227" t="s">
        <v>1899</v>
      </c>
      <c r="G227" t="s">
        <v>482</v>
      </c>
      <c r="H227" t="b">
        <v>1</v>
      </c>
      <c r="P227" t="b">
        <f>ISNUMBER(MATCH(Varieties[[#This Row],[Id]],SeedOrder[Id],0))</f>
        <v>0</v>
      </c>
      <c r="Q227">
        <v>4800</v>
      </c>
      <c r="R227" t="s">
        <v>1242</v>
      </c>
      <c r="S227" s="160" t="s">
        <v>2045</v>
      </c>
    </row>
    <row r="228" spans="2:19" ht="15" customHeight="1">
      <c r="B228" t="str">
        <f>Varieties[[#This Row],[Company]] &amp; " " &amp;  Varieties[[#This Row],[Variety]]</f>
        <v>Adaptive Farthest North Mix</v>
      </c>
      <c r="C228" t="s">
        <v>98</v>
      </c>
      <c r="D228" t="s">
        <v>160</v>
      </c>
      <c r="E228" t="s">
        <v>556</v>
      </c>
      <c r="G228" t="s">
        <v>488</v>
      </c>
      <c r="H228" t="b">
        <v>1</v>
      </c>
      <c r="M228" t="s">
        <v>1063</v>
      </c>
      <c r="P228" t="b">
        <f>ISNUMBER(MATCH(Varieties[[#This Row],[Id]],SeedOrder[Id],0))</f>
        <v>0</v>
      </c>
      <c r="Q228">
        <v>30</v>
      </c>
      <c r="R228" t="s">
        <v>1243</v>
      </c>
      <c r="S228" t="s">
        <v>1064</v>
      </c>
    </row>
    <row r="229" spans="2:19" ht="15" customHeight="1">
      <c r="B229" t="str">
        <f>Varieties[[#This Row],[Company]] &amp; " " &amp;  Varieties[[#This Row],[Variety]]</f>
        <v>Uprising FILDERKRAUT</v>
      </c>
      <c r="C229" t="s">
        <v>52</v>
      </c>
      <c r="E229" t="s">
        <v>497</v>
      </c>
      <c r="G229" t="s">
        <v>484</v>
      </c>
      <c r="H229" t="b">
        <v>1</v>
      </c>
      <c r="L229">
        <v>3.5</v>
      </c>
      <c r="M229" t="s">
        <v>771</v>
      </c>
      <c r="P229" t="b">
        <f>ISNUMBER(MATCH(Varieties[[#This Row],[Id]],SeedOrder[Id],0))</f>
        <v>0</v>
      </c>
      <c r="Q229">
        <v>0</v>
      </c>
      <c r="R229">
        <v>0</v>
      </c>
      <c r="S229" t="s">
        <v>772</v>
      </c>
    </row>
    <row r="230" spans="2:19" ht="15" customHeight="1">
      <c r="B230" t="str">
        <f>Varieties[[#This Row],[Company]] &amp; " " &amp;  Varieties[[#This Row],[Variety]]</f>
        <v>Uprising Finale</v>
      </c>
      <c r="C230" t="s">
        <v>78</v>
      </c>
      <c r="E230" t="s">
        <v>1023</v>
      </c>
      <c r="G230" t="s">
        <v>484</v>
      </c>
      <c r="H230" t="b">
        <v>1</v>
      </c>
      <c r="M230" t="s">
        <v>1024</v>
      </c>
      <c r="P230" t="b">
        <f>ISNUMBER(MATCH(Varieties[[#This Row],[Id]],SeedOrder[Id],0))</f>
        <v>0</v>
      </c>
      <c r="Q230" t="e">
        <v>#N/A</v>
      </c>
      <c r="R230" t="e">
        <v>#N/A</v>
      </c>
      <c r="S230" t="s">
        <v>1025</v>
      </c>
    </row>
    <row r="231" spans="2:19" ht="15" customHeight="1">
      <c r="B231" t="str">
        <f>Varieties[[#This Row],[Company]] &amp; " " &amp;  Varieties[[#This Row],[Variety]]</f>
        <v>Johnny's Flamingo Purple</v>
      </c>
      <c r="C231" t="s">
        <v>57</v>
      </c>
      <c r="E231" t="s">
        <v>1967</v>
      </c>
      <c r="G231" t="s">
        <v>490</v>
      </c>
      <c r="H231" t="b">
        <v>0</v>
      </c>
      <c r="P231" t="b">
        <f>ISNUMBER(MATCH(Varieties[[#This Row],[Id]],SeedOrder[Id],0))</f>
        <v>0</v>
      </c>
      <c r="Q231">
        <v>28400</v>
      </c>
      <c r="R231" t="s">
        <v>1242</v>
      </c>
      <c r="S231" s="160" t="s">
        <v>2194</v>
      </c>
    </row>
    <row r="232" spans="2:19" ht="15" customHeight="1">
      <c r="B232" t="str">
        <f>Varieties[[#This Row],[Company]] &amp; " " &amp;  Varieties[[#This Row],[Variety]]</f>
        <v xml:space="preserve"> Florence</v>
      </c>
      <c r="C232" t="s">
        <v>92</v>
      </c>
      <c r="E232" t="s">
        <v>1543</v>
      </c>
      <c r="L232">
        <v>4.3</v>
      </c>
      <c r="M232" t="s">
        <v>1545</v>
      </c>
      <c r="P232" t="b">
        <f>ISNUMBER(MATCH(Varieties[[#This Row],[Id]],SeedOrder[Id],0))</f>
        <v>0</v>
      </c>
      <c r="Q232" t="e">
        <v>#N/A</v>
      </c>
      <c r="R232" t="e">
        <v>#N/A</v>
      </c>
    </row>
    <row r="233" spans="2:19" ht="15" customHeight="1">
      <c r="B233" t="str">
        <f>Varieties[[#This Row],[Company]] &amp; " " &amp;  Varieties[[#This Row],[Variety]]</f>
        <v>High Mowing Fordhook Giant</v>
      </c>
      <c r="C233" t="s">
        <v>131</v>
      </c>
      <c r="E233" t="s">
        <v>2012</v>
      </c>
      <c r="G233" t="s">
        <v>482</v>
      </c>
      <c r="H233" t="b">
        <v>1</v>
      </c>
      <c r="P233" t="b">
        <f>ISNUMBER(MATCH(Varieties[[#This Row],[Id]],SeedOrder[Id],0))</f>
        <v>0</v>
      </c>
      <c r="Q233">
        <v>20000</v>
      </c>
      <c r="R233" t="s">
        <v>1241</v>
      </c>
      <c r="S233" s="160" t="s">
        <v>2080</v>
      </c>
    </row>
    <row r="234" spans="2:19" ht="15" customHeight="1">
      <c r="B234" t="str">
        <f>Varieties[[#This Row],[Company]] &amp; " " &amp;  Varieties[[#This Row],[Variety]]</f>
        <v>Adaptive Forest Green</v>
      </c>
      <c r="C234" t="s">
        <v>108</v>
      </c>
      <c r="E234" t="s">
        <v>2825</v>
      </c>
      <c r="G234" s="268" t="s">
        <v>488</v>
      </c>
      <c r="H234" t="b">
        <v>1</v>
      </c>
      <c r="P234" t="b">
        <f>ISNUMBER(MATCH(Varieties[[#This Row],[Id]],SeedOrder[Id],0))</f>
        <v>0</v>
      </c>
      <c r="Q234">
        <v>750</v>
      </c>
      <c r="R234" t="s">
        <v>1243</v>
      </c>
      <c r="S234" t="s">
        <v>2924</v>
      </c>
    </row>
    <row r="235" spans="2:19" ht="15" customHeight="1">
      <c r="B235" t="str">
        <f>Varieties[[#This Row],[Company]] &amp; " " &amp;  Varieties[[#This Row],[Variety]]</f>
        <v>Uprising Fortex</v>
      </c>
      <c r="C235" t="s">
        <v>44</v>
      </c>
      <c r="E235" t="s">
        <v>2785</v>
      </c>
      <c r="G235" s="268" t="s">
        <v>484</v>
      </c>
      <c r="H235" t="b">
        <v>1</v>
      </c>
      <c r="P235" t="b">
        <f>ISNUMBER(MATCH(Varieties[[#This Row],[Id]],SeedOrder[Id],0))</f>
        <v>0</v>
      </c>
      <c r="Q235" t="s">
        <v>2916</v>
      </c>
      <c r="S235" t="s">
        <v>2921</v>
      </c>
    </row>
    <row r="236" spans="2:19" ht="15" customHeight="1">
      <c r="B236" t="str">
        <f>Varieties[[#This Row],[Company]] &amp; " " &amp;  Varieties[[#This Row],[Variety]]</f>
        <v>Adaptive Foster</v>
      </c>
      <c r="C236" t="s">
        <v>1768</v>
      </c>
      <c r="E236" t="s">
        <v>1975</v>
      </c>
      <c r="G236" t="s">
        <v>488</v>
      </c>
      <c r="H236" t="b">
        <v>1</v>
      </c>
      <c r="P236" t="b">
        <f>ISNUMBER(MATCH(Varieties[[#This Row],[Id]],SeedOrder[Id],0))</f>
        <v>0</v>
      </c>
      <c r="Q236">
        <v>250</v>
      </c>
      <c r="R236" t="s">
        <v>1243</v>
      </c>
      <c r="S236" s="160" t="s">
        <v>2031</v>
      </c>
    </row>
    <row r="237" spans="2:19" ht="15" customHeight="1">
      <c r="B237" t="str">
        <f>Varieties[[#This Row],[Company]] &amp; " " &amp;  Varieties[[#This Row],[Variety]]</f>
        <v xml:space="preserve"> French Breakfast</v>
      </c>
      <c r="C237" t="s">
        <v>114</v>
      </c>
      <c r="D237" t="s">
        <v>1557</v>
      </c>
      <c r="E237" t="s">
        <v>1556</v>
      </c>
      <c r="L237">
        <v>4.2</v>
      </c>
      <c r="M237" t="s">
        <v>1553</v>
      </c>
      <c r="P237" t="b">
        <f>ISNUMBER(MATCH(Varieties[[#This Row],[Id]],SeedOrder[Id],0))</f>
        <v>0</v>
      </c>
      <c r="Q237" t="e">
        <v>#N/A</v>
      </c>
      <c r="R237" t="e">
        <v>#N/A</v>
      </c>
    </row>
    <row r="238" spans="2:19" ht="15" customHeight="1">
      <c r="B238" t="str">
        <f>Varieties[[#This Row],[Company]] &amp; " " &amp;  Varieties[[#This Row],[Variety]]</f>
        <v>High Mowing French Breakfast</v>
      </c>
      <c r="C238" t="s">
        <v>114</v>
      </c>
      <c r="E238" t="s">
        <v>1556</v>
      </c>
      <c r="G238" t="s">
        <v>482</v>
      </c>
      <c r="H238" t="b">
        <v>1</v>
      </c>
      <c r="P238" t="b">
        <f>ISNUMBER(MATCH(Varieties[[#This Row],[Id]],SeedOrder[Id],0))</f>
        <v>0</v>
      </c>
      <c r="Q238">
        <v>2650</v>
      </c>
      <c r="R238" t="s">
        <v>1242</v>
      </c>
      <c r="S238" t="s">
        <v>2112</v>
      </c>
    </row>
    <row r="239" spans="2:19" ht="15" customHeight="1">
      <c r="B239" t="str">
        <f>Varieties[[#This Row],[Company]] &amp; " " &amp;  Varieties[[#This Row],[Variety]]</f>
        <v xml:space="preserve"> French Fingerling</v>
      </c>
      <c r="C239" t="s">
        <v>113</v>
      </c>
      <c r="D239" t="s">
        <v>1680</v>
      </c>
      <c r="E239" t="s">
        <v>1679</v>
      </c>
      <c r="L239">
        <v>4</v>
      </c>
      <c r="P239" t="b">
        <f>ISNUMBER(MATCH(Varieties[[#This Row],[Id]],SeedOrder[Id],0))</f>
        <v>0</v>
      </c>
      <c r="Q239" t="e">
        <v>#N/A</v>
      </c>
      <c r="R239" t="e">
        <v>#N/A</v>
      </c>
    </row>
    <row r="240" spans="2:19" ht="15" customHeight="1">
      <c r="B240" t="str">
        <f>Varieties[[#This Row],[Company]] &amp; " " &amp;  Varieties[[#This Row],[Variety]]</f>
        <v>Adaptive French Grey</v>
      </c>
      <c r="C240" t="s">
        <v>120</v>
      </c>
      <c r="D240" t="b">
        <v>1</v>
      </c>
      <c r="E240" t="s">
        <v>590</v>
      </c>
      <c r="G240" t="s">
        <v>488</v>
      </c>
      <c r="H240" t="b">
        <v>1</v>
      </c>
      <c r="P240" t="b">
        <f>ISNUMBER(MATCH(Varieties[[#This Row],[Id]],SeedOrder[Id],0))</f>
        <v>0</v>
      </c>
      <c r="Q240" t="e">
        <v>#N/A</v>
      </c>
      <c r="R240" t="e">
        <v>#N/A</v>
      </c>
      <c r="S240" t="s">
        <v>888</v>
      </c>
    </row>
    <row r="241" spans="2:19" ht="15" customHeight="1">
      <c r="B241" t="str">
        <f>Varieties[[#This Row],[Company]] &amp; " " &amp;  Varieties[[#This Row],[Variety]]</f>
        <v>Adaptive Fristina</v>
      </c>
      <c r="C241" t="s">
        <v>92</v>
      </c>
      <c r="E241" t="s">
        <v>837</v>
      </c>
      <c r="G241" t="s">
        <v>488</v>
      </c>
      <c r="H241" t="b">
        <v>1</v>
      </c>
      <c r="P241" t="b">
        <f>ISNUMBER(MATCH(Varieties[[#This Row],[Id]],SeedOrder[Id],0))</f>
        <v>0</v>
      </c>
      <c r="Q241" t="e">
        <v>#N/A</v>
      </c>
      <c r="R241" t="e">
        <v>#N/A</v>
      </c>
      <c r="S241" t="s">
        <v>838</v>
      </c>
    </row>
    <row r="242" spans="2:19" ht="15" customHeight="1">
      <c r="B242" t="str">
        <f>Varieties[[#This Row],[Company]] &amp; " " &amp;  Varieties[[#This Row],[Variety]]</f>
        <v>Osborne Frizzle Sizzle Lemonberry</v>
      </c>
      <c r="C242" t="s">
        <v>107</v>
      </c>
      <c r="E242" t="s">
        <v>641</v>
      </c>
      <c r="G242" t="s">
        <v>503</v>
      </c>
      <c r="H242" t="b">
        <v>0</v>
      </c>
      <c r="P242" t="b">
        <f>ISNUMBER(MATCH(Varieties[[#This Row],[Id]],SeedOrder[Id],0))</f>
        <v>0</v>
      </c>
      <c r="Q242">
        <v>360285</v>
      </c>
      <c r="R242" t="s">
        <v>1241</v>
      </c>
      <c r="S242" s="160" t="s">
        <v>2248</v>
      </c>
    </row>
    <row r="243" spans="2:19" ht="15" customHeight="1">
      <c r="B243" t="str">
        <f>Varieties[[#This Row],[Company]] &amp; " " &amp;  Varieties[[#This Row],[Variety]]</f>
        <v>Johnny's Frizzle Sizzle Mini tapestry</v>
      </c>
      <c r="C243" t="s">
        <v>107</v>
      </c>
      <c r="E243" t="s">
        <v>642</v>
      </c>
      <c r="G243" t="s">
        <v>490</v>
      </c>
      <c r="H243" t="b">
        <v>0</v>
      </c>
      <c r="P243" t="b">
        <f>ISNUMBER(MATCH(Varieties[[#This Row],[Id]],SeedOrder[Id],0))</f>
        <v>0</v>
      </c>
      <c r="Q243">
        <v>22600</v>
      </c>
      <c r="R243" t="s">
        <v>1242</v>
      </c>
      <c r="S243" s="160" t="s">
        <v>897</v>
      </c>
    </row>
    <row r="244" spans="2:19" ht="15" customHeight="1">
      <c r="B244" t="str">
        <f>Varieties[[#This Row],[Company]] &amp; " " &amp;  Varieties[[#This Row],[Variety]]</f>
        <v>Johnny's Frizzle Sizzle Yellow Blue Swirl</v>
      </c>
      <c r="C244" t="s">
        <v>107</v>
      </c>
      <c r="E244" t="s">
        <v>638</v>
      </c>
      <c r="G244" t="s">
        <v>490</v>
      </c>
      <c r="H244" t="b">
        <v>0</v>
      </c>
      <c r="P244" t="b">
        <f>ISNUMBER(MATCH(Varieties[[#This Row],[Id]],SeedOrder[Id],0))</f>
        <v>0</v>
      </c>
      <c r="Q244">
        <v>17000</v>
      </c>
      <c r="R244" t="s">
        <v>1242</v>
      </c>
      <c r="S244" s="160" t="s">
        <v>893</v>
      </c>
    </row>
    <row r="245" spans="2:19" ht="15" customHeight="1">
      <c r="B245" t="str">
        <f>Varieties[[#This Row],[Company]] &amp; " " &amp;  Varieties[[#This Row],[Variety]]</f>
        <v>Uprising FROG ISLAND NATION</v>
      </c>
      <c r="C245" t="s">
        <v>77</v>
      </c>
      <c r="D245" t="s">
        <v>551</v>
      </c>
      <c r="E245" t="s">
        <v>618</v>
      </c>
      <c r="G245" t="s">
        <v>484</v>
      </c>
      <c r="H245" t="b">
        <v>1</v>
      </c>
      <c r="M245" t="s">
        <v>1019</v>
      </c>
      <c r="P245" t="b">
        <f>ISNUMBER(MATCH(Varieties[[#This Row],[Id]],SeedOrder[Id],0))</f>
        <v>0</v>
      </c>
      <c r="Q245">
        <v>0</v>
      </c>
      <c r="R245">
        <v>0</v>
      </c>
      <c r="S245" t="s">
        <v>1020</v>
      </c>
    </row>
    <row r="246" spans="2:19" ht="15" customHeight="1">
      <c r="B246" t="str">
        <f>Varieties[[#This Row],[Company]] &amp; " " &amp;  Varieties[[#This Row],[Variety]]</f>
        <v>Johnny's Frosted Explosion Grass</v>
      </c>
      <c r="C246" t="s">
        <v>1771</v>
      </c>
      <c r="E246" t="s">
        <v>2009</v>
      </c>
      <c r="G246" t="s">
        <v>490</v>
      </c>
      <c r="H246" t="b">
        <v>0</v>
      </c>
      <c r="P246" t="b">
        <f>ISNUMBER(MATCH(Varieties[[#This Row],[Id]],SeedOrder[Id],0))</f>
        <v>0</v>
      </c>
      <c r="Q246">
        <v>38300</v>
      </c>
      <c r="R246" t="s">
        <v>1242</v>
      </c>
      <c r="S246" s="160" t="s">
        <v>2125</v>
      </c>
    </row>
    <row r="247" spans="2:19" ht="15" customHeight="1">
      <c r="B247" t="str">
        <f>Varieties[[#This Row],[Company]] &amp; " " &amp;  Varieties[[#This Row],[Variety]]</f>
        <v>Uprising Garden Anarchy Mix</v>
      </c>
      <c r="C247" t="s">
        <v>130</v>
      </c>
      <c r="E247" t="s">
        <v>2010</v>
      </c>
      <c r="G247" t="s">
        <v>484</v>
      </c>
      <c r="H247" t="b">
        <v>1</v>
      </c>
      <c r="P247" t="b">
        <f>ISNUMBER(MATCH(Varieties[[#This Row],[Id]],SeedOrder[Id],0))</f>
        <v>0</v>
      </c>
      <c r="Q247" t="s">
        <v>2192</v>
      </c>
      <c r="R247" t="s">
        <v>2192</v>
      </c>
      <c r="S247" s="160" t="s">
        <v>2161</v>
      </c>
    </row>
    <row r="248" spans="2:19" ht="15" customHeight="1">
      <c r="B248" t="str">
        <f>Varieties[[#This Row],[Company]] &amp; " " &amp;  Varieties[[#This Row],[Variety]]</f>
        <v>Wild Garden Garden Sorrel</v>
      </c>
      <c r="C248" t="s">
        <v>122</v>
      </c>
      <c r="E248" t="s">
        <v>1539</v>
      </c>
      <c r="G248" t="s">
        <v>526</v>
      </c>
      <c r="H248" t="b">
        <v>1</v>
      </c>
      <c r="P248" t="b">
        <f>ISNUMBER(MATCH(Varieties[[#This Row],[Id]],SeedOrder[Id],0))</f>
        <v>0</v>
      </c>
      <c r="Q248">
        <v>28000</v>
      </c>
      <c r="R248" t="s">
        <v>1242</v>
      </c>
      <c r="S248" s="160" t="s">
        <v>1540</v>
      </c>
    </row>
    <row r="249" spans="2:19" ht="15" customHeight="1">
      <c r="B249" t="str">
        <f>Varieties[[#This Row],[Company]] &amp; " " &amp;  Varieties[[#This Row],[Variety]]</f>
        <v>Adaptive Gelber Nüssler</v>
      </c>
      <c r="C249" t="s">
        <v>66</v>
      </c>
      <c r="E249" t="s">
        <v>517</v>
      </c>
      <c r="G249" t="s">
        <v>488</v>
      </c>
      <c r="H249" t="b">
        <v>1</v>
      </c>
      <c r="P249" t="b">
        <f>ISNUMBER(MATCH(Varieties[[#This Row],[Id]],SeedOrder[Id],0))</f>
        <v>0</v>
      </c>
      <c r="Q249">
        <f>475*2</f>
        <v>950</v>
      </c>
      <c r="R249" t="s">
        <v>1243</v>
      </c>
      <c r="S249" s="160" t="s">
        <v>797</v>
      </c>
    </row>
    <row r="250" spans="2:19" ht="15" customHeight="1">
      <c r="B250" t="str">
        <f>Varieties[[#This Row],[Company]] &amp; " " &amp;  Varieties[[#This Row],[Variety]]</f>
        <v>High Mowing Genovese</v>
      </c>
      <c r="C250" t="s">
        <v>43</v>
      </c>
      <c r="D250" t="s">
        <v>149</v>
      </c>
      <c r="E250" t="s">
        <v>739</v>
      </c>
      <c r="G250" t="s">
        <v>482</v>
      </c>
      <c r="H250" t="b">
        <v>1</v>
      </c>
      <c r="P250" t="b">
        <f>ISNUMBER(MATCH(Varieties[[#This Row],[Id]],SeedOrder[Id],0))</f>
        <v>0</v>
      </c>
      <c r="Q250" t="e">
        <v>#N/A</v>
      </c>
      <c r="R250" t="e">
        <v>#N/A</v>
      </c>
      <c r="S250" t="s">
        <v>740</v>
      </c>
    </row>
    <row r="251" spans="2:19" ht="15" customHeight="1">
      <c r="B251" t="str">
        <f>Varieties[[#This Row],[Company]] &amp; " " &amp;  Varieties[[#This Row],[Variety]]</f>
        <v>High Mowing German Butterball</v>
      </c>
      <c r="C251" t="s">
        <v>113</v>
      </c>
      <c r="E251" t="s">
        <v>2831</v>
      </c>
      <c r="G251" s="268" t="s">
        <v>482</v>
      </c>
      <c r="H251" t="b">
        <v>1</v>
      </c>
      <c r="P251" t="b">
        <f>ISNUMBER(MATCH(Varieties[[#This Row],[Id]],SeedOrder[Id],0))</f>
        <v>0</v>
      </c>
      <c r="Q251">
        <v>9</v>
      </c>
      <c r="R251" t="s">
        <v>1241</v>
      </c>
      <c r="S251" t="s">
        <v>2892</v>
      </c>
    </row>
    <row r="252" spans="2:19" ht="15" customHeight="1">
      <c r="B252" t="str">
        <f>Varieties[[#This Row],[Company]] &amp; " " &amp;  Varieties[[#This Row],[Variety]]</f>
        <v>Johnny's German Johnson</v>
      </c>
      <c r="C252" t="s">
        <v>136</v>
      </c>
      <c r="E252" s="268" t="s">
        <v>3033</v>
      </c>
      <c r="G252" s="268" t="s">
        <v>490</v>
      </c>
      <c r="H252" t="b">
        <v>1</v>
      </c>
      <c r="P252" t="b">
        <f>ISNUMBER(MATCH(Varieties[[#This Row],[Id]],SeedOrder[Id],0))</f>
        <v>1</v>
      </c>
      <c r="Q252">
        <v>12100</v>
      </c>
      <c r="R252" t="s">
        <v>1242</v>
      </c>
      <c r="S252" t="s">
        <v>3073</v>
      </c>
    </row>
    <row r="253" spans="2:19" ht="15" customHeight="1">
      <c r="B253" t="str">
        <f>Varieties[[#This Row],[Company]] &amp; " " &amp;  Varieties[[#This Row],[Variety]]</f>
        <v>Johnny's Geronimo</v>
      </c>
      <c r="C253" t="s">
        <v>136</v>
      </c>
      <c r="E253" t="s">
        <v>2844</v>
      </c>
      <c r="G253" s="268" t="s">
        <v>490</v>
      </c>
      <c r="H253" t="b">
        <v>0</v>
      </c>
      <c r="P253" t="b">
        <f>ISNUMBER(MATCH(Varieties[[#This Row],[Id]],SeedOrder[Id],0))</f>
        <v>0</v>
      </c>
      <c r="Q253" s="248">
        <v>8200</v>
      </c>
      <c r="R253" t="s">
        <v>1242</v>
      </c>
      <c r="S253" t="s">
        <v>2887</v>
      </c>
    </row>
    <row r="254" spans="2:19" ht="15" customHeight="1">
      <c r="B254" t="str">
        <f>Varieties[[#This Row],[Company]] &amp; " " &amp;  Varieties[[#This Row],[Variety]]</f>
        <v>Johnny's Giant of Italy</v>
      </c>
      <c r="C254" t="s">
        <v>108</v>
      </c>
      <c r="E254" t="s">
        <v>1878</v>
      </c>
      <c r="G254" t="s">
        <v>490</v>
      </c>
      <c r="H254" t="b">
        <v>1</v>
      </c>
      <c r="P254" t="b">
        <f>ISNUMBER(MATCH(Varieties[[#This Row],[Id]],SeedOrder[Id],0))</f>
        <v>0</v>
      </c>
      <c r="Q254">
        <v>15300</v>
      </c>
      <c r="R254" t="s">
        <v>1242</v>
      </c>
      <c r="S254" s="160" t="s">
        <v>2108</v>
      </c>
    </row>
    <row r="255" spans="2:19" ht="15" customHeight="1">
      <c r="B255" t="str">
        <f>Varieties[[#This Row],[Company]] &amp; " " &amp;  Varieties[[#This Row],[Variety]]</f>
        <v>Johnny's Giant Orange</v>
      </c>
      <c r="C255" t="s">
        <v>97</v>
      </c>
      <c r="E255" t="s">
        <v>622</v>
      </c>
      <c r="G255" t="s">
        <v>490</v>
      </c>
      <c r="H255" t="b">
        <v>0</v>
      </c>
      <c r="P255" t="b">
        <f>ISNUMBER(MATCH(Varieties[[#This Row],[Id]],SeedOrder[Id],0))</f>
        <v>0</v>
      </c>
      <c r="Q255">
        <v>6900</v>
      </c>
      <c r="R255" t="s">
        <v>1242</v>
      </c>
      <c r="S255" s="160" t="s">
        <v>874</v>
      </c>
    </row>
    <row r="256" spans="2:19" ht="15" customHeight="1">
      <c r="B256" t="str">
        <f>Varieties[[#This Row],[Company]] &amp; " " &amp;  Varieties[[#This Row],[Variety]]</f>
        <v>West Coast Giant Winter</v>
      </c>
      <c r="C256" t="s">
        <v>123</v>
      </c>
      <c r="E256" t="s">
        <v>582</v>
      </c>
      <c r="G256" t="s">
        <v>1297</v>
      </c>
      <c r="H256" t="b">
        <v>1</v>
      </c>
      <c r="P256" t="b">
        <f>ISNUMBER(MATCH(Varieties[[#This Row],[Id]],SeedOrder[Id],0))</f>
        <v>0</v>
      </c>
      <c r="Q256" t="e">
        <v>#N/A</v>
      </c>
      <c r="R256" t="e">
        <v>#N/A</v>
      </c>
      <c r="S256" t="s">
        <v>937</v>
      </c>
    </row>
    <row r="257" spans="2:19" ht="15" customHeight="1">
      <c r="B257" t="str">
        <f>Varieties[[#This Row],[Company]] &amp; " " &amp;  Varieties[[#This Row],[Variety]]</f>
        <v>Johnny's Giant Yellow</v>
      </c>
      <c r="C257" t="s">
        <v>97</v>
      </c>
      <c r="E257" t="s">
        <v>621</v>
      </c>
      <c r="G257" t="s">
        <v>490</v>
      </c>
      <c r="H257" t="b">
        <v>0</v>
      </c>
      <c r="P257" t="b">
        <f>ISNUMBER(MATCH(Varieties[[#This Row],[Id]],SeedOrder[Id],0))</f>
        <v>0</v>
      </c>
      <c r="Q257">
        <v>10500</v>
      </c>
      <c r="R257" t="s">
        <v>1242</v>
      </c>
      <c r="S257" s="160" t="s">
        <v>873</v>
      </c>
    </row>
    <row r="258" spans="2:19" ht="15" customHeight="1">
      <c r="B258" t="str">
        <f>Varieties[[#This Row],[Company]] &amp; " " &amp;  Varieties[[#This Row],[Variety]]</f>
        <v>Johnny's Gin Fizz</v>
      </c>
      <c r="C258" t="s">
        <v>136</v>
      </c>
      <c r="E258" t="s">
        <v>3039</v>
      </c>
      <c r="G258" t="s">
        <v>490</v>
      </c>
      <c r="H258" t="b">
        <v>1</v>
      </c>
      <c r="P258" t="b">
        <f>ISNUMBER(MATCH(Varieties[[#This Row],[Id]],SeedOrder[Id],0))</f>
        <v>1</v>
      </c>
      <c r="Q258">
        <v>139600</v>
      </c>
      <c r="R258" t="s">
        <v>1241</v>
      </c>
      <c r="S258" t="s">
        <v>3074</v>
      </c>
    </row>
    <row r="259" spans="2:19" ht="15" customHeight="1">
      <c r="B259" t="str">
        <f>Varieties[[#This Row],[Company]] &amp; " " &amp;  Varieties[[#This Row],[Variety]]</f>
        <v>Wild Garden Gloriosa Double Daisy</v>
      </c>
      <c r="C259" t="s">
        <v>140</v>
      </c>
      <c r="E259" t="s">
        <v>666</v>
      </c>
      <c r="G259" t="s">
        <v>526</v>
      </c>
      <c r="H259" t="b">
        <v>1</v>
      </c>
      <c r="P259" t="b">
        <f>ISNUMBER(MATCH(Varieties[[#This Row],[Id]],SeedOrder[Id],0))</f>
        <v>0</v>
      </c>
      <c r="Q259" t="s">
        <v>2192</v>
      </c>
      <c r="R259" t="s">
        <v>2192</v>
      </c>
      <c r="S259" s="160" t="s">
        <v>923</v>
      </c>
    </row>
    <row r="260" spans="2:19" ht="15" customHeight="1">
      <c r="B260" t="str">
        <f>Varieties[[#This Row],[Company]] &amp; " " &amp;  Varieties[[#This Row],[Variety]]</f>
        <v>Wild Board Farm Golden Hour</v>
      </c>
      <c r="C260" t="s">
        <v>136</v>
      </c>
      <c r="E260" s="268" t="s">
        <v>3029</v>
      </c>
      <c r="G260" s="268" t="s">
        <v>3022</v>
      </c>
      <c r="H260" t="b">
        <v>0</v>
      </c>
      <c r="P260" t="b">
        <f>ISNUMBER(MATCH(Varieties[[#This Row],[Id]],SeedOrder[Id],0))</f>
        <v>1</v>
      </c>
      <c r="Q260" t="s">
        <v>2916</v>
      </c>
      <c r="S260" t="s">
        <v>3089</v>
      </c>
    </row>
    <row r="261" spans="2:19" ht="15" customHeight="1">
      <c r="B261" t="str">
        <f>Varieties[[#This Row],[Company]] &amp; " " &amp;  Varieties[[#This Row],[Variety]]</f>
        <v>Adaptive Golden Mountain Sweet Thai</v>
      </c>
      <c r="C261" t="s">
        <v>43</v>
      </c>
      <c r="E261" t="s">
        <v>711</v>
      </c>
      <c r="G261" t="s">
        <v>488</v>
      </c>
      <c r="H261" t="b">
        <v>1</v>
      </c>
      <c r="P261" t="b">
        <f>ISNUMBER(MATCH(Varieties[[#This Row],[Id]],SeedOrder[Id],0))</f>
        <v>0</v>
      </c>
      <c r="Q261">
        <v>700</v>
      </c>
      <c r="R261" t="s">
        <v>1243</v>
      </c>
      <c r="S261" s="160" t="s">
        <v>738</v>
      </c>
    </row>
    <row r="262" spans="2:19" ht="15" customHeight="1">
      <c r="B262" t="str">
        <f>Varieties[[#This Row],[Company]] &amp; " " &amp;  Varieties[[#This Row],[Variety]]</f>
        <v>Adaptive Goldini 2</v>
      </c>
      <c r="C262" t="s">
        <v>128</v>
      </c>
      <c r="E262" t="s">
        <v>1379</v>
      </c>
      <c r="G262" t="s">
        <v>488</v>
      </c>
      <c r="H262" t="b">
        <v>1</v>
      </c>
      <c r="P262" t="b">
        <f>ISNUMBER(MATCH(Varieties[[#This Row],[Id]],SeedOrder[Id],0))</f>
        <v>0</v>
      </c>
      <c r="Q262" t="e">
        <v>#N/A</v>
      </c>
      <c r="R262" t="e">
        <v>#N/A</v>
      </c>
    </row>
    <row r="263" spans="2:19" ht="15" customHeight="1">
      <c r="B263" t="str">
        <f>Varieties[[#This Row],[Company]] &amp; " " &amp;  Varieties[[#This Row],[Variety]]</f>
        <v>Uprising GoldKrone</v>
      </c>
      <c r="C263" t="s">
        <v>75</v>
      </c>
      <c r="E263" t="s">
        <v>819</v>
      </c>
      <c r="G263" t="s">
        <v>484</v>
      </c>
      <c r="H263" t="b">
        <v>1</v>
      </c>
      <c r="P263" t="b">
        <f>ISNUMBER(MATCH(Varieties[[#This Row],[Id]],SeedOrder[Id],0))</f>
        <v>0</v>
      </c>
      <c r="Q263" t="e">
        <v>#N/A</v>
      </c>
      <c r="R263" t="e">
        <v>#N/A</v>
      </c>
      <c r="S263" t="s">
        <v>820</v>
      </c>
    </row>
    <row r="264" spans="2:19" ht="15" customHeight="1">
      <c r="B264" t="str">
        <f>Varieties[[#This Row],[Company]] &amp; " " &amp;  Varieties[[#This Row],[Variety]]</f>
        <v xml:space="preserve"> Goldrush</v>
      </c>
      <c r="C264" t="s">
        <v>113</v>
      </c>
      <c r="D264" t="s">
        <v>1673</v>
      </c>
      <c r="E264" t="s">
        <v>1674</v>
      </c>
      <c r="L264">
        <v>4.0999999999999996</v>
      </c>
      <c r="P264" t="b">
        <f>ISNUMBER(MATCH(Varieties[[#This Row],[Id]],SeedOrder[Id],0))</f>
        <v>0</v>
      </c>
      <c r="Q264" t="e">
        <v>#N/A</v>
      </c>
      <c r="R264" t="e">
        <v>#N/A</v>
      </c>
    </row>
    <row r="265" spans="2:19" ht="15" customHeight="1">
      <c r="B265" t="str">
        <f>Varieties[[#This Row],[Company]] &amp; " " &amp;  Varieties[[#This Row],[Variety]]</f>
        <v>High Mowing GOLDY DOUBLE</v>
      </c>
      <c r="C265" t="s">
        <v>130</v>
      </c>
      <c r="E265" t="s">
        <v>948</v>
      </c>
      <c r="G265" t="s">
        <v>482</v>
      </c>
      <c r="H265" t="b">
        <v>1</v>
      </c>
      <c r="P265" t="b">
        <f>ISNUMBER(MATCH(Varieties[[#This Row],[Id]],SeedOrder[Id],0))</f>
        <v>0</v>
      </c>
      <c r="Q265">
        <v>550</v>
      </c>
      <c r="R265" t="s">
        <v>1242</v>
      </c>
      <c r="S265" s="160" t="s">
        <v>949</v>
      </c>
    </row>
    <row r="266" spans="2:19" ht="15" customHeight="1">
      <c r="B266" t="str">
        <f>Varieties[[#This Row],[Company]] &amp; " " &amp;  Varieties[[#This Row],[Variety]]</f>
        <v>High Mowing Goldy Double</v>
      </c>
      <c r="C266" t="s">
        <v>130</v>
      </c>
      <c r="E266" t="s">
        <v>1993</v>
      </c>
      <c r="G266" t="s">
        <v>482</v>
      </c>
      <c r="H266" t="b">
        <v>1</v>
      </c>
      <c r="P266" t="b">
        <f>ISNUMBER(MATCH(Varieties[[#This Row],[Id]],SeedOrder[Id],0))</f>
        <v>0</v>
      </c>
      <c r="Q266">
        <v>550</v>
      </c>
      <c r="R266" t="s">
        <v>1242</v>
      </c>
      <c r="S266" s="160" t="s">
        <v>949</v>
      </c>
    </row>
    <row r="267" spans="2:19" ht="15" customHeight="1">
      <c r="B267" t="str">
        <f>Varieties[[#This Row],[Company]] &amp; " " &amp;  Varieties[[#This Row],[Variety]]</f>
        <v>High Mowing Goldy F1</v>
      </c>
      <c r="C267" t="s">
        <v>128</v>
      </c>
      <c r="D267" t="s">
        <v>1123</v>
      </c>
      <c r="E267" t="s">
        <v>1124</v>
      </c>
      <c r="G267" t="s">
        <v>482</v>
      </c>
      <c r="H267" t="b">
        <v>1</v>
      </c>
      <c r="M267" t="s">
        <v>1125</v>
      </c>
      <c r="P267" t="b">
        <f>ISNUMBER(MATCH(Varieties[[#This Row],[Id]],SeedOrder[Id],0))</f>
        <v>0</v>
      </c>
      <c r="Q267" t="e">
        <v>#N/A</v>
      </c>
      <c r="R267" t="e">
        <v>#N/A</v>
      </c>
      <c r="S267" t="s">
        <v>1126</v>
      </c>
    </row>
    <row r="268" spans="2:19" ht="15" customHeight="1">
      <c r="B268" t="str">
        <f>Varieties[[#This Row],[Company]] &amp; " " &amp;  Varieties[[#This Row],[Variety]]</f>
        <v>Johnny's Green 70 D</v>
      </c>
      <c r="C268" t="s">
        <v>60</v>
      </c>
      <c r="E268" t="s">
        <v>511</v>
      </c>
      <c r="G268" t="s">
        <v>490</v>
      </c>
      <c r="H268" t="b">
        <v>0</v>
      </c>
      <c r="P268" t="b">
        <f>ISNUMBER(MATCH(Varieties[[#This Row],[Id]],SeedOrder[Id],0))</f>
        <v>0</v>
      </c>
      <c r="Q268">
        <v>200000</v>
      </c>
      <c r="R268" t="s">
        <v>1241</v>
      </c>
      <c r="S268" t="s">
        <v>787</v>
      </c>
    </row>
    <row r="269" spans="2:19" ht="15" customHeight="1">
      <c r="B269" t="str">
        <f>Varieties[[#This Row],[Company]] &amp; " " &amp;  Varieties[[#This Row],[Variety]]</f>
        <v>Tomato Fest Green Giant</v>
      </c>
      <c r="C269" t="s">
        <v>136</v>
      </c>
      <c r="D269" t="s">
        <v>1184</v>
      </c>
      <c r="E269" t="s">
        <v>697</v>
      </c>
      <c r="G269" t="s">
        <v>695</v>
      </c>
      <c r="H269" t="b">
        <v>1</v>
      </c>
      <c r="M269" t="s">
        <v>1185</v>
      </c>
      <c r="P269" t="b">
        <f>ISNUMBER(MATCH(Varieties[[#This Row],[Id]],SeedOrder[Id],0))</f>
        <v>0</v>
      </c>
      <c r="Q269">
        <v>0</v>
      </c>
      <c r="R269">
        <v>0</v>
      </c>
      <c r="S269" t="s">
        <v>1186</v>
      </c>
    </row>
    <row r="270" spans="2:19" ht="15" customHeight="1">
      <c r="B270" t="str">
        <f>Varieties[[#This Row],[Company]] &amp; " " &amp;  Varieties[[#This Row],[Variety]]</f>
        <v>Johnny's Green Gold</v>
      </c>
      <c r="C270" t="s">
        <v>1763</v>
      </c>
      <c r="E270" t="s">
        <v>1962</v>
      </c>
      <c r="G270" t="s">
        <v>490</v>
      </c>
      <c r="H270" t="b">
        <v>1</v>
      </c>
      <c r="P270" t="b">
        <f>ISNUMBER(MATCH(Varieties[[#This Row],[Id]],SeedOrder[Id],0))</f>
        <v>0</v>
      </c>
      <c r="Q270">
        <v>19400</v>
      </c>
      <c r="R270" t="s">
        <v>1242</v>
      </c>
      <c r="S270" s="160" t="s">
        <v>2133</v>
      </c>
    </row>
    <row r="271" spans="2:19" ht="15" customHeight="1">
      <c r="B271" t="str">
        <f>Varieties[[#This Row],[Company]] &amp; " " &amp;  Varieties[[#This Row],[Variety]]</f>
        <v xml:space="preserve"> Green in Snow</v>
      </c>
      <c r="C271" t="s">
        <v>1649</v>
      </c>
      <c r="E271" t="s">
        <v>1653</v>
      </c>
      <c r="L271">
        <v>3.8</v>
      </c>
      <c r="P271" t="b">
        <f>ISNUMBER(MATCH(Varieties[[#This Row],[Id]],SeedOrder[Id],0))</f>
        <v>0</v>
      </c>
      <c r="Q271" t="e">
        <v>#N/A</v>
      </c>
      <c r="R271" t="e">
        <v>#N/A</v>
      </c>
    </row>
    <row r="272" spans="2:19" ht="15" customHeight="1">
      <c r="B272" t="str">
        <f>Varieties[[#This Row],[Company]] &amp; " " &amp;  Varieties[[#This Row],[Variety]]</f>
        <v>Johnny's Green Incised</v>
      </c>
      <c r="C272" t="s">
        <v>92</v>
      </c>
      <c r="E272" t="s">
        <v>1826</v>
      </c>
      <c r="G272" t="s">
        <v>490</v>
      </c>
      <c r="H272" t="b">
        <v>0</v>
      </c>
      <c r="I272" t="b">
        <v>1</v>
      </c>
      <c r="P272" t="b">
        <f>ISNUMBER(MATCH(Varieties[[#This Row],[Id]],SeedOrder[Id],0))</f>
        <v>0</v>
      </c>
      <c r="Q272">
        <v>790</v>
      </c>
      <c r="R272" t="s">
        <v>1242</v>
      </c>
      <c r="S272" s="160" t="s">
        <v>2098</v>
      </c>
    </row>
    <row r="273" spans="2:19" ht="15" customHeight="1">
      <c r="B273" t="str">
        <f>Varieties[[#This Row],[Company]] &amp; " " &amp;  Varieties[[#This Row],[Variety]]</f>
        <v>Wild Garden Green Mist</v>
      </c>
      <c r="C273" t="s">
        <v>75</v>
      </c>
      <c r="D273" t="s">
        <v>825</v>
      </c>
      <c r="E273" t="s">
        <v>525</v>
      </c>
      <c r="G273" t="s">
        <v>526</v>
      </c>
      <c r="H273" t="b">
        <v>1</v>
      </c>
      <c r="P273" t="b">
        <f>ISNUMBER(MATCH(Varieties[[#This Row],[Id]],SeedOrder[Id],0))</f>
        <v>0</v>
      </c>
      <c r="Q273">
        <v>1220</v>
      </c>
      <c r="R273" t="s">
        <v>1243</v>
      </c>
      <c r="S273" s="160" t="s">
        <v>826</v>
      </c>
    </row>
    <row r="274" spans="2:19" ht="15" customHeight="1">
      <c r="B274" t="str">
        <f>Varieties[[#This Row],[Company]] &amp; " " &amp;  Varieties[[#This Row],[Variety]]</f>
        <v>High Mowing Green Sleeves</v>
      </c>
      <c r="C274" t="s">
        <v>75</v>
      </c>
      <c r="E274" t="s">
        <v>524</v>
      </c>
      <c r="G274" t="s">
        <v>482</v>
      </c>
      <c r="H274" t="b">
        <v>1</v>
      </c>
      <c r="P274" t="b">
        <f>ISNUMBER(MATCH(Varieties[[#This Row],[Id]],SeedOrder[Id],0))</f>
        <v>0</v>
      </c>
      <c r="Q274">
        <v>15000</v>
      </c>
      <c r="R274" t="s">
        <v>1242</v>
      </c>
      <c r="S274" s="160" t="s">
        <v>822</v>
      </c>
    </row>
    <row r="275" spans="2:19" ht="15" customHeight="1">
      <c r="B275" t="str">
        <f>Varieties[[#This Row],[Company]] &amp; " " &amp;  Varieties[[#This Row],[Variety]]</f>
        <v>Johnny's Green Sweet Crisp</v>
      </c>
      <c r="C275" t="s">
        <v>92</v>
      </c>
      <c r="E275" t="s">
        <v>1824</v>
      </c>
      <c r="G275" t="s">
        <v>490</v>
      </c>
      <c r="H275" t="b">
        <v>0</v>
      </c>
      <c r="I275" t="b">
        <v>1</v>
      </c>
      <c r="P275" t="b">
        <f>ISNUMBER(MATCH(Varieties[[#This Row],[Id]],SeedOrder[Id],0))</f>
        <v>0</v>
      </c>
      <c r="Q275">
        <v>750</v>
      </c>
      <c r="R275" t="s">
        <v>1242</v>
      </c>
      <c r="S275" s="160" t="s">
        <v>2099</v>
      </c>
    </row>
    <row r="276" spans="2:19" ht="15" customHeight="1">
      <c r="B276" t="str">
        <f>Varieties[[#This Row],[Company]] &amp; " " &amp;  Varieties[[#This Row],[Variety]]</f>
        <v>Kitazawa Green Vines Supreme</v>
      </c>
      <c r="C276" t="s">
        <v>96</v>
      </c>
      <c r="E276" t="s">
        <v>2019</v>
      </c>
      <c r="G276" t="s">
        <v>510</v>
      </c>
      <c r="H276" t="b">
        <v>0</v>
      </c>
      <c r="P276" t="b">
        <f>ISNUMBER(MATCH(Varieties[[#This Row],[Id]],SeedOrder[Id],0))</f>
        <v>0</v>
      </c>
      <c r="Q276">
        <v>800</v>
      </c>
      <c r="R276" t="s">
        <v>1242</v>
      </c>
      <c r="S276" s="160" t="s">
        <v>2247</v>
      </c>
    </row>
    <row r="277" spans="2:19" ht="15" customHeight="1">
      <c r="B277" t="str">
        <f>Varieties[[#This Row],[Company]] &amp; " " &amp;  Varieties[[#This Row],[Variety]]</f>
        <v xml:space="preserve"> Green Wave</v>
      </c>
      <c r="C277" t="s">
        <v>1649</v>
      </c>
      <c r="D277" t="s">
        <v>1650</v>
      </c>
      <c r="E277" t="s">
        <v>1648</v>
      </c>
      <c r="L277">
        <v>4.0999999999999996</v>
      </c>
      <c r="P277" t="b">
        <f>ISNUMBER(MATCH(Varieties[[#This Row],[Id]],SeedOrder[Id],0))</f>
        <v>0</v>
      </c>
      <c r="Q277" t="e">
        <v>#N/A</v>
      </c>
      <c r="R277" t="e">
        <v>#N/A</v>
      </c>
    </row>
    <row r="278" spans="2:19" ht="15" customHeight="1">
      <c r="B278" t="str">
        <f>Varieties[[#This Row],[Company]] &amp; " " &amp;  Varieties[[#This Row],[Variety]]</f>
        <v>Everwilde Green Yardlong Bean</v>
      </c>
      <c r="C278" t="s">
        <v>44</v>
      </c>
      <c r="E278" t="s">
        <v>2020</v>
      </c>
      <c r="G278" t="s">
        <v>753</v>
      </c>
      <c r="H278" t="b">
        <v>1</v>
      </c>
      <c r="P278" t="b">
        <f>ISNUMBER(MATCH(Varieties[[#This Row],[Id]],SeedOrder[Id],0))</f>
        <v>0</v>
      </c>
      <c r="Q278">
        <v>2000</v>
      </c>
      <c r="R278" t="s">
        <v>1241</v>
      </c>
      <c r="S278" s="160" t="s">
        <v>2035</v>
      </c>
    </row>
    <row r="279" spans="2:19" ht="15" customHeight="1">
      <c r="B279" t="str">
        <f>Varieties[[#This Row],[Company]] &amp; " " &amp;  Varieties[[#This Row],[Variety]]</f>
        <v xml:space="preserve"> Hakurei</v>
      </c>
      <c r="C279" t="s">
        <v>137</v>
      </c>
      <c r="D279" t="s">
        <v>169</v>
      </c>
      <c r="E279" t="s">
        <v>1686</v>
      </c>
      <c r="L279">
        <v>3.9</v>
      </c>
      <c r="P279" t="b">
        <f>ISNUMBER(MATCH(Varieties[[#This Row],[Id]],SeedOrder[Id],0))</f>
        <v>0</v>
      </c>
      <c r="Q279" t="e">
        <v>#N/A</v>
      </c>
      <c r="R279" t="e">
        <v>#N/A</v>
      </c>
    </row>
    <row r="280" spans="2:19" ht="15" customHeight="1">
      <c r="B280" t="str">
        <f>Varieties[[#This Row],[Company]] &amp; " " &amp;  Varieties[[#This Row],[Variety]]</f>
        <v>Johnny's Hakurei</v>
      </c>
      <c r="C280" t="s">
        <v>137</v>
      </c>
      <c r="E280" t="s">
        <v>1686</v>
      </c>
      <c r="G280" t="s">
        <v>490</v>
      </c>
      <c r="H280" t="b">
        <v>0</v>
      </c>
      <c r="P280" t="b">
        <f>ISNUMBER(MATCH(Varieties[[#This Row],[Id]],SeedOrder[Id],0))</f>
        <v>0</v>
      </c>
      <c r="Q280">
        <v>180650</v>
      </c>
      <c r="R280" t="s">
        <v>1241</v>
      </c>
      <c r="S280" s="160" t="s">
        <v>2139</v>
      </c>
    </row>
    <row r="281" spans="2:19" ht="15" customHeight="1">
      <c r="B281" t="str">
        <f>Varieties[[#This Row],[Company]] &amp; " " &amp;  Varieties[[#This Row],[Variety]]</f>
        <v>High Mowing Halblange</v>
      </c>
      <c r="C281" t="s">
        <v>109</v>
      </c>
      <c r="E281" t="s">
        <v>2866</v>
      </c>
      <c r="G281" t="s">
        <v>482</v>
      </c>
      <c r="H281" t="b">
        <v>1</v>
      </c>
      <c r="P281" t="b">
        <f>ISNUMBER(MATCH(Varieties[[#This Row],[Id]],SeedOrder[Id],0))</f>
        <v>0</v>
      </c>
      <c r="Q281">
        <v>5776</v>
      </c>
      <c r="R281" t="s">
        <v>1242</v>
      </c>
      <c r="S281" t="s">
        <v>2926</v>
      </c>
    </row>
    <row r="282" spans="2:19" ht="15" customHeight="1">
      <c r="B282" t="str">
        <f>Varieties[[#This Row],[Company]] &amp; " " &amp;  Varieties[[#This Row],[Variety]]</f>
        <v xml:space="preserve"> Hampton</v>
      </c>
      <c r="C282" t="s">
        <v>92</v>
      </c>
      <c r="E282" t="s">
        <v>1354</v>
      </c>
      <c r="P282" t="b">
        <f>ISNUMBER(MATCH(Varieties[[#This Row],[Id]],SeedOrder[Id],0))</f>
        <v>0</v>
      </c>
      <c r="Q282" t="e">
        <v>#N/A</v>
      </c>
      <c r="R282" t="e">
        <v>#N/A</v>
      </c>
    </row>
    <row r="283" spans="2:19" ht="15" customHeight="1">
      <c r="B283" t="str">
        <f>Varieties[[#This Row],[Company]] &amp; " " &amp;  Varieties[[#This Row],[Variety]]</f>
        <v xml:space="preserve"> Hampton</v>
      </c>
      <c r="C283" t="s">
        <v>92</v>
      </c>
      <c r="E283" t="s">
        <v>1354</v>
      </c>
      <c r="P283" t="b">
        <f>ISNUMBER(MATCH(Varieties[[#This Row],[Id]],SeedOrder[Id],0))</f>
        <v>0</v>
      </c>
      <c r="Q283" t="e">
        <v>#N/A</v>
      </c>
      <c r="R283" t="e">
        <v>#N/A</v>
      </c>
    </row>
    <row r="284" spans="2:19" ht="15" customHeight="1">
      <c r="B284" t="str">
        <f>Varieties[[#This Row],[Company]] &amp; " " &amp;  Varieties[[#This Row],[Variety]]</f>
        <v>Territorial Hampton</v>
      </c>
      <c r="C284" t="s">
        <v>92</v>
      </c>
      <c r="E284" t="s">
        <v>1354</v>
      </c>
      <c r="G284" t="s">
        <v>533</v>
      </c>
      <c r="P284" t="b">
        <f>ISNUMBER(MATCH(Varieties[[#This Row],[Id]],SeedOrder[Id],0))</f>
        <v>0</v>
      </c>
      <c r="Q284" t="e">
        <v>#N/A</v>
      </c>
      <c r="R284" t="e">
        <v>#N/A</v>
      </c>
    </row>
    <row r="285" spans="2:19" ht="15" customHeight="1">
      <c r="B285" t="str">
        <f>Varieties[[#This Row],[Company]] &amp; " " &amp;  Varieties[[#This Row],[Variety]]</f>
        <v>Territorial Hampton - Pelleted</v>
      </c>
      <c r="C285" t="s">
        <v>92</v>
      </c>
      <c r="E285" t="s">
        <v>1355</v>
      </c>
      <c r="G285" t="s">
        <v>533</v>
      </c>
      <c r="P285" t="b">
        <f>ISNUMBER(MATCH(Varieties[[#This Row],[Id]],SeedOrder[Id],0))</f>
        <v>0</v>
      </c>
      <c r="Q285" t="e">
        <v>#N/A</v>
      </c>
      <c r="R285" t="e">
        <v>#N/A</v>
      </c>
    </row>
    <row r="286" spans="2:19" ht="15" customHeight="1">
      <c r="B286" t="str">
        <f>Varieties[[#This Row],[Company]] &amp; " " &amp;  Varieties[[#This Row],[Variety]]</f>
        <v>Wild Garden Heavenly Blue</v>
      </c>
      <c r="C286" t="s">
        <v>1766</v>
      </c>
      <c r="E286" t="s">
        <v>2172</v>
      </c>
      <c r="G286" t="s">
        <v>526</v>
      </c>
      <c r="H286" t="b">
        <v>1</v>
      </c>
      <c r="P286" t="b">
        <f>ISNUMBER(MATCH(Varieties[[#This Row],[Id]],SeedOrder[Id],0))</f>
        <v>0</v>
      </c>
      <c r="Q286">
        <v>130</v>
      </c>
      <c r="R286" t="s">
        <v>1243</v>
      </c>
      <c r="S286" s="160" t="s">
        <v>2171</v>
      </c>
    </row>
    <row r="287" spans="2:19" ht="15" customHeight="1">
      <c r="B287" t="str">
        <f>Varieties[[#This Row],[Company]] &amp; " " &amp;  Varieties[[#This Row],[Variety]]</f>
        <v xml:space="preserve"> Helenor</v>
      </c>
      <c r="C287" t="s">
        <v>118</v>
      </c>
      <c r="D287" t="s">
        <v>1685</v>
      </c>
      <c r="E287" t="s">
        <v>1682</v>
      </c>
      <c r="L287">
        <v>3.6</v>
      </c>
      <c r="P287" t="b">
        <f>ISNUMBER(MATCH(Varieties[[#This Row],[Id]],SeedOrder[Id],0))</f>
        <v>0</v>
      </c>
      <c r="Q287" t="e">
        <v>#N/A</v>
      </c>
      <c r="R287" t="e">
        <v>#N/A</v>
      </c>
    </row>
    <row r="288" spans="2:19" ht="15" customHeight="1">
      <c r="B288" t="str">
        <f>Varieties[[#This Row],[Company]] &amp; " " &amp;  Varieties[[#This Row],[Variety]]</f>
        <v>High Mowing Helenor</v>
      </c>
      <c r="C288" t="s">
        <v>118</v>
      </c>
      <c r="E288" t="s">
        <v>1682</v>
      </c>
      <c r="G288" t="s">
        <v>482</v>
      </c>
      <c r="H288" t="b">
        <v>1</v>
      </c>
      <c r="P288" t="b">
        <f>ISNUMBER(MATCH(Varieties[[#This Row],[Id]],SeedOrder[Id],0))</f>
        <v>0</v>
      </c>
      <c r="Q288">
        <v>1000</v>
      </c>
      <c r="R288" t="s">
        <v>1242</v>
      </c>
      <c r="S288" s="160" t="s">
        <v>2079</v>
      </c>
    </row>
    <row r="289" spans="2:19" ht="15" customHeight="1">
      <c r="B289" t="str">
        <f>Varieties[[#This Row],[Company]] &amp; " " &amp;  Varieties[[#This Row],[Variety]]</f>
        <v>Johnny's Helios F1</v>
      </c>
      <c r="C289" t="s">
        <v>112</v>
      </c>
      <c r="E289" t="s">
        <v>2942</v>
      </c>
      <c r="G289" t="s">
        <v>490</v>
      </c>
      <c r="H289" t="b">
        <v>0</v>
      </c>
      <c r="P289" t="b">
        <f>ISNUMBER(MATCH(Varieties[[#This Row],[Id]],SeedOrder[Id],0))</f>
        <v>0</v>
      </c>
      <c r="Q289">
        <v>6050</v>
      </c>
      <c r="R289" t="s">
        <v>1242</v>
      </c>
      <c r="S289" t="s">
        <v>2943</v>
      </c>
    </row>
    <row r="290" spans="2:19" ht="15" customHeight="1">
      <c r="B290" t="str">
        <f>Varieties[[#This Row],[Company]] &amp; " " &amp;  Varieties[[#This Row],[Variety]]</f>
        <v>Adaptive Hollandia Purple Crown Mix</v>
      </c>
      <c r="C290" t="s">
        <v>74</v>
      </c>
      <c r="E290" t="s">
        <v>613</v>
      </c>
      <c r="G290" t="s">
        <v>488</v>
      </c>
      <c r="H290" t="b">
        <v>1</v>
      </c>
      <c r="M290" t="s">
        <v>817</v>
      </c>
      <c r="P290" t="b">
        <f>ISNUMBER(MATCH(Varieties[[#This Row],[Id]],SeedOrder[Id],0))</f>
        <v>0</v>
      </c>
      <c r="Q290">
        <v>875</v>
      </c>
      <c r="R290" t="s">
        <v>1243</v>
      </c>
      <c r="S290" t="s">
        <v>818</v>
      </c>
    </row>
    <row r="291" spans="2:19" ht="15" customHeight="1">
      <c r="B291" t="str">
        <f>Varieties[[#This Row],[Company]] &amp; " " &amp;  Varieties[[#This Row],[Variety]]</f>
        <v>Uprising Holy Basil</v>
      </c>
      <c r="C291" t="s">
        <v>43</v>
      </c>
      <c r="E291" t="s">
        <v>486</v>
      </c>
      <c r="G291" t="s">
        <v>484</v>
      </c>
      <c r="H291" t="b">
        <v>1</v>
      </c>
      <c r="P291" t="b">
        <f>ISNUMBER(MATCH(Varieties[[#This Row],[Id]],SeedOrder[Id],0))</f>
        <v>0</v>
      </c>
      <c r="Q291" t="e">
        <v>#N/A</v>
      </c>
      <c r="R291" t="e">
        <v>#N/A</v>
      </c>
      <c r="S291" t="s">
        <v>737</v>
      </c>
    </row>
    <row r="292" spans="2:19" ht="15" customHeight="1">
      <c r="B292" t="str">
        <f>Varieties[[#This Row],[Company]] &amp; " " &amp;  Varieties[[#This Row],[Variety]]</f>
        <v>High Mowing Honey Boat</v>
      </c>
      <c r="C292" t="s">
        <v>124</v>
      </c>
      <c r="E292" t="s">
        <v>1936</v>
      </c>
      <c r="G292" t="s">
        <v>482</v>
      </c>
      <c r="H292" t="b">
        <v>1</v>
      </c>
      <c r="P292" t="b">
        <f>ISNUMBER(MATCH(Varieties[[#This Row],[Id]],SeedOrder[Id],0))</f>
        <v>0</v>
      </c>
      <c r="Q292">
        <v>425</v>
      </c>
      <c r="R292" t="s">
        <v>1242</v>
      </c>
      <c r="S292" s="160" t="s">
        <v>2076</v>
      </c>
    </row>
    <row r="293" spans="2:19" ht="15" customHeight="1">
      <c r="B293" t="str">
        <f>Varieties[[#This Row],[Company]] &amp; " " &amp;  Varieties[[#This Row],[Variety]]</f>
        <v xml:space="preserve"> Honeynut</v>
      </c>
      <c r="C293" t="s">
        <v>124</v>
      </c>
      <c r="D293" t="s">
        <v>1135</v>
      </c>
      <c r="E293" t="s">
        <v>684</v>
      </c>
      <c r="L293">
        <v>3.4</v>
      </c>
      <c r="P293" t="b">
        <f>ISNUMBER(MATCH(Varieties[[#This Row],[Id]],SeedOrder[Id],0))</f>
        <v>0</v>
      </c>
      <c r="Q293" t="e">
        <v>#N/A</v>
      </c>
      <c r="R293" t="e">
        <v>#N/A</v>
      </c>
    </row>
    <row r="294" spans="2:19" ht="15" customHeight="1">
      <c r="B294" t="str">
        <f>Varieties[[#This Row],[Company]] &amp; " " &amp;  Varieties[[#This Row],[Variety]]</f>
        <v>High Mowing Honeynut</v>
      </c>
      <c r="C294" t="s">
        <v>124</v>
      </c>
      <c r="D294" t="s">
        <v>1135</v>
      </c>
      <c r="E294" t="s">
        <v>684</v>
      </c>
      <c r="G294" t="s">
        <v>482</v>
      </c>
      <c r="H294" t="b">
        <v>1</v>
      </c>
      <c r="M294" t="s">
        <v>1224</v>
      </c>
      <c r="P294" t="b">
        <f>ISNUMBER(MATCH(Varieties[[#This Row],[Id]],SeedOrder[Id],0))</f>
        <v>0</v>
      </c>
      <c r="Q294">
        <v>300</v>
      </c>
      <c r="R294" t="s">
        <v>1242</v>
      </c>
      <c r="S294" t="s">
        <v>1225</v>
      </c>
    </row>
    <row r="295" spans="2:19" ht="15" customHeight="1">
      <c r="B295" t="str">
        <f>Varieties[[#This Row],[Company]] &amp; " " &amp;  Varieties[[#This Row],[Variety]]</f>
        <v>High Mowing Honeynut</v>
      </c>
      <c r="C295" t="s">
        <v>124</v>
      </c>
      <c r="E295" t="s">
        <v>684</v>
      </c>
      <c r="G295" t="s">
        <v>482</v>
      </c>
      <c r="H295" t="b">
        <v>1</v>
      </c>
      <c r="P295" t="b">
        <f>ISNUMBER(MATCH(Varieties[[#This Row],[Id]],SeedOrder[Id],0))</f>
        <v>0</v>
      </c>
      <c r="Q295">
        <v>135</v>
      </c>
      <c r="R295" t="s">
        <v>1242</v>
      </c>
      <c r="S295" s="160" t="s">
        <v>1225</v>
      </c>
    </row>
    <row r="296" spans="2:19" ht="15" customHeight="1">
      <c r="B296" t="str">
        <f>Varieties[[#This Row],[Company]] &amp; " " &amp;  Varieties[[#This Row],[Variety]]</f>
        <v>Row 7 Honeypatch</v>
      </c>
      <c r="C296" t="s">
        <v>124</v>
      </c>
      <c r="D296" t="s">
        <v>1135</v>
      </c>
      <c r="E296" t="s">
        <v>682</v>
      </c>
      <c r="G296" t="s">
        <v>602</v>
      </c>
      <c r="H296" t="b">
        <v>1</v>
      </c>
      <c r="M296" t="s">
        <v>1136</v>
      </c>
      <c r="P296" t="b">
        <f>ISNUMBER(MATCH(Varieties[[#This Row],[Id]],SeedOrder[Id],0))</f>
        <v>0</v>
      </c>
      <c r="Q296">
        <v>0</v>
      </c>
      <c r="R296">
        <v>0</v>
      </c>
      <c r="S296" t="s">
        <v>1137</v>
      </c>
    </row>
    <row r="297" spans="2:19" ht="15" customHeight="1">
      <c r="B297" t="str">
        <f>Varieties[[#This Row],[Company]] &amp; " " &amp;  Varieties[[#This Row],[Variety]]</f>
        <v>Uprising Hot Biscuits</v>
      </c>
      <c r="C297" t="s">
        <v>41</v>
      </c>
      <c r="E297" t="s">
        <v>723</v>
      </c>
      <c r="G297" t="s">
        <v>484</v>
      </c>
      <c r="H297" t="b">
        <v>1</v>
      </c>
      <c r="P297" t="b">
        <f>ISNUMBER(MATCH(Varieties[[#This Row],[Id]],SeedOrder[Id],0))</f>
        <v>0</v>
      </c>
      <c r="Q297" t="e">
        <v>#N/A</v>
      </c>
      <c r="R297" t="e">
        <v>#N/A</v>
      </c>
      <c r="S297" t="s">
        <v>724</v>
      </c>
    </row>
    <row r="298" spans="2:19" ht="15" customHeight="1">
      <c r="B298" t="str">
        <f>Varieties[[#This Row],[Company]] &amp; " " &amp;  Varieties[[#This Row],[Variety]]</f>
        <v xml:space="preserve"> Hot Streak</v>
      </c>
      <c r="C298" t="s">
        <v>136</v>
      </c>
      <c r="D298" t="s">
        <v>1534</v>
      </c>
      <c r="E298" t="s">
        <v>1637</v>
      </c>
      <c r="L298">
        <v>4</v>
      </c>
      <c r="M298" t="s">
        <v>1638</v>
      </c>
      <c r="P298" t="b">
        <f>ISNUMBER(MATCH(Varieties[[#This Row],[Id]],SeedOrder[Id],0))</f>
        <v>0</v>
      </c>
      <c r="Q298" t="e">
        <v>#N/A</v>
      </c>
      <c r="R298" t="e">
        <v>#N/A</v>
      </c>
    </row>
    <row r="299" spans="2:19" ht="15" customHeight="1">
      <c r="B299" t="str">
        <f>Varieties[[#This Row],[Company]] &amp; " " &amp;  Varieties[[#This Row],[Variety]]</f>
        <v>Johnny's Hot Streak</v>
      </c>
      <c r="C299" t="s">
        <v>136</v>
      </c>
      <c r="E299" t="s">
        <v>1637</v>
      </c>
      <c r="G299" t="s">
        <v>490</v>
      </c>
      <c r="H299" t="b">
        <v>0</v>
      </c>
      <c r="P299" t="b">
        <f>ISNUMBER(MATCH(Varieties[[#This Row],[Id]],SeedOrder[Id],0))</f>
        <v>0</v>
      </c>
      <c r="Q299">
        <v>150000</v>
      </c>
      <c r="R299" t="s">
        <v>1241</v>
      </c>
      <c r="S299" s="160" t="s">
        <v>2124</v>
      </c>
    </row>
    <row r="300" spans="2:19" ht="15" customHeight="1">
      <c r="B300" t="str">
        <f>Varieties[[#This Row],[Company]] &amp; " " &amp;  Varieties[[#This Row],[Variety]]</f>
        <v>Tomato Fest Hugh's</v>
      </c>
      <c r="C300" t="s">
        <v>136</v>
      </c>
      <c r="D300" t="s">
        <v>1157</v>
      </c>
      <c r="E300" t="s">
        <v>704</v>
      </c>
      <c r="G300" t="s">
        <v>695</v>
      </c>
      <c r="H300" t="b">
        <v>1</v>
      </c>
      <c r="M300" t="s">
        <v>1158</v>
      </c>
      <c r="P300" t="b">
        <f>ISNUMBER(MATCH(Varieties[[#This Row],[Id]],SeedOrder[Id],0))</f>
        <v>0</v>
      </c>
      <c r="Q300">
        <v>0</v>
      </c>
      <c r="R300">
        <v>0</v>
      </c>
      <c r="S300" t="s">
        <v>1159</v>
      </c>
    </row>
    <row r="301" spans="2:19" ht="15" customHeight="1">
      <c r="B301" t="str">
        <f>Varieties[[#This Row],[Company]] &amp; " " &amp;  Varieties[[#This Row],[Variety]]</f>
        <v>Johnny's Hungarian Hot Wax</v>
      </c>
      <c r="C301" t="s">
        <v>112</v>
      </c>
      <c r="E301" t="s">
        <v>1881</v>
      </c>
      <c r="G301" t="s">
        <v>490</v>
      </c>
      <c r="H301" t="b">
        <v>1</v>
      </c>
      <c r="P301" t="b">
        <f>ISNUMBER(MATCH(Varieties[[#This Row],[Id]],SeedOrder[Id],0))</f>
        <v>0</v>
      </c>
      <c r="Q301">
        <v>68900</v>
      </c>
      <c r="R301" t="s">
        <v>1241</v>
      </c>
      <c r="S301" s="160" t="s">
        <v>2109</v>
      </c>
    </row>
    <row r="302" spans="2:19" ht="15" customHeight="1">
      <c r="B302" t="str">
        <f>Varieties[[#This Row],[Company]] &amp; " " &amp;  Varieties[[#This Row],[Variety]]</f>
        <v>Osborne Hungarian Hot Wax</v>
      </c>
      <c r="C302" t="s">
        <v>112</v>
      </c>
      <c r="E302" t="s">
        <v>1881</v>
      </c>
      <c r="G302" s="268" t="s">
        <v>503</v>
      </c>
      <c r="H302" t="b">
        <v>1</v>
      </c>
      <c r="P302" t="b">
        <f>ISNUMBER(MATCH(Varieties[[#This Row],[Id]],SeedOrder[Id],0))</f>
        <v>0</v>
      </c>
      <c r="Q302" t="s">
        <v>2916</v>
      </c>
      <c r="S302" t="s">
        <v>2914</v>
      </c>
    </row>
    <row r="303" spans="2:19" ht="15" customHeight="1">
      <c r="B303" t="str">
        <f>Varieties[[#This Row],[Company]] &amp; " " &amp;  Varieties[[#This Row],[Variety]]</f>
        <v xml:space="preserve"> Hypsy</v>
      </c>
      <c r="C303" t="s">
        <v>49</v>
      </c>
      <c r="D303" t="s">
        <v>214</v>
      </c>
      <c r="E303" t="s">
        <v>1552</v>
      </c>
      <c r="L303">
        <v>4.2</v>
      </c>
      <c r="M303" t="s">
        <v>1553</v>
      </c>
      <c r="P303" t="b">
        <f>ISNUMBER(MATCH(Varieties[[#This Row],[Id]],SeedOrder[Id],0))</f>
        <v>0</v>
      </c>
      <c r="Q303" t="e">
        <v>#N/A</v>
      </c>
      <c r="R303" t="e">
        <v>#N/A</v>
      </c>
    </row>
    <row r="304" spans="2:19" ht="15" customHeight="1">
      <c r="B304" t="str">
        <f>Varieties[[#This Row],[Company]] &amp; " " &amp;  Varieties[[#This Row],[Variety]]</f>
        <v>High Mowing ICICLE RADISH</v>
      </c>
      <c r="C304" t="s">
        <v>114</v>
      </c>
      <c r="D304" t="s">
        <v>341</v>
      </c>
      <c r="E304" t="s">
        <v>1087</v>
      </c>
      <c r="G304" t="s">
        <v>482</v>
      </c>
      <c r="H304" t="b">
        <v>1</v>
      </c>
      <c r="M304" t="s">
        <v>1088</v>
      </c>
      <c r="P304" t="b">
        <f>ISNUMBER(MATCH(Varieties[[#This Row],[Id]],SeedOrder[Id],0))</f>
        <v>0</v>
      </c>
      <c r="Q304" t="e">
        <v>#N/A</v>
      </c>
      <c r="R304" t="e">
        <v>#N/A</v>
      </c>
      <c r="S304" t="s">
        <v>1089</v>
      </c>
    </row>
    <row r="305" spans="2:19" ht="15" customHeight="1">
      <c r="B305" t="str">
        <f>Varieties[[#This Row],[Company]] &amp; " " &amp;  Varieties[[#This Row],[Variety]]</f>
        <v>Adaptive Ildkongen</v>
      </c>
      <c r="C305" t="s">
        <v>97</v>
      </c>
      <c r="E305" t="s">
        <v>625</v>
      </c>
      <c r="G305" t="s">
        <v>488</v>
      </c>
      <c r="H305" t="b">
        <v>1</v>
      </c>
      <c r="M305" t="s">
        <v>876</v>
      </c>
      <c r="P305" t="b">
        <f>ISNUMBER(MATCH(Varieties[[#This Row],[Id]],SeedOrder[Id],0))</f>
        <v>0</v>
      </c>
      <c r="Q305">
        <v>270</v>
      </c>
      <c r="R305" t="s">
        <v>1243</v>
      </c>
      <c r="S305" s="160" t="s">
        <v>877</v>
      </c>
    </row>
    <row r="306" spans="2:19" ht="15" customHeight="1">
      <c r="B306" t="str">
        <f>Varieties[[#This Row],[Company]] &amp; " " &amp;  Varieties[[#This Row],[Variety]]</f>
        <v>Uprising Incantadore</v>
      </c>
      <c r="C306" t="s">
        <v>356</v>
      </c>
      <c r="D306" t="s">
        <v>572</v>
      </c>
      <c r="E306" t="s">
        <v>573</v>
      </c>
      <c r="G306" t="s">
        <v>484</v>
      </c>
      <c r="H306" t="b">
        <v>1</v>
      </c>
      <c r="M306" t="s">
        <v>1211</v>
      </c>
      <c r="P306" t="b">
        <f>ISNUMBER(MATCH(Varieties[[#This Row],[Id]],SeedOrder[Id],0))</f>
        <v>0</v>
      </c>
      <c r="Q306">
        <v>0</v>
      </c>
      <c r="R306">
        <v>0</v>
      </c>
      <c r="S306" t="s">
        <v>1212</v>
      </c>
    </row>
    <row r="307" spans="2:19" ht="15" customHeight="1">
      <c r="B307" t="str">
        <f>Varieties[[#This Row],[Company]] &amp; " " &amp;  Varieties[[#This Row],[Variety]]</f>
        <v>Johnny's Indigo Cherry Drop</v>
      </c>
      <c r="C307" t="s">
        <v>136</v>
      </c>
      <c r="D307" t="s">
        <v>178</v>
      </c>
      <c r="E307" t="s">
        <v>2265</v>
      </c>
      <c r="G307" t="s">
        <v>490</v>
      </c>
      <c r="H307" t="b">
        <v>1</v>
      </c>
      <c r="M307" t="s">
        <v>2264</v>
      </c>
      <c r="P307" t="b">
        <f>ISNUMBER(MATCH(Varieties[[#This Row],[Id]],SeedOrder[Id],0))</f>
        <v>0</v>
      </c>
      <c r="Q307">
        <v>16400</v>
      </c>
      <c r="R307" t="s">
        <v>1242</v>
      </c>
      <c r="S307" t="s">
        <v>2266</v>
      </c>
    </row>
    <row r="308" spans="2:19" ht="15" customHeight="1">
      <c r="B308" t="str">
        <f>Varieties[[#This Row],[Company]] &amp; " " &amp;  Varieties[[#This Row],[Variety]]</f>
        <v xml:space="preserve"> Integro</v>
      </c>
      <c r="C308" t="s">
        <v>52</v>
      </c>
      <c r="D308" t="s">
        <v>551</v>
      </c>
      <c r="E308" t="s">
        <v>1604</v>
      </c>
      <c r="L308">
        <v>3.8</v>
      </c>
      <c r="P308" t="b">
        <f>ISNUMBER(MATCH(Varieties[[#This Row],[Id]],SeedOrder[Id],0))</f>
        <v>0</v>
      </c>
      <c r="Q308" t="e">
        <v>#N/A</v>
      </c>
      <c r="R308" t="e">
        <v>#N/A</v>
      </c>
    </row>
    <row r="309" spans="2:19" ht="15" customHeight="1">
      <c r="B309" t="str">
        <f>Varieties[[#This Row],[Company]] &amp; " " &amp;  Varieties[[#This Row],[Variety]]</f>
        <v>High Mowing Integro F1</v>
      </c>
      <c r="C309" t="s">
        <v>52</v>
      </c>
      <c r="E309" t="s">
        <v>1892</v>
      </c>
      <c r="G309" t="s">
        <v>482</v>
      </c>
      <c r="H309" t="b">
        <v>1</v>
      </c>
      <c r="P309" t="b">
        <f>ISNUMBER(MATCH(Varieties[[#This Row],[Id]],SeedOrder[Id],0))</f>
        <v>0</v>
      </c>
      <c r="Q309">
        <v>4800</v>
      </c>
      <c r="R309" t="s">
        <v>1242</v>
      </c>
      <c r="S309" s="160" t="s">
        <v>2038</v>
      </c>
    </row>
    <row r="310" spans="2:19" ht="15" customHeight="1">
      <c r="B310" t="str">
        <f>Varieties[[#This Row],[Company]] &amp; " " &amp;  Varieties[[#This Row],[Variety]]</f>
        <v>Johnny's Integro F1</v>
      </c>
      <c r="C310" t="s">
        <v>52</v>
      </c>
      <c r="E310" t="s">
        <v>1892</v>
      </c>
      <c r="G310" t="s">
        <v>490</v>
      </c>
      <c r="H310" t="b">
        <v>1</v>
      </c>
      <c r="P310" t="b">
        <f>ISNUMBER(MATCH(Varieties[[#This Row],[Id]],SeedOrder[Id],0))</f>
        <v>0</v>
      </c>
      <c r="Q310">
        <v>4800</v>
      </c>
      <c r="R310" t="s">
        <v>1242</v>
      </c>
      <c r="S310" s="160" t="s">
        <v>2274</v>
      </c>
    </row>
    <row r="311" spans="2:19" ht="15" customHeight="1">
      <c r="B311" t="str">
        <f>Varieties[[#This Row],[Company]] &amp; " " &amp;  Varieties[[#This Row],[Variety]]</f>
        <v>Johnny's Intercut</v>
      </c>
      <c r="C311" t="s">
        <v>92</v>
      </c>
      <c r="E311" t="s">
        <v>1385</v>
      </c>
      <c r="G311" t="s">
        <v>490</v>
      </c>
      <c r="H311" t="b">
        <v>0</v>
      </c>
      <c r="I311" t="b">
        <v>1</v>
      </c>
      <c r="P311" t="b">
        <f>ISNUMBER(MATCH(Varieties[[#This Row],[Id]],SeedOrder[Id],0))</f>
        <v>0</v>
      </c>
      <c r="Q311">
        <v>11700</v>
      </c>
      <c r="R311" t="s">
        <v>1241</v>
      </c>
      <c r="S311" s="160" t="s">
        <v>2104</v>
      </c>
    </row>
    <row r="312" spans="2:19" ht="15" customHeight="1">
      <c r="B312" t="str">
        <f>Varieties[[#This Row],[Company]] &amp; " " &amp;  Varieties[[#This Row],[Variety]]</f>
        <v>Johnny's Iron Pastel Mix</v>
      </c>
      <c r="C312" t="s">
        <v>125</v>
      </c>
      <c r="E312" t="s">
        <v>680</v>
      </c>
      <c r="G312" t="s">
        <v>490</v>
      </c>
      <c r="H312" t="b">
        <v>0</v>
      </c>
      <c r="P312" t="b">
        <f>ISNUMBER(MATCH(Varieties[[#This Row],[Id]],SeedOrder[Id],0))</f>
        <v>0</v>
      </c>
      <c r="Q312">
        <v>16600</v>
      </c>
      <c r="R312" t="s">
        <v>1242</v>
      </c>
      <c r="S312" t="s">
        <v>939</v>
      </c>
    </row>
    <row r="313" spans="2:19" ht="15" customHeight="1">
      <c r="B313" t="str">
        <f>Varieties[[#This Row],[Company]] &amp; " " &amp;  Varieties[[#This Row],[Variety]]</f>
        <v>Uprising Ishikura Long Winter</v>
      </c>
      <c r="C313" t="s">
        <v>845</v>
      </c>
      <c r="E313" t="s">
        <v>578</v>
      </c>
      <c r="G313" t="s">
        <v>484</v>
      </c>
      <c r="H313" t="b">
        <v>1</v>
      </c>
      <c r="P313" t="b">
        <f>ISNUMBER(MATCH(Varieties[[#This Row],[Id]],SeedOrder[Id],0))</f>
        <v>0</v>
      </c>
      <c r="Q313">
        <v>200000</v>
      </c>
      <c r="R313" t="s">
        <v>1241</v>
      </c>
      <c r="S313" s="160" t="s">
        <v>847</v>
      </c>
    </row>
    <row r="314" spans="2:19" ht="15" customHeight="1">
      <c r="B314" t="str">
        <f>Varieties[[#This Row],[Company]] &amp; " " &amp;  Varieties[[#This Row],[Variety]]</f>
        <v>Uprising Italian Large Leaf</v>
      </c>
      <c r="C314" t="s">
        <v>43</v>
      </c>
      <c r="D314" t="s">
        <v>745</v>
      </c>
      <c r="E314" t="s">
        <v>483</v>
      </c>
      <c r="G314" t="s">
        <v>484</v>
      </c>
      <c r="H314" t="b">
        <v>1</v>
      </c>
      <c r="P314" t="b">
        <f>ISNUMBER(MATCH(Varieties[[#This Row],[Id]],SeedOrder[Id],0))</f>
        <v>0</v>
      </c>
      <c r="Q314">
        <v>20400</v>
      </c>
      <c r="R314" t="s">
        <v>1242</v>
      </c>
      <c r="S314" s="160" t="s">
        <v>746</v>
      </c>
    </row>
    <row r="315" spans="2:19" ht="15" customHeight="1">
      <c r="B315" t="str">
        <f>Varieties[[#This Row],[Company]] &amp; " " &amp;  Varieties[[#This Row],[Variety]]</f>
        <v xml:space="preserve"> Jade</v>
      </c>
      <c r="C315" t="s">
        <v>44</v>
      </c>
      <c r="D315" t="s">
        <v>151</v>
      </c>
      <c r="E315" t="s">
        <v>1595</v>
      </c>
      <c r="L315">
        <v>4.5</v>
      </c>
      <c r="P315" t="b">
        <f>ISNUMBER(MATCH(Varieties[[#This Row],[Id]],SeedOrder[Id],0))</f>
        <v>0</v>
      </c>
      <c r="Q315" t="e">
        <v>#N/A</v>
      </c>
      <c r="R315" t="e">
        <v>#N/A</v>
      </c>
    </row>
    <row r="316" spans="2:19" ht="15" customHeight="1">
      <c r="B316" t="str">
        <f>Varieties[[#This Row],[Company]] &amp; " " &amp;  Varieties[[#This Row],[Variety]]</f>
        <v>A P Whaley Janet's Jacinth Jewel</v>
      </c>
      <c r="C316" t="s">
        <v>136</v>
      </c>
      <c r="E316" s="268" t="s">
        <v>3034</v>
      </c>
      <c r="G316" s="268" t="s">
        <v>3040</v>
      </c>
      <c r="H316" t="b">
        <v>1</v>
      </c>
      <c r="P316" t="b">
        <f>ISNUMBER(MATCH(Varieties[[#This Row],[Id]],SeedOrder[Id],0))</f>
        <v>1</v>
      </c>
      <c r="Q316" t="s">
        <v>2916</v>
      </c>
      <c r="S316" t="s">
        <v>3094</v>
      </c>
    </row>
    <row r="317" spans="2:19" ht="15" customHeight="1">
      <c r="B317" t="str">
        <f>Varieties[[#This Row],[Company]] &amp; " " &amp;  Varieties[[#This Row],[Variety]]</f>
        <v>Adaptive January King</v>
      </c>
      <c r="C317" t="s">
        <v>52</v>
      </c>
      <c r="E317" t="s">
        <v>499</v>
      </c>
      <c r="G317" t="s">
        <v>488</v>
      </c>
      <c r="H317" t="b">
        <v>1</v>
      </c>
      <c r="M317" t="s">
        <v>773</v>
      </c>
      <c r="P317" t="b">
        <f>ISNUMBER(MATCH(Varieties[[#This Row],[Id]],SeedOrder[Id],0))</f>
        <v>0</v>
      </c>
      <c r="Q317">
        <v>300</v>
      </c>
      <c r="R317" t="s">
        <v>1243</v>
      </c>
      <c r="S317" t="s">
        <v>774</v>
      </c>
    </row>
    <row r="318" spans="2:19" ht="15" customHeight="1">
      <c r="B318" t="str">
        <f>Varieties[[#This Row],[Company]] &amp; " " &amp;  Varieties[[#This Row],[Variety]]</f>
        <v>Adaptive January King</v>
      </c>
      <c r="C318" t="s">
        <v>52</v>
      </c>
      <c r="E318" t="s">
        <v>499</v>
      </c>
      <c r="G318" t="s">
        <v>488</v>
      </c>
      <c r="H318" t="b">
        <v>1</v>
      </c>
      <c r="P318" t="b">
        <f>ISNUMBER(MATCH(Varieties[[#This Row],[Id]],SeedOrder[Id],0))</f>
        <v>0</v>
      </c>
      <c r="Q318">
        <v>300</v>
      </c>
      <c r="R318" t="s">
        <v>1243</v>
      </c>
    </row>
    <row r="319" spans="2:19" ht="15" customHeight="1">
      <c r="B319" t="str">
        <f>Varieties[[#This Row],[Company]] &amp; " " &amp;  Varieties[[#This Row],[Variety]]</f>
        <v>Kitazawa Japanese</v>
      </c>
      <c r="C319" t="s">
        <v>348</v>
      </c>
      <c r="E319" t="s">
        <v>1959</v>
      </c>
      <c r="G319" t="s">
        <v>510</v>
      </c>
      <c r="H319" t="b">
        <v>1</v>
      </c>
      <c r="P319" t="b">
        <f>ISNUMBER(MATCH(Varieties[[#This Row],[Id]],SeedOrder[Id],0))</f>
        <v>0</v>
      </c>
      <c r="Q319">
        <v>900</v>
      </c>
      <c r="R319" t="s">
        <v>1242</v>
      </c>
      <c r="S319" s="160" t="s">
        <v>2142</v>
      </c>
    </row>
    <row r="320" spans="2:19" ht="15" customHeight="1">
      <c r="B320" t="str">
        <f>Varieties[[#This Row],[Company]] &amp; " " &amp;  Varieties[[#This Row],[Variety]]</f>
        <v>Seed Savers Jelly Melon</v>
      </c>
      <c r="C320" t="s">
        <v>87</v>
      </c>
      <c r="E320" t="s">
        <v>87</v>
      </c>
      <c r="G320" t="s">
        <v>600</v>
      </c>
      <c r="P320" t="b">
        <f>ISNUMBER(MATCH(Varieties[[#This Row],[Id]],SeedOrder[Id],0))</f>
        <v>0</v>
      </c>
      <c r="Q320" t="e">
        <v>#N/A</v>
      </c>
      <c r="R320" t="e">
        <v>#N/A</v>
      </c>
      <c r="S320" t="s">
        <v>864</v>
      </c>
    </row>
    <row r="321" spans="2:19" ht="15" customHeight="1">
      <c r="B321" t="str">
        <f>Varieties[[#This Row],[Company]] &amp; " " &amp;  Varieties[[#This Row],[Variety]]</f>
        <v>Wild Garden Jester</v>
      </c>
      <c r="C321" t="s">
        <v>92</v>
      </c>
      <c r="E321" t="s">
        <v>540</v>
      </c>
      <c r="G321" t="s">
        <v>526</v>
      </c>
      <c r="H321" t="b">
        <v>1</v>
      </c>
      <c r="P321" t="b">
        <f>ISNUMBER(MATCH(Varieties[[#This Row],[Id]],SeedOrder[Id],0))</f>
        <v>0</v>
      </c>
      <c r="Q321">
        <v>885</v>
      </c>
      <c r="R321" t="s">
        <v>1243</v>
      </c>
      <c r="S321" s="160" t="s">
        <v>836</v>
      </c>
    </row>
    <row r="322" spans="2:19" ht="15" customHeight="1">
      <c r="B322" t="str">
        <f>Varieties[[#This Row],[Company]] &amp; " " &amp;  Varieties[[#This Row],[Variety]]</f>
        <v>Garden Hoard Jewels of Opar</v>
      </c>
      <c r="C322" t="s">
        <v>1791</v>
      </c>
      <c r="E322" t="s">
        <v>2270</v>
      </c>
      <c r="G322" t="s">
        <v>501</v>
      </c>
      <c r="H322" t="b">
        <v>1</v>
      </c>
      <c r="P322" t="b">
        <f>ISNUMBER(MATCH(Varieties[[#This Row],[Id]],SeedOrder[Id],0))</f>
        <v>0</v>
      </c>
      <c r="Q322">
        <v>87800</v>
      </c>
      <c r="R322" t="s">
        <v>1242</v>
      </c>
      <c r="S322" t="s">
        <v>2271</v>
      </c>
    </row>
    <row r="323" spans="2:19" ht="15" customHeight="1">
      <c r="B323" t="str">
        <f>Varieties[[#This Row],[Company]] &amp; " " &amp;  Varieties[[#This Row],[Variety]]</f>
        <v>Uprising Jimmy Nardello</v>
      </c>
      <c r="C323" t="s">
        <v>112</v>
      </c>
      <c r="D323" t="s">
        <v>171</v>
      </c>
      <c r="E323" t="s">
        <v>1395</v>
      </c>
      <c r="G323" t="s">
        <v>484</v>
      </c>
      <c r="H323" t="b">
        <v>1</v>
      </c>
      <c r="P323" t="b">
        <f>ISNUMBER(MATCH(Varieties[[#This Row],[Id]],SeedOrder[Id],0))</f>
        <v>0</v>
      </c>
      <c r="Q323" t="e">
        <v>#N/A</v>
      </c>
      <c r="R323" t="e">
        <v>#N/A</v>
      </c>
      <c r="S323" t="s">
        <v>842</v>
      </c>
    </row>
    <row r="324" spans="2:19" ht="15" customHeight="1">
      <c r="B324" t="str">
        <f>Varieties[[#This Row],[Company]] &amp; " " &amp;  Varieties[[#This Row],[Variety]]</f>
        <v xml:space="preserve"> Juliet</v>
      </c>
      <c r="C324" t="s">
        <v>136</v>
      </c>
      <c r="D324" t="s">
        <v>1558</v>
      </c>
      <c r="E324" t="s">
        <v>1559</v>
      </c>
      <c r="L324">
        <v>4.0999999999999996</v>
      </c>
      <c r="M324" t="s">
        <v>1560</v>
      </c>
      <c r="P324" t="b">
        <f>ISNUMBER(MATCH(Varieties[[#This Row],[Id]],SeedOrder[Id],0))</f>
        <v>0</v>
      </c>
      <c r="Q324" t="e">
        <v>#N/A</v>
      </c>
      <c r="R324" t="e">
        <v>#N/A</v>
      </c>
    </row>
    <row r="325" spans="2:19" ht="15" customHeight="1">
      <c r="B325" t="str">
        <f>Varieties[[#This Row],[Company]] &amp; " " &amp;  Varieties[[#This Row],[Variety]]</f>
        <v>Baker Creek Kajari Melon</v>
      </c>
      <c r="C325" t="s">
        <v>98</v>
      </c>
      <c r="E325" t="s">
        <v>628</v>
      </c>
      <c r="G325" t="s">
        <v>492</v>
      </c>
      <c r="H325" t="b">
        <v>0</v>
      </c>
      <c r="P325" t="b">
        <f>ISNUMBER(MATCH(Varieties[[#This Row],[Id]],SeedOrder[Id],0))</f>
        <v>0</v>
      </c>
      <c r="Q325">
        <v>0</v>
      </c>
      <c r="R325">
        <v>0</v>
      </c>
      <c r="S325" t="s">
        <v>354</v>
      </c>
    </row>
    <row r="326" spans="2:19" ht="15" customHeight="1">
      <c r="B326" t="str">
        <f>Varieties[[#This Row],[Company]] &amp; " " &amp;  Varieties[[#This Row],[Variety]]</f>
        <v>Osborne Katarina F1</v>
      </c>
      <c r="C326" t="s">
        <v>52</v>
      </c>
      <c r="E326" t="s">
        <v>2791</v>
      </c>
      <c r="G326" s="268" t="s">
        <v>503</v>
      </c>
      <c r="H326" t="b">
        <v>0</v>
      </c>
      <c r="P326" t="b">
        <f>ISNUMBER(MATCH(Varieties[[#This Row],[Id]],SeedOrder[Id],0))</f>
        <v>0</v>
      </c>
      <c r="Q326" t="s">
        <v>2916</v>
      </c>
      <c r="S326" t="s">
        <v>2909</v>
      </c>
    </row>
    <row r="327" spans="2:19" ht="15" customHeight="1">
      <c r="B327" t="str">
        <f>Varieties[[#This Row],[Company]] &amp; " " &amp;  Varieties[[#This Row],[Variety]]</f>
        <v>Osborne Katrina</v>
      </c>
      <c r="C327" t="s">
        <v>70</v>
      </c>
      <c r="E327" t="s">
        <v>2811</v>
      </c>
      <c r="G327" t="s">
        <v>503</v>
      </c>
      <c r="H327" t="b">
        <v>1</v>
      </c>
      <c r="L327" t="s">
        <v>2908</v>
      </c>
      <c r="P327" t="b">
        <f>ISNUMBER(MATCH(Varieties[[#This Row],[Id]],SeedOrder[Id],0))</f>
        <v>0</v>
      </c>
      <c r="Q327" t="s">
        <v>2916</v>
      </c>
      <c r="S327" t="s">
        <v>2910</v>
      </c>
    </row>
    <row r="328" spans="2:19" ht="15" customHeight="1">
      <c r="B328" t="str">
        <f>Varieties[[#This Row],[Company]] &amp; " " &amp;  Varieties[[#This Row],[Variety]]</f>
        <v>Johnny's Katrina F1</v>
      </c>
      <c r="C328" t="s">
        <v>70</v>
      </c>
      <c r="D328" t="s">
        <v>999</v>
      </c>
      <c r="E328" t="s">
        <v>1002</v>
      </c>
      <c r="G328" t="s">
        <v>490</v>
      </c>
      <c r="H328" t="b">
        <v>1</v>
      </c>
      <c r="M328" t="s">
        <v>1003</v>
      </c>
      <c r="P328" t="b">
        <f>ISNUMBER(MATCH(Varieties[[#This Row],[Id]],SeedOrder[Id],0))</f>
        <v>0</v>
      </c>
      <c r="Q328" t="e">
        <v>#N/A</v>
      </c>
      <c r="R328" t="e">
        <v>#N/A</v>
      </c>
      <c r="S328" t="s">
        <v>1362</v>
      </c>
    </row>
    <row r="329" spans="2:19" ht="15" customHeight="1">
      <c r="B329" t="str">
        <f>Varieties[[#This Row],[Company]] &amp; " " &amp;  Varieties[[#This Row],[Variety]]</f>
        <v>Johnny's Katz Formula Mix</v>
      </c>
      <c r="C329" t="s">
        <v>125</v>
      </c>
      <c r="E329" t="s">
        <v>681</v>
      </c>
      <c r="G329" t="s">
        <v>490</v>
      </c>
      <c r="H329" t="b">
        <v>0</v>
      </c>
      <c r="P329" t="b">
        <f>ISNUMBER(MATCH(Varieties[[#This Row],[Id]],SeedOrder[Id],0))</f>
        <v>0</v>
      </c>
      <c r="Q329">
        <v>17000</v>
      </c>
      <c r="R329" t="s">
        <v>1242</v>
      </c>
      <c r="S329" t="s">
        <v>940</v>
      </c>
    </row>
    <row r="330" spans="2:19" ht="15" customHeight="1">
      <c r="B330" t="str">
        <f>Varieties[[#This Row],[Company]] &amp; " " &amp;  Varieties[[#This Row],[Variety]]</f>
        <v>Johnny's Katz Formulal Mix</v>
      </c>
      <c r="C330" t="s">
        <v>125</v>
      </c>
      <c r="E330" t="s">
        <v>1383</v>
      </c>
      <c r="G330" t="s">
        <v>490</v>
      </c>
      <c r="P330" t="b">
        <f>ISNUMBER(MATCH(Varieties[[#This Row],[Id]],SeedOrder[Id],0))</f>
        <v>0</v>
      </c>
      <c r="Q330" t="e">
        <v>#N/A</v>
      </c>
      <c r="R330" t="e">
        <v>#N/A</v>
      </c>
    </row>
    <row r="331" spans="2:19" ht="15" customHeight="1">
      <c r="B331" t="str">
        <f>Varieties[[#This Row],[Company]] &amp; " " &amp;  Varieties[[#This Row],[Variety]]</f>
        <v xml:space="preserve"> King of the North Circle</v>
      </c>
      <c r="C331" t="s">
        <v>112</v>
      </c>
      <c r="D331" t="s">
        <v>170</v>
      </c>
      <c r="E331" t="s">
        <v>1666</v>
      </c>
      <c r="L331">
        <v>4.3</v>
      </c>
      <c r="P331" t="b">
        <f>ISNUMBER(MATCH(Varieties[[#This Row],[Id]],SeedOrder[Id],0))</f>
        <v>0</v>
      </c>
      <c r="Q331" t="e">
        <v>#N/A</v>
      </c>
      <c r="R331" t="e">
        <v>#N/A</v>
      </c>
    </row>
    <row r="332" spans="2:19" ht="15" customHeight="1">
      <c r="B332" t="str">
        <f>Varieties[[#This Row],[Company]] &amp; " " &amp;  Varieties[[#This Row],[Variety]]</f>
        <v>High Mowing King Richard</v>
      </c>
      <c r="C332" t="s">
        <v>91</v>
      </c>
      <c r="E332" t="s">
        <v>535</v>
      </c>
      <c r="G332" t="s">
        <v>482</v>
      </c>
      <c r="H332" t="b">
        <v>1</v>
      </c>
      <c r="M332" t="s">
        <v>1204</v>
      </c>
      <c r="P332" t="b">
        <f>ISNUMBER(MATCH(Varieties[[#This Row],[Id]],SeedOrder[Id],0))</f>
        <v>0</v>
      </c>
      <c r="Q332" t="e">
        <v>#N/A</v>
      </c>
      <c r="R332" t="e">
        <v>#N/A</v>
      </c>
      <c r="S332" t="s">
        <v>1205</v>
      </c>
    </row>
    <row r="333" spans="2:19" ht="15" customHeight="1">
      <c r="B333" t="str">
        <f>Varieties[[#This Row],[Company]] &amp; " " &amp;  Varieties[[#This Row],[Variety]]</f>
        <v>Johnny's King Richard</v>
      </c>
      <c r="C333" t="s">
        <v>91</v>
      </c>
      <c r="E333" t="s">
        <v>535</v>
      </c>
      <c r="G333" t="s">
        <v>490</v>
      </c>
      <c r="H333" t="b">
        <v>1</v>
      </c>
      <c r="M333" s="30" t="s">
        <v>1259</v>
      </c>
      <c r="N333" s="30"/>
      <c r="O333" s="30"/>
      <c r="P333" s="30" t="b">
        <f>ISNUMBER(MATCH(Varieties[[#This Row],[Id]],SeedOrder[Id],0))</f>
        <v>0</v>
      </c>
      <c r="Q333">
        <v>9500</v>
      </c>
      <c r="R333" s="30" t="s">
        <v>1242</v>
      </c>
      <c r="S333" t="s">
        <v>1258</v>
      </c>
    </row>
    <row r="334" spans="2:19" ht="15" customHeight="1">
      <c r="B334" t="str">
        <f>Varieties[[#This Row],[Company]] &amp; " " &amp;  Varieties[[#This Row],[Variety]]</f>
        <v>High Mowing Klimaro F1</v>
      </c>
      <c r="C334" t="s">
        <v>52</v>
      </c>
      <c r="E334" t="s">
        <v>1893</v>
      </c>
      <c r="G334" t="s">
        <v>482</v>
      </c>
      <c r="H334" t="b">
        <v>1</v>
      </c>
      <c r="P334" t="b">
        <f>ISNUMBER(MATCH(Varieties[[#This Row],[Id]],SeedOrder[Id],0))</f>
        <v>0</v>
      </c>
      <c r="Q334">
        <v>4800</v>
      </c>
      <c r="R334" t="s">
        <v>1242</v>
      </c>
      <c r="S334" s="160" t="s">
        <v>2042</v>
      </c>
    </row>
    <row r="335" spans="2:19" ht="15" customHeight="1">
      <c r="B335" t="str">
        <f>Varieties[[#This Row],[Company]] &amp; " " &amp;  Varieties[[#This Row],[Variety]]</f>
        <v>Johnny's Kolibri F1</v>
      </c>
      <c r="C335" t="s">
        <v>89</v>
      </c>
      <c r="E335" t="s">
        <v>1921</v>
      </c>
      <c r="G335" t="s">
        <v>490</v>
      </c>
      <c r="H335" t="b">
        <v>1</v>
      </c>
      <c r="P335" t="b">
        <f>ISNUMBER(MATCH(Varieties[[#This Row],[Id]],SeedOrder[Id],0))</f>
        <v>0</v>
      </c>
      <c r="Q335">
        <v>500000</v>
      </c>
      <c r="R335" t="s">
        <v>1241</v>
      </c>
      <c r="S335" s="160" t="s">
        <v>2202</v>
      </c>
    </row>
    <row r="336" spans="2:19" ht="15" customHeight="1">
      <c r="B336" t="str">
        <f>Varieties[[#This Row],[Company]] &amp; " " &amp;  Varieties[[#This Row],[Variety]]</f>
        <v>High Mowing Komatsuna</v>
      </c>
      <c r="C336" t="s">
        <v>90</v>
      </c>
      <c r="E336" t="s">
        <v>90</v>
      </c>
      <c r="G336" t="s">
        <v>482</v>
      </c>
      <c r="H336" t="b">
        <v>1</v>
      </c>
      <c r="P336" t="b">
        <f>ISNUMBER(MATCH(Varieties[[#This Row],[Id]],SeedOrder[Id],0))</f>
        <v>0</v>
      </c>
      <c r="Q336">
        <v>12500</v>
      </c>
      <c r="R336" t="s">
        <v>1242</v>
      </c>
      <c r="S336" s="160" t="s">
        <v>728</v>
      </c>
    </row>
    <row r="337" spans="2:19" ht="15" customHeight="1">
      <c r="B337" t="str">
        <f>Varieties[[#This Row],[Company]] &amp; " " &amp;  Varieties[[#This Row],[Variety]]</f>
        <v>High Mowing Komatsuna</v>
      </c>
      <c r="C337" t="s">
        <v>106</v>
      </c>
      <c r="E337" t="s">
        <v>90</v>
      </c>
      <c r="G337" t="s">
        <v>482</v>
      </c>
      <c r="H337" t="b">
        <v>1</v>
      </c>
      <c r="P337" t="b">
        <f>ISNUMBER(MATCH(Varieties[[#This Row],[Id]],SeedOrder[Id],0))</f>
        <v>0</v>
      </c>
      <c r="Q337">
        <v>12500</v>
      </c>
      <c r="R337" t="s">
        <v>1242</v>
      </c>
      <c r="S337" s="160" t="s">
        <v>728</v>
      </c>
    </row>
    <row r="338" spans="2:19" ht="15" customHeight="1">
      <c r="B338" t="str">
        <f>Varieties[[#This Row],[Company]] &amp; " " &amp;  Varieties[[#This Row],[Variety]]</f>
        <v>Kitazawa Komatsuna Red</v>
      </c>
      <c r="C338" t="s">
        <v>90</v>
      </c>
      <c r="E338" t="s">
        <v>1055</v>
      </c>
      <c r="G338" t="s">
        <v>510</v>
      </c>
      <c r="H338" t="b">
        <v>1</v>
      </c>
      <c r="M338" t="s">
        <v>1058</v>
      </c>
      <c r="P338" t="b">
        <f>ISNUMBER(MATCH(Varieties[[#This Row],[Id]],SeedOrder[Id],0))</f>
        <v>0</v>
      </c>
      <c r="Q338" t="e">
        <v>#N/A</v>
      </c>
      <c r="R338" t="e">
        <v>#N/A</v>
      </c>
      <c r="S338" t="s">
        <v>1059</v>
      </c>
    </row>
    <row r="339" spans="2:19" ht="15" customHeight="1">
      <c r="B339" t="str">
        <f>Varieties[[#This Row],[Company]] &amp; " " &amp;  Varieties[[#This Row],[Variety]]</f>
        <v>West Coast Komatsuna Red</v>
      </c>
      <c r="C339" t="s">
        <v>90</v>
      </c>
      <c r="E339" t="s">
        <v>1055</v>
      </c>
      <c r="G339" t="s">
        <v>1297</v>
      </c>
      <c r="H339" t="b">
        <v>1</v>
      </c>
      <c r="M339" t="s">
        <v>1056</v>
      </c>
      <c r="P339" t="b">
        <f>ISNUMBER(MATCH(Varieties[[#This Row],[Id]],SeedOrder[Id],0))</f>
        <v>0</v>
      </c>
      <c r="Q339" t="e">
        <v>#N/A</v>
      </c>
      <c r="R339" t="e">
        <v>#N/A</v>
      </c>
      <c r="S339" t="s">
        <v>1057</v>
      </c>
    </row>
    <row r="340" spans="2:19" ht="15" customHeight="1">
      <c r="B340" t="str">
        <f>Varieties[[#This Row],[Company]] &amp; " " &amp;  Varieties[[#This Row],[Variety]]</f>
        <v>Johnny's Konan F1</v>
      </c>
      <c r="C340" t="s">
        <v>89</v>
      </c>
      <c r="E340" t="s">
        <v>1920</v>
      </c>
      <c r="G340" t="s">
        <v>490</v>
      </c>
      <c r="H340" t="b">
        <v>1</v>
      </c>
      <c r="P340" t="b">
        <f>ISNUMBER(MATCH(Varieties[[#This Row],[Id]],SeedOrder[Id],0))</f>
        <v>0</v>
      </c>
      <c r="Q340">
        <v>82200</v>
      </c>
      <c r="R340" t="s">
        <v>1241</v>
      </c>
      <c r="S340" s="160" t="s">
        <v>2128</v>
      </c>
    </row>
    <row r="341" spans="2:19" ht="15" customHeight="1">
      <c r="B341" t="str">
        <f>Varieties[[#This Row],[Company]] &amp; " " &amp;  Varieties[[#This Row],[Variety]]</f>
        <v>Adaptive Korean</v>
      </c>
      <c r="C341" t="s">
        <v>112</v>
      </c>
      <c r="D341" t="s">
        <v>171</v>
      </c>
      <c r="E341" t="s">
        <v>843</v>
      </c>
      <c r="G341" t="s">
        <v>488</v>
      </c>
      <c r="H341" t="b">
        <v>1</v>
      </c>
      <c r="P341" t="b">
        <f>ISNUMBER(MATCH(Varieties[[#This Row],[Id]],SeedOrder[Id],0))</f>
        <v>0</v>
      </c>
      <c r="Q341" t="e">
        <v>#N/A</v>
      </c>
      <c r="R341" t="e">
        <v>#N/A</v>
      </c>
      <c r="S341" t="s">
        <v>844</v>
      </c>
    </row>
    <row r="342" spans="2:19" ht="15" customHeight="1">
      <c r="B342" t="str">
        <f>Varieties[[#This Row],[Company]] &amp; " " &amp;  Varieties[[#This Row],[Variety]]</f>
        <v>Johnny's Kossak F1</v>
      </c>
      <c r="C342" t="s">
        <v>89</v>
      </c>
      <c r="E342" t="s">
        <v>1917</v>
      </c>
      <c r="G342" t="s">
        <v>490</v>
      </c>
      <c r="H342" t="b">
        <v>1</v>
      </c>
      <c r="P342" t="b">
        <f>ISNUMBER(MATCH(Varieties[[#This Row],[Id]],SeedOrder[Id],0))</f>
        <v>0</v>
      </c>
      <c r="Q342">
        <v>6000</v>
      </c>
      <c r="R342" t="s">
        <v>1242</v>
      </c>
      <c r="S342" s="160" t="s">
        <v>2127</v>
      </c>
    </row>
    <row r="343" spans="2:19" ht="15" customHeight="1">
      <c r="B343" t="str">
        <f>Varieties[[#This Row],[Company]] &amp; " " &amp;  Varieties[[#This Row],[Variety]]</f>
        <v>Baker Creek Kyoto Red</v>
      </c>
      <c r="C343" t="s">
        <v>53</v>
      </c>
      <c r="E343" t="s">
        <v>779</v>
      </c>
      <c r="G343" t="s">
        <v>492</v>
      </c>
      <c r="P343" t="b">
        <f>ISNUMBER(MATCH(Varieties[[#This Row],[Id]],SeedOrder[Id],0))</f>
        <v>0</v>
      </c>
      <c r="Q343" t="e">
        <v>#N/A</v>
      </c>
      <c r="R343" t="e">
        <v>#N/A</v>
      </c>
      <c r="S343" t="s">
        <v>780</v>
      </c>
    </row>
    <row r="344" spans="2:19" ht="15" customHeight="1">
      <c r="B344" t="str">
        <f>Varieties[[#This Row],[Company]] &amp; " " &amp;  Varieties[[#This Row],[Variety]]</f>
        <v>Kitazawa Kyoto Red</v>
      </c>
      <c r="C344" t="s">
        <v>53</v>
      </c>
      <c r="E344" t="s">
        <v>779</v>
      </c>
      <c r="G344" t="s">
        <v>510</v>
      </c>
      <c r="P344" t="b">
        <f>ISNUMBER(MATCH(Varieties[[#This Row],[Id]],SeedOrder[Id],0))</f>
        <v>0</v>
      </c>
      <c r="Q344" t="e">
        <v>#N/A</v>
      </c>
      <c r="R344" t="e">
        <v>#N/A</v>
      </c>
      <c r="S344" t="s">
        <v>782</v>
      </c>
    </row>
    <row r="345" spans="2:19" ht="15" customHeight="1">
      <c r="B345" t="str">
        <f>Varieties[[#This Row],[Company]] &amp; " " &amp;  Varieties[[#This Row],[Variety]]</f>
        <v>High Mowing Laica</v>
      </c>
      <c r="C345" t="s">
        <v>108</v>
      </c>
      <c r="E345" t="s">
        <v>1879</v>
      </c>
      <c r="G345" t="s">
        <v>482</v>
      </c>
      <c r="H345" t="b">
        <v>1</v>
      </c>
      <c r="P345" t="b">
        <f>ISNUMBER(MATCH(Varieties[[#This Row],[Id]],SeedOrder[Id],0))</f>
        <v>0</v>
      </c>
      <c r="Q345">
        <v>15000</v>
      </c>
      <c r="R345" t="s">
        <v>1242</v>
      </c>
      <c r="S345" s="160" t="s">
        <v>2069</v>
      </c>
    </row>
    <row r="346" spans="2:19" ht="15" customHeight="1">
      <c r="B346" t="str">
        <f>Varieties[[#This Row],[Company]] &amp; " " &amp;  Varieties[[#This Row],[Variety]]</f>
        <v>Osborne Lancia</v>
      </c>
      <c r="C346" t="s">
        <v>91</v>
      </c>
      <c r="E346" t="s">
        <v>2857</v>
      </c>
      <c r="G346" t="s">
        <v>503</v>
      </c>
      <c r="H346" t="b">
        <v>1</v>
      </c>
      <c r="P346" t="b">
        <f>ISNUMBER(MATCH(Varieties[[#This Row],[Id]],SeedOrder[Id],0))</f>
        <v>0</v>
      </c>
      <c r="Q346" t="s">
        <v>2916</v>
      </c>
      <c r="S346" t="s">
        <v>2911</v>
      </c>
    </row>
    <row r="347" spans="2:19" ht="15" customHeight="1">
      <c r="B347" t="str">
        <f>Varieties[[#This Row],[Company]] &amp; " " &amp;  Varieties[[#This Row],[Variety]]</f>
        <v>A P Whaley Large Barred Boar</v>
      </c>
      <c r="C347" t="s">
        <v>136</v>
      </c>
      <c r="E347" t="s">
        <v>3035</v>
      </c>
      <c r="G347" t="s">
        <v>3040</v>
      </c>
      <c r="H347" t="b">
        <v>1</v>
      </c>
      <c r="P347" t="b">
        <f>ISNUMBER(MATCH(Varieties[[#This Row],[Id]],SeedOrder[Id],0))</f>
        <v>1</v>
      </c>
      <c r="Q347" t="s">
        <v>2916</v>
      </c>
      <c r="S347" t="s">
        <v>3095</v>
      </c>
    </row>
    <row r="348" spans="2:19" ht="15" customHeight="1">
      <c r="B348" t="str">
        <f>Varieties[[#This Row],[Company]] &amp; " " &amp;  Varieties[[#This Row],[Variety]]</f>
        <v xml:space="preserve"> Lark's Tongue</v>
      </c>
      <c r="C348" t="s">
        <v>88</v>
      </c>
      <c r="D348" t="s">
        <v>1655</v>
      </c>
      <c r="E348" t="s">
        <v>1656</v>
      </c>
      <c r="L348">
        <v>4.2</v>
      </c>
      <c r="P348" t="b">
        <f>ISNUMBER(MATCH(Varieties[[#This Row],[Id]],SeedOrder[Id],0))</f>
        <v>0</v>
      </c>
      <c r="Q348" t="e">
        <v>#N/A</v>
      </c>
      <c r="R348" t="e">
        <v>#N/A</v>
      </c>
    </row>
    <row r="349" spans="2:19" ht="15" customHeight="1">
      <c r="B349" t="str">
        <f>Varieties[[#This Row],[Company]] &amp; " " &amp;  Varieties[[#This Row],[Variety]]</f>
        <v>Baker Creek Lavender Queen</v>
      </c>
      <c r="C349" t="s">
        <v>51</v>
      </c>
      <c r="E349" t="s">
        <v>604</v>
      </c>
      <c r="G349" t="s">
        <v>492</v>
      </c>
      <c r="H349" t="b">
        <v>0</v>
      </c>
      <c r="P349" t="b">
        <f>ISNUMBER(MATCH(Varieties[[#This Row],[Id]],SeedOrder[Id],0))</f>
        <v>0</v>
      </c>
      <c r="Q349" t="e">
        <v>#N/A</v>
      </c>
      <c r="R349" t="e">
        <v>#N/A</v>
      </c>
      <c r="S349" t="s">
        <v>769</v>
      </c>
    </row>
    <row r="350" spans="2:19" ht="15" customHeight="1">
      <c r="B350" t="str">
        <f>Varieties[[#This Row],[Company]] &amp; " " &amp;  Varieties[[#This Row],[Variety]]</f>
        <v>Wild Garden Lemon</v>
      </c>
      <c r="C350" t="s">
        <v>43</v>
      </c>
      <c r="E350" t="s">
        <v>741</v>
      </c>
      <c r="G350" t="s">
        <v>526</v>
      </c>
      <c r="H350" t="b">
        <v>1</v>
      </c>
      <c r="P350" t="b">
        <f>ISNUMBER(MATCH(Varieties[[#This Row],[Id]],SeedOrder[Id],0))</f>
        <v>0</v>
      </c>
      <c r="Q350" t="e">
        <v>#N/A</v>
      </c>
      <c r="R350" t="e">
        <v>#N/A</v>
      </c>
      <c r="S350" t="s">
        <v>742</v>
      </c>
    </row>
    <row r="351" spans="2:19" ht="15" customHeight="1">
      <c r="B351" t="str">
        <f>Varieties[[#This Row],[Company]] &amp; " " &amp;  Varieties[[#This Row],[Variety]]</f>
        <v>Johnny's Lemon Gem</v>
      </c>
      <c r="C351" t="s">
        <v>97</v>
      </c>
      <c r="E351" t="s">
        <v>1951</v>
      </c>
      <c r="G351" t="s">
        <v>490</v>
      </c>
      <c r="H351" t="b">
        <v>0</v>
      </c>
      <c r="P351" t="b">
        <f>ISNUMBER(MATCH(Varieties[[#This Row],[Id]],SeedOrder[Id],0))</f>
        <v>0</v>
      </c>
      <c r="Q351">
        <v>41800</v>
      </c>
      <c r="R351" t="s">
        <v>1242</v>
      </c>
      <c r="S351" s="160" t="s">
        <v>2106</v>
      </c>
    </row>
    <row r="352" spans="2:19" ht="15" customHeight="1">
      <c r="B352" t="str">
        <f>Varieties[[#This Row],[Company]] &amp; " " &amp;  Varieties[[#This Row],[Variety]]</f>
        <v>Territorial Lemon Gem</v>
      </c>
      <c r="C352" t="s">
        <v>97</v>
      </c>
      <c r="E352" t="s">
        <v>1951</v>
      </c>
      <c r="G352" t="s">
        <v>533</v>
      </c>
      <c r="H352" t="b">
        <v>0</v>
      </c>
      <c r="P352" t="b">
        <f>ISNUMBER(MATCH(Varieties[[#This Row],[Id]],SeedOrder[Id],0))</f>
        <v>0</v>
      </c>
      <c r="Q352">
        <v>41800</v>
      </c>
      <c r="R352" t="s">
        <v>1242</v>
      </c>
      <c r="S352" s="160" t="s">
        <v>2232</v>
      </c>
    </row>
    <row r="353" spans="2:19" ht="15" customHeight="1">
      <c r="B353" t="str">
        <f>Varieties[[#This Row],[Company]] &amp; " " &amp;  Varieties[[#This Row],[Variety]]</f>
        <v>Uprising LENTIGGINI</v>
      </c>
      <c r="C353" t="s">
        <v>356</v>
      </c>
      <c r="D353" t="s">
        <v>1222</v>
      </c>
      <c r="E353" t="s">
        <v>656</v>
      </c>
      <c r="G353" t="s">
        <v>484</v>
      </c>
      <c r="H353" t="b">
        <v>1</v>
      </c>
      <c r="M353" s="30" t="s">
        <v>1292</v>
      </c>
      <c r="N353" s="30"/>
      <c r="O353" s="30"/>
      <c r="P353" s="30" t="b">
        <f>ISNUMBER(MATCH(Varieties[[#This Row],[Id]],SeedOrder[Id],0))</f>
        <v>0</v>
      </c>
      <c r="Q353">
        <v>0</v>
      </c>
      <c r="R353" s="30">
        <v>0</v>
      </c>
      <c r="S353" t="s">
        <v>1223</v>
      </c>
    </row>
    <row r="354" spans="2:19" ht="15" customHeight="1">
      <c r="B354" t="str">
        <f>Varieties[[#This Row],[Company]] &amp; " " &amp;  Varieties[[#This Row],[Variety]]</f>
        <v>Uprising Lentiginni</v>
      </c>
      <c r="C354" t="s">
        <v>356</v>
      </c>
      <c r="E354" t="s">
        <v>1864</v>
      </c>
      <c r="G354" t="s">
        <v>484</v>
      </c>
      <c r="H354" t="b">
        <v>1</v>
      </c>
      <c r="P354" t="b">
        <f>ISNUMBER(MATCH(Varieties[[#This Row],[Id]],SeedOrder[Id],0))</f>
        <v>0</v>
      </c>
      <c r="Q354">
        <v>13000</v>
      </c>
      <c r="R354" t="s">
        <v>1242</v>
      </c>
      <c r="S354" s="160" t="s">
        <v>2160</v>
      </c>
    </row>
    <row r="355" spans="2:19" ht="15" customHeight="1">
      <c r="B355" t="str">
        <f>Varieties[[#This Row],[Company]] &amp; " " &amp;  Varieties[[#This Row],[Variety]]</f>
        <v>Wild Board Farm Limelight</v>
      </c>
      <c r="C355" t="s">
        <v>136</v>
      </c>
      <c r="E355" t="s">
        <v>3027</v>
      </c>
      <c r="G355" t="s">
        <v>3022</v>
      </c>
      <c r="H355" t="b">
        <v>0</v>
      </c>
      <c r="P355" t="b">
        <f>ISNUMBER(MATCH(Varieties[[#This Row],[Id]],SeedOrder[Id],0))</f>
        <v>1</v>
      </c>
      <c r="Q355" t="s">
        <v>2916</v>
      </c>
      <c r="S355" t="s">
        <v>3088</v>
      </c>
    </row>
    <row r="356" spans="2:19" ht="15" customHeight="1">
      <c r="B356" t="str">
        <f>Varieties[[#This Row],[Company]] &amp; " " &amp;  Varieties[[#This Row],[Variety]]</f>
        <v>Johnny's Limon</v>
      </c>
      <c r="C356" t="s">
        <v>1791</v>
      </c>
      <c r="E356" t="s">
        <v>1998</v>
      </c>
      <c r="G356" t="s">
        <v>490</v>
      </c>
      <c r="H356" t="b">
        <v>0</v>
      </c>
      <c r="P356" t="b">
        <f>ISNUMBER(MATCH(Varieties[[#This Row],[Id]],SeedOrder[Id],0))</f>
        <v>0</v>
      </c>
      <c r="Q356">
        <v>87800</v>
      </c>
      <c r="R356" t="s">
        <v>1242</v>
      </c>
      <c r="S356" s="160" t="s">
        <v>2130</v>
      </c>
    </row>
    <row r="357" spans="2:19" ht="15" customHeight="1">
      <c r="B357" t="str">
        <f>Varieties[[#This Row],[Company]] &amp; " " &amp;  Varieties[[#This Row],[Variety]]</f>
        <v>High Mowing LION'S MOUTH BLEND</v>
      </c>
      <c r="C357" t="s">
        <v>121</v>
      </c>
      <c r="E357" t="s">
        <v>675</v>
      </c>
      <c r="G357" t="s">
        <v>482</v>
      </c>
      <c r="H357" t="b">
        <v>1</v>
      </c>
      <c r="P357" t="b">
        <f>ISNUMBER(MATCH(Varieties[[#This Row],[Id]],SeedOrder[Id],0))</f>
        <v>0</v>
      </c>
      <c r="Q357">
        <v>100000</v>
      </c>
      <c r="R357" t="s">
        <v>1242</v>
      </c>
      <c r="S357" s="160" t="s">
        <v>935</v>
      </c>
    </row>
    <row r="358" spans="2:19" ht="15" customHeight="1">
      <c r="B358" t="str">
        <f>Varieties[[#This Row],[Company]] &amp; " " &amp;  Varieties[[#This Row],[Variety]]</f>
        <v>Adaptive Lisette</v>
      </c>
      <c r="C358" t="s">
        <v>108</v>
      </c>
      <c r="D358" t="s">
        <v>1103</v>
      </c>
      <c r="E358" t="s">
        <v>1104</v>
      </c>
      <c r="G358" t="s">
        <v>488</v>
      </c>
      <c r="H358" t="b">
        <v>1</v>
      </c>
      <c r="M358" t="s">
        <v>1105</v>
      </c>
      <c r="P358" t="b">
        <f>ISNUMBER(MATCH(Varieties[[#This Row],[Id]],SeedOrder[Id],0))</f>
        <v>0</v>
      </c>
      <c r="Q358" t="e">
        <v>#N/A</v>
      </c>
      <c r="R358" t="e">
        <v>#N/A</v>
      </c>
      <c r="S358" t="s">
        <v>1106</v>
      </c>
    </row>
    <row r="359" spans="2:19" ht="15" customHeight="1">
      <c r="B359" t="str">
        <f>Varieties[[#This Row],[Company]] &amp; " " &amp;  Varieties[[#This Row],[Variety]]</f>
        <v>Uprising Little Gem</v>
      </c>
      <c r="C359" t="s">
        <v>92</v>
      </c>
      <c r="D359" t="s">
        <v>942</v>
      </c>
      <c r="E359" t="s">
        <v>543</v>
      </c>
      <c r="G359" t="s">
        <v>484</v>
      </c>
      <c r="H359" t="b">
        <v>1</v>
      </c>
      <c r="P359" t="b">
        <f>ISNUMBER(MATCH(Varieties[[#This Row],[Id]],SeedOrder[Id],0))</f>
        <v>0</v>
      </c>
      <c r="Q359" t="e">
        <v>#N/A</v>
      </c>
      <c r="R359" t="e">
        <v>#N/A</v>
      </c>
      <c r="S359" t="s">
        <v>943</v>
      </c>
    </row>
    <row r="360" spans="2:19" ht="15" customHeight="1">
      <c r="B360" t="str">
        <f>Varieties[[#This Row],[Company]] &amp; " " &amp;  Varieties[[#This Row],[Variety]]</f>
        <v xml:space="preserve"> Long Island Cheese</v>
      </c>
      <c r="C360" t="s">
        <v>124</v>
      </c>
      <c r="D360" t="s">
        <v>341</v>
      </c>
      <c r="E360" t="s">
        <v>1646</v>
      </c>
      <c r="L360">
        <v>3.8</v>
      </c>
      <c r="P360" t="b">
        <f>ISNUMBER(MATCH(Varieties[[#This Row],[Id]],SeedOrder[Id],0))</f>
        <v>0</v>
      </c>
      <c r="Q360" t="e">
        <v>#N/A</v>
      </c>
      <c r="R360" t="e">
        <v>#N/A</v>
      </c>
    </row>
    <row r="361" spans="2:19" ht="15" customHeight="1">
      <c r="B361" t="str">
        <f>Varieties[[#This Row],[Company]] &amp; " " &amp;  Varieties[[#This Row],[Variety]]</f>
        <v>Adaptive Lovage</v>
      </c>
      <c r="C361" t="s">
        <v>95</v>
      </c>
      <c r="E361" t="s">
        <v>95</v>
      </c>
      <c r="G361" t="s">
        <v>488</v>
      </c>
      <c r="H361" t="b">
        <v>1</v>
      </c>
      <c r="P361" t="b">
        <f>ISNUMBER(MATCH(Varieties[[#This Row],[Id]],SeedOrder[Id],0))</f>
        <v>0</v>
      </c>
      <c r="Q361" t="e">
        <v>#N/A</v>
      </c>
      <c r="R361" t="e">
        <v>#N/A</v>
      </c>
      <c r="S361" t="s">
        <v>992</v>
      </c>
    </row>
    <row r="362" spans="2:19" ht="15" customHeight="1">
      <c r="B362" t="str">
        <f>Varieties[[#This Row],[Company]] &amp; " " &amp;  Varieties[[#This Row],[Variety]]</f>
        <v>Uprising Love Lies Bleeding</v>
      </c>
      <c r="C362" t="s">
        <v>41</v>
      </c>
      <c r="E362" t="s">
        <v>706</v>
      </c>
      <c r="G362" t="s">
        <v>484</v>
      </c>
      <c r="H362" t="b">
        <v>1</v>
      </c>
      <c r="P362" t="b">
        <f>ISNUMBER(MATCH(Varieties[[#This Row],[Id]],SeedOrder[Id],0))</f>
        <v>0</v>
      </c>
      <c r="Q362">
        <v>30000</v>
      </c>
      <c r="R362" t="s">
        <v>1242</v>
      </c>
      <c r="S362" s="160" t="s">
        <v>719</v>
      </c>
    </row>
    <row r="363" spans="2:19" ht="15" customHeight="1">
      <c r="B363" t="str">
        <f>Varieties[[#This Row],[Company]] &amp; " " &amp;  Varieties[[#This Row],[Variety]]</f>
        <v>Adaptive Love-in-a-Mist</v>
      </c>
      <c r="C363" t="s">
        <v>104</v>
      </c>
      <c r="E363" t="s">
        <v>634</v>
      </c>
      <c r="G363" t="s">
        <v>488</v>
      </c>
      <c r="H363" t="b">
        <v>1</v>
      </c>
      <c r="P363" t="b">
        <f>ISNUMBER(MATCH(Varieties[[#This Row],[Id]],SeedOrder[Id],0))</f>
        <v>0</v>
      </c>
      <c r="Q363">
        <v>350</v>
      </c>
      <c r="R363" t="s">
        <v>1243</v>
      </c>
      <c r="S363" t="s">
        <v>887</v>
      </c>
    </row>
    <row r="364" spans="2:19" ht="15" customHeight="1">
      <c r="B364" t="str">
        <f>Varieties[[#This Row],[Company]] &amp; " " &amp;  Varieties[[#This Row],[Variety]]</f>
        <v xml:space="preserve"> Lovelock</v>
      </c>
      <c r="C364" t="s">
        <v>92</v>
      </c>
      <c r="E364" t="s">
        <v>1542</v>
      </c>
      <c r="L364">
        <v>4.3</v>
      </c>
      <c r="M364" t="s">
        <v>1544</v>
      </c>
      <c r="P364" t="b">
        <f>ISNUMBER(MATCH(Varieties[[#This Row],[Id]],SeedOrder[Id],0))</f>
        <v>0</v>
      </c>
      <c r="Q364" t="e">
        <v>#N/A</v>
      </c>
      <c r="R364" t="e">
        <v>#N/A</v>
      </c>
    </row>
    <row r="365" spans="2:19" ht="15" customHeight="1">
      <c r="B365" t="str">
        <f>Varieties[[#This Row],[Company]] &amp; " " &amp;  Varieties[[#This Row],[Variety]]</f>
        <v>High Mowing Lovelock</v>
      </c>
      <c r="C365" t="s">
        <v>92</v>
      </c>
      <c r="E365" t="s">
        <v>1542</v>
      </c>
      <c r="G365" t="s">
        <v>482</v>
      </c>
      <c r="H365" t="b">
        <v>1</v>
      </c>
      <c r="P365" t="b">
        <f>ISNUMBER(MATCH(Varieties[[#This Row],[Id]],SeedOrder[Id],0))</f>
        <v>0</v>
      </c>
      <c r="Q365">
        <v>24000</v>
      </c>
      <c r="R365" t="s">
        <v>1242</v>
      </c>
      <c r="S365" s="160" t="s">
        <v>2061</v>
      </c>
    </row>
    <row r="366" spans="2:19" ht="15" customHeight="1">
      <c r="B366" t="str">
        <f>Varieties[[#This Row],[Company]] &amp; " " &amp;  Varieties[[#This Row],[Variety]]</f>
        <v xml:space="preserve"> Lucky Cross</v>
      </c>
      <c r="C366" t="s">
        <v>136</v>
      </c>
      <c r="D366" t="s">
        <v>1157</v>
      </c>
      <c r="E366" t="s">
        <v>1187</v>
      </c>
      <c r="P366" t="b">
        <f>ISNUMBER(MATCH(Varieties[[#This Row],[Id]],SeedOrder[Id],0))</f>
        <v>0</v>
      </c>
      <c r="Q366" t="e">
        <v>#N/A</v>
      </c>
      <c r="R366" t="e">
        <v>#N/A</v>
      </c>
    </row>
    <row r="367" spans="2:19" ht="15" customHeight="1">
      <c r="B367" t="str">
        <f>Varieties[[#This Row],[Company]] &amp; " " &amp;  Varieties[[#This Row],[Variety]]</f>
        <v>Johnny's Madam Butterfly Mix</v>
      </c>
      <c r="C367" t="s">
        <v>121</v>
      </c>
      <c r="E367" t="s">
        <v>674</v>
      </c>
      <c r="G367" t="s">
        <v>490</v>
      </c>
      <c r="H367" t="b">
        <v>0</v>
      </c>
      <c r="P367" t="b">
        <f>ISNUMBER(MATCH(Varieties[[#This Row],[Id]],SeedOrder[Id],0))</f>
        <v>0</v>
      </c>
      <c r="Q367">
        <v>154000</v>
      </c>
      <c r="R367" t="s">
        <v>1242</v>
      </c>
      <c r="S367" s="160" t="s">
        <v>934</v>
      </c>
    </row>
    <row r="368" spans="2:19" ht="15" customHeight="1">
      <c r="B368" t="str">
        <f>Varieties[[#This Row],[Company]] &amp; " " &amp;  Varieties[[#This Row],[Variety]]</f>
        <v>Adaptive Magenta Spreen</v>
      </c>
      <c r="C368" t="s">
        <v>1793</v>
      </c>
      <c r="E368" t="s">
        <v>1793</v>
      </c>
      <c r="G368" t="s">
        <v>488</v>
      </c>
      <c r="H368" t="b">
        <v>1</v>
      </c>
      <c r="P368" t="b">
        <f>ISNUMBER(MATCH(Varieties[[#This Row],[Id]],SeedOrder[Id],0))</f>
        <v>0</v>
      </c>
      <c r="Q368">
        <v>1000</v>
      </c>
      <c r="R368" t="s">
        <v>1243</v>
      </c>
      <c r="S368" s="160" t="s">
        <v>2144</v>
      </c>
    </row>
    <row r="369" spans="2:19" ht="15" customHeight="1">
      <c r="B369" t="str">
        <f>Varieties[[#This Row],[Company]] &amp; " " &amp;  Varieties[[#This Row],[Variety]]</f>
        <v>Seed Savers Magnus</v>
      </c>
      <c r="C369" t="s">
        <v>95</v>
      </c>
      <c r="E369" t="s">
        <v>1275</v>
      </c>
      <c r="G369" t="s">
        <v>600</v>
      </c>
      <c r="H369" t="b">
        <v>1</v>
      </c>
      <c r="M369" s="30" t="s">
        <v>1277</v>
      </c>
      <c r="N369" s="30"/>
      <c r="O369" s="30"/>
      <c r="P369" s="30" t="b">
        <f>ISNUMBER(MATCH(Varieties[[#This Row],[Id]],SeedOrder[Id],0))</f>
        <v>0</v>
      </c>
      <c r="Q369">
        <v>0</v>
      </c>
      <c r="R369" s="30">
        <v>0</v>
      </c>
      <c r="S369" t="s">
        <v>1276</v>
      </c>
    </row>
    <row r="370" spans="2:19" ht="15" customHeight="1">
      <c r="B370" t="str">
        <f>Varieties[[#This Row],[Company]] &amp; " " &amp;  Varieties[[#This Row],[Variety]]</f>
        <v>Johnny's Mahogany Splendor</v>
      </c>
      <c r="C370" t="s">
        <v>1773</v>
      </c>
      <c r="E370" t="s">
        <v>1977</v>
      </c>
      <c r="G370" t="s">
        <v>490</v>
      </c>
      <c r="H370" t="b">
        <v>0</v>
      </c>
      <c r="P370" t="b">
        <f>ISNUMBER(MATCH(Varieties[[#This Row],[Id]],SeedOrder[Id],0))</f>
        <v>0</v>
      </c>
      <c r="Q370">
        <v>2200</v>
      </c>
      <c r="R370" t="s">
        <v>1242</v>
      </c>
      <c r="S370" s="160" t="s">
        <v>2126</v>
      </c>
    </row>
    <row r="371" spans="2:19" ht="15" customHeight="1">
      <c r="B371" t="str">
        <f>Varieties[[#This Row],[Company]] &amp; " " &amp;  Varieties[[#This Row],[Variety]]</f>
        <v>Adaptive Major Dunne</v>
      </c>
      <c r="C371" t="s">
        <v>118</v>
      </c>
      <c r="E371" t="s">
        <v>2276</v>
      </c>
      <c r="G371" t="s">
        <v>488</v>
      </c>
      <c r="H371" t="b">
        <v>1</v>
      </c>
      <c r="P371" t="b">
        <f>ISNUMBER(MATCH(Varieties[[#This Row],[Id]],SeedOrder[Id],0))</f>
        <v>0</v>
      </c>
      <c r="Q371">
        <v>250</v>
      </c>
      <c r="R371" t="s">
        <v>1243</v>
      </c>
      <c r="S371" s="160" t="s">
        <v>2277</v>
      </c>
    </row>
    <row r="372" spans="2:19" ht="15" customHeight="1">
      <c r="B372" t="str">
        <f>Varieties[[#This Row],[Company]] &amp; " " &amp;  Varieties[[#This Row],[Variety]]</f>
        <v>Johnny's Mambo</v>
      </c>
      <c r="C372" t="s">
        <v>124</v>
      </c>
      <c r="E372" t="s">
        <v>2838</v>
      </c>
      <c r="G372" s="268" t="s">
        <v>490</v>
      </c>
      <c r="H372" t="b">
        <v>1</v>
      </c>
      <c r="P372" t="b">
        <f>ISNUMBER(MATCH(Varieties[[#This Row],[Id]],SeedOrder[Id],0))</f>
        <v>1</v>
      </c>
      <c r="Q372">
        <v>2100</v>
      </c>
      <c r="R372" t="s">
        <v>1241</v>
      </c>
      <c r="S372" t="s">
        <v>2884</v>
      </c>
    </row>
    <row r="373" spans="2:19" ht="15" customHeight="1">
      <c r="B373" t="str">
        <f>Varieties[[#This Row],[Company]] &amp; " " &amp;  Varieties[[#This Row],[Variety]]</f>
        <v xml:space="preserve"> Manny</v>
      </c>
      <c r="C373" t="s">
        <v>70</v>
      </c>
      <c r="D373" t="s">
        <v>1608</v>
      </c>
      <c r="E373" t="s">
        <v>1609</v>
      </c>
      <c r="L373">
        <v>3.9</v>
      </c>
      <c r="P373" t="b">
        <f>ISNUMBER(MATCH(Varieties[[#This Row],[Id]],SeedOrder[Id],0))</f>
        <v>0</v>
      </c>
      <c r="Q373" t="e">
        <v>#N/A</v>
      </c>
      <c r="R373" t="e">
        <v>#N/A</v>
      </c>
    </row>
    <row r="374" spans="2:19" ht="15" customHeight="1">
      <c r="B374" t="str">
        <f>Varieties[[#This Row],[Company]] &amp; " " &amp;  Varieties[[#This Row],[Variety]]</f>
        <v>High Mowing Manny</v>
      </c>
      <c r="C374" t="s">
        <v>70</v>
      </c>
      <c r="E374" t="s">
        <v>1609</v>
      </c>
      <c r="G374" t="s">
        <v>482</v>
      </c>
      <c r="H374" t="b">
        <v>1</v>
      </c>
      <c r="P374" t="b">
        <f>ISNUMBER(MATCH(Varieties[[#This Row],[Id]],SeedOrder[Id],0))</f>
        <v>0</v>
      </c>
      <c r="Q374">
        <v>1100</v>
      </c>
      <c r="R374" t="s">
        <v>1242</v>
      </c>
      <c r="S374" s="160" t="s">
        <v>2058</v>
      </c>
    </row>
    <row r="375" spans="2:19" ht="15" customHeight="1">
      <c r="B375" t="str">
        <f>Varieties[[#This Row],[Company]] &amp; " " &amp;  Varieties[[#This Row],[Variety]]</f>
        <v>Johnny's Marbonne</v>
      </c>
      <c r="C375" t="s">
        <v>136</v>
      </c>
      <c r="E375" t="s">
        <v>3032</v>
      </c>
      <c r="G375" t="s">
        <v>490</v>
      </c>
      <c r="H375" t="b">
        <v>0</v>
      </c>
      <c r="P375" t="b">
        <f>ISNUMBER(MATCH(Varieties[[#This Row],[Id]],SeedOrder[Id],0))</f>
        <v>1</v>
      </c>
      <c r="Q375">
        <v>8900</v>
      </c>
      <c r="R375" t="s">
        <v>1242</v>
      </c>
      <c r="S375" t="s">
        <v>3072</v>
      </c>
    </row>
    <row r="376" spans="2:19" ht="15" customHeight="1">
      <c r="B376" t="str">
        <f>Varieties[[#This Row],[Company]] &amp; " " &amp;  Varieties[[#This Row],[Variety]]</f>
        <v>High Mowing Mardi F1</v>
      </c>
      <c r="C376" t="s">
        <v>54</v>
      </c>
      <c r="E376" t="s">
        <v>506</v>
      </c>
      <c r="G376" t="s">
        <v>482</v>
      </c>
      <c r="H376" t="b">
        <v>1</v>
      </c>
      <c r="M376" t="s">
        <v>1196</v>
      </c>
      <c r="P376" t="b">
        <f>ISNUMBER(MATCH(Varieties[[#This Row],[Id]],SeedOrder[Id],0))</f>
        <v>0</v>
      </c>
      <c r="Q376">
        <v>0</v>
      </c>
      <c r="R376">
        <v>0</v>
      </c>
      <c r="S376" t="s">
        <v>1197</v>
      </c>
    </row>
    <row r="377" spans="2:19" ht="15" customHeight="1">
      <c r="B377" t="str">
        <f>Varieties[[#This Row],[Company]] &amp; " " &amp;  Varieties[[#This Row],[Variety]]</f>
        <v>Johnny's Margold</v>
      </c>
      <c r="C377" t="s">
        <v>136</v>
      </c>
      <c r="E377" s="268" t="s">
        <v>3031</v>
      </c>
      <c r="G377" s="268" t="s">
        <v>490</v>
      </c>
      <c r="H377" t="b">
        <v>0</v>
      </c>
      <c r="P377" t="b">
        <f>ISNUMBER(MATCH(Varieties[[#This Row],[Id]],SeedOrder[Id],0))</f>
        <v>1</v>
      </c>
      <c r="Q377">
        <v>9200</v>
      </c>
      <c r="R377" t="s">
        <v>1242</v>
      </c>
      <c r="S377" t="s">
        <v>3071</v>
      </c>
    </row>
    <row r="378" spans="2:19" ht="15" customHeight="1">
      <c r="B378" t="str">
        <f>Varieties[[#This Row],[Company]] &amp; " " &amp;  Varieties[[#This Row],[Variety]]</f>
        <v xml:space="preserve"> Mariachi</v>
      </c>
      <c r="C378" t="s">
        <v>112</v>
      </c>
      <c r="D378" t="s">
        <v>171</v>
      </c>
      <c r="E378" t="s">
        <v>1668</v>
      </c>
      <c r="L378">
        <v>4.2</v>
      </c>
      <c r="M378" t="s">
        <v>1669</v>
      </c>
      <c r="P378" t="b">
        <f>ISNUMBER(MATCH(Varieties[[#This Row],[Id]],SeedOrder[Id],0))</f>
        <v>0</v>
      </c>
      <c r="Q378" t="e">
        <v>#N/A</v>
      </c>
      <c r="R378" t="e">
        <v>#N/A</v>
      </c>
    </row>
    <row r="379" spans="2:19" ht="15" customHeight="1">
      <c r="B379" t="str">
        <f>Varieties[[#This Row],[Company]] &amp; " " &amp;  Varieties[[#This Row],[Variety]]</f>
        <v>High Mowing Marketmore</v>
      </c>
      <c r="C379" t="s">
        <v>70</v>
      </c>
      <c r="E379" t="s">
        <v>1811</v>
      </c>
      <c r="G379" t="s">
        <v>482</v>
      </c>
      <c r="H379" t="b">
        <v>1</v>
      </c>
      <c r="P379" t="b">
        <f>ISNUMBER(MATCH(Varieties[[#This Row],[Id]],SeedOrder[Id],0))</f>
        <v>0</v>
      </c>
      <c r="Q379">
        <v>1100</v>
      </c>
      <c r="R379" t="s">
        <v>1242</v>
      </c>
      <c r="S379" s="160" t="s">
        <v>2059</v>
      </c>
    </row>
    <row r="380" spans="2:19" ht="15" customHeight="1">
      <c r="B380" t="str">
        <f>Varieties[[#This Row],[Company]] &amp; " " &amp;  Varieties[[#This Row],[Variety]]</f>
        <v xml:space="preserve"> Marketmore 76</v>
      </c>
      <c r="C380" t="s">
        <v>70</v>
      </c>
      <c r="D380" t="s">
        <v>1613</v>
      </c>
      <c r="E380" t="s">
        <v>1614</v>
      </c>
      <c r="L380">
        <v>3.7</v>
      </c>
      <c r="P380" t="b">
        <f>ISNUMBER(MATCH(Varieties[[#This Row],[Id]],SeedOrder[Id],0))</f>
        <v>0</v>
      </c>
      <c r="Q380" t="e">
        <v>#N/A</v>
      </c>
      <c r="R380" t="e">
        <v>#N/A</v>
      </c>
    </row>
    <row r="381" spans="2:19" ht="15" customHeight="1">
      <c r="B381" t="str">
        <f>Varieties[[#This Row],[Company]] &amp; " " &amp;  Varieties[[#This Row],[Variety]]</f>
        <v>Johnny's Marnero</v>
      </c>
      <c r="C381" t="s">
        <v>136</v>
      </c>
      <c r="E381" t="s">
        <v>3070</v>
      </c>
      <c r="G381" t="s">
        <v>490</v>
      </c>
      <c r="H381" t="b">
        <v>0</v>
      </c>
      <c r="P381" t="b">
        <f>ISNUMBER(MATCH(Varieties[[#This Row],[Id]],SeedOrder[Id],0))</f>
        <v>1</v>
      </c>
      <c r="Q381">
        <v>13100</v>
      </c>
      <c r="R381" t="s">
        <v>1242</v>
      </c>
      <c r="S381" t="s">
        <v>3069</v>
      </c>
    </row>
    <row r="382" spans="2:19" ht="15" customHeight="1">
      <c r="B382" t="str">
        <f>Varieties[[#This Row],[Company]] &amp; " " &amp;  Varieties[[#This Row],[Variety]]</f>
        <v>Uprising Marvel of Venice</v>
      </c>
      <c r="C382" t="s">
        <v>44</v>
      </c>
      <c r="E382" t="s">
        <v>2784</v>
      </c>
      <c r="G382" t="s">
        <v>484</v>
      </c>
      <c r="H382" t="b">
        <v>1</v>
      </c>
      <c r="P382" t="b">
        <f>ISNUMBER(MATCH(Varieties[[#This Row],[Id]],SeedOrder[Id],0))</f>
        <v>0</v>
      </c>
      <c r="S382" t="s">
        <v>2918</v>
      </c>
    </row>
    <row r="383" spans="2:19" ht="15" customHeight="1">
      <c r="B383" t="str">
        <f>Varieties[[#This Row],[Company]] &amp; " " &amp;  Varieties[[#This Row],[Variety]]</f>
        <v>Grow Artisan Mary Reynold's</v>
      </c>
      <c r="C383" t="s">
        <v>136</v>
      </c>
      <c r="D383" t="s">
        <v>1151</v>
      </c>
      <c r="E383" t="s">
        <v>698</v>
      </c>
      <c r="G383" t="s">
        <v>699</v>
      </c>
      <c r="P383" t="b">
        <f>ISNUMBER(MATCH(Varieties[[#This Row],[Id]],SeedOrder[Id],0))</f>
        <v>0</v>
      </c>
      <c r="Q383" t="e">
        <v>#N/A</v>
      </c>
      <c r="R383" t="e">
        <v>#N/A</v>
      </c>
      <c r="S383" t="s">
        <v>1152</v>
      </c>
    </row>
    <row r="384" spans="2:19" ht="15" customHeight="1">
      <c r="B384" t="str">
        <f>Varieties[[#This Row],[Company]] &amp; " " &amp;  Varieties[[#This Row],[Variety]]</f>
        <v>True Love Mary Reynold's</v>
      </c>
      <c r="C384" t="s">
        <v>136</v>
      </c>
      <c r="D384" t="s">
        <v>1151</v>
      </c>
      <c r="E384" t="s">
        <v>698</v>
      </c>
      <c r="G384" t="s">
        <v>700</v>
      </c>
      <c r="M384" t="s">
        <v>1153</v>
      </c>
      <c r="P384" t="b">
        <f>ISNUMBER(MATCH(Varieties[[#This Row],[Id]],SeedOrder[Id],0))</f>
        <v>0</v>
      </c>
      <c r="Q384">
        <v>0</v>
      </c>
      <c r="R384">
        <v>0</v>
      </c>
      <c r="S384" t="s">
        <v>1154</v>
      </c>
    </row>
    <row r="385" spans="2:19" ht="15" customHeight="1">
      <c r="B385" t="str">
        <f>Varieties[[#This Row],[Company]] &amp; " " &amp;  Varieties[[#This Row],[Variety]]</f>
        <v>Uprising MASTERPIECE</v>
      </c>
      <c r="C385" t="s">
        <v>77</v>
      </c>
      <c r="E385" t="s">
        <v>1016</v>
      </c>
      <c r="G385" t="s">
        <v>484</v>
      </c>
      <c r="H385" t="b">
        <v>1</v>
      </c>
      <c r="M385" t="s">
        <v>1017</v>
      </c>
      <c r="P385" t="b">
        <f>ISNUMBER(MATCH(Varieties[[#This Row],[Id]],SeedOrder[Id],0))</f>
        <v>0</v>
      </c>
      <c r="Q385" t="e">
        <v>#N/A</v>
      </c>
      <c r="R385" t="e">
        <v>#N/A</v>
      </c>
      <c r="S385" t="s">
        <v>1018</v>
      </c>
    </row>
    <row r="386" spans="2:19" ht="15" customHeight="1">
      <c r="B386" t="str">
        <f>Varieties[[#This Row],[Company]] &amp; " " &amp;  Varieties[[#This Row],[Variety]]</f>
        <v xml:space="preserve"> Maxibel</v>
      </c>
      <c r="C386" t="s">
        <v>44</v>
      </c>
      <c r="D386" t="s">
        <v>151</v>
      </c>
      <c r="E386" t="s">
        <v>1598</v>
      </c>
      <c r="M386" t="s">
        <v>1597</v>
      </c>
      <c r="P386" t="b">
        <f>ISNUMBER(MATCH(Varieties[[#This Row],[Id]],SeedOrder[Id],0))</f>
        <v>0</v>
      </c>
      <c r="Q386" t="e">
        <v>#N/A</v>
      </c>
      <c r="R386" t="e">
        <v>#N/A</v>
      </c>
    </row>
    <row r="387" spans="2:19" ht="15" customHeight="1">
      <c r="B387" t="str">
        <f>Varieties[[#This Row],[Company]] &amp; " " &amp;  Varieties[[#This Row],[Variety]]</f>
        <v xml:space="preserve"> Melox Red Oak</v>
      </c>
      <c r="C387" t="s">
        <v>92</v>
      </c>
      <c r="D387" t="s">
        <v>1660</v>
      </c>
      <c r="E387" t="s">
        <v>1659</v>
      </c>
      <c r="L387">
        <v>4.0999999999999996</v>
      </c>
      <c r="P387" t="b">
        <f>ISNUMBER(MATCH(Varieties[[#This Row],[Id]],SeedOrder[Id],0))</f>
        <v>0</v>
      </c>
      <c r="Q387" t="e">
        <v>#N/A</v>
      </c>
      <c r="R387" t="e">
        <v>#N/A</v>
      </c>
    </row>
    <row r="388" spans="2:19" ht="15" customHeight="1">
      <c r="B388" t="str">
        <f>Varieties[[#This Row],[Company]] &amp; " " &amp;  Varieties[[#This Row],[Variety]]</f>
        <v>Uprising Merlot</v>
      </c>
      <c r="C388" t="s">
        <v>92</v>
      </c>
      <c r="E388" t="s">
        <v>869</v>
      </c>
      <c r="G388" t="s">
        <v>484</v>
      </c>
      <c r="H388" t="b">
        <v>1</v>
      </c>
      <c r="P388" t="b">
        <f>ISNUMBER(MATCH(Varieties[[#This Row],[Id]],SeedOrder[Id],0))</f>
        <v>0</v>
      </c>
      <c r="Q388">
        <v>800</v>
      </c>
      <c r="R388" t="s">
        <v>1243</v>
      </c>
      <c r="S388" s="160" t="s">
        <v>870</v>
      </c>
    </row>
    <row r="389" spans="2:19" ht="15" customHeight="1">
      <c r="B389" t="str">
        <f>Varieties[[#This Row],[Company]] &amp; " " &amp;  Varieties[[#This Row],[Variety]]</f>
        <v>Johnny's Merlot</v>
      </c>
      <c r="C389" t="s">
        <v>52</v>
      </c>
      <c r="E389" t="s">
        <v>869</v>
      </c>
      <c r="G389" s="268" t="s">
        <v>490</v>
      </c>
      <c r="H389" t="b">
        <v>0</v>
      </c>
      <c r="P389" t="b">
        <f>ISNUMBER(MATCH(Varieties[[#This Row],[Id]],SeedOrder[Id],0))</f>
        <v>1</v>
      </c>
      <c r="Q389">
        <v>140000</v>
      </c>
      <c r="R389" t="s">
        <v>1241</v>
      </c>
      <c r="S389" t="s">
        <v>2871</v>
      </c>
    </row>
    <row r="390" spans="2:19" ht="15" customHeight="1">
      <c r="B390" t="str">
        <f>Varieties[[#This Row],[Company]] &amp; " " &amp;  Varieties[[#This Row],[Variety]]</f>
        <v>Fedco Merlox Red Oak</v>
      </c>
      <c r="C390" t="s">
        <v>92</v>
      </c>
      <c r="E390" t="s">
        <v>1821</v>
      </c>
      <c r="G390" t="s">
        <v>2023</v>
      </c>
      <c r="H390" t="b">
        <v>1</v>
      </c>
      <c r="P390" t="b">
        <f>ISNUMBER(MATCH(Varieties[[#This Row],[Id]],SeedOrder[Id],0))</f>
        <v>0</v>
      </c>
      <c r="Q390">
        <v>700</v>
      </c>
      <c r="R390" t="s">
        <v>1243</v>
      </c>
      <c r="S390" s="160" t="s">
        <v>2036</v>
      </c>
    </row>
    <row r="391" spans="2:19" ht="15" customHeight="1">
      <c r="B391" t="str">
        <f>Varieties[[#This Row],[Company]] &amp; " " &amp;  Varieties[[#This Row],[Variety]]</f>
        <v>High Mowing Merrengo F1</v>
      </c>
      <c r="C391" t="s">
        <v>55</v>
      </c>
      <c r="E391" t="s">
        <v>1872</v>
      </c>
      <c r="G391" t="s">
        <v>482</v>
      </c>
      <c r="H391" t="b">
        <v>1</v>
      </c>
      <c r="P391" t="b">
        <f>ISNUMBER(MATCH(Varieties[[#This Row],[Id]],SeedOrder[Id],0))</f>
        <v>0</v>
      </c>
      <c r="Q391">
        <v>65000</v>
      </c>
      <c r="R391" t="s">
        <v>1242</v>
      </c>
      <c r="S391" s="160" t="s">
        <v>2053</v>
      </c>
    </row>
    <row r="392" spans="2:19" ht="15" customHeight="1">
      <c r="B392" t="str">
        <f>Varieties[[#This Row],[Company]] &amp; " " &amp;  Varieties[[#This Row],[Variety]]</f>
        <v>High Mowing Merrengo F1 - Pelleted</v>
      </c>
      <c r="C392" t="s">
        <v>55</v>
      </c>
      <c r="E392" t="s">
        <v>2218</v>
      </c>
      <c r="G392" t="s">
        <v>482</v>
      </c>
      <c r="H392" t="b">
        <v>1</v>
      </c>
      <c r="I392" t="b">
        <v>1</v>
      </c>
      <c r="P392" t="b">
        <f>ISNUMBER(MATCH(Varieties[[#This Row],[Id]],SeedOrder[Id],0))</f>
        <v>0</v>
      </c>
      <c r="Q392">
        <v>65000</v>
      </c>
      <c r="R392" t="s">
        <v>1242</v>
      </c>
      <c r="S392" s="160" t="s">
        <v>2053</v>
      </c>
    </row>
    <row r="393" spans="2:19" ht="15" customHeight="1">
      <c r="B393" t="str">
        <f>Varieties[[#This Row],[Company]] &amp; " " &amp;  Varieties[[#This Row],[Variety]]</f>
        <v>Adaptive Mersin</v>
      </c>
      <c r="C393" t="s">
        <v>108</v>
      </c>
      <c r="D393" t="s">
        <v>1092</v>
      </c>
      <c r="E393" t="s">
        <v>1093</v>
      </c>
      <c r="G393" t="s">
        <v>488</v>
      </c>
      <c r="H393" t="b">
        <v>1</v>
      </c>
      <c r="M393" t="s">
        <v>1094</v>
      </c>
      <c r="P393" t="b">
        <f>ISNUMBER(MATCH(Varieties[[#This Row],[Id]],SeedOrder[Id],0))</f>
        <v>0</v>
      </c>
      <c r="Q393" t="e">
        <v>#N/A</v>
      </c>
      <c r="R393" t="e">
        <v>#N/A</v>
      </c>
      <c r="S393" t="s">
        <v>1095</v>
      </c>
    </row>
    <row r="394" spans="2:19" ht="15" customHeight="1">
      <c r="B394" t="str">
        <f>Varieties[[#This Row],[Company]] &amp; " " &amp;  Varieties[[#This Row],[Variety]]</f>
        <v>Uprising MERVEILLE DES QUATRE SAISONS</v>
      </c>
      <c r="C394" t="s">
        <v>92</v>
      </c>
      <c r="E394" t="s">
        <v>538</v>
      </c>
      <c r="G394" t="s">
        <v>484</v>
      </c>
      <c r="H394" t="b">
        <v>1</v>
      </c>
      <c r="M394" t="s">
        <v>1028</v>
      </c>
      <c r="P394" t="b">
        <f>ISNUMBER(MATCH(Varieties[[#This Row],[Id]],SeedOrder[Id],0))</f>
        <v>0</v>
      </c>
      <c r="Q394">
        <v>800</v>
      </c>
      <c r="R394" t="s">
        <v>1243</v>
      </c>
      <c r="S394" t="s">
        <v>1029</v>
      </c>
    </row>
    <row r="395" spans="2:19" ht="15" customHeight="1">
      <c r="B395" t="str">
        <f>Varieties[[#This Row],[Company]] &amp; " " &amp;  Varieties[[#This Row],[Variety]]</f>
        <v>Everwilder Michihili</v>
      </c>
      <c r="C395" t="s">
        <v>52</v>
      </c>
      <c r="D395" t="s">
        <v>155</v>
      </c>
      <c r="E395" t="s">
        <v>500</v>
      </c>
      <c r="G395" t="s">
        <v>1191</v>
      </c>
      <c r="M395" t="s">
        <v>1192</v>
      </c>
      <c r="P395" t="b">
        <f>ISNUMBER(MATCH(Varieties[[#This Row],[Id]],SeedOrder[Id],0))</f>
        <v>0</v>
      </c>
      <c r="Q395" t="e">
        <v>#N/A</v>
      </c>
      <c r="R395" t="e">
        <v>#N/A</v>
      </c>
      <c r="S395" t="s">
        <v>1193</v>
      </c>
    </row>
    <row r="396" spans="2:19" ht="15" customHeight="1">
      <c r="B396" t="str">
        <f>Varieties[[#This Row],[Company]] &amp; " " &amp;  Varieties[[#This Row],[Variety]]</f>
        <v>Garden Hoard Michihili</v>
      </c>
      <c r="C396" t="s">
        <v>52</v>
      </c>
      <c r="D396" t="s">
        <v>155</v>
      </c>
      <c r="E396" t="s">
        <v>500</v>
      </c>
      <c r="G396" t="s">
        <v>501</v>
      </c>
      <c r="M396" t="s">
        <v>1194</v>
      </c>
      <c r="P396" t="b">
        <f>ISNUMBER(MATCH(Varieties[[#This Row],[Id]],SeedOrder[Id],0))</f>
        <v>0</v>
      </c>
      <c r="Q396">
        <v>0</v>
      </c>
      <c r="R396">
        <v>0</v>
      </c>
      <c r="S396" t="s">
        <v>1195</v>
      </c>
    </row>
    <row r="397" spans="2:19" ht="15" customHeight="1">
      <c r="B397" t="str">
        <f>Varieties[[#This Row],[Company]] &amp; " " &amp;  Varieties[[#This Row],[Variety]]</f>
        <v>Southern Exposure Michihili</v>
      </c>
      <c r="C397" t="s">
        <v>52</v>
      </c>
      <c r="D397" t="s">
        <v>155</v>
      </c>
      <c r="E397" t="s">
        <v>500</v>
      </c>
      <c r="G397" t="s">
        <v>703</v>
      </c>
      <c r="M397" t="s">
        <v>1189</v>
      </c>
      <c r="P397" t="b">
        <f>ISNUMBER(MATCH(Varieties[[#This Row],[Id]],SeedOrder[Id],0))</f>
        <v>0</v>
      </c>
      <c r="Q397" t="e">
        <v>#N/A</v>
      </c>
      <c r="R397" t="e">
        <v>#N/A</v>
      </c>
      <c r="S397" t="s">
        <v>1190</v>
      </c>
    </row>
    <row r="398" spans="2:19" ht="15" customHeight="1">
      <c r="B398" t="str">
        <f>Varieties[[#This Row],[Company]] &amp; " " &amp;  Varieties[[#This Row],[Variety]]</f>
        <v xml:space="preserve"> Mideast Peace</v>
      </c>
      <c r="C398" t="s">
        <v>70</v>
      </c>
      <c r="D398" t="s">
        <v>1611</v>
      </c>
      <c r="E398" t="s">
        <v>1610</v>
      </c>
      <c r="L398">
        <v>3.8</v>
      </c>
      <c r="P398" t="b">
        <f>ISNUMBER(MATCH(Varieties[[#This Row],[Id]],SeedOrder[Id],0))</f>
        <v>0</v>
      </c>
      <c r="Q398" t="e">
        <v>#N/A</v>
      </c>
      <c r="R398" t="e">
        <v>#N/A</v>
      </c>
    </row>
    <row r="399" spans="2:19" ht="15" customHeight="1">
      <c r="B399" t="str">
        <f>Varieties[[#This Row],[Company]] &amp; " " &amp;  Varieties[[#This Row],[Variety]]</f>
        <v>Territorial Millionaire</v>
      </c>
      <c r="C399" t="s">
        <v>76</v>
      </c>
      <c r="D399" t="s">
        <v>962</v>
      </c>
      <c r="E399" t="s">
        <v>1004</v>
      </c>
      <c r="G399" t="s">
        <v>533</v>
      </c>
      <c r="H399" t="b">
        <v>0</v>
      </c>
      <c r="M399" t="s">
        <v>1005</v>
      </c>
      <c r="P399" t="b">
        <f>ISNUMBER(MATCH(Varieties[[#This Row],[Id]],SeedOrder[Id],0))</f>
        <v>0</v>
      </c>
      <c r="Q399" t="e">
        <v>#N/A</v>
      </c>
      <c r="R399" t="e">
        <v>#N/A</v>
      </c>
      <c r="S399" t="s">
        <v>1006</v>
      </c>
    </row>
    <row r="400" spans="2:19" ht="15" customHeight="1">
      <c r="B400" t="str">
        <f>Varieties[[#This Row],[Company]] &amp; " " &amp;  Varieties[[#This Row],[Variety]]</f>
        <v>Johnny's Mini Love</v>
      </c>
      <c r="C400" t="s">
        <v>98</v>
      </c>
      <c r="E400" s="268" t="s">
        <v>3065</v>
      </c>
      <c r="G400" s="268" t="s">
        <v>490</v>
      </c>
      <c r="H400" t="b">
        <v>1</v>
      </c>
      <c r="P400" t="b">
        <f>ISNUMBER(MATCH(Varieties[[#This Row],[Id]],SeedOrder[Id],0))</f>
        <v>1</v>
      </c>
      <c r="Q400">
        <v>6800</v>
      </c>
      <c r="R400" t="s">
        <v>1241</v>
      </c>
      <c r="S400" t="s">
        <v>3098</v>
      </c>
    </row>
    <row r="401" spans="2:19" ht="15" customHeight="1">
      <c r="B401" t="str">
        <f>Varieties[[#This Row],[Company]] &amp; " " &amp;  Varieties[[#This Row],[Variety]]</f>
        <v>Bene Minivento</v>
      </c>
      <c r="C401" t="s">
        <v>136</v>
      </c>
      <c r="E401" t="s">
        <v>2849</v>
      </c>
      <c r="G401" t="s">
        <v>2846</v>
      </c>
      <c r="H401" t="b">
        <v>0</v>
      </c>
      <c r="P401" t="b">
        <f>ISNUMBER(MATCH(Varieties[[#This Row],[Id]],SeedOrder[Id],0))</f>
        <v>0</v>
      </c>
      <c r="Q401" t="s">
        <v>2916</v>
      </c>
      <c r="S401" t="s">
        <v>2935</v>
      </c>
    </row>
    <row r="402" spans="2:19" ht="15" customHeight="1">
      <c r="B402" t="str">
        <f>Varieties[[#This Row],[Company]] &amp; " " &amp;  Varieties[[#This Row],[Variety]]</f>
        <v>Prairie Road Organic Minnesota Midget</v>
      </c>
      <c r="C402" t="s">
        <v>98</v>
      </c>
      <c r="D402" t="s">
        <v>1060</v>
      </c>
      <c r="E402" t="s">
        <v>554</v>
      </c>
      <c r="G402" t="s">
        <v>555</v>
      </c>
      <c r="H402" t="b">
        <v>1</v>
      </c>
      <c r="M402" t="s">
        <v>1061</v>
      </c>
      <c r="P402" t="b">
        <f>ISNUMBER(MATCH(Varieties[[#This Row],[Id]],SeedOrder[Id],0))</f>
        <v>0</v>
      </c>
      <c r="Q402" t="e">
        <v>#N/A</v>
      </c>
      <c r="R402" t="e">
        <v>#N/A</v>
      </c>
      <c r="S402" t="s">
        <v>1062</v>
      </c>
    </row>
    <row r="403" spans="2:19" ht="15" customHeight="1">
      <c r="B403" t="str">
        <f>Varieties[[#This Row],[Company]] &amp; " " &amp;  Varieties[[#This Row],[Variety]]</f>
        <v>Johnny's Minuet</v>
      </c>
      <c r="C403" t="s">
        <v>52</v>
      </c>
      <c r="E403" t="s">
        <v>2793</v>
      </c>
      <c r="G403" t="s">
        <v>490</v>
      </c>
      <c r="H403" t="b">
        <v>0</v>
      </c>
      <c r="P403" t="b">
        <f>ISNUMBER(MATCH(Varieties[[#This Row],[Id]],SeedOrder[Id],0))</f>
        <v>0</v>
      </c>
      <c r="Q403">
        <v>137000</v>
      </c>
      <c r="R403" t="s">
        <v>1241</v>
      </c>
      <c r="S403" t="s">
        <v>2872</v>
      </c>
    </row>
    <row r="404" spans="2:19" ht="15" customHeight="1">
      <c r="B404" t="str">
        <f>Varieties[[#This Row],[Company]] &amp; " " &amp;  Varieties[[#This Row],[Variety]]</f>
        <v>Uprising MIRABELLA</v>
      </c>
      <c r="C404" t="s">
        <v>356</v>
      </c>
      <c r="D404" t="s">
        <v>1213</v>
      </c>
      <c r="E404" t="s">
        <v>1214</v>
      </c>
      <c r="G404" t="s">
        <v>484</v>
      </c>
      <c r="H404" t="b">
        <v>1</v>
      </c>
      <c r="M404" s="30" t="s">
        <v>1293</v>
      </c>
      <c r="N404" s="30"/>
      <c r="O404" s="30"/>
      <c r="P404" s="30" t="b">
        <f>ISNUMBER(MATCH(Varieties[[#This Row],[Id]],SeedOrder[Id],0))</f>
        <v>0</v>
      </c>
      <c r="Q404" t="e">
        <v>#N/A</v>
      </c>
      <c r="R404" s="30" t="e">
        <v>#N/A</v>
      </c>
      <c r="S404" t="s">
        <v>1215</v>
      </c>
    </row>
    <row r="405" spans="2:19" ht="15" customHeight="1">
      <c r="B405" t="str">
        <f>Varieties[[#This Row],[Company]] &amp; " " &amp;  Varieties[[#This Row],[Variety]]</f>
        <v>Kitazawa Misome</v>
      </c>
      <c r="C405" t="s">
        <v>59</v>
      </c>
      <c r="E405" t="s">
        <v>509</v>
      </c>
      <c r="G405" t="s">
        <v>510</v>
      </c>
      <c r="H405" t="b">
        <v>0</v>
      </c>
      <c r="M405" t="s">
        <v>1053</v>
      </c>
      <c r="P405" t="b">
        <f>ISNUMBER(MATCH(Varieties[[#This Row],[Id]],SeedOrder[Id],0))</f>
        <v>0</v>
      </c>
      <c r="Q405" t="e">
        <v>#N/A</v>
      </c>
      <c r="R405" t="e">
        <v>#N/A</v>
      </c>
      <c r="S405" t="s">
        <v>1054</v>
      </c>
    </row>
    <row r="406" spans="2:19" ht="15" customHeight="1">
      <c r="B406" t="str">
        <f>Varieties[[#This Row],[Company]] &amp; " " &amp;  Varieties[[#This Row],[Variety]]</f>
        <v>Johnny's Mizuna</v>
      </c>
      <c r="C406" t="s">
        <v>337</v>
      </c>
      <c r="E406" t="s">
        <v>337</v>
      </c>
      <c r="G406" t="s">
        <v>490</v>
      </c>
      <c r="H406" t="b">
        <v>1</v>
      </c>
      <c r="P406" t="b">
        <f>ISNUMBER(MATCH(Varieties[[#This Row],[Id]],SeedOrder[Id],0))</f>
        <v>0</v>
      </c>
      <c r="Q406" t="e">
        <v>#N/A</v>
      </c>
      <c r="R406" t="e">
        <v>#N/A</v>
      </c>
      <c r="S406" t="s">
        <v>1363</v>
      </c>
    </row>
    <row r="407" spans="2:19" ht="15" customHeight="1">
      <c r="B407" t="str">
        <f>Varieties[[#This Row],[Company]] &amp; " " &amp;  Varieties[[#This Row],[Variety]]</f>
        <v>Johnny's Mokum</v>
      </c>
      <c r="C407" t="s">
        <v>53</v>
      </c>
      <c r="E407" t="s">
        <v>2801</v>
      </c>
      <c r="G407" s="268" t="s">
        <v>490</v>
      </c>
      <c r="H407" t="b">
        <v>0</v>
      </c>
      <c r="P407" t="b">
        <f>ISNUMBER(MATCH(Varieties[[#This Row],[Id]],SeedOrder[Id],0))</f>
        <v>0</v>
      </c>
      <c r="Q407">
        <v>319100</v>
      </c>
      <c r="R407" t="s">
        <v>1241</v>
      </c>
      <c r="S407" t="s">
        <v>2874</v>
      </c>
    </row>
    <row r="408" spans="2:19" ht="15" customHeight="1">
      <c r="B408" t="str">
        <f>Varieties[[#This Row],[Company]] &amp; " " &amp;  Varieties[[#This Row],[Variety]]</f>
        <v xml:space="preserve"> Mondak Gold</v>
      </c>
      <c r="C408" t="s">
        <v>113</v>
      </c>
      <c r="D408" t="s">
        <v>1676</v>
      </c>
      <c r="E408" t="s">
        <v>1675</v>
      </c>
      <c r="L408">
        <v>4.0999999999999996</v>
      </c>
      <c r="P408" t="b">
        <f>ISNUMBER(MATCH(Varieties[[#This Row],[Id]],SeedOrder[Id],0))</f>
        <v>0</v>
      </c>
      <c r="Q408" t="e">
        <v>#N/A</v>
      </c>
      <c r="R408" t="e">
        <v>#N/A</v>
      </c>
    </row>
    <row r="409" spans="2:19" ht="15" customHeight="1">
      <c r="B409" t="str">
        <f>Varieties[[#This Row],[Company]] &amp; " " &amp;  Varieties[[#This Row],[Variety]]</f>
        <v>Adaptive Monstrosum Mix</v>
      </c>
      <c r="C409" t="s">
        <v>1695</v>
      </c>
      <c r="E409" t="s">
        <v>1992</v>
      </c>
      <c r="G409" t="s">
        <v>488</v>
      </c>
      <c r="H409" t="b">
        <v>1</v>
      </c>
      <c r="P409" t="b">
        <f>ISNUMBER(MATCH(Varieties[[#This Row],[Id]],SeedOrder[Id],0))</f>
        <v>0</v>
      </c>
      <c r="Q409">
        <v>1000</v>
      </c>
      <c r="R409" t="s">
        <v>1243</v>
      </c>
      <c r="S409" s="160" t="s">
        <v>2033</v>
      </c>
    </row>
    <row r="410" spans="2:19" ht="15" customHeight="1">
      <c r="B410" t="str">
        <f>Varieties[[#This Row],[Company]] &amp; " " &amp;  Varieties[[#This Row],[Variety]]</f>
        <v>Osborne Montebello</v>
      </c>
      <c r="C410" t="s">
        <v>49</v>
      </c>
      <c r="E410" t="s">
        <v>2853</v>
      </c>
      <c r="G410" t="s">
        <v>503</v>
      </c>
      <c r="H410" t="b">
        <v>0</v>
      </c>
      <c r="P410" t="b">
        <f>ISNUMBER(MATCH(Varieties[[#This Row],[Id]],SeedOrder[Id],0))</f>
        <v>0</v>
      </c>
      <c r="Q410" t="s">
        <v>2920</v>
      </c>
      <c r="S410" t="s">
        <v>2919</v>
      </c>
    </row>
    <row r="411" spans="2:19" ht="15" customHeight="1">
      <c r="B411" t="str">
        <f>Varieties[[#This Row],[Company]] &amp; " " &amp;  Varieties[[#This Row],[Variety]]</f>
        <v xml:space="preserve"> Monty</v>
      </c>
      <c r="C411" t="s">
        <v>49</v>
      </c>
      <c r="D411" t="s">
        <v>214</v>
      </c>
      <c r="E411" t="s">
        <v>1601</v>
      </c>
      <c r="L411">
        <v>4.0999999999999996</v>
      </c>
      <c r="P411" t="b">
        <f>ISNUMBER(MATCH(Varieties[[#This Row],[Id]],SeedOrder[Id],0))</f>
        <v>0</v>
      </c>
      <c r="Q411" t="e">
        <v>#N/A</v>
      </c>
      <c r="R411" t="e">
        <v>#N/A</v>
      </c>
    </row>
    <row r="412" spans="2:19" ht="15" customHeight="1">
      <c r="B412" t="str">
        <f>Varieties[[#This Row],[Company]] &amp; " " &amp;  Varieties[[#This Row],[Variety]]</f>
        <v>Southern Exposure Mortgage Lifter</v>
      </c>
      <c r="C412" t="s">
        <v>136</v>
      </c>
      <c r="D412" t="s">
        <v>1178</v>
      </c>
      <c r="E412" t="s">
        <v>702</v>
      </c>
      <c r="G412" t="s">
        <v>703</v>
      </c>
      <c r="H412" t="b">
        <v>1</v>
      </c>
      <c r="M412" t="s">
        <v>1181</v>
      </c>
      <c r="P412" t="b">
        <f>ISNUMBER(MATCH(Varieties[[#This Row],[Id]],SeedOrder[Id],0))</f>
        <v>0</v>
      </c>
      <c r="Q412" t="e">
        <v>#N/A</v>
      </c>
      <c r="R412" t="e">
        <v>#N/A</v>
      </c>
      <c r="S412" t="s">
        <v>1182</v>
      </c>
    </row>
    <row r="413" spans="2:19" ht="15" customHeight="1">
      <c r="B413" t="str">
        <f>Varieties[[#This Row],[Company]] &amp; " " &amp;  Varieties[[#This Row],[Variety]]</f>
        <v>Territorial Mortgage Lifter</v>
      </c>
      <c r="C413" t="s">
        <v>136</v>
      </c>
      <c r="E413" t="s">
        <v>702</v>
      </c>
      <c r="G413" t="s">
        <v>533</v>
      </c>
      <c r="H413" t="b">
        <v>1</v>
      </c>
      <c r="P413" t="b">
        <f>ISNUMBER(MATCH(Varieties[[#This Row],[Id]],SeedOrder[Id],0))</f>
        <v>0</v>
      </c>
      <c r="Q413">
        <v>100000</v>
      </c>
      <c r="R413" t="s">
        <v>1241</v>
      </c>
      <c r="S413" s="160" t="s">
        <v>2150</v>
      </c>
    </row>
    <row r="414" spans="2:19" ht="15" customHeight="1">
      <c r="B414" t="str">
        <f>Varieties[[#This Row],[Company]] &amp; " " &amp;  Varieties[[#This Row],[Variety]]</f>
        <v>Tomato Fest Mortgage Lifter, Radiator Charlie's</v>
      </c>
      <c r="C414" t="s">
        <v>136</v>
      </c>
      <c r="D414" t="s">
        <v>1178</v>
      </c>
      <c r="E414" t="s">
        <v>1287</v>
      </c>
      <c r="G414" t="s">
        <v>695</v>
      </c>
      <c r="H414" t="b">
        <v>1</v>
      </c>
      <c r="M414" s="30" t="s">
        <v>1288</v>
      </c>
      <c r="N414" s="30"/>
      <c r="O414" s="30"/>
      <c r="P414" s="30" t="b">
        <f>ISNUMBER(MATCH(Varieties[[#This Row],[Id]],SeedOrder[Id],0))</f>
        <v>0</v>
      </c>
      <c r="Q414">
        <v>0</v>
      </c>
      <c r="R414" s="30">
        <v>0</v>
      </c>
      <c r="S414" t="s">
        <v>1289</v>
      </c>
    </row>
    <row r="415" spans="2:19" ht="15" customHeight="1">
      <c r="B415" t="str">
        <f>Varieties[[#This Row],[Company]] &amp; " " &amp;  Varieties[[#This Row],[Variety]]</f>
        <v>Wild Garden Moss Curled</v>
      </c>
      <c r="C415" t="s">
        <v>108</v>
      </c>
      <c r="E415" t="s">
        <v>2824</v>
      </c>
      <c r="G415" t="s">
        <v>526</v>
      </c>
      <c r="H415" t="b">
        <v>1</v>
      </c>
      <c r="P415" t="b">
        <f>ISNUMBER(MATCH(Varieties[[#This Row],[Id]],SeedOrder[Id],0))</f>
        <v>0</v>
      </c>
      <c r="Q415">
        <v>14000</v>
      </c>
      <c r="R415" t="s">
        <v>1242</v>
      </c>
      <c r="S415" t="s">
        <v>2925</v>
      </c>
    </row>
    <row r="416" spans="2:19" ht="15" customHeight="1">
      <c r="B416" t="str">
        <f>Varieties[[#This Row],[Company]] &amp; " " &amp;  Varieties[[#This Row],[Variety]]</f>
        <v xml:space="preserve"> Moving Target</v>
      </c>
      <c r="C416" t="s">
        <v>46</v>
      </c>
      <c r="D416" t="s">
        <v>1600</v>
      </c>
      <c r="E416" t="s">
        <v>1599</v>
      </c>
      <c r="L416">
        <v>3.8</v>
      </c>
      <c r="P416" t="b">
        <f>ISNUMBER(MATCH(Varieties[[#This Row],[Id]],SeedOrder[Id],0))</f>
        <v>0</v>
      </c>
      <c r="Q416" t="e">
        <v>#N/A</v>
      </c>
      <c r="R416" t="e">
        <v>#N/A</v>
      </c>
    </row>
    <row r="417" spans="2:19" ht="15" customHeight="1">
      <c r="B417" t="str">
        <f>Varieties[[#This Row],[Company]] &amp; " " &amp;  Varieties[[#This Row],[Variety]]</f>
        <v xml:space="preserve"> Mt. Honey</v>
      </c>
      <c r="C417" t="s">
        <v>98</v>
      </c>
      <c r="D417" t="s">
        <v>1060</v>
      </c>
      <c r="E417" t="s">
        <v>1661</v>
      </c>
      <c r="L417">
        <v>3.8</v>
      </c>
      <c r="P417" t="b">
        <f>ISNUMBER(MATCH(Varieties[[#This Row],[Id]],SeedOrder[Id],0))</f>
        <v>0</v>
      </c>
      <c r="Q417" t="e">
        <v>#N/A</v>
      </c>
      <c r="R417" t="e">
        <v>#N/A</v>
      </c>
    </row>
    <row r="418" spans="2:19" ht="15" customHeight="1">
      <c r="B418" t="str">
        <f>Varieties[[#This Row],[Company]] &amp; " " &amp;  Varieties[[#This Row],[Variety]]</f>
        <v>Johnny's Muir</v>
      </c>
      <c r="C418" t="s">
        <v>92</v>
      </c>
      <c r="E418" t="s">
        <v>546</v>
      </c>
      <c r="G418" t="s">
        <v>490</v>
      </c>
      <c r="H418" t="b">
        <v>1</v>
      </c>
      <c r="M418" t="s">
        <v>1033</v>
      </c>
      <c r="P418" t="b">
        <f>ISNUMBER(MATCH(Varieties[[#This Row],[Id]],SeedOrder[Id],0))</f>
        <v>0</v>
      </c>
      <c r="Q418">
        <v>25200</v>
      </c>
      <c r="R418" t="s">
        <v>1242</v>
      </c>
      <c r="S418" s="160" t="s">
        <v>1364</v>
      </c>
    </row>
    <row r="419" spans="2:19" ht="15" customHeight="1">
      <c r="B419" t="str">
        <f>Varieties[[#This Row],[Company]] &amp; " " &amp;  Varieties[[#This Row],[Variety]]</f>
        <v>Johnny's Muir - Pelleted</v>
      </c>
      <c r="C419" t="s">
        <v>92</v>
      </c>
      <c r="E419" t="s">
        <v>1263</v>
      </c>
      <c r="G419" t="s">
        <v>490</v>
      </c>
      <c r="H419" t="b">
        <v>1</v>
      </c>
      <c r="M419" s="30" t="s">
        <v>1586</v>
      </c>
      <c r="N419" s="30"/>
      <c r="O419" s="30"/>
      <c r="P419" s="30" t="b">
        <f>ISNUMBER(MATCH(Varieties[[#This Row],[Id]],SeedOrder[Id],0))</f>
        <v>0</v>
      </c>
      <c r="Q419">
        <v>1100</v>
      </c>
      <c r="R419" s="30" t="s">
        <v>1242</v>
      </c>
      <c r="S419" t="s">
        <v>1264</v>
      </c>
    </row>
    <row r="420" spans="2:19" ht="15" customHeight="1">
      <c r="B420" t="str">
        <f>Varieties[[#This Row],[Company]] &amp; " " &amp;  Varieties[[#This Row],[Variety]]</f>
        <v>High Mowing MUIR LETTUCE - PELLETED</v>
      </c>
      <c r="C420" t="s">
        <v>92</v>
      </c>
      <c r="E420" t="s">
        <v>1030</v>
      </c>
      <c r="G420" t="s">
        <v>482</v>
      </c>
      <c r="H420" t="b">
        <v>1</v>
      </c>
      <c r="I420" t="b">
        <v>1</v>
      </c>
      <c r="M420" t="s">
        <v>1031</v>
      </c>
      <c r="P420" t="b">
        <f>ISNUMBER(MATCH(Varieties[[#This Row],[Id]],SeedOrder[Id],0))</f>
        <v>0</v>
      </c>
      <c r="Q420" t="e">
        <v>#N/A</v>
      </c>
      <c r="R420" t="e">
        <v>#N/A</v>
      </c>
      <c r="S420" t="s">
        <v>1032</v>
      </c>
    </row>
    <row r="421" spans="2:19" ht="15" customHeight="1">
      <c r="B421" t="str">
        <f>Varieties[[#This Row],[Company]] &amp; " " &amp;  Varieties[[#This Row],[Variety]]</f>
        <v xml:space="preserve"> Musquee De Provence</v>
      </c>
      <c r="C421" t="s">
        <v>124</v>
      </c>
      <c r="D421" t="s">
        <v>341</v>
      </c>
      <c r="E421" t="s">
        <v>1643</v>
      </c>
      <c r="L421">
        <v>3.9</v>
      </c>
      <c r="P421" t="b">
        <f>ISNUMBER(MATCH(Varieties[[#This Row],[Id]],SeedOrder[Id],0))</f>
        <v>0</v>
      </c>
      <c r="Q421" t="e">
        <v>#N/A</v>
      </c>
      <c r="R421" t="e">
        <v>#N/A</v>
      </c>
    </row>
    <row r="422" spans="2:19" ht="15" customHeight="1">
      <c r="B422" t="str">
        <f>Varieties[[#This Row],[Company]] &amp; " " &amp;  Varieties[[#This Row],[Variety]]</f>
        <v>Osborne N.P. TRUCHAS - Pelleted</v>
      </c>
      <c r="C422" t="s">
        <v>92</v>
      </c>
      <c r="D422" t="s">
        <v>942</v>
      </c>
      <c r="E422" t="s">
        <v>549</v>
      </c>
      <c r="G422" t="s">
        <v>503</v>
      </c>
      <c r="H422" t="b">
        <v>1</v>
      </c>
      <c r="P422" t="b">
        <f>ISNUMBER(MATCH(Varieties[[#This Row],[Id]],SeedOrder[Id],0))</f>
        <v>0</v>
      </c>
      <c r="Q422">
        <v>0</v>
      </c>
      <c r="R422">
        <v>0</v>
      </c>
      <c r="S422" t="s">
        <v>1047</v>
      </c>
    </row>
    <row r="423" spans="2:19" ht="15" customHeight="1">
      <c r="B423" t="str">
        <f>Varieties[[#This Row],[Company]] &amp; " " &amp;  Varieties[[#This Row],[Variety]]</f>
        <v xml:space="preserve"> Nadmorska</v>
      </c>
      <c r="C423" t="s">
        <v>118</v>
      </c>
      <c r="D423" t="s">
        <v>1684</v>
      </c>
      <c r="E423" t="s">
        <v>1683</v>
      </c>
      <c r="L423">
        <v>3.4</v>
      </c>
      <c r="P423" t="b">
        <f>ISNUMBER(MATCH(Varieties[[#This Row],[Id]],SeedOrder[Id],0))</f>
        <v>0</v>
      </c>
      <c r="Q423" t="e">
        <v>#N/A</v>
      </c>
      <c r="R423" t="e">
        <v>#N/A</v>
      </c>
    </row>
    <row r="424" spans="2:19" ht="15" customHeight="1">
      <c r="B424" t="str">
        <f>Varieties[[#This Row],[Company]] &amp; " " &amp;  Varieties[[#This Row],[Variety]]</f>
        <v>High Mowing Napoli</v>
      </c>
      <c r="C424" t="s">
        <v>53</v>
      </c>
      <c r="E424" t="s">
        <v>1810</v>
      </c>
      <c r="G424" t="s">
        <v>482</v>
      </c>
      <c r="H424" t="b">
        <v>1</v>
      </c>
      <c r="P424" t="b">
        <f>ISNUMBER(MATCH(Varieties[[#This Row],[Id]],SeedOrder[Id],0))</f>
        <v>0</v>
      </c>
      <c r="Q424">
        <v>24250</v>
      </c>
      <c r="R424" t="s">
        <v>1242</v>
      </c>
      <c r="S424" s="160" t="s">
        <v>2051</v>
      </c>
    </row>
    <row r="425" spans="2:19" ht="15" customHeight="1">
      <c r="B425" t="str">
        <f>Varieties[[#This Row],[Company]] &amp; " " &amp;  Varieties[[#This Row],[Variety]]</f>
        <v>Osborne Napoli F1</v>
      </c>
      <c r="C425" t="s">
        <v>53</v>
      </c>
      <c r="E425" t="s">
        <v>502</v>
      </c>
      <c r="G425" t="s">
        <v>503</v>
      </c>
      <c r="H425" t="b">
        <v>1</v>
      </c>
      <c r="P425" t="b">
        <f>ISNUMBER(MATCH(Varieties[[#This Row],[Id]],SeedOrder[Id],0))</f>
        <v>0</v>
      </c>
      <c r="Q425">
        <v>316800</v>
      </c>
      <c r="R425" t="s">
        <v>1241</v>
      </c>
      <c r="S425" s="160" t="s">
        <v>781</v>
      </c>
    </row>
    <row r="426" spans="2:19" ht="15" customHeight="1">
      <c r="B426" t="str">
        <f>Varieties[[#This Row],[Company]] &amp; " " &amp;  Varieties[[#This Row],[Variety]]</f>
        <v>High Mowing Narvik</v>
      </c>
      <c r="C426" t="s">
        <v>53</v>
      </c>
      <c r="E426" t="s">
        <v>2817</v>
      </c>
      <c r="G426" s="268" t="s">
        <v>482</v>
      </c>
      <c r="H426" t="b">
        <v>1</v>
      </c>
      <c r="P426" t="b">
        <f>ISNUMBER(MATCH(Varieties[[#This Row],[Id]],SeedOrder[Id],0))</f>
        <v>1</v>
      </c>
      <c r="Q426">
        <v>20000</v>
      </c>
      <c r="R426" t="s">
        <v>1241</v>
      </c>
      <c r="S426" t="s">
        <v>2898</v>
      </c>
    </row>
    <row r="427" spans="2:19" ht="15" customHeight="1">
      <c r="B427" t="str">
        <f>Varieties[[#This Row],[Company]] &amp; " " &amp;  Varieties[[#This Row],[Variety]]</f>
        <v>Wild Garden Native Northwest</v>
      </c>
      <c r="C427" t="s">
        <v>1766</v>
      </c>
      <c r="E427" t="s">
        <v>1981</v>
      </c>
      <c r="G427" t="s">
        <v>526</v>
      </c>
      <c r="H427" t="b">
        <v>1</v>
      </c>
      <c r="P427" t="b">
        <f>ISNUMBER(MATCH(Varieties[[#This Row],[Id]],SeedOrder[Id],0))</f>
        <v>0</v>
      </c>
      <c r="Q427">
        <v>145</v>
      </c>
      <c r="R427" t="s">
        <v>1243</v>
      </c>
      <c r="S427" s="160" t="s">
        <v>2173</v>
      </c>
    </row>
    <row r="428" spans="2:19" ht="15" customHeight="1">
      <c r="B428" t="str">
        <f>Varieties[[#This Row],[Company]] &amp; " " &amp;  Varieties[[#This Row],[Variety]]</f>
        <v>High Mowing Natural Bright XR F1</v>
      </c>
      <c r="C428" t="s">
        <v>325</v>
      </c>
      <c r="E428" t="s">
        <v>1874</v>
      </c>
      <c r="G428" t="s">
        <v>482</v>
      </c>
      <c r="H428" t="b">
        <v>1</v>
      </c>
      <c r="P428" t="b">
        <f>ISNUMBER(MATCH(Varieties[[#This Row],[Id]],SeedOrder[Id],0))</f>
        <v>0</v>
      </c>
      <c r="Q428">
        <v>1700</v>
      </c>
      <c r="R428" t="s">
        <v>1242</v>
      </c>
      <c r="S428" s="160" t="s">
        <v>2055</v>
      </c>
    </row>
    <row r="429" spans="2:19" ht="15" customHeight="1">
      <c r="B429" t="str">
        <f>Varieties[[#This Row],[Company]] &amp; " " &amp;  Varieties[[#This Row],[Variety]]</f>
        <v>Johnny's Natural Sweet</v>
      </c>
      <c r="C429" t="s">
        <v>410</v>
      </c>
      <c r="E429" t="s">
        <v>795</v>
      </c>
      <c r="G429" t="s">
        <v>490</v>
      </c>
      <c r="H429" t="b">
        <v>1</v>
      </c>
      <c r="P429" t="b">
        <f>ISNUMBER(MATCH(Varieties[[#This Row],[Id]],SeedOrder[Id],0))</f>
        <v>0</v>
      </c>
      <c r="Q429" t="e">
        <v>#N/A</v>
      </c>
      <c r="R429" t="e">
        <v>#N/A</v>
      </c>
      <c r="S429" t="s">
        <v>1365</v>
      </c>
    </row>
    <row r="430" spans="2:19" ht="15" customHeight="1">
      <c r="B430" t="str">
        <f>Varieties[[#This Row],[Company]] &amp; " " &amp;  Varieties[[#This Row],[Variety]]</f>
        <v>Territorial Neon</v>
      </c>
      <c r="C430" t="s">
        <v>124</v>
      </c>
      <c r="E430" t="s">
        <v>2839</v>
      </c>
      <c r="G430" t="s">
        <v>533</v>
      </c>
      <c r="H430" t="b">
        <v>0</v>
      </c>
      <c r="P430" t="b">
        <f>ISNUMBER(MATCH(Varieties[[#This Row],[Id]],SeedOrder[Id],0))</f>
        <v>1</v>
      </c>
      <c r="Q430">
        <v>5</v>
      </c>
      <c r="R430" t="s">
        <v>1243</v>
      </c>
      <c r="S430" t="s">
        <v>2929</v>
      </c>
    </row>
    <row r="431" spans="2:19" ht="15" customHeight="1">
      <c r="B431" t="str">
        <f>Varieties[[#This Row],[Company]] &amp; " " &amp;  Varieties[[#This Row],[Variety]]</f>
        <v>Johnny's Nepal</v>
      </c>
      <c r="C431" t="s">
        <v>136</v>
      </c>
      <c r="D431" t="s">
        <v>1167</v>
      </c>
      <c r="E431" t="s">
        <v>693</v>
      </c>
      <c r="G431" t="s">
        <v>490</v>
      </c>
      <c r="H431" t="b">
        <v>1</v>
      </c>
      <c r="M431" t="s">
        <v>1168</v>
      </c>
      <c r="P431" t="b">
        <f>ISNUMBER(MATCH(Varieties[[#This Row],[Id]],SeedOrder[Id],0))</f>
        <v>0</v>
      </c>
      <c r="Q431">
        <v>10700</v>
      </c>
      <c r="R431" t="s">
        <v>1242</v>
      </c>
      <c r="S431" t="s">
        <v>1169</v>
      </c>
    </row>
    <row r="432" spans="2:19" ht="15" customHeight="1">
      <c r="B432" t="str">
        <f>Varieties[[#This Row],[Company]] &amp; " " &amp;  Varieties[[#This Row],[Variety]]</f>
        <v>Adaptive New Mama Super Sweet</v>
      </c>
      <c r="C432" t="s">
        <v>410</v>
      </c>
      <c r="D432" t="s">
        <v>994</v>
      </c>
      <c r="E432" t="s">
        <v>2221</v>
      </c>
      <c r="G432" t="s">
        <v>488</v>
      </c>
      <c r="H432" t="b">
        <v>1</v>
      </c>
      <c r="P432" t="b">
        <f>ISNUMBER(MATCH(Varieties[[#This Row],[Id]],SeedOrder[Id],0))</f>
        <v>1</v>
      </c>
      <c r="Q432">
        <v>200</v>
      </c>
      <c r="R432" t="s">
        <v>1242</v>
      </c>
      <c r="S432" s="160" t="s">
        <v>2222</v>
      </c>
    </row>
    <row r="433" spans="2:19" ht="15" customHeight="1">
      <c r="B433" t="str">
        <f>Varieties[[#This Row],[Company]] &amp; " " &amp;  Varieties[[#This Row],[Variety]]</f>
        <v xml:space="preserve"> New York Early</v>
      </c>
      <c r="C433" t="s">
        <v>105</v>
      </c>
      <c r="D433" t="s">
        <v>1123</v>
      </c>
      <c r="E433" t="s">
        <v>1621</v>
      </c>
      <c r="L433">
        <v>3.5</v>
      </c>
      <c r="P433" t="b">
        <f>ISNUMBER(MATCH(Varieties[[#This Row],[Id]],SeedOrder[Id],0))</f>
        <v>0</v>
      </c>
      <c r="Q433" t="e">
        <v>#N/A</v>
      </c>
      <c r="R433" t="e">
        <v>#N/A</v>
      </c>
    </row>
    <row r="434" spans="2:19" ht="15" customHeight="1">
      <c r="B434" t="str">
        <f>Varieties[[#This Row],[Company]] &amp; " " &amp;  Varieties[[#This Row],[Variety]]</f>
        <v>Uprising NEW YORK EARLY</v>
      </c>
      <c r="C434" t="s">
        <v>105</v>
      </c>
      <c r="D434" t="s">
        <v>208</v>
      </c>
      <c r="E434" t="s">
        <v>1065</v>
      </c>
      <c r="G434" t="s">
        <v>484</v>
      </c>
      <c r="H434" t="b">
        <v>1</v>
      </c>
      <c r="M434" t="s">
        <v>1066</v>
      </c>
      <c r="P434" t="b">
        <f>ISNUMBER(MATCH(Varieties[[#This Row],[Id]],SeedOrder[Id],0))</f>
        <v>0</v>
      </c>
      <c r="Q434" t="e">
        <v>#N/A</v>
      </c>
      <c r="R434" t="e">
        <v>#N/A</v>
      </c>
      <c r="S434" t="s">
        <v>1067</v>
      </c>
    </row>
    <row r="435" spans="2:19" ht="15" customHeight="1">
      <c r="B435" t="str">
        <f>Varieties[[#This Row],[Company]] &amp; " " &amp;  Varieties[[#This Row],[Variety]]</f>
        <v xml:space="preserve"> Newham</v>
      </c>
      <c r="C435" t="s">
        <v>92</v>
      </c>
      <c r="D435" t="s">
        <v>1589</v>
      </c>
      <c r="E435" t="s">
        <v>1588</v>
      </c>
      <c r="L435">
        <v>3.8</v>
      </c>
      <c r="M435" t="s">
        <v>1590</v>
      </c>
      <c r="P435" t="b">
        <f>ISNUMBER(MATCH(Varieties[[#This Row],[Id]],SeedOrder[Id],0))</f>
        <v>0</v>
      </c>
      <c r="Q435" t="e">
        <v>#N/A</v>
      </c>
      <c r="R435" t="e">
        <v>#N/A</v>
      </c>
    </row>
    <row r="436" spans="2:19" ht="15" customHeight="1">
      <c r="B436" t="str">
        <f>Varieties[[#This Row],[Company]] &amp; " " &amp;  Varieties[[#This Row],[Variety]]</f>
        <v>Wild Garden Noblessa</v>
      </c>
      <c r="C436" t="s">
        <v>1767</v>
      </c>
      <c r="E436" t="s">
        <v>2000</v>
      </c>
      <c r="G436" t="s">
        <v>526</v>
      </c>
      <c r="H436" t="b">
        <v>1</v>
      </c>
      <c r="P436" t="b">
        <f>ISNUMBER(MATCH(Varieties[[#This Row],[Id]],SeedOrder[Id],0))</f>
        <v>0</v>
      </c>
      <c r="Q436">
        <v>6000</v>
      </c>
      <c r="R436" t="s">
        <v>1243</v>
      </c>
      <c r="S436" s="160" t="s">
        <v>2179</v>
      </c>
    </row>
    <row r="437" spans="2:19" ht="15" customHeight="1">
      <c r="B437" t="str">
        <f>Varieties[[#This Row],[Company]] &amp; " " &amp;  Varieties[[#This Row],[Variety]]</f>
        <v>Johnny's Northeaster</v>
      </c>
      <c r="C437" t="s">
        <v>44</v>
      </c>
      <c r="D437" t="s">
        <v>2257</v>
      </c>
      <c r="E437" t="s">
        <v>2256</v>
      </c>
      <c r="G437" t="s">
        <v>490</v>
      </c>
      <c r="H437" t="b">
        <v>1</v>
      </c>
      <c r="P437" t="b">
        <f>ISNUMBER(MATCH(Varieties[[#This Row],[Id]],SeedOrder[Id],0))</f>
        <v>0</v>
      </c>
      <c r="Q437">
        <v>850</v>
      </c>
      <c r="R437" t="s">
        <v>1241</v>
      </c>
      <c r="S437" s="160" t="s">
        <v>2258</v>
      </c>
    </row>
    <row r="438" spans="2:19" ht="15" customHeight="1">
      <c r="B438" t="str">
        <f>Varieties[[#This Row],[Company]] &amp; " " &amp;  Varieties[[#This Row],[Variety]]</f>
        <v xml:space="preserve"> Nutterbutter</v>
      </c>
      <c r="C438" t="s">
        <v>124</v>
      </c>
      <c r="D438" t="s">
        <v>1135</v>
      </c>
      <c r="E438" t="s">
        <v>1689</v>
      </c>
      <c r="L438">
        <v>3.8</v>
      </c>
      <c r="P438" t="b">
        <f>ISNUMBER(MATCH(Varieties[[#This Row],[Id]],SeedOrder[Id],0))</f>
        <v>0</v>
      </c>
      <c r="Q438" t="e">
        <v>#N/A</v>
      </c>
      <c r="R438" t="e">
        <v>#N/A</v>
      </c>
    </row>
    <row r="439" spans="2:19" ht="15" customHeight="1">
      <c r="B439" t="str">
        <f>Varieties[[#This Row],[Company]] &amp; " " &amp;  Varieties[[#This Row],[Variety]]</f>
        <v>High Mowing Nutterbutter</v>
      </c>
      <c r="C439" t="s">
        <v>124</v>
      </c>
      <c r="E439" t="s">
        <v>1689</v>
      </c>
      <c r="G439" t="s">
        <v>482</v>
      </c>
      <c r="H439" t="b">
        <v>1</v>
      </c>
      <c r="P439" t="b">
        <f>ISNUMBER(MATCH(Varieties[[#This Row],[Id]],SeedOrder[Id],0))</f>
        <v>0</v>
      </c>
      <c r="Q439">
        <v>135</v>
      </c>
      <c r="R439" t="s">
        <v>1242</v>
      </c>
      <c r="S439" s="160" t="s">
        <v>2146</v>
      </c>
    </row>
    <row r="440" spans="2:19" ht="15" customHeight="1">
      <c r="B440" t="str">
        <f>Varieties[[#This Row],[Company]] &amp; " " &amp;  Varieties[[#This Row],[Variety]]</f>
        <v>Irish Eyes OG Viking Purple Potato</v>
      </c>
      <c r="C440" t="s">
        <v>113</v>
      </c>
      <c r="D440" t="s">
        <v>334</v>
      </c>
      <c r="E440" t="s">
        <v>652</v>
      </c>
      <c r="G440" t="s">
        <v>653</v>
      </c>
      <c r="H440" t="b">
        <v>1</v>
      </c>
      <c r="M440" t="s">
        <v>1078</v>
      </c>
      <c r="P440" t="b">
        <f>ISNUMBER(MATCH(Varieties[[#This Row],[Id]],SeedOrder[Id],0))</f>
        <v>0</v>
      </c>
      <c r="Q440">
        <v>10</v>
      </c>
      <c r="R440" t="s">
        <v>1241</v>
      </c>
      <c r="S440" t="s">
        <v>1079</v>
      </c>
    </row>
    <row r="441" spans="2:19" ht="15" customHeight="1">
      <c r="B441" t="str">
        <f>Varieties[[#This Row],[Company]] &amp; " " &amp;  Varieties[[#This Row],[Variety]]</f>
        <v>Kitazawa Oka Hijiki</v>
      </c>
      <c r="C441" t="s">
        <v>409</v>
      </c>
      <c r="E441" t="s">
        <v>715</v>
      </c>
      <c r="G441" t="s">
        <v>510</v>
      </c>
      <c r="P441" t="b">
        <f>ISNUMBER(MATCH(Varieties[[#This Row],[Id]],SeedOrder[Id],0))</f>
        <v>0</v>
      </c>
      <c r="Q441" t="e">
        <v>#N/A</v>
      </c>
      <c r="R441" t="e">
        <v>#N/A</v>
      </c>
      <c r="S441" t="s">
        <v>716</v>
      </c>
    </row>
    <row r="442" spans="2:19" ht="15" customHeight="1">
      <c r="B442" t="str">
        <f>Varieties[[#This Row],[Company]] &amp; " " &amp;  Varieties[[#This Row],[Variety]]</f>
        <v>Adaptive Okhura Winter Queen Daikon</v>
      </c>
      <c r="C442" t="s">
        <v>114</v>
      </c>
      <c r="E442" t="s">
        <v>669</v>
      </c>
      <c r="G442" t="s">
        <v>488</v>
      </c>
      <c r="H442" t="b">
        <v>1</v>
      </c>
      <c r="P442" t="b">
        <f>ISNUMBER(MATCH(Varieties[[#This Row],[Id]],SeedOrder[Id],0))</f>
        <v>0</v>
      </c>
      <c r="Q442">
        <v>50</v>
      </c>
      <c r="R442" t="s">
        <v>1243</v>
      </c>
      <c r="S442" s="160" t="s">
        <v>1086</v>
      </c>
    </row>
    <row r="443" spans="2:19" ht="15" customHeight="1">
      <c r="B443" t="str">
        <f>Varieties[[#This Row],[Company]] &amp; " " &amp;  Varieties[[#This Row],[Variety]]</f>
        <v>Adaptive Okhura Winter Queen Daikon</v>
      </c>
      <c r="C443" t="s">
        <v>114</v>
      </c>
      <c r="D443" t="s">
        <v>341</v>
      </c>
      <c r="E443" t="s">
        <v>669</v>
      </c>
      <c r="G443" t="s">
        <v>488</v>
      </c>
      <c r="H443" t="b">
        <v>1</v>
      </c>
      <c r="M443" t="s">
        <v>1085</v>
      </c>
      <c r="P443" t="b">
        <f>ISNUMBER(MATCH(Varieties[[#This Row],[Id]],SeedOrder[Id],0))</f>
        <v>0</v>
      </c>
      <c r="Q443">
        <v>50</v>
      </c>
      <c r="R443" t="s">
        <v>1243</v>
      </c>
      <c r="S443" t="s">
        <v>1086</v>
      </c>
    </row>
    <row r="444" spans="2:19" ht="15" customHeight="1">
      <c r="B444" t="str">
        <f>Varieties[[#This Row],[Company]] &amp; " " &amp;  Varieties[[#This Row],[Variety]]</f>
        <v>Johnny's Olly F1</v>
      </c>
      <c r="C444" t="s">
        <v>112</v>
      </c>
      <c r="E444" t="s">
        <v>1884</v>
      </c>
      <c r="G444" t="s">
        <v>490</v>
      </c>
      <c r="H444" t="b">
        <v>1</v>
      </c>
      <c r="P444" t="b">
        <f>ISNUMBER(MATCH(Varieties[[#This Row],[Id]],SeedOrder[Id],0))</f>
        <v>0</v>
      </c>
      <c r="Q444">
        <v>50300</v>
      </c>
      <c r="R444" t="s">
        <v>1241</v>
      </c>
      <c r="S444" s="160" t="s">
        <v>2111</v>
      </c>
    </row>
    <row r="445" spans="2:19" ht="15" customHeight="1">
      <c r="B445" t="str">
        <f>Varieties[[#This Row],[Company]] &amp; " " &amp;  Varieties[[#This Row],[Variety]]</f>
        <v xml:space="preserve"> Oneida Gold</v>
      </c>
      <c r="C445" t="s">
        <v>113</v>
      </c>
      <c r="D445" t="s">
        <v>1123</v>
      </c>
      <c r="E445" t="s">
        <v>1677</v>
      </c>
      <c r="L445">
        <v>4.0999999999999996</v>
      </c>
      <c r="P445" t="b">
        <f>ISNUMBER(MATCH(Varieties[[#This Row],[Id]],SeedOrder[Id],0))</f>
        <v>0</v>
      </c>
      <c r="Q445" t="e">
        <v>#N/A</v>
      </c>
      <c r="R445" t="e">
        <v>#N/A</v>
      </c>
    </row>
    <row r="446" spans="2:19" ht="15" customHeight="1">
      <c r="B446" t="str">
        <f>Varieties[[#This Row],[Company]] &amp; " " &amp;  Varieties[[#This Row],[Variety]]</f>
        <v>Uprising Opopeo</v>
      </c>
      <c r="C446" t="s">
        <v>41</v>
      </c>
      <c r="E446" t="s">
        <v>705</v>
      </c>
      <c r="G446" t="s">
        <v>484</v>
      </c>
      <c r="H446" t="b">
        <v>1</v>
      </c>
      <c r="P446" t="b">
        <f>ISNUMBER(MATCH(Varieties[[#This Row],[Id]],SeedOrder[Id],0))</f>
        <v>0</v>
      </c>
      <c r="Q446">
        <v>30000</v>
      </c>
      <c r="R446" t="s">
        <v>1242</v>
      </c>
      <c r="S446" s="160" t="s">
        <v>1249</v>
      </c>
    </row>
    <row r="447" spans="2:19" ht="15" customHeight="1">
      <c r="B447" t="str">
        <f>Varieties[[#This Row],[Company]] &amp; " " &amp;  Varieties[[#This Row],[Variety]]</f>
        <v>Adaptive Orach, Red Flash</v>
      </c>
      <c r="C447" t="s">
        <v>1785</v>
      </c>
      <c r="E447" t="s">
        <v>1955</v>
      </c>
      <c r="G447" t="s">
        <v>488</v>
      </c>
      <c r="H447" t="b">
        <v>1</v>
      </c>
      <c r="P447" t="b">
        <f>ISNUMBER(MATCH(Varieties[[#This Row],[Id]],SeedOrder[Id],0))</f>
        <v>0</v>
      </c>
      <c r="Q447">
        <v>150</v>
      </c>
      <c r="R447" t="s">
        <v>1243</v>
      </c>
      <c r="S447" s="160" t="s">
        <v>2032</v>
      </c>
    </row>
    <row r="448" spans="2:19" ht="15" customHeight="1">
      <c r="B448" t="str">
        <f>Varieties[[#This Row],[Company]] &amp; " " &amp;  Varieties[[#This Row],[Variety]]</f>
        <v>Adaptive Orange Wonder</v>
      </c>
      <c r="C448" t="s">
        <v>121</v>
      </c>
      <c r="E448" t="s">
        <v>1380</v>
      </c>
      <c r="G448" t="s">
        <v>488</v>
      </c>
      <c r="H448" t="b">
        <v>1</v>
      </c>
      <c r="P448" t="b">
        <f>ISNUMBER(MATCH(Varieties[[#This Row],[Id]],SeedOrder[Id],0))</f>
        <v>0</v>
      </c>
      <c r="Q448">
        <v>4500</v>
      </c>
      <c r="R448" t="s">
        <v>1243</v>
      </c>
      <c r="S448" s="160" t="s">
        <v>2025</v>
      </c>
    </row>
    <row r="449" spans="2:19" ht="15" customHeight="1">
      <c r="B449" t="str">
        <f>Varieties[[#This Row],[Company]] &amp; " " &amp;  Varieties[[#This Row],[Variety]]</f>
        <v>Adaptive Orange You Glad</v>
      </c>
      <c r="C449" t="s">
        <v>136</v>
      </c>
      <c r="E449" s="268" t="s">
        <v>3020</v>
      </c>
      <c r="G449" s="268" t="s">
        <v>488</v>
      </c>
      <c r="H449" t="b">
        <v>1</v>
      </c>
      <c r="P449" t="b">
        <f>ISNUMBER(MATCH(Varieties[[#This Row],[Id]],SeedOrder[Id],0))</f>
        <v>1</v>
      </c>
      <c r="Q449">
        <v>300</v>
      </c>
      <c r="R449" t="s">
        <v>1243</v>
      </c>
      <c r="S449" t="s">
        <v>3099</v>
      </c>
    </row>
    <row r="450" spans="2:19" ht="15" customHeight="1">
      <c r="B450" t="str">
        <f>Varieties[[#This Row],[Company]] &amp; " " &amp;  Varieties[[#This Row],[Variety]]</f>
        <v>Baker Creek Orchid Cream</v>
      </c>
      <c r="C450" t="s">
        <v>102</v>
      </c>
      <c r="E450" t="s">
        <v>629</v>
      </c>
      <c r="G450" t="s">
        <v>492</v>
      </c>
      <c r="H450" t="b">
        <v>0</v>
      </c>
      <c r="M450" t="s">
        <v>865</v>
      </c>
      <c r="P450" t="b">
        <f>ISNUMBER(MATCH(Varieties[[#This Row],[Id]],SeedOrder[Id],0))</f>
        <v>0</v>
      </c>
      <c r="Q450">
        <v>0</v>
      </c>
      <c r="R450">
        <v>0</v>
      </c>
      <c r="S450" t="s">
        <v>866</v>
      </c>
    </row>
    <row r="451" spans="2:19" ht="15" customHeight="1">
      <c r="B451" t="str">
        <f>Varieties[[#This Row],[Company]] &amp; " " &amp;  Varieties[[#This Row],[Variety]]</f>
        <v>Wild Garden Outredgeous</v>
      </c>
      <c r="C451" t="s">
        <v>92</v>
      </c>
      <c r="E451" t="s">
        <v>539</v>
      </c>
      <c r="G451" t="s">
        <v>526</v>
      </c>
      <c r="H451" t="b">
        <v>1</v>
      </c>
      <c r="P451" t="b">
        <f>ISNUMBER(MATCH(Varieties[[#This Row],[Id]],SeedOrder[Id],0))</f>
        <v>0</v>
      </c>
      <c r="Q451">
        <v>22000</v>
      </c>
      <c r="R451" t="s">
        <v>1242</v>
      </c>
      <c r="S451" s="160" t="s">
        <v>835</v>
      </c>
    </row>
    <row r="452" spans="2:19" ht="15" customHeight="1">
      <c r="B452" t="str">
        <f>Varieties[[#This Row],[Company]] &amp; " " &amp;  Varieties[[#This Row],[Variety]]</f>
        <v>Territorial Oxheart</v>
      </c>
      <c r="C452" t="s">
        <v>53</v>
      </c>
      <c r="D452" t="s">
        <v>988</v>
      </c>
      <c r="E452" t="s">
        <v>156</v>
      </c>
      <c r="G452" t="s">
        <v>533</v>
      </c>
      <c r="H452" t="b">
        <v>0</v>
      </c>
      <c r="P452" t="b">
        <f>ISNUMBER(MATCH(Varieties[[#This Row],[Id]],SeedOrder[Id],0))</f>
        <v>0</v>
      </c>
      <c r="Q452" t="e">
        <v>#N/A</v>
      </c>
      <c r="R452" t="e">
        <v>#N/A</v>
      </c>
      <c r="S452" t="s">
        <v>991</v>
      </c>
    </row>
    <row r="453" spans="2:19" ht="15" customHeight="1">
      <c r="B453" t="str">
        <f>Varieties[[#This Row],[Company]] &amp; " " &amp;  Varieties[[#This Row],[Variety]]</f>
        <v>Uprising PACIFICO</v>
      </c>
      <c r="C453" t="s">
        <v>356</v>
      </c>
      <c r="D453" t="s">
        <v>1218</v>
      </c>
      <c r="E453" t="s">
        <v>655</v>
      </c>
      <c r="G453" t="s">
        <v>484</v>
      </c>
      <c r="H453" t="b">
        <v>1</v>
      </c>
      <c r="M453" s="30" t="s">
        <v>1294</v>
      </c>
      <c r="N453" s="30"/>
      <c r="O453" s="30"/>
      <c r="P453" s="30" t="b">
        <f>ISNUMBER(MATCH(Varieties[[#This Row],[Id]],SeedOrder[Id],0))</f>
        <v>0</v>
      </c>
      <c r="Q453" t="s">
        <v>2192</v>
      </c>
      <c r="R453" t="s">
        <v>2192</v>
      </c>
      <c r="S453" s="160" t="s">
        <v>1219</v>
      </c>
    </row>
    <row r="454" spans="2:19" ht="15" customHeight="1">
      <c r="B454" t="str">
        <f>Varieties[[#This Row],[Company]] &amp; " " &amp;  Varieties[[#This Row],[Variety]]</f>
        <v>Uprising Pacifico</v>
      </c>
      <c r="C454" t="s">
        <v>356</v>
      </c>
      <c r="E454" t="s">
        <v>1863</v>
      </c>
      <c r="G454" t="s">
        <v>484</v>
      </c>
      <c r="H454" t="b">
        <v>1</v>
      </c>
      <c r="P454" t="b">
        <f>ISNUMBER(MATCH(Varieties[[#This Row],[Id]],SeedOrder[Id],0))</f>
        <v>0</v>
      </c>
      <c r="Q454">
        <v>13000</v>
      </c>
      <c r="R454" t="s">
        <v>1242</v>
      </c>
      <c r="S454" s="160" t="s">
        <v>2158</v>
      </c>
    </row>
    <row r="455" spans="2:19" ht="15" customHeight="1">
      <c r="B455" t="str">
        <f>Varieties[[#This Row],[Company]] &amp; " " &amp;  Varieties[[#This Row],[Variety]]</f>
        <v>Moonglow Gardens Painted Pink</v>
      </c>
      <c r="C455" t="s">
        <v>136</v>
      </c>
      <c r="D455" t="s">
        <v>178</v>
      </c>
      <c r="E455" t="s">
        <v>2261</v>
      </c>
      <c r="G455" t="s">
        <v>2260</v>
      </c>
      <c r="H455" t="b">
        <v>0</v>
      </c>
      <c r="M455" t="s">
        <v>2262</v>
      </c>
      <c r="P455" t="b">
        <f>ISNUMBER(MATCH(Varieties[[#This Row],[Id]],SeedOrder[Id],0))</f>
        <v>0</v>
      </c>
      <c r="Q455" t="s">
        <v>2192</v>
      </c>
      <c r="R455" t="s">
        <v>2192</v>
      </c>
      <c r="S455" t="s">
        <v>2263</v>
      </c>
    </row>
    <row r="456" spans="2:19" ht="15" customHeight="1">
      <c r="B456" t="str">
        <f>Varieties[[#This Row],[Company]] &amp; " " &amp;  Varieties[[#This Row],[Variety]]</f>
        <v>Wild Garden Pampas Plume</v>
      </c>
      <c r="C456" t="s">
        <v>57</v>
      </c>
      <c r="E456" t="s">
        <v>1966</v>
      </c>
      <c r="G456" t="s">
        <v>526</v>
      </c>
      <c r="H456" t="b">
        <v>1</v>
      </c>
      <c r="P456" t="b">
        <f>ISNUMBER(MATCH(Varieties[[#This Row],[Id]],SeedOrder[Id],0))</f>
        <v>0</v>
      </c>
      <c r="Q456">
        <v>940</v>
      </c>
      <c r="R456" t="s">
        <v>1243</v>
      </c>
      <c r="S456" s="160" t="s">
        <v>2195</v>
      </c>
    </row>
    <row r="457" spans="2:19" ht="15" customHeight="1">
      <c r="B457" t="str">
        <f>Varieties[[#This Row],[Company]] &amp; " " &amp;  Varieties[[#This Row],[Variety]]</f>
        <v>High Mowing Panorama F1</v>
      </c>
      <c r="C457" t="s">
        <v>109</v>
      </c>
      <c r="E457" t="s">
        <v>2865</v>
      </c>
      <c r="G457" t="s">
        <v>482</v>
      </c>
      <c r="H457" t="b">
        <v>1</v>
      </c>
      <c r="P457" t="b">
        <f>ISNUMBER(MATCH(Varieties[[#This Row],[Id]],SeedOrder[Id],0))</f>
        <v>0</v>
      </c>
      <c r="Q457">
        <v>5776</v>
      </c>
      <c r="R457" t="s">
        <v>1242</v>
      </c>
      <c r="S457" t="s">
        <v>2927</v>
      </c>
    </row>
    <row r="458" spans="2:19" ht="15" customHeight="1">
      <c r="B458" t="str">
        <f>Varieties[[#This Row],[Company]] &amp; " " &amp;  Varieties[[#This Row],[Variety]]</f>
        <v>High Mowing Parade</v>
      </c>
      <c r="C458" t="s">
        <v>119</v>
      </c>
      <c r="E458" t="s">
        <v>1852</v>
      </c>
      <c r="G458" t="s">
        <v>482</v>
      </c>
      <c r="H458" t="b">
        <v>1</v>
      </c>
      <c r="P458" t="b">
        <f>ISNUMBER(MATCH(Varieties[[#This Row],[Id]],SeedOrder[Id],0))</f>
        <v>0</v>
      </c>
      <c r="Q458">
        <v>200000</v>
      </c>
      <c r="R458" t="s">
        <v>1241</v>
      </c>
      <c r="S458" s="160" t="s">
        <v>2071</v>
      </c>
    </row>
    <row r="459" spans="2:19" ht="15" customHeight="1">
      <c r="B459" t="str">
        <f>Varieties[[#This Row],[Company]] &amp; " " &amp;  Varieties[[#This Row],[Variety]]</f>
        <v>High Mowing Passat F1</v>
      </c>
      <c r="C459" t="s">
        <v>52</v>
      </c>
      <c r="E459" t="s">
        <v>1889</v>
      </c>
      <c r="G459" t="s">
        <v>482</v>
      </c>
      <c r="H459" t="b">
        <v>1</v>
      </c>
      <c r="P459" t="b">
        <f>ISNUMBER(MATCH(Varieties[[#This Row],[Id]],SeedOrder[Id],0))</f>
        <v>0</v>
      </c>
      <c r="Q459">
        <v>4800</v>
      </c>
      <c r="R459" t="s">
        <v>1242</v>
      </c>
      <c r="S459" s="160" t="s">
        <v>2048</v>
      </c>
    </row>
    <row r="460" spans="2:19" ht="15" customHeight="1">
      <c r="B460" t="str">
        <f>Varieties[[#This Row],[Company]] &amp; " " &amp;  Varieties[[#This Row],[Variety]]</f>
        <v>Strictly Medicinal Passionflower</v>
      </c>
      <c r="C460" t="s">
        <v>1080</v>
      </c>
      <c r="E460" t="s">
        <v>1081</v>
      </c>
      <c r="G460" t="s">
        <v>552</v>
      </c>
      <c r="H460" t="b">
        <v>1</v>
      </c>
      <c r="P460" t="b">
        <f>ISNUMBER(MATCH(Varieties[[#This Row],[Id]],SeedOrder[Id],0))</f>
        <v>0</v>
      </c>
      <c r="Q460" t="e">
        <v>#N/A</v>
      </c>
      <c r="R460" t="e">
        <v>#N/A</v>
      </c>
      <c r="S460" t="s">
        <v>1082</v>
      </c>
    </row>
    <row r="461" spans="2:19" ht="15" customHeight="1">
      <c r="B461" t="str">
        <f>Varieties[[#This Row],[Company]] &amp; " " &amp;  Varieties[[#This Row],[Variety]]</f>
        <v>High Mowing Patricia</v>
      </c>
      <c r="C461" t="s">
        <v>114</v>
      </c>
      <c r="E461" t="s">
        <v>2833</v>
      </c>
      <c r="G461" t="s">
        <v>482</v>
      </c>
      <c r="H461" t="b">
        <v>1</v>
      </c>
      <c r="P461" t="b">
        <f>ISNUMBER(MATCH(Varieties[[#This Row],[Id]],SeedOrder[Id],0))</f>
        <v>0</v>
      </c>
      <c r="Q461" s="249">
        <v>2650</v>
      </c>
      <c r="R461" t="s">
        <v>1242</v>
      </c>
      <c r="S461" t="s">
        <v>2903</v>
      </c>
    </row>
    <row r="462" spans="2:19" ht="15" customHeight="1">
      <c r="B462" t="str">
        <f>Varieties[[#This Row],[Company]] &amp; " " &amp;  Varieties[[#This Row],[Variety]]</f>
        <v>Adaptive Peace Bell</v>
      </c>
      <c r="C462" t="s">
        <v>112</v>
      </c>
      <c r="D462" t="s">
        <v>170</v>
      </c>
      <c r="E462" t="s">
        <v>646</v>
      </c>
      <c r="G462" t="s">
        <v>488</v>
      </c>
      <c r="H462" t="b">
        <v>1</v>
      </c>
      <c r="M462" t="s">
        <v>1143</v>
      </c>
      <c r="P462" t="b">
        <f>ISNUMBER(MATCH(Varieties[[#This Row],[Id]],SeedOrder[Id],0))</f>
        <v>0</v>
      </c>
      <c r="Q462">
        <v>100</v>
      </c>
      <c r="R462" t="s">
        <v>1243</v>
      </c>
      <c r="S462" t="s">
        <v>1144</v>
      </c>
    </row>
    <row r="463" spans="2:19" ht="15" customHeight="1">
      <c r="B463" t="str">
        <f>Varieties[[#This Row],[Company]] &amp; " " &amp;  Varieties[[#This Row],[Variety]]</f>
        <v>Johnny's Pearl</v>
      </c>
      <c r="C463" t="s">
        <v>114</v>
      </c>
      <c r="E463" t="s">
        <v>2832</v>
      </c>
      <c r="G463" s="268" t="s">
        <v>490</v>
      </c>
      <c r="H463" t="b">
        <v>1</v>
      </c>
      <c r="P463" t="b">
        <f>ISNUMBER(MATCH(Varieties[[#This Row],[Id]],SeedOrder[Id],0))</f>
        <v>0</v>
      </c>
      <c r="Q463" s="248">
        <v>60000</v>
      </c>
      <c r="R463" t="s">
        <v>1241</v>
      </c>
      <c r="S463" t="s">
        <v>2882</v>
      </c>
    </row>
    <row r="464" spans="2:19" ht="15" customHeight="1">
      <c r="B464" t="str">
        <f>Varieties[[#This Row],[Company]] &amp; " " &amp;  Varieties[[#This Row],[Variety]]</f>
        <v xml:space="preserve"> Pentland Brig</v>
      </c>
      <c r="C464" t="s">
        <v>88</v>
      </c>
      <c r="E464" t="s">
        <v>1576</v>
      </c>
      <c r="L464">
        <v>4</v>
      </c>
      <c r="M464" t="s">
        <v>1577</v>
      </c>
      <c r="P464" t="b">
        <f>ISNUMBER(MATCH(Varieties[[#This Row],[Id]],SeedOrder[Id],0))</f>
        <v>0</v>
      </c>
      <c r="Q464" t="e">
        <v>#N/A</v>
      </c>
      <c r="R464" t="e">
        <v>#N/A</v>
      </c>
    </row>
    <row r="465" spans="2:19" ht="15" customHeight="1">
      <c r="B465" t="str">
        <f>Varieties[[#This Row],[Company]] &amp; " " &amp;  Varieties[[#This Row],[Variety]]</f>
        <v>Wild Garden Perfection</v>
      </c>
      <c r="C465" t="s">
        <v>78</v>
      </c>
      <c r="E465" t="s">
        <v>530</v>
      </c>
      <c r="G465" t="s">
        <v>526</v>
      </c>
      <c r="H465" t="b">
        <v>1</v>
      </c>
      <c r="M465" t="s">
        <v>1051</v>
      </c>
      <c r="P465" t="b">
        <f>ISNUMBER(MATCH(Varieties[[#This Row],[Id]],SeedOrder[Id],0))</f>
        <v>0</v>
      </c>
      <c r="Q465">
        <v>7000</v>
      </c>
      <c r="R465" t="s">
        <v>1242</v>
      </c>
      <c r="S465" s="160" t="s">
        <v>1052</v>
      </c>
    </row>
    <row r="466" spans="2:19" ht="15" customHeight="1">
      <c r="B466" t="str">
        <f>Varieties[[#This Row],[Company]] &amp; " " &amp;  Varieties[[#This Row],[Variety]]</f>
        <v>Wild Garden Persian Broadleaf</v>
      </c>
      <c r="C466" t="s">
        <v>1777</v>
      </c>
      <c r="E466" t="s">
        <v>2007</v>
      </c>
      <c r="G466" t="s">
        <v>526</v>
      </c>
      <c r="H466" t="b">
        <v>1</v>
      </c>
      <c r="P466" t="b">
        <f>ISNUMBER(MATCH(Varieties[[#This Row],[Id]],SeedOrder[Id],0))</f>
        <v>0</v>
      </c>
      <c r="Q466">
        <v>10000</v>
      </c>
      <c r="R466" t="s">
        <v>1242</v>
      </c>
      <c r="S466" s="160" t="s">
        <v>2170</v>
      </c>
    </row>
    <row r="467" spans="2:19" ht="15" customHeight="1">
      <c r="B467" t="str">
        <f>Varieties[[#This Row],[Company]] &amp; " " &amp;  Varieties[[#This Row],[Variety]]</f>
        <v>Johnny's Persian Cress</v>
      </c>
      <c r="C467" t="s">
        <v>1777</v>
      </c>
      <c r="E467" t="s">
        <v>1969</v>
      </c>
      <c r="G467" t="s">
        <v>490</v>
      </c>
      <c r="H467" t="b">
        <v>1</v>
      </c>
      <c r="P467" t="b">
        <f>ISNUMBER(MATCH(Varieties[[#This Row],[Id]],SeedOrder[Id],0))</f>
        <v>0</v>
      </c>
      <c r="Q467">
        <v>12300</v>
      </c>
      <c r="R467" t="s">
        <v>1242</v>
      </c>
      <c r="S467" s="160" t="s">
        <v>2134</v>
      </c>
    </row>
    <row r="468" spans="2:19" ht="15" customHeight="1">
      <c r="B468" t="str">
        <f>Varieties[[#This Row],[Company]] &amp; " " &amp;  Varieties[[#This Row],[Variety]]</f>
        <v>Garden Hoard Peruvian</v>
      </c>
      <c r="C468" t="s">
        <v>82</v>
      </c>
      <c r="E468" t="s">
        <v>1358</v>
      </c>
      <c r="G468" t="s">
        <v>501</v>
      </c>
      <c r="H468" t="b">
        <v>1</v>
      </c>
      <c r="P468" t="b">
        <f>ISNUMBER(MATCH(Varieties[[#This Row],[Id]],SeedOrder[Id],0))</f>
        <v>0</v>
      </c>
      <c r="Q468" t="s">
        <v>2192</v>
      </c>
      <c r="R468" t="s">
        <v>2192</v>
      </c>
      <c r="S468" s="160" t="s">
        <v>2037</v>
      </c>
    </row>
    <row r="469" spans="2:19" ht="15" customHeight="1">
      <c r="B469" t="str">
        <f>Varieties[[#This Row],[Company]] &amp; " " &amp;  Varieties[[#This Row],[Variety]]</f>
        <v>Garden Hoard Peruvian Ground Cherry</v>
      </c>
      <c r="C469" t="s">
        <v>393</v>
      </c>
      <c r="E469" t="s">
        <v>2855</v>
      </c>
      <c r="G469" s="268" t="s">
        <v>501</v>
      </c>
      <c r="H469" t="b">
        <v>1</v>
      </c>
      <c r="P469" t="b">
        <f>ISNUMBER(MATCH(Varieties[[#This Row],[Id]],SeedOrder[Id],0))</f>
        <v>0</v>
      </c>
      <c r="Q469" t="s">
        <v>2916</v>
      </c>
      <c r="S469" t="s">
        <v>2037</v>
      </c>
    </row>
    <row r="470" spans="2:19" ht="15" customHeight="1">
      <c r="B470" t="str">
        <f>Varieties[[#This Row],[Company]] &amp; " " &amp;  Varieties[[#This Row],[Variety]]</f>
        <v>Adaptive Petch Siam</v>
      </c>
      <c r="C470" t="s">
        <v>76</v>
      </c>
      <c r="D470" t="s">
        <v>1010</v>
      </c>
      <c r="E470" t="s">
        <v>616</v>
      </c>
      <c r="G470" t="s">
        <v>488</v>
      </c>
      <c r="H470" t="b">
        <v>1</v>
      </c>
      <c r="M470" t="s">
        <v>1011</v>
      </c>
      <c r="P470" t="b">
        <f>ISNUMBER(MATCH(Varieties[[#This Row],[Id]],SeedOrder[Id],0))</f>
        <v>0</v>
      </c>
      <c r="Q470">
        <v>6000</v>
      </c>
      <c r="R470" t="s">
        <v>1242</v>
      </c>
      <c r="S470" t="s">
        <v>1012</v>
      </c>
    </row>
    <row r="471" spans="2:19" ht="15" customHeight="1">
      <c r="B471" t="str">
        <f>Varieties[[#This Row],[Company]] &amp; " " &amp;  Varieties[[#This Row],[Variety]]</f>
        <v xml:space="preserve"> Peter Wilcox</v>
      </c>
      <c r="C471" t="s">
        <v>113</v>
      </c>
      <c r="D471" t="s">
        <v>495</v>
      </c>
      <c r="E471" t="s">
        <v>1681</v>
      </c>
      <c r="L471">
        <v>3.98</v>
      </c>
      <c r="P471" t="b">
        <f>ISNUMBER(MATCH(Varieties[[#This Row],[Id]],SeedOrder[Id],0))</f>
        <v>0</v>
      </c>
      <c r="Q471" t="e">
        <v>#N/A</v>
      </c>
      <c r="R471" t="e">
        <v>#N/A</v>
      </c>
    </row>
    <row r="472" spans="2:19" ht="15" customHeight="1">
      <c r="B472" t="str">
        <f>Varieties[[#This Row],[Company]] &amp; " " &amp;  Varieties[[#This Row],[Variety]]</f>
        <v>Osborne Piccolima F1</v>
      </c>
      <c r="C472" t="s">
        <v>52</v>
      </c>
      <c r="E472" t="s">
        <v>2906</v>
      </c>
      <c r="G472" t="s">
        <v>503</v>
      </c>
      <c r="H472" t="b">
        <v>0</v>
      </c>
      <c r="P472" t="b">
        <f>ISNUMBER(MATCH(Varieties[[#This Row],[Id]],SeedOrder[Id],0))</f>
        <v>0</v>
      </c>
      <c r="Q472" t="s">
        <v>2916</v>
      </c>
      <c r="S472" t="s">
        <v>2907</v>
      </c>
    </row>
    <row r="473" spans="2:19" ht="15" customHeight="1">
      <c r="B473" t="str">
        <f>Varieties[[#This Row],[Company]] &amp; " " &amp;  Varieties[[#This Row],[Variety]]</f>
        <v>Wild Garden Picotee Pincushion Mix</v>
      </c>
      <c r="C473" t="s">
        <v>1769</v>
      </c>
      <c r="E473" t="s">
        <v>1987</v>
      </c>
      <c r="G473" t="s">
        <v>526</v>
      </c>
      <c r="H473" t="b">
        <v>1</v>
      </c>
      <c r="P473" t="b">
        <f>ISNUMBER(MATCH(Varieties[[#This Row],[Id]],SeedOrder[Id],0))</f>
        <v>0</v>
      </c>
      <c r="Q473">
        <v>444</v>
      </c>
      <c r="R473" t="s">
        <v>1243</v>
      </c>
      <c r="S473" s="160" t="s">
        <v>2177</v>
      </c>
    </row>
    <row r="474" spans="2:19" ht="15" customHeight="1">
      <c r="B474" t="str">
        <f>Varieties[[#This Row],[Company]] &amp; " " &amp;  Varieties[[#This Row],[Variety]]</f>
        <v>Adaptive Piedmont</v>
      </c>
      <c r="C474" t="s">
        <v>66</v>
      </c>
      <c r="E474" t="s">
        <v>518</v>
      </c>
      <c r="G474" t="s">
        <v>488</v>
      </c>
      <c r="H474" t="b">
        <v>1</v>
      </c>
      <c r="P474" t="b">
        <f>ISNUMBER(MATCH(Varieties[[#This Row],[Id]],SeedOrder[Id],0))</f>
        <v>0</v>
      </c>
      <c r="Q474">
        <v>400</v>
      </c>
      <c r="R474" t="s">
        <v>1243</v>
      </c>
      <c r="S474" s="160" t="s">
        <v>798</v>
      </c>
    </row>
    <row r="475" spans="2:19" ht="15" customHeight="1">
      <c r="B475" t="str">
        <f>Varieties[[#This Row],[Company]] &amp; " " &amp;  Varieties[[#This Row],[Variety]]</f>
        <v>Uprising PIENNOLO ROSSO</v>
      </c>
      <c r="C475" t="s">
        <v>136</v>
      </c>
      <c r="D475" t="s">
        <v>1129</v>
      </c>
      <c r="E475" t="s">
        <v>686</v>
      </c>
      <c r="G475" t="s">
        <v>484</v>
      </c>
      <c r="H475" t="b">
        <v>1</v>
      </c>
      <c r="M475" t="s">
        <v>1130</v>
      </c>
      <c r="P475" t="b">
        <f>ISNUMBER(MATCH(Varieties[[#This Row],[Id]],SeedOrder[Id],0))</f>
        <v>0</v>
      </c>
      <c r="Q475">
        <v>0</v>
      </c>
      <c r="R475">
        <v>0</v>
      </c>
      <c r="S475" t="s">
        <v>1131</v>
      </c>
    </row>
    <row r="476" spans="2:19" ht="15" customHeight="1">
      <c r="B476" t="str">
        <f>Varieties[[#This Row],[Company]] &amp; " " &amp;  Varieties[[#This Row],[Variety]]</f>
        <v>Johnny's Pink Berkeley Tie-Dye</v>
      </c>
      <c r="C476" t="s">
        <v>136</v>
      </c>
      <c r="D476" t="s">
        <v>427</v>
      </c>
      <c r="E476" t="s">
        <v>910</v>
      </c>
      <c r="G476" t="s">
        <v>490</v>
      </c>
      <c r="P476" t="b">
        <f>ISNUMBER(MATCH(Varieties[[#This Row],[Id]],SeedOrder[Id],0))</f>
        <v>0</v>
      </c>
      <c r="Q476" t="e">
        <v>#N/A</v>
      </c>
      <c r="R476" t="e">
        <v>#N/A</v>
      </c>
      <c r="S476" t="s">
        <v>1366</v>
      </c>
    </row>
    <row r="477" spans="2:19" ht="15" customHeight="1">
      <c r="B477" t="str">
        <f>Varieties[[#This Row],[Company]] &amp; " " &amp;  Varieties[[#This Row],[Variety]]</f>
        <v>A P Whaley Pink Jazz</v>
      </c>
      <c r="C477" t="s">
        <v>136</v>
      </c>
      <c r="E477" t="s">
        <v>3038</v>
      </c>
      <c r="G477" t="s">
        <v>3040</v>
      </c>
      <c r="H477" t="b">
        <v>1</v>
      </c>
      <c r="P477" t="b">
        <f>ISNUMBER(MATCH(Varieties[[#This Row],[Id]],SeedOrder[Id],0))</f>
        <v>1</v>
      </c>
      <c r="Q477" t="s">
        <v>2916</v>
      </c>
      <c r="S477" t="s">
        <v>3097</v>
      </c>
    </row>
    <row r="478" spans="2:19" ht="15" customHeight="1">
      <c r="B478" t="str">
        <f>Varieties[[#This Row],[Company]] &amp; " " &amp;  Varieties[[#This Row],[Variety]]</f>
        <v>Uprising Pinky</v>
      </c>
      <c r="C478" t="s">
        <v>136</v>
      </c>
      <c r="D478" t="s">
        <v>959</v>
      </c>
      <c r="E478" t="s">
        <v>696</v>
      </c>
      <c r="G478" t="s">
        <v>484</v>
      </c>
      <c r="H478" t="b">
        <v>1</v>
      </c>
      <c r="M478" t="s">
        <v>960</v>
      </c>
      <c r="P478" t="b">
        <f>ISNUMBER(MATCH(Varieties[[#This Row],[Id]],SeedOrder[Id],0))</f>
        <v>0</v>
      </c>
      <c r="Q478" t="s">
        <v>2192</v>
      </c>
      <c r="R478" t="s">
        <v>2192</v>
      </c>
      <c r="S478" s="160" t="s">
        <v>961</v>
      </c>
    </row>
    <row r="479" spans="2:19" ht="15" customHeight="1">
      <c r="B479" t="str">
        <f>Varieties[[#This Row],[Company]] &amp; " " &amp;  Varieties[[#This Row],[Variety]]</f>
        <v>Adaptive Poamoho Dark Long</v>
      </c>
      <c r="C479" t="s">
        <v>76</v>
      </c>
      <c r="D479" t="s">
        <v>962</v>
      </c>
      <c r="E479" t="s">
        <v>615</v>
      </c>
      <c r="G479" t="s">
        <v>488</v>
      </c>
      <c r="H479" t="b">
        <v>1</v>
      </c>
      <c r="M479" t="s">
        <v>963</v>
      </c>
      <c r="P479" t="b">
        <f>ISNUMBER(MATCH(Varieties[[#This Row],[Id]],SeedOrder[Id],0))</f>
        <v>0</v>
      </c>
      <c r="Q479">
        <v>6001</v>
      </c>
      <c r="R479" t="s">
        <v>1242</v>
      </c>
      <c r="S479" s="160" t="s">
        <v>964</v>
      </c>
    </row>
    <row r="480" spans="2:19" ht="15" customHeight="1">
      <c r="B480" t="str">
        <f>Varieties[[#This Row],[Company]] &amp; " " &amp;  Varieties[[#This Row],[Variety]]</f>
        <v>Uprising Pokey Joe</v>
      </c>
      <c r="C480" t="s">
        <v>62</v>
      </c>
      <c r="E480" t="s">
        <v>789</v>
      </c>
      <c r="G480" t="s">
        <v>484</v>
      </c>
      <c r="H480" t="b">
        <v>1</v>
      </c>
      <c r="P480" t="b">
        <f>ISNUMBER(MATCH(Varieties[[#This Row],[Id]],SeedOrder[Id],0))</f>
        <v>0</v>
      </c>
      <c r="Q480">
        <v>3800</v>
      </c>
      <c r="R480" t="s">
        <v>1242</v>
      </c>
      <c r="S480" s="160" t="s">
        <v>790</v>
      </c>
    </row>
    <row r="481" spans="2:19" ht="15" customHeight="1">
      <c r="B481" t="str">
        <f>Varieties[[#This Row],[Company]] &amp; " " &amp;  Varieties[[#This Row],[Variety]]</f>
        <v xml:space="preserve"> Polish</v>
      </c>
      <c r="C481" t="s">
        <v>136</v>
      </c>
      <c r="D481" t="s">
        <v>1178</v>
      </c>
      <c r="E481" t="s">
        <v>1183</v>
      </c>
      <c r="P481" t="b">
        <f>ISNUMBER(MATCH(Varieties[[#This Row],[Id]],SeedOrder[Id],0))</f>
        <v>0</v>
      </c>
      <c r="Q481" t="e">
        <v>#N/A</v>
      </c>
      <c r="R481" t="e">
        <v>#N/A</v>
      </c>
    </row>
    <row r="482" spans="2:19" ht="15" customHeight="1">
      <c r="B482" t="str">
        <f>Varieties[[#This Row],[Company]] &amp; " " &amp;  Varieties[[#This Row],[Variety]]</f>
        <v>Adaptive Polish White</v>
      </c>
      <c r="C482" t="s">
        <v>80</v>
      </c>
      <c r="E482" t="s">
        <v>532</v>
      </c>
      <c r="G482" t="s">
        <v>488</v>
      </c>
      <c r="H482" t="b">
        <v>1</v>
      </c>
      <c r="P482" t="b">
        <f>ISNUMBER(MATCH(Varieties[[#This Row],[Id]],SeedOrder[Id],0))</f>
        <v>0</v>
      </c>
      <c r="Q482" t="e">
        <v>#N/A</v>
      </c>
      <c r="R482" t="e">
        <v>#N/A</v>
      </c>
      <c r="S482" t="s">
        <v>839</v>
      </c>
    </row>
    <row r="483" spans="2:19" ht="15" customHeight="1">
      <c r="B483" t="str">
        <f>Varieties[[#This Row],[Company]] &amp; " " &amp;  Varieties[[#This Row],[Variety]]</f>
        <v>High Mowing Polka dot (mix)</v>
      </c>
      <c r="C483" t="s">
        <v>65</v>
      </c>
      <c r="E483" t="s">
        <v>591</v>
      </c>
      <c r="G483" t="s">
        <v>482</v>
      </c>
      <c r="H483" t="b">
        <v>1</v>
      </c>
      <c r="P483" t="b">
        <f>ISNUMBER(MATCH(Varieties[[#This Row],[Id]],SeedOrder[Id],0))</f>
        <v>0</v>
      </c>
      <c r="Q483">
        <v>6250</v>
      </c>
      <c r="R483" t="s">
        <v>1242</v>
      </c>
      <c r="S483" t="s">
        <v>730</v>
      </c>
    </row>
    <row r="484" spans="2:19" ht="15" customHeight="1">
      <c r="B484" t="str">
        <f>Varieties[[#This Row],[Company]] &amp; " " &amp;  Varieties[[#This Row],[Variety]]</f>
        <v>Johnny's Poniente</v>
      </c>
      <c r="C484" t="s">
        <v>70</v>
      </c>
      <c r="E484" t="s">
        <v>804</v>
      </c>
      <c r="G484" t="s">
        <v>490</v>
      </c>
      <c r="H484" t="b">
        <v>1</v>
      </c>
      <c r="M484" t="s">
        <v>805</v>
      </c>
      <c r="P484" t="b">
        <f>ISNUMBER(MATCH(Varieties[[#This Row],[Id]],SeedOrder[Id],0))</f>
        <v>0</v>
      </c>
      <c r="Q484" t="e">
        <v>#N/A</v>
      </c>
      <c r="R484" t="e">
        <v>#N/A</v>
      </c>
      <c r="S484" t="s">
        <v>1367</v>
      </c>
    </row>
    <row r="485" spans="2:19" ht="15" customHeight="1">
      <c r="B485" t="str">
        <f>Varieties[[#This Row],[Company]] &amp; " " &amp;  Varieties[[#This Row],[Variety]]</f>
        <v>Osborne Pork Chop</v>
      </c>
      <c r="C485" t="s">
        <v>136</v>
      </c>
      <c r="D485" t="s">
        <v>427</v>
      </c>
      <c r="E485" t="s">
        <v>965</v>
      </c>
      <c r="G485" t="s">
        <v>503</v>
      </c>
      <c r="H485" t="b">
        <v>1</v>
      </c>
      <c r="P485" t="b">
        <f>ISNUMBER(MATCH(Varieties[[#This Row],[Id]],SeedOrder[Id],0))</f>
        <v>1</v>
      </c>
      <c r="Q485">
        <v>147000</v>
      </c>
      <c r="R485" t="s">
        <v>1241</v>
      </c>
      <c r="S485" s="160" t="s">
        <v>966</v>
      </c>
    </row>
    <row r="486" spans="2:19" ht="15" customHeight="1">
      <c r="B486" t="str">
        <f>Varieties[[#This Row],[Company]] &amp; " " &amp;  Varieties[[#This Row],[Variety]]</f>
        <v>Wild Garden Praire Sun</v>
      </c>
      <c r="C486" t="s">
        <v>140</v>
      </c>
      <c r="E486" t="s">
        <v>925</v>
      </c>
      <c r="G486" t="s">
        <v>526</v>
      </c>
      <c r="H486" t="b">
        <v>1</v>
      </c>
      <c r="P486" t="b">
        <f>ISNUMBER(MATCH(Varieties[[#This Row],[Id]],SeedOrder[Id],0))</f>
        <v>0</v>
      </c>
      <c r="Q486" t="e">
        <v>#N/A</v>
      </c>
      <c r="R486" t="e">
        <v>#N/A</v>
      </c>
      <c r="S486" t="s">
        <v>926</v>
      </c>
    </row>
    <row r="487" spans="2:19" ht="15" customHeight="1">
      <c r="B487" t="str">
        <f>Varieties[[#This Row],[Company]] &amp; " " &amp;  Varieties[[#This Row],[Variety]]</f>
        <v>Uprising Prescott Fond Blanc</v>
      </c>
      <c r="C487" t="s">
        <v>98</v>
      </c>
      <c r="E487" t="s">
        <v>1286</v>
      </c>
      <c r="G487" t="s">
        <v>484</v>
      </c>
      <c r="H487" t="b">
        <v>1</v>
      </c>
      <c r="M487" s="30" t="s">
        <v>1285</v>
      </c>
      <c r="N487" s="30"/>
      <c r="O487" s="30"/>
      <c r="P487" s="30" t="b">
        <f>ISNUMBER(MATCH(Varieties[[#This Row],[Id]],SeedOrder[Id],0))</f>
        <v>0</v>
      </c>
      <c r="Q487" t="s">
        <v>2192</v>
      </c>
      <c r="R487" t="s">
        <v>2192</v>
      </c>
      <c r="S487" s="160" t="s">
        <v>1284</v>
      </c>
    </row>
    <row r="488" spans="2:19" ht="15" customHeight="1">
      <c r="B488" t="str">
        <f>Varieties[[#This Row],[Company]] &amp; " " &amp;  Varieties[[#This Row],[Variety]]</f>
        <v>High Mowing Primero Red F1</v>
      </c>
      <c r="C488" t="s">
        <v>112</v>
      </c>
      <c r="D488" t="s">
        <v>171</v>
      </c>
      <c r="E488" t="s">
        <v>2241</v>
      </c>
      <c r="G488" t="s">
        <v>482</v>
      </c>
      <c r="L488">
        <v>4</v>
      </c>
      <c r="M488" t="s">
        <v>1564</v>
      </c>
      <c r="P488" t="b">
        <f>ISNUMBER(MATCH(Varieties[[#This Row],[Id]],SeedOrder[Id],0))</f>
        <v>0</v>
      </c>
      <c r="Q488">
        <v>6500</v>
      </c>
      <c r="R488" t="s">
        <v>1242</v>
      </c>
      <c r="S488" t="s">
        <v>2279</v>
      </c>
    </row>
    <row r="489" spans="2:19" ht="15" customHeight="1">
      <c r="B489" t="str">
        <f>Varieties[[#This Row],[Company]] &amp; " " &amp;  Varieties[[#This Row],[Variety]]</f>
        <v>Johnny's Procut Peach</v>
      </c>
      <c r="C489" t="s">
        <v>130</v>
      </c>
      <c r="E489" t="s">
        <v>1995</v>
      </c>
      <c r="G489" t="s">
        <v>490</v>
      </c>
      <c r="H489" t="b">
        <v>0</v>
      </c>
      <c r="P489" t="b">
        <f>ISNUMBER(MATCH(Varieties[[#This Row],[Id]],SeedOrder[Id],0))</f>
        <v>0</v>
      </c>
      <c r="Q489">
        <v>400</v>
      </c>
      <c r="R489" t="s">
        <v>1242</v>
      </c>
      <c r="S489" s="160" t="s">
        <v>2120</v>
      </c>
    </row>
    <row r="490" spans="2:19" ht="15" customHeight="1">
      <c r="B490" t="str">
        <f>Varieties[[#This Row],[Company]] &amp; " " &amp;  Varieties[[#This Row],[Variety]]</f>
        <v>Osborne Procut White Lite</v>
      </c>
      <c r="C490" t="s">
        <v>130</v>
      </c>
      <c r="D490" t="s">
        <v>956</v>
      </c>
      <c r="E490" t="s">
        <v>588</v>
      </c>
      <c r="G490" t="s">
        <v>503</v>
      </c>
      <c r="H490" t="b">
        <v>0</v>
      </c>
      <c r="M490" t="s">
        <v>957</v>
      </c>
      <c r="P490" t="b">
        <f>ISNUMBER(MATCH(Varieties[[#This Row],[Id]],SeedOrder[Id],0))</f>
        <v>0</v>
      </c>
      <c r="Q490">
        <v>0</v>
      </c>
      <c r="R490">
        <v>0</v>
      </c>
      <c r="S490" t="s">
        <v>958</v>
      </c>
    </row>
    <row r="491" spans="2:19" ht="15" customHeight="1">
      <c r="B491" t="str">
        <f>Varieties[[#This Row],[Company]] &amp; " " &amp;  Varieties[[#This Row],[Variety]]</f>
        <v xml:space="preserve"> Prospera</v>
      </c>
      <c r="C491" t="s">
        <v>43</v>
      </c>
      <c r="D491" t="s">
        <v>149</v>
      </c>
      <c r="E491" t="s">
        <v>1550</v>
      </c>
      <c r="L491">
        <v>4.2</v>
      </c>
      <c r="M491" t="s">
        <v>1551</v>
      </c>
      <c r="P491" t="b">
        <f>ISNUMBER(MATCH(Varieties[[#This Row],[Id]],SeedOrder[Id],0))</f>
        <v>0</v>
      </c>
      <c r="Q491" t="e">
        <v>#N/A</v>
      </c>
      <c r="R491" t="e">
        <v>#N/A</v>
      </c>
    </row>
    <row r="492" spans="2:19" ht="15" customHeight="1">
      <c r="B492" t="str">
        <f>Varieties[[#This Row],[Company]] &amp; " " &amp;  Varieties[[#This Row],[Variety]]</f>
        <v>Johnny's Prospera</v>
      </c>
      <c r="C492" t="s">
        <v>43</v>
      </c>
      <c r="E492" t="s">
        <v>1550</v>
      </c>
      <c r="G492" t="s">
        <v>490</v>
      </c>
      <c r="H492" t="b">
        <v>1</v>
      </c>
      <c r="P492" t="b">
        <f>ISNUMBER(MATCH(Varieties[[#This Row],[Id]],SeedOrder[Id],0))</f>
        <v>0</v>
      </c>
      <c r="Q492">
        <v>18700</v>
      </c>
      <c r="R492" t="s">
        <v>1242</v>
      </c>
      <c r="S492" s="160" t="s">
        <v>2090</v>
      </c>
    </row>
    <row r="493" spans="2:19" ht="15" customHeight="1">
      <c r="B493" t="str">
        <f>Varieties[[#This Row],[Company]] &amp; " " &amp;  Varieties[[#This Row],[Variety]]</f>
        <v>High Mowing Prospera F1</v>
      </c>
      <c r="C493" t="s">
        <v>43</v>
      </c>
      <c r="E493" t="s">
        <v>2209</v>
      </c>
      <c r="G493" t="s">
        <v>482</v>
      </c>
      <c r="H493" t="b">
        <v>1</v>
      </c>
      <c r="P493" t="b">
        <f>ISNUMBER(MATCH(Varieties[[#This Row],[Id]],SeedOrder[Id],0))</f>
        <v>0</v>
      </c>
      <c r="Q493">
        <v>19900</v>
      </c>
      <c r="R493" t="s">
        <v>1242</v>
      </c>
      <c r="S493" s="160" t="s">
        <v>2210</v>
      </c>
    </row>
    <row r="494" spans="2:19" ht="15" customHeight="1">
      <c r="B494" t="str">
        <f>Varieties[[#This Row],[Company]] &amp; " " &amp;  Varieties[[#This Row],[Variety]]</f>
        <v>Johnny's Prospera® Active Thai-Thai F1 Basil</v>
      </c>
      <c r="C494" t="s">
        <v>43</v>
      </c>
      <c r="E494" t="s">
        <v>2782</v>
      </c>
      <c r="G494" s="268" t="s">
        <v>490</v>
      </c>
      <c r="H494" t="b">
        <v>1</v>
      </c>
      <c r="P494" t="b">
        <f>ISNUMBER(MATCH(Varieties[[#This Row],[Id]],SeedOrder[Id],0))</f>
        <v>0</v>
      </c>
      <c r="Q494">
        <v>19500</v>
      </c>
      <c r="R494" t="s">
        <v>1242</v>
      </c>
      <c r="S494" t="s">
        <v>2868</v>
      </c>
    </row>
    <row r="495" spans="2:19" ht="15" customHeight="1">
      <c r="B495" t="str">
        <f>Varieties[[#This Row],[Company]] &amp; " " &amp;  Varieties[[#This Row],[Variety]]</f>
        <v>High Mowing Provider</v>
      </c>
      <c r="C495" t="s">
        <v>44</v>
      </c>
      <c r="D495" t="s">
        <v>151</v>
      </c>
      <c r="E495" t="s">
        <v>747</v>
      </c>
      <c r="G495" t="s">
        <v>482</v>
      </c>
      <c r="H495" t="b">
        <v>1</v>
      </c>
      <c r="L495">
        <v>4.4000000000000004</v>
      </c>
      <c r="P495" t="b">
        <f>ISNUMBER(MATCH(Varieties[[#This Row],[Id]],SeedOrder[Id],0))</f>
        <v>0</v>
      </c>
      <c r="Q495" t="e">
        <v>#N/A</v>
      </c>
      <c r="R495" t="e">
        <v>#N/A</v>
      </c>
      <c r="S495" t="s">
        <v>748</v>
      </c>
    </row>
    <row r="496" spans="2:19" ht="15" customHeight="1">
      <c r="B496" t="str">
        <f>Varieties[[#This Row],[Company]] &amp; " " &amp;  Varieties[[#This Row],[Variety]]</f>
        <v>Seed Savers Purple</v>
      </c>
      <c r="C496" t="s">
        <v>117</v>
      </c>
      <c r="E496" t="s">
        <v>743</v>
      </c>
      <c r="G496" t="s">
        <v>600</v>
      </c>
      <c r="H496" t="b">
        <v>1</v>
      </c>
      <c r="P496" t="b">
        <f>ISNUMBER(MATCH(Varieties[[#This Row],[Id]],SeedOrder[Id],0))</f>
        <v>0</v>
      </c>
      <c r="Q496" t="s">
        <v>2192</v>
      </c>
      <c r="R496" t="s">
        <v>2192</v>
      </c>
      <c r="S496" s="160" t="s">
        <v>2147</v>
      </c>
    </row>
    <row r="497" spans="2:19" ht="15" customHeight="1">
      <c r="B497" t="str">
        <f>Varieties[[#This Row],[Company]] &amp; " " &amp;  Varieties[[#This Row],[Variety]]</f>
        <v>Wild Garden Purple</v>
      </c>
      <c r="C497" t="s">
        <v>117</v>
      </c>
      <c r="E497" t="s">
        <v>743</v>
      </c>
      <c r="G497" t="s">
        <v>526</v>
      </c>
      <c r="P497" t="b">
        <f>ISNUMBER(MATCH(Varieties[[#This Row],[Id]],SeedOrder[Id],0))</f>
        <v>0</v>
      </c>
      <c r="S497" t="s">
        <v>2185</v>
      </c>
    </row>
    <row r="498" spans="2:19" ht="15" customHeight="1">
      <c r="B498" t="str">
        <f>Varieties[[#This Row],[Company]] &amp; " " &amp;  Varieties[[#This Row],[Variety]]</f>
        <v>Osborne Purple Haze</v>
      </c>
      <c r="C498" t="s">
        <v>53</v>
      </c>
      <c r="E498" t="s">
        <v>777</v>
      </c>
      <c r="G498" t="s">
        <v>503</v>
      </c>
      <c r="H498" t="b">
        <v>0</v>
      </c>
      <c r="P498" t="b">
        <f>ISNUMBER(MATCH(Varieties[[#This Row],[Id]],SeedOrder[Id],0))</f>
        <v>0</v>
      </c>
      <c r="Q498" t="e">
        <v>#N/A</v>
      </c>
      <c r="R498" t="e">
        <v>#N/A</v>
      </c>
      <c r="S498" t="s">
        <v>778</v>
      </c>
    </row>
    <row r="499" spans="2:19" ht="15" customHeight="1">
      <c r="B499" t="str">
        <f>Varieties[[#This Row],[Company]] &amp; " " &amp;  Varieties[[#This Row],[Variety]]</f>
        <v>Johnny's Purple Moon F1</v>
      </c>
      <c r="C499" t="s">
        <v>54</v>
      </c>
      <c r="E499" t="s">
        <v>1908</v>
      </c>
      <c r="G499" t="s">
        <v>490</v>
      </c>
      <c r="H499" t="b">
        <v>0</v>
      </c>
      <c r="P499" t="b">
        <f>ISNUMBER(MATCH(Varieties[[#This Row],[Id]],SeedOrder[Id],0))</f>
        <v>0</v>
      </c>
      <c r="Q499">
        <v>84000</v>
      </c>
      <c r="R499" t="s">
        <v>1241</v>
      </c>
      <c r="S499" s="160" t="s">
        <v>2094</v>
      </c>
    </row>
    <row r="500" spans="2:19" ht="15" customHeight="1">
      <c r="B500" t="str">
        <f>Varieties[[#This Row],[Company]] &amp; " " &amp;  Varieties[[#This Row],[Variety]]</f>
        <v xml:space="preserve"> Purple Pickling</v>
      </c>
      <c r="C500" t="s">
        <v>76</v>
      </c>
      <c r="E500" t="s">
        <v>1616</v>
      </c>
      <c r="L500">
        <v>3.8</v>
      </c>
      <c r="P500" t="b">
        <f>ISNUMBER(MATCH(Varieties[[#This Row],[Id]],SeedOrder[Id],0))</f>
        <v>0</v>
      </c>
      <c r="Q500" t="e">
        <v>#N/A</v>
      </c>
      <c r="R500" t="e">
        <v>#N/A</v>
      </c>
    </row>
    <row r="501" spans="2:19" ht="15" customHeight="1">
      <c r="B501" t="str">
        <f>Varieties[[#This Row],[Company]] &amp; " " &amp;  Varieties[[#This Row],[Variety]]</f>
        <v>Johnny's Purple Viking</v>
      </c>
      <c r="C501" t="s">
        <v>113</v>
      </c>
      <c r="E501" t="s">
        <v>2289</v>
      </c>
      <c r="G501" t="s">
        <v>490</v>
      </c>
      <c r="H501" t="b">
        <v>1</v>
      </c>
      <c r="P501" t="b">
        <f>ISNUMBER(MATCH(Varieties[[#This Row],[Id]],SeedOrder[Id],0))</f>
        <v>0</v>
      </c>
      <c r="Q501">
        <v>9</v>
      </c>
      <c r="R501" t="s">
        <v>1241</v>
      </c>
      <c r="S501" t="s">
        <v>2890</v>
      </c>
    </row>
    <row r="502" spans="2:19" ht="15" customHeight="1">
      <c r="B502" t="str">
        <f>Varieties[[#This Row],[Company]] &amp; " " &amp;  Varieties[[#This Row],[Variety]]</f>
        <v>Uprising Queen of Malinalco</v>
      </c>
      <c r="C502" t="s">
        <v>135</v>
      </c>
      <c r="E502" t="s">
        <v>480</v>
      </c>
      <c r="G502" t="s">
        <v>484</v>
      </c>
      <c r="H502" t="b">
        <v>1</v>
      </c>
      <c r="M502" t="s">
        <v>905</v>
      </c>
      <c r="P502" t="b">
        <f>ISNUMBER(MATCH(Varieties[[#This Row],[Id]],SeedOrder[Id],0))</f>
        <v>0</v>
      </c>
      <c r="Q502">
        <v>0</v>
      </c>
      <c r="R502">
        <v>0</v>
      </c>
      <c r="S502" t="s">
        <v>906</v>
      </c>
    </row>
    <row r="503" spans="2:19" ht="15" customHeight="1">
      <c r="B503" t="str">
        <f>Varieties[[#This Row],[Company]] &amp; " " &amp;  Varieties[[#This Row],[Variety]]</f>
        <v>Uprising Queen of Mallinalco</v>
      </c>
      <c r="C503" t="s">
        <v>135</v>
      </c>
      <c r="E503" t="s">
        <v>1942</v>
      </c>
      <c r="G503" t="s">
        <v>484</v>
      </c>
      <c r="H503" t="b">
        <v>1</v>
      </c>
      <c r="P503" t="b">
        <f>ISNUMBER(MATCH(Varieties[[#This Row],[Id]],SeedOrder[Id],0))</f>
        <v>0</v>
      </c>
      <c r="Q503" t="s">
        <v>2192</v>
      </c>
      <c r="R503" t="s">
        <v>2192</v>
      </c>
      <c r="S503" s="160" t="s">
        <v>2162</v>
      </c>
    </row>
    <row r="504" spans="2:19" ht="15" customHeight="1">
      <c r="B504" t="str">
        <f>Varieties[[#This Row],[Company]] &amp; " " &amp;  Varieties[[#This Row],[Variety]]</f>
        <v>Fedco Queen of Mallinalco</v>
      </c>
      <c r="C504" t="s">
        <v>135</v>
      </c>
      <c r="E504" t="s">
        <v>1942</v>
      </c>
      <c r="G504" t="s">
        <v>2023</v>
      </c>
      <c r="H504" t="b">
        <v>1</v>
      </c>
      <c r="P504" t="b">
        <f>ISNUMBER(MATCH(Varieties[[#This Row],[Id]],SeedOrder[Id],0))</f>
        <v>0</v>
      </c>
      <c r="Q504" t="s">
        <v>2192</v>
      </c>
      <c r="R504" t="s">
        <v>2192</v>
      </c>
      <c r="S504" s="160" t="s">
        <v>2278</v>
      </c>
    </row>
    <row r="505" spans="2:19" ht="15" customHeight="1">
      <c r="B505" t="str">
        <f>Varieties[[#This Row],[Company]] &amp; " " &amp;  Varieties[[#This Row],[Variety]]</f>
        <v>Uprising Queen of Mallinalco</v>
      </c>
      <c r="C505" t="s">
        <v>135</v>
      </c>
      <c r="E505" t="s">
        <v>1942</v>
      </c>
      <c r="G505" s="268" t="s">
        <v>484</v>
      </c>
      <c r="H505" t="b">
        <v>1</v>
      </c>
      <c r="P505" t="b">
        <f>ISNUMBER(MATCH(Varieties[[#This Row],[Id]],SeedOrder[Id],0))</f>
        <v>0</v>
      </c>
      <c r="Q505" t="s">
        <v>2916</v>
      </c>
      <c r="S505" t="s">
        <v>2932</v>
      </c>
    </row>
    <row r="506" spans="2:19" ht="15" customHeight="1">
      <c r="B506" t="str">
        <f>Varieties[[#This Row],[Company]] &amp; " " &amp;  Varieties[[#This Row],[Variety]]</f>
        <v>Adaptive Rak Tamachat</v>
      </c>
      <c r="C506" t="s">
        <v>62</v>
      </c>
      <c r="E506" t="s">
        <v>791</v>
      </c>
      <c r="G506" t="s">
        <v>488</v>
      </c>
      <c r="H506" t="b">
        <v>1</v>
      </c>
      <c r="P506" t="b">
        <f>ISNUMBER(MATCH(Varieties[[#This Row],[Id]],SeedOrder[Id],0))</f>
        <v>0</v>
      </c>
      <c r="Q506">
        <v>90</v>
      </c>
      <c r="R506" t="s">
        <v>1243</v>
      </c>
      <c r="S506" s="160" t="s">
        <v>792</v>
      </c>
    </row>
    <row r="507" spans="2:19" ht="15" customHeight="1">
      <c r="B507" t="str">
        <f>Varieties[[#This Row],[Company]] &amp; " " &amp;  Varieties[[#This Row],[Variety]]</f>
        <v>West Coast Ramrod</v>
      </c>
      <c r="C507" t="s">
        <v>845</v>
      </c>
      <c r="E507" t="s">
        <v>931</v>
      </c>
      <c r="G507" t="s">
        <v>1297</v>
      </c>
      <c r="H507" t="b">
        <v>1</v>
      </c>
      <c r="P507" t="b">
        <f>ISNUMBER(MATCH(Varieties[[#This Row],[Id]],SeedOrder[Id],0))</f>
        <v>0</v>
      </c>
      <c r="Q507" t="e">
        <v>#N/A</v>
      </c>
      <c r="R507" t="e">
        <v>#N/A</v>
      </c>
      <c r="S507" t="s">
        <v>932</v>
      </c>
    </row>
    <row r="508" spans="2:19" ht="15" customHeight="1">
      <c r="B508" t="str">
        <f>Varieties[[#This Row],[Company]] &amp; " " &amp;  Varieties[[#This Row],[Variety]]</f>
        <v>Seed Savers Rat Tail</v>
      </c>
      <c r="C508" t="s">
        <v>117</v>
      </c>
      <c r="E508" t="s">
        <v>660</v>
      </c>
      <c r="G508" t="s">
        <v>600</v>
      </c>
      <c r="H508" t="b">
        <v>1</v>
      </c>
      <c r="P508" t="b">
        <f>ISNUMBER(MATCH(Varieties[[#This Row],[Id]],SeedOrder[Id],0))</f>
        <v>0</v>
      </c>
      <c r="Q508">
        <v>0</v>
      </c>
      <c r="R508">
        <v>0</v>
      </c>
      <c r="S508" t="s">
        <v>915</v>
      </c>
    </row>
    <row r="509" spans="2:19" ht="15" customHeight="1">
      <c r="B509" t="str">
        <f>Varieties[[#This Row],[Company]] &amp; " " &amp;  Varieties[[#This Row],[Variety]]</f>
        <v>Seed Savers Rat Tail Purple</v>
      </c>
      <c r="C509" t="s">
        <v>117</v>
      </c>
      <c r="D509" t="s">
        <v>551</v>
      </c>
      <c r="E509" t="s">
        <v>659</v>
      </c>
      <c r="G509" t="s">
        <v>600</v>
      </c>
      <c r="H509" t="b">
        <v>1</v>
      </c>
      <c r="P509" t="b">
        <f>ISNUMBER(MATCH(Varieties[[#This Row],[Id]],SeedOrder[Id],0))</f>
        <v>0</v>
      </c>
      <c r="Q509" t="e">
        <v>#N/A</v>
      </c>
      <c r="R509" t="e">
        <v>#N/A</v>
      </c>
      <c r="S509" t="s">
        <v>1188</v>
      </c>
    </row>
    <row r="510" spans="2:19" ht="15" customHeight="1">
      <c r="B510" t="str">
        <f>Varieties[[#This Row],[Company]] &amp; " " &amp;  Varieties[[#This Row],[Variety]]</f>
        <v>High Mowing Rattlesnake</v>
      </c>
      <c r="C510" t="s">
        <v>44</v>
      </c>
      <c r="E510" t="s">
        <v>2786</v>
      </c>
      <c r="G510" s="268" t="s">
        <v>482</v>
      </c>
      <c r="H510" t="b">
        <v>1</v>
      </c>
      <c r="P510" t="b">
        <f>ISNUMBER(MATCH(Varieties[[#This Row],[Id]],SeedOrder[Id],0))</f>
        <v>0</v>
      </c>
      <c r="Q510">
        <v>145</v>
      </c>
      <c r="R510" t="s">
        <v>1242</v>
      </c>
      <c r="S510" t="s">
        <v>2894</v>
      </c>
    </row>
    <row r="511" spans="2:19" ht="15" customHeight="1">
      <c r="B511" t="str">
        <f>Varieties[[#This Row],[Company]] &amp; " " &amp;  Varieties[[#This Row],[Variety]]</f>
        <v>High Mowing Reaction F1</v>
      </c>
      <c r="C511" t="s">
        <v>52</v>
      </c>
      <c r="E511" t="s">
        <v>1894</v>
      </c>
      <c r="G511" t="s">
        <v>482</v>
      </c>
      <c r="H511" t="b">
        <v>1</v>
      </c>
      <c r="P511" t="b">
        <f>ISNUMBER(MATCH(Varieties[[#This Row],[Id]],SeedOrder[Id],0))</f>
        <v>0</v>
      </c>
      <c r="Q511">
        <v>4800</v>
      </c>
      <c r="R511" t="s">
        <v>1242</v>
      </c>
      <c r="S511" s="160" t="s">
        <v>2043</v>
      </c>
    </row>
    <row r="512" spans="2:19" ht="15" customHeight="1">
      <c r="B512" t="str">
        <f>Varieties[[#This Row],[Company]] &amp; " " &amp;  Varieties[[#This Row],[Variety]]</f>
        <v>Strictly Medicinal Red</v>
      </c>
      <c r="C512" t="s">
        <v>96</v>
      </c>
      <c r="E512" t="s">
        <v>551</v>
      </c>
      <c r="G512" t="s">
        <v>552</v>
      </c>
      <c r="H512" t="b">
        <v>1</v>
      </c>
      <c r="P512" t="b">
        <f>ISNUMBER(MATCH(Varieties[[#This Row],[Id]],SeedOrder[Id],0))</f>
        <v>0</v>
      </c>
      <c r="Q512">
        <v>0</v>
      </c>
      <c r="R512">
        <v>0</v>
      </c>
      <c r="S512" t="s">
        <v>871</v>
      </c>
    </row>
    <row r="513" spans="2:19" ht="15" customHeight="1">
      <c r="B513" t="str">
        <f>Varieties[[#This Row],[Company]] &amp; " " &amp;  Varieties[[#This Row],[Variety]]</f>
        <v>Johnny's Red Ace</v>
      </c>
      <c r="C513" t="s">
        <v>46</v>
      </c>
      <c r="E513" t="s">
        <v>597</v>
      </c>
      <c r="G513" t="s">
        <v>490</v>
      </c>
      <c r="H513" t="b">
        <v>1</v>
      </c>
      <c r="P513" t="b">
        <f>ISNUMBER(MATCH(Varieties[[#This Row],[Id]],SeedOrder[Id],0))</f>
        <v>0</v>
      </c>
      <c r="Q513" t="e">
        <v>#N/A</v>
      </c>
      <c r="R513" t="e">
        <v>#N/A</v>
      </c>
      <c r="S513" t="s">
        <v>1368</v>
      </c>
    </row>
    <row r="514" spans="2:19" ht="15" customHeight="1">
      <c r="B514" t="str">
        <f>Varieties[[#This Row],[Company]] &amp; " " &amp;  Varieties[[#This Row],[Variety]]</f>
        <v>Wild Garden Red Aztec Spinach</v>
      </c>
      <c r="C514" t="s">
        <v>84</v>
      </c>
      <c r="E514" t="s">
        <v>849</v>
      </c>
      <c r="G514" t="s">
        <v>526</v>
      </c>
      <c r="H514" t="b">
        <v>1</v>
      </c>
      <c r="P514" t="b">
        <f>ISNUMBER(MATCH(Varieties[[#This Row],[Id]],SeedOrder[Id],0))</f>
        <v>0</v>
      </c>
      <c r="Q514" t="e">
        <v>#N/A</v>
      </c>
      <c r="R514" t="e">
        <v>#N/A</v>
      </c>
      <c r="S514" t="s">
        <v>850</v>
      </c>
    </row>
    <row r="515" spans="2:19" ht="15" customHeight="1">
      <c r="B515" t="str">
        <f>Varieties[[#This Row],[Company]] &amp; " " &amp;  Varieties[[#This Row],[Variety]]</f>
        <v xml:space="preserve"> Red Carpet</v>
      </c>
      <c r="C515" t="s">
        <v>105</v>
      </c>
      <c r="D515" t="s">
        <v>551</v>
      </c>
      <c r="E515" t="s">
        <v>1663</v>
      </c>
      <c r="L515">
        <v>3.9</v>
      </c>
      <c r="P515" t="b">
        <f>ISNUMBER(MATCH(Varieties[[#This Row],[Id]],SeedOrder[Id],0))</f>
        <v>0</v>
      </c>
      <c r="Q515" t="e">
        <v>#N/A</v>
      </c>
      <c r="R515" t="e">
        <v>#N/A</v>
      </c>
    </row>
    <row r="516" spans="2:19" ht="15" customHeight="1">
      <c r="B516" t="str">
        <f>Varieties[[#This Row],[Company]] &amp; " " &amp;  Varieties[[#This Row],[Variety]]</f>
        <v>High Mowing Red Carpet  F1</v>
      </c>
      <c r="C516" t="s">
        <v>105</v>
      </c>
      <c r="E516" t="s">
        <v>1846</v>
      </c>
      <c r="G516" t="s">
        <v>482</v>
      </c>
      <c r="H516" t="b">
        <v>1</v>
      </c>
      <c r="P516" t="b">
        <f>ISNUMBER(MATCH(Varieties[[#This Row],[Id]],SeedOrder[Id],0))</f>
        <v>0</v>
      </c>
      <c r="Q516">
        <v>6000</v>
      </c>
      <c r="R516" t="s">
        <v>1242</v>
      </c>
      <c r="S516" s="160" t="s">
        <v>2066</v>
      </c>
    </row>
    <row r="517" spans="2:19" ht="15" customHeight="1">
      <c r="B517" t="str">
        <f>Varieties[[#This Row],[Company]] &amp; " " &amp;  Varieties[[#This Row],[Variety]]</f>
        <v>Johnny's Red Cloud</v>
      </c>
      <c r="C517" t="s">
        <v>729</v>
      </c>
      <c r="E517" t="s">
        <v>1816</v>
      </c>
      <c r="G517" t="s">
        <v>490</v>
      </c>
      <c r="H517" t="b">
        <v>0</v>
      </c>
      <c r="P517" t="b">
        <f>ISNUMBER(MATCH(Varieties[[#This Row],[Id]],SeedOrder[Id],0))</f>
        <v>0</v>
      </c>
      <c r="Q517">
        <v>27000</v>
      </c>
      <c r="R517" t="s">
        <v>1241</v>
      </c>
      <c r="S517" s="160" t="s">
        <v>2131</v>
      </c>
    </row>
    <row r="518" spans="2:19" ht="15" customHeight="1">
      <c r="B518" t="str">
        <f>Varieties[[#This Row],[Company]] &amp; " " &amp;  Varieties[[#This Row],[Variety]]</f>
        <v>Johnny's Red Cloud F1</v>
      </c>
      <c r="C518" t="s">
        <v>729</v>
      </c>
      <c r="E518" t="s">
        <v>1382</v>
      </c>
      <c r="G518" t="s">
        <v>490</v>
      </c>
      <c r="H518" t="b">
        <v>0</v>
      </c>
      <c r="P518" t="b">
        <f>ISNUMBER(MATCH(Varieties[[#This Row],[Id]],SeedOrder[Id],0))</f>
        <v>0</v>
      </c>
      <c r="Q518">
        <v>27000</v>
      </c>
      <c r="R518" t="s">
        <v>1241</v>
      </c>
      <c r="S518" s="160" t="s">
        <v>2131</v>
      </c>
    </row>
    <row r="519" spans="2:19" ht="15" customHeight="1">
      <c r="B519" t="str">
        <f>Varieties[[#This Row],[Company]] &amp; " " &amp;  Varieties[[#This Row],[Variety]]</f>
        <v>Seedway Red Deuce</v>
      </c>
      <c r="C519" t="s">
        <v>136</v>
      </c>
      <c r="E519" t="s">
        <v>3018</v>
      </c>
      <c r="G519" t="s">
        <v>3017</v>
      </c>
      <c r="H519" t="b">
        <v>0</v>
      </c>
      <c r="P519" t="b">
        <f>ISNUMBER(MATCH(Varieties[[#This Row],[Id]],SeedOrder[Id],0))</f>
        <v>1</v>
      </c>
      <c r="Q519" t="s">
        <v>2916</v>
      </c>
      <c r="S519" t="s">
        <v>3084</v>
      </c>
    </row>
    <row r="520" spans="2:19" ht="15" customHeight="1">
      <c r="B520" t="str">
        <f>Varieties[[#This Row],[Company]] &amp; " " &amp;  Varieties[[#This Row],[Variety]]</f>
        <v>High Mowing Red Express</v>
      </c>
      <c r="C520" t="s">
        <v>52</v>
      </c>
      <c r="E520" t="s">
        <v>1901</v>
      </c>
      <c r="G520" t="s">
        <v>482</v>
      </c>
      <c r="H520" t="b">
        <v>1</v>
      </c>
      <c r="P520" t="b">
        <f>ISNUMBER(MATCH(Varieties[[#This Row],[Id]],SeedOrder[Id],0))</f>
        <v>0</v>
      </c>
      <c r="Q520">
        <v>4800</v>
      </c>
      <c r="R520" t="s">
        <v>1242</v>
      </c>
      <c r="S520" s="160" t="s">
        <v>2047</v>
      </c>
    </row>
    <row r="521" spans="2:19" ht="15" customHeight="1">
      <c r="B521" t="str">
        <f>Varieties[[#This Row],[Company]] &amp; " " &amp;  Varieties[[#This Row],[Variety]]</f>
        <v>Johnny's Red Gem</v>
      </c>
      <c r="C521" t="s">
        <v>97</v>
      </c>
      <c r="E521" t="s">
        <v>1950</v>
      </c>
      <c r="G521" t="s">
        <v>490</v>
      </c>
      <c r="H521" t="b">
        <v>0</v>
      </c>
      <c r="P521" t="b">
        <f>ISNUMBER(MATCH(Varieties[[#This Row],[Id]],SeedOrder[Id],0))</f>
        <v>0</v>
      </c>
      <c r="Q521">
        <v>37300</v>
      </c>
      <c r="R521" t="s">
        <v>1242</v>
      </c>
      <c r="S521" s="160" t="s">
        <v>2105</v>
      </c>
    </row>
    <row r="522" spans="2:19" ht="15" customHeight="1">
      <c r="B522" t="str">
        <f>Varieties[[#This Row],[Company]] &amp; " " &amp;  Varieties[[#This Row],[Variety]]</f>
        <v>Johnny's Red Hedge</v>
      </c>
      <c r="C522" t="s">
        <v>130</v>
      </c>
      <c r="D522" t="s">
        <v>551</v>
      </c>
      <c r="E522" t="s">
        <v>587</v>
      </c>
      <c r="G522" t="s">
        <v>490</v>
      </c>
      <c r="H522" t="b">
        <v>0</v>
      </c>
      <c r="M522" t="s">
        <v>954</v>
      </c>
      <c r="P522" t="b">
        <f>ISNUMBER(MATCH(Varieties[[#This Row],[Id]],SeedOrder[Id],0))</f>
        <v>0</v>
      </c>
      <c r="Q522">
        <v>800</v>
      </c>
      <c r="R522" t="s">
        <v>1242</v>
      </c>
      <c r="S522" s="160" t="s">
        <v>955</v>
      </c>
    </row>
    <row r="523" spans="2:19" ht="15" customHeight="1">
      <c r="B523" t="str">
        <f>Varieties[[#This Row],[Company]] &amp; " " &amp;  Varieties[[#This Row],[Variety]]</f>
        <v>High Mowing Red Kuri</v>
      </c>
      <c r="C523" t="s">
        <v>124</v>
      </c>
      <c r="D523" t="s">
        <v>2189</v>
      </c>
      <c r="E523" t="s">
        <v>1938</v>
      </c>
      <c r="G523" t="s">
        <v>482</v>
      </c>
      <c r="H523" t="b">
        <v>1</v>
      </c>
      <c r="M523" t="s">
        <v>1226</v>
      </c>
      <c r="P523" t="b">
        <f>ISNUMBER(MATCH(Varieties[[#This Row],[Id]],SeedOrder[Id],0))</f>
        <v>1</v>
      </c>
      <c r="Q523">
        <v>90</v>
      </c>
      <c r="R523" t="s">
        <v>1242</v>
      </c>
      <c r="S523" s="160" t="s">
        <v>1227</v>
      </c>
    </row>
    <row r="524" spans="2:19" ht="15" customHeight="1">
      <c r="B524" t="str">
        <f>Varieties[[#This Row],[Company]] &amp; " " &amp;  Varieties[[#This Row],[Variety]]</f>
        <v>High Mowing Red Long of Florence</v>
      </c>
      <c r="C524" t="s">
        <v>105</v>
      </c>
      <c r="E524" t="s">
        <v>1843</v>
      </c>
      <c r="G524" t="s">
        <v>482</v>
      </c>
      <c r="H524" t="b">
        <v>1</v>
      </c>
      <c r="P524" t="b">
        <f>ISNUMBER(MATCH(Varieties[[#This Row],[Id]],SeedOrder[Id],0))</f>
        <v>0</v>
      </c>
      <c r="Q524">
        <v>6000</v>
      </c>
      <c r="R524" t="s">
        <v>1242</v>
      </c>
      <c r="S524" s="160" t="s">
        <v>2067</v>
      </c>
    </row>
    <row r="525" spans="2:19" ht="15" customHeight="1">
      <c r="B525" t="str">
        <f>Varieties[[#This Row],[Company]] &amp; " " &amp;  Varieties[[#This Row],[Variety]]</f>
        <v>Strictly Medicinal Red Malabar Spinach</v>
      </c>
      <c r="C525" t="s">
        <v>96</v>
      </c>
      <c r="E525" t="s">
        <v>1838</v>
      </c>
      <c r="G525" t="s">
        <v>552</v>
      </c>
      <c r="H525" t="b">
        <v>1</v>
      </c>
      <c r="P525" t="b">
        <f>ISNUMBER(MATCH(Varieties[[#This Row],[Id]],SeedOrder[Id],0))</f>
        <v>0</v>
      </c>
      <c r="Q525" t="s">
        <v>2192</v>
      </c>
      <c r="R525" t="s">
        <v>2192</v>
      </c>
      <c r="S525" s="160" t="s">
        <v>871</v>
      </c>
    </row>
    <row r="526" spans="2:19" ht="15" customHeight="1">
      <c r="B526" t="str">
        <f>Varieties[[#This Row],[Company]] &amp; " " &amp;  Varieties[[#This Row],[Variety]]</f>
        <v>Johnny's Red Norland</v>
      </c>
      <c r="C526" t="s">
        <v>113</v>
      </c>
      <c r="E526" t="s">
        <v>2829</v>
      </c>
      <c r="G526" s="268" t="s">
        <v>490</v>
      </c>
      <c r="H526" t="b">
        <v>1</v>
      </c>
      <c r="P526" t="b">
        <f>ISNUMBER(MATCH(Varieties[[#This Row],[Id]],SeedOrder[Id],0))</f>
        <v>0</v>
      </c>
      <c r="Q526">
        <v>9</v>
      </c>
      <c r="R526" t="s">
        <v>1241</v>
      </c>
      <c r="S526" t="s">
        <v>2891</v>
      </c>
    </row>
    <row r="527" spans="2:19" ht="15" customHeight="1">
      <c r="B527" t="str">
        <f>Varieties[[#This Row],[Company]] &amp; " " &amp;  Varieties[[#This Row],[Variety]]</f>
        <v>Harris Red Racer</v>
      </c>
      <c r="C527" t="s">
        <v>136</v>
      </c>
      <c r="E527" t="s">
        <v>3013</v>
      </c>
      <c r="G527" t="s">
        <v>3014</v>
      </c>
      <c r="H527" t="b">
        <v>1</v>
      </c>
      <c r="P527" t="b">
        <f>ISNUMBER(MATCH(Varieties[[#This Row],[Id]],SeedOrder[Id],0))</f>
        <v>1</v>
      </c>
      <c r="Q527" t="s">
        <v>2916</v>
      </c>
      <c r="S527" t="s">
        <v>3085</v>
      </c>
    </row>
    <row r="528" spans="2:19" ht="15" customHeight="1">
      <c r="B528" t="str">
        <f>Varieties[[#This Row],[Company]] &amp; " " &amp;  Varieties[[#This Row],[Variety]]</f>
        <v>Baker Creek RED RAT'S TAIL RADISH</v>
      </c>
      <c r="C528" t="s">
        <v>117</v>
      </c>
      <c r="D528" t="s">
        <v>551</v>
      </c>
      <c r="E528" t="s">
        <v>1107</v>
      </c>
      <c r="G528" t="s">
        <v>492</v>
      </c>
      <c r="H528" t="b">
        <v>1</v>
      </c>
      <c r="M528" t="s">
        <v>1108</v>
      </c>
      <c r="P528" t="b">
        <f>ISNUMBER(MATCH(Varieties[[#This Row],[Id]],SeedOrder[Id],0))</f>
        <v>0</v>
      </c>
      <c r="Q528" t="e">
        <v>#N/A</v>
      </c>
      <c r="R528" t="e">
        <v>#N/A</v>
      </c>
      <c r="S528" t="s">
        <v>1109</v>
      </c>
    </row>
    <row r="529" spans="2:19" ht="15" customHeight="1">
      <c r="B529" t="str">
        <f>Varieties[[#This Row],[Company]] &amp; " " &amp;  Varieties[[#This Row],[Variety]]</f>
        <v>High Mowing Red Russian</v>
      </c>
      <c r="C529" t="s">
        <v>88</v>
      </c>
      <c r="E529" t="s">
        <v>2224</v>
      </c>
      <c r="G529" t="s">
        <v>482</v>
      </c>
      <c r="H529" t="b">
        <v>1</v>
      </c>
      <c r="P529" t="b">
        <f>ISNUMBER(MATCH(Varieties[[#This Row],[Id]],SeedOrder[Id],0))</f>
        <v>0</v>
      </c>
      <c r="Q529" s="176">
        <v>133200</v>
      </c>
      <c r="R529" t="s">
        <v>1241</v>
      </c>
      <c r="S529" s="160" t="s">
        <v>2225</v>
      </c>
    </row>
    <row r="530" spans="2:19" ht="15" customHeight="1">
      <c r="B530" t="str">
        <f>Varieties[[#This Row],[Company]] &amp; " " &amp;  Varieties[[#This Row],[Variety]]</f>
        <v>Johnny's Red Spike</v>
      </c>
      <c r="C530" t="s">
        <v>41</v>
      </c>
      <c r="E530" t="s">
        <v>1945</v>
      </c>
      <c r="G530" t="s">
        <v>490</v>
      </c>
      <c r="H530" t="b">
        <v>0</v>
      </c>
      <c r="P530" t="b">
        <f>ISNUMBER(MATCH(Varieties[[#This Row],[Id]],SeedOrder[Id],0))</f>
        <v>0</v>
      </c>
      <c r="Q530">
        <v>40600</v>
      </c>
      <c r="R530" t="s">
        <v>1242</v>
      </c>
      <c r="S530" s="160" t="s">
        <v>2089</v>
      </c>
    </row>
    <row r="531" spans="2:19" ht="15" customHeight="1">
      <c r="B531" t="str">
        <f>Varieties[[#This Row],[Company]] &amp; " " &amp;  Varieties[[#This Row],[Variety]]</f>
        <v>Johnny's Red Spring</v>
      </c>
      <c r="C531" t="s">
        <v>105</v>
      </c>
      <c r="E531" t="s">
        <v>2820</v>
      </c>
      <c r="G531" t="s">
        <v>490</v>
      </c>
      <c r="H531" t="b">
        <v>0</v>
      </c>
      <c r="P531" t="b">
        <f>ISNUMBER(MATCH(Varieties[[#This Row],[Id]],SeedOrder[Id],0))</f>
        <v>0</v>
      </c>
      <c r="Q531" s="248">
        <v>121700</v>
      </c>
      <c r="R531" t="s">
        <v>1241</v>
      </c>
      <c r="S531" t="s">
        <v>2880</v>
      </c>
    </row>
    <row r="532" spans="2:19" ht="15" customHeight="1">
      <c r="B532" t="str">
        <f>Varieties[[#This Row],[Company]] &amp; " " &amp;  Varieties[[#This Row],[Variety]]</f>
        <v>Johnny's Red Sweet Crisp</v>
      </c>
      <c r="C532" t="s">
        <v>92</v>
      </c>
      <c r="E532" t="s">
        <v>1820</v>
      </c>
      <c r="G532" t="s">
        <v>490</v>
      </c>
      <c r="H532" t="b">
        <v>0</v>
      </c>
      <c r="I532" t="b">
        <v>1</v>
      </c>
      <c r="P532" t="b">
        <f>ISNUMBER(MATCH(Varieties[[#This Row],[Id]],SeedOrder[Id],0))</f>
        <v>0</v>
      </c>
      <c r="Q532">
        <v>780</v>
      </c>
      <c r="R532" t="s">
        <v>1242</v>
      </c>
      <c r="S532" s="160" t="s">
        <v>2096</v>
      </c>
    </row>
    <row r="533" spans="2:19" ht="15" customHeight="1">
      <c r="B533" t="str">
        <f>Varieties[[#This Row],[Company]] &amp; " " &amp;  Varieties[[#This Row],[Variety]]</f>
        <v>High Mowing Red Veined Sorrel</v>
      </c>
      <c r="C533" t="s">
        <v>122</v>
      </c>
      <c r="E533" t="s">
        <v>1928</v>
      </c>
      <c r="G533" t="s">
        <v>482</v>
      </c>
      <c r="H533" t="b">
        <v>1</v>
      </c>
      <c r="P533" t="b">
        <f>ISNUMBER(MATCH(Varieties[[#This Row],[Id]],SeedOrder[Id],0))</f>
        <v>0</v>
      </c>
      <c r="Q533">
        <v>11200</v>
      </c>
      <c r="R533" t="s">
        <v>1242</v>
      </c>
      <c r="S533" s="160" t="s">
        <v>2086</v>
      </c>
    </row>
    <row r="534" spans="2:19" ht="15" customHeight="1">
      <c r="B534" t="str">
        <f>Varieties[[#This Row],[Company]] &amp; " " &amp;  Varieties[[#This Row],[Variety]]</f>
        <v>Uprising Reds</v>
      </c>
      <c r="C534" t="s">
        <v>130</v>
      </c>
      <c r="D534" t="s">
        <v>551</v>
      </c>
      <c r="E534" t="s">
        <v>586</v>
      </c>
      <c r="G534" t="s">
        <v>484</v>
      </c>
      <c r="H534" t="b">
        <v>1</v>
      </c>
      <c r="M534" t="s">
        <v>952</v>
      </c>
      <c r="P534" t="b">
        <f>ISNUMBER(MATCH(Varieties[[#This Row],[Id]],SeedOrder[Id],0))</f>
        <v>0</v>
      </c>
      <c r="Q534">
        <v>0</v>
      </c>
      <c r="R534">
        <v>0</v>
      </c>
      <c r="S534" t="s">
        <v>953</v>
      </c>
    </row>
    <row r="535" spans="2:19" ht="15" customHeight="1">
      <c r="B535" t="str">
        <f>Varieties[[#This Row],[Company]] &amp; " " &amp;  Varieties[[#This Row],[Variety]]</f>
        <v>High Mowing Regiment F1</v>
      </c>
      <c r="C535" t="s">
        <v>123</v>
      </c>
      <c r="E535" t="s">
        <v>1929</v>
      </c>
      <c r="G535" t="s">
        <v>482</v>
      </c>
      <c r="H535" t="b">
        <v>1</v>
      </c>
      <c r="P535" t="b">
        <f>ISNUMBER(MATCH(Varieties[[#This Row],[Id]],SeedOrder[Id],0))</f>
        <v>0</v>
      </c>
      <c r="Q535">
        <v>2200</v>
      </c>
      <c r="R535" t="s">
        <v>1242</v>
      </c>
      <c r="S535" s="160" t="s">
        <v>2072</v>
      </c>
    </row>
    <row r="536" spans="2:19" ht="15" customHeight="1">
      <c r="B536" t="str">
        <f>Varieties[[#This Row],[Company]] &amp; " " &amp;  Varieties[[#This Row],[Variety]]</f>
        <v>Uprising REGINA ROSSA</v>
      </c>
      <c r="C536" t="s">
        <v>356</v>
      </c>
      <c r="D536" t="s">
        <v>1216</v>
      </c>
      <c r="E536" t="s">
        <v>657</v>
      </c>
      <c r="G536" t="s">
        <v>484</v>
      </c>
      <c r="H536" t="b">
        <v>1</v>
      </c>
      <c r="M536" s="30" t="s">
        <v>1295</v>
      </c>
      <c r="N536" s="30"/>
      <c r="O536" s="30"/>
      <c r="P536" s="30" t="b">
        <f>ISNUMBER(MATCH(Varieties[[#This Row],[Id]],SeedOrder[Id],0))</f>
        <v>0</v>
      </c>
      <c r="Q536">
        <v>18000</v>
      </c>
      <c r="R536" t="s">
        <v>1242</v>
      </c>
      <c r="S536" s="160" t="s">
        <v>1217</v>
      </c>
    </row>
    <row r="537" spans="2:19" ht="15" customHeight="1">
      <c r="B537" t="str">
        <f>Varieties[[#This Row],[Company]] &amp; " " &amp;  Varieties[[#This Row],[Variety]]</f>
        <v>Uprising Regina Rossa</v>
      </c>
      <c r="C537" t="s">
        <v>356</v>
      </c>
      <c r="E537" t="s">
        <v>1865</v>
      </c>
      <c r="G537" t="s">
        <v>484</v>
      </c>
      <c r="H537" t="b">
        <v>1</v>
      </c>
      <c r="P537" t="b">
        <f>ISNUMBER(MATCH(Varieties[[#This Row],[Id]],SeedOrder[Id],0))</f>
        <v>0</v>
      </c>
      <c r="Q537">
        <v>13000</v>
      </c>
      <c r="R537" t="s">
        <v>1242</v>
      </c>
      <c r="S537" s="160" t="s">
        <v>2159</v>
      </c>
    </row>
    <row r="538" spans="2:19" ht="15" customHeight="1">
      <c r="B538" t="str">
        <f>Varieties[[#This Row],[Company]] &amp; " " &amp;  Varieties[[#This Row],[Variety]]</f>
        <v>High Mowing Rhubard Supreme</v>
      </c>
      <c r="C538" t="s">
        <v>131</v>
      </c>
      <c r="E538" t="s">
        <v>2937</v>
      </c>
      <c r="G538" t="s">
        <v>482</v>
      </c>
      <c r="H538" t="b">
        <v>1</v>
      </c>
      <c r="P538" t="b">
        <f>ISNUMBER(MATCH(Varieties[[#This Row],[Id]],SeedOrder[Id],0))</f>
        <v>0</v>
      </c>
      <c r="Q538">
        <v>1500</v>
      </c>
      <c r="R538" t="s">
        <v>1242</v>
      </c>
      <c r="S538" t="s">
        <v>2941</v>
      </c>
    </row>
    <row r="539" spans="2:19" ht="15" customHeight="1">
      <c r="B539" t="str">
        <f>Varieties[[#This Row],[Company]] &amp; " " &amp;  Varieties[[#This Row],[Variety]]</f>
        <v>Osborne RICTUS LETTUCE - Pelleted</v>
      </c>
      <c r="C539" t="s">
        <v>92</v>
      </c>
      <c r="D539" t="s">
        <v>1048</v>
      </c>
      <c r="E539" t="s">
        <v>550</v>
      </c>
      <c r="G539" t="s">
        <v>503</v>
      </c>
      <c r="H539" t="b">
        <v>1</v>
      </c>
      <c r="M539" t="s">
        <v>1049</v>
      </c>
      <c r="P539" t="b">
        <f>ISNUMBER(MATCH(Varieties[[#This Row],[Id]],SeedOrder[Id],0))</f>
        <v>0</v>
      </c>
      <c r="Q539" t="e">
        <v>#N/A</v>
      </c>
      <c r="R539" t="e">
        <v>#N/A</v>
      </c>
      <c r="S539" t="s">
        <v>1050</v>
      </c>
    </row>
    <row r="540" spans="2:19" ht="15" customHeight="1">
      <c r="B540" t="str">
        <f>Varieties[[#This Row],[Company]] &amp; " " &amp;  Varieties[[#This Row],[Variety]]</f>
        <v>Row 7 Robin's Koginut</v>
      </c>
      <c r="C540" t="s">
        <v>124</v>
      </c>
      <c r="D540" t="s">
        <v>1138</v>
      </c>
      <c r="E540" t="s">
        <v>685</v>
      </c>
      <c r="G540" t="s">
        <v>602</v>
      </c>
      <c r="H540" t="b">
        <v>1</v>
      </c>
      <c r="M540" t="s">
        <v>1139</v>
      </c>
      <c r="P540" t="b">
        <f>ISNUMBER(MATCH(Varieties[[#This Row],[Id]],SeedOrder[Id],0))</f>
        <v>0</v>
      </c>
      <c r="Q540">
        <v>0</v>
      </c>
      <c r="R540">
        <v>0</v>
      </c>
      <c r="S540" t="s">
        <v>1140</v>
      </c>
    </row>
    <row r="541" spans="2:19" ht="15" customHeight="1">
      <c r="B541" t="str">
        <f>Varieties[[#This Row],[Company]] &amp; " " &amp;  Varieties[[#This Row],[Variety]]</f>
        <v>High Mowing Roggli Riesen</v>
      </c>
      <c r="C541" t="s">
        <v>1695</v>
      </c>
      <c r="E541" t="s">
        <v>1990</v>
      </c>
      <c r="G541" t="s">
        <v>482</v>
      </c>
      <c r="H541" t="b">
        <v>1</v>
      </c>
      <c r="P541" t="b">
        <f>ISNUMBER(MATCH(Varieties[[#This Row],[Id]],SeedOrder[Id],0))</f>
        <v>0</v>
      </c>
      <c r="Q541">
        <v>50000</v>
      </c>
      <c r="R541" t="s">
        <v>1242</v>
      </c>
      <c r="S541" s="160" t="s">
        <v>2087</v>
      </c>
    </row>
    <row r="542" spans="2:19" ht="15" customHeight="1">
      <c r="B542" t="str">
        <f>Varieties[[#This Row],[Company]] &amp; " " &amp;  Varieties[[#This Row],[Variety]]</f>
        <v xml:space="preserve"> Romance</v>
      </c>
      <c r="C542" t="s">
        <v>53</v>
      </c>
      <c r="D542" t="s">
        <v>208</v>
      </c>
      <c r="E542" t="s">
        <v>1578</v>
      </c>
      <c r="L542">
        <v>4</v>
      </c>
      <c r="M542" t="s">
        <v>1570</v>
      </c>
      <c r="P542" t="b">
        <f>ISNUMBER(MATCH(Varieties[[#This Row],[Id]],SeedOrder[Id],0))</f>
        <v>0</v>
      </c>
      <c r="Q542" t="e">
        <v>#N/A</v>
      </c>
      <c r="R542" t="e">
        <v>#N/A</v>
      </c>
    </row>
    <row r="543" spans="2:19" ht="15" customHeight="1">
      <c r="B543" t="str">
        <f>Varieties[[#This Row],[Company]] &amp; " " &amp;  Varieties[[#This Row],[Variety]]</f>
        <v>Johnny's Romance F1</v>
      </c>
      <c r="C543" t="s">
        <v>53</v>
      </c>
      <c r="E543" t="s">
        <v>2214</v>
      </c>
      <c r="G543" t="s">
        <v>490</v>
      </c>
      <c r="H543" t="b">
        <v>0</v>
      </c>
      <c r="P543" t="b">
        <f>ISNUMBER(MATCH(Varieties[[#This Row],[Id]],SeedOrder[Id],0))</f>
        <v>0</v>
      </c>
      <c r="Q543">
        <v>204000</v>
      </c>
      <c r="R543" t="s">
        <v>1241</v>
      </c>
      <c r="S543" s="160" t="s">
        <v>2092</v>
      </c>
    </row>
    <row r="544" spans="2:19" ht="15" customHeight="1">
      <c r="B544" t="str">
        <f>Varieties[[#This Row],[Company]] &amp; " " &amp;  Varieties[[#This Row],[Variety]]</f>
        <v>Territorial Romance F1</v>
      </c>
      <c r="C544" t="s">
        <v>53</v>
      </c>
      <c r="D544" t="s">
        <v>351</v>
      </c>
      <c r="E544" t="s">
        <v>2214</v>
      </c>
      <c r="G544" t="s">
        <v>533</v>
      </c>
      <c r="H544" t="b">
        <v>0</v>
      </c>
      <c r="P544" t="b">
        <f>ISNUMBER(MATCH(Varieties[[#This Row],[Id]],SeedOrder[Id],0))</f>
        <v>0</v>
      </c>
      <c r="Q544">
        <v>204000</v>
      </c>
      <c r="R544" t="s">
        <v>1241</v>
      </c>
      <c r="S544" s="160" t="s">
        <v>2215</v>
      </c>
    </row>
    <row r="545" spans="2:19" ht="15" customHeight="1">
      <c r="B545" t="str">
        <f>Varieties[[#This Row],[Company]] &amp; " " &amp;  Varieties[[#This Row],[Variety]]</f>
        <v>Adaptive Rose de Roscoff</v>
      </c>
      <c r="C545" t="s">
        <v>105</v>
      </c>
      <c r="E545" t="s">
        <v>1840</v>
      </c>
      <c r="G545" t="s">
        <v>488</v>
      </c>
      <c r="H545" t="b">
        <v>1</v>
      </c>
      <c r="P545" t="b">
        <f>ISNUMBER(MATCH(Varieties[[#This Row],[Id]],SeedOrder[Id],0))</f>
        <v>0</v>
      </c>
      <c r="Q545">
        <v>200</v>
      </c>
      <c r="R545" t="s">
        <v>1243</v>
      </c>
      <c r="S545" s="160" t="s">
        <v>1074</v>
      </c>
    </row>
    <row r="546" spans="2:19" ht="15" customHeight="1">
      <c r="B546" t="str">
        <f>Varieties[[#This Row],[Company]] &amp; " " &amp;  Varieties[[#This Row],[Variety]]</f>
        <v>Adaptive Rose de Roscoff Keravel</v>
      </c>
      <c r="C546" t="s">
        <v>105</v>
      </c>
      <c r="D546" t="s">
        <v>208</v>
      </c>
      <c r="E546" t="s">
        <v>636</v>
      </c>
      <c r="G546" t="s">
        <v>488</v>
      </c>
      <c r="H546" t="b">
        <v>1</v>
      </c>
      <c r="M546" t="s">
        <v>1073</v>
      </c>
      <c r="P546" t="b">
        <f>ISNUMBER(MATCH(Varieties[[#This Row],[Id]],SeedOrder[Id],0))</f>
        <v>0</v>
      </c>
      <c r="Q546">
        <v>200</v>
      </c>
      <c r="R546" t="s">
        <v>1243</v>
      </c>
      <c r="S546" t="s">
        <v>1074</v>
      </c>
    </row>
    <row r="547" spans="2:19" ht="15" customHeight="1">
      <c r="B547" t="str">
        <f>Varieties[[#This Row],[Company]] &amp; " " &amp;  Varieties[[#This Row],[Variety]]</f>
        <v>Baker Creek ROSE RED SOBA</v>
      </c>
      <c r="C547" t="s">
        <v>348</v>
      </c>
      <c r="D547" t="s">
        <v>551</v>
      </c>
      <c r="E547" t="s">
        <v>975</v>
      </c>
      <c r="G547" t="s">
        <v>492</v>
      </c>
      <c r="H547" t="b">
        <v>0</v>
      </c>
      <c r="M547" t="s">
        <v>976</v>
      </c>
      <c r="P547" t="b">
        <f>ISNUMBER(MATCH(Varieties[[#This Row],[Id]],SeedOrder[Id],0))</f>
        <v>0</v>
      </c>
      <c r="Q547" t="e">
        <v>#N/A</v>
      </c>
      <c r="R547" t="e">
        <v>#N/A</v>
      </c>
      <c r="S547" t="s">
        <v>977</v>
      </c>
    </row>
    <row r="548" spans="2:19" ht="15" customHeight="1">
      <c r="B548" t="str">
        <f>Varieties[[#This Row],[Company]] &amp; " " &amp;  Varieties[[#This Row],[Variety]]</f>
        <v>Kitazawa Roselle</v>
      </c>
      <c r="C548" t="s">
        <v>1715</v>
      </c>
      <c r="E548" t="s">
        <v>1715</v>
      </c>
      <c r="G548" t="s">
        <v>510</v>
      </c>
      <c r="H548" t="b">
        <v>0</v>
      </c>
      <c r="P548" t="b">
        <f>ISNUMBER(MATCH(Varieties[[#This Row],[Id]],SeedOrder[Id],0))</f>
        <v>0</v>
      </c>
      <c r="Q548">
        <v>720</v>
      </c>
      <c r="R548" t="s">
        <v>1242</v>
      </c>
      <c r="S548" s="160" t="s">
        <v>2143</v>
      </c>
    </row>
    <row r="549" spans="2:19" ht="15" customHeight="1">
      <c r="B549" t="str">
        <f>Varieties[[#This Row],[Company]] &amp; " " &amp;  Varieties[[#This Row],[Variety]]</f>
        <v>Everwilde Rosemary</v>
      </c>
      <c r="C549" t="s">
        <v>1698</v>
      </c>
      <c r="E549" t="s">
        <v>1698</v>
      </c>
      <c r="G549" t="s">
        <v>753</v>
      </c>
      <c r="H549" t="b">
        <v>1</v>
      </c>
      <c r="P549" t="b">
        <f>ISNUMBER(MATCH(Varieties[[#This Row],[Id]],SeedOrder[Id],0))</f>
        <v>0</v>
      </c>
      <c r="Q549" t="e">
        <v>#N/A</v>
      </c>
      <c r="R549" t="e">
        <v>#N/A</v>
      </c>
      <c r="S549" t="s">
        <v>1708</v>
      </c>
    </row>
    <row r="550" spans="2:19" ht="15" customHeight="1">
      <c r="B550" t="str">
        <f>Varieties[[#This Row],[Company]] &amp; " " &amp;  Varieties[[#This Row],[Variety]]</f>
        <v xml:space="preserve"> Rossa Di Milano</v>
      </c>
      <c r="C550" t="s">
        <v>105</v>
      </c>
      <c r="D550" t="s">
        <v>551</v>
      </c>
      <c r="E550" t="s">
        <v>1619</v>
      </c>
      <c r="L550">
        <v>4</v>
      </c>
      <c r="P550" t="b">
        <f>ISNUMBER(MATCH(Varieties[[#This Row],[Id]],SeedOrder[Id],0))</f>
        <v>0</v>
      </c>
      <c r="Q550" t="e">
        <v>#N/A</v>
      </c>
      <c r="R550" t="e">
        <v>#N/A</v>
      </c>
    </row>
    <row r="551" spans="2:19" ht="15" customHeight="1">
      <c r="B551" t="str">
        <f>Varieties[[#This Row],[Company]] &amp; " " &amp;  Varieties[[#This Row],[Variety]]</f>
        <v>High Mowing Rouge d'hiver</v>
      </c>
      <c r="C551" t="s">
        <v>92</v>
      </c>
      <c r="E551" t="s">
        <v>537</v>
      </c>
      <c r="G551" t="s">
        <v>482</v>
      </c>
      <c r="H551" t="b">
        <v>1</v>
      </c>
      <c r="M551" t="s">
        <v>1026</v>
      </c>
      <c r="P551" t="b">
        <f>ISNUMBER(MATCH(Varieties[[#This Row],[Id]],SeedOrder[Id],0))</f>
        <v>0</v>
      </c>
      <c r="Q551">
        <v>24000</v>
      </c>
      <c r="R551" t="s">
        <v>1242</v>
      </c>
      <c r="S551" s="160" t="s">
        <v>1027</v>
      </c>
    </row>
    <row r="552" spans="2:19" ht="15" customHeight="1">
      <c r="B552" t="str">
        <f>Varieties[[#This Row],[Company]] &amp; " " &amp;  Varieties[[#This Row],[Variety]]</f>
        <v>High Mowing Rouge D'Hiver</v>
      </c>
      <c r="C552" t="s">
        <v>92</v>
      </c>
      <c r="E552" t="s">
        <v>1819</v>
      </c>
      <c r="G552" t="s">
        <v>482</v>
      </c>
      <c r="H552" t="b">
        <v>1</v>
      </c>
      <c r="P552" t="b">
        <f>ISNUMBER(MATCH(Varieties[[#This Row],[Id]],SeedOrder[Id],0))</f>
        <v>0</v>
      </c>
      <c r="Q552">
        <v>24000</v>
      </c>
      <c r="R552" t="s">
        <v>1242</v>
      </c>
      <c r="S552" s="160" t="s">
        <v>1027</v>
      </c>
    </row>
    <row r="553" spans="2:19" ht="15" customHeight="1">
      <c r="B553" t="str">
        <f>Varieties[[#This Row],[Company]] &amp; " " &amp;  Varieties[[#This Row],[Variety]]</f>
        <v>Uprising Royal Bride</v>
      </c>
      <c r="C553" t="s">
        <v>121</v>
      </c>
      <c r="E553" t="s">
        <v>1377</v>
      </c>
      <c r="G553" t="s">
        <v>484</v>
      </c>
      <c r="H553" t="b">
        <v>1</v>
      </c>
      <c r="P553" t="b">
        <f>ISNUMBER(MATCH(Varieties[[#This Row],[Id]],SeedOrder[Id],0))</f>
        <v>0</v>
      </c>
      <c r="Q553" t="s">
        <v>2192</v>
      </c>
      <c r="R553" t="s">
        <v>2192</v>
      </c>
      <c r="S553" s="160" t="s">
        <v>2028</v>
      </c>
    </row>
    <row r="554" spans="2:19" ht="15" customHeight="1">
      <c r="B554" t="str">
        <f>Varieties[[#This Row],[Company]] &amp; " " &amp;  Varieties[[#This Row],[Variety]]</f>
        <v xml:space="preserve"> Rubro</v>
      </c>
      <c r="C554" t="s">
        <v>356</v>
      </c>
      <c r="D554" t="s">
        <v>1628</v>
      </c>
      <c r="E554" t="s">
        <v>1627</v>
      </c>
      <c r="L554">
        <v>3.5</v>
      </c>
      <c r="P554" t="b">
        <f>ISNUMBER(MATCH(Varieties[[#This Row],[Id]],SeedOrder[Id],0))</f>
        <v>0</v>
      </c>
      <c r="Q554" t="e">
        <v>#N/A</v>
      </c>
      <c r="R554" t="e">
        <v>#N/A</v>
      </c>
    </row>
    <row r="555" spans="2:19" ht="15" customHeight="1">
      <c r="B555" t="str">
        <f>Varieties[[#This Row],[Company]] &amp; " " &amp;  Varieties[[#This Row],[Variety]]</f>
        <v xml:space="preserve"> Ruby  Perfection</v>
      </c>
      <c r="C555" t="s">
        <v>52</v>
      </c>
      <c r="D555" t="s">
        <v>551</v>
      </c>
      <c r="E555" t="s">
        <v>1593</v>
      </c>
      <c r="L555">
        <v>3.6</v>
      </c>
      <c r="P555" t="b">
        <f>ISNUMBER(MATCH(Varieties[[#This Row],[Id]],SeedOrder[Id],0))</f>
        <v>0</v>
      </c>
      <c r="Q555" t="e">
        <v>#N/A</v>
      </c>
      <c r="R555" t="e">
        <v>#N/A</v>
      </c>
    </row>
    <row r="556" spans="2:19" ht="15" customHeight="1">
      <c r="B556" t="str">
        <f>Varieties[[#This Row],[Company]] &amp; " " &amp;  Varieties[[#This Row],[Variety]]</f>
        <v>Johnny's Ruby Moon</v>
      </c>
      <c r="C556" t="s">
        <v>44</v>
      </c>
      <c r="D556" t="s">
        <v>489</v>
      </c>
      <c r="E556" t="s">
        <v>489</v>
      </c>
      <c r="G556" t="s">
        <v>490</v>
      </c>
      <c r="H556" t="b">
        <v>0</v>
      </c>
      <c r="P556" t="b">
        <f>ISNUMBER(MATCH(Varieties[[#This Row],[Id]],SeedOrder[Id],0))</f>
        <v>0</v>
      </c>
      <c r="Q556">
        <v>1000</v>
      </c>
      <c r="R556" t="s">
        <v>1242</v>
      </c>
      <c r="S556" t="s">
        <v>755</v>
      </c>
    </row>
    <row r="557" spans="2:19" ht="15" customHeight="1">
      <c r="B557" t="str">
        <f>Varieties[[#This Row],[Company]] &amp; " " &amp;  Varieties[[#This Row],[Variety]]</f>
        <v>High Mowing Ruby Red</v>
      </c>
      <c r="C557" t="s">
        <v>131</v>
      </c>
      <c r="E557" t="s">
        <v>2938</v>
      </c>
      <c r="G557" t="s">
        <v>482</v>
      </c>
      <c r="H557" t="b">
        <v>1</v>
      </c>
      <c r="P557" t="b">
        <f>ISNUMBER(MATCH(Varieties[[#This Row],[Id]],SeedOrder[Id],0))</f>
        <v>0</v>
      </c>
      <c r="Q557">
        <v>1500</v>
      </c>
      <c r="R557" t="s">
        <v>1242</v>
      </c>
      <c r="S557" t="s">
        <v>2940</v>
      </c>
    </row>
    <row r="558" spans="2:19" ht="15" customHeight="1">
      <c r="B558" t="str">
        <f>Varieties[[#This Row],[Company]] &amp; " " &amp;  Varieties[[#This Row],[Variety]]</f>
        <v>High Mowing Rudbeckia hirta</v>
      </c>
      <c r="C558" t="s">
        <v>140</v>
      </c>
      <c r="E558" t="s">
        <v>663</v>
      </c>
      <c r="G558" t="s">
        <v>482</v>
      </c>
      <c r="H558" t="b">
        <v>1</v>
      </c>
      <c r="P558" t="b">
        <f>ISNUMBER(MATCH(Varieties[[#This Row],[Id]],SeedOrder[Id],0))</f>
        <v>0</v>
      </c>
      <c r="Q558" t="s">
        <v>2192</v>
      </c>
      <c r="R558" t="s">
        <v>2192</v>
      </c>
      <c r="S558" s="160" t="s">
        <v>920</v>
      </c>
    </row>
    <row r="559" spans="2:19" ht="15" customHeight="1">
      <c r="B559" t="str">
        <f>Varieties[[#This Row],[Company]] &amp; " " &amp;  Varieties[[#This Row],[Variety]]</f>
        <v>Adaptive Rudi</v>
      </c>
      <c r="C559" t="s">
        <v>114</v>
      </c>
      <c r="E559" t="s">
        <v>574</v>
      </c>
      <c r="G559" t="s">
        <v>488</v>
      </c>
      <c r="H559" t="b">
        <v>1</v>
      </c>
      <c r="M559" t="s">
        <v>1083</v>
      </c>
      <c r="P559" t="b">
        <f>ISNUMBER(MATCH(Varieties[[#This Row],[Id]],SeedOrder[Id],0))</f>
        <v>0</v>
      </c>
      <c r="Q559">
        <v>113</v>
      </c>
      <c r="R559" t="s">
        <v>1243</v>
      </c>
      <c r="S559" s="160" t="s">
        <v>1084</v>
      </c>
    </row>
    <row r="560" spans="2:19" ht="15" customHeight="1">
      <c r="B560" t="str">
        <f>Varieties[[#This Row],[Company]] &amp; " " &amp;  Varieties[[#This Row],[Variety]]</f>
        <v xml:space="preserve"> Rutger's Devotion</v>
      </c>
      <c r="C560" t="s">
        <v>43</v>
      </c>
      <c r="D560" t="s">
        <v>149</v>
      </c>
      <c r="E560" t="s">
        <v>1594</v>
      </c>
      <c r="L560">
        <v>4.0999999999999996</v>
      </c>
      <c r="P560" t="b">
        <f>ISNUMBER(MATCH(Varieties[[#This Row],[Id]],SeedOrder[Id],0))</f>
        <v>0</v>
      </c>
      <c r="Q560" t="e">
        <v>#N/A</v>
      </c>
      <c r="R560" t="e">
        <v>#N/A</v>
      </c>
    </row>
    <row r="561" spans="2:19" ht="15" customHeight="1">
      <c r="B561" t="str">
        <f>Varieties[[#This Row],[Company]] &amp; " " &amp;  Varieties[[#This Row],[Variety]]</f>
        <v>Uprising Sahara</v>
      </c>
      <c r="C561" t="s">
        <v>140</v>
      </c>
      <c r="E561" t="s">
        <v>661</v>
      </c>
      <c r="G561" t="s">
        <v>484</v>
      </c>
      <c r="H561" t="b">
        <v>1</v>
      </c>
      <c r="P561" t="b">
        <f>ISNUMBER(MATCH(Varieties[[#This Row],[Id]],SeedOrder[Id],0))</f>
        <v>0</v>
      </c>
      <c r="Q561" t="s">
        <v>2192</v>
      </c>
      <c r="R561" t="s">
        <v>2192</v>
      </c>
      <c r="S561" s="160" t="s">
        <v>918</v>
      </c>
    </row>
    <row r="562" spans="2:19" ht="15" customHeight="1">
      <c r="B562" t="str">
        <f>Varieties[[#This Row],[Company]] &amp; " " &amp;  Varieties[[#This Row],[Variety]]</f>
        <v>Johnny's Sakura OG</v>
      </c>
      <c r="C562" t="s">
        <v>136</v>
      </c>
      <c r="E562" t="s">
        <v>2848</v>
      </c>
      <c r="G562" t="s">
        <v>490</v>
      </c>
      <c r="H562" t="b">
        <v>1</v>
      </c>
      <c r="P562" t="b">
        <f>ISNUMBER(MATCH(Varieties[[#This Row],[Id]],SeedOrder[Id],0))</f>
        <v>0</v>
      </c>
      <c r="Q562" s="248">
        <v>14500</v>
      </c>
      <c r="R562" t="s">
        <v>1242</v>
      </c>
      <c r="S562" t="s">
        <v>2888</v>
      </c>
    </row>
    <row r="563" spans="2:19" ht="15" customHeight="1">
      <c r="B563" t="str">
        <f>Varieties[[#This Row],[Company]] &amp; " " &amp;  Varieties[[#This Row],[Variety]]</f>
        <v>Johnny's Salanova Red Oak Leaf</v>
      </c>
      <c r="C563" t="s">
        <v>92</v>
      </c>
      <c r="E563" t="s">
        <v>1822</v>
      </c>
      <c r="G563" t="s">
        <v>490</v>
      </c>
      <c r="H563" t="b">
        <v>0</v>
      </c>
      <c r="I563" t="b">
        <v>1</v>
      </c>
      <c r="P563" t="b">
        <f>ISNUMBER(MATCH(Varieties[[#This Row],[Id]],SeedOrder[Id],0))</f>
        <v>0</v>
      </c>
      <c r="Q563">
        <v>800</v>
      </c>
      <c r="R563" t="s">
        <v>1242</v>
      </c>
      <c r="S563" s="160" t="s">
        <v>2097</v>
      </c>
    </row>
    <row r="564" spans="2:19" ht="15" customHeight="1">
      <c r="B564" t="str">
        <f>Varieties[[#This Row],[Company]] &amp; " " &amp;  Varieties[[#This Row],[Variety]]</f>
        <v>Osborne Salmon Baby</v>
      </c>
      <c r="C564" t="s">
        <v>102</v>
      </c>
      <c r="E564" t="s">
        <v>631</v>
      </c>
      <c r="G564" t="s">
        <v>503</v>
      </c>
      <c r="H564" t="b">
        <v>0</v>
      </c>
      <c r="M564" t="s">
        <v>882</v>
      </c>
      <c r="P564" t="b">
        <f>ISNUMBER(MATCH(Varieties[[#This Row],[Id]],SeedOrder[Id],0))</f>
        <v>0</v>
      </c>
      <c r="Q564">
        <v>1000</v>
      </c>
      <c r="R564" t="s">
        <v>1242</v>
      </c>
      <c r="S564" t="s">
        <v>883</v>
      </c>
    </row>
    <row r="565" spans="2:19" ht="15" customHeight="1">
      <c r="B565" t="str">
        <f>Varieties[[#This Row],[Company]] &amp; " " &amp;  Varieties[[#This Row],[Variety]]</f>
        <v>Johnny's Salsola komarovii</v>
      </c>
      <c r="C565" t="s">
        <v>409</v>
      </c>
      <c r="E565" t="s">
        <v>673</v>
      </c>
      <c r="G565" t="s">
        <v>490</v>
      </c>
      <c r="H565" t="b">
        <v>0</v>
      </c>
      <c r="P565" t="b">
        <f>ISNUMBER(MATCH(Varieties[[#This Row],[Id]],SeedOrder[Id],0))</f>
        <v>0</v>
      </c>
      <c r="Q565">
        <v>7700</v>
      </c>
      <c r="R565" t="s">
        <v>1242</v>
      </c>
      <c r="S565" t="s">
        <v>717</v>
      </c>
    </row>
    <row r="566" spans="2:19" ht="15" customHeight="1">
      <c r="B566" t="str">
        <f>Varieties[[#This Row],[Company]] &amp; " " &amp;  Varieties[[#This Row],[Variety]]</f>
        <v>West Coast Salsola komarovii</v>
      </c>
      <c r="C566" t="s">
        <v>409</v>
      </c>
      <c r="E566" t="s">
        <v>673</v>
      </c>
      <c r="G566" t="s">
        <v>1297</v>
      </c>
      <c r="P566" t="b">
        <f>ISNUMBER(MATCH(Varieties[[#This Row],[Id]],SeedOrder[Id],0))</f>
        <v>0</v>
      </c>
      <c r="Q566" t="e">
        <v>#N/A</v>
      </c>
      <c r="R566" t="e">
        <v>#N/A</v>
      </c>
      <c r="S566" t="s">
        <v>718</v>
      </c>
    </row>
    <row r="567" spans="2:19" ht="15" customHeight="1">
      <c r="B567" t="str">
        <f>Varieties[[#This Row],[Company]] &amp; " " &amp;  Varieties[[#This Row],[Variety]]</f>
        <v>Johnny's Saltwort</v>
      </c>
      <c r="C567" t="s">
        <v>409</v>
      </c>
      <c r="E567" t="s">
        <v>1535</v>
      </c>
      <c r="G567" t="s">
        <v>490</v>
      </c>
      <c r="H567" t="b">
        <v>0</v>
      </c>
      <c r="P567" t="b">
        <f>ISNUMBER(MATCH(Varieties[[#This Row],[Id]],SeedOrder[Id],0))</f>
        <v>0</v>
      </c>
      <c r="Q567">
        <v>7700</v>
      </c>
      <c r="R567" t="s">
        <v>1242</v>
      </c>
      <c r="S567" s="160" t="s">
        <v>2113</v>
      </c>
    </row>
    <row r="568" spans="2:19" ht="15" customHeight="1">
      <c r="B568" t="str">
        <f>Varieties[[#This Row],[Company]] &amp; " " &amp;  Varieties[[#This Row],[Variety]]</f>
        <v>Seed Savers Salvaterra's Select</v>
      </c>
      <c r="C568" t="s">
        <v>136</v>
      </c>
      <c r="D568" t="s">
        <v>1155</v>
      </c>
      <c r="E568" t="s">
        <v>2275</v>
      </c>
      <c r="G568" t="s">
        <v>600</v>
      </c>
      <c r="H568" t="b">
        <v>1</v>
      </c>
      <c r="M568" t="s">
        <v>1587</v>
      </c>
      <c r="P568" t="b">
        <f>ISNUMBER(MATCH(Varieties[[#This Row],[Id]],SeedOrder[Id],0))</f>
        <v>0</v>
      </c>
      <c r="Q568">
        <v>15000</v>
      </c>
      <c r="R568" t="s">
        <v>1241</v>
      </c>
      <c r="S568" t="s">
        <v>1156</v>
      </c>
    </row>
    <row r="569" spans="2:19" ht="15" customHeight="1">
      <c r="B569" t="str">
        <f>Varieties[[#This Row],[Company]] &amp; " " &amp;  Varieties[[#This Row],[Variety]]</f>
        <v>Johnny's Sashimi</v>
      </c>
      <c r="C569" t="s">
        <v>70</v>
      </c>
      <c r="E569" t="s">
        <v>802</v>
      </c>
      <c r="G569" t="s">
        <v>490</v>
      </c>
      <c r="H569" t="b">
        <v>0</v>
      </c>
      <c r="M569" t="s">
        <v>803</v>
      </c>
      <c r="P569" t="b">
        <f>ISNUMBER(MATCH(Varieties[[#This Row],[Id]],SeedOrder[Id],0))</f>
        <v>0</v>
      </c>
      <c r="Q569" t="e">
        <v>#N/A</v>
      </c>
      <c r="R569" t="e">
        <v>#N/A</v>
      </c>
      <c r="S569" t="s">
        <v>1369</v>
      </c>
    </row>
    <row r="570" spans="2:19" ht="15" customHeight="1">
      <c r="B570" t="str">
        <f>Varieties[[#This Row],[Company]] &amp; " " &amp;  Varieties[[#This Row],[Variety]]</f>
        <v>Johnny's Scarlet Runner</v>
      </c>
      <c r="C570" t="s">
        <v>44</v>
      </c>
      <c r="D570" t="s">
        <v>491</v>
      </c>
      <c r="E570" t="s">
        <v>491</v>
      </c>
      <c r="G570" t="s">
        <v>490</v>
      </c>
      <c r="H570" t="b">
        <v>0</v>
      </c>
      <c r="P570" t="b">
        <f>ISNUMBER(MATCH(Varieties[[#This Row],[Id]],SeedOrder[Id],0))</f>
        <v>0</v>
      </c>
      <c r="Q570">
        <v>430</v>
      </c>
      <c r="R570" t="s">
        <v>1241</v>
      </c>
      <c r="S570" s="160" t="s">
        <v>756</v>
      </c>
    </row>
    <row r="571" spans="2:19" ht="15" customHeight="1">
      <c r="B571" t="str">
        <f>Varieties[[#This Row],[Company]] &amp; " " &amp;  Varieties[[#This Row],[Variety]]</f>
        <v>High Mowing Schwarzer Runder</v>
      </c>
      <c r="C571" t="s">
        <v>114</v>
      </c>
      <c r="E571" t="s">
        <v>1925</v>
      </c>
      <c r="G571" t="s">
        <v>482</v>
      </c>
      <c r="H571" t="b">
        <v>1</v>
      </c>
      <c r="P571" t="b">
        <f>ISNUMBER(MATCH(Varieties[[#This Row],[Id]],SeedOrder[Id],0))</f>
        <v>0</v>
      </c>
      <c r="Q571">
        <v>1800</v>
      </c>
      <c r="R571" t="s">
        <v>1242</v>
      </c>
      <c r="S571" s="160" t="s">
        <v>1091</v>
      </c>
    </row>
    <row r="572" spans="2:19" ht="15" customHeight="1">
      <c r="B572" t="str">
        <f>Varieties[[#This Row],[Company]] &amp; " " &amp;  Varieties[[#This Row],[Variety]]</f>
        <v>High Mowing SCHWARZER RUNDER RADISH</v>
      </c>
      <c r="C572" t="s">
        <v>114</v>
      </c>
      <c r="D572" t="s">
        <v>341</v>
      </c>
      <c r="E572" t="s">
        <v>671</v>
      </c>
      <c r="G572" t="s">
        <v>482</v>
      </c>
      <c r="H572" t="b">
        <v>1</v>
      </c>
      <c r="M572" t="s">
        <v>1090</v>
      </c>
      <c r="P572" t="b">
        <f>ISNUMBER(MATCH(Varieties[[#This Row],[Id]],SeedOrder[Id],0))</f>
        <v>0</v>
      </c>
      <c r="Q572">
        <v>2650</v>
      </c>
      <c r="R572" t="s">
        <v>1242</v>
      </c>
      <c r="S572" t="s">
        <v>1091</v>
      </c>
    </row>
    <row r="573" spans="2:19" ht="15" customHeight="1">
      <c r="B573" t="str">
        <f>Varieties[[#This Row],[Company]] &amp; " " &amp;  Varieties[[#This Row],[Variety]]</f>
        <v>Tomato Fest Sean's Yellow Dwarf</v>
      </c>
      <c r="C573" t="s">
        <v>136</v>
      </c>
      <c r="E573" s="268" t="s">
        <v>3028</v>
      </c>
      <c r="G573" s="268" t="s">
        <v>695</v>
      </c>
      <c r="H573" t="b">
        <v>1</v>
      </c>
      <c r="P573" t="b">
        <f>ISNUMBER(MATCH(Varieties[[#This Row],[Id]],SeedOrder[Id],0))</f>
        <v>1</v>
      </c>
      <c r="Q573" t="s">
        <v>2916</v>
      </c>
      <c r="S573" t="s">
        <v>3081</v>
      </c>
    </row>
    <row r="574" spans="2:19" ht="15" customHeight="1">
      <c r="B574" t="str">
        <f>Varieties[[#This Row],[Company]] &amp; " " &amp;  Varieties[[#This Row],[Variety]]</f>
        <v>High Mowing Sedona F1</v>
      </c>
      <c r="C574" t="s">
        <v>105</v>
      </c>
      <c r="E574" t="s">
        <v>2819</v>
      </c>
      <c r="G574" s="268" t="s">
        <v>482</v>
      </c>
      <c r="H574" t="b">
        <v>1</v>
      </c>
      <c r="P574" t="b">
        <f>ISNUMBER(MATCH(Varieties[[#This Row],[Id]],SeedOrder[Id],0))</f>
        <v>0</v>
      </c>
      <c r="Q574">
        <v>7000</v>
      </c>
      <c r="R574" t="s">
        <v>1242</v>
      </c>
      <c r="S574" t="s">
        <v>2902</v>
      </c>
    </row>
    <row r="575" spans="2:19" ht="15" customHeight="1">
      <c r="B575" t="str">
        <f>Varieties[[#This Row],[Company]] &amp; " " &amp;  Varieties[[#This Row],[Variety]]</f>
        <v>Adaptive Selma Fino</v>
      </c>
      <c r="C575" t="s">
        <v>78</v>
      </c>
      <c r="E575" t="s">
        <v>831</v>
      </c>
      <c r="G575" t="s">
        <v>488</v>
      </c>
      <c r="H575" t="b">
        <v>1</v>
      </c>
      <c r="M575" t="s">
        <v>832</v>
      </c>
      <c r="P575" t="b">
        <f>ISNUMBER(MATCH(Varieties[[#This Row],[Id]],SeedOrder[Id],0))</f>
        <v>0</v>
      </c>
      <c r="Q575" t="e">
        <v>#N/A</v>
      </c>
      <c r="R575" t="e">
        <v>#N/A</v>
      </c>
      <c r="S575" t="s">
        <v>833</v>
      </c>
    </row>
    <row r="576" spans="2:19" ht="15" customHeight="1">
      <c r="B576" t="str">
        <f>Varieties[[#This Row],[Company]] &amp; " " &amp;  Varieties[[#This Row],[Variety]]</f>
        <v xml:space="preserve"> Seppelin</v>
      </c>
      <c r="C576" t="s">
        <v>124</v>
      </c>
      <c r="D576" t="s">
        <v>341</v>
      </c>
      <c r="E576" t="s">
        <v>1644</v>
      </c>
      <c r="L576">
        <v>3.9</v>
      </c>
      <c r="P576" t="b">
        <f>ISNUMBER(MATCH(Varieties[[#This Row],[Id]],SeedOrder[Id],0))</f>
        <v>0</v>
      </c>
      <c r="Q576" t="e">
        <v>#N/A</v>
      </c>
      <c r="R576" t="e">
        <v>#N/A</v>
      </c>
    </row>
    <row r="577" spans="2:19" ht="15" customHeight="1">
      <c r="B577" t="str">
        <f>Varieties[[#This Row],[Company]] &amp; " " &amp;  Varieties[[#This Row],[Variety]]</f>
        <v>Wild Garden Shades of Gold Mix</v>
      </c>
      <c r="C577" t="s">
        <v>97</v>
      </c>
      <c r="E577" t="s">
        <v>627</v>
      </c>
      <c r="G577" t="s">
        <v>526</v>
      </c>
      <c r="H577" t="b">
        <v>1</v>
      </c>
      <c r="M577" t="s">
        <v>927</v>
      </c>
      <c r="P577" t="b">
        <f>ISNUMBER(MATCH(Varieties[[#This Row],[Id]],SeedOrder[Id],0))</f>
        <v>0</v>
      </c>
      <c r="Q577">
        <v>300</v>
      </c>
      <c r="R577" t="s">
        <v>1243</v>
      </c>
      <c r="S577" t="s">
        <v>928</v>
      </c>
    </row>
    <row r="578" spans="2:19" ht="15" customHeight="1">
      <c r="B578" t="str">
        <f>Varieties[[#This Row],[Company]] &amp; " " &amp;  Varieties[[#This Row],[Variety]]</f>
        <v>High Mowing Shanghai Green</v>
      </c>
      <c r="C578" t="s">
        <v>106</v>
      </c>
      <c r="E578" t="s">
        <v>889</v>
      </c>
      <c r="G578" t="s">
        <v>482</v>
      </c>
      <c r="H578" t="b">
        <v>1</v>
      </c>
      <c r="P578" t="b">
        <f>ISNUMBER(MATCH(Varieties[[#This Row],[Id]],SeedOrder[Id],0))</f>
        <v>0</v>
      </c>
      <c r="Q578" t="e">
        <v>#N/A</v>
      </c>
      <c r="R578" t="e">
        <v>#N/A</v>
      </c>
      <c r="S578" t="s">
        <v>890</v>
      </c>
    </row>
    <row r="579" spans="2:19" ht="15" customHeight="1">
      <c r="B579" t="str">
        <f>Varieties[[#This Row],[Company]] &amp; " " &amp;  Varieties[[#This Row],[Variety]]</f>
        <v>Baker Creek Shawo Fruit</v>
      </c>
      <c r="C579" t="s">
        <v>114</v>
      </c>
      <c r="E579" t="s">
        <v>1926</v>
      </c>
      <c r="G579" t="s">
        <v>492</v>
      </c>
      <c r="H579" t="b">
        <v>0</v>
      </c>
      <c r="P579" t="b">
        <f>ISNUMBER(MATCH(Varieties[[#This Row],[Id]],SeedOrder[Id],0))</f>
        <v>0</v>
      </c>
      <c r="Q579" t="s">
        <v>2192</v>
      </c>
      <c r="R579" t="s">
        <v>2192</v>
      </c>
      <c r="S579" s="160" t="s">
        <v>2034</v>
      </c>
    </row>
    <row r="580" spans="2:19" ht="15" customHeight="1">
      <c r="B580" t="str">
        <f>Varieties[[#This Row],[Company]] &amp; " " &amp;  Varieties[[#This Row],[Variety]]</f>
        <v>Baker Creek Shawo Fruit/ Pusa Gulabi</v>
      </c>
      <c r="C580" t="s">
        <v>114</v>
      </c>
      <c r="D580" t="s">
        <v>341</v>
      </c>
      <c r="E580" t="s">
        <v>668</v>
      </c>
      <c r="G580" t="s">
        <v>492</v>
      </c>
      <c r="H580" t="b">
        <v>1</v>
      </c>
      <c r="P580" t="b">
        <f>ISNUMBER(MATCH(Varieties[[#This Row],[Id]],SeedOrder[Id],0))</f>
        <v>0</v>
      </c>
      <c r="Q580" t="e">
        <v>#N/A</v>
      </c>
      <c r="R580" t="e">
        <v>#N/A</v>
      </c>
      <c r="S580" t="s">
        <v>879</v>
      </c>
    </row>
    <row r="581" spans="2:19" ht="15" customHeight="1">
      <c r="B581" t="str">
        <f>Varieties[[#This Row],[Company]] &amp; " " &amp;  Varieties[[#This Row],[Variety]]</f>
        <v>High Mowing SHIKOU F1 EGGPLANT</v>
      </c>
      <c r="C581" t="s">
        <v>76</v>
      </c>
      <c r="D581" t="s">
        <v>962</v>
      </c>
      <c r="E581" t="s">
        <v>1007</v>
      </c>
      <c r="G581" t="s">
        <v>482</v>
      </c>
      <c r="H581" t="b">
        <v>1</v>
      </c>
      <c r="M581" t="s">
        <v>1008</v>
      </c>
      <c r="P581" t="b">
        <f>ISNUMBER(MATCH(Varieties[[#This Row],[Id]],SeedOrder[Id],0))</f>
        <v>0</v>
      </c>
      <c r="Q581" t="e">
        <v>#N/A</v>
      </c>
      <c r="R581" t="e">
        <v>#N/A</v>
      </c>
      <c r="S581" t="s">
        <v>1009</v>
      </c>
    </row>
    <row r="582" spans="2:19" ht="15" customHeight="1">
      <c r="B582" t="str">
        <f>Varieties[[#This Row],[Company]] &amp; " " &amp;  Varieties[[#This Row],[Variety]]</f>
        <v>High Mowing Shintokiwa</v>
      </c>
      <c r="C582" t="s">
        <v>70</v>
      </c>
      <c r="E582" t="s">
        <v>2812</v>
      </c>
      <c r="G582" t="s">
        <v>482</v>
      </c>
      <c r="H582" t="b">
        <v>1</v>
      </c>
      <c r="P582" t="b">
        <f>ISNUMBER(MATCH(Varieties[[#This Row],[Id]],SeedOrder[Id],0))</f>
        <v>0</v>
      </c>
      <c r="Q582">
        <v>1100</v>
      </c>
      <c r="R582" t="s">
        <v>1242</v>
      </c>
      <c r="S582" t="s">
        <v>2899</v>
      </c>
    </row>
    <row r="583" spans="2:19" ht="15" customHeight="1">
      <c r="B583" t="str">
        <f>Varieties[[#This Row],[Company]] &amp; " " &amp;  Varieties[[#This Row],[Variety]]</f>
        <v>High Mowing Shishito</v>
      </c>
      <c r="C583" t="s">
        <v>1280</v>
      </c>
      <c r="E583" t="s">
        <v>848</v>
      </c>
      <c r="G583" t="s">
        <v>482</v>
      </c>
      <c r="H583" t="b">
        <v>1</v>
      </c>
      <c r="P583" t="b">
        <f>ISNUMBER(MATCH(Varieties[[#This Row],[Id]],SeedOrder[Id],0))</f>
        <v>0</v>
      </c>
      <c r="Q583">
        <v>71215</v>
      </c>
      <c r="R583" t="s">
        <v>1241</v>
      </c>
      <c r="S583" t="s">
        <v>2242</v>
      </c>
    </row>
    <row r="584" spans="2:19" ht="15" customHeight="1">
      <c r="B584" t="str">
        <f>Varieties[[#This Row],[Company]] &amp; " " &amp;  Varieties[[#This Row],[Variety]]</f>
        <v>Osborne Shishito</v>
      </c>
      <c r="C584" t="s">
        <v>112</v>
      </c>
      <c r="D584" t="s">
        <v>171</v>
      </c>
      <c r="E584" t="s">
        <v>848</v>
      </c>
      <c r="G584" t="s">
        <v>503</v>
      </c>
      <c r="H584" t="b">
        <v>1</v>
      </c>
      <c r="P584" t="b">
        <f>ISNUMBER(MATCH(Varieties[[#This Row],[Id]],SeedOrder[Id],0))</f>
        <v>0</v>
      </c>
      <c r="Q584">
        <v>71215</v>
      </c>
      <c r="R584" t="s">
        <v>1241</v>
      </c>
      <c r="S584" s="160" t="s">
        <v>2190</v>
      </c>
    </row>
    <row r="585" spans="2:19" ht="15" customHeight="1">
      <c r="B585" t="str">
        <f>Varieties[[#This Row],[Company]] &amp; " " &amp;  Varieties[[#This Row],[Variety]]</f>
        <v>Johnny's Shock-O-Lat</v>
      </c>
      <c r="C585" t="s">
        <v>130</v>
      </c>
      <c r="E585" t="s">
        <v>1996</v>
      </c>
      <c r="G585" t="s">
        <v>490</v>
      </c>
      <c r="H585" t="b">
        <v>0</v>
      </c>
      <c r="P585" t="b">
        <f>ISNUMBER(MATCH(Varieties[[#This Row],[Id]],SeedOrder[Id],0))</f>
        <v>0</v>
      </c>
      <c r="Q585">
        <v>500</v>
      </c>
      <c r="R585" t="s">
        <v>1242</v>
      </c>
      <c r="S585" s="160" t="s">
        <v>2121</v>
      </c>
    </row>
    <row r="586" spans="2:19" ht="15" customHeight="1">
      <c r="B586" t="str">
        <f>Varieties[[#This Row],[Company]] &amp; " " &amp;  Varieties[[#This Row],[Variety]]</f>
        <v>Johnny's Shungiku</v>
      </c>
      <c r="C586" t="s">
        <v>143</v>
      </c>
      <c r="E586" t="s">
        <v>512</v>
      </c>
      <c r="G586" t="s">
        <v>490</v>
      </c>
      <c r="H586" t="b">
        <v>0</v>
      </c>
      <c r="P586" t="b">
        <f>ISNUMBER(MATCH(Varieties[[#This Row],[Id]],SeedOrder[Id],0))</f>
        <v>0</v>
      </c>
      <c r="Q586" t="e">
        <v>#N/A</v>
      </c>
      <c r="R586" t="e">
        <v>#N/A</v>
      </c>
      <c r="S586" t="s">
        <v>1370</v>
      </c>
    </row>
    <row r="587" spans="2:19" ht="15" customHeight="1">
      <c r="B587" t="str">
        <f>Varieties[[#This Row],[Company]] &amp; " " &amp;  Varieties[[#This Row],[Variety]]</f>
        <v>Johnny's Shungiku</v>
      </c>
      <c r="C587" t="s">
        <v>61</v>
      </c>
      <c r="E587" t="s">
        <v>512</v>
      </c>
      <c r="G587" t="s">
        <v>490</v>
      </c>
      <c r="H587" t="b">
        <v>0</v>
      </c>
      <c r="P587" t="b">
        <f>ISNUMBER(MATCH(Varieties[[#This Row],[Id]],SeedOrder[Id],0))</f>
        <v>0</v>
      </c>
      <c r="Q587" s="176">
        <v>125000</v>
      </c>
      <c r="R587" t="s">
        <v>1242</v>
      </c>
      <c r="S587" t="s">
        <v>1370</v>
      </c>
    </row>
    <row r="588" spans="2:19" ht="15" customHeight="1">
      <c r="B588" t="str">
        <f>Varieties[[#This Row],[Company]] &amp; " " &amp;  Varieties[[#This Row],[Variety]]</f>
        <v>Adaptive Shungiku, Komi</v>
      </c>
      <c r="C588" t="s">
        <v>61</v>
      </c>
      <c r="E588" t="s">
        <v>513</v>
      </c>
      <c r="G588" t="s">
        <v>488</v>
      </c>
      <c r="H588" t="b">
        <v>1</v>
      </c>
      <c r="P588" t="b">
        <f>ISNUMBER(MATCH(Varieties[[#This Row],[Id]],SeedOrder[Id],0))</f>
        <v>0</v>
      </c>
      <c r="Q588">
        <v>325</v>
      </c>
      <c r="R588" t="s">
        <v>1243</v>
      </c>
      <c r="S588" t="s">
        <v>788</v>
      </c>
    </row>
    <row r="589" spans="2:19" ht="15" customHeight="1">
      <c r="B589" t="str">
        <f>Varieties[[#This Row],[Company]] &amp; " " &amp;  Varieties[[#This Row],[Variety]]</f>
        <v>Wild Garden Silky Gold</v>
      </c>
      <c r="C589" t="s">
        <v>1766</v>
      </c>
      <c r="E589" t="s">
        <v>1982</v>
      </c>
      <c r="G589" t="s">
        <v>526</v>
      </c>
      <c r="H589" t="b">
        <v>1</v>
      </c>
      <c r="P589" t="b">
        <f>ISNUMBER(MATCH(Varieties[[#This Row],[Id]],SeedOrder[Id],0))</f>
        <v>0</v>
      </c>
      <c r="Q589">
        <v>360</v>
      </c>
      <c r="R589" t="s">
        <v>1243</v>
      </c>
      <c r="S589" s="160" t="s">
        <v>2174</v>
      </c>
    </row>
    <row r="590" spans="2:19" ht="15" customHeight="1">
      <c r="B590" t="str">
        <f>Varieties[[#This Row],[Company]] &amp; " " &amp;  Varieties[[#This Row],[Variety]]</f>
        <v>Wild Garden Silky Red</v>
      </c>
      <c r="C590" t="s">
        <v>1766</v>
      </c>
      <c r="E590" t="s">
        <v>1983</v>
      </c>
      <c r="G590" t="s">
        <v>526</v>
      </c>
      <c r="H590" t="b">
        <v>1</v>
      </c>
      <c r="P590" t="b">
        <f>ISNUMBER(MATCH(Varieties[[#This Row],[Id]],SeedOrder[Id],0))</f>
        <v>0</v>
      </c>
      <c r="Q590">
        <v>360</v>
      </c>
      <c r="R590" t="s">
        <v>1243</v>
      </c>
      <c r="S590" s="160" t="s">
        <v>2175</v>
      </c>
    </row>
    <row r="591" spans="2:19" ht="15" customHeight="1">
      <c r="B591" t="str">
        <f>Varieties[[#This Row],[Company]] &amp; " " &amp;  Varieties[[#This Row],[Variety]]</f>
        <v>Uprising SISKIYOU SWEET</v>
      </c>
      <c r="C591" t="s">
        <v>105</v>
      </c>
      <c r="D591" t="s">
        <v>994</v>
      </c>
      <c r="E591" t="s">
        <v>1070</v>
      </c>
      <c r="G591" t="s">
        <v>484</v>
      </c>
      <c r="H591" t="b">
        <v>1</v>
      </c>
      <c r="M591" t="s">
        <v>1071</v>
      </c>
      <c r="P591" t="b">
        <f>ISNUMBER(MATCH(Varieties[[#This Row],[Id]],SeedOrder[Id],0))</f>
        <v>0</v>
      </c>
      <c r="Q591" t="e">
        <v>#N/A</v>
      </c>
      <c r="R591" t="e">
        <v>#N/A</v>
      </c>
      <c r="S591" t="s">
        <v>1072</v>
      </c>
    </row>
    <row r="592" spans="2:19" ht="15" customHeight="1">
      <c r="B592" t="str">
        <f>Varieties[[#This Row],[Company]] &amp; " " &amp;  Varieties[[#This Row],[Variety]]</f>
        <v>Johnny's Skywalker F1</v>
      </c>
      <c r="C592" t="s">
        <v>54</v>
      </c>
      <c r="E592" t="s">
        <v>1907</v>
      </c>
      <c r="G592" t="s">
        <v>490</v>
      </c>
      <c r="H592" t="b">
        <v>1</v>
      </c>
      <c r="P592" t="b">
        <f>ISNUMBER(MATCH(Varieties[[#This Row],[Id]],SeedOrder[Id],0))</f>
        <v>0</v>
      </c>
      <c r="Q592">
        <v>95500</v>
      </c>
      <c r="R592" t="s">
        <v>1241</v>
      </c>
      <c r="S592" s="160" t="s">
        <v>2093</v>
      </c>
    </row>
    <row r="593" spans="2:19" ht="15" customHeight="1">
      <c r="B593" t="str">
        <f>Varieties[[#This Row],[Company]] &amp; " " &amp;  Varieties[[#This Row],[Variety]]</f>
        <v xml:space="preserve"> Slocan</v>
      </c>
      <c r="C593" t="s">
        <v>447</v>
      </c>
      <c r="D593" t="s">
        <v>1665</v>
      </c>
      <c r="E593" t="s">
        <v>1664</v>
      </c>
      <c r="L593">
        <v>4.3</v>
      </c>
      <c r="P593" t="b">
        <f>ISNUMBER(MATCH(Varieties[[#This Row],[Id]],SeedOrder[Id],0))</f>
        <v>0</v>
      </c>
      <c r="Q593" t="e">
        <v>#N/A</v>
      </c>
      <c r="R593" t="e">
        <v>#N/A</v>
      </c>
    </row>
    <row r="594" spans="2:19" ht="15" customHeight="1">
      <c r="B594" t="str">
        <f>Varieties[[#This Row],[Company]] &amp; " " &amp;  Varieties[[#This Row],[Variety]]</f>
        <v xml:space="preserve"> Snackabelle Red</v>
      </c>
      <c r="C594" t="s">
        <v>112</v>
      </c>
      <c r="D594" t="s">
        <v>170</v>
      </c>
      <c r="E594" t="s">
        <v>1546</v>
      </c>
      <c r="L594">
        <v>4.3</v>
      </c>
      <c r="M594" t="s">
        <v>1545</v>
      </c>
      <c r="P594" t="b">
        <f>ISNUMBER(MATCH(Varieties[[#This Row],[Id]],SeedOrder[Id],0))</f>
        <v>0</v>
      </c>
      <c r="Q594" t="e">
        <v>#N/A</v>
      </c>
      <c r="R594" t="e">
        <v>#N/A</v>
      </c>
    </row>
    <row r="595" spans="2:19" ht="15" customHeight="1">
      <c r="B595" t="str">
        <f>Varieties[[#This Row],[Company]] &amp; " " &amp;  Varieties[[#This Row],[Variety]]</f>
        <v>High Mowing socrates F1</v>
      </c>
      <c r="C595" t="s">
        <v>70</v>
      </c>
      <c r="E595" t="s">
        <v>808</v>
      </c>
      <c r="G595" t="s">
        <v>482</v>
      </c>
      <c r="H595" t="b">
        <v>1</v>
      </c>
      <c r="M595" t="s">
        <v>809</v>
      </c>
      <c r="P595" t="b">
        <f>ISNUMBER(MATCH(Varieties[[#This Row],[Id]],SeedOrder[Id],0))</f>
        <v>0</v>
      </c>
      <c r="Q595" t="e">
        <v>#N/A</v>
      </c>
      <c r="R595" t="e">
        <v>#N/A</v>
      </c>
      <c r="S595" t="s">
        <v>810</v>
      </c>
    </row>
    <row r="596" spans="2:19" ht="15" customHeight="1">
      <c r="B596" t="str">
        <f>Varieties[[#This Row],[Company]] &amp; " " &amp;  Varieties[[#This Row],[Variety]]</f>
        <v>Osborne Solar Flare</v>
      </c>
      <c r="C596" t="s">
        <v>136</v>
      </c>
      <c r="D596" t="s">
        <v>405</v>
      </c>
      <c r="E596" t="s">
        <v>911</v>
      </c>
      <c r="G596" t="s">
        <v>503</v>
      </c>
      <c r="H596" t="b">
        <v>1</v>
      </c>
      <c r="P596" t="b">
        <f>ISNUMBER(MATCH(Varieties[[#This Row],[Id]],SeedOrder[Id],0))</f>
        <v>1</v>
      </c>
      <c r="Q596" t="s">
        <v>2916</v>
      </c>
      <c r="R596" t="e">
        <v>#N/A</v>
      </c>
      <c r="S596" t="s">
        <v>912</v>
      </c>
    </row>
    <row r="597" spans="2:19" ht="15" customHeight="1">
      <c r="B597" t="str">
        <f>Varieties[[#This Row],[Company]] &amp; " " &amp;  Varieties[[#This Row],[Variety]]</f>
        <v>Osborne Solar Flare</v>
      </c>
      <c r="C597" t="s">
        <v>136</v>
      </c>
      <c r="E597" s="268" t="s">
        <v>911</v>
      </c>
      <c r="G597" s="268" t="s">
        <v>503</v>
      </c>
      <c r="H597" t="b">
        <v>1</v>
      </c>
      <c r="P597" t="b">
        <f>ISNUMBER(MATCH(Varieties[[#This Row],[Id]],SeedOrder[Id],0))</f>
        <v>1</v>
      </c>
      <c r="Q597" t="s">
        <v>2916</v>
      </c>
      <c r="S597" t="s">
        <v>3075</v>
      </c>
    </row>
    <row r="598" spans="2:19" ht="15" customHeight="1">
      <c r="B598" t="str">
        <f>Varieties[[#This Row],[Company]] &amp; " " &amp;  Varieties[[#This Row],[Variety]]</f>
        <v>High Mowing Solaris F1</v>
      </c>
      <c r="C598" t="s">
        <v>78</v>
      </c>
      <c r="E598" t="s">
        <v>531</v>
      </c>
      <c r="G598" t="s">
        <v>482</v>
      </c>
      <c r="H598" t="b">
        <v>1</v>
      </c>
      <c r="P598" t="b">
        <f>ISNUMBER(MATCH(Varieties[[#This Row],[Id]],SeedOrder[Id],0))</f>
        <v>0</v>
      </c>
      <c r="Q598">
        <v>7000</v>
      </c>
      <c r="R598" t="s">
        <v>1242</v>
      </c>
      <c r="S598" s="160" t="s">
        <v>834</v>
      </c>
    </row>
    <row r="599" spans="2:19" ht="15" customHeight="1">
      <c r="B599" t="str">
        <f>Varieties[[#This Row],[Company]] &amp; " " &amp;  Varieties[[#This Row],[Variety]]</f>
        <v>Johnny's Song TJS-65</v>
      </c>
      <c r="C599" t="s">
        <v>54</v>
      </c>
      <c r="E599" t="s">
        <v>2809</v>
      </c>
      <c r="G599" t="s">
        <v>490</v>
      </c>
      <c r="H599" t="b">
        <v>0</v>
      </c>
      <c r="P599" t="b">
        <f>ISNUMBER(MATCH(Varieties[[#This Row],[Id]],SeedOrder[Id],0))</f>
        <v>0</v>
      </c>
      <c r="Q599">
        <v>142900</v>
      </c>
      <c r="R599" t="s">
        <v>1241</v>
      </c>
      <c r="S599" t="s">
        <v>2095</v>
      </c>
    </row>
    <row r="600" spans="2:19" ht="15" customHeight="1">
      <c r="B600" t="str">
        <f>Varieties[[#This Row],[Company]] &amp; " " &amp;  Varieties[[#This Row],[Variety]]</f>
        <v>Johnny's Song TSJ-65 F1</v>
      </c>
      <c r="C600" t="s">
        <v>54</v>
      </c>
      <c r="E600" t="s">
        <v>1909</v>
      </c>
      <c r="G600" t="s">
        <v>490</v>
      </c>
      <c r="H600" t="b">
        <v>0</v>
      </c>
      <c r="P600" t="b">
        <f>ISNUMBER(MATCH(Varieties[[#This Row],[Id]],SeedOrder[Id],0))</f>
        <v>0</v>
      </c>
      <c r="Q600">
        <v>142900</v>
      </c>
      <c r="R600" t="s">
        <v>1241</v>
      </c>
      <c r="S600" s="160" t="s">
        <v>2095</v>
      </c>
    </row>
    <row r="601" spans="2:19" ht="15" customHeight="1">
      <c r="B601" t="str">
        <f>Varieties[[#This Row],[Company]] &amp; " " &amp;  Varieties[[#This Row],[Variety]]</f>
        <v xml:space="preserve"> Sooyow Nishiki</v>
      </c>
      <c r="C601" t="s">
        <v>70</v>
      </c>
      <c r="D601" t="s">
        <v>962</v>
      </c>
      <c r="E601" t="s">
        <v>1612</v>
      </c>
      <c r="L601">
        <v>3.7</v>
      </c>
      <c r="P601" t="b">
        <f>ISNUMBER(MATCH(Varieties[[#This Row],[Id]],SeedOrder[Id],0))</f>
        <v>0</v>
      </c>
      <c r="Q601" t="e">
        <v>#N/A</v>
      </c>
      <c r="R601" t="e">
        <v>#N/A</v>
      </c>
    </row>
    <row r="602" spans="2:19" ht="15" customHeight="1">
      <c r="B602" t="str">
        <f>Varieties[[#This Row],[Company]] &amp; " " &amp;  Varieties[[#This Row],[Variety]]</f>
        <v>Whitman Organics Sooyow Nishiki</v>
      </c>
      <c r="C602" t="s">
        <v>70</v>
      </c>
      <c r="E602" t="s">
        <v>1612</v>
      </c>
      <c r="G602" t="s">
        <v>2021</v>
      </c>
      <c r="H602" t="b">
        <v>0</v>
      </c>
      <c r="P602" t="b">
        <f>ISNUMBER(MATCH(Varieties[[#This Row],[Id]],SeedOrder[Id],0))</f>
        <v>0</v>
      </c>
      <c r="Q602">
        <v>11000</v>
      </c>
      <c r="R602" t="s">
        <v>1241</v>
      </c>
      <c r="S602" s="160" t="s">
        <v>2163</v>
      </c>
    </row>
    <row r="603" spans="2:19" ht="15" customHeight="1">
      <c r="B603" t="str">
        <f>Varieties[[#This Row],[Company]] &amp; " " &amp;  Varieties[[#This Row],[Variety]]</f>
        <v>High Mowing Sora</v>
      </c>
      <c r="C603" t="s">
        <v>114</v>
      </c>
      <c r="E603" t="s">
        <v>575</v>
      </c>
      <c r="G603" t="s">
        <v>482</v>
      </c>
      <c r="H603" t="b">
        <v>1</v>
      </c>
      <c r="P603" t="b">
        <f>ISNUMBER(MATCH(Varieties[[#This Row],[Id]],SeedOrder[Id],0))</f>
        <v>0</v>
      </c>
      <c r="Q603">
        <v>48200</v>
      </c>
      <c r="R603" t="s">
        <v>1241</v>
      </c>
      <c r="S603" s="160" t="s">
        <v>2191</v>
      </c>
    </row>
    <row r="604" spans="2:19" ht="15" customHeight="1">
      <c r="B604" t="str">
        <f>Varieties[[#This Row],[Company]] &amp; " " &amp;  Varieties[[#This Row],[Variety]]</f>
        <v>Johnny's Sorbet Formula Mix</v>
      </c>
      <c r="C604" t="s">
        <v>107</v>
      </c>
      <c r="E604" t="s">
        <v>2237</v>
      </c>
      <c r="G604" t="s">
        <v>490</v>
      </c>
      <c r="H604" t="b">
        <v>0</v>
      </c>
      <c r="P604" t="b">
        <f>ISNUMBER(MATCH(Varieties[[#This Row],[Id]],SeedOrder[Id],0))</f>
        <v>0</v>
      </c>
      <c r="Q604">
        <v>37000</v>
      </c>
      <c r="R604" t="s">
        <v>1242</v>
      </c>
      <c r="S604" s="160" t="s">
        <v>2238</v>
      </c>
    </row>
    <row r="605" spans="2:19" ht="15" customHeight="1">
      <c r="B605" t="str">
        <f>Varieties[[#This Row],[Company]] &amp; " " &amp;  Varieties[[#This Row],[Variety]]</f>
        <v xml:space="preserve"> Space</v>
      </c>
      <c r="C605" t="s">
        <v>123</v>
      </c>
      <c r="D605" t="s">
        <v>1635</v>
      </c>
      <c r="E605" t="s">
        <v>1388</v>
      </c>
      <c r="L605">
        <v>3.9</v>
      </c>
      <c r="P605" t="b">
        <f>ISNUMBER(MATCH(Varieties[[#This Row],[Id]],SeedOrder[Id],0))</f>
        <v>0</v>
      </c>
      <c r="Q605" t="e">
        <v>#N/A</v>
      </c>
      <c r="R605" t="e">
        <v>#N/A</v>
      </c>
    </row>
    <row r="606" spans="2:19" ht="15" customHeight="1">
      <c r="B606" t="str">
        <f>Varieties[[#This Row],[Company]] &amp; " " &amp;  Varieties[[#This Row],[Variety]]</f>
        <v>Baker Creek SPOOKY MIX DIANTHUS</v>
      </c>
      <c r="C606" t="s">
        <v>74</v>
      </c>
      <c r="E606" t="s">
        <v>612</v>
      </c>
      <c r="G606" t="s">
        <v>492</v>
      </c>
      <c r="H606" t="b">
        <v>0</v>
      </c>
      <c r="P606" t="b">
        <f>ISNUMBER(MATCH(Varieties[[#This Row],[Id]],SeedOrder[Id],0))</f>
        <v>0</v>
      </c>
      <c r="Q606">
        <v>0</v>
      </c>
      <c r="R606">
        <v>0</v>
      </c>
      <c r="S606" t="s">
        <v>816</v>
      </c>
    </row>
    <row r="607" spans="2:19" ht="15" customHeight="1">
      <c r="B607" t="str">
        <f>Varieties[[#This Row],[Company]] &amp; " " &amp;  Varieties[[#This Row],[Variety]]</f>
        <v>Adaptive Spring King</v>
      </c>
      <c r="C607" t="s">
        <v>136</v>
      </c>
      <c r="E607" t="s">
        <v>3016</v>
      </c>
      <c r="G607" t="s">
        <v>488</v>
      </c>
      <c r="H607" t="b">
        <v>1</v>
      </c>
      <c r="P607" t="b">
        <f>ISNUMBER(MATCH(Varieties[[#This Row],[Id]],SeedOrder[Id],0))</f>
        <v>1</v>
      </c>
      <c r="Q607">
        <v>300</v>
      </c>
      <c r="R607" t="s">
        <v>1243</v>
      </c>
      <c r="S607" t="s">
        <v>3083</v>
      </c>
    </row>
    <row r="608" spans="2:19" ht="15" customHeight="1">
      <c r="B608" t="str">
        <f>Varieties[[#This Row],[Company]] &amp; " " &amp;  Varieties[[#This Row],[Variety]]</f>
        <v>Osborne SS 141</v>
      </c>
      <c r="C608" t="s">
        <v>110</v>
      </c>
      <c r="E608" t="s">
        <v>2862</v>
      </c>
      <c r="G608" s="268" t="s">
        <v>503</v>
      </c>
      <c r="H608" t="b">
        <v>0</v>
      </c>
      <c r="P608" t="b">
        <f>ISNUMBER(MATCH(Varieties[[#This Row],[Id]],SeedOrder[Id],0))</f>
        <v>0</v>
      </c>
      <c r="Q608" t="s">
        <v>2916</v>
      </c>
      <c r="S608" t="s">
        <v>2913</v>
      </c>
    </row>
    <row r="609" spans="2:19" ht="15" customHeight="1">
      <c r="B609" t="str">
        <f>Varieties[[#This Row],[Company]] &amp; " " &amp;  Varieties[[#This Row],[Variety]]</f>
        <v>High Mowing Stanton F1</v>
      </c>
      <c r="C609" t="s">
        <v>52</v>
      </c>
      <c r="E609" t="s">
        <v>1895</v>
      </c>
      <c r="G609" t="s">
        <v>482</v>
      </c>
      <c r="H609" t="b">
        <v>1</v>
      </c>
      <c r="P609" t="b">
        <f>ISNUMBER(MATCH(Varieties[[#This Row],[Id]],SeedOrder[Id],0))</f>
        <v>0</v>
      </c>
      <c r="Q609">
        <v>4800</v>
      </c>
      <c r="R609" t="s">
        <v>1242</v>
      </c>
      <c r="S609" s="160" t="s">
        <v>2044</v>
      </c>
    </row>
    <row r="610" spans="2:19" ht="15" customHeight="1">
      <c r="B610" t="str">
        <f>Varieties[[#This Row],[Company]] &amp; " " &amp;  Varieties[[#This Row],[Variety]]</f>
        <v>Wild Garden Starflower</v>
      </c>
      <c r="C610" t="s">
        <v>1769</v>
      </c>
      <c r="E610" t="s">
        <v>1986</v>
      </c>
      <c r="G610" t="s">
        <v>526</v>
      </c>
      <c r="H610" t="b">
        <v>1</v>
      </c>
      <c r="P610" t="b">
        <f>ISNUMBER(MATCH(Varieties[[#This Row],[Id]],SeedOrder[Id],0))</f>
        <v>0</v>
      </c>
      <c r="Q610">
        <v>25</v>
      </c>
      <c r="R610" t="s">
        <v>1242</v>
      </c>
      <c r="S610" s="160" t="s">
        <v>2176</v>
      </c>
    </row>
    <row r="611" spans="2:19" ht="15" customHeight="1">
      <c r="B611" t="str">
        <f>Varieties[[#This Row],[Company]] &amp; " " &amp;  Varieties[[#This Row],[Variety]]</f>
        <v xml:space="preserve"> Stella Blue</v>
      </c>
      <c r="C611" t="s">
        <v>124</v>
      </c>
      <c r="D611" t="s">
        <v>341</v>
      </c>
      <c r="E611" t="s">
        <v>1645</v>
      </c>
      <c r="L611">
        <v>3.8</v>
      </c>
      <c r="P611" t="b">
        <f>ISNUMBER(MATCH(Varieties[[#This Row],[Id]],SeedOrder[Id],0))</f>
        <v>0</v>
      </c>
      <c r="Q611" t="e">
        <v>#N/A</v>
      </c>
      <c r="R611" t="e">
        <v>#N/A</v>
      </c>
    </row>
    <row r="612" spans="2:19" ht="15" customHeight="1">
      <c r="B612" t="str">
        <f>Varieties[[#This Row],[Company]] &amp; " " &amp;  Varieties[[#This Row],[Variety]]</f>
        <v>Johnny's Strawberry Blonde</v>
      </c>
      <c r="C612" t="s">
        <v>130</v>
      </c>
      <c r="E612" t="s">
        <v>1997</v>
      </c>
      <c r="G612" t="s">
        <v>490</v>
      </c>
      <c r="H612" t="b">
        <v>0</v>
      </c>
      <c r="P612" t="b">
        <f>ISNUMBER(MATCH(Varieties[[#This Row],[Id]],SeedOrder[Id],0))</f>
        <v>0</v>
      </c>
      <c r="Q612">
        <v>750</v>
      </c>
      <c r="R612" t="s">
        <v>1242</v>
      </c>
      <c r="S612" s="160" t="s">
        <v>2122</v>
      </c>
    </row>
    <row r="613" spans="2:19" ht="15" customHeight="1">
      <c r="B613" t="str">
        <f>Varieties[[#This Row],[Company]] &amp; " " &amp;  Varieties[[#This Row],[Variety]]</f>
        <v>Uprising STUTTGARTER RIESEN</v>
      </c>
      <c r="C613" t="s">
        <v>105</v>
      </c>
      <c r="D613" t="s">
        <v>208</v>
      </c>
      <c r="E613" t="s">
        <v>635</v>
      </c>
      <c r="G613" t="s">
        <v>484</v>
      </c>
      <c r="H613" t="b">
        <v>1</v>
      </c>
      <c r="M613" t="s">
        <v>1068</v>
      </c>
      <c r="P613" t="b">
        <f>ISNUMBER(MATCH(Varieties[[#This Row],[Id]],SeedOrder[Id],0))</f>
        <v>0</v>
      </c>
      <c r="Q613">
        <v>100000</v>
      </c>
      <c r="R613" t="s">
        <v>1241</v>
      </c>
      <c r="S613" t="s">
        <v>1069</v>
      </c>
    </row>
    <row r="614" spans="2:19" ht="15" customHeight="1">
      <c r="B614" t="str">
        <f>Varieties[[#This Row],[Company]] &amp; " " &amp;  Varieties[[#This Row],[Variety]]</f>
        <v>High Mowing Sugar Dumpling F1</v>
      </c>
      <c r="C614" t="s">
        <v>124</v>
      </c>
      <c r="E614" t="s">
        <v>1935</v>
      </c>
      <c r="G614" t="s">
        <v>482</v>
      </c>
      <c r="H614" t="b">
        <v>1</v>
      </c>
      <c r="P614" t="b">
        <f>ISNUMBER(MATCH(Varieties[[#This Row],[Id]],SeedOrder[Id],0))</f>
        <v>0</v>
      </c>
      <c r="Q614">
        <v>425</v>
      </c>
      <c r="R614" t="s">
        <v>1242</v>
      </c>
      <c r="S614" s="160" t="s">
        <v>2075</v>
      </c>
    </row>
    <row r="615" spans="2:19" ht="15" customHeight="1">
      <c r="B615" t="str">
        <f>Varieties[[#This Row],[Company]] &amp; " " &amp;  Varieties[[#This Row],[Variety]]</f>
        <v>Wild Garden Summer Berries</v>
      </c>
      <c r="C615" t="s">
        <v>1767</v>
      </c>
      <c r="E615" t="s">
        <v>2001</v>
      </c>
      <c r="G615" t="s">
        <v>526</v>
      </c>
      <c r="H615" t="b">
        <v>1</v>
      </c>
      <c r="P615" t="b">
        <f>ISNUMBER(MATCH(Varieties[[#This Row],[Id]],SeedOrder[Id],0))</f>
        <v>0</v>
      </c>
      <c r="Q615">
        <v>6000</v>
      </c>
      <c r="R615" t="s">
        <v>1243</v>
      </c>
      <c r="S615" s="160" t="s">
        <v>2180</v>
      </c>
    </row>
    <row r="616" spans="2:19" ht="15" customHeight="1">
      <c r="B616" t="str">
        <f>Varieties[[#This Row],[Company]] &amp; " " &amp;  Varieties[[#This Row],[Variety]]</f>
        <v>Johnny's Summer Breeze Mix</v>
      </c>
      <c r="C616" t="s">
        <v>130</v>
      </c>
      <c r="E616" t="s">
        <v>1994</v>
      </c>
      <c r="G616" t="s">
        <v>490</v>
      </c>
      <c r="H616" t="b">
        <v>0</v>
      </c>
      <c r="P616" t="b">
        <f>ISNUMBER(MATCH(Varieties[[#This Row],[Id]],SeedOrder[Id],0))</f>
        <v>0</v>
      </c>
      <c r="Q616">
        <v>500</v>
      </c>
      <c r="R616" t="s">
        <v>1242</v>
      </c>
      <c r="S616" s="160" t="s">
        <v>2119</v>
      </c>
    </row>
    <row r="617" spans="2:19" ht="15" customHeight="1">
      <c r="B617" t="str">
        <f>Varieties[[#This Row],[Company]] &amp; " " &amp;  Varieties[[#This Row],[Variety]]</f>
        <v>Kitazawa Summer Fest</v>
      </c>
      <c r="C617" t="s">
        <v>90</v>
      </c>
      <c r="D617" t="s">
        <v>441</v>
      </c>
      <c r="E617" t="s">
        <v>1261</v>
      </c>
      <c r="G617" t="s">
        <v>510</v>
      </c>
      <c r="H617" t="b">
        <v>1</v>
      </c>
      <c r="M617" t="s">
        <v>1262</v>
      </c>
      <c r="P617" t="b">
        <f>ISNUMBER(MATCH(Varieties[[#This Row],[Id]],SeedOrder[Id],0))</f>
        <v>0</v>
      </c>
      <c r="Q617" t="e">
        <v>#N/A</v>
      </c>
      <c r="R617" t="e">
        <v>#N/A</v>
      </c>
      <c r="S617" t="s">
        <v>1260</v>
      </c>
    </row>
    <row r="618" spans="2:19" ht="15" customHeight="1">
      <c r="B618" t="str">
        <f>Varieties[[#This Row],[Company]] &amp; " " &amp;  Varieties[[#This Row],[Variety]]</f>
        <v>Wild Garden Summer Pastels</v>
      </c>
      <c r="C618" t="s">
        <v>1767</v>
      </c>
      <c r="E618" t="s">
        <v>2002</v>
      </c>
      <c r="G618" t="s">
        <v>526</v>
      </c>
      <c r="H618" t="b">
        <v>1</v>
      </c>
      <c r="P618" t="b">
        <f>ISNUMBER(MATCH(Varieties[[#This Row],[Id]],SeedOrder[Id],0))</f>
        <v>0</v>
      </c>
      <c r="Q618">
        <v>6000</v>
      </c>
      <c r="R618" t="s">
        <v>1243</v>
      </c>
      <c r="S618" s="160" t="s">
        <v>2181</v>
      </c>
    </row>
    <row r="619" spans="2:19" ht="15" customHeight="1">
      <c r="B619" t="str">
        <f>Varieties[[#This Row],[Company]] &amp; " " &amp;  Varieties[[#This Row],[Variety]]</f>
        <v>Uprising Summertime</v>
      </c>
      <c r="C619" t="s">
        <v>92</v>
      </c>
      <c r="E619" t="s">
        <v>2815</v>
      </c>
      <c r="G619" s="268" t="s">
        <v>484</v>
      </c>
      <c r="H619" t="b">
        <v>1</v>
      </c>
      <c r="P619" t="b">
        <f>ISNUMBER(MATCH(Varieties[[#This Row],[Id]],SeedOrder[Id],0))</f>
        <v>0</v>
      </c>
      <c r="Q619" t="s">
        <v>2916</v>
      </c>
      <c r="S619" t="s">
        <v>2923</v>
      </c>
    </row>
    <row r="620" spans="2:19" ht="15" customHeight="1">
      <c r="B620" t="str">
        <f>Varieties[[#This Row],[Company]] &amp; " " &amp;  Varieties[[#This Row],[Variety]]</f>
        <v xml:space="preserve"> Sun Dipper</v>
      </c>
      <c r="C620" t="s">
        <v>136</v>
      </c>
      <c r="D620" t="s">
        <v>908</v>
      </c>
      <c r="E620" t="s">
        <v>1549</v>
      </c>
      <c r="L620">
        <v>4.3</v>
      </c>
      <c r="M620" t="s">
        <v>1545</v>
      </c>
      <c r="P620" t="b">
        <f>ISNUMBER(MATCH(Varieties[[#This Row],[Id]],SeedOrder[Id],0))</f>
        <v>0</v>
      </c>
      <c r="Q620" t="e">
        <v>#N/A</v>
      </c>
      <c r="R620" t="e">
        <v>#N/A</v>
      </c>
    </row>
    <row r="621" spans="2:19" ht="15" customHeight="1">
      <c r="B621" t="str">
        <f>Varieties[[#This Row],[Company]] &amp; " " &amp;  Varieties[[#This Row],[Variety]]</f>
        <v>Osborne Sun Dipper</v>
      </c>
      <c r="C621" t="s">
        <v>136</v>
      </c>
      <c r="E621" t="s">
        <v>1549</v>
      </c>
      <c r="G621" t="s">
        <v>503</v>
      </c>
      <c r="H621" t="b">
        <v>0</v>
      </c>
      <c r="P621" t="b">
        <f>ISNUMBER(MATCH(Varieties[[#This Row],[Id]],SeedOrder[Id],0))</f>
        <v>0</v>
      </c>
      <c r="Q621" t="s">
        <v>2192</v>
      </c>
      <c r="R621" t="s">
        <v>2192</v>
      </c>
      <c r="S621" s="160" t="s">
        <v>2145</v>
      </c>
    </row>
    <row r="622" spans="2:19" ht="15" customHeight="1">
      <c r="B622" t="str">
        <f>Varieties[[#This Row],[Company]] &amp; " " &amp;  Varieties[[#This Row],[Variety]]</f>
        <v>Territorial Sunburst</v>
      </c>
      <c r="C622" t="s">
        <v>128</v>
      </c>
      <c r="E622" t="s">
        <v>2834</v>
      </c>
      <c r="G622" t="s">
        <v>533</v>
      </c>
      <c r="H622" t="b">
        <v>0</v>
      </c>
      <c r="P622" t="b">
        <f>ISNUMBER(MATCH(Varieties[[#This Row],[Id]],SeedOrder[Id],0))</f>
        <v>1</v>
      </c>
      <c r="Q622">
        <v>7</v>
      </c>
      <c r="R622" t="s">
        <v>1243</v>
      </c>
      <c r="S622" t="s">
        <v>2930</v>
      </c>
    </row>
    <row r="623" spans="2:19" ht="15" customHeight="1">
      <c r="B623" t="str">
        <f>Varieties[[#This Row],[Company]] &amp; " " &amp;  Varieties[[#This Row],[Variety]]</f>
        <v>Johnny's Sunday Mix</v>
      </c>
      <c r="C623" t="s">
        <v>57</v>
      </c>
      <c r="E623" t="s">
        <v>1965</v>
      </c>
      <c r="G623" t="s">
        <v>490</v>
      </c>
      <c r="H623" t="b">
        <v>0</v>
      </c>
      <c r="P623" t="b">
        <f>ISNUMBER(MATCH(Varieties[[#This Row],[Id]],SeedOrder[Id],0))</f>
        <v>0</v>
      </c>
      <c r="Q623">
        <v>37500</v>
      </c>
      <c r="R623" t="s">
        <v>1242</v>
      </c>
      <c r="S623" s="160" t="s">
        <v>2193</v>
      </c>
    </row>
    <row r="624" spans="2:19" ht="15" customHeight="1">
      <c r="B624" t="str">
        <f>Varieties[[#This Row],[Company]] &amp; " " &amp;  Varieties[[#This Row],[Variety]]</f>
        <v>Adaptive Sungella</v>
      </c>
      <c r="C624" t="s">
        <v>136</v>
      </c>
      <c r="D624" t="s">
        <v>1175</v>
      </c>
      <c r="E624" t="s">
        <v>690</v>
      </c>
      <c r="G624" t="s">
        <v>488</v>
      </c>
      <c r="H624" t="b">
        <v>1</v>
      </c>
      <c r="M624" t="s">
        <v>1176</v>
      </c>
      <c r="P624" t="b">
        <f>ISNUMBER(MATCH(Varieties[[#This Row],[Id]],SeedOrder[Id],0))</f>
        <v>0</v>
      </c>
      <c r="Q624">
        <v>400</v>
      </c>
      <c r="R624" t="s">
        <v>1243</v>
      </c>
      <c r="S624" t="s">
        <v>1177</v>
      </c>
    </row>
    <row r="625" spans="2:19" ht="15" customHeight="1">
      <c r="B625" t="str">
        <f>Varieties[[#This Row],[Company]] &amp; " " &amp;  Varieties[[#This Row],[Variety]]</f>
        <v>Johnny's Sungold F1</v>
      </c>
      <c r="C625" t="s">
        <v>136</v>
      </c>
      <c r="D625" t="s">
        <v>1170</v>
      </c>
      <c r="E625" t="s">
        <v>688</v>
      </c>
      <c r="G625" t="s">
        <v>490</v>
      </c>
      <c r="H625" t="b">
        <v>0</v>
      </c>
      <c r="M625" t="s">
        <v>1171</v>
      </c>
      <c r="P625" t="b">
        <f>ISNUMBER(MATCH(Varieties[[#This Row],[Id]],SeedOrder[Id],0))</f>
        <v>0</v>
      </c>
      <c r="Q625">
        <v>15950</v>
      </c>
      <c r="R625" t="s">
        <v>1242</v>
      </c>
      <c r="S625" s="160" t="s">
        <v>1172</v>
      </c>
    </row>
    <row r="626" spans="2:19" ht="15" customHeight="1">
      <c r="B626" t="str">
        <f>Varieties[[#This Row],[Company]] &amp; " " &amp;  Varieties[[#This Row],[Variety]]</f>
        <v>High Mowing Sunset Chard</v>
      </c>
      <c r="C626" t="s">
        <v>131</v>
      </c>
      <c r="E626" t="s">
        <v>2936</v>
      </c>
      <c r="G626" t="s">
        <v>482</v>
      </c>
      <c r="H626" t="b">
        <v>1</v>
      </c>
      <c r="P626" t="b">
        <f>ISNUMBER(MATCH(Varieties[[#This Row],[Id]],SeedOrder[Id],0))</f>
        <v>0</v>
      </c>
      <c r="Q626">
        <v>1500</v>
      </c>
      <c r="R626" t="s">
        <v>1242</v>
      </c>
      <c r="S626" t="s">
        <v>2939</v>
      </c>
    </row>
    <row r="627" spans="2:19" ht="15" customHeight="1">
      <c r="B627" t="str">
        <f>Varieties[[#This Row],[Company]] &amp; " " &amp;  Varieties[[#This Row],[Variety]]</f>
        <v>Johnny's Sunshine</v>
      </c>
      <c r="C627" t="s">
        <v>124</v>
      </c>
      <c r="E627" t="s">
        <v>2837</v>
      </c>
      <c r="G627" t="s">
        <v>490</v>
      </c>
      <c r="H627" t="b">
        <v>1</v>
      </c>
      <c r="P627" t="b">
        <f>ISNUMBER(MATCH(Varieties[[#This Row],[Id]],SeedOrder[Id],0))</f>
        <v>1</v>
      </c>
      <c r="Q627" s="248">
        <v>3000</v>
      </c>
      <c r="R627" t="s">
        <v>1241</v>
      </c>
      <c r="S627" t="s">
        <v>2883</v>
      </c>
    </row>
    <row r="628" spans="2:19" ht="15" customHeight="1">
      <c r="B628" t="str">
        <f>Varieties[[#This Row],[Company]] &amp; " " &amp;  Varieties[[#This Row],[Variety]]</f>
        <v>Johnny's Super Sugar Snap</v>
      </c>
      <c r="C628" t="s">
        <v>110</v>
      </c>
      <c r="E628" t="s">
        <v>2860</v>
      </c>
      <c r="G628" t="s">
        <v>490</v>
      </c>
      <c r="H628" t="b">
        <v>0</v>
      </c>
      <c r="P628" t="b">
        <f>ISNUMBER(MATCH(Varieties[[#This Row],[Id]],SeedOrder[Id],0))</f>
        <v>0</v>
      </c>
      <c r="Q628" s="248">
        <v>1800</v>
      </c>
      <c r="R628" t="s">
        <v>1241</v>
      </c>
      <c r="S628" t="s">
        <v>2881</v>
      </c>
    </row>
    <row r="629" spans="2:19" ht="15" customHeight="1">
      <c r="B629" t="str">
        <f>Varieties[[#This Row],[Company]] &amp; " " &amp;  Varieties[[#This Row],[Variety]]</f>
        <v>Baker Creek Superbissima Cerny's Triumph</v>
      </c>
      <c r="C629" t="s">
        <v>898</v>
      </c>
      <c r="E629" t="s">
        <v>648</v>
      </c>
      <c r="G629" t="s">
        <v>492</v>
      </c>
      <c r="H629" t="b">
        <v>0</v>
      </c>
      <c r="P629" t="b">
        <f>ISNUMBER(MATCH(Varieties[[#This Row],[Id]],SeedOrder[Id],0))</f>
        <v>0</v>
      </c>
      <c r="Q629" t="e">
        <v>#N/A</v>
      </c>
      <c r="R629" t="e">
        <v>#N/A</v>
      </c>
      <c r="S629" t="s">
        <v>899</v>
      </c>
    </row>
    <row r="630" spans="2:19" ht="15" customHeight="1">
      <c r="B630" t="str">
        <f>Varieties[[#This Row],[Company]] &amp; " " &amp;  Varieties[[#This Row],[Variety]]</f>
        <v>Baker Creek Superbissima Cosmic Cherry</v>
      </c>
      <c r="C630" t="s">
        <v>898</v>
      </c>
      <c r="E630" t="s">
        <v>649</v>
      </c>
      <c r="G630" s="247" t="s">
        <v>492</v>
      </c>
      <c r="H630" t="b">
        <v>0</v>
      </c>
      <c r="M630" t="s">
        <v>900</v>
      </c>
      <c r="P630" t="b">
        <f>ISNUMBER(MATCH(Varieties[[#This Row],[Id]],SeedOrder[Id],0))</f>
        <v>0</v>
      </c>
      <c r="Q630" t="e">
        <v>#N/A</v>
      </c>
      <c r="R630" t="e">
        <v>#N/A</v>
      </c>
      <c r="S630" t="s">
        <v>901</v>
      </c>
    </row>
    <row r="631" spans="2:19" ht="15" customHeight="1">
      <c r="B631" t="str">
        <f>Varieties[[#This Row],[Company]] &amp; " " &amp;  Varieties[[#This Row],[Variety]]</f>
        <v>Baker Creek Superbissima Giant Alba</v>
      </c>
      <c r="C631" t="s">
        <v>898</v>
      </c>
      <c r="E631" t="s">
        <v>650</v>
      </c>
      <c r="G631" s="247" t="s">
        <v>492</v>
      </c>
      <c r="H631" t="b">
        <v>0</v>
      </c>
      <c r="M631" t="s">
        <v>902</v>
      </c>
      <c r="P631" t="b">
        <f>ISNUMBER(MATCH(Varieties[[#This Row],[Id]],SeedOrder[Id],0))</f>
        <v>0</v>
      </c>
      <c r="Q631" t="e">
        <v>#N/A</v>
      </c>
      <c r="R631" t="e">
        <v>#N/A</v>
      </c>
      <c r="S631" t="s">
        <v>903</v>
      </c>
    </row>
    <row r="632" spans="2:19" ht="15" customHeight="1">
      <c r="B632" t="str">
        <f>Varieties[[#This Row],[Company]] &amp; " " &amp;  Varieties[[#This Row],[Variety]]</f>
        <v>Baker Creek Superbissima Giant Rose</v>
      </c>
      <c r="C632" t="s">
        <v>898</v>
      </c>
      <c r="E632" t="s">
        <v>651</v>
      </c>
      <c r="G632" s="247" t="s">
        <v>492</v>
      </c>
      <c r="H632" t="b">
        <v>0</v>
      </c>
      <c r="M632" t="s">
        <v>900</v>
      </c>
      <c r="P632" t="b">
        <f>ISNUMBER(MATCH(Varieties[[#This Row],[Id]],SeedOrder[Id],0))</f>
        <v>0</v>
      </c>
      <c r="Q632">
        <v>0</v>
      </c>
      <c r="R632">
        <v>0</v>
      </c>
      <c r="S632" t="s">
        <v>904</v>
      </c>
    </row>
    <row r="633" spans="2:19" ht="15" customHeight="1">
      <c r="B633" t="str">
        <f>Varieties[[#This Row],[Company]] &amp; " " &amp;  Varieties[[#This Row],[Variety]]</f>
        <v>High Mowing Suyo Long</v>
      </c>
      <c r="C633" t="s">
        <v>70</v>
      </c>
      <c r="E633" t="s">
        <v>2251</v>
      </c>
      <c r="G633" s="247" t="s">
        <v>482</v>
      </c>
      <c r="H633" t="b">
        <v>1</v>
      </c>
      <c r="P633" t="b">
        <f>ISNUMBER(MATCH(Varieties[[#This Row],[Id]],SeedOrder[Id],0))</f>
        <v>0</v>
      </c>
      <c r="Q633">
        <v>15600</v>
      </c>
      <c r="R633" t="s">
        <v>1241</v>
      </c>
      <c r="S633" t="s">
        <v>2252</v>
      </c>
    </row>
    <row r="634" spans="2:19" ht="15" customHeight="1">
      <c r="B634" t="str">
        <f>Varieties[[#This Row],[Company]] &amp; " " &amp;  Varieties[[#This Row],[Variety]]</f>
        <v>Johnny's Swamp Milkweed</v>
      </c>
      <c r="C634" t="s">
        <v>1766</v>
      </c>
      <c r="E634" t="s">
        <v>1980</v>
      </c>
      <c r="G634" s="247" t="s">
        <v>490</v>
      </c>
      <c r="H634" t="b">
        <v>0</v>
      </c>
      <c r="P634" t="b">
        <f>ISNUMBER(MATCH(Varieties[[#This Row],[Id]],SeedOrder[Id],0))</f>
        <v>0</v>
      </c>
      <c r="Q634">
        <v>6300</v>
      </c>
      <c r="R634" t="s">
        <v>1242</v>
      </c>
      <c r="S634" s="160" t="s">
        <v>2135</v>
      </c>
    </row>
    <row r="635" spans="2:19" ht="15" customHeight="1">
      <c r="B635" t="str">
        <f>Varieties[[#This Row],[Company]] &amp; " " &amp;  Varieties[[#This Row],[Variety]]</f>
        <v>Territorial Sweet Million</v>
      </c>
      <c r="C635" t="s">
        <v>136</v>
      </c>
      <c r="D635" t="s">
        <v>178</v>
      </c>
      <c r="E635" t="s">
        <v>986</v>
      </c>
      <c r="G635" s="247" t="s">
        <v>533</v>
      </c>
      <c r="H635" t="b">
        <v>0</v>
      </c>
      <c r="P635" t="b">
        <f>ISNUMBER(MATCH(Varieties[[#This Row],[Id]],SeedOrder[Id],0))</f>
        <v>0</v>
      </c>
      <c r="Q635">
        <v>16000</v>
      </c>
      <c r="R635" t="s">
        <v>1242</v>
      </c>
      <c r="S635" s="160" t="s">
        <v>987</v>
      </c>
    </row>
    <row r="636" spans="2:19" ht="15" customHeight="1">
      <c r="B636" t="str">
        <f>Varieties[[#This Row],[Company]] &amp; " " &amp;  Varieties[[#This Row],[Variety]]</f>
        <v>Uprising SWEET ORANGE II</v>
      </c>
      <c r="C636" t="s">
        <v>136</v>
      </c>
      <c r="D636" t="s">
        <v>1170</v>
      </c>
      <c r="E636" t="s">
        <v>689</v>
      </c>
      <c r="G636" s="247" t="s">
        <v>484</v>
      </c>
      <c r="H636" t="b">
        <v>1</v>
      </c>
      <c r="M636" t="s">
        <v>1173</v>
      </c>
      <c r="P636" t="b">
        <f>ISNUMBER(MATCH(Varieties[[#This Row],[Id]],SeedOrder[Id],0))</f>
        <v>0</v>
      </c>
      <c r="Q636">
        <v>0</v>
      </c>
      <c r="R636">
        <v>0</v>
      </c>
      <c r="S636" t="s">
        <v>1174</v>
      </c>
    </row>
    <row r="637" spans="2:19" ht="15" customHeight="1">
      <c r="B637" t="str">
        <f>Varieties[[#This Row],[Company]] &amp; " " &amp;  Varieties[[#This Row],[Variety]]</f>
        <v xml:space="preserve"> Sweet Stems</v>
      </c>
      <c r="C637" t="s">
        <v>49</v>
      </c>
      <c r="D637" t="s">
        <v>1602</v>
      </c>
      <c r="E637" t="s">
        <v>1603</v>
      </c>
      <c r="G637" s="247"/>
      <c r="L637">
        <v>3.7</v>
      </c>
      <c r="P637" t="b">
        <f>ISNUMBER(MATCH(Varieties[[#This Row],[Id]],SeedOrder[Id],0))</f>
        <v>0</v>
      </c>
      <c r="Q637" t="e">
        <v>#N/A</v>
      </c>
      <c r="R637" t="e">
        <v>#N/A</v>
      </c>
    </row>
    <row r="638" spans="2:19" ht="15" customHeight="1">
      <c r="B638" t="str">
        <f>Varieties[[#This Row],[Company]] &amp; " " &amp;  Varieties[[#This Row],[Variety]]</f>
        <v>Baker Creek TAKANE RUBY</v>
      </c>
      <c r="C638" t="s">
        <v>348</v>
      </c>
      <c r="D638" t="s">
        <v>551</v>
      </c>
      <c r="E638" t="s">
        <v>972</v>
      </c>
      <c r="G638" s="247" t="s">
        <v>492</v>
      </c>
      <c r="H638" t="b">
        <v>0</v>
      </c>
      <c r="M638" t="s">
        <v>973</v>
      </c>
      <c r="P638" t="b">
        <f>ISNUMBER(MATCH(Varieties[[#This Row],[Id]],SeedOrder[Id],0))</f>
        <v>0</v>
      </c>
      <c r="Q638" t="e">
        <v>#N/A</v>
      </c>
      <c r="R638" t="e">
        <v>#N/A</v>
      </c>
      <c r="S638" t="s">
        <v>974</v>
      </c>
    </row>
    <row r="639" spans="2:19" ht="15" customHeight="1">
      <c r="B639" t="str">
        <f>Varieties[[#This Row],[Company]] &amp; " " &amp;  Varieties[[#This Row],[Variety]]</f>
        <v>Johnny's Tall Boy Blue</v>
      </c>
      <c r="C639" t="s">
        <v>65</v>
      </c>
      <c r="E639" t="s">
        <v>592</v>
      </c>
      <c r="G639" s="247" t="s">
        <v>490</v>
      </c>
      <c r="H639" t="b">
        <v>1</v>
      </c>
      <c r="P639" t="b">
        <f>ISNUMBER(MATCH(Varieties[[#This Row],[Id]],SeedOrder[Id],0))</f>
        <v>0</v>
      </c>
      <c r="Q639">
        <v>6300</v>
      </c>
      <c r="R639" t="s">
        <v>1242</v>
      </c>
      <c r="S639" t="s">
        <v>731</v>
      </c>
    </row>
    <row r="640" spans="2:19" ht="15" customHeight="1">
      <c r="B640" t="str">
        <f>Varieties[[#This Row],[Company]] &amp; " " &amp;  Varieties[[#This Row],[Variety]]</f>
        <v>Wild Garden Tall Triloba</v>
      </c>
      <c r="C640" t="s">
        <v>140</v>
      </c>
      <c r="E640" t="s">
        <v>665</v>
      </c>
      <c r="G640" s="247" t="s">
        <v>526</v>
      </c>
      <c r="H640" t="b">
        <v>1</v>
      </c>
      <c r="P640" t="b">
        <f>ISNUMBER(MATCH(Varieties[[#This Row],[Id]],SeedOrder[Id],0))</f>
        <v>0</v>
      </c>
      <c r="Q640">
        <v>1043</v>
      </c>
      <c r="R640" t="s">
        <v>1243</v>
      </c>
      <c r="S640" s="160" t="s">
        <v>922</v>
      </c>
    </row>
    <row r="641" spans="2:19" ht="15" customHeight="1">
      <c r="B641" t="str">
        <f>Varieties[[#This Row],[Company]] &amp; " " &amp;  Varieties[[#This Row],[Variety]]</f>
        <v xml:space="preserve"> Talon</v>
      </c>
      <c r="C641" t="s">
        <v>105</v>
      </c>
      <c r="D641" t="s">
        <v>1123</v>
      </c>
      <c r="E641" t="s">
        <v>1620</v>
      </c>
      <c r="G641" s="247"/>
      <c r="L641">
        <v>3.3</v>
      </c>
      <c r="P641" t="b">
        <f>ISNUMBER(MATCH(Varieties[[#This Row],[Id]],SeedOrder[Id],0))</f>
        <v>0</v>
      </c>
      <c r="Q641" t="e">
        <v>#N/A</v>
      </c>
      <c r="R641" t="e">
        <v>#N/A</v>
      </c>
    </row>
    <row r="642" spans="2:19" ht="15" customHeight="1">
      <c r="B642" t="str">
        <f>Varieties[[#This Row],[Company]] &amp; " " &amp;  Varieties[[#This Row],[Variety]]</f>
        <v>High Mowing Talon F1</v>
      </c>
      <c r="C642" t="s">
        <v>105</v>
      </c>
      <c r="E642" t="s">
        <v>2234</v>
      </c>
      <c r="G642" s="247" t="s">
        <v>482</v>
      </c>
      <c r="H642" t="b">
        <v>1</v>
      </c>
      <c r="P642" t="b">
        <f>ISNUMBER(MATCH(Varieties[[#This Row],[Id]],SeedOrder[Id],0))</f>
        <v>0</v>
      </c>
      <c r="Q642" s="176">
        <v>99400</v>
      </c>
      <c r="R642" t="s">
        <v>1241</v>
      </c>
      <c r="S642" s="160" t="s">
        <v>2233</v>
      </c>
    </row>
    <row r="643" spans="2:19" ht="15" customHeight="1">
      <c r="B643" t="str">
        <f>Varieties[[#This Row],[Company]] &amp; " " &amp;  Varieties[[#This Row],[Variety]]</f>
        <v>Adaptive Tangerine Gem</v>
      </c>
      <c r="C643" t="s">
        <v>97</v>
      </c>
      <c r="E643" t="s">
        <v>626</v>
      </c>
      <c r="G643" s="247" t="s">
        <v>488</v>
      </c>
      <c r="H643" t="b">
        <v>1</v>
      </c>
      <c r="M643" t="s">
        <v>876</v>
      </c>
      <c r="P643" t="b">
        <f>ISNUMBER(MATCH(Varieties[[#This Row],[Id]],SeedOrder[Id],0))</f>
        <v>0</v>
      </c>
      <c r="Q643">
        <v>1000</v>
      </c>
      <c r="R643" t="s">
        <v>1243</v>
      </c>
      <c r="S643" s="160" t="s">
        <v>878</v>
      </c>
    </row>
    <row r="644" spans="2:19" ht="15" customHeight="1">
      <c r="B644" t="str">
        <f>Varieties[[#This Row],[Company]] &amp; " " &amp;  Varieties[[#This Row],[Variety]]</f>
        <v>High Mowing Tango</v>
      </c>
      <c r="C644" t="s">
        <v>55</v>
      </c>
      <c r="E644" t="s">
        <v>508</v>
      </c>
      <c r="G644" s="247" t="s">
        <v>482</v>
      </c>
      <c r="H644" t="b">
        <v>1</v>
      </c>
      <c r="P644" t="b">
        <f>ISNUMBER(MATCH(Varieties[[#This Row],[Id]],SeedOrder[Id],0))</f>
        <v>0</v>
      </c>
      <c r="Q644">
        <v>65000</v>
      </c>
      <c r="R644" t="s">
        <v>1242</v>
      </c>
      <c r="S644" s="160" t="s">
        <v>2052</v>
      </c>
    </row>
    <row r="645" spans="2:19" ht="15" customHeight="1">
      <c r="B645" t="str">
        <f>Varieties[[#This Row],[Company]] &amp; " " &amp;  Varieties[[#This Row],[Variety]]</f>
        <v>Johnny's Tango</v>
      </c>
      <c r="C645" t="s">
        <v>55</v>
      </c>
      <c r="E645" t="s">
        <v>508</v>
      </c>
      <c r="G645" s="247" t="s">
        <v>490</v>
      </c>
      <c r="H645" t="b">
        <v>1</v>
      </c>
      <c r="P645" t="b">
        <f>ISNUMBER(MATCH(Varieties[[#This Row],[Id]],SeedOrder[Id],0))</f>
        <v>0</v>
      </c>
      <c r="Q645">
        <v>66700</v>
      </c>
      <c r="R645" t="s">
        <v>1242</v>
      </c>
      <c r="S645" t="s">
        <v>993</v>
      </c>
    </row>
    <row r="646" spans="2:19" ht="15" customHeight="1">
      <c r="B646" t="str">
        <f>Varieties[[#This Row],[Company]] &amp; " " &amp;  Varieties[[#This Row],[Variety]]</f>
        <v>High Mowing Tasty Green</v>
      </c>
      <c r="C646" t="s">
        <v>70</v>
      </c>
      <c r="E646" t="s">
        <v>1812</v>
      </c>
      <c r="G646" s="247" t="s">
        <v>482</v>
      </c>
      <c r="H646" t="b">
        <v>1</v>
      </c>
      <c r="P646" t="b">
        <f>ISNUMBER(MATCH(Varieties[[#This Row],[Id]],SeedOrder[Id],0))</f>
        <v>0</v>
      </c>
      <c r="Q646">
        <v>1100</v>
      </c>
      <c r="R646" t="s">
        <v>1242</v>
      </c>
      <c r="S646" s="160" t="s">
        <v>801</v>
      </c>
    </row>
    <row r="647" spans="2:19" ht="15" customHeight="1">
      <c r="B647" t="str">
        <f>Varieties[[#This Row],[Company]] &amp; " " &amp;  Varieties[[#This Row],[Variety]]</f>
        <v>High Mowing Tasty Green F1</v>
      </c>
      <c r="C647" t="s">
        <v>70</v>
      </c>
      <c r="E647" t="s">
        <v>520</v>
      </c>
      <c r="G647" s="247" t="s">
        <v>482</v>
      </c>
      <c r="H647" t="b">
        <v>1</v>
      </c>
      <c r="L647">
        <v>3.4</v>
      </c>
      <c r="P647" t="b">
        <f>ISNUMBER(MATCH(Varieties[[#This Row],[Id]],SeedOrder[Id],0))</f>
        <v>0</v>
      </c>
      <c r="Q647">
        <v>0</v>
      </c>
      <c r="R647">
        <v>0</v>
      </c>
      <c r="S647" t="s">
        <v>801</v>
      </c>
    </row>
    <row r="648" spans="2:19" ht="15" customHeight="1">
      <c r="B648" t="str">
        <f>Varieties[[#This Row],[Company]] &amp; " " &amp;  Varieties[[#This Row],[Variety]]</f>
        <v xml:space="preserve"> Tasty Jade</v>
      </c>
      <c r="C648" t="s">
        <v>70</v>
      </c>
      <c r="E648" t="s">
        <v>1615</v>
      </c>
      <c r="G648" s="247"/>
      <c r="L648">
        <v>3.6</v>
      </c>
      <c r="P648" t="b">
        <f>ISNUMBER(MATCH(Varieties[[#This Row],[Id]],SeedOrder[Id],0))</f>
        <v>0</v>
      </c>
      <c r="Q648" t="e">
        <v>#N/A</v>
      </c>
      <c r="R648" t="e">
        <v>#N/A</v>
      </c>
    </row>
    <row r="649" spans="2:19" ht="15" customHeight="1">
      <c r="B649" t="str">
        <f>Varieties[[#This Row],[Company]] &amp; " " &amp;  Varieties[[#This Row],[Variety]]</f>
        <v>Johnny's Tatsoi</v>
      </c>
      <c r="C649" t="s">
        <v>729</v>
      </c>
      <c r="E649" t="s">
        <v>729</v>
      </c>
      <c r="G649" s="247" t="s">
        <v>490</v>
      </c>
      <c r="H649" t="b">
        <v>1</v>
      </c>
      <c r="P649" t="b">
        <f>ISNUMBER(MATCH(Varieties[[#This Row],[Id]],SeedOrder[Id],0))</f>
        <v>0</v>
      </c>
      <c r="Q649" t="e">
        <v>#N/A</v>
      </c>
      <c r="R649" t="e">
        <v>#N/A</v>
      </c>
      <c r="S649" t="s">
        <v>1371</v>
      </c>
    </row>
    <row r="650" spans="2:19" ht="15" customHeight="1">
      <c r="B650" t="str">
        <f>Varieties[[#This Row],[Company]] &amp; " " &amp;  Varieties[[#This Row],[Variety]]</f>
        <v>Johnny's Tempest</v>
      </c>
      <c r="C650" t="s">
        <v>128</v>
      </c>
      <c r="E650" t="s">
        <v>1940</v>
      </c>
      <c r="G650" s="247" t="s">
        <v>490</v>
      </c>
      <c r="H650" t="b">
        <v>1</v>
      </c>
      <c r="P650" t="b">
        <f>ISNUMBER(MATCH(Varieties[[#This Row],[Id]],SeedOrder[Id],0))</f>
        <v>0</v>
      </c>
      <c r="Q650">
        <v>4500</v>
      </c>
      <c r="R650" t="s">
        <v>1241</v>
      </c>
      <c r="S650" s="160" t="s">
        <v>2117</v>
      </c>
    </row>
    <row r="651" spans="2:19" ht="15" customHeight="1">
      <c r="B651" t="str">
        <f>Varieties[[#This Row],[Company]] &amp; " " &amp;  Varieties[[#This Row],[Variety]]</f>
        <v>Johnny's Tendril Pea</v>
      </c>
      <c r="C651" t="s">
        <v>447</v>
      </c>
      <c r="D651" t="s">
        <v>1209</v>
      </c>
      <c r="E651" t="s">
        <v>562</v>
      </c>
      <c r="G651" s="247" t="s">
        <v>490</v>
      </c>
      <c r="H651" t="b">
        <v>1</v>
      </c>
      <c r="P651" t="b">
        <f>ISNUMBER(MATCH(Varieties[[#This Row],[Id]],SeedOrder[Id],0))</f>
        <v>0</v>
      </c>
      <c r="Q651">
        <v>1950</v>
      </c>
      <c r="R651" t="s">
        <v>1241</v>
      </c>
      <c r="S651" t="s">
        <v>1210</v>
      </c>
    </row>
    <row r="652" spans="2:19" ht="15" customHeight="1">
      <c r="B652" t="str">
        <f>Varieties[[#This Row],[Company]] &amp; " " &amp;  Varieties[[#This Row],[Variety]]</f>
        <v>Johnny's Tessaury F1</v>
      </c>
      <c r="C652" t="s">
        <v>54</v>
      </c>
      <c r="E652" t="s">
        <v>2805</v>
      </c>
      <c r="G652" s="246" t="s">
        <v>490</v>
      </c>
      <c r="H652" t="b">
        <v>1</v>
      </c>
      <c r="P652" t="b">
        <f>ISNUMBER(MATCH(Varieties[[#This Row],[Id]],SeedOrder[Id],0))</f>
        <v>0</v>
      </c>
      <c r="Q652" s="176">
        <v>84600</v>
      </c>
      <c r="R652" t="s">
        <v>1241</v>
      </c>
      <c r="S652" t="s">
        <v>2875</v>
      </c>
    </row>
    <row r="653" spans="2:19" ht="15" customHeight="1">
      <c r="B653" t="str">
        <f>Varieties[[#This Row],[Company]] &amp; " " &amp;  Varieties[[#This Row],[Variety]]</f>
        <v xml:space="preserve"> Tetsukabuto</v>
      </c>
      <c r="C653" t="s">
        <v>124</v>
      </c>
      <c r="D653" t="s">
        <v>341</v>
      </c>
      <c r="E653" t="s">
        <v>1569</v>
      </c>
      <c r="G653" s="247"/>
      <c r="L653">
        <v>4</v>
      </c>
      <c r="M653" t="s">
        <v>1570</v>
      </c>
      <c r="P653" t="b">
        <f>ISNUMBER(MATCH(Varieties[[#This Row],[Id]],SeedOrder[Id],0))</f>
        <v>0</v>
      </c>
      <c r="Q653" t="e">
        <v>#N/A</v>
      </c>
      <c r="R653" t="e">
        <v>#N/A</v>
      </c>
    </row>
    <row r="654" spans="2:19" ht="15" customHeight="1">
      <c r="B654" t="str">
        <f>Varieties[[#This Row],[Company]] &amp; " " &amp;  Varieties[[#This Row],[Variety]]</f>
        <v>Johnny's Tetsukabuto</v>
      </c>
      <c r="C654" t="s">
        <v>124</v>
      </c>
      <c r="E654" t="s">
        <v>1569</v>
      </c>
      <c r="G654" s="247" t="s">
        <v>490</v>
      </c>
      <c r="H654" t="b">
        <v>0</v>
      </c>
      <c r="P654" t="b">
        <f>ISNUMBER(MATCH(Varieties[[#This Row],[Id]],SeedOrder[Id],0))</f>
        <v>0</v>
      </c>
      <c r="Q654">
        <v>2200</v>
      </c>
      <c r="R654" t="s">
        <v>1241</v>
      </c>
      <c r="S654" s="160" t="s">
        <v>2114</v>
      </c>
    </row>
    <row r="655" spans="2:19" ht="15" customHeight="1">
      <c r="B655" t="str">
        <f>Varieties[[#This Row],[Company]] &amp; " " &amp;  Varieties[[#This Row],[Variety]]</f>
        <v>Johnny's Thalia OG</v>
      </c>
      <c r="C655" t="s">
        <v>75</v>
      </c>
      <c r="E655" t="s">
        <v>2813</v>
      </c>
      <c r="G655" s="247" t="s">
        <v>490</v>
      </c>
      <c r="H655" t="b">
        <v>1</v>
      </c>
      <c r="P655" t="b">
        <f>ISNUMBER(MATCH(Varieties[[#This Row],[Id]],SeedOrder[Id],0))</f>
        <v>0</v>
      </c>
      <c r="Q655">
        <v>21600</v>
      </c>
      <c r="R655" t="s">
        <v>1242</v>
      </c>
      <c r="S655" t="s">
        <v>2879</v>
      </c>
    </row>
    <row r="656" spans="2:19" ht="15" customHeight="1">
      <c r="B656" t="str">
        <f>Varieties[[#This Row],[Company]] &amp; " " &amp;  Varieties[[#This Row],[Variety]]</f>
        <v>Wild Garden Thoroughwax</v>
      </c>
      <c r="C656" t="s">
        <v>1763</v>
      </c>
      <c r="E656" t="s">
        <v>1963</v>
      </c>
      <c r="G656" s="247" t="s">
        <v>526</v>
      </c>
      <c r="H656" t="b">
        <v>1</v>
      </c>
      <c r="P656" t="b">
        <f>ISNUMBER(MATCH(Varieties[[#This Row],[Id]],SeedOrder[Id],0))</f>
        <v>0</v>
      </c>
      <c r="Q656">
        <v>9000</v>
      </c>
      <c r="R656" t="s">
        <v>1242</v>
      </c>
      <c r="S656" s="160" t="s">
        <v>2169</v>
      </c>
    </row>
    <row r="657" spans="2:19" ht="15" customHeight="1">
      <c r="B657" t="str">
        <f>Varieties[[#This Row],[Company]] &amp; " " &amp;  Varieties[[#This Row],[Variety]]</f>
        <v xml:space="preserve"> Tiera</v>
      </c>
      <c r="C657" t="s">
        <v>52</v>
      </c>
      <c r="E657" t="s">
        <v>1565</v>
      </c>
      <c r="G657" s="247"/>
      <c r="L657">
        <v>4</v>
      </c>
      <c r="M657" t="s">
        <v>1566</v>
      </c>
      <c r="P657" t="b">
        <f>ISNUMBER(MATCH(Varieties[[#This Row],[Id]],SeedOrder[Id],0))</f>
        <v>0</v>
      </c>
      <c r="Q657" t="e">
        <v>#N/A</v>
      </c>
      <c r="R657" t="e">
        <v>#N/A</v>
      </c>
    </row>
    <row r="658" spans="2:19" ht="15" customHeight="1">
      <c r="B658" t="str">
        <f>Varieties[[#This Row],[Company]] &amp; " " &amp;  Varieties[[#This Row],[Variety]]</f>
        <v>Adaptive Tiffen Mennonite</v>
      </c>
      <c r="C658" t="s">
        <v>136</v>
      </c>
      <c r="E658" t="s">
        <v>2947</v>
      </c>
      <c r="G658" s="247" t="s">
        <v>488</v>
      </c>
      <c r="H658" t="b">
        <v>1</v>
      </c>
      <c r="P658" t="b">
        <f>ISNUMBER(MATCH(Varieties[[#This Row],[Id]],SeedOrder[Id],0))</f>
        <v>1</v>
      </c>
      <c r="Q658">
        <v>200</v>
      </c>
      <c r="R658" t="s">
        <v>1243</v>
      </c>
      <c r="S658" t="s">
        <v>2933</v>
      </c>
    </row>
    <row r="659" spans="2:19" ht="15" customHeight="1">
      <c r="B659" t="str">
        <f>Varieties[[#This Row],[Company]] &amp; " " &amp;  Varieties[[#This Row],[Variety]]</f>
        <v>Adaptive Tiffen Mennonite</v>
      </c>
      <c r="C659" t="s">
        <v>136</v>
      </c>
      <c r="E659" s="268" t="s">
        <v>2947</v>
      </c>
      <c r="G659" s="246" t="s">
        <v>488</v>
      </c>
      <c r="H659" t="b">
        <v>1</v>
      </c>
      <c r="P659" t="b">
        <f>ISNUMBER(MATCH(Varieties[[#This Row],[Id]],SeedOrder[Id],0))</f>
        <v>1</v>
      </c>
      <c r="Q659">
        <v>300</v>
      </c>
      <c r="R659" t="s">
        <v>1243</v>
      </c>
      <c r="S659" t="s">
        <v>2933</v>
      </c>
    </row>
    <row r="660" spans="2:19" ht="15" customHeight="1">
      <c r="B660" t="str">
        <f>Varieties[[#This Row],[Company]] &amp; " " &amp;  Varieties[[#This Row],[Variety]]</f>
        <v>Baker Creek Tiger Laeta</v>
      </c>
      <c r="C660" t="s">
        <v>107</v>
      </c>
      <c r="E660" t="s">
        <v>640</v>
      </c>
      <c r="G660" s="247" t="s">
        <v>492</v>
      </c>
      <c r="H660" t="b">
        <v>0</v>
      </c>
      <c r="P660" t="b">
        <f>ISNUMBER(MATCH(Varieties[[#This Row],[Id]],SeedOrder[Id],0))</f>
        <v>0</v>
      </c>
      <c r="Q660" t="s">
        <v>2192</v>
      </c>
      <c r="R660" t="s">
        <v>2192</v>
      </c>
      <c r="S660" s="160" t="s">
        <v>2203</v>
      </c>
    </row>
    <row r="661" spans="2:19" ht="15" customHeight="1">
      <c r="B661" t="str">
        <f>Varieties[[#This Row],[Company]] &amp; " " &amp;  Varieties[[#This Row],[Variety]]</f>
        <v>Baker Creek Tip Top Rose Nasturtium</v>
      </c>
      <c r="C661" t="s">
        <v>102</v>
      </c>
      <c r="E661" t="s">
        <v>630</v>
      </c>
      <c r="G661" s="247" t="s">
        <v>492</v>
      </c>
      <c r="H661" t="b">
        <v>0</v>
      </c>
      <c r="M661" t="s">
        <v>880</v>
      </c>
      <c r="P661" t="b">
        <f>ISNUMBER(MATCH(Varieties[[#This Row],[Id]],SeedOrder[Id],0))</f>
        <v>0</v>
      </c>
      <c r="Q661" t="e">
        <v>#N/A</v>
      </c>
      <c r="R661" t="e">
        <v>#N/A</v>
      </c>
      <c r="S661" t="s">
        <v>881</v>
      </c>
    </row>
    <row r="662" spans="2:19" ht="15" customHeight="1">
      <c r="B662" t="str">
        <f>Varieties[[#This Row],[Company]] &amp; " " &amp;  Varieties[[#This Row],[Variety]]</f>
        <v>Johnny's Tokyo Bekana</v>
      </c>
      <c r="C662" t="s">
        <v>134</v>
      </c>
      <c r="E662" t="s">
        <v>134</v>
      </c>
      <c r="G662" s="247" t="s">
        <v>490</v>
      </c>
      <c r="H662" t="b">
        <v>1</v>
      </c>
      <c r="P662" t="b">
        <f>ISNUMBER(MATCH(Varieties[[#This Row],[Id]],SeedOrder[Id],0))</f>
        <v>0</v>
      </c>
      <c r="Q662" t="e">
        <v>#N/A</v>
      </c>
      <c r="R662" t="e">
        <v>#N/A</v>
      </c>
      <c r="S662" t="s">
        <v>1372</v>
      </c>
    </row>
    <row r="663" spans="2:19" ht="15" customHeight="1">
      <c r="B663" t="str">
        <f>Varieties[[#This Row],[Company]] &amp; " " &amp;  Varieties[[#This Row],[Variety]]</f>
        <v>Adaptive Tokyo Market</v>
      </c>
      <c r="C663" t="s">
        <v>137</v>
      </c>
      <c r="E663" t="s">
        <v>980</v>
      </c>
      <c r="G663" s="247" t="s">
        <v>488</v>
      </c>
      <c r="H663" t="b">
        <v>1</v>
      </c>
      <c r="P663" t="b">
        <f>ISNUMBER(MATCH(Varieties[[#This Row],[Id]],SeedOrder[Id],0))</f>
        <v>0</v>
      </c>
      <c r="Q663">
        <v>250</v>
      </c>
      <c r="R663" t="s">
        <v>1243</v>
      </c>
      <c r="S663" t="s">
        <v>2254</v>
      </c>
    </row>
    <row r="664" spans="2:19" ht="15" customHeight="1">
      <c r="B664" t="str">
        <f>Varieties[[#This Row],[Company]] &amp; " " &amp;  Varieties[[#This Row],[Variety]]</f>
        <v>High Mowing Tokyo Market</v>
      </c>
      <c r="C664" t="s">
        <v>137</v>
      </c>
      <c r="E664" t="s">
        <v>980</v>
      </c>
      <c r="G664" s="247" t="s">
        <v>482</v>
      </c>
      <c r="H664" t="b">
        <v>1</v>
      </c>
      <c r="P664" t="b">
        <f>ISNUMBER(MATCH(Varieties[[#This Row],[Id]],SeedOrder[Id],0))</f>
        <v>0</v>
      </c>
      <c r="Q664">
        <v>11000</v>
      </c>
      <c r="R664" t="s">
        <v>1242</v>
      </c>
      <c r="S664" s="160" t="s">
        <v>2088</v>
      </c>
    </row>
    <row r="665" spans="2:19" ht="15" customHeight="1">
      <c r="B665" t="str">
        <f>Varieties[[#This Row],[Company]] &amp; " " &amp;  Varieties[[#This Row],[Variety]]</f>
        <v>High Mowing Toma Verde</v>
      </c>
      <c r="C665" t="s">
        <v>135</v>
      </c>
      <c r="E665" t="s">
        <v>2841</v>
      </c>
      <c r="G665" s="246" t="s">
        <v>482</v>
      </c>
      <c r="H665" t="b">
        <v>1</v>
      </c>
      <c r="P665" t="b">
        <f>ISNUMBER(MATCH(Varieties[[#This Row],[Id]],SeedOrder[Id],0))</f>
        <v>0</v>
      </c>
      <c r="Q665" s="250">
        <v>350</v>
      </c>
      <c r="R665" t="s">
        <v>1242</v>
      </c>
      <c r="S665" t="s">
        <v>2904</v>
      </c>
    </row>
    <row r="666" spans="2:19" ht="15" customHeight="1">
      <c r="B666" t="str">
        <f>Varieties[[#This Row],[Company]] &amp; " " &amp;  Varieties[[#This Row],[Variety]]</f>
        <v xml:space="preserve"> Touchstone Gold</v>
      </c>
      <c r="C666" t="s">
        <v>46</v>
      </c>
      <c r="D666" t="s">
        <v>380</v>
      </c>
      <c r="E666" t="s">
        <v>758</v>
      </c>
      <c r="G666" s="247"/>
      <c r="L666">
        <v>3.8</v>
      </c>
      <c r="P666" t="b">
        <f>ISNUMBER(MATCH(Varieties[[#This Row],[Id]],SeedOrder[Id],0))</f>
        <v>0</v>
      </c>
      <c r="Q666" t="e">
        <v>#N/A</v>
      </c>
      <c r="R666" t="e">
        <v>#N/A</v>
      </c>
    </row>
    <row r="667" spans="2:19" ht="15" customHeight="1">
      <c r="B667" t="str">
        <f>Varieties[[#This Row],[Company]] &amp; " " &amp;  Varieties[[#This Row],[Variety]]</f>
        <v xml:space="preserve"> Touchstone Gold</v>
      </c>
      <c r="C667" t="s">
        <v>46</v>
      </c>
      <c r="D667" t="s">
        <v>380</v>
      </c>
      <c r="E667" t="s">
        <v>758</v>
      </c>
      <c r="G667" s="247"/>
      <c r="M667" t="s">
        <v>1753</v>
      </c>
      <c r="P667" t="b">
        <f>ISNUMBER(MATCH(Varieties[[#This Row],[Id]],SeedOrder[Id],0))</f>
        <v>0</v>
      </c>
      <c r="Q667" t="e">
        <v>#N/A</v>
      </c>
      <c r="R667" t="e">
        <v>#N/A</v>
      </c>
    </row>
    <row r="668" spans="2:19" ht="15" customHeight="1">
      <c r="B668" t="str">
        <f>Varieties[[#This Row],[Company]] &amp; " " &amp;  Varieties[[#This Row],[Variety]]</f>
        <v>High Mowing Touchstone Gold</v>
      </c>
      <c r="C668" t="s">
        <v>46</v>
      </c>
      <c r="E668" t="s">
        <v>758</v>
      </c>
      <c r="G668" s="247" t="s">
        <v>482</v>
      </c>
      <c r="H668" t="b">
        <v>1</v>
      </c>
      <c r="P668" t="b">
        <f>ISNUMBER(MATCH(Varieties[[#This Row],[Id]],SeedOrder[Id],0))</f>
        <v>0</v>
      </c>
      <c r="Q668">
        <v>1500</v>
      </c>
      <c r="R668" t="s">
        <v>1242</v>
      </c>
      <c r="S668" s="160" t="s">
        <v>2211</v>
      </c>
    </row>
    <row r="669" spans="2:19" ht="15" customHeight="1">
      <c r="B669" t="str">
        <f>Varieties[[#This Row],[Company]] &amp; " " &amp;  Varieties[[#This Row],[Variety]]</f>
        <v>Uprising Touchstone Gold</v>
      </c>
      <c r="C669" t="s">
        <v>46</v>
      </c>
      <c r="E669" t="s">
        <v>758</v>
      </c>
      <c r="G669" s="247" t="s">
        <v>484</v>
      </c>
      <c r="H669" t="b">
        <v>1</v>
      </c>
      <c r="P669" t="b">
        <f>ISNUMBER(MATCH(Varieties[[#This Row],[Id]],SeedOrder[Id],0))</f>
        <v>0</v>
      </c>
      <c r="Q669" t="e">
        <v>#N/A</v>
      </c>
      <c r="R669" t="e">
        <v>#N/A</v>
      </c>
      <c r="S669" t="s">
        <v>759</v>
      </c>
    </row>
    <row r="670" spans="2:19" ht="15" customHeight="1">
      <c r="B670" t="str">
        <f>Varieties[[#This Row],[Company]] &amp; " " &amp;  Varieties[[#This Row],[Variety]]</f>
        <v>Johnny's Traviata F1</v>
      </c>
      <c r="C670" t="s">
        <v>76</v>
      </c>
      <c r="E670" t="s">
        <v>2223</v>
      </c>
      <c r="G670" s="247" t="s">
        <v>490</v>
      </c>
      <c r="H670" t="b">
        <v>1</v>
      </c>
      <c r="P670" t="b">
        <f>ISNUMBER(MATCH(Varieties[[#This Row],[Id]],SeedOrder[Id],0))</f>
        <v>0</v>
      </c>
      <c r="Q670">
        <v>6500</v>
      </c>
      <c r="R670" t="s">
        <v>1242</v>
      </c>
      <c r="S670" s="160" t="s">
        <v>2246</v>
      </c>
    </row>
    <row r="671" spans="2:19" ht="15" customHeight="1">
      <c r="B671" t="str">
        <f>Varieties[[#This Row],[Company]] &amp; " " &amp;  Varieties[[#This Row],[Variety]]</f>
        <v>Osborne Triloba Macau</v>
      </c>
      <c r="C671" t="s">
        <v>140</v>
      </c>
      <c r="E671" t="s">
        <v>1952</v>
      </c>
      <c r="G671" s="247" t="s">
        <v>503</v>
      </c>
      <c r="H671" t="b">
        <v>1</v>
      </c>
      <c r="P671" t="b">
        <f>ISNUMBER(MATCH(Varieties[[#This Row],[Id]],SeedOrder[Id],0))</f>
        <v>0</v>
      </c>
      <c r="Q671" t="s">
        <v>2192</v>
      </c>
      <c r="R671" t="s">
        <v>2192</v>
      </c>
      <c r="S671" s="160" t="s">
        <v>2240</v>
      </c>
    </row>
    <row r="672" spans="2:19" ht="15" customHeight="1">
      <c r="B672" t="str">
        <f>Varieties[[#This Row],[Company]] &amp; " " &amp;  Varieties[[#This Row],[Variety]]</f>
        <v>Wild Garden Triloba Macau</v>
      </c>
      <c r="C672" t="s">
        <v>140</v>
      </c>
      <c r="E672" t="s">
        <v>1952</v>
      </c>
      <c r="G672" s="247" t="s">
        <v>526</v>
      </c>
      <c r="H672" t="b">
        <v>1</v>
      </c>
      <c r="P672" t="b">
        <f>ISNUMBER(MATCH(Varieties[[#This Row],[Id]],SeedOrder[Id],0))</f>
        <v>0</v>
      </c>
      <c r="Q672">
        <v>1215</v>
      </c>
      <c r="R672" t="s">
        <v>1243</v>
      </c>
      <c r="S672" s="160" t="s">
        <v>2168</v>
      </c>
    </row>
    <row r="673" spans="2:19" ht="15" customHeight="1">
      <c r="B673" t="str">
        <f>Varieties[[#This Row],[Company]] &amp; " " &amp;  Varieties[[#This Row],[Variety]]</f>
        <v xml:space="preserve"> Triton</v>
      </c>
      <c r="C673" t="s">
        <v>98</v>
      </c>
      <c r="E673" t="s">
        <v>1618</v>
      </c>
      <c r="G673" s="247"/>
      <c r="L673">
        <v>3.7</v>
      </c>
      <c r="P673" t="b">
        <f>ISNUMBER(MATCH(Varieties[[#This Row],[Id]],SeedOrder[Id],0))</f>
        <v>0</v>
      </c>
      <c r="Q673" t="e">
        <v>#N/A</v>
      </c>
      <c r="R673" t="e">
        <v>#N/A</v>
      </c>
    </row>
    <row r="674" spans="2:19" ht="15" customHeight="1">
      <c r="B674" t="str">
        <f>Varieties[[#This Row],[Company]] &amp; " " &amp;  Varieties[[#This Row],[Variety]]</f>
        <v>Johnny's Triton</v>
      </c>
      <c r="C674" t="s">
        <v>98</v>
      </c>
      <c r="E674" t="s">
        <v>1618</v>
      </c>
      <c r="G674" s="247" t="s">
        <v>490</v>
      </c>
      <c r="H674" t="b">
        <v>0</v>
      </c>
      <c r="P674" t="b">
        <f>ISNUMBER(MATCH(Varieties[[#This Row],[Id]],SeedOrder[Id],0))</f>
        <v>0</v>
      </c>
      <c r="Q674">
        <v>19000</v>
      </c>
      <c r="R674" t="s">
        <v>1241</v>
      </c>
      <c r="S674" s="160" t="s">
        <v>2107</v>
      </c>
    </row>
    <row r="675" spans="2:19" ht="15" customHeight="1">
      <c r="B675" t="str">
        <f>Varieties[[#This Row],[Company]] &amp; " " &amp;  Varieties[[#This Row],[Variety]]</f>
        <v xml:space="preserve"> Tromboncino</v>
      </c>
      <c r="C675" t="s">
        <v>124</v>
      </c>
      <c r="D675" t="s">
        <v>341</v>
      </c>
      <c r="E675" t="s">
        <v>1132</v>
      </c>
      <c r="G675" s="247"/>
      <c r="L675">
        <v>3.5</v>
      </c>
      <c r="P675" t="b">
        <f>ISNUMBER(MATCH(Varieties[[#This Row],[Id]],SeedOrder[Id],0))</f>
        <v>0</v>
      </c>
      <c r="Q675" t="e">
        <v>#N/A</v>
      </c>
      <c r="R675" t="e">
        <v>#N/A</v>
      </c>
    </row>
    <row r="676" spans="2:19" ht="15" customHeight="1">
      <c r="B676" t="str">
        <f>Varieties[[#This Row],[Company]] &amp; " " &amp;  Varieties[[#This Row],[Variety]]</f>
        <v>Johnny's Truchas</v>
      </c>
      <c r="C676" t="s">
        <v>92</v>
      </c>
      <c r="E676" t="s">
        <v>1823</v>
      </c>
      <c r="G676" s="247" t="s">
        <v>490</v>
      </c>
      <c r="H676" t="b">
        <v>1</v>
      </c>
      <c r="P676" t="b">
        <f>ISNUMBER(MATCH(Varieties[[#This Row],[Id]],SeedOrder[Id],0))</f>
        <v>0</v>
      </c>
      <c r="Q676">
        <v>31100</v>
      </c>
      <c r="R676" t="s">
        <v>1242</v>
      </c>
      <c r="S676" s="160" t="s">
        <v>2103</v>
      </c>
    </row>
    <row r="677" spans="2:19" ht="15" customHeight="1">
      <c r="B677" t="str">
        <f>Varieties[[#This Row],[Company]] &amp; " " &amp;  Varieties[[#This Row],[Variety]]</f>
        <v>Osborne Truchas - Pelleted</v>
      </c>
      <c r="C677" t="s">
        <v>92</v>
      </c>
      <c r="E677" t="s">
        <v>2229</v>
      </c>
      <c r="G677" s="247" t="s">
        <v>503</v>
      </c>
      <c r="H677" t="b">
        <v>1</v>
      </c>
      <c r="I677" t="b">
        <v>1</v>
      </c>
      <c r="J677" t="b">
        <v>1</v>
      </c>
      <c r="P677" t="b">
        <f>ISNUMBER(MATCH(Varieties[[#This Row],[Id]],SeedOrder[Id],0))</f>
        <v>0</v>
      </c>
      <c r="Q677" t="s">
        <v>2192</v>
      </c>
      <c r="R677" t="s">
        <v>2192</v>
      </c>
      <c r="S677" s="160" t="s">
        <v>2231</v>
      </c>
    </row>
    <row r="678" spans="2:19" ht="15" customHeight="1">
      <c r="B678" t="str">
        <f>Varieties[[#This Row],[Company]] &amp; " " &amp;  Varieties[[#This Row],[Variety]]</f>
        <v xml:space="preserve"> True Love</v>
      </c>
      <c r="C678" t="s">
        <v>98</v>
      </c>
      <c r="D678" t="s">
        <v>1060</v>
      </c>
      <c r="E678" t="s">
        <v>700</v>
      </c>
      <c r="G678" s="247"/>
      <c r="L678">
        <v>3.6</v>
      </c>
      <c r="P678" t="b">
        <f>ISNUMBER(MATCH(Varieties[[#This Row],[Id]],SeedOrder[Id],0))</f>
        <v>0</v>
      </c>
      <c r="Q678" t="e">
        <v>#N/A</v>
      </c>
      <c r="R678" t="e">
        <v>#N/A</v>
      </c>
    </row>
    <row r="679" spans="2:19" ht="15" customHeight="1">
      <c r="B679" t="str">
        <f>Varieties[[#This Row],[Company]] &amp; " " &amp;  Varieties[[#This Row],[Variety]]</f>
        <v>High Mowing True Love</v>
      </c>
      <c r="C679" t="s">
        <v>98</v>
      </c>
      <c r="E679" t="s">
        <v>700</v>
      </c>
      <c r="G679" s="246" t="s">
        <v>482</v>
      </c>
      <c r="H679" t="b">
        <v>1</v>
      </c>
      <c r="P679" t="b">
        <f>ISNUMBER(MATCH(Varieties[[#This Row],[Id]],SeedOrder[Id],0))</f>
        <v>0</v>
      </c>
      <c r="Q679">
        <v>18000</v>
      </c>
      <c r="R679" t="s">
        <v>1241</v>
      </c>
      <c r="S679" t="s">
        <v>2901</v>
      </c>
    </row>
    <row r="680" spans="2:19" ht="15" customHeight="1">
      <c r="B680" t="str">
        <f>Varieties[[#This Row],[Company]] &amp; " " &amp;  Varieties[[#This Row],[Variety]]</f>
        <v>Uprising Tulsi</v>
      </c>
      <c r="C680" t="s">
        <v>43</v>
      </c>
      <c r="E680" t="s">
        <v>147</v>
      </c>
      <c r="G680" s="247" t="s">
        <v>484</v>
      </c>
      <c r="H680" t="b">
        <v>1</v>
      </c>
      <c r="P680" t="b">
        <f>ISNUMBER(MATCH(Varieties[[#This Row],[Id]],SeedOrder[Id],0))</f>
        <v>0</v>
      </c>
      <c r="Q680" t="s">
        <v>2192</v>
      </c>
      <c r="R680" t="s">
        <v>2192</v>
      </c>
      <c r="S680" s="160" t="s">
        <v>2152</v>
      </c>
    </row>
    <row r="681" spans="2:19" ht="15" customHeight="1">
      <c r="B681" t="str">
        <f>Varieties[[#This Row],[Company]] &amp; " " &amp;  Varieties[[#This Row],[Variety]]</f>
        <v>Uprising Tuxana</v>
      </c>
      <c r="C681" t="s">
        <v>410</v>
      </c>
      <c r="D681" t="s">
        <v>994</v>
      </c>
      <c r="E681" t="s">
        <v>516</v>
      </c>
      <c r="G681" s="247" t="s">
        <v>484</v>
      </c>
      <c r="H681" t="b">
        <v>1</v>
      </c>
      <c r="M681" t="s">
        <v>995</v>
      </c>
      <c r="P681" t="b">
        <f>ISNUMBER(MATCH(Varieties[[#This Row],[Id]],SeedOrder[Id],0))</f>
        <v>0</v>
      </c>
      <c r="Q681">
        <v>0</v>
      </c>
      <c r="R681">
        <v>0</v>
      </c>
      <c r="S681" t="s">
        <v>996</v>
      </c>
    </row>
    <row r="682" spans="2:19" ht="15" customHeight="1">
      <c r="B682" t="str">
        <f>Varieties[[#This Row],[Company]] &amp; " " &amp;  Varieties[[#This Row],[Variety]]</f>
        <v>Renaissance Farms Umberto</v>
      </c>
      <c r="C682" t="s">
        <v>136</v>
      </c>
      <c r="D682" t="s">
        <v>1145</v>
      </c>
      <c r="E682" t="s">
        <v>691</v>
      </c>
      <c r="G682" s="247" t="s">
        <v>1146</v>
      </c>
      <c r="H682" t="b">
        <v>0</v>
      </c>
      <c r="M682" t="s">
        <v>1147</v>
      </c>
      <c r="P682" t="b">
        <f>ISNUMBER(MATCH(Varieties[[#This Row],[Id]],SeedOrder[Id],0))</f>
        <v>0</v>
      </c>
      <c r="Q682" t="e">
        <v>#N/A</v>
      </c>
      <c r="R682" t="e">
        <v>#N/A</v>
      </c>
      <c r="S682" t="s">
        <v>1148</v>
      </c>
    </row>
    <row r="683" spans="2:19" ht="15" customHeight="1">
      <c r="B683" t="str">
        <f>Varieties[[#This Row],[Company]] &amp; " " &amp;  Varieties[[#This Row],[Variety]]</f>
        <v>Totally Tomatoes Umberto</v>
      </c>
      <c r="C683" t="s">
        <v>136</v>
      </c>
      <c r="D683" t="s">
        <v>1145</v>
      </c>
      <c r="E683" t="s">
        <v>691</v>
      </c>
      <c r="G683" s="247" t="s">
        <v>692</v>
      </c>
      <c r="H683" t="b">
        <v>0</v>
      </c>
      <c r="M683" t="s">
        <v>1149</v>
      </c>
      <c r="P683" t="b">
        <f>ISNUMBER(MATCH(Varieties[[#This Row],[Id]],SeedOrder[Id],0))</f>
        <v>0</v>
      </c>
      <c r="Q683" t="s">
        <v>2192</v>
      </c>
      <c r="R683" t="s">
        <v>2192</v>
      </c>
      <c r="S683" s="160" t="s">
        <v>1150</v>
      </c>
    </row>
    <row r="684" spans="2:19" ht="15" customHeight="1">
      <c r="B684" t="str">
        <f>Varieties[[#This Row],[Company]] &amp; " " &amp;  Varieties[[#This Row],[Variety]]</f>
        <v>Johnny's Unagi</v>
      </c>
      <c r="C684" t="s">
        <v>70</v>
      </c>
      <c r="D684" t="s">
        <v>962</v>
      </c>
      <c r="E684" t="s">
        <v>521</v>
      </c>
      <c r="G684" s="247" t="s">
        <v>490</v>
      </c>
      <c r="H684" t="b">
        <v>1</v>
      </c>
      <c r="M684" t="s">
        <v>997</v>
      </c>
      <c r="P684" t="b">
        <f>ISNUMBER(MATCH(Varieties[[#This Row],[Id]],SeedOrder[Id],0))</f>
        <v>0</v>
      </c>
      <c r="Q684">
        <v>17600</v>
      </c>
      <c r="R684" t="s">
        <v>1241</v>
      </c>
      <c r="S684" t="s">
        <v>998</v>
      </c>
    </row>
    <row r="685" spans="2:19" ht="15" customHeight="1">
      <c r="B685" t="str">
        <f>Varieties[[#This Row],[Company]] &amp; " " &amp;  Varieties[[#This Row],[Variety]]</f>
        <v xml:space="preserve"> Uncle David's Dakota Dessert</v>
      </c>
      <c r="C685" t="s">
        <v>124</v>
      </c>
      <c r="D685" t="s">
        <v>341</v>
      </c>
      <c r="E685" s="144" t="s">
        <v>1687</v>
      </c>
      <c r="F685" s="144"/>
      <c r="G685" s="247"/>
      <c r="L685">
        <v>4.0999999999999996</v>
      </c>
      <c r="P685" t="b">
        <f>ISNUMBER(MATCH(Varieties[[#This Row],[Id]],SeedOrder[Id],0))</f>
        <v>0</v>
      </c>
      <c r="Q685" t="e">
        <v>#N/A</v>
      </c>
      <c r="R685" t="e">
        <v>#N/A</v>
      </c>
    </row>
    <row r="686" spans="2:19" ht="15" customHeight="1">
      <c r="B686" t="str">
        <f>Varieties[[#This Row],[Company]] &amp; " " &amp;  Varieties[[#This Row],[Variety]]</f>
        <v>Wild Garden UV Bee Mix</v>
      </c>
      <c r="C686" t="s">
        <v>139</v>
      </c>
      <c r="E686" t="s">
        <v>2005</v>
      </c>
      <c r="G686" s="247" t="s">
        <v>526</v>
      </c>
      <c r="H686" t="b">
        <v>1</v>
      </c>
      <c r="P686" t="b">
        <f>ISNUMBER(MATCH(Varieties[[#This Row],[Id]],SeedOrder[Id],0))</f>
        <v>0</v>
      </c>
      <c r="Q686">
        <v>127</v>
      </c>
      <c r="R686" t="s">
        <v>1243</v>
      </c>
      <c r="S686" s="160" t="s">
        <v>2183</v>
      </c>
    </row>
    <row r="687" spans="2:19" ht="15" customHeight="1">
      <c r="B687" t="str">
        <f>Varieties[[#This Row],[Company]] &amp; " " &amp;  Varieties[[#This Row],[Variety]]</f>
        <v>Johnny's Velvet Curtains (Johnny's replacement for Red Spike</v>
      </c>
      <c r="C687" t="s">
        <v>41</v>
      </c>
      <c r="E687" t="s">
        <v>720</v>
      </c>
      <c r="G687" s="247" t="s">
        <v>490</v>
      </c>
      <c r="H687" t="b">
        <v>0</v>
      </c>
      <c r="P687" t="b">
        <f>ISNUMBER(MATCH(Varieties[[#This Row],[Id]],SeedOrder[Id],0))</f>
        <v>0</v>
      </c>
      <c r="Q687" t="e">
        <v>#N/A</v>
      </c>
      <c r="R687" t="e">
        <v>#N/A</v>
      </c>
      <c r="S687" t="s">
        <v>1373</v>
      </c>
    </row>
    <row r="688" spans="2:19" ht="15" customHeight="1">
      <c r="B688" t="str">
        <f>Varieties[[#This Row],[Company]] &amp; " " &amp;  Varieties[[#This Row],[Variety]]</f>
        <v>Wild Garden Velvet 'n Lace'</v>
      </c>
      <c r="C688" t="s">
        <v>74</v>
      </c>
      <c r="E688" t="s">
        <v>610</v>
      </c>
      <c r="G688" s="247" t="s">
        <v>526</v>
      </c>
      <c r="H688" t="b">
        <v>1</v>
      </c>
      <c r="P688" t="b">
        <f>ISNUMBER(MATCH(Varieties[[#This Row],[Id]],SeedOrder[Id],0))</f>
        <v>0</v>
      </c>
      <c r="Q688">
        <v>1000</v>
      </c>
      <c r="R688" t="s">
        <v>1243</v>
      </c>
      <c r="S688" t="s">
        <v>814</v>
      </c>
    </row>
    <row r="689" spans="2:19" ht="15" customHeight="1">
      <c r="B689" t="str">
        <f>Varieties[[#This Row],[Company]] &amp; " " &amp;  Varieties[[#This Row],[Variety]]</f>
        <v>High Mowing Velvet Queen</v>
      </c>
      <c r="C689" t="s">
        <v>130</v>
      </c>
      <c r="E689" t="s">
        <v>950</v>
      </c>
      <c r="G689" s="247" t="s">
        <v>482</v>
      </c>
      <c r="H689" t="b">
        <v>1</v>
      </c>
      <c r="P689" t="b">
        <f>ISNUMBER(MATCH(Varieties[[#This Row],[Id]],SeedOrder[Id],0))</f>
        <v>0</v>
      </c>
      <c r="Q689" t="e">
        <v>#N/A</v>
      </c>
      <c r="R689" t="e">
        <v>#N/A</v>
      </c>
      <c r="S689" t="s">
        <v>951</v>
      </c>
    </row>
    <row r="690" spans="2:19" ht="15" customHeight="1">
      <c r="B690" t="str">
        <f>Varieties[[#This Row],[Company]] &amp; " " &amp;  Varieties[[#This Row],[Variety]]</f>
        <v>Adaptive Ventura</v>
      </c>
      <c r="C690" t="s">
        <v>55</v>
      </c>
      <c r="D690" t="s">
        <v>2219</v>
      </c>
      <c r="E690" t="s">
        <v>2217</v>
      </c>
      <c r="G690" s="247" t="s">
        <v>488</v>
      </c>
      <c r="H690" t="b">
        <v>1</v>
      </c>
      <c r="P690" t="b">
        <f>ISNUMBER(MATCH(Varieties[[#This Row],[Id]],SeedOrder[Id],0))</f>
        <v>0</v>
      </c>
      <c r="Q690">
        <v>2400</v>
      </c>
      <c r="R690" t="s">
        <v>1243</v>
      </c>
      <c r="S690" t="s">
        <v>2220</v>
      </c>
    </row>
    <row r="691" spans="2:19" ht="15" customHeight="1">
      <c r="B691" t="str">
        <f>Varieties[[#This Row],[Company]] &amp; " " &amp;  Varieties[[#This Row],[Variety]]</f>
        <v>Adaptive Verdil</v>
      </c>
      <c r="C691" t="s">
        <v>123</v>
      </c>
      <c r="E691" t="s">
        <v>581</v>
      </c>
      <c r="G691" s="247" t="s">
        <v>488</v>
      </c>
      <c r="H691" t="b">
        <v>1</v>
      </c>
      <c r="P691" t="b">
        <f>ISNUMBER(MATCH(Varieties[[#This Row],[Id]],SeedOrder[Id],0))</f>
        <v>0</v>
      </c>
      <c r="Q691">
        <v>72</v>
      </c>
      <c r="R691" t="s">
        <v>1243</v>
      </c>
      <c r="S691" s="160" t="s">
        <v>936</v>
      </c>
    </row>
    <row r="692" spans="2:19" ht="15" customHeight="1">
      <c r="B692" t="str">
        <f>Varieties[[#This Row],[Company]] &amp; " " &amp;  Varieties[[#This Row],[Variety]]</f>
        <v>Uprising VERZA MORETTA DI VERONELLA</v>
      </c>
      <c r="C692" t="s">
        <v>52</v>
      </c>
      <c r="D692" t="s">
        <v>154</v>
      </c>
      <c r="E692" t="s">
        <v>498</v>
      </c>
      <c r="G692" s="247" t="s">
        <v>484</v>
      </c>
      <c r="H692" t="b">
        <v>1</v>
      </c>
      <c r="M692" s="30" t="s">
        <v>1290</v>
      </c>
      <c r="N692" s="30"/>
      <c r="O692" s="30"/>
      <c r="P692" s="30" t="b">
        <f>ISNUMBER(MATCH(Varieties[[#This Row],[Id]],SeedOrder[Id],0))</f>
        <v>0</v>
      </c>
      <c r="Q692">
        <v>0</v>
      </c>
      <c r="R692" s="30">
        <v>0</v>
      </c>
      <c r="S692" t="s">
        <v>981</v>
      </c>
    </row>
    <row r="693" spans="2:19" ht="15" customHeight="1">
      <c r="B693" t="str">
        <f>Varieties[[#This Row],[Company]] &amp; " " &amp;  Varieties[[#This Row],[Variety]]</f>
        <v>Osborne Victoria (pelleted)</v>
      </c>
      <c r="C693" t="s">
        <v>55</v>
      </c>
      <c r="E693" t="s">
        <v>783</v>
      </c>
      <c r="G693" s="247" t="s">
        <v>503</v>
      </c>
      <c r="H693" t="b">
        <v>1</v>
      </c>
      <c r="P693" t="b">
        <f>ISNUMBER(MATCH(Varieties[[#This Row],[Id]],SeedOrder[Id],0))</f>
        <v>0</v>
      </c>
      <c r="Q693" t="e">
        <v>#N/A</v>
      </c>
      <c r="R693" t="e">
        <v>#N/A</v>
      </c>
      <c r="S693" t="s">
        <v>784</v>
      </c>
    </row>
    <row r="694" spans="2:19" ht="15" customHeight="1">
      <c r="B694" t="str">
        <f>Varieties[[#This Row],[Company]] &amp; " " &amp;  Varieties[[#This Row],[Variety]]</f>
        <v>Osborne VIKING 200</v>
      </c>
      <c r="C694" t="s">
        <v>1041</v>
      </c>
      <c r="E694" t="s">
        <v>1042</v>
      </c>
      <c r="G694" s="247" t="s">
        <v>503</v>
      </c>
      <c r="H694" t="b">
        <v>1</v>
      </c>
      <c r="M694" t="s">
        <v>1043</v>
      </c>
      <c r="P694" t="b">
        <f>ISNUMBER(MATCH(Varieties[[#This Row],[Id]],SeedOrder[Id],0))</f>
        <v>0</v>
      </c>
      <c r="Q694" t="e">
        <v>#N/A</v>
      </c>
      <c r="R694" t="e">
        <v>#N/A</v>
      </c>
      <c r="S694" t="s">
        <v>1044</v>
      </c>
    </row>
    <row r="695" spans="2:19" ht="15" customHeight="1">
      <c r="B695" t="str">
        <f>Varieties[[#This Row],[Company]] &amp; " " &amp;  Varieties[[#This Row],[Variety]]</f>
        <v>Johnny's Vintage White</v>
      </c>
      <c r="C695" t="s">
        <v>1695</v>
      </c>
      <c r="E695" t="s">
        <v>1991</v>
      </c>
      <c r="G695" s="247" t="s">
        <v>490</v>
      </c>
      <c r="H695" t="b">
        <v>1</v>
      </c>
      <c r="P695" t="b">
        <f>ISNUMBER(MATCH(Varieties[[#This Row],[Id]],SeedOrder[Id],0))</f>
        <v>0</v>
      </c>
      <c r="Q695">
        <v>54500</v>
      </c>
      <c r="R695" t="s">
        <v>1242</v>
      </c>
      <c r="S695" s="160" t="s">
        <v>2138</v>
      </c>
    </row>
    <row r="696" spans="2:19" ht="15" customHeight="1">
      <c r="B696" t="str">
        <f>Varieties[[#This Row],[Company]] &amp; " " &amp;  Varieties[[#This Row],[Variety]]</f>
        <v>High Mowing Vit Mache</v>
      </c>
      <c r="C696" t="s">
        <v>66</v>
      </c>
      <c r="E696" t="s">
        <v>519</v>
      </c>
      <c r="G696" t="s">
        <v>482</v>
      </c>
      <c r="H696" t="b">
        <v>1</v>
      </c>
      <c r="P696" t="b">
        <f>ISNUMBER(MATCH(Varieties[[#This Row],[Id]],SeedOrder[Id],0))</f>
        <v>0</v>
      </c>
      <c r="Q696">
        <v>13400</v>
      </c>
      <c r="R696" t="s">
        <v>1242</v>
      </c>
      <c r="S696" s="160" t="s">
        <v>796</v>
      </c>
    </row>
    <row r="697" spans="2:19" ht="15" customHeight="1">
      <c r="B697" t="str">
        <f>Varieties[[#This Row],[Company]] &amp; " " &amp;  Varieties[[#This Row],[Variety]]</f>
        <v>Johnny's Volcano Mix</v>
      </c>
      <c r="C697" t="s">
        <v>74</v>
      </c>
      <c r="E697" t="s">
        <v>611</v>
      </c>
      <c r="G697" t="s">
        <v>490</v>
      </c>
      <c r="H697" t="b">
        <v>1</v>
      </c>
      <c r="P697" t="b">
        <f>ISNUMBER(MATCH(Varieties[[#This Row],[Id]],SeedOrder[Id],0))</f>
        <v>0</v>
      </c>
      <c r="Q697">
        <v>34900</v>
      </c>
      <c r="R697" t="s">
        <v>1242</v>
      </c>
      <c r="S697" t="s">
        <v>815</v>
      </c>
    </row>
    <row r="698" spans="2:19" ht="15" customHeight="1">
      <c r="B698" t="str">
        <f>Varieties[[#This Row],[Company]] &amp; " " &amp;  Varieties[[#This Row],[Variety]]</f>
        <v>Osborne Wa Wa Tsai F1</v>
      </c>
      <c r="C698" t="s">
        <v>52</v>
      </c>
      <c r="E698" t="s">
        <v>2794</v>
      </c>
      <c r="G698" s="268" t="s">
        <v>503</v>
      </c>
      <c r="H698" t="b">
        <v>0</v>
      </c>
      <c r="P698" t="b">
        <f>ISNUMBER(MATCH(Varieties[[#This Row],[Id]],SeedOrder[Id],0))</f>
        <v>0</v>
      </c>
      <c r="Q698" t="s">
        <v>2916</v>
      </c>
      <c r="S698" t="s">
        <v>2905</v>
      </c>
    </row>
    <row r="699" spans="2:19" ht="15" customHeight="1">
      <c r="B699" t="str">
        <f>Varieties[[#This Row],[Company]] &amp; " " &amp;  Varieties[[#This Row],[Variety]]</f>
        <v>High Mowing Walla Wallla</v>
      </c>
      <c r="C699" t="s">
        <v>105</v>
      </c>
      <c r="E699" t="s">
        <v>1849</v>
      </c>
      <c r="G699" t="s">
        <v>482</v>
      </c>
      <c r="H699" t="b">
        <v>1</v>
      </c>
      <c r="P699" t="b">
        <f>ISNUMBER(MATCH(Varieties[[#This Row],[Id]],SeedOrder[Id],0))</f>
        <v>0</v>
      </c>
      <c r="Q699">
        <v>6000</v>
      </c>
      <c r="R699" t="s">
        <v>1242</v>
      </c>
      <c r="S699" s="160" t="s">
        <v>2063</v>
      </c>
    </row>
    <row r="700" spans="2:19" ht="15" customHeight="1">
      <c r="B700" t="str">
        <f>Varieties[[#This Row],[Company]] &amp; " " &amp;  Varieties[[#This Row],[Variety]]</f>
        <v xml:space="preserve"> Waltham</v>
      </c>
      <c r="C700" t="s">
        <v>124</v>
      </c>
      <c r="D700" t="s">
        <v>1135</v>
      </c>
      <c r="E700" t="s">
        <v>683</v>
      </c>
      <c r="L700">
        <v>3.7</v>
      </c>
      <c r="P700" t="b">
        <f>ISNUMBER(MATCH(Varieties[[#This Row],[Id]],SeedOrder[Id],0))</f>
        <v>0</v>
      </c>
      <c r="Q700" t="e">
        <v>#N/A</v>
      </c>
      <c r="R700" t="e">
        <v>#N/A</v>
      </c>
    </row>
    <row r="701" spans="2:19" ht="15" customHeight="1">
      <c r="B701" t="str">
        <f>Varieties[[#This Row],[Company]] &amp; " " &amp;  Varieties[[#This Row],[Variety]]</f>
        <v>High Mowing Waltham</v>
      </c>
      <c r="C701" t="s">
        <v>124</v>
      </c>
      <c r="D701" t="s">
        <v>1135</v>
      </c>
      <c r="E701" t="s">
        <v>683</v>
      </c>
      <c r="G701" t="s">
        <v>482</v>
      </c>
      <c r="H701" t="b">
        <v>1</v>
      </c>
      <c r="M701" t="s">
        <v>1224</v>
      </c>
      <c r="P701" t="b">
        <f>ISNUMBER(MATCH(Varieties[[#This Row],[Id]],SeedOrder[Id],0))</f>
        <v>0</v>
      </c>
      <c r="Q701">
        <v>300</v>
      </c>
      <c r="R701" t="s">
        <v>1242</v>
      </c>
      <c r="S701" s="160" t="s">
        <v>1225</v>
      </c>
    </row>
    <row r="702" spans="2:19" ht="15" customHeight="1">
      <c r="B702" t="str">
        <f>Varieties[[#This Row],[Company]] &amp; " " &amp;  Varieties[[#This Row],[Variety]]</f>
        <v>Johnny's Washington Cherry</v>
      </c>
      <c r="C702" t="s">
        <v>136</v>
      </c>
      <c r="E702" s="246" t="s">
        <v>3015</v>
      </c>
      <c r="G702" s="246" t="s">
        <v>490</v>
      </c>
      <c r="H702" t="b">
        <v>1</v>
      </c>
      <c r="P702" t="b">
        <f>ISNUMBER(MATCH(Varieties[[#This Row],[Id]],SeedOrder[Id],0))</f>
        <v>1</v>
      </c>
      <c r="Q702">
        <v>15250</v>
      </c>
      <c r="R702" t="s">
        <v>1242</v>
      </c>
      <c r="S702" t="s">
        <v>3068</v>
      </c>
    </row>
    <row r="703" spans="2:19" ht="15" customHeight="1">
      <c r="B703" t="str">
        <f>Varieties[[#This Row],[Company]] &amp; " " &amp;  Varieties[[#This Row],[Variety]]</f>
        <v xml:space="preserve"> West Virginia 63</v>
      </c>
      <c r="C703" t="s">
        <v>136</v>
      </c>
      <c r="D703" t="s">
        <v>427</v>
      </c>
      <c r="E703" s="247" t="s">
        <v>1572</v>
      </c>
      <c r="G703" s="247"/>
      <c r="L703">
        <v>4</v>
      </c>
      <c r="P703" t="b">
        <f>ISNUMBER(MATCH(Varieties[[#This Row],[Id]],SeedOrder[Id],0))</f>
        <v>0</v>
      </c>
      <c r="Q703" t="e">
        <v>#N/A</v>
      </c>
      <c r="R703" t="e">
        <v>#N/A</v>
      </c>
    </row>
    <row r="704" spans="2:19" ht="15" customHeight="1">
      <c r="B704" t="str">
        <f>Varieties[[#This Row],[Company]] &amp; " " &amp;  Varieties[[#This Row],[Variety]]</f>
        <v>Southern Exposure West Virginia '63</v>
      </c>
      <c r="C704" t="s">
        <v>136</v>
      </c>
      <c r="E704" s="247" t="s">
        <v>1861</v>
      </c>
      <c r="G704" s="247" t="s">
        <v>703</v>
      </c>
      <c r="H704" t="b">
        <v>1</v>
      </c>
      <c r="P704" t="b">
        <f>ISNUMBER(MATCH(Varieties[[#This Row],[Id]],SeedOrder[Id],0))</f>
        <v>0</v>
      </c>
      <c r="Q704" t="s">
        <v>2192</v>
      </c>
      <c r="R704" t="s">
        <v>2192</v>
      </c>
      <c r="S704" s="160" t="s">
        <v>2148</v>
      </c>
    </row>
    <row r="705" spans="2:19" ht="15" customHeight="1">
      <c r="B705" t="str">
        <f>Varieties[[#This Row],[Company]] &amp; " " &amp;  Varieties[[#This Row],[Variety]]</f>
        <v>Baker Creek White</v>
      </c>
      <c r="C705" t="s">
        <v>1250</v>
      </c>
      <c r="D705" t="s">
        <v>169</v>
      </c>
      <c r="E705" s="247" t="s">
        <v>169</v>
      </c>
      <c r="G705" s="247" t="s">
        <v>492</v>
      </c>
      <c r="H705" t="b">
        <v>0</v>
      </c>
      <c r="P705" t="b">
        <f>ISNUMBER(MATCH(Varieties[[#This Row],[Id]],SeedOrder[Id],0))</f>
        <v>0</v>
      </c>
      <c r="Q705" t="e">
        <v>#N/A</v>
      </c>
      <c r="R705" t="e">
        <v>#N/A</v>
      </c>
      <c r="S705" t="s">
        <v>766</v>
      </c>
    </row>
    <row r="706" spans="2:19" ht="15" customHeight="1">
      <c r="B706" t="str">
        <f>Varieties[[#This Row],[Company]] &amp; " " &amp;  Varieties[[#This Row],[Variety]]</f>
        <v>Rare Seeds White</v>
      </c>
      <c r="C706" t="s">
        <v>48</v>
      </c>
      <c r="E706" s="247" t="s">
        <v>169</v>
      </c>
      <c r="G706" s="247" t="s">
        <v>1957</v>
      </c>
      <c r="H706" t="b">
        <v>0</v>
      </c>
      <c r="P706" t="b">
        <f>ISNUMBER(MATCH(Varieties[[#This Row],[Id]],SeedOrder[Id],0))</f>
        <v>0</v>
      </c>
      <c r="Q706" t="s">
        <v>2192</v>
      </c>
      <c r="R706" t="s">
        <v>2192</v>
      </c>
      <c r="S706" s="160" t="s">
        <v>766</v>
      </c>
    </row>
    <row r="707" spans="2:19" ht="15" customHeight="1">
      <c r="B707" t="str">
        <f>Varieties[[#This Row],[Company]] &amp; " " &amp;  Varieties[[#This Row],[Variety]]</f>
        <v>Wild Garden White Dill</v>
      </c>
      <c r="C707" t="s">
        <v>75</v>
      </c>
      <c r="D707" t="s">
        <v>825</v>
      </c>
      <c r="E707" s="247" t="s">
        <v>527</v>
      </c>
      <c r="G707" s="247" t="s">
        <v>526</v>
      </c>
      <c r="H707" t="b">
        <v>1</v>
      </c>
      <c r="P707" t="b">
        <f>ISNUMBER(MATCH(Varieties[[#This Row],[Id]],SeedOrder[Id],0))</f>
        <v>0</v>
      </c>
      <c r="Q707">
        <v>1040</v>
      </c>
      <c r="R707" t="s">
        <v>1243</v>
      </c>
      <c r="S707" s="160" t="s">
        <v>827</v>
      </c>
    </row>
    <row r="708" spans="2:19" ht="15" customHeight="1">
      <c r="B708" t="str">
        <f>Varieties[[#This Row],[Company]] &amp; " " &amp;  Varieties[[#This Row],[Variety]]</f>
        <v>Wild Garden White Immortelle</v>
      </c>
      <c r="C708" t="s">
        <v>1695</v>
      </c>
      <c r="E708" s="247" t="s">
        <v>1989</v>
      </c>
      <c r="G708" s="247" t="s">
        <v>526</v>
      </c>
      <c r="H708" t="b">
        <v>1</v>
      </c>
      <c r="P708" t="b">
        <f>ISNUMBER(MATCH(Varieties[[#This Row],[Id]],SeedOrder[Id],0))</f>
        <v>0</v>
      </c>
      <c r="Q708">
        <v>800</v>
      </c>
      <c r="R708" t="s">
        <v>1243</v>
      </c>
      <c r="S708" s="160" t="s">
        <v>2178</v>
      </c>
    </row>
    <row r="709" spans="2:19" ht="15" customHeight="1">
      <c r="B709" t="str">
        <f>Varieties[[#This Row],[Company]] &amp; " " &amp;  Varieties[[#This Row],[Variety]]</f>
        <v>Baker Creek White Queen</v>
      </c>
      <c r="C709" t="s">
        <v>51</v>
      </c>
      <c r="E709" s="247" t="s">
        <v>603</v>
      </c>
      <c r="G709" s="247" t="s">
        <v>492</v>
      </c>
      <c r="H709" t="b">
        <v>0</v>
      </c>
      <c r="P709" t="b">
        <f>ISNUMBER(MATCH(Varieties[[#This Row],[Id]],SeedOrder[Id],0))</f>
        <v>0</v>
      </c>
      <c r="Q709" t="e">
        <v>#N/A</v>
      </c>
      <c r="R709" t="e">
        <v>#N/A</v>
      </c>
      <c r="S709" t="s">
        <v>768</v>
      </c>
    </row>
    <row r="710" spans="2:19" ht="15" customHeight="1">
      <c r="B710" t="str">
        <f>Varieties[[#This Row],[Company]] &amp; " " &amp;  Varieties[[#This Row],[Variety]]</f>
        <v>High Mowing White Russian</v>
      </c>
      <c r="C710" t="s">
        <v>88</v>
      </c>
      <c r="E710" s="247" t="s">
        <v>1914</v>
      </c>
      <c r="G710" s="247" t="s">
        <v>482</v>
      </c>
      <c r="H710" t="b">
        <v>1</v>
      </c>
      <c r="P710" t="b">
        <f>ISNUMBER(MATCH(Varieties[[#This Row],[Id]],SeedOrder[Id],0))</f>
        <v>0</v>
      </c>
      <c r="Q710">
        <v>5600</v>
      </c>
      <c r="R710" t="s">
        <v>1242</v>
      </c>
      <c r="S710" s="160" t="s">
        <v>2083</v>
      </c>
    </row>
    <row r="711" spans="2:19" ht="15" customHeight="1">
      <c r="B711" t="str">
        <f>Varieties[[#This Row],[Company]] &amp; " " &amp;  Varieties[[#This Row],[Variety]]</f>
        <v>Adaptive White Spear</v>
      </c>
      <c r="C711" t="s">
        <v>845</v>
      </c>
      <c r="E711" s="247" t="s">
        <v>579</v>
      </c>
      <c r="G711" s="247" t="s">
        <v>488</v>
      </c>
      <c r="H711" t="b">
        <v>1</v>
      </c>
      <c r="P711" t="b">
        <f>ISNUMBER(MATCH(Varieties[[#This Row],[Id]],SeedOrder[Id],0))</f>
        <v>0</v>
      </c>
      <c r="Q711">
        <v>200</v>
      </c>
      <c r="R711" t="s">
        <v>1243</v>
      </c>
      <c r="S711" s="160" t="s">
        <v>846</v>
      </c>
    </row>
    <row r="712" spans="2:19" ht="15" customHeight="1">
      <c r="B712" t="str">
        <f>Varieties[[#This Row],[Company]] &amp; " " &amp;  Varieties[[#This Row],[Variety]]</f>
        <v>Johnny's White Swan</v>
      </c>
      <c r="C712" t="s">
        <v>97</v>
      </c>
      <c r="E712" s="247" t="s">
        <v>624</v>
      </c>
      <c r="G712" s="247" t="s">
        <v>490</v>
      </c>
      <c r="H712" t="b">
        <v>0</v>
      </c>
      <c r="P712" t="b">
        <f>ISNUMBER(MATCH(Varieties[[#This Row],[Id]],SeedOrder[Id],0))</f>
        <v>0</v>
      </c>
      <c r="Q712">
        <v>9200</v>
      </c>
      <c r="R712" t="s">
        <v>1242</v>
      </c>
      <c r="S712" t="s">
        <v>875</v>
      </c>
    </row>
    <row r="713" spans="2:19" ht="15" customHeight="1">
      <c r="B713" t="str">
        <f>Varieties[[#This Row],[Company]] &amp; " " &amp;  Varieties[[#This Row],[Variety]]</f>
        <v>Everwilde White Tokyo Long</v>
      </c>
      <c r="C713" t="s">
        <v>845</v>
      </c>
      <c r="E713" s="247" t="s">
        <v>851</v>
      </c>
      <c r="G713" s="247" t="s">
        <v>753</v>
      </c>
      <c r="P713" t="b">
        <f>ISNUMBER(MATCH(Varieties[[#This Row],[Id]],SeedOrder[Id],0))</f>
        <v>0</v>
      </c>
      <c r="Q713" t="e">
        <v>#N/A</v>
      </c>
      <c r="R713" t="e">
        <v>#N/A</v>
      </c>
      <c r="S713" t="s">
        <v>852</v>
      </c>
    </row>
    <row r="714" spans="2:19" ht="15" customHeight="1">
      <c r="B714" t="str">
        <f>Varieties[[#This Row],[Company]] &amp; " " &amp;  Varieties[[#This Row],[Variety]]</f>
        <v>Wild Garden Wild Garden Zinnia Mix</v>
      </c>
      <c r="C714" t="s">
        <v>139</v>
      </c>
      <c r="E714" s="247" t="s">
        <v>2004</v>
      </c>
      <c r="G714" s="247" t="s">
        <v>526</v>
      </c>
      <c r="H714" t="b">
        <v>1</v>
      </c>
      <c r="P714" t="b">
        <f>ISNUMBER(MATCH(Varieties[[#This Row],[Id]],SeedOrder[Id],0))</f>
        <v>0</v>
      </c>
      <c r="Q714">
        <v>82</v>
      </c>
      <c r="R714" t="s">
        <v>1243</v>
      </c>
      <c r="S714" s="160" t="s">
        <v>2182</v>
      </c>
    </row>
    <row r="715" spans="2:19" ht="15" customHeight="1">
      <c r="B715" t="str">
        <f>Varieties[[#This Row],[Company]] &amp; " " &amp;  Varieties[[#This Row],[Variety]]</f>
        <v xml:space="preserve"> Wild Red</v>
      </c>
      <c r="C715" t="s">
        <v>88</v>
      </c>
      <c r="E715" s="247" t="s">
        <v>1657</v>
      </c>
      <c r="G715" s="247"/>
      <c r="L715">
        <v>4.0999999999999996</v>
      </c>
      <c r="P715" t="b">
        <f>ISNUMBER(MATCH(Varieties[[#This Row],[Id]],SeedOrder[Id],0))</f>
        <v>0</v>
      </c>
      <c r="Q715" t="e">
        <v>#N/A</v>
      </c>
      <c r="R715" t="e">
        <v>#N/A</v>
      </c>
    </row>
    <row r="716" spans="2:19" ht="15" customHeight="1">
      <c r="B716" t="str">
        <f>Varieties[[#This Row],[Company]] &amp; " " &amp;  Varieties[[#This Row],[Variety]]</f>
        <v>High Mowing Windsor</v>
      </c>
      <c r="C716" t="s">
        <v>77</v>
      </c>
      <c r="E716" s="247" t="s">
        <v>1271</v>
      </c>
      <c r="G716" s="247" t="s">
        <v>482</v>
      </c>
      <c r="H716" t="b">
        <v>1</v>
      </c>
      <c r="M716" s="30" t="s">
        <v>1273</v>
      </c>
      <c r="N716" s="30"/>
      <c r="O716" s="30"/>
      <c r="P716" s="30" t="b">
        <f>ISNUMBER(MATCH(Varieties[[#This Row],[Id]],SeedOrder[Id],0))</f>
        <v>0</v>
      </c>
      <c r="Q716" t="e">
        <v>#N/A</v>
      </c>
      <c r="R716" s="30" t="e">
        <v>#N/A</v>
      </c>
      <c r="S716" t="s">
        <v>1272</v>
      </c>
    </row>
    <row r="717" spans="2:19" ht="15" customHeight="1">
      <c r="B717" t="str">
        <f>Varieties[[#This Row],[Company]] &amp; " " &amp;  Varieties[[#This Row],[Variety]]</f>
        <v>Baker Creek Winged</v>
      </c>
      <c r="C717" t="s">
        <v>44</v>
      </c>
      <c r="D717" t="s">
        <v>153</v>
      </c>
      <c r="E717" s="247" t="s">
        <v>153</v>
      </c>
      <c r="G717" s="247" t="s">
        <v>492</v>
      </c>
      <c r="H717" t="b">
        <v>0</v>
      </c>
      <c r="P717" t="b">
        <f>ISNUMBER(MATCH(Varieties[[#This Row],[Id]],SeedOrder[Id],0))</f>
        <v>0</v>
      </c>
      <c r="Q717">
        <v>0</v>
      </c>
      <c r="R717">
        <v>0</v>
      </c>
      <c r="S717" t="s">
        <v>757</v>
      </c>
    </row>
    <row r="718" spans="2:19" ht="15" customHeight="1">
      <c r="B718" t="str">
        <f>Varieties[[#This Row],[Company]] &amp; " " &amp;  Varieties[[#This Row],[Variety]]</f>
        <v>Adaptive Winged Everlasting</v>
      </c>
      <c r="C718" t="s">
        <v>1765</v>
      </c>
      <c r="E718" s="247" t="s">
        <v>2008</v>
      </c>
      <c r="G718" s="247" t="s">
        <v>488</v>
      </c>
      <c r="H718" t="b">
        <v>1</v>
      </c>
      <c r="P718" t="b">
        <f>ISNUMBER(MATCH(Varieties[[#This Row],[Id]],SeedOrder[Id],0))</f>
        <v>0</v>
      </c>
      <c r="Q718">
        <v>2000</v>
      </c>
      <c r="R718" t="s">
        <v>1243</v>
      </c>
      <c r="S718" s="160" t="s">
        <v>2029</v>
      </c>
    </row>
    <row r="719" spans="2:19" ht="15" customHeight="1">
      <c r="B719" t="str">
        <f>Varieties[[#This Row],[Company]] &amp; " " &amp;  Varieties[[#This Row],[Variety]]</f>
        <v>Uprising Winter Density</v>
      </c>
      <c r="C719" t="s">
        <v>92</v>
      </c>
      <c r="E719" s="247" t="s">
        <v>1357</v>
      </c>
      <c r="G719" s="247" t="s">
        <v>484</v>
      </c>
      <c r="H719" t="b">
        <v>1</v>
      </c>
      <c r="P719" t="b">
        <f>ISNUMBER(MATCH(Varieties[[#This Row],[Id]],SeedOrder[Id],0))</f>
        <v>0</v>
      </c>
      <c r="Q719" t="e">
        <v>#N/A</v>
      </c>
      <c r="R719" t="e">
        <v>#N/A</v>
      </c>
    </row>
    <row r="720" spans="2:19" ht="15" customHeight="1">
      <c r="B720" t="str">
        <f>Varieties[[#This Row],[Company]] &amp; " " &amp;  Varieties[[#This Row],[Variety]]</f>
        <v>Adaptive Winter Giant</v>
      </c>
      <c r="C720" t="s">
        <v>123</v>
      </c>
      <c r="E720" s="247" t="s">
        <v>583</v>
      </c>
      <c r="G720" s="247" t="s">
        <v>488</v>
      </c>
      <c r="H720" t="b">
        <v>1</v>
      </c>
      <c r="P720" t="b">
        <f>ISNUMBER(MATCH(Varieties[[#This Row],[Id]],SeedOrder[Id],0))</f>
        <v>0</v>
      </c>
      <c r="Q720" t="e">
        <v>#N/A</v>
      </c>
      <c r="R720" t="e">
        <v>#N/A</v>
      </c>
      <c r="S720" t="s">
        <v>938</v>
      </c>
    </row>
    <row r="721" spans="2:19" ht="15" customHeight="1">
      <c r="B721" t="str">
        <f>Varieties[[#This Row],[Company]] &amp; " " &amp;  Varieties[[#This Row],[Variety]]</f>
        <v xml:space="preserve"> Winter Rainbow</v>
      </c>
      <c r="C721" t="s">
        <v>88</v>
      </c>
      <c r="D721" t="s">
        <v>1658</v>
      </c>
      <c r="E721" s="247" t="s">
        <v>1654</v>
      </c>
      <c r="G721" s="247"/>
      <c r="L721">
        <v>4.3</v>
      </c>
      <c r="P721" t="b">
        <f>ISNUMBER(MATCH(Varieties[[#This Row],[Id]],SeedOrder[Id],0))</f>
        <v>0</v>
      </c>
      <c r="Q721" t="e">
        <v>#N/A</v>
      </c>
      <c r="R721" t="e">
        <v>#N/A</v>
      </c>
    </row>
    <row r="722" spans="2:19" ht="15" customHeight="1">
      <c r="B722" t="str">
        <f>Varieties[[#This Row],[Company]] &amp; " " &amp;  Varieties[[#This Row],[Variety]]</f>
        <v>Johnnys Woodstock</v>
      </c>
      <c r="C722" t="s">
        <v>136</v>
      </c>
      <c r="E722" s="247" t="s">
        <v>3037</v>
      </c>
      <c r="G722" s="247" t="s">
        <v>1762</v>
      </c>
      <c r="H722" t="b">
        <v>1</v>
      </c>
      <c r="P722" t="b">
        <f>ISNUMBER(MATCH(Varieties[[#This Row],[Id]],SeedOrder[Id],0))</f>
        <v>1</v>
      </c>
      <c r="Q722">
        <v>118300</v>
      </c>
      <c r="R722" t="s">
        <v>1241</v>
      </c>
      <c r="S722" t="s">
        <v>3067</v>
      </c>
    </row>
    <row r="723" spans="2:19" ht="15" customHeight="1">
      <c r="B723" t="str">
        <f>Varieties[[#This Row],[Company]] &amp; " " &amp;  Varieties[[#This Row],[Variety]]</f>
        <v>Johnny's Xalbadora</v>
      </c>
      <c r="C723" t="s">
        <v>92</v>
      </c>
      <c r="E723" s="247" t="s">
        <v>2102</v>
      </c>
      <c r="G723" s="247" t="s">
        <v>490</v>
      </c>
      <c r="H723" t="b">
        <v>1</v>
      </c>
      <c r="P723" t="b">
        <f>ISNUMBER(MATCH(Varieties[[#This Row],[Id]],SeedOrder[Id],0))</f>
        <v>0</v>
      </c>
      <c r="Q723">
        <v>12867</v>
      </c>
      <c r="R723" t="s">
        <v>1241</v>
      </c>
      <c r="S723" s="160" t="s">
        <v>2101</v>
      </c>
    </row>
    <row r="724" spans="2:19" ht="15" customHeight="1">
      <c r="B724" t="str">
        <f>Varieties[[#This Row],[Company]] &amp; " " &amp;  Varieties[[#This Row],[Variety]]</f>
        <v>Everwilde Yard Long</v>
      </c>
      <c r="C724" t="s">
        <v>44</v>
      </c>
      <c r="D724" t="s">
        <v>150</v>
      </c>
      <c r="E724" s="247" t="s">
        <v>752</v>
      </c>
      <c r="G724" s="247" t="s">
        <v>753</v>
      </c>
      <c r="P724" t="b">
        <f>ISNUMBER(MATCH(Varieties[[#This Row],[Id]],SeedOrder[Id],0))</f>
        <v>0</v>
      </c>
      <c r="Q724" t="e">
        <v>#N/A</v>
      </c>
      <c r="R724" t="e">
        <v>#N/A</v>
      </c>
      <c r="S724" t="s">
        <v>754</v>
      </c>
    </row>
    <row r="725" spans="2:19" ht="15" customHeight="1">
      <c r="B725" t="str">
        <f>Varieties[[#This Row],[Company]] &amp; " " &amp;  Varieties[[#This Row],[Variety]]</f>
        <v>Baker Creek Yedikule</v>
      </c>
      <c r="C725" t="s">
        <v>92</v>
      </c>
      <c r="E725" s="247" t="s">
        <v>541</v>
      </c>
      <c r="G725" s="247" t="s">
        <v>492</v>
      </c>
      <c r="H725" t="b">
        <v>1</v>
      </c>
      <c r="M725" t="s">
        <v>929</v>
      </c>
      <c r="P725" t="b">
        <f>ISNUMBER(MATCH(Varieties[[#This Row],[Id]],SeedOrder[Id],0))</f>
        <v>0</v>
      </c>
      <c r="Q725" t="e">
        <v>#N/A</v>
      </c>
      <c r="R725" t="e">
        <v>#N/A</v>
      </c>
      <c r="S725" t="s">
        <v>930</v>
      </c>
    </row>
    <row r="726" spans="2:19" ht="15" customHeight="1">
      <c r="B726" t="str">
        <f>Varieties[[#This Row],[Company]] &amp; " " &amp;  Varieties[[#This Row],[Variety]]</f>
        <v>Park Seed Yellow Bell</v>
      </c>
      <c r="C726" t="s">
        <v>136</v>
      </c>
      <c r="D726" t="s">
        <v>1160</v>
      </c>
      <c r="E726" s="247" t="s">
        <v>694</v>
      </c>
      <c r="G726" s="247" t="s">
        <v>505</v>
      </c>
      <c r="H726" t="b">
        <v>1</v>
      </c>
      <c r="M726" t="s">
        <v>1165</v>
      </c>
      <c r="P726" t="b">
        <f>ISNUMBER(MATCH(Varieties[[#This Row],[Id]],SeedOrder[Id],0))</f>
        <v>0</v>
      </c>
      <c r="Q726" t="e">
        <v>#N/A</v>
      </c>
      <c r="R726" t="e">
        <v>#N/A</v>
      </c>
      <c r="S726" t="s">
        <v>1166</v>
      </c>
    </row>
    <row r="727" spans="2:19" ht="15" customHeight="1">
      <c r="B727" t="str">
        <f>Varieties[[#This Row],[Company]] &amp; " " &amp;  Varieties[[#This Row],[Variety]]</f>
        <v>Southern Exposure Yellow Bell</v>
      </c>
      <c r="C727" t="s">
        <v>136</v>
      </c>
      <c r="D727" t="s">
        <v>1160</v>
      </c>
      <c r="E727" s="247" t="s">
        <v>694</v>
      </c>
      <c r="G727" s="247" t="s">
        <v>703</v>
      </c>
      <c r="H727" t="b">
        <v>1</v>
      </c>
      <c r="M727" t="s">
        <v>1161</v>
      </c>
      <c r="P727" t="b">
        <f>ISNUMBER(MATCH(Varieties[[#This Row],[Id]],SeedOrder[Id],0))</f>
        <v>0</v>
      </c>
      <c r="Q727" t="e">
        <v>#N/A</v>
      </c>
      <c r="R727" t="e">
        <v>#N/A</v>
      </c>
      <c r="S727" t="s">
        <v>1162</v>
      </c>
    </row>
    <row r="728" spans="2:19" ht="15" customHeight="1">
      <c r="B728" t="str">
        <f>Varieties[[#This Row],[Company]] &amp; " " &amp;  Varieties[[#This Row],[Variety]]</f>
        <v>Tomato Fest Yellow Bell</v>
      </c>
      <c r="C728" t="s">
        <v>136</v>
      </c>
      <c r="D728" t="s">
        <v>1160</v>
      </c>
      <c r="E728" s="247" t="s">
        <v>694</v>
      </c>
      <c r="G728" s="247" t="s">
        <v>695</v>
      </c>
      <c r="H728" t="b">
        <v>1</v>
      </c>
      <c r="M728" t="s">
        <v>1163</v>
      </c>
      <c r="P728" t="b">
        <f>ISNUMBER(MATCH(Varieties[[#This Row],[Id]],SeedOrder[Id],0))</f>
        <v>0</v>
      </c>
      <c r="Q728">
        <v>0</v>
      </c>
      <c r="R728">
        <v>0</v>
      </c>
      <c r="S728" t="s">
        <v>1164</v>
      </c>
    </row>
    <row r="729" spans="2:19" ht="15" customHeight="1">
      <c r="B729" t="str">
        <f>Varieties[[#This Row],[Company]] &amp; " " &amp;  Varieties[[#This Row],[Variety]]</f>
        <v>Siskiyou Yellow Crookneck</v>
      </c>
      <c r="C729" t="s">
        <v>128</v>
      </c>
      <c r="E729" s="247" t="s">
        <v>2836</v>
      </c>
      <c r="G729" s="247" t="s">
        <v>1783</v>
      </c>
      <c r="H729" t="b">
        <v>1</v>
      </c>
      <c r="P729" t="b">
        <f>ISNUMBER(MATCH(Varieties[[#This Row],[Id]],SeedOrder[Id],0))</f>
        <v>1</v>
      </c>
      <c r="Q729">
        <v>250</v>
      </c>
      <c r="R729" t="s">
        <v>1242</v>
      </c>
      <c r="S729" t="s">
        <v>2931</v>
      </c>
    </row>
    <row r="730" spans="2:19" ht="15" customHeight="1">
      <c r="B730" t="str">
        <f>Varieties[[#This Row],[Company]] &amp; " " &amp;  Varieties[[#This Row],[Variety]]</f>
        <v>Johnny's Yellowstone</v>
      </c>
      <c r="C730" t="s">
        <v>53</v>
      </c>
      <c r="E730" s="247" t="s">
        <v>2803</v>
      </c>
      <c r="G730" s="247" t="s">
        <v>490</v>
      </c>
      <c r="H730" t="b">
        <v>1</v>
      </c>
      <c r="P730" t="b">
        <f>ISNUMBER(MATCH(Varieties[[#This Row],[Id]],SeedOrder[Id],0))</f>
        <v>0</v>
      </c>
      <c r="Q730">
        <v>230900</v>
      </c>
      <c r="R730" t="s">
        <v>1241</v>
      </c>
      <c r="S730" t="s">
        <v>2873</v>
      </c>
    </row>
    <row r="731" spans="2:19" ht="15" customHeight="1">
      <c r="B731" t="str">
        <f>Varieties[[#This Row],[Company]] &amp; " " &amp;  Varieties[[#This Row],[Variety]]</f>
        <v>Johnny's Y-Star</v>
      </c>
      <c r="C731" t="s">
        <v>128</v>
      </c>
      <c r="E731" s="247" t="s">
        <v>2835</v>
      </c>
      <c r="G731" s="246" t="s">
        <v>490</v>
      </c>
      <c r="H731" t="b">
        <v>1</v>
      </c>
      <c r="P731" t="b">
        <f>ISNUMBER(MATCH(Varieties[[#This Row],[Id]],SeedOrder[Id],0))</f>
        <v>1</v>
      </c>
      <c r="Q731">
        <v>5700</v>
      </c>
      <c r="R731" t="s">
        <v>1241</v>
      </c>
      <c r="S731" t="s">
        <v>2885</v>
      </c>
    </row>
    <row r="732" spans="2:19" ht="15" customHeight="1">
      <c r="B732" t="str">
        <f>Varieties[[#This Row],[Company]] &amp; " " &amp;  Varieties[[#This Row],[Variety]]</f>
        <v>Wild Garden Zanzico</v>
      </c>
      <c r="C732" t="s">
        <v>43</v>
      </c>
      <c r="E732" s="247" t="s">
        <v>710</v>
      </c>
      <c r="G732" s="247" t="s">
        <v>526</v>
      </c>
      <c r="H732" t="b">
        <v>1</v>
      </c>
      <c r="M732" t="s">
        <v>1037</v>
      </c>
      <c r="P732" t="b">
        <f>ISNUMBER(MATCH(Varieties[[#This Row],[Id]],SeedOrder[Id],0))</f>
        <v>0</v>
      </c>
      <c r="Q732">
        <v>574</v>
      </c>
      <c r="R732" t="s">
        <v>1243</v>
      </c>
      <c r="S732" s="160" t="s">
        <v>1038</v>
      </c>
    </row>
    <row r="733" spans="2:19" ht="15" customHeight="1">
      <c r="B733" t="str">
        <f>Varieties[[#This Row],[Company]] &amp; " " &amp;  Varieties[[#This Row],[Variety]]</f>
        <v>Johnny's Zephyr</v>
      </c>
      <c r="C733" t="s">
        <v>128</v>
      </c>
      <c r="D733" t="s">
        <v>1123</v>
      </c>
      <c r="E733" s="267" t="s">
        <v>677</v>
      </c>
      <c r="G733" s="267" t="s">
        <v>490</v>
      </c>
      <c r="H733" t="b">
        <v>0</v>
      </c>
      <c r="M733" t="s">
        <v>1127</v>
      </c>
      <c r="P733" t="b">
        <f>ISNUMBER(MATCH(Varieties[[#This Row],[Id]],SeedOrder[Id],0))</f>
        <v>1</v>
      </c>
      <c r="Q733">
        <v>4600</v>
      </c>
      <c r="R733" t="s">
        <v>1241</v>
      </c>
      <c r="S733" s="160" t="s">
        <v>1128</v>
      </c>
    </row>
  </sheetData>
  <hyperlinks>
    <hyperlink ref="S441" r:id="rId1" xr:uid="{B2AD381F-3AF7-4D5C-98E9-7921299525D2}"/>
    <hyperlink ref="S565" r:id="rId2" display="https://www.johnnyseeds.com/herbs/saltwort/saltwort-herb-seed-2677.11.html?gclid=CjwKCAiAzp6eBhByEiwA_gGq5AM1zOHWU3BVtKDiAnIjCuVq877TsFQnMR69XAIWoTKFFim9zASR2BoClxwQAvD_BwE" xr:uid="{3CDF7F42-F355-476E-89E1-A80CFFA2F321}"/>
    <hyperlink ref="S566" r:id="rId3" xr:uid="{4B6ACC64-88AD-49C1-B205-1EC137EA0BDA}"/>
    <hyperlink ref="S362" r:id="rId4" xr:uid="{AEED9763-26F0-4EB6-B042-98CE55AD7193}"/>
    <hyperlink ref="S687" r:id="rId5" xr:uid="{8AFA4E8E-734E-4F8F-BEC9-B1BC970ADD26}"/>
    <hyperlink ref="S151" r:id="rId6" xr:uid="{FE0D998D-2E0F-4EF1-AD82-6A3198B48198}"/>
    <hyperlink ref="S216" r:id="rId7" xr:uid="{E0294282-6A90-435D-8CDB-BF2D21BF2654}"/>
    <hyperlink ref="S297" r:id="rId8" xr:uid="{E3EB8149-DDDF-4E02-90E8-EBCFC278FEC2}"/>
    <hyperlink ref="S21" r:id="rId9" xr:uid="{3BD44A2A-F0E7-4FAA-BE6C-B62376D7B5F1}"/>
    <hyperlink ref="S29" r:id="rId10" xr:uid="{35958385-4386-4701-8E4C-75AF1D9B69D2}"/>
    <hyperlink ref="S336" r:id="rId11" xr:uid="{FE42387A-4987-4F8F-8570-A8A77C1B32AA}"/>
    <hyperlink ref="S662" r:id="rId12" display="https://www.johnnyseeds.com/vegetables/chinese-cabbage/tokyo-bekana-organic-f1-asian-green-seed-2251G.38.html?gclid=CjwKCAiAzp6eBhByEiwA_gGq5ODtwxHrqS0nmyWpySM2GTTxsQREBisrxFzv2GQ13dmc1_TmGqR_ehoCbPgQAvD_BwE" xr:uid="{3E3E6B8C-D8D6-4086-9E2E-0B7E29905E65}"/>
    <hyperlink ref="S649" r:id="rId13" xr:uid="{9BD289DC-8D1A-4257-9772-069734A07FAC}"/>
    <hyperlink ref="S406" r:id="rId14" xr:uid="{68511DC5-90FE-4C3B-814E-189E55843462}"/>
    <hyperlink ref="S483" r:id="rId15" xr:uid="{68241653-A3D4-47BF-B1B0-A75318D53FA7}"/>
    <hyperlink ref="S639" r:id="rId16" xr:uid="{9E6CFBFF-D4E5-4FEC-82B3-B7F45E65E773}"/>
    <hyperlink ref="S142" r:id="rId17" xr:uid="{78F5312D-F50E-4021-B079-08CE6713979A}"/>
    <hyperlink ref="S66" r:id="rId18" xr:uid="{5ED507CF-4271-4EBA-88A8-08FE6C366A25}"/>
    <hyperlink ref="S141" r:id="rId19" xr:uid="{322B6EC2-6483-470D-9849-81FA8F79993E}"/>
    <hyperlink ref="S43" r:id="rId20" xr:uid="{1B6E6063-697C-484D-B01A-0C97F176C7A4}"/>
    <hyperlink ref="S291" r:id="rId21" xr:uid="{A9DD0C14-5054-4B8C-854C-FF5B997947EE}"/>
    <hyperlink ref="S261" r:id="rId22" xr:uid="{27E04339-24E8-4EBF-8F30-1EC21CBA2BB5}"/>
    <hyperlink ref="S250" r:id="rId23" xr:uid="{89ED28BD-278F-46E5-8636-C2B9EB30E259}"/>
    <hyperlink ref="S350" r:id="rId24" xr:uid="{8F6400B0-02E5-4870-823C-D6B8B03AE6F6}"/>
    <hyperlink ref="S183" r:id="rId25" xr:uid="{41DDBFD3-FBFE-4AE0-BD7B-7061A513A466}"/>
    <hyperlink ref="S314" r:id="rId26" xr:uid="{C1631849-0FC0-420D-A7B4-26F8C372E41D}"/>
    <hyperlink ref="S495" r:id="rId27" xr:uid="{8D828A71-5AD1-405A-997A-EBF43BFD0C95}"/>
    <hyperlink ref="S218" r:id="rId28" xr:uid="{1B2BE83A-0118-4210-BC4C-976A0AEA6F0B}"/>
    <hyperlink ref="S170" r:id="rId29" xr:uid="{4AD2897C-CCEE-46EA-97EE-CAFA9A1BB171}"/>
    <hyperlink ref="S724" r:id="rId30" xr:uid="{45883DB0-54EA-4E85-8D51-0C98635AA847}"/>
    <hyperlink ref="S556" r:id="rId31" xr:uid="{18988959-4F7F-4A4B-9FFF-1440449521D4}"/>
    <hyperlink ref="S570" r:id="rId32" xr:uid="{AAB64E37-D685-485B-9B65-1698869F7085}"/>
    <hyperlink ref="S717" r:id="rId33" xr:uid="{030A99A9-DA7E-42C3-BD54-6C2A71371A0E}"/>
    <hyperlink ref="S669" r:id="rId34" xr:uid="{585F25EC-E12F-47A4-81A3-E946FCC76FE0}"/>
    <hyperlink ref="S134" r:id="rId35" xr:uid="{1D91FD68-7B00-4495-87D6-916069DC2A19}"/>
    <hyperlink ref="S101" r:id="rId36" xr:uid="{2F1DF6C0-6DA8-4944-B058-0DE568307374}"/>
    <hyperlink ref="S88" r:id="rId37" xr:uid="{22AD13F5-50AA-411A-B625-0903953DF28A}"/>
    <hyperlink ref="S103" r:id="rId38" xr:uid="{35ED6636-06DF-448E-B692-717005B6A2AD}"/>
    <hyperlink ref="S130" r:id="rId39" xr:uid="{A6ABBB04-4451-4137-ACEA-4EC0007C2B31}"/>
    <hyperlink ref="S705" r:id="rId40" xr:uid="{BA8118B8-C951-4991-90F5-B1782967FE3A}"/>
    <hyperlink ref="S74" r:id="rId41" xr:uid="{AB1DA580-E68F-4964-864B-22344D317455}"/>
    <hyperlink ref="S709" r:id="rId42" xr:uid="{C4F3A6B1-3977-4924-8CAA-E676F13951FB}"/>
    <hyperlink ref="S349" r:id="rId43" xr:uid="{CA563809-51F8-4251-BE1C-E8D01901FCC6}"/>
    <hyperlink ref="S76" r:id="rId44" xr:uid="{136F4A11-28FC-4ED6-A002-0A939AA873B0}"/>
    <hyperlink ref="S229" r:id="rId45" xr:uid="{86834DD4-E2E7-43C7-8B79-987AB4C2E1DE}"/>
    <hyperlink ref="S317" r:id="rId46" xr:uid="{E467763C-8392-434E-B705-3B60AADDC4A3}"/>
    <hyperlink ref="S180" r:id="rId47" xr:uid="{E8A36A46-DCF6-4BAF-85D4-3EB61E2B7712}"/>
    <hyperlink ref="S498" r:id="rId48" xr:uid="{F2F790E0-49A8-4572-A4FB-29EF79C03508}"/>
    <hyperlink ref="S343" r:id="rId49" xr:uid="{54CC787C-5834-44C6-B830-84015EEF8537}"/>
    <hyperlink ref="S425" r:id="rId50" xr:uid="{8BA2718D-A657-4DF4-BBD5-5AB733FB1B08}"/>
    <hyperlink ref="S344" r:id="rId51" xr:uid="{EF46F99A-EA17-45B4-98D6-59A29B688D45}"/>
    <hyperlink ref="S693" r:id="rId52" xr:uid="{2B0550EF-65C3-492E-A764-C7E8EBDF3F30}"/>
    <hyperlink ref="S131" r:id="rId53" xr:uid="{54EA6121-0BB2-4C95-808B-1109A4965B30}"/>
    <hyperlink ref="S136" r:id="rId54" xr:uid="{9EF2FAB9-D39D-4137-8C6F-19A794305093}"/>
    <hyperlink ref="S268" r:id="rId55" xr:uid="{C43D80DD-D729-475E-9CB8-2BA16E3639EE}"/>
    <hyperlink ref="S586" r:id="rId56" xr:uid="{ADA6C529-D0C2-49C6-B1EA-6392E24ED6CF}"/>
    <hyperlink ref="S588" r:id="rId57" xr:uid="{F7BD9EF9-C142-43C0-9B2C-C021F0EDCE41}"/>
    <hyperlink ref="S480" r:id="rId58" xr:uid="{50CC96FF-8218-4781-8D70-E157F32E7616}"/>
    <hyperlink ref="S506" r:id="rId59" xr:uid="{373CE599-A666-4CE4-A2AE-FCDEA0120558}"/>
    <hyperlink ref="S194" r:id="rId60" xr:uid="{D96D2B96-DB4A-4A99-8C55-E81F75591230}"/>
    <hyperlink ref="S429" r:id="rId61" xr:uid="{ECEBC754-A621-42C6-8F12-93254E25426F}"/>
    <hyperlink ref="S696" r:id="rId62" xr:uid="{8BCE2687-43FD-4269-828D-CC699E48D235}"/>
    <hyperlink ref="S249" r:id="rId63" xr:uid="{86F0BD96-D676-4B54-A28D-9506D01ABAF4}"/>
    <hyperlink ref="S474" r:id="rId64" xr:uid="{E53747B1-E82E-4D8D-91E6-CD9D92BAF730}"/>
    <hyperlink ref="S192" r:id="rId65" xr:uid="{DD1D5728-A8AD-4028-98D7-30FDA11994B2}"/>
    <hyperlink ref="S175" r:id="rId66" xr:uid="{E05F620D-D32C-47FD-A53B-D68513A99BAF}"/>
    <hyperlink ref="S647" r:id="rId67" xr:uid="{5BB460FB-A56E-4DB7-BD0B-1DF626C0FAA2}"/>
    <hyperlink ref="S569" r:id="rId68" xr:uid="{97DF27D6-A105-4793-AFCE-FE1DF9800DF5}"/>
    <hyperlink ref="S484" r:id="rId69" xr:uid="{16F46AFA-5604-4ECE-A9ED-54D4C34AF1E6}"/>
    <hyperlink ref="S122" r:id="rId70" xr:uid="{A2410693-EF1A-4A87-86FF-BFD418D5058A}"/>
    <hyperlink ref="S595" r:id="rId71" xr:uid="{25688459-DF6D-41B8-AB9F-57717361A033}"/>
    <hyperlink ref="S108" r:id="rId72" xr:uid="{6C949159-21BE-4217-9FA1-147A9B157F5B}"/>
    <hyperlink ref="S688" r:id="rId73" xr:uid="{920DD36A-9EB3-4350-A250-13A1C36E10CC}"/>
    <hyperlink ref="S697" r:id="rId74" xr:uid="{0033DCDA-B902-45C5-A48D-76B884D639BE}"/>
    <hyperlink ref="S606" r:id="rId75" xr:uid="{CA4674C2-EA20-4951-A799-24763642B48A}"/>
    <hyperlink ref="S290" r:id="rId76" xr:uid="{00172A5D-2A1D-4C19-BF94-221D6A470C4F}"/>
    <hyperlink ref="S263" r:id="rId77" xr:uid="{0450C338-6721-4A63-84A0-F1EC1BED4F3D}"/>
    <hyperlink ref="S13" r:id="rId78" xr:uid="{AE812BA4-D622-4DAB-B84C-72FAB7F81FCE}"/>
    <hyperlink ref="S274" r:id="rId79" xr:uid="{9B9E6C9C-43B4-457D-A401-E858FD9C8545}"/>
    <hyperlink ref="S214" r:id="rId80" xr:uid="{AF894C7D-B381-4A99-8332-B40D309881EA}"/>
    <hyperlink ref="S273" r:id="rId81" xr:uid="{B95FE259-22FD-416C-9085-AEA3406E04CF}"/>
    <hyperlink ref="S707" r:id="rId82" xr:uid="{3C357CAB-BB04-4F14-97B0-A8F40E1B3E11}"/>
    <hyperlink ref="S199" r:id="rId83" xr:uid="{160560E9-4195-4C0C-9789-29FCBCBBC05F}"/>
    <hyperlink ref="S186" r:id="rId84" xr:uid="{B2BAAA8F-F198-49C9-8E82-3255A98461DF}"/>
    <hyperlink ref="S575" r:id="rId85" xr:uid="{E858A121-54C9-4DC4-99B4-C7FE0C4597E5}"/>
    <hyperlink ref="S598" r:id="rId86" xr:uid="{79C2AB2C-7ECD-4127-8C74-137C93790FC5}"/>
    <hyperlink ref="S451" r:id="rId87" xr:uid="{F03EB150-8BF0-40EA-B8E8-0C315011F5B6}"/>
    <hyperlink ref="S321" r:id="rId88" xr:uid="{74D651B8-93E8-44A9-A721-B78A42C9D0E1}"/>
    <hyperlink ref="S241" r:id="rId89" xr:uid="{72DEAECA-5338-45C2-A0C9-E95C23C3C9BE}"/>
    <hyperlink ref="S482" r:id="rId90" xr:uid="{232AE099-E956-45AD-9A7A-11485444F984}"/>
    <hyperlink ref="S40" r:id="rId91" xr:uid="{47218F2B-A160-45FB-9240-58DE10D05288}"/>
    <hyperlink ref="S323" r:id="rId92" xr:uid="{D2B2DDD6-2EBA-4014-9D92-DFB371BD96D6}"/>
    <hyperlink ref="S341" r:id="rId93" xr:uid="{19D0D6CA-A1C3-4619-A999-E98B65196F87}"/>
    <hyperlink ref="S711" r:id="rId94" xr:uid="{64C5108B-503E-4FD0-844B-957D9B841871}"/>
    <hyperlink ref="S313" r:id="rId95" xr:uid="{EB2170C2-2276-43DF-A369-84DEDDE11289}"/>
    <hyperlink ref="S514" r:id="rId96" xr:uid="{7AD8C856-9D4C-48B0-A74F-264F47931139}"/>
    <hyperlink ref="S713" r:id="rId97" xr:uid="{1CB30E7C-A17F-4686-8084-AA09806CD64B}"/>
    <hyperlink ref="S32" r:id="rId98" xr:uid="{67B060C2-5E37-4853-9831-41E5E5B4ADAF}"/>
    <hyperlink ref="S64" r:id="rId99" xr:uid="{44E43687-8BD8-4C77-B2C5-A9507FD08ADD}"/>
    <hyperlink ref="S65" r:id="rId100" xr:uid="{7EC3FD3B-08C7-4804-BF55-AA9D0A0B8A75}"/>
    <hyperlink ref="S44" r:id="rId101" xr:uid="{692A84B0-9857-4A8F-8758-198632233069}"/>
    <hyperlink ref="S4" r:id="rId102" xr:uid="{D6C802EF-0A17-44FF-99BD-891E5059CA5F}"/>
    <hyperlink ref="S45" r:id="rId103" xr:uid="{A4C1BBB7-A3C5-45A7-9237-57469A630673}"/>
    <hyperlink ref="S320" r:id="rId104" xr:uid="{08C5E9CB-1AA9-4A34-875A-E41AADB1BC6B}"/>
    <hyperlink ref="S450" r:id="rId105" xr:uid="{67286F78-9383-4007-B1B9-1843C3744841}"/>
    <hyperlink ref="S75" r:id="rId106" xr:uid="{01E16BFD-E0F0-44F3-9677-1593525B02E6}"/>
    <hyperlink ref="S388" r:id="rId107" xr:uid="{3FD808D8-E518-47E5-A835-E6AAD9810331}"/>
    <hyperlink ref="S512" r:id="rId108" xr:uid="{CEACE818-16D3-488E-8DA3-1102A5002B90}"/>
    <hyperlink ref="S163" r:id="rId109" xr:uid="{B3B6D23D-C666-4BE0-902A-2678B47415FD}"/>
    <hyperlink ref="S257" r:id="rId110" xr:uid="{33C3C612-9408-452A-8ABD-746C1268E990}"/>
    <hyperlink ref="S255" r:id="rId111" xr:uid="{E09007A5-D3D4-4CC4-AA06-6AF7CF519A0E}"/>
    <hyperlink ref="S145" r:id="rId112" xr:uid="{5AB93AD6-858E-48F6-B510-2F0F516917BD}"/>
    <hyperlink ref="S712" r:id="rId113" xr:uid="{13961447-FCBD-47FD-A08D-76CA6B638BAD}"/>
    <hyperlink ref="S305" r:id="rId114" xr:uid="{E8A2CECD-C9C9-4245-AF74-80DD84B42432}"/>
    <hyperlink ref="S643" r:id="rId115" xr:uid="{E2A94618-0CA6-4E6E-82FE-757EF51415AD}"/>
    <hyperlink ref="S580" r:id="rId116" xr:uid="{4E7F4704-4EAB-4D3F-A1FC-3D1F7EFD55B5}"/>
    <hyperlink ref="S661" r:id="rId117" xr:uid="{3A843AB9-A19C-416A-ADFC-606A73152837}"/>
    <hyperlink ref="S564" r:id="rId118" xr:uid="{6029B51E-D37D-48D1-8FA5-D8E0D2C1CF06}"/>
    <hyperlink ref="S219" r:id="rId119" xr:uid="{BB96F391-117E-4047-8483-DD95725B8EEE}"/>
    <hyperlink ref="S164" r:id="rId120" xr:uid="{8EBF14E2-1F05-465F-B3FD-8029ACF14BC0}"/>
    <hyperlink ref="S363" r:id="rId121" xr:uid="{CF57BA8A-75FE-4EDE-B3E8-6B3D03538080}"/>
    <hyperlink ref="S240" r:id="rId122" xr:uid="{DBB6C5F7-1B93-4FED-A56F-71A06320F2F8}"/>
    <hyperlink ref="S578" r:id="rId123" xr:uid="{23C784AC-450C-4A4B-BDB3-A0717F09119D}"/>
    <hyperlink ref="S337" r:id="rId124" xr:uid="{E9BA9365-71E4-492B-8881-66753A419451}"/>
    <hyperlink ref="S84" r:id="rId125" xr:uid="{387A2C6C-E574-4D9B-AFFF-76F074F7E3B0}"/>
    <hyperlink ref="S244" r:id="rId126" xr:uid="{8CE9FB61-222C-4DDA-889C-9F4DC81C8A1A}"/>
    <hyperlink ref="S100" r:id="rId127" xr:uid="{2AEE8DF3-753C-4EEE-BE02-81F11E9A8208}"/>
    <hyperlink ref="S243" r:id="rId128" xr:uid="{43B94F91-9E18-4A8C-8EB6-A9A51CCBCB76}"/>
    <hyperlink ref="S629" r:id="rId129" xr:uid="{8CC25BE7-0FA3-466D-83D5-7996B8B4B7D9}"/>
    <hyperlink ref="S630" r:id="rId130" xr:uid="{EB7DA372-F651-41A1-AE6F-1513D2EA41C7}"/>
    <hyperlink ref="S631" r:id="rId131" xr:uid="{B8C9D32B-6E46-4ED7-9A13-5CD73D38140F}"/>
    <hyperlink ref="S632" r:id="rId132" xr:uid="{764F0A1F-3242-4F38-B66C-F9DF1FF21A75}"/>
    <hyperlink ref="S502" r:id="rId133" xr:uid="{36C98A68-D3C0-4DCB-B119-14B6101E86BC}"/>
    <hyperlink ref="S172" r:id="rId134" xr:uid="{F0E04449-89D2-4F3E-A5C6-95DD76028C50}"/>
    <hyperlink ref="S91" r:id="rId135" xr:uid="{266988D1-739D-4DC4-8F53-844CD6C12E39}"/>
    <hyperlink ref="S476" r:id="rId136" xr:uid="{24CAE660-3D41-4241-BDEB-EDCDF45740BA}"/>
    <hyperlink ref="S596" r:id="rId137" xr:uid="{F586FA93-91C4-4318-9BC4-ECC9DE4A0393}"/>
    <hyperlink ref="S508" r:id="rId138" xr:uid="{7870BC22-B7CD-4409-947D-46E06D1DF9CD}"/>
    <hyperlink ref="S30" r:id="rId139" xr:uid="{DF6B1BF3-77FD-477E-A5D7-CF210FED47A2}"/>
    <hyperlink ref="S561" r:id="rId140" xr:uid="{4E094687-2E2E-4C5C-9808-BB915A81D9C0}"/>
    <hyperlink ref="S325" r:id="rId141" xr:uid="{7A08B28E-DF3D-477B-8608-F4FDA1DF9A5A}"/>
    <hyperlink ref="S34" r:id="rId142" xr:uid="{7F26AE75-EDA1-4627-8CDE-DED752B13B56}"/>
    <hyperlink ref="S558" r:id="rId143" xr:uid="{731176F5-40D9-4745-B584-2D65A0C4EB62}"/>
    <hyperlink ref="S16" r:id="rId144" xr:uid="{8BD7876C-CB4C-43AB-9EDA-D105AB40C50A}"/>
    <hyperlink ref="S640" r:id="rId145" xr:uid="{74C29268-A1FA-4D65-A044-59B01113CBBE}"/>
    <hyperlink ref="S259" r:id="rId146" xr:uid="{8F70235B-17C1-4B16-8B0E-F8E7EEAE3212}"/>
    <hyperlink ref="S35" r:id="rId147" xr:uid="{F4081F97-89FA-4AA6-8B31-4B2F26D372A0}"/>
    <hyperlink ref="S486" r:id="rId148" xr:uid="{3CE80995-F46B-4F77-8F27-0AFFD8612D36}"/>
    <hyperlink ref="S577" r:id="rId149" xr:uid="{6EA78EE1-ED04-4A81-95DF-E4368AC22133}"/>
    <hyperlink ref="S725" r:id="rId150" xr:uid="{10C63DC4-1A0C-4032-93A1-3300F62A2D87}"/>
    <hyperlink ref="S507" r:id="rId151" xr:uid="{946E13B8-C485-46C5-A025-F540537D727F}"/>
    <hyperlink ref="S96" r:id="rId152" xr:uid="{2CB1FF1E-5F1A-4575-8EE4-4C1B7FAF75FF}"/>
    <hyperlink ref="S367" r:id="rId153" xr:uid="{4E45E5ED-FF5E-44C7-A0BB-F4DE785843FD}"/>
    <hyperlink ref="S357" r:id="rId154" xr:uid="{7BB517A4-EDCD-4E71-8DD1-DA022CECA674}"/>
    <hyperlink ref="S691" r:id="rId155" xr:uid="{F019F94A-CC69-4DFE-83A7-8C9F59D434FF}"/>
    <hyperlink ref="S256" r:id="rId156" xr:uid="{C99D7A36-352D-4E62-9B35-80D797895206}"/>
    <hyperlink ref="S720" r:id="rId157" xr:uid="{209921AB-0613-4292-95AA-D9023BED47A2}"/>
    <hyperlink ref="S312" r:id="rId158" xr:uid="{4388F5DA-CC37-4556-8956-CDDA8716BF20}"/>
    <hyperlink ref="S329" r:id="rId159" xr:uid="{65CBEBE7-63AC-48AB-A6FE-FD6074302D0C}"/>
    <hyperlink ref="S20" r:id="rId160" xr:uid="{8438BB1B-BFCB-4E0D-98CD-3F411D43C4CB}"/>
    <hyperlink ref="S359" r:id="rId161" xr:uid="{9F489C16-BE64-43F1-B4AB-91F56F0A319F}"/>
    <hyperlink ref="S42" r:id="rId162" xr:uid="{5477A2FF-FF3C-48A6-8C00-9D1107B2303C}"/>
    <hyperlink ref="S221" r:id="rId163" xr:uid="{1A7CEC1C-9484-48F3-B394-CAE25694C117}"/>
    <hyperlink ref="S15" r:id="rId164" xr:uid="{A29A5A41-D211-435B-8D0E-0238CA3D401A}"/>
    <hyperlink ref="S265" r:id="rId165" xr:uid="{B971C411-92B4-4199-9532-B4586363B055}"/>
    <hyperlink ref="S689" r:id="rId166" xr:uid="{377E8E23-590F-48FE-90EE-F081AFBF811F}"/>
    <hyperlink ref="S534" r:id="rId167" xr:uid="{431A4D22-F8EA-445C-8756-633218CE69CD}"/>
    <hyperlink ref="S522" r:id="rId168" xr:uid="{EC2DFAE5-275C-4908-BE96-8306657AE09B}"/>
    <hyperlink ref="S490" r:id="rId169" xr:uid="{937D2C65-E2F2-4DF5-B03C-82D169810029}"/>
    <hyperlink ref="S478" r:id="rId170" xr:uid="{9C6CCAB1-1E35-4F6F-860C-C30F92AA017B}"/>
    <hyperlink ref="S479" r:id="rId171" xr:uid="{DD0C807E-A172-4CAE-B47A-9BD0A5BEFAF8}"/>
    <hyperlink ref="S485" r:id="rId172" xr:uid="{A54E7FE3-1D64-4EA5-A822-9CF2D3C13B97}"/>
    <hyperlink ref="S169" r:id="rId173" xr:uid="{8C4762FD-5357-4E49-B5FE-B210156293D8}"/>
    <hyperlink ref="S31" r:id="rId174" xr:uid="{64B30637-B14B-4D47-9578-0941D520070A}"/>
    <hyperlink ref="S638" r:id="rId175" xr:uid="{4B9C1274-441E-48D9-9541-8E6AF4C671FD}"/>
    <hyperlink ref="S547" r:id="rId176" xr:uid="{F21994B4-FF7F-4B50-A4CF-DB06E62FA935}"/>
    <hyperlink ref="S24" r:id="rId177" xr:uid="{66A39122-9EF8-4545-B4EA-BC26DB4F7276}"/>
    <hyperlink ref="S692" r:id="rId178" xr:uid="{4F169663-A4C3-49D0-9C9A-2C941EF1F910}"/>
    <hyperlink ref="S112" r:id="rId179" xr:uid="{4F139776-8F79-4460-A7A9-D5E74BFCC3A4}"/>
    <hyperlink ref="S635" r:id="rId180" xr:uid="{580A4F3B-F90D-4606-9C05-398A50339AA7}"/>
    <hyperlink ref="S60" r:id="rId181" xr:uid="{74ABFA4A-15DD-4FB3-9F4B-8A2184F5397B}"/>
    <hyperlink ref="S452" r:id="rId182" xr:uid="{C3967BC1-014C-471F-B74F-0E1CAB528315}"/>
    <hyperlink ref="S361" r:id="rId183" xr:uid="{A87ADA27-03CB-422F-A6BA-4011917BC1FF}"/>
    <hyperlink ref="S645" r:id="rId184" xr:uid="{756880EA-C367-41D4-82F1-8556ED1A0973}"/>
    <hyperlink ref="S681" r:id="rId185" xr:uid="{DC1DCB19-3CFC-498C-813A-3BBCA722CB5B}"/>
    <hyperlink ref="S684" r:id="rId186" xr:uid="{ECB3093B-9C61-4751-867E-FB3F9357D7F2}"/>
    <hyperlink ref="S187" r:id="rId187" xr:uid="{AD3F538A-C617-483D-9CD5-D0A8DC825EA1}"/>
    <hyperlink ref="S328" r:id="rId188" xr:uid="{B49D4DE9-7FCB-4C21-B890-61BA7B4EFAE4}"/>
    <hyperlink ref="S399" r:id="rId189" xr:uid="{501EA790-6AD6-4FBB-B368-700285F9ACBB}"/>
    <hyperlink ref="S581" r:id="rId190" xr:uid="{6439BEF4-0FAC-46E9-A58C-33CD14B28453}"/>
    <hyperlink ref="S470" r:id="rId191" xr:uid="{F28AD6DD-7218-483B-8FA0-426BF10BC8EA}"/>
    <hyperlink ref="S212" r:id="rId192" xr:uid="{C54490AA-EB71-4FDA-993F-32EA117CE110}"/>
    <hyperlink ref="S185" r:id="rId193" xr:uid="{7A9FDF99-9A1E-47FB-B385-9F299C14FD97}"/>
    <hyperlink ref="S385" r:id="rId194" xr:uid="{C9EADCEB-B30E-4CB2-8961-F918CA10C5BF}"/>
    <hyperlink ref="S245" r:id="rId195" xr:uid="{715F094A-20E4-4BEE-828E-F98A5297A94C}"/>
    <hyperlink ref="S26" r:id="rId196" xr:uid="{72D224F1-4E9C-4FC5-9566-A714BF3A84F0}"/>
    <hyperlink ref="S230" r:id="rId197" xr:uid="{56721C10-90F5-4898-A7C9-30EF33DD80A1}"/>
    <hyperlink ref="S551" r:id="rId198" xr:uid="{CE7B44D9-E682-4D09-B68F-EC5288D8ED0C}"/>
    <hyperlink ref="S394" r:id="rId199" xr:uid="{98E80AD1-F992-4FEF-AAE2-3D7854F3C5F8}"/>
    <hyperlink ref="S420" r:id="rId200" xr:uid="{D23FBDA1-6337-42FC-B457-9E1F146E1AF4}"/>
    <hyperlink ref="S418" r:id="rId201" xr:uid="{374AC053-B79A-4582-A53E-484ABBBEACA3}"/>
    <hyperlink ref="S143" r:id="rId202" xr:uid="{689849DF-3B29-4D98-91F8-5FFE3D33E23C}"/>
    <hyperlink ref="S732" r:id="rId203" xr:uid="{606DD133-4885-4EB7-B753-037F590AB58E}"/>
    <hyperlink ref="S200" r:id="rId204" xr:uid="{C5B59352-D4AB-42EC-A572-3639A7A9BA5B}"/>
    <hyperlink ref="S694" r:id="rId205" xr:uid="{AC26D3D8-07AD-49E9-B6B6-F2EE3BC8AECA}"/>
    <hyperlink ref="S48" r:id="rId206" xr:uid="{D36C844A-1D3D-4BCD-9203-76E5DCF0E9E3}"/>
    <hyperlink ref="S422" r:id="rId207" xr:uid="{BC732CBC-892F-4125-8763-D9F2F7F0175D}"/>
    <hyperlink ref="S539" r:id="rId208" xr:uid="{D912DC3A-A7AE-4AB1-A5CA-5970E2AF9019}"/>
    <hyperlink ref="S465" r:id="rId209" xr:uid="{BFE35023-D625-4E71-B207-B2496B151DCE}"/>
    <hyperlink ref="S405" r:id="rId210" xr:uid="{71714B44-96D8-4ABB-8154-35B47BA08FE8}"/>
    <hyperlink ref="S339" r:id="rId211" xr:uid="{95D0C5DC-6F92-4C6A-911D-37DF20731453}"/>
    <hyperlink ref="S338" r:id="rId212" xr:uid="{0A22BE6D-CD93-4A1A-9804-C1F6F0982210}"/>
    <hyperlink ref="S402" r:id="rId213" xr:uid="{CD7ECC6E-9866-4E7D-B207-9DB6C4961E45}"/>
    <hyperlink ref="S228" r:id="rId214" xr:uid="{9762CF0E-F276-4F83-AC7E-3A679613B59C}"/>
    <hyperlink ref="S434" r:id="rId215" xr:uid="{4F9C45AC-E1DE-406D-9EF4-BB9A485C1126}"/>
    <hyperlink ref="S613" r:id="rId216" xr:uid="{78921FF3-5BA4-4073-9E52-F69CBAA9E026}"/>
    <hyperlink ref="S591" r:id="rId217" xr:uid="{2F5104D0-2FEA-42B7-AC11-6D91D92150A5}"/>
    <hyperlink ref="S546" r:id="rId218" xr:uid="{17EF1229-FCD1-40C8-BC16-01B041D11914}"/>
    <hyperlink ref="S10" r:id="rId219" xr:uid="{98F10478-9C8A-4D19-A8DC-8EE10DDF16B2}"/>
    <hyperlink ref="S440" r:id="rId220" xr:uid="{A759B34F-8791-44AF-9C6D-C752CD31FDA2}"/>
    <hyperlink ref="S460" r:id="rId221" xr:uid="{6BED5211-268F-4FB8-8174-10B7200A128E}"/>
    <hyperlink ref="S559" r:id="rId222" xr:uid="{53523D9B-1A2D-4BAD-99BC-D8AB31C9C8C1}"/>
    <hyperlink ref="S443" r:id="rId223" xr:uid="{C386C4F5-4020-4FF0-A377-833619DB8EAC}"/>
    <hyperlink ref="S304" r:id="rId224" xr:uid="{B6CEE411-9E46-405A-B7E7-93472E7888D9}"/>
    <hyperlink ref="S572" r:id="rId225" xr:uid="{31F2D26E-9B4D-41DE-A990-85815C699373}"/>
    <hyperlink ref="S393" r:id="rId226" xr:uid="{06E939F6-C9D5-48C2-85C0-74E4B3FB1DD6}"/>
    <hyperlink ref="S125" r:id="rId227" xr:uid="{4289C8E0-E36B-4D3D-AB20-BF9B9B348B69}"/>
    <hyperlink ref="S209" r:id="rId228" xr:uid="{ADC11AC9-3F1D-4871-B2C3-E2D25519089B}"/>
    <hyperlink ref="S137" r:id="rId229" xr:uid="{51703A28-4B05-4917-802A-B562A076D1AE}"/>
    <hyperlink ref="S358" r:id="rId230" xr:uid="{43506F53-1541-4A8A-8BD8-0F0F6FEAF71D}"/>
    <hyperlink ref="S528" r:id="rId231" xr:uid="{A3796A2E-A79F-4606-93F4-1B9CBA6C40C0}"/>
    <hyperlink ref="S6" r:id="rId232" xr:uid="{EC073E34-7495-4454-9439-007892EEE043}"/>
    <hyperlink ref="S38" r:id="rId233" xr:uid="{AEA81518-C57F-4234-9EEC-B747EA8B8202}"/>
    <hyperlink ref="S162" r:id="rId234" xr:uid="{015BA24A-5487-4D54-B4F1-5391EE2BA4AD}"/>
    <hyperlink ref="S147" r:id="rId235" xr:uid="{3D17CFDF-D94A-4788-878A-C8C1C2CBC324}"/>
    <hyperlink ref="S267" r:id="rId236" xr:uid="{ECF3B2B3-F523-461E-82B6-DE5B3D359722}"/>
    <hyperlink ref="S733" r:id="rId237" xr:uid="{50D96300-05DD-4A39-8C7D-6DE34D651F0B}"/>
    <hyperlink ref="S475" r:id="rId238" xr:uid="{5B3C3B9E-C235-4E80-9B7B-2FA1775DC3B5}"/>
    <hyperlink ref="S124" r:id="rId239" xr:uid="{774009F2-0166-42E3-9733-08F279994EA8}"/>
    <hyperlink ref="S296" r:id="rId240" xr:uid="{5D7071E7-0C7B-498F-B1BA-469C7E201DE0}"/>
    <hyperlink ref="S540" r:id="rId241" xr:uid="{23C6DA76-9FBD-4CCD-9678-AD83E39072CA}"/>
    <hyperlink ref="S37" r:id="rId242" xr:uid="{6D067D4B-CD47-47D5-BF3F-F0C27B372705}"/>
    <hyperlink ref="S462" r:id="rId243" xr:uid="{51043C62-279C-4E01-8823-75C7BCA0C68C}"/>
    <hyperlink ref="S682" r:id="rId244" xr:uid="{54B8472F-A5E5-4737-925B-AD2F66BA3A8F}"/>
    <hyperlink ref="S683" r:id="rId245" xr:uid="{55552EA6-A90E-45F1-AFD6-848F75CD0AF7}"/>
    <hyperlink ref="S383" r:id="rId246" xr:uid="{C845B027-899F-416F-9E06-65DDCD95B5B4}"/>
    <hyperlink ref="S384" r:id="rId247" xr:uid="{77A9B122-13DA-4A39-AFEC-DBB35797F17B}"/>
    <hyperlink ref="S568" r:id="rId248" xr:uid="{AC5077A8-9649-4940-88AF-A2E10A7AA509}"/>
    <hyperlink ref="S300" r:id="rId249" xr:uid="{DEB4BFF7-A17F-4104-8371-B283305383FB}"/>
    <hyperlink ref="S727" r:id="rId250" xr:uid="{745604F5-8ABE-4EE4-88DE-1CD39962B0D3}"/>
    <hyperlink ref="S728" r:id="rId251" xr:uid="{543C1783-7DA5-4751-AB3E-817CD4FEC039}"/>
    <hyperlink ref="S726" r:id="rId252" xr:uid="{91B1CD0D-744E-40C0-97BC-0F75184DAFE4}"/>
    <hyperlink ref="S431" r:id="rId253" xr:uid="{62C2AA1B-F4E3-496B-A423-A2920BBEAD54}"/>
    <hyperlink ref="S625" r:id="rId254" xr:uid="{FA2C498A-821F-4F34-BC78-72C25A6AE803}"/>
    <hyperlink ref="S636" r:id="rId255" xr:uid="{C8E76566-06CC-408A-BBEE-7D9B17802D4D}"/>
    <hyperlink ref="S624" r:id="rId256" xr:uid="{F0E2CEA0-519C-4DE8-9E1D-729AC70EB745}"/>
    <hyperlink ref="S93" r:id="rId257" xr:uid="{4E5353C4-FCC3-40DB-9745-324DD00A4336}"/>
    <hyperlink ref="S412" r:id="rId258" xr:uid="{847DCB9E-18DC-45FF-AD0F-1738EE5BD8B5}"/>
    <hyperlink ref="S269" r:id="rId259" xr:uid="{250E6D11-6243-4D93-AAC5-76570E241278}"/>
    <hyperlink ref="S509" r:id="rId260" xr:uid="{14AFA782-DBA8-4808-AE6C-631548BBAFAE}"/>
    <hyperlink ref="S397" r:id="rId261" xr:uid="{068B5B2A-97A4-4EC1-B63C-C6009C6DF507}"/>
    <hyperlink ref="S395" r:id="rId262" xr:uid="{9D8C87CD-8651-481F-9F67-F07651284542}"/>
    <hyperlink ref="S396" r:id="rId263" xr:uid="{3B17BD2F-DE00-4732-9219-A79D033C0019}"/>
    <hyperlink ref="S376" r:id="rId264" xr:uid="{5AF67920-E27C-489E-993C-C220D28EC851}"/>
    <hyperlink ref="S9" r:id="rId265" xr:uid="{23429F4E-31FB-47E8-BDF4-A1606AC16CDE}"/>
    <hyperlink ref="S77" r:id="rId266" xr:uid="{172FA72A-3B40-4806-87F9-6FB785C762A5}"/>
    <hyperlink ref="M22" r:id="rId267" xr:uid="{A642DDEE-CBC3-455A-92F7-12EDB5CCA446}"/>
    <hyperlink ref="S22" r:id="rId268" xr:uid="{25F78476-9776-46E1-9F38-E6A336764E03}"/>
    <hyperlink ref="S332" r:id="rId269" xr:uid="{427AFE2E-8F63-4137-BA52-66FB0AB28D0F}"/>
    <hyperlink ref="S207" r:id="rId270" xr:uid="{36F71114-36C9-418C-AB76-F40B6897B299}"/>
    <hyperlink ref="S651" r:id="rId271" xr:uid="{74ED73B4-99A5-4F9C-9329-B5B54A27E909}"/>
    <hyperlink ref="S306" r:id="rId272" xr:uid="{ED5C634C-15F1-41E5-92A4-35885598B2CC}"/>
    <hyperlink ref="S404" r:id="rId273" xr:uid="{DEDFBC49-DF46-410E-880B-6C6519B38B9B}"/>
    <hyperlink ref="S536" r:id="rId274" xr:uid="{499FB76B-1324-4D9C-A80F-D1DB59B6A976}"/>
    <hyperlink ref="S453" r:id="rId275" xr:uid="{452D468F-5E93-4A4E-AC77-E31090DF7623}"/>
    <hyperlink ref="S50" r:id="rId276" xr:uid="{C98E909F-D76F-435E-8997-52199EA2C364}"/>
    <hyperlink ref="S353" r:id="rId277" xr:uid="{EA4011BC-F860-45D9-8FB4-43015715B00C}"/>
    <hyperlink ref="S701" r:id="rId278" xr:uid="{5C864F82-7D9D-4515-A325-18EA100334F2}"/>
    <hyperlink ref="S523" r:id="rId279" xr:uid="{2A62FB75-ED95-43A0-AA3B-624A580FF86C}"/>
    <hyperlink ref="S294" r:id="rId280" xr:uid="{8B1FD3F0-75F7-41BD-83BD-7705CBD5FD7B}"/>
    <hyperlink ref="S94" r:id="rId281" xr:uid="{C8698F0D-4593-4FA6-B828-5F8BE4945D91}"/>
    <hyperlink ref="S133" r:id="rId282" xr:uid="{417F69AA-CB9B-4C6C-B3F1-29C6DDA27F54}"/>
    <hyperlink ref="S448" r:id="rId283" xr:uid="{B72EE0BE-1FBE-443B-8982-E04F4EFCB7EB}"/>
    <hyperlink ref="S87" r:id="rId284" xr:uid="{49D23A42-454F-4BC5-A1C5-4F80B8B7C259}"/>
    <hyperlink ref="S113" r:id="rId285" xr:uid="{21563DFC-A736-4F22-A5E3-27D16C669DD7}"/>
    <hyperlink ref="S146" r:id="rId286" xr:uid="{D8744886-B11E-403A-BA00-D1D85917E4A8}"/>
    <hyperlink ref="S446" r:id="rId287" xr:uid="{6C6C0F6B-8C34-4768-8828-6451D780B216}"/>
    <hyperlink ref="S553" r:id="rId288" xr:uid="{C42835AB-D755-4381-A7E9-4D2515C7BA80}"/>
    <hyperlink ref="S248" r:id="rId289" xr:uid="{772ACF59-102A-49CA-A789-55677F8CDCBC}"/>
    <hyperlink ref="S545" r:id="rId290" xr:uid="{42CC8838-A4AA-45DB-9824-F546FA6C0C52}"/>
    <hyperlink ref="S442" r:id="rId291" xr:uid="{A8610C10-B62D-45FC-B9CF-0461603A9CBF}"/>
    <hyperlink ref="S236" r:id="rId292" xr:uid="{EF100A28-0532-4080-B453-6EE90DD580AD}"/>
    <hyperlink ref="S447" r:id="rId293" xr:uid="{6FB04407-F340-4DE8-AFFB-EA0D636A0D49}"/>
    <hyperlink ref="S409" r:id="rId294" xr:uid="{80227408-255D-4D39-90E4-F133454D7797}"/>
    <hyperlink ref="S579" r:id="rId295" xr:uid="{F3CED55E-1763-4650-9E39-C6C9F9CEB992}"/>
    <hyperlink ref="S278" r:id="rId296" xr:uid="{1D5EB033-ACC0-4A64-BCDC-9DECAFAA1286}"/>
    <hyperlink ref="S390" r:id="rId297" xr:uid="{68F63E50-353B-422F-BE20-DC74C19364B9}"/>
    <hyperlink ref="S468" r:id="rId298" xr:uid="{E688C8BD-4BBD-43BE-B289-6FA0702E1A75}"/>
    <hyperlink ref="S309" r:id="rId299" xr:uid="{68FCF45D-C4F7-4328-89C5-31285613F392}"/>
    <hyperlink ref="S95" r:id="rId300" xr:uid="{099CEEFE-D468-4A3E-96E4-42FC598CF03A}"/>
    <hyperlink ref="S63" r:id="rId301" xr:uid="{6F111362-B2D7-4401-B478-AE348EC94A9B}"/>
    <hyperlink ref="S217" r:id="rId302" xr:uid="{18155BC4-A828-402F-9F92-F32B7CB24078}"/>
    <hyperlink ref="S334" r:id="rId303" xr:uid="{0B3294DF-0385-4174-9EF8-9D3C64FB9BDF}"/>
    <hyperlink ref="S511" r:id="rId304" xr:uid="{E8019E6D-84D0-4DDD-B531-F8A6A5183F7B}"/>
    <hyperlink ref="S609" r:id="rId305" xr:uid="{FD58D5BD-201D-42F6-B607-CF193320B0F2}"/>
    <hyperlink ref="S227" r:id="rId306" xr:uid="{091CF9E1-C5B2-48E2-A17B-BAECAE6B7B59}"/>
    <hyperlink ref="S226" r:id="rId307" xr:uid="{3B298ADF-75D9-4F4F-93B0-9B376E5D81CC}"/>
    <hyperlink ref="S520" r:id="rId308" xr:uid="{D628AE41-EBE7-4239-8087-800369D41038}"/>
    <hyperlink ref="S459" r:id="rId309" xr:uid="{758D8608-C5F9-480D-8F68-F79C09D82731}"/>
    <hyperlink ref="S224" r:id="rId310" xr:uid="{A632B7A0-FF1B-48E1-B11A-869D56C9A533}"/>
    <hyperlink ref="S196" r:id="rId311" xr:uid="{B25F5282-2C57-45FE-808C-DED4626C9A5F}"/>
    <hyperlink ref="S424" r:id="rId312" xr:uid="{6D2E1A67-549A-46B5-9894-059534CDD588}"/>
    <hyperlink ref="S644" r:id="rId313" xr:uid="{3642668B-EC92-4AFA-9747-6E3712CD3A24}"/>
    <hyperlink ref="S391" r:id="rId314" xr:uid="{789A1DFF-76C5-4863-980D-289D85C566FF}"/>
    <hyperlink ref="S168" r:id="rId315" xr:uid="{176E6111-9A6B-4AD8-A565-DC76FF1B0245}"/>
    <hyperlink ref="S428" r:id="rId316" xr:uid="{40060281-4EE1-46FF-9A21-234CB7A672A1}"/>
    <hyperlink ref="S220" r:id="rId317" xr:uid="{5BCD114A-F1F9-4449-A0B6-F1C355A3E44A}"/>
    <hyperlink ref="S374" r:id="rId318" xr:uid="{C966FD7C-2710-41AE-88AD-7F3F3A7E376E}"/>
    <hyperlink ref="S379" r:id="rId319" xr:uid="{2F70BEB5-C070-4E4D-B932-9073CCBA3507}"/>
    <hyperlink ref="S11" r:id="rId320" xr:uid="{B66F8B7D-C18D-456E-9E06-612345AF18A1}"/>
    <hyperlink ref="S646" r:id="rId321" xr:uid="{C3684BAA-5C3E-40DC-A677-59B6C5938C53}"/>
    <hyperlink ref="S18" r:id="rId322" xr:uid="{43D33BEA-4BF0-4C14-BF8D-7E60D5DF33C6}"/>
    <hyperlink ref="S552" r:id="rId323" xr:uid="{47FC6E3A-2C8A-4AD7-B66C-2358330AD78D}"/>
    <hyperlink ref="S365" r:id="rId324" xr:uid="{07A67960-96B3-418D-A61B-65807A16F399}"/>
    <hyperlink ref="S72" r:id="rId325" xr:uid="{68807A4D-BDAC-4E7F-A11A-AB2CA5C41D96}"/>
    <hyperlink ref="S699" r:id="rId326" xr:uid="{80212973-A406-43B5-BE5B-E3DFB2AB06C6}"/>
    <hyperlink ref="S154" r:id="rId327" xr:uid="{5103DEA4-A12A-4188-B42A-9266DDDC6362}"/>
    <hyperlink ref="S7" r:id="rId328" xr:uid="{9FE28E07-04FE-4915-82AB-9BB20875AABB}"/>
    <hyperlink ref="S516" r:id="rId329" xr:uid="{0D96163C-056E-4C12-B05B-297FA1124249}"/>
    <hyperlink ref="S524" r:id="rId330" xr:uid="{2FCFA662-ECF1-4C1C-8342-4F85D4E57FF6}"/>
    <hyperlink ref="S12" r:id="rId331" xr:uid="{7A939ACE-C259-46B8-8337-5C43D574002C}"/>
    <hyperlink ref="S345" r:id="rId332" xr:uid="{FE3D8AD5-F61B-438B-B511-816507DD7C9A}"/>
    <hyperlink ref="S571" r:id="rId333" xr:uid="{6AD1A145-536D-4710-A7E0-41905C5A7EAA}"/>
    <hyperlink ref="S171" r:id="rId334" xr:uid="{5963562A-81A7-446E-8001-788D8F0EA34C}"/>
    <hyperlink ref="S458" r:id="rId335" xr:uid="{44A0A3D7-AD11-4CA1-8370-8D1770A587E5}"/>
    <hyperlink ref="S535" r:id="rId336" xr:uid="{FA2FC8FD-6574-4A31-B15F-74F4118FBB37}"/>
    <hyperlink ref="S106" r:id="rId337" xr:uid="{F42B2749-627D-43D6-8BC1-014DB7F372C2}"/>
    <hyperlink ref="S104" r:id="rId338" xr:uid="{49BB9D43-774A-43A2-AF56-2CA8EBC6B91D}"/>
    <hyperlink ref="S614" r:id="rId339" xr:uid="{1C8EFB2D-6416-40A2-B1DB-7D55F2E3A08F}"/>
    <hyperlink ref="S292" r:id="rId340" xr:uid="{E1EC694C-CAC5-448F-ADA1-4F3360933877}"/>
    <hyperlink ref="S266" r:id="rId341" xr:uid="{9965C68C-8583-4989-8492-3EDBD5F42B55}"/>
    <hyperlink ref="S92" r:id="rId342" xr:uid="{5716AB64-00BB-4CF0-946B-3221F169F838}"/>
    <hyperlink ref="S128" r:id="rId343" xr:uid="{A1156149-9844-44FF-A963-37AF66476757}"/>
    <hyperlink ref="S288" r:id="rId344" xr:uid="{02F0EAC8-95A4-4254-AF11-9A92077154A7}"/>
    <hyperlink ref="S233" r:id="rId345" xr:uid="{ADE617BA-D463-4A56-82DB-B335A666B324}"/>
    <hyperlink ref="S392" r:id="rId346" xr:uid="{9E678C79-77B9-4FC9-8BC3-E921ED7FF9D6}"/>
    <hyperlink ref="S174" r:id="rId347" xr:uid="{8D68D655-C3B4-477A-9B19-0717AD6E7007}"/>
    <hyperlink ref="S177" r:id="rId348" xr:uid="{F88D2251-645F-444B-83BF-859EA6949780}"/>
    <hyperlink ref="S710" r:id="rId349" xr:uid="{ED1C81FD-DC7C-483A-93F0-94A5BA9BA177}"/>
    <hyperlink ref="S27" r:id="rId350" xr:uid="{FE7B4D78-BA97-4DBF-9396-8BB0BC9FD539}"/>
    <hyperlink ref="S69" r:id="rId351" xr:uid="{EAB2E2A3-F676-48E7-882E-817FDDEDDB07}"/>
    <hyperlink ref="S533" r:id="rId352" xr:uid="{EE266BB6-84BF-4E0F-B79F-3175D3A2E179}"/>
    <hyperlink ref="S541" r:id="rId353" xr:uid="{87907925-095F-4008-BE98-E8040DD4BE30}"/>
    <hyperlink ref="S664" r:id="rId354" xr:uid="{3D557B40-E7B2-47E8-A16C-F56FCB09F608}"/>
    <hyperlink ref="S530" r:id="rId355" xr:uid="{306D5698-DC38-4C11-BF75-1FCFC59E16ED}"/>
    <hyperlink ref="S492" r:id="rId356" xr:uid="{911979B1-7D8D-4D55-B751-DFBDA5D9D29B}"/>
    <hyperlink ref="S82" r:id="rId357" xr:uid="{71A82631-4199-42E1-911C-F7004D2B4729}"/>
    <hyperlink ref="S543" r:id="rId358" xr:uid="{155E0C51-7006-4363-9228-2978B171B56A}"/>
    <hyperlink ref="S592" r:id="rId359" xr:uid="{935CAD23-93A7-4749-A1DA-BC2A54BC7A37}"/>
    <hyperlink ref="S499" r:id="rId360" xr:uid="{48BEF514-8110-4A23-9628-DE2851FEC451}"/>
    <hyperlink ref="S600" r:id="rId361" xr:uid="{C98262FF-9F40-4A45-A111-6DFDA0759535}"/>
    <hyperlink ref="S208" r:id="rId362" xr:uid="{C9F68397-E62B-41DC-8795-EA45283AD86F}"/>
    <hyperlink ref="S532" r:id="rId363" xr:uid="{244B3EE8-2736-4BD5-973B-13A1C4CFBAA8}"/>
    <hyperlink ref="S563" r:id="rId364" xr:uid="{AC6D6435-0CAD-48C8-B3D9-302BFEB96E65}"/>
    <hyperlink ref="S275" r:id="rId365" xr:uid="{A6528C5F-3AEA-489B-AF93-8F69B7062B77}"/>
    <hyperlink ref="S272" r:id="rId366" xr:uid="{84F5B91F-33C8-44AF-8D4D-A2829D786CB4}"/>
    <hyperlink ref="S47" r:id="rId367" xr:uid="{E406D6C3-E0F7-4B0A-BB06-3D245F2A8792}"/>
    <hyperlink ref="S676" r:id="rId368" xr:uid="{C5E4D4E7-1EAB-40F1-8C11-2D49280ED855}"/>
    <hyperlink ref="S311" r:id="rId369" xr:uid="{C481A9CC-8AFF-4E8D-A1FE-5C1E70B71C2B}"/>
    <hyperlink ref="S521" r:id="rId370" xr:uid="{D276A267-6E30-4E8A-800D-9CFEA8FFB180}"/>
    <hyperlink ref="S351" r:id="rId371" xr:uid="{0A76CC8B-547E-44B0-8F58-DD3DB639C49E}"/>
    <hyperlink ref="S674" r:id="rId372" xr:uid="{FF937F65-2BA0-42BE-B427-5394BD633CCE}"/>
    <hyperlink ref="S254" r:id="rId373" xr:uid="{85F08521-515A-4CF8-8B4E-87CD82ED2716}"/>
    <hyperlink ref="S46" r:id="rId374" xr:uid="{0E7B41A6-00E4-4221-BB40-14413DE9FABF}"/>
    <hyperlink ref="S301" r:id="rId375" xr:uid="{C2791D68-DD52-4F8B-8A6E-0DA7C5EEA765}"/>
    <hyperlink ref="S115" r:id="rId376" xr:uid="{C6E4AA26-78D7-461D-8944-C0FF14D43D37}"/>
    <hyperlink ref="S444" r:id="rId377" xr:uid="{D6A167F9-D4DD-4701-90D7-A9B773EAD382}"/>
    <hyperlink ref="S567" r:id="rId378" xr:uid="{48470435-BF0E-46DF-B7E7-58F7355BE6C6}"/>
    <hyperlink ref="S654" r:id="rId379" xr:uid="{DE98F01E-50BE-40AE-B767-343DD6D84033}"/>
    <hyperlink ref="S159" r:id="rId380" xr:uid="{F31F1E44-0D75-42FA-AE0A-61C20D9019AE}"/>
    <hyperlink ref="S105" r:id="rId381" xr:uid="{35C5192F-DABD-4745-8DAB-42ECAC86C8C5}"/>
    <hyperlink ref="S650" r:id="rId382" xr:uid="{95AE8D15-8949-41D6-AA64-066052FD1316}"/>
    <hyperlink ref="S202" r:id="rId383" xr:uid="{E4E7AB1F-7FC5-4460-AC70-32300AE0B003}"/>
    <hyperlink ref="S616" r:id="rId384" xr:uid="{40291167-FC6F-42B7-BF40-2AF12323AF24}"/>
    <hyperlink ref="S489" r:id="rId385" xr:uid="{6ACB1404-66F8-4CF0-850E-4BC4457712CA}"/>
    <hyperlink ref="S585" r:id="rId386" xr:uid="{495C4224-EBCF-4A7D-8547-16487764A76F}"/>
    <hyperlink ref="S612" r:id="rId387" xr:uid="{D5D07963-A26C-4021-A72F-FCD00DB9741E}"/>
    <hyperlink ref="S78" r:id="rId388" xr:uid="{007E432D-A09F-46EA-9E00-20A5D0E5AEBF}"/>
    <hyperlink ref="S299" r:id="rId389" xr:uid="{8CFB5D56-5501-48EB-8F05-16317C0BC1B0}"/>
    <hyperlink ref="S246" r:id="rId390" xr:uid="{85C88EF4-E4A6-4B1A-9263-AFDDF192045C}"/>
    <hyperlink ref="S370" r:id="rId391" xr:uid="{8DD59204-6E31-423A-8863-1224B803745F}"/>
    <hyperlink ref="S342" r:id="rId392" xr:uid="{CB3994FA-B142-4D70-B5B5-4673670919E0}"/>
    <hyperlink ref="S356" r:id="rId393" xr:uid="{96DBEAF7-316A-485D-B83F-D80F30BB95C2}"/>
    <hyperlink ref="S517" r:id="rId394" xr:uid="{0BFCA913-05B9-429D-A2D5-CDB536C5A299}"/>
    <hyperlink ref="S150" r:id="rId395" xr:uid="{89BAE1E2-90E1-427B-A40D-5FCF0165CDF9}"/>
    <hyperlink ref="S270" r:id="rId396" xr:uid="{E3C07EAB-26D6-4C24-B03F-A91C0D672C2E}"/>
    <hyperlink ref="S467" r:id="rId397" xr:uid="{3066ACD3-51EB-4B96-840D-241436E0B0A4}"/>
    <hyperlink ref="S634" r:id="rId398" xr:uid="{1AEEBBD2-C767-4C89-9724-CD262692CB75}"/>
    <hyperlink ref="S148" r:id="rId399" xr:uid="{7BBA1B0F-6B69-4E38-ACBC-45973C442244}"/>
    <hyperlink ref="S166" r:id="rId400" xr:uid="{BDA11050-1DC4-4FFD-83C5-71B386302392}"/>
    <hyperlink ref="S695" r:id="rId401" xr:uid="{6A9B69DD-8DC8-417F-AA09-3F5E759D8F1E}"/>
    <hyperlink ref="S280" r:id="rId402" xr:uid="{36329E99-BE50-4D53-8446-25B6218C2A9D}"/>
    <hyperlink ref="S62" r:id="rId403" xr:uid="{22B1992F-7185-4B1B-8947-C0EB6ECBD821}"/>
    <hyperlink ref="S56" r:id="rId404" xr:uid="{8BA2809E-9C56-41CF-90C6-94788F15D607}"/>
    <hyperlink ref="S319" r:id="rId405" xr:uid="{00674862-6CA4-444E-BCA4-59F2400A4DD7}"/>
    <hyperlink ref="S548" r:id="rId406" xr:uid="{8222D750-738D-4E84-B8D4-07EB35BAAA39}"/>
    <hyperlink ref="S368" r:id="rId407" xr:uid="{BB179AAC-EF00-4E6D-95D9-6AC068C85D8D}"/>
    <hyperlink ref="S621" r:id="rId408" xr:uid="{ACC2EF33-8CCB-4E9D-B1B6-97976E2A70E7}"/>
    <hyperlink ref="S704" r:id="rId409" xr:uid="{C9D2A74B-C271-41B8-AC4E-1C269073C2F3}"/>
    <hyperlink ref="S496" r:id="rId410" xr:uid="{1A184D89-07EF-4364-93EA-FA5C6AFF6B1B}"/>
    <hyperlink ref="S525" r:id="rId411" xr:uid="{6028A112-CAD9-4D39-9F81-D2A87FBC7BF9}"/>
    <hyperlink ref="S25" r:id="rId412" xr:uid="{516A37E8-2E08-4040-B12C-61CD81FB5306}"/>
    <hyperlink ref="S109" r:id="rId413" xr:uid="{62D1BC4C-5713-4EB9-90BD-136D8CBA3FF4}"/>
    <hyperlink ref="S680" r:id="rId414" xr:uid="{E49F5D78-5CD2-4EC6-8D2B-285928D209C5}"/>
    <hyperlink ref="S121" r:id="rId415" xr:uid="{8D8EEB6E-08C8-49C2-B2DE-8BED93AC12BF}"/>
    <hyperlink ref="S213" r:id="rId416" xr:uid="{B14B9547-66D2-4E46-8DEE-7876E62893D8}"/>
    <hyperlink ref="S51" r:id="rId417" xr:uid="{70F54D69-6716-4499-B5F5-44A5E1B5439F}"/>
    <hyperlink ref="S454" r:id="rId418" xr:uid="{D45A2937-2134-4F0C-904A-6A3B58027AE9}"/>
    <hyperlink ref="S537" r:id="rId419" xr:uid="{62C6E220-3866-4248-9C02-E2D113D506F5}"/>
    <hyperlink ref="S354" r:id="rId420" xr:uid="{B907E8E3-55CD-480E-BC20-44EE7214C714}"/>
    <hyperlink ref="S247" r:id="rId421" xr:uid="{04B78C65-7474-4405-B959-C5510C156D69}"/>
    <hyperlink ref="S503" r:id="rId422" xr:uid="{3B1BFE58-CDFF-47EC-86AB-E958505E5F04}"/>
    <hyperlink ref="S602" r:id="rId423" xr:uid="{CE5B1B3D-C3BB-4C34-A38A-9BE62F036F07}"/>
    <hyperlink ref="S193" r:id="rId424" xr:uid="{DA35F758-054D-446D-8E75-1B2441C5AFDF}"/>
    <hyperlink ref="S23" r:id="rId425" xr:uid="{1DF77857-2BEE-40C9-B499-23B35BD60D0C}"/>
    <hyperlink ref="S672" r:id="rId426" xr:uid="{3E18ADF0-7B15-43DF-8168-CA9F653EAAB6}"/>
    <hyperlink ref="S656" r:id="rId427" xr:uid="{67A2D92A-66F5-43C4-A1A9-9E924DC2200E}"/>
    <hyperlink ref="S427" r:id="rId428" xr:uid="{FBA596A9-69A8-4CD7-941A-6D2D902F796B}"/>
    <hyperlink ref="S466" r:id="rId429" xr:uid="{AA9D07F7-B704-4353-84B2-D697B802818D}"/>
    <hyperlink ref="S589" r:id="rId430" xr:uid="{E41010CF-35A3-42B9-92C5-9A48AF4C7844}"/>
    <hyperlink ref="S590" r:id="rId431" xr:uid="{678994FB-56FC-4192-8B44-2865810FD9A2}"/>
    <hyperlink ref="S610" r:id="rId432" xr:uid="{7DFE0329-90B0-4706-9BB4-4D6F8F307571}"/>
    <hyperlink ref="S473" r:id="rId433" xr:uid="{BE4DEE6D-AFB8-425B-9AC7-CC56CAE8F3D9}"/>
    <hyperlink ref="S708" r:id="rId434" xr:uid="{956647E5-FEFA-4B69-B680-0DACAD829FA2}"/>
    <hyperlink ref="S615" r:id="rId435" xr:uid="{6BC6E8D3-E230-4F05-B2B0-CF6FB63DD996}"/>
    <hyperlink ref="S714" r:id="rId436" xr:uid="{676AA38F-9710-4B1A-836D-A93F7A76956A}"/>
    <hyperlink ref="S686" r:id="rId437" xr:uid="{80C5EFCD-A61A-466A-A9B0-0C1AEA9DA458}"/>
    <hyperlink ref="S156" r:id="rId438" xr:uid="{3456805B-886C-4680-91AD-4468FE9F2D42}"/>
    <hyperlink ref="S436" r:id="rId439" xr:uid="{9A882CA1-59E6-4DC0-A02B-3C4486EA4FAF}"/>
    <hyperlink ref="S618" r:id="rId440" xr:uid="{3E5C7A97-BB15-4CC7-86C5-28E85B3A301E}"/>
    <hyperlink ref="S487" r:id="rId441" xr:uid="{DFFD0FA7-88BF-408A-8664-73F01CB7745E}"/>
    <hyperlink ref="S70" r:id="rId442" xr:uid="{B793E8A5-520D-4931-85D7-C1A0356F54A2}"/>
    <hyperlink ref="S335" r:id="rId443" xr:uid="{C947A921-A8EB-4D6F-AE1D-C2D2EF676CB4}"/>
    <hyperlink ref="S718" r:id="rId444" xr:uid="{1488CAD7-0D10-4346-B0A3-636637916390}"/>
    <hyperlink ref="S295" r:id="rId445" xr:uid="{CC9B6F7E-C72B-46E4-8F8A-61A2E43A54FE}"/>
    <hyperlink ref="S439" r:id="rId446" xr:uid="{C2C9FEDC-BCF0-4148-8D1F-B4E6E19CBF1A}"/>
    <hyperlink ref="S413" r:id="rId447" xr:uid="{46E457CE-D8A9-487D-8ADF-65643FF26ABE}"/>
    <hyperlink ref="S723" r:id="rId448" xr:uid="{4E6A971D-095A-4DE8-B2AD-3E21E909C525}"/>
    <hyperlink ref="S61" r:id="rId449" xr:uid="{5249ABFE-8043-4009-B916-A5BE09B4FDCD}"/>
    <hyperlink ref="S286" r:id="rId450" xr:uid="{A42CD08F-210D-4CA5-97FE-96C76ED0934C}"/>
    <hyperlink ref="S660" r:id="rId451" xr:uid="{7F351498-5699-4BA0-9B9C-6A9C93F440B3}"/>
    <hyperlink ref="S518" r:id="rId452" xr:uid="{6331AB61-97A1-4FA7-8E33-5050F8E033BB}"/>
    <hyperlink ref="S99" r:id="rId453" xr:uid="{5002717C-2CF2-4307-9E7D-8A5F6E29EBB0}"/>
    <hyperlink ref="S231" r:id="rId454" xr:uid="{C1D73939-B59D-4B7F-9416-956681280570}"/>
    <hyperlink ref="S604" r:id="rId455" xr:uid="{68124E61-E72D-43F3-9572-57AE200680E9}"/>
    <hyperlink ref="S623" r:id="rId456" xr:uid="{2E143ECF-4A6D-4B3C-A4A2-F2BFF7C1AF99}"/>
    <hyperlink ref="S126" r:id="rId457" xr:uid="{AAE283C5-7897-47EE-A80F-31125FCA2AE8}"/>
    <hyperlink ref="S671" r:id="rId458" xr:uid="{617CAF6B-26B5-4525-8D8E-6122F93FA0CD}"/>
    <hyperlink ref="S677" r:id="rId459" xr:uid="{9B307BD1-5A37-4791-A213-FB63A03AA3A8}"/>
    <hyperlink ref="S276" r:id="rId460" xr:uid="{5736DF88-D668-441C-BE04-2A8370B43A60}"/>
    <hyperlink ref="S352" r:id="rId461" xr:uid="{81333AA8-D093-454F-BB06-F3C5BDF4238E}"/>
    <hyperlink ref="S544" r:id="rId462" xr:uid="{3E8E07F1-E7BB-447D-9DCE-800AB6BF693E}"/>
    <hyperlink ref="S456" r:id="rId463" xr:uid="{DDA1C3DA-AF7B-4189-90B8-B4CA1FE6A882}"/>
    <hyperlink ref="S437" r:id="rId464" xr:uid="{9E55192B-C12E-40E4-A2AD-C8C16110421A}"/>
    <hyperlink ref="S706" r:id="rId465" xr:uid="{041F65E5-F0C6-44B2-A756-1D79DF68E26D}"/>
    <hyperlink ref="S206" r:id="rId466" xr:uid="{6E50EDC4-ABFF-4B32-96E3-0BF3AB3DF210}"/>
  </hyperlinks>
  <pageMargins left="0.7" right="0.7" top="0.75" bottom="0.75" header="0.3" footer="0.3"/>
  <pageSetup orientation="portrait" horizontalDpi="0" verticalDpi="0" r:id="rId467"/>
  <legacyDrawing r:id="rId468"/>
  <tableParts count="1">
    <tablePart r:id="rId46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7EFE7-A4CA-4FEA-8A57-EBB5C569B99A}">
  <sheetPr codeName="Sheet14">
    <pageSetUpPr fitToPage="1"/>
  </sheetPr>
  <dimension ref="A1:AI265"/>
  <sheetViews>
    <sheetView topLeftCell="A33" workbookViewId="0">
      <selection activeCell="I5" sqref="I5"/>
    </sheetView>
  </sheetViews>
  <sheetFormatPr baseColWidth="10" defaultColWidth="8.83203125" defaultRowHeight="15" customHeight="1" outlineLevelCol="2"/>
  <cols>
    <col min="1" max="1" width="15.5" customWidth="1"/>
    <col min="2" max="2" width="24.83203125" customWidth="1"/>
    <col min="3" max="3" width="37.1640625" bestFit="1" customWidth="1"/>
    <col min="4" max="4" width="32.33203125" bestFit="1" customWidth="1"/>
    <col min="5" max="6" width="7" bestFit="1" customWidth="1"/>
    <col min="7" max="7" width="6" bestFit="1" customWidth="1"/>
    <col min="8" max="8" width="7" bestFit="1" customWidth="1"/>
    <col min="9" max="9" width="15.5" bestFit="1" customWidth="1"/>
    <col min="10" max="10" width="32.33203125" customWidth="1"/>
    <col min="11" max="11" width="15.83203125" customWidth="1"/>
    <col min="12" max="12" width="16.83203125" customWidth="1"/>
    <col min="13" max="13" width="20.6640625" customWidth="1"/>
    <col min="14" max="14" width="6.33203125" customWidth="1" outlineLevel="1"/>
    <col min="15" max="15" width="6.5" customWidth="1" outlineLevel="2"/>
    <col min="16" max="16" width="9.6640625" customWidth="1" outlineLevel="2"/>
    <col min="17" max="17" width="8.83203125" customWidth="1" outlineLevel="2"/>
    <col min="18" max="18" width="6.83203125" customWidth="1" outlineLevel="2"/>
    <col min="19" max="19" width="7.83203125" customWidth="1" outlineLevel="2"/>
    <col min="20" max="20" width="8.33203125" customWidth="1" outlineLevel="1"/>
    <col min="21" max="21" width="9" customWidth="1" outlineLevel="1"/>
    <col min="22" max="22" width="9.33203125" customWidth="1" outlineLevel="1"/>
    <col min="23" max="23" width="9.83203125" customWidth="1" outlineLevel="1"/>
    <col min="24" max="24" width="8.5" customWidth="1" outlineLevel="1"/>
    <col min="25" max="25" width="12.1640625" customWidth="1" outlineLevel="1"/>
    <col min="26" max="26" width="12.1640625" customWidth="1" outlineLevel="2"/>
    <col min="27" max="27" width="7.83203125" customWidth="1" outlineLevel="2"/>
    <col min="28" max="28" width="8.83203125" customWidth="1" outlineLevel="2"/>
    <col min="29" max="29" width="10" customWidth="1" outlineLevel="1"/>
    <col min="30" max="30" width="8.83203125" customWidth="1" outlineLevel="1"/>
    <col min="31" max="31" width="7.33203125" customWidth="1" outlineLevel="1"/>
    <col min="32" max="32" width="36.33203125" customWidth="1"/>
    <col min="33" max="33" width="13.6640625" customWidth="1"/>
    <col min="34" max="34" width="9.6640625" customWidth="1"/>
    <col min="35" max="35" width="36.5" customWidth="1"/>
    <col min="36" max="36" width="8" customWidth="1"/>
  </cols>
  <sheetData>
    <row r="1" spans="1:35" ht="15" customHeight="1">
      <c r="F1">
        <f>GETPIVOTDATA("Seeds",$B$4)/128</f>
        <v>1199.035444568452</v>
      </c>
      <c r="I1" s="26"/>
    </row>
    <row r="2" spans="1:35" ht="15" customHeight="1">
      <c r="B2" s="42" t="s">
        <v>1229</v>
      </c>
      <c r="C2" t="s">
        <v>478</v>
      </c>
      <c r="F2">
        <f>GETPIVOTDATA("Seeds",$B$4)/18</f>
        <v>8526.4742724867701</v>
      </c>
    </row>
    <row r="4" spans="1:35" ht="15" customHeight="1">
      <c r="B4" s="42" t="s">
        <v>479</v>
      </c>
      <c r="AD4">
        <f>SUBTOTAL(9,SeedOrder[Order Cost])</f>
        <v>778.88</v>
      </c>
    </row>
    <row r="5" spans="1:35" ht="45" customHeight="1">
      <c r="B5" s="42" t="s">
        <v>243</v>
      </c>
      <c r="C5" s="42" t="s">
        <v>244</v>
      </c>
      <c r="D5" s="42" t="s">
        <v>6</v>
      </c>
      <c r="E5" t="s">
        <v>268</v>
      </c>
      <c r="J5" t="s">
        <v>1265</v>
      </c>
      <c r="K5" s="45" t="s">
        <v>4</v>
      </c>
      <c r="L5" s="45" t="s">
        <v>244</v>
      </c>
      <c r="M5" s="45" t="s">
        <v>6</v>
      </c>
      <c r="N5" s="45" t="s">
        <v>1278</v>
      </c>
      <c r="O5" s="45" t="s">
        <v>2198</v>
      </c>
      <c r="P5" s="46" t="s">
        <v>369</v>
      </c>
      <c r="Q5" s="46" t="s">
        <v>1230</v>
      </c>
      <c r="R5" s="46" t="s">
        <v>2200</v>
      </c>
      <c r="S5" s="45" t="s">
        <v>2197</v>
      </c>
      <c r="T5" s="46" t="s">
        <v>1234</v>
      </c>
      <c r="U5" s="46" t="s">
        <v>1235</v>
      </c>
      <c r="V5" s="46" t="s">
        <v>1236</v>
      </c>
      <c r="W5" s="46" t="s">
        <v>1237</v>
      </c>
      <c r="X5" s="46" t="s">
        <v>2199</v>
      </c>
      <c r="Y5" s="46" t="s">
        <v>1238</v>
      </c>
      <c r="Z5" s="46" t="s">
        <v>1231</v>
      </c>
      <c r="AA5" s="46" t="s">
        <v>1232</v>
      </c>
      <c r="AB5" s="46" t="s">
        <v>1233</v>
      </c>
      <c r="AC5" s="46" t="s">
        <v>1239</v>
      </c>
      <c r="AD5" s="46" t="s">
        <v>1240</v>
      </c>
      <c r="AE5" s="46" t="s">
        <v>39</v>
      </c>
      <c r="AF5" t="s">
        <v>1283</v>
      </c>
      <c r="AG5" t="s">
        <v>2196</v>
      </c>
      <c r="AH5" s="46" t="s">
        <v>713</v>
      </c>
      <c r="AI5" s="46" t="s">
        <v>2944</v>
      </c>
    </row>
    <row r="6" spans="1:35" ht="15" customHeight="1">
      <c r="A6" t="str">
        <f>C6&amp; " "  &amp; D6</f>
        <v>High Mowing Astro</v>
      </c>
      <c r="B6" t="s">
        <v>42</v>
      </c>
      <c r="C6" t="s">
        <v>482</v>
      </c>
      <c r="D6" t="s">
        <v>481</v>
      </c>
      <c r="E6" s="32">
        <v>21060</v>
      </c>
      <c r="G6" t="e">
        <f>MATCH(C6&amp;" " &amp;D6,SeedOrder[Id],0)</f>
        <v>#N/A</v>
      </c>
      <c r="I6" s="32">
        <f>MATCH(SeedOrder[[#This Row],[Id]],$A$6:$A$264,)</f>
        <v>19</v>
      </c>
      <c r="J6" t="str">
        <f>SeedOrder[[#This Row],[Company]]&amp; " " &amp; SeedOrder[[#This Row],[Variety]]</f>
        <v>Adaptive Chiogga</v>
      </c>
      <c r="K6" t="s">
        <v>46</v>
      </c>
      <c r="L6" t="s">
        <v>488</v>
      </c>
      <c r="M6" t="s">
        <v>598</v>
      </c>
      <c r="N6" t="s">
        <v>2946</v>
      </c>
      <c r="O6" t="s">
        <v>2946</v>
      </c>
      <c r="P6" s="161">
        <f>_xlfn.XLOOKUP(SeedOrder[[#This Row],[Id]],Varieties[Id],Varieties[Density])</f>
        <v>80</v>
      </c>
      <c r="Q6" s="37" t="str">
        <f>_xlfn.XLOOKUP(SeedOrder[[#This Row],[Id]],Varieties[Id],Varieties[Density Per])</f>
        <v>g</v>
      </c>
      <c r="R6" s="171" t="str">
        <f>HYPERLINK(_xlfn.XLOOKUP(SeedOrder[[#This Row],[Id]],Varieties[Id],Varieties[Website]), "Link")</f>
        <v>Link</v>
      </c>
      <c r="S6" s="161">
        <f>GETPIVOTDATA("Seeds",$B$4,"Variety",SeedOrder[[#This Row],[Variety]],"Company",SeedOrder[[#This Row],[Company]])</f>
        <v>660</v>
      </c>
      <c r="T6" s="162">
        <v>1</v>
      </c>
      <c r="U6" s="27" t="s">
        <v>1242</v>
      </c>
      <c r="V6" s="27">
        <v>16</v>
      </c>
      <c r="W6" s="27">
        <v>1</v>
      </c>
      <c r="X6" s="27"/>
      <c r="Y6">
        <f>SeedOrder[[#This Row],[Product Weight]]*SeedOrder[[#This Row],[Product Quantity]]</f>
        <v>1</v>
      </c>
      <c r="Z6" s="164">
        <f>IFERROR(CONVERT(S6/SeedOrder[[#This Row],[Density]],SeedOrder[[#This Row],[Density Per]],"g"),"")</f>
        <v>8.25</v>
      </c>
      <c r="AA6" s="164">
        <f>IFERROR(CONVERT(S6/SeedOrder[[#This Row],[Density]],SeedOrder[[#This Row],[Density Per]],"ozm"),"")</f>
        <v>0.29101018608403839</v>
      </c>
      <c r="AB6" s="164">
        <f>IFERROR(CONVERT(S6/SeedOrder[[#This Row],[Density]],SeedOrder[[#This Row],[Density Per]],"lbm"),"")</f>
        <v>1.8188136630252399E-2</v>
      </c>
      <c r="AC6" s="165" cm="1">
        <f t="array" ref="AC6">IFERROR(SeedOrder[[#This Row],[Order Weight]]/IF(SeedOrder[[#This Row],[Weight Unit]]="ct",SeedOrder[[#This Row],[Needed]],_xlfn.SWITCH(SeedOrder[[#This Row],[Weight Unit]],"g",SeedOrder[[#This Row],[Needed (g)]],"ozm",SeedOrder[[#This Row],[Needed (ozm)]],"lbm",SeedOrder[[#This Row],[Needed (lbm)]])),"")</f>
        <v>3.4363058333333334</v>
      </c>
      <c r="AD6" s="166">
        <f>SeedOrder[[#This Row],[Product Quantity]]*SeedOrder[[#This Row],[Product Cost]]</f>
        <v>16</v>
      </c>
      <c r="AG6" s="32" t="b">
        <f>SeedOrder[[#This Row],[Id]]=J5</f>
        <v>0</v>
      </c>
      <c r="AH6" s="37" t="b">
        <f>_xlfn.XLOOKUP(SeedOrder[[#This Row],[Id]],Varieties[Id],Varieties[Organic])</f>
        <v>1</v>
      </c>
    </row>
    <row r="7" spans="1:35" ht="15" customHeight="1">
      <c r="A7" t="str">
        <f t="shared" ref="A7:A70" si="0">C7&amp; " "  &amp; D7</f>
        <v>Johnny's Esmee</v>
      </c>
      <c r="B7" t="s">
        <v>42</v>
      </c>
      <c r="C7" t="s">
        <v>490</v>
      </c>
      <c r="D7" t="s">
        <v>2851</v>
      </c>
      <c r="E7" s="32">
        <v>21060</v>
      </c>
      <c r="G7" t="e">
        <f>MATCH(C7&amp;" " &amp;D7,SeedOrder[Id],0)</f>
        <v>#N/A</v>
      </c>
      <c r="I7" s="32">
        <f>MATCH(SeedOrder[[#This Row],[Id]],$A$6:$A$264,)</f>
        <v>20</v>
      </c>
      <c r="J7" t="str">
        <f>SeedOrder[[#This Row],[Company]]&amp; " " &amp; SeedOrder[[#This Row],[Variety]]</f>
        <v>High Mowing Badger Flame</v>
      </c>
      <c r="K7" t="s">
        <v>46</v>
      </c>
      <c r="L7" t="s">
        <v>482</v>
      </c>
      <c r="M7" t="s">
        <v>601</v>
      </c>
      <c r="P7" s="161">
        <f>_xlfn.XLOOKUP(SeedOrder[[#This Row],[Id]],Varieties[Id],Varieties[Density])</f>
        <v>1500</v>
      </c>
      <c r="Q7" s="37" t="str">
        <f>_xlfn.XLOOKUP(SeedOrder[[#This Row],[Id]],Varieties[Id],Varieties[Density Per])</f>
        <v>ozm</v>
      </c>
      <c r="R7" s="171" t="str">
        <f>HYPERLINK(_xlfn.XLOOKUP(SeedOrder[[#This Row],[Id]],Varieties[Id],Varieties[Website]), "Link")</f>
        <v>Link</v>
      </c>
      <c r="S7" s="161">
        <f>GETPIVOTDATA("Seeds",$B$4,"Variety",SeedOrder[[#This Row],[Variety]],"Company",SeedOrder[[#This Row],[Company]])</f>
        <v>660</v>
      </c>
      <c r="T7" s="162"/>
      <c r="U7" s="27"/>
      <c r="V7" s="163"/>
      <c r="W7" s="27"/>
      <c r="X7" s="27" t="b">
        <v>1</v>
      </c>
      <c r="Y7">
        <f>SeedOrder[[#This Row],[Product Weight]]*SeedOrder[[#This Row],[Product Quantity]]</f>
        <v>0</v>
      </c>
      <c r="Z7" s="164">
        <f>IFERROR(CONVERT(S7/SeedOrder[[#This Row],[Density]],SeedOrder[[#This Row],[Density Per]],"g"),"")</f>
        <v>12.473790175000001</v>
      </c>
      <c r="AA7" s="164">
        <f>IFERROR(CONVERT(S7/SeedOrder[[#This Row],[Density]],SeedOrder[[#This Row],[Density Per]],"ozm"),"")</f>
        <v>0.44000000000000006</v>
      </c>
      <c r="AB7" s="164">
        <f>IFERROR(CONVERT(S7/SeedOrder[[#This Row],[Density]],SeedOrder[[#This Row],[Density Per]],"lbm"),"")</f>
        <v>2.7500000000000004E-2</v>
      </c>
      <c r="AC7" s="165" t="str" cm="1">
        <f t="array" ref="AC7">IFERROR(SeedOrder[[#This Row],[Order Weight]]/IF(SeedOrder[[#This Row],[Weight Unit]]="ct",SeedOrder[[#This Row],[Needed]],_xlfn.SWITCH(SeedOrder[[#This Row],[Weight Unit]],"g",SeedOrder[[#This Row],[Needed (g)]],"ozm",SeedOrder[[#This Row],[Needed (ozm)]],"lbm",SeedOrder[[#This Row],[Needed (lbm)]])),"")</f>
        <v/>
      </c>
      <c r="AD7" s="166">
        <f>SeedOrder[[#This Row],[Product Quantity]]*SeedOrder[[#This Row],[Product Cost]]</f>
        <v>0</v>
      </c>
      <c r="AG7" s="32" t="b">
        <f>SeedOrder[[#This Row],[Id]]=J6</f>
        <v>0</v>
      </c>
      <c r="AH7" s="37" t="b">
        <f>_xlfn.XLOOKUP(SeedOrder[[#This Row],[Id]],Varieties[Id],Varieties[Organic])</f>
        <v>1</v>
      </c>
    </row>
    <row r="8" spans="1:35" ht="15" customHeight="1">
      <c r="A8" t="str">
        <f t="shared" si="0"/>
        <v>High Mowing Komatsuna</v>
      </c>
      <c r="B8" t="s">
        <v>1517</v>
      </c>
      <c r="C8" t="s">
        <v>482</v>
      </c>
      <c r="D8" t="s">
        <v>90</v>
      </c>
      <c r="E8" s="32">
        <v>277.33333333333331</v>
      </c>
      <c r="G8" t="e">
        <f>MATCH(C8&amp;" " &amp;D8,SeedOrder[Id],0)</f>
        <v>#N/A</v>
      </c>
      <c r="I8" s="32">
        <f>MATCH(SeedOrder[[#This Row],[Id]],$A$6:$A$264,)</f>
        <v>21</v>
      </c>
      <c r="J8" t="str">
        <f>SeedOrder[[#This Row],[Company]]&amp; " " &amp; SeedOrder[[#This Row],[Variety]]</f>
        <v>High Mowing Boro F1</v>
      </c>
      <c r="K8" t="s">
        <v>46</v>
      </c>
      <c r="L8" t="s">
        <v>482</v>
      </c>
      <c r="M8" t="s">
        <v>763</v>
      </c>
      <c r="N8" t="s">
        <v>2946</v>
      </c>
      <c r="O8" t="s">
        <v>2946</v>
      </c>
      <c r="P8" s="161">
        <f>_xlfn.XLOOKUP(SeedOrder[[#This Row],[Id]],Varieties[Id],Varieties[Density])</f>
        <v>2000</v>
      </c>
      <c r="Q8" s="37" t="str">
        <f>_xlfn.XLOOKUP(SeedOrder[[#This Row],[Id]],Varieties[Id],Varieties[Density Per])</f>
        <v>ozm</v>
      </c>
      <c r="R8" s="171" t="str">
        <f>HYPERLINK(_xlfn.XLOOKUP(SeedOrder[[#This Row],[Id]],Varieties[Id],Varieties[Website]), "Link")</f>
        <v>Link</v>
      </c>
      <c r="S8" s="161">
        <f>GETPIVOTDATA("Seeds",$B$4,"Variety",SeedOrder[[#This Row],[Variety]],"Company",SeedOrder[[#This Row],[Company]])</f>
        <v>660</v>
      </c>
      <c r="T8" s="162">
        <v>5000</v>
      </c>
      <c r="U8" s="27" t="s">
        <v>1244</v>
      </c>
      <c r="V8" s="27">
        <v>23.15</v>
      </c>
      <c r="W8" s="27">
        <v>1</v>
      </c>
      <c r="X8" s="27"/>
      <c r="Y8">
        <f>SeedOrder[[#This Row],[Product Weight]]*SeedOrder[[#This Row],[Product Quantity]]</f>
        <v>5000</v>
      </c>
      <c r="Z8" s="164">
        <f>IFERROR(CONVERT(S8/SeedOrder[[#This Row],[Density]],SeedOrder[[#This Row],[Density Per]],"g"),"")</f>
        <v>9.3553426312500001</v>
      </c>
      <c r="AA8" s="164">
        <f>IFERROR(CONVERT(S8/SeedOrder[[#This Row],[Density]],SeedOrder[[#This Row],[Density Per]],"ozm"),"")</f>
        <v>0.33</v>
      </c>
      <c r="AB8" s="164">
        <f>IFERROR(CONVERT(S8/SeedOrder[[#This Row],[Density]],SeedOrder[[#This Row],[Density Per]],"lbm"),"")</f>
        <v>2.0625000000000001E-2</v>
      </c>
      <c r="AC8" s="165" cm="1">
        <f t="array" ref="AC8">IFERROR(SeedOrder[[#This Row],[Order Weight]]/IF(SeedOrder[[#This Row],[Weight Unit]]="ct",SeedOrder[[#This Row],[Needed]],_xlfn.SWITCH(SeedOrder[[#This Row],[Weight Unit]],"g",SeedOrder[[#This Row],[Needed (g)]],"ozm",SeedOrder[[#This Row],[Needed (ozm)]],"lbm",SeedOrder[[#This Row],[Needed (lbm)]])),"")</f>
        <v>7.5757575757575761</v>
      </c>
      <c r="AD8" s="166">
        <f>SeedOrder[[#This Row],[Product Quantity]]*SeedOrder[[#This Row],[Product Cost]]</f>
        <v>23.15</v>
      </c>
      <c r="AE8" t="s">
        <v>3100</v>
      </c>
      <c r="AG8" s="32" t="b">
        <f>SeedOrder[[#This Row],[Id]]=J7</f>
        <v>0</v>
      </c>
      <c r="AH8" s="37" t="b">
        <f>_xlfn.XLOOKUP(SeedOrder[[#This Row],[Id]],Varieties[Id],Varieties[Organic])</f>
        <v>1</v>
      </c>
    </row>
    <row r="9" spans="1:35" ht="15" customHeight="1">
      <c r="A9" t="str">
        <f t="shared" si="0"/>
        <v>Johnny's Carlton F1</v>
      </c>
      <c r="B9" t="s">
        <v>1517</v>
      </c>
      <c r="C9" t="s">
        <v>490</v>
      </c>
      <c r="D9" t="s">
        <v>1384</v>
      </c>
      <c r="E9" s="32">
        <v>138.66666666666666</v>
      </c>
      <c r="G9" t="e">
        <f>MATCH(C9&amp;" " &amp;D9,SeedOrder[Id],0)</f>
        <v>#N/A</v>
      </c>
      <c r="I9" s="32">
        <f>MATCH(SeedOrder[[#This Row],[Id]],$A$6:$A$264,)</f>
        <v>25</v>
      </c>
      <c r="J9" t="str">
        <f>SeedOrder[[#This Row],[Company]]&amp; " " &amp; SeedOrder[[#This Row],[Variety]]</f>
        <v>High Mowing Bilko F1</v>
      </c>
      <c r="K9" t="s">
        <v>52</v>
      </c>
      <c r="L9" t="s">
        <v>482</v>
      </c>
      <c r="M9" t="s">
        <v>1903</v>
      </c>
      <c r="N9" t="s">
        <v>2946</v>
      </c>
      <c r="O9" t="s">
        <v>2946</v>
      </c>
      <c r="P9" s="161">
        <f>_xlfn.XLOOKUP(SeedOrder[[#This Row],[Id]],Varieties[Id],Varieties[Density])</f>
        <v>4800</v>
      </c>
      <c r="Q9" s="37" t="str">
        <f>_xlfn.XLOOKUP(SeedOrder[[#This Row],[Id]],Varieties[Id],Varieties[Density Per])</f>
        <v>ozm</v>
      </c>
      <c r="R9" s="171" t="str">
        <f>HYPERLINK(_xlfn.XLOOKUP(SeedOrder[[#This Row],[Id]],Varieties[Id],Varieties[Website]), "Link")</f>
        <v>Link</v>
      </c>
      <c r="S9" s="161">
        <f>GETPIVOTDATA("Seeds",$B$4,"Variety",SeedOrder[[#This Row],[Variety]],"Company",SeedOrder[[#This Row],[Company]])</f>
        <v>58.666666666666664</v>
      </c>
      <c r="T9" s="162">
        <v>500</v>
      </c>
      <c r="U9" s="27" t="s">
        <v>1244</v>
      </c>
      <c r="V9" s="163">
        <v>12</v>
      </c>
      <c r="W9" s="27">
        <v>1</v>
      </c>
      <c r="X9" s="27"/>
      <c r="Y9">
        <f>SeedOrder[[#This Row],[Product Weight]]*SeedOrder[[#This Row],[Product Quantity]]</f>
        <v>500</v>
      </c>
      <c r="Z9" s="164">
        <f>IFERROR(CONVERT(S9/SeedOrder[[#This Row],[Density]],SeedOrder[[#This Row],[Density Per]],"g"),"")</f>
        <v>0.34649417152777778</v>
      </c>
      <c r="AA9" s="164">
        <f>IFERROR(CONVERT(S9/SeedOrder[[#This Row],[Density]],SeedOrder[[#This Row],[Density Per]],"ozm"),"")</f>
        <v>1.2222222222222221E-2</v>
      </c>
      <c r="AB9" s="164">
        <f>IFERROR(CONVERT(S9/SeedOrder[[#This Row],[Density]],SeedOrder[[#This Row],[Density Per]],"lbm"),"")</f>
        <v>7.6388888888888882E-4</v>
      </c>
      <c r="AC9" s="165" cm="1">
        <f t="array" ref="AC9">IFERROR(SeedOrder[[#This Row],[Order Weight]]/IF(SeedOrder[[#This Row],[Weight Unit]]="ct",SeedOrder[[#This Row],[Needed]],_xlfn.SWITCH(SeedOrder[[#This Row],[Weight Unit]],"g",SeedOrder[[#This Row],[Needed (g)]],"ozm",SeedOrder[[#This Row],[Needed (ozm)]],"lbm",SeedOrder[[#This Row],[Needed (lbm)]])),"")</f>
        <v>8.5227272727272734</v>
      </c>
      <c r="AD9" s="166">
        <f>SeedOrder[[#This Row],[Product Quantity]]*SeedOrder[[#This Row],[Product Cost]]</f>
        <v>12</v>
      </c>
      <c r="AE9" t="s">
        <v>3100</v>
      </c>
      <c r="AG9" s="32" t="b">
        <f>SeedOrder[[#This Row],[Id]]=J8</f>
        <v>0</v>
      </c>
      <c r="AH9" s="37" t="b">
        <f>_xlfn.XLOOKUP(SeedOrder[[#This Row],[Id]],Varieties[Id],Varieties[Organic])</f>
        <v>1</v>
      </c>
    </row>
    <row r="10" spans="1:35" ht="15" customHeight="1">
      <c r="A10" t="str">
        <f t="shared" si="0"/>
        <v>Johnny's Red Cloud F1</v>
      </c>
      <c r="B10" t="s">
        <v>1517</v>
      </c>
      <c r="C10" t="s">
        <v>490</v>
      </c>
      <c r="D10" t="s">
        <v>1382</v>
      </c>
      <c r="E10" s="32">
        <v>138.66666666666666</v>
      </c>
      <c r="G10" t="e">
        <f>MATCH(C10&amp;" " &amp;D10,SeedOrder[Id],0)</f>
        <v>#N/A</v>
      </c>
      <c r="I10" s="32">
        <f>MATCH(SeedOrder[[#This Row],[Id]],$A$6:$A$264,)</f>
        <v>24</v>
      </c>
      <c r="J10" t="str">
        <f>SeedOrder[[#This Row],[Company]]&amp; " " &amp; SeedOrder[[#This Row],[Variety]]</f>
        <v>High Mowing Bronco F1</v>
      </c>
      <c r="K10" t="s">
        <v>52</v>
      </c>
      <c r="L10" t="s">
        <v>482</v>
      </c>
      <c r="M10" t="s">
        <v>1891</v>
      </c>
      <c r="N10" t="s">
        <v>2946</v>
      </c>
      <c r="O10" t="s">
        <v>2946</v>
      </c>
      <c r="P10" s="161">
        <f>_xlfn.XLOOKUP(SeedOrder[[#This Row],[Id]],Varieties[Id],Varieties[Density])</f>
        <v>4800</v>
      </c>
      <c r="Q10" s="37" t="str">
        <f>_xlfn.XLOOKUP(SeedOrder[[#This Row],[Id]],Varieties[Id],Varieties[Density Per])</f>
        <v>ozm</v>
      </c>
      <c r="R10" s="171" t="str">
        <f>HYPERLINK(_xlfn.XLOOKUP(SeedOrder[[#This Row],[Id]],Varieties[Id],Varieties[Website]), "Link")</f>
        <v>Link</v>
      </c>
      <c r="S10" s="161">
        <f>GETPIVOTDATA("Seeds",$B$4,"Variety",SeedOrder[[#This Row],[Variety]],"Company",SeedOrder[[#This Row],[Company]])</f>
        <v>146.66666666666666</v>
      </c>
      <c r="T10" s="162">
        <v>500</v>
      </c>
      <c r="U10" s="27" t="s">
        <v>1244</v>
      </c>
      <c r="V10" s="163">
        <v>18.899999999999999</v>
      </c>
      <c r="W10" s="27">
        <v>1</v>
      </c>
      <c r="X10" s="27"/>
      <c r="Y10">
        <f>SeedOrder[[#This Row],[Product Weight]]*SeedOrder[[#This Row],[Product Quantity]]</f>
        <v>500</v>
      </c>
      <c r="Z10" s="164">
        <f>IFERROR(CONVERT(S10/SeedOrder[[#This Row],[Density]],SeedOrder[[#This Row],[Density Per]],"g"),"")</f>
        <v>0.86623542881944449</v>
      </c>
      <c r="AA10" s="164">
        <f>IFERROR(CONVERT(S10/SeedOrder[[#This Row],[Density]],SeedOrder[[#This Row],[Density Per]],"ozm"),"")</f>
        <v>3.0555555555555555E-2</v>
      </c>
      <c r="AB10" s="164">
        <f>IFERROR(CONVERT(S10/SeedOrder[[#This Row],[Density]],SeedOrder[[#This Row],[Density Per]],"lbm"),"")</f>
        <v>1.9097222222222222E-3</v>
      </c>
      <c r="AC10" s="165" cm="1">
        <f t="array" ref="AC10">IFERROR(SeedOrder[[#This Row],[Order Weight]]/IF(SeedOrder[[#This Row],[Weight Unit]]="ct",SeedOrder[[#This Row],[Needed]],_xlfn.SWITCH(SeedOrder[[#This Row],[Weight Unit]],"g",SeedOrder[[#This Row],[Needed (g)]],"ozm",SeedOrder[[#This Row],[Needed (ozm)]],"lbm",SeedOrder[[#This Row],[Needed (lbm)]])),"")</f>
        <v>3.4090909090909092</v>
      </c>
      <c r="AD10" s="166">
        <f>SeedOrder[[#This Row],[Product Quantity]]*SeedOrder[[#This Row],[Product Cost]]</f>
        <v>18.899999999999999</v>
      </c>
      <c r="AG10" s="32" t="b">
        <f>SeedOrder[[#This Row],[Id]]=J9</f>
        <v>0</v>
      </c>
      <c r="AH10" s="37" t="b">
        <f>_xlfn.XLOOKUP(SeedOrder[[#This Row],[Id]],Varieties[Id],Varieties[Organic])</f>
        <v>1</v>
      </c>
    </row>
    <row r="11" spans="1:35" ht="15" customHeight="1">
      <c r="A11" t="str">
        <f t="shared" si="0"/>
        <v>Johnny's Bopak</v>
      </c>
      <c r="B11" t="s">
        <v>1517</v>
      </c>
      <c r="C11" t="s">
        <v>490</v>
      </c>
      <c r="D11" t="s">
        <v>891</v>
      </c>
      <c r="E11" s="32">
        <v>138.66666666666666</v>
      </c>
      <c r="G11" t="e">
        <f>MATCH(C11&amp;" " &amp;D11,SeedOrder[Id],0)</f>
        <v>#N/A</v>
      </c>
      <c r="I11" s="32">
        <f>MATCH(SeedOrder[[#This Row],[Id]],$A$6:$A$264,)</f>
        <v>26</v>
      </c>
      <c r="J11" t="str">
        <f>SeedOrder[[#This Row],[Company]]&amp; " " &amp; SeedOrder[[#This Row],[Variety]]</f>
        <v>High Mowing Emiko F1</v>
      </c>
      <c r="K11" t="s">
        <v>52</v>
      </c>
      <c r="L11" t="s">
        <v>482</v>
      </c>
      <c r="M11" t="s">
        <v>1904</v>
      </c>
      <c r="N11" t="s">
        <v>2946</v>
      </c>
      <c r="O11" t="s">
        <v>2946</v>
      </c>
      <c r="P11" s="161">
        <f>_xlfn.XLOOKUP(SeedOrder[[#This Row],[Id]],Varieties[Id],Varieties[Density])</f>
        <v>4800</v>
      </c>
      <c r="Q11" s="37" t="str">
        <f>_xlfn.XLOOKUP(SeedOrder[[#This Row],[Id]],Varieties[Id],Varieties[Density Per])</f>
        <v>ozm</v>
      </c>
      <c r="R11" s="171" t="str">
        <f>HYPERLINK(_xlfn.XLOOKUP(SeedOrder[[#This Row],[Id]],Varieties[Id],Varieties[Website]), "Link")</f>
        <v>Link</v>
      </c>
      <c r="S11" s="161">
        <f>GETPIVOTDATA("Seeds",$B$4,"Variety",SeedOrder[[#This Row],[Variety]],"Company",SeedOrder[[#This Row],[Company]])</f>
        <v>58.666666666666664</v>
      </c>
      <c r="T11" s="162">
        <v>500</v>
      </c>
      <c r="U11" s="27" t="s">
        <v>1244</v>
      </c>
      <c r="V11" s="163">
        <v>12</v>
      </c>
      <c r="W11" s="27">
        <v>1</v>
      </c>
      <c r="X11" s="27"/>
      <c r="Y11">
        <f>SeedOrder[[#This Row],[Product Weight]]*SeedOrder[[#This Row],[Product Quantity]]</f>
        <v>500</v>
      </c>
      <c r="Z11" s="164">
        <f>IFERROR(CONVERT(S11/SeedOrder[[#This Row],[Density]],SeedOrder[[#This Row],[Density Per]],"g"),"")</f>
        <v>0.34649417152777778</v>
      </c>
      <c r="AA11" s="164">
        <f>IFERROR(CONVERT(S11/SeedOrder[[#This Row],[Density]],SeedOrder[[#This Row],[Density Per]],"ozm"),"")</f>
        <v>1.2222222222222221E-2</v>
      </c>
      <c r="AB11" s="164">
        <f>IFERROR(CONVERT(S11/SeedOrder[[#This Row],[Density]],SeedOrder[[#This Row],[Density Per]],"lbm"),"")</f>
        <v>7.6388888888888882E-4</v>
      </c>
      <c r="AC11" s="165" cm="1">
        <f t="array" ref="AC11">IFERROR(SeedOrder[[#This Row],[Order Weight]]/IF(SeedOrder[[#This Row],[Weight Unit]]="ct",SeedOrder[[#This Row],[Needed]],_xlfn.SWITCH(SeedOrder[[#This Row],[Weight Unit]],"g",SeedOrder[[#This Row],[Needed (g)]],"ozm",SeedOrder[[#This Row],[Needed (ozm)]],"lbm",SeedOrder[[#This Row],[Needed (lbm)]])),"")</f>
        <v>8.5227272727272734</v>
      </c>
      <c r="AD11" s="166">
        <f>SeedOrder[[#This Row],[Product Quantity]]*SeedOrder[[#This Row],[Product Cost]]</f>
        <v>12</v>
      </c>
      <c r="AG11" s="32" t="b">
        <f>SeedOrder[[#This Row],[Id]]=J10</f>
        <v>0</v>
      </c>
      <c r="AH11" s="37" t="b">
        <f>_xlfn.XLOOKUP(SeedOrder[[#This Row],[Id]],Varieties[Id],Varieties[Organic])</f>
        <v>1</v>
      </c>
    </row>
    <row r="12" spans="1:35" ht="15" customHeight="1">
      <c r="A12" t="str">
        <f t="shared" si="0"/>
        <v>(blank) (blank)</v>
      </c>
      <c r="B12" t="s">
        <v>1517</v>
      </c>
      <c r="C12" t="s">
        <v>478</v>
      </c>
      <c r="D12" t="s">
        <v>478</v>
      </c>
      <c r="E12" s="32">
        <v>3120</v>
      </c>
      <c r="G12" t="e">
        <f>MATCH(C12&amp;" " &amp;D12,SeedOrder[Id],0)</f>
        <v>#N/A</v>
      </c>
      <c r="I12" s="32">
        <f>MATCH(SeedOrder[[#This Row],[Id]],$A$6:$A$264,)</f>
        <v>28</v>
      </c>
      <c r="J12" t="str">
        <f>SeedOrder[[#This Row],[Company]]&amp; " " &amp; SeedOrder[[#This Row],[Variety]]</f>
        <v>Johnny's Merlot</v>
      </c>
      <c r="K12" t="s">
        <v>52</v>
      </c>
      <c r="L12" t="s">
        <v>490</v>
      </c>
      <c r="M12" t="s">
        <v>869</v>
      </c>
      <c r="P12" s="161">
        <f>_xlfn.XLOOKUP(SeedOrder[[#This Row],[Id]],Varieties[Id],Varieties[Density])</f>
        <v>140000</v>
      </c>
      <c r="Q12" s="37" t="str">
        <f>_xlfn.XLOOKUP(SeedOrder[[#This Row],[Id]],Varieties[Id],Varieties[Density Per])</f>
        <v>lbm</v>
      </c>
      <c r="R12" s="171" t="str">
        <f>HYPERLINK(_xlfn.XLOOKUP(SeedOrder[[#This Row],[Id]],Varieties[Id],Varieties[Website]), "Link")</f>
        <v>Link</v>
      </c>
      <c r="S12" s="161">
        <f>GETPIVOTDATA("Seeds",$B$4,"Variety",SeedOrder[[#This Row],[Variety]],"Company",SeedOrder[[#This Row],[Company]])</f>
        <v>58.666666666666664</v>
      </c>
      <c r="T12" s="162"/>
      <c r="U12" s="27"/>
      <c r="V12" s="163"/>
      <c r="W12" s="27"/>
      <c r="X12" s="27"/>
      <c r="Y12">
        <f>SeedOrder[[#This Row],[Product Weight]]*SeedOrder[[#This Row],[Product Quantity]]</f>
        <v>0</v>
      </c>
      <c r="Z12" s="164">
        <f>IFERROR(CONVERT(S12/SeedOrder[[#This Row],[Density]],SeedOrder[[#This Row],[Density Per]],"g"),"")</f>
        <v>0.19007680266666666</v>
      </c>
      <c r="AA12" s="164">
        <f>IFERROR(CONVERT(S12/SeedOrder[[#This Row],[Density]],SeedOrder[[#This Row],[Density Per]],"ozm"),"")</f>
        <v>6.7047619047619043E-3</v>
      </c>
      <c r="AB12" s="164">
        <f>IFERROR(CONVERT(S12/SeedOrder[[#This Row],[Density]],SeedOrder[[#This Row],[Density Per]],"lbm"),"")</f>
        <v>4.1904761904761902E-4</v>
      </c>
      <c r="AC12" s="165" t="str" cm="1">
        <f t="array" ref="AC12">IFERROR(SeedOrder[[#This Row],[Order Weight]]/IF(SeedOrder[[#This Row],[Weight Unit]]="ct",SeedOrder[[#This Row],[Needed]],_xlfn.SWITCH(SeedOrder[[#This Row],[Weight Unit]],"g",SeedOrder[[#This Row],[Needed (g)]],"ozm",SeedOrder[[#This Row],[Needed (ozm)]],"lbm",SeedOrder[[#This Row],[Needed (lbm)]])),"")</f>
        <v/>
      </c>
      <c r="AD12" s="166">
        <f>SeedOrder[[#This Row],[Product Quantity]]*SeedOrder[[#This Row],[Product Cost]]</f>
        <v>0</v>
      </c>
      <c r="AE12" t="s">
        <v>2951</v>
      </c>
      <c r="AG12" s="32" t="b">
        <f>SeedOrder[[#This Row],[Id]]=J11</f>
        <v>0</v>
      </c>
      <c r="AH12" s="37" t="b">
        <f>_xlfn.XLOOKUP(SeedOrder[[#This Row],[Id]],Varieties[Id],Varieties[Organic])</f>
        <v>0</v>
      </c>
      <c r="AI12" t="s">
        <v>2484</v>
      </c>
    </row>
    <row r="13" spans="1:35" ht="15" customHeight="1">
      <c r="A13" t="str">
        <f t="shared" si="0"/>
        <v>Adaptive Golden Mountain Sweet Thai</v>
      </c>
      <c r="B13" t="s">
        <v>43</v>
      </c>
      <c r="C13" t="s">
        <v>488</v>
      </c>
      <c r="D13" t="s">
        <v>711</v>
      </c>
      <c r="E13" s="32">
        <v>81.25</v>
      </c>
      <c r="G13" t="e">
        <f>MATCH(C13&amp;" " &amp;D13,SeedOrder[Id],0)</f>
        <v>#N/A</v>
      </c>
      <c r="I13" s="32">
        <f>MATCH(SeedOrder[[#This Row],[Id]],$A$6:$A$264,)</f>
        <v>33</v>
      </c>
      <c r="J13" t="str">
        <f>SeedOrder[[#This Row],[Company]]&amp; " " &amp; SeedOrder[[#This Row],[Variety]]</f>
        <v>High Mowing Bengala F1</v>
      </c>
      <c r="K13" t="s">
        <v>53</v>
      </c>
      <c r="L13" t="s">
        <v>482</v>
      </c>
      <c r="M13" t="s">
        <v>1269</v>
      </c>
      <c r="P13" s="33">
        <f>_xlfn.XLOOKUP(SeedOrder[[#This Row],[Id]],Varieties[Id],Varieties[Density])</f>
        <v>11000</v>
      </c>
      <c r="Q13" s="37" t="str">
        <f>_xlfn.XLOOKUP(SeedOrder[[#This Row],[Id]],Varieties[Id],Varieties[Density Per])</f>
        <v>ozm</v>
      </c>
      <c r="R13" s="171" t="str">
        <f>HYPERLINK(_xlfn.XLOOKUP(SeedOrder[[#This Row],[Id]],Varieties[Id],Varieties[Website]), "Link")</f>
        <v>Link</v>
      </c>
      <c r="S13" s="33">
        <f>GETPIVOTDATA("Seeds",$B$4,"Variety",SeedOrder[[#This Row],[Variety]],"Company",SeedOrder[[#This Row],[Company]])</f>
        <v>3120</v>
      </c>
      <c r="T13" s="172"/>
      <c r="U13" s="27"/>
      <c r="V13" s="175"/>
      <c r="W13" s="27"/>
      <c r="X13" s="27"/>
      <c r="Y13">
        <f>SeedOrder[[#This Row],[Product Weight]]*SeedOrder[[#This Row],[Product Quantity]]</f>
        <v>0</v>
      </c>
      <c r="Z13" s="164">
        <f>IFERROR(CONVERT(S13/SeedOrder[[#This Row],[Density]],SeedOrder[[#This Row],[Density Per]],"g"),"")</f>
        <v>8.0409556500000008</v>
      </c>
      <c r="AA13" s="164">
        <f>IFERROR(CONVERT(S13/SeedOrder[[#This Row],[Density]],SeedOrder[[#This Row],[Density Per]],"ozm"),"")</f>
        <v>0.28363636363636363</v>
      </c>
      <c r="AB13" s="164">
        <f>IFERROR(CONVERT(S13/SeedOrder[[#This Row],[Density]],SeedOrder[[#This Row],[Density Per]],"lbm"),"")</f>
        <v>1.7727272727272727E-2</v>
      </c>
      <c r="AC13" s="174" t="str" cm="1">
        <f t="array" ref="AC13">IFERROR(SeedOrder[[#This Row],[Order Weight]]/IF(SeedOrder[[#This Row],[Weight Unit]]="ct",SeedOrder[[#This Row],[Needed]],_xlfn.SWITCH(SeedOrder[[#This Row],[Weight Unit]],"g",SeedOrder[[#This Row],[Needed (g)]],"ozm",SeedOrder[[#This Row],[Needed (ozm)]],"lbm",SeedOrder[[#This Row],[Needed (lbm)]])),"")</f>
        <v/>
      </c>
      <c r="AD13" s="36">
        <f>SeedOrder[[#This Row],[Product Quantity]]*SeedOrder[[#This Row],[Product Cost]]</f>
        <v>0</v>
      </c>
      <c r="AE13" t="s">
        <v>2951</v>
      </c>
      <c r="AG13" s="32" t="b">
        <f>SeedOrder[[#This Row],[Id]]=J12</f>
        <v>0</v>
      </c>
      <c r="AH13" s="37" t="b">
        <f>_xlfn.XLOOKUP(SeedOrder[[#This Row],[Id]],Varieties[Id],Varieties[Organic])</f>
        <v>1</v>
      </c>
    </row>
    <row r="14" spans="1:35" ht="15" customHeight="1">
      <c r="A14" t="str">
        <f t="shared" si="0"/>
        <v>High Mowing Prospera F1</v>
      </c>
      <c r="B14" t="s">
        <v>43</v>
      </c>
      <c r="C14" t="s">
        <v>482</v>
      </c>
      <c r="D14" t="s">
        <v>2209</v>
      </c>
      <c r="E14" s="32">
        <v>81.25</v>
      </c>
      <c r="G14" t="e">
        <f>MATCH(C14&amp;" " &amp;D14,SeedOrder[Id],0)</f>
        <v>#N/A</v>
      </c>
      <c r="I14" s="32">
        <f>MATCH(SeedOrder[[#This Row],[Id]],$A$6:$A$264,)</f>
        <v>35</v>
      </c>
      <c r="J14" t="str">
        <f>SeedOrder[[#This Row],[Company]]&amp; " " &amp; SeedOrder[[#This Row],[Variety]]</f>
        <v>High Mowing Dolciva F1</v>
      </c>
      <c r="K14" t="s">
        <v>53</v>
      </c>
      <c r="L14" t="s">
        <v>482</v>
      </c>
      <c r="M14" t="s">
        <v>2804</v>
      </c>
      <c r="P14" s="161">
        <f>_xlfn.XLOOKUP(SeedOrder[[#This Row],[Id]],Varieties[Id],Varieties[Density])</f>
        <v>20000</v>
      </c>
      <c r="Q14" s="37" t="str">
        <f>_xlfn.XLOOKUP(SeedOrder[[#This Row],[Id]],Varieties[Id],Varieties[Density Per])</f>
        <v>lbm</v>
      </c>
      <c r="R14" s="171" t="str">
        <f>HYPERLINK(_xlfn.XLOOKUP(SeedOrder[[#This Row],[Id]],Varieties[Id],Varieties[Website]), "Link")</f>
        <v>Link</v>
      </c>
      <c r="S14" s="161">
        <f>GETPIVOTDATA("Seeds",$B$4,"Variety",SeedOrder[[#This Row],[Variety]],"Company",SeedOrder[[#This Row],[Company]])</f>
        <v>3120</v>
      </c>
      <c r="T14" s="162"/>
      <c r="U14" s="27"/>
      <c r="V14" s="163"/>
      <c r="W14" s="27"/>
      <c r="X14" s="27"/>
      <c r="Y14">
        <f>SeedOrder[[#This Row],[Product Weight]]*SeedOrder[[#This Row],[Product Quantity]]</f>
        <v>0</v>
      </c>
      <c r="Z14" s="164">
        <f>IFERROR(CONVERT(S14/SeedOrder[[#This Row],[Density]],SeedOrder[[#This Row],[Density Per]],"g"),"")</f>
        <v>70.760409719999998</v>
      </c>
      <c r="AA14" s="164">
        <f>IFERROR(CONVERT(S14/SeedOrder[[#This Row],[Density]],SeedOrder[[#This Row],[Density Per]],"ozm"),"")</f>
        <v>2.496</v>
      </c>
      <c r="AB14" s="164">
        <f>IFERROR(CONVERT(S14/SeedOrder[[#This Row],[Density]],SeedOrder[[#This Row],[Density Per]],"lbm"),"")</f>
        <v>0.156</v>
      </c>
      <c r="AC14" s="165" t="str" cm="1">
        <f t="array" ref="AC14">IFERROR(SeedOrder[[#This Row],[Order Weight]]/IF(SeedOrder[[#This Row],[Weight Unit]]="ct",SeedOrder[[#This Row],[Needed]],_xlfn.SWITCH(SeedOrder[[#This Row],[Weight Unit]],"g",SeedOrder[[#This Row],[Needed (g)]],"ozm",SeedOrder[[#This Row],[Needed (ozm)]],"lbm",SeedOrder[[#This Row],[Needed (lbm)]])),"")</f>
        <v/>
      </c>
      <c r="AD14" s="166">
        <f>SeedOrder[[#This Row],[Product Quantity]]*SeedOrder[[#This Row],[Product Cost]]</f>
        <v>0</v>
      </c>
      <c r="AE14" t="s">
        <v>2951</v>
      </c>
      <c r="AG14" s="32" t="b">
        <f>SeedOrder[[#This Row],[Id]]=J13</f>
        <v>0</v>
      </c>
      <c r="AH14" s="37" t="b">
        <f>_xlfn.XLOOKUP(SeedOrder[[#This Row],[Id]],Varieties[Id],Varieties[Organic])</f>
        <v>1</v>
      </c>
    </row>
    <row r="15" spans="1:35" ht="15" customHeight="1">
      <c r="A15" t="str">
        <f t="shared" si="0"/>
        <v>Johnny's Prospera® Active Thai-Thai F1 Basil</v>
      </c>
      <c r="B15" t="s">
        <v>43</v>
      </c>
      <c r="C15" t="s">
        <v>490</v>
      </c>
      <c r="D15" t="s">
        <v>2782</v>
      </c>
      <c r="E15" s="32">
        <v>40.625</v>
      </c>
      <c r="G15" t="e">
        <f>MATCH(C15&amp;" " &amp;D15,SeedOrder[Id],0)</f>
        <v>#N/A</v>
      </c>
      <c r="I15" s="32">
        <f>MATCH(SeedOrder[[#This Row],[Id]],$A$6:$A$264,)</f>
        <v>36</v>
      </c>
      <c r="J15" t="str">
        <f>SeedOrder[[#This Row],[Company]]&amp; " " &amp; SeedOrder[[#This Row],[Variety]]</f>
        <v>High Mowing Narvik</v>
      </c>
      <c r="K15" t="s">
        <v>53</v>
      </c>
      <c r="L15" t="s">
        <v>482</v>
      </c>
      <c r="M15" t="s">
        <v>2817</v>
      </c>
      <c r="N15" t="s">
        <v>2946</v>
      </c>
      <c r="O15" t="s">
        <v>2946</v>
      </c>
      <c r="P15" s="161">
        <f>_xlfn.XLOOKUP(SeedOrder[[#This Row],[Id]],Varieties[Id],Varieties[Density])</f>
        <v>20000</v>
      </c>
      <c r="Q15" s="37" t="str">
        <f>_xlfn.XLOOKUP(SeedOrder[[#This Row],[Id]],Varieties[Id],Varieties[Density Per])</f>
        <v>lbm</v>
      </c>
      <c r="R15" s="171" t="str">
        <f>HYPERLINK(_xlfn.XLOOKUP(SeedOrder[[#This Row],[Id]],Varieties[Id],Varieties[Website]), "Link")</f>
        <v>Link</v>
      </c>
      <c r="S15" s="161">
        <f>GETPIVOTDATA("Seeds",$B$4,"Variety",SeedOrder[[#This Row],[Variety]],"Company",SeedOrder[[#This Row],[Company]])</f>
        <v>3120</v>
      </c>
      <c r="T15" s="162">
        <v>10000</v>
      </c>
      <c r="U15" s="27" t="s">
        <v>1244</v>
      </c>
      <c r="V15" s="163">
        <v>34.450000000000003</v>
      </c>
      <c r="W15" s="27">
        <v>1</v>
      </c>
      <c r="X15" s="27"/>
      <c r="Y15">
        <f>SeedOrder[[#This Row],[Product Weight]]*SeedOrder[[#This Row],[Product Quantity]]</f>
        <v>10000</v>
      </c>
      <c r="Z15" s="164">
        <f>IFERROR(CONVERT(S15/SeedOrder[[#This Row],[Density]],SeedOrder[[#This Row],[Density Per]],"g"),"")</f>
        <v>70.760409719999998</v>
      </c>
      <c r="AA15" s="164">
        <f>IFERROR(CONVERT(S15/SeedOrder[[#This Row],[Density]],SeedOrder[[#This Row],[Density Per]],"ozm"),"")</f>
        <v>2.496</v>
      </c>
      <c r="AB15" s="164">
        <f>IFERROR(CONVERT(S15/SeedOrder[[#This Row],[Density]],SeedOrder[[#This Row],[Density Per]],"lbm"),"")</f>
        <v>0.156</v>
      </c>
      <c r="AC15" s="165" cm="1">
        <f t="array" ref="AC15">IFERROR(SeedOrder[[#This Row],[Order Weight]]/IF(SeedOrder[[#This Row],[Weight Unit]]="ct",SeedOrder[[#This Row],[Needed]],_xlfn.SWITCH(SeedOrder[[#This Row],[Weight Unit]],"g",SeedOrder[[#This Row],[Needed (g)]],"ozm",SeedOrder[[#This Row],[Needed (ozm)]],"lbm",SeedOrder[[#This Row],[Needed (lbm)]])),"")</f>
        <v>3.2051282051282053</v>
      </c>
      <c r="AD15" s="166">
        <f>SeedOrder[[#This Row],[Product Quantity]]*SeedOrder[[#This Row],[Product Cost]]</f>
        <v>34.450000000000003</v>
      </c>
      <c r="AG15" s="32" t="b">
        <f>SeedOrder[[#This Row],[Id]]=J14</f>
        <v>0</v>
      </c>
      <c r="AH15" s="37" t="b">
        <f>_xlfn.XLOOKUP(SeedOrder[[#This Row],[Id]],Varieties[Id],Varieties[Organic])</f>
        <v>1</v>
      </c>
    </row>
    <row r="16" spans="1:35" ht="15" customHeight="1">
      <c r="A16" t="str">
        <f t="shared" si="0"/>
        <v>Uprising Italian Large Leaf</v>
      </c>
      <c r="B16" t="s">
        <v>43</v>
      </c>
      <c r="C16" t="s">
        <v>484</v>
      </c>
      <c r="D16" t="s">
        <v>483</v>
      </c>
      <c r="E16" s="32">
        <v>81.25</v>
      </c>
      <c r="G16" t="e">
        <f>MATCH(C16&amp;" " &amp;D16,SeedOrder[Id],0)</f>
        <v>#N/A</v>
      </c>
      <c r="I16" s="32">
        <f>MATCH(SeedOrder[[#This Row],[Id]],$A$6:$A$264,)</f>
        <v>37</v>
      </c>
      <c r="J16" t="str">
        <f>SeedOrder[[#This Row],[Company]]&amp; " " &amp; SeedOrder[[#This Row],[Variety]]</f>
        <v>Johnny's Bolero F1</v>
      </c>
      <c r="K16" t="s">
        <v>53</v>
      </c>
      <c r="L16" t="s">
        <v>490</v>
      </c>
      <c r="M16" t="s">
        <v>2212</v>
      </c>
      <c r="N16" t="s">
        <v>2946</v>
      </c>
      <c r="O16" t="s">
        <v>2946</v>
      </c>
      <c r="P16" s="161">
        <f>_xlfn.XLOOKUP(SeedOrder[[#This Row],[Id]],Varieties[Id],Varieties[Density])</f>
        <v>250400</v>
      </c>
      <c r="Q16" s="37" t="str">
        <f>_xlfn.XLOOKUP(SeedOrder[[#This Row],[Id]],Varieties[Id],Varieties[Density Per])</f>
        <v>lbm</v>
      </c>
      <c r="R16" s="171" t="str">
        <f>HYPERLINK(_xlfn.XLOOKUP(SeedOrder[[#This Row],[Id]],Varieties[Id],Varieties[Website]), "Link")</f>
        <v>Link</v>
      </c>
      <c r="S16" s="161">
        <f>GETPIVOTDATA("Seeds",$B$4,"Variety",SeedOrder[[#This Row],[Variety]],"Company",SeedOrder[[#This Row],[Company]])</f>
        <v>3120</v>
      </c>
      <c r="T16" s="162">
        <v>5000</v>
      </c>
      <c r="U16" s="27" t="s">
        <v>1244</v>
      </c>
      <c r="V16" s="27">
        <v>9.4</v>
      </c>
      <c r="W16" s="27">
        <v>2</v>
      </c>
      <c r="X16" s="27"/>
      <c r="Y16">
        <f>SeedOrder[[#This Row],[Product Weight]]*SeedOrder[[#This Row],[Product Quantity]]</f>
        <v>10000</v>
      </c>
      <c r="Z16" s="164">
        <f>IFERROR(CONVERT(S16/SeedOrder[[#This Row],[Density]],SeedOrder[[#This Row],[Density Per]],"g"),"")</f>
        <v>5.6517899137380194</v>
      </c>
      <c r="AA16" s="164">
        <f>IFERROR(CONVERT(S16/SeedOrder[[#This Row],[Density]],SeedOrder[[#This Row],[Density Per]],"ozm"),"")</f>
        <v>0.19936102236421727</v>
      </c>
      <c r="AB16" s="164">
        <f>IFERROR(CONVERT(S16/SeedOrder[[#This Row],[Density]],SeedOrder[[#This Row],[Density Per]],"lbm"),"")</f>
        <v>1.2460063897763579E-2</v>
      </c>
      <c r="AC16" s="165" cm="1">
        <f t="array" ref="AC16">IFERROR(SeedOrder[[#This Row],[Order Weight]]/IF(SeedOrder[[#This Row],[Weight Unit]]="ct",SeedOrder[[#This Row],[Needed]],_xlfn.SWITCH(SeedOrder[[#This Row],[Weight Unit]],"g",SeedOrder[[#This Row],[Needed (g)]],"ozm",SeedOrder[[#This Row],[Needed (ozm)]],"lbm",SeedOrder[[#This Row],[Needed (lbm)]])),"")</f>
        <v>3.2051282051282053</v>
      </c>
      <c r="AD16" s="166">
        <f>SeedOrder[[#This Row],[Product Quantity]]*SeedOrder[[#This Row],[Product Cost]]</f>
        <v>18.8</v>
      </c>
      <c r="AG16" s="32" t="b">
        <f>SeedOrder[[#This Row],[Id]]=J15</f>
        <v>0</v>
      </c>
      <c r="AH16" s="37" t="b">
        <f>_xlfn.XLOOKUP(SeedOrder[[#This Row],[Id]],Varieties[Id],Varieties[Organic])</f>
        <v>0</v>
      </c>
      <c r="AI16" t="s">
        <v>2484</v>
      </c>
    </row>
    <row r="17" spans="1:35" ht="15" customHeight="1">
      <c r="A17" t="str">
        <f t="shared" si="0"/>
        <v>Uprising Tulsi</v>
      </c>
      <c r="B17" t="s">
        <v>43</v>
      </c>
      <c r="C17" t="s">
        <v>484</v>
      </c>
      <c r="D17" t="s">
        <v>147</v>
      </c>
      <c r="E17" s="32">
        <v>52</v>
      </c>
      <c r="G17" t="e">
        <f>MATCH(C17&amp;" " &amp;D17,SeedOrder[Id],0)</f>
        <v>#N/A</v>
      </c>
      <c r="I17" s="32">
        <f>MATCH(SeedOrder[[#This Row],[Id]],$A$6:$A$264,)</f>
        <v>52</v>
      </c>
      <c r="J17" t="str">
        <f>SeedOrder[[#This Row],[Company]]&amp; " " &amp; SeedOrder[[#This Row],[Variety]]</f>
        <v>Adaptive New Mama Super Sweet</v>
      </c>
      <c r="K17" t="s">
        <v>325</v>
      </c>
      <c r="L17" t="s">
        <v>488</v>
      </c>
      <c r="M17" t="s">
        <v>2221</v>
      </c>
      <c r="N17" t="s">
        <v>2946</v>
      </c>
      <c r="O17" t="s">
        <v>2946</v>
      </c>
      <c r="P17" s="161">
        <f>_xlfn.XLOOKUP(SeedOrder[[#This Row],[Id]],Varieties[Id],Varieties[Density])</f>
        <v>200</v>
      </c>
      <c r="Q17" s="37" t="str">
        <f>_xlfn.XLOOKUP(SeedOrder[[#This Row],[Id]],Varieties[Id],Varieties[Density Per])</f>
        <v>ozm</v>
      </c>
      <c r="R17" s="171" t="str">
        <f>HYPERLINK(_xlfn.XLOOKUP(SeedOrder[[#This Row],[Id]],Varieties[Id],Varieties[Website]), "Link")</f>
        <v>Link</v>
      </c>
      <c r="S17" s="161">
        <f>GETPIVOTDATA("Seeds",$B$4,"Variety",SeedOrder[[#This Row],[Variety]],"Company",SeedOrder[[#This Row],[Company]])</f>
        <v>520</v>
      </c>
      <c r="T17" s="162">
        <v>4</v>
      </c>
      <c r="U17" s="27" t="s">
        <v>1242</v>
      </c>
      <c r="V17" s="27">
        <v>12</v>
      </c>
      <c r="W17" s="27">
        <v>2</v>
      </c>
      <c r="X17" s="27"/>
      <c r="Y17">
        <f>SeedOrder[[#This Row],[Product Weight]]*SeedOrder[[#This Row],[Product Quantity]]</f>
        <v>8</v>
      </c>
      <c r="Z17" s="164">
        <f>IFERROR(CONVERT(S17/SeedOrder[[#This Row],[Density]],SeedOrder[[#This Row],[Density Per]],"g"),"")</f>
        <v>73.708760125000012</v>
      </c>
      <c r="AA17" s="164">
        <f>IFERROR(CONVERT(S17/SeedOrder[[#This Row],[Density]],SeedOrder[[#This Row],[Density Per]],"ozm"),"")</f>
        <v>2.6000000000000005</v>
      </c>
      <c r="AB17" s="164">
        <f>IFERROR(CONVERT(S17/SeedOrder[[#This Row],[Density]],SeedOrder[[#This Row],[Density Per]],"lbm"),"")</f>
        <v>0.16250000000000003</v>
      </c>
      <c r="AC17" s="165" cm="1">
        <f t="array" ref="AC17">IFERROR(SeedOrder[[#This Row],[Order Weight]]/IF(SeedOrder[[#This Row],[Weight Unit]]="ct",SeedOrder[[#This Row],[Needed]],_xlfn.SWITCH(SeedOrder[[#This Row],[Weight Unit]],"g",SeedOrder[[#This Row],[Needed (g)]],"ozm",SeedOrder[[#This Row],[Needed (ozm)]],"lbm",SeedOrder[[#This Row],[Needed (lbm)]])),"")</f>
        <v>3.0769230769230762</v>
      </c>
      <c r="AD17" s="166">
        <f>SeedOrder[[#This Row],[Product Quantity]]*SeedOrder[[#This Row],[Product Cost]]</f>
        <v>24</v>
      </c>
      <c r="AG17" s="32" t="b">
        <f>SeedOrder[[#This Row],[Id]]=J16</f>
        <v>0</v>
      </c>
      <c r="AH17" s="37" t="b">
        <f>_xlfn.XLOOKUP(SeedOrder[[#This Row],[Id]],Varieties[Id],Varieties[Organic])</f>
        <v>1</v>
      </c>
    </row>
    <row r="18" spans="1:35" ht="15" customHeight="1">
      <c r="A18" t="str">
        <f t="shared" si="0"/>
        <v>Wild Garden Zanzico</v>
      </c>
      <c r="B18" t="s">
        <v>43</v>
      </c>
      <c r="C18" t="s">
        <v>526</v>
      </c>
      <c r="D18" t="s">
        <v>710</v>
      </c>
      <c r="E18" s="32">
        <v>40.625</v>
      </c>
      <c r="G18" t="e">
        <f>MATCH(C18&amp;" " &amp;D18,SeedOrder[Id],0)</f>
        <v>#N/A</v>
      </c>
      <c r="I18" s="32">
        <f>MATCH(SeedOrder[[#This Row],[Id]],$A$6:$A$264,)</f>
        <v>53</v>
      </c>
      <c r="J18" t="str">
        <f>SeedOrder[[#This Row],[Company]]&amp; " " &amp; SeedOrder[[#This Row],[Variety]]</f>
        <v>High Mowing Enchanted F1</v>
      </c>
      <c r="K18" t="s">
        <v>325</v>
      </c>
      <c r="L18" t="s">
        <v>482</v>
      </c>
      <c r="M18" t="s">
        <v>1875</v>
      </c>
      <c r="N18" t="s">
        <v>2946</v>
      </c>
      <c r="O18" t="s">
        <v>2946</v>
      </c>
      <c r="P18" s="161">
        <f>_xlfn.XLOOKUP(SeedOrder[[#This Row],[Id]],Varieties[Id],Varieties[Density])</f>
        <v>170</v>
      </c>
      <c r="Q18" s="37" t="str">
        <f>_xlfn.XLOOKUP(SeedOrder[[#This Row],[Id]],Varieties[Id],Varieties[Density Per])</f>
        <v>ozm</v>
      </c>
      <c r="R18" s="171" t="str">
        <f>HYPERLINK(_xlfn.XLOOKUP(SeedOrder[[#This Row],[Id]],Varieties[Id],Varieties[Website]), "Link")</f>
        <v>Link</v>
      </c>
      <c r="S18" s="161">
        <f>GETPIVOTDATA("Seeds",$B$4,"Variety",SeedOrder[[#This Row],[Variety]],"Company",SeedOrder[[#This Row],[Company]])</f>
        <v>520</v>
      </c>
      <c r="T18" s="162">
        <v>1000</v>
      </c>
      <c r="U18" s="27" t="s">
        <v>1244</v>
      </c>
      <c r="V18" s="27">
        <v>30</v>
      </c>
      <c r="W18" s="27">
        <v>2</v>
      </c>
      <c r="X18" s="27"/>
      <c r="Y18">
        <f>SeedOrder[[#This Row],[Product Weight]]*SeedOrder[[#This Row],[Product Quantity]]</f>
        <v>2000</v>
      </c>
      <c r="Z18" s="164">
        <f>IFERROR(CONVERT(S18/SeedOrder[[#This Row],[Density]],SeedOrder[[#This Row],[Density Per]],"g"),"")</f>
        <v>86.716188382352939</v>
      </c>
      <c r="AA18" s="164">
        <f>IFERROR(CONVERT(S18/SeedOrder[[#This Row],[Density]],SeedOrder[[#This Row],[Density Per]],"ozm"),"")</f>
        <v>3.0588235294117645</v>
      </c>
      <c r="AB18" s="164">
        <f>IFERROR(CONVERT(S18/SeedOrder[[#This Row],[Density]],SeedOrder[[#This Row],[Density Per]],"lbm"),"")</f>
        <v>0.19117647058823528</v>
      </c>
      <c r="AC18" s="165" cm="1">
        <f t="array" ref="AC18">IFERROR(SeedOrder[[#This Row],[Order Weight]]/IF(SeedOrder[[#This Row],[Weight Unit]]="ct",SeedOrder[[#This Row],[Needed]],_xlfn.SWITCH(SeedOrder[[#This Row],[Weight Unit]],"g",SeedOrder[[#This Row],[Needed (g)]],"ozm",SeedOrder[[#This Row],[Needed (ozm)]],"lbm",SeedOrder[[#This Row],[Needed (lbm)]])),"")</f>
        <v>3.8461538461538463</v>
      </c>
      <c r="AD18" s="166">
        <f>SeedOrder[[#This Row],[Product Quantity]]*SeedOrder[[#This Row],[Product Cost]]</f>
        <v>60</v>
      </c>
      <c r="AG18" s="32" t="b">
        <f>SeedOrder[[#This Row],[Id]]=J17</f>
        <v>0</v>
      </c>
      <c r="AH18" s="37" t="b">
        <f>_xlfn.XLOOKUP(SeedOrder[[#This Row],[Id]],Varieties[Id],Varieties[Organic])</f>
        <v>1</v>
      </c>
    </row>
    <row r="19" spans="1:35" ht="15" customHeight="1">
      <c r="A19" t="str">
        <f t="shared" si="0"/>
        <v>High Mowing Dragon Langerie</v>
      </c>
      <c r="B19" t="s">
        <v>44</v>
      </c>
      <c r="C19" t="s">
        <v>482</v>
      </c>
      <c r="D19" t="s">
        <v>2787</v>
      </c>
      <c r="E19" s="32">
        <v>180</v>
      </c>
      <c r="G19" t="e">
        <f>MATCH(C19&amp;" " &amp;D19,SeedOrder[Id],0)</f>
        <v>#N/A</v>
      </c>
      <c r="I19" s="32" t="e">
        <f>MATCH(SeedOrder[[#This Row],[Id]],$A$6:$A$264,)</f>
        <v>#N/A</v>
      </c>
      <c r="J19" t="str">
        <f>SeedOrder[[#This Row],[Company]]&amp; " " &amp; SeedOrder[[#This Row],[Variety]]</f>
        <v>High Mowing Blacktail Mountain</v>
      </c>
      <c r="K19" t="s">
        <v>98</v>
      </c>
      <c r="L19" t="s">
        <v>482</v>
      </c>
      <c r="M19" t="s">
        <v>3066</v>
      </c>
      <c r="N19" t="s">
        <v>2946</v>
      </c>
      <c r="O19" t="s">
        <v>2946</v>
      </c>
      <c r="P19" s="161">
        <f>_xlfn.XLOOKUP(SeedOrder[[#This Row],[Id]],Varieties[Id],Varieties[Density])</f>
        <v>500</v>
      </c>
      <c r="Q19" s="37" t="str">
        <f>_xlfn.XLOOKUP(SeedOrder[[#This Row],[Id]],Varieties[Id],Varieties[Density Per])</f>
        <v>ozm</v>
      </c>
      <c r="R19" s="171" t="str">
        <f>HYPERLINK(_xlfn.XLOOKUP(SeedOrder[[#This Row],[Id]],Varieties[Id],Varieties[Website]), "Link")</f>
        <v>Link</v>
      </c>
      <c r="S19" s="161" t="e">
        <f>GETPIVOTDATA("Seeds",$B$4,"Variety",SeedOrder[[#This Row],[Variety]],"Company",SeedOrder[[#This Row],[Company]])</f>
        <v>#REF!</v>
      </c>
      <c r="T19" s="162">
        <v>0.25</v>
      </c>
      <c r="U19" s="27" t="s">
        <v>1242</v>
      </c>
      <c r="V19" s="27">
        <v>12.55</v>
      </c>
      <c r="W19" s="27">
        <v>1</v>
      </c>
      <c r="X19" s="27"/>
      <c r="Y19">
        <f>SeedOrder[[#This Row],[Product Weight]]*SeedOrder[[#This Row],[Product Quantity]]</f>
        <v>0.25</v>
      </c>
      <c r="Z19" s="164" t="str">
        <f>IFERROR(CONVERT(S19/SeedOrder[[#This Row],[Density]],SeedOrder[[#This Row],[Density Per]],"g"),"")</f>
        <v/>
      </c>
      <c r="AA19" s="164" t="str">
        <f>IFERROR(CONVERT(S19/SeedOrder[[#This Row],[Density]],SeedOrder[[#This Row],[Density Per]],"ozm"),"")</f>
        <v/>
      </c>
      <c r="AB19" s="164" t="str">
        <f>IFERROR(CONVERT(S19/SeedOrder[[#This Row],[Density]],SeedOrder[[#This Row],[Density Per]],"lbm"),"")</f>
        <v/>
      </c>
      <c r="AC19" s="165" t="str" cm="1">
        <f t="array" ref="AC19">IFERROR(SeedOrder[[#This Row],[Order Weight]]/IF(SeedOrder[[#This Row],[Weight Unit]]="ct",SeedOrder[[#This Row],[Needed]],_xlfn.SWITCH(SeedOrder[[#This Row],[Weight Unit]],"g",SeedOrder[[#This Row],[Needed (g)]],"ozm",SeedOrder[[#This Row],[Needed (ozm)]],"lbm",SeedOrder[[#This Row],[Needed (lbm)]])),"")</f>
        <v/>
      </c>
      <c r="AD19" s="166">
        <f>SeedOrder[[#This Row],[Product Quantity]]*SeedOrder[[#This Row],[Product Cost]]</f>
        <v>12.55</v>
      </c>
      <c r="AG19" s="32" t="b">
        <f>SeedOrder[[#This Row],[Id]]=J18</f>
        <v>0</v>
      </c>
      <c r="AH19" s="37" t="b">
        <f>_xlfn.XLOOKUP(SeedOrder[[#This Row],[Id]],Varieties[Id],Varieties[Organic])</f>
        <v>1</v>
      </c>
    </row>
    <row r="20" spans="1:35" ht="15" customHeight="1">
      <c r="A20" t="str">
        <f t="shared" si="0"/>
        <v>High Mowing Rattlesnake</v>
      </c>
      <c r="B20" t="s">
        <v>44</v>
      </c>
      <c r="C20" t="s">
        <v>482</v>
      </c>
      <c r="D20" t="s">
        <v>2786</v>
      </c>
      <c r="E20" s="32">
        <v>180</v>
      </c>
      <c r="G20" t="e">
        <f>MATCH(C20&amp;" " &amp;D20,SeedOrder[Id],0)</f>
        <v>#N/A</v>
      </c>
      <c r="I20" s="32" t="e">
        <f>MATCH(SeedOrder[[#This Row],[Id]],$A$6:$A$264,)</f>
        <v>#N/A</v>
      </c>
      <c r="J20" t="str">
        <f>SeedOrder[[#This Row],[Company]]&amp; " " &amp; SeedOrder[[#This Row],[Variety]]</f>
        <v>Johnny's Mini Love</v>
      </c>
      <c r="K20" t="s">
        <v>98</v>
      </c>
      <c r="L20" t="s">
        <v>490</v>
      </c>
      <c r="M20" t="s">
        <v>3065</v>
      </c>
      <c r="N20" t="s">
        <v>2946</v>
      </c>
      <c r="O20" t="s">
        <v>2946</v>
      </c>
      <c r="P20" s="161">
        <f>_xlfn.XLOOKUP(SeedOrder[[#This Row],[Id]],Varieties[Id],Varieties[Density])</f>
        <v>6800</v>
      </c>
      <c r="Q20" s="37" t="str">
        <f>_xlfn.XLOOKUP(SeedOrder[[#This Row],[Id]],Varieties[Id],Varieties[Density Per])</f>
        <v>lbm</v>
      </c>
      <c r="R20" s="171" t="str">
        <f>HYPERLINK(_xlfn.XLOOKUP(SeedOrder[[#This Row],[Id]],Varieties[Id],Varieties[Website]), "Link")</f>
        <v>Link</v>
      </c>
      <c r="S20" s="161" t="e">
        <f>GETPIVOTDATA("Seeds",$B$4,"Variety",SeedOrder[[#This Row],[Variety]],"Company",SeedOrder[[#This Row],[Company]])</f>
        <v>#REF!</v>
      </c>
      <c r="T20" s="162">
        <v>100</v>
      </c>
      <c r="U20" s="27" t="s">
        <v>1244</v>
      </c>
      <c r="V20" s="27">
        <v>38</v>
      </c>
      <c r="W20" s="27">
        <v>1</v>
      </c>
      <c r="X20" s="27"/>
      <c r="Y20">
        <f>SeedOrder[[#This Row],[Product Weight]]*SeedOrder[[#This Row],[Product Quantity]]</f>
        <v>100</v>
      </c>
      <c r="Z20" s="164" t="str">
        <f>IFERROR(CONVERT(S20/SeedOrder[[#This Row],[Density]],SeedOrder[[#This Row],[Density Per]],"g"),"")</f>
        <v/>
      </c>
      <c r="AA20" s="164" t="str">
        <f>IFERROR(CONVERT(S20/SeedOrder[[#This Row],[Density]],SeedOrder[[#This Row],[Density Per]],"ozm"),"")</f>
        <v/>
      </c>
      <c r="AB20" s="164" t="str">
        <f>IFERROR(CONVERT(S20/SeedOrder[[#This Row],[Density]],SeedOrder[[#This Row],[Density Per]],"lbm"),"")</f>
        <v/>
      </c>
      <c r="AC20" s="165" t="str" cm="1">
        <f t="array" ref="AC20">IFERROR(SeedOrder[[#This Row],[Order Weight]]/IF(SeedOrder[[#This Row],[Weight Unit]]="ct",SeedOrder[[#This Row],[Needed]],_xlfn.SWITCH(SeedOrder[[#This Row],[Weight Unit]],"g",SeedOrder[[#This Row],[Needed (g)]],"ozm",SeedOrder[[#This Row],[Needed (ozm)]],"lbm",SeedOrder[[#This Row],[Needed (lbm)]])),"")</f>
        <v/>
      </c>
      <c r="AD20" s="166">
        <f>SeedOrder[[#This Row],[Product Quantity]]*SeedOrder[[#This Row],[Product Cost]]</f>
        <v>38</v>
      </c>
      <c r="AG20" s="32" t="b">
        <f>SeedOrder[[#This Row],[Id]]=J19</f>
        <v>0</v>
      </c>
      <c r="AH20" s="37" t="b">
        <f>_xlfn.XLOOKUP(SeedOrder[[#This Row],[Id]],Varieties[Id],Varieties[Organic])</f>
        <v>1</v>
      </c>
    </row>
    <row r="21" spans="1:35" ht="15" customHeight="1">
      <c r="A21" t="str">
        <f t="shared" si="0"/>
        <v>Johnny's Northeaster</v>
      </c>
      <c r="B21" t="s">
        <v>44</v>
      </c>
      <c r="C21" t="s">
        <v>490</v>
      </c>
      <c r="D21" t="s">
        <v>2256</v>
      </c>
      <c r="E21" s="32">
        <v>180</v>
      </c>
      <c r="G21" t="e">
        <f>MATCH(C21&amp;" " &amp;D21,SeedOrder[Id],0)</f>
        <v>#N/A</v>
      </c>
      <c r="I21" s="32">
        <f>MATCH(SeedOrder[[#This Row],[Id]],$A$6:$A$264,)</f>
        <v>136</v>
      </c>
      <c r="J21" t="str">
        <f>SeedOrder[[#This Row],[Company]]&amp; " " &amp; SeedOrder[[#This Row],[Variety]]</f>
        <v>High Mowing Red Kuri</v>
      </c>
      <c r="K21" t="s">
        <v>124</v>
      </c>
      <c r="L21" t="s">
        <v>482</v>
      </c>
      <c r="M21" t="s">
        <v>1938</v>
      </c>
      <c r="N21" t="s">
        <v>2946</v>
      </c>
      <c r="O21" t="s">
        <v>2946</v>
      </c>
      <c r="P21" s="161">
        <f>_xlfn.XLOOKUP(SeedOrder[[#This Row],[Id]],Varieties[Id],Varieties[Density])</f>
        <v>90</v>
      </c>
      <c r="Q21" s="37" t="str">
        <f>_xlfn.XLOOKUP(SeedOrder[[#This Row],[Id]],Varieties[Id],Varieties[Density Per])</f>
        <v>ozm</v>
      </c>
      <c r="R21" s="171" t="str">
        <f>HYPERLINK(_xlfn.XLOOKUP(SeedOrder[[#This Row],[Id]],Varieties[Id],Varieties[Website]), "Link")</f>
        <v>Link</v>
      </c>
      <c r="S21" s="161">
        <f>GETPIVOTDATA("Seeds",$B$4,"Variety",SeedOrder[[#This Row],[Variety]],"Company",SeedOrder[[#This Row],[Company]])</f>
        <v>86.666666666666657</v>
      </c>
      <c r="T21" s="162">
        <v>2</v>
      </c>
      <c r="U21" s="27" t="s">
        <v>1242</v>
      </c>
      <c r="V21" s="27">
        <v>20.25</v>
      </c>
      <c r="W21" s="27">
        <v>1</v>
      </c>
      <c r="X21" s="27"/>
      <c r="Y21">
        <f>SeedOrder[[#This Row],[Product Weight]]*SeedOrder[[#This Row],[Product Quantity]]</f>
        <v>2</v>
      </c>
      <c r="Z21" s="164">
        <f>IFERROR(CONVERT(S21/SeedOrder[[#This Row],[Density]],SeedOrder[[#This Row],[Density Per]],"g"),"")</f>
        <v>27.299540787037035</v>
      </c>
      <c r="AA21" s="164">
        <f>IFERROR(CONVERT(S21/SeedOrder[[#This Row],[Density]],SeedOrder[[#This Row],[Density Per]],"ozm"),"")</f>
        <v>0.96296296296296291</v>
      </c>
      <c r="AB21" s="164">
        <f>IFERROR(CONVERT(S21/SeedOrder[[#This Row],[Density]],SeedOrder[[#This Row],[Density Per]],"lbm"),"")</f>
        <v>6.0185185185185182E-2</v>
      </c>
      <c r="AC21" s="165" cm="1">
        <f t="array" ref="AC21">IFERROR(SeedOrder[[#This Row],[Order Weight]]/IF(SeedOrder[[#This Row],[Weight Unit]]="ct",SeedOrder[[#This Row],[Needed]],_xlfn.SWITCH(SeedOrder[[#This Row],[Weight Unit]],"g",SeedOrder[[#This Row],[Needed (g)]],"ozm",SeedOrder[[#This Row],[Needed (ozm)]],"lbm",SeedOrder[[#This Row],[Needed (lbm)]])),"")</f>
        <v>2.0769230769230771</v>
      </c>
      <c r="AD21" s="166">
        <f>SeedOrder[[#This Row],[Product Quantity]]*SeedOrder[[#This Row],[Product Cost]]</f>
        <v>20.25</v>
      </c>
      <c r="AE21" t="s">
        <v>3100</v>
      </c>
      <c r="AG21" s="32" t="b">
        <f>SeedOrder[[#This Row],[Id]]=J20</f>
        <v>0</v>
      </c>
      <c r="AH21" s="37" t="b">
        <f>_xlfn.XLOOKUP(SeedOrder[[#This Row],[Id]],Varieties[Id],Varieties[Organic])</f>
        <v>1</v>
      </c>
    </row>
    <row r="22" spans="1:35" ht="15" customHeight="1">
      <c r="A22" t="str">
        <f t="shared" si="0"/>
        <v>Uprising Marvel of Venice</v>
      </c>
      <c r="B22" t="s">
        <v>44</v>
      </c>
      <c r="C22" t="s">
        <v>484</v>
      </c>
      <c r="D22" t="s">
        <v>2784</v>
      </c>
      <c r="E22" s="32">
        <v>180</v>
      </c>
      <c r="G22" t="e">
        <f>MATCH(C22&amp;" " &amp;D22,SeedOrder[Id],0)</f>
        <v>#N/A</v>
      </c>
      <c r="I22" s="32">
        <f>MATCH(SeedOrder[[#This Row],[Id]],$A$6:$A$264,)</f>
        <v>138</v>
      </c>
      <c r="J22" t="str">
        <f>SeedOrder[[#This Row],[Company]]&amp; " " &amp; SeedOrder[[#This Row],[Variety]]</f>
        <v>Johnny's Mambo</v>
      </c>
      <c r="K22" t="s">
        <v>124</v>
      </c>
      <c r="L22" t="s">
        <v>490</v>
      </c>
      <c r="M22" t="s">
        <v>2838</v>
      </c>
      <c r="N22" t="s">
        <v>2946</v>
      </c>
      <c r="O22" t="s">
        <v>2946</v>
      </c>
      <c r="P22" s="161">
        <f>_xlfn.XLOOKUP(SeedOrder[[#This Row],[Id]],Varieties[Id],Varieties[Density])</f>
        <v>2100</v>
      </c>
      <c r="Q22" s="37" t="str">
        <f>_xlfn.XLOOKUP(SeedOrder[[#This Row],[Id]],Varieties[Id],Varieties[Density Per])</f>
        <v>lbm</v>
      </c>
      <c r="R22" s="171" t="str">
        <f>HYPERLINK(_xlfn.XLOOKUP(SeedOrder[[#This Row],[Id]],Varieties[Id],Varieties[Website]), "Link")</f>
        <v>Link</v>
      </c>
      <c r="S22" s="161">
        <f>GETPIVOTDATA("Seeds",$B$4,"Variety",SeedOrder[[#This Row],[Variety]],"Company",SeedOrder[[#This Row],[Company]])</f>
        <v>86.666666666666657</v>
      </c>
      <c r="T22" s="162">
        <v>100</v>
      </c>
      <c r="U22" s="27" t="s">
        <v>1244</v>
      </c>
      <c r="V22" s="163">
        <v>19.45</v>
      </c>
      <c r="W22" s="27">
        <v>1</v>
      </c>
      <c r="X22" s="27"/>
      <c r="Y22">
        <f>SeedOrder[[#This Row],[Product Weight]]*SeedOrder[[#This Row],[Product Quantity]]</f>
        <v>100</v>
      </c>
      <c r="Z22" s="164">
        <f>IFERROR(CONVERT(S22/SeedOrder[[#This Row],[Density]],SeedOrder[[#This Row],[Density Per]],"g"),"")</f>
        <v>18.719685111111108</v>
      </c>
      <c r="AA22" s="164">
        <f>IFERROR(CONVERT(S22/SeedOrder[[#This Row],[Density]],SeedOrder[[#This Row],[Density Per]],"ozm"),"")</f>
        <v>0.66031746031746019</v>
      </c>
      <c r="AB22" s="164">
        <f>IFERROR(CONVERT(S22/SeedOrder[[#This Row],[Density]],SeedOrder[[#This Row],[Density Per]],"lbm"),"")</f>
        <v>4.1269841269841262E-2</v>
      </c>
      <c r="AC22" s="165" cm="1">
        <f t="array" ref="AC22">IFERROR(SeedOrder[[#This Row],[Order Weight]]/IF(SeedOrder[[#This Row],[Weight Unit]]="ct",SeedOrder[[#This Row],[Needed]],_xlfn.SWITCH(SeedOrder[[#This Row],[Weight Unit]],"g",SeedOrder[[#This Row],[Needed (g)]],"ozm",SeedOrder[[#This Row],[Needed (ozm)]],"lbm",SeedOrder[[#This Row],[Needed (lbm)]])),"")</f>
        <v>1.153846153846154</v>
      </c>
      <c r="AD22" s="166">
        <f>SeedOrder[[#This Row],[Product Quantity]]*SeedOrder[[#This Row],[Product Cost]]</f>
        <v>19.45</v>
      </c>
      <c r="AG22" s="32" t="b">
        <f>SeedOrder[[#This Row],[Id]]=J21</f>
        <v>0</v>
      </c>
      <c r="AH22" s="37" t="b">
        <f>_xlfn.XLOOKUP(SeedOrder[[#This Row],[Id]],Varieties[Id],Varieties[Organic])</f>
        <v>1</v>
      </c>
    </row>
    <row r="23" spans="1:35" ht="15" customHeight="1">
      <c r="A23" t="str">
        <f t="shared" si="0"/>
        <v>Uprising Fortex</v>
      </c>
      <c r="B23" t="s">
        <v>44</v>
      </c>
      <c r="C23" t="s">
        <v>484</v>
      </c>
      <c r="D23" t="s">
        <v>2785</v>
      </c>
      <c r="E23" s="32">
        <v>180</v>
      </c>
      <c r="G23" t="e">
        <f>MATCH(C23&amp;" " &amp;D23,SeedOrder[Id],0)</f>
        <v>#N/A</v>
      </c>
      <c r="I23" s="32">
        <f>MATCH(SeedOrder[[#This Row],[Id]],$A$6:$A$264,)</f>
        <v>137</v>
      </c>
      <c r="J23" t="str">
        <f>SeedOrder[[#This Row],[Company]]&amp; " " &amp; SeedOrder[[#This Row],[Variety]]</f>
        <v>Johnny's Sunshine</v>
      </c>
      <c r="K23" t="s">
        <v>124</v>
      </c>
      <c r="L23" t="s">
        <v>490</v>
      </c>
      <c r="M23" t="s">
        <v>2837</v>
      </c>
      <c r="N23" t="s">
        <v>2946</v>
      </c>
      <c r="O23" t="s">
        <v>2946</v>
      </c>
      <c r="P23" s="161">
        <f>_xlfn.XLOOKUP(SeedOrder[[#This Row],[Id]],Varieties[Id],Varieties[Density])</f>
        <v>3000</v>
      </c>
      <c r="Q23" s="37" t="str">
        <f>_xlfn.XLOOKUP(SeedOrder[[#This Row],[Id]],Varieties[Id],Varieties[Density Per])</f>
        <v>lbm</v>
      </c>
      <c r="R23" s="171" t="str">
        <f>HYPERLINK(_xlfn.XLOOKUP(SeedOrder[[#This Row],[Id]],Varieties[Id],Varieties[Website]), "Link")</f>
        <v>Link</v>
      </c>
      <c r="S23" s="161">
        <f>GETPIVOTDATA("Seeds",$B$4,"Variety",SeedOrder[[#This Row],[Variety]],"Company",SeedOrder[[#This Row],[Company]])</f>
        <v>86.666666666666657</v>
      </c>
      <c r="T23" s="162">
        <v>100</v>
      </c>
      <c r="U23" s="27" t="s">
        <v>1244</v>
      </c>
      <c r="V23" s="163">
        <v>22.25</v>
      </c>
      <c r="W23" s="27">
        <v>1</v>
      </c>
      <c r="X23" s="27"/>
      <c r="Y23">
        <f>SeedOrder[[#This Row],[Product Weight]]*SeedOrder[[#This Row],[Product Quantity]]</f>
        <v>100</v>
      </c>
      <c r="Z23" s="164">
        <f>IFERROR(CONVERT(S23/SeedOrder[[#This Row],[Density]],SeedOrder[[#This Row],[Density Per]],"g"),"")</f>
        <v>13.103779577777775</v>
      </c>
      <c r="AA23" s="164">
        <f>IFERROR(CONVERT(S23/SeedOrder[[#This Row],[Density]],SeedOrder[[#This Row],[Density Per]],"ozm"),"")</f>
        <v>0.46222222222222209</v>
      </c>
      <c r="AB23" s="164">
        <f>IFERROR(CONVERT(S23/SeedOrder[[#This Row],[Density]],SeedOrder[[#This Row],[Density Per]],"lbm"),"")</f>
        <v>2.8888888888888881E-2</v>
      </c>
      <c r="AC23" s="165" cm="1">
        <f t="array" ref="AC23">IFERROR(SeedOrder[[#This Row],[Order Weight]]/IF(SeedOrder[[#This Row],[Weight Unit]]="ct",SeedOrder[[#This Row],[Needed]],_xlfn.SWITCH(SeedOrder[[#This Row],[Weight Unit]],"g",SeedOrder[[#This Row],[Needed (g)]],"ozm",SeedOrder[[#This Row],[Needed (ozm)]],"lbm",SeedOrder[[#This Row],[Needed (lbm)]])),"")</f>
        <v>1.153846153846154</v>
      </c>
      <c r="AD23" s="166">
        <f>SeedOrder[[#This Row],[Product Quantity]]*SeedOrder[[#This Row],[Product Cost]]</f>
        <v>22.25</v>
      </c>
      <c r="AG23" s="32" t="b">
        <f>SeedOrder[[#This Row],[Id]]=J22</f>
        <v>0</v>
      </c>
      <c r="AH23" s="37" t="b">
        <f>_xlfn.XLOOKUP(SeedOrder[[#This Row],[Id]],Varieties[Id],Varieties[Organic])</f>
        <v>1</v>
      </c>
    </row>
    <row r="24" spans="1:35" ht="15" customHeight="1">
      <c r="A24" t="str">
        <f t="shared" si="0"/>
        <v>Adaptive Chiogga</v>
      </c>
      <c r="B24" t="s">
        <v>46</v>
      </c>
      <c r="C24" t="s">
        <v>488</v>
      </c>
      <c r="D24" t="s">
        <v>598</v>
      </c>
      <c r="E24" s="32">
        <v>660</v>
      </c>
      <c r="G24">
        <f>MATCH(C24&amp;" " &amp;D24,SeedOrder[Id],0)</f>
        <v>1</v>
      </c>
      <c r="I24" s="32">
        <f>MATCH(SeedOrder[[#This Row],[Id]],$A$6:$A$264,)</f>
        <v>139</v>
      </c>
      <c r="J24" t="str">
        <f>SeedOrder[[#This Row],[Company]]&amp; " " &amp; SeedOrder[[#This Row],[Variety]]</f>
        <v>Territorial Neon</v>
      </c>
      <c r="K24" t="s">
        <v>124</v>
      </c>
      <c r="L24" t="s">
        <v>533</v>
      </c>
      <c r="M24" t="s">
        <v>2839</v>
      </c>
      <c r="N24" t="s">
        <v>2946</v>
      </c>
      <c r="O24" t="s">
        <v>2946</v>
      </c>
      <c r="P24" s="161">
        <f>_xlfn.XLOOKUP(SeedOrder[[#This Row],[Id]],Varieties[Id],Varieties[Density])</f>
        <v>5</v>
      </c>
      <c r="Q24" s="37" t="str">
        <f>_xlfn.XLOOKUP(SeedOrder[[#This Row],[Id]],Varieties[Id],Varieties[Density Per])</f>
        <v>g</v>
      </c>
      <c r="R24" s="171" t="str">
        <f>HYPERLINK(_xlfn.XLOOKUP(SeedOrder[[#This Row],[Id]],Varieties[Id],Varieties[Website]), "Link")</f>
        <v>Link</v>
      </c>
      <c r="S24" s="161">
        <f>GETPIVOTDATA("Seeds",$B$4,"Variety",SeedOrder[[#This Row],[Variety]],"Company",SeedOrder[[#This Row],[Company]])</f>
        <v>86.666666666666657</v>
      </c>
      <c r="T24" s="162">
        <v>7</v>
      </c>
      <c r="U24" s="27" t="s">
        <v>1243</v>
      </c>
      <c r="V24" s="163">
        <v>8.9499999999999993</v>
      </c>
      <c r="W24" s="27">
        <v>1</v>
      </c>
      <c r="X24" s="27"/>
      <c r="Y24">
        <f>SeedOrder[[#This Row],[Product Weight]]*SeedOrder[[#This Row],[Product Quantity]]</f>
        <v>7</v>
      </c>
      <c r="Z24" s="164">
        <f>IFERROR(CONVERT(S24/SeedOrder[[#This Row],[Density]],SeedOrder[[#This Row],[Density Per]],"g"),"")</f>
        <v>17.333333333333332</v>
      </c>
      <c r="AA24" s="164">
        <f>IFERROR(CONVERT(S24/SeedOrder[[#This Row],[Density]],SeedOrder[[#This Row],[Density Per]],"ozm"),"")</f>
        <v>0.61141534045939372</v>
      </c>
      <c r="AB24" s="164">
        <f>IFERROR(CONVERT(S24/SeedOrder[[#This Row],[Density]],SeedOrder[[#This Row],[Density Per]],"lbm"),"")</f>
        <v>3.8213458778712107E-2</v>
      </c>
      <c r="AC24" s="165" cm="1">
        <f t="array" ref="AC24">IFERROR(SeedOrder[[#This Row],[Order Weight]]/IF(SeedOrder[[#This Row],[Weight Unit]]="ct",SeedOrder[[#This Row],[Needed]],_xlfn.SWITCH(SeedOrder[[#This Row],[Weight Unit]],"g",SeedOrder[[#This Row],[Needed (g)]],"ozm",SeedOrder[[#This Row],[Needed (ozm)]],"lbm",SeedOrder[[#This Row],[Needed (lbm)]])),"")</f>
        <v>0.40384615384615385</v>
      </c>
      <c r="AD24" s="166">
        <f>SeedOrder[[#This Row],[Product Quantity]]*SeedOrder[[#This Row],[Product Cost]]</f>
        <v>8.9499999999999993</v>
      </c>
      <c r="AE24" t="s">
        <v>2951</v>
      </c>
      <c r="AG24" s="32" t="b">
        <f>SeedOrder[[#This Row],[Id]]=J23</f>
        <v>0</v>
      </c>
      <c r="AH24" s="37" t="b">
        <f>_xlfn.XLOOKUP(SeedOrder[[#This Row],[Id]],Varieties[Id],Varieties[Organic])</f>
        <v>0</v>
      </c>
      <c r="AI24" t="s">
        <v>2484</v>
      </c>
    </row>
    <row r="25" spans="1:35" ht="15" customHeight="1">
      <c r="A25" t="str">
        <f t="shared" si="0"/>
        <v>High Mowing Badger Flame</v>
      </c>
      <c r="B25" t="s">
        <v>46</v>
      </c>
      <c r="C25" t="s">
        <v>482</v>
      </c>
      <c r="D25" t="s">
        <v>601</v>
      </c>
      <c r="E25" s="32">
        <v>660</v>
      </c>
      <c r="G25">
        <f>MATCH(C25&amp;" " &amp;D25,SeedOrder[Id],0)</f>
        <v>2</v>
      </c>
      <c r="I25" s="32">
        <f>MATCH(SeedOrder[[#This Row],[Id]],$A$6:$A$264,)</f>
        <v>140</v>
      </c>
      <c r="J25" t="str">
        <f>SeedOrder[[#This Row],[Company]]&amp; " " &amp; SeedOrder[[#This Row],[Variety]]</f>
        <v>High Mowing Costata Romanesco</v>
      </c>
      <c r="K25" t="s">
        <v>128</v>
      </c>
      <c r="L25" t="s">
        <v>482</v>
      </c>
      <c r="M25" t="s">
        <v>1378</v>
      </c>
      <c r="N25" t="s">
        <v>2946</v>
      </c>
      <c r="O25" t="s">
        <v>2946</v>
      </c>
      <c r="P25" s="161">
        <f>_xlfn.XLOOKUP(SeedOrder[[#This Row],[Id]],Varieties[Id],Varieties[Density])</f>
        <v>185</v>
      </c>
      <c r="Q25" s="37" t="str">
        <f>_xlfn.XLOOKUP(SeedOrder[[#This Row],[Id]],Varieties[Id],Varieties[Density Per])</f>
        <v>ozm</v>
      </c>
      <c r="R25" s="171" t="str">
        <f>HYPERLINK(_xlfn.XLOOKUP(SeedOrder[[#This Row],[Id]],Varieties[Id],Varieties[Website]), "Link")</f>
        <v>Link</v>
      </c>
      <c r="S25" s="161">
        <f>GETPIVOTDATA("Seeds",$B$4,"Variety",SeedOrder[[#This Row],[Variety]],"Company",SeedOrder[[#This Row],[Company]])</f>
        <v>10.833333333333332</v>
      </c>
      <c r="T25" s="162">
        <v>0.5</v>
      </c>
      <c r="U25" s="27" t="s">
        <v>1242</v>
      </c>
      <c r="V25" s="27">
        <v>1</v>
      </c>
      <c r="W25" s="27">
        <v>1</v>
      </c>
      <c r="X25" s="27"/>
      <c r="Y25">
        <f>SeedOrder[[#This Row],[Product Weight]]*SeedOrder[[#This Row],[Product Quantity]]</f>
        <v>0.5</v>
      </c>
      <c r="Z25" s="164">
        <f>IFERROR(CONVERT(S25/SeedOrder[[#This Row],[Density]],SeedOrder[[#This Row],[Density Per]],"g"),"")</f>
        <v>1.6601072100225223</v>
      </c>
      <c r="AA25" s="164">
        <f>IFERROR(CONVERT(S25/SeedOrder[[#This Row],[Density]],SeedOrder[[#This Row],[Density Per]],"ozm"),"")</f>
        <v>5.855855855855855E-2</v>
      </c>
      <c r="AB25" s="164">
        <f>IFERROR(CONVERT(S25/SeedOrder[[#This Row],[Density]],SeedOrder[[#This Row],[Density Per]],"lbm"),"")</f>
        <v>3.6599099099099094E-3</v>
      </c>
      <c r="AC25" s="165" cm="1">
        <f t="array" ref="AC25">IFERROR(SeedOrder[[#This Row],[Order Weight]]/IF(SeedOrder[[#This Row],[Weight Unit]]="ct",SeedOrder[[#This Row],[Needed]],_xlfn.SWITCH(SeedOrder[[#This Row],[Weight Unit]],"g",SeedOrder[[#This Row],[Needed (g)]],"ozm",SeedOrder[[#This Row],[Needed (ozm)]],"lbm",SeedOrder[[#This Row],[Needed (lbm)]])),"")</f>
        <v>8.5384615384615401</v>
      </c>
      <c r="AD25" s="166">
        <f>SeedOrder[[#This Row],[Product Quantity]]*SeedOrder[[#This Row],[Product Cost]]</f>
        <v>1</v>
      </c>
      <c r="AG25" s="32" t="b">
        <f>SeedOrder[[#This Row],[Id]]=J24</f>
        <v>0</v>
      </c>
      <c r="AH25" s="37" t="b">
        <f>_xlfn.XLOOKUP(SeedOrder[[#This Row],[Id]],Varieties[Id],Varieties[Organic])</f>
        <v>1</v>
      </c>
    </row>
    <row r="26" spans="1:35" ht="15" customHeight="1">
      <c r="A26" t="str">
        <f t="shared" si="0"/>
        <v>High Mowing Boro F1</v>
      </c>
      <c r="B26" t="s">
        <v>46</v>
      </c>
      <c r="C26" t="s">
        <v>482</v>
      </c>
      <c r="D26" t="s">
        <v>763</v>
      </c>
      <c r="E26" s="32">
        <v>660</v>
      </c>
      <c r="G26">
        <f>MATCH(C26&amp;" " &amp;D26,SeedOrder[Id],0)</f>
        <v>3</v>
      </c>
      <c r="I26" s="32">
        <f>MATCH(SeedOrder[[#This Row],[Id]],$A$6:$A$264,)</f>
        <v>141</v>
      </c>
      <c r="J26" t="str">
        <f>SeedOrder[[#This Row],[Company]]&amp; " " &amp; SeedOrder[[#This Row],[Variety]]</f>
        <v>High Mowing Dunja F1</v>
      </c>
      <c r="K26" t="s">
        <v>128</v>
      </c>
      <c r="L26" t="s">
        <v>482</v>
      </c>
      <c r="M26" t="s">
        <v>1941</v>
      </c>
      <c r="P26" s="161">
        <f>_xlfn.XLOOKUP(SeedOrder[[#This Row],[Id]],Varieties[Id],Varieties[Density])</f>
        <v>3950</v>
      </c>
      <c r="Q26" s="37" t="str">
        <f>_xlfn.XLOOKUP(SeedOrder[[#This Row],[Id]],Varieties[Id],Varieties[Density Per])</f>
        <v>lbm</v>
      </c>
      <c r="R26" s="171" t="str">
        <f>HYPERLINK(_xlfn.XLOOKUP(SeedOrder[[#This Row],[Id]],Varieties[Id],Varieties[Website]), "Link")</f>
        <v>Link</v>
      </c>
      <c r="S26" s="161">
        <f>GETPIVOTDATA("Seeds",$B$4,"Variety",SeedOrder[[#This Row],[Variety]],"Company",SeedOrder[[#This Row],[Company]])</f>
        <v>10.833333333333332</v>
      </c>
      <c r="T26" s="162"/>
      <c r="U26" s="27"/>
      <c r="V26" s="163"/>
      <c r="W26" s="27">
        <v>1</v>
      </c>
      <c r="X26" s="27"/>
      <c r="Y26">
        <f>SeedOrder[[#This Row],[Product Weight]]*SeedOrder[[#This Row],[Product Quantity]]</f>
        <v>0</v>
      </c>
      <c r="Z26" s="164">
        <f>IFERROR(CONVERT(S26/SeedOrder[[#This Row],[Density]],SeedOrder[[#This Row],[Density Per]],"g"),"")</f>
        <v>1.2440297067510548</v>
      </c>
      <c r="AA26" s="164">
        <f>IFERROR(CONVERT(S26/SeedOrder[[#This Row],[Density]],SeedOrder[[#This Row],[Density Per]],"ozm"),"")</f>
        <v>4.3881856540084384E-2</v>
      </c>
      <c r="AB26" s="164">
        <f>IFERROR(CONVERT(S26/SeedOrder[[#This Row],[Density]],SeedOrder[[#This Row],[Density Per]],"lbm"),"")</f>
        <v>2.742616033755274E-3</v>
      </c>
      <c r="AC26" s="165" t="str" cm="1">
        <f t="array" ref="AC26">IFERROR(SeedOrder[[#This Row],[Order Weight]]/IF(SeedOrder[[#This Row],[Weight Unit]]="ct",SeedOrder[[#This Row],[Needed]],_xlfn.SWITCH(SeedOrder[[#This Row],[Weight Unit]],"g",SeedOrder[[#This Row],[Needed (g)]],"ozm",SeedOrder[[#This Row],[Needed (ozm)]],"lbm",SeedOrder[[#This Row],[Needed (lbm)]])),"")</f>
        <v/>
      </c>
      <c r="AD26" s="166">
        <f>SeedOrder[[#This Row],[Product Quantity]]*SeedOrder[[#This Row],[Product Cost]]</f>
        <v>0</v>
      </c>
      <c r="AE26" t="s">
        <v>2951</v>
      </c>
      <c r="AG26" s="32" t="b">
        <f>SeedOrder[[#This Row],[Id]]=J25</f>
        <v>0</v>
      </c>
      <c r="AH26" s="37" t="b">
        <f>_xlfn.XLOOKUP(SeedOrder[[#This Row],[Id]],Varieties[Id],Varieties[Organic])</f>
        <v>1</v>
      </c>
    </row>
    <row r="27" spans="1:35" ht="15" customHeight="1">
      <c r="A27" t="str">
        <f t="shared" si="0"/>
        <v>Johnny's Burgundy</v>
      </c>
      <c r="B27" t="s">
        <v>49</v>
      </c>
      <c r="C27" t="s">
        <v>490</v>
      </c>
      <c r="D27" t="s">
        <v>2854</v>
      </c>
      <c r="E27" s="32">
        <v>69.333333333333329</v>
      </c>
      <c r="G27" t="e">
        <f>MATCH(C27&amp;" " &amp;D27,SeedOrder[Id],0)</f>
        <v>#N/A</v>
      </c>
      <c r="I27" s="32">
        <f>MATCH(SeedOrder[[#This Row],[Id]],$A$6:$A$264,)</f>
        <v>143</v>
      </c>
      <c r="J27" t="str">
        <f>SeedOrder[[#This Row],[Company]]&amp; " " &amp; SeedOrder[[#This Row],[Variety]]</f>
        <v>Johnny's Y-Star</v>
      </c>
      <c r="K27" t="s">
        <v>128</v>
      </c>
      <c r="L27" t="s">
        <v>490</v>
      </c>
      <c r="M27" t="s">
        <v>2835</v>
      </c>
      <c r="P27" s="161">
        <f>_xlfn.XLOOKUP(SeedOrder[[#This Row],[Id]],Varieties[Id],Varieties[Density])</f>
        <v>5700</v>
      </c>
      <c r="Q27" s="37" t="str">
        <f>_xlfn.XLOOKUP(SeedOrder[[#This Row],[Id]],Varieties[Id],Varieties[Density Per])</f>
        <v>lbm</v>
      </c>
      <c r="R27" s="171" t="str">
        <f>HYPERLINK(_xlfn.XLOOKUP(SeedOrder[[#This Row],[Id]],Varieties[Id],Varieties[Website]), "Link")</f>
        <v>Link</v>
      </c>
      <c r="S27" s="161">
        <f>GETPIVOTDATA("Seeds",$B$4,"Variety",SeedOrder[[#This Row],[Variety]],"Company",SeedOrder[[#This Row],[Company]])</f>
        <v>10.833333333333332</v>
      </c>
      <c r="T27" s="162"/>
      <c r="U27" s="27"/>
      <c r="V27" s="163"/>
      <c r="W27" s="27">
        <v>1</v>
      </c>
      <c r="X27" s="27"/>
      <c r="Y27">
        <f>SeedOrder[[#This Row],[Product Weight]]*SeedOrder[[#This Row],[Product Quantity]]</f>
        <v>0</v>
      </c>
      <c r="Z27" s="164">
        <f>IFERROR(CONVERT(S27/SeedOrder[[#This Row],[Density]],SeedOrder[[#This Row],[Density Per]],"g"),"")</f>
        <v>0.86209076169590637</v>
      </c>
      <c r="AA27" s="164">
        <f>IFERROR(CONVERT(S27/SeedOrder[[#This Row],[Density]],SeedOrder[[#This Row],[Density Per]],"ozm"),"")</f>
        <v>3.0409356725146195E-2</v>
      </c>
      <c r="AB27" s="164">
        <f>IFERROR(CONVERT(S27/SeedOrder[[#This Row],[Density]],SeedOrder[[#This Row],[Density Per]],"lbm"),"")</f>
        <v>1.9005847953216372E-3</v>
      </c>
      <c r="AC27" s="165" t="str" cm="1">
        <f t="array" ref="AC27">IFERROR(SeedOrder[[#This Row],[Order Weight]]/IF(SeedOrder[[#This Row],[Weight Unit]]="ct",SeedOrder[[#This Row],[Needed]],_xlfn.SWITCH(SeedOrder[[#This Row],[Weight Unit]],"g",SeedOrder[[#This Row],[Needed (g)]],"ozm",SeedOrder[[#This Row],[Needed (ozm)]],"lbm",SeedOrder[[#This Row],[Needed (lbm)]])),"")</f>
        <v/>
      </c>
      <c r="AD27" s="166">
        <f>SeedOrder[[#This Row],[Product Quantity]]*SeedOrder[[#This Row],[Product Cost]]</f>
        <v>0</v>
      </c>
      <c r="AE27" t="s">
        <v>2951</v>
      </c>
      <c r="AG27" s="32" t="b">
        <f>SeedOrder[[#This Row],[Id]]=J26</f>
        <v>0</v>
      </c>
      <c r="AH27" s="37" t="b">
        <f>_xlfn.XLOOKUP(SeedOrder[[#This Row],[Id]],Varieties[Id],Varieties[Organic])</f>
        <v>1</v>
      </c>
    </row>
    <row r="28" spans="1:35" ht="15" customHeight="1">
      <c r="A28" t="str">
        <f t="shared" si="0"/>
        <v>Osborne Montebello</v>
      </c>
      <c r="B28" t="s">
        <v>49</v>
      </c>
      <c r="C28" t="s">
        <v>503</v>
      </c>
      <c r="D28" t="s">
        <v>2853</v>
      </c>
      <c r="E28" s="32">
        <v>69.333333333333329</v>
      </c>
      <c r="G28" t="e">
        <f>MATCH(C28&amp;" " &amp;D28,SeedOrder[Id],0)</f>
        <v>#N/A</v>
      </c>
      <c r="I28" s="32">
        <f>MATCH(SeedOrder[[#This Row],[Id]],$A$6:$A$264,)</f>
        <v>142</v>
      </c>
      <c r="J28" t="str">
        <f>SeedOrder[[#This Row],[Company]]&amp; " " &amp; SeedOrder[[#This Row],[Variety]]</f>
        <v>Johnny's Zephyr</v>
      </c>
      <c r="K28" t="s">
        <v>128</v>
      </c>
      <c r="L28" t="s">
        <v>490</v>
      </c>
      <c r="M28" t="s">
        <v>677</v>
      </c>
      <c r="P28" s="161">
        <f>_xlfn.XLOOKUP(SeedOrder[[#This Row],[Id]],Varieties[Id],Varieties[Density])</f>
        <v>4600</v>
      </c>
      <c r="Q28" s="37" t="str">
        <f>_xlfn.XLOOKUP(SeedOrder[[#This Row],[Id]],Varieties[Id],Varieties[Density Per])</f>
        <v>lbm</v>
      </c>
      <c r="R28" s="171" t="str">
        <f>HYPERLINK(_xlfn.XLOOKUP(SeedOrder[[#This Row],[Id]],Varieties[Id],Varieties[Website]), "Link")</f>
        <v>Link</v>
      </c>
      <c r="S28" s="161">
        <f>GETPIVOTDATA("Seeds",$B$4,"Variety",SeedOrder[[#This Row],[Variety]],"Company",SeedOrder[[#This Row],[Company]])</f>
        <v>10.833333333333332</v>
      </c>
      <c r="T28" s="162"/>
      <c r="U28" s="27"/>
      <c r="V28" s="27"/>
      <c r="W28" s="27">
        <v>1</v>
      </c>
      <c r="X28" s="27"/>
      <c r="Y28">
        <f>SeedOrder[[#This Row],[Product Weight]]*SeedOrder[[#This Row],[Product Quantity]]</f>
        <v>0</v>
      </c>
      <c r="Z28" s="164">
        <f>IFERROR(CONVERT(S28/SeedOrder[[#This Row],[Density]],SeedOrder[[#This Row],[Density Per]],"g"),"")</f>
        <v>1.0682429003623188</v>
      </c>
      <c r="AA28" s="164">
        <f>IFERROR(CONVERT(S28/SeedOrder[[#This Row],[Density]],SeedOrder[[#This Row],[Density Per]],"ozm"),"")</f>
        <v>3.768115942028985E-2</v>
      </c>
      <c r="AB28" s="164">
        <f>IFERROR(CONVERT(S28/SeedOrder[[#This Row],[Density]],SeedOrder[[#This Row],[Density Per]],"lbm"),"")</f>
        <v>2.3550724637681156E-3</v>
      </c>
      <c r="AC28" s="165" t="str" cm="1">
        <f t="array" ref="AC28">IFERROR(SeedOrder[[#This Row],[Order Weight]]/IF(SeedOrder[[#This Row],[Weight Unit]]="ct",SeedOrder[[#This Row],[Needed]],_xlfn.SWITCH(SeedOrder[[#This Row],[Weight Unit]],"g",SeedOrder[[#This Row],[Needed (g)]],"ozm",SeedOrder[[#This Row],[Needed (ozm)]],"lbm",SeedOrder[[#This Row],[Needed (lbm)]])),"")</f>
        <v/>
      </c>
      <c r="AD28" s="166">
        <f>SeedOrder[[#This Row],[Product Quantity]]*SeedOrder[[#This Row],[Product Cost]]</f>
        <v>0</v>
      </c>
      <c r="AE28" t="s">
        <v>2951</v>
      </c>
      <c r="AG28" s="32" t="b">
        <f>SeedOrder[[#This Row],[Id]]=J27</f>
        <v>0</v>
      </c>
      <c r="AH28" s="37" t="b">
        <f>_xlfn.XLOOKUP(SeedOrder[[#This Row],[Id]],Varieties[Id],Varieties[Organic])</f>
        <v>0</v>
      </c>
      <c r="AI28" t="s">
        <v>2484</v>
      </c>
    </row>
    <row r="29" spans="1:35" ht="15" customHeight="1">
      <c r="A29" t="str">
        <f t="shared" si="0"/>
        <v>High Mowing Bronco F1</v>
      </c>
      <c r="B29" t="s">
        <v>52</v>
      </c>
      <c r="C29" t="s">
        <v>482</v>
      </c>
      <c r="D29" t="s">
        <v>1891</v>
      </c>
      <c r="E29" s="32">
        <v>146.66666666666666</v>
      </c>
      <c r="G29">
        <f>MATCH(C29&amp;" " &amp;D29,SeedOrder[Id],0)</f>
        <v>5</v>
      </c>
      <c r="I29" s="32">
        <f>MATCH(SeedOrder[[#This Row],[Id]],$A$6:$A$264,)</f>
        <v>146</v>
      </c>
      <c r="J29" t="str">
        <f>SeedOrder[[#This Row],[Company]]&amp; " " &amp; SeedOrder[[#This Row],[Variety]]</f>
        <v>Siskiyou Yellow Crookneck</v>
      </c>
      <c r="K29" t="s">
        <v>128</v>
      </c>
      <c r="L29" t="s">
        <v>1783</v>
      </c>
      <c r="M29" t="s">
        <v>2836</v>
      </c>
      <c r="P29" s="161">
        <f>_xlfn.XLOOKUP(SeedOrder[[#This Row],[Id]],Varieties[Id],Varieties[Density])</f>
        <v>250</v>
      </c>
      <c r="Q29" s="37" t="str">
        <f>_xlfn.XLOOKUP(SeedOrder[[#This Row],[Id]],Varieties[Id],Varieties[Density Per])</f>
        <v>ozm</v>
      </c>
      <c r="R29" s="171" t="str">
        <f>HYPERLINK(_xlfn.XLOOKUP(SeedOrder[[#This Row],[Id]],Varieties[Id],Varieties[Website]), "Link")</f>
        <v>Link</v>
      </c>
      <c r="S29" s="161">
        <f>GETPIVOTDATA("Seeds",$B$4,"Variety",SeedOrder[[#This Row],[Variety]],"Company",SeedOrder[[#This Row],[Company]])</f>
        <v>10.833333333333332</v>
      </c>
      <c r="T29" s="162"/>
      <c r="U29" s="27"/>
      <c r="V29" s="163"/>
      <c r="W29" s="27">
        <v>1</v>
      </c>
      <c r="X29" s="27"/>
      <c r="Y29">
        <f>SeedOrder[[#This Row],[Product Weight]]*SeedOrder[[#This Row],[Product Quantity]]</f>
        <v>0</v>
      </c>
      <c r="Z29" s="164">
        <f>IFERROR(CONVERT(S29/SeedOrder[[#This Row],[Density]],SeedOrder[[#This Row],[Density Per]],"g"),"")</f>
        <v>1.2284793354166665</v>
      </c>
      <c r="AA29" s="164">
        <f>IFERROR(CONVERT(S29/SeedOrder[[#This Row],[Density]],SeedOrder[[#This Row],[Density Per]],"ozm"),"")</f>
        <v>4.3333333333333328E-2</v>
      </c>
      <c r="AB29" s="164">
        <f>IFERROR(CONVERT(S29/SeedOrder[[#This Row],[Density]],SeedOrder[[#This Row],[Density Per]],"lbm"),"")</f>
        <v>2.708333333333333E-3</v>
      </c>
      <c r="AC29" s="165" t="str" cm="1">
        <f t="array" ref="AC29">IFERROR(SeedOrder[[#This Row],[Order Weight]]/IF(SeedOrder[[#This Row],[Weight Unit]]="ct",SeedOrder[[#This Row],[Needed]],_xlfn.SWITCH(SeedOrder[[#This Row],[Weight Unit]],"g",SeedOrder[[#This Row],[Needed (g)]],"ozm",SeedOrder[[#This Row],[Needed (ozm)]],"lbm",SeedOrder[[#This Row],[Needed (lbm)]])),"")</f>
        <v/>
      </c>
      <c r="AD29" s="166">
        <f>SeedOrder[[#This Row],[Product Quantity]]*SeedOrder[[#This Row],[Product Cost]]</f>
        <v>0</v>
      </c>
      <c r="AE29" t="s">
        <v>2951</v>
      </c>
      <c r="AG29" s="32" t="b">
        <f>SeedOrder[[#This Row],[Id]]=J28</f>
        <v>0</v>
      </c>
      <c r="AH29" s="37" t="b">
        <f>_xlfn.XLOOKUP(SeedOrder[[#This Row],[Id]],Varieties[Id],Varieties[Organic])</f>
        <v>1</v>
      </c>
    </row>
    <row r="30" spans="1:35" ht="15" customHeight="1">
      <c r="A30" t="str">
        <f t="shared" si="0"/>
        <v>High Mowing Bilko F1</v>
      </c>
      <c r="B30" t="s">
        <v>52</v>
      </c>
      <c r="C30" t="s">
        <v>482</v>
      </c>
      <c r="D30" t="s">
        <v>1903</v>
      </c>
      <c r="E30" s="32">
        <v>58.666666666666664</v>
      </c>
      <c r="G30">
        <f>MATCH(C30&amp;" " &amp;D30,SeedOrder[Id],0)</f>
        <v>4</v>
      </c>
      <c r="I30" s="32">
        <f>MATCH(SeedOrder[[#This Row],[Id]],$A$6:$A$264,)</f>
        <v>145</v>
      </c>
      <c r="J30" t="str">
        <f>SeedOrder[[#This Row],[Company]]&amp; " " &amp; SeedOrder[[#This Row],[Variety]]</f>
        <v>Territorial Sunburst</v>
      </c>
      <c r="K30" t="s">
        <v>128</v>
      </c>
      <c r="L30" t="s">
        <v>533</v>
      </c>
      <c r="M30" t="s">
        <v>2834</v>
      </c>
      <c r="P30" s="161">
        <f>_xlfn.XLOOKUP(SeedOrder[[#This Row],[Id]],Varieties[Id],Varieties[Density])</f>
        <v>7</v>
      </c>
      <c r="Q30" s="37" t="str">
        <f>_xlfn.XLOOKUP(SeedOrder[[#This Row],[Id]],Varieties[Id],Varieties[Density Per])</f>
        <v>g</v>
      </c>
      <c r="R30" s="171" t="str">
        <f>HYPERLINK(_xlfn.XLOOKUP(SeedOrder[[#This Row],[Id]],Varieties[Id],Varieties[Website]), "Link")</f>
        <v>Link</v>
      </c>
      <c r="S30" s="161">
        <f>GETPIVOTDATA("Seeds",$B$4,"Variety",SeedOrder[[#This Row],[Variety]],"Company",SeedOrder[[#This Row],[Company]])</f>
        <v>10.833333333333332</v>
      </c>
      <c r="T30" s="162">
        <v>7</v>
      </c>
      <c r="U30" s="27" t="s">
        <v>1243</v>
      </c>
      <c r="V30" s="27">
        <v>8.9499999999999993</v>
      </c>
      <c r="W30" s="27">
        <v>1</v>
      </c>
      <c r="X30" s="27"/>
      <c r="Y30">
        <f>SeedOrder[[#This Row],[Product Weight]]*SeedOrder[[#This Row],[Product Quantity]]</f>
        <v>7</v>
      </c>
      <c r="Z30" s="164">
        <f>IFERROR(CONVERT(S30/SeedOrder[[#This Row],[Density]],SeedOrder[[#This Row],[Density Per]],"g"),"")</f>
        <v>1.5476190476190474</v>
      </c>
      <c r="AA30" s="164">
        <f>IFERROR(CONVERT(S30/SeedOrder[[#This Row],[Density]],SeedOrder[[#This Row],[Density Per]],"ozm"),"")</f>
        <v>5.4590655398160153E-2</v>
      </c>
      <c r="AB30" s="164">
        <f>IFERROR(CONVERT(S30/SeedOrder[[#This Row],[Density]],SeedOrder[[#This Row],[Density Per]],"lbm"),"")</f>
        <v>3.4119159623850095E-3</v>
      </c>
      <c r="AC30" s="165" cm="1">
        <f t="array" ref="AC30">IFERROR(SeedOrder[[#This Row],[Order Weight]]/IF(SeedOrder[[#This Row],[Weight Unit]]="ct",SeedOrder[[#This Row],[Needed]],_xlfn.SWITCH(SeedOrder[[#This Row],[Weight Unit]],"g",SeedOrder[[#This Row],[Needed (g)]],"ozm",SeedOrder[[#This Row],[Needed (ozm)]],"lbm",SeedOrder[[#This Row],[Needed (lbm)]])),"")</f>
        <v>4.5230769230769239</v>
      </c>
      <c r="AD30" s="166">
        <f>SeedOrder[[#This Row],[Product Quantity]]*SeedOrder[[#This Row],[Product Cost]]</f>
        <v>8.9499999999999993</v>
      </c>
      <c r="AE30" t="s">
        <v>2951</v>
      </c>
      <c r="AG30" s="32" t="b">
        <f>SeedOrder[[#This Row],[Id]]=J29</f>
        <v>0</v>
      </c>
      <c r="AH30" s="37" t="b">
        <f>_xlfn.XLOOKUP(SeedOrder[[#This Row],[Id]],Varieties[Id],Varieties[Organic])</f>
        <v>0</v>
      </c>
      <c r="AI30" t="s">
        <v>2484</v>
      </c>
    </row>
    <row r="31" spans="1:35" ht="15" customHeight="1">
      <c r="A31" t="str">
        <f t="shared" si="0"/>
        <v>High Mowing Emiko F1</v>
      </c>
      <c r="B31" t="s">
        <v>52</v>
      </c>
      <c r="C31" t="s">
        <v>482</v>
      </c>
      <c r="D31" t="s">
        <v>1904</v>
      </c>
      <c r="E31" s="32">
        <v>58.666666666666664</v>
      </c>
      <c r="G31">
        <f>MATCH(C31&amp;" " &amp;D31,SeedOrder[Id],0)</f>
        <v>6</v>
      </c>
      <c r="I31" s="32">
        <f>MATCH(SeedOrder[[#This Row],[Id]],$A$6:$A$264,)</f>
        <v>189</v>
      </c>
      <c r="J31" t="str">
        <f>SeedOrder[[#This Row],[Company]]&amp; " " &amp; SeedOrder[[#This Row],[Variety]]</f>
        <v>A H Whaley 42-Day</v>
      </c>
      <c r="K31" t="s">
        <v>136</v>
      </c>
      <c r="L31" t="s">
        <v>3010</v>
      </c>
      <c r="M31" t="s">
        <v>3009</v>
      </c>
      <c r="N31" t="s">
        <v>2946</v>
      </c>
      <c r="O31" t="s">
        <v>2946</v>
      </c>
      <c r="P31" s="161" t="str">
        <f>_xlfn.XLOOKUP(SeedOrder[[#This Row],[Id]],Varieties[Id],Varieties[Density])</f>
        <v>By Count</v>
      </c>
      <c r="Q31" s="37">
        <f>_xlfn.XLOOKUP(SeedOrder[[#This Row],[Id]],Varieties[Id],Varieties[Density Per])</f>
        <v>0</v>
      </c>
      <c r="R31" s="171" t="str">
        <f>HYPERLINK(_xlfn.XLOOKUP(SeedOrder[[#This Row],[Id]],Varieties[Id],Varieties[Website]), "Link")</f>
        <v>Link</v>
      </c>
      <c r="S31" s="161">
        <f>GETPIVOTDATA("Seeds",$B$4,"Variety",SeedOrder[[#This Row],[Variety]],"Company",SeedOrder[[#This Row],[Company]])</f>
        <v>36.5625</v>
      </c>
      <c r="T31" s="162">
        <v>100</v>
      </c>
      <c r="U31" s="27" t="s">
        <v>1244</v>
      </c>
      <c r="V31" s="27">
        <v>5.5</v>
      </c>
      <c r="W31" s="27">
        <v>1</v>
      </c>
      <c r="X31" s="27"/>
      <c r="Y31">
        <f>SeedOrder[[#This Row],[Product Weight]]*SeedOrder[[#This Row],[Product Quantity]]</f>
        <v>100</v>
      </c>
      <c r="Z31" s="164" t="str">
        <f>IFERROR(CONVERT(S31/SeedOrder[[#This Row],[Density]],SeedOrder[[#This Row],[Density Per]],"g"),"")</f>
        <v/>
      </c>
      <c r="AA31" s="164" t="str">
        <f>IFERROR(CONVERT(S31/SeedOrder[[#This Row],[Density]],SeedOrder[[#This Row],[Density Per]],"ozm"),"")</f>
        <v/>
      </c>
      <c r="AB31" s="164" t="str">
        <f>IFERROR(CONVERT(S31/SeedOrder[[#This Row],[Density]],SeedOrder[[#This Row],[Density Per]],"lbm"),"")</f>
        <v/>
      </c>
      <c r="AC31" s="165" cm="1">
        <f t="array" ref="AC31">IFERROR(SeedOrder[[#This Row],[Order Weight]]/IF(SeedOrder[[#This Row],[Weight Unit]]="ct",SeedOrder[[#This Row],[Needed]],_xlfn.SWITCH(SeedOrder[[#This Row],[Weight Unit]],"g",SeedOrder[[#This Row],[Needed (g)]],"ozm",SeedOrder[[#This Row],[Needed (ozm)]],"lbm",SeedOrder[[#This Row],[Needed (lbm)]])),"")</f>
        <v>2.7350427350427351</v>
      </c>
      <c r="AD31" s="166">
        <f>SeedOrder[[#This Row],[Product Quantity]]*SeedOrder[[#This Row],[Product Cost]]</f>
        <v>5.5</v>
      </c>
      <c r="AG31" s="32" t="b">
        <f>SeedOrder[[#This Row],[Id]]=J30</f>
        <v>0</v>
      </c>
      <c r="AH31" s="37" t="b">
        <f>_xlfn.XLOOKUP(SeedOrder[[#This Row],[Id]],Varieties[Id],Varieties[Organic])</f>
        <v>0</v>
      </c>
      <c r="AI31" t="s">
        <v>2484</v>
      </c>
    </row>
    <row r="32" spans="1:35" ht="15" customHeight="1">
      <c r="A32" t="str">
        <f t="shared" si="0"/>
        <v>High Mowing Farao F1</v>
      </c>
      <c r="B32" t="s">
        <v>52</v>
      </c>
      <c r="C32" t="s">
        <v>482</v>
      </c>
      <c r="D32" t="s">
        <v>1899</v>
      </c>
      <c r="E32" s="32">
        <v>440.00000000000006</v>
      </c>
      <c r="G32" t="e">
        <f>MATCH(C32&amp;" " &amp;D32,SeedOrder[Id],0)</f>
        <v>#N/A</v>
      </c>
      <c r="I32" s="32">
        <f>MATCH(SeedOrder[[#This Row],[Id]],$A$6:$A$264,)</f>
        <v>198</v>
      </c>
      <c r="J32" t="str">
        <f>SeedOrder[[#This Row],[Company]]&amp; " " &amp; SeedOrder[[#This Row],[Variety]]</f>
        <v>A P Whaley Beauty King</v>
      </c>
      <c r="K32" t="s">
        <v>136</v>
      </c>
      <c r="L32" t="s">
        <v>3040</v>
      </c>
      <c r="M32" t="s">
        <v>3036</v>
      </c>
      <c r="N32" t="s">
        <v>2946</v>
      </c>
      <c r="O32" t="s">
        <v>2946</v>
      </c>
      <c r="P32" s="161" t="str">
        <f>_xlfn.XLOOKUP(SeedOrder[[#This Row],[Id]],Varieties[Id],Varieties[Density])</f>
        <v>By Count</v>
      </c>
      <c r="Q32" s="37">
        <f>_xlfn.XLOOKUP(SeedOrder[[#This Row],[Id]],Varieties[Id],Varieties[Density Per])</f>
        <v>0</v>
      </c>
      <c r="R32" s="171" t="str">
        <f>HYPERLINK(_xlfn.XLOOKUP(SeedOrder[[#This Row],[Id]],Varieties[Id],Varieties[Website]), "Link")</f>
        <v>Link</v>
      </c>
      <c r="S32" s="161">
        <f>GETPIVOTDATA("Seeds",$B$4,"Variety",SeedOrder[[#This Row],[Variety]],"Company",SeedOrder[[#This Row],[Company]])</f>
        <v>35.1</v>
      </c>
      <c r="T32" s="162">
        <v>100</v>
      </c>
      <c r="U32" s="27" t="s">
        <v>1244</v>
      </c>
      <c r="V32" s="163">
        <v>7.25</v>
      </c>
      <c r="W32" s="27">
        <v>1</v>
      </c>
      <c r="X32" s="27"/>
      <c r="Y32">
        <f>SeedOrder[[#This Row],[Product Weight]]*SeedOrder[[#This Row],[Product Quantity]]</f>
        <v>100</v>
      </c>
      <c r="Z32" s="164" t="str">
        <f>IFERROR(CONVERT(S32/SeedOrder[[#This Row],[Density]],SeedOrder[[#This Row],[Density Per]],"g"),"")</f>
        <v/>
      </c>
      <c r="AA32" s="164" t="str">
        <f>IFERROR(CONVERT(S32/SeedOrder[[#This Row],[Density]],SeedOrder[[#This Row],[Density Per]],"ozm"),"")</f>
        <v/>
      </c>
      <c r="AB32" s="164" t="str">
        <f>IFERROR(CONVERT(S32/SeedOrder[[#This Row],[Density]],SeedOrder[[#This Row],[Density Per]],"lbm"),"")</f>
        <v/>
      </c>
      <c r="AC32" s="165" cm="1">
        <f t="array" ref="AC32">IFERROR(SeedOrder[[#This Row],[Order Weight]]/IF(SeedOrder[[#This Row],[Weight Unit]]="ct",SeedOrder[[#This Row],[Needed]],_xlfn.SWITCH(SeedOrder[[#This Row],[Weight Unit]],"g",SeedOrder[[#This Row],[Needed (g)]],"ozm",SeedOrder[[#This Row],[Needed (ozm)]],"lbm",SeedOrder[[#This Row],[Needed (lbm)]])),"")</f>
        <v>2.8490028490028489</v>
      </c>
      <c r="AD32" s="166">
        <f>SeedOrder[[#This Row],[Product Quantity]]*SeedOrder[[#This Row],[Product Cost]]</f>
        <v>7.25</v>
      </c>
      <c r="AG32" s="32" t="b">
        <f>SeedOrder[[#This Row],[Id]]=J31</f>
        <v>0</v>
      </c>
      <c r="AH32" s="37" t="b">
        <f>_xlfn.XLOOKUP(SeedOrder[[#This Row],[Id]],Varieties[Id],Varieties[Organic])</f>
        <v>1</v>
      </c>
    </row>
    <row r="33" spans="1:35" ht="15" customHeight="1">
      <c r="A33" t="str">
        <f t="shared" si="0"/>
        <v>Johnny's Merlot</v>
      </c>
      <c r="B33" t="s">
        <v>52</v>
      </c>
      <c r="C33" t="s">
        <v>490</v>
      </c>
      <c r="D33" t="s">
        <v>869</v>
      </c>
      <c r="E33" s="32">
        <v>58.666666666666664</v>
      </c>
      <c r="G33">
        <f>MATCH(C33&amp;" " &amp;D33,SeedOrder[Id],0)</f>
        <v>7</v>
      </c>
      <c r="I33" s="32">
        <f>MATCH(SeedOrder[[#This Row],[Id]],$A$6:$A$264,)</f>
        <v>200</v>
      </c>
      <c r="J33" t="str">
        <f>SeedOrder[[#This Row],[Company]]&amp; " " &amp; SeedOrder[[#This Row],[Variety]]</f>
        <v>A P Whaley Beefy Purple</v>
      </c>
      <c r="K33" t="s">
        <v>136</v>
      </c>
      <c r="L33" t="s">
        <v>3040</v>
      </c>
      <c r="M33" t="s">
        <v>3091</v>
      </c>
      <c r="N33" t="s">
        <v>2946</v>
      </c>
      <c r="O33" t="s">
        <v>2946</v>
      </c>
      <c r="P33" s="33" t="str">
        <f>_xlfn.XLOOKUP(SeedOrder[[#This Row],[Id]],Varieties[Id],Varieties[Density])</f>
        <v>By Count</v>
      </c>
      <c r="Q33" s="37">
        <f>_xlfn.XLOOKUP(SeedOrder[[#This Row],[Id]],Varieties[Id],Varieties[Density Per])</f>
        <v>0</v>
      </c>
      <c r="R33" s="171" t="str">
        <f>HYPERLINK(_xlfn.XLOOKUP(SeedOrder[[#This Row],[Id]],Varieties[Id],Varieties[Website]), "Link")</f>
        <v>Link</v>
      </c>
      <c r="S33" s="33">
        <f>GETPIVOTDATA("Seeds",$B$4,"Variety",SeedOrder[[#This Row],[Variety]],"Company",SeedOrder[[#This Row],[Company]])</f>
        <v>52</v>
      </c>
      <c r="T33" s="172">
        <v>100</v>
      </c>
      <c r="U33" s="27" t="s">
        <v>1244</v>
      </c>
      <c r="V33" s="27">
        <v>8</v>
      </c>
      <c r="W33" s="27">
        <v>1</v>
      </c>
      <c r="X33" s="27"/>
      <c r="Y33">
        <f>SeedOrder[[#This Row],[Product Weight]]*SeedOrder[[#This Row],[Product Quantity]]</f>
        <v>100</v>
      </c>
      <c r="Z33" s="164" t="str">
        <f>IFERROR(CONVERT(S33/SeedOrder[[#This Row],[Density]],SeedOrder[[#This Row],[Density Per]],"g"),"")</f>
        <v/>
      </c>
      <c r="AA33" s="164" t="str">
        <f>IFERROR(CONVERT(S33/SeedOrder[[#This Row],[Density]],SeedOrder[[#This Row],[Density Per]],"ozm"),"")</f>
        <v/>
      </c>
      <c r="AB33" s="164" t="str">
        <f>IFERROR(CONVERT(S33/SeedOrder[[#This Row],[Density]],SeedOrder[[#This Row],[Density Per]],"lbm"),"")</f>
        <v/>
      </c>
      <c r="AC33" s="174" cm="1">
        <f t="array" ref="AC33">IFERROR(SeedOrder[[#This Row],[Order Weight]]/IF(SeedOrder[[#This Row],[Weight Unit]]="ct",SeedOrder[[#This Row],[Needed]],_xlfn.SWITCH(SeedOrder[[#This Row],[Weight Unit]],"g",SeedOrder[[#This Row],[Needed (g)]],"ozm",SeedOrder[[#This Row],[Needed (ozm)]],"lbm",SeedOrder[[#This Row],[Needed (lbm)]])),"")</f>
        <v>1.9230769230769231</v>
      </c>
      <c r="AD33" s="36">
        <f>SeedOrder[[#This Row],[Product Quantity]]*SeedOrder[[#This Row],[Product Cost]]</f>
        <v>8</v>
      </c>
      <c r="AG33" s="32" t="b">
        <f>SeedOrder[[#This Row],[Id]]=J32</f>
        <v>0</v>
      </c>
      <c r="AH33" s="37" t="b">
        <f>_xlfn.XLOOKUP(SeedOrder[[#This Row],[Id]],Varieties[Id],Varieties[Organic])</f>
        <v>1</v>
      </c>
    </row>
    <row r="34" spans="1:35" ht="15" customHeight="1">
      <c r="A34" t="str">
        <f t="shared" si="0"/>
        <v>Johnny's Minuet</v>
      </c>
      <c r="B34" t="s">
        <v>52</v>
      </c>
      <c r="C34" t="s">
        <v>490</v>
      </c>
      <c r="D34" t="s">
        <v>2793</v>
      </c>
      <c r="E34" s="32">
        <v>165</v>
      </c>
      <c r="G34" t="e">
        <f>MATCH(C34&amp;" " &amp;D34,SeedOrder[Id],0)</f>
        <v>#N/A</v>
      </c>
      <c r="I34" s="32">
        <f>MATCH(SeedOrder[[#This Row],[Id]],$A$6:$A$264,)</f>
        <v>195</v>
      </c>
      <c r="J34" t="str">
        <f>SeedOrder[[#This Row],[Company]]&amp; " " &amp; SeedOrder[[#This Row],[Variety]]</f>
        <v>A P Whaley Cherry Falls</v>
      </c>
      <c r="K34" t="s">
        <v>136</v>
      </c>
      <c r="L34" t="s">
        <v>3040</v>
      </c>
      <c r="M34" t="s">
        <v>3012</v>
      </c>
      <c r="N34" t="s">
        <v>2946</v>
      </c>
      <c r="O34" t="s">
        <v>2946</v>
      </c>
      <c r="P34" s="161" t="str">
        <f>_xlfn.XLOOKUP(SeedOrder[[#This Row],[Id]],Varieties[Id],Varieties[Density])</f>
        <v>By Count</v>
      </c>
      <c r="Q34" s="37">
        <f>_xlfn.XLOOKUP(SeedOrder[[#This Row],[Id]],Varieties[Id],Varieties[Density Per])</f>
        <v>0</v>
      </c>
      <c r="R34" s="171" t="str">
        <f>HYPERLINK(_xlfn.XLOOKUP(SeedOrder[[#This Row],[Id]],Varieties[Id],Varieties[Website]), "Link")</f>
        <v>Link</v>
      </c>
      <c r="S34" s="161">
        <f>GETPIVOTDATA("Seeds",$B$4,"Variety",SeedOrder[[#This Row],[Variety]],"Company",SeedOrder[[#This Row],[Company]])</f>
        <v>36.5625</v>
      </c>
      <c r="T34" s="162">
        <v>100</v>
      </c>
      <c r="U34" s="27" t="s">
        <v>1244</v>
      </c>
      <c r="V34" s="163">
        <v>6.25</v>
      </c>
      <c r="W34" s="27">
        <v>1</v>
      </c>
      <c r="X34" s="27"/>
      <c r="Y34">
        <f>SeedOrder[[#This Row],[Product Weight]]*SeedOrder[[#This Row],[Product Quantity]]</f>
        <v>100</v>
      </c>
      <c r="Z34" s="164" t="str">
        <f>IFERROR(CONVERT(S34/SeedOrder[[#This Row],[Density]],SeedOrder[[#This Row],[Density Per]],"g"),"")</f>
        <v/>
      </c>
      <c r="AA34" s="164" t="str">
        <f>IFERROR(CONVERT(S34/SeedOrder[[#This Row],[Density]],SeedOrder[[#This Row],[Density Per]],"ozm"),"")</f>
        <v/>
      </c>
      <c r="AB34" s="164" t="str">
        <f>IFERROR(CONVERT(S34/SeedOrder[[#This Row],[Density]],SeedOrder[[#This Row],[Density Per]],"lbm"),"")</f>
        <v/>
      </c>
      <c r="AC34" s="165" cm="1">
        <f t="array" ref="AC34">IFERROR(SeedOrder[[#This Row],[Order Weight]]/IF(SeedOrder[[#This Row],[Weight Unit]]="ct",SeedOrder[[#This Row],[Needed]],_xlfn.SWITCH(SeedOrder[[#This Row],[Weight Unit]],"g",SeedOrder[[#This Row],[Needed (g)]],"ozm",SeedOrder[[#This Row],[Needed (ozm)]],"lbm",SeedOrder[[#This Row],[Needed (lbm)]])),"")</f>
        <v>2.7350427350427351</v>
      </c>
      <c r="AD34" s="166">
        <f>SeedOrder[[#This Row],[Product Quantity]]*SeedOrder[[#This Row],[Product Cost]]</f>
        <v>6.25</v>
      </c>
      <c r="AG34" s="32" t="b">
        <f>SeedOrder[[#This Row],[Id]]=J33</f>
        <v>0</v>
      </c>
      <c r="AH34" s="37" t="b">
        <f>_xlfn.XLOOKUP(SeedOrder[[#This Row],[Id]],Varieties[Id],Varieties[Organic])</f>
        <v>1</v>
      </c>
    </row>
    <row r="35" spans="1:35" ht="15" customHeight="1">
      <c r="A35" t="str">
        <f t="shared" si="0"/>
        <v>Osborne Wa Wa Tsai F1</v>
      </c>
      <c r="B35" t="s">
        <v>52</v>
      </c>
      <c r="C35" t="s">
        <v>503</v>
      </c>
      <c r="D35" t="s">
        <v>2794</v>
      </c>
      <c r="E35" s="32">
        <v>165</v>
      </c>
      <c r="G35" t="e">
        <f>MATCH(C35&amp;" " &amp;D35,SeedOrder[Id],0)</f>
        <v>#N/A</v>
      </c>
      <c r="I35" s="32">
        <f>MATCH(SeedOrder[[#This Row],[Id]],$A$6:$A$264,)</f>
        <v>196</v>
      </c>
      <c r="J35" t="str">
        <f>SeedOrder[[#This Row],[Company]]&amp; " " &amp; SeedOrder[[#This Row],[Variety]]</f>
        <v>A P Whaley Janet's Jacinth Jewel</v>
      </c>
      <c r="K35" t="s">
        <v>136</v>
      </c>
      <c r="L35" t="s">
        <v>3040</v>
      </c>
      <c r="M35" t="s">
        <v>3034</v>
      </c>
      <c r="N35" t="s">
        <v>2946</v>
      </c>
      <c r="O35" t="s">
        <v>2946</v>
      </c>
      <c r="P35" s="161" t="str">
        <f>_xlfn.XLOOKUP(SeedOrder[[#This Row],[Id]],Varieties[Id],Varieties[Density])</f>
        <v>By Count</v>
      </c>
      <c r="Q35" s="37">
        <f>_xlfn.XLOOKUP(SeedOrder[[#This Row],[Id]],Varieties[Id],Varieties[Density Per])</f>
        <v>0</v>
      </c>
      <c r="R35" s="171" t="str">
        <f>HYPERLINK(_xlfn.XLOOKUP(SeedOrder[[#This Row],[Id]],Varieties[Id],Varieties[Website]), "Link")</f>
        <v>Link</v>
      </c>
      <c r="S35" s="161">
        <f>GETPIVOTDATA("Seeds",$B$4,"Variety",SeedOrder[[#This Row],[Variety]],"Company",SeedOrder[[#This Row],[Company]])</f>
        <v>35.1</v>
      </c>
      <c r="T35" s="162">
        <v>25</v>
      </c>
      <c r="U35" s="27" t="s">
        <v>1244</v>
      </c>
      <c r="V35" s="27">
        <v>4.5</v>
      </c>
      <c r="W35" s="27">
        <v>1</v>
      </c>
      <c r="X35" s="27"/>
      <c r="Y35">
        <f>SeedOrder[[#This Row],[Product Weight]]*SeedOrder[[#This Row],[Product Quantity]]</f>
        <v>25</v>
      </c>
      <c r="Z35" s="164" t="str">
        <f>IFERROR(CONVERT(S35/SeedOrder[[#This Row],[Density]],SeedOrder[[#This Row],[Density Per]],"g"),"")</f>
        <v/>
      </c>
      <c r="AA35" s="164" t="str">
        <f>IFERROR(CONVERT(S35/SeedOrder[[#This Row],[Density]],SeedOrder[[#This Row],[Density Per]],"ozm"),"")</f>
        <v/>
      </c>
      <c r="AB35" s="164" t="str">
        <f>IFERROR(CONVERT(S35/SeedOrder[[#This Row],[Density]],SeedOrder[[#This Row],[Density Per]],"lbm"),"")</f>
        <v/>
      </c>
      <c r="AC35" s="165" cm="1">
        <f t="array" ref="AC35">IFERROR(SeedOrder[[#This Row],[Order Weight]]/IF(SeedOrder[[#This Row],[Weight Unit]]="ct",SeedOrder[[#This Row],[Needed]],_xlfn.SWITCH(SeedOrder[[#This Row],[Weight Unit]],"g",SeedOrder[[#This Row],[Needed (g)]],"ozm",SeedOrder[[#This Row],[Needed (ozm)]],"lbm",SeedOrder[[#This Row],[Needed (lbm)]])),"")</f>
        <v>0.71225071225071224</v>
      </c>
      <c r="AD35" s="166">
        <f>SeedOrder[[#This Row],[Product Quantity]]*SeedOrder[[#This Row],[Product Cost]]</f>
        <v>4.5</v>
      </c>
      <c r="AG35" s="32" t="b">
        <f>SeedOrder[[#This Row],[Id]]=J34</f>
        <v>0</v>
      </c>
      <c r="AH35" s="37" t="b">
        <f>_xlfn.XLOOKUP(SeedOrder[[#This Row],[Id]],Varieties[Id],Varieties[Organic])</f>
        <v>1</v>
      </c>
    </row>
    <row r="36" spans="1:35" ht="15" customHeight="1">
      <c r="A36" t="str">
        <f t="shared" si="0"/>
        <v>Osborne Katarina F1</v>
      </c>
      <c r="B36" t="s">
        <v>52</v>
      </c>
      <c r="C36" t="s">
        <v>503</v>
      </c>
      <c r="D36" t="s">
        <v>2791</v>
      </c>
      <c r="E36" s="32">
        <v>88.000000000000014</v>
      </c>
      <c r="G36" t="e">
        <f>MATCH(C36&amp;" " &amp;D36,SeedOrder[Id],0)</f>
        <v>#N/A</v>
      </c>
      <c r="I36" s="32">
        <f>MATCH(SeedOrder[[#This Row],[Id]],$A$6:$A$264,)</f>
        <v>197</v>
      </c>
      <c r="J36" t="str">
        <f>SeedOrder[[#This Row],[Company]]&amp; " " &amp; SeedOrder[[#This Row],[Variety]]</f>
        <v>A P Whaley Large Barred Boar</v>
      </c>
      <c r="K36" t="s">
        <v>136</v>
      </c>
      <c r="L36" t="s">
        <v>3040</v>
      </c>
      <c r="M36" t="s">
        <v>3035</v>
      </c>
      <c r="N36" t="s">
        <v>2946</v>
      </c>
      <c r="O36" t="s">
        <v>2946</v>
      </c>
      <c r="P36" s="161" t="str">
        <f>_xlfn.XLOOKUP(SeedOrder[[#This Row],[Id]],Varieties[Id],Varieties[Density])</f>
        <v>By Count</v>
      </c>
      <c r="Q36" s="37">
        <f>_xlfn.XLOOKUP(SeedOrder[[#This Row],[Id]],Varieties[Id],Varieties[Density Per])</f>
        <v>0</v>
      </c>
      <c r="R36" s="171" t="str">
        <f>HYPERLINK(_xlfn.XLOOKUP(SeedOrder[[#This Row],[Id]],Varieties[Id],Varieties[Website]), "Link")</f>
        <v>Link</v>
      </c>
      <c r="S36" s="161">
        <f>GETPIVOTDATA("Seeds",$B$4,"Variety",SeedOrder[[#This Row],[Variety]],"Company",SeedOrder[[#This Row],[Company]])</f>
        <v>35.1</v>
      </c>
      <c r="T36" s="162">
        <v>100</v>
      </c>
      <c r="U36" s="27" t="s">
        <v>1244</v>
      </c>
      <c r="V36" s="163">
        <v>7.25</v>
      </c>
      <c r="W36" s="27">
        <v>1</v>
      </c>
      <c r="X36" s="27"/>
      <c r="Y36">
        <f>SeedOrder[[#This Row],[Product Weight]]*SeedOrder[[#This Row],[Product Quantity]]</f>
        <v>100</v>
      </c>
      <c r="Z36" s="164" t="str">
        <f>IFERROR(CONVERT(S36/SeedOrder[[#This Row],[Density]],SeedOrder[[#This Row],[Density Per]],"g"),"")</f>
        <v/>
      </c>
      <c r="AA36" s="164" t="str">
        <f>IFERROR(CONVERT(S36/SeedOrder[[#This Row],[Density]],SeedOrder[[#This Row],[Density Per]],"ozm"),"")</f>
        <v/>
      </c>
      <c r="AB36" s="164" t="str">
        <f>IFERROR(CONVERT(S36/SeedOrder[[#This Row],[Density]],SeedOrder[[#This Row],[Density Per]],"lbm"),"")</f>
        <v/>
      </c>
      <c r="AC36" s="165" cm="1">
        <f t="array" ref="AC36">IFERROR(SeedOrder[[#This Row],[Order Weight]]/IF(SeedOrder[[#This Row],[Weight Unit]]="ct",SeedOrder[[#This Row],[Needed]],_xlfn.SWITCH(SeedOrder[[#This Row],[Weight Unit]],"g",SeedOrder[[#This Row],[Needed (g)]],"ozm",SeedOrder[[#This Row],[Needed (ozm)]],"lbm",SeedOrder[[#This Row],[Needed (lbm)]])),"")</f>
        <v>2.8490028490028489</v>
      </c>
      <c r="AD36" s="166">
        <f>SeedOrder[[#This Row],[Product Quantity]]*SeedOrder[[#This Row],[Product Cost]]</f>
        <v>7.25</v>
      </c>
      <c r="AG36" s="32" t="b">
        <f>SeedOrder[[#This Row],[Id]]=J35</f>
        <v>0</v>
      </c>
      <c r="AH36" s="37" t="b">
        <f>_xlfn.XLOOKUP(SeedOrder[[#This Row],[Id]],Varieties[Id],Varieties[Organic])</f>
        <v>1</v>
      </c>
    </row>
    <row r="37" spans="1:35" ht="15" customHeight="1">
      <c r="A37" t="str">
        <f t="shared" si="0"/>
        <v>Osborne Piccolima F1</v>
      </c>
      <c r="B37" t="s">
        <v>52</v>
      </c>
      <c r="C37" t="s">
        <v>503</v>
      </c>
      <c r="D37" t="s">
        <v>2906</v>
      </c>
      <c r="E37" s="32">
        <v>88.000000000000014</v>
      </c>
      <c r="G37" t="e">
        <f>MATCH(C37&amp;" " &amp;D37,SeedOrder[Id],0)</f>
        <v>#N/A</v>
      </c>
      <c r="I37" s="32">
        <f>MATCH(SeedOrder[[#This Row],[Id]],$A$6:$A$264,)</f>
        <v>199</v>
      </c>
      <c r="J37" t="str">
        <f>SeedOrder[[#This Row],[Company]]&amp; " " &amp; SeedOrder[[#This Row],[Variety]]</f>
        <v>A P Whaley Pink Jazz</v>
      </c>
      <c r="K37" t="s">
        <v>136</v>
      </c>
      <c r="L37" t="s">
        <v>3040</v>
      </c>
      <c r="M37" t="s">
        <v>3038</v>
      </c>
      <c r="N37" t="s">
        <v>2946</v>
      </c>
      <c r="O37" t="s">
        <v>2946</v>
      </c>
      <c r="P37" s="161" t="str">
        <f>_xlfn.XLOOKUP(SeedOrder[[#This Row],[Id]],Varieties[Id],Varieties[Density])</f>
        <v>By Count</v>
      </c>
      <c r="Q37" s="161">
        <f>_xlfn.XLOOKUP(SeedOrder[[#This Row],[Id]],Varieties[Id],Varieties[Density Per])</f>
        <v>0</v>
      </c>
      <c r="R37" s="171" t="str">
        <f>HYPERLINK(_xlfn.XLOOKUP(SeedOrder[[#This Row],[Id]],Varieties[Id],Varieties[Website]), "Link")</f>
        <v>Link</v>
      </c>
      <c r="S37" s="161">
        <f>GETPIVOTDATA("Seeds",$B$4,"Variety",SeedOrder[[#This Row],[Variety]],"Company",SeedOrder[[#This Row],[Company]])</f>
        <v>35.1</v>
      </c>
      <c r="T37" s="162">
        <v>25</v>
      </c>
      <c r="U37" s="27" t="s">
        <v>1244</v>
      </c>
      <c r="V37" s="163">
        <v>4.5</v>
      </c>
      <c r="W37" s="27">
        <v>1</v>
      </c>
      <c r="X37" s="27"/>
      <c r="Y37">
        <f>SeedOrder[[#This Row],[Product Weight]]*SeedOrder[[#This Row],[Product Quantity]]</f>
        <v>25</v>
      </c>
      <c r="Z37" s="164" t="str">
        <f>IFERROR(CONVERT(S37/SeedOrder[[#This Row],[Density]],SeedOrder[[#This Row],[Density Per]],"g"),"")</f>
        <v/>
      </c>
      <c r="AA37" s="164" t="str">
        <f>IFERROR(CONVERT(S37/SeedOrder[[#This Row],[Density]],SeedOrder[[#This Row],[Density Per]],"ozm"),"")</f>
        <v/>
      </c>
      <c r="AB37" s="164" t="str">
        <f>IFERROR(CONVERT(S37/SeedOrder[[#This Row],[Density]],SeedOrder[[#This Row],[Density Per]],"lbm"),"")</f>
        <v/>
      </c>
      <c r="AC37" s="165" cm="1">
        <f t="array" ref="AC37">IFERROR(SeedOrder[[#This Row],[Order Weight]]/IF(SeedOrder[[#This Row],[Weight Unit]]="ct",SeedOrder[[#This Row],[Needed]],_xlfn.SWITCH(SeedOrder[[#This Row],[Weight Unit]],"g",SeedOrder[[#This Row],[Needed (g)]],"ozm",SeedOrder[[#This Row],[Needed (ozm)]],"lbm",SeedOrder[[#This Row],[Needed (lbm)]])),"")</f>
        <v>0.71225071225071224</v>
      </c>
      <c r="AD37" s="166">
        <f>SeedOrder[[#This Row],[Product Quantity]]*SeedOrder[[#This Row],[Product Cost]]</f>
        <v>4.5</v>
      </c>
      <c r="AG37" s="32" t="b">
        <f>SeedOrder[[#This Row],[Id]]=J36</f>
        <v>0</v>
      </c>
      <c r="AH37" s="37" t="b">
        <f>_xlfn.XLOOKUP(SeedOrder[[#This Row],[Id]],Varieties[Id],Varieties[Organic])</f>
        <v>1</v>
      </c>
    </row>
    <row r="38" spans="1:35" ht="15" customHeight="1">
      <c r="A38" t="str">
        <f t="shared" si="0"/>
        <v>High Mowing Bengala F1</v>
      </c>
      <c r="B38" t="s">
        <v>53</v>
      </c>
      <c r="C38" t="s">
        <v>482</v>
      </c>
      <c r="D38" t="s">
        <v>1269</v>
      </c>
      <c r="E38" s="32">
        <v>3120</v>
      </c>
      <c r="G38">
        <f>MATCH(C38&amp;" " &amp;D38,SeedOrder[Id],0)</f>
        <v>8</v>
      </c>
      <c r="I38" s="32">
        <f>MATCH(SeedOrder[[#This Row],[Id]],$A$6:$A$264,)</f>
        <v>156</v>
      </c>
      <c r="J38" t="str">
        <f>SeedOrder[[#This Row],[Company]]&amp; " " &amp; SeedOrder[[#This Row],[Variety]]</f>
        <v>Adaptive Orange You Glad</v>
      </c>
      <c r="K38" t="s">
        <v>136</v>
      </c>
      <c r="L38" t="s">
        <v>488</v>
      </c>
      <c r="M38" t="s">
        <v>3020</v>
      </c>
      <c r="N38" t="s">
        <v>2946</v>
      </c>
      <c r="O38" t="s">
        <v>2946</v>
      </c>
      <c r="P38" s="33">
        <f>_xlfn.XLOOKUP(SeedOrder[[#This Row],[Id]],Varieties[Id],Varieties[Density])</f>
        <v>300</v>
      </c>
      <c r="Q38" s="37" t="str">
        <f>_xlfn.XLOOKUP(SeedOrder[[#This Row],[Id]],Varieties[Id],Varieties[Density Per])</f>
        <v>g</v>
      </c>
      <c r="R38" s="171" t="str">
        <f>HYPERLINK(_xlfn.XLOOKUP(SeedOrder[[#This Row],[Id]],Varieties[Id],Varieties[Website]), "Link")</f>
        <v>Link</v>
      </c>
      <c r="S38" s="33">
        <f>GETPIVOTDATA("Seeds",$B$4,"Variety",SeedOrder[[#This Row],[Variety]],"Company",SeedOrder[[#This Row],[Company]])</f>
        <v>58.5</v>
      </c>
      <c r="T38" s="172">
        <v>0.5</v>
      </c>
      <c r="U38" s="27" t="s">
        <v>1243</v>
      </c>
      <c r="V38" s="175">
        <v>8.6999999999999993</v>
      </c>
      <c r="W38" s="27">
        <v>1</v>
      </c>
      <c r="X38" s="27"/>
      <c r="Y38">
        <f>SeedOrder[[#This Row],[Product Weight]]*SeedOrder[[#This Row],[Product Quantity]]</f>
        <v>0.5</v>
      </c>
      <c r="Z38" s="164">
        <f>IFERROR(CONVERT(S38/SeedOrder[[#This Row],[Density]],SeedOrder[[#This Row],[Density Per]],"g"),"")</f>
        <v>0.19500000000000001</v>
      </c>
      <c r="AA38" s="164">
        <f>IFERROR(CONVERT(S38/SeedOrder[[#This Row],[Density]],SeedOrder[[#This Row],[Density Per]],"ozm"),"")</f>
        <v>6.8784225801681803E-3</v>
      </c>
      <c r="AB38" s="164">
        <f>IFERROR(CONVERT(S38/SeedOrder[[#This Row],[Density]],SeedOrder[[#This Row],[Density Per]],"lbm"),"")</f>
        <v>4.2990141126051127E-4</v>
      </c>
      <c r="AC38" s="174" cm="1">
        <f t="array" ref="AC38">IFERROR(SeedOrder[[#This Row],[Order Weight]]/IF(SeedOrder[[#This Row],[Weight Unit]]="ct",SeedOrder[[#This Row],[Needed]],_xlfn.SWITCH(SeedOrder[[#This Row],[Weight Unit]],"g",SeedOrder[[#This Row],[Needed (g)]],"ozm",SeedOrder[[#This Row],[Needed (ozm)]],"lbm",SeedOrder[[#This Row],[Needed (lbm)]])),"")</f>
        <v>2.5641025641025639</v>
      </c>
      <c r="AD38" s="36">
        <f>SeedOrder[[#This Row],[Product Quantity]]*SeedOrder[[#This Row],[Product Cost]]</f>
        <v>8.6999999999999993</v>
      </c>
      <c r="AG38" s="32" t="b">
        <f>SeedOrder[[#This Row],[Id]]=J37</f>
        <v>0</v>
      </c>
      <c r="AH38" s="37" t="b">
        <f>_xlfn.XLOOKUP(SeedOrder[[#This Row],[Id]],Varieties[Id],Varieties[Organic])</f>
        <v>1</v>
      </c>
    </row>
    <row r="39" spans="1:35" ht="15" customHeight="1">
      <c r="A39" t="str">
        <f t="shared" si="0"/>
        <v>High Mowing Cosmic Purple</v>
      </c>
      <c r="B39" t="s">
        <v>53</v>
      </c>
      <c r="C39" t="s">
        <v>482</v>
      </c>
      <c r="D39" t="s">
        <v>2802</v>
      </c>
      <c r="E39" s="32">
        <v>4680</v>
      </c>
      <c r="G39" t="e">
        <f>MATCH(C39&amp;" " &amp;D39,SeedOrder[Id],0)</f>
        <v>#N/A</v>
      </c>
      <c r="I39" s="32">
        <f>MATCH(SeedOrder[[#This Row],[Id]],$A$6:$A$264,)</f>
        <v>155</v>
      </c>
      <c r="J39" t="str">
        <f>SeedOrder[[#This Row],[Company]]&amp; " " &amp; SeedOrder[[#This Row],[Variety]]</f>
        <v>Adaptive Spring King</v>
      </c>
      <c r="K39" t="s">
        <v>136</v>
      </c>
      <c r="L39" t="s">
        <v>488</v>
      </c>
      <c r="M39" t="s">
        <v>3016</v>
      </c>
      <c r="N39" t="s">
        <v>2946</v>
      </c>
      <c r="O39" t="s">
        <v>2946</v>
      </c>
      <c r="P39" s="161">
        <f>_xlfn.XLOOKUP(SeedOrder[[#This Row],[Id]],Varieties[Id],Varieties[Density])</f>
        <v>300</v>
      </c>
      <c r="Q39" s="37" t="str">
        <f>_xlfn.XLOOKUP(SeedOrder[[#This Row],[Id]],Varieties[Id],Varieties[Density Per])</f>
        <v>g</v>
      </c>
      <c r="R39" s="171" t="str">
        <f>HYPERLINK(_xlfn.XLOOKUP(SeedOrder[[#This Row],[Id]],Varieties[Id],Varieties[Website]), "Link")</f>
        <v>Link</v>
      </c>
      <c r="S39" s="161">
        <f>GETPIVOTDATA("Seeds",$B$4,"Variety",SeedOrder[[#This Row],[Variety]],"Company",SeedOrder[[#This Row],[Company]])</f>
        <v>52</v>
      </c>
      <c r="T39" s="162">
        <v>0.5</v>
      </c>
      <c r="U39" s="27" t="s">
        <v>1243</v>
      </c>
      <c r="V39" s="163">
        <v>8.6999999999999993</v>
      </c>
      <c r="W39" s="27">
        <v>1</v>
      </c>
      <c r="X39" s="27"/>
      <c r="Y39">
        <f>SeedOrder[[#This Row],[Product Weight]]*SeedOrder[[#This Row],[Product Quantity]]</f>
        <v>0.5</v>
      </c>
      <c r="Z39" s="164">
        <f>IFERROR(CONVERT(S39/SeedOrder[[#This Row],[Density]],SeedOrder[[#This Row],[Density Per]],"g"),"")</f>
        <v>0.17333333333333334</v>
      </c>
      <c r="AA39" s="164">
        <f>IFERROR(CONVERT(S39/SeedOrder[[#This Row],[Density]],SeedOrder[[#This Row],[Density Per]],"ozm"),"")</f>
        <v>6.114153404593938E-3</v>
      </c>
      <c r="AB39" s="164">
        <f>IFERROR(CONVERT(S39/SeedOrder[[#This Row],[Density]],SeedOrder[[#This Row],[Density Per]],"lbm"),"")</f>
        <v>3.8213458778712112E-4</v>
      </c>
      <c r="AC39" s="165" cm="1">
        <f t="array" ref="AC39">IFERROR(SeedOrder[[#This Row],[Order Weight]]/IF(SeedOrder[[#This Row],[Weight Unit]]="ct",SeedOrder[[#This Row],[Needed]],_xlfn.SWITCH(SeedOrder[[#This Row],[Weight Unit]],"g",SeedOrder[[#This Row],[Needed (g)]],"ozm",SeedOrder[[#This Row],[Needed (ozm)]],"lbm",SeedOrder[[#This Row],[Needed (lbm)]])),"")</f>
        <v>2.8846153846153846</v>
      </c>
      <c r="AD39" s="166">
        <f>SeedOrder[[#This Row],[Product Quantity]]*SeedOrder[[#This Row],[Product Cost]]</f>
        <v>8.6999999999999993</v>
      </c>
      <c r="AG39" s="32" t="b">
        <f>SeedOrder[[#This Row],[Id]]=J38</f>
        <v>0</v>
      </c>
      <c r="AH39" s="37" t="b">
        <f>_xlfn.XLOOKUP(SeedOrder[[#This Row],[Id]],Varieties[Id],Varieties[Organic])</f>
        <v>1</v>
      </c>
    </row>
    <row r="40" spans="1:35" ht="15" customHeight="1">
      <c r="A40" t="str">
        <f t="shared" si="0"/>
        <v>High Mowing Dolciva F1</v>
      </c>
      <c r="B40" t="s">
        <v>53</v>
      </c>
      <c r="C40" t="s">
        <v>482</v>
      </c>
      <c r="D40" t="s">
        <v>2804</v>
      </c>
      <c r="E40" s="32">
        <v>3120</v>
      </c>
      <c r="G40">
        <f>MATCH(C40&amp;" " &amp;D40,SeedOrder[Id],0)</f>
        <v>9</v>
      </c>
      <c r="I40" s="32">
        <f>MATCH(SeedOrder[[#This Row],[Id]],$A$6:$A$264,)</f>
        <v>154</v>
      </c>
      <c r="J40" t="str">
        <f>SeedOrder[[#This Row],[Company]]&amp; " " &amp; SeedOrder[[#This Row],[Variety]]</f>
        <v>Adaptive Tiffen Mennonite</v>
      </c>
      <c r="K40" t="s">
        <v>136</v>
      </c>
      <c r="L40" t="s">
        <v>488</v>
      </c>
      <c r="M40" t="s">
        <v>2947</v>
      </c>
      <c r="N40" t="s">
        <v>2946</v>
      </c>
      <c r="O40" t="s">
        <v>2946</v>
      </c>
      <c r="P40" s="161">
        <f>_xlfn.XLOOKUP(SeedOrder[[#This Row],[Id]],Varieties[Id],Varieties[Density])</f>
        <v>200</v>
      </c>
      <c r="Q40" s="37" t="str">
        <f>_xlfn.XLOOKUP(SeedOrder[[#This Row],[Id]],Varieties[Id],Varieties[Density Per])</f>
        <v>g</v>
      </c>
      <c r="R40" s="171" t="str">
        <f>HYPERLINK(_xlfn.XLOOKUP(SeedOrder[[#This Row],[Id]],Varieties[Id],Varieties[Website]), "Link")</f>
        <v>Link</v>
      </c>
      <c r="S40" s="161">
        <f>GETPIVOTDATA("Seeds",$B$4,"Variety",SeedOrder[[#This Row],[Variety]],"Company",SeedOrder[[#This Row],[Company]])</f>
        <v>97.283333333333331</v>
      </c>
      <c r="T40" s="162">
        <v>0.5</v>
      </c>
      <c r="U40" s="27" t="s">
        <v>1243</v>
      </c>
      <c r="V40" s="163">
        <v>9.57</v>
      </c>
      <c r="W40" s="27">
        <v>1</v>
      </c>
      <c r="X40" s="27"/>
      <c r="Y40">
        <f>SeedOrder[[#This Row],[Product Weight]]*SeedOrder[[#This Row],[Product Quantity]]</f>
        <v>0.5</v>
      </c>
      <c r="Z40" s="164">
        <f>IFERROR(CONVERT(S40/SeedOrder[[#This Row],[Density]],SeedOrder[[#This Row],[Density Per]],"g"),"")</f>
        <v>0.48641666666666666</v>
      </c>
      <c r="AA40" s="164">
        <f>IFERROR(CONVERT(S40/SeedOrder[[#This Row],[Density]],SeedOrder[[#This Row],[Density Per]],"ozm"),"")</f>
        <v>1.7157842991641737E-2</v>
      </c>
      <c r="AB40" s="164">
        <f>IFERROR(CONVERT(S40/SeedOrder[[#This Row],[Density]],SeedOrder[[#This Row],[Density Per]],"lbm"),"")</f>
        <v>1.0723651869776086E-3</v>
      </c>
      <c r="AC40" s="165" cm="1">
        <f t="array" ref="AC40">IFERROR(SeedOrder[[#This Row],[Order Weight]]/IF(SeedOrder[[#This Row],[Weight Unit]]="ct",SeedOrder[[#This Row],[Needed]],_xlfn.SWITCH(SeedOrder[[#This Row],[Weight Unit]],"g",SeedOrder[[#This Row],[Needed (g)]],"ozm",SeedOrder[[#This Row],[Needed (ozm)]],"lbm",SeedOrder[[#This Row],[Needed (lbm)]])),"")</f>
        <v>1.0279253040945691</v>
      </c>
      <c r="AD40" s="166">
        <f>SeedOrder[[#This Row],[Product Quantity]]*SeedOrder[[#This Row],[Product Cost]]</f>
        <v>9.57</v>
      </c>
      <c r="AG40" s="32" t="b">
        <f>SeedOrder[[#This Row],[Id]]=J39</f>
        <v>0</v>
      </c>
      <c r="AH40" s="37" t="b">
        <f>_xlfn.XLOOKUP(SeedOrder[[#This Row],[Id]],Varieties[Id],Varieties[Organic])</f>
        <v>1</v>
      </c>
    </row>
    <row r="41" spans="1:35" ht="15" customHeight="1">
      <c r="A41" t="str">
        <f t="shared" si="0"/>
        <v>High Mowing Narvik</v>
      </c>
      <c r="B41" t="s">
        <v>53</v>
      </c>
      <c r="C41" t="s">
        <v>482</v>
      </c>
      <c r="D41" t="s">
        <v>2817</v>
      </c>
      <c r="E41" s="32">
        <v>3120</v>
      </c>
      <c r="G41">
        <f>MATCH(C41&amp;" " &amp;D41,SeedOrder[Id],0)</f>
        <v>10</v>
      </c>
      <c r="I41" s="32">
        <f>MATCH(SeedOrder[[#This Row],[Id]],$A$6:$A$264,)</f>
        <v>194</v>
      </c>
      <c r="J41" t="str">
        <f>SeedOrder[[#This Row],[Company]]&amp; " " &amp; SeedOrder[[#This Row],[Variety]]</f>
        <v>Harris Red Racer</v>
      </c>
      <c r="K41" t="s">
        <v>136</v>
      </c>
      <c r="L41" t="s">
        <v>3014</v>
      </c>
      <c r="M41" t="s">
        <v>3013</v>
      </c>
      <c r="N41" t="s">
        <v>2946</v>
      </c>
      <c r="O41" t="s">
        <v>2946</v>
      </c>
      <c r="P41" s="161" t="str">
        <f>_xlfn.XLOOKUP(SeedOrder[[#This Row],[Id]],Varieties[Id],Varieties[Density])</f>
        <v>By Count</v>
      </c>
      <c r="Q41" s="37">
        <f>_xlfn.XLOOKUP(SeedOrder[[#This Row],[Id]],Varieties[Id],Varieties[Density Per])</f>
        <v>0</v>
      </c>
      <c r="R41" s="171" t="str">
        <f>HYPERLINK(_xlfn.XLOOKUP(SeedOrder[[#This Row],[Id]],Varieties[Id],Varieties[Website]), "Link")</f>
        <v>Link</v>
      </c>
      <c r="S41" s="161">
        <f>GETPIVOTDATA("Seeds",$B$4,"Variety",SeedOrder[[#This Row],[Variety]],"Company",SeedOrder[[#This Row],[Company]])</f>
        <v>58.5</v>
      </c>
      <c r="T41" s="162">
        <v>100</v>
      </c>
      <c r="U41" s="27" t="s">
        <v>1244</v>
      </c>
      <c r="V41" s="27">
        <v>13.93</v>
      </c>
      <c r="W41" s="27">
        <v>1</v>
      </c>
      <c r="X41" s="27"/>
      <c r="Y41">
        <f>SeedOrder[[#This Row],[Product Weight]]*SeedOrder[[#This Row],[Product Quantity]]</f>
        <v>100</v>
      </c>
      <c r="Z41" s="164" t="str">
        <f>IFERROR(CONVERT(S41/SeedOrder[[#This Row],[Density]],SeedOrder[[#This Row],[Density Per]],"g"),"")</f>
        <v/>
      </c>
      <c r="AA41" s="164" t="str">
        <f>IFERROR(CONVERT(S41/SeedOrder[[#This Row],[Density]],SeedOrder[[#This Row],[Density Per]],"ozm"),"")</f>
        <v/>
      </c>
      <c r="AB41" s="164" t="str">
        <f>IFERROR(CONVERT(S41/SeedOrder[[#This Row],[Density]],SeedOrder[[#This Row],[Density Per]],"lbm"),"")</f>
        <v/>
      </c>
      <c r="AC41" s="165" cm="1">
        <f t="array" ref="AC41">IFERROR(SeedOrder[[#This Row],[Order Weight]]/IF(SeedOrder[[#This Row],[Weight Unit]]="ct",SeedOrder[[#This Row],[Needed]],_xlfn.SWITCH(SeedOrder[[#This Row],[Weight Unit]],"g",SeedOrder[[#This Row],[Needed (g)]],"ozm",SeedOrder[[#This Row],[Needed (ozm)]],"lbm",SeedOrder[[#This Row],[Needed (lbm)]])),"")</f>
        <v>1.7094017094017093</v>
      </c>
      <c r="AD41" s="166">
        <f>SeedOrder[[#This Row],[Product Quantity]]*SeedOrder[[#This Row],[Product Cost]]</f>
        <v>13.93</v>
      </c>
      <c r="AG41" s="32" t="b">
        <f>SeedOrder[[#This Row],[Id]]=J40</f>
        <v>0</v>
      </c>
      <c r="AH41" s="37" t="b">
        <f>_xlfn.XLOOKUP(SeedOrder[[#This Row],[Id]],Varieties[Id],Varieties[Organic])</f>
        <v>1</v>
      </c>
    </row>
    <row r="42" spans="1:35" ht="15" customHeight="1">
      <c r="A42" t="str">
        <f t="shared" si="0"/>
        <v>Johnny's Bolero F1</v>
      </c>
      <c r="B42" t="s">
        <v>53</v>
      </c>
      <c r="C42" t="s">
        <v>490</v>
      </c>
      <c r="D42" t="s">
        <v>2212</v>
      </c>
      <c r="E42" s="32">
        <v>3120</v>
      </c>
      <c r="G42">
        <f>MATCH(C42&amp;" " &amp;D42,SeedOrder[Id],0)</f>
        <v>11</v>
      </c>
      <c r="I42" s="32">
        <f>MATCH(SeedOrder[[#This Row],[Id]],$A$6:$A$264,)</f>
        <v>158</v>
      </c>
      <c r="J42" t="str">
        <f>SeedOrder[[#This Row],[Company]]&amp; " " &amp; SeedOrder[[#This Row],[Variety]]</f>
        <v>Johnnys Woodstock</v>
      </c>
      <c r="K42" t="s">
        <v>136</v>
      </c>
      <c r="L42" t="s">
        <v>1762</v>
      </c>
      <c r="M42" t="s">
        <v>3037</v>
      </c>
      <c r="N42" t="s">
        <v>2946</v>
      </c>
      <c r="O42" t="s">
        <v>2946</v>
      </c>
      <c r="P42" s="161">
        <f>_xlfn.XLOOKUP(SeedOrder[[#This Row],[Id]],Varieties[Id],Varieties[Density])</f>
        <v>118300</v>
      </c>
      <c r="Q42" s="37" t="str">
        <f>_xlfn.XLOOKUP(SeedOrder[[#This Row],[Id]],Varieties[Id],Varieties[Density Per])</f>
        <v>lbm</v>
      </c>
      <c r="R42" s="171" t="str">
        <f>HYPERLINK(_xlfn.XLOOKUP(SeedOrder[[#This Row],[Id]],Varieties[Id],Varieties[Website]), "Link")</f>
        <v>Link</v>
      </c>
      <c r="S42" s="161">
        <f>GETPIVOTDATA("Seeds",$B$4,"Variety",SeedOrder[[#This Row],[Variety]],"Company",SeedOrder[[#This Row],[Company]])</f>
        <v>35.1</v>
      </c>
      <c r="T42" s="162">
        <v>15</v>
      </c>
      <c r="U42" s="27" t="s">
        <v>1244</v>
      </c>
      <c r="V42" s="163">
        <v>6.75</v>
      </c>
      <c r="W42" s="27">
        <v>1</v>
      </c>
      <c r="X42" s="27"/>
      <c r="Y42">
        <f>SeedOrder[[#This Row],[Product Weight]]*SeedOrder[[#This Row],[Product Quantity]]</f>
        <v>15</v>
      </c>
      <c r="Z42" s="164">
        <f>IFERROR(CONVERT(S42/SeedOrder[[#This Row],[Density]],SeedOrder[[#This Row],[Density Per]],"g"),"")</f>
        <v>0.13458235153846154</v>
      </c>
      <c r="AA42" s="164">
        <f>IFERROR(CONVERT(S42/SeedOrder[[#This Row],[Density]],SeedOrder[[#This Row],[Density Per]],"ozm"),"")</f>
        <v>4.7472527472527471E-3</v>
      </c>
      <c r="AB42" s="164">
        <f>IFERROR(CONVERT(S42/SeedOrder[[#This Row],[Density]],SeedOrder[[#This Row],[Density Per]],"lbm"),"")</f>
        <v>2.9670329670329669E-4</v>
      </c>
      <c r="AC42" s="165" cm="1">
        <f t="array" ref="AC42">IFERROR(SeedOrder[[#This Row],[Order Weight]]/IF(SeedOrder[[#This Row],[Weight Unit]]="ct",SeedOrder[[#This Row],[Needed]],_xlfn.SWITCH(SeedOrder[[#This Row],[Weight Unit]],"g",SeedOrder[[#This Row],[Needed (g)]],"ozm",SeedOrder[[#This Row],[Needed (ozm)]],"lbm",SeedOrder[[#This Row],[Needed (lbm)]])),"")</f>
        <v>0.42735042735042733</v>
      </c>
      <c r="AD42" s="166">
        <f>SeedOrder[[#This Row],[Product Quantity]]*SeedOrder[[#This Row],[Product Cost]]</f>
        <v>6.75</v>
      </c>
      <c r="AG42" s="32" t="b">
        <f>SeedOrder[[#This Row],[Id]]=J41</f>
        <v>0</v>
      </c>
      <c r="AH42" s="37" t="b">
        <f>_xlfn.XLOOKUP(SeedOrder[[#This Row],[Id]],Varieties[Id],Varieties[Organic])</f>
        <v>1</v>
      </c>
    </row>
    <row r="43" spans="1:35" ht="15" customHeight="1">
      <c r="A43" t="str">
        <f t="shared" si="0"/>
        <v>Johnny's Yellowstone</v>
      </c>
      <c r="B43" t="s">
        <v>53</v>
      </c>
      <c r="C43" t="s">
        <v>490</v>
      </c>
      <c r="D43" t="s">
        <v>2803</v>
      </c>
      <c r="E43" s="32">
        <v>4680</v>
      </c>
      <c r="G43" t="e">
        <f>MATCH(C43&amp;" " &amp;D43,SeedOrder[Id],0)</f>
        <v>#N/A</v>
      </c>
      <c r="I43" s="32">
        <f>MATCH(SeedOrder[[#This Row],[Id]],$A$6:$A$264,)</f>
        <v>168</v>
      </c>
      <c r="J43" t="str">
        <f>SeedOrder[[#This Row],[Company]]&amp; " " &amp; SeedOrder[[#This Row],[Variety]]</f>
        <v>Johnny's German Johnson</v>
      </c>
      <c r="K43" t="s">
        <v>136</v>
      </c>
      <c r="L43" t="s">
        <v>490</v>
      </c>
      <c r="M43" t="s">
        <v>3033</v>
      </c>
      <c r="N43" t="s">
        <v>2946</v>
      </c>
      <c r="O43" t="s">
        <v>2946</v>
      </c>
      <c r="P43" s="161">
        <f>_xlfn.XLOOKUP(SeedOrder[[#This Row],[Id]],Varieties[Id],Varieties[Density])</f>
        <v>12100</v>
      </c>
      <c r="Q43" s="37" t="str">
        <f>_xlfn.XLOOKUP(SeedOrder[[#This Row],[Id]],Varieties[Id],Varieties[Density Per])</f>
        <v>ozm</v>
      </c>
      <c r="R43" s="171" t="str">
        <f>HYPERLINK(_xlfn.XLOOKUP(SeedOrder[[#This Row],[Id]],Varieties[Id],Varieties[Website]), "Link")</f>
        <v>Link</v>
      </c>
      <c r="S43" s="161">
        <f>GETPIVOTDATA("Seeds",$B$4,"Variety",SeedOrder[[#This Row],[Variety]],"Company",SeedOrder[[#This Row],[Company]])</f>
        <v>35.1</v>
      </c>
      <c r="T43" s="162">
        <v>250</v>
      </c>
      <c r="U43" s="27" t="s">
        <v>1244</v>
      </c>
      <c r="V43" s="163">
        <v>9.0500000000000007</v>
      </c>
      <c r="W43" s="27">
        <v>1</v>
      </c>
      <c r="X43" s="27"/>
      <c r="Y43">
        <f>SeedOrder[[#This Row],[Product Weight]]*SeedOrder[[#This Row],[Product Quantity]]</f>
        <v>250</v>
      </c>
      <c r="Z43" s="164">
        <f>IFERROR(CONVERT(S43/SeedOrder[[#This Row],[Density]],SeedOrder[[#This Row],[Density Per]],"g"),"")</f>
        <v>8.2237046420454554E-2</v>
      </c>
      <c r="AA43" s="164">
        <f>IFERROR(CONVERT(S43/SeedOrder[[#This Row],[Density]],SeedOrder[[#This Row],[Density Per]],"ozm"),"")</f>
        <v>2.9008264462809918E-3</v>
      </c>
      <c r="AB43" s="164">
        <f>IFERROR(CONVERT(S43/SeedOrder[[#This Row],[Density]],SeedOrder[[#This Row],[Density Per]],"lbm"),"")</f>
        <v>1.8130165289256199E-4</v>
      </c>
      <c r="AC43" s="165" cm="1">
        <f t="array" ref="AC43">IFERROR(SeedOrder[[#This Row],[Order Weight]]/IF(SeedOrder[[#This Row],[Weight Unit]]="ct",SeedOrder[[#This Row],[Needed]],_xlfn.SWITCH(SeedOrder[[#This Row],[Weight Unit]],"g",SeedOrder[[#This Row],[Needed (g)]],"ozm",SeedOrder[[#This Row],[Needed (ozm)]],"lbm",SeedOrder[[#This Row],[Needed (lbm)]])),"")</f>
        <v>7.1225071225071224</v>
      </c>
      <c r="AD43" s="166">
        <f>SeedOrder[[#This Row],[Product Quantity]]*SeedOrder[[#This Row],[Product Cost]]</f>
        <v>9.0500000000000007</v>
      </c>
      <c r="AG43" s="32" t="b">
        <f>SeedOrder[[#This Row],[Id]]=J42</f>
        <v>0</v>
      </c>
      <c r="AH43" s="37" t="b">
        <f>_xlfn.XLOOKUP(SeedOrder[[#This Row],[Id]],Varieties[Id],Varieties[Organic])</f>
        <v>1</v>
      </c>
    </row>
    <row r="44" spans="1:35" ht="15" customHeight="1">
      <c r="A44" t="str">
        <f t="shared" si="0"/>
        <v>Johnny's Mokum</v>
      </c>
      <c r="B44" t="s">
        <v>53</v>
      </c>
      <c r="C44" t="s">
        <v>490</v>
      </c>
      <c r="D44" t="s">
        <v>2801</v>
      </c>
      <c r="E44" s="32">
        <v>4680</v>
      </c>
      <c r="G44" t="e">
        <f>MATCH(C44&amp;" " &amp;D44,SeedOrder[Id],0)</f>
        <v>#N/A</v>
      </c>
      <c r="I44" s="32">
        <f>MATCH(SeedOrder[[#This Row],[Id]],$A$6:$A$264,)</f>
        <v>169</v>
      </c>
      <c r="J44" t="str">
        <f>SeedOrder[[#This Row],[Company]]&amp; " " &amp; SeedOrder[[#This Row],[Variety]]</f>
        <v>Johnny's Gin Fizz</v>
      </c>
      <c r="K44" t="s">
        <v>136</v>
      </c>
      <c r="L44" t="s">
        <v>490</v>
      </c>
      <c r="M44" t="s">
        <v>3039</v>
      </c>
      <c r="N44" t="s">
        <v>2946</v>
      </c>
      <c r="O44" t="s">
        <v>2946</v>
      </c>
      <c r="P44" s="161">
        <f>_xlfn.XLOOKUP(SeedOrder[[#This Row],[Id]],Varieties[Id],Varieties[Density])</f>
        <v>139600</v>
      </c>
      <c r="Q44" s="37" t="str">
        <f>_xlfn.XLOOKUP(SeedOrder[[#This Row],[Id]],Varieties[Id],Varieties[Density Per])</f>
        <v>lbm</v>
      </c>
      <c r="R44" s="171" t="str">
        <f>HYPERLINK(_xlfn.XLOOKUP(SeedOrder[[#This Row],[Id]],Varieties[Id],Varieties[Website]), "Link")</f>
        <v>Link</v>
      </c>
      <c r="S44" s="161">
        <f>GETPIVOTDATA("Seeds",$B$4,"Variety",SeedOrder[[#This Row],[Variety]],"Company",SeedOrder[[#This Row],[Company]])</f>
        <v>35.1</v>
      </c>
      <c r="T44" s="162">
        <v>50</v>
      </c>
      <c r="U44" s="27" t="s">
        <v>1244</v>
      </c>
      <c r="V44" s="27">
        <v>48.15</v>
      </c>
      <c r="W44" s="27">
        <v>1</v>
      </c>
      <c r="X44" s="27"/>
      <c r="Y44">
        <f>SeedOrder[[#This Row],[Product Weight]]*SeedOrder[[#This Row],[Product Quantity]]</f>
        <v>50</v>
      </c>
      <c r="Z44" s="164">
        <f>IFERROR(CONVERT(S44/SeedOrder[[#This Row],[Density]],SeedOrder[[#This Row],[Density Per]],"g"),"")</f>
        <v>0.11404793830229226</v>
      </c>
      <c r="AA44" s="164">
        <f>IFERROR(CONVERT(S44/SeedOrder[[#This Row],[Density]],SeedOrder[[#This Row],[Density Per]],"ozm"),"")</f>
        <v>4.0229226361031519E-3</v>
      </c>
      <c r="AB44" s="164">
        <f>IFERROR(CONVERT(S44/SeedOrder[[#This Row],[Density]],SeedOrder[[#This Row],[Density Per]],"lbm"),"")</f>
        <v>2.5143266475644699E-4</v>
      </c>
      <c r="AC44" s="165" cm="1">
        <f t="array" ref="AC44">IFERROR(SeedOrder[[#This Row],[Order Weight]]/IF(SeedOrder[[#This Row],[Weight Unit]]="ct",SeedOrder[[#This Row],[Needed]],_xlfn.SWITCH(SeedOrder[[#This Row],[Weight Unit]],"g",SeedOrder[[#This Row],[Needed (g)]],"ozm",SeedOrder[[#This Row],[Needed (ozm)]],"lbm",SeedOrder[[#This Row],[Needed (lbm)]])),"")</f>
        <v>1.4245014245014245</v>
      </c>
      <c r="AD44" s="166">
        <f>SeedOrder[[#This Row],[Product Quantity]]*SeedOrder[[#This Row],[Product Cost]]</f>
        <v>48.15</v>
      </c>
      <c r="AG44" s="32" t="b">
        <f>SeedOrder[[#This Row],[Id]]=J43</f>
        <v>0</v>
      </c>
      <c r="AH44" s="37" t="b">
        <f>_xlfn.XLOOKUP(SeedOrder[[#This Row],[Id]],Varieties[Id],Varieties[Organic])</f>
        <v>1</v>
      </c>
    </row>
    <row r="45" spans="1:35" ht="15" customHeight="1">
      <c r="A45" t="str">
        <f t="shared" si="0"/>
        <v>Osborne Napoli F1</v>
      </c>
      <c r="B45" t="s">
        <v>53</v>
      </c>
      <c r="C45" t="s">
        <v>503</v>
      </c>
      <c r="D45" t="s">
        <v>502</v>
      </c>
      <c r="E45" s="32">
        <v>4680</v>
      </c>
      <c r="G45" t="e">
        <f>MATCH(C45&amp;" " &amp;D45,SeedOrder[Id],0)</f>
        <v>#N/A</v>
      </c>
      <c r="I45" s="32">
        <f>MATCH(SeedOrder[[#This Row],[Id]],$A$6:$A$264,)</f>
        <v>167</v>
      </c>
      <c r="J45" t="str">
        <f>SeedOrder[[#This Row],[Company]]&amp; " " &amp; SeedOrder[[#This Row],[Variety]]</f>
        <v>Johnny's Marbonne</v>
      </c>
      <c r="K45" t="s">
        <v>136</v>
      </c>
      <c r="L45" t="s">
        <v>490</v>
      </c>
      <c r="M45" t="s">
        <v>3032</v>
      </c>
      <c r="N45" t="s">
        <v>2946</v>
      </c>
      <c r="O45" t="s">
        <v>2946</v>
      </c>
      <c r="P45" s="161">
        <f>_xlfn.XLOOKUP(SeedOrder[[#This Row],[Id]],Varieties[Id],Varieties[Density])</f>
        <v>8900</v>
      </c>
      <c r="Q45" s="37" t="str">
        <f>_xlfn.XLOOKUP(SeedOrder[[#This Row],[Id]],Varieties[Id],Varieties[Density Per])</f>
        <v>ozm</v>
      </c>
      <c r="R45" s="171" t="str">
        <f>HYPERLINK(_xlfn.XLOOKUP(SeedOrder[[#This Row],[Id]],Varieties[Id],Varieties[Website]), "Link")</f>
        <v>Link</v>
      </c>
      <c r="S45" s="161">
        <f>GETPIVOTDATA("Seeds",$B$4,"Variety",SeedOrder[[#This Row],[Variety]],"Company",SeedOrder[[#This Row],[Company]])</f>
        <v>105.3</v>
      </c>
      <c r="T45" s="162">
        <v>100</v>
      </c>
      <c r="U45" s="27" t="s">
        <v>1244</v>
      </c>
      <c r="V45" s="163">
        <v>99.5</v>
      </c>
      <c r="W45" s="27">
        <v>1</v>
      </c>
      <c r="X45" s="27"/>
      <c r="Y45">
        <f>SeedOrder[[#This Row],[Product Weight]]*SeedOrder[[#This Row],[Product Quantity]]</f>
        <v>100</v>
      </c>
      <c r="Z45" s="164">
        <f>IFERROR(CONVERT(S45/SeedOrder[[#This Row],[Density]],SeedOrder[[#This Row],[Density Per]],"g"),"")</f>
        <v>0.33541626798455054</v>
      </c>
      <c r="AA45" s="164">
        <f>IFERROR(CONVERT(S45/SeedOrder[[#This Row],[Density]],SeedOrder[[#This Row],[Density Per]],"ozm"),"")</f>
        <v>1.1831460674157301E-2</v>
      </c>
      <c r="AB45" s="164">
        <f>IFERROR(CONVERT(S45/SeedOrder[[#This Row],[Density]],SeedOrder[[#This Row],[Density Per]],"lbm"),"")</f>
        <v>7.3946629213483134E-4</v>
      </c>
      <c r="AC45" s="165" cm="1">
        <f t="array" ref="AC45">IFERROR(SeedOrder[[#This Row],[Order Weight]]/IF(SeedOrder[[#This Row],[Weight Unit]]="ct",SeedOrder[[#This Row],[Needed]],_xlfn.SWITCH(SeedOrder[[#This Row],[Weight Unit]],"g",SeedOrder[[#This Row],[Needed (g)]],"ozm",SeedOrder[[#This Row],[Needed (ozm)]],"lbm",SeedOrder[[#This Row],[Needed (lbm)]])),"")</f>
        <v>0.94966761633428298</v>
      </c>
      <c r="AD45" s="166">
        <f>SeedOrder[[#This Row],[Product Quantity]]*SeedOrder[[#This Row],[Product Cost]]</f>
        <v>99.5</v>
      </c>
      <c r="AG45" s="32" t="b">
        <f>SeedOrder[[#This Row],[Id]]=J44</f>
        <v>0</v>
      </c>
      <c r="AH45" s="37" t="b">
        <f>_xlfn.XLOOKUP(SeedOrder[[#This Row],[Id]],Varieties[Id],Varieties[Organic])</f>
        <v>0</v>
      </c>
      <c r="AI45" t="s">
        <v>2484</v>
      </c>
    </row>
    <row r="46" spans="1:35" ht="15" customHeight="1">
      <c r="A46" t="str">
        <f t="shared" si="0"/>
        <v>Johnny's Skywalker F1</v>
      </c>
      <c r="B46" t="s">
        <v>54</v>
      </c>
      <c r="C46" t="s">
        <v>490</v>
      </c>
      <c r="D46" t="s">
        <v>1907</v>
      </c>
      <c r="E46" s="32">
        <v>42.857142857142854</v>
      </c>
      <c r="G46" t="e">
        <f>MATCH(C46&amp;" " &amp;D46,SeedOrder[Id],0)</f>
        <v>#N/A</v>
      </c>
      <c r="I46" s="32">
        <f>MATCH(SeedOrder[[#This Row],[Id]],$A$6:$A$264,)</f>
        <v>166</v>
      </c>
      <c r="J46" t="str">
        <f>SeedOrder[[#This Row],[Company]]&amp; " " &amp; SeedOrder[[#This Row],[Variety]]</f>
        <v>Johnny's Margold</v>
      </c>
      <c r="K46" t="s">
        <v>136</v>
      </c>
      <c r="L46" t="s">
        <v>490</v>
      </c>
      <c r="M46" t="s">
        <v>3031</v>
      </c>
      <c r="N46" t="s">
        <v>2946</v>
      </c>
      <c r="O46" t="s">
        <v>2946</v>
      </c>
      <c r="P46" s="161">
        <f>_xlfn.XLOOKUP(SeedOrder[[#This Row],[Id]],Varieties[Id],Varieties[Density])</f>
        <v>9200</v>
      </c>
      <c r="Q46" s="37" t="str">
        <f>_xlfn.XLOOKUP(SeedOrder[[#This Row],[Id]],Varieties[Id],Varieties[Density Per])</f>
        <v>ozm</v>
      </c>
      <c r="R46" s="171" t="str">
        <f>HYPERLINK(_xlfn.XLOOKUP(SeedOrder[[#This Row],[Id]],Varieties[Id],Varieties[Website]), "Link")</f>
        <v>Link</v>
      </c>
      <c r="S46" s="161">
        <f>GETPIVOTDATA("Seeds",$B$4,"Variety",SeedOrder[[#This Row],[Variety]],"Company",SeedOrder[[#This Row],[Company]])</f>
        <v>105.3</v>
      </c>
      <c r="T46" s="162">
        <v>50</v>
      </c>
      <c r="U46" s="27" t="s">
        <v>1244</v>
      </c>
      <c r="V46" s="163">
        <v>74</v>
      </c>
      <c r="W46" s="27">
        <v>1</v>
      </c>
      <c r="X46" s="27"/>
      <c r="Y46">
        <f>SeedOrder[[#This Row],[Product Weight]]*SeedOrder[[#This Row],[Product Quantity]]</f>
        <v>50</v>
      </c>
      <c r="Z46" s="164">
        <f>IFERROR(CONVERT(S46/SeedOrder[[#This Row],[Density]],SeedOrder[[#This Row],[Density Per]],"g"),"")</f>
        <v>0.32447878098505434</v>
      </c>
      <c r="AA46" s="164">
        <f>IFERROR(CONVERT(S46/SeedOrder[[#This Row],[Density]],SeedOrder[[#This Row],[Density Per]],"ozm"),"")</f>
        <v>1.1445652173913043E-2</v>
      </c>
      <c r="AB46" s="164">
        <f>IFERROR(CONVERT(S46/SeedOrder[[#This Row],[Density]],SeedOrder[[#This Row],[Density Per]],"lbm"),"")</f>
        <v>7.1535326086956516E-4</v>
      </c>
      <c r="AC46" s="165" cm="1">
        <f t="array" ref="AC46">IFERROR(SeedOrder[[#This Row],[Order Weight]]/IF(SeedOrder[[#This Row],[Weight Unit]]="ct",SeedOrder[[#This Row],[Needed]],_xlfn.SWITCH(SeedOrder[[#This Row],[Weight Unit]],"g",SeedOrder[[#This Row],[Needed (g)]],"ozm",SeedOrder[[#This Row],[Needed (ozm)]],"lbm",SeedOrder[[#This Row],[Needed (lbm)]])),"")</f>
        <v>0.47483380816714149</v>
      </c>
      <c r="AD46" s="166">
        <f>SeedOrder[[#This Row],[Product Quantity]]*SeedOrder[[#This Row],[Product Cost]]</f>
        <v>74</v>
      </c>
      <c r="AG46" s="32" t="b">
        <f>SeedOrder[[#This Row],[Id]]=J45</f>
        <v>0</v>
      </c>
      <c r="AH46" s="37" t="b">
        <f>_xlfn.XLOOKUP(SeedOrder[[#This Row],[Id]],Varieties[Id],Varieties[Organic])</f>
        <v>0</v>
      </c>
      <c r="AI46" t="s">
        <v>2484</v>
      </c>
    </row>
    <row r="47" spans="1:35" ht="15" customHeight="1">
      <c r="A47" t="str">
        <f t="shared" si="0"/>
        <v>Johnny's Song TJS-65</v>
      </c>
      <c r="B47" t="s">
        <v>54</v>
      </c>
      <c r="C47" t="s">
        <v>490</v>
      </c>
      <c r="D47" t="s">
        <v>2809</v>
      </c>
      <c r="E47" s="32">
        <v>85.714285714285708</v>
      </c>
      <c r="G47" t="e">
        <f>MATCH(C47&amp;" " &amp;D47,SeedOrder[Id],0)</f>
        <v>#N/A</v>
      </c>
      <c r="I47" s="32">
        <f>MATCH(SeedOrder[[#This Row],[Id]],$A$6:$A$264,)</f>
        <v>170</v>
      </c>
      <c r="J47" t="str">
        <f>SeedOrder[[#This Row],[Company]]&amp; " " &amp; SeedOrder[[#This Row],[Variety]]</f>
        <v>Johnny's Marnero</v>
      </c>
      <c r="K47" t="s">
        <v>136</v>
      </c>
      <c r="L47" t="s">
        <v>490</v>
      </c>
      <c r="M47" t="s">
        <v>3070</v>
      </c>
      <c r="P47" s="161">
        <f>_xlfn.XLOOKUP(SeedOrder[[#This Row],[Id]],Varieties[Id],Varieties[Density])</f>
        <v>13100</v>
      </c>
      <c r="Q47" s="37" t="str">
        <f>_xlfn.XLOOKUP(SeedOrder[[#This Row],[Id]],Varieties[Id],Varieties[Density Per])</f>
        <v>ozm</v>
      </c>
      <c r="R47" s="171" t="str">
        <f>HYPERLINK(_xlfn.XLOOKUP(SeedOrder[[#This Row],[Id]],Varieties[Id],Varieties[Website]), "Link")</f>
        <v>Link</v>
      </c>
      <c r="S47" s="161">
        <f>GETPIVOTDATA("Seeds",$B$4,"Variety",SeedOrder[[#This Row],[Variety]],"Company",SeedOrder[[#This Row],[Company]])</f>
        <v>105.3</v>
      </c>
      <c r="T47" s="162"/>
      <c r="U47" s="27"/>
      <c r="V47" s="163"/>
      <c r="W47" s="27">
        <v>1</v>
      </c>
      <c r="X47" s="27"/>
      <c r="Y47">
        <f>SeedOrder[[#This Row],[Product Weight]]*SeedOrder[[#This Row],[Product Quantity]]</f>
        <v>0</v>
      </c>
      <c r="Z47" s="164">
        <f>IFERROR(CONVERT(S47/SeedOrder[[#This Row],[Density]],SeedOrder[[#This Row],[Density Per]],"g"),"")</f>
        <v>0.22787822786736642</v>
      </c>
      <c r="AA47" s="164">
        <f>IFERROR(CONVERT(S47/SeedOrder[[#This Row],[Density]],SeedOrder[[#This Row],[Density Per]],"ozm"),"")</f>
        <v>8.0381679389312979E-3</v>
      </c>
      <c r="AB47" s="164">
        <f>IFERROR(CONVERT(S47/SeedOrder[[#This Row],[Density]],SeedOrder[[#This Row],[Density Per]],"lbm"),"")</f>
        <v>5.0238549618320612E-4</v>
      </c>
      <c r="AC47" s="165" t="str" cm="1">
        <f t="array" ref="AC47">IFERROR(SeedOrder[[#This Row],[Order Weight]]/IF(SeedOrder[[#This Row],[Weight Unit]]="ct",SeedOrder[[#This Row],[Needed]],_xlfn.SWITCH(SeedOrder[[#This Row],[Weight Unit]],"g",SeedOrder[[#This Row],[Needed (g)]],"ozm",SeedOrder[[#This Row],[Needed (ozm)]],"lbm",SeedOrder[[#This Row],[Needed (lbm)]])),"")</f>
        <v/>
      </c>
      <c r="AD47" s="166">
        <f>SeedOrder[[#This Row],[Product Quantity]]*SeedOrder[[#This Row],[Product Cost]]</f>
        <v>0</v>
      </c>
      <c r="AG47" s="32" t="b">
        <f>SeedOrder[[#This Row],[Id]]=J46</f>
        <v>0</v>
      </c>
      <c r="AH47" s="37" t="b">
        <f>_xlfn.XLOOKUP(SeedOrder[[#This Row],[Id]],Varieties[Id],Varieties[Organic])</f>
        <v>0</v>
      </c>
      <c r="AI47" t="s">
        <v>2484</v>
      </c>
    </row>
    <row r="48" spans="1:35" ht="15" customHeight="1">
      <c r="A48" t="str">
        <f t="shared" si="0"/>
        <v>Johnny's Tessaury F1</v>
      </c>
      <c r="B48" t="s">
        <v>54</v>
      </c>
      <c r="C48" t="s">
        <v>490</v>
      </c>
      <c r="D48" t="s">
        <v>2805</v>
      </c>
      <c r="E48" s="32">
        <v>42.857142857142854</v>
      </c>
      <c r="G48" t="e">
        <f>MATCH(C48&amp;" " &amp;D48,SeedOrder[Id],0)</f>
        <v>#N/A</v>
      </c>
      <c r="I48" s="32">
        <f>MATCH(SeedOrder[[#This Row],[Id]],$A$6:$A$264,)</f>
        <v>165</v>
      </c>
      <c r="J48" t="str">
        <f>SeedOrder[[#This Row],[Company]]&amp; " " &amp; SeedOrder[[#This Row],[Variety]]</f>
        <v>Johnny's Washington Cherry</v>
      </c>
      <c r="K48" t="s">
        <v>136</v>
      </c>
      <c r="L48" t="s">
        <v>490</v>
      </c>
      <c r="M48" t="s">
        <v>3015</v>
      </c>
      <c r="N48" t="s">
        <v>2946</v>
      </c>
      <c r="O48" t="s">
        <v>2946</v>
      </c>
      <c r="P48" s="161">
        <f>_xlfn.XLOOKUP(SeedOrder[[#This Row],[Id]],Varieties[Id],Varieties[Density])</f>
        <v>15250</v>
      </c>
      <c r="Q48" s="37" t="str">
        <f>_xlfn.XLOOKUP(SeedOrder[[#This Row],[Id]],Varieties[Id],Varieties[Density Per])</f>
        <v>ozm</v>
      </c>
      <c r="R48" s="171" t="str">
        <f>HYPERLINK(_xlfn.XLOOKUP(SeedOrder[[#This Row],[Id]],Varieties[Id],Varieties[Website]), "Link")</f>
        <v>Link</v>
      </c>
      <c r="S48" s="161">
        <f>GETPIVOTDATA("Seeds",$B$4,"Variety",SeedOrder[[#This Row],[Variety]],"Company",SeedOrder[[#This Row],[Company]])</f>
        <v>36.5625</v>
      </c>
      <c r="T48" s="162">
        <v>250</v>
      </c>
      <c r="U48" s="27" t="s">
        <v>1244</v>
      </c>
      <c r="V48" s="163">
        <v>9.0500000000000007</v>
      </c>
      <c r="W48" s="27">
        <v>1</v>
      </c>
      <c r="X48" s="27"/>
      <c r="Y48">
        <f>SeedOrder[[#This Row],[Product Weight]]*SeedOrder[[#This Row],[Product Quantity]]</f>
        <v>250</v>
      </c>
      <c r="Z48" s="164">
        <f>IFERROR(CONVERT(S48/SeedOrder[[#This Row],[Density]],SeedOrder[[#This Row],[Density Per]],"g"),"")</f>
        <v>6.7969143557889342E-2</v>
      </c>
      <c r="AA48" s="164">
        <f>IFERROR(CONVERT(S48/SeedOrder[[#This Row],[Density]],SeedOrder[[#This Row],[Density Per]],"ozm"),"")</f>
        <v>2.3975409836065574E-3</v>
      </c>
      <c r="AB48" s="164">
        <f>IFERROR(CONVERT(S48/SeedOrder[[#This Row],[Density]],SeedOrder[[#This Row],[Density Per]],"lbm"),"")</f>
        <v>1.4984631147540984E-4</v>
      </c>
      <c r="AC48" s="165" cm="1">
        <f t="array" ref="AC48">IFERROR(SeedOrder[[#This Row],[Order Weight]]/IF(SeedOrder[[#This Row],[Weight Unit]]="ct",SeedOrder[[#This Row],[Needed]],_xlfn.SWITCH(SeedOrder[[#This Row],[Weight Unit]],"g",SeedOrder[[#This Row],[Needed (g)]],"ozm",SeedOrder[[#This Row],[Needed (ozm)]],"lbm",SeedOrder[[#This Row],[Needed (lbm)]])),"")</f>
        <v>6.8376068376068373</v>
      </c>
      <c r="AD48" s="166">
        <f>SeedOrder[[#This Row],[Product Quantity]]*SeedOrder[[#This Row],[Product Cost]]</f>
        <v>9.0500000000000007</v>
      </c>
      <c r="AG48" s="32" t="b">
        <f>SeedOrder[[#This Row],[Id]]=J47</f>
        <v>0</v>
      </c>
      <c r="AH48" s="37" t="b">
        <f>_xlfn.XLOOKUP(SeedOrder[[#This Row],[Id]],Varieties[Id],Varieties[Organic])</f>
        <v>1</v>
      </c>
    </row>
    <row r="49" spans="1:35" ht="15" customHeight="1">
      <c r="A49" t="str">
        <f t="shared" si="0"/>
        <v>Adaptive Ventura</v>
      </c>
      <c r="B49" t="s">
        <v>55</v>
      </c>
      <c r="C49" t="s">
        <v>488</v>
      </c>
      <c r="D49" t="s">
        <v>2217</v>
      </c>
      <c r="E49" s="32">
        <v>65</v>
      </c>
      <c r="G49" t="e">
        <f>MATCH(C49&amp;" " &amp;D49,SeedOrder[Id],0)</f>
        <v>#N/A</v>
      </c>
      <c r="I49" s="32">
        <f>MATCH(SeedOrder[[#This Row],[Id]],$A$6:$A$264,)</f>
        <v>172</v>
      </c>
      <c r="J49" t="str">
        <f>SeedOrder[[#This Row],[Company]]&amp; " " &amp; SeedOrder[[#This Row],[Variety]]</f>
        <v>Osborne Pork Chop</v>
      </c>
      <c r="K49" t="s">
        <v>136</v>
      </c>
      <c r="L49" t="s">
        <v>503</v>
      </c>
      <c r="M49" t="s">
        <v>965</v>
      </c>
      <c r="P49" s="161">
        <f>_xlfn.XLOOKUP(SeedOrder[[#This Row],[Id]],Varieties[Id],Varieties[Density])</f>
        <v>147000</v>
      </c>
      <c r="Q49" s="37" t="str">
        <f>_xlfn.XLOOKUP(SeedOrder[[#This Row],[Id]],Varieties[Id],Varieties[Density Per])</f>
        <v>lbm</v>
      </c>
      <c r="R49" s="171" t="str">
        <f>HYPERLINK(_xlfn.XLOOKUP(SeedOrder[[#This Row],[Id]],Varieties[Id],Varieties[Website]), "Link")</f>
        <v>Link</v>
      </c>
      <c r="S49" s="161">
        <f>GETPIVOTDATA("Seeds",$B$4,"Variety",SeedOrder[[#This Row],[Variety]],"Company",SeedOrder[[#This Row],[Company]])</f>
        <v>48.641666666666666</v>
      </c>
      <c r="T49" s="162"/>
      <c r="U49" s="27"/>
      <c r="V49" s="27"/>
      <c r="W49" s="27">
        <v>1</v>
      </c>
      <c r="X49" s="27" t="b">
        <v>1</v>
      </c>
      <c r="Y49">
        <f>SeedOrder[[#This Row],[Product Weight]]*SeedOrder[[#This Row],[Product Quantity]]</f>
        <v>0</v>
      </c>
      <c r="Z49" s="164">
        <f>IFERROR(CONVERT(S49/SeedOrder[[#This Row],[Density]],SeedOrder[[#This Row],[Density Per]],"g"),"")</f>
        <v>0.15009176098015872</v>
      </c>
      <c r="AA49" s="164">
        <f>IFERROR(CONVERT(S49/SeedOrder[[#This Row],[Density]],SeedOrder[[#This Row],[Density Per]],"ozm"),"")</f>
        <v>5.2943310657596367E-3</v>
      </c>
      <c r="AB49" s="164">
        <f>IFERROR(CONVERT(S49/SeedOrder[[#This Row],[Density]],SeedOrder[[#This Row],[Density Per]],"lbm"),"")</f>
        <v>3.3089569160997729E-4</v>
      </c>
      <c r="AC49" s="165" t="str" cm="1">
        <f t="array" ref="AC49">IFERROR(SeedOrder[[#This Row],[Order Weight]]/IF(SeedOrder[[#This Row],[Weight Unit]]="ct",SeedOrder[[#This Row],[Needed]],_xlfn.SWITCH(SeedOrder[[#This Row],[Weight Unit]],"g",SeedOrder[[#This Row],[Needed (g)]],"ozm",SeedOrder[[#This Row],[Needed (ozm)]],"lbm",SeedOrder[[#This Row],[Needed (lbm)]])),"")</f>
        <v/>
      </c>
      <c r="AD49" s="166">
        <f>SeedOrder[[#This Row],[Product Quantity]]*SeedOrder[[#This Row],[Product Cost]]</f>
        <v>0</v>
      </c>
      <c r="AG49" s="32" t="b">
        <f>SeedOrder[[#This Row],[Id]]=J48</f>
        <v>0</v>
      </c>
      <c r="AH49" s="37" t="b">
        <f>_xlfn.XLOOKUP(SeedOrder[[#This Row],[Id]],Varieties[Id],Varieties[Organic])</f>
        <v>1</v>
      </c>
    </row>
    <row r="50" spans="1:35" ht="15" customHeight="1">
      <c r="A50" t="str">
        <f t="shared" si="0"/>
        <v>High Mowing Tango</v>
      </c>
      <c r="B50" t="s">
        <v>55</v>
      </c>
      <c r="C50" t="s">
        <v>482</v>
      </c>
      <c r="D50" t="s">
        <v>508</v>
      </c>
      <c r="E50" s="32">
        <v>65</v>
      </c>
      <c r="G50" t="e">
        <f>MATCH(C50&amp;" " &amp;D50,SeedOrder[Id],0)</f>
        <v>#N/A</v>
      </c>
      <c r="I50" s="32">
        <f>MATCH(SeedOrder[[#This Row],[Id]],$A$6:$A$264,)</f>
        <v>174</v>
      </c>
      <c r="J50" t="str">
        <f>SeedOrder[[#This Row],[Company]]&amp; " " &amp; SeedOrder[[#This Row],[Variety]]</f>
        <v>Osborne Solar Flare</v>
      </c>
      <c r="K50" t="s">
        <v>136</v>
      </c>
      <c r="L50" t="s">
        <v>503</v>
      </c>
      <c r="M50" t="s">
        <v>911</v>
      </c>
      <c r="P50" s="161" t="str">
        <f>_xlfn.XLOOKUP(SeedOrder[[#This Row],[Id]],Varieties[Id],Varieties[Density])</f>
        <v>By Count</v>
      </c>
      <c r="Q50" s="37" t="e">
        <f>_xlfn.XLOOKUP(SeedOrder[[#This Row],[Id]],Varieties[Id],Varieties[Density Per])</f>
        <v>#N/A</v>
      </c>
      <c r="R50" s="171" t="str">
        <f>HYPERLINK(_xlfn.XLOOKUP(SeedOrder[[#This Row],[Id]],Varieties[Id],Varieties[Website]), "Link")</f>
        <v>Link</v>
      </c>
      <c r="S50" s="161">
        <f>GETPIVOTDATA("Seeds",$B$4,"Variety",SeedOrder[[#This Row],[Variety]],"Company",SeedOrder[[#This Row],[Company]])</f>
        <v>70.2</v>
      </c>
      <c r="T50" s="162"/>
      <c r="U50" s="27"/>
      <c r="V50" s="163"/>
      <c r="W50" s="27">
        <v>1</v>
      </c>
      <c r="X50" s="27" t="b">
        <v>1</v>
      </c>
      <c r="Y50">
        <f>SeedOrder[[#This Row],[Product Weight]]*SeedOrder[[#This Row],[Product Quantity]]</f>
        <v>0</v>
      </c>
      <c r="Z50" s="164" t="str">
        <f>IFERROR(CONVERT(S50/SeedOrder[[#This Row],[Density]],SeedOrder[[#This Row],[Density Per]],"g"),"")</f>
        <v/>
      </c>
      <c r="AA50" s="164" t="str">
        <f>IFERROR(CONVERT(S50/SeedOrder[[#This Row],[Density]],SeedOrder[[#This Row],[Density Per]],"ozm"),"")</f>
        <v/>
      </c>
      <c r="AB50" s="164" t="str">
        <f>IFERROR(CONVERT(S50/SeedOrder[[#This Row],[Density]],SeedOrder[[#This Row],[Density Per]],"lbm"),"")</f>
        <v/>
      </c>
      <c r="AC50" s="165" t="str" cm="1">
        <f t="array" ref="AC50">IFERROR(SeedOrder[[#This Row],[Order Weight]]/IF(SeedOrder[[#This Row],[Weight Unit]]="ct",SeedOrder[[#This Row],[Needed]],_xlfn.SWITCH(SeedOrder[[#This Row],[Weight Unit]],"g",SeedOrder[[#This Row],[Needed (g)]],"ozm",SeedOrder[[#This Row],[Needed (ozm)]],"lbm",SeedOrder[[#This Row],[Needed (lbm)]])),"")</f>
        <v/>
      </c>
      <c r="AD50" s="166">
        <f>SeedOrder[[#This Row],[Product Quantity]]*SeedOrder[[#This Row],[Product Cost]]</f>
        <v>0</v>
      </c>
      <c r="AG50" s="32" t="b">
        <f>SeedOrder[[#This Row],[Id]]=J49</f>
        <v>0</v>
      </c>
      <c r="AH50" s="37" t="b">
        <f>_xlfn.XLOOKUP(SeedOrder[[#This Row],[Id]],Varieties[Id],Varieties[Organic])</f>
        <v>1</v>
      </c>
    </row>
    <row r="51" spans="1:35" ht="15" customHeight="1">
      <c r="A51" t="str">
        <f t="shared" si="0"/>
        <v>High Mowing Merrengo F1 - Pelleted</v>
      </c>
      <c r="B51" t="s">
        <v>55</v>
      </c>
      <c r="C51" t="s">
        <v>482</v>
      </c>
      <c r="D51" t="s">
        <v>2218</v>
      </c>
      <c r="E51" s="32">
        <v>65</v>
      </c>
      <c r="G51" t="e">
        <f>MATCH(C51&amp;" " &amp;D51,SeedOrder[Id],0)</f>
        <v>#N/A</v>
      </c>
      <c r="I51" s="32">
        <f>MATCH(SeedOrder[[#This Row],[Id]],$A$6:$A$264,)</f>
        <v>175</v>
      </c>
      <c r="J51" t="str">
        <f>SeedOrder[[#This Row],[Company]]&amp; " " &amp; SeedOrder[[#This Row],[Variety]]</f>
        <v>Seed Savers Brandywine</v>
      </c>
      <c r="K51" t="s">
        <v>136</v>
      </c>
      <c r="L51" t="s">
        <v>600</v>
      </c>
      <c r="M51" t="s">
        <v>701</v>
      </c>
      <c r="P51" s="161">
        <f>_xlfn.XLOOKUP(SeedOrder[[#This Row],[Id]],Varieties[Id],Varieties[Density])</f>
        <v>0</v>
      </c>
      <c r="Q51" s="37">
        <f>_xlfn.XLOOKUP(SeedOrder[[#This Row],[Id]],Varieties[Id],Varieties[Density Per])</f>
        <v>0</v>
      </c>
      <c r="R51" s="171" t="str">
        <f>HYPERLINK(_xlfn.XLOOKUP(SeedOrder[[#This Row],[Id]],Varieties[Id],Varieties[Website]), "Link")</f>
        <v>Link</v>
      </c>
      <c r="S51" s="161">
        <f>GETPIVOTDATA("Seeds",$B$4,"Variety",SeedOrder[[#This Row],[Variety]],"Company",SeedOrder[[#This Row],[Company]])</f>
        <v>48.641666666666666</v>
      </c>
      <c r="T51" s="162"/>
      <c r="U51" s="27"/>
      <c r="V51" s="163"/>
      <c r="W51" s="27">
        <v>1</v>
      </c>
      <c r="X51" s="27" t="b">
        <v>1</v>
      </c>
      <c r="Y51">
        <f>SeedOrder[[#This Row],[Product Weight]]*SeedOrder[[#This Row],[Product Quantity]]</f>
        <v>0</v>
      </c>
      <c r="Z51" s="164" t="str">
        <f>IFERROR(CONVERT(S51/SeedOrder[[#This Row],[Density]],SeedOrder[[#This Row],[Density Per]],"g"),"")</f>
        <v/>
      </c>
      <c r="AA51" s="164" t="str">
        <f>IFERROR(CONVERT(S51/SeedOrder[[#This Row],[Density]],SeedOrder[[#This Row],[Density Per]],"ozm"),"")</f>
        <v/>
      </c>
      <c r="AB51" s="164" t="str">
        <f>IFERROR(CONVERT(S51/SeedOrder[[#This Row],[Density]],SeedOrder[[#This Row],[Density Per]],"lbm"),"")</f>
        <v/>
      </c>
      <c r="AC51" s="165" t="str" cm="1">
        <f t="array" ref="AC51">IFERROR(SeedOrder[[#This Row],[Order Weight]]/IF(SeedOrder[[#This Row],[Weight Unit]]="ct",SeedOrder[[#This Row],[Needed]],_xlfn.SWITCH(SeedOrder[[#This Row],[Weight Unit]],"g",SeedOrder[[#This Row],[Needed (g)]],"ozm",SeedOrder[[#This Row],[Needed (ozm)]],"lbm",SeedOrder[[#This Row],[Needed (lbm)]])),"")</f>
        <v/>
      </c>
      <c r="AD51" s="166">
        <f>SeedOrder[[#This Row],[Product Quantity]]*SeedOrder[[#This Row],[Product Cost]]</f>
        <v>0</v>
      </c>
      <c r="AG51" s="32" t="b">
        <f>SeedOrder[[#This Row],[Id]]=J50</f>
        <v>0</v>
      </c>
      <c r="AH51" s="37" t="b">
        <f>_xlfn.XLOOKUP(SeedOrder[[#This Row],[Id]],Varieties[Id],Varieties[Organic])</f>
        <v>1</v>
      </c>
    </row>
    <row r="52" spans="1:35" ht="15" customHeight="1">
      <c r="A52" t="str">
        <f t="shared" si="0"/>
        <v>Johnny's Green 70 D</v>
      </c>
      <c r="B52" t="s">
        <v>60</v>
      </c>
      <c r="C52" t="s">
        <v>490</v>
      </c>
      <c r="D52" t="s">
        <v>511</v>
      </c>
      <c r="E52" s="32">
        <v>195</v>
      </c>
      <c r="G52" t="e">
        <f>MATCH(C52&amp;" " &amp;D52,SeedOrder[Id],0)</f>
        <v>#N/A</v>
      </c>
      <c r="I52" s="32">
        <f>MATCH(SeedOrder[[#This Row],[Id]],$A$6:$A$264,)</f>
        <v>188</v>
      </c>
      <c r="J52" t="str">
        <f>SeedOrder[[#This Row],[Company]]&amp; " " &amp; SeedOrder[[#This Row],[Variety]]</f>
        <v>Seedway Red Deuce</v>
      </c>
      <c r="K52" t="s">
        <v>136</v>
      </c>
      <c r="L52" t="s">
        <v>3017</v>
      </c>
      <c r="M52" t="s">
        <v>3018</v>
      </c>
      <c r="N52" t="s">
        <v>2946</v>
      </c>
      <c r="O52" t="s">
        <v>2946</v>
      </c>
      <c r="P52" s="161" t="str">
        <f>_xlfn.XLOOKUP(SeedOrder[[#This Row],[Id]],Varieties[Id],Varieties[Density])</f>
        <v>By Count</v>
      </c>
      <c r="Q52" s="37">
        <f>_xlfn.XLOOKUP(SeedOrder[[#This Row],[Id]],Varieties[Id],Varieties[Density Per])</f>
        <v>0</v>
      </c>
      <c r="R52" s="171" t="str">
        <f>HYPERLINK(_xlfn.XLOOKUP(SeedOrder[[#This Row],[Id]],Varieties[Id],Varieties[Website]), "Link")</f>
        <v>Link</v>
      </c>
      <c r="S52" s="161">
        <f>GETPIVOTDATA("Seeds",$B$4,"Variety",SeedOrder[[#This Row],[Variety]],"Company",SeedOrder[[#This Row],[Company]])</f>
        <v>52</v>
      </c>
      <c r="T52" s="162">
        <v>100</v>
      </c>
      <c r="U52" s="27" t="s">
        <v>1244</v>
      </c>
      <c r="V52" s="27">
        <v>15.62</v>
      </c>
      <c r="W52" s="27">
        <v>1</v>
      </c>
      <c r="X52" s="27"/>
      <c r="Y52">
        <f>SeedOrder[[#This Row],[Product Weight]]*SeedOrder[[#This Row],[Product Quantity]]</f>
        <v>100</v>
      </c>
      <c r="Z52" s="164" t="str">
        <f>IFERROR(CONVERT(S52/SeedOrder[[#This Row],[Density]],SeedOrder[[#This Row],[Density Per]],"g"),"")</f>
        <v/>
      </c>
      <c r="AA52" s="164" t="str">
        <f>IFERROR(CONVERT(S52/SeedOrder[[#This Row],[Density]],SeedOrder[[#This Row],[Density Per]],"ozm"),"")</f>
        <v/>
      </c>
      <c r="AB52" s="164" t="str">
        <f>IFERROR(CONVERT(S52/SeedOrder[[#This Row],[Density]],SeedOrder[[#This Row],[Density Per]],"lbm"),"")</f>
        <v/>
      </c>
      <c r="AC52" s="165" cm="1">
        <f t="array" ref="AC52">IFERROR(SeedOrder[[#This Row],[Order Weight]]/IF(SeedOrder[[#This Row],[Weight Unit]]="ct",SeedOrder[[#This Row],[Needed]],_xlfn.SWITCH(SeedOrder[[#This Row],[Weight Unit]],"g",SeedOrder[[#This Row],[Needed (g)]],"ozm",SeedOrder[[#This Row],[Needed (ozm)]],"lbm",SeedOrder[[#This Row],[Needed (lbm)]])),"")</f>
        <v>1.9230769230769231</v>
      </c>
      <c r="AD52" s="166">
        <f>SeedOrder[[#This Row],[Product Quantity]]*SeedOrder[[#This Row],[Product Cost]]</f>
        <v>15.62</v>
      </c>
      <c r="AG52" s="32" t="b">
        <f>SeedOrder[[#This Row],[Id]]=J51</f>
        <v>0</v>
      </c>
      <c r="AH52" s="37" t="b">
        <f>_xlfn.XLOOKUP(SeedOrder[[#This Row],[Id]],Varieties[Id],Varieties[Organic])</f>
        <v>0</v>
      </c>
      <c r="AI52" t="s">
        <v>2484</v>
      </c>
    </row>
    <row r="53" spans="1:35" ht="15" customHeight="1">
      <c r="A53" t="str">
        <f t="shared" si="0"/>
        <v>Adaptive Shungiku, Komi</v>
      </c>
      <c r="B53" t="s">
        <v>61</v>
      </c>
      <c r="C53" t="s">
        <v>488</v>
      </c>
      <c r="D53" t="s">
        <v>513</v>
      </c>
      <c r="E53" s="32">
        <v>731.25</v>
      </c>
      <c r="G53" t="e">
        <f>MATCH(C53&amp;" " &amp;D53,SeedOrder[Id],0)</f>
        <v>#N/A</v>
      </c>
      <c r="I53" s="32">
        <f>MATCH(SeedOrder[[#This Row],[Id]],$A$6:$A$264,)</f>
        <v>179</v>
      </c>
      <c r="J53" t="str">
        <f>SeedOrder[[#This Row],[Company]]&amp; " " &amp; SeedOrder[[#This Row],[Variety]]</f>
        <v>Territorial Early Cherry</v>
      </c>
      <c r="K53" t="s">
        <v>136</v>
      </c>
      <c r="L53" t="s">
        <v>533</v>
      </c>
      <c r="M53" t="s">
        <v>3011</v>
      </c>
      <c r="N53" t="s">
        <v>2946</v>
      </c>
      <c r="O53" t="s">
        <v>2946</v>
      </c>
      <c r="P53" s="161">
        <f>_xlfn.XLOOKUP(SeedOrder[[#This Row],[Id]],Varieties[Id],Varieties[Density])</f>
        <v>300</v>
      </c>
      <c r="Q53" s="37" t="str">
        <f>_xlfn.XLOOKUP(SeedOrder[[#This Row],[Id]],Varieties[Id],Varieties[Density Per])</f>
        <v>g</v>
      </c>
      <c r="R53" s="171" t="str">
        <f>HYPERLINK(_xlfn.XLOOKUP(SeedOrder[[#This Row],[Id]],Varieties[Id],Varieties[Website]), "Link")</f>
        <v>Link</v>
      </c>
      <c r="S53" s="161">
        <f>GETPIVOTDATA("Seeds",$B$4,"Variety",SeedOrder[[#This Row],[Variety]],"Company",SeedOrder[[#This Row],[Company]])</f>
        <v>36.5625</v>
      </c>
      <c r="T53" s="162">
        <v>1</v>
      </c>
      <c r="U53" s="27" t="s">
        <v>1243</v>
      </c>
      <c r="V53" s="163">
        <v>10.95</v>
      </c>
      <c r="W53" s="27">
        <v>1</v>
      </c>
      <c r="X53" s="27"/>
      <c r="Y53">
        <f>SeedOrder[[#This Row],[Product Weight]]*SeedOrder[[#This Row],[Product Quantity]]</f>
        <v>1</v>
      </c>
      <c r="Z53" s="164">
        <f>IFERROR(CONVERT(S53/SeedOrder[[#This Row],[Density]],SeedOrder[[#This Row],[Density Per]],"g"),"")</f>
        <v>0.121875</v>
      </c>
      <c r="AA53" s="164">
        <f>IFERROR(CONVERT(S53/SeedOrder[[#This Row],[Density]],SeedOrder[[#This Row],[Density Per]],"ozm"),"")</f>
        <v>4.2990141126051122E-3</v>
      </c>
      <c r="AB53" s="164">
        <f>IFERROR(CONVERT(S53/SeedOrder[[#This Row],[Density]],SeedOrder[[#This Row],[Density Per]],"lbm"),"")</f>
        <v>2.6868838203781951E-4</v>
      </c>
      <c r="AC53" s="165" cm="1">
        <f t="array" ref="AC53">IFERROR(SeedOrder[[#This Row],[Order Weight]]/IF(SeedOrder[[#This Row],[Weight Unit]]="ct",SeedOrder[[#This Row],[Needed]],_xlfn.SWITCH(SeedOrder[[#This Row],[Weight Unit]],"g",SeedOrder[[#This Row],[Needed (g)]],"ozm",SeedOrder[[#This Row],[Needed (ozm)]],"lbm",SeedOrder[[#This Row],[Needed (lbm)]])),"")</f>
        <v>8.2051282051282062</v>
      </c>
      <c r="AD53" s="166">
        <f>SeedOrder[[#This Row],[Product Quantity]]*SeedOrder[[#This Row],[Product Cost]]</f>
        <v>10.95</v>
      </c>
      <c r="AG53" s="32" t="b">
        <f>SeedOrder[[#This Row],[Id]]=J52</f>
        <v>0</v>
      </c>
      <c r="AH53" s="37" t="b">
        <f>_xlfn.XLOOKUP(SeedOrder[[#This Row],[Id]],Varieties[Id],Varieties[Organic])</f>
        <v>1</v>
      </c>
    </row>
    <row r="54" spans="1:35" ht="15" customHeight="1">
      <c r="A54" t="str">
        <f t="shared" si="0"/>
        <v>High Mowing Cruiser</v>
      </c>
      <c r="B54" t="s">
        <v>62</v>
      </c>
      <c r="C54" t="s">
        <v>482</v>
      </c>
      <c r="D54" t="s">
        <v>1807</v>
      </c>
      <c r="E54" s="32">
        <v>1856.2500000000002</v>
      </c>
      <c r="G54" t="e">
        <f>MATCH(C54&amp;" " &amp;D54,SeedOrder[Id],0)</f>
        <v>#N/A</v>
      </c>
      <c r="I54" s="32">
        <f>MATCH(SeedOrder[[#This Row],[Id]],$A$6:$A$264,)</f>
        <v>182</v>
      </c>
      <c r="J54" t="str">
        <f>SeedOrder[[#This Row],[Company]]&amp; " " &amp; SeedOrder[[#This Row],[Variety]]</f>
        <v>Tomato Fest Banana Legs</v>
      </c>
      <c r="K54" t="s">
        <v>136</v>
      </c>
      <c r="L54" t="s">
        <v>695</v>
      </c>
      <c r="M54" t="s">
        <v>3024</v>
      </c>
      <c r="N54" t="s">
        <v>2946</v>
      </c>
      <c r="O54" t="s">
        <v>2946</v>
      </c>
      <c r="P54" s="161" t="str">
        <f>_xlfn.XLOOKUP(SeedOrder[[#This Row],[Id]],Varieties[Id],Varieties[Density])</f>
        <v>By Count</v>
      </c>
      <c r="Q54" s="37">
        <f>_xlfn.XLOOKUP(SeedOrder[[#This Row],[Id]],Varieties[Id],Varieties[Density Per])</f>
        <v>0</v>
      </c>
      <c r="R54" s="171" t="str">
        <f>HYPERLINK(_xlfn.XLOOKUP(SeedOrder[[#This Row],[Id]],Varieties[Id],Varieties[Website]), "Link")</f>
        <v>Link</v>
      </c>
      <c r="S54" s="161">
        <f>GETPIVOTDATA("Seeds",$B$4,"Variety",SeedOrder[[#This Row],[Variety]],"Company",SeedOrder[[#This Row],[Company]])</f>
        <v>58.5</v>
      </c>
      <c r="T54" s="162">
        <v>15</v>
      </c>
      <c r="U54" s="27" t="s">
        <v>1244</v>
      </c>
      <c r="V54" s="27">
        <v>4.5</v>
      </c>
      <c r="W54" s="27">
        <v>2</v>
      </c>
      <c r="X54" s="27"/>
      <c r="Y54">
        <f>SeedOrder[[#This Row],[Product Weight]]*SeedOrder[[#This Row],[Product Quantity]]</f>
        <v>30</v>
      </c>
      <c r="Z54" s="164" t="str">
        <f>IFERROR(CONVERT(S54/SeedOrder[[#This Row],[Density]],SeedOrder[[#This Row],[Density Per]],"g"),"")</f>
        <v/>
      </c>
      <c r="AA54" s="164" t="str">
        <f>IFERROR(CONVERT(S54/SeedOrder[[#This Row],[Density]],SeedOrder[[#This Row],[Density Per]],"ozm"),"")</f>
        <v/>
      </c>
      <c r="AB54" s="164" t="str">
        <f>IFERROR(CONVERT(S54/SeedOrder[[#This Row],[Density]],SeedOrder[[#This Row],[Density Per]],"lbm"),"")</f>
        <v/>
      </c>
      <c r="AC54" s="165" cm="1">
        <f t="array" ref="AC54">IFERROR(SeedOrder[[#This Row],[Order Weight]]/IF(SeedOrder[[#This Row],[Weight Unit]]="ct",SeedOrder[[#This Row],[Needed]],_xlfn.SWITCH(SeedOrder[[#This Row],[Weight Unit]],"g",SeedOrder[[#This Row],[Needed (g)]],"ozm",SeedOrder[[#This Row],[Needed (ozm)]],"lbm",SeedOrder[[#This Row],[Needed (lbm)]])),"")</f>
        <v>0.51282051282051277</v>
      </c>
      <c r="AD54" s="166">
        <f>SeedOrder[[#This Row],[Product Quantity]]*SeedOrder[[#This Row],[Product Cost]]</f>
        <v>9</v>
      </c>
      <c r="AG54" s="32" t="b">
        <f>SeedOrder[[#This Row],[Id]]=J53</f>
        <v>0</v>
      </c>
      <c r="AH54" s="37" t="b">
        <f>_xlfn.XLOOKUP(SeedOrder[[#This Row],[Id]],Varieties[Id],Varieties[Organic])</f>
        <v>1</v>
      </c>
    </row>
    <row r="55" spans="1:35" ht="15" customHeight="1">
      <c r="A55" t="str">
        <f t="shared" si="0"/>
        <v>Johnny's Calypso</v>
      </c>
      <c r="B55" t="s">
        <v>62</v>
      </c>
      <c r="C55" t="s">
        <v>490</v>
      </c>
      <c r="D55" t="s">
        <v>2810</v>
      </c>
      <c r="E55" s="32">
        <v>928.12500000000011</v>
      </c>
      <c r="G55" t="e">
        <f>MATCH(C55&amp;" " &amp;D55,SeedOrder[Id],0)</f>
        <v>#N/A</v>
      </c>
      <c r="I55" s="32">
        <f>MATCH(SeedOrder[[#This Row],[Id]],$A$6:$A$264,)</f>
        <v>180</v>
      </c>
      <c r="J55" t="str">
        <f>SeedOrder[[#This Row],[Company]]&amp; " " &amp; SeedOrder[[#This Row],[Variety]]</f>
        <v>Tomato Fest Black Sea Man</v>
      </c>
      <c r="K55" t="s">
        <v>136</v>
      </c>
      <c r="L55" t="s">
        <v>695</v>
      </c>
      <c r="M55" t="s">
        <v>3019</v>
      </c>
      <c r="N55" t="s">
        <v>2946</v>
      </c>
      <c r="O55" t="s">
        <v>2946</v>
      </c>
      <c r="P55" s="161" t="str">
        <f>_xlfn.XLOOKUP(SeedOrder[[#This Row],[Id]],Varieties[Id],Varieties[Density])</f>
        <v>By Count</v>
      </c>
      <c r="Q55" s="37">
        <f>_xlfn.XLOOKUP(SeedOrder[[#This Row],[Id]],Varieties[Id],Varieties[Density Per])</f>
        <v>0</v>
      </c>
      <c r="R55" s="171" t="str">
        <f>HYPERLINK(_xlfn.XLOOKUP(SeedOrder[[#This Row],[Id]],Varieties[Id],Varieties[Website]), "Link")</f>
        <v>Link</v>
      </c>
      <c r="S55" s="161">
        <f>GETPIVOTDATA("Seeds",$B$4,"Variety",SeedOrder[[#This Row],[Variety]],"Company",SeedOrder[[#This Row],[Company]])</f>
        <v>52</v>
      </c>
      <c r="T55" s="162">
        <v>15</v>
      </c>
      <c r="U55" s="27" t="s">
        <v>1244</v>
      </c>
      <c r="V55" s="163">
        <v>4.5</v>
      </c>
      <c r="W55" s="27">
        <v>2</v>
      </c>
      <c r="X55" s="27"/>
      <c r="Y55">
        <f>SeedOrder[[#This Row],[Product Weight]]*SeedOrder[[#This Row],[Product Quantity]]</f>
        <v>30</v>
      </c>
      <c r="Z55" s="164" t="str">
        <f>IFERROR(CONVERT(S55/SeedOrder[[#This Row],[Density]],SeedOrder[[#This Row],[Density Per]],"g"),"")</f>
        <v/>
      </c>
      <c r="AA55" s="164" t="str">
        <f>IFERROR(CONVERT(S55/SeedOrder[[#This Row],[Density]],SeedOrder[[#This Row],[Density Per]],"ozm"),"")</f>
        <v/>
      </c>
      <c r="AB55" s="164" t="str">
        <f>IFERROR(CONVERT(S55/SeedOrder[[#This Row],[Density]],SeedOrder[[#This Row],[Density Per]],"lbm"),"")</f>
        <v/>
      </c>
      <c r="AC55" s="165" cm="1">
        <f t="array" ref="AC55">IFERROR(SeedOrder[[#This Row],[Order Weight]]/IF(SeedOrder[[#This Row],[Weight Unit]]="ct",SeedOrder[[#This Row],[Needed]],_xlfn.SWITCH(SeedOrder[[#This Row],[Weight Unit]],"g",SeedOrder[[#This Row],[Needed (g)]],"ozm",SeedOrder[[#This Row],[Needed (ozm)]],"lbm",SeedOrder[[#This Row],[Needed (lbm)]])),"")</f>
        <v>0.57692307692307687</v>
      </c>
      <c r="AD55" s="166">
        <f>SeedOrder[[#This Row],[Product Quantity]]*SeedOrder[[#This Row],[Product Cost]]</f>
        <v>9</v>
      </c>
      <c r="AG55" s="32" t="b">
        <f>SeedOrder[[#This Row],[Id]]=J54</f>
        <v>0</v>
      </c>
      <c r="AH55" s="37" t="b">
        <f>_xlfn.XLOOKUP(SeedOrder[[#This Row],[Id]],Varieties[Id],Varieties[Organic])</f>
        <v>1</v>
      </c>
    </row>
    <row r="56" spans="1:35" ht="15" customHeight="1">
      <c r="A56" t="str">
        <f t="shared" si="0"/>
        <v>Uprising Pokey Joe</v>
      </c>
      <c r="B56" t="s">
        <v>62</v>
      </c>
      <c r="C56" t="s">
        <v>484</v>
      </c>
      <c r="D56" t="s">
        <v>789</v>
      </c>
      <c r="E56" s="32">
        <v>928.12500000000011</v>
      </c>
      <c r="G56" t="e">
        <f>MATCH(C56&amp;" " &amp;D56,SeedOrder[Id],0)</f>
        <v>#N/A</v>
      </c>
      <c r="I56" s="32">
        <f>MATCH(SeedOrder[[#This Row],[Id]],$A$6:$A$264,)</f>
        <v>183</v>
      </c>
      <c r="J56" t="str">
        <f>SeedOrder[[#This Row],[Company]]&amp; " " &amp; SeedOrder[[#This Row],[Variety]]</f>
        <v>Tomato Fest Cream Sausage</v>
      </c>
      <c r="K56" t="s">
        <v>136</v>
      </c>
      <c r="L56" t="s">
        <v>695</v>
      </c>
      <c r="M56" t="s">
        <v>3025</v>
      </c>
      <c r="N56" t="s">
        <v>2946</v>
      </c>
      <c r="O56" t="s">
        <v>2946</v>
      </c>
      <c r="P56" s="161" t="str">
        <f>_xlfn.XLOOKUP(SeedOrder[[#This Row],[Id]],Varieties[Id],Varieties[Density])</f>
        <v>By Count</v>
      </c>
      <c r="Q56" s="37">
        <f>_xlfn.XLOOKUP(SeedOrder[[#This Row],[Id]],Varieties[Id],Varieties[Density Per])</f>
        <v>0</v>
      </c>
      <c r="R56" s="171" t="str">
        <f>HYPERLINK(_xlfn.XLOOKUP(SeedOrder[[#This Row],[Id]],Varieties[Id],Varieties[Website]), "Link")</f>
        <v>Link</v>
      </c>
      <c r="S56" s="161">
        <f>GETPIVOTDATA("Seeds",$B$4,"Variety",SeedOrder[[#This Row],[Variety]],"Company",SeedOrder[[#This Row],[Company]])</f>
        <v>58.5</v>
      </c>
      <c r="T56" s="162">
        <v>15</v>
      </c>
      <c r="U56" s="27" t="s">
        <v>1244</v>
      </c>
      <c r="V56" s="163">
        <v>4.5</v>
      </c>
      <c r="W56" s="27">
        <v>2</v>
      </c>
      <c r="X56" s="27"/>
      <c r="Y56">
        <f>SeedOrder[[#This Row],[Product Weight]]*SeedOrder[[#This Row],[Product Quantity]]</f>
        <v>30</v>
      </c>
      <c r="Z56" s="164" t="str">
        <f>IFERROR(CONVERT(S56/SeedOrder[[#This Row],[Density]],SeedOrder[[#This Row],[Density Per]],"g"),"")</f>
        <v/>
      </c>
      <c r="AA56" s="164" t="str">
        <f>IFERROR(CONVERT(S56/SeedOrder[[#This Row],[Density]],SeedOrder[[#This Row],[Density Per]],"ozm"),"")</f>
        <v/>
      </c>
      <c r="AB56" s="164" t="str">
        <f>IFERROR(CONVERT(S56/SeedOrder[[#This Row],[Density]],SeedOrder[[#This Row],[Density Per]],"lbm"),"")</f>
        <v/>
      </c>
      <c r="AC56" s="165" cm="1">
        <f t="array" ref="AC56">IFERROR(SeedOrder[[#This Row],[Order Weight]]/IF(SeedOrder[[#This Row],[Weight Unit]]="ct",SeedOrder[[#This Row],[Needed]],_xlfn.SWITCH(SeedOrder[[#This Row],[Weight Unit]],"g",SeedOrder[[#This Row],[Needed (g)]],"ozm",SeedOrder[[#This Row],[Needed (ozm)]],"lbm",SeedOrder[[#This Row],[Needed (lbm)]])),"")</f>
        <v>0.51282051282051277</v>
      </c>
      <c r="AD56" s="166">
        <f>SeedOrder[[#This Row],[Product Quantity]]*SeedOrder[[#This Row],[Product Cost]]</f>
        <v>9</v>
      </c>
      <c r="AG56" s="32" t="b">
        <f>SeedOrder[[#This Row],[Id]]=J55</f>
        <v>0</v>
      </c>
      <c r="AH56" s="37" t="b">
        <f>_xlfn.XLOOKUP(SeedOrder[[#This Row],[Id]],Varieties[Id],Varieties[Organic])</f>
        <v>1</v>
      </c>
    </row>
    <row r="57" spans="1:35" ht="15" customHeight="1">
      <c r="A57" t="str">
        <f t="shared" si="0"/>
        <v>Adaptive New Mama Super Sweet</v>
      </c>
      <c r="B57" t="s">
        <v>325</v>
      </c>
      <c r="C57" t="s">
        <v>488</v>
      </c>
      <c r="D57" t="s">
        <v>2221</v>
      </c>
      <c r="E57" s="32">
        <v>520</v>
      </c>
      <c r="G57">
        <f>MATCH(C57&amp;" " &amp;D57,SeedOrder[Id],0)</f>
        <v>12</v>
      </c>
      <c r="I57" s="32">
        <f>MATCH(SeedOrder[[#This Row],[Id]],$A$6:$A$264,)</f>
        <v>181</v>
      </c>
      <c r="J57" t="str">
        <f>SeedOrder[[#This Row],[Company]]&amp; " " &amp; SeedOrder[[#This Row],[Variety]]</f>
        <v>Tomato Fest Dwarf Purple Heart</v>
      </c>
      <c r="K57" t="s">
        <v>136</v>
      </c>
      <c r="L57" t="s">
        <v>695</v>
      </c>
      <c r="M57" t="s">
        <v>3023</v>
      </c>
      <c r="N57" t="s">
        <v>2946</v>
      </c>
      <c r="O57" t="s">
        <v>2946</v>
      </c>
      <c r="P57" s="161" t="str">
        <f>_xlfn.XLOOKUP(SeedOrder[[#This Row],[Id]],Varieties[Id],Varieties[Density])</f>
        <v>By Count</v>
      </c>
      <c r="Q57" s="37">
        <f>_xlfn.XLOOKUP(SeedOrder[[#This Row],[Id]],Varieties[Id],Varieties[Density Per])</f>
        <v>0</v>
      </c>
      <c r="R57" s="171" t="str">
        <f>HYPERLINK(_xlfn.XLOOKUP(SeedOrder[[#This Row],[Id]],Varieties[Id],Varieties[Website]), "Link")</f>
        <v>Link</v>
      </c>
      <c r="S57" s="161">
        <f>GETPIVOTDATA("Seeds",$B$4,"Variety",SeedOrder[[#This Row],[Variety]],"Company",SeedOrder[[#This Row],[Company]])</f>
        <v>52</v>
      </c>
      <c r="T57" s="162">
        <v>15</v>
      </c>
      <c r="U57" s="27" t="s">
        <v>1244</v>
      </c>
      <c r="V57" s="163">
        <v>5.5</v>
      </c>
      <c r="W57" s="27">
        <v>2</v>
      </c>
      <c r="X57" s="27"/>
      <c r="Y57">
        <f>SeedOrder[[#This Row],[Product Weight]]*SeedOrder[[#This Row],[Product Quantity]]</f>
        <v>30</v>
      </c>
      <c r="Z57" s="164" t="str">
        <f>IFERROR(CONVERT(S57/SeedOrder[[#This Row],[Density]],SeedOrder[[#This Row],[Density Per]],"g"),"")</f>
        <v/>
      </c>
      <c r="AA57" s="164" t="str">
        <f>IFERROR(CONVERT(S57/SeedOrder[[#This Row],[Density]],SeedOrder[[#This Row],[Density Per]],"ozm"),"")</f>
        <v/>
      </c>
      <c r="AB57" s="164" t="str">
        <f>IFERROR(CONVERT(S57/SeedOrder[[#This Row],[Density]],SeedOrder[[#This Row],[Density Per]],"lbm"),"")</f>
        <v/>
      </c>
      <c r="AC57" s="165" cm="1">
        <f t="array" ref="AC57">IFERROR(SeedOrder[[#This Row],[Order Weight]]/IF(SeedOrder[[#This Row],[Weight Unit]]="ct",SeedOrder[[#This Row],[Needed]],_xlfn.SWITCH(SeedOrder[[#This Row],[Weight Unit]],"g",SeedOrder[[#This Row],[Needed (g)]],"ozm",SeedOrder[[#This Row],[Needed (ozm)]],"lbm",SeedOrder[[#This Row],[Needed (lbm)]])),"")</f>
        <v>0.57692307692307687</v>
      </c>
      <c r="AD57" s="166">
        <f>SeedOrder[[#This Row],[Product Quantity]]*SeedOrder[[#This Row],[Product Cost]]</f>
        <v>11</v>
      </c>
      <c r="AG57" s="32" t="b">
        <f>SeedOrder[[#This Row],[Id]]=J56</f>
        <v>0</v>
      </c>
      <c r="AH57" s="37" t="b">
        <f>_xlfn.XLOOKUP(SeedOrder[[#This Row],[Id]],Varieties[Id],Varieties[Organic])</f>
        <v>1</v>
      </c>
    </row>
    <row r="58" spans="1:35" ht="15" customHeight="1">
      <c r="A58" t="str">
        <f t="shared" si="0"/>
        <v>High Mowing Enchanted F1</v>
      </c>
      <c r="B58" t="s">
        <v>325</v>
      </c>
      <c r="C58" t="s">
        <v>482</v>
      </c>
      <c r="D58" t="s">
        <v>1875</v>
      </c>
      <c r="E58" s="32">
        <v>520</v>
      </c>
      <c r="G58">
        <f>MATCH(C58&amp;" " &amp;D58,SeedOrder[Id],0)</f>
        <v>13</v>
      </c>
      <c r="I58" s="32">
        <f>MATCH(SeedOrder[[#This Row],[Id]],$A$6:$A$264,)</f>
        <v>184</v>
      </c>
      <c r="J58" t="str">
        <f>SeedOrder[[#This Row],[Company]]&amp; " " &amp; SeedOrder[[#This Row],[Variety]]</f>
        <v>Tomato Fest Sean's Yellow Dwarf</v>
      </c>
      <c r="K58" t="s">
        <v>136</v>
      </c>
      <c r="L58" t="s">
        <v>695</v>
      </c>
      <c r="M58" t="s">
        <v>3028</v>
      </c>
      <c r="N58" t="s">
        <v>2946</v>
      </c>
      <c r="O58" t="s">
        <v>2946</v>
      </c>
      <c r="P58" s="33" t="str">
        <f>_xlfn.XLOOKUP(SeedOrder[[#This Row],[Id]],Varieties[Id],Varieties[Density])</f>
        <v>By Count</v>
      </c>
      <c r="Q58" s="37">
        <f>_xlfn.XLOOKUP(SeedOrder[[#This Row],[Id]],Varieties[Id],Varieties[Density Per])</f>
        <v>0</v>
      </c>
      <c r="R58" s="171" t="str">
        <f>HYPERLINK(_xlfn.XLOOKUP(SeedOrder[[#This Row],[Id]],Varieties[Id],Varieties[Website]), "Link")</f>
        <v>Link</v>
      </c>
      <c r="S58" s="33">
        <f>GETPIVOTDATA("Seeds",$B$4,"Variety",SeedOrder[[#This Row],[Variety]],"Company",SeedOrder[[#This Row],[Company]])</f>
        <v>58.5</v>
      </c>
      <c r="T58" s="172">
        <v>15</v>
      </c>
      <c r="U58" s="27" t="s">
        <v>1244</v>
      </c>
      <c r="V58" s="27">
        <v>4.5</v>
      </c>
      <c r="W58" s="27">
        <v>2</v>
      </c>
      <c r="X58" s="27"/>
      <c r="Y58">
        <f>SeedOrder[[#This Row],[Product Weight]]*SeedOrder[[#This Row],[Product Quantity]]</f>
        <v>30</v>
      </c>
      <c r="Z58" s="164" t="str">
        <f>IFERROR(CONVERT(S58/SeedOrder[[#This Row],[Density]],SeedOrder[[#This Row],[Density Per]],"g"),"")</f>
        <v/>
      </c>
      <c r="AA58" s="164" t="str">
        <f>IFERROR(CONVERT(S58/SeedOrder[[#This Row],[Density]],SeedOrder[[#This Row],[Density Per]],"ozm"),"")</f>
        <v/>
      </c>
      <c r="AB58" s="164" t="str">
        <f>IFERROR(CONVERT(S58/SeedOrder[[#This Row],[Density]],SeedOrder[[#This Row],[Density Per]],"lbm"),"")</f>
        <v/>
      </c>
      <c r="AC58" s="174" cm="1">
        <f t="array" ref="AC58">IFERROR(SeedOrder[[#This Row],[Order Weight]]/IF(SeedOrder[[#This Row],[Weight Unit]]="ct",SeedOrder[[#This Row],[Needed]],_xlfn.SWITCH(SeedOrder[[#This Row],[Weight Unit]],"g",SeedOrder[[#This Row],[Needed (g)]],"ozm",SeedOrder[[#This Row],[Needed (ozm)]],"lbm",SeedOrder[[#This Row],[Needed (lbm)]])),"")</f>
        <v>0.51282051282051277</v>
      </c>
      <c r="AD58" s="36">
        <f>SeedOrder[[#This Row],[Product Quantity]]*SeedOrder[[#This Row],[Product Cost]]</f>
        <v>9</v>
      </c>
      <c r="AG58" s="32" t="b">
        <f>SeedOrder[[#This Row],[Id]]=J57</f>
        <v>0</v>
      </c>
      <c r="AH58" s="37" t="b">
        <f>_xlfn.XLOOKUP(SeedOrder[[#This Row],[Id]],Varieties[Id],Varieties[Organic])</f>
        <v>1</v>
      </c>
    </row>
    <row r="59" spans="1:35" ht="15" customHeight="1">
      <c r="A59" t="str">
        <f t="shared" si="0"/>
        <v>High Mowing Manny</v>
      </c>
      <c r="B59" t="s">
        <v>70</v>
      </c>
      <c r="C59" t="s">
        <v>482</v>
      </c>
      <c r="D59" t="s">
        <v>1609</v>
      </c>
      <c r="E59" s="32">
        <v>8.125</v>
      </c>
      <c r="G59" t="e">
        <f>MATCH(C59&amp;" " &amp;D59,SeedOrder[Id],0)</f>
        <v>#N/A</v>
      </c>
      <c r="I59" s="32">
        <f>MATCH(SeedOrder[[#This Row],[Id]],$A$6:$A$264,)</f>
        <v>190</v>
      </c>
      <c r="J59" t="str">
        <f>SeedOrder[[#This Row],[Company]]&amp; " " &amp; SeedOrder[[#This Row],[Variety]]</f>
        <v>Wild Board Farm Dynamite Delight</v>
      </c>
      <c r="K59" t="s">
        <v>136</v>
      </c>
      <c r="L59" t="s">
        <v>3022</v>
      </c>
      <c r="M59" t="s">
        <v>3021</v>
      </c>
      <c r="N59" t="s">
        <v>2946</v>
      </c>
      <c r="O59" t="s">
        <v>2946</v>
      </c>
      <c r="P59" s="251" t="str">
        <f>_xlfn.XLOOKUP(SeedOrder[[#This Row],[Id]],Varieties[Id],Varieties[Density])</f>
        <v>By Count</v>
      </c>
      <c r="Q59" s="37">
        <f>_xlfn.XLOOKUP(SeedOrder[[#This Row],[Id]],Varieties[Id],Varieties[Density Per])</f>
        <v>0</v>
      </c>
      <c r="R59" s="255" t="str">
        <f>HYPERLINK(_xlfn.XLOOKUP(SeedOrder[[#This Row],[Id]],Varieties[Id],Varieties[Website]), "Link")</f>
        <v>Link</v>
      </c>
      <c r="S59" s="251">
        <f>GETPIVOTDATA("Seeds",$B$4,"Variety",SeedOrder[[#This Row],[Variety]],"Company",SeedOrder[[#This Row],[Company]])</f>
        <v>36.5625</v>
      </c>
      <c r="T59" s="252">
        <v>15</v>
      </c>
      <c r="U59" s="27" t="s">
        <v>1244</v>
      </c>
      <c r="V59" s="27">
        <v>5.99</v>
      </c>
      <c r="W59" s="27">
        <v>1</v>
      </c>
      <c r="X59" s="27"/>
      <c r="Y59">
        <f>SeedOrder[[#This Row],[Product Weight]]*SeedOrder[[#This Row],[Product Quantity]]</f>
        <v>15</v>
      </c>
      <c r="Z59" s="164" t="str">
        <f>IFERROR(CONVERT(S59/SeedOrder[[#This Row],[Density]],SeedOrder[[#This Row],[Density Per]],"g"),"")</f>
        <v/>
      </c>
      <c r="AA59" s="164" t="str">
        <f>IFERROR(CONVERT(S59/SeedOrder[[#This Row],[Density]],SeedOrder[[#This Row],[Density Per]],"ozm"),"")</f>
        <v/>
      </c>
      <c r="AB59" s="164" t="str">
        <f>IFERROR(CONVERT(S59/SeedOrder[[#This Row],[Density]],SeedOrder[[#This Row],[Density Per]],"lbm"),"")</f>
        <v/>
      </c>
      <c r="AC59" s="253" cm="1">
        <f t="array" ref="AC59">IFERROR(SeedOrder[[#This Row],[Order Weight]]/IF(SeedOrder[[#This Row],[Weight Unit]]="ct",SeedOrder[[#This Row],[Needed]],_xlfn.SWITCH(SeedOrder[[#This Row],[Weight Unit]],"g",SeedOrder[[#This Row],[Needed (g)]],"ozm",SeedOrder[[#This Row],[Needed (ozm)]],"lbm",SeedOrder[[#This Row],[Needed (lbm)]])),"")</f>
        <v>0.41025641025641024</v>
      </c>
      <c r="AD59" s="254">
        <f>SeedOrder[[#This Row],[Product Quantity]]*SeedOrder[[#This Row],[Product Cost]]</f>
        <v>5.99</v>
      </c>
      <c r="AG59" s="32" t="b">
        <f>SeedOrder[[#This Row],[Id]]=J58</f>
        <v>0</v>
      </c>
      <c r="AH59" s="37" t="b">
        <f>_xlfn.XLOOKUP(SeedOrder[[#This Row],[Id]],Varieties[Id],Varieties[Organic])</f>
        <v>0</v>
      </c>
      <c r="AI59" t="s">
        <v>2484</v>
      </c>
    </row>
    <row r="60" spans="1:35" ht="15" customHeight="1">
      <c r="A60" t="str">
        <f t="shared" si="0"/>
        <v>High Mowing Marketmore</v>
      </c>
      <c r="B60" t="s">
        <v>70</v>
      </c>
      <c r="C60" t="s">
        <v>482</v>
      </c>
      <c r="D60" t="s">
        <v>1811</v>
      </c>
      <c r="E60" s="32">
        <v>48.75</v>
      </c>
      <c r="G60" t="e">
        <f>MATCH(C60&amp;" " &amp;D60,SeedOrder[Id],0)</f>
        <v>#N/A</v>
      </c>
      <c r="I60" s="32">
        <f>MATCH(SeedOrder[[#This Row],[Id]],$A$6:$A$264,)</f>
        <v>191</v>
      </c>
      <c r="J60" t="str">
        <f>SeedOrder[[#This Row],[Company]]&amp; " " &amp; SeedOrder[[#This Row],[Variety]]</f>
        <v>Wild Board Farm Emerald Flame</v>
      </c>
      <c r="K60" t="s">
        <v>136</v>
      </c>
      <c r="L60" t="s">
        <v>3022</v>
      </c>
      <c r="M60" t="s">
        <v>3026</v>
      </c>
      <c r="N60" t="s">
        <v>2946</v>
      </c>
      <c r="O60" t="s">
        <v>2946</v>
      </c>
      <c r="P60" s="161" t="str">
        <f>_xlfn.XLOOKUP(SeedOrder[[#This Row],[Id]],Varieties[Id],Varieties[Density])</f>
        <v>By Count</v>
      </c>
      <c r="Q60" s="37">
        <f>_xlfn.XLOOKUP(SeedOrder[[#This Row],[Id]],Varieties[Id],Varieties[Density Per])</f>
        <v>0</v>
      </c>
      <c r="R60" s="171" t="str">
        <f>HYPERLINK(_xlfn.XLOOKUP(SeedOrder[[#This Row],[Id]],Varieties[Id],Varieties[Website]), "Link")</f>
        <v>Link</v>
      </c>
      <c r="S60" s="161">
        <f>GETPIVOTDATA("Seeds",$B$4,"Variety",SeedOrder[[#This Row],[Variety]],"Company",SeedOrder[[#This Row],[Company]])</f>
        <v>36.5625</v>
      </c>
      <c r="T60" s="162">
        <v>15</v>
      </c>
      <c r="U60" s="27" t="s">
        <v>1244</v>
      </c>
      <c r="V60" s="27">
        <v>5.99</v>
      </c>
      <c r="W60" s="27">
        <v>1</v>
      </c>
      <c r="X60" s="27"/>
      <c r="Y60">
        <f>SeedOrder[[#This Row],[Product Weight]]*SeedOrder[[#This Row],[Product Quantity]]</f>
        <v>15</v>
      </c>
      <c r="Z60" s="164" t="str">
        <f>IFERROR(CONVERT(S60/SeedOrder[[#This Row],[Density]],SeedOrder[[#This Row],[Density Per]],"g"),"")</f>
        <v/>
      </c>
      <c r="AA60" s="164" t="str">
        <f>IFERROR(CONVERT(S60/SeedOrder[[#This Row],[Density]],SeedOrder[[#This Row],[Density Per]],"ozm"),"")</f>
        <v/>
      </c>
      <c r="AB60" s="164" t="str">
        <f>IFERROR(CONVERT(S60/SeedOrder[[#This Row],[Density]],SeedOrder[[#This Row],[Density Per]],"lbm"),"")</f>
        <v/>
      </c>
      <c r="AC60" s="165" cm="1">
        <f t="array" ref="AC60">IFERROR(SeedOrder[[#This Row],[Order Weight]]/IF(SeedOrder[[#This Row],[Weight Unit]]="ct",SeedOrder[[#This Row],[Needed]],_xlfn.SWITCH(SeedOrder[[#This Row],[Weight Unit]],"g",SeedOrder[[#This Row],[Needed (g)]],"ozm",SeedOrder[[#This Row],[Needed (ozm)]],"lbm",SeedOrder[[#This Row],[Needed (lbm)]])),"")</f>
        <v>0.41025641025641024</v>
      </c>
      <c r="AD60" s="166">
        <f>SeedOrder[[#This Row],[Product Quantity]]*SeedOrder[[#This Row],[Product Cost]]</f>
        <v>5.99</v>
      </c>
      <c r="AG60" s="32" t="b">
        <f>SeedOrder[[#This Row],[Id]]=J59</f>
        <v>0</v>
      </c>
      <c r="AH60" s="37" t="b">
        <f>_xlfn.XLOOKUP(SeedOrder[[#This Row],[Id]],Varieties[Id],Varieties[Organic])</f>
        <v>0</v>
      </c>
      <c r="AI60" t="s">
        <v>2484</v>
      </c>
    </row>
    <row r="61" spans="1:35" ht="15" customHeight="1">
      <c r="A61" t="str">
        <f t="shared" si="0"/>
        <v>High Mowing Tasty Green</v>
      </c>
      <c r="B61" t="s">
        <v>70</v>
      </c>
      <c r="C61" t="s">
        <v>482</v>
      </c>
      <c r="D61" t="s">
        <v>1812</v>
      </c>
      <c r="E61" s="32">
        <v>73.125</v>
      </c>
      <c r="G61" t="e">
        <f>MATCH(C61&amp;" " &amp;D61,SeedOrder[Id],0)</f>
        <v>#N/A</v>
      </c>
      <c r="I61" s="32">
        <f>MATCH(SeedOrder[[#This Row],[Id]],$A$6:$A$264,)</f>
        <v>193</v>
      </c>
      <c r="J61" t="str">
        <f>SeedOrder[[#This Row],[Company]]&amp; " " &amp; SeedOrder[[#This Row],[Variety]]</f>
        <v>Wild Board Farm Golden Hour</v>
      </c>
      <c r="K61" t="s">
        <v>136</v>
      </c>
      <c r="L61" t="s">
        <v>3022</v>
      </c>
      <c r="M61" t="s">
        <v>3029</v>
      </c>
      <c r="N61" t="s">
        <v>2946</v>
      </c>
      <c r="O61" t="s">
        <v>2946</v>
      </c>
      <c r="P61" s="161" t="str">
        <f>_xlfn.XLOOKUP(SeedOrder[[#This Row],[Id]],Varieties[Id],Varieties[Density])</f>
        <v>By Count</v>
      </c>
      <c r="Q61" s="37">
        <f>_xlfn.XLOOKUP(SeedOrder[[#This Row],[Id]],Varieties[Id],Varieties[Density Per])</f>
        <v>0</v>
      </c>
      <c r="R61" s="171" t="str">
        <f>HYPERLINK(_xlfn.XLOOKUP(SeedOrder[[#This Row],[Id]],Varieties[Id],Varieties[Website]), "Link")</f>
        <v>Link</v>
      </c>
      <c r="S61" s="161">
        <f>GETPIVOTDATA("Seeds",$B$4,"Variety",SeedOrder[[#This Row],[Variety]],"Company",SeedOrder[[#This Row],[Company]])</f>
        <v>36.5625</v>
      </c>
      <c r="T61" s="162">
        <v>15</v>
      </c>
      <c r="U61" s="27" t="s">
        <v>1244</v>
      </c>
      <c r="V61" s="27">
        <v>5.99</v>
      </c>
      <c r="W61" s="27">
        <v>1</v>
      </c>
      <c r="X61" s="27"/>
      <c r="Y61">
        <f>SeedOrder[[#This Row],[Product Weight]]*SeedOrder[[#This Row],[Product Quantity]]</f>
        <v>15</v>
      </c>
      <c r="Z61" s="164" t="str">
        <f>IFERROR(CONVERT(S61/SeedOrder[[#This Row],[Density]],SeedOrder[[#This Row],[Density Per]],"g"),"")</f>
        <v/>
      </c>
      <c r="AA61" s="164" t="str">
        <f>IFERROR(CONVERT(S61/SeedOrder[[#This Row],[Density]],SeedOrder[[#This Row],[Density Per]],"ozm"),"")</f>
        <v/>
      </c>
      <c r="AB61" s="164" t="str">
        <f>IFERROR(CONVERT(S61/SeedOrder[[#This Row],[Density]],SeedOrder[[#This Row],[Density Per]],"lbm"),"")</f>
        <v/>
      </c>
      <c r="AC61" s="165" cm="1">
        <f t="array" ref="AC61">IFERROR(SeedOrder[[#This Row],[Order Weight]]/IF(SeedOrder[[#This Row],[Weight Unit]]="ct",SeedOrder[[#This Row],[Needed]],_xlfn.SWITCH(SeedOrder[[#This Row],[Weight Unit]],"g",SeedOrder[[#This Row],[Needed (g)]],"ozm",SeedOrder[[#This Row],[Needed (ozm)]],"lbm",SeedOrder[[#This Row],[Needed (lbm)]])),"")</f>
        <v>0.41025641025641024</v>
      </c>
      <c r="AD61" s="166">
        <f>SeedOrder[[#This Row],[Product Quantity]]*SeedOrder[[#This Row],[Product Cost]]</f>
        <v>5.99</v>
      </c>
      <c r="AG61" s="32" t="b">
        <f>SeedOrder[[#This Row],[Id]]=J60</f>
        <v>0</v>
      </c>
      <c r="AH61" s="37" t="b">
        <f>_xlfn.XLOOKUP(SeedOrder[[#This Row],[Id]],Varieties[Id],Varieties[Organic])</f>
        <v>0</v>
      </c>
      <c r="AI61" t="s">
        <v>2484</v>
      </c>
    </row>
    <row r="62" spans="1:35" ht="15" customHeight="1">
      <c r="A62" t="str">
        <f t="shared" si="0"/>
        <v>High Mowing Shintokiwa</v>
      </c>
      <c r="B62" t="s">
        <v>70</v>
      </c>
      <c r="C62" t="s">
        <v>482</v>
      </c>
      <c r="D62" t="s">
        <v>2812</v>
      </c>
      <c r="E62" s="32">
        <v>24.375</v>
      </c>
      <c r="G62" t="e">
        <f>MATCH(C62&amp;" " &amp;D62,SeedOrder[Id],0)</f>
        <v>#N/A</v>
      </c>
      <c r="I62" s="32">
        <f>MATCH(SeedOrder[[#This Row],[Id]],$A$6:$A$264,)</f>
        <v>192</v>
      </c>
      <c r="J62" t="str">
        <f>SeedOrder[[#This Row],[Company]]&amp; " " &amp; SeedOrder[[#This Row],[Variety]]</f>
        <v>Wild Board Farm Limelight</v>
      </c>
      <c r="K62" t="s">
        <v>136</v>
      </c>
      <c r="L62" t="s">
        <v>3022</v>
      </c>
      <c r="M62" t="s">
        <v>3027</v>
      </c>
      <c r="N62" t="s">
        <v>2946</v>
      </c>
      <c r="O62" t="s">
        <v>2946</v>
      </c>
      <c r="P62" s="161" t="str">
        <f>_xlfn.XLOOKUP(SeedOrder[[#This Row],[Id]],Varieties[Id],Varieties[Density])</f>
        <v>By Count</v>
      </c>
      <c r="Q62" s="37">
        <f>_xlfn.XLOOKUP(SeedOrder[[#This Row],[Id]],Varieties[Id],Varieties[Density Per])</f>
        <v>0</v>
      </c>
      <c r="R62" s="171" t="str">
        <f>HYPERLINK(_xlfn.XLOOKUP(SeedOrder[[#This Row],[Id]],Varieties[Id],Varieties[Website]), "Link")</f>
        <v>Link</v>
      </c>
      <c r="S62" s="161">
        <f>GETPIVOTDATA("Seeds",$B$4,"Variety",SeedOrder[[#This Row],[Variety]],"Company",SeedOrder[[#This Row],[Company]])</f>
        <v>36.5625</v>
      </c>
      <c r="T62" s="162">
        <v>15</v>
      </c>
      <c r="U62" s="27" t="s">
        <v>1244</v>
      </c>
      <c r="V62" s="27">
        <v>5.99</v>
      </c>
      <c r="W62" s="27">
        <v>1</v>
      </c>
      <c r="X62" s="27"/>
      <c r="Y62">
        <f>SeedOrder[[#This Row],[Product Weight]]*SeedOrder[[#This Row],[Product Quantity]]</f>
        <v>15</v>
      </c>
      <c r="Z62" s="164" t="str">
        <f>IFERROR(CONVERT(S62/SeedOrder[[#This Row],[Density]],SeedOrder[[#This Row],[Density Per]],"g"),"")</f>
        <v/>
      </c>
      <c r="AA62" s="164" t="str">
        <f>IFERROR(CONVERT(S62/SeedOrder[[#This Row],[Density]],SeedOrder[[#This Row],[Density Per]],"ozm"),"")</f>
        <v/>
      </c>
      <c r="AB62" s="164" t="str">
        <f>IFERROR(CONVERT(S62/SeedOrder[[#This Row],[Density]],SeedOrder[[#This Row],[Density Per]],"lbm"),"")</f>
        <v/>
      </c>
      <c r="AC62" s="165" cm="1">
        <f t="array" ref="AC62">IFERROR(SeedOrder[[#This Row],[Order Weight]]/IF(SeedOrder[[#This Row],[Weight Unit]]="ct",SeedOrder[[#This Row],[Needed]],_xlfn.SWITCH(SeedOrder[[#This Row],[Weight Unit]],"g",SeedOrder[[#This Row],[Needed (g)]],"ozm",SeedOrder[[#This Row],[Needed (ozm)]],"lbm",SeedOrder[[#This Row],[Needed (lbm)]])),"")</f>
        <v>0.41025641025641024</v>
      </c>
      <c r="AD62" s="166">
        <f>SeedOrder[[#This Row],[Product Quantity]]*SeedOrder[[#This Row],[Product Cost]]</f>
        <v>5.99</v>
      </c>
      <c r="AG62" s="32" t="b">
        <f>SeedOrder[[#This Row],[Id]]=J61</f>
        <v>0</v>
      </c>
      <c r="AH62" s="37" t="b">
        <f>_xlfn.XLOOKUP(SeedOrder[[#This Row],[Id]],Varieties[Id],Varieties[Organic])</f>
        <v>0</v>
      </c>
      <c r="AI62" t="s">
        <v>2484</v>
      </c>
    </row>
    <row r="63" spans="1:35" ht="15" customHeight="1">
      <c r="A63" t="str">
        <f t="shared" si="0"/>
        <v>Johnny's Corinto</v>
      </c>
      <c r="B63" t="s">
        <v>70</v>
      </c>
      <c r="C63" t="s">
        <v>490</v>
      </c>
      <c r="D63" t="s">
        <v>2877</v>
      </c>
      <c r="E63" s="32">
        <v>16.25</v>
      </c>
      <c r="I63" s="32"/>
      <c r="P63" s="161"/>
      <c r="Q63" s="37"/>
      <c r="R63" s="171"/>
      <c r="S63" s="161"/>
      <c r="T63" s="162"/>
      <c r="U63" s="27"/>
      <c r="V63" s="163"/>
      <c r="W63" s="27"/>
      <c r="X63" s="27"/>
      <c r="Z63" s="164"/>
      <c r="AA63" s="164"/>
      <c r="AB63" s="164"/>
      <c r="AC63" s="165"/>
      <c r="AD63" s="166"/>
      <c r="AG63" s="32"/>
      <c r="AH63" s="37"/>
    </row>
    <row r="64" spans="1:35" ht="15" customHeight="1">
      <c r="A64" t="str">
        <f t="shared" si="0"/>
        <v>Osborne Katrina</v>
      </c>
      <c r="B64" t="s">
        <v>70</v>
      </c>
      <c r="C64" t="s">
        <v>503</v>
      </c>
      <c r="D64" t="s">
        <v>2811</v>
      </c>
      <c r="E64" s="32">
        <v>8.125</v>
      </c>
      <c r="I64" s="32"/>
      <c r="P64" s="161"/>
      <c r="Q64" s="37"/>
      <c r="R64" s="171"/>
      <c r="S64" s="161"/>
      <c r="T64" s="162"/>
      <c r="U64" s="27"/>
      <c r="V64" s="163"/>
      <c r="W64" s="27"/>
      <c r="X64" s="27"/>
      <c r="Z64" s="164"/>
      <c r="AA64" s="164"/>
      <c r="AB64" s="164"/>
      <c r="AC64" s="165"/>
      <c r="AD64" s="166"/>
      <c r="AG64" s="32"/>
      <c r="AH64" s="37"/>
    </row>
    <row r="65" spans="1:34" ht="15" customHeight="1">
      <c r="A65" t="str">
        <f t="shared" si="0"/>
        <v>Adaptive Ambrosia</v>
      </c>
      <c r="B65" t="s">
        <v>75</v>
      </c>
      <c r="C65" t="s">
        <v>488</v>
      </c>
      <c r="D65" t="s">
        <v>523</v>
      </c>
      <c r="E65" s="32">
        <v>1540.0000000000002</v>
      </c>
      <c r="I65" s="32"/>
      <c r="P65" s="161"/>
      <c r="Q65" s="37"/>
      <c r="R65" s="171"/>
      <c r="S65" s="161"/>
      <c r="T65" s="162"/>
      <c r="U65" s="27"/>
      <c r="V65" s="27"/>
      <c r="W65" s="27"/>
      <c r="X65" s="27"/>
      <c r="Z65" s="164"/>
      <c r="AA65" s="164"/>
      <c r="AB65" s="164"/>
      <c r="AC65" s="165"/>
      <c r="AD65" s="166"/>
      <c r="AG65" s="32"/>
      <c r="AH65" s="37"/>
    </row>
    <row r="66" spans="1:34" ht="15" customHeight="1">
      <c r="A66" t="str">
        <f t="shared" si="0"/>
        <v>High Mowing Green Sleeves</v>
      </c>
      <c r="B66" t="s">
        <v>75</v>
      </c>
      <c r="C66" t="s">
        <v>482</v>
      </c>
      <c r="D66" t="s">
        <v>524</v>
      </c>
      <c r="E66" s="32">
        <v>1540.0000000000002</v>
      </c>
      <c r="I66" s="32"/>
      <c r="P66" s="161"/>
      <c r="Q66" s="37"/>
      <c r="R66" s="171"/>
      <c r="S66" s="161"/>
      <c r="T66" s="162"/>
      <c r="U66" s="27"/>
      <c r="V66" s="163"/>
      <c r="W66" s="27"/>
      <c r="X66" s="27"/>
      <c r="Z66" s="164"/>
      <c r="AA66" s="164"/>
      <c r="AB66" s="164"/>
      <c r="AC66" s="165"/>
      <c r="AD66" s="166"/>
      <c r="AG66" s="32"/>
      <c r="AH66" s="37"/>
    </row>
    <row r="67" spans="1:34" ht="15" customHeight="1">
      <c r="A67" t="str">
        <f t="shared" si="0"/>
        <v>Johnny's Thalia OG</v>
      </c>
      <c r="B67" t="s">
        <v>75</v>
      </c>
      <c r="C67" t="s">
        <v>490</v>
      </c>
      <c r="D67" t="s">
        <v>2813</v>
      </c>
      <c r="E67" s="32">
        <v>1540.0000000000002</v>
      </c>
      <c r="I67" s="32"/>
      <c r="P67" s="161"/>
      <c r="Q67" s="37"/>
      <c r="R67" s="171"/>
      <c r="S67" s="161"/>
      <c r="T67" s="162"/>
      <c r="U67" s="27"/>
      <c r="V67" s="27"/>
      <c r="W67" s="27"/>
      <c r="X67" s="27"/>
      <c r="Z67" s="164"/>
      <c r="AA67" s="164"/>
      <c r="AB67" s="164"/>
      <c r="AC67" s="165"/>
      <c r="AD67" s="166"/>
      <c r="AG67" s="32"/>
      <c r="AH67" s="37"/>
    </row>
    <row r="68" spans="1:34" ht="15" customHeight="1">
      <c r="A68" t="str">
        <f t="shared" si="0"/>
        <v>Osborne Bouquet OG</v>
      </c>
      <c r="B68" t="s">
        <v>75</v>
      </c>
      <c r="C68" t="s">
        <v>503</v>
      </c>
      <c r="D68" t="s">
        <v>2900</v>
      </c>
      <c r="E68" s="32">
        <v>1540.0000000000002</v>
      </c>
      <c r="I68" s="32"/>
      <c r="P68" s="167"/>
      <c r="Q68" s="37"/>
      <c r="R68" s="171"/>
      <c r="S68" s="167"/>
      <c r="T68" s="168"/>
      <c r="U68" s="27"/>
      <c r="V68" s="27"/>
      <c r="W68" s="27"/>
      <c r="X68" s="27"/>
      <c r="Z68" s="164"/>
      <c r="AA68" s="164"/>
      <c r="AB68" s="164"/>
      <c r="AC68" s="169"/>
      <c r="AD68" s="170"/>
      <c r="AG68" s="32"/>
      <c r="AH68" s="37"/>
    </row>
    <row r="69" spans="1:34" ht="15" customHeight="1">
      <c r="A69" t="str">
        <f t="shared" si="0"/>
        <v>Sustainable Seed Company Aquadulce</v>
      </c>
      <c r="B69" t="s">
        <v>2281</v>
      </c>
      <c r="C69" t="s">
        <v>1814</v>
      </c>
      <c r="D69" t="s">
        <v>1815</v>
      </c>
      <c r="E69" s="32">
        <v>173.33333333333331</v>
      </c>
      <c r="I69" s="32"/>
      <c r="P69" s="161"/>
      <c r="Q69" s="37"/>
      <c r="R69" s="171"/>
      <c r="S69" s="161"/>
      <c r="T69" s="162"/>
      <c r="U69" s="27"/>
      <c r="V69" s="163"/>
      <c r="W69" s="27"/>
      <c r="X69" s="27"/>
      <c r="Z69" s="164"/>
      <c r="AA69" s="164"/>
      <c r="AB69" s="164"/>
      <c r="AC69" s="165"/>
      <c r="AD69" s="166"/>
      <c r="AG69" s="32"/>
      <c r="AH69" s="37"/>
    </row>
    <row r="70" spans="1:34" ht="15" customHeight="1">
      <c r="A70" t="str">
        <f t="shared" si="0"/>
        <v>High Mowing Solaris F1</v>
      </c>
      <c r="B70" t="s">
        <v>78</v>
      </c>
      <c r="C70" t="s">
        <v>482</v>
      </c>
      <c r="D70" t="s">
        <v>531</v>
      </c>
      <c r="E70" s="32">
        <v>780</v>
      </c>
      <c r="I70" s="32"/>
      <c r="P70" s="161"/>
      <c r="Q70" s="37"/>
      <c r="R70" s="171"/>
      <c r="S70" s="161"/>
      <c r="T70" s="162"/>
      <c r="U70" s="27"/>
      <c r="V70" s="163"/>
      <c r="W70" s="27"/>
      <c r="X70" s="27"/>
      <c r="Z70" s="164"/>
      <c r="AA70" s="164"/>
      <c r="AB70" s="164"/>
      <c r="AC70" s="165"/>
      <c r="AD70" s="166"/>
      <c r="AG70" s="32"/>
      <c r="AH70" s="37"/>
    </row>
    <row r="71" spans="1:34" ht="15" customHeight="1">
      <c r="A71" t="str">
        <f t="shared" ref="A71:A134" si="1">C71&amp; " "  &amp; D71</f>
        <v>Wild Garden Perfection</v>
      </c>
      <c r="B71" t="s">
        <v>78</v>
      </c>
      <c r="C71" t="s">
        <v>526</v>
      </c>
      <c r="D71" t="s">
        <v>530</v>
      </c>
      <c r="E71" s="32">
        <v>260</v>
      </c>
      <c r="I71" s="32"/>
      <c r="P71" s="161"/>
      <c r="Q71" s="37"/>
      <c r="R71" s="171"/>
      <c r="S71" s="161"/>
      <c r="T71" s="162"/>
      <c r="U71" s="27"/>
      <c r="V71" s="163"/>
      <c r="W71" s="27"/>
      <c r="X71" s="27"/>
      <c r="Z71" s="164"/>
      <c r="AA71" s="164"/>
      <c r="AB71" s="164"/>
      <c r="AC71" s="165"/>
      <c r="AD71" s="166"/>
      <c r="AG71" s="32"/>
      <c r="AH71" s="37"/>
    </row>
    <row r="72" spans="1:34" ht="15" customHeight="1">
      <c r="A72" t="str">
        <f t="shared" si="1"/>
        <v>(blank) Saved Seed</v>
      </c>
      <c r="B72" t="s">
        <v>80</v>
      </c>
      <c r="C72" t="s">
        <v>478</v>
      </c>
      <c r="D72" t="s">
        <v>2863</v>
      </c>
      <c r="E72" s="32">
        <v>1500</v>
      </c>
      <c r="I72" s="32"/>
      <c r="P72" s="161"/>
      <c r="Q72" s="37"/>
      <c r="R72" s="171"/>
      <c r="S72" s="161"/>
      <c r="T72" s="162"/>
      <c r="U72" s="27"/>
      <c r="V72" s="27"/>
      <c r="W72" s="27"/>
      <c r="X72" s="27"/>
      <c r="Z72" s="164"/>
      <c r="AA72" s="164"/>
      <c r="AB72" s="164"/>
      <c r="AC72" s="165"/>
      <c r="AD72" s="166"/>
      <c r="AG72" s="32"/>
      <c r="AH72" s="37"/>
    </row>
    <row r="73" spans="1:34" ht="15" customHeight="1">
      <c r="A73" t="str">
        <f t="shared" si="1"/>
        <v>Garden Hoard Peruvian Ground Cherry</v>
      </c>
      <c r="B73" t="s">
        <v>393</v>
      </c>
      <c r="C73" t="s">
        <v>501</v>
      </c>
      <c r="D73" t="s">
        <v>2855</v>
      </c>
      <c r="E73" s="32">
        <v>13</v>
      </c>
      <c r="I73" s="32"/>
      <c r="P73" s="161"/>
      <c r="Q73" s="37"/>
      <c r="R73" s="171"/>
      <c r="S73" s="161"/>
      <c r="T73" s="162"/>
      <c r="U73" s="27"/>
      <c r="V73" s="163"/>
      <c r="W73" s="27"/>
      <c r="X73" s="27"/>
      <c r="Z73" s="164"/>
      <c r="AA73" s="164"/>
      <c r="AB73" s="164"/>
      <c r="AC73" s="165"/>
      <c r="AD73" s="166"/>
      <c r="AG73" s="32"/>
      <c r="AH73" s="37"/>
    </row>
    <row r="74" spans="1:34" ht="15" customHeight="1">
      <c r="A74" t="str">
        <f t="shared" si="1"/>
        <v>High Mowing Dazzling Blue</v>
      </c>
      <c r="B74" t="s">
        <v>88</v>
      </c>
      <c r="C74" t="s">
        <v>482</v>
      </c>
      <c r="D74" t="s">
        <v>1554</v>
      </c>
      <c r="E74" s="32">
        <v>97.777777777777771</v>
      </c>
      <c r="I74" s="32"/>
      <c r="P74" s="161"/>
      <c r="Q74" s="37"/>
      <c r="R74" s="171"/>
      <c r="S74" s="161"/>
      <c r="T74" s="162"/>
      <c r="U74" s="27"/>
      <c r="V74" s="163"/>
      <c r="W74" s="27"/>
      <c r="X74" s="27"/>
      <c r="Z74" s="164"/>
      <c r="AA74" s="164"/>
      <c r="AB74" s="164"/>
      <c r="AC74" s="165"/>
      <c r="AD74" s="166"/>
      <c r="AG74" s="32"/>
      <c r="AH74" s="37"/>
    </row>
    <row r="75" spans="1:34" ht="15" customHeight="1">
      <c r="A75" t="str">
        <f t="shared" si="1"/>
        <v>High Mowing Black Jack F1</v>
      </c>
      <c r="B75" t="s">
        <v>88</v>
      </c>
      <c r="C75" t="s">
        <v>482</v>
      </c>
      <c r="D75" t="s">
        <v>2022</v>
      </c>
      <c r="E75" s="32">
        <v>97.777777777777771</v>
      </c>
      <c r="I75" s="32"/>
      <c r="P75" s="161"/>
      <c r="Q75" s="37"/>
      <c r="R75" s="171"/>
      <c r="S75" s="161"/>
      <c r="T75" s="162"/>
      <c r="U75" s="27"/>
      <c r="V75" s="163"/>
      <c r="W75" s="27"/>
      <c r="X75" s="27"/>
      <c r="Z75" s="164"/>
      <c r="AA75" s="164"/>
      <c r="AB75" s="164"/>
      <c r="AC75" s="165"/>
      <c r="AD75" s="166"/>
      <c r="AG75" s="32"/>
      <c r="AH75" s="37"/>
    </row>
    <row r="76" spans="1:34" ht="15" customHeight="1">
      <c r="A76" t="str">
        <f t="shared" si="1"/>
        <v>High Mowing Red Russian</v>
      </c>
      <c r="B76" t="s">
        <v>88</v>
      </c>
      <c r="C76" t="s">
        <v>482</v>
      </c>
      <c r="D76" t="s">
        <v>2224</v>
      </c>
      <c r="E76" s="32">
        <v>97.777777777777771</v>
      </c>
      <c r="I76" s="32"/>
      <c r="P76" s="161"/>
      <c r="Q76" s="37"/>
      <c r="R76" s="171"/>
      <c r="S76" s="161"/>
      <c r="T76" s="162"/>
      <c r="U76" s="27"/>
      <c r="V76" s="163"/>
      <c r="W76" s="27"/>
      <c r="X76" s="27"/>
      <c r="Z76" s="164"/>
      <c r="AA76" s="164"/>
      <c r="AB76" s="164"/>
      <c r="AC76" s="165"/>
      <c r="AD76" s="166"/>
      <c r="AG76" s="32"/>
      <c r="AH76" s="37"/>
    </row>
    <row r="77" spans="1:34" ht="15" customHeight="1">
      <c r="A77" t="str">
        <f t="shared" si="1"/>
        <v>Johnny's Konan F1</v>
      </c>
      <c r="B77" t="s">
        <v>89</v>
      </c>
      <c r="C77" t="s">
        <v>490</v>
      </c>
      <c r="D77" t="s">
        <v>1920</v>
      </c>
      <c r="E77" s="32">
        <v>390</v>
      </c>
      <c r="I77" s="32"/>
      <c r="P77" s="161"/>
      <c r="Q77" s="37"/>
      <c r="R77" s="171"/>
      <c r="S77" s="161"/>
      <c r="T77" s="162"/>
      <c r="U77" s="27"/>
      <c r="V77" s="163"/>
      <c r="W77" s="27"/>
      <c r="X77" s="27"/>
      <c r="Z77" s="164"/>
      <c r="AA77" s="164"/>
      <c r="AB77" s="164"/>
      <c r="AC77" s="165"/>
      <c r="AD77" s="166"/>
      <c r="AG77" s="32"/>
      <c r="AH77" s="37"/>
    </row>
    <row r="78" spans="1:34" ht="15" customHeight="1">
      <c r="A78" t="str">
        <f t="shared" si="1"/>
        <v>Johnny's Kolibri F1</v>
      </c>
      <c r="B78" t="s">
        <v>89</v>
      </c>
      <c r="C78" t="s">
        <v>490</v>
      </c>
      <c r="D78" t="s">
        <v>1921</v>
      </c>
      <c r="E78" s="32">
        <v>390</v>
      </c>
      <c r="I78" s="32"/>
      <c r="P78" s="161"/>
      <c r="Q78" s="37"/>
      <c r="R78" s="171"/>
      <c r="S78" s="161"/>
      <c r="T78" s="162"/>
      <c r="U78" s="27"/>
      <c r="V78" s="163"/>
      <c r="W78" s="27"/>
      <c r="X78" s="27"/>
      <c r="Z78" s="164"/>
      <c r="AA78" s="164"/>
      <c r="AB78" s="164"/>
      <c r="AC78" s="165"/>
      <c r="AD78" s="166"/>
      <c r="AG78" s="32"/>
      <c r="AH78" s="37"/>
    </row>
    <row r="79" spans="1:34" ht="15" customHeight="1">
      <c r="A79" t="str">
        <f t="shared" si="1"/>
        <v>Johnny's King Richard</v>
      </c>
      <c r="B79" t="s">
        <v>91</v>
      </c>
      <c r="C79" t="s">
        <v>490</v>
      </c>
      <c r="D79" t="s">
        <v>535</v>
      </c>
      <c r="E79" s="32">
        <v>1155.5555555555552</v>
      </c>
      <c r="I79" s="32"/>
      <c r="P79" s="161"/>
      <c r="Q79" s="37"/>
      <c r="R79" s="171"/>
      <c r="S79" s="161"/>
      <c r="T79" s="162"/>
      <c r="U79" s="27"/>
      <c r="V79" s="27"/>
      <c r="W79" s="27"/>
      <c r="X79" s="27"/>
      <c r="Z79" s="164"/>
      <c r="AA79" s="164"/>
      <c r="AB79" s="164"/>
      <c r="AC79" s="165"/>
      <c r="AD79" s="166"/>
      <c r="AG79" s="32"/>
      <c r="AH79" s="37"/>
    </row>
    <row r="80" spans="1:34" ht="15" customHeight="1">
      <c r="A80" t="str">
        <f t="shared" si="1"/>
        <v>Osborne Lancia</v>
      </c>
      <c r="B80" t="s">
        <v>91</v>
      </c>
      <c r="C80" t="s">
        <v>503</v>
      </c>
      <c r="D80" t="s">
        <v>2857</v>
      </c>
      <c r="E80" s="32">
        <v>1155.5555555555552</v>
      </c>
      <c r="I80" s="32"/>
      <c r="P80" s="161"/>
      <c r="Q80" s="37"/>
      <c r="R80" s="171"/>
      <c r="S80" s="161"/>
      <c r="T80" s="162"/>
      <c r="U80" s="27"/>
      <c r="V80" s="163"/>
      <c r="W80" s="27"/>
      <c r="X80" s="27"/>
      <c r="Z80" s="164"/>
      <c r="AA80" s="164"/>
      <c r="AB80" s="164"/>
      <c r="AC80" s="165"/>
      <c r="AD80" s="166"/>
      <c r="AG80" s="32"/>
      <c r="AH80" s="37"/>
    </row>
    <row r="81" spans="1:34" ht="15" customHeight="1">
      <c r="A81" t="str">
        <f t="shared" si="1"/>
        <v>Territorial Chinook OG</v>
      </c>
      <c r="B81" t="s">
        <v>91</v>
      </c>
      <c r="C81" t="s">
        <v>533</v>
      </c>
      <c r="D81" t="s">
        <v>2858</v>
      </c>
      <c r="E81" s="32">
        <v>1155.5555555555552</v>
      </c>
      <c r="I81" s="32"/>
      <c r="P81" s="33"/>
      <c r="Q81" s="37"/>
      <c r="R81" s="171"/>
      <c r="S81" s="33"/>
      <c r="T81" s="172"/>
      <c r="U81" s="27"/>
      <c r="V81" s="27"/>
      <c r="W81" s="27"/>
      <c r="X81" s="27"/>
      <c r="Z81" s="164"/>
      <c r="AA81" s="164"/>
      <c r="AB81" s="164"/>
      <c r="AC81" s="174"/>
      <c r="AD81" s="36"/>
      <c r="AG81" s="32"/>
      <c r="AH81" s="37"/>
    </row>
    <row r="82" spans="1:34" ht="15" customHeight="1">
      <c r="A82" t="str">
        <f t="shared" si="1"/>
        <v>Johnny's East Indian Lemongrass</v>
      </c>
      <c r="B82" t="s">
        <v>387</v>
      </c>
      <c r="C82" t="s">
        <v>490</v>
      </c>
      <c r="D82" t="s">
        <v>1877</v>
      </c>
      <c r="E82" s="32">
        <v>130</v>
      </c>
      <c r="I82" s="32"/>
      <c r="P82" s="161"/>
      <c r="Q82" s="37"/>
      <c r="R82" s="171"/>
      <c r="S82" s="161"/>
      <c r="T82" s="162"/>
      <c r="U82" s="27"/>
      <c r="V82" s="163"/>
      <c r="W82" s="27"/>
      <c r="X82" s="27"/>
      <c r="Z82" s="164"/>
      <c r="AA82" s="164"/>
      <c r="AB82" s="164"/>
      <c r="AC82" s="165"/>
      <c r="AD82" s="166"/>
      <c r="AG82" s="32"/>
      <c r="AH82" s="37"/>
    </row>
    <row r="83" spans="1:34" ht="15" customHeight="1">
      <c r="A83" t="str">
        <f t="shared" si="1"/>
        <v>High Mowing Rouge D'Hiver</v>
      </c>
      <c r="B83" t="s">
        <v>92</v>
      </c>
      <c r="C83" t="s">
        <v>482</v>
      </c>
      <c r="D83" t="s">
        <v>1819</v>
      </c>
      <c r="E83" s="32">
        <v>270.39999999999998</v>
      </c>
      <c r="I83" s="32"/>
      <c r="P83" s="33"/>
      <c r="Q83" s="37"/>
      <c r="R83" s="171"/>
      <c r="S83" s="33"/>
      <c r="T83" s="172"/>
      <c r="U83" s="27"/>
      <c r="V83" s="27"/>
      <c r="W83" s="27"/>
      <c r="X83" s="27"/>
      <c r="Z83" s="164"/>
      <c r="AA83" s="164"/>
      <c r="AB83" s="164"/>
      <c r="AC83" s="174"/>
      <c r="AD83" s="36"/>
      <c r="AG83" s="32"/>
      <c r="AH83" s="37"/>
    </row>
    <row r="84" spans="1:34" ht="15" customHeight="1">
      <c r="A84" t="str">
        <f t="shared" si="1"/>
        <v>High Mowing Lovelock</v>
      </c>
      <c r="B84" t="s">
        <v>92</v>
      </c>
      <c r="C84" t="s">
        <v>482</v>
      </c>
      <c r="D84" t="s">
        <v>1542</v>
      </c>
      <c r="E84" s="32">
        <v>180.26666666666665</v>
      </c>
      <c r="I84" s="32"/>
      <c r="P84" s="33"/>
      <c r="Q84" s="37"/>
      <c r="R84" s="171"/>
      <c r="S84" s="33"/>
      <c r="T84" s="172"/>
      <c r="U84" s="27"/>
      <c r="V84" s="27"/>
      <c r="W84" s="27"/>
      <c r="X84" s="27"/>
      <c r="Z84" s="164"/>
      <c r="AA84" s="164"/>
      <c r="AB84" s="164"/>
      <c r="AC84" s="174"/>
      <c r="AD84" s="36"/>
      <c r="AG84" s="32"/>
      <c r="AH84" s="37"/>
    </row>
    <row r="85" spans="1:34" ht="15" customHeight="1">
      <c r="A85" t="str">
        <f t="shared" si="1"/>
        <v>Johnny's Muir</v>
      </c>
      <c r="B85" t="s">
        <v>92</v>
      </c>
      <c r="C85" t="s">
        <v>490</v>
      </c>
      <c r="D85" t="s">
        <v>546</v>
      </c>
      <c r="E85" s="32">
        <v>180.26666666666665</v>
      </c>
      <c r="I85" s="32"/>
      <c r="P85" s="167"/>
      <c r="Q85" s="37"/>
      <c r="R85" s="171"/>
      <c r="S85" s="167"/>
      <c r="T85" s="168"/>
      <c r="U85" s="27"/>
      <c r="V85" s="27"/>
      <c r="W85" s="27"/>
      <c r="X85" s="27"/>
      <c r="Z85" s="164"/>
      <c r="AA85" s="164"/>
      <c r="AB85" s="164"/>
      <c r="AC85" s="169"/>
      <c r="AD85" s="170"/>
      <c r="AG85" s="32"/>
      <c r="AH85" s="37"/>
    </row>
    <row r="86" spans="1:34" ht="15" customHeight="1">
      <c r="A86" t="str">
        <f t="shared" si="1"/>
        <v>Johnny's Red Sweet Crisp</v>
      </c>
      <c r="B86" t="s">
        <v>92</v>
      </c>
      <c r="C86" t="s">
        <v>490</v>
      </c>
      <c r="D86" t="s">
        <v>1820</v>
      </c>
      <c r="E86" s="32">
        <v>506.99999999999989</v>
      </c>
      <c r="I86" s="32"/>
      <c r="P86" s="161"/>
      <c r="Q86" s="37"/>
      <c r="R86" s="171"/>
      <c r="S86" s="161"/>
      <c r="T86" s="162"/>
      <c r="U86" s="27"/>
      <c r="V86" s="27"/>
      <c r="W86" s="27"/>
      <c r="X86" s="27"/>
      <c r="Z86" s="164"/>
      <c r="AA86" s="164"/>
      <c r="AB86" s="164"/>
      <c r="AC86" s="165"/>
      <c r="AD86" s="166"/>
      <c r="AG86" s="32"/>
      <c r="AH86" s="37"/>
    </row>
    <row r="87" spans="1:34" ht="15" customHeight="1">
      <c r="A87" t="str">
        <f t="shared" si="1"/>
        <v>Johnny's Salanova Red Oak Leaf</v>
      </c>
      <c r="B87" t="s">
        <v>92</v>
      </c>
      <c r="C87" t="s">
        <v>490</v>
      </c>
      <c r="D87" t="s">
        <v>1822</v>
      </c>
      <c r="E87" s="32">
        <v>506.99999999999989</v>
      </c>
      <c r="I87" s="32"/>
      <c r="P87" s="33"/>
      <c r="Q87" s="37"/>
      <c r="R87" s="171"/>
      <c r="S87" s="33"/>
      <c r="T87" s="172"/>
      <c r="U87" s="27"/>
      <c r="V87" s="27"/>
      <c r="W87" s="27"/>
      <c r="X87" s="27"/>
      <c r="Z87" s="164"/>
      <c r="AA87" s="164"/>
      <c r="AB87" s="164"/>
      <c r="AC87" s="174"/>
      <c r="AD87" s="36"/>
      <c r="AG87" s="32"/>
      <c r="AH87" s="37"/>
    </row>
    <row r="88" spans="1:34" ht="15" customHeight="1">
      <c r="A88" t="str">
        <f t="shared" si="1"/>
        <v>Johnny's Green Sweet Crisp</v>
      </c>
      <c r="B88" t="s">
        <v>92</v>
      </c>
      <c r="C88" t="s">
        <v>490</v>
      </c>
      <c r="D88" t="s">
        <v>1824</v>
      </c>
      <c r="E88" s="32">
        <v>2027.9999999999995</v>
      </c>
      <c r="I88" s="32"/>
      <c r="P88" s="161"/>
      <c r="Q88" s="37"/>
      <c r="R88" s="171"/>
      <c r="S88" s="161"/>
      <c r="T88" s="162"/>
      <c r="U88" s="27"/>
      <c r="V88" s="27"/>
      <c r="W88" s="27"/>
      <c r="X88" s="27"/>
      <c r="Z88" s="164"/>
      <c r="AA88" s="164"/>
      <c r="AB88" s="164"/>
      <c r="AC88" s="165"/>
      <c r="AD88" s="166"/>
      <c r="AG88" s="32"/>
      <c r="AH88" s="37"/>
    </row>
    <row r="89" spans="1:34" ht="15" customHeight="1">
      <c r="A89" t="str">
        <f t="shared" si="1"/>
        <v>Johnny's Intercut</v>
      </c>
      <c r="B89" t="s">
        <v>92</v>
      </c>
      <c r="C89" t="s">
        <v>490</v>
      </c>
      <c r="D89" t="s">
        <v>1385</v>
      </c>
      <c r="E89" s="32">
        <v>1013.9999999999998</v>
      </c>
      <c r="I89" s="32"/>
      <c r="P89" s="161"/>
      <c r="Q89" s="37"/>
      <c r="R89" s="171"/>
      <c r="S89" s="161"/>
      <c r="T89" s="162"/>
      <c r="U89" s="27"/>
      <c r="V89" s="163"/>
      <c r="W89" s="27"/>
      <c r="X89" s="27"/>
      <c r="Z89" s="164"/>
      <c r="AA89" s="164"/>
      <c r="AB89" s="164"/>
      <c r="AC89" s="165"/>
      <c r="AD89" s="166"/>
      <c r="AG89" s="32"/>
      <c r="AH89" s="37"/>
    </row>
    <row r="90" spans="1:34" ht="15" customHeight="1">
      <c r="A90" t="str">
        <f t="shared" si="1"/>
        <v>Johnny's Xalbadora</v>
      </c>
      <c r="B90" t="s">
        <v>92</v>
      </c>
      <c r="C90" t="s">
        <v>490</v>
      </c>
      <c r="D90" t="s">
        <v>2102</v>
      </c>
      <c r="E90" s="32">
        <v>90.133333333333326</v>
      </c>
      <c r="I90" s="32"/>
      <c r="P90" s="161"/>
      <c r="Q90" s="37"/>
      <c r="R90" s="171"/>
      <c r="S90" s="161"/>
      <c r="T90" s="162"/>
      <c r="U90" s="27"/>
      <c r="V90" s="27"/>
      <c r="W90" s="27"/>
      <c r="X90" s="27"/>
      <c r="Z90" s="164"/>
      <c r="AA90" s="164"/>
      <c r="AB90" s="164"/>
      <c r="AC90" s="165"/>
      <c r="AD90" s="166"/>
      <c r="AG90" s="32"/>
      <c r="AH90" s="37"/>
    </row>
    <row r="91" spans="1:34" ht="15" customHeight="1">
      <c r="A91" t="str">
        <f t="shared" si="1"/>
        <v>Osborne Truchas - Pelleted</v>
      </c>
      <c r="B91" t="s">
        <v>92</v>
      </c>
      <c r="C91" t="s">
        <v>503</v>
      </c>
      <c r="D91" t="s">
        <v>2229</v>
      </c>
      <c r="E91" s="32">
        <v>270.39999999999998</v>
      </c>
      <c r="I91" s="32"/>
      <c r="P91" s="161"/>
      <c r="Q91" s="37"/>
      <c r="R91" s="171"/>
      <c r="S91" s="161"/>
      <c r="T91" s="162"/>
      <c r="U91" s="27"/>
      <c r="V91" s="163"/>
      <c r="W91" s="27"/>
      <c r="X91" s="27"/>
      <c r="Z91" s="164"/>
      <c r="AA91" s="164"/>
      <c r="AB91" s="164"/>
      <c r="AC91" s="165"/>
      <c r="AD91" s="166"/>
      <c r="AG91" s="32"/>
      <c r="AH91" s="37"/>
    </row>
    <row r="92" spans="1:34" ht="15" customHeight="1">
      <c r="A92" t="str">
        <f t="shared" si="1"/>
        <v>Uprising Summertime</v>
      </c>
      <c r="B92" t="s">
        <v>92</v>
      </c>
      <c r="C92" t="s">
        <v>484</v>
      </c>
      <c r="D92" t="s">
        <v>2815</v>
      </c>
      <c r="E92" s="32">
        <v>180.26666666666665</v>
      </c>
      <c r="I92" s="32"/>
      <c r="P92" s="161"/>
      <c r="Q92" s="37"/>
      <c r="R92" s="171"/>
      <c r="S92" s="161"/>
      <c r="T92" s="162"/>
      <c r="U92" s="27"/>
      <c r="V92" s="27"/>
      <c r="W92" s="27"/>
      <c r="X92" s="27"/>
      <c r="Z92" s="164"/>
      <c r="AA92" s="164"/>
      <c r="AB92" s="164"/>
      <c r="AC92" s="165"/>
      <c r="AD92" s="166"/>
      <c r="AG92" s="32"/>
      <c r="AH92" s="37"/>
    </row>
    <row r="93" spans="1:34" ht="15" customHeight="1">
      <c r="A93" t="str">
        <f t="shared" si="1"/>
        <v>Wild Garden Brown Goldring</v>
      </c>
      <c r="B93" t="s">
        <v>92</v>
      </c>
      <c r="C93" t="s">
        <v>526</v>
      </c>
      <c r="D93" t="s">
        <v>542</v>
      </c>
      <c r="E93" s="32">
        <v>270.39999999999998</v>
      </c>
      <c r="I93" s="32"/>
      <c r="P93" s="161"/>
      <c r="Q93" s="37"/>
      <c r="R93" s="171"/>
      <c r="S93" s="161"/>
      <c r="T93" s="162"/>
      <c r="U93" s="27"/>
      <c r="V93" s="27"/>
      <c r="W93" s="27"/>
      <c r="X93" s="27"/>
      <c r="Z93" s="164"/>
      <c r="AA93" s="164"/>
      <c r="AB93" s="164"/>
      <c r="AC93" s="165"/>
      <c r="AD93" s="166"/>
      <c r="AG93" s="32"/>
      <c r="AH93" s="37"/>
    </row>
    <row r="94" spans="1:34" ht="15" customHeight="1">
      <c r="A94" t="str">
        <f t="shared" si="1"/>
        <v>Wild Garden Jester</v>
      </c>
      <c r="B94" t="s">
        <v>92</v>
      </c>
      <c r="C94" t="s">
        <v>526</v>
      </c>
      <c r="D94" t="s">
        <v>540</v>
      </c>
      <c r="E94" s="32">
        <v>270.39999999999998</v>
      </c>
      <c r="I94" s="32"/>
      <c r="P94" s="161"/>
      <c r="Q94" s="37"/>
      <c r="R94" s="171"/>
      <c r="S94" s="161"/>
      <c r="T94" s="162"/>
      <c r="U94" s="27"/>
      <c r="V94" s="163"/>
      <c r="W94" s="27"/>
      <c r="X94" s="27"/>
      <c r="Z94" s="164"/>
      <c r="AA94" s="164"/>
      <c r="AB94" s="164"/>
      <c r="AC94" s="165"/>
      <c r="AD94" s="166"/>
      <c r="AG94" s="32"/>
      <c r="AH94" s="37"/>
    </row>
    <row r="95" spans="1:34" ht="15" customHeight="1">
      <c r="A95" t="str">
        <f t="shared" si="1"/>
        <v>(blank) Perennial</v>
      </c>
      <c r="B95" t="s">
        <v>95</v>
      </c>
      <c r="C95" t="s">
        <v>478</v>
      </c>
      <c r="D95" t="s">
        <v>1521</v>
      </c>
      <c r="E95" s="32">
        <v>0</v>
      </c>
      <c r="I95" s="32"/>
      <c r="P95" s="161"/>
      <c r="Q95" s="37"/>
      <c r="R95" s="171"/>
      <c r="S95" s="161"/>
      <c r="T95" s="162"/>
      <c r="U95" s="27"/>
      <c r="V95" s="163"/>
      <c r="W95" s="27"/>
      <c r="X95" s="27"/>
      <c r="Z95" s="164"/>
      <c r="AA95" s="164"/>
      <c r="AB95" s="164"/>
      <c r="AC95" s="165"/>
      <c r="AD95" s="166"/>
      <c r="AG95" s="32"/>
      <c r="AH95" s="37"/>
    </row>
    <row r="96" spans="1:34" ht="15" customHeight="1">
      <c r="A96" t="str">
        <f t="shared" si="1"/>
        <v>Adaptive Magenta Spreen</v>
      </c>
      <c r="B96" t="s">
        <v>1793</v>
      </c>
      <c r="C96" t="s">
        <v>488</v>
      </c>
      <c r="D96" t="s">
        <v>1793</v>
      </c>
      <c r="E96" s="32">
        <v>390</v>
      </c>
      <c r="I96" s="32"/>
      <c r="P96" s="161"/>
      <c r="Q96" s="37"/>
      <c r="R96" s="171"/>
      <c r="S96" s="161"/>
      <c r="T96" s="162"/>
      <c r="U96" s="27"/>
      <c r="V96" s="163"/>
      <c r="W96" s="27"/>
      <c r="X96" s="27"/>
      <c r="Z96" s="164"/>
      <c r="AA96" s="164"/>
      <c r="AB96" s="164"/>
      <c r="AC96" s="165"/>
      <c r="AD96" s="166"/>
      <c r="AG96" s="32"/>
      <c r="AH96" s="37"/>
    </row>
    <row r="97" spans="1:34" ht="15" customHeight="1">
      <c r="A97" t="str">
        <f t="shared" si="1"/>
        <v>High Mowing True Love</v>
      </c>
      <c r="B97" t="s">
        <v>98</v>
      </c>
      <c r="C97" t="s">
        <v>482</v>
      </c>
      <c r="D97" t="s">
        <v>700</v>
      </c>
      <c r="E97" s="32">
        <v>16.25</v>
      </c>
      <c r="I97" s="32"/>
      <c r="P97" s="161"/>
      <c r="Q97" s="37"/>
      <c r="R97" s="171"/>
      <c r="S97" s="161"/>
      <c r="T97" s="162"/>
      <c r="U97" s="27"/>
      <c r="V97" s="27"/>
      <c r="W97" s="27"/>
      <c r="X97" s="27"/>
      <c r="Z97" s="164"/>
      <c r="AA97" s="164"/>
      <c r="AB97" s="164"/>
      <c r="AC97" s="165"/>
      <c r="AD97" s="166"/>
      <c r="AG97" s="32"/>
      <c r="AH97" s="37"/>
    </row>
    <row r="98" spans="1:34" ht="15" customHeight="1">
      <c r="A98" t="str">
        <f t="shared" si="1"/>
        <v>Johnny's Triton</v>
      </c>
      <c r="B98" t="s">
        <v>98</v>
      </c>
      <c r="C98" t="s">
        <v>490</v>
      </c>
      <c r="D98" t="s">
        <v>1618</v>
      </c>
      <c r="E98" s="32">
        <v>16.25</v>
      </c>
      <c r="I98" s="32"/>
      <c r="P98" s="161"/>
      <c r="Q98" s="37"/>
      <c r="R98" s="171"/>
      <c r="S98" s="161"/>
      <c r="T98" s="162"/>
      <c r="U98" s="27"/>
      <c r="V98" s="27"/>
      <c r="W98" s="27"/>
      <c r="X98" s="27"/>
      <c r="Z98" s="164"/>
      <c r="AA98" s="164"/>
      <c r="AB98" s="164"/>
      <c r="AC98" s="165"/>
      <c r="AD98" s="166"/>
      <c r="AG98" s="32"/>
      <c r="AH98" s="37"/>
    </row>
    <row r="99" spans="1:34" ht="15" customHeight="1">
      <c r="A99" t="str">
        <f t="shared" si="1"/>
        <v>Johnny's Divergent F1</v>
      </c>
      <c r="B99" t="s">
        <v>98</v>
      </c>
      <c r="C99" t="s">
        <v>490</v>
      </c>
      <c r="D99" t="s">
        <v>2249</v>
      </c>
      <c r="E99" s="32">
        <v>16.25</v>
      </c>
      <c r="I99" s="32"/>
      <c r="P99" s="161"/>
      <c r="Q99" s="37"/>
      <c r="R99" s="171"/>
      <c r="S99" s="161"/>
      <c r="T99" s="162"/>
      <c r="U99" s="27"/>
      <c r="V99" s="163"/>
      <c r="W99" s="27"/>
      <c r="X99" s="27"/>
      <c r="Z99" s="164"/>
      <c r="AA99" s="164"/>
      <c r="AB99" s="164"/>
      <c r="AC99" s="165"/>
      <c r="AD99" s="166"/>
      <c r="AG99" s="32"/>
      <c r="AH99" s="37"/>
    </row>
    <row r="100" spans="1:34" ht="15" customHeight="1">
      <c r="A100" t="str">
        <f t="shared" si="1"/>
        <v>Osborne Divergent F1</v>
      </c>
      <c r="B100" t="s">
        <v>98</v>
      </c>
      <c r="C100" t="s">
        <v>503</v>
      </c>
      <c r="D100" t="s">
        <v>2249</v>
      </c>
      <c r="E100" s="32">
        <v>16.25</v>
      </c>
      <c r="I100" s="32"/>
      <c r="P100" s="161"/>
      <c r="Q100" s="37"/>
      <c r="R100" s="171"/>
      <c r="S100" s="161"/>
      <c r="T100" s="162"/>
      <c r="U100" s="27"/>
      <c r="V100" s="27"/>
      <c r="W100" s="27"/>
      <c r="X100" s="27"/>
      <c r="Z100" s="164"/>
      <c r="AA100" s="164"/>
      <c r="AB100" s="164"/>
      <c r="AC100" s="165"/>
      <c r="AD100" s="166"/>
      <c r="AG100" s="32"/>
      <c r="AH100" s="37"/>
    </row>
    <row r="101" spans="1:34" ht="15" customHeight="1">
      <c r="A101" t="str">
        <f t="shared" si="1"/>
        <v>High Mowing Cortland F1</v>
      </c>
      <c r="B101" t="s">
        <v>105</v>
      </c>
      <c r="C101" t="s">
        <v>482</v>
      </c>
      <c r="D101" t="s">
        <v>1845</v>
      </c>
      <c r="E101" s="32">
        <v>1430</v>
      </c>
      <c r="I101" s="32"/>
      <c r="P101" s="161"/>
      <c r="Q101" s="37"/>
      <c r="R101" s="171"/>
      <c r="S101" s="161"/>
      <c r="T101" s="162"/>
      <c r="U101" s="27"/>
      <c r="V101" s="27"/>
      <c r="W101" s="27"/>
      <c r="X101" s="27"/>
      <c r="Z101" s="164"/>
      <c r="AA101" s="164"/>
      <c r="AB101" s="164"/>
      <c r="AC101" s="165"/>
      <c r="AD101" s="166"/>
      <c r="AG101" s="32"/>
      <c r="AH101" s="37"/>
    </row>
    <row r="102" spans="1:34" ht="15" customHeight="1">
      <c r="A102" t="str">
        <f t="shared" si="1"/>
        <v>High Mowing Sedona F1</v>
      </c>
      <c r="B102" t="s">
        <v>105</v>
      </c>
      <c r="C102" t="s">
        <v>482</v>
      </c>
      <c r="D102" t="s">
        <v>2819</v>
      </c>
      <c r="E102" s="32">
        <v>1430</v>
      </c>
      <c r="I102" s="32"/>
      <c r="P102" s="161"/>
      <c r="Q102" s="37"/>
      <c r="R102" s="171"/>
      <c r="S102" s="161"/>
      <c r="T102" s="162"/>
      <c r="U102" s="27"/>
      <c r="V102" s="163"/>
      <c r="W102" s="27"/>
      <c r="X102" s="27"/>
      <c r="Z102" s="164"/>
      <c r="AA102" s="164"/>
      <c r="AB102" s="164"/>
      <c r="AC102" s="165"/>
      <c r="AD102" s="166"/>
      <c r="AG102" s="32"/>
      <c r="AH102" s="37"/>
    </row>
    <row r="103" spans="1:34" ht="15" customHeight="1">
      <c r="A103" t="str">
        <f t="shared" si="1"/>
        <v>Johnny's Red Spring</v>
      </c>
      <c r="B103" t="s">
        <v>105</v>
      </c>
      <c r="C103" t="s">
        <v>490</v>
      </c>
      <c r="D103" t="s">
        <v>2820</v>
      </c>
      <c r="E103" s="32">
        <v>1430</v>
      </c>
      <c r="I103" s="32"/>
      <c r="P103" s="161"/>
      <c r="Q103" s="37"/>
      <c r="R103" s="171"/>
      <c r="S103" s="161"/>
      <c r="T103" s="162"/>
      <c r="U103" s="27"/>
      <c r="V103" s="163"/>
      <c r="W103" s="27"/>
      <c r="X103" s="27"/>
      <c r="Z103" s="164"/>
      <c r="AA103" s="164"/>
      <c r="AB103" s="164"/>
      <c r="AC103" s="165"/>
      <c r="AD103" s="166"/>
      <c r="AG103" s="32"/>
      <c r="AH103" s="37"/>
    </row>
    <row r="104" spans="1:34" ht="15" customHeight="1">
      <c r="A104" t="str">
        <f t="shared" si="1"/>
        <v>Adaptive Einfache Schnitt 3</v>
      </c>
      <c r="B104" t="s">
        <v>108</v>
      </c>
      <c r="C104" t="s">
        <v>488</v>
      </c>
      <c r="D104" t="s">
        <v>560</v>
      </c>
      <c r="E104" s="32">
        <v>97.5</v>
      </c>
      <c r="I104" s="32"/>
      <c r="P104" s="161"/>
      <c r="Q104" s="37"/>
      <c r="R104" s="171"/>
      <c r="S104" s="161"/>
      <c r="T104" s="162"/>
      <c r="U104" s="27"/>
      <c r="V104" s="163"/>
      <c r="W104" s="27"/>
      <c r="X104" s="27"/>
      <c r="Z104" s="164"/>
      <c r="AA104" s="164"/>
      <c r="AB104" s="164"/>
      <c r="AC104" s="165"/>
      <c r="AD104" s="166"/>
      <c r="AG104" s="32"/>
      <c r="AH104" s="37"/>
    </row>
    <row r="105" spans="1:34" ht="15" customHeight="1">
      <c r="A105" t="str">
        <f t="shared" si="1"/>
        <v>Adaptive Forest Green</v>
      </c>
      <c r="B105" t="s">
        <v>108</v>
      </c>
      <c r="C105" t="s">
        <v>488</v>
      </c>
      <c r="D105" t="s">
        <v>2825</v>
      </c>
      <c r="E105" s="32">
        <v>97.5</v>
      </c>
      <c r="I105" s="32"/>
      <c r="P105" s="161"/>
      <c r="Q105" s="37"/>
      <c r="R105" s="171"/>
      <c r="S105" s="161"/>
      <c r="T105" s="162"/>
      <c r="U105" s="27"/>
      <c r="V105" s="27"/>
      <c r="W105" s="27"/>
      <c r="X105" s="27"/>
      <c r="Z105" s="164"/>
      <c r="AA105" s="164"/>
      <c r="AB105" s="164"/>
      <c r="AC105" s="165"/>
      <c r="AD105" s="166"/>
      <c r="AG105" s="32"/>
      <c r="AH105" s="37"/>
    </row>
    <row r="106" spans="1:34" ht="15" customHeight="1">
      <c r="A106" t="str">
        <f t="shared" si="1"/>
        <v>High Mowing Laica</v>
      </c>
      <c r="B106" t="s">
        <v>108</v>
      </c>
      <c r="C106" t="s">
        <v>482</v>
      </c>
      <c r="D106" t="s">
        <v>1879</v>
      </c>
      <c r="E106" s="32">
        <v>97.5</v>
      </c>
      <c r="I106" s="32"/>
      <c r="P106" s="161"/>
      <c r="Q106" s="37"/>
      <c r="R106" s="171"/>
      <c r="S106" s="161"/>
      <c r="T106" s="162"/>
      <c r="U106" s="27"/>
      <c r="V106" s="163"/>
      <c r="W106" s="27"/>
      <c r="X106" s="27"/>
      <c r="Z106" s="164"/>
      <c r="AA106" s="164"/>
      <c r="AB106" s="164"/>
      <c r="AC106" s="165"/>
      <c r="AD106" s="166"/>
      <c r="AG106" s="32"/>
      <c r="AH106" s="37"/>
    </row>
    <row r="107" spans="1:34" ht="15" customHeight="1">
      <c r="A107" t="str">
        <f t="shared" si="1"/>
        <v>Johnny's Giant of Italy</v>
      </c>
      <c r="B107" t="s">
        <v>108</v>
      </c>
      <c r="C107" t="s">
        <v>490</v>
      </c>
      <c r="D107" t="s">
        <v>1878</v>
      </c>
      <c r="E107" s="32">
        <v>390</v>
      </c>
      <c r="I107" s="32"/>
      <c r="P107" s="161"/>
      <c r="Q107" s="37"/>
      <c r="R107" s="171"/>
      <c r="S107" s="161"/>
      <c r="T107" s="162"/>
      <c r="U107" s="27"/>
      <c r="V107" s="27"/>
      <c r="W107" s="27"/>
      <c r="X107" s="27"/>
      <c r="Z107" s="164"/>
      <c r="AA107" s="164"/>
      <c r="AB107" s="164"/>
      <c r="AC107" s="165"/>
      <c r="AD107" s="166"/>
      <c r="AG107" s="32"/>
      <c r="AH107" s="37"/>
    </row>
    <row r="108" spans="1:34" ht="15" customHeight="1">
      <c r="A108" t="str">
        <f t="shared" si="1"/>
        <v>Wild Garden Moss Curled</v>
      </c>
      <c r="B108" t="s">
        <v>108</v>
      </c>
      <c r="C108" t="s">
        <v>526</v>
      </c>
      <c r="D108" t="s">
        <v>2824</v>
      </c>
      <c r="E108" s="32">
        <v>97.5</v>
      </c>
      <c r="I108" s="32"/>
      <c r="P108" s="161"/>
      <c r="Q108" s="37"/>
      <c r="R108" s="171"/>
      <c r="S108" s="161"/>
      <c r="T108" s="162"/>
      <c r="U108" s="27"/>
      <c r="V108" s="27"/>
      <c r="W108" s="27"/>
      <c r="X108" s="27"/>
      <c r="Z108" s="164"/>
      <c r="AA108" s="164"/>
      <c r="AB108" s="164"/>
      <c r="AC108" s="165"/>
      <c r="AD108" s="166"/>
      <c r="AG108" s="32"/>
      <c r="AH108" s="37"/>
    </row>
    <row r="109" spans="1:34" ht="15" customHeight="1">
      <c r="A109" t="str">
        <f t="shared" si="1"/>
        <v>High Mowing Panorama F1</v>
      </c>
      <c r="B109" t="s">
        <v>109</v>
      </c>
      <c r="C109" t="s">
        <v>482</v>
      </c>
      <c r="D109" t="s">
        <v>2865</v>
      </c>
      <c r="E109" s="32">
        <v>3120</v>
      </c>
      <c r="I109" s="32"/>
      <c r="P109" s="161"/>
      <c r="Q109" s="37"/>
      <c r="R109" s="171"/>
      <c r="S109" s="161"/>
      <c r="T109" s="162"/>
      <c r="U109" s="27"/>
      <c r="V109" s="163"/>
      <c r="W109" s="27"/>
      <c r="X109" s="27"/>
      <c r="Z109" s="164"/>
      <c r="AA109" s="164"/>
      <c r="AB109" s="164"/>
      <c r="AC109" s="165"/>
      <c r="AD109" s="166"/>
      <c r="AG109" s="32"/>
      <c r="AH109" s="37"/>
    </row>
    <row r="110" spans="1:34" ht="15" customHeight="1">
      <c r="A110" t="str">
        <f t="shared" si="1"/>
        <v>High Mowing Halblange</v>
      </c>
      <c r="B110" t="s">
        <v>109</v>
      </c>
      <c r="C110" t="s">
        <v>482</v>
      </c>
      <c r="D110" t="s">
        <v>2866</v>
      </c>
      <c r="E110" s="32">
        <v>3120</v>
      </c>
      <c r="I110" s="32"/>
      <c r="P110" s="161"/>
      <c r="Q110" s="37"/>
      <c r="R110" s="171"/>
      <c r="S110" s="161"/>
      <c r="T110" s="162"/>
      <c r="U110" s="27"/>
      <c r="V110" s="27"/>
      <c r="W110" s="27"/>
      <c r="X110" s="27"/>
      <c r="Z110" s="164"/>
      <c r="AA110" s="164"/>
      <c r="AB110" s="164"/>
      <c r="AC110" s="165"/>
      <c r="AD110" s="166"/>
      <c r="AG110" s="32"/>
      <c r="AH110" s="37"/>
    </row>
    <row r="111" spans="1:34" ht="15" customHeight="1">
      <c r="A111" t="str">
        <f t="shared" si="1"/>
        <v>Johnny's Super Sugar Snap</v>
      </c>
      <c r="B111" t="s">
        <v>110</v>
      </c>
      <c r="C111" t="s">
        <v>490</v>
      </c>
      <c r="D111" t="s">
        <v>2860</v>
      </c>
      <c r="E111" s="32">
        <v>346.66666666666663</v>
      </c>
      <c r="I111" s="32"/>
      <c r="P111" s="161"/>
      <c r="Q111" s="37"/>
      <c r="R111" s="171"/>
      <c r="S111" s="161"/>
      <c r="T111" s="162"/>
      <c r="U111" s="27"/>
      <c r="V111" s="27"/>
      <c r="W111" s="27"/>
      <c r="X111" s="27"/>
      <c r="Z111" s="164"/>
      <c r="AA111" s="164"/>
      <c r="AB111" s="164"/>
      <c r="AC111" s="165"/>
      <c r="AD111" s="166"/>
      <c r="AG111" s="32"/>
      <c r="AH111" s="37"/>
    </row>
    <row r="112" spans="1:34" ht="15" customHeight="1">
      <c r="A112" t="str">
        <f t="shared" si="1"/>
        <v>Osborne SS 141</v>
      </c>
      <c r="B112" t="s">
        <v>110</v>
      </c>
      <c r="C112" t="s">
        <v>503</v>
      </c>
      <c r="D112" t="s">
        <v>2862</v>
      </c>
      <c r="E112" s="32">
        <v>346.66666666666663</v>
      </c>
      <c r="I112" s="32"/>
      <c r="P112" s="161"/>
      <c r="Q112" s="37"/>
      <c r="R112" s="171"/>
      <c r="S112" s="161"/>
      <c r="T112" s="162"/>
      <c r="U112" s="27"/>
      <c r="V112" s="163"/>
      <c r="W112" s="27"/>
      <c r="X112" s="27"/>
      <c r="Z112" s="164"/>
      <c r="AA112" s="164"/>
      <c r="AB112" s="164"/>
      <c r="AC112" s="165"/>
      <c r="AD112" s="166"/>
      <c r="AG112" s="32"/>
      <c r="AH112" s="37"/>
    </row>
    <row r="113" spans="1:34" ht="15" customHeight="1">
      <c r="A113" t="str">
        <f t="shared" si="1"/>
        <v>Territorial Cascadia OG</v>
      </c>
      <c r="B113" t="s">
        <v>110</v>
      </c>
      <c r="C113" t="s">
        <v>533</v>
      </c>
      <c r="D113" t="s">
        <v>2861</v>
      </c>
      <c r="E113" s="32">
        <v>346.66666666666663</v>
      </c>
      <c r="I113" s="32"/>
      <c r="P113" s="167"/>
      <c r="Q113" s="37"/>
      <c r="R113" s="171"/>
      <c r="S113" s="167"/>
      <c r="T113" s="168"/>
      <c r="U113" s="27"/>
      <c r="V113" s="27"/>
      <c r="W113" s="27"/>
      <c r="X113" s="27"/>
      <c r="Z113" s="164"/>
      <c r="AA113" s="164"/>
      <c r="AB113" s="164"/>
      <c r="AC113" s="169"/>
      <c r="AD113" s="170"/>
      <c r="AG113" s="32"/>
      <c r="AH113" s="37"/>
    </row>
    <row r="114" spans="1:34" ht="15" customHeight="1">
      <c r="A114" t="str">
        <f t="shared" si="1"/>
        <v>Johnny's Bastan F1</v>
      </c>
      <c r="B114" t="s">
        <v>112</v>
      </c>
      <c r="C114" t="s">
        <v>490</v>
      </c>
      <c r="D114" t="s">
        <v>1882</v>
      </c>
      <c r="E114" s="32">
        <v>15.6</v>
      </c>
      <c r="I114" s="32"/>
      <c r="P114" s="161"/>
      <c r="Q114" s="37"/>
      <c r="R114" s="171"/>
      <c r="S114" s="161"/>
      <c r="T114" s="162"/>
      <c r="U114" s="27"/>
      <c r="V114" s="163"/>
      <c r="W114" s="27"/>
      <c r="X114" s="27"/>
      <c r="Z114" s="164"/>
      <c r="AA114" s="164"/>
      <c r="AB114" s="164"/>
      <c r="AC114" s="165"/>
      <c r="AD114" s="166"/>
      <c r="AG114" s="32"/>
      <c r="AH114" s="37"/>
    </row>
    <row r="115" spans="1:34" ht="15" customHeight="1">
      <c r="A115" t="str">
        <f t="shared" si="1"/>
        <v>Johnny's Olly F1</v>
      </c>
      <c r="B115" t="s">
        <v>112</v>
      </c>
      <c r="C115" t="s">
        <v>490</v>
      </c>
      <c r="D115" t="s">
        <v>1884</v>
      </c>
      <c r="E115" s="32">
        <v>65</v>
      </c>
      <c r="I115" s="32"/>
      <c r="P115" s="161"/>
      <c r="Q115" s="37"/>
      <c r="R115" s="171"/>
      <c r="S115" s="161"/>
      <c r="T115" s="162"/>
      <c r="U115" s="27"/>
      <c r="V115" s="27"/>
      <c r="W115" s="27"/>
      <c r="X115" s="27"/>
      <c r="Z115" s="164"/>
      <c r="AA115" s="164"/>
      <c r="AB115" s="164"/>
      <c r="AC115" s="165"/>
      <c r="AD115" s="166"/>
      <c r="AG115" s="32"/>
      <c r="AH115" s="37"/>
    </row>
    <row r="116" spans="1:34" ht="15" customHeight="1">
      <c r="A116" t="str">
        <f t="shared" si="1"/>
        <v>Johnny's Black Magic F1</v>
      </c>
      <c r="B116" t="s">
        <v>112</v>
      </c>
      <c r="C116" t="s">
        <v>490</v>
      </c>
      <c r="D116" t="s">
        <v>2155</v>
      </c>
      <c r="E116" s="32">
        <v>20.8</v>
      </c>
      <c r="I116" s="32"/>
      <c r="P116" s="161"/>
      <c r="Q116" s="37"/>
      <c r="R116" s="171"/>
      <c r="S116" s="161"/>
      <c r="T116" s="162"/>
      <c r="U116" s="27"/>
      <c r="V116" s="163"/>
      <c r="W116" s="27"/>
      <c r="X116" s="27"/>
      <c r="Z116" s="164"/>
      <c r="AA116" s="164"/>
      <c r="AB116" s="164"/>
      <c r="AC116" s="165"/>
      <c r="AD116" s="166"/>
      <c r="AG116" s="32"/>
      <c r="AH116" s="37"/>
    </row>
    <row r="117" spans="1:34" ht="15" customHeight="1">
      <c r="A117" t="str">
        <f t="shared" si="1"/>
        <v>Johnny's Helios F1</v>
      </c>
      <c r="B117" t="s">
        <v>112</v>
      </c>
      <c r="C117" t="s">
        <v>490</v>
      </c>
      <c r="D117" t="s">
        <v>2942</v>
      </c>
      <c r="E117" s="32">
        <v>5.2</v>
      </c>
      <c r="I117" s="32"/>
      <c r="P117" s="33"/>
      <c r="Q117" s="37"/>
      <c r="R117" s="171"/>
      <c r="S117" s="33"/>
      <c r="T117" s="172"/>
      <c r="U117" s="27"/>
      <c r="V117" s="27"/>
      <c r="W117" s="27"/>
      <c r="X117" s="27"/>
      <c r="Z117" s="164"/>
      <c r="AA117" s="164"/>
      <c r="AB117" s="164"/>
      <c r="AC117" s="174"/>
      <c r="AD117" s="36"/>
      <c r="AG117" s="32"/>
      <c r="AH117" s="37"/>
    </row>
    <row r="118" spans="1:34" ht="15" customHeight="1">
      <c r="A118" t="str">
        <f t="shared" si="1"/>
        <v>Osborne Shishito</v>
      </c>
      <c r="B118" t="s">
        <v>112</v>
      </c>
      <c r="C118" t="s">
        <v>503</v>
      </c>
      <c r="D118" t="s">
        <v>848</v>
      </c>
      <c r="E118" s="32">
        <v>130</v>
      </c>
      <c r="I118" s="32"/>
      <c r="P118" s="161"/>
      <c r="Q118" s="37"/>
      <c r="R118" s="171"/>
      <c r="S118" s="161"/>
      <c r="T118" s="162"/>
      <c r="U118" s="27"/>
      <c r="V118" s="163"/>
      <c r="W118" s="27"/>
      <c r="X118" s="27"/>
      <c r="Z118" s="164"/>
      <c r="AA118" s="164"/>
      <c r="AB118" s="164"/>
      <c r="AC118" s="165"/>
      <c r="AD118" s="166"/>
      <c r="AG118" s="32"/>
      <c r="AH118" s="37"/>
    </row>
    <row r="119" spans="1:34" ht="15" customHeight="1">
      <c r="A119" t="str">
        <f t="shared" si="1"/>
        <v>Osborne Hungarian Hot Wax</v>
      </c>
      <c r="B119" t="s">
        <v>112</v>
      </c>
      <c r="C119" t="s">
        <v>503</v>
      </c>
      <c r="D119" t="s">
        <v>1881</v>
      </c>
      <c r="E119" s="32">
        <v>10.4</v>
      </c>
      <c r="I119" s="32"/>
      <c r="P119" s="161"/>
      <c r="Q119" s="37"/>
      <c r="R119" s="171"/>
      <c r="S119" s="161"/>
      <c r="T119" s="162"/>
      <c r="U119" s="27"/>
      <c r="V119" s="163"/>
      <c r="W119" s="27"/>
      <c r="X119" s="27"/>
      <c r="Z119" s="164"/>
      <c r="AA119" s="164"/>
      <c r="AB119" s="164"/>
      <c r="AC119" s="165"/>
      <c r="AD119" s="166"/>
      <c r="AG119" s="32"/>
      <c r="AH119" s="37"/>
    </row>
    <row r="120" spans="1:34" ht="15" customHeight="1">
      <c r="A120" t="str">
        <f t="shared" si="1"/>
        <v>Uprising Elephant's Ear</v>
      </c>
      <c r="B120" t="s">
        <v>112</v>
      </c>
      <c r="C120" t="s">
        <v>484</v>
      </c>
      <c r="D120" t="s">
        <v>1867</v>
      </c>
      <c r="E120" s="32">
        <v>65</v>
      </c>
      <c r="I120" s="32"/>
      <c r="P120" s="161"/>
      <c r="Q120" s="37"/>
      <c r="R120" s="171"/>
      <c r="S120" s="161"/>
      <c r="T120" s="162"/>
      <c r="U120" s="27"/>
      <c r="V120" s="163"/>
      <c r="W120" s="27"/>
      <c r="X120" s="27"/>
      <c r="Z120" s="164"/>
      <c r="AA120" s="164"/>
      <c r="AB120" s="164"/>
      <c r="AC120" s="165"/>
      <c r="AD120" s="166"/>
      <c r="AG120" s="32"/>
      <c r="AH120" s="37"/>
    </row>
    <row r="121" spans="1:34" ht="15" customHeight="1">
      <c r="A121" t="str">
        <f t="shared" si="1"/>
        <v>High Mowing Elba</v>
      </c>
      <c r="B121" t="s">
        <v>113</v>
      </c>
      <c r="C121" t="s">
        <v>482</v>
      </c>
      <c r="D121" t="s">
        <v>2830</v>
      </c>
      <c r="E121" s="32">
        <v>65</v>
      </c>
      <c r="I121" s="32"/>
      <c r="P121" s="161"/>
      <c r="Q121" s="37"/>
      <c r="R121" s="171"/>
      <c r="S121" s="161"/>
      <c r="T121" s="162"/>
      <c r="U121" s="27"/>
      <c r="V121" s="163"/>
      <c r="W121" s="27"/>
      <c r="X121" s="27"/>
      <c r="Z121" s="164"/>
      <c r="AA121" s="164"/>
      <c r="AB121" s="164"/>
      <c r="AC121" s="165"/>
      <c r="AD121" s="166"/>
      <c r="AG121" s="32"/>
      <c r="AH121" s="37"/>
    </row>
    <row r="122" spans="1:34" ht="15" customHeight="1">
      <c r="A122" t="str">
        <f t="shared" si="1"/>
        <v>High Mowing German Butterball</v>
      </c>
      <c r="B122" t="s">
        <v>113</v>
      </c>
      <c r="C122" t="s">
        <v>482</v>
      </c>
      <c r="D122" t="s">
        <v>2831</v>
      </c>
      <c r="E122" s="32">
        <v>65</v>
      </c>
      <c r="I122" s="32"/>
      <c r="P122" s="33"/>
      <c r="Q122" s="37"/>
      <c r="R122" s="171"/>
      <c r="S122" s="33"/>
      <c r="T122" s="172"/>
      <c r="U122" s="27"/>
      <c r="V122" s="175"/>
      <c r="W122" s="27"/>
      <c r="X122" s="27"/>
      <c r="Z122" s="164"/>
      <c r="AA122" s="164"/>
      <c r="AB122" s="164"/>
      <c r="AC122" s="174"/>
      <c r="AD122" s="36"/>
      <c r="AG122" s="32"/>
      <c r="AH122" s="37"/>
    </row>
    <row r="123" spans="1:34" ht="15" customHeight="1">
      <c r="A123" t="str">
        <f t="shared" si="1"/>
        <v>Johnny's Purple Viking</v>
      </c>
      <c r="B123" t="s">
        <v>113</v>
      </c>
      <c r="C123" t="s">
        <v>490</v>
      </c>
      <c r="D123" t="s">
        <v>2289</v>
      </c>
      <c r="E123" s="32">
        <v>86.666666666666657</v>
      </c>
      <c r="I123" s="32"/>
      <c r="P123" s="161"/>
      <c r="Q123" s="37"/>
      <c r="R123" s="171"/>
      <c r="S123" s="161"/>
      <c r="T123" s="162"/>
      <c r="U123" s="27"/>
      <c r="V123" s="27"/>
      <c r="W123" s="27"/>
      <c r="X123" s="27"/>
      <c r="Z123" s="164"/>
      <c r="AA123" s="164"/>
      <c r="AB123" s="164"/>
      <c r="AC123" s="165"/>
      <c r="AD123" s="166"/>
      <c r="AG123" s="32"/>
      <c r="AH123" s="37"/>
    </row>
    <row r="124" spans="1:34" ht="15" customHeight="1">
      <c r="A124" t="str">
        <f t="shared" si="1"/>
        <v>Johnny's Red Norland</v>
      </c>
      <c r="B124" t="s">
        <v>113</v>
      </c>
      <c r="C124" t="s">
        <v>490</v>
      </c>
      <c r="D124" t="s">
        <v>2829</v>
      </c>
      <c r="E124" s="32">
        <v>86.666666666666657</v>
      </c>
      <c r="I124" s="32"/>
      <c r="P124" s="161"/>
      <c r="Q124" s="37"/>
      <c r="R124" s="171"/>
      <c r="S124" s="161"/>
      <c r="T124" s="162"/>
      <c r="U124" s="27"/>
      <c r="V124" s="163"/>
      <c r="W124" s="27"/>
      <c r="X124" s="27"/>
      <c r="Z124" s="164"/>
      <c r="AA124" s="164"/>
      <c r="AB124" s="164"/>
      <c r="AC124" s="165"/>
      <c r="AD124" s="166"/>
      <c r="AG124" s="32"/>
      <c r="AH124" s="37"/>
    </row>
    <row r="125" spans="1:34" ht="15" customHeight="1">
      <c r="A125" t="str">
        <f t="shared" si="1"/>
        <v>Uprising Beatrice</v>
      </c>
      <c r="B125" t="s">
        <v>356</v>
      </c>
      <c r="C125" t="s">
        <v>484</v>
      </c>
      <c r="D125" t="s">
        <v>1866</v>
      </c>
      <c r="E125" s="32">
        <v>156</v>
      </c>
      <c r="I125" s="32"/>
      <c r="P125" s="161"/>
      <c r="Q125" s="37"/>
      <c r="R125" s="171"/>
      <c r="S125" s="161"/>
      <c r="T125" s="162"/>
      <c r="U125" s="27"/>
      <c r="V125" s="27"/>
      <c r="W125" s="27"/>
      <c r="X125" s="27"/>
      <c r="Z125" s="164"/>
      <c r="AA125" s="164"/>
      <c r="AB125" s="164"/>
      <c r="AC125" s="165"/>
      <c r="AD125" s="166"/>
      <c r="AG125" s="32"/>
      <c r="AH125" s="161"/>
    </row>
    <row r="126" spans="1:34" ht="15" customHeight="1">
      <c r="A126" t="str">
        <f t="shared" si="1"/>
        <v>Uprising Regina Rossa</v>
      </c>
      <c r="B126" t="s">
        <v>356</v>
      </c>
      <c r="C126" t="s">
        <v>484</v>
      </c>
      <c r="D126" t="s">
        <v>1865</v>
      </c>
      <c r="E126" s="32">
        <v>156</v>
      </c>
      <c r="I126" s="32"/>
      <c r="P126" s="167"/>
      <c r="Q126" s="37"/>
      <c r="R126" s="171"/>
      <c r="S126" s="167"/>
      <c r="T126" s="168"/>
      <c r="U126" s="27"/>
      <c r="V126" s="27"/>
      <c r="W126" s="27"/>
      <c r="X126" s="27"/>
      <c r="Z126" s="164"/>
      <c r="AA126" s="164"/>
      <c r="AB126" s="164"/>
      <c r="AC126" s="169"/>
      <c r="AD126" s="170"/>
      <c r="AG126" s="32"/>
      <c r="AH126" s="37"/>
    </row>
    <row r="127" spans="1:34" ht="15" customHeight="1">
      <c r="A127" t="str">
        <f t="shared" si="1"/>
        <v>Adaptive Okhura Winter Queen Daikon</v>
      </c>
      <c r="B127" t="s">
        <v>114</v>
      </c>
      <c r="C127" t="s">
        <v>488</v>
      </c>
      <c r="D127" t="s">
        <v>669</v>
      </c>
      <c r="E127" s="32">
        <v>260</v>
      </c>
      <c r="I127" s="32"/>
      <c r="P127" s="161"/>
      <c r="Q127" s="37"/>
      <c r="R127" s="171"/>
      <c r="S127" s="161"/>
      <c r="T127" s="162"/>
      <c r="U127" s="27"/>
      <c r="V127" s="27"/>
      <c r="W127" s="27"/>
      <c r="X127" s="27"/>
      <c r="Z127" s="164"/>
      <c r="AA127" s="164"/>
      <c r="AB127" s="164"/>
      <c r="AC127" s="165"/>
      <c r="AD127" s="166"/>
      <c r="AG127" s="32"/>
      <c r="AH127" s="37"/>
    </row>
    <row r="128" spans="1:34" ht="15" customHeight="1">
      <c r="A128" t="str">
        <f t="shared" si="1"/>
        <v>High Mowing Sora</v>
      </c>
      <c r="B128" t="s">
        <v>114</v>
      </c>
      <c r="C128" t="s">
        <v>482</v>
      </c>
      <c r="D128" t="s">
        <v>575</v>
      </c>
      <c r="E128" s="32">
        <v>4387.5</v>
      </c>
      <c r="I128" s="32"/>
      <c r="P128" s="161"/>
      <c r="Q128" s="37"/>
      <c r="R128" s="171"/>
      <c r="S128" s="161"/>
      <c r="T128" s="162"/>
      <c r="U128" s="27"/>
      <c r="V128" s="163"/>
      <c r="W128" s="27"/>
      <c r="X128" s="27"/>
      <c r="Z128" s="164"/>
      <c r="AA128" s="164"/>
      <c r="AB128" s="164"/>
      <c r="AC128" s="165"/>
      <c r="AD128" s="166"/>
      <c r="AG128" s="32"/>
      <c r="AH128" s="37"/>
    </row>
    <row r="129" spans="1:34" ht="15" customHeight="1">
      <c r="A129" t="str">
        <f t="shared" si="1"/>
        <v>High Mowing Schwarzer Runder</v>
      </c>
      <c r="B129" t="s">
        <v>114</v>
      </c>
      <c r="C129" t="s">
        <v>482</v>
      </c>
      <c r="D129" t="s">
        <v>1925</v>
      </c>
      <c r="E129" s="32">
        <v>1560</v>
      </c>
      <c r="I129" s="32"/>
      <c r="P129" s="161"/>
      <c r="Q129" s="37"/>
      <c r="R129" s="171"/>
      <c r="S129" s="161"/>
      <c r="T129" s="162"/>
      <c r="U129" s="27"/>
      <c r="V129" s="163"/>
      <c r="W129" s="27"/>
      <c r="X129" s="27"/>
      <c r="Z129" s="164"/>
      <c r="AA129" s="164"/>
      <c r="AB129" s="164"/>
      <c r="AC129" s="165"/>
      <c r="AD129" s="166"/>
      <c r="AG129" s="32"/>
      <c r="AH129" s="37"/>
    </row>
    <row r="130" spans="1:34" ht="15" customHeight="1">
      <c r="A130" t="str">
        <f t="shared" si="1"/>
        <v>High Mowing Daikon</v>
      </c>
      <c r="B130" t="s">
        <v>114</v>
      </c>
      <c r="C130" t="s">
        <v>482</v>
      </c>
      <c r="D130" t="s">
        <v>1922</v>
      </c>
      <c r="E130" s="32">
        <v>130</v>
      </c>
      <c r="I130" s="32"/>
      <c r="P130" s="161"/>
      <c r="Q130" s="37"/>
      <c r="R130" s="171"/>
      <c r="S130" s="161"/>
      <c r="T130" s="162"/>
      <c r="U130" s="27"/>
      <c r="V130" s="163"/>
      <c r="W130" s="27"/>
      <c r="X130" s="27"/>
      <c r="Z130" s="164"/>
      <c r="AA130" s="164"/>
      <c r="AB130" s="164"/>
      <c r="AC130" s="165"/>
      <c r="AD130" s="166"/>
      <c r="AG130" s="32"/>
      <c r="AH130" s="37"/>
    </row>
    <row r="131" spans="1:34" ht="15" customHeight="1">
      <c r="A131" t="str">
        <f t="shared" si="1"/>
        <v>High Mowing French Breakfast</v>
      </c>
      <c r="B131" t="s">
        <v>114</v>
      </c>
      <c r="C131" t="s">
        <v>482</v>
      </c>
      <c r="D131" t="s">
        <v>1556</v>
      </c>
      <c r="E131" s="32">
        <v>4387.5</v>
      </c>
      <c r="I131" s="32"/>
      <c r="P131" s="161"/>
      <c r="Q131" s="37"/>
      <c r="R131" s="171"/>
      <c r="S131" s="161"/>
      <c r="T131" s="162"/>
      <c r="U131" s="27"/>
      <c r="V131" s="163"/>
      <c r="W131" s="27"/>
      <c r="X131" s="27"/>
      <c r="Z131" s="164"/>
      <c r="AA131" s="164"/>
      <c r="AB131" s="164"/>
      <c r="AC131" s="165"/>
      <c r="AD131" s="166"/>
      <c r="AG131" s="32"/>
      <c r="AH131" s="37"/>
    </row>
    <row r="132" spans="1:34" ht="15" customHeight="1">
      <c r="A132" t="str">
        <f t="shared" si="1"/>
        <v>High Mowing Patricia</v>
      </c>
      <c r="B132" t="s">
        <v>114</v>
      </c>
      <c r="C132" t="s">
        <v>482</v>
      </c>
      <c r="D132" t="s">
        <v>2833</v>
      </c>
      <c r="E132" s="32">
        <v>4387.5</v>
      </c>
      <c r="I132" s="32"/>
      <c r="P132" s="161"/>
      <c r="Q132" s="37"/>
      <c r="R132" s="171"/>
      <c r="S132" s="161"/>
      <c r="T132" s="162"/>
      <c r="U132" s="27"/>
      <c r="V132" s="27"/>
      <c r="W132" s="27"/>
      <c r="X132" s="27"/>
      <c r="Z132" s="164"/>
      <c r="AA132" s="164"/>
      <c r="AB132" s="164"/>
      <c r="AC132" s="165"/>
      <c r="AD132" s="166"/>
      <c r="AG132" s="32"/>
      <c r="AH132" s="37"/>
    </row>
    <row r="133" spans="1:34" ht="15" customHeight="1">
      <c r="A133" t="str">
        <f t="shared" si="1"/>
        <v>Johnny's Pearl</v>
      </c>
      <c r="B133" t="s">
        <v>114</v>
      </c>
      <c r="C133" t="s">
        <v>490</v>
      </c>
      <c r="D133" t="s">
        <v>2832</v>
      </c>
      <c r="E133" s="32">
        <v>4387.5</v>
      </c>
      <c r="I133" s="32"/>
      <c r="P133" s="161"/>
      <c r="Q133" s="37"/>
      <c r="R133" s="171"/>
      <c r="S133" s="161"/>
      <c r="T133" s="162"/>
      <c r="U133" s="27"/>
      <c r="V133" s="163"/>
      <c r="W133" s="27"/>
      <c r="X133" s="27"/>
      <c r="Z133" s="164"/>
      <c r="AA133" s="164"/>
      <c r="AB133" s="164"/>
      <c r="AC133" s="165"/>
      <c r="AD133" s="166"/>
      <c r="AG133" s="32"/>
      <c r="AH133" s="37"/>
    </row>
    <row r="134" spans="1:34" ht="15" customHeight="1">
      <c r="A134" t="str">
        <f t="shared" si="1"/>
        <v>Adaptive White Spear</v>
      </c>
      <c r="B134" t="s">
        <v>119</v>
      </c>
      <c r="C134" t="s">
        <v>488</v>
      </c>
      <c r="D134" t="s">
        <v>579</v>
      </c>
      <c r="E134" s="32">
        <v>1540</v>
      </c>
      <c r="I134" s="32"/>
      <c r="P134" s="161"/>
      <c r="Q134" s="37"/>
      <c r="R134" s="171"/>
      <c r="S134" s="161"/>
      <c r="T134" s="162"/>
      <c r="U134" s="27"/>
      <c r="V134" s="163"/>
      <c r="W134" s="27"/>
      <c r="X134" s="27"/>
      <c r="Z134" s="164"/>
      <c r="AA134" s="164"/>
      <c r="AB134" s="164"/>
      <c r="AC134" s="165"/>
      <c r="AD134" s="166"/>
      <c r="AG134" s="32"/>
      <c r="AH134" s="37"/>
    </row>
    <row r="135" spans="1:34" ht="15" customHeight="1">
      <c r="A135" t="str">
        <f t="shared" ref="A135:A196" si="2">C135&amp; " "  &amp; D135</f>
        <v>High Mowing Parade</v>
      </c>
      <c r="B135" t="s">
        <v>119</v>
      </c>
      <c r="C135" t="s">
        <v>482</v>
      </c>
      <c r="D135" t="s">
        <v>1852</v>
      </c>
      <c r="E135" s="32">
        <v>1540</v>
      </c>
      <c r="I135" s="32"/>
      <c r="P135" s="161"/>
      <c r="Q135" s="37"/>
      <c r="R135" s="171"/>
      <c r="S135" s="161"/>
      <c r="T135" s="162"/>
      <c r="U135" s="27"/>
      <c r="V135" s="163"/>
      <c r="W135" s="27"/>
      <c r="X135" s="27"/>
      <c r="Z135" s="164"/>
      <c r="AA135" s="164"/>
      <c r="AB135" s="164"/>
      <c r="AC135" s="165"/>
      <c r="AD135" s="166"/>
      <c r="AG135" s="32"/>
      <c r="AH135" s="37"/>
    </row>
    <row r="136" spans="1:34" ht="15" customHeight="1">
      <c r="A136" t="str">
        <f t="shared" si="2"/>
        <v>Uprising Ishikura Long Winter</v>
      </c>
      <c r="B136" t="s">
        <v>119</v>
      </c>
      <c r="C136" t="s">
        <v>484</v>
      </c>
      <c r="D136" t="s">
        <v>578</v>
      </c>
      <c r="E136" s="32">
        <v>1540</v>
      </c>
      <c r="I136" s="32"/>
      <c r="P136" s="161"/>
      <c r="Q136" s="37"/>
      <c r="R136" s="171"/>
      <c r="S136" s="161"/>
      <c r="T136" s="162"/>
      <c r="U136" s="27"/>
      <c r="V136" s="27"/>
      <c r="W136" s="27"/>
      <c r="X136" s="27"/>
      <c r="Z136" s="164"/>
      <c r="AA136" s="164"/>
      <c r="AB136" s="164"/>
      <c r="AC136" s="165"/>
      <c r="AD136" s="166"/>
      <c r="AG136" s="32"/>
      <c r="AH136" s="37"/>
    </row>
    <row r="137" spans="1:34" ht="15" customHeight="1">
      <c r="A137" t="str">
        <f t="shared" si="2"/>
        <v>High Mowing Red Veined Sorrel</v>
      </c>
      <c r="B137" t="s">
        <v>122</v>
      </c>
      <c r="C137" t="s">
        <v>482</v>
      </c>
      <c r="D137" t="s">
        <v>1928</v>
      </c>
      <c r="E137" s="32">
        <v>58.5</v>
      </c>
      <c r="I137" s="32"/>
      <c r="P137" s="161"/>
      <c r="Q137" s="37"/>
      <c r="R137" s="171"/>
      <c r="S137" s="161"/>
      <c r="T137" s="162"/>
      <c r="U137" s="27"/>
      <c r="V137" s="27"/>
      <c r="W137" s="27"/>
      <c r="X137" s="27"/>
      <c r="Z137" s="164"/>
      <c r="AA137" s="164"/>
      <c r="AB137" s="164"/>
      <c r="AC137" s="165"/>
      <c r="AD137" s="166"/>
      <c r="AG137" s="32"/>
      <c r="AH137" s="37"/>
    </row>
    <row r="138" spans="1:34" ht="15" customHeight="1">
      <c r="A138" t="str">
        <f t="shared" si="2"/>
        <v>Wild Garden Garden Sorrel</v>
      </c>
      <c r="B138" t="s">
        <v>122</v>
      </c>
      <c r="C138" t="s">
        <v>526</v>
      </c>
      <c r="D138" t="s">
        <v>1539</v>
      </c>
      <c r="E138" s="32">
        <v>58.5</v>
      </c>
      <c r="I138" s="32"/>
      <c r="P138" s="161"/>
      <c r="Q138" s="37"/>
      <c r="R138" s="171"/>
      <c r="S138" s="161"/>
      <c r="T138" s="162"/>
      <c r="U138" s="27"/>
      <c r="V138" s="163"/>
      <c r="W138" s="27"/>
      <c r="X138" s="27"/>
      <c r="Z138" s="164"/>
      <c r="AA138" s="164"/>
      <c r="AB138" s="164"/>
      <c r="AC138" s="165"/>
      <c r="AD138" s="166"/>
      <c r="AG138" s="32"/>
      <c r="AH138" s="37"/>
    </row>
    <row r="139" spans="1:34" ht="15" customHeight="1">
      <c r="A139" t="str">
        <f t="shared" si="2"/>
        <v>High Mowing Sugar Dumpling F1</v>
      </c>
      <c r="B139" t="s">
        <v>124</v>
      </c>
      <c r="C139" t="s">
        <v>482</v>
      </c>
      <c r="D139" t="s">
        <v>1935</v>
      </c>
      <c r="E139" s="32">
        <v>10.833333333333332</v>
      </c>
      <c r="I139" s="32"/>
      <c r="P139" s="161"/>
      <c r="Q139" s="37"/>
      <c r="R139" s="171"/>
      <c r="S139" s="161"/>
      <c r="T139" s="162"/>
      <c r="U139" s="27"/>
      <c r="V139" s="27"/>
      <c r="W139" s="27"/>
      <c r="X139" s="27"/>
      <c r="Z139" s="164"/>
      <c r="AA139" s="164"/>
      <c r="AB139" s="164"/>
      <c r="AC139" s="165"/>
      <c r="AD139" s="166"/>
      <c r="AG139" s="32"/>
      <c r="AH139" s="37"/>
    </row>
    <row r="140" spans="1:34" ht="15" customHeight="1">
      <c r="A140" t="str">
        <f t="shared" si="2"/>
        <v>High Mowing Honey Boat</v>
      </c>
      <c r="B140" t="s">
        <v>124</v>
      </c>
      <c r="C140" t="s">
        <v>482</v>
      </c>
      <c r="D140" t="s">
        <v>1936</v>
      </c>
      <c r="E140" s="32">
        <v>10.833333333333332</v>
      </c>
      <c r="I140" s="32"/>
      <c r="P140" s="33"/>
      <c r="Q140" s="37"/>
      <c r="R140" s="171"/>
      <c r="S140" s="33"/>
      <c r="T140" s="172"/>
      <c r="U140" s="27"/>
      <c r="V140" s="175"/>
      <c r="W140" s="27"/>
      <c r="X140" s="27"/>
      <c r="Z140" s="164"/>
      <c r="AA140" s="164"/>
      <c r="AB140" s="164"/>
      <c r="AC140" s="174"/>
      <c r="AD140" s="36"/>
      <c r="AG140" s="32"/>
      <c r="AH140" s="37"/>
    </row>
    <row r="141" spans="1:34" ht="15" customHeight="1">
      <c r="A141" t="str">
        <f t="shared" si="2"/>
        <v>High Mowing Red Kuri</v>
      </c>
      <c r="B141" t="s">
        <v>124</v>
      </c>
      <c r="C141" t="s">
        <v>482</v>
      </c>
      <c r="D141" t="s">
        <v>1938</v>
      </c>
      <c r="E141" s="32">
        <v>86.666666666666657</v>
      </c>
      <c r="I141" s="32"/>
      <c r="P141" s="161"/>
      <c r="Q141" s="37"/>
      <c r="R141" s="171"/>
      <c r="S141" s="161"/>
      <c r="T141" s="162"/>
      <c r="U141" s="27"/>
      <c r="V141" s="27"/>
      <c r="W141" s="27"/>
      <c r="X141" s="27"/>
      <c r="Z141" s="164"/>
      <c r="AA141" s="164"/>
      <c r="AB141" s="164"/>
      <c r="AC141" s="165"/>
      <c r="AD141" s="166"/>
      <c r="AG141" s="32"/>
      <c r="AH141" s="37"/>
    </row>
    <row r="142" spans="1:34" ht="15" customHeight="1">
      <c r="A142" t="str">
        <f t="shared" si="2"/>
        <v>Johnny's Sunshine</v>
      </c>
      <c r="B142" t="s">
        <v>124</v>
      </c>
      <c r="C142" t="s">
        <v>490</v>
      </c>
      <c r="D142" t="s">
        <v>2837</v>
      </c>
      <c r="E142" s="32">
        <v>86.666666666666657</v>
      </c>
      <c r="I142" s="32"/>
      <c r="P142" s="161"/>
      <c r="Q142" s="37"/>
      <c r="R142" s="171"/>
      <c r="S142" s="161"/>
      <c r="T142" s="162"/>
      <c r="U142" s="27"/>
      <c r="V142" s="27"/>
      <c r="W142" s="27"/>
      <c r="X142" s="27"/>
      <c r="Z142" s="164"/>
      <c r="AA142" s="164"/>
      <c r="AB142" s="164"/>
      <c r="AC142" s="165"/>
      <c r="AD142" s="166"/>
      <c r="AG142" s="32"/>
      <c r="AH142" s="37"/>
    </row>
    <row r="143" spans="1:34" ht="15" customHeight="1">
      <c r="A143" t="str">
        <f t="shared" si="2"/>
        <v>Johnny's Mambo</v>
      </c>
      <c r="B143" t="s">
        <v>124</v>
      </c>
      <c r="C143" t="s">
        <v>490</v>
      </c>
      <c r="D143" t="s">
        <v>2838</v>
      </c>
      <c r="E143" s="32">
        <v>86.666666666666657</v>
      </c>
      <c r="I143" s="32"/>
      <c r="P143" s="161"/>
      <c r="Q143" s="37"/>
      <c r="R143" s="171"/>
      <c r="S143" s="161"/>
      <c r="T143" s="162"/>
      <c r="U143" s="27"/>
      <c r="V143" s="163"/>
      <c r="W143" s="27"/>
      <c r="X143" s="27"/>
      <c r="Z143" s="164"/>
      <c r="AA143" s="164"/>
      <c r="AB143" s="164"/>
      <c r="AC143" s="165"/>
      <c r="AD143" s="166"/>
      <c r="AG143" s="32"/>
      <c r="AH143" s="37"/>
    </row>
    <row r="144" spans="1:34" ht="15" customHeight="1">
      <c r="A144" t="str">
        <f t="shared" si="2"/>
        <v>Territorial Neon</v>
      </c>
      <c r="B144" t="s">
        <v>124</v>
      </c>
      <c r="C144" t="s">
        <v>533</v>
      </c>
      <c r="D144" t="s">
        <v>2839</v>
      </c>
      <c r="E144" s="32">
        <v>86.666666666666657</v>
      </c>
      <c r="I144" s="32"/>
      <c r="P144" s="33"/>
      <c r="Q144" s="37"/>
      <c r="R144" s="171"/>
      <c r="S144" s="33"/>
      <c r="T144" s="172"/>
      <c r="U144" s="27"/>
      <c r="V144" s="175"/>
      <c r="W144" s="27"/>
      <c r="X144" s="27"/>
      <c r="Z144" s="164"/>
      <c r="AA144" s="164"/>
      <c r="AB144" s="164"/>
      <c r="AC144" s="174"/>
      <c r="AD144" s="36"/>
      <c r="AG144" s="32"/>
      <c r="AH144" s="37"/>
    </row>
    <row r="145" spans="1:34" ht="15" customHeight="1">
      <c r="A145" t="str">
        <f t="shared" si="2"/>
        <v>High Mowing Costata Romanesco</v>
      </c>
      <c r="B145" t="s">
        <v>128</v>
      </c>
      <c r="C145" t="s">
        <v>482</v>
      </c>
      <c r="D145" t="s">
        <v>1378</v>
      </c>
      <c r="E145" s="32">
        <v>10.833333333333332</v>
      </c>
      <c r="I145" s="32"/>
      <c r="P145" s="161"/>
      <c r="Q145" s="37"/>
      <c r="R145" s="171"/>
      <c r="S145" s="161"/>
      <c r="T145" s="162"/>
      <c r="U145" s="27"/>
      <c r="V145" s="27"/>
      <c r="W145" s="27"/>
      <c r="X145" s="27"/>
      <c r="Z145" s="164"/>
      <c r="AA145" s="164"/>
      <c r="AB145" s="164"/>
      <c r="AC145" s="165"/>
      <c r="AD145" s="166"/>
      <c r="AG145" s="32"/>
      <c r="AH145" s="37"/>
    </row>
    <row r="146" spans="1:34" ht="15" customHeight="1">
      <c r="A146" t="str">
        <f t="shared" si="2"/>
        <v>High Mowing Dunja F1</v>
      </c>
      <c r="B146" t="s">
        <v>128</v>
      </c>
      <c r="C146" t="s">
        <v>482</v>
      </c>
      <c r="D146" t="s">
        <v>1941</v>
      </c>
      <c r="E146" s="32">
        <v>10.833333333333332</v>
      </c>
      <c r="I146" s="32"/>
      <c r="P146" s="161"/>
      <c r="Q146" s="37"/>
      <c r="R146" s="171"/>
      <c r="S146" s="161"/>
      <c r="T146" s="162"/>
      <c r="U146" s="27"/>
      <c r="V146" s="27"/>
      <c r="W146" s="27"/>
      <c r="X146" s="27"/>
      <c r="Z146" s="164"/>
      <c r="AA146" s="164"/>
      <c r="AB146" s="164"/>
      <c r="AC146" s="165"/>
      <c r="AD146" s="166"/>
      <c r="AG146" s="32"/>
      <c r="AH146" s="37"/>
    </row>
    <row r="147" spans="1:34" ht="15" customHeight="1">
      <c r="A147" t="str">
        <f t="shared" si="2"/>
        <v>Johnny's Zephyr</v>
      </c>
      <c r="B147" t="s">
        <v>128</v>
      </c>
      <c r="C147" t="s">
        <v>490</v>
      </c>
      <c r="D147" t="s">
        <v>677</v>
      </c>
      <c r="E147" s="32">
        <v>10.833333333333332</v>
      </c>
      <c r="I147" s="32"/>
      <c r="P147" s="161"/>
      <c r="Q147" s="37"/>
      <c r="R147" s="171"/>
      <c r="S147" s="161"/>
      <c r="T147" s="162"/>
      <c r="U147" s="27"/>
      <c r="V147" s="163"/>
      <c r="W147" s="27"/>
      <c r="X147" s="27"/>
      <c r="Z147" s="164"/>
      <c r="AA147" s="164"/>
      <c r="AB147" s="164"/>
      <c r="AC147" s="165"/>
      <c r="AD147" s="166"/>
      <c r="AG147" s="32"/>
      <c r="AH147" s="37"/>
    </row>
    <row r="148" spans="1:34" ht="15" customHeight="1">
      <c r="A148" t="str">
        <f t="shared" si="2"/>
        <v>Johnny's Y-Star</v>
      </c>
      <c r="B148" t="s">
        <v>128</v>
      </c>
      <c r="C148" t="s">
        <v>490</v>
      </c>
      <c r="D148" t="s">
        <v>2835</v>
      </c>
      <c r="E148" s="32">
        <v>10.833333333333332</v>
      </c>
      <c r="I148" s="32"/>
      <c r="P148" s="161"/>
      <c r="Q148" s="37"/>
      <c r="R148" s="171"/>
      <c r="S148" s="161"/>
      <c r="T148" s="162"/>
      <c r="U148" s="27"/>
      <c r="V148" s="27"/>
      <c r="W148" s="27"/>
      <c r="X148" s="27"/>
      <c r="Z148" s="164"/>
      <c r="AA148" s="164"/>
      <c r="AB148" s="164"/>
      <c r="AC148" s="165"/>
      <c r="AD148" s="166"/>
      <c r="AG148" s="32"/>
      <c r="AH148" s="37"/>
    </row>
    <row r="149" spans="1:34" ht="15" customHeight="1">
      <c r="A149" t="str">
        <f t="shared" si="2"/>
        <v>Row 7 Centercut</v>
      </c>
      <c r="B149" t="s">
        <v>128</v>
      </c>
      <c r="C149" t="s">
        <v>602</v>
      </c>
      <c r="D149" t="s">
        <v>676</v>
      </c>
      <c r="E149" s="32">
        <v>32.5</v>
      </c>
      <c r="I149" s="32"/>
      <c r="P149" s="161"/>
      <c r="Q149" s="37"/>
      <c r="R149" s="171"/>
      <c r="S149" s="161"/>
      <c r="T149" s="162"/>
      <c r="U149" s="27"/>
      <c r="V149" s="27"/>
      <c r="W149" s="27"/>
      <c r="X149" s="27"/>
      <c r="Z149" s="164"/>
      <c r="AA149" s="164"/>
      <c r="AB149" s="164"/>
      <c r="AC149" s="165"/>
      <c r="AD149" s="166"/>
      <c r="AG149" s="32"/>
      <c r="AH149" s="37"/>
    </row>
    <row r="150" spans="1:34" ht="15" customHeight="1">
      <c r="A150" t="str">
        <f t="shared" si="2"/>
        <v>Territorial Sunburst</v>
      </c>
      <c r="B150" t="s">
        <v>128</v>
      </c>
      <c r="C150" t="s">
        <v>533</v>
      </c>
      <c r="D150" t="s">
        <v>2834</v>
      </c>
      <c r="E150" s="32">
        <v>10.833333333333332</v>
      </c>
      <c r="I150" s="32"/>
      <c r="P150" s="161"/>
      <c r="Q150" s="37"/>
      <c r="R150" s="171"/>
      <c r="S150" s="161"/>
      <c r="T150" s="162"/>
      <c r="U150" s="27"/>
      <c r="V150" s="163"/>
      <c r="W150" s="27"/>
      <c r="X150" s="27"/>
      <c r="Z150" s="164"/>
      <c r="AA150" s="164"/>
      <c r="AB150" s="164"/>
      <c r="AC150" s="165"/>
      <c r="AD150" s="166"/>
      <c r="AG150" s="32"/>
      <c r="AH150" s="37"/>
    </row>
    <row r="151" spans="1:34" ht="15" customHeight="1">
      <c r="A151" t="str">
        <f t="shared" si="2"/>
        <v>Siskiyou Yellow Crookneck</v>
      </c>
      <c r="B151" t="s">
        <v>128</v>
      </c>
      <c r="C151" t="s">
        <v>1783</v>
      </c>
      <c r="D151" t="s">
        <v>2836</v>
      </c>
      <c r="E151" s="32">
        <v>10.833333333333332</v>
      </c>
      <c r="I151" s="32"/>
      <c r="P151" s="161"/>
      <c r="Q151" s="37"/>
      <c r="R151" s="171"/>
      <c r="S151" s="161"/>
      <c r="T151" s="162"/>
      <c r="U151" s="27"/>
      <c r="V151" s="163"/>
      <c r="W151" s="27"/>
      <c r="X151" s="27"/>
      <c r="Z151" s="164"/>
      <c r="AA151" s="164"/>
      <c r="AB151" s="164"/>
      <c r="AC151" s="165"/>
      <c r="AD151" s="166"/>
      <c r="AG151" s="32"/>
      <c r="AH151" s="37"/>
    </row>
    <row r="152" spans="1:34" ht="15" customHeight="1">
      <c r="A152" t="str">
        <f t="shared" si="2"/>
        <v>High Mowing Fordhook Giant</v>
      </c>
      <c r="B152" t="s">
        <v>131</v>
      </c>
      <c r="C152" t="s">
        <v>482</v>
      </c>
      <c r="D152" t="s">
        <v>2012</v>
      </c>
      <c r="E152" s="32">
        <v>18.333333333333332</v>
      </c>
      <c r="I152" s="32"/>
      <c r="P152" s="161"/>
      <c r="Q152" s="37"/>
      <c r="R152" s="171"/>
      <c r="S152" s="161"/>
      <c r="T152" s="162"/>
      <c r="U152" s="27"/>
      <c r="V152" s="163"/>
      <c r="W152" s="27"/>
      <c r="X152" s="27"/>
      <c r="Z152" s="164"/>
      <c r="AA152" s="164"/>
      <c r="AB152" s="164"/>
      <c r="AC152" s="165"/>
      <c r="AD152" s="166"/>
      <c r="AG152" s="32"/>
      <c r="AH152" s="37"/>
    </row>
    <row r="153" spans="1:34" ht="15" customHeight="1">
      <c r="A153" t="str">
        <f t="shared" si="2"/>
        <v>High Mowing Sunset Chard</v>
      </c>
      <c r="B153" t="s">
        <v>131</v>
      </c>
      <c r="C153" t="s">
        <v>482</v>
      </c>
      <c r="D153" t="s">
        <v>2936</v>
      </c>
      <c r="E153" s="32">
        <v>18.333333333333332</v>
      </c>
      <c r="I153" s="32"/>
      <c r="P153" s="161"/>
      <c r="Q153" s="37"/>
      <c r="R153" s="171"/>
      <c r="S153" s="161"/>
      <c r="T153" s="162"/>
      <c r="U153" s="27"/>
      <c r="V153" s="163"/>
      <c r="W153" s="27"/>
      <c r="X153" s="27"/>
      <c r="Z153" s="164"/>
      <c r="AA153" s="164"/>
      <c r="AB153" s="164"/>
      <c r="AC153" s="165"/>
      <c r="AD153" s="166"/>
      <c r="AG153" s="32"/>
      <c r="AH153" s="37"/>
    </row>
    <row r="154" spans="1:34" ht="15" customHeight="1">
      <c r="A154" t="str">
        <f t="shared" si="2"/>
        <v>High Mowing Ruby Red</v>
      </c>
      <c r="B154" t="s">
        <v>131</v>
      </c>
      <c r="C154" t="s">
        <v>482</v>
      </c>
      <c r="D154" t="s">
        <v>2938</v>
      </c>
      <c r="E154" s="32">
        <v>18.333333333333332</v>
      </c>
      <c r="I154" s="32"/>
      <c r="P154" s="161"/>
      <c r="Q154" s="37"/>
      <c r="R154" s="171"/>
      <c r="S154" s="161"/>
      <c r="T154" s="162"/>
      <c r="U154" s="27"/>
      <c r="V154" s="27"/>
      <c r="W154" s="27"/>
      <c r="X154" s="27"/>
      <c r="Z154" s="164"/>
      <c r="AA154" s="164"/>
      <c r="AB154" s="164"/>
      <c r="AC154" s="165"/>
      <c r="AD154" s="166"/>
      <c r="AG154" s="32"/>
      <c r="AH154" s="37"/>
    </row>
    <row r="155" spans="1:34" ht="15" customHeight="1">
      <c r="A155" t="str">
        <f t="shared" si="2"/>
        <v>High Mowing Rhubard Supreme</v>
      </c>
      <c r="B155" t="s">
        <v>131</v>
      </c>
      <c r="C155" t="s">
        <v>482</v>
      </c>
      <c r="D155" t="s">
        <v>2937</v>
      </c>
      <c r="E155" s="32">
        <v>18.333333333333332</v>
      </c>
      <c r="I155" s="32"/>
      <c r="P155" s="33"/>
      <c r="Q155" s="37"/>
      <c r="R155" s="171"/>
      <c r="S155" s="33"/>
      <c r="T155" s="172"/>
      <c r="U155" s="27"/>
      <c r="V155" s="175"/>
      <c r="W155" s="27"/>
      <c r="X155" s="27"/>
      <c r="Z155" s="164"/>
      <c r="AA155" s="164"/>
      <c r="AB155" s="164"/>
      <c r="AC155" s="174"/>
      <c r="AD155" s="36"/>
      <c r="AG155" s="32"/>
      <c r="AH155" s="37"/>
    </row>
    <row r="156" spans="1:34" ht="15" customHeight="1">
      <c r="A156" t="str">
        <f t="shared" si="2"/>
        <v>High Mowing Toma Verde</v>
      </c>
      <c r="B156" t="s">
        <v>135</v>
      </c>
      <c r="C156" t="s">
        <v>482</v>
      </c>
      <c r="D156" t="s">
        <v>2841</v>
      </c>
      <c r="E156" s="32">
        <v>21.666666666666664</v>
      </c>
      <c r="I156" s="32"/>
      <c r="P156" s="161"/>
      <c r="Q156" s="37"/>
      <c r="R156" s="171"/>
      <c r="S156" s="161"/>
      <c r="T156" s="162"/>
      <c r="U156" s="27"/>
      <c r="V156" s="163"/>
      <c r="W156" s="27"/>
      <c r="X156" s="27"/>
      <c r="Z156" s="164"/>
      <c r="AA156" s="164"/>
      <c r="AB156" s="164"/>
      <c r="AC156" s="165"/>
      <c r="AD156" s="166"/>
      <c r="AG156" s="32"/>
      <c r="AH156" s="37"/>
    </row>
    <row r="157" spans="1:34" ht="15" customHeight="1">
      <c r="A157" t="str">
        <f t="shared" si="2"/>
        <v>Johnny's De Milpa</v>
      </c>
      <c r="B157" t="s">
        <v>135</v>
      </c>
      <c r="C157" t="s">
        <v>490</v>
      </c>
      <c r="D157" t="s">
        <v>2840</v>
      </c>
      <c r="E157" s="32">
        <v>10.833333333333332</v>
      </c>
      <c r="I157" s="32"/>
      <c r="P157" s="161"/>
      <c r="Q157" s="37"/>
      <c r="R157" s="171"/>
      <c r="S157" s="161"/>
      <c r="T157" s="162"/>
      <c r="U157" s="27"/>
      <c r="V157" s="27"/>
      <c r="W157" s="27"/>
      <c r="X157" s="27"/>
      <c r="Z157" s="164"/>
      <c r="AA157" s="164"/>
      <c r="AB157" s="164"/>
      <c r="AC157" s="165"/>
      <c r="AD157" s="166"/>
      <c r="AG157" s="32"/>
      <c r="AH157" s="37"/>
    </row>
    <row r="158" spans="1:34" ht="15" customHeight="1">
      <c r="A158" t="str">
        <f t="shared" si="2"/>
        <v>Uprising Queen of Mallinalco</v>
      </c>
      <c r="B158" t="s">
        <v>135</v>
      </c>
      <c r="C158" t="s">
        <v>484</v>
      </c>
      <c r="D158" t="s">
        <v>1942</v>
      </c>
      <c r="E158" s="32">
        <v>21.666666666666664</v>
      </c>
      <c r="I158" s="32"/>
      <c r="P158" s="161"/>
      <c r="Q158" s="37"/>
      <c r="R158" s="171"/>
      <c r="S158" s="161"/>
      <c r="T158" s="162"/>
      <c r="U158" s="27"/>
      <c r="V158" s="27"/>
      <c r="W158" s="27"/>
      <c r="X158" s="27"/>
      <c r="Z158" s="164"/>
      <c r="AA158" s="164"/>
      <c r="AB158" s="164"/>
      <c r="AC158" s="165"/>
      <c r="AD158" s="166"/>
      <c r="AG158" s="32"/>
      <c r="AH158" s="37"/>
    </row>
    <row r="159" spans="1:34" ht="15" customHeight="1">
      <c r="A159" t="str">
        <f t="shared" si="2"/>
        <v>Adaptive Tiffen Mennonite</v>
      </c>
      <c r="B159" t="s">
        <v>136</v>
      </c>
      <c r="C159" t="s">
        <v>488</v>
      </c>
      <c r="D159" t="s">
        <v>2947</v>
      </c>
      <c r="E159" s="32">
        <v>97.283333333333331</v>
      </c>
      <c r="I159" s="32"/>
      <c r="P159" s="161"/>
      <c r="Q159" s="37"/>
      <c r="R159" s="171"/>
      <c r="S159" s="161"/>
      <c r="T159" s="162"/>
      <c r="U159" s="27"/>
      <c r="V159" s="163"/>
      <c r="W159" s="27"/>
      <c r="X159" s="27"/>
      <c r="Z159" s="164"/>
      <c r="AA159" s="164"/>
      <c r="AB159" s="164"/>
      <c r="AC159" s="165"/>
      <c r="AD159" s="166"/>
      <c r="AG159" s="32"/>
      <c r="AH159" s="37"/>
    </row>
    <row r="160" spans="1:34" ht="15" customHeight="1">
      <c r="A160" t="str">
        <f t="shared" si="2"/>
        <v>Adaptive Spring King</v>
      </c>
      <c r="B160" t="s">
        <v>136</v>
      </c>
      <c r="C160" t="s">
        <v>488</v>
      </c>
      <c r="D160" t="s">
        <v>3016</v>
      </c>
      <c r="E160" s="32">
        <v>52</v>
      </c>
      <c r="I160" s="32"/>
      <c r="P160" s="161"/>
      <c r="Q160" s="37"/>
      <c r="R160" s="171"/>
      <c r="S160" s="161"/>
      <c r="T160" s="162"/>
      <c r="U160" s="27"/>
      <c r="V160" s="163"/>
      <c r="W160" s="27"/>
      <c r="X160" s="27"/>
      <c r="Z160" s="164"/>
      <c r="AA160" s="164"/>
      <c r="AB160" s="164"/>
      <c r="AC160" s="165"/>
      <c r="AD160" s="166"/>
      <c r="AG160" s="32"/>
      <c r="AH160" s="37"/>
    </row>
    <row r="161" spans="1:34" ht="15" customHeight="1">
      <c r="A161" t="str">
        <f t="shared" si="2"/>
        <v>Adaptive Orange You Glad</v>
      </c>
      <c r="B161" t="s">
        <v>136</v>
      </c>
      <c r="C161" t="s">
        <v>488</v>
      </c>
      <c r="D161" t="s">
        <v>3020</v>
      </c>
      <c r="E161" s="32">
        <v>58.5</v>
      </c>
      <c r="I161" s="32"/>
      <c r="P161" s="161"/>
      <c r="Q161" s="37"/>
      <c r="R161" s="171"/>
      <c r="S161" s="161"/>
      <c r="T161" s="162"/>
      <c r="U161" s="27"/>
      <c r="V161" s="163"/>
      <c r="W161" s="27"/>
      <c r="X161" s="27"/>
      <c r="Z161" s="164"/>
      <c r="AA161" s="164"/>
      <c r="AB161" s="164"/>
      <c r="AC161" s="165"/>
      <c r="AD161" s="166"/>
      <c r="AG161" s="32"/>
      <c r="AH161" s="37"/>
    </row>
    <row r="162" spans="1:34" ht="15" customHeight="1">
      <c r="A162" t="str">
        <f t="shared" si="2"/>
        <v>Garden Hoard Brad's Atomic Grape</v>
      </c>
      <c r="B162" t="s">
        <v>136</v>
      </c>
      <c r="C162" t="s">
        <v>501</v>
      </c>
      <c r="D162" t="s">
        <v>687</v>
      </c>
      <c r="E162" s="32">
        <v>14.444444444444443</v>
      </c>
      <c r="I162" s="32"/>
      <c r="P162" s="161"/>
      <c r="Q162" s="37"/>
      <c r="R162" s="171"/>
      <c r="S162" s="161"/>
      <c r="T162" s="162"/>
      <c r="U162" s="27"/>
      <c r="V162" s="27"/>
      <c r="W162" s="27"/>
      <c r="X162" s="27"/>
      <c r="Z162" s="164"/>
      <c r="AA162" s="164"/>
      <c r="AB162" s="164"/>
      <c r="AC162" s="165"/>
      <c r="AD162" s="166"/>
      <c r="AG162" s="32"/>
      <c r="AH162" s="37"/>
    </row>
    <row r="163" spans="1:34" ht="15" customHeight="1">
      <c r="A163" t="str">
        <f t="shared" si="2"/>
        <v>Johnnys Woodstock</v>
      </c>
      <c r="B163" t="s">
        <v>136</v>
      </c>
      <c r="C163" t="s">
        <v>1762</v>
      </c>
      <c r="D163" t="s">
        <v>3037</v>
      </c>
      <c r="E163" s="32">
        <v>35.1</v>
      </c>
      <c r="I163" s="32"/>
      <c r="P163" s="161"/>
      <c r="Q163" s="37"/>
      <c r="R163" s="171"/>
      <c r="S163" s="161"/>
      <c r="T163" s="162"/>
      <c r="U163" s="27"/>
      <c r="V163" s="27"/>
      <c r="W163" s="27"/>
      <c r="X163" s="27"/>
      <c r="Z163" s="164"/>
      <c r="AA163" s="164"/>
      <c r="AB163" s="164"/>
      <c r="AC163" s="165"/>
      <c r="AD163" s="166"/>
      <c r="AG163" s="32"/>
      <c r="AH163" s="37"/>
    </row>
    <row r="164" spans="1:34" ht="15" customHeight="1">
      <c r="A164" t="str">
        <f t="shared" si="2"/>
        <v>Johnny's Sungold F1</v>
      </c>
      <c r="B164" t="s">
        <v>136</v>
      </c>
      <c r="C164" t="s">
        <v>490</v>
      </c>
      <c r="D164" t="s">
        <v>688</v>
      </c>
      <c r="E164" s="32">
        <v>5.4166666666666661</v>
      </c>
      <c r="I164" s="32"/>
      <c r="P164" s="161"/>
      <c r="Q164" s="37"/>
      <c r="R164" s="171"/>
      <c r="S164" s="161"/>
      <c r="T164" s="162"/>
      <c r="U164" s="27"/>
      <c r="V164" s="27"/>
      <c r="W164" s="27"/>
      <c r="X164" s="27"/>
      <c r="Z164" s="164"/>
      <c r="AA164" s="164"/>
      <c r="AB164" s="164"/>
      <c r="AC164" s="165"/>
      <c r="AD164" s="166"/>
      <c r="AG164" s="32"/>
      <c r="AH164" s="37"/>
    </row>
    <row r="165" spans="1:34" ht="15" customHeight="1">
      <c r="A165" t="str">
        <f t="shared" si="2"/>
        <v>Johnny's Blush</v>
      </c>
      <c r="B165" t="s">
        <v>136</v>
      </c>
      <c r="C165" t="s">
        <v>490</v>
      </c>
      <c r="D165" t="s">
        <v>1859</v>
      </c>
      <c r="E165" s="32">
        <v>14.444444444444443</v>
      </c>
      <c r="I165" s="32"/>
      <c r="P165" s="161"/>
      <c r="Q165" s="37"/>
      <c r="R165" s="171"/>
      <c r="S165" s="161"/>
      <c r="T165" s="162"/>
      <c r="U165" s="27"/>
      <c r="V165" s="163"/>
      <c r="W165" s="27"/>
      <c r="X165" s="27"/>
      <c r="Z165" s="164"/>
      <c r="AA165" s="164"/>
      <c r="AB165" s="164"/>
      <c r="AC165" s="165"/>
      <c r="AD165" s="166"/>
      <c r="AG165" s="32"/>
      <c r="AH165" s="37"/>
    </row>
    <row r="166" spans="1:34" ht="15" customHeight="1">
      <c r="A166" t="str">
        <f t="shared" si="2"/>
        <v>Johnny's Cipolla's Pride</v>
      </c>
      <c r="B166" t="s">
        <v>136</v>
      </c>
      <c r="C166" t="s">
        <v>490</v>
      </c>
      <c r="D166" t="s">
        <v>1639</v>
      </c>
      <c r="E166" s="32">
        <v>13.541666666666664</v>
      </c>
      <c r="I166" s="32"/>
      <c r="P166" s="167"/>
      <c r="Q166" s="37"/>
      <c r="R166" s="171"/>
      <c r="S166" s="167"/>
      <c r="T166" s="168"/>
      <c r="U166" s="27"/>
      <c r="V166" s="27"/>
      <c r="W166" s="27"/>
      <c r="X166" s="27"/>
      <c r="Z166" s="164"/>
      <c r="AA166" s="164"/>
      <c r="AB166" s="164"/>
      <c r="AC166" s="169"/>
      <c r="AD166" s="170"/>
      <c r="AG166" s="32"/>
      <c r="AH166" s="37"/>
    </row>
    <row r="167" spans="1:34" ht="15" customHeight="1">
      <c r="A167" t="str">
        <f t="shared" si="2"/>
        <v>Johnny's Geronimo</v>
      </c>
      <c r="B167" t="s">
        <v>136</v>
      </c>
      <c r="C167" t="s">
        <v>490</v>
      </c>
      <c r="D167" t="s">
        <v>2844</v>
      </c>
      <c r="E167" s="32">
        <v>13.541666666666664</v>
      </c>
      <c r="I167" s="32"/>
      <c r="P167" s="161"/>
      <c r="Q167" s="37"/>
      <c r="R167" s="171"/>
      <c r="S167" s="161"/>
      <c r="T167" s="162"/>
      <c r="U167" s="27"/>
      <c r="V167" s="163"/>
      <c r="W167" s="27"/>
      <c r="X167" s="27"/>
      <c r="Z167" s="164"/>
      <c r="AA167" s="164"/>
      <c r="AB167" s="164"/>
      <c r="AC167" s="165"/>
      <c r="AD167" s="166"/>
      <c r="AG167" s="32"/>
      <c r="AH167" s="37"/>
    </row>
    <row r="168" spans="1:34" ht="15" customHeight="1">
      <c r="A168" t="str">
        <f t="shared" si="2"/>
        <v>Johnny's Sakura OG</v>
      </c>
      <c r="B168" t="s">
        <v>136</v>
      </c>
      <c r="C168" t="s">
        <v>490</v>
      </c>
      <c r="D168" t="s">
        <v>2848</v>
      </c>
      <c r="E168" s="32">
        <v>5.4166666666666661</v>
      </c>
      <c r="I168" s="32"/>
      <c r="P168" s="161"/>
      <c r="Q168" s="37"/>
      <c r="R168" s="171"/>
      <c r="S168" s="161"/>
      <c r="T168" s="162"/>
      <c r="U168" s="27"/>
      <c r="V168" s="27"/>
      <c r="W168" s="27"/>
      <c r="X168" s="27"/>
      <c r="Z168" s="164"/>
      <c r="AA168" s="164"/>
      <c r="AB168" s="164"/>
      <c r="AC168" s="165"/>
      <c r="AD168" s="166"/>
      <c r="AG168" s="32"/>
      <c r="AH168" s="37"/>
    </row>
    <row r="169" spans="1:34" ht="15" customHeight="1">
      <c r="A169" t="str">
        <f t="shared" si="2"/>
        <v>Johnny's Black Cherry OG</v>
      </c>
      <c r="B169" t="s">
        <v>136</v>
      </c>
      <c r="C169" t="s">
        <v>490</v>
      </c>
      <c r="D169" t="s">
        <v>2847</v>
      </c>
      <c r="E169" s="32">
        <v>5.4166666666666661</v>
      </c>
      <c r="G169" t="e">
        <f>MATCH(C169&amp;" " &amp;D169,SeedOrder[Id],0)</f>
        <v>#N/A</v>
      </c>
      <c r="I169" s="32" t="e">
        <f>MATCH(SeedOrder[[#This Row],[Id]],$A$6:$A$264,)</f>
        <v>#VALUE!</v>
      </c>
    </row>
    <row r="170" spans="1:34" ht="15" customHeight="1">
      <c r="A170" t="str">
        <f t="shared" si="2"/>
        <v>Johnny's Washington Cherry</v>
      </c>
      <c r="B170" t="s">
        <v>136</v>
      </c>
      <c r="C170" t="s">
        <v>490</v>
      </c>
      <c r="D170" t="s">
        <v>3015</v>
      </c>
      <c r="E170" s="32">
        <v>36.5625</v>
      </c>
      <c r="G170">
        <f>MATCH(C170&amp;" " &amp;D170,SeedOrder[Id],0)</f>
        <v>43</v>
      </c>
      <c r="I170" s="32" t="e">
        <f>MATCH(SeedOrder[[#This Row],[Id]],$A$6:$A$264,)</f>
        <v>#VALUE!</v>
      </c>
    </row>
    <row r="171" spans="1:34" ht="15" customHeight="1">
      <c r="A171" t="str">
        <f t="shared" si="2"/>
        <v>Johnny's Margold</v>
      </c>
      <c r="B171" t="s">
        <v>136</v>
      </c>
      <c r="C171" t="s">
        <v>490</v>
      </c>
      <c r="D171" t="s">
        <v>3031</v>
      </c>
      <c r="E171" s="32">
        <v>105.3</v>
      </c>
      <c r="G171">
        <f>MATCH(C171&amp;" " &amp;D171,SeedOrder[Id],0)</f>
        <v>41</v>
      </c>
      <c r="I171" s="32" t="e">
        <f>MATCH(SeedOrder[[#This Row],[Id]],$A$6:$A$264,)</f>
        <v>#VALUE!</v>
      </c>
    </row>
    <row r="172" spans="1:34" ht="15" customHeight="1">
      <c r="A172" t="str">
        <f t="shared" si="2"/>
        <v>Johnny's Marbonne</v>
      </c>
      <c r="B172" t="s">
        <v>136</v>
      </c>
      <c r="C172" t="s">
        <v>490</v>
      </c>
      <c r="D172" t="s">
        <v>3032</v>
      </c>
      <c r="E172" s="32">
        <v>105.3</v>
      </c>
      <c r="G172">
        <f>MATCH(C172&amp;" " &amp;D172,SeedOrder[Id],0)</f>
        <v>40</v>
      </c>
      <c r="I172" s="32" t="e">
        <f>MATCH(SeedOrder[[#This Row],[Id]],$A$6:$A$264,)</f>
        <v>#VALUE!</v>
      </c>
    </row>
    <row r="173" spans="1:34" ht="15" customHeight="1">
      <c r="A173" t="str">
        <f t="shared" si="2"/>
        <v>Johnny's German Johnson</v>
      </c>
      <c r="B173" t="s">
        <v>136</v>
      </c>
      <c r="C173" t="s">
        <v>490</v>
      </c>
      <c r="D173" t="s">
        <v>3033</v>
      </c>
      <c r="E173" s="32">
        <v>35.1</v>
      </c>
      <c r="G173">
        <f>MATCH(C173&amp;" " &amp;D173,SeedOrder[Id],0)</f>
        <v>38</v>
      </c>
      <c r="I173" s="32" t="e">
        <f>MATCH(SeedOrder[[#This Row],[Id]],$A$6:$A$264,)</f>
        <v>#VALUE!</v>
      </c>
    </row>
    <row r="174" spans="1:34" ht="15" customHeight="1">
      <c r="A174" t="str">
        <f t="shared" si="2"/>
        <v>Johnny's Gin Fizz</v>
      </c>
      <c r="B174" t="s">
        <v>136</v>
      </c>
      <c r="C174" t="s">
        <v>490</v>
      </c>
      <c r="D174" t="s">
        <v>3039</v>
      </c>
      <c r="E174" s="32">
        <v>35.1</v>
      </c>
      <c r="G174">
        <f>MATCH(C174&amp;" " &amp;D174,SeedOrder[Id],0)</f>
        <v>39</v>
      </c>
      <c r="I174" s="32" t="e">
        <f>MATCH(SeedOrder[[#This Row],[Id]],$A$6:$A$264,)</f>
        <v>#VALUE!</v>
      </c>
    </row>
    <row r="175" spans="1:34" ht="15" customHeight="1">
      <c r="A175" t="str">
        <f t="shared" si="2"/>
        <v>Johnny's Marnero</v>
      </c>
      <c r="B175" t="s">
        <v>136</v>
      </c>
      <c r="C175" t="s">
        <v>490</v>
      </c>
      <c r="D175" t="s">
        <v>3070</v>
      </c>
      <c r="E175" s="32">
        <v>105.3</v>
      </c>
      <c r="G175">
        <f>MATCH(C175&amp;" " &amp;D175,SeedOrder[Id],0)</f>
        <v>42</v>
      </c>
      <c r="I175" s="32" t="e">
        <f>MATCH(SeedOrder[[#This Row],[Id]],$A$6:$A$264,)</f>
        <v>#VALUE!</v>
      </c>
    </row>
    <row r="176" spans="1:34" ht="15" customHeight="1">
      <c r="A176" t="str">
        <f t="shared" si="2"/>
        <v>Osborne Sun Dipper</v>
      </c>
      <c r="B176" t="s">
        <v>136</v>
      </c>
      <c r="C176" t="s">
        <v>503</v>
      </c>
      <c r="D176" t="s">
        <v>1549</v>
      </c>
      <c r="E176" s="32">
        <v>14.444444444444443</v>
      </c>
      <c r="G176" t="e">
        <f>MATCH(C176&amp;" " &amp;D176,SeedOrder[Id],0)</f>
        <v>#N/A</v>
      </c>
      <c r="I176" s="32" t="e">
        <f>MATCH(SeedOrder[[#This Row],[Id]],$A$6:$A$264,)</f>
        <v>#VALUE!</v>
      </c>
    </row>
    <row r="177" spans="1:9" ht="15" customHeight="1">
      <c r="A177" t="str">
        <f t="shared" si="2"/>
        <v>Osborne Pork Chop</v>
      </c>
      <c r="B177" t="s">
        <v>136</v>
      </c>
      <c r="C177" t="s">
        <v>503</v>
      </c>
      <c r="D177" t="s">
        <v>965</v>
      </c>
      <c r="E177" s="32">
        <v>48.641666666666666</v>
      </c>
      <c r="G177">
        <f>MATCH(C177&amp;" " &amp;D177,SeedOrder[Id],0)</f>
        <v>44</v>
      </c>
      <c r="I177" s="32" t="e">
        <f>MATCH(SeedOrder[[#This Row],[Id]],$A$6:$A$264,)</f>
        <v>#VALUE!</v>
      </c>
    </row>
    <row r="178" spans="1:9" ht="15" customHeight="1">
      <c r="A178" t="str">
        <f t="shared" si="2"/>
        <v>Osborne Chocolate Sprinkles</v>
      </c>
      <c r="B178" t="s">
        <v>136</v>
      </c>
      <c r="C178" t="s">
        <v>503</v>
      </c>
      <c r="D178" t="s">
        <v>2843</v>
      </c>
      <c r="E178" s="32">
        <v>14.444444444444443</v>
      </c>
      <c r="G178" t="e">
        <f>MATCH(C178&amp;" " &amp;D178,SeedOrder[Id],0)</f>
        <v>#N/A</v>
      </c>
      <c r="I178" s="32" t="e">
        <f>MATCH(SeedOrder[[#This Row],[Id]],$A$6:$A$264,)</f>
        <v>#VALUE!</v>
      </c>
    </row>
    <row r="179" spans="1:9" ht="15" customHeight="1">
      <c r="A179" t="str">
        <f t="shared" si="2"/>
        <v>Osborne Solar Flare</v>
      </c>
      <c r="B179" t="s">
        <v>136</v>
      </c>
      <c r="C179" t="s">
        <v>503</v>
      </c>
      <c r="D179" t="s">
        <v>911</v>
      </c>
      <c r="E179" s="32">
        <v>70.2</v>
      </c>
      <c r="G179">
        <f>MATCH(C179&amp;" " &amp;D179,SeedOrder[Id],0)</f>
        <v>45</v>
      </c>
      <c r="I179" s="32" t="e">
        <f>MATCH(SeedOrder[[#This Row],[Id]],$A$6:$A$264,)</f>
        <v>#VALUE!</v>
      </c>
    </row>
    <row r="180" spans="1:9" ht="15" customHeight="1">
      <c r="A180" t="str">
        <f t="shared" si="2"/>
        <v>Seed Savers Brandywine</v>
      </c>
      <c r="B180" t="s">
        <v>136</v>
      </c>
      <c r="C180" t="s">
        <v>600</v>
      </c>
      <c r="D180" t="s">
        <v>701</v>
      </c>
      <c r="E180" s="32">
        <v>48.641666666666666</v>
      </c>
      <c r="G180">
        <f>MATCH(C180&amp;" " &amp;D180,SeedOrder[Id],0)</f>
        <v>46</v>
      </c>
      <c r="I180" s="32" t="e">
        <f>MATCH(SeedOrder[[#This Row],[Id]],$A$6:$A$264,)</f>
        <v>#VALUE!</v>
      </c>
    </row>
    <row r="181" spans="1:9" ht="15" customHeight="1">
      <c r="A181" t="str">
        <f t="shared" si="2"/>
        <v>Seed Savers Salvaterra's Select</v>
      </c>
      <c r="B181" t="s">
        <v>136</v>
      </c>
      <c r="C181" t="s">
        <v>600</v>
      </c>
      <c r="D181" t="s">
        <v>2275</v>
      </c>
      <c r="E181" s="32">
        <v>13.541666666666664</v>
      </c>
      <c r="G181" t="e">
        <f>MATCH(C181&amp;" " &amp;D181,SeedOrder[Id],0)</f>
        <v>#N/A</v>
      </c>
      <c r="I181" s="32" t="e">
        <f>MATCH(SeedOrder[[#This Row],[Id]],$A$6:$A$264,)</f>
        <v>#VALUE!</v>
      </c>
    </row>
    <row r="182" spans="1:9" ht="15" customHeight="1">
      <c r="A182" t="str">
        <f t="shared" si="2"/>
        <v>Territorial Mortgage Lifter</v>
      </c>
      <c r="B182" t="s">
        <v>136</v>
      </c>
      <c r="C182" t="s">
        <v>533</v>
      </c>
      <c r="D182" t="s">
        <v>702</v>
      </c>
      <c r="E182" s="32">
        <v>13.541666666666664</v>
      </c>
      <c r="G182" t="e">
        <f>MATCH(C182&amp;" " &amp;D182,SeedOrder[Id],0)</f>
        <v>#N/A</v>
      </c>
      <c r="I182" s="32" t="e">
        <f>MATCH(SeedOrder[[#This Row],[Id]],$A$6:$A$264,)</f>
        <v>#VALUE!</v>
      </c>
    </row>
    <row r="183" spans="1:9" ht="15" customHeight="1">
      <c r="A183" t="str">
        <f t="shared" si="2"/>
        <v>Territorial Sweet Million</v>
      </c>
      <c r="B183" t="s">
        <v>136</v>
      </c>
      <c r="C183" t="s">
        <v>533</v>
      </c>
      <c r="D183" t="s">
        <v>986</v>
      </c>
      <c r="E183" s="32">
        <v>5.4166666666666661</v>
      </c>
      <c r="G183" t="e">
        <f>MATCH(C183&amp;" " &amp;D183,SeedOrder[Id],0)</f>
        <v>#N/A</v>
      </c>
      <c r="I183" s="32" t="e">
        <f>MATCH(SeedOrder[[#This Row],[Id]],$A$6:$A$264,)</f>
        <v>#VALUE!</v>
      </c>
    </row>
    <row r="184" spans="1:9" ht="15" customHeight="1">
      <c r="A184" t="str">
        <f t="shared" si="2"/>
        <v>Territorial Early Cherry</v>
      </c>
      <c r="B184" t="s">
        <v>136</v>
      </c>
      <c r="C184" t="s">
        <v>533</v>
      </c>
      <c r="D184" t="s">
        <v>3011</v>
      </c>
      <c r="E184" s="32">
        <v>36.5625</v>
      </c>
      <c r="G184">
        <f>MATCH(C184&amp;" " &amp;D184,SeedOrder[Id],0)</f>
        <v>48</v>
      </c>
      <c r="I184" s="32" t="e">
        <f>MATCH(SeedOrder[[#This Row],[Id]],$A$6:$A$264,)</f>
        <v>#VALUE!</v>
      </c>
    </row>
    <row r="185" spans="1:9" ht="15" customHeight="1">
      <c r="A185" t="str">
        <f t="shared" si="2"/>
        <v>Tomato Fest Black Sea Man</v>
      </c>
      <c r="B185" t="s">
        <v>136</v>
      </c>
      <c r="C185" t="s">
        <v>695</v>
      </c>
      <c r="D185" t="s">
        <v>3019</v>
      </c>
      <c r="E185" s="32">
        <v>52</v>
      </c>
      <c r="G185">
        <f>MATCH(C185&amp;" " &amp;D185,SeedOrder[Id],0)</f>
        <v>50</v>
      </c>
      <c r="I185" s="32" t="e">
        <f>MATCH(SeedOrder[[#This Row],[Id]],$A$6:$A$264,)</f>
        <v>#VALUE!</v>
      </c>
    </row>
    <row r="186" spans="1:9" ht="15" customHeight="1">
      <c r="A186" t="str">
        <f t="shared" si="2"/>
        <v>Tomato Fest Dwarf Purple Heart</v>
      </c>
      <c r="B186" t="s">
        <v>136</v>
      </c>
      <c r="C186" t="s">
        <v>695</v>
      </c>
      <c r="D186" t="s">
        <v>3023</v>
      </c>
      <c r="E186" s="32">
        <v>52</v>
      </c>
      <c r="G186">
        <f>MATCH(C186&amp;" " &amp;D186,SeedOrder[Id],0)</f>
        <v>52</v>
      </c>
      <c r="I186" s="32" t="e">
        <f>MATCH(SeedOrder[[#This Row],[Id]],$A$6:$A$264,)</f>
        <v>#VALUE!</v>
      </c>
    </row>
    <row r="187" spans="1:9" ht="15" customHeight="1">
      <c r="A187" t="str">
        <f t="shared" si="2"/>
        <v>Tomato Fest Banana Legs</v>
      </c>
      <c r="B187" t="s">
        <v>136</v>
      </c>
      <c r="C187" t="s">
        <v>695</v>
      </c>
      <c r="D187" t="s">
        <v>3024</v>
      </c>
      <c r="E187" s="32">
        <v>58.5</v>
      </c>
      <c r="G187">
        <f>MATCH(C187&amp;" " &amp;D187,SeedOrder[Id],0)</f>
        <v>49</v>
      </c>
      <c r="I187" s="32" t="e">
        <f>MATCH(SeedOrder[[#This Row],[Id]],$A$6:$A$264,)</f>
        <v>#VALUE!</v>
      </c>
    </row>
    <row r="188" spans="1:9" ht="15" customHeight="1">
      <c r="A188" t="str">
        <f t="shared" si="2"/>
        <v>Tomato Fest Cream Sausage</v>
      </c>
      <c r="B188" t="s">
        <v>136</v>
      </c>
      <c r="C188" t="s">
        <v>695</v>
      </c>
      <c r="D188" t="s">
        <v>3025</v>
      </c>
      <c r="E188" s="32">
        <v>58.5</v>
      </c>
      <c r="G188">
        <f>MATCH(C188&amp;" " &amp;D188,SeedOrder[Id],0)</f>
        <v>51</v>
      </c>
      <c r="I188" s="32" t="e">
        <f>MATCH(SeedOrder[[#This Row],[Id]],$A$6:$A$264,)</f>
        <v>#VALUE!</v>
      </c>
    </row>
    <row r="189" spans="1:9" ht="15" customHeight="1">
      <c r="A189" t="str">
        <f t="shared" si="2"/>
        <v>Tomato Fest Sean's Yellow Dwarf</v>
      </c>
      <c r="B189" t="s">
        <v>136</v>
      </c>
      <c r="C189" t="s">
        <v>695</v>
      </c>
      <c r="D189" t="s">
        <v>3028</v>
      </c>
      <c r="E189" s="32">
        <v>58.5</v>
      </c>
      <c r="G189">
        <f>MATCH(C189&amp;" " &amp;D189,SeedOrder[Id],0)</f>
        <v>53</v>
      </c>
      <c r="I189" s="32" t="e">
        <f>MATCH(SeedOrder[[#This Row],[Id]],$A$6:$A$264,)</f>
        <v>#VALUE!</v>
      </c>
    </row>
    <row r="190" spans="1:9" ht="15" customHeight="1">
      <c r="A190" t="str">
        <f t="shared" si="2"/>
        <v>Uprising Pinky</v>
      </c>
      <c r="B190" t="s">
        <v>136</v>
      </c>
      <c r="C190" t="s">
        <v>484</v>
      </c>
      <c r="D190" t="s">
        <v>696</v>
      </c>
      <c r="E190" s="32">
        <v>14.444444444444443</v>
      </c>
      <c r="G190" t="e">
        <f>MATCH(C190&amp;" " &amp;D190,SeedOrder[Id],0)</f>
        <v>#N/A</v>
      </c>
      <c r="I190" s="32" t="e">
        <f>MATCH(SeedOrder[[#This Row],[Id]],$A$6:$A$264,)</f>
        <v>#VALUE!</v>
      </c>
    </row>
    <row r="191" spans="1:9" ht="15" customHeight="1">
      <c r="A191" t="str">
        <f t="shared" si="2"/>
        <v>Bene Benevento</v>
      </c>
      <c r="B191" t="s">
        <v>136</v>
      </c>
      <c r="C191" t="s">
        <v>2846</v>
      </c>
      <c r="D191" t="s">
        <v>2845</v>
      </c>
      <c r="E191" s="32">
        <v>13.541666666666664</v>
      </c>
      <c r="G191" t="e">
        <f>MATCH(C191&amp;" " &amp;D191,SeedOrder[Id],0)</f>
        <v>#N/A</v>
      </c>
      <c r="I191" s="32" t="e">
        <f>MATCH(SeedOrder[[#This Row],[Id]],$A$6:$A$264,)</f>
        <v>#VALUE!</v>
      </c>
    </row>
    <row r="192" spans="1:9" ht="15" customHeight="1">
      <c r="A192" t="str">
        <f t="shared" si="2"/>
        <v>Bene Minivento</v>
      </c>
      <c r="B192" t="s">
        <v>136</v>
      </c>
      <c r="C192" t="s">
        <v>2846</v>
      </c>
      <c r="D192" t="s">
        <v>2849</v>
      </c>
      <c r="E192" s="32">
        <v>14.444444444444443</v>
      </c>
      <c r="G192" t="e">
        <f>MATCH(C192&amp;" " &amp;D192,SeedOrder[Id],0)</f>
        <v>#N/A</v>
      </c>
      <c r="I192" s="32" t="e">
        <f>MATCH(SeedOrder[[#This Row],[Id]],$A$6:$A$264,)</f>
        <v>#VALUE!</v>
      </c>
    </row>
    <row r="193" spans="1:9" ht="15" customHeight="1">
      <c r="A193" t="str">
        <f t="shared" si="2"/>
        <v>Seedway Red Deuce</v>
      </c>
      <c r="B193" t="s">
        <v>136</v>
      </c>
      <c r="C193" t="s">
        <v>3017</v>
      </c>
      <c r="D193" t="s">
        <v>3018</v>
      </c>
      <c r="E193" s="32">
        <v>52</v>
      </c>
      <c r="G193">
        <f>MATCH(C193&amp;" " &amp;D193,SeedOrder[Id],0)</f>
        <v>47</v>
      </c>
      <c r="I193" s="32" t="e">
        <f>MATCH(SeedOrder[[#This Row],[Id]],$A$6:$A$264,)</f>
        <v>#VALUE!</v>
      </c>
    </row>
    <row r="194" spans="1:9" ht="15" customHeight="1">
      <c r="A194" t="str">
        <f t="shared" si="2"/>
        <v>A H Whaley 42-Day</v>
      </c>
      <c r="B194" t="s">
        <v>136</v>
      </c>
      <c r="C194" t="s">
        <v>3010</v>
      </c>
      <c r="D194" t="s">
        <v>3009</v>
      </c>
      <c r="E194" s="32">
        <v>36.5625</v>
      </c>
      <c r="G194">
        <f>MATCH(C194&amp;" " &amp;D194,SeedOrder[Id],0)</f>
        <v>26</v>
      </c>
      <c r="I194" s="32" t="e">
        <f>MATCH(SeedOrder[[#This Row],[Id]],$A$6:$A$264,)</f>
        <v>#VALUE!</v>
      </c>
    </row>
    <row r="195" spans="1:9" ht="15" customHeight="1">
      <c r="A195" t="str">
        <f t="shared" si="2"/>
        <v>Wild Board Farm Dynamite Delight</v>
      </c>
      <c r="B195" t="s">
        <v>136</v>
      </c>
      <c r="C195" t="s">
        <v>3022</v>
      </c>
      <c r="D195" t="s">
        <v>3021</v>
      </c>
      <c r="E195" s="32">
        <v>36.5625</v>
      </c>
      <c r="G195">
        <f>MATCH(C195&amp;" " &amp;D195,SeedOrder[Id],0)</f>
        <v>54</v>
      </c>
      <c r="I195" s="32" t="e">
        <f>MATCH(SeedOrder[[#This Row],[Id]],$A$6:$A$264,)</f>
        <v>#VALUE!</v>
      </c>
    </row>
    <row r="196" spans="1:9" ht="15" customHeight="1">
      <c r="A196" t="str">
        <f t="shared" si="2"/>
        <v>Wild Board Farm Emerald Flame</v>
      </c>
      <c r="B196" t="s">
        <v>136</v>
      </c>
      <c r="C196" t="s">
        <v>3022</v>
      </c>
      <c r="D196" t="s">
        <v>3026</v>
      </c>
      <c r="E196" s="32">
        <v>36.5625</v>
      </c>
      <c r="G196">
        <f>MATCH(C196&amp;" " &amp;D196,SeedOrder[Id],0)</f>
        <v>55</v>
      </c>
      <c r="I196" s="32" t="e">
        <f>MATCH(SeedOrder[[#This Row],[Id]],$A$6:$A$264,)</f>
        <v>#VALUE!</v>
      </c>
    </row>
    <row r="197" spans="1:9" ht="15" customHeight="1">
      <c r="A197" t="str">
        <f t="shared" ref="A197:A260" si="3">C197&amp; " "  &amp; D197</f>
        <v>Wild Board Farm Limelight</v>
      </c>
      <c r="B197" t="s">
        <v>136</v>
      </c>
      <c r="C197" t="s">
        <v>3022</v>
      </c>
      <c r="D197" t="s">
        <v>3027</v>
      </c>
      <c r="E197" s="32">
        <v>36.5625</v>
      </c>
      <c r="G197">
        <f>MATCH(C197&amp;" " &amp;D197,SeedOrder[Id],0)</f>
        <v>57</v>
      </c>
      <c r="I197" s="32" t="e">
        <f>MATCH(SeedOrder[[#This Row],[Id]],$A$6:$A$264,)</f>
        <v>#VALUE!</v>
      </c>
    </row>
    <row r="198" spans="1:9" ht="15" customHeight="1">
      <c r="A198" t="str">
        <f t="shared" si="3"/>
        <v>Wild Board Farm Golden Hour</v>
      </c>
      <c r="B198" t="s">
        <v>136</v>
      </c>
      <c r="C198" t="s">
        <v>3022</v>
      </c>
      <c r="D198" t="s">
        <v>3029</v>
      </c>
      <c r="E198" s="32">
        <v>36.5625</v>
      </c>
      <c r="G198">
        <f>MATCH(C198&amp;" " &amp;D198,SeedOrder[Id],0)</f>
        <v>56</v>
      </c>
      <c r="I198" s="32" t="e">
        <f>MATCH(SeedOrder[[#This Row],[Id]],$A$6:$A$264,)</f>
        <v>#VALUE!</v>
      </c>
    </row>
    <row r="199" spans="1:9" ht="15" customHeight="1">
      <c r="A199" t="str">
        <f t="shared" si="3"/>
        <v>Harris Red Racer</v>
      </c>
      <c r="B199" t="s">
        <v>136</v>
      </c>
      <c r="C199" t="s">
        <v>3014</v>
      </c>
      <c r="D199" t="s">
        <v>3013</v>
      </c>
      <c r="E199" s="32">
        <v>58.5</v>
      </c>
      <c r="G199">
        <f>MATCH(C199&amp;" " &amp;D199,SeedOrder[Id],0)</f>
        <v>36</v>
      </c>
      <c r="I199" s="32" t="e">
        <f>MATCH(SeedOrder[[#This Row],[Id]],$A$6:$A$264,)</f>
        <v>#VALUE!</v>
      </c>
    </row>
    <row r="200" spans="1:9" ht="15" customHeight="1">
      <c r="A200" t="str">
        <f t="shared" si="3"/>
        <v>A P Whaley Cherry Falls</v>
      </c>
      <c r="B200" t="s">
        <v>136</v>
      </c>
      <c r="C200" t="s">
        <v>3040</v>
      </c>
      <c r="D200" t="s">
        <v>3012</v>
      </c>
      <c r="E200" s="32">
        <v>36.5625</v>
      </c>
      <c r="G200">
        <f>MATCH(C200&amp;" " &amp;D200,SeedOrder[Id],0)</f>
        <v>29</v>
      </c>
      <c r="I200" s="32" t="e">
        <f>MATCH(SeedOrder[[#This Row],[Id]],$A$6:$A$264,)</f>
        <v>#VALUE!</v>
      </c>
    </row>
    <row r="201" spans="1:9" ht="15" customHeight="1">
      <c r="A201" t="str">
        <f t="shared" si="3"/>
        <v>A P Whaley Janet's Jacinth Jewel</v>
      </c>
      <c r="B201" t="s">
        <v>136</v>
      </c>
      <c r="C201" t="s">
        <v>3040</v>
      </c>
      <c r="D201" t="s">
        <v>3034</v>
      </c>
      <c r="E201" s="32">
        <v>35.1</v>
      </c>
      <c r="G201">
        <f>MATCH(C201&amp;" " &amp;D201,SeedOrder[Id],0)</f>
        <v>30</v>
      </c>
      <c r="I201" s="32" t="e">
        <f>MATCH(SeedOrder[[#This Row],[Id]],$A$6:$A$264,)</f>
        <v>#VALUE!</v>
      </c>
    </row>
    <row r="202" spans="1:9" ht="15" customHeight="1">
      <c r="A202" t="str">
        <f t="shared" si="3"/>
        <v>A P Whaley Large Barred Boar</v>
      </c>
      <c r="B202" t="s">
        <v>136</v>
      </c>
      <c r="C202" t="s">
        <v>3040</v>
      </c>
      <c r="D202" t="s">
        <v>3035</v>
      </c>
      <c r="E202" s="32">
        <v>35.1</v>
      </c>
      <c r="G202">
        <f>MATCH(C202&amp;" " &amp;D202,SeedOrder[Id],0)</f>
        <v>31</v>
      </c>
      <c r="I202" s="32" t="e">
        <f>MATCH(SeedOrder[[#This Row],[Id]],$A$6:$A$264,)</f>
        <v>#VALUE!</v>
      </c>
    </row>
    <row r="203" spans="1:9" ht="15" customHeight="1">
      <c r="A203" t="str">
        <f t="shared" si="3"/>
        <v>A P Whaley Beauty King</v>
      </c>
      <c r="B203" t="s">
        <v>136</v>
      </c>
      <c r="C203" t="s">
        <v>3040</v>
      </c>
      <c r="D203" t="s">
        <v>3036</v>
      </c>
      <c r="E203" s="32">
        <v>35.1</v>
      </c>
      <c r="G203">
        <f>MATCH(C203&amp;" " &amp;D203,SeedOrder[Id],0)</f>
        <v>27</v>
      </c>
      <c r="I203" s="32" t="e">
        <f>MATCH(SeedOrder[[#This Row],[Id]],$A$6:$A$264,)</f>
        <v>#VALUE!</v>
      </c>
    </row>
    <row r="204" spans="1:9" ht="15" customHeight="1">
      <c r="A204" t="str">
        <f t="shared" si="3"/>
        <v>A P Whaley Pink Jazz</v>
      </c>
      <c r="B204" t="s">
        <v>136</v>
      </c>
      <c r="C204" t="s">
        <v>3040</v>
      </c>
      <c r="D204" t="s">
        <v>3038</v>
      </c>
      <c r="E204" s="32">
        <v>35.1</v>
      </c>
      <c r="G204">
        <f>MATCH(C204&amp;" " &amp;D204,SeedOrder[Id],0)</f>
        <v>32</v>
      </c>
      <c r="I204" s="32" t="e">
        <f>MATCH(SeedOrder[[#This Row],[Id]],$A$6:$A$264,)</f>
        <v>#VALUE!</v>
      </c>
    </row>
    <row r="205" spans="1:9" ht="15" customHeight="1">
      <c r="A205" t="str">
        <f t="shared" si="3"/>
        <v>A P Whaley Beefy Purple</v>
      </c>
      <c r="B205" t="s">
        <v>136</v>
      </c>
      <c r="C205" t="s">
        <v>3040</v>
      </c>
      <c r="D205" t="s">
        <v>3091</v>
      </c>
      <c r="E205" s="32">
        <v>52</v>
      </c>
      <c r="G205">
        <f>MATCH(C205&amp;" " &amp;D205,SeedOrder[Id],0)</f>
        <v>28</v>
      </c>
      <c r="I205" s="32" t="e">
        <f>MATCH(SeedOrder[[#This Row],[Id]],$A$6:$A$264,)</f>
        <v>#VALUE!</v>
      </c>
    </row>
    <row r="206" spans="1:9" ht="15" customHeight="1">
      <c r="A206" t="str">
        <f t="shared" si="3"/>
        <v>Johnny's Hakurei</v>
      </c>
      <c r="B206" t="s">
        <v>137</v>
      </c>
      <c r="C206" t="s">
        <v>490</v>
      </c>
      <c r="D206" t="s">
        <v>1686</v>
      </c>
      <c r="E206" s="32">
        <v>5720</v>
      </c>
      <c r="G206" t="e">
        <f>MATCH(C206&amp;" " &amp;D206,SeedOrder[Id],0)</f>
        <v>#N/A</v>
      </c>
      <c r="I206" s="32" t="e">
        <f>MATCH(SeedOrder[[#This Row],[Id]],$A$6:$A$264,)</f>
        <v>#VALUE!</v>
      </c>
    </row>
    <row r="207" spans="1:9" ht="15" customHeight="1">
      <c r="A207" t="str">
        <f t="shared" si="3"/>
        <v xml:space="preserve"> </v>
      </c>
      <c r="B207" t="s">
        <v>470</v>
      </c>
      <c r="E207" s="32">
        <v>153476.53690476186</v>
      </c>
      <c r="G207" t="e">
        <f>MATCH(C207&amp;" " &amp;D207,SeedOrder[Id],0)</f>
        <v>#N/A</v>
      </c>
      <c r="I207" s="32" t="e">
        <f>MATCH(SeedOrder[[#This Row],[Id]],$A$6:$A$264,)</f>
        <v>#VALUE!</v>
      </c>
    </row>
    <row r="208" spans="1:9" ht="15" customHeight="1">
      <c r="A208" t="str">
        <f t="shared" si="3"/>
        <v xml:space="preserve"> </v>
      </c>
      <c r="G208" t="e">
        <f>MATCH(C208&amp;" " &amp;D208,SeedOrder[Id],0)</f>
        <v>#N/A</v>
      </c>
      <c r="I208" s="32" t="e">
        <f>MATCH(SeedOrder[[#This Row],[Id]],$A$6:$A$264,)</f>
        <v>#VALUE!</v>
      </c>
    </row>
    <row r="209" spans="1:9" ht="15" customHeight="1">
      <c r="A209" t="str">
        <f t="shared" si="3"/>
        <v xml:space="preserve"> </v>
      </c>
      <c r="G209" t="e">
        <f>MATCH(C209&amp;" " &amp;D209,SeedOrder[Id],0)</f>
        <v>#N/A</v>
      </c>
      <c r="I209" s="32" t="e">
        <f>MATCH(SeedOrder[[#This Row],[Id]],$A$6:$A$264,)</f>
        <v>#VALUE!</v>
      </c>
    </row>
    <row r="210" spans="1:9" ht="15" customHeight="1">
      <c r="A210" t="str">
        <f t="shared" si="3"/>
        <v xml:space="preserve"> </v>
      </c>
      <c r="G210" t="e">
        <f>MATCH(C210&amp;" " &amp;D210,SeedOrder[Id],0)</f>
        <v>#N/A</v>
      </c>
      <c r="I210" s="32" t="e">
        <f>MATCH(SeedOrder[[#This Row],[Id]],$A$6:$A$264,)</f>
        <v>#VALUE!</v>
      </c>
    </row>
    <row r="211" spans="1:9" ht="15" customHeight="1">
      <c r="A211" t="str">
        <f t="shared" si="3"/>
        <v xml:space="preserve"> </v>
      </c>
      <c r="G211" t="e">
        <f>MATCH(C211&amp;" " &amp;D211,SeedOrder[Id],0)</f>
        <v>#N/A</v>
      </c>
      <c r="I211" s="32" t="e">
        <f>MATCH(SeedOrder[[#This Row],[Id]],$A$6:$A$264,)</f>
        <v>#VALUE!</v>
      </c>
    </row>
    <row r="212" spans="1:9" ht="15" customHeight="1">
      <c r="A212" t="str">
        <f t="shared" si="3"/>
        <v xml:space="preserve"> </v>
      </c>
      <c r="G212" t="e">
        <f>MATCH(C212&amp;" " &amp;D212,SeedOrder[Id],0)</f>
        <v>#N/A</v>
      </c>
      <c r="I212" s="32" t="e">
        <f>MATCH(SeedOrder[[#This Row],[Id]],$A$6:$A$264,)</f>
        <v>#VALUE!</v>
      </c>
    </row>
    <row r="213" spans="1:9" ht="15" customHeight="1">
      <c r="A213" t="str">
        <f t="shared" si="3"/>
        <v xml:space="preserve"> </v>
      </c>
      <c r="G213" t="e">
        <f>MATCH(C213&amp;" " &amp;D213,SeedOrder[Id],0)</f>
        <v>#N/A</v>
      </c>
      <c r="I213" s="32" t="e">
        <f>MATCH(SeedOrder[[#This Row],[Id]],$A$6:$A$264,)</f>
        <v>#VALUE!</v>
      </c>
    </row>
    <row r="214" spans="1:9" ht="15" customHeight="1">
      <c r="A214" t="str">
        <f t="shared" si="3"/>
        <v xml:space="preserve"> </v>
      </c>
      <c r="G214" t="e">
        <f>MATCH(C214&amp;" " &amp;D214,SeedOrder[Id],0)</f>
        <v>#N/A</v>
      </c>
      <c r="I214" s="32" t="e">
        <f>MATCH(SeedOrder[[#This Row],[Id]],$A$6:$A$264,)</f>
        <v>#VALUE!</v>
      </c>
    </row>
    <row r="215" spans="1:9" ht="15" customHeight="1">
      <c r="A215" t="str">
        <f t="shared" si="3"/>
        <v xml:space="preserve"> </v>
      </c>
      <c r="G215" t="e">
        <f>MATCH(C215&amp;" " &amp;D215,SeedOrder[Id],0)</f>
        <v>#N/A</v>
      </c>
      <c r="I215" s="32" t="e">
        <f>MATCH(SeedOrder[[#This Row],[Id]],$A$6:$A$264,)</f>
        <v>#VALUE!</v>
      </c>
    </row>
    <row r="216" spans="1:9" ht="15" customHeight="1">
      <c r="A216" t="str">
        <f t="shared" si="3"/>
        <v xml:space="preserve"> </v>
      </c>
      <c r="G216" t="e">
        <f>MATCH(C216&amp;" " &amp;D216,SeedOrder[Id],0)</f>
        <v>#N/A</v>
      </c>
      <c r="I216" s="32" t="e">
        <f>MATCH(SeedOrder[[#This Row],[Id]],$A$6:$A$264,)</f>
        <v>#VALUE!</v>
      </c>
    </row>
    <row r="217" spans="1:9" ht="15" customHeight="1">
      <c r="A217" t="str">
        <f t="shared" si="3"/>
        <v xml:space="preserve"> </v>
      </c>
      <c r="G217" t="e">
        <f>MATCH(C217&amp;" " &amp;D217,SeedOrder[Id],0)</f>
        <v>#N/A</v>
      </c>
      <c r="I217" s="32" t="e">
        <f>MATCH(SeedOrder[[#This Row],[Id]],$A$6:$A$264,)</f>
        <v>#VALUE!</v>
      </c>
    </row>
    <row r="218" spans="1:9" ht="15" customHeight="1">
      <c r="A218" t="str">
        <f t="shared" si="3"/>
        <v xml:space="preserve"> </v>
      </c>
      <c r="G218" t="e">
        <f>MATCH(C218&amp;" " &amp;D218,SeedOrder[Id],0)</f>
        <v>#N/A</v>
      </c>
      <c r="I218" s="32" t="e">
        <f>MATCH(SeedOrder[[#This Row],[Id]],$A$6:$A$264,)</f>
        <v>#VALUE!</v>
      </c>
    </row>
    <row r="219" spans="1:9" ht="15" customHeight="1">
      <c r="A219" t="str">
        <f t="shared" si="3"/>
        <v xml:space="preserve"> </v>
      </c>
      <c r="G219" t="e">
        <f>MATCH(C219&amp;" " &amp;D219,SeedOrder[Id],0)</f>
        <v>#N/A</v>
      </c>
      <c r="I219" s="32" t="e">
        <f>MATCH(SeedOrder[[#This Row],[Id]],$A$6:$A$264,)</f>
        <v>#VALUE!</v>
      </c>
    </row>
    <row r="220" spans="1:9" ht="15" customHeight="1">
      <c r="A220" t="str">
        <f t="shared" si="3"/>
        <v xml:space="preserve"> </v>
      </c>
      <c r="G220" t="e">
        <f>MATCH(C220&amp;" " &amp;D220,SeedOrder[Id],0)</f>
        <v>#N/A</v>
      </c>
      <c r="I220" s="32" t="e">
        <f>MATCH(SeedOrder[[#This Row],[Id]],$A$6:$A$264,)</f>
        <v>#VALUE!</v>
      </c>
    </row>
    <row r="221" spans="1:9" ht="15" customHeight="1">
      <c r="A221" t="str">
        <f t="shared" si="3"/>
        <v xml:space="preserve"> </v>
      </c>
      <c r="G221" t="e">
        <f>MATCH(C221&amp;" " &amp;D221,SeedOrder[Id],0)</f>
        <v>#N/A</v>
      </c>
      <c r="I221" s="32" t="e">
        <f>MATCH(SeedOrder[[#This Row],[Id]],$A$6:$A$264,)</f>
        <v>#VALUE!</v>
      </c>
    </row>
    <row r="222" spans="1:9" ht="15" customHeight="1">
      <c r="A222" t="str">
        <f t="shared" si="3"/>
        <v xml:space="preserve"> </v>
      </c>
      <c r="G222" t="e">
        <f>MATCH(C222&amp;" " &amp;D222,SeedOrder[Id],0)</f>
        <v>#N/A</v>
      </c>
      <c r="I222" s="32" t="e">
        <f>MATCH(SeedOrder[[#This Row],[Id]],$A$6:$A$264,)</f>
        <v>#VALUE!</v>
      </c>
    </row>
    <row r="223" spans="1:9" ht="15" customHeight="1">
      <c r="A223" t="str">
        <f t="shared" si="3"/>
        <v xml:space="preserve"> </v>
      </c>
      <c r="G223" t="e">
        <f>MATCH(C223&amp;" " &amp;D223,SeedOrder[Id],0)</f>
        <v>#N/A</v>
      </c>
      <c r="I223" s="32" t="e">
        <f>MATCH(SeedOrder[[#This Row],[Id]],$A$6:$A$264,)</f>
        <v>#VALUE!</v>
      </c>
    </row>
    <row r="224" spans="1:9" ht="15" customHeight="1">
      <c r="A224" t="str">
        <f t="shared" si="3"/>
        <v xml:space="preserve"> </v>
      </c>
      <c r="G224" t="e">
        <f>MATCH(C224&amp;" " &amp;D224,SeedOrder[Id],0)</f>
        <v>#N/A</v>
      </c>
      <c r="I224" s="32" t="e">
        <f>MATCH(SeedOrder[[#This Row],[Id]],$A$6:$A$264,)</f>
        <v>#VALUE!</v>
      </c>
    </row>
    <row r="225" spans="1:9" ht="15" customHeight="1">
      <c r="A225" t="str">
        <f t="shared" si="3"/>
        <v xml:space="preserve"> </v>
      </c>
      <c r="G225" t="e">
        <f>MATCH(C225&amp;" " &amp;D225,SeedOrder[Id],0)</f>
        <v>#N/A</v>
      </c>
      <c r="I225" s="32" t="e">
        <f>MATCH(SeedOrder[[#This Row],[Id]],$A$6:$A$264,)</f>
        <v>#VALUE!</v>
      </c>
    </row>
    <row r="226" spans="1:9" ht="15" customHeight="1">
      <c r="A226" t="str">
        <f t="shared" si="3"/>
        <v xml:space="preserve"> </v>
      </c>
      <c r="G226" t="e">
        <f>MATCH(C226&amp;" " &amp;D226,SeedOrder[Id],0)</f>
        <v>#N/A</v>
      </c>
      <c r="I226" s="32" t="e">
        <f>MATCH(SeedOrder[[#This Row],[Id]],$A$6:$A$264,)</f>
        <v>#VALUE!</v>
      </c>
    </row>
    <row r="227" spans="1:9" ht="15" customHeight="1">
      <c r="A227" t="str">
        <f t="shared" si="3"/>
        <v xml:space="preserve"> </v>
      </c>
      <c r="G227" t="e">
        <f>MATCH(C227&amp;" " &amp;D227,SeedOrder[Id],0)</f>
        <v>#N/A</v>
      </c>
      <c r="I227" s="32" t="e">
        <f>MATCH(SeedOrder[[#This Row],[Id]],$A$6:$A$264,)</f>
        <v>#VALUE!</v>
      </c>
    </row>
    <row r="228" spans="1:9" ht="15" customHeight="1">
      <c r="A228" t="str">
        <f t="shared" si="3"/>
        <v xml:space="preserve"> </v>
      </c>
      <c r="G228" t="e">
        <f>MATCH(C228&amp;" " &amp;D228,SeedOrder[Id],0)</f>
        <v>#N/A</v>
      </c>
      <c r="I228" s="32" t="e">
        <f>MATCH(SeedOrder[[#This Row],[Id]],$A$6:$A$264,)</f>
        <v>#VALUE!</v>
      </c>
    </row>
    <row r="229" spans="1:9" ht="15" customHeight="1">
      <c r="A229" t="str">
        <f t="shared" si="3"/>
        <v xml:space="preserve"> </v>
      </c>
      <c r="G229" t="e">
        <f>MATCH(C229&amp;" " &amp;D229,SeedOrder[Id],0)</f>
        <v>#N/A</v>
      </c>
      <c r="I229" s="32" t="e">
        <f>MATCH(SeedOrder[[#This Row],[Id]],$A$6:$A$264,)</f>
        <v>#VALUE!</v>
      </c>
    </row>
    <row r="230" spans="1:9" ht="15" customHeight="1">
      <c r="A230" t="str">
        <f t="shared" si="3"/>
        <v xml:space="preserve"> </v>
      </c>
      <c r="G230" t="e">
        <f>MATCH(C230&amp;" " &amp;D230,SeedOrder[Id],0)</f>
        <v>#N/A</v>
      </c>
      <c r="I230" s="32" t="e">
        <f>MATCH(SeedOrder[[#This Row],[Id]],$A$6:$A$264,)</f>
        <v>#VALUE!</v>
      </c>
    </row>
    <row r="231" spans="1:9" ht="15" customHeight="1">
      <c r="A231" t="str">
        <f t="shared" si="3"/>
        <v xml:space="preserve"> </v>
      </c>
      <c r="G231" t="e">
        <f>MATCH(C231&amp;" " &amp;D231,SeedOrder[Id],0)</f>
        <v>#N/A</v>
      </c>
      <c r="I231" s="32" t="e">
        <f>MATCH(SeedOrder[[#This Row],[Id]],$A$6:$A$264,)</f>
        <v>#VALUE!</v>
      </c>
    </row>
    <row r="232" spans="1:9" ht="15" customHeight="1">
      <c r="A232" t="str">
        <f t="shared" si="3"/>
        <v xml:space="preserve"> </v>
      </c>
      <c r="G232" t="e">
        <f>MATCH(C232&amp;" " &amp;D232,SeedOrder[Id],0)</f>
        <v>#N/A</v>
      </c>
      <c r="I232" s="32" t="e">
        <f>MATCH(SeedOrder[[#This Row],[Id]],$A$6:$A$264,)</f>
        <v>#VALUE!</v>
      </c>
    </row>
    <row r="233" spans="1:9" ht="15" customHeight="1">
      <c r="A233" t="str">
        <f t="shared" si="3"/>
        <v xml:space="preserve"> </v>
      </c>
      <c r="G233" t="e">
        <f>MATCH(C233&amp;" " &amp;D233,SeedOrder[Id],0)</f>
        <v>#N/A</v>
      </c>
      <c r="I233" s="32" t="e">
        <f>MATCH(SeedOrder[[#This Row],[Id]],$A$6:$A$264,)</f>
        <v>#VALUE!</v>
      </c>
    </row>
    <row r="234" spans="1:9" ht="15" customHeight="1">
      <c r="A234" t="str">
        <f t="shared" si="3"/>
        <v xml:space="preserve"> </v>
      </c>
      <c r="G234" t="e">
        <f>MATCH(C234&amp;" " &amp;D234,SeedOrder[Id],0)</f>
        <v>#N/A</v>
      </c>
      <c r="I234" s="32" t="e">
        <f>MATCH(SeedOrder[[#This Row],[Id]],$A$6:$A$264,)</f>
        <v>#VALUE!</v>
      </c>
    </row>
    <row r="235" spans="1:9" ht="15" customHeight="1">
      <c r="A235" t="str">
        <f t="shared" si="3"/>
        <v xml:space="preserve"> </v>
      </c>
      <c r="G235" t="e">
        <f>MATCH(C235&amp;" " &amp;D235,SeedOrder[Id],0)</f>
        <v>#N/A</v>
      </c>
      <c r="I235" s="32" t="e">
        <f>MATCH(SeedOrder[[#This Row],[Id]],$A$6:$A$264,)</f>
        <v>#VALUE!</v>
      </c>
    </row>
    <row r="236" spans="1:9" ht="15" customHeight="1">
      <c r="A236" t="str">
        <f t="shared" si="3"/>
        <v xml:space="preserve"> </v>
      </c>
      <c r="G236" t="e">
        <f>MATCH(C236&amp;" " &amp;D236,SeedOrder[Id],0)</f>
        <v>#N/A</v>
      </c>
      <c r="I236" s="32" t="e">
        <f>MATCH(SeedOrder[[#This Row],[Id]],$A$6:$A$264,)</f>
        <v>#VALUE!</v>
      </c>
    </row>
    <row r="237" spans="1:9" ht="15" customHeight="1">
      <c r="A237" t="str">
        <f t="shared" si="3"/>
        <v xml:space="preserve"> </v>
      </c>
      <c r="G237" t="e">
        <f>MATCH(C237&amp;" " &amp;D237,SeedOrder[Id],0)</f>
        <v>#N/A</v>
      </c>
      <c r="I237" s="32" t="e">
        <f>MATCH(SeedOrder[[#This Row],[Id]],$A$6:$A$264,)</f>
        <v>#VALUE!</v>
      </c>
    </row>
    <row r="238" spans="1:9" ht="15" customHeight="1">
      <c r="A238" t="str">
        <f t="shared" si="3"/>
        <v xml:space="preserve"> </v>
      </c>
      <c r="G238" t="e">
        <f>MATCH(C238&amp;" " &amp;D238,SeedOrder[Id],0)</f>
        <v>#N/A</v>
      </c>
      <c r="I238" s="32" t="e">
        <f>MATCH(SeedOrder[[#This Row],[Id]],$A$6:$A$264,)</f>
        <v>#VALUE!</v>
      </c>
    </row>
    <row r="239" spans="1:9" ht="15" customHeight="1">
      <c r="A239" t="str">
        <f t="shared" si="3"/>
        <v xml:space="preserve"> </v>
      </c>
      <c r="G239" t="e">
        <f>MATCH(C239&amp;" " &amp;D239,SeedOrder[Id],0)</f>
        <v>#N/A</v>
      </c>
      <c r="I239" s="32" t="e">
        <f>MATCH(SeedOrder[[#This Row],[Id]],$A$6:$A$264,)</f>
        <v>#VALUE!</v>
      </c>
    </row>
    <row r="240" spans="1:9" ht="15" customHeight="1">
      <c r="A240" t="str">
        <f t="shared" si="3"/>
        <v xml:space="preserve"> </v>
      </c>
      <c r="G240" t="e">
        <f>MATCH(C240&amp;" " &amp;D240,SeedOrder[Id],0)</f>
        <v>#N/A</v>
      </c>
      <c r="I240" s="32" t="e">
        <f>MATCH(SeedOrder[[#This Row],[Id]],$A$6:$A$264,)</f>
        <v>#VALUE!</v>
      </c>
    </row>
    <row r="241" spans="1:9" ht="15" customHeight="1">
      <c r="A241" t="str">
        <f t="shared" si="3"/>
        <v xml:space="preserve"> </v>
      </c>
      <c r="G241" t="e">
        <f>MATCH(C241&amp;" " &amp;D241,SeedOrder[Id],0)</f>
        <v>#N/A</v>
      </c>
      <c r="I241" s="32" t="e">
        <f>MATCH(SeedOrder[[#This Row],[Id]],$A$6:$A$264,)</f>
        <v>#VALUE!</v>
      </c>
    </row>
    <row r="242" spans="1:9" ht="15" customHeight="1">
      <c r="A242" t="str">
        <f t="shared" si="3"/>
        <v xml:space="preserve"> </v>
      </c>
      <c r="G242" t="e">
        <f>MATCH(C242&amp;" " &amp;D242,SeedOrder[Id],0)</f>
        <v>#N/A</v>
      </c>
      <c r="I242" s="32" t="e">
        <f>MATCH(SeedOrder[[#This Row],[Id]],$A$6:$A$264,)</f>
        <v>#VALUE!</v>
      </c>
    </row>
    <row r="243" spans="1:9" ht="15" customHeight="1">
      <c r="A243" t="str">
        <f t="shared" si="3"/>
        <v xml:space="preserve"> </v>
      </c>
      <c r="G243" t="e">
        <f>MATCH(C243&amp;" " &amp;D243,SeedOrder[Id],0)</f>
        <v>#N/A</v>
      </c>
      <c r="I243" s="32" t="e">
        <f>MATCH(SeedOrder[[#This Row],[Id]],$A$6:$A$264,)</f>
        <v>#VALUE!</v>
      </c>
    </row>
    <row r="244" spans="1:9" ht="15" customHeight="1">
      <c r="A244" t="str">
        <f t="shared" si="3"/>
        <v xml:space="preserve"> </v>
      </c>
      <c r="G244" t="e">
        <f>MATCH(C244&amp;" " &amp;D244,SeedOrder[Id],0)</f>
        <v>#N/A</v>
      </c>
      <c r="I244" s="32" t="e">
        <f>MATCH(SeedOrder[[#This Row],[Id]],$A$6:$A$264,)</f>
        <v>#VALUE!</v>
      </c>
    </row>
    <row r="245" spans="1:9" ht="15" customHeight="1">
      <c r="A245" t="str">
        <f t="shared" si="3"/>
        <v xml:space="preserve"> </v>
      </c>
      <c r="G245" t="e">
        <f>MATCH(C245&amp;" " &amp;D245,SeedOrder[Id],0)</f>
        <v>#N/A</v>
      </c>
      <c r="I245" s="32" t="e">
        <f>MATCH(SeedOrder[[#This Row],[Id]],$A$6:$A$264,)</f>
        <v>#VALUE!</v>
      </c>
    </row>
    <row r="246" spans="1:9" ht="15" customHeight="1">
      <c r="A246" t="str">
        <f t="shared" si="3"/>
        <v xml:space="preserve"> </v>
      </c>
      <c r="G246" t="e">
        <f>MATCH(C246&amp;" " &amp;D246,SeedOrder[Id],0)</f>
        <v>#N/A</v>
      </c>
      <c r="I246" s="32" t="e">
        <f>MATCH(SeedOrder[[#This Row],[Id]],$A$6:$A$264,)</f>
        <v>#VALUE!</v>
      </c>
    </row>
    <row r="247" spans="1:9" ht="15" customHeight="1">
      <c r="A247" t="str">
        <f t="shared" si="3"/>
        <v xml:space="preserve"> </v>
      </c>
      <c r="G247" t="e">
        <f>MATCH(C247&amp;" " &amp;D247,SeedOrder[Id],0)</f>
        <v>#N/A</v>
      </c>
      <c r="I247" s="32" t="e">
        <f>MATCH(SeedOrder[[#This Row],[Id]],$A$6:$A$264,)</f>
        <v>#VALUE!</v>
      </c>
    </row>
    <row r="248" spans="1:9" ht="15" customHeight="1">
      <c r="A248" t="str">
        <f t="shared" si="3"/>
        <v xml:space="preserve"> </v>
      </c>
      <c r="G248" t="e">
        <f>MATCH(C248&amp;" " &amp;D248,SeedOrder[Id],0)</f>
        <v>#N/A</v>
      </c>
      <c r="I248" s="32" t="e">
        <f>MATCH(SeedOrder[[#This Row],[Id]],$A$6:$A$264,)</f>
        <v>#VALUE!</v>
      </c>
    </row>
    <row r="249" spans="1:9" ht="15" customHeight="1">
      <c r="A249" t="str">
        <f t="shared" si="3"/>
        <v xml:space="preserve"> </v>
      </c>
      <c r="G249" t="e">
        <f>MATCH(C249&amp;" " &amp;D249,SeedOrder[Id],0)</f>
        <v>#N/A</v>
      </c>
      <c r="I249" s="32" t="e">
        <f>MATCH(SeedOrder[[#This Row],[Id]],$A$6:$A$264,)</f>
        <v>#VALUE!</v>
      </c>
    </row>
    <row r="250" spans="1:9" ht="15" customHeight="1">
      <c r="A250" t="str">
        <f t="shared" si="3"/>
        <v xml:space="preserve"> </v>
      </c>
      <c r="G250" t="e">
        <f>MATCH(C250&amp;" " &amp;D250,SeedOrder[Id],0)</f>
        <v>#N/A</v>
      </c>
      <c r="I250" s="32" t="e">
        <f>MATCH(SeedOrder[[#This Row],[Id]],$A$6:$A$264,)</f>
        <v>#VALUE!</v>
      </c>
    </row>
    <row r="251" spans="1:9" ht="15" customHeight="1">
      <c r="A251" t="str">
        <f t="shared" si="3"/>
        <v xml:space="preserve"> </v>
      </c>
      <c r="G251" t="e">
        <f>MATCH(C251&amp;" " &amp;D251,SeedOrder[Id],0)</f>
        <v>#N/A</v>
      </c>
      <c r="I251" s="32" t="e">
        <f>MATCH(SeedOrder[[#This Row],[Id]],$A$6:$A$264,)</f>
        <v>#VALUE!</v>
      </c>
    </row>
    <row r="252" spans="1:9" ht="15" customHeight="1">
      <c r="A252" t="str">
        <f t="shared" si="3"/>
        <v xml:space="preserve"> </v>
      </c>
      <c r="G252" t="e">
        <f>MATCH(C252&amp;" " &amp;D252,SeedOrder[Id],0)</f>
        <v>#N/A</v>
      </c>
      <c r="I252" s="32" t="e">
        <f>MATCH(SeedOrder[[#This Row],[Id]],$A$6:$A$264,)</f>
        <v>#VALUE!</v>
      </c>
    </row>
    <row r="253" spans="1:9" ht="15" customHeight="1">
      <c r="A253" t="str">
        <f t="shared" si="3"/>
        <v xml:space="preserve"> </v>
      </c>
      <c r="G253" t="e">
        <f>MATCH(C253&amp;" " &amp;D253,SeedOrder[Id],0)</f>
        <v>#N/A</v>
      </c>
      <c r="I253" s="32" t="e">
        <f>MATCH(SeedOrder[[#This Row],[Id]],$A$6:$A$264,)</f>
        <v>#VALUE!</v>
      </c>
    </row>
    <row r="254" spans="1:9" ht="15" customHeight="1">
      <c r="A254" t="str">
        <f t="shared" si="3"/>
        <v xml:space="preserve"> </v>
      </c>
      <c r="G254" t="e">
        <f>MATCH(C254&amp;" " &amp;D254,SeedOrder[Id],0)</f>
        <v>#N/A</v>
      </c>
      <c r="I254" s="32" t="e">
        <f>MATCH(SeedOrder[[#This Row],[Id]],$A$6:$A$264,)</f>
        <v>#VALUE!</v>
      </c>
    </row>
    <row r="255" spans="1:9" ht="15" customHeight="1">
      <c r="A255" t="str">
        <f t="shared" si="3"/>
        <v xml:space="preserve"> </v>
      </c>
      <c r="G255" t="e">
        <f>MATCH(C255&amp;" " &amp;D255,SeedOrder[Id],0)</f>
        <v>#N/A</v>
      </c>
      <c r="I255" s="32" t="e">
        <f>MATCH(SeedOrder[[#This Row],[Id]],$A$6:$A$264,)</f>
        <v>#VALUE!</v>
      </c>
    </row>
    <row r="256" spans="1:9" ht="15" customHeight="1">
      <c r="A256" t="str">
        <f t="shared" si="3"/>
        <v xml:space="preserve"> </v>
      </c>
      <c r="G256" t="e">
        <f>MATCH(C256&amp;" " &amp;D256,SeedOrder[Id],0)</f>
        <v>#N/A</v>
      </c>
      <c r="I256" s="32" t="e">
        <f>MATCH(SeedOrder[[#This Row],[Id]],$A$6:$A$264,)</f>
        <v>#VALUE!</v>
      </c>
    </row>
    <row r="257" spans="1:7" ht="15" customHeight="1">
      <c r="A257" t="str">
        <f t="shared" si="3"/>
        <v xml:space="preserve"> </v>
      </c>
      <c r="G257" t="e">
        <f>MATCH(C257&amp;" " &amp;D257,SeedOrder[Id],0)</f>
        <v>#N/A</v>
      </c>
    </row>
    <row r="258" spans="1:7" ht="15" customHeight="1">
      <c r="A258" t="str">
        <f t="shared" si="3"/>
        <v xml:space="preserve"> </v>
      </c>
      <c r="G258" t="e">
        <f>MATCH(C258&amp;" " &amp;D258,SeedOrder[Id],0)</f>
        <v>#N/A</v>
      </c>
    </row>
    <row r="259" spans="1:7" ht="15" customHeight="1">
      <c r="A259" t="str">
        <f t="shared" si="3"/>
        <v xml:space="preserve"> </v>
      </c>
      <c r="G259" t="e">
        <f>MATCH(C259&amp;" " &amp;D259,SeedOrder[Id],0)</f>
        <v>#N/A</v>
      </c>
    </row>
    <row r="260" spans="1:7" ht="15" customHeight="1">
      <c r="A260" t="str">
        <f t="shared" si="3"/>
        <v xml:space="preserve"> </v>
      </c>
      <c r="G260" t="e">
        <f>MATCH(C260&amp;" " &amp;D260,SeedOrder[Id],0)</f>
        <v>#N/A</v>
      </c>
    </row>
    <row r="261" spans="1:7" ht="15" customHeight="1">
      <c r="A261" t="str">
        <f>C261&amp; " "  &amp; D261</f>
        <v xml:space="preserve"> </v>
      </c>
      <c r="G261" t="e">
        <f>MATCH(C261&amp;" " &amp;D261,SeedOrder[Id],0)</f>
        <v>#N/A</v>
      </c>
    </row>
    <row r="262" spans="1:7" ht="15" customHeight="1">
      <c r="A262" t="str">
        <f>C262&amp; " "  &amp; D262</f>
        <v xml:space="preserve"> </v>
      </c>
      <c r="G262" t="e">
        <f>MATCH(C262&amp;" " &amp;D262,SeedOrder[Id],0)</f>
        <v>#N/A</v>
      </c>
    </row>
    <row r="263" spans="1:7" ht="15" customHeight="1">
      <c r="A263" t="str">
        <f>C263&amp; " "  &amp; D263</f>
        <v xml:space="preserve"> </v>
      </c>
      <c r="G263" t="e">
        <f>MATCH(C263&amp;" " &amp;D263,SeedOrder[Id],0)</f>
        <v>#N/A</v>
      </c>
    </row>
    <row r="264" spans="1:7" ht="15" customHeight="1">
      <c r="A264" t="str">
        <f>C264&amp; " "  &amp; D264</f>
        <v xml:space="preserve"> </v>
      </c>
      <c r="G264" t="e">
        <f>MATCH(C264&amp;" " &amp;D264,SeedOrder[Id],0)</f>
        <v>#N/A</v>
      </c>
    </row>
    <row r="265" spans="1:7" ht="15" customHeight="1">
      <c r="A265" t="str">
        <f>C265&amp; " "  &amp; D265</f>
        <v xml:space="preserve"> </v>
      </c>
    </row>
  </sheetData>
  <conditionalFormatting sqref="AC6:AC62">
    <cfRule type="colorScale" priority="1">
      <colorScale>
        <cfvo type="num" val="0"/>
        <cfvo type="num" val="1"/>
        <cfvo type="num" val="2"/>
        <color theme="7" tint="0.59999389629810485"/>
        <color theme="9"/>
        <color theme="7" tint="-0.499984740745262"/>
      </colorScale>
    </cfRule>
  </conditionalFormatting>
  <pageMargins left="0.7" right="0.7" top="0.75" bottom="0.75" header="0.3" footer="0.3"/>
  <pageSetup scale="20" fitToHeight="0" orientation="portrait" horizontalDpi="360" verticalDpi="360"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D6053-3D5A-4476-99EB-8F46F4CE1681}">
  <sheetPr codeName="Sheet5">
    <pageSetUpPr fitToPage="1"/>
  </sheetPr>
  <dimension ref="B1:K403"/>
  <sheetViews>
    <sheetView workbookViewId="0"/>
  </sheetViews>
  <sheetFormatPr baseColWidth="10" defaultColWidth="8.83203125" defaultRowHeight="15" customHeight="1"/>
  <cols>
    <col min="2" max="2" width="10.1640625" bestFit="1" customWidth="1"/>
    <col min="3" max="3" width="26.1640625" bestFit="1" customWidth="1"/>
    <col min="4" max="4" width="19.1640625" bestFit="1" customWidth="1"/>
    <col min="5" max="5" width="34" bestFit="1" customWidth="1"/>
    <col min="6" max="6" width="25.33203125" bestFit="1" customWidth="1"/>
    <col min="7" max="7" width="42.1640625" bestFit="1" customWidth="1"/>
    <col min="8" max="8" width="60.6640625" bestFit="1" customWidth="1"/>
    <col min="9" max="9" width="19.83203125" bestFit="1" customWidth="1"/>
    <col min="10" max="10" width="26.1640625" bestFit="1" customWidth="1"/>
    <col min="11" max="11" width="14.33203125" bestFit="1" customWidth="1"/>
  </cols>
  <sheetData>
    <row r="1" spans="2:11" ht="15" customHeight="1">
      <c r="B1" t="s">
        <v>708</v>
      </c>
      <c r="C1" t="s">
        <v>243</v>
      </c>
      <c r="D1" t="s">
        <v>4</v>
      </c>
      <c r="E1" t="s">
        <v>6</v>
      </c>
      <c r="F1" t="s">
        <v>244</v>
      </c>
      <c r="G1" t="s">
        <v>1374</v>
      </c>
      <c r="H1" t="s">
        <v>1345</v>
      </c>
    </row>
    <row r="2" spans="2:11" ht="15" customHeight="1">
      <c r="B2" s="43">
        <f>1/COUNTIF(SeedMixes[Name],"="&amp;SeedMixes[[#This Row],[Name]])</f>
        <v>0.2</v>
      </c>
      <c r="C2" t="s">
        <v>589</v>
      </c>
      <c r="D2" t="s">
        <v>41</v>
      </c>
      <c r="E2" t="s">
        <v>1806</v>
      </c>
      <c r="F2" t="s">
        <v>484</v>
      </c>
      <c r="G2" t="str">
        <f>SeedMixes[[#This Row],[Variety]]&amp;" "&amp;SeedMixes[[#This Row],[Company]]</f>
        <v>Callaloo Uprising</v>
      </c>
      <c r="H2" t="str">
        <f>_xlfn.TEXTJOIN(CHAR(10),FALSE, SeedMixes[[#This Row],[Crop]],SeedMixes[[#This Row],[Variety]],SeedMixes[[#This Row],[Company]])</f>
        <v>Amaranth
Callaloo
Uprising</v>
      </c>
      <c r="J2" s="42" t="s">
        <v>1351</v>
      </c>
      <c r="K2" t="s">
        <v>2282</v>
      </c>
    </row>
    <row r="3" spans="2:11" ht="15" customHeight="1">
      <c r="B3" s="43">
        <f>1/COUNTIF(SeedMixes[Name],"="&amp;SeedMixes[[#This Row],[Name]])</f>
        <v>0.2</v>
      </c>
      <c r="C3" t="s">
        <v>589</v>
      </c>
      <c r="D3" t="s">
        <v>41</v>
      </c>
      <c r="E3" t="s">
        <v>707</v>
      </c>
      <c r="F3" t="s">
        <v>490</v>
      </c>
      <c r="G3" t="str">
        <f>SeedMixes[[#This Row],[Variety]]&amp;" "&amp;SeedMixes[[#This Row],[Company]]</f>
        <v>Emerald Tassels Johnny's</v>
      </c>
      <c r="H3" t="str">
        <f>_xlfn.TEXTJOIN(CHAR(10),FALSE, SeedMixes[[#This Row],[Crop]],SeedMixes[[#This Row],[Variety]],SeedMixes[[#This Row],[Company]])</f>
        <v>Amaranth
Emerald Tassels
Johnny's</v>
      </c>
      <c r="J3" s="53" t="s">
        <v>571</v>
      </c>
      <c r="K3">
        <v>1</v>
      </c>
    </row>
    <row r="4" spans="2:11" ht="15" customHeight="1">
      <c r="B4" s="43">
        <f>1/COUNTIF(SeedMixes[Name],"="&amp;SeedMixes[[#This Row],[Name]])</f>
        <v>0.2</v>
      </c>
      <c r="C4" t="s">
        <v>589</v>
      </c>
      <c r="D4" t="s">
        <v>41</v>
      </c>
      <c r="E4" t="s">
        <v>706</v>
      </c>
      <c r="F4" t="s">
        <v>484</v>
      </c>
      <c r="G4" t="str">
        <f>SeedMixes[[#This Row],[Variety]]&amp;" "&amp;SeedMixes[[#This Row],[Company]]</f>
        <v>Love Lies Bleeding Uprising</v>
      </c>
      <c r="H4" t="str">
        <f>_xlfn.TEXTJOIN(CHAR(10),FALSE, SeedMixes[[#This Row],[Crop]],SeedMixes[[#This Row],[Variety]],SeedMixes[[#This Row],[Company]])</f>
        <v>Amaranth
Love Lies Bleeding
Uprising</v>
      </c>
      <c r="J4" s="53" t="s">
        <v>570</v>
      </c>
      <c r="K4">
        <v>1</v>
      </c>
    </row>
    <row r="5" spans="2:11" ht="15" customHeight="1">
      <c r="B5" s="43">
        <f>1/COUNTIF(SeedMixes[Name],"="&amp;SeedMixes[[#This Row],[Name]])</f>
        <v>0.2</v>
      </c>
      <c r="C5" t="s">
        <v>589</v>
      </c>
      <c r="D5" t="s">
        <v>41</v>
      </c>
      <c r="E5" t="s">
        <v>705</v>
      </c>
      <c r="F5" t="s">
        <v>484</v>
      </c>
      <c r="G5" t="str">
        <f>SeedMixes[[#This Row],[Variety]]&amp;" "&amp;SeedMixes[[#This Row],[Company]]</f>
        <v>Opopeo Uprising</v>
      </c>
      <c r="H5" t="str">
        <f>_xlfn.TEXTJOIN(CHAR(10),FALSE, SeedMixes[[#This Row],[Crop]],SeedMixes[[#This Row],[Variety]],SeedMixes[[#This Row],[Company]])</f>
        <v>Amaranth
Opopeo
Uprising</v>
      </c>
      <c r="J5" s="53" t="s">
        <v>1948</v>
      </c>
      <c r="K5">
        <v>1</v>
      </c>
    </row>
    <row r="6" spans="2:11" ht="15" customHeight="1">
      <c r="B6" s="43">
        <f>1/COUNTIF(SeedMixes[Name],"="&amp;SeedMixes[[#This Row],[Name]])</f>
        <v>0.2</v>
      </c>
      <c r="C6" t="s">
        <v>589</v>
      </c>
      <c r="D6" t="s">
        <v>41</v>
      </c>
      <c r="E6" t="s">
        <v>1945</v>
      </c>
      <c r="F6" t="s">
        <v>490</v>
      </c>
      <c r="G6" t="str">
        <f>SeedMixes[[#This Row],[Variety]]&amp;" "&amp;SeedMixes[[#This Row],[Company]]</f>
        <v>Red Spike Johnny's</v>
      </c>
      <c r="H6" t="str">
        <f>_xlfn.TEXTJOIN(CHAR(10),FALSE, SeedMixes[[#This Row],[Crop]],SeedMixes[[#This Row],[Variety]],SeedMixes[[#This Row],[Company]])</f>
        <v>Amaranth
Red Spike
Johnny's</v>
      </c>
      <c r="J6" s="53" t="s">
        <v>589</v>
      </c>
      <c r="K6">
        <v>1</v>
      </c>
    </row>
    <row r="7" spans="2:11" ht="15" customHeight="1">
      <c r="B7" s="43">
        <f>1/COUNTIF(SeedMixes[Name],"="&amp;SeedMixes[[#This Row],[Name]])</f>
        <v>0.5</v>
      </c>
      <c r="C7" t="s">
        <v>2850</v>
      </c>
      <c r="D7" t="s">
        <v>1651</v>
      </c>
      <c r="E7" t="s">
        <v>2851</v>
      </c>
      <c r="F7" t="s">
        <v>490</v>
      </c>
      <c r="G7" t="str">
        <f>SeedMixes[[#This Row],[Variety]]&amp;" "&amp;SeedMixes[[#This Row],[Company]]</f>
        <v>Esmee Johnny's</v>
      </c>
      <c r="H7" t="str">
        <f>_xlfn.TEXTJOIN(CHAR(10),FALSE, SeedMixes[[#This Row],[Crop]],SeedMixes[[#This Row],[Variety]],SeedMixes[[#This Row],[Company]])</f>
        <v>Arugala
Esmee
Johnny's</v>
      </c>
      <c r="J7" s="53" t="s">
        <v>1805</v>
      </c>
      <c r="K7">
        <v>1</v>
      </c>
    </row>
    <row r="8" spans="2:11" ht="15" customHeight="1">
      <c r="B8" s="43">
        <f>1/COUNTIF(SeedMixes[Name],"="&amp;SeedMixes[[#This Row],[Name]])</f>
        <v>0.5</v>
      </c>
      <c r="C8" t="s">
        <v>2850</v>
      </c>
      <c r="D8" t="s">
        <v>1651</v>
      </c>
      <c r="E8" t="s">
        <v>481</v>
      </c>
      <c r="F8" t="s">
        <v>482</v>
      </c>
      <c r="G8" t="str">
        <f>SeedMixes[[#This Row],[Variety]]&amp;" "&amp;SeedMixes[[#This Row],[Company]]</f>
        <v>Astro High Mowing</v>
      </c>
      <c r="H8" t="str">
        <f>_xlfn.TEXTJOIN(CHAR(10),FALSE, SeedMixes[[#This Row],[Crop]],SeedMixes[[#This Row],[Variety]],SeedMixes[[#This Row],[Company]])</f>
        <v>Arugala
Astro
High Mowing</v>
      </c>
      <c r="J8" s="53" t="s">
        <v>1953</v>
      </c>
      <c r="K8">
        <v>1</v>
      </c>
    </row>
    <row r="9" spans="2:11" ht="15" customHeight="1">
      <c r="B9" s="43">
        <f>1/COUNTIF(SeedMixes[Name],"="&amp;SeedMixes[[#This Row],[Name]])</f>
        <v>0.5</v>
      </c>
      <c r="C9" t="s">
        <v>1953</v>
      </c>
      <c r="D9" t="s">
        <v>1785</v>
      </c>
      <c r="E9" t="s">
        <v>1954</v>
      </c>
      <c r="F9" t="s">
        <v>490</v>
      </c>
      <c r="G9" t="str">
        <f>SeedMixes[[#This Row],[Variety]]&amp;" "&amp;SeedMixes[[#This Row],[Company]]</f>
        <v>Copper Plume Johnny's</v>
      </c>
      <c r="H9" t="str">
        <f>_xlfn.TEXTJOIN(CHAR(10),FALSE, SeedMixes[[#This Row],[Crop]],SeedMixes[[#This Row],[Variety]],SeedMixes[[#This Row],[Company]])</f>
        <v>Atriplex
Copper Plume
Johnny's</v>
      </c>
      <c r="J9" s="53" t="s">
        <v>493</v>
      </c>
      <c r="K9">
        <v>0.99999999999999989</v>
      </c>
    </row>
    <row r="10" spans="2:11" ht="15" customHeight="1">
      <c r="B10" s="43">
        <f>1/COUNTIF(SeedMixes[Name],"="&amp;SeedMixes[[#This Row],[Name]])</f>
        <v>0.5</v>
      </c>
      <c r="C10" t="s">
        <v>1953</v>
      </c>
      <c r="D10" t="s">
        <v>1785</v>
      </c>
      <c r="E10" t="s">
        <v>1955</v>
      </c>
      <c r="F10" t="s">
        <v>488</v>
      </c>
      <c r="G10" t="str">
        <f>SeedMixes[[#This Row],[Variety]]&amp;" "&amp;SeedMixes[[#This Row],[Company]]</f>
        <v>Orach, Red Flash Adaptive</v>
      </c>
      <c r="H10" t="str">
        <f>_xlfn.TEXTJOIN(CHAR(10),FALSE, SeedMixes[[#This Row],[Crop]],SeedMixes[[#This Row],[Variety]],SeedMixes[[#This Row],[Company]])</f>
        <v>Atriplex
Orach, Red Flash
Adaptive</v>
      </c>
      <c r="J10" s="53" t="s">
        <v>709</v>
      </c>
      <c r="K10">
        <v>1</v>
      </c>
    </row>
    <row r="11" spans="2:11" ht="15" customHeight="1">
      <c r="B11" s="43">
        <f>1/COUNTIF(SeedMixes[Name],"="&amp;SeedMixes[[#This Row],[Name]])</f>
        <v>0.16666666666666666</v>
      </c>
      <c r="C11" t="s">
        <v>493</v>
      </c>
      <c r="D11" t="s">
        <v>65</v>
      </c>
      <c r="E11" t="s">
        <v>594</v>
      </c>
      <c r="F11" t="s">
        <v>490</v>
      </c>
      <c r="G11" t="str">
        <f>SeedMixes[[#This Row],[Variety]]&amp;" "&amp;SeedMixes[[#This Row],[Company]]</f>
        <v>Black Button Johnny's</v>
      </c>
      <c r="H11" t="str">
        <f>_xlfn.TEXTJOIN(CHAR(10),FALSE, SeedMixes[[#This Row],[Crop]],SeedMixes[[#This Row],[Variety]],SeedMixes[[#This Row],[Company]])</f>
        <v>Bachellor's Button
Black Button
Johnny's</v>
      </c>
      <c r="J11" s="53" t="s">
        <v>494</v>
      </c>
      <c r="K11">
        <v>1</v>
      </c>
    </row>
    <row r="12" spans="2:11" ht="15" customHeight="1">
      <c r="B12" s="43">
        <f>1/COUNTIF(SeedMixes[Name],"="&amp;SeedMixes[[#This Row],[Name]])</f>
        <v>0.16666666666666666</v>
      </c>
      <c r="C12" t="s">
        <v>493</v>
      </c>
      <c r="D12" t="s">
        <v>65</v>
      </c>
      <c r="E12" t="s">
        <v>1870</v>
      </c>
      <c r="F12" t="s">
        <v>484</v>
      </c>
      <c r="G12" t="str">
        <f>SeedMixes[[#This Row],[Variety]]&amp;" "&amp;SeedMixes[[#This Row],[Company]]</f>
        <v>Blanca Uprising</v>
      </c>
      <c r="H12" t="str">
        <f>_xlfn.TEXTJOIN(CHAR(10),FALSE, SeedMixes[[#This Row],[Crop]],SeedMixes[[#This Row],[Variety]],SeedMixes[[#This Row],[Company]])</f>
        <v>Bachellor's Button
Blanca
Uprising</v>
      </c>
      <c r="J12" s="53" t="s">
        <v>1956</v>
      </c>
      <c r="K12">
        <v>1</v>
      </c>
    </row>
    <row r="13" spans="2:11" ht="15" customHeight="1">
      <c r="B13" s="43">
        <f>1/COUNTIF(SeedMixes[Name],"="&amp;SeedMixes[[#This Row],[Name]])</f>
        <v>0.16666666666666666</v>
      </c>
      <c r="C13" t="s">
        <v>493</v>
      </c>
      <c r="D13" t="s">
        <v>65</v>
      </c>
      <c r="E13" t="s">
        <v>595</v>
      </c>
      <c r="F13" t="s">
        <v>490</v>
      </c>
      <c r="G13" t="str">
        <f>SeedMixes[[#This Row],[Variety]]&amp;" "&amp;SeedMixes[[#This Row],[Company]]</f>
        <v>Classic Magic (purple, black) Johnny's</v>
      </c>
      <c r="H13" t="str">
        <f>_xlfn.TEXTJOIN(CHAR(10),FALSE, SeedMixes[[#This Row],[Crop]],SeedMixes[[#This Row],[Variety]],SeedMixes[[#This Row],[Company]])</f>
        <v>Bachellor's Button
Classic Magic (purple, black)
Johnny's</v>
      </c>
      <c r="J13" s="53" t="s">
        <v>1958</v>
      </c>
      <c r="K13">
        <v>1</v>
      </c>
    </row>
    <row r="14" spans="2:11" ht="15" customHeight="1">
      <c r="B14" s="43">
        <f>1/COUNTIF(SeedMixes[Name],"="&amp;SeedMixes[[#This Row],[Name]])</f>
        <v>0.16666666666666666</v>
      </c>
      <c r="C14" t="s">
        <v>493</v>
      </c>
      <c r="D14" t="s">
        <v>65</v>
      </c>
      <c r="E14" t="s">
        <v>593</v>
      </c>
      <c r="F14" t="s">
        <v>490</v>
      </c>
      <c r="G14" t="str">
        <f>SeedMixes[[#This Row],[Variety]]&amp;" "&amp;SeedMixes[[#This Row],[Company]]</f>
        <v>Classic Romantic (reds, pinks, white) Johnny's</v>
      </c>
      <c r="H14" t="str">
        <f>_xlfn.TEXTJOIN(CHAR(10),FALSE, SeedMixes[[#This Row],[Crop]],SeedMixes[[#This Row],[Variety]],SeedMixes[[#This Row],[Company]])</f>
        <v>Bachellor's Button
Classic Romantic (reds, pinks, white)
Johnny's</v>
      </c>
      <c r="J14" s="53" t="s">
        <v>1961</v>
      </c>
      <c r="K14">
        <v>1</v>
      </c>
    </row>
    <row r="15" spans="2:11" ht="15" customHeight="1">
      <c r="B15" s="43">
        <f>1/COUNTIF(SeedMixes[Name],"="&amp;SeedMixes[[#This Row],[Name]])</f>
        <v>0.16666666666666666</v>
      </c>
      <c r="C15" t="s">
        <v>493</v>
      </c>
      <c r="D15" t="s">
        <v>65</v>
      </c>
      <c r="E15" t="s">
        <v>591</v>
      </c>
      <c r="F15" t="s">
        <v>482</v>
      </c>
      <c r="G15" t="str">
        <f>SeedMixes[[#This Row],[Variety]]&amp;" "&amp;SeedMixes[[#This Row],[Company]]</f>
        <v>Polka dot (mix) High Mowing</v>
      </c>
      <c r="H15" t="str">
        <f>_xlfn.TEXTJOIN(CHAR(10),FALSE, SeedMixes[[#This Row],[Crop]],SeedMixes[[#This Row],[Variety]],SeedMixes[[#This Row],[Company]])</f>
        <v>Bachellor's Button
Polka dot (mix)
High Mowing</v>
      </c>
      <c r="J15" s="53" t="s">
        <v>496</v>
      </c>
      <c r="K15">
        <v>1</v>
      </c>
    </row>
    <row r="16" spans="2:11" ht="15" customHeight="1">
      <c r="B16" s="43">
        <f>1/COUNTIF(SeedMixes[Name],"="&amp;SeedMixes[[#This Row],[Name]])</f>
        <v>0.16666666666666666</v>
      </c>
      <c r="C16" t="s">
        <v>493</v>
      </c>
      <c r="D16" t="s">
        <v>65</v>
      </c>
      <c r="E16" t="s">
        <v>592</v>
      </c>
      <c r="F16" t="s">
        <v>490</v>
      </c>
      <c r="G16" t="str">
        <f>SeedMixes[[#This Row],[Variety]]&amp;" "&amp;SeedMixes[[#This Row],[Company]]</f>
        <v>Tall Boy Blue Johnny's</v>
      </c>
      <c r="H16" t="str">
        <f>_xlfn.TEXTJOIN(CHAR(10),FALSE, SeedMixes[[#This Row],[Crop]],SeedMixes[[#This Row],[Variety]],SeedMixes[[#This Row],[Company]])</f>
        <v>Bachellor's Button
Tall Boy Blue
Johnny's</v>
      </c>
      <c r="J16" s="53" t="s">
        <v>1931</v>
      </c>
      <c r="K16">
        <v>1</v>
      </c>
    </row>
    <row r="17" spans="2:11" ht="15" customHeight="1">
      <c r="B17" s="43">
        <v>0.125</v>
      </c>
      <c r="C17" t="s">
        <v>709</v>
      </c>
      <c r="D17" t="s">
        <v>43</v>
      </c>
      <c r="E17" s="160" t="s">
        <v>2782</v>
      </c>
      <c r="F17" t="s">
        <v>490</v>
      </c>
      <c r="G17" t="str">
        <f>SeedMixes[[#This Row],[Variety]]&amp;" "&amp;SeedMixes[[#This Row],[Company]]</f>
        <v>Prospera® Active Thai-Thai F1 Basil Johnny's</v>
      </c>
      <c r="H17" t="str">
        <f>_xlfn.TEXTJOIN(CHAR(10),FALSE, SeedMixes[[#This Row],[Crop]],SeedMixes[[#This Row],[Variety]],SeedMixes[[#This Row],[Company]])</f>
        <v>Basil
Prospera® Active Thai-Thai F1 Basil
Johnny's</v>
      </c>
      <c r="J17" s="53" t="s">
        <v>1898</v>
      </c>
      <c r="K17">
        <v>1</v>
      </c>
    </row>
    <row r="18" spans="2:11" ht="15" customHeight="1">
      <c r="B18" s="43">
        <v>0.25</v>
      </c>
      <c r="C18" t="s">
        <v>709</v>
      </c>
      <c r="D18" t="s">
        <v>43</v>
      </c>
      <c r="E18" t="s">
        <v>711</v>
      </c>
      <c r="F18" t="s">
        <v>488</v>
      </c>
      <c r="G18" t="str">
        <f>SeedMixes[[#This Row],[Variety]]&amp;" "&amp;SeedMixes[[#This Row],[Company]]</f>
        <v>Golden Mountain Sweet Thai Adaptive</v>
      </c>
      <c r="H18" t="str">
        <f>_xlfn.TEXTJOIN(CHAR(10),FALSE, SeedMixes[[#This Row],[Crop]],SeedMixes[[#This Row],[Variety]],SeedMixes[[#This Row],[Company]])</f>
        <v>Basil
Golden Mountain Sweet Thai
Adaptive</v>
      </c>
      <c r="J18" s="53" t="s">
        <v>1896</v>
      </c>
      <c r="K18">
        <v>1</v>
      </c>
    </row>
    <row r="19" spans="2:11" ht="15" customHeight="1">
      <c r="B19" s="43">
        <v>0.25</v>
      </c>
      <c r="C19" t="s">
        <v>709</v>
      </c>
      <c r="D19" t="s">
        <v>43</v>
      </c>
      <c r="E19" t="s">
        <v>483</v>
      </c>
      <c r="F19" t="s">
        <v>484</v>
      </c>
      <c r="G19" t="str">
        <f>SeedMixes[[#This Row],[Variety]]&amp;" "&amp;SeedMixes[[#This Row],[Company]]</f>
        <v>Italian Large Leaf Uprising</v>
      </c>
      <c r="H19" t="str">
        <f>_xlfn.TEXTJOIN(CHAR(10),FALSE, SeedMixes[[#This Row],[Crop]],SeedMixes[[#This Row],[Variety]],SeedMixes[[#This Row],[Company]])</f>
        <v>Basil
Italian Large Leaf
Uprising</v>
      </c>
      <c r="J19" s="53" t="s">
        <v>1871</v>
      </c>
      <c r="K19">
        <v>1</v>
      </c>
    </row>
    <row r="20" spans="2:11" ht="15" customHeight="1">
      <c r="B20" s="43">
        <v>0.25</v>
      </c>
      <c r="C20" t="s">
        <v>709</v>
      </c>
      <c r="D20" t="s">
        <v>43</v>
      </c>
      <c r="E20" t="s">
        <v>2209</v>
      </c>
      <c r="F20" t="s">
        <v>482</v>
      </c>
      <c r="G20" t="str">
        <f>SeedMixes[[#This Row],[Variety]]&amp;" "&amp;SeedMixes[[#This Row],[Company]]</f>
        <v>Prospera F1 High Mowing</v>
      </c>
      <c r="H20" t="str">
        <f>_xlfn.TEXTJOIN(CHAR(10),FALSE, SeedMixes[[#This Row],[Crop]],SeedMixes[[#This Row],[Variety]],SeedMixes[[#This Row],[Company]])</f>
        <v>Basil
Prospera F1
High Mowing</v>
      </c>
      <c r="J20" s="53" t="s">
        <v>1964</v>
      </c>
      <c r="K20">
        <v>1</v>
      </c>
    </row>
    <row r="21" spans="2:11" ht="15" customHeight="1">
      <c r="B21" s="43">
        <v>0.125</v>
      </c>
      <c r="C21" t="s">
        <v>709</v>
      </c>
      <c r="D21" t="s">
        <v>43</v>
      </c>
      <c r="E21" t="s">
        <v>710</v>
      </c>
      <c r="F21" t="s">
        <v>526</v>
      </c>
      <c r="G21" t="str">
        <f>SeedMixes[[#This Row],[Variety]]&amp;" "&amp;SeedMixes[[#This Row],[Company]]</f>
        <v>Zanzico Wild Garden</v>
      </c>
      <c r="H21" t="str">
        <f>_xlfn.TEXTJOIN(CHAR(10),FALSE, SeedMixes[[#This Row],[Crop]],SeedMixes[[#This Row],[Variety]],SeedMixes[[#This Row],[Company]])</f>
        <v>Basil
Zanzico
Wild Garden</v>
      </c>
      <c r="J21" s="53" t="s">
        <v>1860</v>
      </c>
      <c r="K21">
        <v>1</v>
      </c>
    </row>
    <row r="22" spans="2:11" ht="15" customHeight="1">
      <c r="B22" s="43">
        <f>1/COUNTIF(SeedMixes[Name],"="&amp;SeedMixes[[#This Row],[Name]])</f>
        <v>0.2</v>
      </c>
      <c r="C22" t="s">
        <v>2783</v>
      </c>
      <c r="D22" t="s">
        <v>44</v>
      </c>
      <c r="E22" t="s">
        <v>2784</v>
      </c>
      <c r="F22" t="s">
        <v>484</v>
      </c>
      <c r="G22" t="str">
        <f>SeedMixes[[#This Row],[Variety]]&amp;" "&amp;SeedMixes[[#This Row],[Company]]</f>
        <v>Marvel of Venice Uprising</v>
      </c>
      <c r="H22" t="str">
        <f>_xlfn.TEXTJOIN(CHAR(10),FALSE, SeedMixes[[#This Row],[Crop]],SeedMixes[[#This Row],[Variety]],SeedMixes[[#This Row],[Company]])</f>
        <v>Bean
Marvel of Venice
Uprising</v>
      </c>
      <c r="J22" s="53" t="s">
        <v>1905</v>
      </c>
      <c r="K22">
        <v>1</v>
      </c>
    </row>
    <row r="23" spans="2:11" ht="15" customHeight="1">
      <c r="B23" s="43">
        <f>1/COUNTIF(SeedMixes[Name],"="&amp;SeedMixes[[#This Row],[Name]])</f>
        <v>0.2</v>
      </c>
      <c r="C23" t="s">
        <v>2783</v>
      </c>
      <c r="D23" t="s">
        <v>44</v>
      </c>
      <c r="E23" t="s">
        <v>2785</v>
      </c>
      <c r="F23" t="s">
        <v>484</v>
      </c>
      <c r="G23" t="str">
        <f>SeedMixes[[#This Row],[Variety]]&amp;" "&amp;SeedMixes[[#This Row],[Company]]</f>
        <v>Fortex Uprising</v>
      </c>
      <c r="H23" t="str">
        <f>_xlfn.TEXTJOIN(CHAR(10),FALSE, SeedMixes[[#This Row],[Crop]],SeedMixes[[#This Row],[Variety]],SeedMixes[[#This Row],[Company]])</f>
        <v>Bean
Fortex
Uprising</v>
      </c>
      <c r="J23" s="53" t="s">
        <v>514</v>
      </c>
      <c r="K23">
        <v>1</v>
      </c>
    </row>
    <row r="24" spans="2:11" ht="15" customHeight="1">
      <c r="B24" s="43">
        <f>1/COUNTIF(SeedMixes[Name],"="&amp;SeedMixes[[#This Row],[Name]])</f>
        <v>0.2</v>
      </c>
      <c r="C24" t="s">
        <v>2783</v>
      </c>
      <c r="D24" t="s">
        <v>44</v>
      </c>
      <c r="E24" t="s">
        <v>2256</v>
      </c>
      <c r="F24" t="s">
        <v>490</v>
      </c>
      <c r="G24" t="str">
        <f>SeedMixes[[#This Row],[Variety]]&amp;" "&amp;SeedMixes[[#This Row],[Company]]</f>
        <v>Northeaster Johnny's</v>
      </c>
      <c r="H24" t="str">
        <f>_xlfn.TEXTJOIN(CHAR(10),FALSE, SeedMixes[[#This Row],[Crop]],SeedMixes[[#This Row],[Variety]],SeedMixes[[#This Row],[Company]])</f>
        <v>Bean
Northeaster
Johnny's</v>
      </c>
      <c r="J24" s="53" t="s">
        <v>1828</v>
      </c>
      <c r="K24">
        <v>1</v>
      </c>
    </row>
    <row r="25" spans="2:11" ht="15" customHeight="1">
      <c r="B25" s="43">
        <f>1/COUNTIF(SeedMixes[Name],"="&amp;SeedMixes[[#This Row],[Name]])</f>
        <v>0.2</v>
      </c>
      <c r="C25" t="s">
        <v>2783</v>
      </c>
      <c r="D25" t="s">
        <v>44</v>
      </c>
      <c r="E25" t="s">
        <v>2787</v>
      </c>
      <c r="F25" t="s">
        <v>482</v>
      </c>
      <c r="G25" t="str">
        <f>SeedMixes[[#This Row],[Variety]]&amp;" "&amp;SeedMixes[[#This Row],[Company]]</f>
        <v>Dragon Langerie High Mowing</v>
      </c>
      <c r="H25" t="str">
        <f>_xlfn.TEXTJOIN(CHAR(10),FALSE, SeedMixes[[#This Row],[Crop]],SeedMixes[[#This Row],[Variety]],SeedMixes[[#This Row],[Company]])</f>
        <v>Bean
Dragon Langerie
High Mowing</v>
      </c>
      <c r="J25" s="53" t="s">
        <v>1829</v>
      </c>
      <c r="K25">
        <v>0.99999999999999989</v>
      </c>
    </row>
    <row r="26" spans="2:11" ht="15" customHeight="1">
      <c r="B26" s="43">
        <f>1/COUNTIF(SeedMixes[Name],"="&amp;SeedMixes[[#This Row],[Name]])</f>
        <v>0.2</v>
      </c>
      <c r="C26" t="s">
        <v>2783</v>
      </c>
      <c r="D26" t="s">
        <v>44</v>
      </c>
      <c r="E26" t="s">
        <v>2786</v>
      </c>
      <c r="F26" t="s">
        <v>482</v>
      </c>
      <c r="G26" t="str">
        <f>SeedMixes[[#This Row],[Variety]]&amp;" "&amp;SeedMixes[[#This Row],[Company]]</f>
        <v>Rattlesnake High Mowing</v>
      </c>
      <c r="H26" t="str">
        <f>_xlfn.TEXTJOIN(CHAR(10),FALSE, SeedMixes[[#This Row],[Crop]],SeedMixes[[#This Row],[Variety]],SeedMixes[[#This Row],[Company]])</f>
        <v>Bean
Rattlesnake
High Mowing</v>
      </c>
      <c r="J26" s="53" t="s">
        <v>1873</v>
      </c>
      <c r="K26">
        <v>1</v>
      </c>
    </row>
    <row r="27" spans="2:11" ht="15" customHeight="1">
      <c r="B27" s="43">
        <f>1/COUNTIF(SeedMixes[Name],"="&amp;SeedMixes[[#This Row],[Name]])</f>
        <v>0.33333333333333331</v>
      </c>
      <c r="C27" t="s">
        <v>494</v>
      </c>
      <c r="D27" t="s">
        <v>46</v>
      </c>
      <c r="E27" t="s">
        <v>601</v>
      </c>
      <c r="F27" t="s">
        <v>482</v>
      </c>
      <c r="G27" t="str">
        <f>SeedMixes[[#This Row],[Variety]]&amp;" "&amp;SeedMixes[[#This Row],[Company]]</f>
        <v>Badger Flame High Mowing</v>
      </c>
      <c r="H27" t="str">
        <f>_xlfn.TEXTJOIN(CHAR(10),FALSE, SeedMixes[[#This Row],[Crop]],SeedMixes[[#This Row],[Variety]],SeedMixes[[#This Row],[Company]])</f>
        <v>Beet
Badger Flame
High Mowing</v>
      </c>
      <c r="J27" s="53" t="s">
        <v>1346</v>
      </c>
      <c r="K27">
        <v>1</v>
      </c>
    </row>
    <row r="28" spans="2:11" ht="15" customHeight="1">
      <c r="B28" s="43">
        <f>1/COUNTIF(SeedMixes[Name],"="&amp;SeedMixes[[#This Row],[Name]])</f>
        <v>0.33333333333333331</v>
      </c>
      <c r="C28" t="s">
        <v>494</v>
      </c>
      <c r="D28" t="s">
        <v>46</v>
      </c>
      <c r="E28" t="s">
        <v>763</v>
      </c>
      <c r="F28" t="s">
        <v>482</v>
      </c>
      <c r="G28" t="str">
        <f>SeedMixes[[#This Row],[Variety]]&amp;" "&amp;SeedMixes[[#This Row],[Company]]</f>
        <v>Boro F1 High Mowing</v>
      </c>
      <c r="H28" t="str">
        <f>_xlfn.TEXTJOIN(CHAR(10),FALSE, SeedMixes[[#This Row],[Crop]],SeedMixes[[#This Row],[Variety]],SeedMixes[[#This Row],[Company]])</f>
        <v>Beet
Boro F1
High Mowing</v>
      </c>
      <c r="J28" s="53" t="s">
        <v>515</v>
      </c>
      <c r="K28">
        <v>1</v>
      </c>
    </row>
    <row r="29" spans="2:11" ht="15" customHeight="1">
      <c r="B29" s="43">
        <f>1/COUNTIF(SeedMixes[Name],"="&amp;SeedMixes[[#This Row],[Name]])</f>
        <v>0.33333333333333331</v>
      </c>
      <c r="C29" t="s">
        <v>494</v>
      </c>
      <c r="D29" t="s">
        <v>46</v>
      </c>
      <c r="E29" t="s">
        <v>598</v>
      </c>
      <c r="F29" t="s">
        <v>488</v>
      </c>
      <c r="G29" t="str">
        <f>SeedMixes[[#This Row],[Variety]]&amp;" "&amp;SeedMixes[[#This Row],[Company]]</f>
        <v>Chiogga Adaptive</v>
      </c>
      <c r="H29" t="str">
        <f>_xlfn.TEXTJOIN(CHAR(10),FALSE, SeedMixes[[#This Row],[Crop]],SeedMixes[[#This Row],[Variety]],SeedMixes[[#This Row],[Company]])</f>
        <v>Beet
Chiogga
Adaptive</v>
      </c>
      <c r="J29" s="53" t="s">
        <v>1968</v>
      </c>
      <c r="K29">
        <v>1</v>
      </c>
    </row>
    <row r="30" spans="2:11" ht="15" customHeight="1">
      <c r="B30" s="43">
        <f>1/COUNTIF(SeedMixes[Name],"="&amp;SeedMixes[[#This Row],[Name]])</f>
        <v>0.5</v>
      </c>
      <c r="C30" t="s">
        <v>1956</v>
      </c>
      <c r="D30" t="s">
        <v>48</v>
      </c>
      <c r="E30" t="s">
        <v>495</v>
      </c>
      <c r="F30" t="s">
        <v>488</v>
      </c>
      <c r="G30" t="str">
        <f>SeedMixes[[#This Row],[Variety]]&amp;" "&amp;SeedMixes[[#This Row],[Company]]</f>
        <v>Blue Adaptive</v>
      </c>
      <c r="H30" t="str">
        <f>_xlfn.TEXTJOIN(CHAR(10),FALSE, SeedMixes[[#This Row],[Crop]],SeedMixes[[#This Row],[Variety]],SeedMixes[[#This Row],[Company]])</f>
        <v>Borage
Blue
Adaptive</v>
      </c>
      <c r="J30" s="53" t="s">
        <v>1970</v>
      </c>
      <c r="K30">
        <v>1</v>
      </c>
    </row>
    <row r="31" spans="2:11" ht="15" customHeight="1">
      <c r="B31" s="43">
        <f>1/COUNTIF(SeedMixes[Name],"="&amp;SeedMixes[[#This Row],[Name]])</f>
        <v>0.5</v>
      </c>
      <c r="C31" t="s">
        <v>1956</v>
      </c>
      <c r="D31" t="s">
        <v>48</v>
      </c>
      <c r="E31" t="s">
        <v>169</v>
      </c>
      <c r="F31" t="s">
        <v>492</v>
      </c>
      <c r="G31" t="str">
        <f>SeedMixes[[#This Row],[Variety]]&amp;" "&amp;SeedMixes[[#This Row],[Company]]</f>
        <v>White Baker Creek</v>
      </c>
      <c r="H31" t="str">
        <f>_xlfn.TEXTJOIN(CHAR(10),FALSE, SeedMixes[[#This Row],[Crop]],SeedMixes[[#This Row],[Variety]],SeedMixes[[#This Row],[Company]])</f>
        <v>Borage
White
Baker Creek</v>
      </c>
      <c r="J31" s="53" t="s">
        <v>1933</v>
      </c>
      <c r="K31">
        <v>1</v>
      </c>
    </row>
    <row r="32" spans="2:11" ht="15" customHeight="1">
      <c r="B32" s="43">
        <f>1/COUNTIF(SeedMixes[Name],"="&amp;SeedMixes[[#This Row],[Name]])</f>
        <v>0.5</v>
      </c>
      <c r="C32" t="s">
        <v>2852</v>
      </c>
      <c r="D32" t="s">
        <v>49</v>
      </c>
      <c r="E32" t="s">
        <v>2853</v>
      </c>
      <c r="F32" t="s">
        <v>503</v>
      </c>
      <c r="G32" t="str">
        <f>SeedMixes[[#This Row],[Variety]]&amp;" "&amp;SeedMixes[[#This Row],[Company]]</f>
        <v>Montebello Osborne</v>
      </c>
      <c r="H32" t="str">
        <f>_xlfn.TEXTJOIN(CHAR(10),FALSE, SeedMixes[[#This Row],[Crop]],SeedMixes[[#This Row],[Variety]],SeedMixes[[#This Row],[Company]])</f>
        <v>Broccoli
Montebello
Osborne</v>
      </c>
      <c r="J32" s="53" t="s">
        <v>522</v>
      </c>
      <c r="K32">
        <v>1</v>
      </c>
    </row>
    <row r="33" spans="2:11" ht="15" customHeight="1">
      <c r="B33" s="43">
        <f>1/COUNTIF(SeedMixes[Name],"="&amp;SeedMixes[[#This Row],[Name]])</f>
        <v>0.5</v>
      </c>
      <c r="C33" t="s">
        <v>2852</v>
      </c>
      <c r="D33" t="s">
        <v>49</v>
      </c>
      <c r="E33" t="s">
        <v>2854</v>
      </c>
      <c r="F33" t="s">
        <v>490</v>
      </c>
      <c r="G33" t="str">
        <f>SeedMixes[[#This Row],[Variety]]&amp;" "&amp;SeedMixes[[#This Row],[Company]]</f>
        <v>Burgundy Johnny's</v>
      </c>
      <c r="H33" t="str">
        <f>_xlfn.TEXTJOIN(CHAR(10),FALSE, SeedMixes[[#This Row],[Crop]],SeedMixes[[#This Row],[Variety]],SeedMixes[[#This Row],[Company]])</f>
        <v>Broccoli
Burgundy
Johnny's</v>
      </c>
      <c r="J33" s="53" t="s">
        <v>614</v>
      </c>
      <c r="K33">
        <v>1</v>
      </c>
    </row>
    <row r="34" spans="2:11" ht="15" customHeight="1">
      <c r="B34" s="43">
        <f>1/COUNTIF(SeedMixes[Name],"="&amp;SeedMixes[[#This Row],[Name]])</f>
        <v>1</v>
      </c>
      <c r="C34" t="s">
        <v>1958</v>
      </c>
      <c r="D34" t="s">
        <v>348</v>
      </c>
      <c r="E34" t="s">
        <v>1959</v>
      </c>
      <c r="F34" t="s">
        <v>1960</v>
      </c>
      <c r="G34" t="str">
        <f>SeedMixes[[#This Row],[Variety]]&amp;" "&amp;SeedMixes[[#This Row],[Company]]</f>
        <v>Japanese True Leaf</v>
      </c>
      <c r="H34" t="str">
        <f>_xlfn.TEXTJOIN(CHAR(10),FALSE, SeedMixes[[#This Row],[Crop]],SeedMixes[[#This Row],[Variety]],SeedMixes[[#This Row],[Company]])</f>
        <v>Buckwheat
Japanese
True Leaf</v>
      </c>
      <c r="J34" s="53" t="s">
        <v>1808</v>
      </c>
      <c r="K34">
        <v>1</v>
      </c>
    </row>
    <row r="35" spans="2:11" ht="15" customHeight="1">
      <c r="B35" s="43">
        <f>1/COUNTIF(SeedMixes[Name],"="&amp;SeedMixes[[#This Row],[Name]])</f>
        <v>0.5</v>
      </c>
      <c r="C35" t="s">
        <v>1961</v>
      </c>
      <c r="D35" t="s">
        <v>1763</v>
      </c>
      <c r="E35" t="s">
        <v>1962</v>
      </c>
      <c r="F35" t="s">
        <v>484</v>
      </c>
      <c r="G35" t="str">
        <f>SeedMixes[[#This Row],[Variety]]&amp;" "&amp;SeedMixes[[#This Row],[Company]]</f>
        <v>Green Gold Uprising</v>
      </c>
      <c r="H35" t="str">
        <f>_xlfn.TEXTJOIN(CHAR(10),FALSE, SeedMixes[[#This Row],[Crop]],SeedMixes[[#This Row],[Variety]],SeedMixes[[#This Row],[Company]])</f>
        <v>Bupleurum
Green Gold
Uprising</v>
      </c>
      <c r="J35" s="53" t="s">
        <v>528</v>
      </c>
      <c r="K35">
        <v>1</v>
      </c>
    </row>
    <row r="36" spans="2:11" ht="15" customHeight="1">
      <c r="B36" s="43">
        <f>1/COUNTIF(SeedMixes[Name],"="&amp;SeedMixes[[#This Row],[Name]])</f>
        <v>0.5</v>
      </c>
      <c r="C36" t="s">
        <v>1961</v>
      </c>
      <c r="D36" t="s">
        <v>1763</v>
      </c>
      <c r="E36" t="s">
        <v>1963</v>
      </c>
      <c r="F36" t="s">
        <v>526</v>
      </c>
      <c r="G36" t="str">
        <f>SeedMixes[[#This Row],[Variety]]&amp;" "&amp;SeedMixes[[#This Row],[Company]]</f>
        <v>Thoroughwax Wild Garden</v>
      </c>
      <c r="H36" t="str">
        <f>_xlfn.TEXTJOIN(CHAR(10),FALSE, SeedMixes[[#This Row],[Crop]],SeedMixes[[#This Row],[Variety]],SeedMixes[[#This Row],[Company]])</f>
        <v>Bupleurum
Thoroughwax
Wild Garden</v>
      </c>
      <c r="J36" s="53" t="s">
        <v>1973</v>
      </c>
      <c r="K36">
        <v>1</v>
      </c>
    </row>
    <row r="37" spans="2:11" ht="15" customHeight="1">
      <c r="B37" s="43">
        <f>1/COUNTIF(SeedMixes[Name],"="&amp;SeedMixes[[#This Row],[Name]])</f>
        <v>0.33333333333333331</v>
      </c>
      <c r="C37" t="s">
        <v>496</v>
      </c>
      <c r="D37" t="s">
        <v>1279</v>
      </c>
      <c r="E37" t="s">
        <v>605</v>
      </c>
      <c r="F37" t="s">
        <v>492</v>
      </c>
      <c r="G37" t="str">
        <f>SeedMixes[[#This Row],[Variety]]&amp;" "&amp;SeedMixes[[#This Row],[Company]]</f>
        <v>Blue Queen Baker Creek</v>
      </c>
      <c r="H37" t="str">
        <f>_xlfn.TEXTJOIN(CHAR(10),FALSE, SeedMixes[[#This Row],[Crop]],SeedMixes[[#This Row],[Variety]],SeedMixes[[#This Row],[Company]])</f>
        <v>Butterfly Flower
Blue Queen
Baker Creek</v>
      </c>
      <c r="J37" s="53" t="s">
        <v>1906</v>
      </c>
      <c r="K37">
        <v>1</v>
      </c>
    </row>
    <row r="38" spans="2:11" ht="15" customHeight="1">
      <c r="B38" s="43">
        <f>1/COUNTIF(SeedMixes[Name],"="&amp;SeedMixes[[#This Row],[Name]])</f>
        <v>0.33333333333333331</v>
      </c>
      <c r="C38" t="s">
        <v>496</v>
      </c>
      <c r="D38" t="s">
        <v>1279</v>
      </c>
      <c r="E38" t="s">
        <v>604</v>
      </c>
      <c r="F38" t="s">
        <v>492</v>
      </c>
      <c r="G38" t="str">
        <f>SeedMixes[[#This Row],[Variety]]&amp;" "&amp;SeedMixes[[#This Row],[Company]]</f>
        <v>Lavender Queen Baker Creek</v>
      </c>
      <c r="H38" t="str">
        <f>_xlfn.TEXTJOIN(CHAR(10),FALSE, SeedMixes[[#This Row],[Crop]],SeedMixes[[#This Row],[Variety]],SeedMixes[[#This Row],[Company]])</f>
        <v>Butterfly Flower
Lavender Queen
Baker Creek</v>
      </c>
      <c r="J38" s="53" t="s">
        <v>1944</v>
      </c>
      <c r="K38">
        <v>1</v>
      </c>
    </row>
    <row r="39" spans="2:11" ht="15" customHeight="1">
      <c r="B39" s="43">
        <f>1/COUNTIF(SeedMixes[Name],"="&amp;SeedMixes[[#This Row],[Name]])</f>
        <v>0.33333333333333331</v>
      </c>
      <c r="C39" t="s">
        <v>496</v>
      </c>
      <c r="D39" t="s">
        <v>1279</v>
      </c>
      <c r="E39" t="s">
        <v>603</v>
      </c>
      <c r="F39" t="s">
        <v>492</v>
      </c>
      <c r="G39" t="str">
        <f>SeedMixes[[#This Row],[Variety]]&amp;" "&amp;SeedMixes[[#This Row],[Company]]</f>
        <v>White Queen Baker Creek</v>
      </c>
      <c r="H39" t="str">
        <f>_xlfn.TEXTJOIN(CHAR(10),FALSE, SeedMixes[[#This Row],[Crop]],SeedMixes[[#This Row],[Variety]],SeedMixes[[#This Row],[Company]])</f>
        <v>Butterfly Flower
White Queen
Baker Creek</v>
      </c>
      <c r="J39" s="53" t="s">
        <v>529</v>
      </c>
      <c r="K39">
        <v>1</v>
      </c>
    </row>
    <row r="40" spans="2:11" ht="15" customHeight="1">
      <c r="B40" s="51">
        <f>1/COUNTIF(SeedMixes[Name],"="&amp;SeedMixes[[#This Row],[Name]])</f>
        <v>1</v>
      </c>
      <c r="C40" t="s">
        <v>1898</v>
      </c>
      <c r="D40" t="s">
        <v>52</v>
      </c>
      <c r="E40" t="s">
        <v>1891</v>
      </c>
      <c r="F40" t="s">
        <v>482</v>
      </c>
      <c r="G40" t="str">
        <f>SeedMixes[[#This Row],[Variety]]&amp;" "&amp;SeedMixes[[#This Row],[Company]]</f>
        <v>Bronco F1 High Mowing</v>
      </c>
      <c r="H40" t="str">
        <f>_xlfn.TEXTJOIN(CHAR(10),FALSE, SeedMixes[[#This Row],[Crop]],SeedMixes[[#This Row],[Variety]],SeedMixes[[#This Row],[Company]])</f>
        <v>Cabbage
Bronco F1
High Mowing</v>
      </c>
      <c r="J40" s="53" t="s">
        <v>1832</v>
      </c>
      <c r="K40">
        <v>1</v>
      </c>
    </row>
    <row r="41" spans="2:11" ht="15" customHeight="1">
      <c r="B41" s="51">
        <v>0.85</v>
      </c>
      <c r="C41" t="s">
        <v>1896</v>
      </c>
      <c r="D41" t="s">
        <v>52</v>
      </c>
      <c r="E41" t="s">
        <v>775</v>
      </c>
      <c r="F41" t="s">
        <v>482</v>
      </c>
      <c r="G41" t="str">
        <f>SeedMixes[[#This Row],[Variety]]&amp;" "&amp;SeedMixes[[#This Row],[Company]]</f>
        <v>Deadon F1 High Mowing</v>
      </c>
      <c r="H41" t="str">
        <f>_xlfn.TEXTJOIN(CHAR(10),FALSE, SeedMixes[[#This Row],[Crop]],SeedMixes[[#This Row],[Variety]],SeedMixes[[#This Row],[Company]])</f>
        <v>Cabbage
Deadon F1
High Mowing</v>
      </c>
      <c r="J41" s="53" t="s">
        <v>1974</v>
      </c>
      <c r="K41">
        <v>1</v>
      </c>
    </row>
    <row r="42" spans="2:11" ht="15" customHeight="1">
      <c r="B42" s="51">
        <v>0.05</v>
      </c>
      <c r="C42" t="s">
        <v>1896</v>
      </c>
      <c r="D42" t="s">
        <v>52</v>
      </c>
      <c r="E42" t="s">
        <v>1893</v>
      </c>
      <c r="F42" t="s">
        <v>482</v>
      </c>
      <c r="G42" t="str">
        <f>SeedMixes[[#This Row],[Variety]]&amp;" "&amp;SeedMixes[[#This Row],[Company]]</f>
        <v>Klimaro F1 High Mowing</v>
      </c>
      <c r="H42" t="str">
        <f>_xlfn.TEXTJOIN(CHAR(10),FALSE, SeedMixes[[#This Row],[Crop]],SeedMixes[[#This Row],[Variety]],SeedMixes[[#This Row],[Company]])</f>
        <v>Cabbage
Klimaro F1
High Mowing</v>
      </c>
      <c r="J42" s="53" t="s">
        <v>1972</v>
      </c>
      <c r="K42">
        <v>1</v>
      </c>
    </row>
    <row r="43" spans="2:11" ht="15" customHeight="1">
      <c r="B43" s="51">
        <v>0.05</v>
      </c>
      <c r="C43" t="s">
        <v>1896</v>
      </c>
      <c r="D43" t="s">
        <v>52</v>
      </c>
      <c r="E43" t="s">
        <v>1894</v>
      </c>
      <c r="F43" t="s">
        <v>482</v>
      </c>
      <c r="G43" t="str">
        <f>SeedMixes[[#This Row],[Variety]]&amp;" "&amp;SeedMixes[[#This Row],[Company]]</f>
        <v>Reaction F1 High Mowing</v>
      </c>
      <c r="H43" t="str">
        <f>_xlfn.TEXTJOIN(CHAR(10),FALSE, SeedMixes[[#This Row],[Crop]],SeedMixes[[#This Row],[Variety]],SeedMixes[[#This Row],[Company]])</f>
        <v>Cabbage
Reaction F1
High Mowing</v>
      </c>
      <c r="J43" s="53" t="s">
        <v>1918</v>
      </c>
      <c r="K43">
        <v>1</v>
      </c>
    </row>
    <row r="44" spans="2:11" ht="15" customHeight="1">
      <c r="B44" s="51">
        <v>0.05</v>
      </c>
      <c r="C44" t="s">
        <v>1896</v>
      </c>
      <c r="D44" t="s">
        <v>52</v>
      </c>
      <c r="E44" t="s">
        <v>1895</v>
      </c>
      <c r="F44" t="s">
        <v>482</v>
      </c>
      <c r="G44" t="str">
        <f>SeedMixes[[#This Row],[Variety]]&amp;" "&amp;SeedMixes[[#This Row],[Company]]</f>
        <v>Stanton F1 High Mowing</v>
      </c>
      <c r="H44" t="str">
        <f>_xlfn.TEXTJOIN(CHAR(10),FALSE, SeedMixes[[#This Row],[Crop]],SeedMixes[[#This Row],[Variety]],SeedMixes[[#This Row],[Company]])</f>
        <v>Cabbage
Stanton F1
High Mowing</v>
      </c>
      <c r="J44" s="53" t="s">
        <v>1949</v>
      </c>
      <c r="K44">
        <v>1</v>
      </c>
    </row>
    <row r="45" spans="2:11" ht="15" customHeight="1">
      <c r="B45" s="51">
        <f>1/COUNTIF(SeedMixes[Name],"="&amp;SeedMixes[[#This Row],[Name]])</f>
        <v>0.5</v>
      </c>
      <c r="C45" t="s">
        <v>2788</v>
      </c>
      <c r="D45" t="s">
        <v>52</v>
      </c>
      <c r="E45" t="s">
        <v>1899</v>
      </c>
      <c r="F45" t="s">
        <v>482</v>
      </c>
      <c r="G45" t="str">
        <f>SeedMixes[[#This Row],[Variety]]&amp;" "&amp;SeedMixes[[#This Row],[Company]]</f>
        <v>Farao F1 High Mowing</v>
      </c>
      <c r="H45" t="str">
        <f>_xlfn.TEXTJOIN(CHAR(10),FALSE, SeedMixes[[#This Row],[Crop]],SeedMixes[[#This Row],[Variety]],SeedMixes[[#This Row],[Company]])</f>
        <v>Cabbage
Farao F1
High Mowing</v>
      </c>
      <c r="J45" s="53" t="s">
        <v>1394</v>
      </c>
      <c r="K45">
        <v>1</v>
      </c>
    </row>
    <row r="46" spans="2:11" ht="15" customHeight="1">
      <c r="B46" s="51">
        <f>1/COUNTIF(SeedMixes[Name],"="&amp;SeedMixes[[#This Row],[Name]])</f>
        <v>0.5</v>
      </c>
      <c r="C46" t="s">
        <v>2788</v>
      </c>
      <c r="D46" t="s">
        <v>52</v>
      </c>
      <c r="E46" t="s">
        <v>2789</v>
      </c>
      <c r="F46" t="s">
        <v>482</v>
      </c>
      <c r="G46" t="str">
        <f>SeedMixes[[#This Row],[Variety]]&amp;" "&amp;SeedMixes[[#This Row],[Company]]</f>
        <v>Primero F1 High Mowing</v>
      </c>
      <c r="H46" t="str">
        <f>_xlfn.TEXTJOIN(CHAR(10),FALSE, SeedMixes[[#This Row],[Crop]],SeedMixes[[#This Row],[Variety]],SeedMixes[[#This Row],[Company]])</f>
        <v>Cabbage
Primero F1
High Mowing</v>
      </c>
      <c r="J46" s="53" t="s">
        <v>1835</v>
      </c>
      <c r="K46">
        <v>1</v>
      </c>
    </row>
    <row r="47" spans="2:11" ht="15" customHeight="1">
      <c r="B47" s="51">
        <f>1/COUNTIF(SeedMixes[Name],"="&amp;SeedMixes[[#This Row],[Name]])</f>
        <v>0.5</v>
      </c>
      <c r="C47" t="s">
        <v>2790</v>
      </c>
      <c r="D47" t="s">
        <v>52</v>
      </c>
      <c r="E47" t="s">
        <v>2906</v>
      </c>
      <c r="F47" t="s">
        <v>503</v>
      </c>
      <c r="G47" t="str">
        <f>SeedMixes[[#This Row],[Variety]]&amp;" "&amp;SeedMixes[[#This Row],[Company]]</f>
        <v>Piccolima F1 Osborne</v>
      </c>
      <c r="H47" t="str">
        <f>_xlfn.TEXTJOIN(CHAR(10),FALSE, SeedMixes[[#This Row],[Crop]],SeedMixes[[#This Row],[Variety]],SeedMixes[[#This Row],[Company]])</f>
        <v>Cabbage
Piccolima F1
Osborne</v>
      </c>
      <c r="J47" s="53" t="s">
        <v>1976</v>
      </c>
      <c r="K47">
        <v>1</v>
      </c>
    </row>
    <row r="48" spans="2:11" ht="15" customHeight="1">
      <c r="B48" s="51">
        <f>1/COUNTIF(SeedMixes[Name],"="&amp;SeedMixes[[#This Row],[Name]])</f>
        <v>0.5</v>
      </c>
      <c r="C48" t="s">
        <v>2790</v>
      </c>
      <c r="D48" t="s">
        <v>52</v>
      </c>
      <c r="E48" t="s">
        <v>2791</v>
      </c>
      <c r="F48" t="s">
        <v>503</v>
      </c>
      <c r="G48" t="str">
        <f>SeedMixes[[#This Row],[Variety]]&amp;" "&amp;SeedMixes[[#This Row],[Company]]</f>
        <v>Katarina F1 Osborne</v>
      </c>
      <c r="H48" t="str">
        <f>_xlfn.TEXTJOIN(CHAR(10),FALSE, SeedMixes[[#This Row],[Crop]],SeedMixes[[#This Row],[Variety]],SeedMixes[[#This Row],[Company]])</f>
        <v>Cabbage
Katarina F1
Osborne</v>
      </c>
      <c r="J48" s="53" t="s">
        <v>1831</v>
      </c>
      <c r="K48">
        <v>1</v>
      </c>
    </row>
    <row r="49" spans="2:11" ht="15" customHeight="1">
      <c r="B49" s="51">
        <f>1/COUNTIF(SeedMixes[Name],"="&amp;SeedMixes[[#This Row],[Name]])</f>
        <v>0.5</v>
      </c>
      <c r="C49" t="s">
        <v>2792</v>
      </c>
      <c r="D49" t="s">
        <v>52</v>
      </c>
      <c r="E49" t="s">
        <v>2793</v>
      </c>
      <c r="F49" t="s">
        <v>490</v>
      </c>
      <c r="G49" t="str">
        <f>SeedMixes[[#This Row],[Variety]]&amp;" "&amp;SeedMixes[[#This Row],[Company]]</f>
        <v>Minuet Johnny's</v>
      </c>
      <c r="H49" t="str">
        <f>_xlfn.TEXTJOIN(CHAR(10),FALSE, SeedMixes[[#This Row],[Crop]],SeedMixes[[#This Row],[Variety]],SeedMixes[[#This Row],[Company]])</f>
        <v>Cabbage
Minuet
Johnny's</v>
      </c>
      <c r="J49" s="53" t="s">
        <v>1830</v>
      </c>
      <c r="K49">
        <v>1</v>
      </c>
    </row>
    <row r="50" spans="2:11" ht="15" customHeight="1">
      <c r="B50" s="51">
        <f>1/COUNTIF(SeedMixes[Name],"="&amp;SeedMixes[[#This Row],[Name]])</f>
        <v>0.5</v>
      </c>
      <c r="C50" t="s">
        <v>2792</v>
      </c>
      <c r="D50" t="s">
        <v>52</v>
      </c>
      <c r="E50" t="s">
        <v>2794</v>
      </c>
      <c r="F50" t="s">
        <v>503</v>
      </c>
      <c r="G50" t="str">
        <f>SeedMixes[[#This Row],[Variety]]&amp;" "&amp;SeedMixes[[#This Row],[Company]]</f>
        <v>Wa Wa Tsai F1 Osborne</v>
      </c>
      <c r="H50" t="str">
        <f>_xlfn.TEXTJOIN(CHAR(10),FALSE, SeedMixes[[#This Row],[Crop]],SeedMixes[[#This Row],[Variety]],SeedMixes[[#This Row],[Company]])</f>
        <v>Cabbage
Wa Wa Tsai F1
Osborne</v>
      </c>
      <c r="J50" s="53" t="s">
        <v>563</v>
      </c>
      <c r="K50">
        <v>0.99999999999999989</v>
      </c>
    </row>
    <row r="51" spans="2:11" ht="15" customHeight="1">
      <c r="B51" s="51">
        <f>1/COUNTIF(SeedMixes[Name],"="&amp;SeedMixes[[#This Row],[Name]])</f>
        <v>0.5</v>
      </c>
      <c r="C51" t="s">
        <v>1897</v>
      </c>
      <c r="D51" t="s">
        <v>52</v>
      </c>
      <c r="E51" t="s">
        <v>1890</v>
      </c>
      <c r="F51" t="s">
        <v>482</v>
      </c>
      <c r="G51" t="str">
        <f>SeedMixes[[#This Row],[Variety]]&amp;" "&amp;SeedMixes[[#This Row],[Company]]</f>
        <v>Expect F1 High Mowing</v>
      </c>
      <c r="H51" t="str">
        <f>_xlfn.TEXTJOIN(CHAR(10),FALSE, SeedMixes[[#This Row],[Crop]],SeedMixes[[#This Row],[Variety]],SeedMixes[[#This Row],[Company]])</f>
        <v>Cabbage
Expect F1
High Mowing</v>
      </c>
      <c r="J51" s="53" t="s">
        <v>1858</v>
      </c>
      <c r="K51">
        <v>1</v>
      </c>
    </row>
    <row r="52" spans="2:11" ht="15" customHeight="1">
      <c r="B52" s="51">
        <f>1/COUNTIF(SeedMixes[Name],"="&amp;SeedMixes[[#This Row],[Name]])</f>
        <v>0.5</v>
      </c>
      <c r="C52" t="s">
        <v>1897</v>
      </c>
      <c r="D52" t="s">
        <v>52</v>
      </c>
      <c r="E52" t="s">
        <v>1889</v>
      </c>
      <c r="F52" t="s">
        <v>482</v>
      </c>
      <c r="G52" t="str">
        <f>SeedMixes[[#This Row],[Variety]]&amp;" "&amp;SeedMixes[[#This Row],[Company]]</f>
        <v>Passat F1 High Mowing</v>
      </c>
      <c r="H52" t="str">
        <f>_xlfn.TEXTJOIN(CHAR(10),FALSE, SeedMixes[[#This Row],[Crop]],SeedMixes[[#This Row],[Variety]],SeedMixes[[#This Row],[Company]])</f>
        <v>Cabbage
Passat F1
High Mowing</v>
      </c>
      <c r="J52" s="53" t="s">
        <v>1978</v>
      </c>
      <c r="K52">
        <v>1</v>
      </c>
    </row>
    <row r="53" spans="2:11" ht="15" customHeight="1">
      <c r="B53" s="51">
        <f>1/COUNTIF(SeedMixes[Name],"="&amp;SeedMixes[[#This Row],[Name]])</f>
        <v>0.33333333333333331</v>
      </c>
      <c r="C53" t="s">
        <v>1905</v>
      </c>
      <c r="D53" t="s">
        <v>1902</v>
      </c>
      <c r="E53" t="s">
        <v>1903</v>
      </c>
      <c r="F53" t="s">
        <v>482</v>
      </c>
      <c r="G53" t="str">
        <f>SeedMixes[[#This Row],[Variety]]&amp;" "&amp;SeedMixes[[#This Row],[Company]]</f>
        <v>Bilko F1 High Mowing</v>
      </c>
      <c r="H53" t="str">
        <f>_xlfn.TEXTJOIN(CHAR(10),FALSE, SeedMixes[[#This Row],[Crop]],SeedMixes[[#This Row],[Variety]],SeedMixes[[#This Row],[Company]])</f>
        <v>Cabbage - Chinese
Bilko F1
High Mowing</v>
      </c>
      <c r="J53" s="53" t="s">
        <v>1809</v>
      </c>
      <c r="K53">
        <v>1</v>
      </c>
    </row>
    <row r="54" spans="2:11" ht="15" customHeight="1">
      <c r="B54" s="51">
        <f>1/COUNTIF(SeedMixes[Name],"="&amp;SeedMixes[[#This Row],[Name]])</f>
        <v>0.33333333333333331</v>
      </c>
      <c r="C54" t="s">
        <v>1905</v>
      </c>
      <c r="D54" t="s">
        <v>1902</v>
      </c>
      <c r="E54" t="s">
        <v>1904</v>
      </c>
      <c r="F54" t="s">
        <v>482</v>
      </c>
      <c r="G54" t="str">
        <f>SeedMixes[[#This Row],[Variety]]&amp;" "&amp;SeedMixes[[#This Row],[Company]]</f>
        <v>Emiko F1 High Mowing</v>
      </c>
      <c r="H54" t="str">
        <f>_xlfn.TEXTJOIN(CHAR(10),FALSE, SeedMixes[[#This Row],[Crop]],SeedMixes[[#This Row],[Variety]],SeedMixes[[#This Row],[Company]])</f>
        <v>Cabbage - Chinese
Emiko F1
High Mowing</v>
      </c>
      <c r="J54" s="53" t="s">
        <v>1837</v>
      </c>
      <c r="K54">
        <v>1</v>
      </c>
    </row>
    <row r="55" spans="2:11" ht="15" customHeight="1">
      <c r="B55" s="51">
        <f>1/COUNTIF(SeedMixes[Name],"="&amp;SeedMixes[[#This Row],[Name]])</f>
        <v>0.33333333333333331</v>
      </c>
      <c r="C55" t="s">
        <v>1905</v>
      </c>
      <c r="D55" t="s">
        <v>1902</v>
      </c>
      <c r="E55" t="s">
        <v>869</v>
      </c>
      <c r="F55" t="s">
        <v>490</v>
      </c>
      <c r="G55" t="str">
        <f>SeedMixes[[#This Row],[Variety]]&amp;" "&amp;SeedMixes[[#This Row],[Company]]</f>
        <v>Merlot Johnny's</v>
      </c>
      <c r="H55" t="str">
        <f>_xlfn.TEXTJOIN(CHAR(10),FALSE, SeedMixes[[#This Row],[Crop]],SeedMixes[[#This Row],[Variety]],SeedMixes[[#This Row],[Company]])</f>
        <v>Cabbage - Chinese
Merlot
Johnny's</v>
      </c>
      <c r="J55" s="53" t="s">
        <v>553</v>
      </c>
      <c r="K55">
        <v>1.0000000000000002</v>
      </c>
    </row>
    <row r="56" spans="2:11" ht="15" customHeight="1">
      <c r="B56" s="51">
        <f>1/COUNTIF(SeedMixes[Name],"="&amp;SeedMixes[[#This Row],[Name]])</f>
        <v>0.25</v>
      </c>
      <c r="C56" t="s">
        <v>1808</v>
      </c>
      <c r="D56" t="s">
        <v>53</v>
      </c>
      <c r="E56" t="s">
        <v>2803</v>
      </c>
      <c r="F56" t="s">
        <v>490</v>
      </c>
      <c r="G56" t="str">
        <f>SeedMixes[[#This Row],[Variety]]&amp;" "&amp;SeedMixes[[#This Row],[Company]]</f>
        <v>Yellowstone Johnny's</v>
      </c>
      <c r="H56" t="str">
        <f>_xlfn.TEXTJOIN(CHAR(10),FALSE, SeedMixes[[#This Row],[Crop]],SeedMixes[[#This Row],[Variety]],SeedMixes[[#This Row],[Company]])</f>
        <v>Carrot
Yellowstone
Johnny's</v>
      </c>
      <c r="J56" s="53" t="s">
        <v>1857</v>
      </c>
      <c r="K56">
        <v>0.99999999999999989</v>
      </c>
    </row>
    <row r="57" spans="2:11" ht="15" customHeight="1">
      <c r="B57" s="51">
        <f>1/COUNTIF(SeedMixes[Name],"="&amp;SeedMixes[[#This Row],[Name]])</f>
        <v>0.25</v>
      </c>
      <c r="C57" t="s">
        <v>1808</v>
      </c>
      <c r="D57" t="s">
        <v>53</v>
      </c>
      <c r="E57" t="s">
        <v>2802</v>
      </c>
      <c r="F57" t="s">
        <v>482</v>
      </c>
      <c r="G57" t="str">
        <f>SeedMixes[[#This Row],[Variety]]&amp;" "&amp;SeedMixes[[#This Row],[Company]]</f>
        <v>Cosmic Purple High Mowing</v>
      </c>
      <c r="H57" t="str">
        <f>_xlfn.TEXTJOIN(CHAR(10),FALSE, SeedMixes[[#This Row],[Crop]],SeedMixes[[#This Row],[Variety]],SeedMixes[[#This Row],[Company]])</f>
        <v>Carrot
Cosmic Purple
High Mowing</v>
      </c>
      <c r="J57" s="53" t="s">
        <v>1839</v>
      </c>
      <c r="K57">
        <v>1</v>
      </c>
    </row>
    <row r="58" spans="2:11" ht="15" customHeight="1">
      <c r="B58" s="51">
        <f>1/COUNTIF(SeedMixes[Name],"="&amp;SeedMixes[[#This Row],[Name]])</f>
        <v>0.25</v>
      </c>
      <c r="C58" t="s">
        <v>1808</v>
      </c>
      <c r="D58" t="s">
        <v>53</v>
      </c>
      <c r="E58" t="s">
        <v>502</v>
      </c>
      <c r="F58" t="s">
        <v>503</v>
      </c>
      <c r="G58" t="str">
        <f>SeedMixes[[#This Row],[Variety]]&amp;" "&amp;SeedMixes[[#This Row],[Company]]</f>
        <v>Napoli F1 Osborne</v>
      </c>
      <c r="H58" t="str">
        <f>_xlfn.TEXTJOIN(CHAR(10),FALSE, SeedMixes[[#This Row],[Crop]],SeedMixes[[#This Row],[Variety]],SeedMixes[[#This Row],[Company]])</f>
        <v>Carrot
Napoli F1
Osborne</v>
      </c>
      <c r="J58" s="53" t="s">
        <v>1979</v>
      </c>
      <c r="K58">
        <v>1</v>
      </c>
    </row>
    <row r="59" spans="2:11" ht="15" customHeight="1">
      <c r="B59" s="51">
        <f>1/COUNTIF(SeedMixes[Name],"="&amp;SeedMixes[[#This Row],[Name]])</f>
        <v>0.25</v>
      </c>
      <c r="C59" t="s">
        <v>1808</v>
      </c>
      <c r="D59" t="s">
        <v>53</v>
      </c>
      <c r="E59" t="s">
        <v>2801</v>
      </c>
      <c r="F59" t="s">
        <v>490</v>
      </c>
      <c r="G59" t="str">
        <f>SeedMixes[[#This Row],[Variety]]&amp;" "&amp;SeedMixes[[#This Row],[Company]]</f>
        <v>Mokum Johnny's</v>
      </c>
      <c r="H59" t="str">
        <f>_xlfn.TEXTJOIN(CHAR(10),FALSE, SeedMixes[[#This Row],[Crop]],SeedMixes[[#This Row],[Variety]],SeedMixes[[#This Row],[Company]])</f>
        <v>Carrot
Mokum
Johnny's</v>
      </c>
      <c r="J59" s="53" t="s">
        <v>557</v>
      </c>
      <c r="K59">
        <v>1</v>
      </c>
    </row>
    <row r="60" spans="2:11" ht="15" customHeight="1">
      <c r="B60" s="51">
        <f>1/COUNTIF(SeedMixes[Name],"="&amp;SeedMixes[[#This Row],[Name]])</f>
        <v>0.25</v>
      </c>
      <c r="C60" t="s">
        <v>1809</v>
      </c>
      <c r="D60" t="s">
        <v>53</v>
      </c>
      <c r="E60" t="s">
        <v>2212</v>
      </c>
      <c r="F60" t="s">
        <v>490</v>
      </c>
      <c r="G60" t="str">
        <f>SeedMixes[[#This Row],[Variety]]&amp;" "&amp;SeedMixes[[#This Row],[Company]]</f>
        <v>Bolero F1 Johnny's</v>
      </c>
      <c r="H60" t="str">
        <f>_xlfn.TEXTJOIN(CHAR(10),FALSE, SeedMixes[[#This Row],[Crop]],SeedMixes[[#This Row],[Variety]],SeedMixes[[#This Row],[Company]])</f>
        <v>Carrot
Bolero F1
Johnny's</v>
      </c>
      <c r="J60" s="53" t="s">
        <v>558</v>
      </c>
      <c r="K60">
        <v>1</v>
      </c>
    </row>
    <row r="61" spans="2:11" ht="15" customHeight="1">
      <c r="B61" s="51">
        <f>1/COUNTIF(SeedMixes[Name],"="&amp;SeedMixes[[#This Row],[Name]])</f>
        <v>0.25</v>
      </c>
      <c r="C61" t="s">
        <v>1809</v>
      </c>
      <c r="D61" t="s">
        <v>53</v>
      </c>
      <c r="E61" t="s">
        <v>1269</v>
      </c>
      <c r="F61" t="s">
        <v>482</v>
      </c>
      <c r="G61" t="str">
        <f>SeedMixes[[#This Row],[Variety]]&amp;" "&amp;SeedMixes[[#This Row],[Company]]</f>
        <v>Bengala F1 High Mowing</v>
      </c>
      <c r="H61" t="str">
        <f>_xlfn.TEXTJOIN(CHAR(10),FALSE, SeedMixes[[#This Row],[Crop]],SeedMixes[[#This Row],[Variety]],SeedMixes[[#This Row],[Company]])</f>
        <v>Carrot
Bengala F1
High Mowing</v>
      </c>
      <c r="J61" s="53" t="s">
        <v>1913</v>
      </c>
      <c r="K61">
        <v>1</v>
      </c>
    </row>
    <row r="62" spans="2:11" ht="15" customHeight="1">
      <c r="B62" s="51">
        <f>1/COUNTIF(SeedMixes[Name],"="&amp;SeedMixes[[#This Row],[Name]])</f>
        <v>0.25</v>
      </c>
      <c r="C62" t="s">
        <v>1809</v>
      </c>
      <c r="D62" t="s">
        <v>53</v>
      </c>
      <c r="E62" t="s">
        <v>2804</v>
      </c>
      <c r="F62" t="s">
        <v>482</v>
      </c>
      <c r="G62" t="str">
        <f>SeedMixes[[#This Row],[Variety]]&amp;" "&amp;SeedMixes[[#This Row],[Company]]</f>
        <v>Dolciva F1 High Mowing</v>
      </c>
      <c r="H62" t="str">
        <f>_xlfn.TEXTJOIN(CHAR(10),FALSE, SeedMixes[[#This Row],[Crop]],SeedMixes[[#This Row],[Variety]],SeedMixes[[#This Row],[Company]])</f>
        <v>Carrot
Dolciva F1
High Mowing</v>
      </c>
      <c r="J62" s="53" t="s">
        <v>1848</v>
      </c>
      <c r="K62">
        <v>1</v>
      </c>
    </row>
    <row r="63" spans="2:11" ht="15" customHeight="1">
      <c r="B63" s="51">
        <f>1/COUNTIF(SeedMixes[Name],"="&amp;SeedMixes[[#This Row],[Name]])</f>
        <v>0.25</v>
      </c>
      <c r="C63" t="s">
        <v>1809</v>
      </c>
      <c r="D63" t="s">
        <v>53</v>
      </c>
      <c r="E63" t="s">
        <v>2817</v>
      </c>
      <c r="F63" t="s">
        <v>482</v>
      </c>
      <c r="G63" t="str">
        <f>SeedMixes[[#This Row],[Variety]]&amp;" "&amp;SeedMixes[[#This Row],[Company]]</f>
        <v>Narvik High Mowing</v>
      </c>
      <c r="H63" t="str">
        <f>_xlfn.TEXTJOIN(CHAR(10),FALSE, SeedMixes[[#This Row],[Crop]],SeedMixes[[#This Row],[Variety]],SeedMixes[[#This Row],[Company]])</f>
        <v>Carrot
Narvik
High Mowing</v>
      </c>
      <c r="J63" s="53" t="s">
        <v>2245</v>
      </c>
      <c r="K63">
        <v>1</v>
      </c>
    </row>
    <row r="64" spans="2:11" ht="15" customHeight="1">
      <c r="B64" s="51">
        <f>1/COUNTIF(SeedMixes[Name],"="&amp;SeedMixes[[#This Row],[Name]])</f>
        <v>0.5</v>
      </c>
      <c r="C64" t="s">
        <v>1906</v>
      </c>
      <c r="D64" t="s">
        <v>54</v>
      </c>
      <c r="E64" t="s">
        <v>2805</v>
      </c>
      <c r="F64" t="s">
        <v>490</v>
      </c>
      <c r="G64" t="str">
        <f>SeedMixes[[#This Row],[Variety]]&amp;" "&amp;SeedMixes[[#This Row],[Company]]</f>
        <v>Tessaury F1 Johnny's</v>
      </c>
      <c r="H64" t="str">
        <f>_xlfn.TEXTJOIN(CHAR(10),FALSE, SeedMixes[[#This Row],[Crop]],SeedMixes[[#This Row],[Variety]],SeedMixes[[#This Row],[Company]])</f>
        <v>Cauliflower
Tessaury F1
Johnny's</v>
      </c>
      <c r="J64" s="53" t="s">
        <v>1930</v>
      </c>
      <c r="K64">
        <v>1</v>
      </c>
    </row>
    <row r="65" spans="2:11" ht="15" customHeight="1">
      <c r="B65" s="51">
        <f>1/COUNTIF(SeedMixes[Name],"="&amp;SeedMixes[[#This Row],[Name]])</f>
        <v>0.5</v>
      </c>
      <c r="C65" t="s">
        <v>1906</v>
      </c>
      <c r="D65" t="s">
        <v>54</v>
      </c>
      <c r="E65" t="s">
        <v>1907</v>
      </c>
      <c r="F65" t="s">
        <v>490</v>
      </c>
      <c r="G65" t="str">
        <f>SeedMixes[[#This Row],[Variety]]&amp;" "&amp;SeedMixes[[#This Row],[Company]]</f>
        <v>Skywalker F1 Johnny's</v>
      </c>
      <c r="H65" t="str">
        <f>_xlfn.TEXTJOIN(CHAR(10),FALSE, SeedMixes[[#This Row],[Crop]],SeedMixes[[#This Row],[Variety]],SeedMixes[[#This Row],[Company]])</f>
        <v>Cauliflower
Skywalker F1
Johnny's</v>
      </c>
      <c r="J65" s="53" t="s">
        <v>2239</v>
      </c>
      <c r="K65">
        <v>0.99999999999999989</v>
      </c>
    </row>
    <row r="66" spans="2:11" ht="15" customHeight="1">
      <c r="B66" s="51">
        <f>1/COUNTIF(SeedMixes[Name],"="&amp;SeedMixes[[#This Row],[Name]])</f>
        <v>0.33333333333333331</v>
      </c>
      <c r="C66" t="s">
        <v>1871</v>
      </c>
      <c r="D66" t="s">
        <v>55</v>
      </c>
      <c r="E66" t="s">
        <v>2218</v>
      </c>
      <c r="F66" t="s">
        <v>482</v>
      </c>
      <c r="G66" t="str">
        <f>SeedMixes[[#This Row],[Variety]]&amp;" "&amp;SeedMixes[[#This Row],[Company]]</f>
        <v>Merrengo F1 - Pelleted High Mowing</v>
      </c>
      <c r="H66" t="str">
        <f>_xlfn.TEXTJOIN(CHAR(10),FALSE, SeedMixes[[#This Row],[Crop]],SeedMixes[[#This Row],[Variety]],SeedMixes[[#This Row],[Company]])</f>
        <v>Celery
Merrengo F1 - Pelleted
High Mowing</v>
      </c>
      <c r="J66" s="53" t="s">
        <v>2236</v>
      </c>
      <c r="K66">
        <v>1</v>
      </c>
    </row>
    <row r="67" spans="2:11" ht="15" customHeight="1">
      <c r="B67" s="51">
        <f>1/COUNTIF(SeedMixes[Name],"="&amp;SeedMixes[[#This Row],[Name]])</f>
        <v>0.33333333333333331</v>
      </c>
      <c r="C67" t="s">
        <v>1871</v>
      </c>
      <c r="D67" t="s">
        <v>55</v>
      </c>
      <c r="E67" t="s">
        <v>508</v>
      </c>
      <c r="F67" t="s">
        <v>482</v>
      </c>
      <c r="G67" t="str">
        <f>SeedMixes[[#This Row],[Variety]]&amp;" "&amp;SeedMixes[[#This Row],[Company]]</f>
        <v>Tango High Mowing</v>
      </c>
      <c r="H67" t="str">
        <f>_xlfn.TEXTJOIN(CHAR(10),FALSE, SeedMixes[[#This Row],[Crop]],SeedMixes[[#This Row],[Variety]],SeedMixes[[#This Row],[Company]])</f>
        <v>Celery
Tango
High Mowing</v>
      </c>
      <c r="J67" s="53" t="s">
        <v>559</v>
      </c>
      <c r="K67">
        <v>0.99999999999999978</v>
      </c>
    </row>
    <row r="68" spans="2:11" ht="15" customHeight="1">
      <c r="B68" s="51">
        <f>1/COUNTIF(SeedMixes[Name],"="&amp;SeedMixes[[#This Row],[Name]])</f>
        <v>0.33333333333333331</v>
      </c>
      <c r="C68" t="s">
        <v>1871</v>
      </c>
      <c r="D68" t="s">
        <v>55</v>
      </c>
      <c r="E68" t="s">
        <v>2217</v>
      </c>
      <c r="F68" t="s">
        <v>488</v>
      </c>
      <c r="G68" t="str">
        <f>SeedMixes[[#This Row],[Variety]]&amp;" "&amp;SeedMixes[[#This Row],[Company]]</f>
        <v>Ventura Adaptive</v>
      </c>
      <c r="H68" t="str">
        <f>_xlfn.TEXTJOIN(CHAR(10),FALSE, SeedMixes[[#This Row],[Crop]],SeedMixes[[#This Row],[Variety]],SeedMixes[[#This Row],[Company]])</f>
        <v>Celery
Ventura
Adaptive</v>
      </c>
      <c r="J68" s="53" t="s">
        <v>1880</v>
      </c>
      <c r="K68">
        <v>1</v>
      </c>
    </row>
    <row r="69" spans="2:11" ht="15" customHeight="1">
      <c r="B69" s="43">
        <f>1/COUNTIF(SeedMixes[Name],"="&amp;SeedMixes[[#This Row],[Name]])</f>
        <v>0.33333333333333331</v>
      </c>
      <c r="C69" t="s">
        <v>1964</v>
      </c>
      <c r="D69" t="s">
        <v>57</v>
      </c>
      <c r="E69" t="s">
        <v>1967</v>
      </c>
      <c r="F69" t="s">
        <v>490</v>
      </c>
      <c r="G69" t="str">
        <f>SeedMixes[[#This Row],[Variety]]&amp;" "&amp;SeedMixes[[#This Row],[Company]]</f>
        <v>Flamingo Purple Johnny's</v>
      </c>
      <c r="H69" t="str">
        <f>_xlfn.TEXTJOIN(CHAR(10),FALSE, SeedMixes[[#This Row],[Crop]],SeedMixes[[#This Row],[Variety]],SeedMixes[[#This Row],[Company]])</f>
        <v>Celosia
Flamingo Purple
Johnny's</v>
      </c>
      <c r="J69" s="53" t="s">
        <v>1862</v>
      </c>
      <c r="K69">
        <v>1</v>
      </c>
    </row>
    <row r="70" spans="2:11" ht="15" customHeight="1">
      <c r="B70" s="43">
        <f>1/COUNTIF(SeedMixes[Name],"="&amp;SeedMixes[[#This Row],[Name]])</f>
        <v>0.33333333333333331</v>
      </c>
      <c r="C70" t="s">
        <v>1964</v>
      </c>
      <c r="D70" t="s">
        <v>57</v>
      </c>
      <c r="E70" t="s">
        <v>1966</v>
      </c>
      <c r="F70" t="s">
        <v>526</v>
      </c>
      <c r="G70" t="str">
        <f>SeedMixes[[#This Row],[Variety]]&amp;" "&amp;SeedMixes[[#This Row],[Company]]</f>
        <v>Pampas Plume Wild Garden</v>
      </c>
      <c r="H70" t="str">
        <f>_xlfn.TEXTJOIN(CHAR(10),FALSE, SeedMixes[[#This Row],[Crop]],SeedMixes[[#This Row],[Variety]],SeedMixes[[#This Row],[Company]])</f>
        <v>Celosia
Pampas Plume
Wild Garden</v>
      </c>
      <c r="J70" s="53" t="s">
        <v>564</v>
      </c>
      <c r="K70">
        <v>1</v>
      </c>
    </row>
    <row r="71" spans="2:11" ht="15" customHeight="1">
      <c r="B71" s="43">
        <f>1/COUNTIF(SeedMixes[Name],"="&amp;SeedMixes[[#This Row],[Name]])</f>
        <v>0.33333333333333331</v>
      </c>
      <c r="C71" t="s">
        <v>1964</v>
      </c>
      <c r="D71" t="s">
        <v>57</v>
      </c>
      <c r="E71" t="s">
        <v>1965</v>
      </c>
      <c r="F71" t="s">
        <v>490</v>
      </c>
      <c r="G71" t="str">
        <f>SeedMixes[[#This Row],[Variety]]&amp;" "&amp;SeedMixes[[#This Row],[Company]]</f>
        <v>Sunday Mix Johnny's</v>
      </c>
      <c r="H71" t="str">
        <f>_xlfn.TEXTJOIN(CHAR(10),FALSE, SeedMixes[[#This Row],[Crop]],SeedMixes[[#This Row],[Variety]],SeedMixes[[#This Row],[Company]])</f>
        <v>Celosia
Sunday Mix
Johnny's</v>
      </c>
      <c r="J71" s="53" t="s">
        <v>568</v>
      </c>
      <c r="K71">
        <v>1</v>
      </c>
    </row>
    <row r="72" spans="2:11" ht="15" customHeight="1">
      <c r="B72" s="43">
        <v>0.5</v>
      </c>
      <c r="C72" t="s">
        <v>514</v>
      </c>
      <c r="D72" t="s">
        <v>62</v>
      </c>
      <c r="E72" t="s">
        <v>1807</v>
      </c>
      <c r="F72" t="s">
        <v>482</v>
      </c>
      <c r="G72" t="str">
        <f>SeedMixes[[#This Row],[Variety]]&amp;" "&amp;SeedMixes[[#This Row],[Company]]</f>
        <v>Cruiser High Mowing</v>
      </c>
      <c r="H72" t="str">
        <f>_xlfn.TEXTJOIN(CHAR(10),FALSE, SeedMixes[[#This Row],[Crop]],SeedMixes[[#This Row],[Variety]],SeedMixes[[#This Row],[Company]])</f>
        <v>Cilantro
Cruiser
High Mowing</v>
      </c>
      <c r="J72" s="53" t="s">
        <v>1984</v>
      </c>
      <c r="K72">
        <v>1</v>
      </c>
    </row>
    <row r="73" spans="2:11" ht="15" customHeight="1">
      <c r="B73" s="51">
        <v>0.25</v>
      </c>
      <c r="C73" t="s">
        <v>514</v>
      </c>
      <c r="D73" t="s">
        <v>62</v>
      </c>
      <c r="E73" t="s">
        <v>789</v>
      </c>
      <c r="F73" t="s">
        <v>484</v>
      </c>
      <c r="G73" t="str">
        <f>SeedMixes[[#This Row],[Variety]]&amp;" "&amp;SeedMixes[[#This Row],[Company]]</f>
        <v>Pokey Joe Uprising</v>
      </c>
      <c r="H73" t="str">
        <f>_xlfn.TEXTJOIN(CHAR(10),FALSE, SeedMixes[[#This Row],[Crop]],SeedMixes[[#This Row],[Variety]],SeedMixes[[#This Row],[Company]])</f>
        <v>Cilantro
Pokey Joe
Uprising</v>
      </c>
      <c r="J73" s="53" t="s">
        <v>1347</v>
      </c>
      <c r="K73">
        <v>1</v>
      </c>
    </row>
    <row r="74" spans="2:11" ht="15" customHeight="1">
      <c r="B74" s="43">
        <v>0.25</v>
      </c>
      <c r="C74" t="s">
        <v>514</v>
      </c>
      <c r="D74" t="s">
        <v>62</v>
      </c>
      <c r="E74" t="s">
        <v>2810</v>
      </c>
      <c r="F74" t="s">
        <v>490</v>
      </c>
      <c r="G74" t="str">
        <f>SeedMixes[[#This Row],[Variety]]&amp;" "&amp;SeedMixes[[#This Row],[Company]]</f>
        <v>Calypso Johnny's</v>
      </c>
      <c r="H74" t="str">
        <f>_xlfn.TEXTJOIN(CHAR(10),FALSE, SeedMixes[[#This Row],[Crop]],SeedMixes[[#This Row],[Variety]],SeedMixes[[#This Row],[Company]])</f>
        <v>Cilantro
Calypso
Johnny's</v>
      </c>
      <c r="J74" s="53" t="s">
        <v>576</v>
      </c>
      <c r="K74">
        <v>1</v>
      </c>
    </row>
    <row r="75" spans="2:11" ht="15" customHeight="1">
      <c r="B75" s="43">
        <f>1/COUNTIF(SeedMixes[Name],"="&amp;SeedMixes[[#This Row],[Name]])</f>
        <v>0.5</v>
      </c>
      <c r="C75" t="s">
        <v>1873</v>
      </c>
      <c r="D75" t="s">
        <v>410</v>
      </c>
      <c r="E75" t="s">
        <v>1875</v>
      </c>
      <c r="F75" t="s">
        <v>482</v>
      </c>
      <c r="G75" t="str">
        <f>SeedMixes[[#This Row],[Variety]]&amp;" "&amp;SeedMixes[[#This Row],[Company]]</f>
        <v>Enchanted F1 High Mowing</v>
      </c>
      <c r="H75" t="str">
        <f>_xlfn.TEXTJOIN(CHAR(10),FALSE, SeedMixes[[#This Row],[Crop]],SeedMixes[[#This Row],[Variety]],SeedMixes[[#This Row],[Company]])</f>
        <v>Corn
Enchanted F1
High Mowing</v>
      </c>
      <c r="J75" s="53" t="s">
        <v>565</v>
      </c>
      <c r="K75">
        <v>0.99999999999999989</v>
      </c>
    </row>
    <row r="76" spans="2:11" ht="15" customHeight="1">
      <c r="B76" s="43">
        <f>1/COUNTIF(SeedMixes[Name],"="&amp;SeedMixes[[#This Row],[Name]])</f>
        <v>0.5</v>
      </c>
      <c r="C76" t="s">
        <v>1873</v>
      </c>
      <c r="D76" t="s">
        <v>410</v>
      </c>
      <c r="E76" t="s">
        <v>2221</v>
      </c>
      <c r="F76" t="s">
        <v>488</v>
      </c>
      <c r="G76" t="str">
        <f>SeedMixes[[#This Row],[Variety]]&amp;" "&amp;SeedMixes[[#This Row],[Company]]</f>
        <v>New Mama Super Sweet Adaptive</v>
      </c>
      <c r="H76" t="str">
        <f>_xlfn.TEXTJOIN(CHAR(10),FALSE, SeedMixes[[#This Row],[Crop]],SeedMixes[[#This Row],[Variety]],SeedMixes[[#This Row],[Company]])</f>
        <v>Corn
New Mama Super Sweet
Adaptive</v>
      </c>
      <c r="J76" s="53" t="s">
        <v>1841</v>
      </c>
      <c r="K76">
        <v>1</v>
      </c>
    </row>
    <row r="77" spans="2:11" ht="15" customHeight="1">
      <c r="B77" s="43">
        <v>0.5</v>
      </c>
      <c r="C77" t="s">
        <v>1346</v>
      </c>
      <c r="D77" t="s">
        <v>66</v>
      </c>
      <c r="E77" t="s">
        <v>517</v>
      </c>
      <c r="F77" t="s">
        <v>488</v>
      </c>
      <c r="G77" t="str">
        <f>SeedMixes[[#This Row],[Variety]]&amp;" "&amp;SeedMixes[[#This Row],[Company]]</f>
        <v>Gelber Nüssler Adaptive</v>
      </c>
      <c r="H77" t="str">
        <f>_xlfn.TEXTJOIN(CHAR(10),FALSE, SeedMixes[[#This Row],[Crop]],SeedMixes[[#This Row],[Variety]],SeedMixes[[#This Row],[Company]])</f>
        <v>Corn Salad
Gelber Nüssler
Adaptive</v>
      </c>
      <c r="J77" s="53" t="s">
        <v>566</v>
      </c>
      <c r="K77">
        <v>1</v>
      </c>
    </row>
    <row r="78" spans="2:11" ht="15" customHeight="1">
      <c r="B78" s="43">
        <v>0.25</v>
      </c>
      <c r="C78" t="s">
        <v>1346</v>
      </c>
      <c r="D78" t="s">
        <v>66</v>
      </c>
      <c r="E78" t="s">
        <v>518</v>
      </c>
      <c r="F78" t="s">
        <v>488</v>
      </c>
      <c r="G78" t="str">
        <f>SeedMixes[[#This Row],[Variety]]&amp;" "&amp;SeedMixes[[#This Row],[Company]]</f>
        <v>Piedmont Adaptive</v>
      </c>
      <c r="H78" t="str">
        <f>_xlfn.TEXTJOIN(CHAR(10),FALSE, SeedMixes[[#This Row],[Crop]],SeedMixes[[#This Row],[Variety]],SeedMixes[[#This Row],[Company]])</f>
        <v>Corn Salad
Piedmont
Adaptive</v>
      </c>
      <c r="J78" s="53" t="s">
        <v>1985</v>
      </c>
      <c r="K78">
        <v>1</v>
      </c>
    </row>
    <row r="79" spans="2:11" ht="15" customHeight="1">
      <c r="B79" s="43">
        <v>0.25</v>
      </c>
      <c r="C79" t="s">
        <v>1346</v>
      </c>
      <c r="D79" t="s">
        <v>66</v>
      </c>
      <c r="E79" t="s">
        <v>519</v>
      </c>
      <c r="F79" t="s">
        <v>482</v>
      </c>
      <c r="G79" t="str">
        <f>SeedMixes[[#This Row],[Variety]]&amp;" "&amp;SeedMixes[[#This Row],[Company]]</f>
        <v>Vit Mache High Mowing</v>
      </c>
      <c r="H79" t="str">
        <f>_xlfn.TEXTJOIN(CHAR(10),FALSE, SeedMixes[[#This Row],[Crop]],SeedMixes[[#This Row],[Variety]],SeedMixes[[#This Row],[Company]])</f>
        <v>Corn Salad
Vit Mache
High Mowing</v>
      </c>
      <c r="J79" s="53" t="s">
        <v>1851</v>
      </c>
      <c r="K79">
        <v>1</v>
      </c>
    </row>
    <row r="80" spans="2:11" ht="15" customHeight="1">
      <c r="B80" s="43">
        <f>1/COUNTIF(SeedMixes[Name],"="&amp;SeedMixes[[#This Row],[Name]])</f>
        <v>0.25</v>
      </c>
      <c r="C80" t="s">
        <v>515</v>
      </c>
      <c r="D80" t="s">
        <v>67</v>
      </c>
      <c r="E80" t="s">
        <v>1947</v>
      </c>
      <c r="F80" t="s">
        <v>526</v>
      </c>
      <c r="G80" t="str">
        <f>SeedMixes[[#This Row],[Variety]]&amp;" "&amp;SeedMixes[[#This Row],[Company]]</f>
        <v>Apricotta Wild Garden</v>
      </c>
      <c r="H80" t="str">
        <f>_xlfn.TEXTJOIN(CHAR(10),FALSE, SeedMixes[[#This Row],[Crop]],SeedMixes[[#This Row],[Variety]],SeedMixes[[#This Row],[Company]])</f>
        <v>Cosmos
Apricotta
Wild Garden</v>
      </c>
      <c r="J80" s="53" t="s">
        <v>1853</v>
      </c>
      <c r="K80">
        <v>1</v>
      </c>
    </row>
    <row r="81" spans="2:11" ht="15" customHeight="1">
      <c r="B81" s="43">
        <f>1/COUNTIF(SeedMixes[Name],"="&amp;SeedMixes[[#This Row],[Name]])</f>
        <v>0.25</v>
      </c>
      <c r="C81" t="s">
        <v>515</v>
      </c>
      <c r="D81" t="s">
        <v>67</v>
      </c>
      <c r="E81" t="s">
        <v>2166</v>
      </c>
      <c r="F81" t="s">
        <v>526</v>
      </c>
      <c r="G81" t="str">
        <f>SeedMixes[[#This Row],[Variety]]&amp;" "&amp;SeedMixes[[#This Row],[Company]]</f>
        <v>Bicolor Violet Wild Garden</v>
      </c>
      <c r="H81" t="str">
        <f>_xlfn.TEXTJOIN(CHAR(10),FALSE, SeedMixes[[#This Row],[Crop]],SeedMixes[[#This Row],[Variety]],SeedMixes[[#This Row],[Company]])</f>
        <v>Cosmos
Bicolor Violet
Wild Garden</v>
      </c>
      <c r="J81" s="53" t="s">
        <v>580</v>
      </c>
      <c r="K81">
        <v>1</v>
      </c>
    </row>
    <row r="82" spans="2:11" ht="15" customHeight="1">
      <c r="B82" s="43">
        <f>1/COUNTIF(SeedMixes[Name],"="&amp;SeedMixes[[#This Row],[Name]])</f>
        <v>0.25</v>
      </c>
      <c r="C82" t="s">
        <v>515</v>
      </c>
      <c r="D82" t="s">
        <v>67</v>
      </c>
      <c r="E82" t="s">
        <v>607</v>
      </c>
      <c r="F82" t="s">
        <v>488</v>
      </c>
      <c r="G82" t="str">
        <f>SeedMixes[[#This Row],[Variety]]&amp;" "&amp;SeedMixes[[#This Row],[Company]]</f>
        <v>Daydream Adaptive</v>
      </c>
      <c r="H82" t="str">
        <f>_xlfn.TEXTJOIN(CHAR(10),FALSE, SeedMixes[[#This Row],[Crop]],SeedMixes[[#This Row],[Variety]],SeedMixes[[#This Row],[Company]])</f>
        <v>Cosmos
Daydream
Adaptive</v>
      </c>
      <c r="J82" s="53" t="s">
        <v>1834</v>
      </c>
      <c r="K82">
        <v>1</v>
      </c>
    </row>
    <row r="83" spans="2:11" ht="15" customHeight="1">
      <c r="B83" s="43">
        <f>1/COUNTIF(SeedMixes[Name],"="&amp;SeedMixes[[#This Row],[Name]])</f>
        <v>0.25</v>
      </c>
      <c r="C83" t="s">
        <v>515</v>
      </c>
      <c r="D83" t="s">
        <v>67</v>
      </c>
      <c r="E83" t="s">
        <v>1946</v>
      </c>
      <c r="F83" t="s">
        <v>526</v>
      </c>
      <c r="G83" t="str">
        <f>SeedMixes[[#This Row],[Variety]]&amp;" "&amp;SeedMixes[[#This Row],[Company]]</f>
        <v>Double click Snowpuff Wild Garden</v>
      </c>
      <c r="H83" t="str">
        <f>_xlfn.TEXTJOIN(CHAR(10),FALSE, SeedMixes[[#This Row],[Crop]],SeedMixes[[#This Row],[Variety]],SeedMixes[[#This Row],[Company]])</f>
        <v>Cosmos
Double click Snowpuff
Wild Garden</v>
      </c>
      <c r="J83" s="53" t="s">
        <v>1927</v>
      </c>
      <c r="K83">
        <v>1</v>
      </c>
    </row>
    <row r="84" spans="2:11" ht="15" customHeight="1">
      <c r="B84" s="43">
        <v>0.25</v>
      </c>
      <c r="C84" t="s">
        <v>1968</v>
      </c>
      <c r="D84" t="s">
        <v>1777</v>
      </c>
      <c r="E84" t="s">
        <v>2007</v>
      </c>
      <c r="F84" t="s">
        <v>526</v>
      </c>
      <c r="G84" t="str">
        <f>SeedMixes[[#This Row],[Variety]]&amp;" "&amp;SeedMixes[[#This Row],[Company]]</f>
        <v>Persian Broadleaf Wild Garden</v>
      </c>
      <c r="H84" t="str">
        <f>_xlfn.TEXTJOIN(CHAR(10),FALSE, SeedMixes[[#This Row],[Crop]],SeedMixes[[#This Row],[Variety]],SeedMixes[[#This Row],[Company]])</f>
        <v>Cress
Persian Broadleaf
Wild Garden</v>
      </c>
      <c r="J84" s="53" t="s">
        <v>1943</v>
      </c>
      <c r="K84">
        <v>1</v>
      </c>
    </row>
    <row r="85" spans="2:11" ht="15" customHeight="1">
      <c r="B85" s="43">
        <v>0.75</v>
      </c>
      <c r="C85" t="s">
        <v>1968</v>
      </c>
      <c r="D85" t="s">
        <v>1777</v>
      </c>
      <c r="E85" t="s">
        <v>1969</v>
      </c>
      <c r="F85" t="s">
        <v>490</v>
      </c>
      <c r="G85" t="str">
        <f>SeedMixes[[#This Row],[Variety]]&amp;" "&amp;SeedMixes[[#This Row],[Company]]</f>
        <v>Persian Cress Johnny's</v>
      </c>
      <c r="H85" t="str">
        <f>_xlfn.TEXTJOIN(CHAR(10),FALSE, SeedMixes[[#This Row],[Crop]],SeedMixes[[#This Row],[Variety]],SeedMixes[[#This Row],[Company]])</f>
        <v>Cress
Persian Cress
Johnny's</v>
      </c>
      <c r="J85" s="53" t="s">
        <v>585</v>
      </c>
      <c r="K85">
        <v>1</v>
      </c>
    </row>
    <row r="86" spans="2:11" ht="15" customHeight="1">
      <c r="B86" s="43">
        <v>0.75</v>
      </c>
      <c r="C86" t="s">
        <v>2822</v>
      </c>
      <c r="D86" t="s">
        <v>70</v>
      </c>
      <c r="E86" t="s">
        <v>1812</v>
      </c>
      <c r="F86" t="s">
        <v>482</v>
      </c>
      <c r="G86" t="str">
        <f>SeedMixes[[#This Row],[Variety]]&amp;" "&amp;SeedMixes[[#This Row],[Company]]</f>
        <v>Tasty Green High Mowing</v>
      </c>
      <c r="H86" t="str">
        <f>_xlfn.TEXTJOIN(CHAR(10),FALSE, SeedMixes[[#This Row],[Crop]],SeedMixes[[#This Row],[Variety]],SeedMixes[[#This Row],[Company]])</f>
        <v>Cucumber
Tasty Green
High Mowing</v>
      </c>
      <c r="J86" s="53" t="s">
        <v>1842</v>
      </c>
      <c r="K86">
        <v>1</v>
      </c>
    </row>
    <row r="87" spans="2:11" ht="15" customHeight="1">
      <c r="B87" s="43">
        <v>0.25</v>
      </c>
      <c r="C87" t="s">
        <v>2822</v>
      </c>
      <c r="D87" t="s">
        <v>70</v>
      </c>
      <c r="E87" t="s">
        <v>2812</v>
      </c>
      <c r="F87" t="s">
        <v>482</v>
      </c>
      <c r="G87" t="str">
        <f>SeedMixes[[#This Row],[Variety]]&amp;" "&amp;SeedMixes[[#This Row],[Company]]</f>
        <v>Shintokiwa High Mowing</v>
      </c>
      <c r="H87" t="str">
        <f>_xlfn.TEXTJOIN(CHAR(10),FALSE, SeedMixes[[#This Row],[Crop]],SeedMixes[[#This Row],[Variety]],SeedMixes[[#This Row],[Company]])</f>
        <v>Cucumber
Shintokiwa
High Mowing</v>
      </c>
      <c r="J87" s="53" t="s">
        <v>1988</v>
      </c>
      <c r="K87">
        <v>1</v>
      </c>
    </row>
    <row r="88" spans="2:11" ht="15" customHeight="1">
      <c r="B88" s="43">
        <f>1/COUNTIF(SeedMixes[Name],"="&amp;SeedMixes[[#This Row],[Name]])</f>
        <v>0.5</v>
      </c>
      <c r="C88" t="s">
        <v>2823</v>
      </c>
      <c r="D88" t="s">
        <v>70</v>
      </c>
      <c r="E88" t="s">
        <v>1609</v>
      </c>
      <c r="F88" t="s">
        <v>482</v>
      </c>
      <c r="G88" t="str">
        <f>SeedMixes[[#This Row],[Variety]]&amp;" "&amp;SeedMixes[[#This Row],[Company]]</f>
        <v>Manny High Mowing</v>
      </c>
      <c r="H88" t="str">
        <f>_xlfn.TEXTJOIN(CHAR(10),FALSE, SeedMixes[[#This Row],[Crop]],SeedMixes[[#This Row],[Variety]],SeedMixes[[#This Row],[Company]])</f>
        <v>Cucumber
Manny
High Mowing</v>
      </c>
      <c r="J88" s="53" t="s">
        <v>584</v>
      </c>
      <c r="K88">
        <v>0.99999999999999989</v>
      </c>
    </row>
    <row r="89" spans="2:11" ht="15" customHeight="1">
      <c r="B89" s="43">
        <f>1/COUNTIF(SeedMixes[Name],"="&amp;SeedMixes[[#This Row],[Name]])</f>
        <v>0.5</v>
      </c>
      <c r="C89" t="s">
        <v>2823</v>
      </c>
      <c r="D89" t="s">
        <v>70</v>
      </c>
      <c r="E89" t="s">
        <v>2811</v>
      </c>
      <c r="F89" t="s">
        <v>503</v>
      </c>
      <c r="G89" t="str">
        <f>SeedMixes[[#This Row],[Variety]]&amp;" "&amp;SeedMixes[[#This Row],[Company]]</f>
        <v>Katrina Osborne</v>
      </c>
      <c r="H89" t="str">
        <f>_xlfn.TEXTJOIN(CHAR(10),FALSE, SeedMixes[[#This Row],[Crop]],SeedMixes[[#This Row],[Variety]],SeedMixes[[#This Row],[Company]])</f>
        <v>Cucumber
Katrina
Osborne</v>
      </c>
      <c r="J89" s="53" t="s">
        <v>567</v>
      </c>
      <c r="K89">
        <v>1</v>
      </c>
    </row>
    <row r="90" spans="2:11" ht="15" customHeight="1">
      <c r="B90" s="43">
        <v>0.75</v>
      </c>
      <c r="C90" t="s">
        <v>2821</v>
      </c>
      <c r="D90" t="s">
        <v>70</v>
      </c>
      <c r="E90" t="s">
        <v>1811</v>
      </c>
      <c r="F90" t="s">
        <v>482</v>
      </c>
      <c r="G90" t="str">
        <f>SeedMixes[[#This Row],[Variety]]&amp;" "&amp;SeedMixes[[#This Row],[Company]]</f>
        <v>Marketmore High Mowing</v>
      </c>
      <c r="H90" t="str">
        <f>_xlfn.TEXTJOIN(CHAR(10),FALSE, SeedMixes[[#This Row],[Crop]],SeedMixes[[#This Row],[Variety]],SeedMixes[[#This Row],[Company]])</f>
        <v>Cucumber
Marketmore
High Mowing</v>
      </c>
      <c r="J90" s="53" t="s">
        <v>2011</v>
      </c>
      <c r="K90">
        <v>1</v>
      </c>
    </row>
    <row r="91" spans="2:11" ht="15" customHeight="1">
      <c r="B91" s="43">
        <v>0.25</v>
      </c>
      <c r="C91" t="s">
        <v>2821</v>
      </c>
      <c r="D91" t="s">
        <v>70</v>
      </c>
      <c r="E91" t="s">
        <v>2877</v>
      </c>
      <c r="F91" t="s">
        <v>490</v>
      </c>
      <c r="G91" t="str">
        <f>SeedMixes[[#This Row],[Variety]]&amp;" "&amp;SeedMixes[[#This Row],[Company]]</f>
        <v>Corinto Johnny's</v>
      </c>
      <c r="H91" t="str">
        <f>_xlfn.TEXTJOIN(CHAR(10),FALSE, SeedMixes[[#This Row],[Crop]],SeedMixes[[#This Row],[Variety]],SeedMixes[[#This Row],[Company]])</f>
        <v>Cucumber
Corinto
Johnny's</v>
      </c>
      <c r="J91" s="53" t="s">
        <v>1912</v>
      </c>
      <c r="K91">
        <v>1</v>
      </c>
    </row>
    <row r="92" spans="2:11" ht="15" customHeight="1">
      <c r="B92" s="43">
        <f>1/COUNTIF(SeedMixes[Name],"="&amp;SeedMixes[[#This Row],[Name]])</f>
        <v>1</v>
      </c>
      <c r="C92" t="s">
        <v>1970</v>
      </c>
      <c r="D92" t="s">
        <v>72</v>
      </c>
      <c r="E92" t="s">
        <v>1971</v>
      </c>
      <c r="F92" t="s">
        <v>526</v>
      </c>
      <c r="G92" t="str">
        <f>SeedMixes[[#This Row],[Variety]]&amp;" "&amp;SeedMixes[[#This Row],[Company]]</f>
        <v>Star Gazer Wild Garden</v>
      </c>
      <c r="H92" t="str">
        <f>_xlfn.TEXTJOIN(CHAR(10),FALSE, SeedMixes[[#This Row],[Crop]],SeedMixes[[#This Row],[Variety]],SeedMixes[[#This Row],[Company]])</f>
        <v>Dahlias
Star Gazer
Wild Garden</v>
      </c>
      <c r="J92" s="53" t="s">
        <v>1897</v>
      </c>
      <c r="K92">
        <v>1</v>
      </c>
    </row>
    <row r="93" spans="2:11" ht="15" customHeight="1">
      <c r="B93" s="43">
        <f>1/COUNTIF(SeedMixes[Name],"="&amp;SeedMixes[[#This Row],[Name]])</f>
        <v>0.25</v>
      </c>
      <c r="C93" t="s">
        <v>522</v>
      </c>
      <c r="D93" t="s">
        <v>74</v>
      </c>
      <c r="E93" t="s">
        <v>613</v>
      </c>
      <c r="F93" t="s">
        <v>488</v>
      </c>
      <c r="G93" t="str">
        <f>SeedMixes[[#This Row],[Variety]]&amp;" "&amp;SeedMixes[[#This Row],[Company]]</f>
        <v>Hollandia Purple Crown Mix Adaptive</v>
      </c>
      <c r="H93" t="str">
        <f>_xlfn.TEXTJOIN(CHAR(10),FALSE, SeedMixes[[#This Row],[Crop]],SeedMixes[[#This Row],[Variety]],SeedMixes[[#This Row],[Company]])</f>
        <v>Dianthus
Hollandia Purple Crown Mix
Adaptive</v>
      </c>
      <c r="J93" s="53" t="s">
        <v>577</v>
      </c>
      <c r="K93">
        <v>1</v>
      </c>
    </row>
    <row r="94" spans="2:11" ht="15" customHeight="1">
      <c r="B94" s="43">
        <f>1/COUNTIF(SeedMixes[Name],"="&amp;SeedMixes[[#This Row],[Name]])</f>
        <v>0.25</v>
      </c>
      <c r="C94" t="s">
        <v>522</v>
      </c>
      <c r="D94" t="s">
        <v>74</v>
      </c>
      <c r="E94" t="s">
        <v>1868</v>
      </c>
      <c r="F94" t="s">
        <v>492</v>
      </c>
      <c r="G94" t="str">
        <f>SeedMixes[[#This Row],[Variety]]&amp;" "&amp;SeedMixes[[#This Row],[Company]]</f>
        <v>Spooky Mix Baker Creek</v>
      </c>
      <c r="H94" t="str">
        <f>_xlfn.TEXTJOIN(CHAR(10),FALSE, SeedMixes[[#This Row],[Crop]],SeedMixes[[#This Row],[Variety]],SeedMixes[[#This Row],[Company]])</f>
        <v>Dianthus
Spooky Mix
Baker Creek</v>
      </c>
      <c r="J94" s="53" t="s">
        <v>1937</v>
      </c>
      <c r="K94">
        <v>1</v>
      </c>
    </row>
    <row r="95" spans="2:11" ht="15" customHeight="1">
      <c r="B95" s="43">
        <f>1/COUNTIF(SeedMixes[Name],"="&amp;SeedMixes[[#This Row],[Name]])</f>
        <v>0.25</v>
      </c>
      <c r="C95" t="s">
        <v>522</v>
      </c>
      <c r="D95" t="s">
        <v>74</v>
      </c>
      <c r="E95" t="s">
        <v>610</v>
      </c>
      <c r="F95" t="s">
        <v>526</v>
      </c>
      <c r="G95" t="str">
        <f>SeedMixes[[#This Row],[Variety]]&amp;" "&amp;SeedMixes[[#This Row],[Company]]</f>
        <v>Velvet 'n Lace' Wild Garden</v>
      </c>
      <c r="H95" t="str">
        <f>_xlfn.TEXTJOIN(CHAR(10),FALSE, SeedMixes[[#This Row],[Crop]],SeedMixes[[#This Row],[Variety]],SeedMixes[[#This Row],[Company]])</f>
        <v>Dianthus
Velvet 'n Lace'
Wild Garden</v>
      </c>
      <c r="J95" s="53" t="s">
        <v>1999</v>
      </c>
      <c r="K95">
        <v>1</v>
      </c>
    </row>
    <row r="96" spans="2:11" ht="15" customHeight="1">
      <c r="B96" s="43">
        <f>1/COUNTIF(SeedMixes[Name],"="&amp;SeedMixes[[#This Row],[Name]])</f>
        <v>0.25</v>
      </c>
      <c r="C96" t="s">
        <v>522</v>
      </c>
      <c r="D96" t="s">
        <v>74</v>
      </c>
      <c r="E96" t="s">
        <v>611</v>
      </c>
      <c r="F96" t="s">
        <v>490</v>
      </c>
      <c r="G96" t="str">
        <f>SeedMixes[[#This Row],[Variety]]&amp;" "&amp;SeedMixes[[#This Row],[Company]]</f>
        <v>Volcano Mix Johnny's</v>
      </c>
      <c r="H96" t="str">
        <f>_xlfn.TEXTJOIN(CHAR(10),FALSE, SeedMixes[[#This Row],[Crop]],SeedMixes[[#This Row],[Variety]],SeedMixes[[#This Row],[Company]])</f>
        <v>Dianthus
Volcano Mix
Johnny's</v>
      </c>
      <c r="J96" s="53" t="s">
        <v>2003</v>
      </c>
      <c r="K96">
        <v>1</v>
      </c>
    </row>
    <row r="97" spans="2:11" ht="15" customHeight="1">
      <c r="B97" s="43">
        <f>1/COUNTIF(SeedMixes[Name],"="&amp;SeedMixes[[#This Row],[Name]])</f>
        <v>0.25</v>
      </c>
      <c r="C97" t="s">
        <v>614</v>
      </c>
      <c r="D97" t="s">
        <v>75</v>
      </c>
      <c r="E97" t="s">
        <v>2813</v>
      </c>
      <c r="F97" t="s">
        <v>490</v>
      </c>
      <c r="G97" t="str">
        <f>SeedMixes[[#This Row],[Variety]]&amp;" "&amp;SeedMixes[[#This Row],[Company]]</f>
        <v>Thalia OG Johnny's</v>
      </c>
      <c r="H97" t="str">
        <f>_xlfn.TEXTJOIN(CHAR(10),FALSE, SeedMixes[[#This Row],[Crop]],SeedMixes[[#This Row],[Variety]],SeedMixes[[#This Row],[Company]])</f>
        <v>Dill
Thalia OG
Johnny's</v>
      </c>
      <c r="J97" s="53" t="s">
        <v>2286</v>
      </c>
      <c r="K97">
        <v>1</v>
      </c>
    </row>
    <row r="98" spans="2:11" ht="15" customHeight="1">
      <c r="B98" s="43">
        <f>1/COUNTIF(SeedMixes[Name],"="&amp;SeedMixes[[#This Row],[Name]])</f>
        <v>0.25</v>
      </c>
      <c r="C98" t="s">
        <v>614</v>
      </c>
      <c r="D98" t="s">
        <v>75</v>
      </c>
      <c r="E98" t="s">
        <v>2900</v>
      </c>
      <c r="F98" t="s">
        <v>503</v>
      </c>
      <c r="G98" t="str">
        <f>SeedMixes[[#This Row],[Variety]]&amp;" "&amp;SeedMixes[[#This Row],[Company]]</f>
        <v>Bouquet OG Osborne</v>
      </c>
      <c r="H98" t="str">
        <f>_xlfn.TEXTJOIN(CHAR(10),FALSE, SeedMixes[[#This Row],[Crop]],SeedMixes[[#This Row],[Variety]],SeedMixes[[#This Row],[Company]])</f>
        <v>Dill
Bouquet OG
Osborne</v>
      </c>
      <c r="J98" s="53" t="s">
        <v>2287</v>
      </c>
      <c r="K98">
        <v>1</v>
      </c>
    </row>
    <row r="99" spans="2:11" ht="15" customHeight="1">
      <c r="B99" s="43">
        <f>1/COUNTIF(SeedMixes[Name],"="&amp;SeedMixes[[#This Row],[Name]])</f>
        <v>0.25</v>
      </c>
      <c r="C99" t="s">
        <v>614</v>
      </c>
      <c r="D99" t="s">
        <v>75</v>
      </c>
      <c r="E99" t="s">
        <v>523</v>
      </c>
      <c r="F99" t="s">
        <v>488</v>
      </c>
      <c r="G99" t="str">
        <f>SeedMixes[[#This Row],[Variety]]&amp;" "&amp;SeedMixes[[#This Row],[Company]]</f>
        <v>Ambrosia Adaptive</v>
      </c>
      <c r="H99" t="str">
        <f>_xlfn.TEXTJOIN(CHAR(10),FALSE, SeedMixes[[#This Row],[Crop]],SeedMixes[[#This Row],[Variety]],SeedMixes[[#This Row],[Company]])</f>
        <v>Dill
Ambrosia
Adaptive</v>
      </c>
      <c r="J99" s="53" t="s">
        <v>2288</v>
      </c>
      <c r="K99">
        <v>1</v>
      </c>
    </row>
    <row r="100" spans="2:11" ht="15" customHeight="1">
      <c r="B100" s="43">
        <f>1/COUNTIF(SeedMixes[Name],"="&amp;SeedMixes[[#This Row],[Name]])</f>
        <v>0.25</v>
      </c>
      <c r="C100" t="s">
        <v>614</v>
      </c>
      <c r="D100" t="s">
        <v>75</v>
      </c>
      <c r="E100" t="s">
        <v>524</v>
      </c>
      <c r="F100" t="s">
        <v>482</v>
      </c>
      <c r="G100" t="str">
        <f>SeedMixes[[#This Row],[Variety]]&amp;" "&amp;SeedMixes[[#This Row],[Company]]</f>
        <v>Green Sleeves High Mowing</v>
      </c>
      <c r="H100" t="str">
        <f>_xlfn.TEXTJOIN(CHAR(10),FALSE, SeedMixes[[#This Row],[Crop]],SeedMixes[[#This Row],[Variety]],SeedMixes[[#This Row],[Company]])</f>
        <v>Dill
Green Sleeves
High Mowing</v>
      </c>
      <c r="J100" s="53" t="s">
        <v>2301</v>
      </c>
      <c r="K100">
        <v>1</v>
      </c>
    </row>
    <row r="101" spans="2:11" ht="15" customHeight="1">
      <c r="B101" s="43">
        <f>1/COUNTIF(SeedMixes[Name],"="&amp;SeedMixes[[#This Row],[Name]])</f>
        <v>0.5</v>
      </c>
      <c r="C101" t="s">
        <v>1972</v>
      </c>
      <c r="D101" t="s">
        <v>75</v>
      </c>
      <c r="E101" t="s">
        <v>525</v>
      </c>
      <c r="F101" t="s">
        <v>526</v>
      </c>
      <c r="G101" t="str">
        <f>SeedMixes[[#This Row],[Variety]]&amp;" "&amp;SeedMixes[[#This Row],[Company]]</f>
        <v>Green Mist Wild Garden</v>
      </c>
      <c r="H101" t="str">
        <f>_xlfn.TEXTJOIN(CHAR(10),FALSE, SeedMixes[[#This Row],[Crop]],SeedMixes[[#This Row],[Variety]],SeedMixes[[#This Row],[Company]])</f>
        <v>Dill
Green Mist
Wild Garden</v>
      </c>
      <c r="J101" s="53" t="s">
        <v>2304</v>
      </c>
      <c r="K101">
        <v>1</v>
      </c>
    </row>
    <row r="102" spans="2:11" ht="15" customHeight="1">
      <c r="B102" s="43">
        <f>1/COUNTIF(SeedMixes[Name],"="&amp;SeedMixes[[#This Row],[Name]])</f>
        <v>0.5</v>
      </c>
      <c r="C102" t="s">
        <v>1972</v>
      </c>
      <c r="D102" t="s">
        <v>75</v>
      </c>
      <c r="E102" t="s">
        <v>527</v>
      </c>
      <c r="F102" t="s">
        <v>526</v>
      </c>
      <c r="G102" t="str">
        <f>SeedMixes[[#This Row],[Variety]]&amp;" "&amp;SeedMixes[[#This Row],[Company]]</f>
        <v>White Dill Wild Garden</v>
      </c>
      <c r="H102" t="str">
        <f>_xlfn.TEXTJOIN(CHAR(10),FALSE, SeedMixes[[#This Row],[Crop]],SeedMixes[[#This Row],[Variety]],SeedMixes[[#This Row],[Company]])</f>
        <v>Dill
White Dill
Wild Garden</v>
      </c>
      <c r="J102" s="53" t="s">
        <v>2850</v>
      </c>
      <c r="K102">
        <v>1</v>
      </c>
    </row>
    <row r="103" spans="2:11" ht="15" customHeight="1">
      <c r="B103" s="43">
        <v>0.5</v>
      </c>
      <c r="C103" t="s">
        <v>528</v>
      </c>
      <c r="D103" t="s">
        <v>76</v>
      </c>
      <c r="E103" t="s">
        <v>1813</v>
      </c>
      <c r="F103" t="s">
        <v>482</v>
      </c>
      <c r="G103" t="str">
        <f>SeedMixes[[#This Row],[Variety]]&amp;" "&amp;SeedMixes[[#This Row],[Company]]</f>
        <v>Annina F1 High Mowing</v>
      </c>
      <c r="H103" t="str">
        <f>_xlfn.TEXTJOIN(CHAR(10),FALSE, SeedMixes[[#This Row],[Crop]],SeedMixes[[#This Row],[Variety]],SeedMixes[[#This Row],[Company]])</f>
        <v>Eggplant
Annina F1
High Mowing</v>
      </c>
      <c r="J103" s="53" t="s">
        <v>2783</v>
      </c>
      <c r="K103">
        <v>1</v>
      </c>
    </row>
    <row r="104" spans="2:11" ht="15" customHeight="1">
      <c r="B104" s="43">
        <v>0.25</v>
      </c>
      <c r="C104" t="s">
        <v>528</v>
      </c>
      <c r="D104" t="s">
        <v>76</v>
      </c>
      <c r="E104" t="s">
        <v>615</v>
      </c>
      <c r="F104" t="s">
        <v>488</v>
      </c>
      <c r="G104" t="str">
        <f>SeedMixes[[#This Row],[Variety]]&amp;" "&amp;SeedMixes[[#This Row],[Company]]</f>
        <v>Poamoho Dark Long Adaptive</v>
      </c>
      <c r="H104" t="str">
        <f>_xlfn.TEXTJOIN(CHAR(10),FALSE, SeedMixes[[#This Row],[Crop]],SeedMixes[[#This Row],[Variety]],SeedMixes[[#This Row],[Company]])</f>
        <v>Eggplant
Poamoho Dark Long
Adaptive</v>
      </c>
      <c r="J104" s="53" t="s">
        <v>2852</v>
      </c>
      <c r="K104">
        <v>1</v>
      </c>
    </row>
    <row r="105" spans="2:11" ht="15" customHeight="1">
      <c r="B105" s="43">
        <v>0.25</v>
      </c>
      <c r="C105" t="s">
        <v>528</v>
      </c>
      <c r="D105" t="s">
        <v>76</v>
      </c>
      <c r="E105" t="s">
        <v>2223</v>
      </c>
      <c r="F105" t="s">
        <v>490</v>
      </c>
      <c r="G105" t="str">
        <f>SeedMixes[[#This Row],[Variety]]&amp;" "&amp;SeedMixes[[#This Row],[Company]]</f>
        <v>Traviata F1 Johnny's</v>
      </c>
      <c r="H105" t="str">
        <f>_xlfn.TEXTJOIN(CHAR(10),FALSE, SeedMixes[[#This Row],[Crop]],SeedMixes[[#This Row],[Variety]],SeedMixes[[#This Row],[Company]])</f>
        <v>Eggplant
Traviata F1
Johnny's</v>
      </c>
      <c r="J105" s="53" t="s">
        <v>2788</v>
      </c>
      <c r="K105">
        <v>1</v>
      </c>
    </row>
    <row r="106" spans="2:11" ht="15" customHeight="1">
      <c r="B106" s="43">
        <f>1/COUNTIF(SeedMixes[Name],"="&amp;SeedMixes[[#This Row],[Name]])</f>
        <v>1</v>
      </c>
      <c r="C106" t="s">
        <v>1973</v>
      </c>
      <c r="D106" t="s">
        <v>1765</v>
      </c>
      <c r="E106" t="s">
        <v>2008</v>
      </c>
      <c r="F106" t="s">
        <v>488</v>
      </c>
      <c r="G106" t="str">
        <f>SeedMixes[[#This Row],[Variety]]&amp;" "&amp;SeedMixes[[#This Row],[Company]]</f>
        <v>Winged Everlasting Adaptive</v>
      </c>
      <c r="H106" t="str">
        <f>_xlfn.TEXTJOIN(CHAR(10),FALSE, SeedMixes[[#This Row],[Crop]],SeedMixes[[#This Row],[Variety]],SeedMixes[[#This Row],[Company]])</f>
        <v>Everlasting
Winged Everlasting
Adaptive</v>
      </c>
      <c r="J106" s="53" t="s">
        <v>2790</v>
      </c>
      <c r="K106">
        <v>1</v>
      </c>
    </row>
    <row r="107" spans="2:11" ht="15" customHeight="1">
      <c r="B107" s="43">
        <f>1/COUNTIF(SeedMixes[Name],"="&amp;SeedMixes[[#This Row],[Name]])</f>
        <v>1</v>
      </c>
      <c r="C107" t="s">
        <v>529</v>
      </c>
      <c r="D107" t="s">
        <v>77</v>
      </c>
      <c r="E107" t="s">
        <v>1815</v>
      </c>
      <c r="F107" t="s">
        <v>1814</v>
      </c>
      <c r="G107" t="str">
        <f>SeedMixes[[#This Row],[Variety]]&amp;" "&amp;SeedMixes[[#This Row],[Company]]</f>
        <v>Aquadulce Sustainable Seed Company</v>
      </c>
      <c r="H107" t="str">
        <f>_xlfn.TEXTJOIN(CHAR(10),FALSE, SeedMixes[[#This Row],[Crop]],SeedMixes[[#This Row],[Variety]],SeedMixes[[#This Row],[Company]])</f>
        <v>Fava Beans
Aquadulce
Sustainable Seed Company</v>
      </c>
      <c r="J107" s="53" t="s">
        <v>2792</v>
      </c>
      <c r="K107">
        <v>1</v>
      </c>
    </row>
    <row r="108" spans="2:11" ht="15" customHeight="1">
      <c r="B108" s="43">
        <v>0.25</v>
      </c>
      <c r="C108" t="s">
        <v>1832</v>
      </c>
      <c r="D108" t="s">
        <v>1833</v>
      </c>
      <c r="E108" t="s">
        <v>530</v>
      </c>
      <c r="F108" t="s">
        <v>526</v>
      </c>
      <c r="G108" t="str">
        <f>SeedMixes[[#This Row],[Variety]]&amp;" "&amp;SeedMixes[[#This Row],[Company]]</f>
        <v>Perfection Wild Garden</v>
      </c>
      <c r="H108" t="str">
        <f>_xlfn.TEXTJOIN(CHAR(10),FALSE, SeedMixes[[#This Row],[Crop]],SeedMixes[[#This Row],[Variety]],SeedMixes[[#This Row],[Company]])</f>
        <v>Fennel 
Perfection
Wild Garden</v>
      </c>
      <c r="J108" s="53" t="s">
        <v>2821</v>
      </c>
      <c r="K108">
        <v>1</v>
      </c>
    </row>
    <row r="109" spans="2:11" ht="15" customHeight="1">
      <c r="B109" s="43">
        <v>0.75</v>
      </c>
      <c r="C109" t="s">
        <v>1832</v>
      </c>
      <c r="D109" t="s">
        <v>1833</v>
      </c>
      <c r="E109" t="s">
        <v>531</v>
      </c>
      <c r="F109" t="s">
        <v>482</v>
      </c>
      <c r="G109" t="str">
        <f>SeedMixes[[#This Row],[Variety]]&amp;" "&amp;SeedMixes[[#This Row],[Company]]</f>
        <v>Solaris F1 High Mowing</v>
      </c>
      <c r="H109" t="str">
        <f>_xlfn.TEXTJOIN(CHAR(10),FALSE, SeedMixes[[#This Row],[Crop]],SeedMixes[[#This Row],[Variety]],SeedMixes[[#This Row],[Company]])</f>
        <v>Fennel 
Solaris F1
High Mowing</v>
      </c>
      <c r="J109" s="53" t="s">
        <v>2822</v>
      </c>
      <c r="K109">
        <v>1</v>
      </c>
    </row>
    <row r="110" spans="2:11" ht="15" customHeight="1">
      <c r="B110" s="43">
        <f>1/COUNTIF(SeedMixes[Name],"="&amp;SeedMixes[[#This Row],[Name]])</f>
        <v>1</v>
      </c>
      <c r="C110" t="s">
        <v>1974</v>
      </c>
      <c r="D110" t="s">
        <v>1768</v>
      </c>
      <c r="E110" t="s">
        <v>1975</v>
      </c>
      <c r="F110" t="s">
        <v>488</v>
      </c>
      <c r="G110" t="str">
        <f>SeedMixes[[#This Row],[Variety]]&amp;" "&amp;SeedMixes[[#This Row],[Company]]</f>
        <v>Foster Adaptive</v>
      </c>
      <c r="H110" t="str">
        <f>_xlfn.TEXTJOIN(CHAR(10),FALSE, SeedMixes[[#This Row],[Crop]],SeedMixes[[#This Row],[Variety]],SeedMixes[[#This Row],[Company]])</f>
        <v>Flax
Foster
Adaptive</v>
      </c>
      <c r="J110" s="53" t="s">
        <v>2823</v>
      </c>
      <c r="K110">
        <v>1</v>
      </c>
    </row>
    <row r="111" spans="2:11" ht="15" customHeight="1">
      <c r="B111" s="43">
        <f>1/COUNTIF(SeedMixes[Name],"="&amp;SeedMixes[[#This Row],[Name]])</f>
        <v>1</v>
      </c>
      <c r="C111" t="s">
        <v>1835</v>
      </c>
      <c r="D111" t="s">
        <v>80</v>
      </c>
      <c r="E111" t="s">
        <v>1836</v>
      </c>
      <c r="G111" t="str">
        <f>SeedMixes[[#This Row],[Variety]]&amp;" "&amp;SeedMixes[[#This Row],[Company]]</f>
        <v xml:space="preserve">TBD </v>
      </c>
      <c r="H111" t="str">
        <f>_xlfn.TEXTJOIN(CHAR(10),FALSE, SeedMixes[[#This Row],[Crop]],SeedMixes[[#This Row],[Variety]],SeedMixes[[#This Row],[Company]])</f>
        <v xml:space="preserve">Garlic
TBD
</v>
      </c>
      <c r="J111" s="53" t="s">
        <v>2856</v>
      </c>
      <c r="K111">
        <v>1</v>
      </c>
    </row>
    <row r="112" spans="2:11" ht="15" customHeight="1">
      <c r="B112" s="43">
        <f>1/COUNTIF(SeedMixes[Name],"="&amp;SeedMixes[[#This Row],[Name]])</f>
        <v>1</v>
      </c>
      <c r="C112" t="s">
        <v>1834</v>
      </c>
      <c r="D112" t="s">
        <v>80</v>
      </c>
      <c r="E112" t="s">
        <v>1836</v>
      </c>
      <c r="G112" t="str">
        <f>SeedMixes[[#This Row],[Variety]]&amp;" "&amp;SeedMixes[[#This Row],[Company]]</f>
        <v xml:space="preserve">TBD </v>
      </c>
      <c r="H112" t="str">
        <f>_xlfn.TEXTJOIN(CHAR(10),FALSE, SeedMixes[[#This Row],[Crop]],SeedMixes[[#This Row],[Variety]],SeedMixes[[#This Row],[Company]])</f>
        <v xml:space="preserve">Garlic
TBD
</v>
      </c>
      <c r="J112" s="53" t="s">
        <v>2814</v>
      </c>
      <c r="K112">
        <v>0.99999999999999989</v>
      </c>
    </row>
    <row r="113" spans="2:11" ht="15" customHeight="1">
      <c r="B113" s="51">
        <f>1/COUNTIF(SeedMixes[Name],"="&amp;SeedMixes[[#This Row],[Name]])</f>
        <v>0.5</v>
      </c>
      <c r="C113" t="s">
        <v>1394</v>
      </c>
      <c r="D113" t="s">
        <v>82</v>
      </c>
      <c r="E113" t="s">
        <v>853</v>
      </c>
      <c r="F113" t="s">
        <v>484</v>
      </c>
      <c r="G113" t="str">
        <f>SeedMixes[[#This Row],[Variety]]&amp;" "&amp;SeedMixes[[#This Row],[Company]]</f>
        <v>AUNT MOLLY'S Uprising</v>
      </c>
      <c r="H113" t="str">
        <f>_xlfn.TEXTJOIN(CHAR(10),FALSE, SeedMixes[[#This Row],[Crop]],SeedMixes[[#This Row],[Variety]],SeedMixes[[#This Row],[Company]])</f>
        <v>Ground Cherry
AUNT MOLLY'S
Uprising</v>
      </c>
      <c r="J113" s="53" t="s">
        <v>2816</v>
      </c>
      <c r="K113">
        <v>1</v>
      </c>
    </row>
    <row r="114" spans="2:11" ht="15" customHeight="1">
      <c r="B114" s="51">
        <f>1/COUNTIF(SeedMixes[Name],"="&amp;SeedMixes[[#This Row],[Name]])</f>
        <v>0.5</v>
      </c>
      <c r="C114" t="s">
        <v>1394</v>
      </c>
      <c r="D114" t="s">
        <v>82</v>
      </c>
      <c r="E114" t="s">
        <v>1358</v>
      </c>
      <c r="F114" t="s">
        <v>501</v>
      </c>
      <c r="G114" t="str">
        <f>SeedMixes[[#This Row],[Variety]]&amp;" "&amp;SeedMixes[[#This Row],[Company]]</f>
        <v>Peruvian Garden Hoard</v>
      </c>
      <c r="H114" t="str">
        <f>_xlfn.TEXTJOIN(CHAR(10),FALSE, SeedMixes[[#This Row],[Crop]],SeedMixes[[#This Row],[Variety]],SeedMixes[[#This Row],[Company]])</f>
        <v>Ground Cherry
Peruvian
Garden Hoard</v>
      </c>
      <c r="J114" s="53" t="s">
        <v>2818</v>
      </c>
      <c r="K114">
        <v>1</v>
      </c>
    </row>
    <row r="115" spans="2:11" ht="15" customHeight="1">
      <c r="B115" s="43">
        <f>1/COUNTIF(SeedMixes[Name],"="&amp;SeedMixes[[#This Row],[Name]])</f>
        <v>1</v>
      </c>
      <c r="C115" t="s">
        <v>1976</v>
      </c>
      <c r="D115" t="s">
        <v>1773</v>
      </c>
      <c r="E115" t="s">
        <v>1977</v>
      </c>
      <c r="F115" t="s">
        <v>490</v>
      </c>
      <c r="G115" t="str">
        <f>SeedMixes[[#This Row],[Variety]]&amp;" "&amp;SeedMixes[[#This Row],[Company]]</f>
        <v>Mahogany Splendor Johnny's</v>
      </c>
      <c r="H115" t="str">
        <f>_xlfn.TEXTJOIN(CHAR(10),FALSE, SeedMixes[[#This Row],[Crop]],SeedMixes[[#This Row],[Variety]],SeedMixes[[#This Row],[Company]])</f>
        <v>Hibiscus
Mahogany Splendor
Johnny's</v>
      </c>
      <c r="J115" s="53" t="s">
        <v>2864</v>
      </c>
      <c r="K115">
        <v>1</v>
      </c>
    </row>
    <row r="116" spans="2:11" ht="15" customHeight="1">
      <c r="B116" s="51">
        <f>1/COUNTIF(SeedMixes[Name],"="&amp;SeedMixes[[#This Row],[Name]])</f>
        <v>0.25</v>
      </c>
      <c r="C116" t="s">
        <v>1913</v>
      </c>
      <c r="D116" t="s">
        <v>88</v>
      </c>
      <c r="E116" t="s">
        <v>1915</v>
      </c>
      <c r="F116" t="s">
        <v>482</v>
      </c>
      <c r="G116" t="str">
        <f>SeedMixes[[#This Row],[Variety]]&amp;" "&amp;SeedMixes[[#This Row],[Company]]</f>
        <v>Arun F1 High Mowing</v>
      </c>
      <c r="H116" t="str">
        <f>_xlfn.TEXTJOIN(CHAR(10),FALSE, SeedMixes[[#This Row],[Crop]],SeedMixes[[#This Row],[Variety]],SeedMixes[[#This Row],[Company]])</f>
        <v>Kale
Arun F1
High Mowing</v>
      </c>
      <c r="J116" s="53" t="s">
        <v>2859</v>
      </c>
      <c r="K116">
        <v>1</v>
      </c>
    </row>
    <row r="117" spans="2:11" ht="15" customHeight="1">
      <c r="B117" s="51">
        <f>1/COUNTIF(SeedMixes[Name],"="&amp;SeedMixes[[#This Row],[Name]])</f>
        <v>0.25</v>
      </c>
      <c r="C117" t="s">
        <v>1913</v>
      </c>
      <c r="D117" t="s">
        <v>88</v>
      </c>
      <c r="E117" t="s">
        <v>2224</v>
      </c>
      <c r="F117" t="s">
        <v>482</v>
      </c>
      <c r="G117" t="str">
        <f>SeedMixes[[#This Row],[Variety]]&amp;" "&amp;SeedMixes[[#This Row],[Company]]</f>
        <v>Red Russian High Mowing</v>
      </c>
      <c r="H117" t="str">
        <f>_xlfn.TEXTJOIN(CHAR(10),FALSE, SeedMixes[[#This Row],[Crop]],SeedMixes[[#This Row],[Variety]],SeedMixes[[#This Row],[Company]])</f>
        <v>Kale
Red Russian
High Mowing</v>
      </c>
      <c r="J117" s="53" t="s">
        <v>2827</v>
      </c>
      <c r="K117">
        <v>1</v>
      </c>
    </row>
    <row r="118" spans="2:11" ht="15" customHeight="1">
      <c r="B118" s="51">
        <f>1/COUNTIF(SeedMixes[Name],"="&amp;SeedMixes[[#This Row],[Name]])</f>
        <v>0.25</v>
      </c>
      <c r="C118" t="s">
        <v>1913</v>
      </c>
      <c r="D118" t="s">
        <v>88</v>
      </c>
      <c r="E118" t="s">
        <v>1914</v>
      </c>
      <c r="F118" t="s">
        <v>482</v>
      </c>
      <c r="G118" t="str">
        <f>SeedMixes[[#This Row],[Variety]]&amp;" "&amp;SeedMixes[[#This Row],[Company]]</f>
        <v>White Russian High Mowing</v>
      </c>
      <c r="H118" t="str">
        <f>_xlfn.TEXTJOIN(CHAR(10),FALSE, SeedMixes[[#This Row],[Crop]],SeedMixes[[#This Row],[Variety]],SeedMixes[[#This Row],[Company]])</f>
        <v>Kale
White Russian
High Mowing</v>
      </c>
      <c r="J118" s="53" t="s">
        <v>2842</v>
      </c>
      <c r="K118">
        <v>1</v>
      </c>
    </row>
    <row r="119" spans="2:11" ht="15" customHeight="1">
      <c r="B119" s="51">
        <f>1/COUNTIF(SeedMixes[Name],"="&amp;SeedMixes[[#This Row],[Name]])</f>
        <v>0.25</v>
      </c>
      <c r="C119" t="s">
        <v>1913</v>
      </c>
      <c r="D119" t="s">
        <v>88</v>
      </c>
      <c r="E119" t="s">
        <v>1554</v>
      </c>
      <c r="F119" t="s">
        <v>482</v>
      </c>
      <c r="G119" t="str">
        <f>SeedMixes[[#This Row],[Variety]]&amp;" "&amp;SeedMixes[[#This Row],[Company]]</f>
        <v>Dazzling Blue High Mowing</v>
      </c>
      <c r="H119" t="str">
        <f>_xlfn.TEXTJOIN(CHAR(10),FALSE, SeedMixes[[#This Row],[Crop]],SeedMixes[[#This Row],[Variety]],SeedMixes[[#This Row],[Company]])</f>
        <v>Kale
Dazzling Blue
High Mowing</v>
      </c>
      <c r="J119" s="53" t="s">
        <v>3042</v>
      </c>
      <c r="K119">
        <v>1</v>
      </c>
    </row>
    <row r="120" spans="2:11" ht="15" customHeight="1">
      <c r="B120" s="51">
        <f>1/COUNTIF(SeedMixes[Name],"="&amp;SeedMixes[[#This Row],[Name]])</f>
        <v>0.33333333333333331</v>
      </c>
      <c r="C120" t="s">
        <v>1912</v>
      </c>
      <c r="D120" t="s">
        <v>88</v>
      </c>
      <c r="E120" t="s">
        <v>2022</v>
      </c>
      <c r="F120" t="s">
        <v>482</v>
      </c>
      <c r="G120" t="str">
        <f>SeedMixes[[#This Row],[Variety]]&amp;" "&amp;SeedMixes[[#This Row],[Company]]</f>
        <v>Black Jack F1 High Mowing</v>
      </c>
      <c r="H120" t="str">
        <f>_xlfn.TEXTJOIN(CHAR(10),FALSE, SeedMixes[[#This Row],[Crop]],SeedMixes[[#This Row],[Variety]],SeedMixes[[#This Row],[Company]])</f>
        <v>Kale
Black Jack F1
High Mowing</v>
      </c>
      <c r="J120" s="53" t="s">
        <v>3043</v>
      </c>
      <c r="K120">
        <v>1</v>
      </c>
    </row>
    <row r="121" spans="2:11" ht="15" customHeight="1">
      <c r="B121" s="51">
        <f>1/COUNTIF(SeedMixes[Name],"="&amp;SeedMixes[[#This Row],[Name]])</f>
        <v>0.33333333333333331</v>
      </c>
      <c r="C121" t="s">
        <v>1912</v>
      </c>
      <c r="D121" t="s">
        <v>88</v>
      </c>
      <c r="E121" t="s">
        <v>1554</v>
      </c>
      <c r="F121" t="s">
        <v>482</v>
      </c>
      <c r="G121" t="str">
        <f>SeedMixes[[#This Row],[Variety]]&amp;" "&amp;SeedMixes[[#This Row],[Company]]</f>
        <v>Dazzling Blue High Mowing</v>
      </c>
      <c r="H121" t="str">
        <f>_xlfn.TEXTJOIN(CHAR(10),FALSE, SeedMixes[[#This Row],[Crop]],SeedMixes[[#This Row],[Variety]],SeedMixes[[#This Row],[Company]])</f>
        <v>Kale
Dazzling Blue
High Mowing</v>
      </c>
      <c r="J121" s="53" t="s">
        <v>3041</v>
      </c>
      <c r="K121">
        <v>1</v>
      </c>
    </row>
    <row r="122" spans="2:11" ht="15" customHeight="1">
      <c r="B122" s="51">
        <f>1/COUNTIF(SeedMixes[Name],"="&amp;SeedMixes[[#This Row],[Name]])</f>
        <v>0.33333333333333331</v>
      </c>
      <c r="C122" t="s">
        <v>1912</v>
      </c>
      <c r="D122" t="s">
        <v>88</v>
      </c>
      <c r="E122" t="s">
        <v>2224</v>
      </c>
      <c r="F122" t="s">
        <v>482</v>
      </c>
      <c r="G122" t="str">
        <f>SeedMixes[[#This Row],[Variety]]&amp;" "&amp;SeedMixes[[#This Row],[Company]]</f>
        <v>Red Russian High Mowing</v>
      </c>
      <c r="H122" t="str">
        <f>_xlfn.TEXTJOIN(CHAR(10),FALSE, SeedMixes[[#This Row],[Crop]],SeedMixes[[#This Row],[Variety]],SeedMixes[[#This Row],[Company]])</f>
        <v>Kale
Red Russian
High Mowing</v>
      </c>
      <c r="J122" s="53" t="s">
        <v>3044</v>
      </c>
      <c r="K122">
        <v>1.0000000000000002</v>
      </c>
    </row>
    <row r="123" spans="2:11" ht="15" customHeight="1">
      <c r="B123" s="51">
        <f>1/COUNTIF(SeedMixes[Name],"="&amp;SeedMixes[[#This Row],[Name]])</f>
        <v>0.5</v>
      </c>
      <c r="C123" t="s">
        <v>1918</v>
      </c>
      <c r="D123" t="s">
        <v>1919</v>
      </c>
      <c r="E123" t="s">
        <v>1921</v>
      </c>
      <c r="F123" t="s">
        <v>490</v>
      </c>
      <c r="G123" t="str">
        <f>SeedMixes[[#This Row],[Variety]]&amp;" "&amp;SeedMixes[[#This Row],[Company]]</f>
        <v>Kolibri F1 Johnny's</v>
      </c>
      <c r="H123" t="str">
        <f>_xlfn.TEXTJOIN(CHAR(10),FALSE, SeedMixes[[#This Row],[Crop]],SeedMixes[[#This Row],[Variety]],SeedMixes[[#This Row],[Company]])</f>
        <v>Kholrabi
Kolibri F1
Johnny's</v>
      </c>
      <c r="J123" s="53" t="s">
        <v>3063</v>
      </c>
      <c r="K123">
        <v>0.99999999999999978</v>
      </c>
    </row>
    <row r="124" spans="2:11" ht="15" customHeight="1">
      <c r="B124" s="51">
        <f>1/COUNTIF(SeedMixes[Name],"="&amp;SeedMixes[[#This Row],[Name]])</f>
        <v>0.5</v>
      </c>
      <c r="C124" t="s">
        <v>1918</v>
      </c>
      <c r="D124" t="s">
        <v>1919</v>
      </c>
      <c r="E124" t="s">
        <v>1920</v>
      </c>
      <c r="F124" t="s">
        <v>490</v>
      </c>
      <c r="G124" t="str">
        <f>SeedMixes[[#This Row],[Variety]]&amp;" "&amp;SeedMixes[[#This Row],[Company]]</f>
        <v>Konan F1 Johnny's</v>
      </c>
      <c r="H124" t="str">
        <f>_xlfn.TEXTJOIN(CHAR(10),FALSE, SeedMixes[[#This Row],[Crop]],SeedMixes[[#This Row],[Variety]],SeedMixes[[#This Row],[Company]])</f>
        <v>Kholrabi
Konan F1
Johnny's</v>
      </c>
      <c r="J124" s="53" t="s">
        <v>3062</v>
      </c>
      <c r="K124">
        <v>1</v>
      </c>
    </row>
    <row r="125" spans="2:11" ht="15" customHeight="1">
      <c r="B125" s="159">
        <f>1/COUNTIF(SeedMixes[Name],"="&amp;SeedMixes[[#This Row],[Name]])</f>
        <v>0.25</v>
      </c>
      <c r="C125" t="s">
        <v>1805</v>
      </c>
      <c r="D125" t="s">
        <v>90</v>
      </c>
      <c r="E125" t="s">
        <v>1384</v>
      </c>
      <c r="F125" t="s">
        <v>490</v>
      </c>
      <c r="G125" t="str">
        <f>SeedMixes[[#This Row],[Variety]]&amp;" "&amp;SeedMixes[[#This Row],[Company]]</f>
        <v>Carlton F1 Johnny's</v>
      </c>
      <c r="H125" t="str">
        <f>_xlfn.TEXTJOIN(CHAR(10),FALSE, SeedMixes[[#This Row],[Crop]],SeedMixes[[#This Row],[Variety]],SeedMixes[[#This Row],[Company]])</f>
        <v>Komatsuna
Carlton F1
Johnny's</v>
      </c>
      <c r="J125" s="53" t="s">
        <v>470</v>
      </c>
      <c r="K125">
        <v>122</v>
      </c>
    </row>
    <row r="126" spans="2:11" ht="15" customHeight="1">
      <c r="B126" s="159">
        <f>1/COUNTIF(SeedMixes[Name],"="&amp;SeedMixes[[#This Row],[Name]])</f>
        <v>0.25</v>
      </c>
      <c r="C126" t="s">
        <v>1805</v>
      </c>
      <c r="D126" t="s">
        <v>90</v>
      </c>
      <c r="E126" t="s">
        <v>90</v>
      </c>
      <c r="F126" t="s">
        <v>482</v>
      </c>
      <c r="G126" t="str">
        <f>SeedMixes[[#This Row],[Variety]]&amp;" "&amp;SeedMixes[[#This Row],[Company]]</f>
        <v>Komatsuna High Mowing</v>
      </c>
      <c r="H126" t="str">
        <f>_xlfn.TEXTJOIN(CHAR(10),FALSE, SeedMixes[[#This Row],[Crop]],SeedMixes[[#This Row],[Variety]],SeedMixes[[#This Row],[Company]])</f>
        <v>Komatsuna
Komatsuna
High Mowing</v>
      </c>
    </row>
    <row r="127" spans="2:11" ht="15" customHeight="1">
      <c r="B127" s="159">
        <f>1/COUNTIF(SeedMixes[Name],"="&amp;SeedMixes[[#This Row],[Name]])</f>
        <v>0.33333333333333331</v>
      </c>
      <c r="C127" t="s">
        <v>2856</v>
      </c>
      <c r="D127" t="s">
        <v>91</v>
      </c>
      <c r="E127" t="s">
        <v>535</v>
      </c>
      <c r="F127" t="s">
        <v>490</v>
      </c>
      <c r="G127" t="str">
        <f>SeedMixes[[#This Row],[Variety]]&amp;" "&amp;SeedMixes[[#This Row],[Company]]</f>
        <v>King Richard Johnny's</v>
      </c>
      <c r="H127" t="str">
        <f>_xlfn.TEXTJOIN(CHAR(10),FALSE, SeedMixes[[#This Row],[Crop]],SeedMixes[[#This Row],[Variety]],SeedMixes[[#This Row],[Company]])</f>
        <v>Leek
King Richard
Johnny's</v>
      </c>
    </row>
    <row r="128" spans="2:11" ht="15" customHeight="1">
      <c r="B128" s="159">
        <f>1/COUNTIF(SeedMixes[Name],"="&amp;SeedMixes[[#This Row],[Name]])</f>
        <v>0.33333333333333331</v>
      </c>
      <c r="C128" t="s">
        <v>2856</v>
      </c>
      <c r="D128" t="s">
        <v>91</v>
      </c>
      <c r="E128" t="s">
        <v>2857</v>
      </c>
      <c r="F128" t="s">
        <v>503</v>
      </c>
      <c r="G128" t="str">
        <f>SeedMixes[[#This Row],[Variety]]&amp;" "&amp;SeedMixes[[#This Row],[Company]]</f>
        <v>Lancia Osborne</v>
      </c>
      <c r="H128" t="str">
        <f>_xlfn.TEXTJOIN(CHAR(10),FALSE, SeedMixes[[#This Row],[Crop]],SeedMixes[[#This Row],[Variety]],SeedMixes[[#This Row],[Company]])</f>
        <v>Leek
Lancia
Osborne</v>
      </c>
    </row>
    <row r="129" spans="2:8" ht="15" customHeight="1">
      <c r="B129" s="159">
        <f>1/COUNTIF(SeedMixes[Name],"="&amp;SeedMixes[[#This Row],[Name]])</f>
        <v>0.33333333333333331</v>
      </c>
      <c r="C129" t="s">
        <v>2856</v>
      </c>
      <c r="D129" t="s">
        <v>91</v>
      </c>
      <c r="E129" t="s">
        <v>2858</v>
      </c>
      <c r="F129" t="s">
        <v>533</v>
      </c>
      <c r="G129" t="str">
        <f>SeedMixes[[#This Row],[Variety]]&amp;" "&amp;SeedMixes[[#This Row],[Company]]</f>
        <v>Chinook OG Territorial</v>
      </c>
      <c r="H129" t="str">
        <f>_xlfn.TEXTJOIN(CHAR(10),FALSE, SeedMixes[[#This Row],[Crop]],SeedMixes[[#This Row],[Variety]],SeedMixes[[#This Row],[Company]])</f>
        <v>Leek
Chinook OG
Territorial</v>
      </c>
    </row>
    <row r="130" spans="2:8" ht="15" customHeight="1">
      <c r="B130" s="51">
        <f>1/COUNTIF(SeedMixes[Name],"="&amp;SeedMixes[[#This Row],[Name]])</f>
        <v>0.2</v>
      </c>
      <c r="C130" t="s">
        <v>1828</v>
      </c>
      <c r="D130" t="s">
        <v>92</v>
      </c>
      <c r="E130" t="s">
        <v>542</v>
      </c>
      <c r="F130" t="s">
        <v>526</v>
      </c>
      <c r="G130" t="str">
        <f>SeedMixes[[#This Row],[Variety]]&amp;" "&amp;SeedMixes[[#This Row],[Company]]</f>
        <v>Brown Goldring Wild Garden</v>
      </c>
      <c r="H130" t="str">
        <f>_xlfn.TEXTJOIN(CHAR(10),FALSE, SeedMixes[[#This Row],[Crop]],SeedMixes[[#This Row],[Variety]],SeedMixes[[#This Row],[Company]])</f>
        <v>Lettuce
Brown Goldring
Wild Garden</v>
      </c>
    </row>
    <row r="131" spans="2:8" ht="15" customHeight="1">
      <c r="B131" s="51">
        <f>1/COUNTIF(SeedMixes[Name],"="&amp;SeedMixes[[#This Row],[Name]])</f>
        <v>0.2</v>
      </c>
      <c r="C131" t="s">
        <v>1828</v>
      </c>
      <c r="D131" t="s">
        <v>92</v>
      </c>
      <c r="E131" t="s">
        <v>1821</v>
      </c>
      <c r="F131" t="s">
        <v>2023</v>
      </c>
      <c r="G131" t="str">
        <f>SeedMixes[[#This Row],[Variety]]&amp;" "&amp;SeedMixes[[#This Row],[Company]]</f>
        <v>Merlox Red Oak Fedco</v>
      </c>
      <c r="H131" t="str">
        <f>_xlfn.TEXTJOIN(CHAR(10),FALSE, SeedMixes[[#This Row],[Crop]],SeedMixes[[#This Row],[Variety]],SeedMixes[[#This Row],[Company]])</f>
        <v>Lettuce
Merlox Red Oak
Fedco</v>
      </c>
    </row>
    <row r="132" spans="2:8" ht="15" customHeight="1">
      <c r="B132" s="51">
        <f>1/COUNTIF(SeedMixes[Name],"="&amp;SeedMixes[[#This Row],[Name]])</f>
        <v>0.2</v>
      </c>
      <c r="C132" t="s">
        <v>1828</v>
      </c>
      <c r="D132" t="s">
        <v>92</v>
      </c>
      <c r="E132" t="s">
        <v>1819</v>
      </c>
      <c r="F132" t="s">
        <v>482</v>
      </c>
      <c r="G132" t="str">
        <f>SeedMixes[[#This Row],[Variety]]&amp;" "&amp;SeedMixes[[#This Row],[Company]]</f>
        <v>Rouge D'Hiver High Mowing</v>
      </c>
      <c r="H132" t="str">
        <f>_xlfn.TEXTJOIN(CHAR(10),FALSE, SeedMixes[[#This Row],[Crop]],SeedMixes[[#This Row],[Variety]],SeedMixes[[#This Row],[Company]])</f>
        <v>Lettuce
Rouge D'Hiver
High Mowing</v>
      </c>
    </row>
    <row r="133" spans="2:8" ht="15" customHeight="1">
      <c r="B133" s="51">
        <f>1/COUNTIF(SeedMixes[Name],"="&amp;SeedMixes[[#This Row],[Name]])</f>
        <v>0.2</v>
      </c>
      <c r="C133" t="s">
        <v>1828</v>
      </c>
      <c r="D133" t="s">
        <v>92</v>
      </c>
      <c r="E133" t="s">
        <v>2229</v>
      </c>
      <c r="F133" t="s">
        <v>503</v>
      </c>
      <c r="G133" t="str">
        <f>SeedMixes[[#This Row],[Variety]]&amp;" "&amp;SeedMixes[[#This Row],[Company]]</f>
        <v>Truchas - Pelleted Osborne</v>
      </c>
      <c r="H133" t="str">
        <f>_xlfn.TEXTJOIN(CHAR(10),FALSE, SeedMixes[[#This Row],[Crop]],SeedMixes[[#This Row],[Variety]],SeedMixes[[#This Row],[Company]])</f>
        <v>Lettuce
Truchas - Pelleted
Osborne</v>
      </c>
    </row>
    <row r="134" spans="2:8" ht="15" customHeight="1">
      <c r="B134" s="51">
        <f>1/COUNTIF(SeedMixes[Name],"="&amp;SeedMixes[[#This Row],[Name]])</f>
        <v>0.2</v>
      </c>
      <c r="C134" t="s">
        <v>1828</v>
      </c>
      <c r="D134" t="s">
        <v>92</v>
      </c>
      <c r="E134" t="s">
        <v>2102</v>
      </c>
      <c r="F134" t="s">
        <v>490</v>
      </c>
      <c r="G134" t="str">
        <f>SeedMixes[[#This Row],[Variety]]&amp;" "&amp;SeedMixes[[#This Row],[Company]]</f>
        <v>Xalbadora Johnny's</v>
      </c>
      <c r="H134" t="str">
        <f>_xlfn.TEXTJOIN(CHAR(10),FALSE, SeedMixes[[#This Row],[Crop]],SeedMixes[[#This Row],[Variety]],SeedMixes[[#This Row],[Company]])</f>
        <v>Lettuce
Xalbadora
Johnny's</v>
      </c>
    </row>
    <row r="135" spans="2:8" ht="15" customHeight="1">
      <c r="B135" s="51">
        <f>1/COUNTIF(SeedMixes[Name],"="&amp;SeedMixes[[#This Row],[Name]])</f>
        <v>0.16666666666666666</v>
      </c>
      <c r="C135" t="s">
        <v>1829</v>
      </c>
      <c r="D135" t="s">
        <v>92</v>
      </c>
      <c r="E135" t="s">
        <v>1827</v>
      </c>
      <c r="F135" t="s">
        <v>490</v>
      </c>
      <c r="G135" t="str">
        <f>SeedMixes[[#This Row],[Variety]]&amp;" "&amp;SeedMixes[[#This Row],[Company]]</f>
        <v>Bauer Johnny's</v>
      </c>
      <c r="H135" t="str">
        <f>_xlfn.TEXTJOIN(CHAR(10),FALSE, SeedMixes[[#This Row],[Crop]],SeedMixes[[#This Row],[Variety]],SeedMixes[[#This Row],[Company]])</f>
        <v>Lettuce
Bauer
Johnny's</v>
      </c>
    </row>
    <row r="136" spans="2:8" ht="15" customHeight="1">
      <c r="B136" s="51">
        <f>1/COUNTIF(SeedMixes[Name],"="&amp;SeedMixes[[#This Row],[Name]])</f>
        <v>0.16666666666666666</v>
      </c>
      <c r="C136" t="s">
        <v>1829</v>
      </c>
      <c r="D136" t="s">
        <v>92</v>
      </c>
      <c r="E136" t="s">
        <v>542</v>
      </c>
      <c r="F136" t="s">
        <v>526</v>
      </c>
      <c r="G136" t="str">
        <f>SeedMixes[[#This Row],[Variety]]&amp;" "&amp;SeedMixes[[#This Row],[Company]]</f>
        <v>Brown Goldring Wild Garden</v>
      </c>
      <c r="H136" t="str">
        <f>_xlfn.TEXTJOIN(CHAR(10),FALSE, SeedMixes[[#This Row],[Crop]],SeedMixes[[#This Row],[Variety]],SeedMixes[[#This Row],[Company]])</f>
        <v>Lettuce
Brown Goldring
Wild Garden</v>
      </c>
    </row>
    <row r="137" spans="2:8" ht="15" customHeight="1">
      <c r="B137" s="51">
        <f>1/COUNTIF(SeedMixes[Name],"="&amp;SeedMixes[[#This Row],[Name]])</f>
        <v>0.16666666666666666</v>
      </c>
      <c r="C137" t="s">
        <v>1829</v>
      </c>
      <c r="D137" t="s">
        <v>92</v>
      </c>
      <c r="E137" t="s">
        <v>540</v>
      </c>
      <c r="F137" t="s">
        <v>526</v>
      </c>
      <c r="G137" t="str">
        <f>SeedMixes[[#This Row],[Variety]]&amp;" "&amp;SeedMixes[[#This Row],[Company]]</f>
        <v>Jester Wild Garden</v>
      </c>
      <c r="H137" t="str">
        <f>_xlfn.TEXTJOIN(CHAR(10),FALSE, SeedMixes[[#This Row],[Crop]],SeedMixes[[#This Row],[Variety]],SeedMixes[[#This Row],[Company]])</f>
        <v>Lettuce
Jester
Wild Garden</v>
      </c>
    </row>
    <row r="138" spans="2:8" ht="15" customHeight="1">
      <c r="B138" s="51">
        <f>1/COUNTIF(SeedMixes[Name],"="&amp;SeedMixes[[#This Row],[Name]])</f>
        <v>0.16666666666666666</v>
      </c>
      <c r="C138" t="s">
        <v>1829</v>
      </c>
      <c r="D138" t="s">
        <v>92</v>
      </c>
      <c r="E138" t="s">
        <v>1542</v>
      </c>
      <c r="F138" t="s">
        <v>482</v>
      </c>
      <c r="G138" t="str">
        <f>SeedMixes[[#This Row],[Variety]]&amp;" "&amp;SeedMixes[[#This Row],[Company]]</f>
        <v>Lovelock High Mowing</v>
      </c>
      <c r="H138" t="str">
        <f>_xlfn.TEXTJOIN(CHAR(10),FALSE, SeedMixes[[#This Row],[Crop]],SeedMixes[[#This Row],[Variety]],SeedMixes[[#This Row],[Company]])</f>
        <v>Lettuce
Lovelock
High Mowing</v>
      </c>
    </row>
    <row r="139" spans="2:8" ht="15" customHeight="1">
      <c r="B139" s="51">
        <f>1/COUNTIF(SeedMixes[Name],"="&amp;SeedMixes[[#This Row],[Name]])</f>
        <v>0.16666666666666666</v>
      </c>
      <c r="C139" t="s">
        <v>1829</v>
      </c>
      <c r="D139" t="s">
        <v>92</v>
      </c>
      <c r="E139" t="s">
        <v>1820</v>
      </c>
      <c r="F139" t="s">
        <v>490</v>
      </c>
      <c r="G139" t="str">
        <f>SeedMixes[[#This Row],[Variety]]&amp;" "&amp;SeedMixes[[#This Row],[Company]]</f>
        <v>Red Sweet Crisp Johnny's</v>
      </c>
      <c r="H139" t="str">
        <f>_xlfn.TEXTJOIN(CHAR(10),FALSE, SeedMixes[[#This Row],[Crop]],SeedMixes[[#This Row],[Variety]],SeedMixes[[#This Row],[Company]])</f>
        <v>Lettuce
Red Sweet Crisp
Johnny's</v>
      </c>
    </row>
    <row r="140" spans="2:8" ht="15" customHeight="1">
      <c r="B140" s="51">
        <f>1/COUNTIF(SeedMixes[Name],"="&amp;SeedMixes[[#This Row],[Name]])</f>
        <v>0.16666666666666666</v>
      </c>
      <c r="C140" t="s">
        <v>1829</v>
      </c>
      <c r="D140" t="s">
        <v>92</v>
      </c>
      <c r="E140" t="s">
        <v>1819</v>
      </c>
      <c r="F140" t="s">
        <v>482</v>
      </c>
      <c r="G140" t="str">
        <f>SeedMixes[[#This Row],[Variety]]&amp;" "&amp;SeedMixes[[#This Row],[Company]]</f>
        <v>Rouge D'Hiver High Mowing</v>
      </c>
      <c r="H140" t="str">
        <f>_xlfn.TEXTJOIN(CHAR(10),FALSE, SeedMixes[[#This Row],[Crop]],SeedMixes[[#This Row],[Variety]],SeedMixes[[#This Row],[Company]])</f>
        <v>Lettuce
Rouge D'Hiver
High Mowing</v>
      </c>
    </row>
    <row r="141" spans="2:8" ht="15" customHeight="1">
      <c r="B141" s="51">
        <f>1/COUNTIF(SeedMixes[Name],"="&amp;SeedMixes[[#This Row],[Name]])</f>
        <v>0.2</v>
      </c>
      <c r="C141" t="s">
        <v>2816</v>
      </c>
      <c r="D141" t="s">
        <v>92</v>
      </c>
      <c r="E141" t="s">
        <v>540</v>
      </c>
      <c r="F141" t="s">
        <v>526</v>
      </c>
      <c r="G141" t="str">
        <f>SeedMixes[[#This Row],[Variety]]&amp;" "&amp;SeedMixes[[#This Row],[Company]]</f>
        <v>Jester Wild Garden</v>
      </c>
      <c r="H141" t="str">
        <f>_xlfn.TEXTJOIN(CHAR(10),FALSE, SeedMixes[[#This Row],[Crop]],SeedMixes[[#This Row],[Variety]],SeedMixes[[#This Row],[Company]])</f>
        <v>Lettuce
Jester
Wild Garden</v>
      </c>
    </row>
    <row r="142" spans="2:8" ht="15" customHeight="1">
      <c r="B142" s="51">
        <f>1/COUNTIF(SeedMixes[Name],"="&amp;SeedMixes[[#This Row],[Name]])</f>
        <v>0.2</v>
      </c>
      <c r="C142" t="s">
        <v>2816</v>
      </c>
      <c r="D142" t="s">
        <v>92</v>
      </c>
      <c r="E142" t="s">
        <v>1819</v>
      </c>
      <c r="F142" t="s">
        <v>482</v>
      </c>
      <c r="G142" t="str">
        <f>SeedMixes[[#This Row],[Variety]]&amp;" "&amp;SeedMixes[[#This Row],[Company]]</f>
        <v>Rouge D'Hiver High Mowing</v>
      </c>
      <c r="H142" t="str">
        <f>_xlfn.TEXTJOIN(CHAR(10),FALSE, SeedMixes[[#This Row],[Crop]],SeedMixes[[#This Row],[Variety]],SeedMixes[[#This Row],[Company]])</f>
        <v>Lettuce
Rouge D'Hiver
High Mowing</v>
      </c>
    </row>
    <row r="143" spans="2:8" ht="15" customHeight="1">
      <c r="B143" s="51">
        <f>1/COUNTIF(SeedMixes[Name],"="&amp;SeedMixes[[#This Row],[Name]])</f>
        <v>0.2</v>
      </c>
      <c r="C143" t="s">
        <v>2816</v>
      </c>
      <c r="D143" t="s">
        <v>92</v>
      </c>
      <c r="E143" t="s">
        <v>542</v>
      </c>
      <c r="F143" t="s">
        <v>526</v>
      </c>
      <c r="G143" t="str">
        <f>SeedMixes[[#This Row],[Variety]]&amp;" "&amp;SeedMixes[[#This Row],[Company]]</f>
        <v>Brown Goldring Wild Garden</v>
      </c>
      <c r="H143" t="str">
        <f>_xlfn.TEXTJOIN(CHAR(10),FALSE, SeedMixes[[#This Row],[Crop]],SeedMixes[[#This Row],[Variety]],SeedMixes[[#This Row],[Company]])</f>
        <v>Lettuce
Brown Goldring
Wild Garden</v>
      </c>
    </row>
    <row r="144" spans="2:8" ht="15" customHeight="1">
      <c r="B144" s="51">
        <f>1/COUNTIF(SeedMixes[Name],"="&amp;SeedMixes[[#This Row],[Name]])</f>
        <v>0.2</v>
      </c>
      <c r="C144" t="s">
        <v>2816</v>
      </c>
      <c r="D144" t="s">
        <v>92</v>
      </c>
      <c r="E144" t="s">
        <v>2229</v>
      </c>
      <c r="F144" t="s">
        <v>503</v>
      </c>
      <c r="G144" t="str">
        <f>SeedMixes[[#This Row],[Variety]]&amp;" "&amp;SeedMixes[[#This Row],[Company]]</f>
        <v>Truchas - Pelleted Osborne</v>
      </c>
      <c r="H144" t="str">
        <f>_xlfn.TEXTJOIN(CHAR(10),FALSE, SeedMixes[[#This Row],[Crop]],SeedMixes[[#This Row],[Variety]],SeedMixes[[#This Row],[Company]])</f>
        <v>Lettuce
Truchas - Pelleted
Osborne</v>
      </c>
    </row>
    <row r="145" spans="2:8" ht="15" customHeight="1">
      <c r="B145" s="51">
        <f>1/COUNTIF(SeedMixes[Name],"="&amp;SeedMixes[[#This Row],[Name]])</f>
        <v>0.2</v>
      </c>
      <c r="C145" t="s">
        <v>2816</v>
      </c>
      <c r="D145" t="s">
        <v>92</v>
      </c>
      <c r="E145" t="s">
        <v>2102</v>
      </c>
      <c r="F145" t="s">
        <v>490</v>
      </c>
      <c r="G145" t="str">
        <f>SeedMixes[[#This Row],[Variety]]&amp;" "&amp;SeedMixes[[#This Row],[Company]]</f>
        <v>Xalbadora Johnny's</v>
      </c>
      <c r="H145" t="str">
        <f>_xlfn.TEXTJOIN(CHAR(10),FALSE, SeedMixes[[#This Row],[Crop]],SeedMixes[[#This Row],[Variety]],SeedMixes[[#This Row],[Company]])</f>
        <v>Lettuce
Xalbadora
Johnny's</v>
      </c>
    </row>
    <row r="146" spans="2:8" ht="15" customHeight="1">
      <c r="B146" s="51">
        <f>1/COUNTIF(SeedMixes[Name],"="&amp;SeedMixes[[#This Row],[Name]])</f>
        <v>0.33333333333333331</v>
      </c>
      <c r="C146" t="s">
        <v>1831</v>
      </c>
      <c r="D146" t="s">
        <v>92</v>
      </c>
      <c r="E146" t="s">
        <v>1822</v>
      </c>
      <c r="F146" t="s">
        <v>490</v>
      </c>
      <c r="G146" t="str">
        <f>SeedMixes[[#This Row],[Variety]]&amp;" "&amp;SeedMixes[[#This Row],[Company]]</f>
        <v>Salanova Red Oak Leaf Johnny's</v>
      </c>
      <c r="H146" t="str">
        <f>_xlfn.TEXTJOIN(CHAR(10),FALSE, SeedMixes[[#This Row],[Crop]],SeedMixes[[#This Row],[Variety]],SeedMixes[[#This Row],[Company]])</f>
        <v>Lettuce
Salanova Red Oak Leaf
Johnny's</v>
      </c>
    </row>
    <row r="147" spans="2:8" ht="15" customHeight="1">
      <c r="B147" s="51">
        <f>1/COUNTIF(SeedMixes[Name],"="&amp;SeedMixes[[#This Row],[Name]])</f>
        <v>0.33333333333333331</v>
      </c>
      <c r="C147" t="s">
        <v>1831</v>
      </c>
      <c r="D147" t="s">
        <v>92</v>
      </c>
      <c r="E147" t="s">
        <v>2229</v>
      </c>
      <c r="F147" t="s">
        <v>503</v>
      </c>
      <c r="G147" t="str">
        <f>SeedMixes[[#This Row],[Variety]]&amp;" "&amp;SeedMixes[[#This Row],[Company]]</f>
        <v>Truchas - Pelleted Osborne</v>
      </c>
      <c r="H147" t="str">
        <f>_xlfn.TEXTJOIN(CHAR(10),FALSE, SeedMixes[[#This Row],[Crop]],SeedMixes[[#This Row],[Variety]],SeedMixes[[#This Row],[Company]])</f>
        <v>Lettuce
Truchas - Pelleted
Osborne</v>
      </c>
    </row>
    <row r="148" spans="2:8" ht="15" customHeight="1">
      <c r="B148" s="51">
        <f>1/COUNTIF(SeedMixes[Name],"="&amp;SeedMixes[[#This Row],[Name]])</f>
        <v>0.33333333333333331</v>
      </c>
      <c r="C148" t="s">
        <v>1831</v>
      </c>
      <c r="D148" t="s">
        <v>92</v>
      </c>
      <c r="E148" t="s">
        <v>2102</v>
      </c>
      <c r="F148" t="s">
        <v>490</v>
      </c>
      <c r="G148" t="str">
        <f>SeedMixes[[#This Row],[Variety]]&amp;" "&amp;SeedMixes[[#This Row],[Company]]</f>
        <v>Xalbadora Johnny's</v>
      </c>
      <c r="H148" t="str">
        <f>_xlfn.TEXTJOIN(CHAR(10),FALSE, SeedMixes[[#This Row],[Crop]],SeedMixes[[#This Row],[Variety]],SeedMixes[[#This Row],[Company]])</f>
        <v>Lettuce
Xalbadora
Johnny's</v>
      </c>
    </row>
    <row r="149" spans="2:8" ht="15" customHeight="1">
      <c r="B149" s="51">
        <f>1/COUNTIF(SeedMixes[Name],"="&amp;SeedMixes[[#This Row],[Name]])</f>
        <v>0.33333333333333331</v>
      </c>
      <c r="C149" t="s">
        <v>1830</v>
      </c>
      <c r="D149" t="s">
        <v>92</v>
      </c>
      <c r="E149" t="s">
        <v>1827</v>
      </c>
      <c r="F149" t="s">
        <v>490</v>
      </c>
      <c r="G149" t="str">
        <f>SeedMixes[[#This Row],[Variety]]&amp;" "&amp;SeedMixes[[#This Row],[Company]]</f>
        <v>Bauer Johnny's</v>
      </c>
      <c r="H149" t="str">
        <f>_xlfn.TEXTJOIN(CHAR(10),FALSE, SeedMixes[[#This Row],[Crop]],SeedMixes[[#This Row],[Variety]],SeedMixes[[#This Row],[Company]])</f>
        <v>Lettuce
Bauer
Johnny's</v>
      </c>
    </row>
    <row r="150" spans="2:8" ht="15" customHeight="1">
      <c r="B150" s="51">
        <f>1/COUNTIF(SeedMixes[Name],"="&amp;SeedMixes[[#This Row],[Name]])</f>
        <v>0.33333333333333331</v>
      </c>
      <c r="C150" t="s">
        <v>1830</v>
      </c>
      <c r="D150" t="s">
        <v>92</v>
      </c>
      <c r="E150" t="s">
        <v>1542</v>
      </c>
      <c r="F150" t="s">
        <v>482</v>
      </c>
      <c r="G150" t="str">
        <f>SeedMixes[[#This Row],[Variety]]&amp;" "&amp;SeedMixes[[#This Row],[Company]]</f>
        <v>Lovelock High Mowing</v>
      </c>
      <c r="H150" t="str">
        <f>_xlfn.TEXTJOIN(CHAR(10),FALSE, SeedMixes[[#This Row],[Crop]],SeedMixes[[#This Row],[Variety]],SeedMixes[[#This Row],[Company]])</f>
        <v>Lettuce
Lovelock
High Mowing</v>
      </c>
    </row>
    <row r="151" spans="2:8" ht="15" customHeight="1">
      <c r="B151" s="51">
        <f>1/COUNTIF(SeedMixes[Name],"="&amp;SeedMixes[[#This Row],[Name]])</f>
        <v>0.33333333333333331</v>
      </c>
      <c r="C151" t="s">
        <v>1830</v>
      </c>
      <c r="D151" t="s">
        <v>92</v>
      </c>
      <c r="E151" t="s">
        <v>546</v>
      </c>
      <c r="F151" t="s">
        <v>490</v>
      </c>
      <c r="G151" t="str">
        <f>SeedMixes[[#This Row],[Variety]]&amp;" "&amp;SeedMixes[[#This Row],[Company]]</f>
        <v>Muir Johnny's</v>
      </c>
      <c r="H151" t="str">
        <f>_xlfn.TEXTJOIN(CHAR(10),FALSE, SeedMixes[[#This Row],[Crop]],SeedMixes[[#This Row],[Variety]],SeedMixes[[#This Row],[Company]])</f>
        <v>Lettuce
Muir
Johnny's</v>
      </c>
    </row>
    <row r="152" spans="2:8" ht="15" customHeight="1">
      <c r="B152" s="51">
        <f>1/COUNTIF(SeedMixes[Name],"="&amp;SeedMixes[[#This Row],[Name]])</f>
        <v>0.16666666666666666</v>
      </c>
      <c r="C152" t="s">
        <v>2814</v>
      </c>
      <c r="D152" t="s">
        <v>92</v>
      </c>
      <c r="E152" t="s">
        <v>1827</v>
      </c>
      <c r="F152" t="s">
        <v>490</v>
      </c>
      <c r="G152" t="str">
        <f>SeedMixes[[#This Row],[Variety]]&amp;" "&amp;SeedMixes[[#This Row],[Company]]</f>
        <v>Bauer Johnny's</v>
      </c>
      <c r="H152" t="str">
        <f>_xlfn.TEXTJOIN(CHAR(10),FALSE, SeedMixes[[#This Row],[Crop]],SeedMixes[[#This Row],[Variety]],SeedMixes[[#This Row],[Company]])</f>
        <v>Lettuce
Bauer
Johnny's</v>
      </c>
    </row>
    <row r="153" spans="2:8" ht="15" customHeight="1">
      <c r="B153" s="51">
        <f>1/COUNTIF(SeedMixes[Name],"="&amp;SeedMixes[[#This Row],[Name]])</f>
        <v>0.16666666666666666</v>
      </c>
      <c r="C153" t="s">
        <v>2814</v>
      </c>
      <c r="D153" t="s">
        <v>92</v>
      </c>
      <c r="E153" t="s">
        <v>1542</v>
      </c>
      <c r="F153" t="s">
        <v>482</v>
      </c>
      <c r="G153" t="str">
        <f>SeedMixes[[#This Row],[Variety]]&amp;" "&amp;SeedMixes[[#This Row],[Company]]</f>
        <v>Lovelock High Mowing</v>
      </c>
      <c r="H153" t="str">
        <f>_xlfn.TEXTJOIN(CHAR(10),FALSE, SeedMixes[[#This Row],[Crop]],SeedMixes[[#This Row],[Variety]],SeedMixes[[#This Row],[Company]])</f>
        <v>Lettuce
Lovelock
High Mowing</v>
      </c>
    </row>
    <row r="154" spans="2:8" ht="15" customHeight="1">
      <c r="B154" s="51">
        <f>1/COUNTIF(SeedMixes[Name],"="&amp;SeedMixes[[#This Row],[Name]])</f>
        <v>0.16666666666666666</v>
      </c>
      <c r="C154" t="s">
        <v>2814</v>
      </c>
      <c r="D154" t="s">
        <v>92</v>
      </c>
      <c r="E154" t="s">
        <v>546</v>
      </c>
      <c r="F154" t="s">
        <v>490</v>
      </c>
      <c r="G154" t="str">
        <f>SeedMixes[[#This Row],[Variety]]&amp;" "&amp;SeedMixes[[#This Row],[Company]]</f>
        <v>Muir Johnny's</v>
      </c>
      <c r="H154" t="str">
        <f>_xlfn.TEXTJOIN(CHAR(10),FALSE, SeedMixes[[#This Row],[Crop]],SeedMixes[[#This Row],[Variety]],SeedMixes[[#This Row],[Company]])</f>
        <v>Lettuce
Muir
Johnny's</v>
      </c>
    </row>
    <row r="155" spans="2:8" ht="15" customHeight="1">
      <c r="B155" s="51">
        <f>1/COUNTIF(SeedMixes[Name],"="&amp;SeedMixes[[#This Row],[Name]])</f>
        <v>0.16666666666666666</v>
      </c>
      <c r="C155" t="s">
        <v>2814</v>
      </c>
      <c r="D155" t="s">
        <v>92</v>
      </c>
      <c r="E155" t="s">
        <v>2815</v>
      </c>
      <c r="F155" t="s">
        <v>484</v>
      </c>
      <c r="G155" t="str">
        <f>SeedMixes[[#This Row],[Variety]]&amp;" "&amp;SeedMixes[[#This Row],[Company]]</f>
        <v>Summertime Uprising</v>
      </c>
      <c r="H155" t="str">
        <f>_xlfn.TEXTJOIN(CHAR(10),FALSE, SeedMixes[[#This Row],[Crop]],SeedMixes[[#This Row],[Variety]],SeedMixes[[#This Row],[Company]])</f>
        <v>Lettuce
Summertime
Uprising</v>
      </c>
    </row>
    <row r="156" spans="2:8" ht="15" customHeight="1">
      <c r="B156" s="51">
        <f>1/COUNTIF(SeedMixes[Name],"="&amp;SeedMixes[[#This Row],[Name]])</f>
        <v>0.16666666666666666</v>
      </c>
      <c r="C156" t="s">
        <v>2814</v>
      </c>
      <c r="D156" t="s">
        <v>92</v>
      </c>
      <c r="E156" t="s">
        <v>2229</v>
      </c>
      <c r="F156" t="s">
        <v>503</v>
      </c>
      <c r="G156" t="str">
        <f>SeedMixes[[#This Row],[Variety]]&amp;" "&amp;SeedMixes[[#This Row],[Company]]</f>
        <v>Truchas - Pelleted Osborne</v>
      </c>
      <c r="H156" t="str">
        <f>_xlfn.TEXTJOIN(CHAR(10),FALSE, SeedMixes[[#This Row],[Crop]],SeedMixes[[#This Row],[Variety]],SeedMixes[[#This Row],[Company]])</f>
        <v>Lettuce
Truchas - Pelleted
Osborne</v>
      </c>
    </row>
    <row r="157" spans="2:8" ht="15" customHeight="1">
      <c r="B157" s="51">
        <f>1/COUNTIF(SeedMixes[Name],"="&amp;SeedMixes[[#This Row],[Name]])</f>
        <v>0.16666666666666666</v>
      </c>
      <c r="C157" t="s">
        <v>2814</v>
      </c>
      <c r="D157" t="s">
        <v>92</v>
      </c>
      <c r="E157" t="s">
        <v>2102</v>
      </c>
      <c r="F157" t="s">
        <v>490</v>
      </c>
      <c r="G157" t="str">
        <f>SeedMixes[[#This Row],[Variety]]&amp;" "&amp;SeedMixes[[#This Row],[Company]]</f>
        <v>Xalbadora Johnny's</v>
      </c>
      <c r="H157" t="str">
        <f>_xlfn.TEXTJOIN(CHAR(10),FALSE, SeedMixes[[#This Row],[Crop]],SeedMixes[[#This Row],[Variety]],SeedMixes[[#This Row],[Company]])</f>
        <v>Lettuce
Xalbadora
Johnny's</v>
      </c>
    </row>
    <row r="158" spans="2:8" ht="15" customHeight="1">
      <c r="B158" s="43">
        <v>0.5</v>
      </c>
      <c r="C158" t="s">
        <v>2304</v>
      </c>
      <c r="D158" t="s">
        <v>92</v>
      </c>
      <c r="E158" t="s">
        <v>1824</v>
      </c>
      <c r="F158" t="s">
        <v>490</v>
      </c>
      <c r="G158" t="str">
        <f>SeedMixes[[#This Row],[Variety]]&amp;" "&amp;SeedMixes[[#This Row],[Company]]</f>
        <v>Green Sweet Crisp Johnny's</v>
      </c>
      <c r="H158" t="str">
        <f>_xlfn.TEXTJOIN(CHAR(10),FALSE, SeedMixes[[#This Row],[Crop]],SeedMixes[[#This Row],[Variety]],SeedMixes[[#This Row],[Company]])</f>
        <v>Lettuce
Green Sweet Crisp
Johnny's</v>
      </c>
    </row>
    <row r="159" spans="2:8" ht="15" customHeight="1">
      <c r="B159" s="43">
        <v>0.25</v>
      </c>
      <c r="C159" t="s">
        <v>2304</v>
      </c>
      <c r="D159" t="s">
        <v>92</v>
      </c>
      <c r="E159" t="s">
        <v>1385</v>
      </c>
      <c r="F159" t="s">
        <v>490</v>
      </c>
      <c r="G159" t="str">
        <f>SeedMixes[[#This Row],[Variety]]&amp;" "&amp;SeedMixes[[#This Row],[Company]]</f>
        <v>Intercut Johnny's</v>
      </c>
      <c r="H159" t="str">
        <f>_xlfn.TEXTJOIN(CHAR(10),FALSE, SeedMixes[[#This Row],[Crop]],SeedMixes[[#This Row],[Variety]],SeedMixes[[#This Row],[Company]])</f>
        <v>Lettuce
Intercut
Johnny's</v>
      </c>
    </row>
    <row r="160" spans="2:8" ht="15" customHeight="1">
      <c r="B160" s="43">
        <f>1/8</f>
        <v>0.125</v>
      </c>
      <c r="C160" t="s">
        <v>2304</v>
      </c>
      <c r="D160" t="s">
        <v>92</v>
      </c>
      <c r="E160" t="s">
        <v>1820</v>
      </c>
      <c r="F160" t="s">
        <v>490</v>
      </c>
      <c r="G160" t="str">
        <f>SeedMixes[[#This Row],[Variety]]&amp;" "&amp;SeedMixes[[#This Row],[Company]]</f>
        <v>Red Sweet Crisp Johnny's</v>
      </c>
      <c r="H160" t="str">
        <f>_xlfn.TEXTJOIN(CHAR(10),FALSE, SeedMixes[[#This Row],[Crop]],SeedMixes[[#This Row],[Variety]],SeedMixes[[#This Row],[Company]])</f>
        <v>Lettuce
Red Sweet Crisp
Johnny's</v>
      </c>
    </row>
    <row r="161" spans="2:8" ht="15" customHeight="1">
      <c r="B161" s="43">
        <f>1/8</f>
        <v>0.125</v>
      </c>
      <c r="C161" t="s">
        <v>2304</v>
      </c>
      <c r="D161" t="s">
        <v>92</v>
      </c>
      <c r="E161" t="s">
        <v>1822</v>
      </c>
      <c r="F161" t="s">
        <v>490</v>
      </c>
      <c r="G161" t="str">
        <f>SeedMixes[[#This Row],[Variety]]&amp;" "&amp;SeedMixes[[#This Row],[Company]]</f>
        <v>Salanova Red Oak Leaf Johnny's</v>
      </c>
      <c r="H161" t="str">
        <f>_xlfn.TEXTJOIN(CHAR(10),FALSE, SeedMixes[[#This Row],[Crop]],SeedMixes[[#This Row],[Variety]],SeedMixes[[#This Row],[Company]])</f>
        <v>Lettuce
Salanova Red Oak Leaf
Johnny's</v>
      </c>
    </row>
    <row r="162" spans="2:8" ht="15" customHeight="1">
      <c r="B162" s="43">
        <f>1/COUNTIF(SeedMixes[Name],"="&amp;SeedMixes[[#This Row],[Name]])</f>
        <v>1</v>
      </c>
      <c r="C162" t="s">
        <v>1978</v>
      </c>
      <c r="D162" t="s">
        <v>1793</v>
      </c>
      <c r="E162" t="s">
        <v>1793</v>
      </c>
      <c r="F162" t="s">
        <v>488</v>
      </c>
      <c r="G162" t="str">
        <f>SeedMixes[[#This Row],[Variety]]&amp;" "&amp;SeedMixes[[#This Row],[Company]]</f>
        <v>Magenta Spreen Adaptive</v>
      </c>
      <c r="H162" t="str">
        <f>_xlfn.TEXTJOIN(CHAR(10),FALSE, SeedMixes[[#This Row],[Crop]],SeedMixes[[#This Row],[Variety]],SeedMixes[[#This Row],[Company]])</f>
        <v>Magenta Spreen
Magenta Spreen
Adaptive</v>
      </c>
    </row>
    <row r="163" spans="2:8" ht="15" customHeight="1">
      <c r="B163" s="43">
        <f>1/COUNTIF(SeedMixes[Name],"="&amp;SeedMixes[[#This Row],[Name]])</f>
        <v>0.33333333333333331</v>
      </c>
      <c r="C163" t="s">
        <v>1837</v>
      </c>
      <c r="D163" t="s">
        <v>1837</v>
      </c>
      <c r="E163" t="s">
        <v>2018</v>
      </c>
      <c r="F163" t="s">
        <v>510</v>
      </c>
      <c r="G163" t="str">
        <f>SeedMixes[[#This Row],[Variety]]&amp;" "&amp;SeedMixes[[#This Row],[Company]]</f>
        <v>Big Round Leaf Kitazawa</v>
      </c>
      <c r="H163" t="str">
        <f>_xlfn.TEXTJOIN(CHAR(10),FALSE, SeedMixes[[#This Row],[Crop]],SeedMixes[[#This Row],[Variety]],SeedMixes[[#This Row],[Company]])</f>
        <v>Malabar Spinach Mix
Big Round Leaf
Kitazawa</v>
      </c>
    </row>
    <row r="164" spans="2:8" ht="15" customHeight="1">
      <c r="B164" s="43">
        <f>1/COUNTIF(SeedMixes[Name],"="&amp;SeedMixes[[#This Row],[Name]])</f>
        <v>0.33333333333333331</v>
      </c>
      <c r="C164" t="s">
        <v>1837</v>
      </c>
      <c r="D164" t="s">
        <v>1837</v>
      </c>
      <c r="E164" t="s">
        <v>2019</v>
      </c>
      <c r="F164" t="s">
        <v>510</v>
      </c>
      <c r="G164" t="str">
        <f>SeedMixes[[#This Row],[Variety]]&amp;" "&amp;SeedMixes[[#This Row],[Company]]</f>
        <v>Green Vines Supreme Kitazawa</v>
      </c>
      <c r="H164" t="str">
        <f>_xlfn.TEXTJOIN(CHAR(10),FALSE, SeedMixes[[#This Row],[Crop]],SeedMixes[[#This Row],[Variety]],SeedMixes[[#This Row],[Company]])</f>
        <v>Malabar Spinach Mix
Green Vines Supreme
Kitazawa</v>
      </c>
    </row>
    <row r="165" spans="2:8" ht="15" customHeight="1">
      <c r="B165" s="43">
        <f>1/COUNTIF(SeedMixes[Name],"="&amp;SeedMixes[[#This Row],[Name]])</f>
        <v>0.33333333333333331</v>
      </c>
      <c r="C165" t="s">
        <v>1837</v>
      </c>
      <c r="D165" t="s">
        <v>1837</v>
      </c>
      <c r="E165" t="s">
        <v>1838</v>
      </c>
      <c r="F165" t="s">
        <v>552</v>
      </c>
      <c r="G165" t="str">
        <f>SeedMixes[[#This Row],[Variety]]&amp;" "&amp;SeedMixes[[#This Row],[Company]]</f>
        <v>Red Malabar Spinach Strictly Medicinal</v>
      </c>
      <c r="H165" t="str">
        <f>_xlfn.TEXTJOIN(CHAR(10),FALSE, SeedMixes[[#This Row],[Crop]],SeedMixes[[#This Row],[Variety]],SeedMixes[[#This Row],[Company]])</f>
        <v>Malabar Spinach Mix
Red Malabar Spinach
Strictly Medicinal</v>
      </c>
    </row>
    <row r="166" spans="2:8" ht="15" customHeight="1">
      <c r="B166" s="43">
        <f>1/COUNTIF(SeedMixes[Name],"="&amp;SeedMixes[[#This Row],[Name]])</f>
        <v>0.33333333333333331</v>
      </c>
      <c r="C166" t="s">
        <v>1948</v>
      </c>
      <c r="D166" t="s">
        <v>1281</v>
      </c>
      <c r="E166" t="s">
        <v>1381</v>
      </c>
      <c r="F166" t="s">
        <v>490</v>
      </c>
      <c r="G166" t="str">
        <f>SeedMixes[[#This Row],[Variety]]&amp;" "&amp;SeedMixes[[#This Row],[Company]]</f>
        <v>Coco Gold F1 Johnny's</v>
      </c>
      <c r="H166" t="str">
        <f>_xlfn.TEXTJOIN(CHAR(10),FALSE, SeedMixes[[#This Row],[Crop]],SeedMixes[[#This Row],[Variety]],SeedMixes[[#This Row],[Company]])</f>
        <v>Marigold
Coco Gold F1
Johnny's</v>
      </c>
    </row>
    <row r="167" spans="2:8" ht="15" customHeight="1">
      <c r="B167" s="43">
        <f>1/COUNTIF(SeedMixes[Name],"="&amp;SeedMixes[[#This Row],[Name]])</f>
        <v>0.33333333333333331</v>
      </c>
      <c r="C167" t="s">
        <v>1948</v>
      </c>
      <c r="D167" t="s">
        <v>1281</v>
      </c>
      <c r="E167" t="s">
        <v>622</v>
      </c>
      <c r="F167" t="s">
        <v>490</v>
      </c>
      <c r="G167" t="str">
        <f>SeedMixes[[#This Row],[Variety]]&amp;" "&amp;SeedMixes[[#This Row],[Company]]</f>
        <v>Giant Orange Johnny's</v>
      </c>
      <c r="H167" t="str">
        <f>_xlfn.TEXTJOIN(CHAR(10),FALSE, SeedMixes[[#This Row],[Crop]],SeedMixes[[#This Row],[Variety]],SeedMixes[[#This Row],[Company]])</f>
        <v>Marigold
Giant Orange
Johnny's</v>
      </c>
    </row>
    <row r="168" spans="2:8" ht="15" customHeight="1">
      <c r="B168" s="43">
        <f>1/COUNTIF(SeedMixes[Name],"="&amp;SeedMixes[[#This Row],[Name]])</f>
        <v>0.33333333333333331</v>
      </c>
      <c r="C168" t="s">
        <v>1948</v>
      </c>
      <c r="D168" t="s">
        <v>1281</v>
      </c>
      <c r="E168" t="s">
        <v>621</v>
      </c>
      <c r="F168" t="s">
        <v>490</v>
      </c>
      <c r="G168" t="str">
        <f>SeedMixes[[#This Row],[Variety]]&amp;" "&amp;SeedMixes[[#This Row],[Company]]</f>
        <v>Giant Yellow Johnny's</v>
      </c>
      <c r="H168" t="str">
        <f>_xlfn.TEXTJOIN(CHAR(10),FALSE, SeedMixes[[#This Row],[Crop]],SeedMixes[[#This Row],[Variety]],SeedMixes[[#This Row],[Company]])</f>
        <v>Marigold
Giant Yellow
Johnny's</v>
      </c>
    </row>
    <row r="169" spans="2:8" ht="15" customHeight="1">
      <c r="B169" s="43">
        <f>1/COUNTIF(SeedMixes[Name],"="&amp;SeedMixes[[#This Row],[Name]])</f>
        <v>0.25</v>
      </c>
      <c r="C169" t="s">
        <v>1949</v>
      </c>
      <c r="D169" t="s">
        <v>1281</v>
      </c>
      <c r="E169" t="s">
        <v>625</v>
      </c>
      <c r="F169" t="s">
        <v>488</v>
      </c>
      <c r="G169" t="str">
        <f>SeedMixes[[#This Row],[Variety]]&amp;" "&amp;SeedMixes[[#This Row],[Company]]</f>
        <v>Ildkongen Adaptive</v>
      </c>
      <c r="H169" t="str">
        <f>_xlfn.TEXTJOIN(CHAR(10),FALSE, SeedMixes[[#This Row],[Crop]],SeedMixes[[#This Row],[Variety]],SeedMixes[[#This Row],[Company]])</f>
        <v>Marigold
Ildkongen
Adaptive</v>
      </c>
    </row>
    <row r="170" spans="2:8" ht="15" customHeight="1">
      <c r="B170" s="43">
        <f>1/COUNTIF(SeedMixes[Name],"="&amp;SeedMixes[[#This Row],[Name]])</f>
        <v>0.25</v>
      </c>
      <c r="C170" t="s">
        <v>1949</v>
      </c>
      <c r="D170" t="s">
        <v>1281</v>
      </c>
      <c r="E170" t="s">
        <v>1951</v>
      </c>
      <c r="F170" t="s">
        <v>533</v>
      </c>
      <c r="G170" t="str">
        <f>SeedMixes[[#This Row],[Variety]]&amp;" "&amp;SeedMixes[[#This Row],[Company]]</f>
        <v>Lemon Gem Territorial</v>
      </c>
      <c r="H170" t="str">
        <f>_xlfn.TEXTJOIN(CHAR(10),FALSE, SeedMixes[[#This Row],[Crop]],SeedMixes[[#This Row],[Variety]],SeedMixes[[#This Row],[Company]])</f>
        <v>Marigold
Lemon Gem
Territorial</v>
      </c>
    </row>
    <row r="171" spans="2:8" ht="15" customHeight="1">
      <c r="B171" s="43">
        <f>1/COUNTIF(SeedMixes[Name],"="&amp;SeedMixes[[#This Row],[Name]])</f>
        <v>0.25</v>
      </c>
      <c r="C171" t="s">
        <v>1949</v>
      </c>
      <c r="D171" t="s">
        <v>1281</v>
      </c>
      <c r="E171" t="s">
        <v>1950</v>
      </c>
      <c r="F171" t="s">
        <v>490</v>
      </c>
      <c r="G171" t="str">
        <f>SeedMixes[[#This Row],[Variety]]&amp;" "&amp;SeedMixes[[#This Row],[Company]]</f>
        <v>Red Gem Johnny's</v>
      </c>
      <c r="H171" t="str">
        <f>_xlfn.TEXTJOIN(CHAR(10),FALSE, SeedMixes[[#This Row],[Crop]],SeedMixes[[#This Row],[Variety]],SeedMixes[[#This Row],[Company]])</f>
        <v>Marigold
Red Gem
Johnny's</v>
      </c>
    </row>
    <row r="172" spans="2:8" ht="15" customHeight="1">
      <c r="B172" s="43">
        <f>1/COUNTIF(SeedMixes[Name],"="&amp;SeedMixes[[#This Row],[Name]])</f>
        <v>0.25</v>
      </c>
      <c r="C172" t="s">
        <v>1949</v>
      </c>
      <c r="D172" t="s">
        <v>1281</v>
      </c>
      <c r="E172" t="s">
        <v>626</v>
      </c>
      <c r="F172" t="s">
        <v>488</v>
      </c>
      <c r="G172" t="str">
        <f>SeedMixes[[#This Row],[Variety]]&amp;" "&amp;SeedMixes[[#This Row],[Company]]</f>
        <v>Tangerine Gem Adaptive</v>
      </c>
      <c r="H172" t="str">
        <f>_xlfn.TEXTJOIN(CHAR(10),FALSE, SeedMixes[[#This Row],[Crop]],SeedMixes[[#This Row],[Variety]],SeedMixes[[#This Row],[Company]])</f>
        <v>Marigold
Tangerine Gem
Adaptive</v>
      </c>
    </row>
    <row r="173" spans="2:8" ht="15" customHeight="1">
      <c r="B173" s="43">
        <f>1/COUNTIF(SeedMixes[Name],"="&amp;SeedMixes[[#This Row],[Name]])</f>
        <v>0.1111111111111111</v>
      </c>
      <c r="C173" t="s">
        <v>553</v>
      </c>
      <c r="D173" t="s">
        <v>1281</v>
      </c>
      <c r="E173" t="s">
        <v>623</v>
      </c>
      <c r="F173" t="s">
        <v>490</v>
      </c>
      <c r="G173" t="str">
        <f>SeedMixes[[#This Row],[Variety]]&amp;" "&amp;SeedMixes[[#This Row],[Company]]</f>
        <v>Coco Johnny's</v>
      </c>
      <c r="H173" t="str">
        <f>_xlfn.TEXTJOIN(CHAR(10),FALSE, SeedMixes[[#This Row],[Crop]],SeedMixes[[#This Row],[Variety]],SeedMixes[[#This Row],[Company]])</f>
        <v>Marigold
Coco
Johnny's</v>
      </c>
    </row>
    <row r="174" spans="2:8" ht="15" customHeight="1">
      <c r="B174" s="43">
        <f>1/COUNTIF(SeedMixes[Name],"="&amp;SeedMixes[[#This Row],[Name]])</f>
        <v>0.1111111111111111</v>
      </c>
      <c r="C174" t="s">
        <v>553</v>
      </c>
      <c r="D174" t="s">
        <v>1281</v>
      </c>
      <c r="E174" t="s">
        <v>1381</v>
      </c>
      <c r="F174" t="s">
        <v>490</v>
      </c>
      <c r="G174" t="str">
        <f>SeedMixes[[#This Row],[Variety]]&amp;" "&amp;SeedMixes[[#This Row],[Company]]</f>
        <v>Coco Gold F1 Johnny's</v>
      </c>
      <c r="H174" t="str">
        <f>_xlfn.TEXTJOIN(CHAR(10),FALSE, SeedMixes[[#This Row],[Crop]],SeedMixes[[#This Row],[Variety]],SeedMixes[[#This Row],[Company]])</f>
        <v>Marigold
Coco Gold F1
Johnny's</v>
      </c>
    </row>
    <row r="175" spans="2:8" ht="15" customHeight="1">
      <c r="B175" s="43">
        <f>1/COUNTIF(SeedMixes[Name],"="&amp;SeedMixes[[#This Row],[Name]])</f>
        <v>0.1111111111111111</v>
      </c>
      <c r="C175" t="s">
        <v>553</v>
      </c>
      <c r="D175" t="s">
        <v>1281</v>
      </c>
      <c r="E175" t="s">
        <v>620</v>
      </c>
      <c r="F175" t="s">
        <v>503</v>
      </c>
      <c r="G175" t="str">
        <f>SeedMixes[[#This Row],[Variety]]&amp;" "&amp;SeedMixes[[#This Row],[Company]]</f>
        <v>Crackerjack Osborne</v>
      </c>
      <c r="H175" t="str">
        <f>_xlfn.TEXTJOIN(CHAR(10),FALSE, SeedMixes[[#This Row],[Crop]],SeedMixes[[#This Row],[Variety]],SeedMixes[[#This Row],[Company]])</f>
        <v>Marigold
Crackerjack
Osborne</v>
      </c>
    </row>
    <row r="176" spans="2:8" ht="15" customHeight="1">
      <c r="B176" s="43">
        <f>1/COUNTIF(SeedMixes[Name],"="&amp;SeedMixes[[#This Row],[Name]])</f>
        <v>0.1111111111111111</v>
      </c>
      <c r="C176" t="s">
        <v>553</v>
      </c>
      <c r="D176" t="s">
        <v>1281</v>
      </c>
      <c r="E176" t="s">
        <v>622</v>
      </c>
      <c r="F176" t="s">
        <v>490</v>
      </c>
      <c r="G176" t="str">
        <f>SeedMixes[[#This Row],[Variety]]&amp;" "&amp;SeedMixes[[#This Row],[Company]]</f>
        <v>Giant Orange Johnny's</v>
      </c>
      <c r="H176" t="str">
        <f>_xlfn.TEXTJOIN(CHAR(10),FALSE, SeedMixes[[#This Row],[Crop]],SeedMixes[[#This Row],[Variety]],SeedMixes[[#This Row],[Company]])</f>
        <v>Marigold
Giant Orange
Johnny's</v>
      </c>
    </row>
    <row r="177" spans="2:8" ht="15" customHeight="1">
      <c r="B177" s="43">
        <f>1/COUNTIF(SeedMixes[Name],"="&amp;SeedMixes[[#This Row],[Name]])</f>
        <v>0.1111111111111111</v>
      </c>
      <c r="C177" t="s">
        <v>553</v>
      </c>
      <c r="D177" t="s">
        <v>1281</v>
      </c>
      <c r="E177" t="s">
        <v>621</v>
      </c>
      <c r="F177" t="s">
        <v>490</v>
      </c>
      <c r="G177" t="str">
        <f>SeedMixes[[#This Row],[Variety]]&amp;" "&amp;SeedMixes[[#This Row],[Company]]</f>
        <v>Giant Yellow Johnny's</v>
      </c>
      <c r="H177" t="str">
        <f>_xlfn.TEXTJOIN(CHAR(10),FALSE, SeedMixes[[#This Row],[Crop]],SeedMixes[[#This Row],[Variety]],SeedMixes[[#This Row],[Company]])</f>
        <v>Marigold
Giant Yellow
Johnny's</v>
      </c>
    </row>
    <row r="178" spans="2:8" ht="15" customHeight="1">
      <c r="B178" s="43">
        <f>1/COUNTIF(SeedMixes[Name],"="&amp;SeedMixes[[#This Row],[Name]])</f>
        <v>0.1111111111111111</v>
      </c>
      <c r="C178" t="s">
        <v>553</v>
      </c>
      <c r="D178" t="s">
        <v>1281</v>
      </c>
      <c r="E178" t="s">
        <v>625</v>
      </c>
      <c r="F178" t="s">
        <v>488</v>
      </c>
      <c r="G178" t="str">
        <f>SeedMixes[[#This Row],[Variety]]&amp;" "&amp;SeedMixes[[#This Row],[Company]]</f>
        <v>Ildkongen Adaptive</v>
      </c>
      <c r="H178" t="str">
        <f>_xlfn.TEXTJOIN(CHAR(10),FALSE, SeedMixes[[#This Row],[Crop]],SeedMixes[[#This Row],[Variety]],SeedMixes[[#This Row],[Company]])</f>
        <v>Marigold
Ildkongen
Adaptive</v>
      </c>
    </row>
    <row r="179" spans="2:8" ht="15" customHeight="1">
      <c r="B179" s="43">
        <f>1/COUNTIF(SeedMixes[Name],"="&amp;SeedMixes[[#This Row],[Name]])</f>
        <v>0.1111111111111111</v>
      </c>
      <c r="C179" t="s">
        <v>553</v>
      </c>
      <c r="D179" t="s">
        <v>1281</v>
      </c>
      <c r="E179" t="s">
        <v>627</v>
      </c>
      <c r="F179" t="s">
        <v>526</v>
      </c>
      <c r="G179" t="str">
        <f>SeedMixes[[#This Row],[Variety]]&amp;" "&amp;SeedMixes[[#This Row],[Company]]</f>
        <v>Shades of Gold Mix Wild Garden</v>
      </c>
      <c r="H179" t="str">
        <f>_xlfn.TEXTJOIN(CHAR(10),FALSE, SeedMixes[[#This Row],[Crop]],SeedMixes[[#This Row],[Variety]],SeedMixes[[#This Row],[Company]])</f>
        <v>Marigold
Shades of Gold Mix
Wild Garden</v>
      </c>
    </row>
    <row r="180" spans="2:8" ht="15" customHeight="1">
      <c r="B180" s="43">
        <f>1/COUNTIF(SeedMixes[Name],"="&amp;SeedMixes[[#This Row],[Name]])</f>
        <v>0.1111111111111111</v>
      </c>
      <c r="C180" t="s">
        <v>553</v>
      </c>
      <c r="D180" t="s">
        <v>1281</v>
      </c>
      <c r="E180" t="s">
        <v>626</v>
      </c>
      <c r="F180" t="s">
        <v>488</v>
      </c>
      <c r="G180" t="str">
        <f>SeedMixes[[#This Row],[Variety]]&amp;" "&amp;SeedMixes[[#This Row],[Company]]</f>
        <v>Tangerine Gem Adaptive</v>
      </c>
      <c r="H180" t="str">
        <f>_xlfn.TEXTJOIN(CHAR(10),FALSE, SeedMixes[[#This Row],[Crop]],SeedMixes[[#This Row],[Variety]],SeedMixes[[#This Row],[Company]])</f>
        <v>Marigold
Tangerine Gem
Adaptive</v>
      </c>
    </row>
    <row r="181" spans="2:8" ht="15" customHeight="1">
      <c r="B181" s="43">
        <f>1/COUNTIF(SeedMixes[Name],"="&amp;SeedMixes[[#This Row],[Name]])</f>
        <v>0.1111111111111111</v>
      </c>
      <c r="C181" t="s">
        <v>553</v>
      </c>
      <c r="D181" t="s">
        <v>1281</v>
      </c>
      <c r="E181" t="s">
        <v>624</v>
      </c>
      <c r="F181" t="s">
        <v>490</v>
      </c>
      <c r="G181" t="str">
        <f>SeedMixes[[#This Row],[Variety]]&amp;" "&amp;SeedMixes[[#This Row],[Company]]</f>
        <v>White Swan Johnny's</v>
      </c>
      <c r="H181" t="str">
        <f>_xlfn.TEXTJOIN(CHAR(10),FALSE, SeedMixes[[#This Row],[Crop]],SeedMixes[[#This Row],[Variety]],SeedMixes[[#This Row],[Company]])</f>
        <v>Marigold
White Swan
Johnny's</v>
      </c>
    </row>
    <row r="182" spans="2:8" ht="15" customHeight="1">
      <c r="B182" s="44">
        <f>1/COUNTIF(SeedMixes[Name],"="&amp;SeedMixes[[#This Row],[Name]])</f>
        <v>0.25</v>
      </c>
      <c r="C182" t="s">
        <v>1839</v>
      </c>
      <c r="D182" t="s">
        <v>98</v>
      </c>
      <c r="E182" t="s">
        <v>2249</v>
      </c>
      <c r="F182" t="s">
        <v>490</v>
      </c>
      <c r="G182" t="str">
        <f>SeedMixes[[#This Row],[Variety]]&amp;" "&amp;SeedMixes[[#This Row],[Company]]</f>
        <v>Divergent F1 Johnny's</v>
      </c>
      <c r="H182" t="str">
        <f>_xlfn.TEXTJOIN(CHAR(10),FALSE, SeedMixes[[#This Row],[Crop]],SeedMixes[[#This Row],[Variety]],SeedMixes[[#This Row],[Company]])</f>
        <v>Melon
Divergent F1
Johnny's</v>
      </c>
    </row>
    <row r="183" spans="2:8" ht="15" customHeight="1">
      <c r="B183" s="43">
        <f>1/COUNTIF(SeedMixes[Name],"="&amp;SeedMixes[[#This Row],[Name]])</f>
        <v>0.25</v>
      </c>
      <c r="C183" t="s">
        <v>1839</v>
      </c>
      <c r="D183" t="s">
        <v>98</v>
      </c>
      <c r="E183" t="s">
        <v>700</v>
      </c>
      <c r="F183" t="s">
        <v>482</v>
      </c>
      <c r="G183" t="str">
        <f>SeedMixes[[#This Row],[Variety]]&amp;" "&amp;SeedMixes[[#This Row],[Company]]</f>
        <v>True Love High Mowing</v>
      </c>
      <c r="H183" t="str">
        <f>_xlfn.TEXTJOIN(CHAR(10),FALSE, SeedMixes[[#This Row],[Crop]],SeedMixes[[#This Row],[Variety]],SeedMixes[[#This Row],[Company]])</f>
        <v>Melon
True Love
High Mowing</v>
      </c>
    </row>
    <row r="184" spans="2:8" ht="15" customHeight="1">
      <c r="B184" s="44">
        <f>1/COUNTIF(SeedMixes[Name],"="&amp;SeedMixes[[#This Row],[Name]])</f>
        <v>0.25</v>
      </c>
      <c r="C184" t="s">
        <v>1839</v>
      </c>
      <c r="D184" t="s">
        <v>98</v>
      </c>
      <c r="E184" t="s">
        <v>1618</v>
      </c>
      <c r="F184" t="s">
        <v>490</v>
      </c>
      <c r="G184" t="str">
        <f>SeedMixes[[#This Row],[Variety]]&amp;" "&amp;SeedMixes[[#This Row],[Company]]</f>
        <v>Triton Johnny's</v>
      </c>
      <c r="H184" t="str">
        <f>_xlfn.TEXTJOIN(CHAR(10),FALSE, SeedMixes[[#This Row],[Crop]],SeedMixes[[#This Row],[Variety]],SeedMixes[[#This Row],[Company]])</f>
        <v>Melon
Triton
Johnny's</v>
      </c>
    </row>
    <row r="185" spans="2:8" ht="15" customHeight="1">
      <c r="B185" s="44">
        <f>1/COUNTIF(SeedMixes[Name],"="&amp;SeedMixes[[#This Row],[Name]])</f>
        <v>0.25</v>
      </c>
      <c r="C185" t="s">
        <v>1839</v>
      </c>
      <c r="D185" t="s">
        <v>98</v>
      </c>
      <c r="E185" t="s">
        <v>2249</v>
      </c>
      <c r="F185" t="s">
        <v>503</v>
      </c>
      <c r="G185" t="str">
        <f>SeedMixes[[#This Row],[Variety]]&amp;" "&amp;SeedMixes[[#This Row],[Company]]</f>
        <v>Divergent F1 Osborne</v>
      </c>
      <c r="H185" t="str">
        <f>_xlfn.TEXTJOIN(CHAR(10),FALSE, SeedMixes[[#This Row],[Crop]],SeedMixes[[#This Row],[Variety]],SeedMixes[[#This Row],[Company]])</f>
        <v>Melon
Divergent F1
Osborne</v>
      </c>
    </row>
    <row r="186" spans="2:8" ht="15" customHeight="1">
      <c r="B186" s="43">
        <f>1/COUNTIF(SeedMixes[Name],"="&amp;SeedMixes[[#This Row],[Name]])</f>
        <v>0.2</v>
      </c>
      <c r="C186" t="s">
        <v>1979</v>
      </c>
      <c r="D186" t="s">
        <v>1766</v>
      </c>
      <c r="E186" t="s">
        <v>2172</v>
      </c>
      <c r="F186" t="s">
        <v>526</v>
      </c>
      <c r="G186" t="str">
        <f>SeedMixes[[#This Row],[Variety]]&amp;" "&amp;SeedMixes[[#This Row],[Company]]</f>
        <v>Heavenly Blue Wild Garden</v>
      </c>
      <c r="H186" t="str">
        <f>_xlfn.TEXTJOIN(CHAR(10),FALSE, SeedMixes[[#This Row],[Crop]],SeedMixes[[#This Row],[Variety]],SeedMixes[[#This Row],[Company]])</f>
        <v>Milkweed
Heavenly Blue
Wild Garden</v>
      </c>
    </row>
    <row r="187" spans="2:8" ht="15" customHeight="1">
      <c r="B187" s="43">
        <f>1/COUNTIF(SeedMixes[Name],"="&amp;SeedMixes[[#This Row],[Name]])</f>
        <v>0.2</v>
      </c>
      <c r="C187" t="s">
        <v>1979</v>
      </c>
      <c r="D187" t="s">
        <v>1766</v>
      </c>
      <c r="E187" t="s">
        <v>1981</v>
      </c>
      <c r="F187" t="s">
        <v>526</v>
      </c>
      <c r="G187" t="str">
        <f>SeedMixes[[#This Row],[Variety]]&amp;" "&amp;SeedMixes[[#This Row],[Company]]</f>
        <v>Native Northwest Wild Garden</v>
      </c>
      <c r="H187" t="str">
        <f>_xlfn.TEXTJOIN(CHAR(10),FALSE, SeedMixes[[#This Row],[Crop]],SeedMixes[[#This Row],[Variety]],SeedMixes[[#This Row],[Company]])</f>
        <v>Milkweed
Native Northwest
Wild Garden</v>
      </c>
    </row>
    <row r="188" spans="2:8" ht="15" customHeight="1">
      <c r="B188" s="43">
        <f>1/COUNTIF(SeedMixes[Name],"="&amp;SeedMixes[[#This Row],[Name]])</f>
        <v>0.2</v>
      </c>
      <c r="C188" t="s">
        <v>1979</v>
      </c>
      <c r="D188" t="s">
        <v>1766</v>
      </c>
      <c r="E188" t="s">
        <v>1982</v>
      </c>
      <c r="F188" t="s">
        <v>526</v>
      </c>
      <c r="G188" t="str">
        <f>SeedMixes[[#This Row],[Variety]]&amp;" "&amp;SeedMixes[[#This Row],[Company]]</f>
        <v>Silky Gold Wild Garden</v>
      </c>
      <c r="H188" t="str">
        <f>_xlfn.TEXTJOIN(CHAR(10),FALSE, SeedMixes[[#This Row],[Crop]],SeedMixes[[#This Row],[Variety]],SeedMixes[[#This Row],[Company]])</f>
        <v>Milkweed
Silky Gold
Wild Garden</v>
      </c>
    </row>
    <row r="189" spans="2:8" ht="15" customHeight="1">
      <c r="B189" s="43">
        <f>1/COUNTIF(SeedMixes[Name],"="&amp;SeedMixes[[#This Row],[Name]])</f>
        <v>0.2</v>
      </c>
      <c r="C189" t="s">
        <v>1979</v>
      </c>
      <c r="D189" t="s">
        <v>1766</v>
      </c>
      <c r="E189" t="s">
        <v>1983</v>
      </c>
      <c r="F189" t="s">
        <v>526</v>
      </c>
      <c r="G189" t="str">
        <f>SeedMixes[[#This Row],[Variety]]&amp;" "&amp;SeedMixes[[#This Row],[Company]]</f>
        <v>Silky Red Wild Garden</v>
      </c>
      <c r="H189" t="str">
        <f>_xlfn.TEXTJOIN(CHAR(10),FALSE, SeedMixes[[#This Row],[Crop]],SeedMixes[[#This Row],[Variety]],SeedMixes[[#This Row],[Company]])</f>
        <v>Milkweed
Silky Red
Wild Garden</v>
      </c>
    </row>
    <row r="190" spans="2:8" ht="15" customHeight="1">
      <c r="B190" s="43">
        <f>1/COUNTIF(SeedMixes[Name],"="&amp;SeedMixes[[#This Row],[Name]])</f>
        <v>0.2</v>
      </c>
      <c r="C190" t="s">
        <v>1979</v>
      </c>
      <c r="D190" t="s">
        <v>1766</v>
      </c>
      <c r="E190" t="s">
        <v>1980</v>
      </c>
      <c r="F190" t="s">
        <v>490</v>
      </c>
      <c r="G190" t="str">
        <f>SeedMixes[[#This Row],[Variety]]&amp;" "&amp;SeedMixes[[#This Row],[Company]]</f>
        <v>Swamp Milkweed Johnny's</v>
      </c>
      <c r="H190" t="str">
        <f>_xlfn.TEXTJOIN(CHAR(10),FALSE, SeedMixes[[#This Row],[Crop]],SeedMixes[[#This Row],[Variety]],SeedMixes[[#This Row],[Company]])</f>
        <v>Milkweed
Swamp Milkweed
Johnny's</v>
      </c>
    </row>
    <row r="191" spans="2:8" ht="15" customHeight="1">
      <c r="B191" s="43">
        <f>1/COUNTIF(SeedMixes[Name],"="&amp;SeedMixes[[#This Row],[Name]])</f>
        <v>0.25</v>
      </c>
      <c r="C191" t="s">
        <v>557</v>
      </c>
      <c r="D191" t="s">
        <v>350</v>
      </c>
      <c r="E191" t="s">
        <v>632</v>
      </c>
      <c r="F191" t="s">
        <v>490</v>
      </c>
      <c r="G191" t="str">
        <f>SeedMixes[[#This Row],[Variety]]&amp;" "&amp;SeedMixes[[#This Row],[Company]]</f>
        <v>Empress of India Johnny's</v>
      </c>
      <c r="H191" t="str">
        <f>_xlfn.TEXTJOIN(CHAR(10),FALSE, SeedMixes[[#This Row],[Crop]],SeedMixes[[#This Row],[Variety]],SeedMixes[[#This Row],[Company]])</f>
        <v>Nasturtium
Empress of India
Johnny's</v>
      </c>
    </row>
    <row r="192" spans="2:8" ht="15" customHeight="1">
      <c r="B192" s="43">
        <f>1/COUNTIF(SeedMixes[Name],"="&amp;SeedMixes[[#This Row],[Name]])</f>
        <v>0.25</v>
      </c>
      <c r="C192" t="s">
        <v>557</v>
      </c>
      <c r="D192" t="s">
        <v>350</v>
      </c>
      <c r="E192" t="s">
        <v>629</v>
      </c>
      <c r="F192" t="s">
        <v>492</v>
      </c>
      <c r="G192" t="str">
        <f>SeedMixes[[#This Row],[Variety]]&amp;" "&amp;SeedMixes[[#This Row],[Company]]</f>
        <v>Orchid Cream Baker Creek</v>
      </c>
      <c r="H192" t="str">
        <f>_xlfn.TEXTJOIN(CHAR(10),FALSE, SeedMixes[[#This Row],[Crop]],SeedMixes[[#This Row],[Variety]],SeedMixes[[#This Row],[Company]])</f>
        <v>Nasturtium
Orchid Cream
Baker Creek</v>
      </c>
    </row>
    <row r="193" spans="2:8" ht="15" customHeight="1">
      <c r="B193" s="43">
        <f>1/COUNTIF(SeedMixes[Name],"="&amp;SeedMixes[[#This Row],[Name]])</f>
        <v>0.25</v>
      </c>
      <c r="C193" t="s">
        <v>557</v>
      </c>
      <c r="D193" t="s">
        <v>350</v>
      </c>
      <c r="E193" t="s">
        <v>631</v>
      </c>
      <c r="F193" t="s">
        <v>503</v>
      </c>
      <c r="G193" t="str">
        <f>SeedMixes[[#This Row],[Variety]]&amp;" "&amp;SeedMixes[[#This Row],[Company]]</f>
        <v>Salmon Baby Osborne</v>
      </c>
      <c r="H193" t="str">
        <f>_xlfn.TEXTJOIN(CHAR(10),FALSE, SeedMixes[[#This Row],[Crop]],SeedMixes[[#This Row],[Variety]],SeedMixes[[#This Row],[Company]])</f>
        <v>Nasturtium
Salmon Baby
Osborne</v>
      </c>
    </row>
    <row r="194" spans="2:8" ht="15" customHeight="1">
      <c r="B194" s="43">
        <f>1/COUNTIF(SeedMixes[Name],"="&amp;SeedMixes[[#This Row],[Name]])</f>
        <v>0.25</v>
      </c>
      <c r="C194" t="s">
        <v>557</v>
      </c>
      <c r="D194" t="s">
        <v>350</v>
      </c>
      <c r="E194" t="s">
        <v>630</v>
      </c>
      <c r="F194" t="s">
        <v>492</v>
      </c>
      <c r="G194" t="str">
        <f>SeedMixes[[#This Row],[Variety]]&amp;" "&amp;SeedMixes[[#This Row],[Company]]</f>
        <v>Tip Top Rose Nasturtium Baker Creek</v>
      </c>
      <c r="H194" t="str">
        <f>_xlfn.TEXTJOIN(CHAR(10),FALSE, SeedMixes[[#This Row],[Crop]],SeedMixes[[#This Row],[Variety]],SeedMixes[[#This Row],[Company]])</f>
        <v>Nasturtium
Tip Top Rose Nasturtium
Baker Creek</v>
      </c>
    </row>
    <row r="195" spans="2:8" ht="15" customHeight="1">
      <c r="B195" s="43">
        <f>1/COUNTIF(SeedMixes[Name],"="&amp;SeedMixes[[#This Row],[Name]])</f>
        <v>0.33333333333333331</v>
      </c>
      <c r="C195" t="s">
        <v>558</v>
      </c>
      <c r="D195" t="s">
        <v>104</v>
      </c>
      <c r="E195" t="s">
        <v>495</v>
      </c>
      <c r="F195" t="s">
        <v>482</v>
      </c>
      <c r="G195" t="str">
        <f>SeedMixes[[#This Row],[Variety]]&amp;" "&amp;SeedMixes[[#This Row],[Company]]</f>
        <v>Blue High Mowing</v>
      </c>
      <c r="H195" t="str">
        <f>_xlfn.TEXTJOIN(CHAR(10),FALSE, SeedMixes[[#This Row],[Crop]],SeedMixes[[#This Row],[Variety]],SeedMixes[[#This Row],[Company]])</f>
        <v>Nigella
Blue
High Mowing</v>
      </c>
    </row>
    <row r="196" spans="2:8" ht="15" customHeight="1">
      <c r="B196" s="43">
        <f>1/COUNTIF(SeedMixes[Name],"="&amp;SeedMixes[[#This Row],[Name]])</f>
        <v>0.33333333333333331</v>
      </c>
      <c r="C196" t="s">
        <v>558</v>
      </c>
      <c r="D196" t="s">
        <v>104</v>
      </c>
      <c r="E196" t="s">
        <v>633</v>
      </c>
      <c r="F196" t="s">
        <v>482</v>
      </c>
      <c r="G196" t="str">
        <f>SeedMixes[[#This Row],[Variety]]&amp;" "&amp;SeedMixes[[#This Row],[Company]]</f>
        <v>Cramer's Plum High Mowing</v>
      </c>
      <c r="H196" t="str">
        <f>_xlfn.TEXTJOIN(CHAR(10),FALSE, SeedMixes[[#This Row],[Crop]],SeedMixes[[#This Row],[Variety]],SeedMixes[[#This Row],[Company]])</f>
        <v>Nigella
Cramer's Plum
High Mowing</v>
      </c>
    </row>
    <row r="197" spans="2:8" ht="15" customHeight="1">
      <c r="B197" s="43">
        <f>1/COUNTIF(SeedMixes[Name],"="&amp;SeedMixes[[#This Row],[Name]])</f>
        <v>0.33333333333333331</v>
      </c>
      <c r="C197" t="s">
        <v>558</v>
      </c>
      <c r="D197" t="s">
        <v>104</v>
      </c>
      <c r="E197" t="s">
        <v>634</v>
      </c>
      <c r="F197" t="s">
        <v>488</v>
      </c>
      <c r="G197" t="str">
        <f>SeedMixes[[#This Row],[Variety]]&amp;" "&amp;SeedMixes[[#This Row],[Company]]</f>
        <v>Love-in-a-Mist Adaptive</v>
      </c>
      <c r="H197" t="str">
        <f>_xlfn.TEXTJOIN(CHAR(10),FALSE, SeedMixes[[#This Row],[Crop]],SeedMixes[[#This Row],[Variety]],SeedMixes[[#This Row],[Company]])</f>
        <v>Nigella
Love-in-a-Mist
Adaptive</v>
      </c>
    </row>
    <row r="198" spans="2:8" ht="15" customHeight="1">
      <c r="B198" s="43">
        <f>1/COUNTIF(SeedMixes[Name],"="&amp;SeedMixes[[#This Row],[Name]])</f>
        <v>0.5</v>
      </c>
      <c r="C198" t="s">
        <v>1848</v>
      </c>
      <c r="D198" t="s">
        <v>105</v>
      </c>
      <c r="E198" t="s">
        <v>1850</v>
      </c>
      <c r="F198" t="s">
        <v>482</v>
      </c>
      <c r="G198" t="str">
        <f>SeedMixes[[#This Row],[Variety]]&amp;" "&amp;SeedMixes[[#This Row],[Company]]</f>
        <v>Ailsa Craig High Mowing</v>
      </c>
      <c r="H198" t="str">
        <f>_xlfn.TEXTJOIN(CHAR(10),FALSE, SeedMixes[[#This Row],[Crop]],SeedMixes[[#This Row],[Variety]],SeedMixes[[#This Row],[Company]])</f>
        <v>Onion
Ailsa Craig
High Mowing</v>
      </c>
    </row>
    <row r="199" spans="2:8" ht="15" customHeight="1">
      <c r="B199" s="43">
        <f>1/COUNTIF(SeedMixes[Name],"="&amp;SeedMixes[[#This Row],[Name]])</f>
        <v>0.5</v>
      </c>
      <c r="C199" t="s">
        <v>1848</v>
      </c>
      <c r="D199" t="s">
        <v>105</v>
      </c>
      <c r="E199" t="s">
        <v>2234</v>
      </c>
      <c r="F199" t="s">
        <v>482</v>
      </c>
      <c r="G199" t="str">
        <f>SeedMixes[[#This Row],[Variety]]&amp;" "&amp;SeedMixes[[#This Row],[Company]]</f>
        <v>Talon F1 High Mowing</v>
      </c>
      <c r="H199" t="str">
        <f>_xlfn.TEXTJOIN(CHAR(10),FALSE, SeedMixes[[#This Row],[Crop]],SeedMixes[[#This Row],[Variety]],SeedMixes[[#This Row],[Company]])</f>
        <v>Onion
Talon F1
High Mowing</v>
      </c>
    </row>
    <row r="200" spans="2:8" ht="15" customHeight="1">
      <c r="B200" s="43">
        <f>1/COUNTIF(SeedMixes[Name],"="&amp;SeedMixes[[#This Row],[Name]])</f>
        <v>0.33333333333333331</v>
      </c>
      <c r="C200" t="s">
        <v>2818</v>
      </c>
      <c r="D200" t="s">
        <v>105</v>
      </c>
      <c r="E200" t="s">
        <v>1845</v>
      </c>
      <c r="F200" t="s">
        <v>482</v>
      </c>
      <c r="G200" t="str">
        <f>SeedMixes[[#This Row],[Variety]]&amp;" "&amp;SeedMixes[[#This Row],[Company]]</f>
        <v>Cortland F1 High Mowing</v>
      </c>
      <c r="H200" t="str">
        <f>_xlfn.TEXTJOIN(CHAR(10),FALSE, SeedMixes[[#This Row],[Crop]],SeedMixes[[#This Row],[Variety]],SeedMixes[[#This Row],[Company]])</f>
        <v>Onion
Cortland F1
High Mowing</v>
      </c>
    </row>
    <row r="201" spans="2:8" ht="15" customHeight="1">
      <c r="B201" s="43">
        <f>1/COUNTIF(SeedMixes[Name],"="&amp;SeedMixes[[#This Row],[Name]])</f>
        <v>0.33333333333333331</v>
      </c>
      <c r="C201" t="s">
        <v>2818</v>
      </c>
      <c r="D201" t="s">
        <v>105</v>
      </c>
      <c r="E201" t="s">
        <v>2819</v>
      </c>
      <c r="F201" t="s">
        <v>482</v>
      </c>
      <c r="G201" t="str">
        <f>SeedMixes[[#This Row],[Variety]]&amp;" "&amp;SeedMixes[[#This Row],[Company]]</f>
        <v>Sedona F1 High Mowing</v>
      </c>
      <c r="H201" t="str">
        <f>_xlfn.TEXTJOIN(CHAR(10),FALSE, SeedMixes[[#This Row],[Crop]],SeedMixes[[#This Row],[Variety]],SeedMixes[[#This Row],[Company]])</f>
        <v>Onion
Sedona F1
High Mowing</v>
      </c>
    </row>
    <row r="202" spans="2:8" ht="15" customHeight="1">
      <c r="B202" s="43">
        <f>1/COUNTIF(SeedMixes[Name],"="&amp;SeedMixes[[#This Row],[Name]])</f>
        <v>0.33333333333333331</v>
      </c>
      <c r="C202" t="s">
        <v>2818</v>
      </c>
      <c r="D202" t="s">
        <v>105</v>
      </c>
      <c r="E202" t="s">
        <v>2820</v>
      </c>
      <c r="F202" t="s">
        <v>490</v>
      </c>
      <c r="G202" t="str">
        <f>SeedMixes[[#This Row],[Variety]]&amp;" "&amp;SeedMixes[[#This Row],[Company]]</f>
        <v>Red Spring Johnny's</v>
      </c>
      <c r="H202" t="str">
        <f>_xlfn.TEXTJOIN(CHAR(10),FALSE, SeedMixes[[#This Row],[Crop]],SeedMixes[[#This Row],[Variety]],SeedMixes[[#This Row],[Company]])</f>
        <v>Onion
Red Spring
Johnny's</v>
      </c>
    </row>
    <row r="203" spans="2:8" ht="15" customHeight="1">
      <c r="B203" s="43">
        <f>1/COUNTIF(SeedMixes[Name],"="&amp;SeedMixes[[#This Row],[Name]])</f>
        <v>0.33333333333333331</v>
      </c>
      <c r="C203" t="s">
        <v>1841</v>
      </c>
      <c r="D203" t="s">
        <v>105</v>
      </c>
      <c r="E203" t="s">
        <v>1844</v>
      </c>
      <c r="F203" t="s">
        <v>482</v>
      </c>
      <c r="G203" t="str">
        <f>SeedMixes[[#This Row],[Variety]]&amp;" "&amp;SeedMixes[[#This Row],[Company]]</f>
        <v>Amber High Mowing</v>
      </c>
      <c r="H203" t="str">
        <f>_xlfn.TEXTJOIN(CHAR(10),FALSE, SeedMixes[[#This Row],[Crop]],SeedMixes[[#This Row],[Variety]],SeedMixes[[#This Row],[Company]])</f>
        <v>Onion
Amber
High Mowing</v>
      </c>
    </row>
    <row r="204" spans="2:8" ht="15" customHeight="1">
      <c r="B204" s="43">
        <f>1/COUNTIF(SeedMixes[Name],"="&amp;SeedMixes[[#This Row],[Name]])</f>
        <v>0.33333333333333331</v>
      </c>
      <c r="C204" t="s">
        <v>1841</v>
      </c>
      <c r="D204" t="s">
        <v>105</v>
      </c>
      <c r="E204" t="s">
        <v>1843</v>
      </c>
      <c r="F204" t="s">
        <v>482</v>
      </c>
      <c r="G204" t="str">
        <f>SeedMixes[[#This Row],[Variety]]&amp;" "&amp;SeedMixes[[#This Row],[Company]]</f>
        <v>Red Long of Florence High Mowing</v>
      </c>
      <c r="H204" t="str">
        <f>_xlfn.TEXTJOIN(CHAR(10),FALSE, SeedMixes[[#This Row],[Crop]],SeedMixes[[#This Row],[Variety]],SeedMixes[[#This Row],[Company]])</f>
        <v>Onion
Red Long of Florence
High Mowing</v>
      </c>
    </row>
    <row r="205" spans="2:8" ht="15" customHeight="1">
      <c r="B205" s="43">
        <f>1/COUNTIF(SeedMixes[Name],"="&amp;SeedMixes[[#This Row],[Name]])</f>
        <v>0.33333333333333331</v>
      </c>
      <c r="C205" t="s">
        <v>1841</v>
      </c>
      <c r="D205" t="s">
        <v>105</v>
      </c>
      <c r="E205" t="s">
        <v>1840</v>
      </c>
      <c r="F205" t="s">
        <v>488</v>
      </c>
      <c r="G205" t="str">
        <f>SeedMixes[[#This Row],[Variety]]&amp;" "&amp;SeedMixes[[#This Row],[Company]]</f>
        <v>Rose de Roscoff Adaptive</v>
      </c>
      <c r="H205" t="str">
        <f>_xlfn.TEXTJOIN(CHAR(10),FALSE, SeedMixes[[#This Row],[Crop]],SeedMixes[[#This Row],[Variety]],SeedMixes[[#This Row],[Company]])</f>
        <v>Onion
Rose de Roscoff
Adaptive</v>
      </c>
    </row>
    <row r="206" spans="2:8" ht="15" customHeight="1">
      <c r="B206" s="43">
        <f>1/COUNTIF(SeedMixes[Name],"="&amp;SeedMixes[[#This Row],[Name]])</f>
        <v>0.25</v>
      </c>
      <c r="C206" t="s">
        <v>1842</v>
      </c>
      <c r="D206" t="s">
        <v>105</v>
      </c>
      <c r="E206" t="s">
        <v>1845</v>
      </c>
      <c r="F206" t="s">
        <v>482</v>
      </c>
      <c r="G206" t="str">
        <f>SeedMixes[[#This Row],[Variety]]&amp;" "&amp;SeedMixes[[#This Row],[Company]]</f>
        <v>Cortland F1 High Mowing</v>
      </c>
      <c r="H206" t="str">
        <f>_xlfn.TEXTJOIN(CHAR(10),FALSE, SeedMixes[[#This Row],[Crop]],SeedMixes[[#This Row],[Variety]],SeedMixes[[#This Row],[Company]])</f>
        <v>Onion
Cortland F1
High Mowing</v>
      </c>
    </row>
    <row r="207" spans="2:8" ht="15" customHeight="1">
      <c r="B207" s="43">
        <f>1/COUNTIF(SeedMixes[Name],"="&amp;SeedMixes[[#This Row],[Name]])</f>
        <v>0.25</v>
      </c>
      <c r="C207" t="s">
        <v>1842</v>
      </c>
      <c r="D207" t="s">
        <v>105</v>
      </c>
      <c r="E207" t="s">
        <v>1846</v>
      </c>
      <c r="F207" t="s">
        <v>482</v>
      </c>
      <c r="G207" t="str">
        <f>SeedMixes[[#This Row],[Variety]]&amp;" "&amp;SeedMixes[[#This Row],[Company]]</f>
        <v>Red Carpet  F1 High Mowing</v>
      </c>
      <c r="H207" t="str">
        <f>_xlfn.TEXTJOIN(CHAR(10),FALSE, SeedMixes[[#This Row],[Crop]],SeedMixes[[#This Row],[Variety]],SeedMixes[[#This Row],[Company]])</f>
        <v>Onion
Red Carpet  F1
High Mowing</v>
      </c>
    </row>
    <row r="208" spans="2:8" ht="15" customHeight="1">
      <c r="B208" s="43">
        <f>1/COUNTIF(SeedMixes[Name],"="&amp;SeedMixes[[#This Row],[Name]])</f>
        <v>0.25</v>
      </c>
      <c r="C208" t="s">
        <v>1842</v>
      </c>
      <c r="D208" t="s">
        <v>105</v>
      </c>
      <c r="E208" t="s">
        <v>1840</v>
      </c>
      <c r="F208" t="s">
        <v>488</v>
      </c>
      <c r="G208" t="str">
        <f>SeedMixes[[#This Row],[Variety]]&amp;" "&amp;SeedMixes[[#This Row],[Company]]</f>
        <v>Rose de Roscoff Adaptive</v>
      </c>
      <c r="H208" t="str">
        <f>_xlfn.TEXTJOIN(CHAR(10),FALSE, SeedMixes[[#This Row],[Crop]],SeedMixes[[#This Row],[Variety]],SeedMixes[[#This Row],[Company]])</f>
        <v>Onion
Rose de Roscoff
Adaptive</v>
      </c>
    </row>
    <row r="209" spans="2:8" ht="15" customHeight="1">
      <c r="B209" s="43">
        <f>1/COUNTIF(SeedMixes[Name],"="&amp;SeedMixes[[#This Row],[Name]])</f>
        <v>0.25</v>
      </c>
      <c r="C209" t="s">
        <v>1842</v>
      </c>
      <c r="D209" t="s">
        <v>105</v>
      </c>
      <c r="E209" t="s">
        <v>2234</v>
      </c>
      <c r="F209" t="s">
        <v>482</v>
      </c>
      <c r="G209" t="str">
        <f>SeedMixes[[#This Row],[Variety]]&amp;" "&amp;SeedMixes[[#This Row],[Company]]</f>
        <v>Talon F1 High Mowing</v>
      </c>
      <c r="H209" t="str">
        <f>_xlfn.TEXTJOIN(CHAR(10),FALSE, SeedMixes[[#This Row],[Crop]],SeedMixes[[#This Row],[Variety]],SeedMixes[[#This Row],[Company]])</f>
        <v>Onion
Talon F1
High Mowing</v>
      </c>
    </row>
    <row r="210" spans="2:8" ht="15" customHeight="1">
      <c r="B210" s="159">
        <f>1/COUNTIF(SeedMixes[Name],"="&amp;SeedMixes[[#This Row],[Name]])</f>
        <v>0.25</v>
      </c>
      <c r="C210" t="s">
        <v>1805</v>
      </c>
      <c r="D210" t="s">
        <v>3109</v>
      </c>
      <c r="E210" t="s">
        <v>891</v>
      </c>
      <c r="F210" t="s">
        <v>490</v>
      </c>
      <c r="G210" t="str">
        <f>SeedMixes[[#This Row],[Variety]]&amp;" "&amp;SeedMixes[[#This Row],[Company]]</f>
        <v>Bopak Johnny's</v>
      </c>
      <c r="H210" t="str">
        <f>_xlfn.TEXTJOIN(CHAR(10),FALSE, SeedMixes[[#This Row],[Crop]],SeedMixes[[#This Row],[Variety]],SeedMixes[[#This Row],[Company]])</f>
        <v>Pac Choi
Bopak
Johnny's</v>
      </c>
    </row>
    <row r="211" spans="2:8" ht="15" customHeight="1">
      <c r="B211" s="43">
        <f>1/COUNTIF(SeedMixes[Name],"="&amp;SeedMixes[[#This Row],[Name]])</f>
        <v>0.16666666666666666</v>
      </c>
      <c r="C211" t="s">
        <v>2239</v>
      </c>
      <c r="D211" t="s">
        <v>1339</v>
      </c>
      <c r="E211" t="s">
        <v>639</v>
      </c>
      <c r="F211" t="s">
        <v>492</v>
      </c>
      <c r="G211" t="str">
        <f>SeedMixes[[#This Row],[Variety]]&amp;" "&amp;SeedMixes[[#This Row],[Company]]</f>
        <v>Brush Strokes Baker Creek</v>
      </c>
      <c r="H211" t="str">
        <f>_xlfn.TEXTJOIN(CHAR(10),FALSE, SeedMixes[[#This Row],[Crop]],SeedMixes[[#This Row],[Variety]],SeedMixes[[#This Row],[Company]])</f>
        <v>Pansy &amp; Viola
Brush Strokes
Baker Creek</v>
      </c>
    </row>
    <row r="212" spans="2:8" ht="15" customHeight="1">
      <c r="B212" s="43">
        <f>1/COUNTIF(SeedMixes[Name],"="&amp;SeedMixes[[#This Row],[Name]])</f>
        <v>0.16666666666666666</v>
      </c>
      <c r="C212" t="s">
        <v>2239</v>
      </c>
      <c r="D212" t="s">
        <v>1339</v>
      </c>
      <c r="E212" t="s">
        <v>643</v>
      </c>
      <c r="F212" t="s">
        <v>492</v>
      </c>
      <c r="G212" t="str">
        <f>SeedMixes[[#This Row],[Variety]]&amp;" "&amp;SeedMixes[[#This Row],[Company]]</f>
        <v>Celestial Blue Pansy Baker Creek</v>
      </c>
      <c r="H212" t="str">
        <f>_xlfn.TEXTJOIN(CHAR(10),FALSE, SeedMixes[[#This Row],[Crop]],SeedMixes[[#This Row],[Variety]],SeedMixes[[#This Row],[Company]])</f>
        <v>Pansy &amp; Viola
Celestial Blue Pansy
Baker Creek</v>
      </c>
    </row>
    <row r="213" spans="2:8" ht="15" customHeight="1">
      <c r="B213" s="43">
        <f>1/COUNTIF(SeedMixes[Name],"="&amp;SeedMixes[[#This Row],[Name]])</f>
        <v>0.16666666666666666</v>
      </c>
      <c r="C213" t="s">
        <v>2239</v>
      </c>
      <c r="D213" t="s">
        <v>1339</v>
      </c>
      <c r="E213" t="s">
        <v>641</v>
      </c>
      <c r="F213" t="s">
        <v>503</v>
      </c>
      <c r="G213" t="str">
        <f>SeedMixes[[#This Row],[Variety]]&amp;" "&amp;SeedMixes[[#This Row],[Company]]</f>
        <v>Frizzle Sizzle Lemonberry Osborne</v>
      </c>
      <c r="H213" t="str">
        <f>_xlfn.TEXTJOIN(CHAR(10),FALSE, SeedMixes[[#This Row],[Crop]],SeedMixes[[#This Row],[Variety]],SeedMixes[[#This Row],[Company]])</f>
        <v>Pansy &amp; Viola
Frizzle Sizzle Lemonberry
Osborne</v>
      </c>
    </row>
    <row r="214" spans="2:8" ht="15" customHeight="1">
      <c r="B214" s="43">
        <f>1/COUNTIF(SeedMixes[Name],"="&amp;SeedMixes[[#This Row],[Name]])</f>
        <v>0.16666666666666666</v>
      </c>
      <c r="C214" t="s">
        <v>2239</v>
      </c>
      <c r="D214" t="s">
        <v>1339</v>
      </c>
      <c r="E214" t="s">
        <v>642</v>
      </c>
      <c r="F214" t="s">
        <v>490</v>
      </c>
      <c r="G214" t="str">
        <f>SeedMixes[[#This Row],[Variety]]&amp;" "&amp;SeedMixes[[#This Row],[Company]]</f>
        <v>Frizzle Sizzle Mini tapestry Johnny's</v>
      </c>
      <c r="H214" t="str">
        <f>_xlfn.TEXTJOIN(CHAR(10),FALSE, SeedMixes[[#This Row],[Crop]],SeedMixes[[#This Row],[Variety]],SeedMixes[[#This Row],[Company]])</f>
        <v>Pansy &amp; Viola
Frizzle Sizzle Mini tapestry
Johnny's</v>
      </c>
    </row>
    <row r="215" spans="2:8" ht="15" customHeight="1">
      <c r="B215" s="43">
        <f>1/COUNTIF(SeedMixes[Name],"="&amp;SeedMixes[[#This Row],[Name]])</f>
        <v>0.16666666666666666</v>
      </c>
      <c r="C215" t="s">
        <v>2239</v>
      </c>
      <c r="D215" t="s">
        <v>1339</v>
      </c>
      <c r="E215" t="s">
        <v>2237</v>
      </c>
      <c r="F215" t="s">
        <v>490</v>
      </c>
      <c r="G215" t="str">
        <f>SeedMixes[[#This Row],[Variety]]&amp;" "&amp;SeedMixes[[#This Row],[Company]]</f>
        <v>Sorbet Formula Mix Johnny's</v>
      </c>
      <c r="H215" t="str">
        <f>_xlfn.TEXTJOIN(CHAR(10),FALSE, SeedMixes[[#This Row],[Crop]],SeedMixes[[#This Row],[Variety]],SeedMixes[[#This Row],[Company]])</f>
        <v>Pansy &amp; Viola
Sorbet Formula Mix
Johnny's</v>
      </c>
    </row>
    <row r="216" spans="2:8" ht="15" customHeight="1">
      <c r="B216" s="43">
        <f>1/COUNTIF(SeedMixes[Name],"="&amp;SeedMixes[[#This Row],[Name]])</f>
        <v>0.16666666666666666</v>
      </c>
      <c r="C216" t="s">
        <v>2239</v>
      </c>
      <c r="D216" t="s">
        <v>1339</v>
      </c>
      <c r="E216" t="s">
        <v>640</v>
      </c>
      <c r="F216" t="s">
        <v>492</v>
      </c>
      <c r="G216" t="str">
        <f>SeedMixes[[#This Row],[Variety]]&amp;" "&amp;SeedMixes[[#This Row],[Company]]</f>
        <v>Tiger Laeta Baker Creek</v>
      </c>
      <c r="H216" t="str">
        <f>_xlfn.TEXTJOIN(CHAR(10),FALSE, SeedMixes[[#This Row],[Crop]],SeedMixes[[#This Row],[Variety]],SeedMixes[[#This Row],[Company]])</f>
        <v>Pansy &amp; Viola
Tiger Laeta
Baker Creek</v>
      </c>
    </row>
    <row r="217" spans="2:8" ht="15" customHeight="1">
      <c r="B217" s="43">
        <f>1/COUNTIF(SeedMixes[Name],"="&amp;SeedMixes[[#This Row],[Name]])</f>
        <v>1</v>
      </c>
      <c r="C217" t="s">
        <v>2236</v>
      </c>
      <c r="D217" t="s">
        <v>1339</v>
      </c>
      <c r="E217" t="s">
        <v>638</v>
      </c>
      <c r="F217" t="s">
        <v>490</v>
      </c>
      <c r="G217" t="str">
        <f>SeedMixes[[#This Row],[Variety]]&amp;" "&amp;SeedMixes[[#This Row],[Company]]</f>
        <v>Frizzle Sizzle Yellow Blue Swirl Johnny's</v>
      </c>
      <c r="H217" t="str">
        <f>_xlfn.TEXTJOIN(CHAR(10),FALSE, SeedMixes[[#This Row],[Crop]],SeedMixes[[#This Row],[Variety]],SeedMixes[[#This Row],[Company]])</f>
        <v>Pansy &amp; Viola
Frizzle Sizzle Yellow Blue Swirl
Johnny's</v>
      </c>
    </row>
    <row r="218" spans="2:8" ht="15" customHeight="1">
      <c r="B218" s="43">
        <f>1/COUNTIF(SeedMixes[Name],"="&amp;SeedMixes[[#This Row],[Name]])</f>
        <v>0.14285714285714285</v>
      </c>
      <c r="C218" t="s">
        <v>559</v>
      </c>
      <c r="D218" t="s">
        <v>1339</v>
      </c>
      <c r="E218" t="s">
        <v>637</v>
      </c>
      <c r="F218" t="s">
        <v>492</v>
      </c>
      <c r="G218" t="str">
        <f>SeedMixes[[#This Row],[Variety]]&amp;" "&amp;SeedMixes[[#This Row],[Company]]</f>
        <v>Black Devil Pansy Baker Creek</v>
      </c>
      <c r="H218" t="str">
        <f>_xlfn.TEXTJOIN(CHAR(10),FALSE, SeedMixes[[#This Row],[Crop]],SeedMixes[[#This Row],[Variety]],SeedMixes[[#This Row],[Company]])</f>
        <v>Pansy &amp; Viola
Black Devil Pansy
Baker Creek</v>
      </c>
    </row>
    <row r="219" spans="2:8" ht="15" customHeight="1">
      <c r="B219" s="43">
        <f>1/COUNTIF(SeedMixes[Name],"="&amp;SeedMixes[[#This Row],[Name]])</f>
        <v>0.14285714285714285</v>
      </c>
      <c r="C219" t="s">
        <v>559</v>
      </c>
      <c r="D219" t="s">
        <v>1339</v>
      </c>
      <c r="E219" t="s">
        <v>639</v>
      </c>
      <c r="F219" t="s">
        <v>492</v>
      </c>
      <c r="G219" t="str">
        <f>SeedMixes[[#This Row],[Variety]]&amp;" "&amp;SeedMixes[[#This Row],[Company]]</f>
        <v>Brush Strokes Baker Creek</v>
      </c>
      <c r="H219" t="str">
        <f>_xlfn.TEXTJOIN(CHAR(10),FALSE, SeedMixes[[#This Row],[Crop]],SeedMixes[[#This Row],[Variety]],SeedMixes[[#This Row],[Company]])</f>
        <v>Pansy &amp; Viola
Brush Strokes
Baker Creek</v>
      </c>
    </row>
    <row r="220" spans="2:8" ht="15" customHeight="1">
      <c r="B220" s="43">
        <f>1/COUNTIF(SeedMixes[Name],"="&amp;SeedMixes[[#This Row],[Name]])</f>
        <v>0.14285714285714285</v>
      </c>
      <c r="C220" t="s">
        <v>559</v>
      </c>
      <c r="D220" t="s">
        <v>1339</v>
      </c>
      <c r="E220" t="s">
        <v>643</v>
      </c>
      <c r="F220" t="s">
        <v>492</v>
      </c>
      <c r="G220" t="str">
        <f>SeedMixes[[#This Row],[Variety]]&amp;" "&amp;SeedMixes[[#This Row],[Company]]</f>
        <v>Celestial Blue Pansy Baker Creek</v>
      </c>
      <c r="H220" t="str">
        <f>_xlfn.TEXTJOIN(CHAR(10),FALSE, SeedMixes[[#This Row],[Crop]],SeedMixes[[#This Row],[Variety]],SeedMixes[[#This Row],[Company]])</f>
        <v>Pansy &amp; Viola
Celestial Blue Pansy
Baker Creek</v>
      </c>
    </row>
    <row r="221" spans="2:8" ht="15" customHeight="1">
      <c r="B221" s="43">
        <f>1/COUNTIF(SeedMixes[Name],"="&amp;SeedMixes[[#This Row],[Name]])</f>
        <v>0.14285714285714285</v>
      </c>
      <c r="C221" t="s">
        <v>559</v>
      </c>
      <c r="D221" t="s">
        <v>1339</v>
      </c>
      <c r="E221" t="s">
        <v>641</v>
      </c>
      <c r="F221" t="s">
        <v>503</v>
      </c>
      <c r="G221" t="str">
        <f>SeedMixes[[#This Row],[Variety]]&amp;" "&amp;SeedMixes[[#This Row],[Company]]</f>
        <v>Frizzle Sizzle Lemonberry Osborne</v>
      </c>
      <c r="H221" t="str">
        <f>_xlfn.TEXTJOIN(CHAR(10),FALSE, SeedMixes[[#This Row],[Crop]],SeedMixes[[#This Row],[Variety]],SeedMixes[[#This Row],[Company]])</f>
        <v>Pansy &amp; Viola
Frizzle Sizzle Lemonberry
Osborne</v>
      </c>
    </row>
    <row r="222" spans="2:8" ht="15" customHeight="1">
      <c r="B222" s="43">
        <f>1/COUNTIF(SeedMixes[Name],"="&amp;SeedMixes[[#This Row],[Name]])</f>
        <v>0.14285714285714285</v>
      </c>
      <c r="C222" t="s">
        <v>559</v>
      </c>
      <c r="D222" t="s">
        <v>1339</v>
      </c>
      <c r="E222" t="s">
        <v>642</v>
      </c>
      <c r="F222" t="s">
        <v>490</v>
      </c>
      <c r="G222" t="str">
        <f>SeedMixes[[#This Row],[Variety]]&amp;" "&amp;SeedMixes[[#This Row],[Company]]</f>
        <v>Frizzle Sizzle Mini tapestry Johnny's</v>
      </c>
      <c r="H222" t="str">
        <f>_xlfn.TEXTJOIN(CHAR(10),FALSE, SeedMixes[[#This Row],[Crop]],SeedMixes[[#This Row],[Variety]],SeedMixes[[#This Row],[Company]])</f>
        <v>Pansy &amp; Viola
Frizzle Sizzle Mini tapestry
Johnny's</v>
      </c>
    </row>
    <row r="223" spans="2:8" ht="15" customHeight="1">
      <c r="B223" s="43">
        <f>1/COUNTIF(SeedMixes[Name],"="&amp;SeedMixes[[#This Row],[Name]])</f>
        <v>0.14285714285714285</v>
      </c>
      <c r="C223" t="s">
        <v>559</v>
      </c>
      <c r="D223" t="s">
        <v>1339</v>
      </c>
      <c r="E223" t="s">
        <v>638</v>
      </c>
      <c r="F223" t="s">
        <v>490</v>
      </c>
      <c r="G223" t="str">
        <f>SeedMixes[[#This Row],[Variety]]&amp;" "&amp;SeedMixes[[#This Row],[Company]]</f>
        <v>Frizzle Sizzle Yellow Blue Swirl Johnny's</v>
      </c>
      <c r="H223" t="str">
        <f>_xlfn.TEXTJOIN(CHAR(10),FALSE, SeedMixes[[#This Row],[Crop]],SeedMixes[[#This Row],[Variety]],SeedMixes[[#This Row],[Company]])</f>
        <v>Pansy &amp; Viola
Frizzle Sizzle Yellow Blue Swirl
Johnny's</v>
      </c>
    </row>
    <row r="224" spans="2:8" ht="15" customHeight="1">
      <c r="B224" s="43">
        <f>1/COUNTIF(SeedMixes[Name],"="&amp;SeedMixes[[#This Row],[Name]])</f>
        <v>0.14285714285714285</v>
      </c>
      <c r="C224" t="s">
        <v>559</v>
      </c>
      <c r="D224" t="s">
        <v>1339</v>
      </c>
      <c r="E224" t="s">
        <v>640</v>
      </c>
      <c r="F224" t="s">
        <v>492</v>
      </c>
      <c r="G224" t="str">
        <f>SeedMixes[[#This Row],[Variety]]&amp;" "&amp;SeedMixes[[#This Row],[Company]]</f>
        <v>Tiger Laeta Baker Creek</v>
      </c>
      <c r="H224" t="str">
        <f>_xlfn.TEXTJOIN(CHAR(10),FALSE, SeedMixes[[#This Row],[Crop]],SeedMixes[[#This Row],[Variety]],SeedMixes[[#This Row],[Company]])</f>
        <v>Pansy &amp; Viola
Tiger Laeta
Baker Creek</v>
      </c>
    </row>
    <row r="225" spans="2:8" ht="15" customHeight="1">
      <c r="B225" s="43">
        <v>0.125</v>
      </c>
      <c r="C225" t="s">
        <v>1880</v>
      </c>
      <c r="D225" t="s">
        <v>108</v>
      </c>
      <c r="E225" t="s">
        <v>560</v>
      </c>
      <c r="F225" t="s">
        <v>488</v>
      </c>
      <c r="G225" t="str">
        <f>SeedMixes[[#This Row],[Variety]]&amp;" "&amp;SeedMixes[[#This Row],[Company]]</f>
        <v>Einfache Schnitt 3 Adaptive</v>
      </c>
      <c r="H225" t="str">
        <f>_xlfn.TEXTJOIN(CHAR(10),FALSE, SeedMixes[[#This Row],[Crop]],SeedMixes[[#This Row],[Variety]],SeedMixes[[#This Row],[Company]])</f>
        <v>Parsley
Einfache Schnitt 3
Adaptive</v>
      </c>
    </row>
    <row r="226" spans="2:8" ht="15" customHeight="1">
      <c r="B226" s="43">
        <v>0.5</v>
      </c>
      <c r="C226" t="s">
        <v>1880</v>
      </c>
      <c r="D226" t="s">
        <v>108</v>
      </c>
      <c r="E226" t="s">
        <v>1878</v>
      </c>
      <c r="F226" t="s">
        <v>490</v>
      </c>
      <c r="G226" t="str">
        <f>SeedMixes[[#This Row],[Variety]]&amp;" "&amp;SeedMixes[[#This Row],[Company]]</f>
        <v>Giant of Italy Johnny's</v>
      </c>
      <c r="H226" t="str">
        <f>_xlfn.TEXTJOIN(CHAR(10),FALSE, SeedMixes[[#This Row],[Crop]],SeedMixes[[#This Row],[Variety]],SeedMixes[[#This Row],[Company]])</f>
        <v>Parsley
Giant of Italy
Johnny's</v>
      </c>
    </row>
    <row r="227" spans="2:8" ht="15" customHeight="1">
      <c r="B227" s="43">
        <v>0.125</v>
      </c>
      <c r="C227" t="s">
        <v>1880</v>
      </c>
      <c r="D227" t="s">
        <v>108</v>
      </c>
      <c r="E227" t="s">
        <v>1879</v>
      </c>
      <c r="F227" t="s">
        <v>482</v>
      </c>
      <c r="G227" t="str">
        <f>SeedMixes[[#This Row],[Variety]]&amp;" "&amp;SeedMixes[[#This Row],[Company]]</f>
        <v>Laica High Mowing</v>
      </c>
      <c r="H227" t="str">
        <f>_xlfn.TEXTJOIN(CHAR(10),FALSE, SeedMixes[[#This Row],[Crop]],SeedMixes[[#This Row],[Variety]],SeedMixes[[#This Row],[Company]])</f>
        <v>Parsley
Laica
High Mowing</v>
      </c>
    </row>
    <row r="228" spans="2:8" ht="15" customHeight="1">
      <c r="B228" s="43">
        <v>0.125</v>
      </c>
      <c r="C228" t="s">
        <v>1880</v>
      </c>
      <c r="D228" t="s">
        <v>108</v>
      </c>
      <c r="E228" t="s">
        <v>2824</v>
      </c>
      <c r="F228" t="s">
        <v>526</v>
      </c>
      <c r="G228" t="str">
        <f>SeedMixes[[#This Row],[Variety]]&amp;" "&amp;SeedMixes[[#This Row],[Company]]</f>
        <v>Moss Curled Wild Garden</v>
      </c>
      <c r="H228" t="str">
        <f>_xlfn.TEXTJOIN(CHAR(10),FALSE, SeedMixes[[#This Row],[Crop]],SeedMixes[[#This Row],[Variety]],SeedMixes[[#This Row],[Company]])</f>
        <v>Parsley
Moss Curled
Wild Garden</v>
      </c>
    </row>
    <row r="229" spans="2:8" ht="15" customHeight="1">
      <c r="B229" s="43">
        <v>0.125</v>
      </c>
      <c r="C229" t="s">
        <v>1880</v>
      </c>
      <c r="D229" t="s">
        <v>108</v>
      </c>
      <c r="E229" t="s">
        <v>2825</v>
      </c>
      <c r="F229" t="s">
        <v>488</v>
      </c>
      <c r="G229" t="str">
        <f>SeedMixes[[#This Row],[Variety]]&amp;" "&amp;SeedMixes[[#This Row],[Company]]</f>
        <v>Forest Green Adaptive</v>
      </c>
      <c r="H229" t="str">
        <f>_xlfn.TEXTJOIN(CHAR(10),FALSE, SeedMixes[[#This Row],[Crop]],SeedMixes[[#This Row],[Variety]],SeedMixes[[#This Row],[Company]])</f>
        <v>Parsley
Forest Green
Adaptive</v>
      </c>
    </row>
    <row r="230" spans="2:8" ht="15" customHeight="1">
      <c r="B230" s="43">
        <f>1/COUNTIF(SeedMixes[Name],"="&amp;SeedMixes[[#This Row],[Name]])</f>
        <v>0.5</v>
      </c>
      <c r="C230" t="s">
        <v>2864</v>
      </c>
      <c r="D230" t="s">
        <v>109</v>
      </c>
      <c r="E230" t="s">
        <v>2865</v>
      </c>
      <c r="F230" t="s">
        <v>482</v>
      </c>
      <c r="G230" t="str">
        <f>SeedMixes[[#This Row],[Variety]]&amp;" "&amp;SeedMixes[[#This Row],[Company]]</f>
        <v>Panorama F1 High Mowing</v>
      </c>
      <c r="H230" t="str">
        <f>_xlfn.TEXTJOIN(CHAR(10),FALSE, SeedMixes[[#This Row],[Crop]],SeedMixes[[#This Row],[Variety]],SeedMixes[[#This Row],[Company]])</f>
        <v>Parsnip
Panorama F1
High Mowing</v>
      </c>
    </row>
    <row r="231" spans="2:8" ht="15" customHeight="1">
      <c r="B231" s="43">
        <f>1/COUNTIF(SeedMixes[Name],"="&amp;SeedMixes[[#This Row],[Name]])</f>
        <v>0.5</v>
      </c>
      <c r="C231" t="s">
        <v>2864</v>
      </c>
      <c r="D231" t="s">
        <v>109</v>
      </c>
      <c r="E231" t="s">
        <v>2866</v>
      </c>
      <c r="F231" t="s">
        <v>482</v>
      </c>
      <c r="G231" t="str">
        <f>SeedMixes[[#This Row],[Variety]]&amp;" "&amp;SeedMixes[[#This Row],[Company]]</f>
        <v>Halblange High Mowing</v>
      </c>
      <c r="H231" t="str">
        <f>_xlfn.TEXTJOIN(CHAR(10),FALSE, SeedMixes[[#This Row],[Crop]],SeedMixes[[#This Row],[Variety]],SeedMixes[[#This Row],[Company]])</f>
        <v>Parsnip
Halblange
High Mowing</v>
      </c>
    </row>
    <row r="232" spans="2:8" ht="15" customHeight="1">
      <c r="B232" s="43">
        <f>1/COUNTIF(SeedMixes[Name],"="&amp;SeedMixes[[#This Row],[Name]])</f>
        <v>0.33333333333333331</v>
      </c>
      <c r="C232" t="s">
        <v>2859</v>
      </c>
      <c r="D232" t="s">
        <v>447</v>
      </c>
      <c r="E232" t="s">
        <v>2860</v>
      </c>
      <c r="F232" t="s">
        <v>490</v>
      </c>
      <c r="G232" t="str">
        <f>SeedMixes[[#This Row],[Variety]]&amp;" "&amp;SeedMixes[[#This Row],[Company]]</f>
        <v>Super Sugar Snap Johnny's</v>
      </c>
      <c r="H232" t="str">
        <f>_xlfn.TEXTJOIN(CHAR(10),FALSE, SeedMixes[[#This Row],[Crop]],SeedMixes[[#This Row],[Variety]],SeedMixes[[#This Row],[Company]])</f>
        <v>Pea
Super Sugar Snap
Johnny's</v>
      </c>
    </row>
    <row r="233" spans="2:8" ht="15" customHeight="1">
      <c r="B233" s="43">
        <f>1/COUNTIF(SeedMixes[Name],"="&amp;SeedMixes[[#This Row],[Name]])</f>
        <v>0.33333333333333331</v>
      </c>
      <c r="C233" t="s">
        <v>2859</v>
      </c>
      <c r="D233" t="s">
        <v>447</v>
      </c>
      <c r="E233" t="s">
        <v>2861</v>
      </c>
      <c r="F233" t="s">
        <v>533</v>
      </c>
      <c r="G233" t="str">
        <f>SeedMixes[[#This Row],[Variety]]&amp;" "&amp;SeedMixes[[#This Row],[Company]]</f>
        <v>Cascadia OG Territorial</v>
      </c>
      <c r="H233" t="str">
        <f>_xlfn.TEXTJOIN(CHAR(10),FALSE, SeedMixes[[#This Row],[Crop]],SeedMixes[[#This Row],[Variety]],SeedMixes[[#This Row],[Company]])</f>
        <v>Pea
Cascadia OG
Territorial</v>
      </c>
    </row>
    <row r="234" spans="2:8" ht="15" customHeight="1">
      <c r="B234" s="43">
        <f>1/COUNTIF(SeedMixes[Name],"="&amp;SeedMixes[[#This Row],[Name]])</f>
        <v>0.33333333333333331</v>
      </c>
      <c r="C234" t="s">
        <v>2859</v>
      </c>
      <c r="D234" t="s">
        <v>447</v>
      </c>
      <c r="E234" t="s">
        <v>2862</v>
      </c>
      <c r="F234" t="s">
        <v>503</v>
      </c>
      <c r="G234" t="str">
        <f>SeedMixes[[#This Row],[Variety]]&amp;" "&amp;SeedMixes[[#This Row],[Company]]</f>
        <v>SS 141 Osborne</v>
      </c>
      <c r="H234" t="str">
        <f>_xlfn.TEXTJOIN(CHAR(10),FALSE, SeedMixes[[#This Row],[Crop]],SeedMixes[[#This Row],[Variety]],SeedMixes[[#This Row],[Company]])</f>
        <v>Pea
SS 141
Osborne</v>
      </c>
    </row>
    <row r="235" spans="2:8" ht="15" customHeight="1">
      <c r="B235" s="43">
        <f>1/COUNTIF(SeedMixes[Name],"="&amp;SeedMixes[[#This Row],[Name]])</f>
        <v>0.5</v>
      </c>
      <c r="C235" t="s">
        <v>2301</v>
      </c>
      <c r="D235" t="s">
        <v>447</v>
      </c>
      <c r="E235" t="s">
        <v>371</v>
      </c>
      <c r="F235" t="s">
        <v>503</v>
      </c>
      <c r="G235" t="str">
        <f>SeedMixes[[#This Row],[Variety]]&amp;" "&amp;SeedMixes[[#This Row],[Company]]</f>
        <v>Austrian Winter Pea Osborne</v>
      </c>
      <c r="H235" t="str">
        <f>_xlfn.TEXTJOIN(CHAR(10),FALSE, SeedMixes[[#This Row],[Crop]],SeedMixes[[#This Row],[Variety]],SeedMixes[[#This Row],[Company]])</f>
        <v>Pea
Austrian Winter Pea
Osborne</v>
      </c>
    </row>
    <row r="236" spans="2:8" ht="15" customHeight="1">
      <c r="B236" s="43">
        <f>1/COUNTIF(SeedMixes[Name],"="&amp;SeedMixes[[#This Row],[Name]])</f>
        <v>0.5</v>
      </c>
      <c r="C236" t="s">
        <v>2301</v>
      </c>
      <c r="D236" t="s">
        <v>447</v>
      </c>
      <c r="E236" t="s">
        <v>562</v>
      </c>
      <c r="F236" t="s">
        <v>490</v>
      </c>
      <c r="G236" t="str">
        <f>SeedMixes[[#This Row],[Variety]]&amp;" "&amp;SeedMixes[[#This Row],[Company]]</f>
        <v>Tendril Pea Johnny's</v>
      </c>
      <c r="H236" t="str">
        <f>_xlfn.TEXTJOIN(CHAR(10),FALSE, SeedMixes[[#This Row],[Crop]],SeedMixes[[#This Row],[Variety]],SeedMixes[[#This Row],[Company]])</f>
        <v>Pea
Tendril Pea
Johnny's</v>
      </c>
    </row>
    <row r="237" spans="2:8" ht="15" customHeight="1">
      <c r="B237" s="43">
        <v>0.3</v>
      </c>
      <c r="C237" t="s">
        <v>563</v>
      </c>
      <c r="D237" t="s">
        <v>1280</v>
      </c>
      <c r="E237" t="s">
        <v>1882</v>
      </c>
      <c r="F237" t="s">
        <v>490</v>
      </c>
      <c r="G237" t="str">
        <f>SeedMixes[[#This Row],[Variety]]&amp;" "&amp;SeedMixes[[#This Row],[Company]]</f>
        <v>Bastan F1 Johnny's</v>
      </c>
      <c r="H237" t="str">
        <f>_xlfn.TEXTJOIN(CHAR(10),FALSE, SeedMixes[[#This Row],[Crop]],SeedMixes[[#This Row],[Variety]],SeedMixes[[#This Row],[Company]])</f>
        <v>Pepper - Hot
Bastan F1
Johnny's</v>
      </c>
    </row>
    <row r="238" spans="2:8" ht="15" customHeight="1">
      <c r="B238" s="43">
        <v>0.4</v>
      </c>
      <c r="C238" t="s">
        <v>563</v>
      </c>
      <c r="D238" t="s">
        <v>1280</v>
      </c>
      <c r="E238" t="s">
        <v>2155</v>
      </c>
      <c r="F238" t="s">
        <v>490</v>
      </c>
      <c r="G238" t="str">
        <f>SeedMixes[[#This Row],[Variety]]&amp;" "&amp;SeedMixes[[#This Row],[Company]]</f>
        <v>Black Magic F1 Johnny's</v>
      </c>
      <c r="H238" t="str">
        <f>_xlfn.TEXTJOIN(CHAR(10),FALSE, SeedMixes[[#This Row],[Crop]],SeedMixes[[#This Row],[Variety]],SeedMixes[[#This Row],[Company]])</f>
        <v>Pepper - Hot
Black Magic F1
Johnny's</v>
      </c>
    </row>
    <row r="239" spans="2:8" ht="15" customHeight="1">
      <c r="B239" s="43">
        <v>0.2</v>
      </c>
      <c r="C239" t="s">
        <v>563</v>
      </c>
      <c r="D239" t="s">
        <v>1280</v>
      </c>
      <c r="E239" t="s">
        <v>1881</v>
      </c>
      <c r="F239" t="s">
        <v>503</v>
      </c>
      <c r="G239" t="str">
        <f>SeedMixes[[#This Row],[Variety]]&amp;" "&amp;SeedMixes[[#This Row],[Company]]</f>
        <v>Hungarian Hot Wax Osborne</v>
      </c>
      <c r="H239" t="str">
        <f>_xlfn.TEXTJOIN(CHAR(10),FALSE, SeedMixes[[#This Row],[Crop]],SeedMixes[[#This Row],[Variety]],SeedMixes[[#This Row],[Company]])</f>
        <v>Pepper - Hot
Hungarian Hot Wax
Osborne</v>
      </c>
    </row>
    <row r="240" spans="2:8" ht="15" customHeight="1">
      <c r="B240" s="43">
        <v>0.1</v>
      </c>
      <c r="C240" t="s">
        <v>563</v>
      </c>
      <c r="D240" t="s">
        <v>1280</v>
      </c>
      <c r="E240" t="s">
        <v>2942</v>
      </c>
      <c r="F240" t="s">
        <v>490</v>
      </c>
      <c r="G240" t="str">
        <f>SeedMixes[[#This Row],[Variety]]&amp;" "&amp;SeedMixes[[#This Row],[Company]]</f>
        <v>Helios F1 Johnny's</v>
      </c>
      <c r="H240" t="str">
        <f>_xlfn.TEXTJOIN(CHAR(10),FALSE, SeedMixes[[#This Row],[Crop]],SeedMixes[[#This Row],[Variety]],SeedMixes[[#This Row],[Company]])</f>
        <v>Pepper - Hot
Helios F1
Johnny's</v>
      </c>
    </row>
    <row r="241" spans="2:8" ht="15" customHeight="1">
      <c r="B241" s="43">
        <f>1/COUNTIF(SeedMixes[Name],"="&amp;SeedMixes[[#This Row],[Name]])</f>
        <v>0.5</v>
      </c>
      <c r="C241" t="s">
        <v>2827</v>
      </c>
      <c r="D241" t="s">
        <v>2826</v>
      </c>
      <c r="E241" t="s">
        <v>2828</v>
      </c>
      <c r="F241" t="s">
        <v>482</v>
      </c>
      <c r="G241" t="str">
        <f>SeedMixes[[#This Row],[Variety]]&amp;" "&amp;SeedMixes[[#This Row],[Company]]</f>
        <v>Katana High Mowing</v>
      </c>
      <c r="H241" t="str">
        <f>_xlfn.TEXTJOIN(CHAR(10),FALSE, SeedMixes[[#This Row],[Crop]],SeedMixes[[#This Row],[Variety]],SeedMixes[[#This Row],[Company]])</f>
        <v>Pepper - Shishito
Katana
High Mowing</v>
      </c>
    </row>
    <row r="242" spans="2:8" ht="15" customHeight="1">
      <c r="B242" s="43">
        <f>1/COUNTIF(SeedMixes[Name],"="&amp;SeedMixes[[#This Row],[Name]])</f>
        <v>0.5</v>
      </c>
      <c r="C242" t="s">
        <v>2827</v>
      </c>
      <c r="D242" t="s">
        <v>2826</v>
      </c>
      <c r="E242" t="s">
        <v>848</v>
      </c>
      <c r="F242" t="s">
        <v>503</v>
      </c>
      <c r="G242" t="str">
        <f>SeedMixes[[#This Row],[Variety]]&amp;" "&amp;SeedMixes[[#This Row],[Company]]</f>
        <v>Shishito Osborne</v>
      </c>
      <c r="H242" t="str">
        <f>_xlfn.TEXTJOIN(CHAR(10),FALSE, SeedMixes[[#This Row],[Crop]],SeedMixes[[#This Row],[Variety]],SeedMixes[[#This Row],[Company]])</f>
        <v>Pepper - Shishito
Shishito
Osborne</v>
      </c>
    </row>
    <row r="243" spans="2:8" ht="15" customHeight="1">
      <c r="B243" s="43">
        <f>1/COUNTIF(SeedMixes[Name],"="&amp;SeedMixes[[#This Row],[Name]])</f>
        <v>0.5</v>
      </c>
      <c r="C243" t="s">
        <v>567</v>
      </c>
      <c r="D243" t="s">
        <v>1343</v>
      </c>
      <c r="E243" t="s">
        <v>1867</v>
      </c>
      <c r="F243" t="s">
        <v>484</v>
      </c>
      <c r="G243" t="str">
        <f>SeedMixes[[#This Row],[Variety]]&amp;" "&amp;SeedMixes[[#This Row],[Company]]</f>
        <v>Elephant's Ear Uprising</v>
      </c>
      <c r="H243" t="str">
        <f>_xlfn.TEXTJOIN(CHAR(10),FALSE, SeedMixes[[#This Row],[Crop]],SeedMixes[[#This Row],[Variety]],SeedMixes[[#This Row],[Company]])</f>
        <v>Pepper - Sweet
Elephant's Ear
Uprising</v>
      </c>
    </row>
    <row r="244" spans="2:8" ht="15" customHeight="1">
      <c r="B244" s="43">
        <f>1/COUNTIF(SeedMixes[Name],"="&amp;SeedMixes[[#This Row],[Name]])</f>
        <v>0.5</v>
      </c>
      <c r="C244" t="s">
        <v>567</v>
      </c>
      <c r="D244" t="s">
        <v>1343</v>
      </c>
      <c r="E244" t="s">
        <v>1884</v>
      </c>
      <c r="F244" t="s">
        <v>490</v>
      </c>
      <c r="G244" t="str">
        <f>SeedMixes[[#This Row],[Variety]]&amp;" "&amp;SeedMixes[[#This Row],[Company]]</f>
        <v>Olly F1 Johnny's</v>
      </c>
      <c r="H244" t="str">
        <f>_xlfn.TEXTJOIN(CHAR(10),FALSE, SeedMixes[[#This Row],[Crop]],SeedMixes[[#This Row],[Variety]],SeedMixes[[#This Row],[Company]])</f>
        <v>Pepper - Sweet
Olly F1
Johnny's</v>
      </c>
    </row>
    <row r="245" spans="2:8" ht="15" customHeight="1">
      <c r="B245" s="43">
        <f>1/COUNTIF(SeedMixes[Name],"="&amp;SeedMixes[[#This Row],[Name]])</f>
        <v>0.25</v>
      </c>
      <c r="C245" t="s">
        <v>564</v>
      </c>
      <c r="D245" t="s">
        <v>419</v>
      </c>
      <c r="E245" t="s">
        <v>648</v>
      </c>
      <c r="F245" t="s">
        <v>492</v>
      </c>
      <c r="G245" t="str">
        <f>SeedMixes[[#This Row],[Variety]]&amp;" "&amp;SeedMixes[[#This Row],[Company]]</f>
        <v>Superbissima Cerny's Triumph Baker Creek</v>
      </c>
      <c r="H245" t="str">
        <f>_xlfn.TEXTJOIN(CHAR(10),FALSE, SeedMixes[[#This Row],[Crop]],SeedMixes[[#This Row],[Variety]],SeedMixes[[#This Row],[Company]])</f>
        <v>Petunia
Superbissima Cerny's Triumph
Baker Creek</v>
      </c>
    </row>
    <row r="246" spans="2:8" ht="15" customHeight="1">
      <c r="B246" s="43">
        <f>1/COUNTIF(SeedMixes[Name],"="&amp;SeedMixes[[#This Row],[Name]])</f>
        <v>0.25</v>
      </c>
      <c r="C246" t="s">
        <v>564</v>
      </c>
      <c r="D246" t="s">
        <v>419</v>
      </c>
      <c r="E246" t="s">
        <v>649</v>
      </c>
      <c r="F246" t="s">
        <v>492</v>
      </c>
      <c r="G246" t="str">
        <f>SeedMixes[[#This Row],[Variety]]&amp;" "&amp;SeedMixes[[#This Row],[Company]]</f>
        <v>Superbissima Cosmic Cherry Baker Creek</v>
      </c>
      <c r="H246" t="str">
        <f>_xlfn.TEXTJOIN(CHAR(10),FALSE, SeedMixes[[#This Row],[Crop]],SeedMixes[[#This Row],[Variety]],SeedMixes[[#This Row],[Company]])</f>
        <v>Petunia
Superbissima Cosmic Cherry
Baker Creek</v>
      </c>
    </row>
    <row r="247" spans="2:8" ht="15" customHeight="1">
      <c r="B247" s="43">
        <f>1/COUNTIF(SeedMixes[Name],"="&amp;SeedMixes[[#This Row],[Name]])</f>
        <v>0.25</v>
      </c>
      <c r="C247" t="s">
        <v>564</v>
      </c>
      <c r="D247" t="s">
        <v>419</v>
      </c>
      <c r="E247" t="s">
        <v>650</v>
      </c>
      <c r="F247" t="s">
        <v>492</v>
      </c>
      <c r="G247" t="str">
        <f>SeedMixes[[#This Row],[Variety]]&amp;" "&amp;SeedMixes[[#This Row],[Company]]</f>
        <v>Superbissima Giant Alba Baker Creek</v>
      </c>
      <c r="H247" t="str">
        <f>_xlfn.TEXTJOIN(CHAR(10),FALSE, SeedMixes[[#This Row],[Crop]],SeedMixes[[#This Row],[Variety]],SeedMixes[[#This Row],[Company]])</f>
        <v>Petunia
Superbissima Giant Alba
Baker Creek</v>
      </c>
    </row>
    <row r="248" spans="2:8" ht="15" customHeight="1">
      <c r="B248" s="43">
        <f>1/COUNTIF(SeedMixes[Name],"="&amp;SeedMixes[[#This Row],[Name]])</f>
        <v>0.25</v>
      </c>
      <c r="C248" t="s">
        <v>564</v>
      </c>
      <c r="D248" t="s">
        <v>419</v>
      </c>
      <c r="E248" t="s">
        <v>651</v>
      </c>
      <c r="F248" t="s">
        <v>492</v>
      </c>
      <c r="G248" t="str">
        <f>SeedMixes[[#This Row],[Variety]]&amp;" "&amp;SeedMixes[[#This Row],[Company]]</f>
        <v>Superbissima Giant Rose Baker Creek</v>
      </c>
      <c r="H248" t="str">
        <f>_xlfn.TEXTJOIN(CHAR(10),FALSE, SeedMixes[[#This Row],[Crop]],SeedMixes[[#This Row],[Variety]],SeedMixes[[#This Row],[Company]])</f>
        <v>Petunia
Superbissima Giant Rose
Baker Creek</v>
      </c>
    </row>
    <row r="249" spans="2:8" ht="15" customHeight="1">
      <c r="B249" s="43">
        <f>1/COUNTIF(SeedMixes[Name],"="&amp;SeedMixes[[#This Row],[Name]])</f>
        <v>0.5</v>
      </c>
      <c r="C249" t="s">
        <v>2286</v>
      </c>
      <c r="D249" t="s">
        <v>113</v>
      </c>
      <c r="E249" t="s">
        <v>2289</v>
      </c>
      <c r="F249" t="s">
        <v>490</v>
      </c>
      <c r="G249" t="str">
        <f>SeedMixes[[#This Row],[Variety]]&amp;" "&amp;SeedMixes[[#This Row],[Company]]</f>
        <v>Purple Viking Johnny's</v>
      </c>
      <c r="H249" t="str">
        <f>_xlfn.TEXTJOIN(CHAR(10),FALSE, SeedMixes[[#This Row],[Crop]],SeedMixes[[#This Row],[Variety]],SeedMixes[[#This Row],[Company]])</f>
        <v>Potato
Purple Viking
Johnny's</v>
      </c>
    </row>
    <row r="250" spans="2:8" ht="15" customHeight="1">
      <c r="B250" s="43">
        <f>1/COUNTIF(SeedMixes[Name],"="&amp;SeedMixes[[#This Row],[Name]])</f>
        <v>0.5</v>
      </c>
      <c r="C250" t="s">
        <v>2286</v>
      </c>
      <c r="D250" t="s">
        <v>113</v>
      </c>
      <c r="E250" t="s">
        <v>2829</v>
      </c>
      <c r="F250" t="s">
        <v>490</v>
      </c>
      <c r="G250" t="str">
        <f>SeedMixes[[#This Row],[Variety]]&amp;" "&amp;SeedMixes[[#This Row],[Company]]</f>
        <v>Red Norland Johnny's</v>
      </c>
      <c r="H250" t="str">
        <f>_xlfn.TEXTJOIN(CHAR(10),FALSE, SeedMixes[[#This Row],[Crop]],SeedMixes[[#This Row],[Variety]],SeedMixes[[#This Row],[Company]])</f>
        <v>Potato
Red Norland
Johnny's</v>
      </c>
    </row>
    <row r="251" spans="2:8" ht="15" customHeight="1">
      <c r="B251" s="43">
        <f>1/COUNTIF(SeedMixes[Name],"="&amp;SeedMixes[[#This Row],[Name]])</f>
        <v>0.5</v>
      </c>
      <c r="C251" t="s">
        <v>2288</v>
      </c>
      <c r="D251" t="s">
        <v>113</v>
      </c>
      <c r="E251" t="s">
        <v>2830</v>
      </c>
      <c r="F251" t="s">
        <v>482</v>
      </c>
      <c r="G251" t="str">
        <f>SeedMixes[[#This Row],[Variety]]&amp;" "&amp;SeedMixes[[#This Row],[Company]]</f>
        <v>Elba High Mowing</v>
      </c>
      <c r="H251" t="str">
        <f>_xlfn.TEXTJOIN(CHAR(10),FALSE, SeedMixes[[#This Row],[Crop]],SeedMixes[[#This Row],[Variety]],SeedMixes[[#This Row],[Company]])</f>
        <v>Potato
Elba
High Mowing</v>
      </c>
    </row>
    <row r="252" spans="2:8" ht="15" customHeight="1">
      <c r="B252" s="43">
        <f>1/COUNTIF(SeedMixes[Name],"="&amp;SeedMixes[[#This Row],[Name]])</f>
        <v>0.5</v>
      </c>
      <c r="C252" t="s">
        <v>2288</v>
      </c>
      <c r="D252" t="s">
        <v>113</v>
      </c>
      <c r="E252" t="s">
        <v>2831</v>
      </c>
      <c r="F252" t="s">
        <v>482</v>
      </c>
      <c r="G252" t="str">
        <f>SeedMixes[[#This Row],[Variety]]&amp;" "&amp;SeedMixes[[#This Row],[Company]]</f>
        <v>German Butterball High Mowing</v>
      </c>
      <c r="H252" t="str">
        <f>_xlfn.TEXTJOIN(CHAR(10),FALSE, SeedMixes[[#This Row],[Crop]],SeedMixes[[#This Row],[Variety]],SeedMixes[[#This Row],[Company]])</f>
        <v>Potato
German Butterball
High Mowing</v>
      </c>
    </row>
    <row r="253" spans="2:8" ht="15" customHeight="1">
      <c r="B253" s="43">
        <f>1/COUNTIF(SeedMixes[Name],"="&amp;SeedMixes[[#This Row],[Name]])</f>
        <v>0.5</v>
      </c>
      <c r="C253" t="s">
        <v>2287</v>
      </c>
      <c r="D253" t="s">
        <v>113</v>
      </c>
      <c r="E253" t="s">
        <v>2290</v>
      </c>
      <c r="F253" t="s">
        <v>653</v>
      </c>
      <c r="G253" t="str">
        <f>SeedMixes[[#This Row],[Variety]]&amp;" "&amp;SeedMixes[[#This Row],[Company]]</f>
        <v>Yukon Gold Irish Eyes</v>
      </c>
      <c r="H253" t="str">
        <f>_xlfn.TEXTJOIN(CHAR(10),FALSE, SeedMixes[[#This Row],[Crop]],SeedMixes[[#This Row],[Variety]],SeedMixes[[#This Row],[Company]])</f>
        <v>Potato
Yukon Gold
Irish Eyes</v>
      </c>
    </row>
    <row r="254" spans="2:8" ht="15" customHeight="1">
      <c r="B254" s="43">
        <f>1/COUNTIF(SeedMixes[Name],"="&amp;SeedMixes[[#This Row],[Name]])</f>
        <v>0.5</v>
      </c>
      <c r="C254" t="s">
        <v>2287</v>
      </c>
      <c r="D254" t="s">
        <v>113</v>
      </c>
      <c r="E254" t="s">
        <v>2291</v>
      </c>
      <c r="F254" t="s">
        <v>653</v>
      </c>
      <c r="G254" t="str">
        <f>SeedMixes[[#This Row],[Variety]]&amp;" "&amp;SeedMixes[[#This Row],[Company]]</f>
        <v>Yukon Gem Irish Eyes</v>
      </c>
      <c r="H254" t="str">
        <f>_xlfn.TEXTJOIN(CHAR(10),FALSE, SeedMixes[[#This Row],[Crop]],SeedMixes[[#This Row],[Variety]],SeedMixes[[#This Row],[Company]])</f>
        <v>Potato
Yukon Gem
Irish Eyes</v>
      </c>
    </row>
    <row r="255" spans="2:8" ht="15" customHeight="1">
      <c r="B255" s="43">
        <f>1/COUNTIF(SeedMixes[Name],"="&amp;SeedMixes[[#This Row],[Name]])</f>
        <v>0.5</v>
      </c>
      <c r="C255" t="s">
        <v>568</v>
      </c>
      <c r="D255" t="s">
        <v>113</v>
      </c>
      <c r="E255" t="s">
        <v>654</v>
      </c>
      <c r="F255" t="s">
        <v>653</v>
      </c>
      <c r="G255" t="str">
        <f>SeedMixes[[#This Row],[Variety]]&amp;" "&amp;SeedMixes[[#This Row],[Company]]</f>
        <v>Allred Irish Eyes</v>
      </c>
      <c r="H255" t="str">
        <f>_xlfn.TEXTJOIN(CHAR(10),FALSE, SeedMixes[[#This Row],[Crop]],SeedMixes[[#This Row],[Variety]],SeedMixes[[#This Row],[Company]])</f>
        <v>Potato
Allred
Irish Eyes</v>
      </c>
    </row>
    <row r="256" spans="2:8" ht="15" customHeight="1">
      <c r="B256" s="43">
        <f>1/COUNTIF(SeedMixes[Name],"="&amp;SeedMixes[[#This Row],[Name]])</f>
        <v>0.5</v>
      </c>
      <c r="C256" t="s">
        <v>568</v>
      </c>
      <c r="D256" t="s">
        <v>113</v>
      </c>
      <c r="E256" t="s">
        <v>652</v>
      </c>
      <c r="F256" t="s">
        <v>653</v>
      </c>
      <c r="G256" t="str">
        <f>SeedMixes[[#This Row],[Variety]]&amp;" "&amp;SeedMixes[[#This Row],[Company]]</f>
        <v>OG Viking Purple Potato Irish Eyes</v>
      </c>
      <c r="H256" t="str">
        <f>_xlfn.TEXTJOIN(CHAR(10),FALSE, SeedMixes[[#This Row],[Crop]],SeedMixes[[#This Row],[Variety]],SeedMixes[[#This Row],[Company]])</f>
        <v>Potato
OG Viking Purple Potato
Irish Eyes</v>
      </c>
    </row>
    <row r="257" spans="2:8" ht="15" customHeight="1">
      <c r="B257" s="43">
        <f>1/COUNTIF(SeedMixes[Name],"="&amp;SeedMixes[[#This Row],[Name]])</f>
        <v>1</v>
      </c>
      <c r="C257" t="s">
        <v>1984</v>
      </c>
      <c r="D257" t="s">
        <v>141</v>
      </c>
      <c r="E257" t="s">
        <v>569</v>
      </c>
      <c r="F257" t="s">
        <v>526</v>
      </c>
      <c r="G257" t="str">
        <f>SeedMixes[[#This Row],[Variety]]&amp;" "&amp;SeedMixes[[#This Row],[Company]]</f>
        <v>Dara Wild Garden</v>
      </c>
      <c r="H257" t="str">
        <f>_xlfn.TEXTJOIN(CHAR(10),FALSE, SeedMixes[[#This Row],[Crop]],SeedMixes[[#This Row],[Variety]],SeedMixes[[#This Row],[Company]])</f>
        <v>Queen Anne's Lace
Dara
Wild Garden</v>
      </c>
    </row>
    <row r="258" spans="2:8" ht="15" customHeight="1">
      <c r="B258" s="43">
        <f>1/COUNTIF(SeedMixes[Name],"="&amp;SeedMixes[[#This Row],[Name]])</f>
        <v>0.5</v>
      </c>
      <c r="C258" t="s">
        <v>571</v>
      </c>
      <c r="D258" t="s">
        <v>356</v>
      </c>
      <c r="E258" t="s">
        <v>1864</v>
      </c>
      <c r="F258" t="s">
        <v>484</v>
      </c>
      <c r="G258" t="str">
        <f>SeedMixes[[#This Row],[Variety]]&amp;" "&amp;SeedMixes[[#This Row],[Company]]</f>
        <v>Lentiginni Uprising</v>
      </c>
      <c r="H258" t="str">
        <f>_xlfn.TEXTJOIN(CHAR(10),FALSE, SeedMixes[[#This Row],[Crop]],SeedMixes[[#This Row],[Variety]],SeedMixes[[#This Row],[Company]])</f>
        <v>Radicchio
Lentiginni
Uprising</v>
      </c>
    </row>
    <row r="259" spans="2:8" ht="15" customHeight="1">
      <c r="B259" s="43">
        <f>1/COUNTIF(SeedMixes[Name],"="&amp;SeedMixes[[#This Row],[Name]])</f>
        <v>0.5</v>
      </c>
      <c r="C259" t="s">
        <v>571</v>
      </c>
      <c r="D259" t="s">
        <v>356</v>
      </c>
      <c r="E259" t="s">
        <v>1863</v>
      </c>
      <c r="F259" t="s">
        <v>484</v>
      </c>
      <c r="G259" t="str">
        <f>SeedMixes[[#This Row],[Variety]]&amp;" "&amp;SeedMixes[[#This Row],[Company]]</f>
        <v>Pacifico Uprising</v>
      </c>
      <c r="H259" t="str">
        <f>_xlfn.TEXTJOIN(CHAR(10),FALSE, SeedMixes[[#This Row],[Crop]],SeedMixes[[#This Row],[Variety]],SeedMixes[[#This Row],[Company]])</f>
        <v>Radicchio
Pacifico
Uprising</v>
      </c>
    </row>
    <row r="260" spans="2:8" ht="15" customHeight="1">
      <c r="B260" s="43">
        <f>1/COUNTIF(SeedMixes[Name],"="&amp;SeedMixes[[#This Row],[Name]])</f>
        <v>0.5</v>
      </c>
      <c r="C260" t="s">
        <v>570</v>
      </c>
      <c r="D260" t="s">
        <v>356</v>
      </c>
      <c r="E260" t="s">
        <v>1866</v>
      </c>
      <c r="F260" t="s">
        <v>484</v>
      </c>
      <c r="G260" t="str">
        <f>SeedMixes[[#This Row],[Variety]]&amp;" "&amp;SeedMixes[[#This Row],[Company]]</f>
        <v>Beatrice Uprising</v>
      </c>
      <c r="H260" t="str">
        <f>_xlfn.TEXTJOIN(CHAR(10),FALSE, SeedMixes[[#This Row],[Crop]],SeedMixes[[#This Row],[Variety]],SeedMixes[[#This Row],[Company]])</f>
        <v>Radicchio
Beatrice
Uprising</v>
      </c>
    </row>
    <row r="261" spans="2:8" ht="15" customHeight="1">
      <c r="B261" s="43">
        <f>1/COUNTIF(SeedMixes[Name],"="&amp;SeedMixes[[#This Row],[Name]])</f>
        <v>0.5</v>
      </c>
      <c r="C261" t="s">
        <v>570</v>
      </c>
      <c r="D261" t="s">
        <v>356</v>
      </c>
      <c r="E261" t="s">
        <v>1865</v>
      </c>
      <c r="F261" t="s">
        <v>484</v>
      </c>
      <c r="G261" t="str">
        <f>SeedMixes[[#This Row],[Variety]]&amp;" "&amp;SeedMixes[[#This Row],[Company]]</f>
        <v>Regina Rossa Uprising</v>
      </c>
      <c r="H261" t="str">
        <f>_xlfn.TEXTJOIN(CHAR(10),FALSE, SeedMixes[[#This Row],[Crop]],SeedMixes[[#This Row],[Variety]],SeedMixes[[#This Row],[Company]])</f>
        <v>Radicchio
Regina Rossa
Uprising</v>
      </c>
    </row>
    <row r="262" spans="2:8" ht="15" customHeight="1">
      <c r="B262" s="51">
        <f>1/COUNTIF(SeedMixes[Name],"="&amp;SeedMixes[[#This Row],[Name]])</f>
        <v>0.25</v>
      </c>
      <c r="C262" t="s">
        <v>1347</v>
      </c>
      <c r="D262" t="s">
        <v>114</v>
      </c>
      <c r="E262" t="s">
        <v>1556</v>
      </c>
      <c r="F262" t="s">
        <v>482</v>
      </c>
      <c r="G262" t="str">
        <f>SeedMixes[[#This Row],[Variety]]&amp;" "&amp;SeedMixes[[#This Row],[Company]]</f>
        <v>French Breakfast High Mowing</v>
      </c>
      <c r="H262" t="str">
        <f>_xlfn.TEXTJOIN(CHAR(10),FALSE, SeedMixes[[#This Row],[Crop]],SeedMixes[[#This Row],[Variety]],SeedMixes[[#This Row],[Company]])</f>
        <v>Radish
French Breakfast
High Mowing</v>
      </c>
    </row>
    <row r="263" spans="2:8" ht="15" customHeight="1">
      <c r="B263" s="43">
        <f>1/COUNTIF(SeedMixes[Name],"="&amp;SeedMixes[[#This Row],[Name]])</f>
        <v>0.25</v>
      </c>
      <c r="C263" t="s">
        <v>1347</v>
      </c>
      <c r="D263" t="s">
        <v>114</v>
      </c>
      <c r="E263" t="s">
        <v>2832</v>
      </c>
      <c r="F263" t="s">
        <v>490</v>
      </c>
      <c r="G263" t="str">
        <f>SeedMixes[[#This Row],[Variety]]&amp;" "&amp;SeedMixes[[#This Row],[Company]]</f>
        <v>Pearl Johnny's</v>
      </c>
      <c r="H263" t="str">
        <f>_xlfn.TEXTJOIN(CHAR(10),FALSE, SeedMixes[[#This Row],[Crop]],SeedMixes[[#This Row],[Variety]],SeedMixes[[#This Row],[Company]])</f>
        <v>Radish
Pearl
Johnny's</v>
      </c>
    </row>
    <row r="264" spans="2:8" ht="15" customHeight="1">
      <c r="B264" s="51">
        <f>1/COUNTIF(SeedMixes[Name],"="&amp;SeedMixes[[#This Row],[Name]])</f>
        <v>0.25</v>
      </c>
      <c r="C264" t="s">
        <v>1347</v>
      </c>
      <c r="D264" t="s">
        <v>114</v>
      </c>
      <c r="E264" t="s">
        <v>575</v>
      </c>
      <c r="F264" t="s">
        <v>482</v>
      </c>
      <c r="G264" t="str">
        <f>SeedMixes[[#This Row],[Variety]]&amp;" "&amp;SeedMixes[[#This Row],[Company]]</f>
        <v>Sora High Mowing</v>
      </c>
      <c r="H264" t="str">
        <f>_xlfn.TEXTJOIN(CHAR(10),FALSE, SeedMixes[[#This Row],[Crop]],SeedMixes[[#This Row],[Variety]],SeedMixes[[#This Row],[Company]])</f>
        <v>Radish
Sora
High Mowing</v>
      </c>
    </row>
    <row r="265" spans="2:8" ht="15" customHeight="1">
      <c r="B265" s="51">
        <f>1/COUNTIF(SeedMixes[Name],"="&amp;SeedMixes[[#This Row],[Name]])</f>
        <v>0.25</v>
      </c>
      <c r="C265" t="s">
        <v>1347</v>
      </c>
      <c r="D265" t="s">
        <v>114</v>
      </c>
      <c r="E265" t="s">
        <v>2833</v>
      </c>
      <c r="F265" t="s">
        <v>482</v>
      </c>
      <c r="G265" t="str">
        <f>SeedMixes[[#This Row],[Variety]]&amp;" "&amp;SeedMixes[[#This Row],[Company]]</f>
        <v>Patricia High Mowing</v>
      </c>
      <c r="H265" t="str">
        <f>_xlfn.TEXTJOIN(CHAR(10),FALSE, SeedMixes[[#This Row],[Crop]],SeedMixes[[#This Row],[Variety]],SeedMixes[[#This Row],[Company]])</f>
        <v>Radish
Patricia
High Mowing</v>
      </c>
    </row>
    <row r="266" spans="2:8" ht="15" customHeight="1">
      <c r="B266" s="43">
        <f>1/COUNTIF(SeedMixes[Name],"="&amp;SeedMixes[[#This Row],[Name]])</f>
        <v>0.5</v>
      </c>
      <c r="C266" t="s">
        <v>577</v>
      </c>
      <c r="D266" t="s">
        <v>1342</v>
      </c>
      <c r="E266" t="s">
        <v>1922</v>
      </c>
      <c r="F266" t="s">
        <v>482</v>
      </c>
      <c r="G266" t="str">
        <f>SeedMixes[[#This Row],[Variety]]&amp;" "&amp;SeedMixes[[#This Row],[Company]]</f>
        <v>Daikon High Mowing</v>
      </c>
      <c r="H266" t="str">
        <f>_xlfn.TEXTJOIN(CHAR(10),FALSE, SeedMixes[[#This Row],[Crop]],SeedMixes[[#This Row],[Variety]],SeedMixes[[#This Row],[Company]])</f>
        <v>Radish- Winter
Daikon
High Mowing</v>
      </c>
    </row>
    <row r="267" spans="2:8" ht="15" customHeight="1">
      <c r="B267" s="43">
        <f>1/COUNTIF(SeedMixes[Name],"="&amp;SeedMixes[[#This Row],[Name]])</f>
        <v>0.5</v>
      </c>
      <c r="C267" t="s">
        <v>577</v>
      </c>
      <c r="D267" t="s">
        <v>1342</v>
      </c>
      <c r="E267" t="s">
        <v>669</v>
      </c>
      <c r="F267" t="s">
        <v>488</v>
      </c>
      <c r="G267" t="str">
        <f>SeedMixes[[#This Row],[Variety]]&amp;" "&amp;SeedMixes[[#This Row],[Company]]</f>
        <v>Okhura Winter Queen Daikon Adaptive</v>
      </c>
      <c r="H267" t="str">
        <f>_xlfn.TEXTJOIN(CHAR(10),FALSE, SeedMixes[[#This Row],[Crop]],SeedMixes[[#This Row],[Variety]],SeedMixes[[#This Row],[Company]])</f>
        <v>Radish- Winter
Okhura Winter Queen Daikon
Adaptive</v>
      </c>
    </row>
    <row r="268" spans="2:8" ht="15" customHeight="1">
      <c r="B268" s="43">
        <f>1/COUNTIF(SeedMixes[Name],"="&amp;SeedMixes[[#This Row],[Name]])</f>
        <v>0.5</v>
      </c>
      <c r="C268" t="s">
        <v>576</v>
      </c>
      <c r="D268" t="s">
        <v>117</v>
      </c>
      <c r="E268" t="s">
        <v>660</v>
      </c>
      <c r="F268" t="s">
        <v>600</v>
      </c>
      <c r="G268" t="str">
        <f>SeedMixes[[#This Row],[Variety]]&amp;" "&amp;SeedMixes[[#This Row],[Company]]</f>
        <v>Rat Tail Seed Savers</v>
      </c>
      <c r="H268" t="str">
        <f>_xlfn.TEXTJOIN(CHAR(10),FALSE, SeedMixes[[#This Row],[Crop]],SeedMixes[[#This Row],[Variety]],SeedMixes[[#This Row],[Company]])</f>
        <v>Rat Tail Radish
Rat Tail
Seed Savers</v>
      </c>
    </row>
    <row r="269" spans="2:8" ht="15" customHeight="1">
      <c r="B269" s="43">
        <f>1/COUNTIF(SeedMixes[Name],"="&amp;SeedMixes[[#This Row],[Name]])</f>
        <v>0.5</v>
      </c>
      <c r="C269" t="s">
        <v>576</v>
      </c>
      <c r="D269" t="s">
        <v>117</v>
      </c>
      <c r="E269" t="s">
        <v>659</v>
      </c>
      <c r="F269" t="s">
        <v>600</v>
      </c>
      <c r="G269" t="str">
        <f>SeedMixes[[#This Row],[Variety]]&amp;" "&amp;SeedMixes[[#This Row],[Company]]</f>
        <v>Rat Tail Purple Seed Savers</v>
      </c>
      <c r="H269" t="str">
        <f>_xlfn.TEXTJOIN(CHAR(10),FALSE, SeedMixes[[#This Row],[Crop]],SeedMixes[[#This Row],[Variety]],SeedMixes[[#This Row],[Company]])</f>
        <v>Rat Tail Radish
Rat Tail Purple
Seed Savers</v>
      </c>
    </row>
    <row r="270" spans="2:8" ht="15" customHeight="1">
      <c r="B270" s="43">
        <f>1/COUNTIF(SeedMixes[Name],"="&amp;SeedMixes[[#This Row],[Name]])</f>
        <v>0.16666666666666666</v>
      </c>
      <c r="C270" t="s">
        <v>565</v>
      </c>
      <c r="D270" t="s">
        <v>140</v>
      </c>
      <c r="E270" t="s">
        <v>664</v>
      </c>
      <c r="F270" t="s">
        <v>526</v>
      </c>
      <c r="G270" t="str">
        <f>SeedMixes[[#This Row],[Variety]]&amp;" "&amp;SeedMixes[[#This Row],[Company]]</f>
        <v>Anemones Wild Garden</v>
      </c>
      <c r="H270" t="str">
        <f>_xlfn.TEXTJOIN(CHAR(10),FALSE, SeedMixes[[#This Row],[Crop]],SeedMixes[[#This Row],[Variety]],SeedMixes[[#This Row],[Company]])</f>
        <v>Rubeckia
Anemones
Wild Garden</v>
      </c>
    </row>
    <row r="271" spans="2:8" ht="15" customHeight="1">
      <c r="B271" s="43">
        <f>1/COUNTIF(SeedMixes[Name],"="&amp;SeedMixes[[#This Row],[Name]])</f>
        <v>0.16666666666666666</v>
      </c>
      <c r="C271" t="s">
        <v>565</v>
      </c>
      <c r="D271" t="s">
        <v>140</v>
      </c>
      <c r="E271" t="s">
        <v>662</v>
      </c>
      <c r="F271" t="s">
        <v>484</v>
      </c>
      <c r="G271" t="str">
        <f>SeedMixes[[#This Row],[Variety]]&amp;" "&amp;SeedMixes[[#This Row],[Company]]</f>
        <v>Autum Sunset Uprising</v>
      </c>
      <c r="H271" t="str">
        <f>_xlfn.TEXTJOIN(CHAR(10),FALSE, SeedMixes[[#This Row],[Crop]],SeedMixes[[#This Row],[Variety]],SeedMixes[[#This Row],[Company]])</f>
        <v>Rubeckia
Autum Sunset
Uprising</v>
      </c>
    </row>
    <row r="272" spans="2:8" ht="15" customHeight="1">
      <c r="B272" s="43">
        <f>1/COUNTIF(SeedMixes[Name],"="&amp;SeedMixes[[#This Row],[Name]])</f>
        <v>0.16666666666666666</v>
      </c>
      <c r="C272" t="s">
        <v>565</v>
      </c>
      <c r="D272" t="s">
        <v>140</v>
      </c>
      <c r="E272" t="s">
        <v>666</v>
      </c>
      <c r="F272" t="s">
        <v>526</v>
      </c>
      <c r="G272" t="str">
        <f>SeedMixes[[#This Row],[Variety]]&amp;" "&amp;SeedMixes[[#This Row],[Company]]</f>
        <v>Gloriosa Double Daisy Wild Garden</v>
      </c>
      <c r="H272" t="str">
        <f>_xlfn.TEXTJOIN(CHAR(10),FALSE, SeedMixes[[#This Row],[Crop]],SeedMixes[[#This Row],[Variety]],SeedMixes[[#This Row],[Company]])</f>
        <v>Rubeckia
Gloriosa Double Daisy
Wild Garden</v>
      </c>
    </row>
    <row r="273" spans="2:8" ht="15" customHeight="1">
      <c r="B273" s="43">
        <f>1/COUNTIF(SeedMixes[Name],"="&amp;SeedMixes[[#This Row],[Name]])</f>
        <v>0.16666666666666666</v>
      </c>
      <c r="C273" t="s">
        <v>565</v>
      </c>
      <c r="D273" t="s">
        <v>140</v>
      </c>
      <c r="E273" t="s">
        <v>661</v>
      </c>
      <c r="F273" t="s">
        <v>484</v>
      </c>
      <c r="G273" t="str">
        <f>SeedMixes[[#This Row],[Variety]]&amp;" "&amp;SeedMixes[[#This Row],[Company]]</f>
        <v>Sahara Uprising</v>
      </c>
      <c r="H273" t="str">
        <f>_xlfn.TEXTJOIN(CHAR(10),FALSE, SeedMixes[[#This Row],[Crop]],SeedMixes[[#This Row],[Variety]],SeedMixes[[#This Row],[Company]])</f>
        <v>Rubeckia
Sahara
Uprising</v>
      </c>
    </row>
    <row r="274" spans="2:8" ht="15" customHeight="1">
      <c r="B274" s="43">
        <f>1/COUNTIF(SeedMixes[Name],"="&amp;SeedMixes[[#This Row],[Name]])</f>
        <v>0.16666666666666666</v>
      </c>
      <c r="C274" t="s">
        <v>565</v>
      </c>
      <c r="D274" t="s">
        <v>140</v>
      </c>
      <c r="E274" t="s">
        <v>665</v>
      </c>
      <c r="F274" t="s">
        <v>526</v>
      </c>
      <c r="G274" t="str">
        <f>SeedMixes[[#This Row],[Variety]]&amp;" "&amp;SeedMixes[[#This Row],[Company]]</f>
        <v>Tall Triloba Wild Garden</v>
      </c>
      <c r="H274" t="str">
        <f>_xlfn.TEXTJOIN(CHAR(10),FALSE, SeedMixes[[#This Row],[Crop]],SeedMixes[[#This Row],[Variety]],SeedMixes[[#This Row],[Company]])</f>
        <v>Rubeckia
Tall Triloba
Wild Garden</v>
      </c>
    </row>
    <row r="275" spans="2:8" ht="15" customHeight="1">
      <c r="B275" s="43">
        <f>1/COUNTIF(SeedMixes[Name],"="&amp;SeedMixes[[#This Row],[Name]])</f>
        <v>0.16666666666666666</v>
      </c>
      <c r="C275" t="s">
        <v>565</v>
      </c>
      <c r="D275" t="s">
        <v>140</v>
      </c>
      <c r="E275" t="s">
        <v>1952</v>
      </c>
      <c r="F275" t="s">
        <v>503</v>
      </c>
      <c r="G275" t="str">
        <f>SeedMixes[[#This Row],[Variety]]&amp;" "&amp;SeedMixes[[#This Row],[Company]]</f>
        <v>Triloba Macau Osborne</v>
      </c>
      <c r="H275" t="str">
        <f>_xlfn.TEXTJOIN(CHAR(10),FALSE, SeedMixes[[#This Row],[Crop]],SeedMixes[[#This Row],[Variety]],SeedMixes[[#This Row],[Company]])</f>
        <v>Rubeckia
Triloba Macau
Osborne</v>
      </c>
    </row>
    <row r="276" spans="2:8" ht="15" customHeight="1">
      <c r="B276" s="43">
        <f>1/COUNTIF(SeedMixes[Name],"="&amp;SeedMixes[[#This Row],[Name]])</f>
        <v>0.5</v>
      </c>
      <c r="C276" t="s">
        <v>566</v>
      </c>
      <c r="D276" t="s">
        <v>409</v>
      </c>
      <c r="E276" t="s">
        <v>672</v>
      </c>
      <c r="F276" t="s">
        <v>1296</v>
      </c>
      <c r="G276" t="str">
        <f>SeedMixes[[#This Row],[Variety]]&amp;" "&amp;SeedMixes[[#This Row],[Company]]</f>
        <v>Agretti Roscano Saltwort Weston</v>
      </c>
      <c r="H276" t="str">
        <f>_xlfn.TEXTJOIN(CHAR(10),FALSE, SeedMixes[[#This Row],[Crop]],SeedMixes[[#This Row],[Variety]],SeedMixes[[#This Row],[Company]])</f>
        <v>Salsola
Agretti Roscano Saltwort
Weston</v>
      </c>
    </row>
    <row r="277" spans="2:8" ht="15" customHeight="1">
      <c r="B277" s="43">
        <f>1/COUNTIF(SeedMixes[Name],"="&amp;SeedMixes[[#This Row],[Name]])</f>
        <v>0.5</v>
      </c>
      <c r="C277" t="s">
        <v>566</v>
      </c>
      <c r="D277" t="s">
        <v>409</v>
      </c>
      <c r="E277" t="s">
        <v>673</v>
      </c>
      <c r="F277" t="s">
        <v>490</v>
      </c>
      <c r="G277" t="str">
        <f>SeedMixes[[#This Row],[Variety]]&amp;" "&amp;SeedMixes[[#This Row],[Company]]</f>
        <v>Salsola komarovii Johnny's</v>
      </c>
      <c r="H277" t="str">
        <f>_xlfn.TEXTJOIN(CHAR(10),FALSE, SeedMixes[[#This Row],[Crop]],SeedMixes[[#This Row],[Variety]],SeedMixes[[#This Row],[Company]])</f>
        <v>Salsola
Salsola komarovii
Johnny's</v>
      </c>
    </row>
    <row r="278" spans="2:8" ht="15" customHeight="1">
      <c r="B278" s="43">
        <f>1/COUNTIF(SeedMixes[Name],"="&amp;SeedMixes[[#This Row],[Name]])</f>
        <v>0.5</v>
      </c>
      <c r="C278" t="s">
        <v>1985</v>
      </c>
      <c r="D278" t="s">
        <v>1769</v>
      </c>
      <c r="E278" t="s">
        <v>1987</v>
      </c>
      <c r="F278" t="s">
        <v>526</v>
      </c>
      <c r="G278" t="str">
        <f>SeedMixes[[#This Row],[Variety]]&amp;" "&amp;SeedMixes[[#This Row],[Company]]</f>
        <v>Picotee Pincushion Mix Wild Garden</v>
      </c>
      <c r="H278" t="str">
        <f>_xlfn.TEXTJOIN(CHAR(10),FALSE, SeedMixes[[#This Row],[Crop]],SeedMixes[[#This Row],[Variety]],SeedMixes[[#This Row],[Company]])</f>
        <v>Scabiosa
Picotee Pincushion Mix
Wild Garden</v>
      </c>
    </row>
    <row r="279" spans="2:8" ht="15" customHeight="1">
      <c r="B279" s="43">
        <f>1/COUNTIF(SeedMixes[Name],"="&amp;SeedMixes[[#This Row],[Name]])</f>
        <v>0.5</v>
      </c>
      <c r="C279" t="s">
        <v>1985</v>
      </c>
      <c r="D279" t="s">
        <v>1769</v>
      </c>
      <c r="E279" t="s">
        <v>1986</v>
      </c>
      <c r="F279" t="s">
        <v>526</v>
      </c>
      <c r="G279" t="str">
        <f>SeedMixes[[#This Row],[Variety]]&amp;" "&amp;SeedMixes[[#This Row],[Company]]</f>
        <v>Starflower Wild Garden</v>
      </c>
      <c r="H279" t="str">
        <f>_xlfn.TEXTJOIN(CHAR(10),FALSE, SeedMixes[[#This Row],[Crop]],SeedMixes[[#This Row],[Variety]],SeedMixes[[#This Row],[Company]])</f>
        <v>Scabiosa
Starflower
Wild Garden</v>
      </c>
    </row>
    <row r="280" spans="2:8" ht="15" customHeight="1">
      <c r="B280" s="43">
        <f>1/COUNTIF(SeedMixes[Name],"="&amp;SeedMixes[[#This Row],[Name]])</f>
        <v>0.33333333333333331</v>
      </c>
      <c r="C280" t="s">
        <v>1851</v>
      </c>
      <c r="D280" t="s">
        <v>119</v>
      </c>
      <c r="E280" t="s">
        <v>578</v>
      </c>
      <c r="F280" t="s">
        <v>484</v>
      </c>
      <c r="G280" t="str">
        <f>SeedMixes[[#This Row],[Variety]]&amp;" "&amp;SeedMixes[[#This Row],[Company]]</f>
        <v>Ishikura Long Winter Uprising</v>
      </c>
      <c r="H280" t="str">
        <f>_xlfn.TEXTJOIN(CHAR(10),FALSE, SeedMixes[[#This Row],[Crop]],SeedMixes[[#This Row],[Variety]],SeedMixes[[#This Row],[Company]])</f>
        <v>Scallion
Ishikura Long Winter
Uprising</v>
      </c>
    </row>
    <row r="281" spans="2:8" ht="15" customHeight="1">
      <c r="B281" s="43">
        <f>1/COUNTIF(SeedMixes[Name],"="&amp;SeedMixes[[#This Row],[Name]])</f>
        <v>0.33333333333333331</v>
      </c>
      <c r="C281" t="s">
        <v>1851</v>
      </c>
      <c r="D281" t="s">
        <v>119</v>
      </c>
      <c r="E281" t="s">
        <v>1852</v>
      </c>
      <c r="F281" t="s">
        <v>482</v>
      </c>
      <c r="G281" t="str">
        <f>SeedMixes[[#This Row],[Variety]]&amp;" "&amp;SeedMixes[[#This Row],[Company]]</f>
        <v>Parade High Mowing</v>
      </c>
      <c r="H281" t="str">
        <f>_xlfn.TEXTJOIN(CHAR(10),FALSE, SeedMixes[[#This Row],[Crop]],SeedMixes[[#This Row],[Variety]],SeedMixes[[#This Row],[Company]])</f>
        <v>Scallion
Parade
High Mowing</v>
      </c>
    </row>
    <row r="282" spans="2:8" ht="15" customHeight="1">
      <c r="B282" s="43">
        <f>1/COUNTIF(SeedMixes[Name],"="&amp;SeedMixes[[#This Row],[Name]])</f>
        <v>0.33333333333333331</v>
      </c>
      <c r="C282" t="s">
        <v>1851</v>
      </c>
      <c r="D282" t="s">
        <v>119</v>
      </c>
      <c r="E282" t="s">
        <v>579</v>
      </c>
      <c r="F282" t="s">
        <v>488</v>
      </c>
      <c r="G282" t="str">
        <f>SeedMixes[[#This Row],[Variety]]&amp;" "&amp;SeedMixes[[#This Row],[Company]]</f>
        <v>White Spear Adaptive</v>
      </c>
      <c r="H282" t="str">
        <f>_xlfn.TEXTJOIN(CHAR(10),FALSE, SeedMixes[[#This Row],[Crop]],SeedMixes[[#This Row],[Variety]],SeedMixes[[#This Row],[Company]])</f>
        <v>Scallion
White Spear
Adaptive</v>
      </c>
    </row>
    <row r="283" spans="2:8" ht="15" customHeight="1">
      <c r="B283" s="43">
        <f>1/COUNTIF(SeedMixes[Name],"="&amp;SeedMixes[[#This Row],[Name]])</f>
        <v>0.5</v>
      </c>
      <c r="C283" t="s">
        <v>1853</v>
      </c>
      <c r="D283" t="s">
        <v>1854</v>
      </c>
      <c r="E283" t="s">
        <v>1855</v>
      </c>
      <c r="F283" t="s">
        <v>482</v>
      </c>
      <c r="G283" t="str">
        <f>SeedMixes[[#This Row],[Variety]]&amp;" "&amp;SeedMixes[[#This Row],[Company]]</f>
        <v>Conservor F1 High Mowing</v>
      </c>
      <c r="H283" t="str">
        <f>_xlfn.TEXTJOIN(CHAR(10),FALSE, SeedMixes[[#This Row],[Crop]],SeedMixes[[#This Row],[Variety]],SeedMixes[[#This Row],[Company]])</f>
        <v>Shallot
Conservor F1
High Mowing</v>
      </c>
    </row>
    <row r="284" spans="2:8" ht="15" customHeight="1">
      <c r="B284" s="43">
        <f>1/COUNTIF(SeedMixes[Name],"="&amp;SeedMixes[[#This Row],[Name]])</f>
        <v>0.5</v>
      </c>
      <c r="C284" t="s">
        <v>1853</v>
      </c>
      <c r="D284" t="s">
        <v>1854</v>
      </c>
      <c r="E284" t="s">
        <v>1856</v>
      </c>
      <c r="F284" t="s">
        <v>490</v>
      </c>
      <c r="G284" t="str">
        <f>SeedMixes[[#This Row],[Variety]]&amp;" "&amp;SeedMixes[[#This Row],[Company]]</f>
        <v>Crème Brulee Johnny's</v>
      </c>
      <c r="H284" t="str">
        <f>_xlfn.TEXTJOIN(CHAR(10),FALSE, SeedMixes[[#This Row],[Crop]],SeedMixes[[#This Row],[Variety]],SeedMixes[[#This Row],[Company]])</f>
        <v>Shallot
Crème Brulee
Johnny's</v>
      </c>
    </row>
    <row r="285" spans="2:8" ht="15" customHeight="1">
      <c r="B285" s="43">
        <f>1/COUNTIF(SeedMixes[Name],"="&amp;SeedMixes[[#This Row],[Name]])</f>
        <v>0.2</v>
      </c>
      <c r="C285" t="s">
        <v>2245</v>
      </c>
      <c r="D285" t="s">
        <v>1340</v>
      </c>
      <c r="E285" t="s">
        <v>2243</v>
      </c>
      <c r="F285" t="s">
        <v>503</v>
      </c>
      <c r="G285" t="str">
        <f>SeedMixes[[#This Row],[Variety]]&amp;" "&amp;SeedMixes[[#This Row],[Company]]</f>
        <v>Chantilly Cream Yellow Osborne</v>
      </c>
      <c r="H285" t="str">
        <f>_xlfn.TEXTJOIN(CHAR(10),FALSE, SeedMixes[[#This Row],[Crop]],SeedMixes[[#This Row],[Variety]],SeedMixes[[#This Row],[Company]])</f>
        <v>Snapdragon
Chantilly Cream Yellow
Osborne</v>
      </c>
    </row>
    <row r="286" spans="2:8" ht="15" customHeight="1">
      <c r="B286" s="43">
        <f>1/COUNTIF(SeedMixes[Name],"="&amp;SeedMixes[[#This Row],[Name]])</f>
        <v>0.2</v>
      </c>
      <c r="C286" t="s">
        <v>2245</v>
      </c>
      <c r="D286" t="s">
        <v>1340</v>
      </c>
      <c r="E286" t="s">
        <v>675</v>
      </c>
      <c r="F286" t="s">
        <v>482</v>
      </c>
      <c r="G286" t="str">
        <f>SeedMixes[[#This Row],[Variety]]&amp;" "&amp;SeedMixes[[#This Row],[Company]]</f>
        <v>LION'S MOUTH BLEND High Mowing</v>
      </c>
      <c r="H286" t="str">
        <f>_xlfn.TEXTJOIN(CHAR(10),FALSE, SeedMixes[[#This Row],[Crop]],SeedMixes[[#This Row],[Variety]],SeedMixes[[#This Row],[Company]])</f>
        <v>Snapdragon
LION'S MOUTH BLEND
High Mowing</v>
      </c>
    </row>
    <row r="287" spans="2:8" ht="15" customHeight="1">
      <c r="B287" s="43">
        <f>1/COUNTIF(SeedMixes[Name],"="&amp;SeedMixes[[#This Row],[Name]])</f>
        <v>0.2</v>
      </c>
      <c r="C287" t="s">
        <v>2245</v>
      </c>
      <c r="D287" t="s">
        <v>1340</v>
      </c>
      <c r="E287" t="s">
        <v>674</v>
      </c>
      <c r="F287" t="s">
        <v>490</v>
      </c>
      <c r="G287" t="str">
        <f>SeedMixes[[#This Row],[Variety]]&amp;" "&amp;SeedMixes[[#This Row],[Company]]</f>
        <v>Madam Butterfly Mix Johnny's</v>
      </c>
      <c r="H287" t="str">
        <f>_xlfn.TEXTJOIN(CHAR(10),FALSE, SeedMixes[[#This Row],[Crop]],SeedMixes[[#This Row],[Variety]],SeedMixes[[#This Row],[Company]])</f>
        <v>Snapdragon
Madam Butterfly Mix
Johnny's</v>
      </c>
    </row>
    <row r="288" spans="2:8" ht="15" customHeight="1">
      <c r="B288" s="43">
        <f>1/COUNTIF(SeedMixes[Name],"="&amp;SeedMixes[[#This Row],[Name]])</f>
        <v>0.2</v>
      </c>
      <c r="C288" t="s">
        <v>2245</v>
      </c>
      <c r="D288" t="s">
        <v>1340</v>
      </c>
      <c r="E288" t="s">
        <v>1380</v>
      </c>
      <c r="F288" t="s">
        <v>488</v>
      </c>
      <c r="G288" t="str">
        <f>SeedMixes[[#This Row],[Variety]]&amp;" "&amp;SeedMixes[[#This Row],[Company]]</f>
        <v>Orange Wonder Adaptive</v>
      </c>
      <c r="H288" t="str">
        <f>_xlfn.TEXTJOIN(CHAR(10),FALSE, SeedMixes[[#This Row],[Crop]],SeedMixes[[#This Row],[Variety]],SeedMixes[[#This Row],[Company]])</f>
        <v>Snapdragon
Orange Wonder
Adaptive</v>
      </c>
    </row>
    <row r="289" spans="2:8" ht="15" customHeight="1">
      <c r="B289" s="43">
        <f>1/COUNTIF(SeedMixes[Name],"="&amp;SeedMixes[[#This Row],[Name]])</f>
        <v>0.2</v>
      </c>
      <c r="C289" t="s">
        <v>2245</v>
      </c>
      <c r="D289" t="s">
        <v>1340</v>
      </c>
      <c r="E289" t="s">
        <v>1377</v>
      </c>
      <c r="F289" t="s">
        <v>484</v>
      </c>
      <c r="G289" t="str">
        <f>SeedMixes[[#This Row],[Variety]]&amp;" "&amp;SeedMixes[[#This Row],[Company]]</f>
        <v>Royal Bride Uprising</v>
      </c>
      <c r="H289" t="str">
        <f>_xlfn.TEXTJOIN(CHAR(10),FALSE, SeedMixes[[#This Row],[Crop]],SeedMixes[[#This Row],[Variety]],SeedMixes[[#This Row],[Company]])</f>
        <v>Snapdragon
Royal Bride
Uprising</v>
      </c>
    </row>
    <row r="290" spans="2:8" ht="15" customHeight="1">
      <c r="B290" s="43">
        <f>1/COUNTIF(SeedMixes[Name],"="&amp;SeedMixes[[#This Row],[Name]])</f>
        <v>0.25</v>
      </c>
      <c r="C290" t="s">
        <v>580</v>
      </c>
      <c r="D290" t="s">
        <v>1340</v>
      </c>
      <c r="E290" t="s">
        <v>675</v>
      </c>
      <c r="F290" t="s">
        <v>482</v>
      </c>
      <c r="G290" t="str">
        <f>SeedMixes[[#This Row],[Variety]]&amp;" "&amp;SeedMixes[[#This Row],[Company]]</f>
        <v>LION'S MOUTH BLEND High Mowing</v>
      </c>
      <c r="H290" t="str">
        <f>_xlfn.TEXTJOIN(CHAR(10),FALSE, SeedMixes[[#This Row],[Crop]],SeedMixes[[#This Row],[Variety]],SeedMixes[[#This Row],[Company]])</f>
        <v>Snapdragon
LION'S MOUTH BLEND
High Mowing</v>
      </c>
    </row>
    <row r="291" spans="2:8" ht="15" customHeight="1">
      <c r="B291" s="43">
        <f>1/COUNTIF(SeedMixes[Name],"="&amp;SeedMixes[[#This Row],[Name]])</f>
        <v>0.25</v>
      </c>
      <c r="C291" t="s">
        <v>580</v>
      </c>
      <c r="D291" t="s">
        <v>1340</v>
      </c>
      <c r="E291" t="s">
        <v>674</v>
      </c>
      <c r="F291" t="s">
        <v>490</v>
      </c>
      <c r="G291" t="str">
        <f>SeedMixes[[#This Row],[Variety]]&amp;" "&amp;SeedMixes[[#This Row],[Company]]</f>
        <v>Madam Butterfly Mix Johnny's</v>
      </c>
      <c r="H291" t="str">
        <f>_xlfn.TEXTJOIN(CHAR(10),FALSE, SeedMixes[[#This Row],[Crop]],SeedMixes[[#This Row],[Variety]],SeedMixes[[#This Row],[Company]])</f>
        <v>Snapdragon
Madam Butterfly Mix
Johnny's</v>
      </c>
    </row>
    <row r="292" spans="2:8" ht="15" customHeight="1">
      <c r="B292" s="43">
        <f>1/COUNTIF(SeedMixes[Name],"="&amp;SeedMixes[[#This Row],[Name]])</f>
        <v>0.25</v>
      </c>
      <c r="C292" t="s">
        <v>580</v>
      </c>
      <c r="D292" t="s">
        <v>1340</v>
      </c>
      <c r="E292" t="s">
        <v>1380</v>
      </c>
      <c r="F292" t="s">
        <v>488</v>
      </c>
      <c r="G292" t="str">
        <f>SeedMixes[[#This Row],[Variety]]&amp;" "&amp;SeedMixes[[#This Row],[Company]]</f>
        <v>Orange Wonder Adaptive</v>
      </c>
      <c r="H292" t="str">
        <f>_xlfn.TEXTJOIN(CHAR(10),FALSE, SeedMixes[[#This Row],[Crop]],SeedMixes[[#This Row],[Variety]],SeedMixes[[#This Row],[Company]])</f>
        <v>Snapdragon
Orange Wonder
Adaptive</v>
      </c>
    </row>
    <row r="293" spans="2:8" ht="15" customHeight="1">
      <c r="B293" s="43">
        <f>1/COUNTIF(SeedMixes[Name],"="&amp;SeedMixes[[#This Row],[Name]])</f>
        <v>0.25</v>
      </c>
      <c r="C293" t="s">
        <v>580</v>
      </c>
      <c r="D293" t="s">
        <v>1340</v>
      </c>
      <c r="E293" t="s">
        <v>1377</v>
      </c>
      <c r="F293" t="s">
        <v>484</v>
      </c>
      <c r="G293" t="str">
        <f>SeedMixes[[#This Row],[Variety]]&amp;" "&amp;SeedMixes[[#This Row],[Company]]</f>
        <v>Royal Bride Uprising</v>
      </c>
      <c r="H293" t="str">
        <f>_xlfn.TEXTJOIN(CHAR(10),FALSE, SeedMixes[[#This Row],[Crop]],SeedMixes[[#This Row],[Variety]],SeedMixes[[#This Row],[Company]])</f>
        <v>Snapdragon
Royal Bride
Uprising</v>
      </c>
    </row>
    <row r="294" spans="2:8" ht="15" customHeight="1">
      <c r="B294" s="43">
        <f>1/COUNTIF(SeedMixes[Name],"="&amp;SeedMixes[[#This Row],[Name]])</f>
        <v>0.5</v>
      </c>
      <c r="C294" t="s">
        <v>1927</v>
      </c>
      <c r="D294" t="s">
        <v>122</v>
      </c>
      <c r="E294" t="s">
        <v>1539</v>
      </c>
      <c r="F294" t="s">
        <v>526</v>
      </c>
      <c r="G294" t="str">
        <f>SeedMixes[[#This Row],[Variety]]&amp;" "&amp;SeedMixes[[#This Row],[Company]]</f>
        <v>Garden Sorrel Wild Garden</v>
      </c>
      <c r="H294" t="str">
        <f>_xlfn.TEXTJOIN(CHAR(10),FALSE, SeedMixes[[#This Row],[Crop]],SeedMixes[[#This Row],[Variety]],SeedMixes[[#This Row],[Company]])</f>
        <v>Sorrel
Garden Sorrel
Wild Garden</v>
      </c>
    </row>
    <row r="295" spans="2:8" ht="15" customHeight="1">
      <c r="B295" s="43">
        <f>1/COUNTIF(SeedMixes[Name],"="&amp;SeedMixes[[#This Row],[Name]])</f>
        <v>0.5</v>
      </c>
      <c r="C295" t="s">
        <v>1927</v>
      </c>
      <c r="D295" t="s">
        <v>122</v>
      </c>
      <c r="E295" t="s">
        <v>1928</v>
      </c>
      <c r="F295" t="s">
        <v>482</v>
      </c>
      <c r="G295" t="str">
        <f>SeedMixes[[#This Row],[Variety]]&amp;" "&amp;SeedMixes[[#This Row],[Company]]</f>
        <v>Red Veined Sorrel High Mowing</v>
      </c>
      <c r="H295" t="str">
        <f>_xlfn.TEXTJOIN(CHAR(10),FALSE, SeedMixes[[#This Row],[Crop]],SeedMixes[[#This Row],[Variety]],SeedMixes[[#This Row],[Company]])</f>
        <v>Sorrel
Red Veined Sorrel
High Mowing</v>
      </c>
    </row>
    <row r="296" spans="2:8" ht="15" customHeight="1">
      <c r="B296" s="43">
        <f>1/COUNTIF(SeedMixes[Name],"="&amp;SeedMixes[[#This Row],[Name]])</f>
        <v>0.5</v>
      </c>
      <c r="C296" t="s">
        <v>1930</v>
      </c>
      <c r="D296" t="s">
        <v>123</v>
      </c>
      <c r="E296" t="s">
        <v>1929</v>
      </c>
      <c r="F296" t="s">
        <v>482</v>
      </c>
      <c r="G296" t="str">
        <f>SeedMixes[[#This Row],[Variety]]&amp;" "&amp;SeedMixes[[#This Row],[Company]]</f>
        <v>Regiment F1 High Mowing</v>
      </c>
      <c r="H296" t="str">
        <f>_xlfn.TEXTJOIN(CHAR(10),FALSE, SeedMixes[[#This Row],[Crop]],SeedMixes[[#This Row],[Variety]],SeedMixes[[#This Row],[Company]])</f>
        <v>Spinach
Regiment F1
High Mowing</v>
      </c>
    </row>
    <row r="297" spans="2:8" ht="15" customHeight="1">
      <c r="B297" s="43">
        <f>1/COUNTIF(SeedMixes[Name],"="&amp;SeedMixes[[#This Row],[Name]])</f>
        <v>0.5</v>
      </c>
      <c r="C297" t="s">
        <v>1930</v>
      </c>
      <c r="D297" t="s">
        <v>123</v>
      </c>
      <c r="E297" t="s">
        <v>581</v>
      </c>
      <c r="F297" t="s">
        <v>488</v>
      </c>
      <c r="G297" t="str">
        <f>SeedMixes[[#This Row],[Variety]]&amp;" "&amp;SeedMixes[[#This Row],[Company]]</f>
        <v>Verdil Adaptive</v>
      </c>
      <c r="H297" t="str">
        <f>_xlfn.TEXTJOIN(CHAR(10),FALSE, SeedMixes[[#This Row],[Crop]],SeedMixes[[#This Row],[Variety]],SeedMixes[[#This Row],[Company]])</f>
        <v>Spinach
Verdil
Adaptive</v>
      </c>
    </row>
    <row r="298" spans="2:8" ht="15" customHeight="1">
      <c r="B298" s="43">
        <f>1/COUNTIF(SeedMixes[Name],"="&amp;SeedMixes[[#This Row],[Name]])</f>
        <v>0.16666666666666666</v>
      </c>
      <c r="C298" t="s">
        <v>584</v>
      </c>
      <c r="D298" t="s">
        <v>1341</v>
      </c>
      <c r="E298" t="s">
        <v>1378</v>
      </c>
      <c r="F298" t="s">
        <v>482</v>
      </c>
      <c r="G298" t="str">
        <f>SeedMixes[[#This Row],[Variety]]&amp;" "&amp;SeedMixes[[#This Row],[Company]]</f>
        <v>Costata Romanesco High Mowing</v>
      </c>
      <c r="H298" t="str">
        <f>_xlfn.TEXTJOIN(CHAR(10),FALSE, SeedMixes[[#This Row],[Crop]],SeedMixes[[#This Row],[Variety]],SeedMixes[[#This Row],[Company]])</f>
        <v>Squash - Summer
Costata Romanesco
High Mowing</v>
      </c>
    </row>
    <row r="299" spans="2:8" ht="15" customHeight="1">
      <c r="B299" s="43">
        <f>1/COUNTIF(SeedMixes[Name],"="&amp;SeedMixes[[#This Row],[Name]])</f>
        <v>0.16666666666666666</v>
      </c>
      <c r="C299" t="s">
        <v>584</v>
      </c>
      <c r="D299" t="s">
        <v>1341</v>
      </c>
      <c r="E299" t="s">
        <v>1941</v>
      </c>
      <c r="F299" t="s">
        <v>482</v>
      </c>
      <c r="G299" t="str">
        <f>SeedMixes[[#This Row],[Variety]]&amp;" "&amp;SeedMixes[[#This Row],[Company]]</f>
        <v>Dunja F1 High Mowing</v>
      </c>
      <c r="H299" t="str">
        <f>_xlfn.TEXTJOIN(CHAR(10),FALSE, SeedMixes[[#This Row],[Crop]],SeedMixes[[#This Row],[Variety]],SeedMixes[[#This Row],[Company]])</f>
        <v>Squash - Summer
Dunja F1
High Mowing</v>
      </c>
    </row>
    <row r="300" spans="2:8" ht="15" customHeight="1">
      <c r="B300" s="43">
        <f>1/COUNTIF(SeedMixes[Name],"="&amp;SeedMixes[[#This Row],[Name]])</f>
        <v>0.16666666666666666</v>
      </c>
      <c r="C300" t="s">
        <v>584</v>
      </c>
      <c r="D300" t="s">
        <v>1341</v>
      </c>
      <c r="E300" t="s">
        <v>677</v>
      </c>
      <c r="F300" t="s">
        <v>490</v>
      </c>
      <c r="G300" t="str">
        <f>SeedMixes[[#This Row],[Variety]]&amp;" "&amp;SeedMixes[[#This Row],[Company]]</f>
        <v>Zephyr Johnny's</v>
      </c>
      <c r="H300" t="str">
        <f>_xlfn.TEXTJOIN(CHAR(10),FALSE, SeedMixes[[#This Row],[Crop]],SeedMixes[[#This Row],[Variety]],SeedMixes[[#This Row],[Company]])</f>
        <v>Squash - Summer
Zephyr
Johnny's</v>
      </c>
    </row>
    <row r="301" spans="2:8" ht="15" customHeight="1">
      <c r="B301" s="43">
        <f>1/COUNTIF(SeedMixes[Name],"="&amp;SeedMixes[[#This Row],[Name]])</f>
        <v>0.16666666666666666</v>
      </c>
      <c r="C301" t="s">
        <v>584</v>
      </c>
      <c r="D301" t="s">
        <v>1341</v>
      </c>
      <c r="E301" t="s">
        <v>2834</v>
      </c>
      <c r="F301" t="s">
        <v>533</v>
      </c>
      <c r="G301" t="str">
        <f>SeedMixes[[#This Row],[Variety]]&amp;" "&amp;SeedMixes[[#This Row],[Company]]</f>
        <v>Sunburst Territorial</v>
      </c>
      <c r="H301" t="str">
        <f>_xlfn.TEXTJOIN(CHAR(10),FALSE, SeedMixes[[#This Row],[Crop]],SeedMixes[[#This Row],[Variety]],SeedMixes[[#This Row],[Company]])</f>
        <v>Squash - Summer
Sunburst
Territorial</v>
      </c>
    </row>
    <row r="302" spans="2:8" ht="15" customHeight="1">
      <c r="B302" s="43">
        <f>1/COUNTIF(SeedMixes[Name],"="&amp;SeedMixes[[#This Row],[Name]])</f>
        <v>0.16666666666666666</v>
      </c>
      <c r="C302" t="s">
        <v>584</v>
      </c>
      <c r="D302" t="s">
        <v>1341</v>
      </c>
      <c r="E302" t="s">
        <v>2835</v>
      </c>
      <c r="F302" t="s">
        <v>490</v>
      </c>
      <c r="G302" t="str">
        <f>SeedMixes[[#This Row],[Variety]]&amp;" "&amp;SeedMixes[[#This Row],[Company]]</f>
        <v>Y-Star Johnny's</v>
      </c>
      <c r="H302" t="str">
        <f>_xlfn.TEXTJOIN(CHAR(10),FALSE, SeedMixes[[#This Row],[Crop]],SeedMixes[[#This Row],[Variety]],SeedMixes[[#This Row],[Company]])</f>
        <v>Squash - Summer
Y-Star
Johnny's</v>
      </c>
    </row>
    <row r="303" spans="2:8" ht="15" customHeight="1">
      <c r="B303" s="43">
        <f>1/COUNTIF(SeedMixes[Name],"="&amp;SeedMixes[[#This Row],[Name]])</f>
        <v>0.16666666666666666</v>
      </c>
      <c r="C303" t="s">
        <v>584</v>
      </c>
      <c r="D303" t="s">
        <v>1341</v>
      </c>
      <c r="E303" t="s">
        <v>2836</v>
      </c>
      <c r="F303" t="s">
        <v>1783</v>
      </c>
      <c r="G303" t="str">
        <f>SeedMixes[[#This Row],[Variety]]&amp;" "&amp;SeedMixes[[#This Row],[Company]]</f>
        <v>Yellow Crookneck Siskiyou</v>
      </c>
      <c r="H303" t="str">
        <f>_xlfn.TEXTJOIN(CHAR(10),FALSE, SeedMixes[[#This Row],[Crop]],SeedMixes[[#This Row],[Variety]],SeedMixes[[#This Row],[Company]])</f>
        <v>Squash - Summer
Yellow Crookneck
Siskiyou</v>
      </c>
    </row>
    <row r="304" spans="2:8" ht="15" customHeight="1">
      <c r="B304" s="43">
        <f>1/COUNTIF(SeedMixes[Name],"="&amp;SeedMixes[[#This Row],[Name]])</f>
        <v>0.25</v>
      </c>
      <c r="C304" t="s">
        <v>1931</v>
      </c>
      <c r="D304" t="s">
        <v>1344</v>
      </c>
      <c r="E304" t="s">
        <v>1932</v>
      </c>
      <c r="F304" t="s">
        <v>482</v>
      </c>
      <c r="G304" t="str">
        <f>SeedMixes[[#This Row],[Variety]]&amp;" "&amp;SeedMixes[[#This Row],[Company]]</f>
        <v>Butterscotch PMR F1 High Mowing</v>
      </c>
      <c r="H304" t="str">
        <f>_xlfn.TEXTJOIN(CHAR(10),FALSE, SeedMixes[[#This Row],[Crop]],SeedMixes[[#This Row],[Variety]],SeedMixes[[#This Row],[Company]])</f>
        <v>Squash - Winter
Butterscotch PMR F1
High Mowing</v>
      </c>
    </row>
    <row r="305" spans="2:8" ht="15" customHeight="1">
      <c r="B305" s="43">
        <f>1/COUNTIF(SeedMixes[Name],"="&amp;SeedMixes[[#This Row],[Name]])</f>
        <v>0.25</v>
      </c>
      <c r="C305" t="s">
        <v>1931</v>
      </c>
      <c r="D305" t="s">
        <v>1344</v>
      </c>
      <c r="E305" t="s">
        <v>684</v>
      </c>
      <c r="F305" t="s">
        <v>482</v>
      </c>
      <c r="G305" t="str">
        <f>SeedMixes[[#This Row],[Variety]]&amp;" "&amp;SeedMixes[[#This Row],[Company]]</f>
        <v>Honeynut High Mowing</v>
      </c>
      <c r="H305" t="str">
        <f>_xlfn.TEXTJOIN(CHAR(10),FALSE, SeedMixes[[#This Row],[Crop]],SeedMixes[[#This Row],[Variety]],SeedMixes[[#This Row],[Company]])</f>
        <v>Squash - Winter
Honeynut
High Mowing</v>
      </c>
    </row>
    <row r="306" spans="2:8" ht="15" customHeight="1">
      <c r="B306" s="43">
        <f>1/COUNTIF(SeedMixes[Name],"="&amp;SeedMixes[[#This Row],[Name]])</f>
        <v>0.25</v>
      </c>
      <c r="C306" t="s">
        <v>1931</v>
      </c>
      <c r="D306" t="s">
        <v>1344</v>
      </c>
      <c r="E306" t="s">
        <v>1689</v>
      </c>
      <c r="F306" t="s">
        <v>482</v>
      </c>
      <c r="G306" t="str">
        <f>SeedMixes[[#This Row],[Variety]]&amp;" "&amp;SeedMixes[[#This Row],[Company]]</f>
        <v>Nutterbutter High Mowing</v>
      </c>
      <c r="H306" t="str">
        <f>_xlfn.TEXTJOIN(CHAR(10),FALSE, SeedMixes[[#This Row],[Crop]],SeedMixes[[#This Row],[Variety]],SeedMixes[[#This Row],[Company]])</f>
        <v>Squash - Winter
Nutterbutter
High Mowing</v>
      </c>
    </row>
    <row r="307" spans="2:8" ht="15" customHeight="1">
      <c r="B307" s="43">
        <f>1/COUNTIF(SeedMixes[Name],"="&amp;SeedMixes[[#This Row],[Name]])</f>
        <v>0.25</v>
      </c>
      <c r="C307" t="s">
        <v>1931</v>
      </c>
      <c r="D307" t="s">
        <v>1344</v>
      </c>
      <c r="E307" t="s">
        <v>683</v>
      </c>
      <c r="F307" t="s">
        <v>482</v>
      </c>
      <c r="G307" t="str">
        <f>SeedMixes[[#This Row],[Variety]]&amp;" "&amp;SeedMixes[[#This Row],[Company]]</f>
        <v>Waltham High Mowing</v>
      </c>
      <c r="H307" t="str">
        <f>_xlfn.TEXTJOIN(CHAR(10),FALSE, SeedMixes[[#This Row],[Crop]],SeedMixes[[#This Row],[Variety]],SeedMixes[[#This Row],[Company]])</f>
        <v>Squash - Winter
Waltham
High Mowing</v>
      </c>
    </row>
    <row r="308" spans="2:8" ht="15" customHeight="1">
      <c r="B308" s="43">
        <f>1/COUNTIF(SeedMixes[Name],"="&amp;SeedMixes[[#This Row],[Name]])</f>
        <v>0.5</v>
      </c>
      <c r="C308" t="s">
        <v>1933</v>
      </c>
      <c r="D308" t="s">
        <v>1344</v>
      </c>
      <c r="E308" t="s">
        <v>1936</v>
      </c>
      <c r="F308" t="s">
        <v>482</v>
      </c>
      <c r="G308" t="str">
        <f>SeedMixes[[#This Row],[Variety]]&amp;" "&amp;SeedMixes[[#This Row],[Company]]</f>
        <v>Honey Boat High Mowing</v>
      </c>
      <c r="H308" t="str">
        <f>_xlfn.TEXTJOIN(CHAR(10),FALSE, SeedMixes[[#This Row],[Crop]],SeedMixes[[#This Row],[Variety]],SeedMixes[[#This Row],[Company]])</f>
        <v>Squash - Winter
Honey Boat
High Mowing</v>
      </c>
    </row>
    <row r="309" spans="2:8" ht="15" customHeight="1">
      <c r="B309" s="43">
        <f>1/COUNTIF(SeedMixes[Name],"="&amp;SeedMixes[[#This Row],[Name]])</f>
        <v>0.5</v>
      </c>
      <c r="C309" t="s">
        <v>1933</v>
      </c>
      <c r="D309" t="s">
        <v>1344</v>
      </c>
      <c r="E309" t="s">
        <v>1935</v>
      </c>
      <c r="F309" t="s">
        <v>482</v>
      </c>
      <c r="G309" t="str">
        <f>SeedMixes[[#This Row],[Variety]]&amp;" "&amp;SeedMixes[[#This Row],[Company]]</f>
        <v>Sugar Dumpling F1 High Mowing</v>
      </c>
      <c r="H309" t="str">
        <f>_xlfn.TEXTJOIN(CHAR(10),FALSE, SeedMixes[[#This Row],[Crop]],SeedMixes[[#This Row],[Variety]],SeedMixes[[#This Row],[Company]])</f>
        <v>Squash - Winter
Sugar Dumpling F1
High Mowing</v>
      </c>
    </row>
    <row r="310" spans="2:8" ht="15" customHeight="1">
      <c r="B310" s="43">
        <f>1/COUNTIF(SeedMixes[Name],"="&amp;SeedMixes[[#This Row],[Name]])</f>
        <v>0.25</v>
      </c>
      <c r="C310" t="s">
        <v>1937</v>
      </c>
      <c r="D310" t="s">
        <v>1344</v>
      </c>
      <c r="E310" t="s">
        <v>1938</v>
      </c>
      <c r="F310" t="s">
        <v>482</v>
      </c>
      <c r="G310" t="str">
        <f>SeedMixes[[#This Row],[Variety]]&amp;" "&amp;SeedMixes[[#This Row],[Company]]</f>
        <v>Red Kuri High Mowing</v>
      </c>
      <c r="H310" t="str">
        <f>_xlfn.TEXTJOIN(CHAR(10),FALSE, SeedMixes[[#This Row],[Crop]],SeedMixes[[#This Row],[Variety]],SeedMixes[[#This Row],[Company]])</f>
        <v>Squash - Winter
Red Kuri
High Mowing</v>
      </c>
    </row>
    <row r="311" spans="2:8" ht="15" customHeight="1">
      <c r="B311" s="43">
        <f>1/COUNTIF(SeedMixes[Name],"="&amp;SeedMixes[[#This Row],[Name]])</f>
        <v>0.25</v>
      </c>
      <c r="C311" t="s">
        <v>1937</v>
      </c>
      <c r="D311" t="s">
        <v>1344</v>
      </c>
      <c r="E311" t="s">
        <v>2837</v>
      </c>
      <c r="F311" t="s">
        <v>490</v>
      </c>
      <c r="G311" t="str">
        <f>SeedMixes[[#This Row],[Variety]]&amp;" "&amp;SeedMixes[[#This Row],[Company]]</f>
        <v>Sunshine Johnny's</v>
      </c>
      <c r="H311" t="str">
        <f>_xlfn.TEXTJOIN(CHAR(10),FALSE, SeedMixes[[#This Row],[Crop]],SeedMixes[[#This Row],[Variety]],SeedMixes[[#This Row],[Company]])</f>
        <v>Squash - Winter
Sunshine
Johnny's</v>
      </c>
    </row>
    <row r="312" spans="2:8" ht="15" customHeight="1">
      <c r="B312" s="43">
        <f>1/COUNTIF(SeedMixes[Name],"="&amp;SeedMixes[[#This Row],[Name]])</f>
        <v>0.25</v>
      </c>
      <c r="C312" t="s">
        <v>1937</v>
      </c>
      <c r="D312" t="s">
        <v>1344</v>
      </c>
      <c r="E312" t="s">
        <v>2838</v>
      </c>
      <c r="F312" t="s">
        <v>490</v>
      </c>
      <c r="G312" t="str">
        <f>SeedMixes[[#This Row],[Variety]]&amp;" "&amp;SeedMixes[[#This Row],[Company]]</f>
        <v>Mambo Johnny's</v>
      </c>
      <c r="H312" t="str">
        <f>_xlfn.TEXTJOIN(CHAR(10),FALSE, SeedMixes[[#This Row],[Crop]],SeedMixes[[#This Row],[Variety]],SeedMixes[[#This Row],[Company]])</f>
        <v>Squash - Winter
Mambo
Johnny's</v>
      </c>
    </row>
    <row r="313" spans="2:8" ht="15" customHeight="1">
      <c r="B313" s="43">
        <f>1/COUNTIF(SeedMixes[Name],"="&amp;SeedMixes[[#This Row],[Name]])</f>
        <v>0.25</v>
      </c>
      <c r="C313" t="s">
        <v>1937</v>
      </c>
      <c r="D313" t="s">
        <v>1344</v>
      </c>
      <c r="E313" t="s">
        <v>2839</v>
      </c>
      <c r="F313" t="s">
        <v>533</v>
      </c>
      <c r="G313" t="str">
        <f>SeedMixes[[#This Row],[Variety]]&amp;" "&amp;SeedMixes[[#This Row],[Company]]</f>
        <v>Neon Territorial</v>
      </c>
      <c r="H313" t="str">
        <f>_xlfn.TEXTJOIN(CHAR(10),FALSE, SeedMixes[[#This Row],[Crop]],SeedMixes[[#This Row],[Variety]],SeedMixes[[#This Row],[Company]])</f>
        <v>Squash - Winter
Neon
Territorial</v>
      </c>
    </row>
    <row r="314" spans="2:8" ht="15" customHeight="1">
      <c r="B314" s="43">
        <f>1/COUNTIF(SeedMixes[Name],"="&amp;SeedMixes[[#This Row],[Name]])</f>
        <v>0.25</v>
      </c>
      <c r="C314" t="s">
        <v>585</v>
      </c>
      <c r="D314" t="s">
        <v>125</v>
      </c>
      <c r="E314" t="s">
        <v>174</v>
      </c>
      <c r="F314" t="s">
        <v>490</v>
      </c>
      <c r="G314" t="str">
        <f>SeedMixes[[#This Row],[Variety]]&amp;" "&amp;SeedMixes[[#This Row],[Company]]</f>
        <v>Antique Pink Johnny's</v>
      </c>
      <c r="H314" t="str">
        <f>_xlfn.TEXTJOIN(CHAR(10),FALSE, SeedMixes[[#This Row],[Crop]],SeedMixes[[#This Row],[Variety]],SeedMixes[[#This Row],[Company]])</f>
        <v>Stock
Antique Pink
Johnny's</v>
      </c>
    </row>
    <row r="315" spans="2:8" ht="15" customHeight="1">
      <c r="B315" s="43">
        <f>1/COUNTIF(SeedMixes[Name],"="&amp;SeedMixes[[#This Row],[Name]])</f>
        <v>0.25</v>
      </c>
      <c r="C315" t="s">
        <v>585</v>
      </c>
      <c r="D315" t="s">
        <v>125</v>
      </c>
      <c r="E315" t="s">
        <v>680</v>
      </c>
      <c r="F315" t="s">
        <v>490</v>
      </c>
      <c r="G315" t="str">
        <f>SeedMixes[[#This Row],[Variety]]&amp;" "&amp;SeedMixes[[#This Row],[Company]]</f>
        <v>Iron Pastel Mix Johnny's</v>
      </c>
      <c r="H315" t="str">
        <f>_xlfn.TEXTJOIN(CHAR(10),FALSE, SeedMixes[[#This Row],[Crop]],SeedMixes[[#This Row],[Variety]],SeedMixes[[#This Row],[Company]])</f>
        <v>Stock
Iron Pastel Mix
Johnny's</v>
      </c>
    </row>
    <row r="316" spans="2:8" ht="15" customHeight="1">
      <c r="B316" s="43">
        <f>1/COUNTIF(SeedMixes[Name],"="&amp;SeedMixes[[#This Row],[Name]])</f>
        <v>0.25</v>
      </c>
      <c r="C316" t="s">
        <v>585</v>
      </c>
      <c r="D316" t="s">
        <v>125</v>
      </c>
      <c r="E316" t="s">
        <v>681</v>
      </c>
      <c r="F316" t="s">
        <v>490</v>
      </c>
      <c r="G316" t="str">
        <f>SeedMixes[[#This Row],[Variety]]&amp;" "&amp;SeedMixes[[#This Row],[Company]]</f>
        <v>Katz Formula Mix Johnny's</v>
      </c>
      <c r="H316" t="str">
        <f>_xlfn.TEXTJOIN(CHAR(10),FALSE, SeedMixes[[#This Row],[Crop]],SeedMixes[[#This Row],[Variety]],SeedMixes[[#This Row],[Company]])</f>
        <v>Stock
Katz Formula Mix
Johnny's</v>
      </c>
    </row>
    <row r="317" spans="2:8" ht="15" customHeight="1">
      <c r="B317" s="43">
        <f>1/COUNTIF(SeedMixes[Name],"="&amp;SeedMixes[[#This Row],[Name]])</f>
        <v>0.25</v>
      </c>
      <c r="C317" t="s">
        <v>585</v>
      </c>
      <c r="D317" t="s">
        <v>125</v>
      </c>
      <c r="E317" t="s">
        <v>681</v>
      </c>
      <c r="F317" t="s">
        <v>490</v>
      </c>
      <c r="G317" t="str">
        <f>SeedMixes[[#This Row],[Variety]]&amp;" "&amp;SeedMixes[[#This Row],[Company]]</f>
        <v>Katz Formula Mix Johnny's</v>
      </c>
      <c r="H317" t="str">
        <f>_xlfn.TEXTJOIN(CHAR(10),FALSE, SeedMixes[[#This Row],[Crop]],SeedMixes[[#This Row],[Variety]],SeedMixes[[#This Row],[Company]])</f>
        <v>Stock
Katz Formula Mix
Johnny's</v>
      </c>
    </row>
    <row r="318" spans="2:8" ht="15" customHeight="1">
      <c r="B318" s="43">
        <f>1/COUNTIF(SeedMixes[Name],"="&amp;SeedMixes[[#This Row],[Name]])</f>
        <v>0.25</v>
      </c>
      <c r="C318" t="s">
        <v>1988</v>
      </c>
      <c r="D318" t="s">
        <v>1695</v>
      </c>
      <c r="E318" t="s">
        <v>1992</v>
      </c>
      <c r="F318" t="s">
        <v>488</v>
      </c>
      <c r="G318" t="str">
        <f>SeedMixes[[#This Row],[Variety]]&amp;" "&amp;SeedMixes[[#This Row],[Company]]</f>
        <v>Monstrosum Mix Adaptive</v>
      </c>
      <c r="H318" t="str">
        <f>_xlfn.TEXTJOIN(CHAR(10),FALSE, SeedMixes[[#This Row],[Crop]],SeedMixes[[#This Row],[Variety]],SeedMixes[[#This Row],[Company]])</f>
        <v>Strawflower
Monstrosum Mix
Adaptive</v>
      </c>
    </row>
    <row r="319" spans="2:8" ht="15" customHeight="1">
      <c r="B319" s="43">
        <f>1/COUNTIF(SeedMixes[Name],"="&amp;SeedMixes[[#This Row],[Name]])</f>
        <v>0.25</v>
      </c>
      <c r="C319" t="s">
        <v>1988</v>
      </c>
      <c r="D319" t="s">
        <v>1695</v>
      </c>
      <c r="E319" t="s">
        <v>1990</v>
      </c>
      <c r="F319" t="s">
        <v>482</v>
      </c>
      <c r="G319" t="str">
        <f>SeedMixes[[#This Row],[Variety]]&amp;" "&amp;SeedMixes[[#This Row],[Company]]</f>
        <v>Roggli Riesen High Mowing</v>
      </c>
      <c r="H319" t="str">
        <f>_xlfn.TEXTJOIN(CHAR(10),FALSE, SeedMixes[[#This Row],[Crop]],SeedMixes[[#This Row],[Variety]],SeedMixes[[#This Row],[Company]])</f>
        <v>Strawflower
Roggli Riesen
High Mowing</v>
      </c>
    </row>
    <row r="320" spans="2:8" ht="15" customHeight="1">
      <c r="B320" s="43">
        <f>1/COUNTIF(SeedMixes[Name],"="&amp;SeedMixes[[#This Row],[Name]])</f>
        <v>0.25</v>
      </c>
      <c r="C320" t="s">
        <v>1988</v>
      </c>
      <c r="D320" t="s">
        <v>1695</v>
      </c>
      <c r="E320" t="s">
        <v>1991</v>
      </c>
      <c r="F320" t="s">
        <v>490</v>
      </c>
      <c r="G320" t="str">
        <f>SeedMixes[[#This Row],[Variety]]&amp;" "&amp;SeedMixes[[#This Row],[Company]]</f>
        <v>Vintage White Johnny's</v>
      </c>
      <c r="H320" t="str">
        <f>_xlfn.TEXTJOIN(CHAR(10),FALSE, SeedMixes[[#This Row],[Crop]],SeedMixes[[#This Row],[Variety]],SeedMixes[[#This Row],[Company]])</f>
        <v>Strawflower
Vintage White
Johnny's</v>
      </c>
    </row>
    <row r="321" spans="2:8" ht="15" customHeight="1">
      <c r="B321" s="43">
        <f>1/COUNTIF(SeedMixes[Name],"="&amp;SeedMixes[[#This Row],[Name]])</f>
        <v>0.25</v>
      </c>
      <c r="C321" t="s">
        <v>1988</v>
      </c>
      <c r="D321" t="s">
        <v>1695</v>
      </c>
      <c r="E321" t="s">
        <v>1989</v>
      </c>
      <c r="F321" t="s">
        <v>526</v>
      </c>
      <c r="G321" t="str">
        <f>SeedMixes[[#This Row],[Variety]]&amp;" "&amp;SeedMixes[[#This Row],[Company]]</f>
        <v>White Immortelle Wild Garden</v>
      </c>
      <c r="H321" t="str">
        <f>_xlfn.TEXTJOIN(CHAR(10),FALSE, SeedMixes[[#This Row],[Crop]],SeedMixes[[#This Row],[Variety]],SeedMixes[[#This Row],[Company]])</f>
        <v>Strawflower
White Immortelle
Wild Garden</v>
      </c>
    </row>
    <row r="322" spans="2:8" ht="15" customHeight="1">
      <c r="B322" s="43">
        <f>1/COUNTIF(SeedMixes[Name],"="&amp;SeedMixes[[#This Row],[Name]])</f>
        <v>0.14285714285714285</v>
      </c>
      <c r="C322" t="s">
        <v>3063</v>
      </c>
      <c r="D322" t="s">
        <v>130</v>
      </c>
      <c r="E322" t="s">
        <v>2010</v>
      </c>
      <c r="F322" t="s">
        <v>484</v>
      </c>
      <c r="G322" t="str">
        <f>SeedMixes[[#This Row],[Variety]]&amp;" "&amp;SeedMixes[[#This Row],[Company]]</f>
        <v>Garden Anarchy Mix Uprising</v>
      </c>
      <c r="H322" t="str">
        <f>_xlfn.TEXTJOIN(CHAR(10),FALSE, SeedMixes[[#This Row],[Crop]],SeedMixes[[#This Row],[Variety]],SeedMixes[[#This Row],[Company]])</f>
        <v>Sunflowers
Garden Anarchy Mix
Uprising</v>
      </c>
    </row>
    <row r="323" spans="2:8" ht="15" customHeight="1">
      <c r="B323" s="43">
        <f>1/COUNTIF(SeedMixes[Name],"="&amp;SeedMixes[[#This Row],[Name]])</f>
        <v>0.14285714285714285</v>
      </c>
      <c r="C323" t="s">
        <v>3063</v>
      </c>
      <c r="D323" t="s">
        <v>130</v>
      </c>
      <c r="E323" t="s">
        <v>1993</v>
      </c>
      <c r="F323" t="s">
        <v>482</v>
      </c>
      <c r="G323" t="str">
        <f>SeedMixes[[#This Row],[Variety]]&amp;" "&amp;SeedMixes[[#This Row],[Company]]</f>
        <v>Goldy Double High Mowing</v>
      </c>
      <c r="H323" t="str">
        <f>_xlfn.TEXTJOIN(CHAR(10),FALSE, SeedMixes[[#This Row],[Crop]],SeedMixes[[#This Row],[Variety]],SeedMixes[[#This Row],[Company]])</f>
        <v>Sunflowers
Goldy Double
High Mowing</v>
      </c>
    </row>
    <row r="324" spans="2:8" ht="15" customHeight="1">
      <c r="B324" s="43">
        <f>1/COUNTIF(SeedMixes[Name],"="&amp;SeedMixes[[#This Row],[Name]])</f>
        <v>0.14285714285714285</v>
      </c>
      <c r="C324" t="s">
        <v>3063</v>
      </c>
      <c r="D324" t="s">
        <v>130</v>
      </c>
      <c r="E324" t="s">
        <v>1995</v>
      </c>
      <c r="F324" t="s">
        <v>490</v>
      </c>
      <c r="G324" t="str">
        <f>SeedMixes[[#This Row],[Variety]]&amp;" "&amp;SeedMixes[[#This Row],[Company]]</f>
        <v>Procut Peach Johnny's</v>
      </c>
      <c r="H324" t="str">
        <f>_xlfn.TEXTJOIN(CHAR(10),FALSE, SeedMixes[[#This Row],[Crop]],SeedMixes[[#This Row],[Variety]],SeedMixes[[#This Row],[Company]])</f>
        <v>Sunflowers
Procut Peach
Johnny's</v>
      </c>
    </row>
    <row r="325" spans="2:8" ht="15" customHeight="1">
      <c r="B325" s="43">
        <f>1/COUNTIF(SeedMixes[Name],"="&amp;SeedMixes[[#This Row],[Name]])</f>
        <v>0.14285714285714285</v>
      </c>
      <c r="C325" t="s">
        <v>3063</v>
      </c>
      <c r="D325" t="s">
        <v>130</v>
      </c>
      <c r="E325" t="s">
        <v>587</v>
      </c>
      <c r="F325" t="s">
        <v>490</v>
      </c>
      <c r="G325" t="str">
        <f>SeedMixes[[#This Row],[Variety]]&amp;" "&amp;SeedMixes[[#This Row],[Company]]</f>
        <v>Red Hedge Johnny's</v>
      </c>
      <c r="H325" t="str">
        <f>_xlfn.TEXTJOIN(CHAR(10),FALSE, SeedMixes[[#This Row],[Crop]],SeedMixes[[#This Row],[Variety]],SeedMixes[[#This Row],[Company]])</f>
        <v>Sunflowers
Red Hedge
Johnny's</v>
      </c>
    </row>
    <row r="326" spans="2:8" ht="15" customHeight="1">
      <c r="B326" s="43">
        <f>1/COUNTIF(SeedMixes[Name],"="&amp;SeedMixes[[#This Row],[Name]])</f>
        <v>0.14285714285714285</v>
      </c>
      <c r="C326" t="s">
        <v>3063</v>
      </c>
      <c r="D326" t="s">
        <v>130</v>
      </c>
      <c r="E326" t="s">
        <v>1996</v>
      </c>
      <c r="F326" t="s">
        <v>490</v>
      </c>
      <c r="G326" t="str">
        <f>SeedMixes[[#This Row],[Variety]]&amp;" "&amp;SeedMixes[[#This Row],[Company]]</f>
        <v>Shock-O-Lat Johnny's</v>
      </c>
      <c r="H326" t="str">
        <f>_xlfn.TEXTJOIN(CHAR(10),FALSE, SeedMixes[[#This Row],[Crop]],SeedMixes[[#This Row],[Variety]],SeedMixes[[#This Row],[Company]])</f>
        <v>Sunflowers
Shock-O-Lat
Johnny's</v>
      </c>
    </row>
    <row r="327" spans="2:8" ht="15" customHeight="1">
      <c r="B327" s="43">
        <f>1/COUNTIF(SeedMixes[Name],"="&amp;SeedMixes[[#This Row],[Name]])</f>
        <v>0.14285714285714285</v>
      </c>
      <c r="C327" t="s">
        <v>3063</v>
      </c>
      <c r="D327" t="s">
        <v>130</v>
      </c>
      <c r="E327" t="s">
        <v>1997</v>
      </c>
      <c r="F327" t="s">
        <v>490</v>
      </c>
      <c r="G327" t="str">
        <f>SeedMixes[[#This Row],[Variety]]&amp;" "&amp;SeedMixes[[#This Row],[Company]]</f>
        <v>Strawberry Blonde Johnny's</v>
      </c>
      <c r="H327" t="str">
        <f>_xlfn.TEXTJOIN(CHAR(10),FALSE, SeedMixes[[#This Row],[Crop]],SeedMixes[[#This Row],[Variety]],SeedMixes[[#This Row],[Company]])</f>
        <v>Sunflowers
Strawberry Blonde
Johnny's</v>
      </c>
    </row>
    <row r="328" spans="2:8" ht="15" customHeight="1">
      <c r="B328" s="43">
        <f>1/COUNTIF(SeedMixes[Name],"="&amp;SeedMixes[[#This Row],[Name]])</f>
        <v>0.14285714285714285</v>
      </c>
      <c r="C328" t="s">
        <v>3063</v>
      </c>
      <c r="D328" t="s">
        <v>130</v>
      </c>
      <c r="E328" t="s">
        <v>1994</v>
      </c>
      <c r="F328" t="s">
        <v>490</v>
      </c>
      <c r="G328" t="str">
        <f>SeedMixes[[#This Row],[Variety]]&amp;" "&amp;SeedMixes[[#This Row],[Company]]</f>
        <v>Summer Breeze Mix Johnny's</v>
      </c>
      <c r="H328" t="str">
        <f>_xlfn.TEXTJOIN(CHAR(10),FALSE, SeedMixes[[#This Row],[Crop]],SeedMixes[[#This Row],[Variety]],SeedMixes[[#This Row],[Company]])</f>
        <v>Sunflowers
Summer Breeze Mix
Johnny's</v>
      </c>
    </row>
    <row r="329" spans="2:8" ht="15" customHeight="1">
      <c r="B329" s="43">
        <f>1/COUNTIF(SeedMixes[Name],"="&amp;SeedMixes[[#This Row],[Name]])</f>
        <v>0.25</v>
      </c>
      <c r="C329" t="s">
        <v>2011</v>
      </c>
      <c r="D329" t="s">
        <v>131</v>
      </c>
      <c r="E329" t="s">
        <v>2936</v>
      </c>
      <c r="F329" t="s">
        <v>482</v>
      </c>
      <c r="G329" t="str">
        <f>SeedMixes[[#This Row],[Variety]]&amp;" "&amp;SeedMixes[[#This Row],[Company]]</f>
        <v>Sunset Chard High Mowing</v>
      </c>
      <c r="H329" t="str">
        <f>_xlfn.TEXTJOIN(CHAR(10),FALSE, SeedMixes[[#This Row],[Crop]],SeedMixes[[#This Row],[Variety]],SeedMixes[[#This Row],[Company]])</f>
        <v>Swiss Chard
Sunset Chard
High Mowing</v>
      </c>
    </row>
    <row r="330" spans="2:8" ht="15" customHeight="1">
      <c r="B330" s="43">
        <f>1/COUNTIF(SeedMixes[Name],"="&amp;SeedMixes[[#This Row],[Name]])</f>
        <v>0.25</v>
      </c>
      <c r="C330" t="s">
        <v>2011</v>
      </c>
      <c r="D330" t="s">
        <v>131</v>
      </c>
      <c r="E330" t="s">
        <v>2938</v>
      </c>
      <c r="F330" t="s">
        <v>482</v>
      </c>
      <c r="G330" t="str">
        <f>SeedMixes[[#This Row],[Variety]]&amp;" "&amp;SeedMixes[[#This Row],[Company]]</f>
        <v>Ruby Red High Mowing</v>
      </c>
      <c r="H330" t="str">
        <f>_xlfn.TEXTJOIN(CHAR(10),FALSE, SeedMixes[[#This Row],[Crop]],SeedMixes[[#This Row],[Variety]],SeedMixes[[#This Row],[Company]])</f>
        <v>Swiss Chard
Ruby Red
High Mowing</v>
      </c>
    </row>
    <row r="331" spans="2:8" ht="15" customHeight="1">
      <c r="B331" s="43">
        <f>1/COUNTIF(SeedMixes[Name],"="&amp;SeedMixes[[#This Row],[Name]])</f>
        <v>0.25</v>
      </c>
      <c r="C331" t="s">
        <v>2011</v>
      </c>
      <c r="D331" t="s">
        <v>131</v>
      </c>
      <c r="E331" t="s">
        <v>2937</v>
      </c>
      <c r="F331" t="s">
        <v>482</v>
      </c>
      <c r="G331" t="str">
        <f>SeedMixes[[#This Row],[Variety]]&amp;" "&amp;SeedMixes[[#This Row],[Company]]</f>
        <v>Rhubard Supreme High Mowing</v>
      </c>
      <c r="H331" t="str">
        <f>_xlfn.TEXTJOIN(CHAR(10),FALSE, SeedMixes[[#This Row],[Crop]],SeedMixes[[#This Row],[Variety]],SeedMixes[[#This Row],[Company]])</f>
        <v>Swiss Chard
Rhubard Supreme
High Mowing</v>
      </c>
    </row>
    <row r="332" spans="2:8" ht="15" customHeight="1">
      <c r="B332" s="43">
        <f>1/COUNTIF(SeedMixes[Name],"="&amp;SeedMixes[[#This Row],[Name]])</f>
        <v>0.25</v>
      </c>
      <c r="C332" t="s">
        <v>2011</v>
      </c>
      <c r="D332" t="s">
        <v>131</v>
      </c>
      <c r="E332" t="s">
        <v>2012</v>
      </c>
      <c r="F332" t="s">
        <v>482</v>
      </c>
      <c r="G332" t="str">
        <f>SeedMixes[[#This Row],[Variety]]&amp;" "&amp;SeedMixes[[#This Row],[Company]]</f>
        <v>Fordhook Giant High Mowing</v>
      </c>
      <c r="H332" t="str">
        <f>_xlfn.TEXTJOIN(CHAR(10),FALSE, SeedMixes[[#This Row],[Crop]],SeedMixes[[#This Row],[Variety]],SeedMixes[[#This Row],[Company]])</f>
        <v>Swiss Chard
Fordhook Giant
High Mowing</v>
      </c>
    </row>
    <row r="333" spans="2:8" ht="15" customHeight="1">
      <c r="B333" s="159">
        <f>1/COUNTIF(SeedMixes[Name],"="&amp;SeedMixes[[#This Row],[Name]])</f>
        <v>0.25</v>
      </c>
      <c r="C333" t="s">
        <v>1805</v>
      </c>
      <c r="D333" t="s">
        <v>133</v>
      </c>
      <c r="E333" t="s">
        <v>1382</v>
      </c>
      <c r="F333" t="s">
        <v>490</v>
      </c>
      <c r="G333" t="str">
        <f>SeedMixes[[#This Row],[Variety]]&amp;" "&amp;SeedMixes[[#This Row],[Company]]</f>
        <v>Red Cloud F1 Johnny's</v>
      </c>
      <c r="H333" t="str">
        <f>_xlfn.TEXTJOIN(CHAR(10),FALSE, SeedMixes[[#This Row],[Crop]],SeedMixes[[#This Row],[Variety]],SeedMixes[[#This Row],[Company]])</f>
        <v>Tat Soi
Red Cloud F1
Johnny's</v>
      </c>
    </row>
    <row r="334" spans="2:8" ht="15" customHeight="1">
      <c r="B334" s="43">
        <v>0.25</v>
      </c>
      <c r="C334" t="s">
        <v>2842</v>
      </c>
      <c r="D334" t="s">
        <v>135</v>
      </c>
      <c r="E334" t="s">
        <v>1942</v>
      </c>
      <c r="F334" t="s">
        <v>484</v>
      </c>
      <c r="G334" t="str">
        <f>SeedMixes[[#This Row],[Variety]]&amp;" "&amp;SeedMixes[[#This Row],[Company]]</f>
        <v>Queen of Mallinalco Uprising</v>
      </c>
      <c r="H334" t="str">
        <f>_xlfn.TEXTJOIN(CHAR(10),FALSE, SeedMixes[[#This Row],[Crop]],SeedMixes[[#This Row],[Variety]],SeedMixes[[#This Row],[Company]])</f>
        <v>Tomatillo
Queen of Mallinalco
Uprising</v>
      </c>
    </row>
    <row r="335" spans="2:8" ht="15" customHeight="1">
      <c r="B335" s="43">
        <v>0.25</v>
      </c>
      <c r="C335" t="s">
        <v>2842</v>
      </c>
      <c r="D335" t="s">
        <v>135</v>
      </c>
      <c r="E335" t="s">
        <v>2840</v>
      </c>
      <c r="F335" t="s">
        <v>490</v>
      </c>
      <c r="G335" t="str">
        <f>SeedMixes[[#This Row],[Variety]]&amp;" "&amp;SeedMixes[[#This Row],[Company]]</f>
        <v>De Milpa Johnny's</v>
      </c>
      <c r="H335" t="str">
        <f>_xlfn.TEXTJOIN(CHAR(10),FALSE, SeedMixes[[#This Row],[Crop]],SeedMixes[[#This Row],[Variety]],SeedMixes[[#This Row],[Company]])</f>
        <v>Tomatillo
De Milpa
Johnny's</v>
      </c>
    </row>
    <row r="336" spans="2:8" ht="15" customHeight="1">
      <c r="B336" s="43">
        <v>0.5</v>
      </c>
      <c r="C336" t="s">
        <v>2842</v>
      </c>
      <c r="D336" t="s">
        <v>135</v>
      </c>
      <c r="E336" t="s">
        <v>2841</v>
      </c>
      <c r="F336" t="s">
        <v>482</v>
      </c>
      <c r="G336" t="str">
        <f>SeedMixes[[#This Row],[Variety]]&amp;" "&amp;SeedMixes[[#This Row],[Company]]</f>
        <v>Toma Verde High Mowing</v>
      </c>
      <c r="H336" t="str">
        <f>_xlfn.TEXTJOIN(CHAR(10),FALSE, SeedMixes[[#This Row],[Crop]],SeedMixes[[#This Row],[Variety]],SeedMixes[[#This Row],[Company]])</f>
        <v>Tomatillo
Toma Verde
High Mowing</v>
      </c>
    </row>
    <row r="337" spans="2:8" ht="15" customHeight="1">
      <c r="B337" s="43">
        <f>1/COUNTIF(SeedMixes[Name],"="&amp;SeedMixes[[#This Row],[Name]])</f>
        <v>0.25</v>
      </c>
      <c r="C337" t="s">
        <v>1860</v>
      </c>
      <c r="D337" t="s">
        <v>136</v>
      </c>
      <c r="E337" t="s">
        <v>688</v>
      </c>
      <c r="F337" t="s">
        <v>490</v>
      </c>
      <c r="G337" t="str">
        <f>SeedMixes[[#This Row],[Variety]]&amp;" "&amp;SeedMixes[[#This Row],[Company]]</f>
        <v>Sungold F1 Johnny's</v>
      </c>
      <c r="H337" t="str">
        <f>_xlfn.TEXTJOIN(CHAR(10),FALSE, SeedMixes[[#This Row],[Crop]],SeedMixes[[#This Row],[Variety]],SeedMixes[[#This Row],[Company]])</f>
        <v>Tomato
Sungold F1
Johnny's</v>
      </c>
    </row>
    <row r="338" spans="2:8" ht="15" customHeight="1">
      <c r="B338" s="43">
        <f>1/COUNTIF(SeedMixes[Name],"="&amp;SeedMixes[[#This Row],[Name]])</f>
        <v>0.25</v>
      </c>
      <c r="C338" t="s">
        <v>1860</v>
      </c>
      <c r="D338" t="s">
        <v>136</v>
      </c>
      <c r="E338" t="s">
        <v>986</v>
      </c>
      <c r="F338" t="s">
        <v>533</v>
      </c>
      <c r="G338" t="str">
        <f>SeedMixes[[#This Row],[Variety]]&amp;" "&amp;SeedMixes[[#This Row],[Company]]</f>
        <v>Sweet Million Territorial</v>
      </c>
      <c r="H338" t="str">
        <f>_xlfn.TEXTJOIN(CHAR(10),FALSE, SeedMixes[[#This Row],[Crop]],SeedMixes[[#This Row],[Variety]],SeedMixes[[#This Row],[Company]])</f>
        <v>Tomato
Sweet Million
Territorial</v>
      </c>
    </row>
    <row r="339" spans="2:8" ht="15" customHeight="1">
      <c r="B339" s="43">
        <f>1/COUNTIF(SeedMixes[Name],"="&amp;SeedMixes[[#This Row],[Name]])</f>
        <v>0.25</v>
      </c>
      <c r="C339" t="s">
        <v>1860</v>
      </c>
      <c r="D339" t="s">
        <v>136</v>
      </c>
      <c r="E339" t="s">
        <v>2848</v>
      </c>
      <c r="F339" t="s">
        <v>490</v>
      </c>
      <c r="G339" t="str">
        <f>SeedMixes[[#This Row],[Variety]]&amp;" "&amp;SeedMixes[[#This Row],[Company]]</f>
        <v>Sakura OG Johnny's</v>
      </c>
      <c r="H339" t="str">
        <f>_xlfn.TEXTJOIN(CHAR(10),FALSE, SeedMixes[[#This Row],[Crop]],SeedMixes[[#This Row],[Variety]],SeedMixes[[#This Row],[Company]])</f>
        <v>Tomato
Sakura OG
Johnny's</v>
      </c>
    </row>
    <row r="340" spans="2:8" ht="15" customHeight="1">
      <c r="B340" s="43">
        <f>1/COUNTIF(SeedMixes[Name],"="&amp;SeedMixes[[#This Row],[Name]])</f>
        <v>0.25</v>
      </c>
      <c r="C340" t="s">
        <v>1860</v>
      </c>
      <c r="D340" t="s">
        <v>136</v>
      </c>
      <c r="E340" t="s">
        <v>2847</v>
      </c>
      <c r="F340" t="s">
        <v>490</v>
      </c>
      <c r="G340" t="str">
        <f>SeedMixes[[#This Row],[Variety]]&amp;" "&amp;SeedMixes[[#This Row],[Company]]</f>
        <v>Black Cherry OG Johnny's</v>
      </c>
      <c r="H340" t="str">
        <f>_xlfn.TEXTJOIN(CHAR(10),FALSE, SeedMixes[[#This Row],[Crop]],SeedMixes[[#This Row],[Variety]],SeedMixes[[#This Row],[Company]])</f>
        <v>Tomato
Black Cherry OG
Johnny's</v>
      </c>
    </row>
    <row r="341" spans="2:8" ht="15" customHeight="1">
      <c r="B341" s="43">
        <f>1/COUNTIF(SeedMixes[Name],"="&amp;SeedMixes[[#This Row],[Name]])</f>
        <v>0.2</v>
      </c>
      <c r="C341" t="s">
        <v>3043</v>
      </c>
      <c r="D341" t="s">
        <v>136</v>
      </c>
      <c r="E341" t="s">
        <v>3016</v>
      </c>
      <c r="F341" t="s">
        <v>488</v>
      </c>
      <c r="G341" t="str">
        <f>SeedMixes[[#This Row],[Variety]]&amp;" "&amp;SeedMixes[[#This Row],[Company]]</f>
        <v>Spring King Adaptive</v>
      </c>
      <c r="H341" t="str">
        <f>_xlfn.TEXTJOIN(CHAR(10),FALSE, SeedMixes[[#This Row],[Crop]],SeedMixes[[#This Row],[Variety]],SeedMixes[[#This Row],[Company]])</f>
        <v>Tomato
Spring King
Adaptive</v>
      </c>
    </row>
    <row r="342" spans="2:8" ht="15" customHeight="1">
      <c r="B342" s="43">
        <f>1/COUNTIF(SeedMixes[Name],"="&amp;SeedMixes[[#This Row],[Name]])</f>
        <v>0.2</v>
      </c>
      <c r="C342" t="s">
        <v>3043</v>
      </c>
      <c r="D342" t="s">
        <v>136</v>
      </c>
      <c r="E342" t="s">
        <v>3018</v>
      </c>
      <c r="F342" t="s">
        <v>3017</v>
      </c>
      <c r="G342" t="str">
        <f>SeedMixes[[#This Row],[Variety]]&amp;" "&amp;SeedMixes[[#This Row],[Company]]</f>
        <v>Red Deuce Seedway</v>
      </c>
      <c r="H342" t="str">
        <f>_xlfn.TEXTJOIN(CHAR(10),FALSE, SeedMixes[[#This Row],[Crop]],SeedMixes[[#This Row],[Variety]],SeedMixes[[#This Row],[Company]])</f>
        <v>Tomato
Red Deuce
Seedway</v>
      </c>
    </row>
    <row r="343" spans="2:8" ht="15" customHeight="1">
      <c r="B343" s="43">
        <f>1/COUNTIF(SeedMixes[Name],"="&amp;SeedMixes[[#This Row],[Name]])</f>
        <v>0.2</v>
      </c>
      <c r="C343" t="s">
        <v>3043</v>
      </c>
      <c r="D343" t="s">
        <v>136</v>
      </c>
      <c r="E343" t="s">
        <v>3091</v>
      </c>
      <c r="F343" t="s">
        <v>3040</v>
      </c>
      <c r="G343" t="str">
        <f>SeedMixes[[#This Row],[Variety]]&amp;" "&amp;SeedMixes[[#This Row],[Company]]</f>
        <v>Beefy Purple A P Whaley</v>
      </c>
      <c r="H343" t="str">
        <f>_xlfn.TEXTJOIN(CHAR(10),FALSE, SeedMixes[[#This Row],[Crop]],SeedMixes[[#This Row],[Variety]],SeedMixes[[#This Row],[Company]])</f>
        <v>Tomato
Beefy Purple
A P Whaley</v>
      </c>
    </row>
    <row r="344" spans="2:8" ht="15" customHeight="1">
      <c r="B344" s="43">
        <f>1/COUNTIF(SeedMixes[Name],"="&amp;SeedMixes[[#This Row],[Name]])</f>
        <v>0.2</v>
      </c>
      <c r="C344" t="s">
        <v>3043</v>
      </c>
      <c r="D344" t="s">
        <v>136</v>
      </c>
      <c r="E344" t="s">
        <v>3019</v>
      </c>
      <c r="F344" t="s">
        <v>695</v>
      </c>
      <c r="G344" t="str">
        <f>SeedMixes[[#This Row],[Variety]]&amp;" "&amp;SeedMixes[[#This Row],[Company]]</f>
        <v>Black Sea Man Tomato Fest</v>
      </c>
      <c r="H344" t="str">
        <f>_xlfn.TEXTJOIN(CHAR(10),FALSE, SeedMixes[[#This Row],[Crop]],SeedMixes[[#This Row],[Variety]],SeedMixes[[#This Row],[Company]])</f>
        <v>Tomato
Black Sea Man
Tomato Fest</v>
      </c>
    </row>
    <row r="345" spans="2:8" ht="15" customHeight="1">
      <c r="B345" s="43">
        <f>1/COUNTIF(SeedMixes[Name],"="&amp;SeedMixes[[#This Row],[Name]])</f>
        <v>0.2</v>
      </c>
      <c r="C345" t="s">
        <v>3043</v>
      </c>
      <c r="D345" t="s">
        <v>136</v>
      </c>
      <c r="E345" t="s">
        <v>3023</v>
      </c>
      <c r="F345" t="s">
        <v>695</v>
      </c>
      <c r="G345" t="str">
        <f>SeedMixes[[#This Row],[Variety]]&amp;" "&amp;SeedMixes[[#This Row],[Company]]</f>
        <v>Dwarf Purple Heart Tomato Fest</v>
      </c>
      <c r="H345" t="str">
        <f>_xlfn.TEXTJOIN(CHAR(10),FALSE, SeedMixes[[#This Row],[Crop]],SeedMixes[[#This Row],[Variety]],SeedMixes[[#This Row],[Company]])</f>
        <v>Tomato
Dwarf Purple Heart
Tomato Fest</v>
      </c>
    </row>
    <row r="346" spans="2:8" ht="15" customHeight="1">
      <c r="B346" s="43">
        <f>1/COUNTIF(SeedMixes[Name],"="&amp;SeedMixes[[#This Row],[Name]])</f>
        <v>0.125</v>
      </c>
      <c r="C346" t="s">
        <v>3042</v>
      </c>
      <c r="D346" t="s">
        <v>136</v>
      </c>
      <c r="E346" t="s">
        <v>3009</v>
      </c>
      <c r="F346" t="s">
        <v>3010</v>
      </c>
      <c r="G346" t="str">
        <f>SeedMixes[[#This Row],[Variety]]&amp;" "&amp;SeedMixes[[#This Row],[Company]]</f>
        <v>42-Day A H Whaley</v>
      </c>
      <c r="H346" t="str">
        <f>_xlfn.TEXTJOIN(CHAR(10),FALSE, SeedMixes[[#This Row],[Crop]],SeedMixes[[#This Row],[Variety]],SeedMixes[[#This Row],[Company]])</f>
        <v>Tomato
42-Day
A H Whaley</v>
      </c>
    </row>
    <row r="347" spans="2:8" ht="15" customHeight="1">
      <c r="B347" s="43">
        <f>1/COUNTIF(SeedMixes[Name],"="&amp;SeedMixes[[#This Row],[Name]])</f>
        <v>0.125</v>
      </c>
      <c r="C347" t="s">
        <v>3042</v>
      </c>
      <c r="D347" t="s">
        <v>136</v>
      </c>
      <c r="E347" t="s">
        <v>3011</v>
      </c>
      <c r="F347" t="s">
        <v>533</v>
      </c>
      <c r="G347" t="str">
        <f>SeedMixes[[#This Row],[Variety]]&amp;" "&amp;SeedMixes[[#This Row],[Company]]</f>
        <v>Early Cherry Territorial</v>
      </c>
      <c r="H347" t="str">
        <f>_xlfn.TEXTJOIN(CHAR(10),FALSE, SeedMixes[[#This Row],[Crop]],SeedMixes[[#This Row],[Variety]],SeedMixes[[#This Row],[Company]])</f>
        <v>Tomato
Early Cherry
Territorial</v>
      </c>
    </row>
    <row r="348" spans="2:8" ht="15" customHeight="1">
      <c r="B348" s="43">
        <f>1/COUNTIF(SeedMixes[Name],"="&amp;SeedMixes[[#This Row],[Name]])</f>
        <v>0.125</v>
      </c>
      <c r="C348" t="s">
        <v>3042</v>
      </c>
      <c r="D348" t="s">
        <v>136</v>
      </c>
      <c r="E348" t="s">
        <v>3012</v>
      </c>
      <c r="F348" t="s">
        <v>3040</v>
      </c>
      <c r="G348" t="str">
        <f>SeedMixes[[#This Row],[Variety]]&amp;" "&amp;SeedMixes[[#This Row],[Company]]</f>
        <v>Cherry Falls A P Whaley</v>
      </c>
      <c r="H348" t="str">
        <f>_xlfn.TEXTJOIN(CHAR(10),FALSE, SeedMixes[[#This Row],[Crop]],SeedMixes[[#This Row],[Variety]],SeedMixes[[#This Row],[Company]])</f>
        <v>Tomato
Cherry Falls
A P Whaley</v>
      </c>
    </row>
    <row r="349" spans="2:8" ht="15" customHeight="1">
      <c r="B349" s="43">
        <f>1/COUNTIF(SeedMixes[Name],"="&amp;SeedMixes[[#This Row],[Name]])</f>
        <v>0.125</v>
      </c>
      <c r="C349" t="s">
        <v>3042</v>
      </c>
      <c r="D349" t="s">
        <v>136</v>
      </c>
      <c r="E349" t="s">
        <v>3015</v>
      </c>
      <c r="F349" t="s">
        <v>490</v>
      </c>
      <c r="G349" t="str">
        <f>SeedMixes[[#This Row],[Variety]]&amp;" "&amp;SeedMixes[[#This Row],[Company]]</f>
        <v>Washington Cherry Johnny's</v>
      </c>
      <c r="H349" t="str">
        <f>_xlfn.TEXTJOIN(CHAR(10),FALSE, SeedMixes[[#This Row],[Crop]],SeedMixes[[#This Row],[Variety]],SeedMixes[[#This Row],[Company]])</f>
        <v>Tomato
Washington Cherry
Johnny's</v>
      </c>
    </row>
    <row r="350" spans="2:8" ht="15" customHeight="1">
      <c r="B350" s="43">
        <f>1/COUNTIF(SeedMixes[Name],"="&amp;SeedMixes[[#This Row],[Name]])</f>
        <v>0.125</v>
      </c>
      <c r="C350" t="s">
        <v>3042</v>
      </c>
      <c r="D350" t="s">
        <v>136</v>
      </c>
      <c r="E350" t="s">
        <v>3021</v>
      </c>
      <c r="F350" t="s">
        <v>3022</v>
      </c>
      <c r="G350" t="str">
        <f>SeedMixes[[#This Row],[Variety]]&amp;" "&amp;SeedMixes[[#This Row],[Company]]</f>
        <v>Dynamite Delight Wild Board Farm</v>
      </c>
      <c r="H350" t="str">
        <f>_xlfn.TEXTJOIN(CHAR(10),FALSE, SeedMixes[[#This Row],[Crop]],SeedMixes[[#This Row],[Variety]],SeedMixes[[#This Row],[Company]])</f>
        <v>Tomato
Dynamite Delight
Wild Board Farm</v>
      </c>
    </row>
    <row r="351" spans="2:8" ht="15" customHeight="1">
      <c r="B351" s="43">
        <f>1/COUNTIF(SeedMixes[Name],"="&amp;SeedMixes[[#This Row],[Name]])</f>
        <v>0.125</v>
      </c>
      <c r="C351" t="s">
        <v>3042</v>
      </c>
      <c r="D351" t="s">
        <v>136</v>
      </c>
      <c r="E351" t="s">
        <v>3026</v>
      </c>
      <c r="F351" t="s">
        <v>3022</v>
      </c>
      <c r="G351" t="str">
        <f>SeedMixes[[#This Row],[Variety]]&amp;" "&amp;SeedMixes[[#This Row],[Company]]</f>
        <v>Emerald Flame Wild Board Farm</v>
      </c>
      <c r="H351" t="str">
        <f>_xlfn.TEXTJOIN(CHAR(10),FALSE, SeedMixes[[#This Row],[Crop]],SeedMixes[[#This Row],[Variety]],SeedMixes[[#This Row],[Company]])</f>
        <v>Tomato
Emerald Flame
Wild Board Farm</v>
      </c>
    </row>
    <row r="352" spans="2:8" ht="15" customHeight="1">
      <c r="B352" s="43">
        <f>1/COUNTIF(SeedMixes[Name],"="&amp;SeedMixes[[#This Row],[Name]])</f>
        <v>0.125</v>
      </c>
      <c r="C352" t="s">
        <v>3042</v>
      </c>
      <c r="D352" t="s">
        <v>136</v>
      </c>
      <c r="E352" t="s">
        <v>3027</v>
      </c>
      <c r="F352" t="s">
        <v>3022</v>
      </c>
      <c r="G352" t="str">
        <f>SeedMixes[[#This Row],[Variety]]&amp;" "&amp;SeedMixes[[#This Row],[Company]]</f>
        <v>Limelight Wild Board Farm</v>
      </c>
      <c r="H352" t="str">
        <f>_xlfn.TEXTJOIN(CHAR(10),FALSE, SeedMixes[[#This Row],[Crop]],SeedMixes[[#This Row],[Variety]],SeedMixes[[#This Row],[Company]])</f>
        <v>Tomato
Limelight
Wild Board Farm</v>
      </c>
    </row>
    <row r="353" spans="2:8" ht="15" customHeight="1">
      <c r="B353" s="43">
        <f>1/COUNTIF(SeedMixes[Name],"="&amp;SeedMixes[[#This Row],[Name]])</f>
        <v>0.125</v>
      </c>
      <c r="C353" t="s">
        <v>3042</v>
      </c>
      <c r="D353" t="s">
        <v>136</v>
      </c>
      <c r="E353" t="s">
        <v>3029</v>
      </c>
      <c r="F353" t="s">
        <v>3022</v>
      </c>
      <c r="G353" t="str">
        <f>SeedMixes[[#This Row],[Variety]]&amp;" "&amp;SeedMixes[[#This Row],[Company]]</f>
        <v>Golden Hour Wild Board Farm</v>
      </c>
      <c r="H353" t="str">
        <f>_xlfn.TEXTJOIN(CHAR(10),FALSE, SeedMixes[[#This Row],[Crop]],SeedMixes[[#This Row],[Variety]],SeedMixes[[#This Row],[Company]])</f>
        <v>Tomato
Golden Hour
Wild Board Farm</v>
      </c>
    </row>
    <row r="354" spans="2:8" ht="15" customHeight="1">
      <c r="B354" s="43">
        <f>1/COUNTIF(SeedMixes[Name],"="&amp;SeedMixes[[#This Row],[Name]])</f>
        <v>0.2</v>
      </c>
      <c r="C354" t="s">
        <v>3041</v>
      </c>
      <c r="D354" t="s">
        <v>136</v>
      </c>
      <c r="E354" t="s">
        <v>3013</v>
      </c>
      <c r="F354" t="s">
        <v>3014</v>
      </c>
      <c r="G354" t="str">
        <f>SeedMixes[[#This Row],[Variety]]&amp;" "&amp;SeedMixes[[#This Row],[Company]]</f>
        <v>Red Racer Harris</v>
      </c>
      <c r="H354" t="str">
        <f>_xlfn.TEXTJOIN(CHAR(10),FALSE, SeedMixes[[#This Row],[Crop]],SeedMixes[[#This Row],[Variety]],SeedMixes[[#This Row],[Company]])</f>
        <v>Tomato
Red Racer
Harris</v>
      </c>
    </row>
    <row r="355" spans="2:8" ht="15" customHeight="1">
      <c r="B355" s="43">
        <f>1/COUNTIF(SeedMixes[Name],"="&amp;SeedMixes[[#This Row],[Name]])</f>
        <v>0.2</v>
      </c>
      <c r="C355" t="s">
        <v>3041</v>
      </c>
      <c r="D355" t="s">
        <v>136</v>
      </c>
      <c r="E355" t="s">
        <v>3020</v>
      </c>
      <c r="F355" t="s">
        <v>488</v>
      </c>
      <c r="G355" t="str">
        <f>SeedMixes[[#This Row],[Variety]]&amp;" "&amp;SeedMixes[[#This Row],[Company]]</f>
        <v>Orange You Glad Adaptive</v>
      </c>
      <c r="H355" t="str">
        <f>_xlfn.TEXTJOIN(CHAR(10),FALSE, SeedMixes[[#This Row],[Crop]],SeedMixes[[#This Row],[Variety]],SeedMixes[[#This Row],[Company]])</f>
        <v>Tomato
Orange You Glad
Adaptive</v>
      </c>
    </row>
    <row r="356" spans="2:8" ht="15" customHeight="1">
      <c r="B356" s="43">
        <f>1/COUNTIF(SeedMixes[Name],"="&amp;SeedMixes[[#This Row],[Name]])</f>
        <v>0.2</v>
      </c>
      <c r="C356" t="s">
        <v>3041</v>
      </c>
      <c r="D356" t="s">
        <v>136</v>
      </c>
      <c r="E356" t="s">
        <v>3024</v>
      </c>
      <c r="F356" t="s">
        <v>695</v>
      </c>
      <c r="G356" t="str">
        <f>SeedMixes[[#This Row],[Variety]]&amp;" "&amp;SeedMixes[[#This Row],[Company]]</f>
        <v>Banana Legs Tomato Fest</v>
      </c>
      <c r="H356" t="str">
        <f>_xlfn.TEXTJOIN(CHAR(10),FALSE, SeedMixes[[#This Row],[Crop]],SeedMixes[[#This Row],[Variety]],SeedMixes[[#This Row],[Company]])</f>
        <v>Tomato
Banana Legs
Tomato Fest</v>
      </c>
    </row>
    <row r="357" spans="2:8" ht="15" customHeight="1">
      <c r="B357" s="43">
        <f>1/COUNTIF(SeedMixes[Name],"="&amp;SeedMixes[[#This Row],[Name]])</f>
        <v>0.2</v>
      </c>
      <c r="C357" t="s">
        <v>3041</v>
      </c>
      <c r="D357" t="s">
        <v>136</v>
      </c>
      <c r="E357" t="s">
        <v>3025</v>
      </c>
      <c r="F357" t="s">
        <v>695</v>
      </c>
      <c r="G357" t="str">
        <f>SeedMixes[[#This Row],[Variety]]&amp;" "&amp;SeedMixes[[#This Row],[Company]]</f>
        <v>Cream Sausage Tomato Fest</v>
      </c>
      <c r="H357" t="str">
        <f>_xlfn.TEXTJOIN(CHAR(10),FALSE, SeedMixes[[#This Row],[Crop]],SeedMixes[[#This Row],[Variety]],SeedMixes[[#This Row],[Company]])</f>
        <v>Tomato
Cream Sausage
Tomato Fest</v>
      </c>
    </row>
    <row r="358" spans="2:8" ht="15" customHeight="1">
      <c r="B358" s="43">
        <f>1/COUNTIF(SeedMixes[Name],"="&amp;SeedMixes[[#This Row],[Name]])</f>
        <v>0.2</v>
      </c>
      <c r="C358" t="s">
        <v>3041</v>
      </c>
      <c r="D358" t="s">
        <v>136</v>
      </c>
      <c r="E358" t="s">
        <v>3028</v>
      </c>
      <c r="F358" t="s">
        <v>695</v>
      </c>
      <c r="G358" t="str">
        <f>SeedMixes[[#This Row],[Variety]]&amp;" "&amp;SeedMixes[[#This Row],[Company]]</f>
        <v>Sean's Yellow Dwarf Tomato Fest</v>
      </c>
      <c r="H358" t="str">
        <f>_xlfn.TEXTJOIN(CHAR(10),FALSE, SeedMixes[[#This Row],[Crop]],SeedMixes[[#This Row],[Variety]],SeedMixes[[#This Row],[Company]])</f>
        <v>Tomato
Sean's Yellow Dwarf
Tomato Fest</v>
      </c>
    </row>
    <row r="359" spans="2:8" ht="15" customHeight="1">
      <c r="B359" s="43">
        <f>1/COUNTIF(SeedMixes[Name],"="&amp;SeedMixes[[#This Row],[Name]])</f>
        <v>0.14285714285714285</v>
      </c>
      <c r="C359" t="s">
        <v>1858</v>
      </c>
      <c r="D359" t="s">
        <v>136</v>
      </c>
      <c r="E359" t="s">
        <v>701</v>
      </c>
      <c r="F359" t="s">
        <v>600</v>
      </c>
      <c r="G359" t="str">
        <f>SeedMixes[[#This Row],[Variety]]&amp;" "&amp;SeedMixes[[#This Row],[Company]]</f>
        <v>Brandywine Seed Savers</v>
      </c>
      <c r="H359" t="str">
        <f>_xlfn.TEXTJOIN(CHAR(10),FALSE, SeedMixes[[#This Row],[Crop]],SeedMixes[[#This Row],[Variety]],SeedMixes[[#This Row],[Company]])</f>
        <v>Tomato
Brandywine
Seed Savers</v>
      </c>
    </row>
    <row r="360" spans="2:8" ht="15" customHeight="1">
      <c r="B360" s="43">
        <f>1/COUNTIF(SeedMixes[Name],"="&amp;SeedMixes[[#This Row],[Name]])</f>
        <v>0.14285714285714285</v>
      </c>
      <c r="C360" t="s">
        <v>1858</v>
      </c>
      <c r="D360" t="s">
        <v>136</v>
      </c>
      <c r="E360" t="s">
        <v>702</v>
      </c>
      <c r="F360" t="s">
        <v>533</v>
      </c>
      <c r="G360" t="str">
        <f>SeedMixes[[#This Row],[Variety]]&amp;" "&amp;SeedMixes[[#This Row],[Company]]</f>
        <v>Mortgage Lifter Territorial</v>
      </c>
      <c r="H360" t="str">
        <f>_xlfn.TEXTJOIN(CHAR(10),FALSE, SeedMixes[[#This Row],[Crop]],SeedMixes[[#This Row],[Variety]],SeedMixes[[#This Row],[Company]])</f>
        <v>Tomato
Mortgage Lifter
Territorial</v>
      </c>
    </row>
    <row r="361" spans="2:8" ht="15" customHeight="1">
      <c r="B361" s="43">
        <f>1/COUNTIF(SeedMixes[Name],"="&amp;SeedMixes[[#This Row],[Name]])</f>
        <v>0.14285714285714285</v>
      </c>
      <c r="C361" t="s">
        <v>1858</v>
      </c>
      <c r="D361" t="s">
        <v>136</v>
      </c>
      <c r="E361" t="s">
        <v>965</v>
      </c>
      <c r="F361" t="s">
        <v>503</v>
      </c>
      <c r="G361" t="str">
        <f>SeedMixes[[#This Row],[Variety]]&amp;" "&amp;SeedMixes[[#This Row],[Company]]</f>
        <v>Pork Chop Osborne</v>
      </c>
      <c r="H361" t="str">
        <f>_xlfn.TEXTJOIN(CHAR(10),FALSE, SeedMixes[[#This Row],[Crop]],SeedMixes[[#This Row],[Variety]],SeedMixes[[#This Row],[Company]])</f>
        <v>Tomato
Pork Chop
Osborne</v>
      </c>
    </row>
    <row r="362" spans="2:8" ht="15" customHeight="1">
      <c r="B362" s="43">
        <f>1/COUNTIF(SeedMixes[Name],"="&amp;SeedMixes[[#This Row],[Name]])</f>
        <v>0.14285714285714285</v>
      </c>
      <c r="C362" t="s">
        <v>1858</v>
      </c>
      <c r="D362" t="s">
        <v>136</v>
      </c>
      <c r="E362" t="s">
        <v>2947</v>
      </c>
      <c r="F362" t="s">
        <v>488</v>
      </c>
      <c r="G362" t="str">
        <f>SeedMixes[[#This Row],[Variety]]&amp;" "&amp;SeedMixes[[#This Row],[Company]]</f>
        <v>Tiffen Mennonite Adaptive</v>
      </c>
      <c r="H362" t="str">
        <f>_xlfn.TEXTJOIN(CHAR(10),FALSE, SeedMixes[[#This Row],[Crop]],SeedMixes[[#This Row],[Variety]],SeedMixes[[#This Row],[Company]])</f>
        <v>Tomato
Tiffen Mennonite
Adaptive</v>
      </c>
    </row>
    <row r="363" spans="2:8" ht="15" customHeight="1">
      <c r="B363" s="43">
        <f>1/COUNTIF(SeedMixes[Name],"="&amp;SeedMixes[[#This Row],[Name]])</f>
        <v>0.14285714285714285</v>
      </c>
      <c r="C363" t="s">
        <v>1858</v>
      </c>
      <c r="D363" t="s">
        <v>136</v>
      </c>
      <c r="E363" t="s">
        <v>2844</v>
      </c>
      <c r="F363" t="s">
        <v>490</v>
      </c>
      <c r="G363" t="str">
        <f>SeedMixes[[#This Row],[Variety]]&amp;" "&amp;SeedMixes[[#This Row],[Company]]</f>
        <v>Geronimo Johnny's</v>
      </c>
      <c r="H363" t="str">
        <f>_xlfn.TEXTJOIN(CHAR(10),FALSE, SeedMixes[[#This Row],[Crop]],SeedMixes[[#This Row],[Variety]],SeedMixes[[#This Row],[Company]])</f>
        <v>Tomato
Geronimo
Johnny's</v>
      </c>
    </row>
    <row r="364" spans="2:8" ht="15" customHeight="1">
      <c r="B364" s="43">
        <f>1/COUNTIF(SeedMixes[Name],"="&amp;SeedMixes[[#This Row],[Name]])</f>
        <v>0.14285714285714285</v>
      </c>
      <c r="C364" t="s">
        <v>1858</v>
      </c>
      <c r="D364" t="s">
        <v>136</v>
      </c>
      <c r="E364" t="s">
        <v>1639</v>
      </c>
      <c r="F364" t="s">
        <v>490</v>
      </c>
      <c r="G364" t="str">
        <f>SeedMixes[[#This Row],[Variety]]&amp;" "&amp;SeedMixes[[#This Row],[Company]]</f>
        <v>Cipolla's Pride Johnny's</v>
      </c>
      <c r="H364" t="str">
        <f>_xlfn.TEXTJOIN(CHAR(10),FALSE, SeedMixes[[#This Row],[Crop]],SeedMixes[[#This Row],[Variety]],SeedMixes[[#This Row],[Company]])</f>
        <v>Tomato
Cipolla's Pride
Johnny's</v>
      </c>
    </row>
    <row r="365" spans="2:8" ht="15" customHeight="1">
      <c r="B365" s="43">
        <f>1/COUNTIF(SeedMixes[Name],"="&amp;SeedMixes[[#This Row],[Name]])</f>
        <v>0.14285714285714285</v>
      </c>
      <c r="C365" t="s">
        <v>1858</v>
      </c>
      <c r="D365" t="s">
        <v>136</v>
      </c>
      <c r="E365" t="s">
        <v>2275</v>
      </c>
      <c r="F365" t="s">
        <v>600</v>
      </c>
      <c r="G365" t="str">
        <f>SeedMixes[[#This Row],[Variety]]&amp;" "&amp;SeedMixes[[#This Row],[Company]]</f>
        <v>Salvaterra's Select Seed Savers</v>
      </c>
      <c r="H365" t="str">
        <f>_xlfn.TEXTJOIN(CHAR(10),FALSE, SeedMixes[[#This Row],[Crop]],SeedMixes[[#This Row],[Variety]],SeedMixes[[#This Row],[Company]])</f>
        <v>Tomato
Salvaterra's Select
Seed Savers</v>
      </c>
    </row>
    <row r="366" spans="2:8" ht="15" customHeight="1">
      <c r="B366" s="43">
        <f>1/COUNTIF(SeedMixes[Name],"="&amp;SeedMixes[[#This Row],[Name]])</f>
        <v>0.2</v>
      </c>
      <c r="C366" t="s">
        <v>1857</v>
      </c>
      <c r="D366" t="s">
        <v>136</v>
      </c>
      <c r="E366" t="s">
        <v>1859</v>
      </c>
      <c r="F366" t="s">
        <v>490</v>
      </c>
      <c r="G366" t="str">
        <f>SeedMixes[[#This Row],[Variety]]&amp;" "&amp;SeedMixes[[#This Row],[Company]]</f>
        <v>Blush Johnny's</v>
      </c>
      <c r="H366" t="str">
        <f>_xlfn.TEXTJOIN(CHAR(10),FALSE, SeedMixes[[#This Row],[Crop]],SeedMixes[[#This Row],[Variety]],SeedMixes[[#This Row],[Company]])</f>
        <v>Tomato
Blush
Johnny's</v>
      </c>
    </row>
    <row r="367" spans="2:8" ht="15" customHeight="1">
      <c r="B367" s="43">
        <f>1/COUNTIF(SeedMixes[Name],"="&amp;SeedMixes[[#This Row],[Name]])</f>
        <v>0.2</v>
      </c>
      <c r="C367" t="s">
        <v>1857</v>
      </c>
      <c r="D367" t="s">
        <v>136</v>
      </c>
      <c r="E367" t="s">
        <v>687</v>
      </c>
      <c r="F367" t="s">
        <v>501</v>
      </c>
      <c r="G367" t="str">
        <f>SeedMixes[[#This Row],[Variety]]&amp;" "&amp;SeedMixes[[#This Row],[Company]]</f>
        <v>Brad's Atomic Grape Garden Hoard</v>
      </c>
      <c r="H367" t="str">
        <f>_xlfn.TEXTJOIN(CHAR(10),FALSE, SeedMixes[[#This Row],[Crop]],SeedMixes[[#This Row],[Variety]],SeedMixes[[#This Row],[Company]])</f>
        <v>Tomato
Brad's Atomic Grape
Garden Hoard</v>
      </c>
    </row>
    <row r="368" spans="2:8" ht="15" customHeight="1">
      <c r="B368" s="43">
        <f>1/COUNTIF(SeedMixes[Name],"="&amp;SeedMixes[[#This Row],[Name]])</f>
        <v>0.2</v>
      </c>
      <c r="C368" t="s">
        <v>1857</v>
      </c>
      <c r="D368" t="s">
        <v>136</v>
      </c>
      <c r="E368" t="s">
        <v>696</v>
      </c>
      <c r="F368" t="s">
        <v>484</v>
      </c>
      <c r="G368" t="str">
        <f>SeedMixes[[#This Row],[Variety]]&amp;" "&amp;SeedMixes[[#This Row],[Company]]</f>
        <v>Pinky Uprising</v>
      </c>
      <c r="H368" t="str">
        <f>_xlfn.TEXTJOIN(CHAR(10),FALSE, SeedMixes[[#This Row],[Crop]],SeedMixes[[#This Row],[Variety]],SeedMixes[[#This Row],[Company]])</f>
        <v>Tomato
Pinky
Uprising</v>
      </c>
    </row>
    <row r="369" spans="2:10" ht="15" customHeight="1">
      <c r="B369" s="43">
        <f>1/COUNTIF(SeedMixes[Name],"="&amp;SeedMixes[[#This Row],[Name]])</f>
        <v>0.2</v>
      </c>
      <c r="C369" t="s">
        <v>1857</v>
      </c>
      <c r="D369" t="s">
        <v>136</v>
      </c>
      <c r="E369" t="s">
        <v>1549</v>
      </c>
      <c r="F369" t="s">
        <v>503</v>
      </c>
      <c r="G369" t="str">
        <f>SeedMixes[[#This Row],[Variety]]&amp;" "&amp;SeedMixes[[#This Row],[Company]]</f>
        <v>Sun Dipper Osborne</v>
      </c>
      <c r="H369" t="str">
        <f>_xlfn.TEXTJOIN(CHAR(10),FALSE, SeedMixes[[#This Row],[Crop]],SeedMixes[[#This Row],[Variety]],SeedMixes[[#This Row],[Company]])</f>
        <v>Tomato
Sun Dipper
Osborne</v>
      </c>
    </row>
    <row r="370" spans="2:10" ht="15" customHeight="1">
      <c r="B370" s="43">
        <f>1/COUNTIF(SeedMixes[Name],"="&amp;SeedMixes[[#This Row],[Name]])</f>
        <v>0.2</v>
      </c>
      <c r="C370" t="s">
        <v>1857</v>
      </c>
      <c r="D370" t="s">
        <v>136</v>
      </c>
      <c r="E370" t="s">
        <v>2843</v>
      </c>
      <c r="F370" t="s">
        <v>503</v>
      </c>
      <c r="G370" t="str">
        <f>SeedMixes[[#This Row],[Variety]]&amp;" "&amp;SeedMixes[[#This Row],[Company]]</f>
        <v>Chocolate Sprinkles Osborne</v>
      </c>
      <c r="H370" t="str">
        <f>_xlfn.TEXTJOIN(CHAR(10),FALSE, SeedMixes[[#This Row],[Crop]],SeedMixes[[#This Row],[Variety]],SeedMixes[[#This Row],[Company]])</f>
        <v>Tomato
Chocolate Sprinkles
Osborne</v>
      </c>
    </row>
    <row r="371" spans="2:10" ht="15" customHeight="1">
      <c r="B371" s="43">
        <f>1/COUNTIF(SeedMixes[Name],"="&amp;SeedMixes[[#This Row],[Name]])</f>
        <v>0.5</v>
      </c>
      <c r="C371" t="s">
        <v>1862</v>
      </c>
      <c r="D371" t="s">
        <v>136</v>
      </c>
      <c r="E371" t="s">
        <v>1639</v>
      </c>
      <c r="F371" t="s">
        <v>490</v>
      </c>
      <c r="G371" t="str">
        <f>SeedMixes[[#This Row],[Variety]]&amp;" "&amp;SeedMixes[[#This Row],[Company]]</f>
        <v>Cipolla's Pride Johnny's</v>
      </c>
      <c r="H371" t="str">
        <f>_xlfn.TEXTJOIN(CHAR(10),FALSE, SeedMixes[[#This Row],[Crop]],SeedMixes[[#This Row],[Variety]],SeedMixes[[#This Row],[Company]])</f>
        <v>Tomato
Cipolla's Pride
Johnny's</v>
      </c>
    </row>
    <row r="372" spans="2:10" ht="15" customHeight="1">
      <c r="B372" s="43">
        <f>1/COUNTIF(SeedMixes[Name],"="&amp;SeedMixes[[#This Row],[Name]])</f>
        <v>0.5</v>
      </c>
      <c r="C372" t="s">
        <v>1862</v>
      </c>
      <c r="D372" t="s">
        <v>136</v>
      </c>
      <c r="E372" t="s">
        <v>2275</v>
      </c>
      <c r="F372" t="s">
        <v>600</v>
      </c>
      <c r="G372" t="str">
        <f>SeedMixes[[#This Row],[Variety]]&amp;" "&amp;SeedMixes[[#This Row],[Company]]</f>
        <v>Salvaterra's Select Seed Savers</v>
      </c>
      <c r="H372" t="str">
        <f>_xlfn.TEXTJOIN(CHAR(10),FALSE, SeedMixes[[#This Row],[Crop]],SeedMixes[[#This Row],[Variety]],SeedMixes[[#This Row],[Company]])</f>
        <v>Tomato
Salvaterra's Select
Seed Savers</v>
      </c>
      <c r="J372">
        <f>80*6*0.05</f>
        <v>24</v>
      </c>
    </row>
    <row r="373" spans="2:10" ht="15" customHeight="1">
      <c r="B373" s="43">
        <v>0.15</v>
      </c>
      <c r="C373" t="s">
        <v>3044</v>
      </c>
      <c r="D373" t="s">
        <v>136</v>
      </c>
      <c r="E373" t="s">
        <v>3070</v>
      </c>
      <c r="F373" t="s">
        <v>490</v>
      </c>
      <c r="G373" t="str">
        <f>SeedMixes[[#This Row],[Variety]]&amp;" "&amp;SeedMixes[[#This Row],[Company]]</f>
        <v>Marnero Johnny's</v>
      </c>
      <c r="H373" t="str">
        <f>_xlfn.TEXTJOIN(CHAR(10),FALSE, SeedMixes[[#This Row],[Crop]],SeedMixes[[#This Row],[Variety]],SeedMixes[[#This Row],[Company]])</f>
        <v>Tomato
Marnero
Johnny's</v>
      </c>
    </row>
    <row r="374" spans="2:10" ht="15" customHeight="1">
      <c r="B374" s="43">
        <v>0.15</v>
      </c>
      <c r="C374" t="s">
        <v>3044</v>
      </c>
      <c r="D374" t="s">
        <v>136</v>
      </c>
      <c r="E374" t="s">
        <v>3031</v>
      </c>
      <c r="F374" t="s">
        <v>490</v>
      </c>
      <c r="G374" t="str">
        <f>SeedMixes[[#This Row],[Variety]]&amp;" "&amp;SeedMixes[[#This Row],[Company]]</f>
        <v>Margold Johnny's</v>
      </c>
      <c r="H374" t="str">
        <f>_xlfn.TEXTJOIN(CHAR(10),FALSE, SeedMixes[[#This Row],[Crop]],SeedMixes[[#This Row],[Variety]],SeedMixes[[#This Row],[Company]])</f>
        <v>Tomato
Margold
Johnny's</v>
      </c>
    </row>
    <row r="375" spans="2:10" ht="15" customHeight="1">
      <c r="B375" s="43">
        <v>0.15</v>
      </c>
      <c r="C375" t="s">
        <v>3044</v>
      </c>
      <c r="D375" t="s">
        <v>136</v>
      </c>
      <c r="E375" t="s">
        <v>3032</v>
      </c>
      <c r="F375" t="s">
        <v>490</v>
      </c>
      <c r="G375" t="str">
        <f>SeedMixes[[#This Row],[Variety]]&amp;" "&amp;SeedMixes[[#This Row],[Company]]</f>
        <v>Marbonne Johnny's</v>
      </c>
      <c r="H375" t="str">
        <f>_xlfn.TEXTJOIN(CHAR(10),FALSE, SeedMixes[[#This Row],[Crop]],SeedMixes[[#This Row],[Variety]],SeedMixes[[#This Row],[Company]])</f>
        <v>Tomato
Marbonne
Johnny's</v>
      </c>
    </row>
    <row r="376" spans="2:10" ht="15" customHeight="1">
      <c r="B376" s="43">
        <v>0.05</v>
      </c>
      <c r="C376" t="s">
        <v>3044</v>
      </c>
      <c r="D376" t="s">
        <v>136</v>
      </c>
      <c r="E376" t="s">
        <v>2947</v>
      </c>
      <c r="F376" t="s">
        <v>488</v>
      </c>
      <c r="G376" t="str">
        <f>SeedMixes[[#This Row],[Variety]]&amp;" "&amp;SeedMixes[[#This Row],[Company]]</f>
        <v>Tiffen Mennonite Adaptive</v>
      </c>
      <c r="H376" t="str">
        <f>_xlfn.TEXTJOIN(CHAR(10),FALSE, SeedMixes[[#This Row],[Crop]],SeedMixes[[#This Row],[Variety]],SeedMixes[[#This Row],[Company]])</f>
        <v>Tomato
Tiffen Mennonite
Adaptive</v>
      </c>
    </row>
    <row r="377" spans="2:10" ht="15" customHeight="1">
      <c r="B377" s="43">
        <v>0.05</v>
      </c>
      <c r="C377" t="s">
        <v>3044</v>
      </c>
      <c r="D377" t="s">
        <v>136</v>
      </c>
      <c r="E377" t="s">
        <v>701</v>
      </c>
      <c r="F377" t="s">
        <v>600</v>
      </c>
      <c r="G377" t="str">
        <f>SeedMixes[[#This Row],[Variety]]&amp;" "&amp;SeedMixes[[#This Row],[Company]]</f>
        <v>Brandywine Seed Savers</v>
      </c>
      <c r="H377" t="str">
        <f>_xlfn.TEXTJOIN(CHAR(10),FALSE, SeedMixes[[#This Row],[Crop]],SeedMixes[[#This Row],[Variety]],SeedMixes[[#This Row],[Company]])</f>
        <v>Tomato
Brandywine
Seed Savers</v>
      </c>
    </row>
    <row r="378" spans="2:10" ht="15" customHeight="1">
      <c r="B378" s="43">
        <v>0.05</v>
      </c>
      <c r="C378" t="s">
        <v>3044</v>
      </c>
      <c r="D378" t="s">
        <v>136</v>
      </c>
      <c r="E378" t="s">
        <v>3033</v>
      </c>
      <c r="F378" t="s">
        <v>490</v>
      </c>
      <c r="G378" t="str">
        <f>SeedMixes[[#This Row],[Variety]]&amp;" "&amp;SeedMixes[[#This Row],[Company]]</f>
        <v>German Johnson Johnny's</v>
      </c>
      <c r="H378" t="str">
        <f>_xlfn.TEXTJOIN(CHAR(10),FALSE, SeedMixes[[#This Row],[Crop]],SeedMixes[[#This Row],[Variety]],SeedMixes[[#This Row],[Company]])</f>
        <v>Tomato
German Johnson
Johnny's</v>
      </c>
    </row>
    <row r="379" spans="2:10" ht="15" customHeight="1">
      <c r="B379" s="43">
        <v>0.05</v>
      </c>
      <c r="C379" t="s">
        <v>3044</v>
      </c>
      <c r="D379" t="s">
        <v>136</v>
      </c>
      <c r="E379" t="s">
        <v>3034</v>
      </c>
      <c r="F379" t="s">
        <v>3040</v>
      </c>
      <c r="G379" t="str">
        <f>SeedMixes[[#This Row],[Variety]]&amp;" "&amp;SeedMixes[[#This Row],[Company]]</f>
        <v>Janet's Jacinth Jewel A P Whaley</v>
      </c>
      <c r="H379" t="str">
        <f>_xlfn.TEXTJOIN(CHAR(10),FALSE, SeedMixes[[#This Row],[Crop]],SeedMixes[[#This Row],[Variety]],SeedMixes[[#This Row],[Company]])</f>
        <v>Tomato
Janet's Jacinth Jewel
A P Whaley</v>
      </c>
    </row>
    <row r="380" spans="2:10" ht="15" customHeight="1">
      <c r="B380" s="43">
        <v>0.05</v>
      </c>
      <c r="C380" t="s">
        <v>3044</v>
      </c>
      <c r="D380" t="s">
        <v>136</v>
      </c>
      <c r="E380" t="s">
        <v>3035</v>
      </c>
      <c r="F380" t="s">
        <v>3040</v>
      </c>
      <c r="G380" t="str">
        <f>SeedMixes[[#This Row],[Variety]]&amp;" "&amp;SeedMixes[[#This Row],[Company]]</f>
        <v>Large Barred Boar A P Whaley</v>
      </c>
      <c r="H380" t="str">
        <f>_xlfn.TEXTJOIN(CHAR(10),FALSE, SeedMixes[[#This Row],[Crop]],SeedMixes[[#This Row],[Variety]],SeedMixes[[#This Row],[Company]])</f>
        <v>Tomato
Large Barred Boar
A P Whaley</v>
      </c>
    </row>
    <row r="381" spans="2:10" ht="15" customHeight="1">
      <c r="B381" s="43">
        <v>0.05</v>
      </c>
      <c r="C381" t="s">
        <v>3044</v>
      </c>
      <c r="D381" t="s">
        <v>136</v>
      </c>
      <c r="E381" t="s">
        <v>3036</v>
      </c>
      <c r="F381" t="s">
        <v>3040</v>
      </c>
      <c r="G381" t="str">
        <f>SeedMixes[[#This Row],[Variety]]&amp;" "&amp;SeedMixes[[#This Row],[Company]]</f>
        <v>Beauty King A P Whaley</v>
      </c>
      <c r="H381" t="str">
        <f>_xlfn.TEXTJOIN(CHAR(10),FALSE, SeedMixes[[#This Row],[Crop]],SeedMixes[[#This Row],[Variety]],SeedMixes[[#This Row],[Company]])</f>
        <v>Tomato
Beauty King
A P Whaley</v>
      </c>
    </row>
    <row r="382" spans="2:10" ht="15" customHeight="1">
      <c r="B382" s="43">
        <v>0.05</v>
      </c>
      <c r="C382" t="s">
        <v>3044</v>
      </c>
      <c r="D382" t="s">
        <v>136</v>
      </c>
      <c r="E382" t="s">
        <v>911</v>
      </c>
      <c r="F382" t="s">
        <v>503</v>
      </c>
      <c r="G382" t="str">
        <f>SeedMixes[[#This Row],[Variety]]&amp;" "&amp;SeedMixes[[#This Row],[Company]]</f>
        <v>Solar Flare Osborne</v>
      </c>
      <c r="H382" t="str">
        <f>_xlfn.TEXTJOIN(CHAR(10),FALSE, SeedMixes[[#This Row],[Crop]],SeedMixes[[#This Row],[Variety]],SeedMixes[[#This Row],[Company]])</f>
        <v>Tomato
Solar Flare
Osborne</v>
      </c>
    </row>
    <row r="383" spans="2:10" ht="15" customHeight="1">
      <c r="B383" s="43">
        <v>0.05</v>
      </c>
      <c r="C383" t="s">
        <v>3044</v>
      </c>
      <c r="D383" t="s">
        <v>136</v>
      </c>
      <c r="E383" t="s">
        <v>3037</v>
      </c>
      <c r="F383" t="s">
        <v>1762</v>
      </c>
      <c r="G383" t="str">
        <f>SeedMixes[[#This Row],[Variety]]&amp;" "&amp;SeedMixes[[#This Row],[Company]]</f>
        <v>Woodstock Johnnys</v>
      </c>
      <c r="H383" t="str">
        <f>_xlfn.TEXTJOIN(CHAR(10),FALSE, SeedMixes[[#This Row],[Crop]],SeedMixes[[#This Row],[Variety]],SeedMixes[[#This Row],[Company]])</f>
        <v>Tomato
Woodstock
Johnnys</v>
      </c>
    </row>
    <row r="384" spans="2:10" ht="15" customHeight="1">
      <c r="B384" s="43">
        <v>0.05</v>
      </c>
      <c r="C384" t="s">
        <v>3044</v>
      </c>
      <c r="D384" t="s">
        <v>136</v>
      </c>
      <c r="E384" t="s">
        <v>3038</v>
      </c>
      <c r="F384" t="s">
        <v>3040</v>
      </c>
      <c r="G384" t="str">
        <f>SeedMixes[[#This Row],[Variety]]&amp;" "&amp;SeedMixes[[#This Row],[Company]]</f>
        <v>Pink Jazz A P Whaley</v>
      </c>
      <c r="H384" t="str">
        <f>_xlfn.TEXTJOIN(CHAR(10),FALSE, SeedMixes[[#This Row],[Crop]],SeedMixes[[#This Row],[Variety]],SeedMixes[[#This Row],[Company]])</f>
        <v>Tomato
Pink Jazz
A P Whaley</v>
      </c>
    </row>
    <row r="385" spans="2:8" ht="15" customHeight="1">
      <c r="B385" s="43">
        <v>0.05</v>
      </c>
      <c r="C385" t="s">
        <v>3044</v>
      </c>
      <c r="D385" t="s">
        <v>136</v>
      </c>
      <c r="E385" t="s">
        <v>965</v>
      </c>
      <c r="F385" t="s">
        <v>503</v>
      </c>
      <c r="G385" t="str">
        <f>SeedMixes[[#This Row],[Variety]]&amp;" "&amp;SeedMixes[[#This Row],[Company]]</f>
        <v>Pork Chop Osborne</v>
      </c>
      <c r="H385" t="str">
        <f>_xlfn.TEXTJOIN(CHAR(10),FALSE, SeedMixes[[#This Row],[Crop]],SeedMixes[[#This Row],[Variety]],SeedMixes[[#This Row],[Company]])</f>
        <v>Tomato
Pork Chop
Osborne</v>
      </c>
    </row>
    <row r="386" spans="2:8" ht="15" customHeight="1">
      <c r="B386" s="43">
        <v>0.05</v>
      </c>
      <c r="C386" t="s">
        <v>3044</v>
      </c>
      <c r="D386" t="s">
        <v>136</v>
      </c>
      <c r="E386" t="s">
        <v>3039</v>
      </c>
      <c r="F386" t="s">
        <v>490</v>
      </c>
      <c r="G386" t="str">
        <f>SeedMixes[[#This Row],[Variety]]&amp;" "&amp;SeedMixes[[#This Row],[Company]]</f>
        <v>Gin Fizz Johnny's</v>
      </c>
      <c r="H386" t="str">
        <f>_xlfn.TEXTJOIN(CHAR(10),FALSE, SeedMixes[[#This Row],[Crop]],SeedMixes[[#This Row],[Variety]],SeedMixes[[#This Row],[Company]])</f>
        <v>Tomato
Gin Fizz
Johnny's</v>
      </c>
    </row>
    <row r="387" spans="2:8" ht="15" customHeight="1">
      <c r="B387" s="43">
        <f>1/COUNTIF(SeedMixes[Name],"="&amp;SeedMixes[[#This Row],[Name]])</f>
        <v>0.5</v>
      </c>
      <c r="C387" t="s">
        <v>1944</v>
      </c>
      <c r="D387" t="s">
        <v>137</v>
      </c>
      <c r="E387" t="s">
        <v>978</v>
      </c>
      <c r="F387" t="s">
        <v>488</v>
      </c>
      <c r="G387" t="str">
        <f>SeedMixes[[#This Row],[Variety]]&amp;" "&amp;SeedMixes[[#This Row],[Company]]</f>
        <v>Aprovecho Hardy Adaptive</v>
      </c>
      <c r="H387" t="str">
        <f>_xlfn.TEXTJOIN(CHAR(10),FALSE, SeedMixes[[#This Row],[Crop]],SeedMixes[[#This Row],[Variety]],SeedMixes[[#This Row],[Company]])</f>
        <v>Turnip
Aprovecho Hardy
Adaptive</v>
      </c>
    </row>
    <row r="388" spans="2:8" ht="15" customHeight="1">
      <c r="B388" s="43">
        <f>1/COUNTIF(SeedMixes[Name],"="&amp;SeedMixes[[#This Row],[Name]])</f>
        <v>0.5</v>
      </c>
      <c r="C388" t="s">
        <v>1944</v>
      </c>
      <c r="D388" t="s">
        <v>137</v>
      </c>
      <c r="E388" t="s">
        <v>1686</v>
      </c>
      <c r="F388" t="s">
        <v>482</v>
      </c>
      <c r="G388" t="str">
        <f>SeedMixes[[#This Row],[Variety]]&amp;" "&amp;SeedMixes[[#This Row],[Company]]</f>
        <v>Hakurei High Mowing</v>
      </c>
      <c r="H388" t="str">
        <f>_xlfn.TEXTJOIN(CHAR(10),FALSE, SeedMixes[[#This Row],[Crop]],SeedMixes[[#This Row],[Variety]],SeedMixes[[#This Row],[Company]])</f>
        <v>Turnip
Hakurei
High Mowing</v>
      </c>
    </row>
    <row r="389" spans="2:8" ht="15" customHeight="1">
      <c r="B389" s="43">
        <f>1/COUNTIF(SeedMixes[Name],"="&amp;SeedMixes[[#This Row],[Name]])</f>
        <v>0.5</v>
      </c>
      <c r="C389" t="s">
        <v>1943</v>
      </c>
      <c r="D389" t="s">
        <v>137</v>
      </c>
      <c r="E389" t="s">
        <v>1686</v>
      </c>
      <c r="F389" t="s">
        <v>490</v>
      </c>
      <c r="G389" t="str">
        <f>SeedMixes[[#This Row],[Variety]]&amp;" "&amp;SeedMixes[[#This Row],[Company]]</f>
        <v>Hakurei Johnny's</v>
      </c>
      <c r="H389" t="str">
        <f>_xlfn.TEXTJOIN(CHAR(10),FALSE, SeedMixes[[#This Row],[Crop]],SeedMixes[[#This Row],[Variety]],SeedMixes[[#This Row],[Company]])</f>
        <v>Turnip
Hakurei
Johnny's</v>
      </c>
    </row>
    <row r="390" spans="2:8" ht="15" customHeight="1">
      <c r="B390" s="43">
        <f>1/COUNTIF(SeedMixes[Name],"="&amp;SeedMixes[[#This Row],[Name]])</f>
        <v>0.5</v>
      </c>
      <c r="C390" t="s">
        <v>1943</v>
      </c>
      <c r="D390" t="s">
        <v>137</v>
      </c>
      <c r="E390" t="s">
        <v>980</v>
      </c>
      <c r="F390" t="s">
        <v>488</v>
      </c>
      <c r="G390" t="str">
        <f>SeedMixes[[#This Row],[Variety]]&amp;" "&amp;SeedMixes[[#This Row],[Company]]</f>
        <v>Tokyo Market Adaptive</v>
      </c>
      <c r="H390" t="str">
        <f>_xlfn.TEXTJOIN(CHAR(10),FALSE, SeedMixes[[#This Row],[Crop]],SeedMixes[[#This Row],[Variety]],SeedMixes[[#This Row],[Company]])</f>
        <v>Turnip
Tokyo Market
Adaptive</v>
      </c>
    </row>
    <row r="391" spans="2:8" ht="15" customHeight="1">
      <c r="B391" s="43">
        <f>1/COUNTIF(SeedMixes[Name],"="&amp;SeedMixes[[#This Row],[Name]])</f>
        <v>0.5</v>
      </c>
      <c r="C391" t="s">
        <v>3062</v>
      </c>
      <c r="D391" t="s">
        <v>3064</v>
      </c>
      <c r="E391" t="s">
        <v>3065</v>
      </c>
      <c r="F391" t="s">
        <v>490</v>
      </c>
      <c r="G391" t="s">
        <v>3065</v>
      </c>
      <c r="H391" t="str">
        <f>_xlfn.TEXTJOIN(CHAR(10),FALSE, SeedMixes[[#This Row],[Crop]],SeedMixes[[#This Row],[Variety]],SeedMixes[[#This Row],[Company]])</f>
        <v>Watermelon
Mini Love
Johnny's</v>
      </c>
    </row>
    <row r="392" spans="2:8" ht="15" customHeight="1">
      <c r="B392" s="43">
        <f>1/COUNTIF(SeedMixes[Name],"="&amp;SeedMixes[[#This Row],[Name]])</f>
        <v>0.5</v>
      </c>
      <c r="C392" t="s">
        <v>3062</v>
      </c>
      <c r="D392" t="s">
        <v>3064</v>
      </c>
      <c r="E392" t="s">
        <v>3066</v>
      </c>
      <c r="F392" t="s">
        <v>482</v>
      </c>
      <c r="G392" t="str">
        <f>SeedMixes[[#This Row],[Variety]]&amp;" "&amp;SeedMixes[[#This Row],[Company]]</f>
        <v>Blacktail Mountain High Mowing</v>
      </c>
      <c r="H392" t="str">
        <f>_xlfn.TEXTJOIN(CHAR(10),FALSE, SeedMixes[[#This Row],[Crop]],SeedMixes[[#This Row],[Variety]],SeedMixes[[#This Row],[Company]])</f>
        <v>Watermelon
Blacktail Mountain
High Mowing</v>
      </c>
    </row>
    <row r="393" spans="2:8" ht="15" customHeight="1">
      <c r="B393" s="43">
        <f>1/COUNTIF(SeedMixes[Name],"="&amp;SeedMixes[[#This Row],[Name]])</f>
        <v>0.33333333333333331</v>
      </c>
      <c r="C393" t="s">
        <v>1999</v>
      </c>
      <c r="D393" t="s">
        <v>1767</v>
      </c>
      <c r="E393" t="s">
        <v>2000</v>
      </c>
      <c r="F393" t="s">
        <v>526</v>
      </c>
      <c r="G393" t="str">
        <f>SeedMixes[[#This Row],[Variety]]&amp;" "&amp;SeedMixes[[#This Row],[Company]]</f>
        <v>Noblessa Wild Garden</v>
      </c>
      <c r="H393" t="str">
        <f>_xlfn.TEXTJOIN(CHAR(10),FALSE, SeedMixes[[#This Row],[Crop]],SeedMixes[[#This Row],[Variety]],SeedMixes[[#This Row],[Company]])</f>
        <v>Yarrow
Noblessa
Wild Garden</v>
      </c>
    </row>
    <row r="394" spans="2:8" ht="15" customHeight="1">
      <c r="B394" s="43">
        <f>1/COUNTIF(SeedMixes[Name],"="&amp;SeedMixes[[#This Row],[Name]])</f>
        <v>0.33333333333333331</v>
      </c>
      <c r="C394" t="s">
        <v>1999</v>
      </c>
      <c r="D394" t="s">
        <v>1767</v>
      </c>
      <c r="E394" t="s">
        <v>2001</v>
      </c>
      <c r="F394" t="s">
        <v>526</v>
      </c>
      <c r="G394" t="str">
        <f>SeedMixes[[#This Row],[Variety]]&amp;" "&amp;SeedMixes[[#This Row],[Company]]</f>
        <v>Summer Berries Wild Garden</v>
      </c>
      <c r="H394" t="str">
        <f>_xlfn.TEXTJOIN(CHAR(10),FALSE, SeedMixes[[#This Row],[Crop]],SeedMixes[[#This Row],[Variety]],SeedMixes[[#This Row],[Company]])</f>
        <v>Yarrow
Summer Berries
Wild Garden</v>
      </c>
    </row>
    <row r="395" spans="2:8" ht="15" customHeight="1">
      <c r="B395" s="43">
        <f>1/COUNTIF(SeedMixes[Name],"="&amp;SeedMixes[[#This Row],[Name]])</f>
        <v>0.33333333333333331</v>
      </c>
      <c r="C395" t="s">
        <v>1999</v>
      </c>
      <c r="D395" t="s">
        <v>1767</v>
      </c>
      <c r="E395" t="s">
        <v>2002</v>
      </c>
      <c r="F395" t="s">
        <v>526</v>
      </c>
      <c r="G395" t="str">
        <f>SeedMixes[[#This Row],[Variety]]&amp;" "&amp;SeedMixes[[#This Row],[Company]]</f>
        <v>Summer Pastels Wild Garden</v>
      </c>
      <c r="H395" t="str">
        <f>_xlfn.TEXTJOIN(CHAR(10),FALSE, SeedMixes[[#This Row],[Crop]],SeedMixes[[#This Row],[Variety]],SeedMixes[[#This Row],[Company]])</f>
        <v>Yarrow
Summer Pastels
Wild Garden</v>
      </c>
    </row>
    <row r="396" spans="2:8" ht="15" customHeight="1">
      <c r="B396" s="43">
        <f>1/COUNTIF(SeedMixes[Name],"="&amp;SeedMixes[[#This Row],[Name]])</f>
        <v>0.33333333333333331</v>
      </c>
      <c r="C396" t="s">
        <v>2003</v>
      </c>
      <c r="D396" t="s">
        <v>139</v>
      </c>
      <c r="E396" t="s">
        <v>2006</v>
      </c>
      <c r="F396" t="s">
        <v>2023</v>
      </c>
      <c r="G396" t="str">
        <f>SeedMixes[[#This Row],[Variety]]&amp;" "&amp;SeedMixes[[#This Row],[Company]]</f>
        <v>Benary's Giant Mix Fedco</v>
      </c>
      <c r="H396" t="str">
        <f>_xlfn.TEXTJOIN(CHAR(10),FALSE, SeedMixes[[#This Row],[Crop]],SeedMixes[[#This Row],[Variety]],SeedMixes[[#This Row],[Company]])</f>
        <v>Zinnia
Benary's Giant Mix
Fedco</v>
      </c>
    </row>
    <row r="397" spans="2:8" ht="15" customHeight="1">
      <c r="B397" s="43">
        <f>1/COUNTIF(SeedMixes[Name],"="&amp;SeedMixes[[#This Row],[Name]])</f>
        <v>0.33333333333333331</v>
      </c>
      <c r="C397" t="s">
        <v>2003</v>
      </c>
      <c r="D397" t="s">
        <v>139</v>
      </c>
      <c r="E397" t="s">
        <v>2005</v>
      </c>
      <c r="F397" t="s">
        <v>526</v>
      </c>
      <c r="G397" t="str">
        <f>SeedMixes[[#This Row],[Variety]]&amp;" "&amp;SeedMixes[[#This Row],[Company]]</f>
        <v>UV Bee Mix Wild Garden</v>
      </c>
      <c r="H397" t="str">
        <f>_xlfn.TEXTJOIN(CHAR(10),FALSE, SeedMixes[[#This Row],[Crop]],SeedMixes[[#This Row],[Variety]],SeedMixes[[#This Row],[Company]])</f>
        <v>Zinnia
UV Bee Mix
Wild Garden</v>
      </c>
    </row>
    <row r="398" spans="2:8" ht="15" customHeight="1">
      <c r="B398" s="43">
        <f>1/COUNTIF(SeedMixes[Name],"="&amp;SeedMixes[[#This Row],[Name]])</f>
        <v>0.33333333333333331</v>
      </c>
      <c r="C398" t="s">
        <v>2003</v>
      </c>
      <c r="D398" t="s">
        <v>139</v>
      </c>
      <c r="E398" t="s">
        <v>2004</v>
      </c>
      <c r="F398" t="s">
        <v>526</v>
      </c>
      <c r="G398" t="str">
        <f>SeedMixes[[#This Row],[Variety]]&amp;" "&amp;SeedMixes[[#This Row],[Company]]</f>
        <v>Wild Garden Zinnia Mix Wild Garden</v>
      </c>
      <c r="H398" t="str">
        <f>_xlfn.TEXTJOIN(CHAR(10),FALSE, SeedMixes[[#This Row],[Crop]],SeedMixes[[#This Row],[Variety]],SeedMixes[[#This Row],[Company]])</f>
        <v>Zinnia
Wild Garden Zinnia Mix
Wild Garden</v>
      </c>
    </row>
    <row r="399" spans="2:8" ht="15" customHeight="1">
      <c r="B399" s="43">
        <f>1/COUNTIF(SeedMixes[Name],"="&amp;SeedMixes[[#This Row],[Name]])</f>
        <v>0.25</v>
      </c>
      <c r="C399" t="s">
        <v>3198</v>
      </c>
      <c r="D399" t="s">
        <v>1517</v>
      </c>
      <c r="E399" t="s">
        <v>90</v>
      </c>
      <c r="F399" t="s">
        <v>482</v>
      </c>
      <c r="G399" t="str">
        <f>SeedMixes[[#This Row],[Variety]]&amp;" "&amp;SeedMixes[[#This Row],[Company]]</f>
        <v>Komatsuna High Mowing</v>
      </c>
      <c r="H399" t="str">
        <f>_xlfn.TEXTJOIN(CHAR(10),FALSE, SeedMixes[[#This Row],[Crop]],SeedMixes[[#This Row],[Variety]],SeedMixes[[#This Row],[Company]])</f>
        <v>Asian Greens
Komatsuna
High Mowing</v>
      </c>
    </row>
    <row r="400" spans="2:8" ht="15" customHeight="1">
      <c r="B400" s="43">
        <f>1/COUNTIF(SeedMixes[Name],"="&amp;SeedMixes[[#This Row],[Name]])</f>
        <v>0.25</v>
      </c>
      <c r="C400" t="s">
        <v>3198</v>
      </c>
      <c r="D400" t="s">
        <v>1517</v>
      </c>
      <c r="E400" t="s">
        <v>1384</v>
      </c>
      <c r="F400" t="s">
        <v>490</v>
      </c>
      <c r="G400" t="str">
        <f>SeedMixes[[#This Row],[Variety]]&amp;" "&amp;SeedMixes[[#This Row],[Company]]</f>
        <v>Carlton F1 Johnny's</v>
      </c>
      <c r="H400" t="str">
        <f>_xlfn.TEXTJOIN(CHAR(10),FALSE, SeedMixes[[#This Row],[Crop]],SeedMixes[[#This Row],[Variety]],SeedMixes[[#This Row],[Company]])</f>
        <v>Asian Greens
Carlton F1
Johnny's</v>
      </c>
    </row>
    <row r="401" spans="2:8" ht="15" customHeight="1">
      <c r="B401" s="43">
        <f>1/COUNTIF(SeedMixes[Name],"="&amp;SeedMixes[[#This Row],[Name]])</f>
        <v>0.25</v>
      </c>
      <c r="C401" t="s">
        <v>3198</v>
      </c>
      <c r="D401" t="s">
        <v>1517</v>
      </c>
      <c r="E401" t="s">
        <v>1382</v>
      </c>
      <c r="F401" t="s">
        <v>490</v>
      </c>
      <c r="G401" t="str">
        <f>SeedMixes[[#This Row],[Variety]]&amp;" "&amp;SeedMixes[[#This Row],[Company]]</f>
        <v>Red Cloud F1 Johnny's</v>
      </c>
      <c r="H401" t="str">
        <f>_xlfn.TEXTJOIN(CHAR(10),FALSE, SeedMixes[[#This Row],[Crop]],SeedMixes[[#This Row],[Variety]],SeedMixes[[#This Row],[Company]])</f>
        <v>Asian Greens
Red Cloud F1
Johnny's</v>
      </c>
    </row>
    <row r="402" spans="2:8" ht="15" customHeight="1">
      <c r="B402" s="43">
        <f>1/COUNTIF(SeedMixes[Name],"="&amp;SeedMixes[[#This Row],[Name]])</f>
        <v>0.25</v>
      </c>
      <c r="C402" t="s">
        <v>3198</v>
      </c>
      <c r="D402" t="s">
        <v>1517</v>
      </c>
      <c r="E402" t="s">
        <v>891</v>
      </c>
      <c r="F402" t="s">
        <v>490</v>
      </c>
      <c r="G402" t="str">
        <f>SeedMixes[[#This Row],[Variety]]&amp;" "&amp;SeedMixes[[#This Row],[Company]]</f>
        <v>Bopak Johnny's</v>
      </c>
      <c r="H402" t="str">
        <f>_xlfn.TEXTJOIN(CHAR(10),FALSE, SeedMixes[[#This Row],[Crop]],SeedMixes[[#This Row],[Variety]],SeedMixes[[#This Row],[Company]])</f>
        <v>Asian Greens
Bopak
Johnny's</v>
      </c>
    </row>
    <row r="403" spans="2:8" ht="15" customHeight="1">
      <c r="B403" t="s">
        <v>268</v>
      </c>
      <c r="H403">
        <f>SUBTOTAL(103,SeedMixes[Label])</f>
        <v>401</v>
      </c>
    </row>
  </sheetData>
  <hyperlinks>
    <hyperlink ref="E17" r:id="rId2" display="https://www.highmowingseeds.com/organic-non-gmo-prospera-active-thai-thai-f1-basil.html" xr:uid="{3E1EB8C0-D98D-4A18-94E7-9A8556D7FE9A}"/>
  </hyperlinks>
  <pageMargins left="0.7" right="0.7" top="0.75" bottom="0.75" header="0.3" footer="0.3"/>
  <pageSetup scale="31" fitToHeight="0" orientation="portrait" horizontalDpi="360" verticalDpi="360" r:id="rId3"/>
  <legacyDrawing r:id="rId4"/>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CECF6-E163-43A9-98C3-978B46BC3960}">
  <sheetPr codeName="Sheet6">
    <tabColor rgb="FFFFC000"/>
    <pageSetUpPr fitToPage="1"/>
  </sheetPr>
  <dimension ref="A1:AC124"/>
  <sheetViews>
    <sheetView workbookViewId="0">
      <selection activeCell="W98" sqref="A1:W98"/>
    </sheetView>
  </sheetViews>
  <sheetFormatPr baseColWidth="10" defaultColWidth="8.83203125" defaultRowHeight="15"/>
  <cols>
    <col min="1" max="1" width="9.33203125" customWidth="1"/>
    <col min="2" max="2" width="7.33203125" bestFit="1" customWidth="1"/>
    <col min="3" max="3" width="11.6640625" bestFit="1" customWidth="1"/>
    <col min="4" max="5" width="19.83203125" customWidth="1"/>
    <col min="6" max="6" width="15.5" customWidth="1"/>
    <col min="7" max="15" width="6.83203125" customWidth="1"/>
    <col min="16" max="16" width="10.1640625" customWidth="1"/>
    <col min="17" max="17" width="6" customWidth="1"/>
    <col min="18" max="19" width="6.5" customWidth="1"/>
    <col min="20" max="21" width="5.6640625" customWidth="1"/>
    <col min="22" max="22" width="7.6640625" customWidth="1"/>
    <col min="23" max="23" width="11.1640625" bestFit="1" customWidth="1"/>
    <col min="24" max="24" width="20.33203125" bestFit="1" customWidth="1"/>
    <col min="25" max="25" width="18.6640625" bestFit="1" customWidth="1"/>
    <col min="26" max="26" width="20.1640625" bestFit="1" customWidth="1"/>
  </cols>
  <sheetData>
    <row r="1" spans="1:23">
      <c r="A1" s="177">
        <f ca="1">TODAY()</f>
        <v>45990</v>
      </c>
      <c r="I1" s="32">
        <f>SUM(J1,M1)</f>
        <v>20.757378472222218</v>
      </c>
      <c r="J1" s="32">
        <f>SUBTOTAL(9,J20:J999)</f>
        <v>20.757378472222218</v>
      </c>
      <c r="K1" s="32"/>
      <c r="L1" s="32"/>
      <c r="M1" s="32">
        <f>SUBTOTAL(9,M20:M999)</f>
        <v>0</v>
      </c>
    </row>
    <row r="2" spans="1:23" ht="45" customHeight="1">
      <c r="A2" s="40" t="s">
        <v>1318</v>
      </c>
      <c r="B2" s="40" t="s">
        <v>1319</v>
      </c>
      <c r="C2" s="40" t="s">
        <v>5</v>
      </c>
      <c r="D2" s="129" t="s">
        <v>1505</v>
      </c>
      <c r="E2" s="40" t="s">
        <v>243</v>
      </c>
      <c r="F2" s="40" t="s">
        <v>6</v>
      </c>
      <c r="G2" s="40" t="s">
        <v>244</v>
      </c>
      <c r="H2" s="40" t="s">
        <v>1335</v>
      </c>
      <c r="I2" s="40" t="s">
        <v>1329</v>
      </c>
      <c r="J2" s="40" t="s">
        <v>1330</v>
      </c>
      <c r="K2" s="40" t="s">
        <v>1336</v>
      </c>
      <c r="L2" s="40" t="s">
        <v>1331</v>
      </c>
      <c r="M2" s="40" t="s">
        <v>1332</v>
      </c>
      <c r="N2" s="40" t="s">
        <v>1337</v>
      </c>
      <c r="O2" s="40" t="s">
        <v>1333</v>
      </c>
      <c r="P2" s="40" t="s">
        <v>1334</v>
      </c>
      <c r="Q2" s="40" t="s">
        <v>20</v>
      </c>
      <c r="R2" s="129" t="s">
        <v>247</v>
      </c>
      <c r="S2" s="129" t="s">
        <v>2</v>
      </c>
      <c r="T2" s="129" t="s">
        <v>2285</v>
      </c>
      <c r="U2" s="129" t="s">
        <v>2283</v>
      </c>
      <c r="V2" s="129" t="s">
        <v>2284</v>
      </c>
      <c r="W2" s="40" t="s">
        <v>3285</v>
      </c>
    </row>
    <row r="3" spans="1:23" hidden="1">
      <c r="A3" t="b">
        <v>1</v>
      </c>
      <c r="B3" s="50">
        <v>45374</v>
      </c>
      <c r="C3" t="s">
        <v>1802</v>
      </c>
      <c r="D3" t="s">
        <v>1498</v>
      </c>
      <c r="E3" t="s">
        <v>122</v>
      </c>
      <c r="F3" t="s">
        <v>1927</v>
      </c>
      <c r="H3">
        <v>128</v>
      </c>
      <c r="I3">
        <v>28</v>
      </c>
      <c r="J3" s="49">
        <v>0.609375</v>
      </c>
      <c r="K3">
        <v>0</v>
      </c>
      <c r="L3">
        <v>0</v>
      </c>
      <c r="M3" s="49" t="s">
        <v>212</v>
      </c>
      <c r="N3">
        <v>0</v>
      </c>
      <c r="O3">
        <v>0</v>
      </c>
      <c r="P3" s="49" t="s">
        <v>212</v>
      </c>
      <c r="Q3">
        <v>3</v>
      </c>
      <c r="R3">
        <v>0.4</v>
      </c>
      <c r="S3">
        <v>1.3</v>
      </c>
      <c r="T3">
        <v>0</v>
      </c>
      <c r="U3" s="32">
        <v>78</v>
      </c>
      <c r="V3" s="32">
        <v>60</v>
      </c>
    </row>
    <row r="4" spans="1:23" hidden="1">
      <c r="A4" t="b">
        <v>1</v>
      </c>
      <c r="B4" s="50">
        <v>45737</v>
      </c>
      <c r="C4" t="s">
        <v>2637</v>
      </c>
      <c r="D4" t="s">
        <v>1426</v>
      </c>
      <c r="E4" t="s">
        <v>60</v>
      </c>
      <c r="F4" t="s">
        <v>511</v>
      </c>
      <c r="G4" t="s">
        <v>490</v>
      </c>
      <c r="H4">
        <v>128</v>
      </c>
      <c r="I4">
        <v>30</v>
      </c>
      <c r="J4" s="49">
        <v>4.0625</v>
      </c>
      <c r="K4">
        <v>0</v>
      </c>
      <c r="L4">
        <v>0</v>
      </c>
      <c r="M4" s="49" t="s">
        <v>212</v>
      </c>
      <c r="N4">
        <v>0</v>
      </c>
      <c r="O4">
        <v>0</v>
      </c>
      <c r="P4" s="49" t="s">
        <v>212</v>
      </c>
      <c r="Q4">
        <v>1</v>
      </c>
      <c r="R4">
        <v>1</v>
      </c>
      <c r="S4">
        <v>1.3</v>
      </c>
      <c r="T4">
        <v>0</v>
      </c>
      <c r="U4" s="32">
        <v>520</v>
      </c>
      <c r="V4" s="32">
        <v>400</v>
      </c>
    </row>
    <row r="5" spans="1:23" hidden="1">
      <c r="A5" t="b">
        <v>1</v>
      </c>
      <c r="B5" s="50">
        <v>45737</v>
      </c>
      <c r="C5" t="s">
        <v>2776</v>
      </c>
      <c r="D5" t="s">
        <v>1449</v>
      </c>
      <c r="E5" t="s">
        <v>78</v>
      </c>
      <c r="F5" t="s">
        <v>1832</v>
      </c>
      <c r="H5">
        <v>128</v>
      </c>
      <c r="I5">
        <v>30</v>
      </c>
      <c r="J5" s="49">
        <v>4.0625</v>
      </c>
      <c r="K5">
        <v>0</v>
      </c>
      <c r="L5">
        <v>0</v>
      </c>
      <c r="M5" s="49" t="s">
        <v>212</v>
      </c>
      <c r="N5">
        <v>0</v>
      </c>
      <c r="O5">
        <v>0</v>
      </c>
      <c r="P5" s="49" t="s">
        <v>212</v>
      </c>
      <c r="Q5">
        <v>1</v>
      </c>
      <c r="R5">
        <v>1</v>
      </c>
      <c r="S5">
        <v>1.3</v>
      </c>
      <c r="T5">
        <v>10</v>
      </c>
      <c r="U5" s="32">
        <v>520</v>
      </c>
      <c r="V5" s="32">
        <v>400</v>
      </c>
    </row>
    <row r="6" spans="1:23" hidden="1">
      <c r="A6" t="b">
        <v>1</v>
      </c>
      <c r="B6" s="50">
        <v>45737</v>
      </c>
      <c r="C6" t="s">
        <v>2653</v>
      </c>
      <c r="D6" t="s">
        <v>1466</v>
      </c>
      <c r="E6" t="s">
        <v>105</v>
      </c>
      <c r="F6" t="s">
        <v>2818</v>
      </c>
      <c r="H6">
        <v>128</v>
      </c>
      <c r="I6">
        <v>42</v>
      </c>
      <c r="J6" s="49">
        <v>1.2890625</v>
      </c>
      <c r="K6">
        <v>0</v>
      </c>
      <c r="L6">
        <v>0</v>
      </c>
      <c r="M6" s="49" t="s">
        <v>212</v>
      </c>
      <c r="N6">
        <v>0</v>
      </c>
      <c r="O6">
        <v>0</v>
      </c>
      <c r="P6" s="49" t="s">
        <v>212</v>
      </c>
      <c r="Q6">
        <v>6</v>
      </c>
      <c r="R6">
        <v>1</v>
      </c>
      <c r="S6">
        <v>1.1000000000000001</v>
      </c>
      <c r="T6">
        <v>0</v>
      </c>
      <c r="U6" s="32">
        <v>165</v>
      </c>
      <c r="V6" s="32">
        <v>150</v>
      </c>
    </row>
    <row r="7" spans="1:23" hidden="1">
      <c r="A7" t="b">
        <v>1</v>
      </c>
      <c r="B7" s="50">
        <v>45737</v>
      </c>
      <c r="C7" t="s">
        <v>2654</v>
      </c>
      <c r="D7" t="s">
        <v>1431</v>
      </c>
      <c r="E7" t="s">
        <v>105</v>
      </c>
      <c r="F7" t="s">
        <v>2818</v>
      </c>
      <c r="H7">
        <v>128</v>
      </c>
      <c r="I7">
        <v>28</v>
      </c>
      <c r="J7" s="49">
        <v>1.2890625</v>
      </c>
      <c r="K7">
        <v>0</v>
      </c>
      <c r="L7">
        <v>0</v>
      </c>
      <c r="M7" s="49" t="s">
        <v>212</v>
      </c>
      <c r="N7">
        <v>0</v>
      </c>
      <c r="O7">
        <v>0</v>
      </c>
      <c r="P7" s="49" t="s">
        <v>212</v>
      </c>
      <c r="Q7">
        <v>10</v>
      </c>
      <c r="R7">
        <v>1</v>
      </c>
      <c r="S7">
        <v>1.1000000000000001</v>
      </c>
      <c r="T7">
        <v>0</v>
      </c>
      <c r="U7" s="32">
        <v>165</v>
      </c>
      <c r="V7" s="32">
        <v>150</v>
      </c>
    </row>
    <row r="8" spans="1:23" hidden="1">
      <c r="A8" t="b">
        <v>1</v>
      </c>
      <c r="B8" s="50">
        <v>45737</v>
      </c>
      <c r="C8" t="s">
        <v>2658</v>
      </c>
      <c r="D8" t="s">
        <v>1489</v>
      </c>
      <c r="E8" t="s">
        <v>110</v>
      </c>
      <c r="F8" t="s">
        <v>2859</v>
      </c>
      <c r="H8">
        <v>128</v>
      </c>
      <c r="I8">
        <v>21</v>
      </c>
      <c r="J8" s="49">
        <v>2.708333333333333</v>
      </c>
      <c r="K8">
        <v>0</v>
      </c>
      <c r="L8">
        <v>0</v>
      </c>
      <c r="M8" s="49" t="s">
        <v>212</v>
      </c>
      <c r="N8">
        <v>0</v>
      </c>
      <c r="O8">
        <v>0</v>
      </c>
      <c r="P8" s="49" t="s">
        <v>212</v>
      </c>
      <c r="Q8">
        <v>3</v>
      </c>
      <c r="R8">
        <v>2</v>
      </c>
      <c r="S8">
        <v>1.3</v>
      </c>
      <c r="T8">
        <v>0</v>
      </c>
      <c r="U8" s="32">
        <v>346.66666666666663</v>
      </c>
      <c r="V8" s="32">
        <v>266.66666666666663</v>
      </c>
    </row>
    <row r="9" spans="1:23" hidden="1">
      <c r="A9" t="b">
        <v>1</v>
      </c>
      <c r="B9" s="50">
        <v>45737</v>
      </c>
      <c r="C9" t="s">
        <v>2659</v>
      </c>
      <c r="D9" t="s">
        <v>1488</v>
      </c>
      <c r="E9" t="s">
        <v>112</v>
      </c>
      <c r="F9" t="s">
        <v>848</v>
      </c>
      <c r="G9" t="s">
        <v>503</v>
      </c>
      <c r="H9">
        <v>128</v>
      </c>
      <c r="I9">
        <v>28</v>
      </c>
      <c r="J9" s="49">
        <v>0.5078125</v>
      </c>
      <c r="K9">
        <v>18</v>
      </c>
      <c r="L9">
        <v>62</v>
      </c>
      <c r="M9" s="49">
        <v>3.6111111111111112</v>
      </c>
      <c r="N9">
        <v>0</v>
      </c>
      <c r="O9">
        <v>0</v>
      </c>
      <c r="P9" s="49" t="s">
        <v>212</v>
      </c>
      <c r="Q9">
        <v>1</v>
      </c>
      <c r="R9">
        <v>0.5</v>
      </c>
      <c r="S9">
        <v>1.3</v>
      </c>
      <c r="T9">
        <v>0</v>
      </c>
      <c r="U9" s="32">
        <v>65</v>
      </c>
      <c r="V9" s="32">
        <v>50</v>
      </c>
    </row>
    <row r="10" spans="1:23" hidden="1">
      <c r="A10" t="b">
        <v>1</v>
      </c>
      <c r="B10" s="50">
        <v>45737</v>
      </c>
      <c r="C10" t="s">
        <v>2660</v>
      </c>
      <c r="D10" t="s">
        <v>1426</v>
      </c>
      <c r="E10" t="s">
        <v>112</v>
      </c>
      <c r="F10" t="s">
        <v>567</v>
      </c>
      <c r="H10">
        <v>128</v>
      </c>
      <c r="I10">
        <v>28</v>
      </c>
      <c r="J10" s="49">
        <v>0.5078125</v>
      </c>
      <c r="K10">
        <v>18</v>
      </c>
      <c r="L10">
        <v>62</v>
      </c>
      <c r="M10" s="49">
        <v>3.6111111111111112</v>
      </c>
      <c r="N10">
        <v>0</v>
      </c>
      <c r="O10">
        <v>0</v>
      </c>
      <c r="P10" s="49" t="s">
        <v>212</v>
      </c>
      <c r="Q10">
        <v>1</v>
      </c>
      <c r="R10">
        <v>0.5</v>
      </c>
      <c r="S10">
        <v>1.3</v>
      </c>
      <c r="T10">
        <v>0</v>
      </c>
      <c r="U10" s="32">
        <v>65</v>
      </c>
      <c r="V10" s="32">
        <v>50</v>
      </c>
    </row>
    <row r="11" spans="1:23" hidden="1">
      <c r="A11" t="b">
        <v>1</v>
      </c>
      <c r="B11" s="50">
        <v>45737</v>
      </c>
      <c r="C11" t="s">
        <v>2661</v>
      </c>
      <c r="D11" t="s">
        <v>1488</v>
      </c>
      <c r="E11" t="s">
        <v>112</v>
      </c>
      <c r="F11" t="s">
        <v>848</v>
      </c>
      <c r="G11" t="s">
        <v>503</v>
      </c>
      <c r="H11">
        <v>128</v>
      </c>
      <c r="I11">
        <v>28</v>
      </c>
      <c r="J11" s="49">
        <v>0.5078125</v>
      </c>
      <c r="K11">
        <v>18</v>
      </c>
      <c r="L11">
        <v>62</v>
      </c>
      <c r="M11" s="49">
        <v>3.6111111111111112</v>
      </c>
      <c r="N11">
        <v>0</v>
      </c>
      <c r="O11">
        <v>0</v>
      </c>
      <c r="P11" s="49" t="s">
        <v>212</v>
      </c>
      <c r="Q11">
        <v>1</v>
      </c>
      <c r="R11">
        <v>0.5</v>
      </c>
      <c r="S11">
        <v>1.3</v>
      </c>
      <c r="T11">
        <v>0</v>
      </c>
      <c r="U11" s="32">
        <v>65</v>
      </c>
      <c r="V11" s="32">
        <v>50</v>
      </c>
    </row>
    <row r="12" spans="1:23" hidden="1">
      <c r="A12" t="b">
        <v>1</v>
      </c>
      <c r="B12" s="50">
        <v>45737</v>
      </c>
      <c r="C12" t="s">
        <v>2662</v>
      </c>
      <c r="D12" t="s">
        <v>1426</v>
      </c>
      <c r="E12" t="s">
        <v>112</v>
      </c>
      <c r="F12" t="s">
        <v>567</v>
      </c>
      <c r="H12">
        <v>128</v>
      </c>
      <c r="I12">
        <v>28</v>
      </c>
      <c r="J12" s="49">
        <v>0.5078125</v>
      </c>
      <c r="K12">
        <v>18</v>
      </c>
      <c r="L12">
        <v>62</v>
      </c>
      <c r="M12" s="49">
        <v>3.6111111111111112</v>
      </c>
      <c r="N12">
        <v>0</v>
      </c>
      <c r="O12">
        <v>0</v>
      </c>
      <c r="P12" s="49" t="s">
        <v>212</v>
      </c>
      <c r="Q12">
        <v>1</v>
      </c>
      <c r="R12">
        <v>0.5</v>
      </c>
      <c r="S12">
        <v>1.3</v>
      </c>
      <c r="T12">
        <v>0</v>
      </c>
      <c r="U12" s="32">
        <v>65</v>
      </c>
      <c r="V12" s="32">
        <v>50</v>
      </c>
    </row>
    <row r="13" spans="1:23" hidden="1">
      <c r="A13" t="b">
        <v>1</v>
      </c>
      <c r="B13" s="50">
        <v>45741</v>
      </c>
      <c r="C13" t="s">
        <v>2643</v>
      </c>
      <c r="D13" t="s">
        <v>1427</v>
      </c>
      <c r="E13" t="s">
        <v>75</v>
      </c>
      <c r="F13" t="s">
        <v>614</v>
      </c>
      <c r="H13">
        <v>128</v>
      </c>
      <c r="I13">
        <v>26</v>
      </c>
      <c r="J13" s="49">
        <v>1.7187500000000002</v>
      </c>
      <c r="K13">
        <v>0</v>
      </c>
      <c r="L13">
        <v>0</v>
      </c>
      <c r="M13" s="49" t="s">
        <v>212</v>
      </c>
      <c r="N13">
        <v>0</v>
      </c>
      <c r="O13">
        <v>0</v>
      </c>
      <c r="P13" s="49" t="s">
        <v>212</v>
      </c>
      <c r="Q13">
        <v>4</v>
      </c>
      <c r="R13">
        <v>0.25</v>
      </c>
      <c r="S13">
        <v>1.1000000000000001</v>
      </c>
      <c r="T13">
        <v>0</v>
      </c>
      <c r="U13" s="32">
        <v>220.00000000000003</v>
      </c>
      <c r="V13" s="32">
        <v>200</v>
      </c>
    </row>
    <row r="14" spans="1:23" hidden="1">
      <c r="A14" t="b">
        <v>1</v>
      </c>
      <c r="B14" s="50">
        <v>45741</v>
      </c>
      <c r="C14" t="s">
        <v>2716</v>
      </c>
      <c r="D14" t="s">
        <v>1433</v>
      </c>
      <c r="E14" t="s">
        <v>75</v>
      </c>
      <c r="F14" t="s">
        <v>614</v>
      </c>
      <c r="H14">
        <v>128</v>
      </c>
      <c r="I14">
        <v>26</v>
      </c>
      <c r="J14" s="49">
        <v>1.7187500000000002</v>
      </c>
      <c r="K14">
        <v>0</v>
      </c>
      <c r="L14">
        <v>0</v>
      </c>
      <c r="M14" s="49" t="s">
        <v>212</v>
      </c>
      <c r="N14">
        <v>0</v>
      </c>
      <c r="O14">
        <v>0</v>
      </c>
      <c r="P14" s="49" t="s">
        <v>212</v>
      </c>
      <c r="Q14">
        <v>4</v>
      </c>
      <c r="R14">
        <v>0.25</v>
      </c>
      <c r="S14">
        <v>1.1000000000000001</v>
      </c>
      <c r="T14">
        <v>0</v>
      </c>
      <c r="U14" s="32">
        <v>220.00000000000003</v>
      </c>
      <c r="V14" s="32">
        <v>200</v>
      </c>
    </row>
    <row r="15" spans="1:23" hidden="1">
      <c r="A15" t="b">
        <v>1</v>
      </c>
      <c r="B15" s="50">
        <v>45741</v>
      </c>
      <c r="C15" t="s">
        <v>2648</v>
      </c>
      <c r="D15" t="s">
        <v>1425</v>
      </c>
      <c r="E15" t="s">
        <v>89</v>
      </c>
      <c r="F15" t="s">
        <v>1918</v>
      </c>
      <c r="H15">
        <v>128</v>
      </c>
      <c r="I15">
        <v>25</v>
      </c>
      <c r="J15" s="49">
        <v>3.046875</v>
      </c>
      <c r="K15">
        <v>0</v>
      </c>
      <c r="L15">
        <v>0</v>
      </c>
      <c r="M15" s="49" t="s">
        <v>212</v>
      </c>
      <c r="N15">
        <v>0</v>
      </c>
      <c r="O15">
        <v>0</v>
      </c>
      <c r="P15" s="49" t="s">
        <v>212</v>
      </c>
      <c r="Q15">
        <v>1</v>
      </c>
      <c r="R15">
        <v>1</v>
      </c>
      <c r="S15">
        <v>1.3</v>
      </c>
      <c r="T15">
        <v>0</v>
      </c>
      <c r="U15" s="32">
        <v>390</v>
      </c>
      <c r="V15" s="32">
        <v>300</v>
      </c>
    </row>
    <row r="16" spans="1:23" hidden="1">
      <c r="A16" t="b">
        <v>1</v>
      </c>
      <c r="B16" s="50">
        <v>45741</v>
      </c>
      <c r="C16" t="s">
        <v>2717</v>
      </c>
      <c r="D16" t="s">
        <v>1427</v>
      </c>
      <c r="E16" t="s">
        <v>119</v>
      </c>
      <c r="F16" t="s">
        <v>1851</v>
      </c>
      <c r="H16">
        <v>128</v>
      </c>
      <c r="I16">
        <v>42</v>
      </c>
      <c r="J16" s="49">
        <v>0.85937500000000011</v>
      </c>
      <c r="K16">
        <v>0</v>
      </c>
      <c r="L16">
        <v>0</v>
      </c>
      <c r="M16" s="49" t="s">
        <v>212</v>
      </c>
      <c r="N16">
        <v>0</v>
      </c>
      <c r="O16">
        <v>0</v>
      </c>
      <c r="P16" s="49" t="s">
        <v>212</v>
      </c>
      <c r="Q16">
        <v>6</v>
      </c>
      <c r="R16">
        <v>0.25</v>
      </c>
      <c r="S16">
        <v>1.1000000000000001</v>
      </c>
      <c r="T16">
        <v>17</v>
      </c>
      <c r="U16" s="32">
        <v>110.00000000000001</v>
      </c>
      <c r="V16" s="32">
        <v>100</v>
      </c>
    </row>
    <row r="17" spans="1:25" hidden="1">
      <c r="A17" t="b">
        <v>1</v>
      </c>
      <c r="B17" s="50">
        <v>45744</v>
      </c>
      <c r="C17" t="s">
        <v>2625</v>
      </c>
      <c r="D17" t="s">
        <v>1446</v>
      </c>
      <c r="E17" t="s">
        <v>46</v>
      </c>
      <c r="F17" t="s">
        <v>494</v>
      </c>
      <c r="H17">
        <v>128</v>
      </c>
      <c r="I17">
        <v>35</v>
      </c>
      <c r="J17" s="49">
        <v>2.578125</v>
      </c>
      <c r="K17">
        <v>0</v>
      </c>
      <c r="L17">
        <v>0</v>
      </c>
      <c r="M17" s="49" t="s">
        <v>212</v>
      </c>
      <c r="N17">
        <v>0</v>
      </c>
      <c r="O17">
        <v>0</v>
      </c>
      <c r="P17" s="49" t="s">
        <v>212</v>
      </c>
      <c r="Q17">
        <v>3</v>
      </c>
      <c r="R17">
        <v>2</v>
      </c>
      <c r="S17">
        <v>1.1000000000000001</v>
      </c>
      <c r="T17">
        <v>0</v>
      </c>
      <c r="U17" s="32">
        <v>330</v>
      </c>
      <c r="V17" s="32">
        <v>300</v>
      </c>
    </row>
    <row r="18" spans="1:25" hidden="1">
      <c r="A18" t="b">
        <v>1</v>
      </c>
      <c r="B18" s="50">
        <v>45744</v>
      </c>
      <c r="C18" t="s">
        <v>2630</v>
      </c>
      <c r="D18" t="s">
        <v>1462</v>
      </c>
      <c r="E18" t="s">
        <v>52</v>
      </c>
      <c r="F18" t="s">
        <v>2790</v>
      </c>
      <c r="H18">
        <v>400</v>
      </c>
      <c r="I18">
        <v>7</v>
      </c>
      <c r="J18" s="49">
        <v>0.22000000000000003</v>
      </c>
      <c r="K18">
        <v>72</v>
      </c>
      <c r="L18">
        <v>28</v>
      </c>
      <c r="M18" s="49">
        <v>1.2222222222222223</v>
      </c>
      <c r="N18">
        <v>0</v>
      </c>
      <c r="O18">
        <v>0</v>
      </c>
      <c r="P18" s="49" t="s">
        <v>212</v>
      </c>
      <c r="Q18">
        <v>1</v>
      </c>
      <c r="R18">
        <v>0.4</v>
      </c>
      <c r="S18">
        <v>1.1000000000000001</v>
      </c>
      <c r="T18">
        <v>0</v>
      </c>
      <c r="U18" s="32">
        <v>88.000000000000014</v>
      </c>
      <c r="V18" s="32">
        <v>80</v>
      </c>
    </row>
    <row r="19" spans="1:25" hidden="1">
      <c r="A19" t="b">
        <v>1</v>
      </c>
      <c r="B19" s="50">
        <v>45744</v>
      </c>
      <c r="C19" t="s">
        <v>2636</v>
      </c>
      <c r="D19" t="s">
        <v>1473</v>
      </c>
      <c r="E19" t="s">
        <v>55</v>
      </c>
      <c r="F19" t="s">
        <v>1871</v>
      </c>
      <c r="H19">
        <v>400</v>
      </c>
      <c r="I19">
        <v>21</v>
      </c>
      <c r="J19" s="49">
        <v>0.48750000000000004</v>
      </c>
      <c r="K19">
        <v>128</v>
      </c>
      <c r="L19">
        <v>48</v>
      </c>
      <c r="M19" s="49">
        <v>1.5234375</v>
      </c>
      <c r="N19">
        <v>0</v>
      </c>
      <c r="O19">
        <v>0</v>
      </c>
      <c r="P19" s="49" t="s">
        <v>212</v>
      </c>
      <c r="Q19">
        <v>1</v>
      </c>
      <c r="R19">
        <v>1</v>
      </c>
      <c r="S19">
        <v>1.3</v>
      </c>
      <c r="T19">
        <v>0</v>
      </c>
      <c r="U19" s="32">
        <v>195.00000000000003</v>
      </c>
      <c r="V19" s="32">
        <v>150.00000000000003</v>
      </c>
    </row>
    <row r="20" spans="1:25" hidden="1">
      <c r="A20" t="b">
        <v>1</v>
      </c>
      <c r="B20" s="50">
        <v>45744</v>
      </c>
      <c r="C20" t="s">
        <v>2639</v>
      </c>
      <c r="D20" t="s">
        <v>1427</v>
      </c>
      <c r="E20" t="s">
        <v>62</v>
      </c>
      <c r="F20" t="s">
        <v>514</v>
      </c>
      <c r="H20">
        <v>128</v>
      </c>
      <c r="I20">
        <v>30</v>
      </c>
      <c r="J20" s="49">
        <v>1.07421875</v>
      </c>
      <c r="K20">
        <v>0</v>
      </c>
      <c r="L20">
        <v>0</v>
      </c>
      <c r="M20" s="49" t="s">
        <v>212</v>
      </c>
      <c r="N20">
        <v>0</v>
      </c>
      <c r="O20">
        <v>0</v>
      </c>
      <c r="P20" s="49" t="s">
        <v>212</v>
      </c>
      <c r="Q20">
        <v>3</v>
      </c>
      <c r="R20">
        <v>0.25</v>
      </c>
      <c r="S20">
        <v>1.1000000000000001</v>
      </c>
      <c r="T20">
        <v>0</v>
      </c>
      <c r="U20" s="32">
        <v>137.5</v>
      </c>
      <c r="V20" s="32">
        <v>124.99999999999999</v>
      </c>
    </row>
    <row r="21" spans="1:25" hidden="1">
      <c r="A21" t="b">
        <v>1</v>
      </c>
      <c r="B21" s="50">
        <v>45744</v>
      </c>
      <c r="C21" t="s">
        <v>2715</v>
      </c>
      <c r="D21" t="s">
        <v>1433</v>
      </c>
      <c r="E21" t="s">
        <v>62</v>
      </c>
      <c r="F21" t="s">
        <v>514</v>
      </c>
      <c r="H21">
        <v>128</v>
      </c>
      <c r="I21">
        <v>30</v>
      </c>
      <c r="J21" s="49">
        <v>1.07421875</v>
      </c>
      <c r="K21">
        <v>0</v>
      </c>
      <c r="L21">
        <v>0</v>
      </c>
      <c r="M21" s="49" t="s">
        <v>212</v>
      </c>
      <c r="N21">
        <v>0</v>
      </c>
      <c r="O21">
        <v>0</v>
      </c>
      <c r="P21" s="49" t="s">
        <v>212</v>
      </c>
      <c r="Q21">
        <v>3</v>
      </c>
      <c r="R21">
        <v>0.25</v>
      </c>
      <c r="S21">
        <v>1.1000000000000001</v>
      </c>
      <c r="T21">
        <v>0</v>
      </c>
      <c r="U21" s="32">
        <v>137.5</v>
      </c>
      <c r="V21" s="32">
        <v>124.99999999999999</v>
      </c>
    </row>
    <row r="22" spans="1:25" hidden="1">
      <c r="A22" t="b">
        <v>1</v>
      </c>
      <c r="B22" s="50">
        <v>45744</v>
      </c>
      <c r="C22" t="s">
        <v>2734</v>
      </c>
      <c r="D22" t="s">
        <v>1433</v>
      </c>
      <c r="E22" t="s">
        <v>62</v>
      </c>
      <c r="F22" t="s">
        <v>514</v>
      </c>
      <c r="H22">
        <v>128</v>
      </c>
      <c r="I22">
        <v>30</v>
      </c>
      <c r="J22" s="49">
        <v>1.07421875</v>
      </c>
      <c r="K22">
        <v>0</v>
      </c>
      <c r="L22">
        <v>0</v>
      </c>
      <c r="M22" s="49" t="s">
        <v>212</v>
      </c>
      <c r="N22">
        <v>0</v>
      </c>
      <c r="O22">
        <v>0</v>
      </c>
      <c r="P22" s="49" t="s">
        <v>212</v>
      </c>
      <c r="Q22">
        <v>3</v>
      </c>
      <c r="R22">
        <v>0.25</v>
      </c>
      <c r="S22">
        <v>1.1000000000000001</v>
      </c>
      <c r="T22">
        <v>0</v>
      </c>
      <c r="U22" s="32">
        <v>137.5</v>
      </c>
      <c r="V22" s="32">
        <v>124.99999999999999</v>
      </c>
      <c r="X22" s="42" t="s">
        <v>1318</v>
      </c>
      <c r="Y22" t="s">
        <v>1327</v>
      </c>
    </row>
    <row r="23" spans="1:25" hidden="1">
      <c r="A23" t="b">
        <v>1</v>
      </c>
      <c r="B23" s="50">
        <v>45744</v>
      </c>
      <c r="C23" t="s">
        <v>2709</v>
      </c>
      <c r="D23" t="s">
        <v>1429</v>
      </c>
      <c r="E23" t="s">
        <v>92</v>
      </c>
      <c r="F23" t="s">
        <v>2304</v>
      </c>
      <c r="H23">
        <v>128</v>
      </c>
      <c r="I23">
        <v>30</v>
      </c>
      <c r="J23" s="49">
        <v>2.708333333333333</v>
      </c>
      <c r="K23">
        <v>0</v>
      </c>
      <c r="L23">
        <v>0</v>
      </c>
      <c r="M23" s="49" t="s">
        <v>212</v>
      </c>
      <c r="N23">
        <v>0</v>
      </c>
      <c r="O23">
        <v>0</v>
      </c>
      <c r="P23" s="49" t="s">
        <v>212</v>
      </c>
      <c r="Q23">
        <v>1</v>
      </c>
      <c r="R23">
        <v>1</v>
      </c>
      <c r="S23">
        <v>1.3</v>
      </c>
      <c r="T23">
        <v>0</v>
      </c>
      <c r="U23" s="32">
        <v>346.66666666666663</v>
      </c>
      <c r="V23" s="32">
        <v>266.66666666666663</v>
      </c>
    </row>
    <row r="24" spans="1:25" hidden="1">
      <c r="A24" t="b">
        <v>1</v>
      </c>
      <c r="B24" s="50">
        <v>45744</v>
      </c>
      <c r="C24" t="s">
        <v>2655</v>
      </c>
      <c r="D24" t="s">
        <v>1443</v>
      </c>
      <c r="E24" t="s">
        <v>105</v>
      </c>
      <c r="F24" t="s">
        <v>2818</v>
      </c>
      <c r="H24">
        <v>128</v>
      </c>
      <c r="I24">
        <v>28</v>
      </c>
      <c r="J24" s="49">
        <v>1.2890625</v>
      </c>
      <c r="K24">
        <v>0</v>
      </c>
      <c r="L24">
        <v>0</v>
      </c>
      <c r="M24" s="49" t="s">
        <v>212</v>
      </c>
      <c r="N24">
        <v>0</v>
      </c>
      <c r="O24">
        <v>0</v>
      </c>
      <c r="P24" s="49" t="s">
        <v>212</v>
      </c>
      <c r="Q24">
        <v>10</v>
      </c>
      <c r="R24">
        <v>1</v>
      </c>
      <c r="S24">
        <v>1.1000000000000001</v>
      </c>
      <c r="T24">
        <v>0</v>
      </c>
      <c r="U24" s="32">
        <v>165</v>
      </c>
      <c r="V24" s="32">
        <v>150</v>
      </c>
      <c r="X24" s="42" t="s">
        <v>1351</v>
      </c>
      <c r="Y24" t="s">
        <v>1352</v>
      </c>
    </row>
    <row r="25" spans="1:25" hidden="1">
      <c r="A25" t="b">
        <v>1</v>
      </c>
      <c r="B25" s="50">
        <v>45746</v>
      </c>
      <c r="C25" t="s">
        <v>2651</v>
      </c>
      <c r="D25" t="s">
        <v>1469</v>
      </c>
      <c r="E25" t="s">
        <v>92</v>
      </c>
      <c r="F25" t="s">
        <v>2304</v>
      </c>
      <c r="H25">
        <v>128</v>
      </c>
      <c r="I25">
        <v>30</v>
      </c>
      <c r="J25" s="49">
        <v>5.4166666666666661</v>
      </c>
      <c r="K25">
        <v>0</v>
      </c>
      <c r="L25">
        <v>0</v>
      </c>
      <c r="M25" s="49" t="s">
        <v>212</v>
      </c>
      <c r="N25">
        <v>0</v>
      </c>
      <c r="O25">
        <v>0</v>
      </c>
      <c r="P25" s="49" t="s">
        <v>212</v>
      </c>
      <c r="Q25">
        <v>1</v>
      </c>
      <c r="R25">
        <v>2</v>
      </c>
      <c r="S25">
        <v>1.3</v>
      </c>
      <c r="T25">
        <v>0</v>
      </c>
      <c r="U25" s="32">
        <v>693.33333333333326</v>
      </c>
      <c r="V25" s="32">
        <v>533.33333333333326</v>
      </c>
      <c r="X25" s="53" t="s">
        <v>3053</v>
      </c>
      <c r="Y25" s="49">
        <v>14.125</v>
      </c>
    </row>
    <row r="26" spans="1:25" hidden="1">
      <c r="A26" t="b">
        <v>1</v>
      </c>
      <c r="B26" s="50">
        <v>45748</v>
      </c>
      <c r="C26" t="s">
        <v>2631</v>
      </c>
      <c r="D26" t="s">
        <v>1448</v>
      </c>
      <c r="E26" t="s">
        <v>52</v>
      </c>
      <c r="F26" t="s">
        <v>1899</v>
      </c>
      <c r="G26" t="s">
        <v>482</v>
      </c>
      <c r="H26">
        <v>400</v>
      </c>
      <c r="I26">
        <v>7</v>
      </c>
      <c r="J26" s="49">
        <v>0.55000000000000004</v>
      </c>
      <c r="K26">
        <v>72</v>
      </c>
      <c r="L26">
        <v>28</v>
      </c>
      <c r="M26" s="49">
        <v>3.0555555555555558</v>
      </c>
      <c r="N26">
        <v>0</v>
      </c>
      <c r="O26">
        <v>0</v>
      </c>
      <c r="P26" s="49" t="s">
        <v>212</v>
      </c>
      <c r="Q26">
        <v>1</v>
      </c>
      <c r="R26">
        <v>1</v>
      </c>
      <c r="S26">
        <v>1.1000000000000001</v>
      </c>
      <c r="T26">
        <v>0</v>
      </c>
      <c r="U26" s="32">
        <v>220.00000000000003</v>
      </c>
      <c r="V26" s="32">
        <v>200</v>
      </c>
      <c r="X26" s="53" t="s">
        <v>3054</v>
      </c>
      <c r="Y26" s="49">
        <v>1.921653439153439</v>
      </c>
    </row>
    <row r="27" spans="1:25" hidden="1">
      <c r="A27" t="b">
        <v>1</v>
      </c>
      <c r="B27" s="50">
        <v>45748</v>
      </c>
      <c r="C27" t="s">
        <v>2645</v>
      </c>
      <c r="D27" t="s">
        <v>1429</v>
      </c>
      <c r="E27" t="s">
        <v>393</v>
      </c>
      <c r="F27" t="s">
        <v>2855</v>
      </c>
      <c r="G27" t="s">
        <v>501</v>
      </c>
      <c r="H27">
        <v>72</v>
      </c>
      <c r="I27">
        <v>21</v>
      </c>
      <c r="J27" s="49">
        <v>0.18055555555555558</v>
      </c>
      <c r="K27">
        <v>21</v>
      </c>
      <c r="L27">
        <v>18</v>
      </c>
      <c r="M27" s="49">
        <v>0.61904761904761907</v>
      </c>
      <c r="N27">
        <v>9</v>
      </c>
      <c r="O27">
        <v>14</v>
      </c>
      <c r="P27" s="49">
        <v>1.4444444444444446</v>
      </c>
      <c r="Q27">
        <v>1</v>
      </c>
      <c r="R27">
        <v>0.5</v>
      </c>
      <c r="S27">
        <v>1.3</v>
      </c>
      <c r="T27">
        <v>0</v>
      </c>
      <c r="U27" s="32">
        <v>13.000000000000002</v>
      </c>
      <c r="V27" s="32">
        <v>10.000000000000002</v>
      </c>
      <c r="X27" s="53" t="s">
        <v>3055</v>
      </c>
      <c r="Y27" s="49">
        <v>11.93359375</v>
      </c>
    </row>
    <row r="28" spans="1:25" hidden="1">
      <c r="A28" t="b">
        <v>1</v>
      </c>
      <c r="B28" s="50">
        <v>45748</v>
      </c>
      <c r="C28" t="s">
        <v>2646</v>
      </c>
      <c r="D28" t="s">
        <v>1434</v>
      </c>
      <c r="E28" t="s">
        <v>88</v>
      </c>
      <c r="F28" t="s">
        <v>1912</v>
      </c>
      <c r="H28">
        <v>72</v>
      </c>
      <c r="I28">
        <v>35</v>
      </c>
      <c r="J28" s="49">
        <v>2.0370370370370368</v>
      </c>
      <c r="K28">
        <v>0</v>
      </c>
      <c r="L28">
        <v>0</v>
      </c>
      <c r="M28" s="49" t="s">
        <v>212</v>
      </c>
      <c r="N28">
        <v>0</v>
      </c>
      <c r="O28">
        <v>0</v>
      </c>
      <c r="P28" s="49" t="s">
        <v>212</v>
      </c>
      <c r="Q28">
        <v>2</v>
      </c>
      <c r="R28">
        <v>2</v>
      </c>
      <c r="S28">
        <v>1.1000000000000001</v>
      </c>
      <c r="T28">
        <v>0</v>
      </c>
      <c r="U28" s="32">
        <v>146.66666666666666</v>
      </c>
      <c r="V28" s="32">
        <v>133.33333333333331</v>
      </c>
      <c r="X28" s="53" t="s">
        <v>3056</v>
      </c>
      <c r="Y28" s="49">
        <v>3.9345238095238093</v>
      </c>
    </row>
    <row r="29" spans="1:25" hidden="1">
      <c r="A29" t="b">
        <v>1</v>
      </c>
      <c r="B29" s="50">
        <v>45748</v>
      </c>
      <c r="C29" t="s">
        <v>2650</v>
      </c>
      <c r="D29" t="s">
        <v>1485</v>
      </c>
      <c r="E29" t="s">
        <v>387</v>
      </c>
      <c r="F29" t="s">
        <v>1877</v>
      </c>
      <c r="G29" t="s">
        <v>490</v>
      </c>
      <c r="H29">
        <v>72</v>
      </c>
      <c r="I29">
        <v>40</v>
      </c>
      <c r="J29" s="49">
        <v>1.8055555555555556</v>
      </c>
      <c r="K29">
        <v>0</v>
      </c>
      <c r="L29">
        <v>0</v>
      </c>
      <c r="M29" s="49" t="s">
        <v>212</v>
      </c>
      <c r="N29">
        <v>0</v>
      </c>
      <c r="O29">
        <v>0</v>
      </c>
      <c r="P29" s="49" t="s">
        <v>212</v>
      </c>
      <c r="Q29">
        <v>1</v>
      </c>
      <c r="R29">
        <v>1</v>
      </c>
      <c r="S29">
        <v>1.3</v>
      </c>
      <c r="T29">
        <v>10</v>
      </c>
      <c r="U29" s="32">
        <v>130</v>
      </c>
      <c r="V29" s="32">
        <v>100</v>
      </c>
      <c r="X29" s="53" t="s">
        <v>3057</v>
      </c>
      <c r="Y29" s="49">
        <v>2.79296875</v>
      </c>
    </row>
    <row r="30" spans="1:25" hidden="1">
      <c r="A30" t="b">
        <v>1</v>
      </c>
      <c r="B30" s="50">
        <v>45748</v>
      </c>
      <c r="C30" t="s">
        <v>2730</v>
      </c>
      <c r="D30" t="s">
        <v>1457</v>
      </c>
      <c r="E30" t="s">
        <v>92</v>
      </c>
      <c r="F30" t="s">
        <v>542</v>
      </c>
      <c r="G30" t="s">
        <v>526</v>
      </c>
      <c r="H30">
        <v>128</v>
      </c>
      <c r="I30">
        <v>30</v>
      </c>
      <c r="J30" s="49">
        <v>1.0833333333333333</v>
      </c>
      <c r="K30">
        <v>0</v>
      </c>
      <c r="L30">
        <v>0</v>
      </c>
      <c r="M30" s="49" t="s">
        <v>212</v>
      </c>
      <c r="N30">
        <v>0</v>
      </c>
      <c r="O30">
        <v>0</v>
      </c>
      <c r="P30" s="49" t="s">
        <v>212</v>
      </c>
      <c r="Q30">
        <v>1</v>
      </c>
      <c r="R30">
        <v>0.4</v>
      </c>
      <c r="S30">
        <v>1.3</v>
      </c>
      <c r="T30">
        <v>0</v>
      </c>
      <c r="U30" s="32">
        <v>138.66666666666666</v>
      </c>
      <c r="V30" s="32">
        <v>106.66666666666666</v>
      </c>
      <c r="X30" s="53" t="s">
        <v>3058</v>
      </c>
      <c r="Y30" s="49">
        <v>4.8658854166666661</v>
      </c>
    </row>
    <row r="31" spans="1:25" hidden="1">
      <c r="A31" t="b">
        <v>1</v>
      </c>
      <c r="B31" s="50">
        <v>45748</v>
      </c>
      <c r="C31" t="s">
        <v>2656</v>
      </c>
      <c r="D31" t="s">
        <v>1764</v>
      </c>
      <c r="E31" t="s">
        <v>108</v>
      </c>
      <c r="F31" t="s">
        <v>1880</v>
      </c>
      <c r="H31">
        <v>128</v>
      </c>
      <c r="I31">
        <v>35</v>
      </c>
      <c r="J31" s="49">
        <v>2.03125</v>
      </c>
      <c r="K31">
        <v>0</v>
      </c>
      <c r="L31">
        <v>0</v>
      </c>
      <c r="M31" s="49">
        <v>0</v>
      </c>
      <c r="N31">
        <v>0</v>
      </c>
      <c r="O31">
        <v>0</v>
      </c>
      <c r="P31" s="49" t="s">
        <v>212</v>
      </c>
      <c r="Q31">
        <v>3</v>
      </c>
      <c r="R31">
        <v>1</v>
      </c>
      <c r="S31">
        <v>1.3</v>
      </c>
      <c r="T31">
        <v>24</v>
      </c>
      <c r="U31" s="32">
        <v>260</v>
      </c>
      <c r="V31" s="32">
        <v>200</v>
      </c>
      <c r="X31" s="53" t="s">
        <v>470</v>
      </c>
      <c r="Y31" s="49">
        <v>39.573625165343913</v>
      </c>
    </row>
    <row r="32" spans="1:25" hidden="1">
      <c r="A32" t="b">
        <v>1</v>
      </c>
      <c r="B32" s="50">
        <v>45748</v>
      </c>
      <c r="C32" t="s">
        <v>2781</v>
      </c>
      <c r="D32" t="s">
        <v>1499</v>
      </c>
      <c r="E32" t="s">
        <v>112</v>
      </c>
      <c r="F32" t="s">
        <v>563</v>
      </c>
      <c r="H32">
        <v>128</v>
      </c>
      <c r="I32">
        <v>28</v>
      </c>
      <c r="J32" s="49">
        <v>0.40625</v>
      </c>
      <c r="K32">
        <v>18</v>
      </c>
      <c r="L32">
        <v>62</v>
      </c>
      <c r="M32" s="49">
        <v>2.8888888888888893</v>
      </c>
      <c r="N32">
        <v>0</v>
      </c>
      <c r="O32">
        <v>0</v>
      </c>
      <c r="P32" s="49" t="s">
        <v>212</v>
      </c>
      <c r="Q32">
        <v>1</v>
      </c>
      <c r="R32">
        <v>0.4</v>
      </c>
      <c r="S32">
        <v>1.3</v>
      </c>
      <c r="T32">
        <v>0</v>
      </c>
      <c r="U32" s="32">
        <v>52</v>
      </c>
      <c r="V32" s="32">
        <v>40</v>
      </c>
    </row>
    <row r="33" spans="1:23" hidden="1">
      <c r="A33" t="b">
        <v>1</v>
      </c>
      <c r="B33" s="50">
        <v>45748</v>
      </c>
      <c r="C33" t="s">
        <v>2673</v>
      </c>
      <c r="D33" t="s">
        <v>1430</v>
      </c>
      <c r="E33" t="s">
        <v>135</v>
      </c>
      <c r="F33" t="s">
        <v>2842</v>
      </c>
      <c r="H33">
        <v>72</v>
      </c>
      <c r="I33">
        <v>21</v>
      </c>
      <c r="J33" s="49">
        <v>0.60185185185185175</v>
      </c>
      <c r="K33">
        <v>18</v>
      </c>
      <c r="L33">
        <v>21</v>
      </c>
      <c r="M33" s="49">
        <v>2.407407407407407</v>
      </c>
      <c r="N33">
        <v>9</v>
      </c>
      <c r="O33">
        <v>14</v>
      </c>
      <c r="P33" s="49">
        <v>4.814814814814814</v>
      </c>
      <c r="Q33">
        <v>1</v>
      </c>
      <c r="R33">
        <v>1</v>
      </c>
      <c r="S33">
        <v>1.3</v>
      </c>
      <c r="T33">
        <v>10</v>
      </c>
      <c r="U33" s="32">
        <v>43.333333333333329</v>
      </c>
      <c r="V33" s="32">
        <v>33.333333333333329</v>
      </c>
    </row>
    <row r="34" spans="1:23" hidden="1">
      <c r="A34" t="b">
        <v>1</v>
      </c>
      <c r="B34" s="50">
        <v>45748</v>
      </c>
      <c r="C34" t="s">
        <v>2674</v>
      </c>
      <c r="D34" t="s">
        <v>1481</v>
      </c>
      <c r="E34" t="s">
        <v>136</v>
      </c>
      <c r="F34" t="s">
        <v>1858</v>
      </c>
      <c r="H34">
        <v>72</v>
      </c>
      <c r="I34">
        <v>21</v>
      </c>
      <c r="J34" s="49">
        <v>1.2037037037037035</v>
      </c>
      <c r="K34">
        <v>18</v>
      </c>
      <c r="L34">
        <v>21</v>
      </c>
      <c r="M34" s="49">
        <v>4.814814814814814</v>
      </c>
      <c r="N34">
        <v>9</v>
      </c>
      <c r="O34">
        <v>14</v>
      </c>
      <c r="P34" s="49">
        <v>9.629629629629628</v>
      </c>
      <c r="Q34">
        <v>1</v>
      </c>
      <c r="R34">
        <v>2</v>
      </c>
      <c r="S34">
        <v>1.3</v>
      </c>
      <c r="T34">
        <v>0</v>
      </c>
      <c r="U34" s="32">
        <v>86.666666666666657</v>
      </c>
      <c r="V34" s="32">
        <v>66.666666666666657</v>
      </c>
    </row>
    <row r="35" spans="1:23" hidden="1">
      <c r="A35" t="b">
        <v>1</v>
      </c>
      <c r="B35" s="50">
        <v>45748</v>
      </c>
      <c r="C35" t="s">
        <v>2675</v>
      </c>
      <c r="D35" t="s">
        <v>1428</v>
      </c>
      <c r="E35" t="s">
        <v>136</v>
      </c>
      <c r="F35" t="s">
        <v>1858</v>
      </c>
      <c r="H35">
        <v>72</v>
      </c>
      <c r="I35">
        <v>21</v>
      </c>
      <c r="J35" s="49">
        <v>0.30092592592592587</v>
      </c>
      <c r="K35">
        <v>18</v>
      </c>
      <c r="L35">
        <v>21</v>
      </c>
      <c r="M35" s="49">
        <v>1.2037037037037035</v>
      </c>
      <c r="N35">
        <v>9</v>
      </c>
      <c r="O35">
        <v>14</v>
      </c>
      <c r="P35" s="49">
        <v>2.407407407407407</v>
      </c>
      <c r="Q35">
        <v>1</v>
      </c>
      <c r="R35">
        <v>0.5</v>
      </c>
      <c r="S35">
        <v>1.3</v>
      </c>
      <c r="T35">
        <v>0</v>
      </c>
      <c r="U35" s="32">
        <v>21.666666666666664</v>
      </c>
      <c r="V35" s="32">
        <v>16.666666666666664</v>
      </c>
    </row>
    <row r="36" spans="1:23" hidden="1">
      <c r="A36" t="b">
        <v>1</v>
      </c>
      <c r="B36" s="50">
        <v>45748</v>
      </c>
      <c r="C36" t="s">
        <v>2676</v>
      </c>
      <c r="D36" t="s">
        <v>1427</v>
      </c>
      <c r="E36" t="s">
        <v>136</v>
      </c>
      <c r="F36" t="s">
        <v>1860</v>
      </c>
      <c r="H36">
        <v>72</v>
      </c>
      <c r="I36">
        <v>21</v>
      </c>
      <c r="J36" s="49">
        <v>0.30092592592592587</v>
      </c>
      <c r="K36">
        <v>18</v>
      </c>
      <c r="L36">
        <v>21</v>
      </c>
      <c r="M36" s="49">
        <v>1.2037037037037035</v>
      </c>
      <c r="N36">
        <v>9</v>
      </c>
      <c r="O36">
        <v>14</v>
      </c>
      <c r="P36" s="49">
        <v>2.407407407407407</v>
      </c>
      <c r="Q36">
        <v>1</v>
      </c>
      <c r="R36">
        <v>0.5</v>
      </c>
      <c r="S36">
        <v>1.3</v>
      </c>
      <c r="T36">
        <v>0</v>
      </c>
      <c r="U36" s="32">
        <v>21.666666666666664</v>
      </c>
      <c r="V36" s="32">
        <v>16.666666666666664</v>
      </c>
    </row>
    <row r="37" spans="1:23" hidden="1">
      <c r="A37" t="b">
        <v>1</v>
      </c>
      <c r="B37" s="50">
        <v>45748</v>
      </c>
      <c r="C37" t="s">
        <v>2677</v>
      </c>
      <c r="D37" t="s">
        <v>1483</v>
      </c>
      <c r="E37" t="s">
        <v>136</v>
      </c>
      <c r="F37" t="s">
        <v>1857</v>
      </c>
      <c r="H37">
        <v>72</v>
      </c>
      <c r="I37">
        <v>21</v>
      </c>
      <c r="J37" s="49">
        <v>1.2037037037037035</v>
      </c>
      <c r="K37">
        <v>18</v>
      </c>
      <c r="L37">
        <v>21</v>
      </c>
      <c r="M37" s="49">
        <v>4.814814814814814</v>
      </c>
      <c r="N37">
        <v>9</v>
      </c>
      <c r="O37">
        <v>14</v>
      </c>
      <c r="P37" s="49">
        <v>9.629629629629628</v>
      </c>
      <c r="Q37">
        <v>1</v>
      </c>
      <c r="R37">
        <v>2</v>
      </c>
      <c r="S37">
        <v>1.3</v>
      </c>
      <c r="T37">
        <v>0</v>
      </c>
      <c r="U37" s="32">
        <v>86.666666666666657</v>
      </c>
      <c r="V37" s="32">
        <v>66.666666666666657</v>
      </c>
    </row>
    <row r="38" spans="1:23" hidden="1">
      <c r="A38" t="b">
        <v>1</v>
      </c>
      <c r="B38" s="50">
        <v>45761</v>
      </c>
      <c r="C38" t="s">
        <v>2627</v>
      </c>
      <c r="D38" t="s">
        <v>1458</v>
      </c>
      <c r="E38" t="s">
        <v>1517</v>
      </c>
      <c r="F38" t="s">
        <v>1805</v>
      </c>
      <c r="H38">
        <v>128</v>
      </c>
      <c r="I38">
        <v>28</v>
      </c>
      <c r="J38" s="49">
        <v>4.333333333333333</v>
      </c>
      <c r="K38">
        <v>0</v>
      </c>
      <c r="L38">
        <v>0</v>
      </c>
      <c r="M38" s="49" t="s">
        <v>212</v>
      </c>
      <c r="N38">
        <v>0</v>
      </c>
      <c r="O38">
        <v>0</v>
      </c>
      <c r="P38" s="49" t="s">
        <v>212</v>
      </c>
      <c r="Q38">
        <v>1</v>
      </c>
      <c r="R38">
        <v>1.6</v>
      </c>
      <c r="S38">
        <v>1.3</v>
      </c>
      <c r="T38">
        <v>0</v>
      </c>
      <c r="U38" s="32">
        <v>554.66666666666663</v>
      </c>
      <c r="V38" s="32">
        <v>426.66666666666663</v>
      </c>
    </row>
    <row r="39" spans="1:23" hidden="1">
      <c r="A39" t="b">
        <v>1</v>
      </c>
      <c r="B39" s="50">
        <v>45761</v>
      </c>
      <c r="C39" t="s">
        <v>2764</v>
      </c>
      <c r="D39" t="s">
        <v>1442</v>
      </c>
      <c r="E39" t="s">
        <v>119</v>
      </c>
      <c r="F39" t="s">
        <v>1851</v>
      </c>
      <c r="H39">
        <v>128</v>
      </c>
      <c r="I39">
        <v>42</v>
      </c>
      <c r="J39" s="49">
        <v>1.7187500000000002</v>
      </c>
      <c r="K39">
        <v>0</v>
      </c>
      <c r="L39">
        <v>0</v>
      </c>
      <c r="M39" s="49" t="s">
        <v>212</v>
      </c>
      <c r="N39">
        <v>0</v>
      </c>
      <c r="O39">
        <v>0</v>
      </c>
      <c r="P39" s="49" t="s">
        <v>212</v>
      </c>
      <c r="Q39">
        <v>6</v>
      </c>
      <c r="R39">
        <v>0.5</v>
      </c>
      <c r="S39">
        <v>1.1000000000000001</v>
      </c>
      <c r="T39">
        <v>17</v>
      </c>
      <c r="U39" s="32">
        <v>220.00000000000003</v>
      </c>
      <c r="V39" s="32">
        <v>200</v>
      </c>
    </row>
    <row r="40" spans="1:23" hidden="1">
      <c r="A40" t="b">
        <v>1</v>
      </c>
      <c r="B40" s="50">
        <v>45762</v>
      </c>
      <c r="C40" t="s">
        <v>2649</v>
      </c>
      <c r="D40" t="s">
        <v>1474</v>
      </c>
      <c r="E40" t="s">
        <v>91</v>
      </c>
      <c r="F40" t="s">
        <v>2856</v>
      </c>
      <c r="H40">
        <v>400</v>
      </c>
      <c r="I40">
        <v>60</v>
      </c>
      <c r="J40" s="49">
        <v>1.7333333333333329</v>
      </c>
      <c r="K40">
        <v>0</v>
      </c>
      <c r="L40">
        <v>0</v>
      </c>
      <c r="M40" s="49" t="s">
        <v>212</v>
      </c>
      <c r="N40">
        <v>0</v>
      </c>
      <c r="O40">
        <v>0</v>
      </c>
      <c r="P40" s="49" t="s">
        <v>212</v>
      </c>
      <c r="Q40">
        <v>5</v>
      </c>
      <c r="R40">
        <v>2</v>
      </c>
      <c r="S40">
        <v>1.3</v>
      </c>
      <c r="T40">
        <v>0</v>
      </c>
      <c r="U40" s="32">
        <v>693.33333333333314</v>
      </c>
      <c r="V40" s="32">
        <v>533.33333333333314</v>
      </c>
    </row>
    <row r="41" spans="1:23" hidden="1">
      <c r="A41" t="b">
        <v>1</v>
      </c>
      <c r="B41" s="50">
        <v>45763</v>
      </c>
      <c r="C41" t="s">
        <v>2622</v>
      </c>
      <c r="D41" t="s">
        <v>1427</v>
      </c>
      <c r="E41" t="s">
        <v>43</v>
      </c>
      <c r="F41" t="s">
        <v>709</v>
      </c>
      <c r="H41">
        <v>128</v>
      </c>
      <c r="I41">
        <v>40</v>
      </c>
      <c r="J41" s="49">
        <v>0.5078125</v>
      </c>
      <c r="K41">
        <v>0</v>
      </c>
      <c r="L41">
        <v>0</v>
      </c>
      <c r="M41" s="49" t="s">
        <v>212</v>
      </c>
      <c r="N41">
        <v>0</v>
      </c>
      <c r="O41">
        <v>0</v>
      </c>
      <c r="P41" s="49" t="s">
        <v>212</v>
      </c>
      <c r="Q41">
        <v>1</v>
      </c>
      <c r="R41">
        <v>1</v>
      </c>
      <c r="S41">
        <v>1.3</v>
      </c>
      <c r="T41">
        <v>10</v>
      </c>
      <c r="U41" s="32">
        <v>65</v>
      </c>
      <c r="V41" s="32">
        <v>50</v>
      </c>
    </row>
    <row r="42" spans="1:23" hidden="1">
      <c r="A42" t="b">
        <v>1</v>
      </c>
      <c r="B42" s="50">
        <v>45763</v>
      </c>
      <c r="C42" t="s">
        <v>2726</v>
      </c>
      <c r="D42" t="s">
        <v>1497</v>
      </c>
      <c r="E42" t="s">
        <v>43</v>
      </c>
      <c r="F42" t="s">
        <v>147</v>
      </c>
      <c r="G42" t="s">
        <v>484</v>
      </c>
      <c r="H42">
        <v>128</v>
      </c>
      <c r="I42">
        <v>40</v>
      </c>
      <c r="J42" s="49">
        <v>0.40625</v>
      </c>
      <c r="K42">
        <v>0</v>
      </c>
      <c r="L42">
        <v>0</v>
      </c>
      <c r="M42" s="49" t="s">
        <v>212</v>
      </c>
      <c r="N42">
        <v>0</v>
      </c>
      <c r="O42">
        <v>0</v>
      </c>
      <c r="P42" s="49" t="s">
        <v>212</v>
      </c>
      <c r="Q42">
        <v>1</v>
      </c>
      <c r="R42">
        <v>0.4</v>
      </c>
      <c r="S42">
        <v>1.3</v>
      </c>
      <c r="T42">
        <v>10</v>
      </c>
      <c r="U42" s="32">
        <v>52</v>
      </c>
      <c r="V42" s="32">
        <v>40</v>
      </c>
    </row>
    <row r="43" spans="1:23" hidden="1">
      <c r="A43" t="b">
        <v>1</v>
      </c>
      <c r="B43" s="50">
        <v>45763</v>
      </c>
      <c r="C43" t="s">
        <v>2735</v>
      </c>
      <c r="D43" t="s">
        <v>1433</v>
      </c>
      <c r="E43" t="s">
        <v>62</v>
      </c>
      <c r="F43" t="s">
        <v>514</v>
      </c>
      <c r="H43">
        <v>128</v>
      </c>
      <c r="I43">
        <v>30</v>
      </c>
      <c r="J43" s="49">
        <v>1.07421875</v>
      </c>
      <c r="K43">
        <v>0</v>
      </c>
      <c r="L43">
        <v>0</v>
      </c>
      <c r="M43" s="49" t="s">
        <v>212</v>
      </c>
      <c r="N43">
        <v>0</v>
      </c>
      <c r="O43">
        <v>0</v>
      </c>
      <c r="P43" s="49" t="s">
        <v>212</v>
      </c>
      <c r="Q43">
        <v>3</v>
      </c>
      <c r="R43">
        <v>0.25</v>
      </c>
      <c r="S43">
        <v>1.1000000000000001</v>
      </c>
      <c r="T43">
        <v>0</v>
      </c>
      <c r="U43" s="32">
        <v>137.5</v>
      </c>
      <c r="V43" s="32">
        <v>124.99999999999999</v>
      </c>
    </row>
    <row r="44" spans="1:23" hidden="1">
      <c r="A44" t="b">
        <v>1</v>
      </c>
      <c r="B44" s="50">
        <v>45763</v>
      </c>
      <c r="C44" t="s">
        <v>2641</v>
      </c>
      <c r="D44" t="s">
        <v>1428</v>
      </c>
      <c r="E44" t="s">
        <v>70</v>
      </c>
      <c r="F44" t="s">
        <v>2822</v>
      </c>
      <c r="H44">
        <v>18</v>
      </c>
      <c r="I44">
        <v>35</v>
      </c>
      <c r="J44" s="49">
        <v>1.8055555555555554</v>
      </c>
      <c r="K44">
        <v>0</v>
      </c>
      <c r="L44">
        <v>0</v>
      </c>
      <c r="M44" s="49" t="s">
        <v>212</v>
      </c>
      <c r="N44">
        <v>0</v>
      </c>
      <c r="O44">
        <v>0</v>
      </c>
      <c r="P44" s="49" t="s">
        <v>212</v>
      </c>
      <c r="Q44">
        <v>1</v>
      </c>
      <c r="R44">
        <v>0.75</v>
      </c>
      <c r="S44">
        <v>1.3</v>
      </c>
      <c r="T44">
        <v>0</v>
      </c>
      <c r="U44" s="32">
        <v>32.5</v>
      </c>
      <c r="V44" s="32">
        <v>25</v>
      </c>
    </row>
    <row r="45" spans="1:23" hidden="1">
      <c r="A45" t="b">
        <v>1</v>
      </c>
      <c r="B45" s="50">
        <v>45763</v>
      </c>
      <c r="C45" t="s">
        <v>2722</v>
      </c>
      <c r="D45" t="s">
        <v>1464</v>
      </c>
      <c r="E45" t="s">
        <v>70</v>
      </c>
      <c r="F45" t="s">
        <v>2822</v>
      </c>
      <c r="H45">
        <v>18</v>
      </c>
      <c r="I45">
        <v>35</v>
      </c>
      <c r="J45" s="49">
        <v>3.6111111111111112</v>
      </c>
      <c r="K45">
        <v>0</v>
      </c>
      <c r="L45">
        <v>0</v>
      </c>
      <c r="M45" s="49" t="s">
        <v>212</v>
      </c>
      <c r="N45">
        <v>0</v>
      </c>
      <c r="O45">
        <v>0</v>
      </c>
      <c r="P45" s="49" t="s">
        <v>212</v>
      </c>
      <c r="Q45">
        <v>1</v>
      </c>
      <c r="R45">
        <v>1</v>
      </c>
      <c r="S45">
        <v>1.3</v>
      </c>
      <c r="T45">
        <v>0</v>
      </c>
      <c r="U45" s="32">
        <v>65</v>
      </c>
      <c r="V45" s="32">
        <v>50</v>
      </c>
      <c r="W45" t="s">
        <v>2946</v>
      </c>
    </row>
    <row r="46" spans="1:23" hidden="1">
      <c r="A46" t="b">
        <v>1</v>
      </c>
      <c r="B46" s="50">
        <v>45763</v>
      </c>
      <c r="C46" t="s">
        <v>2642</v>
      </c>
      <c r="D46" t="s">
        <v>1427</v>
      </c>
      <c r="E46" t="s">
        <v>70</v>
      </c>
      <c r="F46" t="s">
        <v>2823</v>
      </c>
      <c r="H46">
        <v>18</v>
      </c>
      <c r="I46">
        <v>35</v>
      </c>
      <c r="J46" s="49">
        <v>0.90277777777777779</v>
      </c>
      <c r="K46">
        <v>0</v>
      </c>
      <c r="L46">
        <v>0</v>
      </c>
      <c r="M46" s="49" t="s">
        <v>212</v>
      </c>
      <c r="N46">
        <v>0</v>
      </c>
      <c r="O46">
        <v>0</v>
      </c>
      <c r="P46" s="49" t="s">
        <v>212</v>
      </c>
      <c r="Q46">
        <v>1</v>
      </c>
      <c r="R46">
        <v>0.25</v>
      </c>
      <c r="S46">
        <v>1.3</v>
      </c>
      <c r="T46">
        <v>0</v>
      </c>
      <c r="U46" s="32">
        <v>16.25</v>
      </c>
      <c r="V46" s="32">
        <v>12.5</v>
      </c>
    </row>
    <row r="47" spans="1:23" hidden="1">
      <c r="A47" t="b">
        <v>1</v>
      </c>
      <c r="B47" s="50">
        <v>45763</v>
      </c>
      <c r="C47" t="s">
        <v>2723</v>
      </c>
      <c r="D47" t="s">
        <v>1465</v>
      </c>
      <c r="E47" t="s">
        <v>70</v>
      </c>
      <c r="F47" t="s">
        <v>2821</v>
      </c>
      <c r="H47">
        <v>18</v>
      </c>
      <c r="I47">
        <v>35</v>
      </c>
      <c r="J47" s="49">
        <v>3.6111111111111112</v>
      </c>
      <c r="K47">
        <v>0</v>
      </c>
      <c r="L47">
        <v>0</v>
      </c>
      <c r="M47" s="49" t="s">
        <v>212</v>
      </c>
      <c r="N47">
        <v>0</v>
      </c>
      <c r="O47">
        <v>0</v>
      </c>
      <c r="P47" s="49" t="s">
        <v>212</v>
      </c>
      <c r="Q47">
        <v>1</v>
      </c>
      <c r="R47">
        <v>1</v>
      </c>
      <c r="S47">
        <v>1.3</v>
      </c>
      <c r="T47">
        <v>0</v>
      </c>
      <c r="U47" s="32">
        <v>65</v>
      </c>
      <c r="V47" s="32">
        <v>50</v>
      </c>
      <c r="W47" t="s">
        <v>2946</v>
      </c>
    </row>
    <row r="48" spans="1:23" hidden="1">
      <c r="A48" t="b">
        <v>1</v>
      </c>
      <c r="B48" s="50">
        <v>45763</v>
      </c>
      <c r="C48" t="s">
        <v>2741</v>
      </c>
      <c r="D48" t="s">
        <v>1433</v>
      </c>
      <c r="E48" t="s">
        <v>75</v>
      </c>
      <c r="F48" t="s">
        <v>614</v>
      </c>
      <c r="H48">
        <v>128</v>
      </c>
      <c r="I48">
        <v>26</v>
      </c>
      <c r="J48" s="49">
        <v>1.7187500000000002</v>
      </c>
      <c r="K48">
        <v>0</v>
      </c>
      <c r="L48">
        <v>0</v>
      </c>
      <c r="M48" s="49" t="s">
        <v>212</v>
      </c>
      <c r="N48">
        <v>0</v>
      </c>
      <c r="O48">
        <v>0</v>
      </c>
      <c r="P48" s="49" t="s">
        <v>212</v>
      </c>
      <c r="Q48">
        <v>4</v>
      </c>
      <c r="R48">
        <v>0.25</v>
      </c>
      <c r="S48">
        <v>1.1000000000000001</v>
      </c>
      <c r="T48">
        <v>0</v>
      </c>
      <c r="U48" s="32">
        <v>220.00000000000003</v>
      </c>
      <c r="V48" s="32">
        <v>200</v>
      </c>
    </row>
    <row r="49" spans="1:29" hidden="1">
      <c r="A49" t="b">
        <v>1</v>
      </c>
      <c r="B49" s="50">
        <v>45763</v>
      </c>
      <c r="C49" t="s">
        <v>2731</v>
      </c>
      <c r="D49" t="s">
        <v>1456</v>
      </c>
      <c r="E49" t="s">
        <v>92</v>
      </c>
      <c r="F49" t="s">
        <v>1819</v>
      </c>
      <c r="G49" t="s">
        <v>482</v>
      </c>
      <c r="H49">
        <v>128</v>
      </c>
      <c r="I49">
        <v>30</v>
      </c>
      <c r="J49" s="49">
        <v>1.0833333333333333</v>
      </c>
      <c r="K49">
        <v>0</v>
      </c>
      <c r="L49">
        <v>0</v>
      </c>
      <c r="M49" s="49" t="s">
        <v>212</v>
      </c>
      <c r="N49">
        <v>0</v>
      </c>
      <c r="O49">
        <v>0</v>
      </c>
      <c r="P49" s="49" t="s">
        <v>212</v>
      </c>
      <c r="Q49">
        <v>1</v>
      </c>
      <c r="R49">
        <v>0.4</v>
      </c>
      <c r="S49">
        <v>1.3</v>
      </c>
      <c r="T49">
        <v>0</v>
      </c>
      <c r="U49" s="32">
        <v>138.66666666666666</v>
      </c>
      <c r="V49" s="32">
        <v>106.66666666666666</v>
      </c>
    </row>
    <row r="50" spans="1:29" hidden="1">
      <c r="A50" t="b">
        <v>1</v>
      </c>
      <c r="B50" s="50">
        <v>45763</v>
      </c>
      <c r="C50" t="s">
        <v>2766</v>
      </c>
      <c r="D50" t="s">
        <v>1476</v>
      </c>
      <c r="E50" t="s">
        <v>92</v>
      </c>
      <c r="F50" t="s">
        <v>2304</v>
      </c>
      <c r="H50">
        <v>128</v>
      </c>
      <c r="I50">
        <v>30</v>
      </c>
      <c r="J50" s="49">
        <v>2.708333333333333</v>
      </c>
      <c r="K50">
        <v>0</v>
      </c>
      <c r="L50">
        <v>0</v>
      </c>
      <c r="M50" s="49" t="s">
        <v>212</v>
      </c>
      <c r="N50">
        <v>0</v>
      </c>
      <c r="O50">
        <v>0</v>
      </c>
      <c r="P50" s="49" t="s">
        <v>212</v>
      </c>
      <c r="Q50">
        <v>1</v>
      </c>
      <c r="R50">
        <v>1</v>
      </c>
      <c r="S50">
        <v>1.3</v>
      </c>
      <c r="T50">
        <v>0</v>
      </c>
      <c r="U50" s="32">
        <v>346.66666666666663</v>
      </c>
      <c r="V50" s="32">
        <v>266.66666666666663</v>
      </c>
    </row>
    <row r="51" spans="1:29" hidden="1">
      <c r="A51" t="b">
        <v>1</v>
      </c>
      <c r="B51" s="50">
        <v>45763</v>
      </c>
      <c r="C51" t="s">
        <v>2652</v>
      </c>
      <c r="D51" t="s">
        <v>1438</v>
      </c>
      <c r="E51" t="s">
        <v>98</v>
      </c>
      <c r="F51" t="s">
        <v>1839</v>
      </c>
      <c r="H51">
        <v>50</v>
      </c>
      <c r="I51">
        <v>21</v>
      </c>
      <c r="J51" s="49">
        <v>1.3</v>
      </c>
      <c r="K51">
        <v>0</v>
      </c>
      <c r="L51">
        <v>0</v>
      </c>
      <c r="M51" s="49" t="s">
        <v>212</v>
      </c>
      <c r="N51">
        <v>0</v>
      </c>
      <c r="O51">
        <v>0</v>
      </c>
      <c r="P51" s="49" t="s">
        <v>212</v>
      </c>
      <c r="Q51">
        <v>1</v>
      </c>
      <c r="R51">
        <v>2</v>
      </c>
      <c r="S51">
        <v>1.3</v>
      </c>
      <c r="T51">
        <v>7</v>
      </c>
      <c r="U51" s="32">
        <v>65</v>
      </c>
      <c r="V51" s="32">
        <v>50</v>
      </c>
    </row>
    <row r="52" spans="1:29" hidden="1">
      <c r="A52" t="b">
        <v>1</v>
      </c>
      <c r="B52" s="50">
        <v>45763</v>
      </c>
      <c r="C52" t="s">
        <v>2669</v>
      </c>
      <c r="D52" t="s">
        <v>3256</v>
      </c>
      <c r="E52" t="s">
        <v>124</v>
      </c>
      <c r="F52" t="s">
        <v>1933</v>
      </c>
      <c r="H52">
        <v>50</v>
      </c>
      <c r="I52">
        <v>28</v>
      </c>
      <c r="J52" s="49">
        <v>0.43333333333333324</v>
      </c>
      <c r="K52">
        <v>0</v>
      </c>
      <c r="L52">
        <v>0</v>
      </c>
      <c r="M52" s="49" t="s">
        <v>212</v>
      </c>
      <c r="N52">
        <v>0</v>
      </c>
      <c r="O52">
        <v>0</v>
      </c>
      <c r="P52" s="49" t="s">
        <v>212</v>
      </c>
      <c r="Q52">
        <v>1</v>
      </c>
      <c r="R52">
        <v>1</v>
      </c>
      <c r="S52">
        <v>1.3</v>
      </c>
      <c r="T52">
        <v>0</v>
      </c>
      <c r="U52" s="32">
        <v>21.666666666666661</v>
      </c>
      <c r="V52" s="32">
        <v>16.666666666666661</v>
      </c>
    </row>
    <row r="53" spans="1:29" hidden="1">
      <c r="A53" t="b">
        <v>1</v>
      </c>
      <c r="B53" s="50">
        <v>45763</v>
      </c>
      <c r="C53" t="s">
        <v>3060</v>
      </c>
      <c r="D53" t="s">
        <v>3256</v>
      </c>
      <c r="E53" t="s">
        <v>124</v>
      </c>
      <c r="F53" t="s">
        <v>1937</v>
      </c>
      <c r="H53">
        <v>50</v>
      </c>
      <c r="I53">
        <v>28</v>
      </c>
      <c r="J53" s="49">
        <v>6.9333333333333318</v>
      </c>
      <c r="K53">
        <v>0</v>
      </c>
      <c r="L53">
        <v>0</v>
      </c>
      <c r="M53" s="49" t="s">
        <v>212</v>
      </c>
      <c r="N53">
        <v>0</v>
      </c>
      <c r="O53">
        <v>0</v>
      </c>
      <c r="P53" s="49" t="s">
        <v>212</v>
      </c>
      <c r="Q53">
        <v>1</v>
      </c>
      <c r="R53">
        <v>16</v>
      </c>
      <c r="S53">
        <v>1.3</v>
      </c>
      <c r="T53">
        <v>0</v>
      </c>
      <c r="U53" s="32">
        <v>346.66666666666657</v>
      </c>
      <c r="V53" s="32">
        <v>266.66666666666657</v>
      </c>
    </row>
    <row r="54" spans="1:29" hidden="1">
      <c r="A54" t="b">
        <v>1</v>
      </c>
      <c r="B54" s="50">
        <v>45763</v>
      </c>
      <c r="C54" t="s">
        <v>2670</v>
      </c>
      <c r="D54" t="s">
        <v>1480</v>
      </c>
      <c r="E54" t="s">
        <v>128</v>
      </c>
      <c r="F54" t="s">
        <v>676</v>
      </c>
      <c r="G54" t="s">
        <v>602</v>
      </c>
      <c r="H54">
        <v>50</v>
      </c>
      <c r="I54">
        <v>28</v>
      </c>
      <c r="J54" s="49">
        <v>0.65</v>
      </c>
      <c r="K54">
        <v>0</v>
      </c>
      <c r="L54">
        <v>0</v>
      </c>
      <c r="M54" s="49" t="s">
        <v>212</v>
      </c>
      <c r="N54">
        <v>0</v>
      </c>
      <c r="O54">
        <v>0</v>
      </c>
      <c r="P54" s="49" t="s">
        <v>212</v>
      </c>
      <c r="Q54">
        <v>1</v>
      </c>
      <c r="R54">
        <v>1</v>
      </c>
      <c r="S54">
        <v>1.3</v>
      </c>
      <c r="T54">
        <v>0</v>
      </c>
      <c r="U54" s="32">
        <v>32.5</v>
      </c>
      <c r="V54" s="32">
        <v>25</v>
      </c>
    </row>
    <row r="55" spans="1:29" hidden="1">
      <c r="A55" t="b">
        <v>1</v>
      </c>
      <c r="B55" s="50">
        <v>45763</v>
      </c>
      <c r="C55" t="s">
        <v>2671</v>
      </c>
      <c r="D55" t="s">
        <v>1471</v>
      </c>
      <c r="E55" t="s">
        <v>128</v>
      </c>
      <c r="F55" t="s">
        <v>584</v>
      </c>
      <c r="H55">
        <v>50</v>
      </c>
      <c r="I55">
        <v>28</v>
      </c>
      <c r="J55" s="49">
        <v>1.3</v>
      </c>
      <c r="K55">
        <v>0</v>
      </c>
      <c r="L55">
        <v>0</v>
      </c>
      <c r="M55" s="49" t="s">
        <v>212</v>
      </c>
      <c r="N55">
        <v>0</v>
      </c>
      <c r="O55">
        <v>0</v>
      </c>
      <c r="P55" s="49" t="s">
        <v>212</v>
      </c>
      <c r="Q55">
        <v>1</v>
      </c>
      <c r="R55">
        <v>2</v>
      </c>
      <c r="S55">
        <v>1.3</v>
      </c>
      <c r="T55">
        <v>0</v>
      </c>
      <c r="U55" s="32">
        <v>65</v>
      </c>
      <c r="V55" s="32">
        <v>50</v>
      </c>
    </row>
    <row r="56" spans="1:29" hidden="1">
      <c r="A56" t="b">
        <v>1</v>
      </c>
      <c r="B56" s="50">
        <v>45763</v>
      </c>
      <c r="C56" t="s">
        <v>3006</v>
      </c>
      <c r="D56" t="s">
        <v>3256</v>
      </c>
      <c r="E56" t="s">
        <v>136</v>
      </c>
      <c r="F56" t="s">
        <v>3043</v>
      </c>
      <c r="H56">
        <v>72</v>
      </c>
      <c r="I56">
        <v>21</v>
      </c>
      <c r="J56" s="49">
        <v>2.7083333333333335</v>
      </c>
      <c r="K56">
        <v>18</v>
      </c>
      <c r="L56">
        <v>21</v>
      </c>
      <c r="M56" s="49">
        <v>10.833333333333334</v>
      </c>
      <c r="N56">
        <v>9</v>
      </c>
      <c r="O56">
        <v>14</v>
      </c>
      <c r="P56" s="49">
        <v>21.666666666666668</v>
      </c>
      <c r="Q56">
        <v>1</v>
      </c>
      <c r="R56">
        <v>6</v>
      </c>
      <c r="S56">
        <v>1.3</v>
      </c>
      <c r="T56">
        <v>0</v>
      </c>
      <c r="U56" s="32">
        <v>195</v>
      </c>
      <c r="V56" s="32">
        <v>150</v>
      </c>
    </row>
    <row r="57" spans="1:29" hidden="1">
      <c r="A57" t="b">
        <v>1</v>
      </c>
      <c r="B57" s="50">
        <v>45763</v>
      </c>
      <c r="C57" t="s">
        <v>3061</v>
      </c>
      <c r="D57" t="s">
        <v>1514</v>
      </c>
      <c r="E57" t="s">
        <v>136</v>
      </c>
      <c r="F57" t="s">
        <v>3043</v>
      </c>
      <c r="H57">
        <v>72</v>
      </c>
      <c r="I57">
        <v>21</v>
      </c>
      <c r="J57" s="49">
        <v>0.90277777777777779</v>
      </c>
      <c r="K57">
        <v>18</v>
      </c>
      <c r="L57">
        <v>21</v>
      </c>
      <c r="M57" s="49">
        <v>3.6111111111111112</v>
      </c>
      <c r="N57">
        <v>9</v>
      </c>
      <c r="O57">
        <v>14</v>
      </c>
      <c r="P57" s="49">
        <v>7.2222222222222223</v>
      </c>
      <c r="Q57">
        <v>1</v>
      </c>
      <c r="R57">
        <v>2</v>
      </c>
      <c r="S57">
        <v>1.3</v>
      </c>
      <c r="T57">
        <v>0</v>
      </c>
      <c r="U57" s="32">
        <v>65</v>
      </c>
      <c r="V57" s="32">
        <v>50</v>
      </c>
    </row>
    <row r="58" spans="1:29" hidden="1">
      <c r="A58" t="b">
        <v>1</v>
      </c>
      <c r="B58" s="50">
        <v>45763</v>
      </c>
      <c r="C58" t="s">
        <v>3007</v>
      </c>
      <c r="D58" t="s">
        <v>3256</v>
      </c>
      <c r="E58" t="s">
        <v>136</v>
      </c>
      <c r="F58" t="s">
        <v>3042</v>
      </c>
      <c r="H58">
        <v>72</v>
      </c>
      <c r="I58">
        <v>21</v>
      </c>
      <c r="J58" s="49">
        <v>3.6111111111111112</v>
      </c>
      <c r="K58">
        <v>18</v>
      </c>
      <c r="L58">
        <v>21</v>
      </c>
      <c r="M58" s="49">
        <v>14.444444444444445</v>
      </c>
      <c r="N58">
        <v>9</v>
      </c>
      <c r="O58">
        <v>14</v>
      </c>
      <c r="P58" s="49">
        <v>28.888888888888889</v>
      </c>
      <c r="Q58">
        <v>1</v>
      </c>
      <c r="R58">
        <v>8</v>
      </c>
      <c r="S58">
        <v>1.3</v>
      </c>
      <c r="T58">
        <v>0</v>
      </c>
      <c r="U58" s="32">
        <v>260</v>
      </c>
      <c r="V58" s="32">
        <v>200</v>
      </c>
    </row>
    <row r="59" spans="1:29" hidden="1">
      <c r="A59" t="b">
        <v>1</v>
      </c>
      <c r="B59" s="50">
        <v>45763</v>
      </c>
      <c r="C59" t="s">
        <v>3193</v>
      </c>
      <c r="D59" t="s">
        <v>1512</v>
      </c>
      <c r="E59" t="s">
        <v>136</v>
      </c>
      <c r="F59" t="s">
        <v>3042</v>
      </c>
      <c r="H59">
        <v>72</v>
      </c>
      <c r="I59">
        <v>21</v>
      </c>
      <c r="J59" s="49">
        <v>0.4513888888888889</v>
      </c>
      <c r="K59">
        <v>18</v>
      </c>
      <c r="L59">
        <v>21</v>
      </c>
      <c r="M59" s="49">
        <v>1.8055555555555556</v>
      </c>
      <c r="N59">
        <v>9</v>
      </c>
      <c r="O59">
        <v>14</v>
      </c>
      <c r="P59" s="49">
        <v>3.6111111111111112</v>
      </c>
      <c r="Q59">
        <v>1</v>
      </c>
      <c r="R59">
        <v>1</v>
      </c>
      <c r="S59">
        <v>1.3</v>
      </c>
      <c r="T59">
        <v>0</v>
      </c>
      <c r="U59" s="32">
        <v>32.5</v>
      </c>
      <c r="V59" s="32">
        <v>25</v>
      </c>
      <c r="Z59" cm="1">
        <f t="array" aca="1" ref="Z59:Z85" ca="1">OFFSET(Y59:Y85,1,0)</f>
        <v>0</v>
      </c>
      <c r="AC59">
        <f>AG102</f>
        <v>0</v>
      </c>
    </row>
    <row r="60" spans="1:29" hidden="1">
      <c r="A60" t="b">
        <v>1</v>
      </c>
      <c r="B60" s="50">
        <v>45763</v>
      </c>
      <c r="C60" t="s">
        <v>3008</v>
      </c>
      <c r="D60" t="s">
        <v>3256</v>
      </c>
      <c r="E60" t="s">
        <v>136</v>
      </c>
      <c r="F60" t="s">
        <v>3041</v>
      </c>
      <c r="H60">
        <v>72</v>
      </c>
      <c r="I60">
        <v>21</v>
      </c>
      <c r="J60" s="49">
        <v>3.6111111111111112</v>
      </c>
      <c r="K60">
        <v>18</v>
      </c>
      <c r="L60">
        <v>21</v>
      </c>
      <c r="M60" s="49">
        <v>14.444444444444445</v>
      </c>
      <c r="N60">
        <v>9</v>
      </c>
      <c r="O60">
        <v>14</v>
      </c>
      <c r="P60" s="49">
        <v>28.888888888888889</v>
      </c>
      <c r="Q60">
        <v>1</v>
      </c>
      <c r="R60">
        <v>8</v>
      </c>
      <c r="S60">
        <v>1.3</v>
      </c>
      <c r="T60">
        <v>0</v>
      </c>
      <c r="U60" s="32">
        <v>260</v>
      </c>
      <c r="V60" s="32">
        <v>200</v>
      </c>
      <c r="Z60">
        <f ca="1"/>
        <v>0</v>
      </c>
    </row>
    <row r="61" spans="1:29" hidden="1">
      <c r="A61" t="b">
        <v>1</v>
      </c>
      <c r="B61" s="50">
        <v>45763</v>
      </c>
      <c r="C61" t="s">
        <v>3194</v>
      </c>
      <c r="D61" t="s">
        <v>1515</v>
      </c>
      <c r="E61" t="s">
        <v>136</v>
      </c>
      <c r="F61" t="s">
        <v>3041</v>
      </c>
      <c r="H61">
        <v>72</v>
      </c>
      <c r="I61">
        <v>21</v>
      </c>
      <c r="J61" s="49">
        <v>0.4513888888888889</v>
      </c>
      <c r="K61">
        <v>18</v>
      </c>
      <c r="L61">
        <v>21</v>
      </c>
      <c r="M61" s="49">
        <v>1.8055555555555556</v>
      </c>
      <c r="N61">
        <v>9</v>
      </c>
      <c r="O61">
        <v>14</v>
      </c>
      <c r="P61" s="49">
        <v>3.6111111111111112</v>
      </c>
      <c r="Q61">
        <v>1</v>
      </c>
      <c r="R61">
        <v>1</v>
      </c>
      <c r="S61">
        <v>1.3</v>
      </c>
      <c r="T61">
        <v>0</v>
      </c>
      <c r="U61" s="32">
        <v>32.5</v>
      </c>
      <c r="V61" s="32">
        <v>25</v>
      </c>
      <c r="Z61">
        <f ca="1"/>
        <v>0</v>
      </c>
    </row>
    <row r="62" spans="1:29" hidden="1">
      <c r="A62" t="b">
        <v>1</v>
      </c>
      <c r="B62" s="50">
        <v>45767</v>
      </c>
      <c r="C62" t="s">
        <v>2736</v>
      </c>
      <c r="D62" t="s">
        <v>1433</v>
      </c>
      <c r="E62" t="s">
        <v>62</v>
      </c>
      <c r="F62" t="s">
        <v>514</v>
      </c>
      <c r="H62">
        <v>128</v>
      </c>
      <c r="I62">
        <v>30</v>
      </c>
      <c r="J62" s="49">
        <v>1.07421875</v>
      </c>
      <c r="K62">
        <v>0</v>
      </c>
      <c r="L62">
        <v>0</v>
      </c>
      <c r="M62" s="49" t="s">
        <v>212</v>
      </c>
      <c r="N62">
        <v>0</v>
      </c>
      <c r="O62">
        <v>0</v>
      </c>
      <c r="P62" s="49" t="s">
        <v>212</v>
      </c>
      <c r="Q62">
        <v>3</v>
      </c>
      <c r="R62">
        <v>0.25</v>
      </c>
      <c r="S62">
        <v>1.1000000000000001</v>
      </c>
      <c r="T62">
        <v>0</v>
      </c>
      <c r="U62" s="32">
        <v>137.5</v>
      </c>
      <c r="V62" s="32">
        <v>124.99999999999999</v>
      </c>
      <c r="Z62">
        <f ca="1"/>
        <v>0</v>
      </c>
    </row>
    <row r="63" spans="1:29" hidden="1">
      <c r="A63" t="b">
        <v>1</v>
      </c>
      <c r="B63" s="50">
        <v>45767</v>
      </c>
      <c r="C63" t="s">
        <v>2742</v>
      </c>
      <c r="D63" t="s">
        <v>1433</v>
      </c>
      <c r="E63" t="s">
        <v>75</v>
      </c>
      <c r="F63" t="s">
        <v>614</v>
      </c>
      <c r="H63">
        <v>128</v>
      </c>
      <c r="I63">
        <v>26</v>
      </c>
      <c r="J63" s="49">
        <v>1.7187500000000002</v>
      </c>
      <c r="K63">
        <v>0</v>
      </c>
      <c r="L63">
        <v>0</v>
      </c>
      <c r="M63" s="49" t="s">
        <v>212</v>
      </c>
      <c r="N63">
        <v>0</v>
      </c>
      <c r="O63">
        <v>0</v>
      </c>
      <c r="P63" s="49" t="s">
        <v>212</v>
      </c>
      <c r="Q63">
        <v>4</v>
      </c>
      <c r="R63">
        <v>0.25</v>
      </c>
      <c r="S63">
        <v>1.1000000000000001</v>
      </c>
      <c r="T63">
        <v>0</v>
      </c>
      <c r="U63" s="32">
        <v>220.00000000000003</v>
      </c>
      <c r="V63" s="32">
        <v>200</v>
      </c>
      <c r="Z63">
        <f ca="1"/>
        <v>0</v>
      </c>
    </row>
    <row r="64" spans="1:29" hidden="1">
      <c r="A64" t="b">
        <v>1</v>
      </c>
      <c r="B64" s="50">
        <v>45767</v>
      </c>
      <c r="C64" t="s">
        <v>2767</v>
      </c>
      <c r="D64" t="s">
        <v>1477</v>
      </c>
      <c r="E64" t="s">
        <v>92</v>
      </c>
      <c r="F64" t="s">
        <v>2304</v>
      </c>
      <c r="H64">
        <v>128</v>
      </c>
      <c r="I64">
        <v>30</v>
      </c>
      <c r="J64" s="49">
        <v>2.708333333333333</v>
      </c>
      <c r="K64">
        <v>0</v>
      </c>
      <c r="L64">
        <v>0</v>
      </c>
      <c r="M64" s="49" t="s">
        <v>212</v>
      </c>
      <c r="N64">
        <v>0</v>
      </c>
      <c r="O64">
        <v>0</v>
      </c>
      <c r="P64" s="49" t="s">
        <v>212</v>
      </c>
      <c r="Q64">
        <v>1</v>
      </c>
      <c r="R64">
        <v>1</v>
      </c>
      <c r="S64">
        <v>1.3</v>
      </c>
      <c r="T64">
        <v>0</v>
      </c>
      <c r="U64" s="32">
        <v>346.66666666666663</v>
      </c>
      <c r="V64" s="32">
        <v>266.66666666666663</v>
      </c>
      <c r="Z64">
        <f ca="1"/>
        <v>0</v>
      </c>
    </row>
    <row r="65" spans="1:26" hidden="1">
      <c r="A65" t="b">
        <v>1</v>
      </c>
      <c r="B65" s="50">
        <v>45767</v>
      </c>
      <c r="C65" t="s">
        <v>2672</v>
      </c>
      <c r="D65" t="s">
        <v>1492</v>
      </c>
      <c r="E65" t="s">
        <v>131</v>
      </c>
      <c r="F65" t="s">
        <v>2011</v>
      </c>
      <c r="H65">
        <v>128</v>
      </c>
      <c r="I65">
        <v>24</v>
      </c>
      <c r="J65" s="49">
        <v>0.57291666666666663</v>
      </c>
      <c r="K65">
        <v>0</v>
      </c>
      <c r="L65">
        <v>0</v>
      </c>
      <c r="M65" s="49" t="s">
        <v>212</v>
      </c>
      <c r="N65">
        <v>0</v>
      </c>
      <c r="O65">
        <v>0</v>
      </c>
      <c r="P65" s="49" t="s">
        <v>212</v>
      </c>
      <c r="Q65">
        <v>1</v>
      </c>
      <c r="R65">
        <v>1</v>
      </c>
      <c r="S65">
        <v>1.1000000000000001</v>
      </c>
      <c r="T65">
        <v>0</v>
      </c>
      <c r="U65" s="32">
        <v>73.333333333333329</v>
      </c>
      <c r="V65" s="32">
        <v>66.666666666666657</v>
      </c>
      <c r="Z65">
        <f ca="1"/>
        <v>0</v>
      </c>
    </row>
    <row r="66" spans="1:26" hidden="1">
      <c r="A66" t="b">
        <v>1</v>
      </c>
      <c r="B66" s="50">
        <v>45771</v>
      </c>
      <c r="C66" t="s">
        <v>2732</v>
      </c>
      <c r="D66" t="s">
        <v>1461</v>
      </c>
      <c r="E66" t="s">
        <v>92</v>
      </c>
      <c r="F66" t="s">
        <v>540</v>
      </c>
      <c r="G66" t="s">
        <v>526</v>
      </c>
      <c r="H66">
        <v>128</v>
      </c>
      <c r="I66">
        <v>30</v>
      </c>
      <c r="J66" s="49">
        <v>1.0833333333333333</v>
      </c>
      <c r="K66">
        <v>0</v>
      </c>
      <c r="L66">
        <v>0</v>
      </c>
      <c r="M66" s="49" t="s">
        <v>212</v>
      </c>
      <c r="N66">
        <v>0</v>
      </c>
      <c r="O66">
        <v>0</v>
      </c>
      <c r="P66" s="49" t="s">
        <v>212</v>
      </c>
      <c r="Q66">
        <v>1</v>
      </c>
      <c r="R66">
        <v>0.4</v>
      </c>
      <c r="S66">
        <v>1.3</v>
      </c>
      <c r="T66">
        <v>0</v>
      </c>
      <c r="U66" s="32">
        <v>138.66666666666666</v>
      </c>
      <c r="V66" s="32">
        <v>106.66666666666666</v>
      </c>
      <c r="Z66">
        <f ca="1"/>
        <v>0</v>
      </c>
    </row>
    <row r="67" spans="1:26" hidden="1">
      <c r="A67" t="b">
        <v>1</v>
      </c>
      <c r="B67" s="50">
        <v>45791</v>
      </c>
      <c r="C67" t="s">
        <v>2737</v>
      </c>
      <c r="D67" t="s">
        <v>1433</v>
      </c>
      <c r="E67" t="s">
        <v>62</v>
      </c>
      <c r="F67" t="s">
        <v>514</v>
      </c>
      <c r="H67">
        <v>128</v>
      </c>
      <c r="I67">
        <v>30</v>
      </c>
      <c r="J67" s="49">
        <v>1.07421875</v>
      </c>
      <c r="K67">
        <v>0</v>
      </c>
      <c r="L67">
        <v>0</v>
      </c>
      <c r="M67" s="49" t="s">
        <v>212</v>
      </c>
      <c r="N67">
        <v>0</v>
      </c>
      <c r="O67">
        <v>0</v>
      </c>
      <c r="P67" s="49" t="s">
        <v>212</v>
      </c>
      <c r="Q67">
        <v>3</v>
      </c>
      <c r="R67">
        <v>0.25</v>
      </c>
      <c r="S67">
        <v>1.1000000000000001</v>
      </c>
      <c r="T67">
        <v>0</v>
      </c>
      <c r="U67" s="32">
        <v>137.5</v>
      </c>
      <c r="V67" s="32">
        <v>124.99999999999999</v>
      </c>
      <c r="Z67">
        <f ca="1"/>
        <v>0</v>
      </c>
    </row>
    <row r="68" spans="1:26" hidden="1">
      <c r="A68" t="b">
        <v>1</v>
      </c>
      <c r="B68" s="50">
        <v>45791</v>
      </c>
      <c r="C68" t="s">
        <v>2743</v>
      </c>
      <c r="D68" t="s">
        <v>1452</v>
      </c>
      <c r="E68" t="s">
        <v>75</v>
      </c>
      <c r="F68" t="s">
        <v>614</v>
      </c>
      <c r="H68">
        <v>128</v>
      </c>
      <c r="I68">
        <v>26</v>
      </c>
      <c r="J68" s="49">
        <v>1.7187500000000002</v>
      </c>
      <c r="K68">
        <v>0</v>
      </c>
      <c r="L68">
        <v>0</v>
      </c>
      <c r="M68" s="49" t="s">
        <v>212</v>
      </c>
      <c r="N68">
        <v>0</v>
      </c>
      <c r="O68">
        <v>0</v>
      </c>
      <c r="P68" s="49" t="s">
        <v>212</v>
      </c>
      <c r="Q68">
        <v>4</v>
      </c>
      <c r="R68">
        <v>0.25</v>
      </c>
      <c r="S68">
        <v>1.1000000000000001</v>
      </c>
      <c r="T68">
        <v>0</v>
      </c>
      <c r="U68" s="32">
        <v>220.00000000000003</v>
      </c>
      <c r="V68" s="32">
        <v>200</v>
      </c>
      <c r="Z68">
        <f ca="1"/>
        <v>0</v>
      </c>
    </row>
    <row r="69" spans="1:26" hidden="1">
      <c r="A69" t="b">
        <v>1</v>
      </c>
      <c r="B69" s="50">
        <v>45791</v>
      </c>
      <c r="C69" t="s">
        <v>2733</v>
      </c>
      <c r="D69" t="s">
        <v>1463</v>
      </c>
      <c r="E69" t="s">
        <v>92</v>
      </c>
      <c r="F69" t="s">
        <v>2229</v>
      </c>
      <c r="G69" t="s">
        <v>503</v>
      </c>
      <c r="H69">
        <v>128</v>
      </c>
      <c r="I69">
        <v>30</v>
      </c>
      <c r="J69" s="49">
        <v>1.0833333333333333</v>
      </c>
      <c r="K69">
        <v>0</v>
      </c>
      <c r="L69">
        <v>0</v>
      </c>
      <c r="M69" s="49" t="s">
        <v>212</v>
      </c>
      <c r="N69">
        <v>0</v>
      </c>
      <c r="O69">
        <v>0</v>
      </c>
      <c r="P69" s="49" t="s">
        <v>212</v>
      </c>
      <c r="Q69">
        <v>1</v>
      </c>
      <c r="R69">
        <v>0.4</v>
      </c>
      <c r="S69">
        <v>1.3</v>
      </c>
      <c r="T69">
        <v>0</v>
      </c>
      <c r="U69" s="32">
        <v>138.66666666666666</v>
      </c>
      <c r="V69" s="32">
        <v>106.66666666666666</v>
      </c>
      <c r="Z69">
        <f ca="1"/>
        <v>0</v>
      </c>
    </row>
    <row r="70" spans="1:26" hidden="1">
      <c r="A70" t="b">
        <v>1</v>
      </c>
      <c r="B70" s="50">
        <v>45791</v>
      </c>
      <c r="C70" t="s">
        <v>2768</v>
      </c>
      <c r="D70" t="s">
        <v>1493</v>
      </c>
      <c r="E70" t="s">
        <v>92</v>
      </c>
      <c r="F70" t="s">
        <v>2304</v>
      </c>
      <c r="H70">
        <v>128</v>
      </c>
      <c r="I70">
        <v>30</v>
      </c>
      <c r="J70" s="49">
        <v>2.708333333333333</v>
      </c>
      <c r="K70">
        <v>0</v>
      </c>
      <c r="L70">
        <v>0</v>
      </c>
      <c r="M70" s="49" t="s">
        <v>212</v>
      </c>
      <c r="N70">
        <v>0</v>
      </c>
      <c r="O70">
        <v>0</v>
      </c>
      <c r="P70" s="49" t="s">
        <v>212</v>
      </c>
      <c r="Q70">
        <v>1</v>
      </c>
      <c r="R70">
        <v>1</v>
      </c>
      <c r="S70">
        <v>1.3</v>
      </c>
      <c r="T70">
        <v>0</v>
      </c>
      <c r="U70" s="32">
        <v>346.66666666666663</v>
      </c>
      <c r="V70" s="32">
        <v>266.66666666666663</v>
      </c>
      <c r="Z70">
        <f ca="1"/>
        <v>0</v>
      </c>
    </row>
    <row r="71" spans="1:26" hidden="1">
      <c r="A71" t="b">
        <v>1</v>
      </c>
      <c r="B71" s="50">
        <v>45791</v>
      </c>
      <c r="C71" t="s">
        <v>2763</v>
      </c>
      <c r="D71" t="s">
        <v>1501</v>
      </c>
      <c r="E71" t="s">
        <v>119</v>
      </c>
      <c r="F71" t="s">
        <v>1851</v>
      </c>
      <c r="H71">
        <v>128</v>
      </c>
      <c r="I71">
        <v>42</v>
      </c>
      <c r="J71" s="49">
        <v>2.7500000000000004</v>
      </c>
      <c r="K71">
        <v>0</v>
      </c>
      <c r="L71">
        <v>0</v>
      </c>
      <c r="M71" s="49" t="s">
        <v>212</v>
      </c>
      <c r="N71">
        <v>0</v>
      </c>
      <c r="O71">
        <v>0</v>
      </c>
      <c r="P71" s="49" t="s">
        <v>212</v>
      </c>
      <c r="Q71">
        <v>6</v>
      </c>
      <c r="R71">
        <v>0.8</v>
      </c>
      <c r="S71">
        <v>1.1000000000000001</v>
      </c>
      <c r="T71">
        <v>17</v>
      </c>
      <c r="U71" s="32">
        <v>352.00000000000006</v>
      </c>
      <c r="V71" s="32">
        <v>320</v>
      </c>
      <c r="Z71">
        <f ca="1"/>
        <v>0</v>
      </c>
    </row>
    <row r="72" spans="1:26" hidden="1">
      <c r="A72" t="b">
        <v>1</v>
      </c>
      <c r="B72" s="50">
        <v>45796</v>
      </c>
      <c r="C72" t="s">
        <v>2623</v>
      </c>
      <c r="D72" t="s">
        <v>1429</v>
      </c>
      <c r="E72" t="s">
        <v>43</v>
      </c>
      <c r="F72" t="s">
        <v>709</v>
      </c>
      <c r="H72">
        <v>128</v>
      </c>
      <c r="I72">
        <v>40</v>
      </c>
      <c r="J72" s="49">
        <v>2.03125</v>
      </c>
      <c r="K72">
        <v>0</v>
      </c>
      <c r="L72">
        <v>0</v>
      </c>
      <c r="M72" s="49" t="s">
        <v>212</v>
      </c>
      <c r="N72">
        <v>0</v>
      </c>
      <c r="O72">
        <v>0</v>
      </c>
      <c r="P72" s="49" t="s">
        <v>212</v>
      </c>
      <c r="Q72">
        <v>1</v>
      </c>
      <c r="R72">
        <v>1</v>
      </c>
      <c r="S72">
        <v>1.3</v>
      </c>
      <c r="T72">
        <v>10</v>
      </c>
      <c r="U72" s="32">
        <v>260</v>
      </c>
      <c r="V72" s="32">
        <v>200</v>
      </c>
      <c r="Z72">
        <f ca="1"/>
        <v>0</v>
      </c>
    </row>
    <row r="73" spans="1:26" hidden="1">
      <c r="A73" t="b">
        <v>1</v>
      </c>
      <c r="B73" s="50">
        <v>45796</v>
      </c>
      <c r="C73" t="s">
        <v>2624</v>
      </c>
      <c r="D73" t="s">
        <v>1478</v>
      </c>
      <c r="E73" t="s">
        <v>44</v>
      </c>
      <c r="F73" t="s">
        <v>2783</v>
      </c>
      <c r="H73">
        <v>128</v>
      </c>
      <c r="I73">
        <v>14</v>
      </c>
      <c r="J73" s="49">
        <v>1.5625</v>
      </c>
      <c r="K73">
        <v>0</v>
      </c>
      <c r="L73">
        <v>0</v>
      </c>
      <c r="M73" s="49" t="s">
        <v>212</v>
      </c>
      <c r="N73">
        <v>0</v>
      </c>
      <c r="O73">
        <v>0</v>
      </c>
      <c r="P73" s="49" t="s">
        <v>212</v>
      </c>
      <c r="Q73">
        <v>3</v>
      </c>
      <c r="R73">
        <v>2</v>
      </c>
      <c r="S73">
        <v>1</v>
      </c>
      <c r="T73">
        <v>0</v>
      </c>
      <c r="U73" s="32">
        <v>200</v>
      </c>
      <c r="V73" s="32">
        <v>200</v>
      </c>
      <c r="Z73">
        <f ca="1"/>
        <v>0</v>
      </c>
    </row>
    <row r="74" spans="1:26" hidden="1">
      <c r="A74" t="b">
        <v>1</v>
      </c>
      <c r="B74" s="50">
        <v>45796</v>
      </c>
      <c r="C74" t="s">
        <v>3190</v>
      </c>
      <c r="D74" t="s">
        <v>1491</v>
      </c>
      <c r="E74" t="s">
        <v>44</v>
      </c>
      <c r="F74" t="s">
        <v>2783</v>
      </c>
      <c r="H74">
        <v>128</v>
      </c>
      <c r="I74">
        <v>14</v>
      </c>
      <c r="J74" s="49">
        <v>0.78125</v>
      </c>
      <c r="K74">
        <v>0</v>
      </c>
      <c r="L74">
        <v>0</v>
      </c>
      <c r="M74" s="49" t="s">
        <v>212</v>
      </c>
      <c r="N74">
        <v>0</v>
      </c>
      <c r="O74">
        <v>0</v>
      </c>
      <c r="P74" s="49" t="s">
        <v>212</v>
      </c>
      <c r="Q74">
        <v>3</v>
      </c>
      <c r="R74">
        <v>1</v>
      </c>
      <c r="S74">
        <v>1</v>
      </c>
      <c r="T74">
        <v>0</v>
      </c>
      <c r="U74" s="32">
        <v>100</v>
      </c>
      <c r="V74" s="32">
        <v>100</v>
      </c>
      <c r="Z74">
        <f ca="1"/>
        <v>0</v>
      </c>
    </row>
    <row r="75" spans="1:26" hidden="1">
      <c r="A75" t="b">
        <v>1</v>
      </c>
      <c r="B75" s="50">
        <v>45796</v>
      </c>
      <c r="C75" t="s">
        <v>3188</v>
      </c>
      <c r="D75" t="s">
        <v>1487</v>
      </c>
      <c r="E75" t="s">
        <v>92</v>
      </c>
      <c r="F75" t="s">
        <v>2816</v>
      </c>
      <c r="H75">
        <v>128</v>
      </c>
      <c r="I75">
        <v>30</v>
      </c>
      <c r="J75" s="49">
        <v>2.708333333333333</v>
      </c>
      <c r="K75">
        <v>0</v>
      </c>
      <c r="L75">
        <v>0</v>
      </c>
      <c r="M75" s="49" t="s">
        <v>212</v>
      </c>
      <c r="N75">
        <v>0</v>
      </c>
      <c r="O75">
        <v>0</v>
      </c>
      <c r="P75" s="49" t="s">
        <v>212</v>
      </c>
      <c r="Q75">
        <v>1</v>
      </c>
      <c r="R75">
        <v>1</v>
      </c>
      <c r="S75">
        <v>1.3</v>
      </c>
      <c r="T75">
        <v>0</v>
      </c>
      <c r="U75" s="32">
        <v>346.66666666666663</v>
      </c>
      <c r="V75" s="32">
        <v>266.66666666666663</v>
      </c>
      <c r="Z75">
        <f ca="1"/>
        <v>0</v>
      </c>
    </row>
    <row r="76" spans="1:26" hidden="1">
      <c r="A76" t="b">
        <v>1</v>
      </c>
      <c r="B76" s="50">
        <v>45829</v>
      </c>
      <c r="C76" t="s">
        <v>2626</v>
      </c>
      <c r="D76" t="s">
        <v>1495</v>
      </c>
      <c r="E76" t="s">
        <v>46</v>
      </c>
      <c r="F76" t="s">
        <v>494</v>
      </c>
      <c r="H76">
        <v>128</v>
      </c>
      <c r="I76">
        <v>35</v>
      </c>
      <c r="J76" s="49">
        <v>2.578125</v>
      </c>
      <c r="K76">
        <v>0</v>
      </c>
      <c r="L76">
        <v>0</v>
      </c>
      <c r="M76" s="49" t="s">
        <v>212</v>
      </c>
      <c r="N76">
        <v>0</v>
      </c>
      <c r="O76">
        <v>0</v>
      </c>
      <c r="P76" s="49" t="s">
        <v>212</v>
      </c>
      <c r="Q76">
        <v>3</v>
      </c>
      <c r="R76">
        <v>2</v>
      </c>
      <c r="S76">
        <v>1.1000000000000001</v>
      </c>
      <c r="T76">
        <v>0</v>
      </c>
      <c r="U76" s="32">
        <v>330</v>
      </c>
      <c r="V76" s="32">
        <v>300</v>
      </c>
      <c r="Z76">
        <f ca="1"/>
        <v>0</v>
      </c>
    </row>
    <row r="77" spans="1:26" hidden="1">
      <c r="A77" t="b">
        <v>1</v>
      </c>
      <c r="B77" s="50">
        <v>45829</v>
      </c>
      <c r="C77" t="s">
        <v>2778</v>
      </c>
      <c r="D77" t="s">
        <v>1490</v>
      </c>
      <c r="E77" t="s">
        <v>49</v>
      </c>
      <c r="F77" t="s">
        <v>2852</v>
      </c>
      <c r="H77">
        <v>72</v>
      </c>
      <c r="I77">
        <v>28</v>
      </c>
      <c r="J77" s="49">
        <v>1.8055555555555556</v>
      </c>
      <c r="K77">
        <v>0</v>
      </c>
      <c r="L77">
        <v>0</v>
      </c>
      <c r="M77" s="49" t="s">
        <v>212</v>
      </c>
      <c r="N77">
        <v>0</v>
      </c>
      <c r="O77">
        <v>0</v>
      </c>
      <c r="P77" s="49" t="s">
        <v>212</v>
      </c>
      <c r="Q77">
        <v>1</v>
      </c>
      <c r="R77">
        <v>1</v>
      </c>
      <c r="S77">
        <v>1.3</v>
      </c>
      <c r="T77">
        <v>0</v>
      </c>
      <c r="U77" s="32">
        <v>130</v>
      </c>
      <c r="V77" s="32">
        <v>100</v>
      </c>
      <c r="Z77">
        <f ca="1"/>
        <v>0</v>
      </c>
    </row>
    <row r="78" spans="1:26" hidden="1">
      <c r="A78" t="b">
        <v>1</v>
      </c>
      <c r="B78" s="50">
        <v>45829</v>
      </c>
      <c r="C78" t="s">
        <v>2628</v>
      </c>
      <c r="D78" t="s">
        <v>1468</v>
      </c>
      <c r="E78" t="s">
        <v>52</v>
      </c>
      <c r="F78" t="s">
        <v>1898</v>
      </c>
      <c r="H78">
        <v>400</v>
      </c>
      <c r="I78">
        <v>7</v>
      </c>
      <c r="J78" s="49">
        <v>0.18333333333333332</v>
      </c>
      <c r="K78">
        <v>72</v>
      </c>
      <c r="L78">
        <v>28</v>
      </c>
      <c r="M78" s="49">
        <v>1.0185185185185184</v>
      </c>
      <c r="N78">
        <v>0</v>
      </c>
      <c r="O78">
        <v>0</v>
      </c>
      <c r="P78" s="49" t="s">
        <v>212</v>
      </c>
      <c r="Q78">
        <v>1</v>
      </c>
      <c r="R78">
        <v>1</v>
      </c>
      <c r="S78">
        <v>1.1000000000000001</v>
      </c>
      <c r="T78">
        <v>0</v>
      </c>
      <c r="U78" s="32">
        <v>73.333333333333329</v>
      </c>
      <c r="V78" s="32">
        <v>66.666666666666657</v>
      </c>
      <c r="Z78">
        <f ca="1"/>
        <v>0</v>
      </c>
    </row>
    <row r="79" spans="1:26" hidden="1">
      <c r="A79" t="b">
        <v>1</v>
      </c>
      <c r="B79" s="50">
        <v>45829</v>
      </c>
      <c r="C79" t="s">
        <v>2629</v>
      </c>
      <c r="D79" t="s">
        <v>1476</v>
      </c>
      <c r="E79" t="s">
        <v>52</v>
      </c>
      <c r="F79" t="s">
        <v>1905</v>
      </c>
      <c r="H79">
        <v>400</v>
      </c>
      <c r="I79">
        <v>7</v>
      </c>
      <c r="J79" s="49">
        <v>0.22000000000000003</v>
      </c>
      <c r="K79">
        <v>72</v>
      </c>
      <c r="L79">
        <v>21</v>
      </c>
      <c r="M79" s="49">
        <v>1.2222222222222223</v>
      </c>
      <c r="N79">
        <v>0</v>
      </c>
      <c r="O79">
        <v>0</v>
      </c>
      <c r="P79" s="49" t="s">
        <v>212</v>
      </c>
      <c r="Q79">
        <v>1</v>
      </c>
      <c r="R79">
        <v>1</v>
      </c>
      <c r="S79">
        <v>1.1000000000000001</v>
      </c>
      <c r="T79">
        <v>0</v>
      </c>
      <c r="U79" s="32">
        <v>88.000000000000014</v>
      </c>
      <c r="V79" s="32">
        <v>80</v>
      </c>
      <c r="Z79">
        <f ca="1"/>
        <v>0</v>
      </c>
    </row>
    <row r="80" spans="1:26" hidden="1">
      <c r="A80" t="b">
        <v>1</v>
      </c>
      <c r="B80" s="50">
        <v>45829</v>
      </c>
      <c r="C80" t="s">
        <v>2635</v>
      </c>
      <c r="D80" t="s">
        <v>1467</v>
      </c>
      <c r="E80" t="s">
        <v>54</v>
      </c>
      <c r="F80" t="s">
        <v>1906</v>
      </c>
      <c r="H80">
        <v>400</v>
      </c>
      <c r="I80">
        <v>7</v>
      </c>
      <c r="J80" s="49">
        <v>0.14285714285714285</v>
      </c>
      <c r="K80">
        <v>128</v>
      </c>
      <c r="L80">
        <v>28</v>
      </c>
      <c r="M80" s="49">
        <v>0.4464285714285714</v>
      </c>
      <c r="N80">
        <v>0</v>
      </c>
      <c r="O80">
        <v>0</v>
      </c>
      <c r="P80" s="49" t="s">
        <v>212</v>
      </c>
      <c r="Q80">
        <v>1</v>
      </c>
      <c r="R80">
        <v>1</v>
      </c>
      <c r="S80">
        <v>1</v>
      </c>
      <c r="T80">
        <v>0</v>
      </c>
      <c r="U80" s="32">
        <v>57.142857142857139</v>
      </c>
      <c r="V80" s="32">
        <v>57.142857142857139</v>
      </c>
      <c r="Z80">
        <f ca="1"/>
        <v>0</v>
      </c>
    </row>
    <row r="81" spans="1:26" hidden="1">
      <c r="A81" t="b">
        <v>1</v>
      </c>
      <c r="B81" s="50">
        <v>45829</v>
      </c>
      <c r="C81" t="s">
        <v>2665</v>
      </c>
      <c r="D81" t="s">
        <v>1456</v>
      </c>
      <c r="E81" t="s">
        <v>356</v>
      </c>
      <c r="F81" t="s">
        <v>570</v>
      </c>
      <c r="H81">
        <v>72</v>
      </c>
      <c r="I81">
        <v>30</v>
      </c>
      <c r="J81" s="49">
        <v>4.3333333333333339</v>
      </c>
      <c r="K81">
        <v>0</v>
      </c>
      <c r="L81">
        <v>0</v>
      </c>
      <c r="M81" s="49" t="s">
        <v>212</v>
      </c>
      <c r="N81">
        <v>0</v>
      </c>
      <c r="O81">
        <v>0</v>
      </c>
      <c r="P81" s="49" t="s">
        <v>212</v>
      </c>
      <c r="Q81">
        <v>1</v>
      </c>
      <c r="R81">
        <v>1.6</v>
      </c>
      <c r="S81">
        <v>1.3</v>
      </c>
      <c r="T81">
        <v>0</v>
      </c>
      <c r="U81" s="32">
        <v>312.00000000000006</v>
      </c>
      <c r="V81" s="32">
        <v>240.00000000000003</v>
      </c>
      <c r="Z81" t="str">
        <f ca="1"/>
        <v>b</v>
      </c>
    </row>
    <row r="82" spans="1:26" hidden="1">
      <c r="A82" t="b">
        <v>1</v>
      </c>
      <c r="B82" s="50">
        <v>45839</v>
      </c>
      <c r="C82" t="s">
        <v>2808</v>
      </c>
      <c r="D82" t="s">
        <v>1489</v>
      </c>
      <c r="E82" t="s">
        <v>54</v>
      </c>
      <c r="F82" t="s">
        <v>2809</v>
      </c>
      <c r="G82" t="s">
        <v>490</v>
      </c>
      <c r="H82">
        <v>400</v>
      </c>
      <c r="I82">
        <v>7</v>
      </c>
      <c r="J82" s="49">
        <v>0.14285714285714285</v>
      </c>
      <c r="K82">
        <v>128</v>
      </c>
      <c r="L82">
        <v>28</v>
      </c>
      <c r="M82" s="49">
        <v>0.4464285714285714</v>
      </c>
      <c r="N82">
        <v>0</v>
      </c>
      <c r="O82">
        <v>0</v>
      </c>
      <c r="P82" s="49" t="s">
        <v>212</v>
      </c>
      <c r="Q82">
        <v>1</v>
      </c>
      <c r="R82">
        <v>1</v>
      </c>
      <c r="S82">
        <v>1</v>
      </c>
      <c r="T82">
        <v>0</v>
      </c>
      <c r="U82" s="32">
        <v>57.142857142857139</v>
      </c>
      <c r="V82" s="32">
        <v>57.142857142857139</v>
      </c>
      <c r="Y82" t="s">
        <v>1397</v>
      </c>
      <c r="Z82" t="str">
        <f ca="1"/>
        <v>c</v>
      </c>
    </row>
    <row r="83" spans="1:26" hidden="1">
      <c r="A83" t="b">
        <v>1</v>
      </c>
      <c r="B83" s="50">
        <v>45839</v>
      </c>
      <c r="C83" t="s">
        <v>2772</v>
      </c>
      <c r="D83" t="s">
        <v>1460</v>
      </c>
      <c r="E83" t="s">
        <v>92</v>
      </c>
      <c r="F83" t="s">
        <v>2815</v>
      </c>
      <c r="G83" t="s">
        <v>484</v>
      </c>
      <c r="H83">
        <v>128</v>
      </c>
      <c r="I83">
        <v>30</v>
      </c>
      <c r="J83" s="49">
        <v>1.0833333333333333</v>
      </c>
      <c r="K83">
        <v>0</v>
      </c>
      <c r="L83">
        <v>0</v>
      </c>
      <c r="M83" s="49" t="s">
        <v>212</v>
      </c>
      <c r="N83">
        <v>0</v>
      </c>
      <c r="O83">
        <v>0</v>
      </c>
      <c r="P83" s="49" t="s">
        <v>212</v>
      </c>
      <c r="Q83">
        <v>1</v>
      </c>
      <c r="R83">
        <v>0.4</v>
      </c>
      <c r="S83">
        <v>1.3</v>
      </c>
      <c r="T83">
        <v>0</v>
      </c>
      <c r="U83" s="32">
        <v>138.66666666666666</v>
      </c>
      <c r="V83" s="32">
        <v>106.66666666666666</v>
      </c>
      <c r="Y83" t="s">
        <v>1398</v>
      </c>
      <c r="Z83" t="str">
        <f ca="1"/>
        <v>d</v>
      </c>
    </row>
    <row r="84" spans="1:26" hidden="1">
      <c r="A84" t="b">
        <v>1</v>
      </c>
      <c r="B84" s="50">
        <v>45839</v>
      </c>
      <c r="C84" t="s">
        <v>2769</v>
      </c>
      <c r="D84" t="s">
        <v>1494</v>
      </c>
      <c r="E84" t="s">
        <v>92</v>
      </c>
      <c r="F84" t="s">
        <v>2304</v>
      </c>
      <c r="H84">
        <v>128</v>
      </c>
      <c r="I84">
        <v>30</v>
      </c>
      <c r="J84" s="49">
        <v>2.708333333333333</v>
      </c>
      <c r="K84">
        <v>0</v>
      </c>
      <c r="L84">
        <v>0</v>
      </c>
      <c r="M84" s="49" t="s">
        <v>212</v>
      </c>
      <c r="N84">
        <v>0</v>
      </c>
      <c r="O84">
        <v>0</v>
      </c>
      <c r="P84" s="49" t="s">
        <v>212</v>
      </c>
      <c r="Q84">
        <v>1</v>
      </c>
      <c r="R84">
        <v>1</v>
      </c>
      <c r="S84">
        <v>1.3</v>
      </c>
      <c r="T84">
        <v>0</v>
      </c>
      <c r="U84" s="32">
        <v>346.66666666666663</v>
      </c>
      <c r="V84" s="32">
        <v>266.66666666666663</v>
      </c>
      <c r="Y84" t="s">
        <v>1399</v>
      </c>
      <c r="Z84" t="str">
        <f ca="1"/>
        <v>e</v>
      </c>
    </row>
    <row r="85" spans="1:26" hidden="1">
      <c r="A85" t="b">
        <v>1</v>
      </c>
      <c r="B85" s="50">
        <v>45839</v>
      </c>
      <c r="C85" t="s">
        <v>2667</v>
      </c>
      <c r="D85" t="s">
        <v>1448</v>
      </c>
      <c r="E85" t="s">
        <v>114</v>
      </c>
      <c r="F85" t="s">
        <v>577</v>
      </c>
      <c r="H85">
        <v>128</v>
      </c>
      <c r="I85">
        <v>25</v>
      </c>
      <c r="J85" s="49">
        <v>2.03125</v>
      </c>
      <c r="K85">
        <v>0</v>
      </c>
      <c r="L85">
        <v>0</v>
      </c>
      <c r="M85" s="49" t="s">
        <v>212</v>
      </c>
      <c r="N85">
        <v>0</v>
      </c>
      <c r="O85">
        <v>0</v>
      </c>
      <c r="P85" s="49" t="s">
        <v>212</v>
      </c>
      <c r="Q85">
        <v>1</v>
      </c>
      <c r="R85">
        <v>1</v>
      </c>
      <c r="S85">
        <v>1.3</v>
      </c>
      <c r="T85">
        <v>7</v>
      </c>
      <c r="U85" s="32">
        <v>260</v>
      </c>
      <c r="V85" s="32">
        <v>200</v>
      </c>
      <c r="Y85" t="s">
        <v>1400</v>
      </c>
      <c r="Z85">
        <f ca="1"/>
        <v>0</v>
      </c>
    </row>
    <row r="86" spans="1:26" hidden="1">
      <c r="A86" t="b">
        <v>1</v>
      </c>
      <c r="B86" s="50">
        <v>45841</v>
      </c>
      <c r="C86" t="s">
        <v>2800</v>
      </c>
      <c r="D86" t="s">
        <v>1477</v>
      </c>
      <c r="E86" t="s">
        <v>52</v>
      </c>
      <c r="F86" t="s">
        <v>2792</v>
      </c>
      <c r="H86">
        <v>400</v>
      </c>
      <c r="I86">
        <v>7</v>
      </c>
      <c r="J86" s="49">
        <v>0.41250000000000003</v>
      </c>
      <c r="K86">
        <v>72</v>
      </c>
      <c r="L86">
        <v>21</v>
      </c>
      <c r="M86" s="49">
        <v>2.291666666666667</v>
      </c>
      <c r="N86">
        <v>0</v>
      </c>
      <c r="O86">
        <v>0</v>
      </c>
      <c r="P86" s="49" t="s">
        <v>212</v>
      </c>
      <c r="Q86">
        <v>1</v>
      </c>
      <c r="R86">
        <v>1</v>
      </c>
      <c r="S86">
        <v>1.1000000000000001</v>
      </c>
      <c r="T86">
        <v>0</v>
      </c>
      <c r="U86" s="32">
        <v>165</v>
      </c>
      <c r="V86" s="32">
        <v>150</v>
      </c>
    </row>
    <row r="87" spans="1:26" hidden="1">
      <c r="A87" t="b">
        <v>1</v>
      </c>
      <c r="B87" s="50">
        <v>45841</v>
      </c>
      <c r="C87" t="s">
        <v>2647</v>
      </c>
      <c r="D87" t="s">
        <v>1424</v>
      </c>
      <c r="E87" t="s">
        <v>89</v>
      </c>
      <c r="F87" t="s">
        <v>1918</v>
      </c>
      <c r="H87">
        <v>128</v>
      </c>
      <c r="I87">
        <v>25</v>
      </c>
      <c r="J87" s="49">
        <v>3.046875</v>
      </c>
      <c r="K87">
        <v>0</v>
      </c>
      <c r="L87">
        <v>0</v>
      </c>
      <c r="M87" s="49" t="s">
        <v>212</v>
      </c>
      <c r="N87">
        <v>0</v>
      </c>
      <c r="O87">
        <v>0</v>
      </c>
      <c r="P87" s="49" t="s">
        <v>212</v>
      </c>
      <c r="Q87">
        <v>1</v>
      </c>
      <c r="R87">
        <v>1</v>
      </c>
      <c r="S87">
        <v>1.3</v>
      </c>
      <c r="T87">
        <v>0</v>
      </c>
      <c r="U87" s="32">
        <v>390</v>
      </c>
      <c r="V87" s="32">
        <v>300</v>
      </c>
    </row>
    <row r="88" spans="1:26">
      <c r="A88" t="b">
        <v>0</v>
      </c>
      <c r="B88" s="50">
        <v>45846</v>
      </c>
      <c r="C88" t="s">
        <v>3265</v>
      </c>
      <c r="D88" t="s">
        <v>1432</v>
      </c>
      <c r="E88" t="s">
        <v>60</v>
      </c>
      <c r="F88" t="s">
        <v>511</v>
      </c>
      <c r="G88" t="s">
        <v>490</v>
      </c>
      <c r="H88">
        <v>128</v>
      </c>
      <c r="I88">
        <v>30</v>
      </c>
      <c r="J88" s="49">
        <v>4.0625</v>
      </c>
      <c r="K88">
        <v>0</v>
      </c>
      <c r="L88">
        <v>0</v>
      </c>
      <c r="M88" s="49" t="s">
        <v>212</v>
      </c>
      <c r="N88">
        <v>0</v>
      </c>
      <c r="O88">
        <v>0</v>
      </c>
      <c r="P88" s="49" t="s">
        <v>212</v>
      </c>
      <c r="Q88">
        <v>1</v>
      </c>
      <c r="R88">
        <v>1</v>
      </c>
      <c r="S88">
        <v>1.3</v>
      </c>
      <c r="T88">
        <v>0</v>
      </c>
      <c r="U88" s="32">
        <v>520</v>
      </c>
      <c r="V88" s="32">
        <v>400</v>
      </c>
    </row>
    <row r="89" spans="1:26">
      <c r="A89" t="b">
        <v>0</v>
      </c>
      <c r="B89" s="50">
        <v>45848</v>
      </c>
      <c r="C89" t="s">
        <v>3263</v>
      </c>
      <c r="D89" t="s">
        <v>1461</v>
      </c>
      <c r="E89" t="s">
        <v>49</v>
      </c>
      <c r="F89" t="s">
        <v>2852</v>
      </c>
      <c r="H89">
        <v>72</v>
      </c>
      <c r="I89">
        <v>28</v>
      </c>
      <c r="J89" s="49">
        <v>0.72222222222222232</v>
      </c>
      <c r="K89">
        <v>0</v>
      </c>
      <c r="L89">
        <v>0</v>
      </c>
      <c r="M89" s="49" t="s">
        <v>212</v>
      </c>
      <c r="N89">
        <v>0</v>
      </c>
      <c r="O89">
        <v>0</v>
      </c>
      <c r="P89" s="49" t="s">
        <v>212</v>
      </c>
      <c r="Q89">
        <v>1</v>
      </c>
      <c r="R89">
        <v>0.4</v>
      </c>
      <c r="S89">
        <v>1.3</v>
      </c>
      <c r="T89">
        <v>0</v>
      </c>
      <c r="U89" s="32">
        <v>52.000000000000007</v>
      </c>
      <c r="V89" s="32">
        <v>40.000000000000007</v>
      </c>
    </row>
    <row r="90" spans="1:26">
      <c r="A90" t="b">
        <v>0</v>
      </c>
      <c r="B90" s="50">
        <v>45849</v>
      </c>
      <c r="C90" t="s">
        <v>3261</v>
      </c>
      <c r="D90" t="s">
        <v>1447</v>
      </c>
      <c r="E90" t="s">
        <v>46</v>
      </c>
      <c r="H90">
        <v>128</v>
      </c>
      <c r="I90">
        <v>35</v>
      </c>
      <c r="J90" s="49">
        <v>1.2890625</v>
      </c>
      <c r="K90">
        <v>0</v>
      </c>
      <c r="L90">
        <v>0</v>
      </c>
      <c r="M90" s="49" t="s">
        <v>212</v>
      </c>
      <c r="N90">
        <v>0</v>
      </c>
      <c r="O90">
        <v>0</v>
      </c>
      <c r="P90" s="49" t="s">
        <v>212</v>
      </c>
      <c r="Q90">
        <v>3</v>
      </c>
      <c r="R90">
        <v>1</v>
      </c>
      <c r="S90">
        <v>1.1000000000000001</v>
      </c>
      <c r="T90">
        <v>0</v>
      </c>
      <c r="U90" s="32">
        <v>165</v>
      </c>
      <c r="V90" s="32">
        <v>150</v>
      </c>
    </row>
    <row r="91" spans="1:26">
      <c r="A91" t="b">
        <v>0</v>
      </c>
      <c r="B91" s="50">
        <v>45853</v>
      </c>
      <c r="C91" t="s">
        <v>2771</v>
      </c>
      <c r="D91" t="s">
        <v>1493</v>
      </c>
      <c r="E91" t="s">
        <v>92</v>
      </c>
      <c r="F91" t="s">
        <v>2304</v>
      </c>
      <c r="H91">
        <v>128</v>
      </c>
      <c r="I91">
        <v>30</v>
      </c>
      <c r="J91" s="49">
        <v>2.708333333333333</v>
      </c>
      <c r="K91">
        <v>0</v>
      </c>
      <c r="L91">
        <v>0</v>
      </c>
      <c r="M91" s="49" t="s">
        <v>212</v>
      </c>
      <c r="N91">
        <v>0</v>
      </c>
      <c r="O91">
        <v>0</v>
      </c>
      <c r="P91" s="49" t="s">
        <v>212</v>
      </c>
      <c r="Q91">
        <v>1</v>
      </c>
      <c r="R91">
        <v>1</v>
      </c>
      <c r="S91">
        <v>1.3</v>
      </c>
      <c r="T91">
        <v>0</v>
      </c>
      <c r="U91" s="32">
        <v>346.66666666666663</v>
      </c>
      <c r="V91" s="32">
        <v>266.66666666666663</v>
      </c>
    </row>
    <row r="92" spans="1:26">
      <c r="A92" t="b">
        <v>0</v>
      </c>
      <c r="B92" s="50">
        <v>45854</v>
      </c>
      <c r="C92" t="s">
        <v>2740</v>
      </c>
      <c r="E92" t="s">
        <v>62</v>
      </c>
      <c r="F92" t="s">
        <v>514</v>
      </c>
      <c r="H92">
        <v>128</v>
      </c>
      <c r="I92">
        <v>30</v>
      </c>
      <c r="J92" s="49">
        <v>1.07421875</v>
      </c>
      <c r="K92">
        <v>0</v>
      </c>
      <c r="L92">
        <v>0</v>
      </c>
      <c r="M92" s="49" t="s">
        <v>212</v>
      </c>
      <c r="N92">
        <v>0</v>
      </c>
      <c r="O92">
        <v>0</v>
      </c>
      <c r="P92" s="49" t="s">
        <v>212</v>
      </c>
      <c r="Q92">
        <v>3</v>
      </c>
      <c r="R92">
        <v>0.25</v>
      </c>
      <c r="S92">
        <v>1.1000000000000001</v>
      </c>
      <c r="T92">
        <v>0</v>
      </c>
      <c r="U92" s="32">
        <v>137.5</v>
      </c>
      <c r="V92" s="32">
        <v>124.99999999999999</v>
      </c>
    </row>
    <row r="93" spans="1:26">
      <c r="A93" t="b">
        <v>0</v>
      </c>
      <c r="B93" s="50">
        <v>45854</v>
      </c>
      <c r="C93" t="s">
        <v>2774</v>
      </c>
      <c r="D93" t="s">
        <v>1462</v>
      </c>
      <c r="E93" t="s">
        <v>92</v>
      </c>
      <c r="F93" t="s">
        <v>1542</v>
      </c>
      <c r="G93" t="s">
        <v>482</v>
      </c>
      <c r="H93">
        <v>128</v>
      </c>
      <c r="I93">
        <v>30</v>
      </c>
      <c r="J93" s="49">
        <v>1.0833333333333333</v>
      </c>
      <c r="K93">
        <v>0</v>
      </c>
      <c r="L93">
        <v>0</v>
      </c>
      <c r="M93" s="49" t="s">
        <v>212</v>
      </c>
      <c r="N93">
        <v>0</v>
      </c>
      <c r="O93">
        <v>0</v>
      </c>
      <c r="P93" s="49" t="s">
        <v>212</v>
      </c>
      <c r="Q93">
        <v>1</v>
      </c>
      <c r="R93">
        <v>0.4</v>
      </c>
      <c r="S93">
        <v>1.3</v>
      </c>
      <c r="T93">
        <v>0</v>
      </c>
      <c r="U93" s="32">
        <v>138.66666666666666</v>
      </c>
      <c r="V93" s="32">
        <v>106.66666666666666</v>
      </c>
    </row>
    <row r="94" spans="1:26">
      <c r="A94" t="b">
        <v>0</v>
      </c>
      <c r="B94" s="50">
        <v>45856</v>
      </c>
      <c r="C94" t="s">
        <v>3262</v>
      </c>
      <c r="D94" t="s">
        <v>1466</v>
      </c>
      <c r="E94" t="s">
        <v>1517</v>
      </c>
      <c r="F94" t="s">
        <v>1805</v>
      </c>
      <c r="H94">
        <v>128</v>
      </c>
      <c r="I94">
        <v>28</v>
      </c>
      <c r="J94" s="49">
        <v>2.708333333333333</v>
      </c>
      <c r="K94">
        <v>0</v>
      </c>
      <c r="L94">
        <v>0</v>
      </c>
      <c r="M94" s="49" t="s">
        <v>212</v>
      </c>
      <c r="N94">
        <v>0</v>
      </c>
      <c r="O94">
        <v>0</v>
      </c>
      <c r="P94" s="49" t="s">
        <v>212</v>
      </c>
      <c r="Q94">
        <v>1</v>
      </c>
      <c r="R94">
        <v>1</v>
      </c>
      <c r="S94">
        <v>1.3</v>
      </c>
      <c r="T94">
        <v>0</v>
      </c>
      <c r="U94" s="32">
        <v>346.66666666666663</v>
      </c>
      <c r="V94" s="32">
        <v>266.66666666666663</v>
      </c>
    </row>
    <row r="95" spans="1:26">
      <c r="A95" t="b">
        <v>0</v>
      </c>
      <c r="B95" s="50">
        <v>45856</v>
      </c>
      <c r="C95" t="s">
        <v>3284</v>
      </c>
      <c r="D95" t="s">
        <v>1431</v>
      </c>
      <c r="E95" t="s">
        <v>47</v>
      </c>
      <c r="H95">
        <v>128</v>
      </c>
      <c r="I95">
        <v>28</v>
      </c>
      <c r="J95" s="49">
        <v>1.3541666666666665</v>
      </c>
      <c r="K95">
        <v>0</v>
      </c>
      <c r="L95">
        <v>0</v>
      </c>
      <c r="M95" s="49" t="s">
        <v>212</v>
      </c>
      <c r="N95">
        <v>0</v>
      </c>
      <c r="O95">
        <v>0</v>
      </c>
      <c r="P95" s="49" t="s">
        <v>212</v>
      </c>
      <c r="Q95">
        <v>1</v>
      </c>
      <c r="R95">
        <v>0.5</v>
      </c>
      <c r="S95">
        <v>1.3</v>
      </c>
      <c r="T95">
        <v>0</v>
      </c>
      <c r="U95" s="32">
        <v>173.33333333333331</v>
      </c>
      <c r="V95" s="32">
        <v>133.33333333333331</v>
      </c>
    </row>
    <row r="96" spans="1:26">
      <c r="A96" t="b">
        <v>0</v>
      </c>
      <c r="B96" s="50">
        <v>45856</v>
      </c>
      <c r="C96" t="s">
        <v>3268</v>
      </c>
      <c r="D96" t="s">
        <v>1469</v>
      </c>
      <c r="E96" t="s">
        <v>118</v>
      </c>
      <c r="H96">
        <v>128</v>
      </c>
      <c r="I96">
        <v>28</v>
      </c>
      <c r="J96" s="49">
        <v>3.046875</v>
      </c>
      <c r="K96">
        <v>0</v>
      </c>
      <c r="L96">
        <v>0</v>
      </c>
      <c r="M96" s="49" t="s">
        <v>212</v>
      </c>
      <c r="N96">
        <v>0</v>
      </c>
      <c r="O96">
        <v>0</v>
      </c>
      <c r="P96" s="49" t="s">
        <v>212</v>
      </c>
      <c r="Q96">
        <v>2</v>
      </c>
      <c r="R96">
        <v>2</v>
      </c>
      <c r="S96">
        <v>1.3</v>
      </c>
      <c r="T96">
        <v>0</v>
      </c>
      <c r="U96" s="32">
        <v>390</v>
      </c>
      <c r="V96" s="32">
        <v>300</v>
      </c>
    </row>
    <row r="97" spans="1:22">
      <c r="A97" t="b">
        <v>0</v>
      </c>
      <c r="B97" s="50">
        <v>45880</v>
      </c>
      <c r="C97" t="s">
        <v>3281</v>
      </c>
      <c r="D97" t="s">
        <v>1487</v>
      </c>
      <c r="E97" t="s">
        <v>123</v>
      </c>
      <c r="H97">
        <v>128</v>
      </c>
      <c r="I97">
        <v>21</v>
      </c>
      <c r="J97" s="49">
        <v>2.708333333333333</v>
      </c>
      <c r="K97">
        <v>0</v>
      </c>
      <c r="L97">
        <v>0</v>
      </c>
      <c r="M97" s="49" t="s">
        <v>212</v>
      </c>
      <c r="N97">
        <v>0</v>
      </c>
      <c r="O97">
        <v>0</v>
      </c>
      <c r="P97" s="49" t="s">
        <v>212</v>
      </c>
      <c r="Q97">
        <v>1</v>
      </c>
      <c r="R97">
        <v>1</v>
      </c>
      <c r="S97">
        <v>1.3</v>
      </c>
      <c r="T97">
        <v>0</v>
      </c>
      <c r="U97" s="32">
        <v>346.66666666666663</v>
      </c>
      <c r="V97" s="32">
        <v>266.66666666666663</v>
      </c>
    </row>
    <row r="98" spans="1:22">
      <c r="A98" t="s">
        <v>268</v>
      </c>
      <c r="V98" s="32">
        <f>SUBTOTAL(109,Start_Seedlings_Detailed[Unsafe Cells])</f>
        <v>2055</v>
      </c>
    </row>
    <row r="99" spans="1:22">
      <c r="B99" s="50"/>
      <c r="J99" s="49"/>
      <c r="M99" s="49"/>
      <c r="P99" s="49"/>
      <c r="U99" s="32"/>
      <c r="V99" s="32"/>
    </row>
    <row r="100" spans="1:22">
      <c r="B100" s="50"/>
      <c r="J100" s="49"/>
      <c r="M100" s="49"/>
      <c r="P100" s="49"/>
      <c r="U100" s="32"/>
      <c r="V100" s="32"/>
    </row>
    <row r="101" spans="1:22">
      <c r="B101" s="50"/>
      <c r="J101" s="49"/>
      <c r="M101" s="49"/>
      <c r="P101" s="49"/>
      <c r="U101" s="32"/>
      <c r="V101" s="32"/>
    </row>
    <row r="102" spans="1:22">
      <c r="B102" s="50"/>
      <c r="J102" s="49"/>
      <c r="M102" s="49"/>
      <c r="P102" s="49"/>
      <c r="U102" s="32"/>
      <c r="V102" s="32"/>
    </row>
    <row r="103" spans="1:22">
      <c r="B103" s="50"/>
      <c r="J103" s="49"/>
      <c r="M103" s="49"/>
      <c r="P103" s="49"/>
      <c r="U103" s="32"/>
      <c r="V103" s="32"/>
    </row>
    <row r="104" spans="1:22">
      <c r="B104" s="50"/>
      <c r="J104" s="49"/>
      <c r="M104" s="49"/>
      <c r="P104" s="49"/>
      <c r="U104" s="32"/>
      <c r="V104" s="32"/>
    </row>
    <row r="105" spans="1:22">
      <c r="B105" s="50"/>
      <c r="J105" s="49"/>
      <c r="M105" s="49"/>
      <c r="P105" s="49"/>
      <c r="U105" s="32"/>
      <c r="V105" s="32"/>
    </row>
    <row r="106" spans="1:22">
      <c r="B106" s="50"/>
      <c r="J106" s="49"/>
      <c r="M106" s="49"/>
      <c r="P106" s="49"/>
      <c r="U106" s="32"/>
      <c r="V106" s="32"/>
    </row>
    <row r="107" spans="1:22">
      <c r="B107" s="50"/>
      <c r="J107" s="49"/>
      <c r="M107" s="49"/>
      <c r="P107" s="49"/>
      <c r="U107" s="32"/>
      <c r="V107" s="32"/>
    </row>
    <row r="108" spans="1:22">
      <c r="B108" s="50"/>
      <c r="J108" s="49"/>
      <c r="M108" s="49"/>
      <c r="P108" s="49"/>
      <c r="U108" s="32"/>
      <c r="V108" s="32"/>
    </row>
    <row r="109" spans="1:22">
      <c r="B109" s="50"/>
      <c r="J109" s="49"/>
      <c r="M109" s="49"/>
      <c r="P109" s="49"/>
      <c r="U109" s="32"/>
      <c r="V109" s="32"/>
    </row>
    <row r="110" spans="1:22">
      <c r="B110" s="50"/>
      <c r="J110" s="49"/>
      <c r="M110" s="49"/>
      <c r="P110" s="49"/>
      <c r="U110" s="32"/>
      <c r="V110" s="32"/>
    </row>
    <row r="111" spans="1:22">
      <c r="B111" s="50"/>
      <c r="J111" s="49"/>
      <c r="M111" s="49"/>
      <c r="P111" s="49"/>
      <c r="U111" s="32"/>
      <c r="V111" s="32"/>
    </row>
    <row r="112" spans="1:22">
      <c r="B112" s="50"/>
      <c r="J112" s="49"/>
      <c r="M112" s="49"/>
      <c r="P112" s="49"/>
      <c r="U112" s="32"/>
      <c r="V112" s="32"/>
    </row>
    <row r="113" spans="2:22">
      <c r="B113" s="50"/>
      <c r="J113" s="49"/>
      <c r="M113" s="49"/>
      <c r="P113" s="49"/>
      <c r="U113" s="32"/>
      <c r="V113" s="32"/>
    </row>
    <row r="114" spans="2:22">
      <c r="B114" s="50"/>
      <c r="J114" s="49"/>
      <c r="M114" s="49"/>
      <c r="P114" s="49"/>
      <c r="U114" s="32"/>
      <c r="V114" s="32"/>
    </row>
    <row r="115" spans="2:22">
      <c r="B115" s="50"/>
      <c r="J115" s="49"/>
      <c r="M115" s="49"/>
      <c r="P115" s="49"/>
      <c r="U115" s="32"/>
      <c r="V115" s="32"/>
    </row>
    <row r="116" spans="2:22">
      <c r="B116" s="50"/>
      <c r="J116" s="49"/>
      <c r="M116" s="49"/>
      <c r="P116" s="49"/>
      <c r="U116" s="32"/>
      <c r="V116" s="32"/>
    </row>
    <row r="117" spans="2:22">
      <c r="B117" s="50"/>
      <c r="J117" s="49"/>
      <c r="M117" s="49"/>
      <c r="P117" s="49"/>
      <c r="U117" s="32"/>
      <c r="V117" s="32"/>
    </row>
    <row r="118" spans="2:22">
      <c r="B118" s="50"/>
      <c r="J118" s="49"/>
      <c r="M118" s="49"/>
      <c r="P118" s="49"/>
      <c r="U118" s="32"/>
      <c r="V118" s="32"/>
    </row>
    <row r="119" spans="2:22">
      <c r="B119" s="50"/>
      <c r="J119" s="49"/>
      <c r="M119" s="49"/>
      <c r="P119" s="49"/>
      <c r="U119" s="32"/>
      <c r="V119" s="32"/>
    </row>
    <row r="120" spans="2:22">
      <c r="B120" s="50"/>
      <c r="J120" s="49"/>
      <c r="M120" s="49"/>
      <c r="P120" s="49"/>
      <c r="U120" s="32"/>
      <c r="V120" s="32"/>
    </row>
    <row r="121" spans="2:22">
      <c r="B121" s="50"/>
      <c r="J121" s="49"/>
      <c r="M121" s="49"/>
      <c r="P121" s="49"/>
      <c r="U121" s="32"/>
      <c r="V121" s="32"/>
    </row>
    <row r="122" spans="2:22">
      <c r="B122" s="50"/>
      <c r="J122" s="49"/>
      <c r="M122" s="49"/>
      <c r="P122" s="49"/>
      <c r="U122" s="32"/>
      <c r="V122" s="32"/>
    </row>
    <row r="123" spans="2:22">
      <c r="B123" s="50"/>
      <c r="J123" s="49"/>
      <c r="M123" s="49"/>
      <c r="P123" s="49"/>
      <c r="U123" s="32"/>
      <c r="V123" s="32"/>
    </row>
    <row r="124" spans="2:22">
      <c r="B124" s="50"/>
      <c r="J124" s="49"/>
      <c r="M124" s="49"/>
      <c r="P124" s="49"/>
      <c r="U124" s="32"/>
      <c r="V124" s="32"/>
    </row>
  </sheetData>
  <phoneticPr fontId="4" type="noConversion"/>
  <pageMargins left="0.7" right="0.7" top="0.75" bottom="0.75" header="0.3" footer="0.3"/>
  <pageSetup scale="60" fitToHeight="0" orientation="landscape" horizontalDpi="360" verticalDpi="360" r:id="rId2"/>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44CCE-C4D3-4171-BD8C-E328B5F1E83D}">
  <sheetPr codeName="Sheet7">
    <tabColor rgb="FFFFC000"/>
    <pageSetUpPr fitToPage="1"/>
  </sheetPr>
  <dimension ref="B1:J57"/>
  <sheetViews>
    <sheetView workbookViewId="0">
      <selection activeCell="L11" sqref="L11"/>
    </sheetView>
  </sheetViews>
  <sheetFormatPr baseColWidth="10" defaultColWidth="8.83203125" defaultRowHeight="15"/>
  <cols>
    <col min="2" max="2" width="22.5" customWidth="1"/>
    <col min="3" max="3" width="32.83203125" customWidth="1"/>
    <col min="4" max="4" width="16.1640625" bestFit="1" customWidth="1"/>
    <col min="5" max="5" width="17.5" customWidth="1"/>
    <col min="6" max="6" width="24.5" customWidth="1"/>
    <col min="7" max="7" width="16" customWidth="1"/>
    <col min="8" max="8" width="8" bestFit="1" customWidth="1"/>
    <col min="9" max="9" width="7.83203125" bestFit="1" customWidth="1"/>
    <col min="10" max="10" width="6.83203125" bestFit="1" customWidth="1"/>
  </cols>
  <sheetData>
    <row r="1" spans="2:10">
      <c r="B1" s="26">
        <f ca="1">TODAY()</f>
        <v>45990</v>
      </c>
    </row>
    <row r="2" spans="2:10">
      <c r="B2" s="42" t="s">
        <v>1326</v>
      </c>
    </row>
    <row r="3" spans="2:10">
      <c r="B3" s="42" t="s">
        <v>1320</v>
      </c>
      <c r="C3" s="42" t="s">
        <v>1319</v>
      </c>
      <c r="D3" s="42" t="s">
        <v>5</v>
      </c>
      <c r="E3" s="42" t="s">
        <v>1353</v>
      </c>
      <c r="F3" s="42" t="s">
        <v>1324</v>
      </c>
      <c r="G3" s="42" t="s">
        <v>1325</v>
      </c>
      <c r="H3" s="42" t="s">
        <v>1505</v>
      </c>
      <c r="I3" s="42" t="s">
        <v>1318</v>
      </c>
      <c r="J3" t="s">
        <v>268</v>
      </c>
    </row>
    <row r="4" spans="2:10">
      <c r="B4" t="s">
        <v>1321</v>
      </c>
      <c r="C4" s="26">
        <v>45647</v>
      </c>
      <c r="D4" t="s">
        <v>1799</v>
      </c>
      <c r="E4" t="s">
        <v>80</v>
      </c>
      <c r="F4" t="s">
        <v>2863</v>
      </c>
      <c r="G4" t="s">
        <v>478</v>
      </c>
      <c r="H4" t="s">
        <v>1493</v>
      </c>
      <c r="I4" t="s">
        <v>1327</v>
      </c>
      <c r="J4" s="48">
        <v>45647</v>
      </c>
    </row>
    <row r="5" spans="2:10">
      <c r="B5" t="s">
        <v>1321</v>
      </c>
      <c r="C5" s="26">
        <v>45647</v>
      </c>
      <c r="D5" t="s">
        <v>1800</v>
      </c>
      <c r="E5" t="s">
        <v>80</v>
      </c>
      <c r="F5" t="s">
        <v>2863</v>
      </c>
      <c r="G5" t="s">
        <v>478</v>
      </c>
      <c r="H5" t="s">
        <v>1495</v>
      </c>
      <c r="I5" t="s">
        <v>1327</v>
      </c>
      <c r="J5" s="48">
        <v>45647</v>
      </c>
    </row>
    <row r="6" spans="2:10">
      <c r="B6" t="s">
        <v>1321</v>
      </c>
      <c r="C6" s="26">
        <v>45748</v>
      </c>
      <c r="D6" t="s">
        <v>3274</v>
      </c>
      <c r="E6" t="s">
        <v>71</v>
      </c>
      <c r="F6" t="s">
        <v>478</v>
      </c>
      <c r="G6" t="s">
        <v>478</v>
      </c>
      <c r="H6" t="s">
        <v>3256</v>
      </c>
      <c r="I6" t="s">
        <v>1327</v>
      </c>
      <c r="J6" s="48">
        <v>45748</v>
      </c>
    </row>
    <row r="7" spans="2:10">
      <c r="B7" t="s">
        <v>1321</v>
      </c>
      <c r="C7" s="26">
        <v>45833</v>
      </c>
      <c r="D7" t="s">
        <v>3270</v>
      </c>
      <c r="E7" t="s">
        <v>119</v>
      </c>
      <c r="F7" t="s">
        <v>478</v>
      </c>
      <c r="G7" t="s">
        <v>478</v>
      </c>
      <c r="H7" t="s">
        <v>1442</v>
      </c>
      <c r="I7" t="s">
        <v>1327</v>
      </c>
      <c r="J7" s="48">
        <v>45833</v>
      </c>
    </row>
    <row r="8" spans="2:10">
      <c r="B8" t="s">
        <v>1321</v>
      </c>
      <c r="C8" s="26">
        <v>45838</v>
      </c>
      <c r="D8" t="s">
        <v>2668</v>
      </c>
      <c r="E8" t="s">
        <v>114</v>
      </c>
      <c r="F8" t="s">
        <v>1925</v>
      </c>
      <c r="G8" t="s">
        <v>482</v>
      </c>
      <c r="H8" t="s">
        <v>1436</v>
      </c>
      <c r="I8" t="s">
        <v>1327</v>
      </c>
      <c r="J8" s="48">
        <v>45838</v>
      </c>
    </row>
    <row r="9" spans="2:10">
      <c r="B9" t="s">
        <v>1321</v>
      </c>
      <c r="C9" s="26">
        <v>45839</v>
      </c>
      <c r="D9" t="s">
        <v>2779</v>
      </c>
      <c r="E9" t="s">
        <v>53</v>
      </c>
      <c r="F9" t="s">
        <v>1809</v>
      </c>
      <c r="G9" t="s">
        <v>478</v>
      </c>
      <c r="H9" t="s">
        <v>1449</v>
      </c>
      <c r="I9" t="s">
        <v>1327</v>
      </c>
      <c r="J9" s="48">
        <v>45839</v>
      </c>
    </row>
    <row r="10" spans="2:10">
      <c r="B10" t="s">
        <v>1321</v>
      </c>
      <c r="C10" s="26">
        <v>45870</v>
      </c>
      <c r="D10" t="s">
        <v>3264</v>
      </c>
      <c r="E10" t="s">
        <v>53</v>
      </c>
      <c r="F10" t="s">
        <v>478</v>
      </c>
      <c r="G10" t="s">
        <v>478</v>
      </c>
      <c r="H10" t="s">
        <v>1432</v>
      </c>
      <c r="I10" t="s">
        <v>1327</v>
      </c>
      <c r="J10" s="48">
        <v>45870</v>
      </c>
    </row>
    <row r="11" spans="2:10">
      <c r="B11" t="s">
        <v>1321</v>
      </c>
      <c r="C11" s="26">
        <v>45870</v>
      </c>
      <c r="D11" t="s">
        <v>3266</v>
      </c>
      <c r="E11" t="s">
        <v>114</v>
      </c>
      <c r="F11" t="s">
        <v>1347</v>
      </c>
      <c r="G11" t="s">
        <v>478</v>
      </c>
      <c r="H11" t="s">
        <v>1450</v>
      </c>
      <c r="I11" t="s">
        <v>1327</v>
      </c>
      <c r="J11" s="48">
        <v>45870</v>
      </c>
    </row>
    <row r="12" spans="2:10">
      <c r="B12" t="s">
        <v>1321</v>
      </c>
      <c r="C12" s="26">
        <v>45870</v>
      </c>
      <c r="D12" t="s">
        <v>3271</v>
      </c>
      <c r="E12" t="s">
        <v>137</v>
      </c>
      <c r="F12" t="s">
        <v>1686</v>
      </c>
      <c r="G12" t="s">
        <v>490</v>
      </c>
      <c r="H12" t="s">
        <v>1450</v>
      </c>
      <c r="I12" t="s">
        <v>1327</v>
      </c>
      <c r="J12" s="48">
        <v>45870</v>
      </c>
    </row>
    <row r="13" spans="2:10">
      <c r="B13" t="s">
        <v>1321</v>
      </c>
      <c r="C13" s="26">
        <v>45884</v>
      </c>
      <c r="D13" t="s">
        <v>3287</v>
      </c>
      <c r="E13" t="s">
        <v>42</v>
      </c>
      <c r="F13" t="s">
        <v>2850</v>
      </c>
      <c r="G13" t="s">
        <v>478</v>
      </c>
      <c r="H13" t="s">
        <v>1452</v>
      </c>
      <c r="I13" t="s">
        <v>1327</v>
      </c>
      <c r="J13" s="48">
        <v>45884</v>
      </c>
    </row>
    <row r="14" spans="2:10">
      <c r="B14" t="s">
        <v>1321</v>
      </c>
      <c r="C14" s="26">
        <v>45884</v>
      </c>
      <c r="D14" t="s">
        <v>3269</v>
      </c>
      <c r="E14" t="s">
        <v>119</v>
      </c>
      <c r="F14" t="s">
        <v>478</v>
      </c>
      <c r="G14" t="s">
        <v>478</v>
      </c>
      <c r="H14" t="s">
        <v>1442</v>
      </c>
      <c r="I14" t="s">
        <v>1327</v>
      </c>
      <c r="J14" s="48">
        <v>45884</v>
      </c>
    </row>
    <row r="15" spans="2:10">
      <c r="B15" t="s">
        <v>1321</v>
      </c>
      <c r="C15" s="26">
        <v>45889</v>
      </c>
      <c r="D15" t="s">
        <v>3267</v>
      </c>
      <c r="E15" t="s">
        <v>114</v>
      </c>
      <c r="F15" t="s">
        <v>1347</v>
      </c>
      <c r="G15" t="s">
        <v>478</v>
      </c>
      <c r="H15" t="s">
        <v>1448</v>
      </c>
      <c r="I15" t="s">
        <v>1327</v>
      </c>
      <c r="J15" s="48">
        <v>45889</v>
      </c>
    </row>
    <row r="16" spans="2:10">
      <c r="B16" t="s">
        <v>1321</v>
      </c>
      <c r="C16" s="26">
        <v>45889</v>
      </c>
      <c r="D16" t="s">
        <v>3272</v>
      </c>
      <c r="E16" t="s">
        <v>137</v>
      </c>
      <c r="F16" t="s">
        <v>1686</v>
      </c>
      <c r="G16" t="s">
        <v>490</v>
      </c>
      <c r="H16" t="s">
        <v>1470</v>
      </c>
      <c r="I16" t="s">
        <v>1327</v>
      </c>
      <c r="J16" s="48">
        <v>45889</v>
      </c>
    </row>
    <row r="17" spans="2:10">
      <c r="B17" t="s">
        <v>1321</v>
      </c>
      <c r="C17" s="26">
        <v>45898</v>
      </c>
      <c r="D17" t="s">
        <v>2759</v>
      </c>
      <c r="E17" t="s">
        <v>114</v>
      </c>
      <c r="F17" t="s">
        <v>1347</v>
      </c>
      <c r="G17" t="s">
        <v>478</v>
      </c>
      <c r="H17" t="s">
        <v>1455</v>
      </c>
      <c r="I17" t="s">
        <v>1327</v>
      </c>
      <c r="J17" s="48">
        <v>45898</v>
      </c>
    </row>
    <row r="18" spans="2:10">
      <c r="B18" t="s">
        <v>1323</v>
      </c>
      <c r="C18" s="26">
        <v>45846</v>
      </c>
      <c r="D18" t="s">
        <v>3265</v>
      </c>
      <c r="E18" t="s">
        <v>60</v>
      </c>
      <c r="F18" t="s">
        <v>511</v>
      </c>
      <c r="G18" t="s">
        <v>490</v>
      </c>
      <c r="H18" t="s">
        <v>1447</v>
      </c>
      <c r="I18" t="s">
        <v>1327</v>
      </c>
      <c r="J18" s="48">
        <v>45846</v>
      </c>
    </row>
    <row r="19" spans="2:10">
      <c r="B19" t="s">
        <v>1323</v>
      </c>
      <c r="C19" s="26">
        <v>45848</v>
      </c>
      <c r="D19" t="s">
        <v>3263</v>
      </c>
      <c r="E19" t="s">
        <v>49</v>
      </c>
      <c r="F19" t="s">
        <v>2852</v>
      </c>
      <c r="G19" t="s">
        <v>478</v>
      </c>
      <c r="H19" t="s">
        <v>478</v>
      </c>
      <c r="I19" t="s">
        <v>1327</v>
      </c>
      <c r="J19" s="48">
        <v>45848</v>
      </c>
    </row>
    <row r="20" spans="2:10">
      <c r="B20" t="s">
        <v>1323</v>
      </c>
      <c r="C20" s="26">
        <v>45849</v>
      </c>
      <c r="D20" t="s">
        <v>3261</v>
      </c>
      <c r="E20" t="s">
        <v>46</v>
      </c>
      <c r="F20" t="s">
        <v>478</v>
      </c>
      <c r="G20" t="s">
        <v>478</v>
      </c>
      <c r="H20" t="s">
        <v>1431</v>
      </c>
      <c r="I20" t="s">
        <v>1327</v>
      </c>
      <c r="J20" s="48">
        <v>45849</v>
      </c>
    </row>
    <row r="21" spans="2:10">
      <c r="B21" t="s">
        <v>1323</v>
      </c>
      <c r="C21" s="26">
        <v>45853</v>
      </c>
      <c r="D21" t="s">
        <v>2771</v>
      </c>
      <c r="E21" t="s">
        <v>92</v>
      </c>
      <c r="F21" t="s">
        <v>2304</v>
      </c>
      <c r="G21" t="s">
        <v>478</v>
      </c>
      <c r="H21" t="s">
        <v>1476</v>
      </c>
      <c r="I21" t="s">
        <v>1327</v>
      </c>
      <c r="J21" s="48">
        <v>45853</v>
      </c>
    </row>
    <row r="22" spans="2:10">
      <c r="B22" t="s">
        <v>1323</v>
      </c>
      <c r="C22" s="26">
        <v>45854</v>
      </c>
      <c r="D22" t="s">
        <v>2740</v>
      </c>
      <c r="E22" t="s">
        <v>62</v>
      </c>
      <c r="F22" t="s">
        <v>514</v>
      </c>
      <c r="G22" t="s">
        <v>478</v>
      </c>
      <c r="H22" t="s">
        <v>1452</v>
      </c>
      <c r="I22" t="s">
        <v>1327</v>
      </c>
      <c r="J22" s="48">
        <v>45854</v>
      </c>
    </row>
    <row r="23" spans="2:10">
      <c r="B23" t="s">
        <v>1323</v>
      </c>
      <c r="C23" s="26">
        <v>45854</v>
      </c>
      <c r="D23" t="s">
        <v>2774</v>
      </c>
      <c r="E23" t="s">
        <v>92</v>
      </c>
      <c r="F23" t="s">
        <v>1542</v>
      </c>
      <c r="G23" t="s">
        <v>482</v>
      </c>
      <c r="H23" t="s">
        <v>1463</v>
      </c>
      <c r="I23" t="s">
        <v>1327</v>
      </c>
      <c r="J23" s="48">
        <v>45854</v>
      </c>
    </row>
    <row r="24" spans="2:10">
      <c r="B24" t="s">
        <v>1323</v>
      </c>
      <c r="C24" s="26">
        <v>45856</v>
      </c>
      <c r="D24" t="s">
        <v>3262</v>
      </c>
      <c r="E24" t="s">
        <v>1517</v>
      </c>
      <c r="F24" t="s">
        <v>1805</v>
      </c>
      <c r="G24" t="s">
        <v>478</v>
      </c>
      <c r="H24" t="s">
        <v>1425</v>
      </c>
      <c r="I24" t="s">
        <v>1327</v>
      </c>
      <c r="J24" s="48">
        <v>45856</v>
      </c>
    </row>
    <row r="25" spans="2:10">
      <c r="B25" t="s">
        <v>1323</v>
      </c>
      <c r="C25" s="26">
        <v>45856</v>
      </c>
      <c r="D25" t="s">
        <v>3284</v>
      </c>
      <c r="E25" t="s">
        <v>47</v>
      </c>
      <c r="F25" t="s">
        <v>478</v>
      </c>
      <c r="G25" t="s">
        <v>478</v>
      </c>
      <c r="H25" t="s">
        <v>478</v>
      </c>
      <c r="I25" t="s">
        <v>1327</v>
      </c>
      <c r="J25" s="48">
        <v>45856</v>
      </c>
    </row>
    <row r="26" spans="2:10">
      <c r="B26" t="s">
        <v>1323</v>
      </c>
      <c r="C26" s="26">
        <v>45856</v>
      </c>
      <c r="D26" t="s">
        <v>3268</v>
      </c>
      <c r="E26" t="s">
        <v>118</v>
      </c>
      <c r="F26" t="s">
        <v>478</v>
      </c>
      <c r="G26" t="s">
        <v>478</v>
      </c>
      <c r="H26" t="s">
        <v>1469</v>
      </c>
      <c r="I26" t="s">
        <v>1327</v>
      </c>
      <c r="J26" s="48">
        <v>45856</v>
      </c>
    </row>
    <row r="27" spans="2:10">
      <c r="B27" t="s">
        <v>1322</v>
      </c>
      <c r="C27" s="26">
        <v>45779</v>
      </c>
      <c r="D27" t="s">
        <v>2625</v>
      </c>
      <c r="E27" t="s">
        <v>46</v>
      </c>
      <c r="F27" t="s">
        <v>494</v>
      </c>
      <c r="G27" t="s">
        <v>478</v>
      </c>
      <c r="H27" t="s">
        <v>1446</v>
      </c>
      <c r="I27" t="s">
        <v>1327</v>
      </c>
      <c r="J27" s="48">
        <v>45779</v>
      </c>
    </row>
    <row r="28" spans="2:10">
      <c r="B28" t="s">
        <v>1322</v>
      </c>
      <c r="C28" s="26">
        <v>45803</v>
      </c>
      <c r="D28" t="s">
        <v>2622</v>
      </c>
      <c r="E28" t="s">
        <v>43</v>
      </c>
      <c r="F28" t="s">
        <v>709</v>
      </c>
      <c r="G28" t="s">
        <v>478</v>
      </c>
      <c r="H28" t="s">
        <v>1427</v>
      </c>
      <c r="I28" t="s">
        <v>1327</v>
      </c>
      <c r="J28" s="48">
        <v>45803</v>
      </c>
    </row>
    <row r="29" spans="2:10">
      <c r="B29" t="s">
        <v>1322</v>
      </c>
      <c r="C29" s="26">
        <v>45817</v>
      </c>
      <c r="D29" t="s">
        <v>2743</v>
      </c>
      <c r="E29" t="s">
        <v>75</v>
      </c>
      <c r="F29" t="s">
        <v>614</v>
      </c>
      <c r="G29" t="s">
        <v>478</v>
      </c>
      <c r="H29" t="s">
        <v>1452</v>
      </c>
      <c r="I29" t="s">
        <v>1327</v>
      </c>
      <c r="J29" s="48">
        <v>45817</v>
      </c>
    </row>
    <row r="30" spans="2:10">
      <c r="B30" t="s">
        <v>1322</v>
      </c>
      <c r="C30" s="26">
        <v>45821</v>
      </c>
      <c r="D30" t="s">
        <v>2737</v>
      </c>
      <c r="E30" t="s">
        <v>62</v>
      </c>
      <c r="F30" t="s">
        <v>514</v>
      </c>
      <c r="G30" t="s">
        <v>478</v>
      </c>
      <c r="H30" t="s">
        <v>1433</v>
      </c>
      <c r="I30" t="s">
        <v>1327</v>
      </c>
      <c r="J30" s="48">
        <v>45821</v>
      </c>
    </row>
    <row r="31" spans="2:10">
      <c r="B31" t="s">
        <v>1322</v>
      </c>
      <c r="C31" s="26">
        <v>45821</v>
      </c>
      <c r="D31" t="s">
        <v>2733</v>
      </c>
      <c r="E31" t="s">
        <v>92</v>
      </c>
      <c r="F31" t="s">
        <v>2229</v>
      </c>
      <c r="G31" t="s">
        <v>503</v>
      </c>
      <c r="H31" t="s">
        <v>1463</v>
      </c>
      <c r="I31" t="s">
        <v>1327</v>
      </c>
      <c r="J31" s="48">
        <v>45821</v>
      </c>
    </row>
    <row r="32" spans="2:10">
      <c r="B32" t="s">
        <v>1322</v>
      </c>
      <c r="C32" s="26">
        <v>45826</v>
      </c>
      <c r="D32" t="s">
        <v>3188</v>
      </c>
      <c r="E32" t="s">
        <v>92</v>
      </c>
      <c r="F32" t="s">
        <v>2816</v>
      </c>
      <c r="G32" t="s">
        <v>478</v>
      </c>
      <c r="H32" t="s">
        <v>1487</v>
      </c>
      <c r="I32" t="s">
        <v>1327</v>
      </c>
      <c r="J32" s="48">
        <v>45826</v>
      </c>
    </row>
    <row r="33" spans="2:10">
      <c r="B33" t="s">
        <v>1322</v>
      </c>
      <c r="C33" s="26">
        <v>45833</v>
      </c>
      <c r="D33" t="s">
        <v>2763</v>
      </c>
      <c r="E33" t="s">
        <v>119</v>
      </c>
      <c r="F33" t="s">
        <v>1851</v>
      </c>
      <c r="G33" t="s">
        <v>478</v>
      </c>
      <c r="H33" t="s">
        <v>1501</v>
      </c>
      <c r="I33" t="s">
        <v>1327</v>
      </c>
      <c r="J33" s="48">
        <v>45833</v>
      </c>
    </row>
    <row r="34" spans="2:10">
      <c r="B34" t="s">
        <v>1322</v>
      </c>
      <c r="C34" s="26">
        <v>45836</v>
      </c>
      <c r="D34" t="s">
        <v>2623</v>
      </c>
      <c r="E34" t="s">
        <v>43</v>
      </c>
      <c r="F34" t="s">
        <v>709</v>
      </c>
      <c r="G34" t="s">
        <v>478</v>
      </c>
      <c r="H34" t="s">
        <v>1429</v>
      </c>
      <c r="I34" t="s">
        <v>1327</v>
      </c>
      <c r="J34" s="48">
        <v>45836</v>
      </c>
    </row>
    <row r="35" spans="2:10">
      <c r="B35" t="s">
        <v>1322</v>
      </c>
      <c r="C35" s="26">
        <v>45838</v>
      </c>
      <c r="D35" t="s">
        <v>2781</v>
      </c>
      <c r="E35" t="s">
        <v>112</v>
      </c>
      <c r="F35" t="s">
        <v>563</v>
      </c>
      <c r="G35" t="s">
        <v>478</v>
      </c>
      <c r="H35" t="s">
        <v>1499</v>
      </c>
      <c r="I35" t="s">
        <v>1327</v>
      </c>
      <c r="J35" s="48">
        <v>45838</v>
      </c>
    </row>
    <row r="36" spans="2:10">
      <c r="B36" t="s">
        <v>1322</v>
      </c>
      <c r="C36" s="26">
        <v>45857</v>
      </c>
      <c r="D36" t="s">
        <v>2778</v>
      </c>
      <c r="E36" t="s">
        <v>49</v>
      </c>
      <c r="F36" t="s">
        <v>2852</v>
      </c>
      <c r="G36" t="s">
        <v>478</v>
      </c>
      <c r="H36" t="s">
        <v>1490</v>
      </c>
      <c r="I36" t="s">
        <v>1327</v>
      </c>
      <c r="J36" s="48">
        <v>45857</v>
      </c>
    </row>
    <row r="37" spans="2:10">
      <c r="B37" t="s">
        <v>1322</v>
      </c>
      <c r="C37" s="26">
        <v>45857</v>
      </c>
      <c r="D37" t="s">
        <v>2629</v>
      </c>
      <c r="E37" t="s">
        <v>52</v>
      </c>
      <c r="F37" t="s">
        <v>1905</v>
      </c>
      <c r="G37" t="s">
        <v>478</v>
      </c>
      <c r="H37" t="s">
        <v>1493</v>
      </c>
      <c r="I37" t="s">
        <v>1327</v>
      </c>
      <c r="J37" s="48">
        <v>45857</v>
      </c>
    </row>
    <row r="38" spans="2:10">
      <c r="B38" t="s">
        <v>1322</v>
      </c>
      <c r="C38" s="26">
        <v>45859</v>
      </c>
      <c r="D38" t="s">
        <v>2665</v>
      </c>
      <c r="E38" t="s">
        <v>356</v>
      </c>
      <c r="F38" t="s">
        <v>570</v>
      </c>
      <c r="G38" t="s">
        <v>478</v>
      </c>
      <c r="H38" t="s">
        <v>1446</v>
      </c>
      <c r="I38" t="s">
        <v>1327</v>
      </c>
      <c r="J38" s="48">
        <v>45859</v>
      </c>
    </row>
    <row r="39" spans="2:10">
      <c r="B39" t="s">
        <v>1322</v>
      </c>
      <c r="C39" s="26">
        <v>45864</v>
      </c>
      <c r="D39" t="s">
        <v>2626</v>
      </c>
      <c r="E39" t="s">
        <v>46</v>
      </c>
      <c r="F39" t="s">
        <v>494</v>
      </c>
      <c r="G39" t="s">
        <v>478</v>
      </c>
      <c r="H39" t="s">
        <v>1495</v>
      </c>
      <c r="I39" t="s">
        <v>1327</v>
      </c>
      <c r="J39" s="48">
        <v>45864</v>
      </c>
    </row>
    <row r="40" spans="2:10">
      <c r="B40" t="s">
        <v>1322</v>
      </c>
      <c r="C40" s="26">
        <v>45864</v>
      </c>
      <c r="D40" t="s">
        <v>2628</v>
      </c>
      <c r="E40" t="s">
        <v>52</v>
      </c>
      <c r="F40" t="s">
        <v>1898</v>
      </c>
      <c r="G40" t="s">
        <v>478</v>
      </c>
      <c r="H40" t="s">
        <v>1468</v>
      </c>
      <c r="I40" t="s">
        <v>1327</v>
      </c>
      <c r="J40" s="48">
        <v>45864</v>
      </c>
    </row>
    <row r="41" spans="2:10">
      <c r="B41" t="s">
        <v>1322</v>
      </c>
      <c r="C41" s="26">
        <v>45864</v>
      </c>
      <c r="D41" t="s">
        <v>2635</v>
      </c>
      <c r="E41" t="s">
        <v>54</v>
      </c>
      <c r="F41" t="s">
        <v>1906</v>
      </c>
      <c r="G41" t="s">
        <v>478</v>
      </c>
      <c r="H41" t="s">
        <v>1467</v>
      </c>
      <c r="I41" t="s">
        <v>1327</v>
      </c>
      <c r="J41" s="48">
        <v>45864</v>
      </c>
    </row>
    <row r="42" spans="2:10">
      <c r="B42" t="s">
        <v>1322</v>
      </c>
      <c r="C42" s="26">
        <v>45864</v>
      </c>
      <c r="D42" t="s">
        <v>2667</v>
      </c>
      <c r="E42" t="s">
        <v>114</v>
      </c>
      <c r="F42" t="s">
        <v>577</v>
      </c>
      <c r="G42" t="s">
        <v>478</v>
      </c>
      <c r="H42" t="s">
        <v>1437</v>
      </c>
      <c r="I42" t="s">
        <v>1327</v>
      </c>
      <c r="J42" s="48">
        <v>45864</v>
      </c>
    </row>
    <row r="43" spans="2:10">
      <c r="B43" t="s">
        <v>1322</v>
      </c>
      <c r="C43" s="26">
        <v>45866</v>
      </c>
      <c r="D43" t="s">
        <v>2647</v>
      </c>
      <c r="E43" t="s">
        <v>89</v>
      </c>
      <c r="F43" t="s">
        <v>1918</v>
      </c>
      <c r="G43" t="s">
        <v>478</v>
      </c>
      <c r="H43" t="s">
        <v>1424</v>
      </c>
      <c r="I43" t="s">
        <v>1327</v>
      </c>
      <c r="J43" s="48">
        <v>45866</v>
      </c>
    </row>
    <row r="44" spans="2:10">
      <c r="B44" t="s">
        <v>1322</v>
      </c>
      <c r="C44" s="26">
        <v>45869</v>
      </c>
      <c r="D44" t="s">
        <v>2800</v>
      </c>
      <c r="E44" t="s">
        <v>52</v>
      </c>
      <c r="F44" t="s">
        <v>2792</v>
      </c>
      <c r="G44" t="s">
        <v>478</v>
      </c>
      <c r="H44" t="s">
        <v>1494</v>
      </c>
      <c r="I44" t="s">
        <v>1327</v>
      </c>
      <c r="J44" s="48">
        <v>45869</v>
      </c>
    </row>
    <row r="45" spans="2:10">
      <c r="B45" t="s">
        <v>1322</v>
      </c>
      <c r="C45" s="26">
        <v>45869</v>
      </c>
      <c r="D45" t="s">
        <v>2769</v>
      </c>
      <c r="E45" t="s">
        <v>92</v>
      </c>
      <c r="F45" t="s">
        <v>2304</v>
      </c>
      <c r="G45" t="s">
        <v>478</v>
      </c>
      <c r="H45" t="s">
        <v>1477</v>
      </c>
      <c r="I45" t="s">
        <v>1327</v>
      </c>
      <c r="J45" s="48">
        <v>45869</v>
      </c>
    </row>
    <row r="46" spans="2:10">
      <c r="B46" t="s">
        <v>1322</v>
      </c>
      <c r="C46" s="26">
        <v>45869</v>
      </c>
      <c r="D46" t="s">
        <v>2772</v>
      </c>
      <c r="E46" t="s">
        <v>92</v>
      </c>
      <c r="F46" t="s">
        <v>2815</v>
      </c>
      <c r="G46" t="s">
        <v>484</v>
      </c>
      <c r="H46" t="s">
        <v>1462</v>
      </c>
      <c r="I46" t="s">
        <v>1327</v>
      </c>
      <c r="J46" s="48">
        <v>45869</v>
      </c>
    </row>
    <row r="47" spans="2:10">
      <c r="B47" t="s">
        <v>1322</v>
      </c>
      <c r="C47" s="26">
        <v>45874</v>
      </c>
      <c r="D47" t="s">
        <v>2808</v>
      </c>
      <c r="E47" t="s">
        <v>54</v>
      </c>
      <c r="F47" t="s">
        <v>2809</v>
      </c>
      <c r="G47" t="s">
        <v>490</v>
      </c>
      <c r="H47" t="s">
        <v>1489</v>
      </c>
      <c r="I47" t="s">
        <v>1327</v>
      </c>
      <c r="J47" s="48">
        <v>45874</v>
      </c>
    </row>
    <row r="48" spans="2:10">
      <c r="B48" t="s">
        <v>1322</v>
      </c>
      <c r="C48" s="26">
        <v>45876</v>
      </c>
      <c r="D48" t="s">
        <v>3263</v>
      </c>
      <c r="E48" t="s">
        <v>49</v>
      </c>
      <c r="F48" t="s">
        <v>2852</v>
      </c>
      <c r="G48" t="s">
        <v>478</v>
      </c>
      <c r="H48" t="s">
        <v>478</v>
      </c>
      <c r="I48" t="s">
        <v>1327</v>
      </c>
      <c r="J48" s="48">
        <v>45876</v>
      </c>
    </row>
    <row r="49" spans="2:10">
      <c r="B49" t="s">
        <v>1322</v>
      </c>
      <c r="C49" s="26">
        <v>45876</v>
      </c>
      <c r="D49" t="s">
        <v>3265</v>
      </c>
      <c r="E49" t="s">
        <v>60</v>
      </c>
      <c r="F49" t="s">
        <v>511</v>
      </c>
      <c r="G49" t="s">
        <v>490</v>
      </c>
      <c r="H49" t="s">
        <v>1447</v>
      </c>
      <c r="I49" t="s">
        <v>1327</v>
      </c>
      <c r="J49" s="48">
        <v>45876</v>
      </c>
    </row>
    <row r="50" spans="2:10">
      <c r="B50" t="s">
        <v>1322</v>
      </c>
      <c r="C50" s="26">
        <v>45883</v>
      </c>
      <c r="D50" t="s">
        <v>2771</v>
      </c>
      <c r="E50" t="s">
        <v>92</v>
      </c>
      <c r="F50" t="s">
        <v>2304</v>
      </c>
      <c r="G50" t="s">
        <v>478</v>
      </c>
      <c r="H50" t="s">
        <v>1476</v>
      </c>
      <c r="I50" t="s">
        <v>1327</v>
      </c>
      <c r="J50" s="48">
        <v>45883</v>
      </c>
    </row>
    <row r="51" spans="2:10">
      <c r="B51" t="s">
        <v>1322</v>
      </c>
      <c r="C51" s="26">
        <v>45884</v>
      </c>
      <c r="D51" t="s">
        <v>3262</v>
      </c>
      <c r="E51" t="s">
        <v>1517</v>
      </c>
      <c r="F51" t="s">
        <v>1805</v>
      </c>
      <c r="G51" t="s">
        <v>478</v>
      </c>
      <c r="H51" t="s">
        <v>1425</v>
      </c>
      <c r="I51" t="s">
        <v>1327</v>
      </c>
      <c r="J51" s="48">
        <v>45884</v>
      </c>
    </row>
    <row r="52" spans="2:10">
      <c r="B52" t="s">
        <v>1322</v>
      </c>
      <c r="C52" s="26">
        <v>45884</v>
      </c>
      <c r="D52" t="s">
        <v>3261</v>
      </c>
      <c r="E52" t="s">
        <v>46</v>
      </c>
      <c r="F52" t="s">
        <v>478</v>
      </c>
      <c r="G52" t="s">
        <v>478</v>
      </c>
      <c r="H52" t="s">
        <v>1431</v>
      </c>
      <c r="I52" t="s">
        <v>1327</v>
      </c>
      <c r="J52" s="48">
        <v>45884</v>
      </c>
    </row>
    <row r="53" spans="2:10">
      <c r="B53" t="s">
        <v>1322</v>
      </c>
      <c r="C53" s="26">
        <v>45884</v>
      </c>
      <c r="D53" t="s">
        <v>3284</v>
      </c>
      <c r="E53" t="s">
        <v>47</v>
      </c>
      <c r="F53" t="s">
        <v>478</v>
      </c>
      <c r="G53" t="s">
        <v>478</v>
      </c>
      <c r="H53" t="s">
        <v>478</v>
      </c>
      <c r="I53" t="s">
        <v>1327</v>
      </c>
      <c r="J53" s="48">
        <v>45884</v>
      </c>
    </row>
    <row r="54" spans="2:10">
      <c r="B54" t="s">
        <v>1322</v>
      </c>
      <c r="C54" s="26">
        <v>45884</v>
      </c>
      <c r="D54" t="s">
        <v>2740</v>
      </c>
      <c r="E54" t="s">
        <v>62</v>
      </c>
      <c r="F54" t="s">
        <v>514</v>
      </c>
      <c r="G54" t="s">
        <v>478</v>
      </c>
      <c r="H54" t="s">
        <v>1452</v>
      </c>
      <c r="I54" t="s">
        <v>1327</v>
      </c>
      <c r="J54" s="48">
        <v>45884</v>
      </c>
    </row>
    <row r="55" spans="2:10">
      <c r="B55" t="s">
        <v>1322</v>
      </c>
      <c r="C55" s="26">
        <v>45884</v>
      </c>
      <c r="D55" t="s">
        <v>2774</v>
      </c>
      <c r="E55" t="s">
        <v>92</v>
      </c>
      <c r="F55" t="s">
        <v>1542</v>
      </c>
      <c r="G55" t="s">
        <v>482</v>
      </c>
      <c r="H55" t="s">
        <v>1463</v>
      </c>
      <c r="I55" t="s">
        <v>1327</v>
      </c>
      <c r="J55" s="48">
        <v>45884</v>
      </c>
    </row>
    <row r="56" spans="2:10">
      <c r="B56" t="s">
        <v>1322</v>
      </c>
      <c r="C56" s="26">
        <v>45884</v>
      </c>
      <c r="D56" t="s">
        <v>3268</v>
      </c>
      <c r="E56" t="s">
        <v>118</v>
      </c>
      <c r="F56" t="s">
        <v>478</v>
      </c>
      <c r="G56" t="s">
        <v>478</v>
      </c>
      <c r="H56" t="s">
        <v>1469</v>
      </c>
      <c r="I56" t="s">
        <v>1327</v>
      </c>
      <c r="J56" s="48">
        <v>45884</v>
      </c>
    </row>
    <row r="57" spans="2:10">
      <c r="B57" t="s">
        <v>470</v>
      </c>
      <c r="J57" s="48">
        <v>45898</v>
      </c>
    </row>
  </sheetData>
  <conditionalFormatting sqref="B4:H282">
    <cfRule type="expression" dxfId="42" priority="1">
      <formula>C4="Direct Seed"</formula>
    </cfRule>
  </conditionalFormatting>
  <pageMargins left="0.7" right="0.7" top="0.75" bottom="0.75" header="0.3" footer="0.3"/>
  <pageSetup scale="59" orientation="landscape" horizontalDpi="360" verticalDpi="36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6CD4-51BA-D14C-988D-1FFC5899E4EB}">
  <sheetPr codeName="Sheet23">
    <tabColor rgb="FFFFC000"/>
    <pageSetUpPr fitToPage="1"/>
  </sheetPr>
  <dimension ref="B1:L48"/>
  <sheetViews>
    <sheetView topLeftCell="A7" workbookViewId="0">
      <selection activeCell="L48" sqref="B1:L48"/>
    </sheetView>
  </sheetViews>
  <sheetFormatPr baseColWidth="10" defaultColWidth="8.83203125" defaultRowHeight="15"/>
  <cols>
    <col min="2" max="2" width="22.5" customWidth="1"/>
    <col min="3" max="3" width="16.1640625" customWidth="1"/>
    <col min="4" max="4" width="8.83203125" customWidth="1"/>
    <col min="5" max="5" width="11.83203125" customWidth="1"/>
    <col min="6" max="6" width="14.83203125" customWidth="1"/>
    <col min="7" max="7" width="16" customWidth="1"/>
    <col min="8" max="8" width="9.6640625" customWidth="1"/>
    <col min="9" max="9" width="7.83203125" bestFit="1" customWidth="1"/>
    <col min="10" max="10" width="10.33203125" bestFit="1" customWidth="1"/>
    <col min="11" max="11" width="7" bestFit="1" customWidth="1"/>
    <col min="12" max="12" width="5.1640625" bestFit="1" customWidth="1"/>
  </cols>
  <sheetData>
    <row r="1" spans="2:12">
      <c r="B1" s="26">
        <f ca="1">TODAY()</f>
        <v>45990</v>
      </c>
    </row>
    <row r="2" spans="2:12">
      <c r="J2" s="42" t="s">
        <v>1386</v>
      </c>
    </row>
    <row r="3" spans="2:12">
      <c r="B3" s="42" t="s">
        <v>1505</v>
      </c>
      <c r="C3" s="42" t="s">
        <v>1320</v>
      </c>
      <c r="D3" s="42" t="s">
        <v>1319</v>
      </c>
      <c r="E3" s="42" t="s">
        <v>5</v>
      </c>
      <c r="F3" s="42" t="s">
        <v>1353</v>
      </c>
      <c r="G3" s="42" t="s">
        <v>1324</v>
      </c>
      <c r="H3" s="42" t="s">
        <v>1325</v>
      </c>
      <c r="I3" s="42" t="s">
        <v>1318</v>
      </c>
      <c r="J3" t="s">
        <v>1326</v>
      </c>
      <c r="K3" t="s">
        <v>18</v>
      </c>
      <c r="L3" t="s">
        <v>17</v>
      </c>
    </row>
    <row r="4" spans="2:12">
      <c r="B4" t="s">
        <v>1424</v>
      </c>
      <c r="C4" t="s">
        <v>1322</v>
      </c>
      <c r="D4" s="26">
        <v>45866</v>
      </c>
      <c r="E4" t="s">
        <v>2647</v>
      </c>
      <c r="F4" t="s">
        <v>89</v>
      </c>
      <c r="G4" t="s">
        <v>1918</v>
      </c>
      <c r="H4" t="s">
        <v>478</v>
      </c>
      <c r="J4" s="48">
        <v>45866</v>
      </c>
      <c r="K4">
        <v>4</v>
      </c>
      <c r="L4">
        <v>2</v>
      </c>
    </row>
    <row r="5" spans="2:12">
      <c r="B5" t="s">
        <v>1425</v>
      </c>
      <c r="C5" t="s">
        <v>1322</v>
      </c>
      <c r="D5" s="26">
        <v>45884</v>
      </c>
      <c r="E5" t="s">
        <v>3262</v>
      </c>
      <c r="F5" t="s">
        <v>1517</v>
      </c>
      <c r="G5" t="s">
        <v>1805</v>
      </c>
      <c r="H5" t="s">
        <v>478</v>
      </c>
      <c r="J5" s="48">
        <v>45884</v>
      </c>
      <c r="K5">
        <v>9</v>
      </c>
      <c r="L5">
        <v>4</v>
      </c>
    </row>
    <row r="6" spans="2:12">
      <c r="B6" t="s">
        <v>1427</v>
      </c>
      <c r="C6" t="s">
        <v>1322</v>
      </c>
      <c r="D6" s="26">
        <v>45803</v>
      </c>
      <c r="E6" t="s">
        <v>2622</v>
      </c>
      <c r="F6" t="s">
        <v>43</v>
      </c>
      <c r="G6" t="s">
        <v>709</v>
      </c>
      <c r="H6" t="s">
        <v>478</v>
      </c>
      <c r="J6" s="48">
        <v>45803</v>
      </c>
      <c r="K6">
        <v>12</v>
      </c>
      <c r="L6">
        <v>1</v>
      </c>
    </row>
    <row r="7" spans="2:12">
      <c r="B7" t="s">
        <v>1429</v>
      </c>
      <c r="C7" t="s">
        <v>1322</v>
      </c>
      <c r="D7" s="26">
        <v>45836</v>
      </c>
      <c r="E7" t="s">
        <v>2623</v>
      </c>
      <c r="F7" t="s">
        <v>43</v>
      </c>
      <c r="G7" t="s">
        <v>709</v>
      </c>
      <c r="H7" t="s">
        <v>478</v>
      </c>
      <c r="J7" s="48">
        <v>45836</v>
      </c>
      <c r="K7">
        <v>12</v>
      </c>
      <c r="L7">
        <v>4</v>
      </c>
    </row>
    <row r="8" spans="2:12">
      <c r="B8" t="s">
        <v>1431</v>
      </c>
      <c r="C8" t="s">
        <v>1322</v>
      </c>
      <c r="D8" s="26">
        <v>45884</v>
      </c>
      <c r="E8" t="s">
        <v>3261</v>
      </c>
      <c r="F8" t="s">
        <v>46</v>
      </c>
      <c r="G8" t="s">
        <v>478</v>
      </c>
      <c r="H8" t="s">
        <v>478</v>
      </c>
      <c r="J8" s="48">
        <v>45884</v>
      </c>
      <c r="K8">
        <v>12</v>
      </c>
      <c r="L8">
        <v>3</v>
      </c>
    </row>
    <row r="9" spans="2:12">
      <c r="B9" t="s">
        <v>1432</v>
      </c>
      <c r="C9" t="s">
        <v>1321</v>
      </c>
      <c r="D9" s="26">
        <v>45870</v>
      </c>
      <c r="E9" t="s">
        <v>3264</v>
      </c>
      <c r="F9" t="s">
        <v>53</v>
      </c>
      <c r="G9" t="s">
        <v>478</v>
      </c>
      <c r="H9" t="s">
        <v>478</v>
      </c>
      <c r="J9" s="48">
        <v>45870</v>
      </c>
      <c r="K9">
        <v>0.5</v>
      </c>
      <c r="L9">
        <v>4</v>
      </c>
    </row>
    <row r="10" spans="2:12">
      <c r="B10" t="s">
        <v>1433</v>
      </c>
      <c r="C10" t="s">
        <v>1322</v>
      </c>
      <c r="D10" s="26">
        <v>45821</v>
      </c>
      <c r="E10" t="s">
        <v>2737</v>
      </c>
      <c r="F10" t="s">
        <v>62</v>
      </c>
      <c r="G10" t="s">
        <v>514</v>
      </c>
      <c r="H10" t="s">
        <v>478</v>
      </c>
      <c r="J10" s="48">
        <v>45821</v>
      </c>
      <c r="K10">
        <v>6</v>
      </c>
      <c r="L10">
        <v>5</v>
      </c>
    </row>
    <row r="11" spans="2:12">
      <c r="B11" t="s">
        <v>1436</v>
      </c>
      <c r="C11" t="s">
        <v>1321</v>
      </c>
      <c r="D11" s="26">
        <v>45838</v>
      </c>
      <c r="E11" t="s">
        <v>2668</v>
      </c>
      <c r="F11" t="s">
        <v>114</v>
      </c>
      <c r="G11" t="s">
        <v>1925</v>
      </c>
      <c r="H11" t="s">
        <v>482</v>
      </c>
      <c r="I11" t="s">
        <v>1327</v>
      </c>
      <c r="J11" s="48">
        <v>45838</v>
      </c>
      <c r="K11">
        <v>3</v>
      </c>
      <c r="L11">
        <v>6</v>
      </c>
    </row>
    <row r="12" spans="2:12">
      <c r="B12" t="s">
        <v>1437</v>
      </c>
      <c r="C12" t="s">
        <v>1322</v>
      </c>
      <c r="D12" s="26">
        <v>45864</v>
      </c>
      <c r="E12" t="s">
        <v>2667</v>
      </c>
      <c r="F12" t="s">
        <v>114</v>
      </c>
      <c r="G12" t="s">
        <v>577</v>
      </c>
      <c r="H12" t="s">
        <v>478</v>
      </c>
      <c r="J12" s="48">
        <v>45864</v>
      </c>
      <c r="K12">
        <v>9</v>
      </c>
      <c r="L12">
        <v>3</v>
      </c>
    </row>
    <row r="13" spans="2:12">
      <c r="B13" t="s">
        <v>1442</v>
      </c>
      <c r="C13" t="s">
        <v>1321</v>
      </c>
      <c r="D13" s="26">
        <v>45833</v>
      </c>
      <c r="E13" t="s">
        <v>3270</v>
      </c>
      <c r="F13" t="s">
        <v>119</v>
      </c>
      <c r="G13" t="s">
        <v>478</v>
      </c>
      <c r="H13" t="s">
        <v>478</v>
      </c>
      <c r="J13" s="48">
        <v>45833</v>
      </c>
      <c r="K13">
        <v>6</v>
      </c>
      <c r="L13">
        <v>4</v>
      </c>
    </row>
    <row r="14" spans="2:12">
      <c r="C14" t="s">
        <v>1321</v>
      </c>
      <c r="D14" s="26">
        <v>45884</v>
      </c>
      <c r="E14" t="s">
        <v>3269</v>
      </c>
      <c r="F14" t="s">
        <v>119</v>
      </c>
      <c r="G14" t="s">
        <v>478</v>
      </c>
      <c r="H14" t="s">
        <v>478</v>
      </c>
      <c r="J14" s="48">
        <v>45884</v>
      </c>
      <c r="K14">
        <v>6</v>
      </c>
      <c r="L14">
        <v>4</v>
      </c>
    </row>
    <row r="15" spans="2:12">
      <c r="B15" t="s">
        <v>1446</v>
      </c>
      <c r="C15" t="s">
        <v>1322</v>
      </c>
      <c r="D15" s="26">
        <v>45779</v>
      </c>
      <c r="E15" t="s">
        <v>2625</v>
      </c>
      <c r="F15" t="s">
        <v>46</v>
      </c>
      <c r="G15" t="s">
        <v>494</v>
      </c>
      <c r="H15" t="s">
        <v>478</v>
      </c>
      <c r="J15" s="48">
        <v>45779</v>
      </c>
      <c r="K15">
        <v>12</v>
      </c>
      <c r="L15">
        <v>3</v>
      </c>
    </row>
    <row r="16" spans="2:12">
      <c r="C16" t="s">
        <v>1322</v>
      </c>
      <c r="D16" s="26">
        <v>45859</v>
      </c>
      <c r="E16" t="s">
        <v>2665</v>
      </c>
      <c r="F16" t="s">
        <v>356</v>
      </c>
      <c r="G16" t="s">
        <v>570</v>
      </c>
      <c r="H16" t="s">
        <v>478</v>
      </c>
      <c r="J16" s="48">
        <v>45859</v>
      </c>
      <c r="K16">
        <v>12</v>
      </c>
      <c r="L16">
        <v>3</v>
      </c>
    </row>
    <row r="17" spans="2:12">
      <c r="B17" t="s">
        <v>1447</v>
      </c>
      <c r="C17" t="s">
        <v>1322</v>
      </c>
      <c r="D17" s="26">
        <v>45876</v>
      </c>
      <c r="E17" t="s">
        <v>3265</v>
      </c>
      <c r="F17" t="s">
        <v>60</v>
      </c>
      <c r="G17" t="s">
        <v>511</v>
      </c>
      <c r="H17" t="s">
        <v>490</v>
      </c>
      <c r="I17" t="s">
        <v>1327</v>
      </c>
      <c r="J17" s="48">
        <v>45876</v>
      </c>
      <c r="K17">
        <v>6</v>
      </c>
      <c r="L17">
        <v>4</v>
      </c>
    </row>
    <row r="18" spans="2:12">
      <c r="B18" t="s">
        <v>1448</v>
      </c>
      <c r="C18" t="s">
        <v>1321</v>
      </c>
      <c r="D18" s="26">
        <v>45889</v>
      </c>
      <c r="E18" t="s">
        <v>3267</v>
      </c>
      <c r="F18" t="s">
        <v>114</v>
      </c>
      <c r="G18" t="s">
        <v>1347</v>
      </c>
      <c r="H18" t="s">
        <v>478</v>
      </c>
      <c r="J18" s="48">
        <v>45889</v>
      </c>
      <c r="K18">
        <v>1</v>
      </c>
      <c r="L18">
        <v>6</v>
      </c>
    </row>
    <row r="19" spans="2:12">
      <c r="B19" t="s">
        <v>1449</v>
      </c>
      <c r="C19" t="s">
        <v>1321</v>
      </c>
      <c r="D19" s="26">
        <v>45839</v>
      </c>
      <c r="E19" t="s">
        <v>2779</v>
      </c>
      <c r="F19" t="s">
        <v>53</v>
      </c>
      <c r="G19" t="s">
        <v>1809</v>
      </c>
      <c r="H19" t="s">
        <v>478</v>
      </c>
      <c r="J19" s="48">
        <v>45839</v>
      </c>
      <c r="K19">
        <v>0.5</v>
      </c>
      <c r="L19">
        <v>4</v>
      </c>
    </row>
    <row r="20" spans="2:12">
      <c r="B20" t="s">
        <v>1450</v>
      </c>
      <c r="C20" t="s">
        <v>1321</v>
      </c>
      <c r="D20" s="26">
        <v>45870</v>
      </c>
      <c r="E20" t="s">
        <v>3266</v>
      </c>
      <c r="F20" t="s">
        <v>114</v>
      </c>
      <c r="G20" t="s">
        <v>1347</v>
      </c>
      <c r="H20" t="s">
        <v>478</v>
      </c>
      <c r="J20" s="48">
        <v>45870</v>
      </c>
      <c r="K20">
        <v>1</v>
      </c>
      <c r="L20">
        <v>6</v>
      </c>
    </row>
    <row r="21" spans="2:12">
      <c r="C21" t="s">
        <v>1321</v>
      </c>
      <c r="D21" s="26">
        <v>45870</v>
      </c>
      <c r="E21" t="s">
        <v>3271</v>
      </c>
      <c r="F21" t="s">
        <v>137</v>
      </c>
      <c r="G21" t="s">
        <v>1686</v>
      </c>
      <c r="H21" t="s">
        <v>490</v>
      </c>
      <c r="I21" t="s">
        <v>1327</v>
      </c>
      <c r="J21" s="48">
        <v>45870</v>
      </c>
      <c r="K21">
        <v>1.5</v>
      </c>
      <c r="L21">
        <v>4</v>
      </c>
    </row>
    <row r="22" spans="2:12">
      <c r="B22" t="s">
        <v>1452</v>
      </c>
      <c r="C22" t="s">
        <v>1321</v>
      </c>
      <c r="D22" s="26">
        <v>45884</v>
      </c>
      <c r="E22" t="s">
        <v>3287</v>
      </c>
      <c r="F22" t="s">
        <v>42</v>
      </c>
      <c r="G22" t="s">
        <v>2850</v>
      </c>
      <c r="H22" t="s">
        <v>478</v>
      </c>
      <c r="J22" s="48">
        <v>45884</v>
      </c>
      <c r="K22">
        <v>0.25</v>
      </c>
      <c r="L22">
        <v>6</v>
      </c>
    </row>
    <row r="23" spans="2:12">
      <c r="C23" t="s">
        <v>1322</v>
      </c>
      <c r="D23" s="26">
        <v>45817</v>
      </c>
      <c r="E23" t="s">
        <v>2743</v>
      </c>
      <c r="F23" t="s">
        <v>75</v>
      </c>
      <c r="G23" t="s">
        <v>614</v>
      </c>
      <c r="H23" t="s">
        <v>478</v>
      </c>
      <c r="J23" s="48">
        <v>45817</v>
      </c>
      <c r="K23">
        <v>3</v>
      </c>
      <c r="L23">
        <v>4</v>
      </c>
    </row>
    <row r="24" spans="2:12">
      <c r="C24" t="s">
        <v>1322</v>
      </c>
      <c r="D24" s="26">
        <v>45884</v>
      </c>
      <c r="E24" t="s">
        <v>2740</v>
      </c>
      <c r="F24" t="s">
        <v>62</v>
      </c>
      <c r="G24" t="s">
        <v>514</v>
      </c>
      <c r="H24" t="s">
        <v>478</v>
      </c>
      <c r="J24" s="48">
        <v>45884</v>
      </c>
      <c r="K24">
        <v>6</v>
      </c>
      <c r="L24">
        <v>5</v>
      </c>
    </row>
    <row r="25" spans="2:12">
      <c r="B25" t="s">
        <v>1455</v>
      </c>
      <c r="C25" t="s">
        <v>1321</v>
      </c>
      <c r="D25" s="26">
        <v>45898</v>
      </c>
      <c r="E25" t="s">
        <v>2759</v>
      </c>
      <c r="F25" t="s">
        <v>114</v>
      </c>
      <c r="G25" t="s">
        <v>1347</v>
      </c>
      <c r="H25" t="s">
        <v>478</v>
      </c>
      <c r="J25" s="48">
        <v>45898</v>
      </c>
      <c r="K25">
        <v>1</v>
      </c>
      <c r="L25">
        <v>6</v>
      </c>
    </row>
    <row r="26" spans="2:12">
      <c r="B26" t="s">
        <v>1462</v>
      </c>
      <c r="C26" t="s">
        <v>1322</v>
      </c>
      <c r="D26" s="26">
        <v>45869</v>
      </c>
      <c r="E26" t="s">
        <v>2772</v>
      </c>
      <c r="F26" t="s">
        <v>92</v>
      </c>
      <c r="G26" t="s">
        <v>2815</v>
      </c>
      <c r="H26" t="s">
        <v>484</v>
      </c>
      <c r="I26" t="s">
        <v>1327</v>
      </c>
      <c r="J26" s="48">
        <v>45869</v>
      </c>
      <c r="K26">
        <v>9</v>
      </c>
      <c r="L26">
        <v>4</v>
      </c>
    </row>
    <row r="27" spans="2:12">
      <c r="B27" t="s">
        <v>1463</v>
      </c>
      <c r="C27" t="s">
        <v>1322</v>
      </c>
      <c r="D27" s="26">
        <v>45821</v>
      </c>
      <c r="E27" t="s">
        <v>2733</v>
      </c>
      <c r="F27" t="s">
        <v>92</v>
      </c>
      <c r="G27" t="s">
        <v>2229</v>
      </c>
      <c r="H27" t="s">
        <v>503</v>
      </c>
      <c r="I27" t="s">
        <v>1327</v>
      </c>
      <c r="J27" s="48">
        <v>45821</v>
      </c>
      <c r="K27">
        <v>9</v>
      </c>
      <c r="L27">
        <v>4</v>
      </c>
    </row>
    <row r="28" spans="2:12">
      <c r="C28" t="s">
        <v>1322</v>
      </c>
      <c r="D28" s="26">
        <v>45884</v>
      </c>
      <c r="E28" t="s">
        <v>2774</v>
      </c>
      <c r="F28" t="s">
        <v>92</v>
      </c>
      <c r="G28" t="s">
        <v>1542</v>
      </c>
      <c r="H28" t="s">
        <v>482</v>
      </c>
      <c r="I28" t="s">
        <v>1327</v>
      </c>
      <c r="J28" s="48">
        <v>45884</v>
      </c>
      <c r="K28">
        <v>9</v>
      </c>
      <c r="L28">
        <v>4</v>
      </c>
    </row>
    <row r="29" spans="2:12">
      <c r="B29" t="s">
        <v>1467</v>
      </c>
      <c r="C29" t="s">
        <v>1322</v>
      </c>
      <c r="D29" s="26">
        <v>45864</v>
      </c>
      <c r="E29" t="s">
        <v>2635</v>
      </c>
      <c r="F29" t="s">
        <v>54</v>
      </c>
      <c r="G29" t="s">
        <v>1906</v>
      </c>
      <c r="H29" t="s">
        <v>478</v>
      </c>
      <c r="J29" s="48">
        <v>45864</v>
      </c>
      <c r="K29">
        <v>21</v>
      </c>
      <c r="L29">
        <v>2</v>
      </c>
    </row>
    <row r="30" spans="2:12">
      <c r="B30" t="s">
        <v>1468</v>
      </c>
      <c r="C30" t="s">
        <v>1322</v>
      </c>
      <c r="D30" s="26">
        <v>45864</v>
      </c>
      <c r="E30" t="s">
        <v>2628</v>
      </c>
      <c r="F30" t="s">
        <v>52</v>
      </c>
      <c r="G30" t="s">
        <v>1898</v>
      </c>
      <c r="H30" t="s">
        <v>478</v>
      </c>
      <c r="J30" s="48">
        <v>45864</v>
      </c>
      <c r="K30">
        <v>18</v>
      </c>
      <c r="L30">
        <v>2</v>
      </c>
    </row>
    <row r="31" spans="2:12">
      <c r="B31" t="s">
        <v>1469</v>
      </c>
      <c r="C31" t="s">
        <v>1322</v>
      </c>
      <c r="D31" s="26">
        <v>45884</v>
      </c>
      <c r="E31" t="s">
        <v>3268</v>
      </c>
      <c r="F31" t="s">
        <v>118</v>
      </c>
      <c r="G31" t="s">
        <v>478</v>
      </c>
      <c r="H31" t="s">
        <v>478</v>
      </c>
      <c r="J31" s="48">
        <v>45884</v>
      </c>
      <c r="K31">
        <v>12</v>
      </c>
      <c r="L31">
        <v>3</v>
      </c>
    </row>
    <row r="32" spans="2:12">
      <c r="B32" t="s">
        <v>1470</v>
      </c>
      <c r="C32" t="s">
        <v>1321</v>
      </c>
      <c r="D32" s="26">
        <v>45889</v>
      </c>
      <c r="E32" t="s">
        <v>3272</v>
      </c>
      <c r="F32" t="s">
        <v>137</v>
      </c>
      <c r="G32" t="s">
        <v>1686</v>
      </c>
      <c r="H32" t="s">
        <v>490</v>
      </c>
      <c r="I32" t="s">
        <v>1327</v>
      </c>
      <c r="J32" s="48">
        <v>45889</v>
      </c>
      <c r="K32">
        <v>1.5</v>
      </c>
      <c r="L32">
        <v>4</v>
      </c>
    </row>
    <row r="33" spans="2:12">
      <c r="B33" t="s">
        <v>1476</v>
      </c>
      <c r="C33" t="s">
        <v>1322</v>
      </c>
      <c r="D33" s="26">
        <v>45883</v>
      </c>
      <c r="E33" t="s">
        <v>2771</v>
      </c>
      <c r="F33" t="s">
        <v>92</v>
      </c>
      <c r="G33" t="s">
        <v>2304</v>
      </c>
      <c r="H33" t="s">
        <v>478</v>
      </c>
      <c r="J33" s="48">
        <v>45883</v>
      </c>
      <c r="K33">
        <v>9</v>
      </c>
      <c r="L33">
        <v>4</v>
      </c>
    </row>
    <row r="34" spans="2:12">
      <c r="B34" t="s">
        <v>1477</v>
      </c>
      <c r="C34" t="s">
        <v>1322</v>
      </c>
      <c r="D34" s="26">
        <v>45869</v>
      </c>
      <c r="E34" t="s">
        <v>2769</v>
      </c>
      <c r="F34" t="s">
        <v>92</v>
      </c>
      <c r="G34" t="s">
        <v>2304</v>
      </c>
      <c r="H34" t="s">
        <v>478</v>
      </c>
      <c r="J34" s="48">
        <v>45869</v>
      </c>
      <c r="K34">
        <v>9</v>
      </c>
      <c r="L34">
        <v>4</v>
      </c>
    </row>
    <row r="35" spans="2:12">
      <c r="B35" t="s">
        <v>1487</v>
      </c>
      <c r="C35" t="s">
        <v>1322</v>
      </c>
      <c r="D35" s="26">
        <v>45826</v>
      </c>
      <c r="E35" t="s">
        <v>3188</v>
      </c>
      <c r="F35" t="s">
        <v>92</v>
      </c>
      <c r="G35" t="s">
        <v>2816</v>
      </c>
      <c r="H35" t="s">
        <v>478</v>
      </c>
      <c r="J35" s="48">
        <v>45826</v>
      </c>
      <c r="K35">
        <v>9</v>
      </c>
      <c r="L35">
        <v>4</v>
      </c>
    </row>
    <row r="36" spans="2:12">
      <c r="B36" t="s">
        <v>1489</v>
      </c>
      <c r="C36" t="s">
        <v>1322</v>
      </c>
      <c r="D36" s="26">
        <v>45874</v>
      </c>
      <c r="E36" t="s">
        <v>2808</v>
      </c>
      <c r="F36" t="s">
        <v>54</v>
      </c>
      <c r="G36" t="s">
        <v>2809</v>
      </c>
      <c r="H36" t="s">
        <v>490</v>
      </c>
      <c r="I36" t="s">
        <v>1327</v>
      </c>
      <c r="J36" s="48">
        <v>45874</v>
      </c>
      <c r="K36">
        <v>21</v>
      </c>
      <c r="L36">
        <v>2</v>
      </c>
    </row>
    <row r="37" spans="2:12">
      <c r="B37" t="s">
        <v>1490</v>
      </c>
      <c r="C37" t="s">
        <v>1322</v>
      </c>
      <c r="D37" s="26">
        <v>45857</v>
      </c>
      <c r="E37" t="s">
        <v>2778</v>
      </c>
      <c r="F37" t="s">
        <v>49</v>
      </c>
      <c r="G37" t="s">
        <v>2852</v>
      </c>
      <c r="H37" t="s">
        <v>478</v>
      </c>
      <c r="J37" s="48">
        <v>45857</v>
      </c>
      <c r="K37">
        <v>12</v>
      </c>
      <c r="L37">
        <v>2</v>
      </c>
    </row>
    <row r="38" spans="2:12">
      <c r="B38" t="s">
        <v>1493</v>
      </c>
      <c r="C38" t="s">
        <v>1321</v>
      </c>
      <c r="D38" s="26">
        <v>45647</v>
      </c>
      <c r="E38" t="s">
        <v>1799</v>
      </c>
      <c r="F38" t="s">
        <v>80</v>
      </c>
      <c r="G38" t="s">
        <v>2863</v>
      </c>
      <c r="H38" t="s">
        <v>478</v>
      </c>
      <c r="J38" s="48">
        <v>45647</v>
      </c>
      <c r="K38">
        <v>6</v>
      </c>
      <c r="L38">
        <v>3</v>
      </c>
    </row>
    <row r="39" spans="2:12">
      <c r="C39" t="s">
        <v>1322</v>
      </c>
      <c r="D39" s="26">
        <v>45857</v>
      </c>
      <c r="E39" t="s">
        <v>2629</v>
      </c>
      <c r="F39" t="s">
        <v>52</v>
      </c>
      <c r="G39" t="s">
        <v>1905</v>
      </c>
      <c r="H39" t="s">
        <v>478</v>
      </c>
      <c r="J39" s="48">
        <v>45857</v>
      </c>
      <c r="K39">
        <v>15</v>
      </c>
      <c r="L39">
        <v>2</v>
      </c>
    </row>
    <row r="40" spans="2:12">
      <c r="B40" t="s">
        <v>1494</v>
      </c>
      <c r="C40" t="s">
        <v>1322</v>
      </c>
      <c r="D40" s="26">
        <v>45869</v>
      </c>
      <c r="E40" t="s">
        <v>2800</v>
      </c>
      <c r="F40" t="s">
        <v>52</v>
      </c>
      <c r="G40" t="s">
        <v>2792</v>
      </c>
      <c r="H40" t="s">
        <v>478</v>
      </c>
      <c r="J40" s="48">
        <v>45869</v>
      </c>
      <c r="K40">
        <v>12</v>
      </c>
      <c r="L40">
        <v>3</v>
      </c>
    </row>
    <row r="41" spans="2:12">
      <c r="B41" t="s">
        <v>1495</v>
      </c>
      <c r="C41" t="s">
        <v>1321</v>
      </c>
      <c r="D41" s="26">
        <v>45647</v>
      </c>
      <c r="E41" t="s">
        <v>1800</v>
      </c>
      <c r="F41" t="s">
        <v>80</v>
      </c>
      <c r="G41" t="s">
        <v>2863</v>
      </c>
      <c r="H41" t="s">
        <v>478</v>
      </c>
      <c r="J41" s="48">
        <v>45647</v>
      </c>
      <c r="K41">
        <v>6</v>
      </c>
      <c r="L41">
        <v>3</v>
      </c>
    </row>
    <row r="42" spans="2:12">
      <c r="C42" t="s">
        <v>1322</v>
      </c>
      <c r="D42" s="26">
        <v>45864</v>
      </c>
      <c r="E42" t="s">
        <v>2626</v>
      </c>
      <c r="F42" t="s">
        <v>46</v>
      </c>
      <c r="G42" t="s">
        <v>494</v>
      </c>
      <c r="H42" t="s">
        <v>478</v>
      </c>
      <c r="J42" s="48">
        <v>45864</v>
      </c>
      <c r="K42">
        <v>12</v>
      </c>
      <c r="L42">
        <v>3</v>
      </c>
    </row>
    <row r="43" spans="2:12">
      <c r="B43" t="s">
        <v>1499</v>
      </c>
      <c r="C43" t="s">
        <v>1322</v>
      </c>
      <c r="D43" s="26">
        <v>45838</v>
      </c>
      <c r="E43" t="s">
        <v>2781</v>
      </c>
      <c r="F43" t="s">
        <v>112</v>
      </c>
      <c r="G43" t="s">
        <v>563</v>
      </c>
      <c r="H43" t="s">
        <v>478</v>
      </c>
      <c r="J43" s="48">
        <v>45838</v>
      </c>
      <c r="K43">
        <v>12</v>
      </c>
      <c r="L43">
        <v>2</v>
      </c>
    </row>
    <row r="44" spans="2:12">
      <c r="B44" t="s">
        <v>1501</v>
      </c>
      <c r="C44" t="s">
        <v>1322</v>
      </c>
      <c r="D44" s="26">
        <v>45833</v>
      </c>
      <c r="E44" t="s">
        <v>2763</v>
      </c>
      <c r="F44" t="s">
        <v>119</v>
      </c>
      <c r="G44" t="s">
        <v>1851</v>
      </c>
      <c r="H44" t="s">
        <v>478</v>
      </c>
      <c r="J44" s="48">
        <v>45833</v>
      </c>
      <c r="K44">
        <v>6</v>
      </c>
      <c r="L44">
        <v>4</v>
      </c>
    </row>
    <row r="45" spans="2:12">
      <c r="B45" t="s">
        <v>3256</v>
      </c>
      <c r="C45" t="s">
        <v>1321</v>
      </c>
      <c r="D45" s="26">
        <v>45748</v>
      </c>
      <c r="E45" t="s">
        <v>3274</v>
      </c>
      <c r="F45" t="s">
        <v>71</v>
      </c>
      <c r="G45" t="s">
        <v>478</v>
      </c>
      <c r="H45" t="s">
        <v>478</v>
      </c>
      <c r="J45" s="48">
        <v>45748</v>
      </c>
      <c r="K45">
        <v>12</v>
      </c>
      <c r="L45">
        <v>2</v>
      </c>
    </row>
    <row r="46" spans="2:12">
      <c r="B46" t="s">
        <v>478</v>
      </c>
      <c r="C46" t="s">
        <v>1322</v>
      </c>
      <c r="D46" s="26">
        <v>45876</v>
      </c>
      <c r="E46" t="s">
        <v>3263</v>
      </c>
      <c r="F46" t="s">
        <v>49</v>
      </c>
      <c r="G46" t="s">
        <v>2852</v>
      </c>
      <c r="H46" t="s">
        <v>478</v>
      </c>
      <c r="J46" s="48">
        <v>45876</v>
      </c>
      <c r="K46">
        <v>12</v>
      </c>
      <c r="L46">
        <v>2</v>
      </c>
    </row>
    <row r="47" spans="2:12">
      <c r="C47" t="s">
        <v>1322</v>
      </c>
      <c r="D47" s="26">
        <v>45884</v>
      </c>
      <c r="E47" t="s">
        <v>3284</v>
      </c>
      <c r="F47" t="s">
        <v>47</v>
      </c>
      <c r="G47" t="s">
        <v>478</v>
      </c>
      <c r="H47" t="s">
        <v>478</v>
      </c>
      <c r="J47" s="48">
        <v>45884</v>
      </c>
      <c r="K47">
        <v>9</v>
      </c>
      <c r="L47">
        <v>4</v>
      </c>
    </row>
    <row r="48" spans="2:12">
      <c r="B48" t="s">
        <v>470</v>
      </c>
      <c r="J48" s="48">
        <v>45898</v>
      </c>
      <c r="K48">
        <v>21</v>
      </c>
      <c r="L48">
        <v>6</v>
      </c>
    </row>
  </sheetData>
  <conditionalFormatting sqref="B4:H282">
    <cfRule type="expression" dxfId="41" priority="1">
      <formula>C4="Direct Seed"</formula>
    </cfRule>
  </conditionalFormatting>
  <pageMargins left="0.7" right="0.7" top="0.75" bottom="0.75" header="0.3" footer="0.3"/>
  <pageSetup scale="74" orientation="landscape" horizontalDpi="360" verticalDpi="360" copies="2"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AF1A-D740-43F9-A7C9-ABD63F421055}">
  <sheetPr codeName="Sheet11">
    <tabColor theme="7"/>
    <pageSetUpPr fitToPage="1"/>
  </sheetPr>
  <dimension ref="A5:G142"/>
  <sheetViews>
    <sheetView workbookViewId="0"/>
  </sheetViews>
  <sheetFormatPr baseColWidth="10" defaultColWidth="8.83203125" defaultRowHeight="15"/>
  <cols>
    <col min="1" max="1" width="12.1640625" customWidth="1"/>
    <col min="2" max="2" width="59.1640625" bestFit="1" customWidth="1"/>
    <col min="3" max="3" width="19.83203125" bestFit="1" customWidth="1"/>
    <col min="4" max="4" width="25.83203125" bestFit="1" customWidth="1"/>
    <col min="5" max="5" width="10.1640625" bestFit="1" customWidth="1"/>
    <col min="6" max="6" width="7" bestFit="1" customWidth="1"/>
    <col min="7" max="7" width="6" bestFit="1" customWidth="1"/>
  </cols>
  <sheetData>
    <row r="5" spans="1:7">
      <c r="A5" s="26">
        <f ca="1">TODAY()</f>
        <v>45990</v>
      </c>
    </row>
    <row r="6" spans="1:7">
      <c r="E6" s="42" t="s">
        <v>1386</v>
      </c>
    </row>
    <row r="7" spans="1:7">
      <c r="A7" s="42" t="s">
        <v>5</v>
      </c>
      <c r="B7" s="42" t="s">
        <v>4</v>
      </c>
      <c r="C7" s="42" t="s">
        <v>243</v>
      </c>
      <c r="D7" s="42" t="s">
        <v>6</v>
      </c>
      <c r="E7" t="s">
        <v>1387</v>
      </c>
      <c r="F7" t="s">
        <v>1388</v>
      </c>
      <c r="G7" t="s">
        <v>1389</v>
      </c>
    </row>
    <row r="8" spans="1:7">
      <c r="A8" t="s">
        <v>1799</v>
      </c>
      <c r="B8" t="s">
        <v>1533</v>
      </c>
      <c r="C8" t="s">
        <v>80</v>
      </c>
      <c r="D8" t="s">
        <v>2863</v>
      </c>
      <c r="E8">
        <v>3</v>
      </c>
      <c r="F8">
        <v>6</v>
      </c>
      <c r="G8">
        <v>2</v>
      </c>
    </row>
    <row r="9" spans="1:7">
      <c r="A9" t="s">
        <v>1800</v>
      </c>
      <c r="B9" t="s">
        <v>1532</v>
      </c>
      <c r="C9" t="s">
        <v>80</v>
      </c>
      <c r="D9" t="s">
        <v>2863</v>
      </c>
      <c r="E9">
        <v>3</v>
      </c>
      <c r="F9">
        <v>6</v>
      </c>
      <c r="G9">
        <v>1</v>
      </c>
    </row>
    <row r="10" spans="1:7">
      <c r="A10" t="s">
        <v>1801</v>
      </c>
      <c r="B10" t="s">
        <v>1528</v>
      </c>
      <c r="C10" t="s">
        <v>95</v>
      </c>
      <c r="D10" t="s">
        <v>1521</v>
      </c>
      <c r="E10">
        <v>1</v>
      </c>
      <c r="F10">
        <v>18</v>
      </c>
      <c r="G10">
        <v>0.4</v>
      </c>
    </row>
    <row r="11" spans="1:7">
      <c r="A11" t="s">
        <v>1802</v>
      </c>
      <c r="B11" t="s">
        <v>1541</v>
      </c>
      <c r="C11" t="s">
        <v>122</v>
      </c>
      <c r="D11" t="s">
        <v>1927</v>
      </c>
      <c r="E11">
        <v>3</v>
      </c>
      <c r="F11">
        <v>12</v>
      </c>
      <c r="G11">
        <v>0.4</v>
      </c>
    </row>
    <row r="12" spans="1:7">
      <c r="A12" t="s">
        <v>2621</v>
      </c>
      <c r="B12" t="s">
        <v>2300</v>
      </c>
      <c r="C12" t="s">
        <v>42</v>
      </c>
      <c r="D12" t="s">
        <v>2850</v>
      </c>
      <c r="E12">
        <v>6</v>
      </c>
      <c r="F12">
        <v>0.25</v>
      </c>
      <c r="G12">
        <v>0.25</v>
      </c>
    </row>
    <row r="13" spans="1:7">
      <c r="A13" t="s">
        <v>2622</v>
      </c>
      <c r="B13" t="s">
        <v>1712</v>
      </c>
      <c r="C13" t="s">
        <v>43</v>
      </c>
      <c r="D13" t="s">
        <v>709</v>
      </c>
      <c r="E13">
        <v>1</v>
      </c>
      <c r="F13">
        <v>12</v>
      </c>
      <c r="G13">
        <v>1</v>
      </c>
    </row>
    <row r="14" spans="1:7">
      <c r="A14" t="s">
        <v>2623</v>
      </c>
      <c r="B14" t="s">
        <v>2596</v>
      </c>
      <c r="C14" t="s">
        <v>43</v>
      </c>
      <c r="D14" t="s">
        <v>709</v>
      </c>
      <c r="E14">
        <v>4</v>
      </c>
      <c r="F14">
        <v>12</v>
      </c>
      <c r="G14">
        <v>1</v>
      </c>
    </row>
    <row r="15" spans="1:7">
      <c r="A15" t="s">
        <v>2726</v>
      </c>
      <c r="B15" t="s">
        <v>3125</v>
      </c>
      <c r="C15" t="s">
        <v>43</v>
      </c>
      <c r="D15" t="s">
        <v>147</v>
      </c>
      <c r="E15">
        <v>2</v>
      </c>
      <c r="F15">
        <v>12</v>
      </c>
      <c r="G15">
        <v>0.4</v>
      </c>
    </row>
    <row r="16" spans="1:7">
      <c r="A16" t="s">
        <v>2624</v>
      </c>
      <c r="B16" t="s">
        <v>3102</v>
      </c>
      <c r="C16" t="s">
        <v>44</v>
      </c>
      <c r="D16" t="s">
        <v>2783</v>
      </c>
      <c r="E16">
        <v>1</v>
      </c>
      <c r="F16">
        <v>6</v>
      </c>
      <c r="G16">
        <v>2</v>
      </c>
    </row>
    <row r="17" spans="1:7">
      <c r="A17" t="s">
        <v>2625</v>
      </c>
      <c r="B17" t="s">
        <v>1751</v>
      </c>
      <c r="C17" t="s">
        <v>46</v>
      </c>
      <c r="D17" t="s">
        <v>494</v>
      </c>
      <c r="E17">
        <v>3</v>
      </c>
      <c r="F17">
        <v>12</v>
      </c>
      <c r="G17">
        <v>2</v>
      </c>
    </row>
    <row r="18" spans="1:7">
      <c r="A18" t="s">
        <v>2626</v>
      </c>
      <c r="B18" t="s">
        <v>1750</v>
      </c>
      <c r="C18" t="s">
        <v>46</v>
      </c>
      <c r="D18" t="s">
        <v>494</v>
      </c>
      <c r="E18">
        <v>3</v>
      </c>
      <c r="F18">
        <v>12</v>
      </c>
      <c r="G18">
        <v>2</v>
      </c>
    </row>
    <row r="19" spans="1:7">
      <c r="A19" t="s">
        <v>2627</v>
      </c>
      <c r="B19" t="s">
        <v>3108</v>
      </c>
      <c r="C19" t="s">
        <v>1517</v>
      </c>
      <c r="D19" t="s">
        <v>1805</v>
      </c>
      <c r="E19">
        <v>4</v>
      </c>
      <c r="F19">
        <v>9</v>
      </c>
      <c r="G19">
        <v>1.6</v>
      </c>
    </row>
    <row r="20" spans="1:7">
      <c r="A20" t="s">
        <v>2778</v>
      </c>
      <c r="B20" t="s">
        <v>2777</v>
      </c>
      <c r="C20" t="s">
        <v>49</v>
      </c>
      <c r="D20" t="s">
        <v>2852</v>
      </c>
      <c r="E20">
        <v>2</v>
      </c>
      <c r="F20">
        <v>18</v>
      </c>
      <c r="G20">
        <v>0.8</v>
      </c>
    </row>
    <row r="21" spans="1:7">
      <c r="A21" t="s">
        <v>2628</v>
      </c>
      <c r="B21" t="s">
        <v>2597</v>
      </c>
      <c r="C21" t="s">
        <v>52</v>
      </c>
      <c r="D21" t="s">
        <v>1898</v>
      </c>
      <c r="E21">
        <v>2</v>
      </c>
      <c r="F21">
        <v>18</v>
      </c>
      <c r="G21">
        <v>1</v>
      </c>
    </row>
    <row r="22" spans="1:7">
      <c r="A22" t="s">
        <v>2629</v>
      </c>
      <c r="B22" t="s">
        <v>2598</v>
      </c>
      <c r="C22" t="s">
        <v>52</v>
      </c>
      <c r="D22" t="s">
        <v>1905</v>
      </c>
      <c r="E22">
        <v>2</v>
      </c>
      <c r="F22">
        <v>15</v>
      </c>
      <c r="G22">
        <v>1</v>
      </c>
    </row>
    <row r="23" spans="1:7">
      <c r="A23" t="s">
        <v>2800</v>
      </c>
      <c r="B23" t="s">
        <v>2799</v>
      </c>
      <c r="C23" t="s">
        <v>52</v>
      </c>
      <c r="D23" t="s">
        <v>2792</v>
      </c>
      <c r="E23">
        <v>3</v>
      </c>
      <c r="F23">
        <v>12</v>
      </c>
      <c r="G23">
        <v>1</v>
      </c>
    </row>
    <row r="24" spans="1:7">
      <c r="A24" t="s">
        <v>2630</v>
      </c>
      <c r="B24" t="s">
        <v>2797</v>
      </c>
      <c r="C24" t="s">
        <v>52</v>
      </c>
      <c r="D24" t="s">
        <v>2790</v>
      </c>
      <c r="E24">
        <v>3</v>
      </c>
      <c r="F24">
        <v>9</v>
      </c>
      <c r="G24">
        <v>0.4</v>
      </c>
    </row>
    <row r="25" spans="1:7">
      <c r="A25" t="s">
        <v>2631</v>
      </c>
      <c r="B25" t="s">
        <v>2795</v>
      </c>
      <c r="C25" t="s">
        <v>52</v>
      </c>
      <c r="D25" t="s">
        <v>3005</v>
      </c>
      <c r="E25">
        <v>3</v>
      </c>
      <c r="F25">
        <v>9</v>
      </c>
      <c r="G25">
        <v>1</v>
      </c>
    </row>
    <row r="26" spans="1:7">
      <c r="A26" t="s">
        <v>2632</v>
      </c>
      <c r="B26" t="s">
        <v>1714</v>
      </c>
      <c r="C26" t="s">
        <v>53</v>
      </c>
      <c r="D26" t="s">
        <v>1808</v>
      </c>
      <c r="E26">
        <v>4</v>
      </c>
      <c r="F26">
        <v>0.5</v>
      </c>
      <c r="G26">
        <v>1</v>
      </c>
    </row>
    <row r="27" spans="1:7">
      <c r="A27" t="s">
        <v>2633</v>
      </c>
      <c r="B27" t="s">
        <v>1714</v>
      </c>
      <c r="C27" t="s">
        <v>53</v>
      </c>
      <c r="D27" t="s">
        <v>1808</v>
      </c>
      <c r="E27">
        <v>4</v>
      </c>
      <c r="F27">
        <v>0.5</v>
      </c>
      <c r="G27">
        <v>0.5</v>
      </c>
    </row>
    <row r="28" spans="1:7">
      <c r="A28" t="s">
        <v>2634</v>
      </c>
      <c r="B28" t="s">
        <v>353</v>
      </c>
      <c r="C28" t="s">
        <v>53</v>
      </c>
      <c r="D28" t="s">
        <v>1809</v>
      </c>
      <c r="E28">
        <v>4</v>
      </c>
      <c r="F28">
        <v>0.5</v>
      </c>
      <c r="G28">
        <v>1</v>
      </c>
    </row>
    <row r="29" spans="1:7">
      <c r="A29" t="s">
        <v>2779</v>
      </c>
      <c r="B29" t="s">
        <v>353</v>
      </c>
      <c r="C29" t="s">
        <v>53</v>
      </c>
      <c r="D29" t="s">
        <v>1809</v>
      </c>
      <c r="E29">
        <v>4</v>
      </c>
      <c r="F29">
        <v>0.5</v>
      </c>
      <c r="G29">
        <v>1</v>
      </c>
    </row>
    <row r="30" spans="1:7">
      <c r="A30" t="s">
        <v>2760</v>
      </c>
      <c r="B30" t="s">
        <v>1714</v>
      </c>
      <c r="C30" t="s">
        <v>53</v>
      </c>
      <c r="D30" t="s">
        <v>1808</v>
      </c>
      <c r="E30">
        <v>4</v>
      </c>
      <c r="F30">
        <v>0.5</v>
      </c>
      <c r="G30">
        <v>0.5</v>
      </c>
    </row>
    <row r="31" spans="1:7">
      <c r="A31" t="s">
        <v>2761</v>
      </c>
      <c r="B31" t="s">
        <v>1714</v>
      </c>
      <c r="C31" t="s">
        <v>53</v>
      </c>
      <c r="D31" t="s">
        <v>1808</v>
      </c>
      <c r="E31">
        <v>4</v>
      </c>
      <c r="F31">
        <v>0.5</v>
      </c>
      <c r="G31">
        <v>0.5</v>
      </c>
    </row>
    <row r="32" spans="1:7">
      <c r="A32" t="s">
        <v>2762</v>
      </c>
      <c r="B32" t="s">
        <v>1714</v>
      </c>
      <c r="C32" t="s">
        <v>53</v>
      </c>
      <c r="D32" t="s">
        <v>1808</v>
      </c>
      <c r="E32">
        <v>4</v>
      </c>
      <c r="F32">
        <v>0.5</v>
      </c>
      <c r="G32">
        <v>0.5</v>
      </c>
    </row>
    <row r="33" spans="1:7">
      <c r="A33" t="s">
        <v>2635</v>
      </c>
      <c r="B33" t="s">
        <v>404</v>
      </c>
      <c r="C33" t="s">
        <v>54</v>
      </c>
      <c r="D33" t="s">
        <v>1906</v>
      </c>
      <c r="E33">
        <v>2</v>
      </c>
      <c r="F33">
        <v>21</v>
      </c>
      <c r="G33">
        <v>1</v>
      </c>
    </row>
    <row r="34" spans="1:7">
      <c r="A34" t="s">
        <v>2808</v>
      </c>
      <c r="B34" t="s">
        <v>2807</v>
      </c>
      <c r="C34" t="s">
        <v>54</v>
      </c>
      <c r="D34" t="s">
        <v>2809</v>
      </c>
      <c r="E34">
        <v>2</v>
      </c>
      <c r="F34">
        <v>21</v>
      </c>
      <c r="G34">
        <v>1</v>
      </c>
    </row>
    <row r="35" spans="1:7">
      <c r="A35" t="s">
        <v>2636</v>
      </c>
      <c r="B35" t="s">
        <v>271</v>
      </c>
      <c r="C35" t="s">
        <v>55</v>
      </c>
      <c r="D35" t="s">
        <v>1871</v>
      </c>
      <c r="E35">
        <v>3</v>
      </c>
      <c r="F35">
        <v>12</v>
      </c>
      <c r="G35">
        <v>1</v>
      </c>
    </row>
    <row r="36" spans="1:7">
      <c r="A36" t="s">
        <v>2637</v>
      </c>
      <c r="B36" t="s">
        <v>2601</v>
      </c>
      <c r="C36" t="s">
        <v>60</v>
      </c>
      <c r="D36" t="s">
        <v>511</v>
      </c>
      <c r="E36">
        <v>3</v>
      </c>
      <c r="F36">
        <v>12</v>
      </c>
      <c r="G36">
        <v>1</v>
      </c>
    </row>
    <row r="37" spans="1:7">
      <c r="A37" t="s">
        <v>2638</v>
      </c>
      <c r="B37" t="s">
        <v>1520</v>
      </c>
      <c r="C37" t="s">
        <v>61</v>
      </c>
      <c r="D37" t="s">
        <v>513</v>
      </c>
      <c r="E37">
        <v>3</v>
      </c>
      <c r="F37">
        <v>0.8</v>
      </c>
      <c r="G37">
        <v>0.25</v>
      </c>
    </row>
    <row r="38" spans="1:7">
      <c r="A38" t="s">
        <v>2639</v>
      </c>
      <c r="B38" t="s">
        <v>2747</v>
      </c>
      <c r="C38" t="s">
        <v>62</v>
      </c>
      <c r="D38" t="s">
        <v>514</v>
      </c>
      <c r="E38">
        <v>5</v>
      </c>
      <c r="F38">
        <v>6</v>
      </c>
      <c r="G38">
        <v>0.25</v>
      </c>
    </row>
    <row r="39" spans="1:7">
      <c r="A39" t="s">
        <v>2715</v>
      </c>
      <c r="B39" t="s">
        <v>2747</v>
      </c>
      <c r="C39" t="s">
        <v>62</v>
      </c>
      <c r="D39" t="s">
        <v>514</v>
      </c>
      <c r="E39">
        <v>5</v>
      </c>
      <c r="F39">
        <v>6</v>
      </c>
      <c r="G39">
        <v>0.25</v>
      </c>
    </row>
    <row r="40" spans="1:7">
      <c r="A40" t="s">
        <v>2734</v>
      </c>
      <c r="B40" t="s">
        <v>2747</v>
      </c>
      <c r="C40" t="s">
        <v>62</v>
      </c>
      <c r="D40" t="s">
        <v>514</v>
      </c>
      <c r="E40">
        <v>5</v>
      </c>
      <c r="F40">
        <v>6</v>
      </c>
      <c r="G40">
        <v>0.25</v>
      </c>
    </row>
    <row r="41" spans="1:7">
      <c r="A41" t="s">
        <v>2735</v>
      </c>
      <c r="B41" t="s">
        <v>2747</v>
      </c>
      <c r="C41" t="s">
        <v>62</v>
      </c>
      <c r="D41" t="s">
        <v>514</v>
      </c>
      <c r="E41">
        <v>5</v>
      </c>
      <c r="F41">
        <v>6</v>
      </c>
      <c r="G41">
        <v>0.25</v>
      </c>
    </row>
    <row r="42" spans="1:7">
      <c r="A42" t="s">
        <v>2736</v>
      </c>
      <c r="B42" t="s">
        <v>2747</v>
      </c>
      <c r="C42" t="s">
        <v>62</v>
      </c>
      <c r="D42" t="s">
        <v>514</v>
      </c>
      <c r="E42">
        <v>5</v>
      </c>
      <c r="F42">
        <v>6</v>
      </c>
      <c r="G42">
        <v>0.25</v>
      </c>
    </row>
    <row r="43" spans="1:7">
      <c r="A43" t="s">
        <v>2737</v>
      </c>
      <c r="B43" t="s">
        <v>2747</v>
      </c>
      <c r="C43" t="s">
        <v>62</v>
      </c>
      <c r="D43" t="s">
        <v>514</v>
      </c>
      <c r="E43">
        <v>5</v>
      </c>
      <c r="F43">
        <v>6</v>
      </c>
      <c r="G43">
        <v>0.25</v>
      </c>
    </row>
    <row r="44" spans="1:7">
      <c r="A44" t="s">
        <v>2738</v>
      </c>
      <c r="B44" t="s">
        <v>2747</v>
      </c>
      <c r="C44" t="s">
        <v>62</v>
      </c>
      <c r="D44" t="s">
        <v>514</v>
      </c>
      <c r="E44">
        <v>5</v>
      </c>
      <c r="F44">
        <v>6</v>
      </c>
      <c r="G44">
        <v>0.25</v>
      </c>
    </row>
    <row r="45" spans="1:7">
      <c r="A45" t="s">
        <v>2739</v>
      </c>
      <c r="B45" t="s">
        <v>2747</v>
      </c>
      <c r="C45" t="s">
        <v>62</v>
      </c>
      <c r="D45" t="s">
        <v>514</v>
      </c>
      <c r="E45">
        <v>5</v>
      </c>
      <c r="F45">
        <v>6</v>
      </c>
      <c r="G45">
        <v>0.25</v>
      </c>
    </row>
    <row r="46" spans="1:7">
      <c r="A46" t="s">
        <v>2740</v>
      </c>
      <c r="B46" t="s">
        <v>2747</v>
      </c>
      <c r="C46" t="s">
        <v>62</v>
      </c>
      <c r="D46" t="s">
        <v>514</v>
      </c>
      <c r="E46">
        <v>5</v>
      </c>
      <c r="F46">
        <v>6</v>
      </c>
      <c r="G46">
        <v>0.25</v>
      </c>
    </row>
    <row r="47" spans="1:7">
      <c r="A47" t="s">
        <v>2640</v>
      </c>
      <c r="B47" t="s">
        <v>1886</v>
      </c>
      <c r="C47" t="s">
        <v>325</v>
      </c>
      <c r="D47" t="s">
        <v>1873</v>
      </c>
      <c r="E47">
        <v>3</v>
      </c>
      <c r="F47">
        <v>9</v>
      </c>
      <c r="G47">
        <v>2</v>
      </c>
    </row>
    <row r="48" spans="1:7">
      <c r="A48" t="s">
        <v>2641</v>
      </c>
      <c r="B48" t="s">
        <v>2602</v>
      </c>
      <c r="C48" t="s">
        <v>70</v>
      </c>
      <c r="D48" t="s">
        <v>2822</v>
      </c>
      <c r="E48">
        <v>1</v>
      </c>
      <c r="F48">
        <v>18</v>
      </c>
      <c r="G48">
        <v>0.75</v>
      </c>
    </row>
    <row r="49" spans="1:7">
      <c r="A49" t="s">
        <v>2642</v>
      </c>
      <c r="B49" t="s">
        <v>2720</v>
      </c>
      <c r="C49" t="s">
        <v>70</v>
      </c>
      <c r="D49" t="s">
        <v>2823</v>
      </c>
      <c r="E49">
        <v>1</v>
      </c>
      <c r="F49">
        <v>12</v>
      </c>
      <c r="G49">
        <v>0.25</v>
      </c>
    </row>
    <row r="50" spans="1:7">
      <c r="A50" t="s">
        <v>2722</v>
      </c>
      <c r="B50" t="s">
        <v>269</v>
      </c>
      <c r="C50" t="s">
        <v>70</v>
      </c>
      <c r="D50" t="s">
        <v>2822</v>
      </c>
      <c r="E50">
        <v>1</v>
      </c>
      <c r="F50">
        <v>12</v>
      </c>
      <c r="G50">
        <v>1</v>
      </c>
    </row>
    <row r="51" spans="1:7">
      <c r="A51" t="s">
        <v>2723</v>
      </c>
      <c r="B51" t="s">
        <v>2721</v>
      </c>
      <c r="C51" t="s">
        <v>70</v>
      </c>
      <c r="D51" t="s">
        <v>2821</v>
      </c>
      <c r="E51">
        <v>1</v>
      </c>
      <c r="F51">
        <v>12</v>
      </c>
      <c r="G51">
        <v>1</v>
      </c>
    </row>
    <row r="52" spans="1:7">
      <c r="A52" t="s">
        <v>2643</v>
      </c>
      <c r="B52" t="s">
        <v>2748</v>
      </c>
      <c r="C52" t="s">
        <v>75</v>
      </c>
      <c r="D52" t="s">
        <v>614</v>
      </c>
      <c r="E52">
        <v>4</v>
      </c>
      <c r="F52">
        <v>3</v>
      </c>
      <c r="G52">
        <v>0.25</v>
      </c>
    </row>
    <row r="53" spans="1:7">
      <c r="A53" t="s">
        <v>2716</v>
      </c>
      <c r="B53" t="s">
        <v>2748</v>
      </c>
      <c r="C53" t="s">
        <v>75</v>
      </c>
      <c r="D53" t="s">
        <v>614</v>
      </c>
      <c r="E53">
        <v>4</v>
      </c>
      <c r="F53">
        <v>3</v>
      </c>
      <c r="G53">
        <v>0.25</v>
      </c>
    </row>
    <row r="54" spans="1:7">
      <c r="A54" t="s">
        <v>2741</v>
      </c>
      <c r="B54" t="s">
        <v>2746</v>
      </c>
      <c r="C54" t="s">
        <v>75</v>
      </c>
      <c r="D54" t="s">
        <v>614</v>
      </c>
      <c r="E54">
        <v>4</v>
      </c>
      <c r="F54">
        <v>3</v>
      </c>
      <c r="G54">
        <v>0.25</v>
      </c>
    </row>
    <row r="55" spans="1:7">
      <c r="A55" t="s">
        <v>2742</v>
      </c>
      <c r="B55" t="s">
        <v>2748</v>
      </c>
      <c r="C55" t="s">
        <v>75</v>
      </c>
      <c r="D55" t="s">
        <v>614</v>
      </c>
      <c r="E55">
        <v>4</v>
      </c>
      <c r="F55">
        <v>3</v>
      </c>
      <c r="G55">
        <v>0.25</v>
      </c>
    </row>
    <row r="56" spans="1:7">
      <c r="A56" t="s">
        <v>2743</v>
      </c>
      <c r="B56" t="s">
        <v>2748</v>
      </c>
      <c r="C56" t="s">
        <v>75</v>
      </c>
      <c r="D56" t="s">
        <v>614</v>
      </c>
      <c r="E56">
        <v>4</v>
      </c>
      <c r="F56">
        <v>3</v>
      </c>
      <c r="G56">
        <v>0.25</v>
      </c>
    </row>
    <row r="57" spans="1:7">
      <c r="A57" t="s">
        <v>2744</v>
      </c>
      <c r="B57" t="s">
        <v>2748</v>
      </c>
      <c r="C57" t="s">
        <v>75</v>
      </c>
      <c r="D57" t="s">
        <v>614</v>
      </c>
      <c r="E57">
        <v>4</v>
      </c>
      <c r="F57">
        <v>3</v>
      </c>
      <c r="G57">
        <v>0.25</v>
      </c>
    </row>
    <row r="58" spans="1:7">
      <c r="A58" t="s">
        <v>2745</v>
      </c>
      <c r="B58" t="s">
        <v>2748</v>
      </c>
      <c r="C58" t="s">
        <v>75</v>
      </c>
      <c r="D58" t="s">
        <v>614</v>
      </c>
      <c r="E58">
        <v>4</v>
      </c>
      <c r="F58">
        <v>3</v>
      </c>
      <c r="G58">
        <v>0.25</v>
      </c>
    </row>
    <row r="59" spans="1:7">
      <c r="A59" t="s">
        <v>2644</v>
      </c>
      <c r="B59" t="s">
        <v>2603</v>
      </c>
      <c r="C59" t="s">
        <v>2281</v>
      </c>
      <c r="D59" t="s">
        <v>1815</v>
      </c>
      <c r="E59">
        <v>2</v>
      </c>
      <c r="F59">
        <v>9</v>
      </c>
      <c r="G59">
        <v>1</v>
      </c>
    </row>
    <row r="60" spans="1:7">
      <c r="A60" t="s">
        <v>2728</v>
      </c>
      <c r="B60" t="s">
        <v>3126</v>
      </c>
      <c r="C60" t="s">
        <v>78</v>
      </c>
      <c r="D60" t="s">
        <v>1832</v>
      </c>
      <c r="E60">
        <v>4</v>
      </c>
      <c r="F60">
        <v>6</v>
      </c>
      <c r="G60">
        <v>1</v>
      </c>
    </row>
    <row r="61" spans="1:7">
      <c r="A61" t="s">
        <v>2776</v>
      </c>
      <c r="B61" t="s">
        <v>1722</v>
      </c>
      <c r="C61" t="s">
        <v>78</v>
      </c>
      <c r="D61" t="s">
        <v>1832</v>
      </c>
      <c r="E61">
        <v>4</v>
      </c>
      <c r="F61">
        <v>6</v>
      </c>
      <c r="G61">
        <v>1</v>
      </c>
    </row>
    <row r="62" spans="1:7">
      <c r="A62" t="s">
        <v>2725</v>
      </c>
      <c r="B62" t="s">
        <v>2724</v>
      </c>
      <c r="C62" t="s">
        <v>80</v>
      </c>
      <c r="D62" t="s">
        <v>2863</v>
      </c>
      <c r="E62">
        <v>3</v>
      </c>
      <c r="F62">
        <v>2</v>
      </c>
      <c r="G62">
        <v>1</v>
      </c>
    </row>
    <row r="63" spans="1:7">
      <c r="A63" t="s">
        <v>2645</v>
      </c>
      <c r="B63" t="s">
        <v>3103</v>
      </c>
      <c r="C63" t="s">
        <v>393</v>
      </c>
      <c r="D63" t="s">
        <v>2855</v>
      </c>
      <c r="E63">
        <v>1</v>
      </c>
      <c r="F63">
        <v>30</v>
      </c>
      <c r="G63">
        <v>0.5</v>
      </c>
    </row>
    <row r="64" spans="1:7">
      <c r="A64" t="s">
        <v>2646</v>
      </c>
      <c r="B64" t="s">
        <v>2228</v>
      </c>
      <c r="C64" t="s">
        <v>88</v>
      </c>
      <c r="D64" t="s">
        <v>1912</v>
      </c>
      <c r="E64">
        <v>2</v>
      </c>
      <c r="F64">
        <v>18</v>
      </c>
      <c r="G64">
        <v>2</v>
      </c>
    </row>
    <row r="65" spans="1:7">
      <c r="A65" t="s">
        <v>2647</v>
      </c>
      <c r="B65" t="s">
        <v>1916</v>
      </c>
      <c r="C65" t="s">
        <v>89</v>
      </c>
      <c r="D65" t="s">
        <v>1918</v>
      </c>
      <c r="E65">
        <v>2</v>
      </c>
      <c r="F65">
        <v>4</v>
      </c>
      <c r="G65">
        <v>1</v>
      </c>
    </row>
    <row r="66" spans="1:7">
      <c r="A66" t="s">
        <v>2648</v>
      </c>
      <c r="B66" t="s">
        <v>2604</v>
      </c>
      <c r="C66" t="s">
        <v>89</v>
      </c>
      <c r="D66" t="s">
        <v>1918</v>
      </c>
      <c r="E66">
        <v>2</v>
      </c>
      <c r="F66">
        <v>4</v>
      </c>
      <c r="G66">
        <v>1</v>
      </c>
    </row>
    <row r="67" spans="1:7">
      <c r="A67" t="s">
        <v>2649</v>
      </c>
      <c r="B67" t="s">
        <v>3101</v>
      </c>
      <c r="C67" t="s">
        <v>91</v>
      </c>
      <c r="D67" t="s">
        <v>2856</v>
      </c>
      <c r="E67">
        <v>4</v>
      </c>
      <c r="F67">
        <v>9</v>
      </c>
      <c r="G67">
        <v>2</v>
      </c>
    </row>
    <row r="68" spans="1:7">
      <c r="A68" t="s">
        <v>2650</v>
      </c>
      <c r="B68" t="s">
        <v>402</v>
      </c>
      <c r="C68" t="s">
        <v>387</v>
      </c>
      <c r="D68" t="s">
        <v>1877</v>
      </c>
      <c r="E68">
        <v>2</v>
      </c>
      <c r="F68">
        <v>12</v>
      </c>
      <c r="G68">
        <v>1</v>
      </c>
    </row>
    <row r="69" spans="1:7">
      <c r="A69" t="s">
        <v>2651</v>
      </c>
      <c r="B69" t="s">
        <v>2607</v>
      </c>
      <c r="C69" t="s">
        <v>92</v>
      </c>
      <c r="D69" t="s">
        <v>2304</v>
      </c>
      <c r="E69">
        <v>4</v>
      </c>
      <c r="F69">
        <v>9</v>
      </c>
      <c r="G69">
        <v>2</v>
      </c>
    </row>
    <row r="70" spans="1:7">
      <c r="A70" t="s">
        <v>2709</v>
      </c>
      <c r="B70" t="s">
        <v>2727</v>
      </c>
      <c r="C70" t="s">
        <v>92</v>
      </c>
      <c r="D70" t="s">
        <v>2304</v>
      </c>
      <c r="E70">
        <v>4</v>
      </c>
      <c r="F70">
        <v>9</v>
      </c>
      <c r="G70">
        <v>1</v>
      </c>
    </row>
    <row r="71" spans="1:7">
      <c r="A71" t="s">
        <v>2766</v>
      </c>
      <c r="B71" t="s">
        <v>2303</v>
      </c>
      <c r="C71" t="s">
        <v>92</v>
      </c>
      <c r="D71" t="s">
        <v>2304</v>
      </c>
      <c r="E71">
        <v>4</v>
      </c>
      <c r="F71">
        <v>9</v>
      </c>
      <c r="G71">
        <v>1</v>
      </c>
    </row>
    <row r="72" spans="1:7">
      <c r="A72" t="s">
        <v>2767</v>
      </c>
      <c r="B72" t="s">
        <v>2303</v>
      </c>
      <c r="C72" t="s">
        <v>92</v>
      </c>
      <c r="D72" t="s">
        <v>2304</v>
      </c>
      <c r="E72">
        <v>4</v>
      </c>
      <c r="F72">
        <v>9</v>
      </c>
      <c r="G72">
        <v>1</v>
      </c>
    </row>
    <row r="73" spans="1:7">
      <c r="A73" t="s">
        <v>2768</v>
      </c>
      <c r="B73" t="s">
        <v>2303</v>
      </c>
      <c r="C73" t="s">
        <v>92</v>
      </c>
      <c r="D73" t="s">
        <v>2304</v>
      </c>
      <c r="E73">
        <v>4</v>
      </c>
      <c r="F73">
        <v>9</v>
      </c>
      <c r="G73">
        <v>1</v>
      </c>
    </row>
    <row r="74" spans="1:7">
      <c r="A74" t="s">
        <v>2769</v>
      </c>
      <c r="B74" t="s">
        <v>2303</v>
      </c>
      <c r="C74" t="s">
        <v>92</v>
      </c>
      <c r="D74" t="s">
        <v>2304</v>
      </c>
      <c r="E74">
        <v>4</v>
      </c>
      <c r="F74">
        <v>9</v>
      </c>
      <c r="G74">
        <v>1</v>
      </c>
    </row>
    <row r="75" spans="1:7">
      <c r="A75" t="s">
        <v>2770</v>
      </c>
      <c r="B75" t="s">
        <v>2303</v>
      </c>
      <c r="C75" t="s">
        <v>92</v>
      </c>
      <c r="D75" t="s">
        <v>2304</v>
      </c>
      <c r="E75">
        <v>4</v>
      </c>
      <c r="F75">
        <v>9</v>
      </c>
      <c r="G75">
        <v>1</v>
      </c>
    </row>
    <row r="76" spans="1:7">
      <c r="A76" t="s">
        <v>2771</v>
      </c>
      <c r="B76" t="s">
        <v>2303</v>
      </c>
      <c r="C76" t="s">
        <v>92</v>
      </c>
      <c r="D76" t="s">
        <v>2304</v>
      </c>
      <c r="E76">
        <v>4</v>
      </c>
      <c r="F76">
        <v>9</v>
      </c>
      <c r="G76">
        <v>1</v>
      </c>
    </row>
    <row r="77" spans="1:7">
      <c r="A77" t="s">
        <v>2730</v>
      </c>
      <c r="B77" t="s">
        <v>2729</v>
      </c>
      <c r="C77" t="s">
        <v>92</v>
      </c>
      <c r="D77" t="s">
        <v>542</v>
      </c>
      <c r="E77">
        <v>4</v>
      </c>
      <c r="F77">
        <v>9</v>
      </c>
      <c r="G77">
        <v>0.4</v>
      </c>
    </row>
    <row r="78" spans="1:7">
      <c r="A78" t="s">
        <v>2731</v>
      </c>
      <c r="B78" t="s">
        <v>2729</v>
      </c>
      <c r="C78" t="s">
        <v>92</v>
      </c>
      <c r="D78" t="s">
        <v>1819</v>
      </c>
      <c r="E78">
        <v>4</v>
      </c>
      <c r="F78">
        <v>9</v>
      </c>
      <c r="G78">
        <v>0.4</v>
      </c>
    </row>
    <row r="79" spans="1:7">
      <c r="A79" t="s">
        <v>2732</v>
      </c>
      <c r="B79" t="s">
        <v>2729</v>
      </c>
      <c r="C79" t="s">
        <v>92</v>
      </c>
      <c r="D79" t="s">
        <v>540</v>
      </c>
      <c r="E79">
        <v>4</v>
      </c>
      <c r="F79">
        <v>9</v>
      </c>
      <c r="G79">
        <v>0.4</v>
      </c>
    </row>
    <row r="80" spans="1:7">
      <c r="A80" t="s">
        <v>2733</v>
      </c>
      <c r="B80" t="s">
        <v>2729</v>
      </c>
      <c r="C80" t="s">
        <v>92</v>
      </c>
      <c r="D80" t="s">
        <v>2229</v>
      </c>
      <c r="E80">
        <v>4</v>
      </c>
      <c r="F80">
        <v>9</v>
      </c>
      <c r="G80">
        <v>0.4</v>
      </c>
    </row>
    <row r="81" spans="1:7">
      <c r="A81" t="s">
        <v>2772</v>
      </c>
      <c r="B81" t="s">
        <v>2775</v>
      </c>
      <c r="C81" t="s">
        <v>92</v>
      </c>
      <c r="D81" t="s">
        <v>2815</v>
      </c>
      <c r="E81">
        <v>4</v>
      </c>
      <c r="F81">
        <v>9</v>
      </c>
      <c r="G81">
        <v>0.4</v>
      </c>
    </row>
    <row r="82" spans="1:7">
      <c r="A82" t="s">
        <v>2773</v>
      </c>
      <c r="B82" t="s">
        <v>2775</v>
      </c>
      <c r="C82" t="s">
        <v>92</v>
      </c>
      <c r="D82" t="s">
        <v>546</v>
      </c>
      <c r="E82">
        <v>4</v>
      </c>
      <c r="F82">
        <v>9</v>
      </c>
      <c r="G82">
        <v>0.4</v>
      </c>
    </row>
    <row r="83" spans="1:7">
      <c r="A83" t="s">
        <v>2774</v>
      </c>
      <c r="B83" t="s">
        <v>2775</v>
      </c>
      <c r="C83" t="s">
        <v>92</v>
      </c>
      <c r="D83" t="s">
        <v>1542</v>
      </c>
      <c r="E83">
        <v>4</v>
      </c>
      <c r="F83">
        <v>9</v>
      </c>
      <c r="G83">
        <v>0.4</v>
      </c>
    </row>
    <row r="84" spans="1:7">
      <c r="A84" t="s">
        <v>2714</v>
      </c>
      <c r="B84" t="s">
        <v>2713</v>
      </c>
      <c r="C84" t="s">
        <v>1793</v>
      </c>
      <c r="D84" t="s">
        <v>1793</v>
      </c>
      <c r="E84">
        <v>4</v>
      </c>
      <c r="F84">
        <v>2</v>
      </c>
      <c r="G84">
        <v>0.25</v>
      </c>
    </row>
    <row r="85" spans="1:7">
      <c r="A85" t="s">
        <v>2652</v>
      </c>
      <c r="B85" t="s">
        <v>270</v>
      </c>
      <c r="C85" t="s">
        <v>98</v>
      </c>
      <c r="D85" t="s">
        <v>1839</v>
      </c>
      <c r="E85">
        <v>1</v>
      </c>
      <c r="F85">
        <v>24</v>
      </c>
      <c r="G85">
        <v>2</v>
      </c>
    </row>
    <row r="86" spans="1:7">
      <c r="A86" t="s">
        <v>2653</v>
      </c>
      <c r="B86" t="s">
        <v>1803</v>
      </c>
      <c r="C86" t="s">
        <v>105</v>
      </c>
      <c r="D86" t="s">
        <v>2818</v>
      </c>
      <c r="E86">
        <v>3</v>
      </c>
      <c r="F86">
        <v>12</v>
      </c>
      <c r="G86">
        <v>1</v>
      </c>
    </row>
    <row r="87" spans="1:7">
      <c r="A87" t="s">
        <v>2654</v>
      </c>
      <c r="B87" t="s">
        <v>2608</v>
      </c>
      <c r="C87" t="s">
        <v>105</v>
      </c>
      <c r="D87" t="s">
        <v>2818</v>
      </c>
      <c r="E87">
        <v>3</v>
      </c>
      <c r="F87">
        <v>12</v>
      </c>
      <c r="G87">
        <v>1</v>
      </c>
    </row>
    <row r="88" spans="1:7">
      <c r="A88" t="s">
        <v>2655</v>
      </c>
      <c r="B88" t="s">
        <v>1711</v>
      </c>
      <c r="C88" t="s">
        <v>105</v>
      </c>
      <c r="D88" t="s">
        <v>2818</v>
      </c>
      <c r="E88">
        <v>3</v>
      </c>
      <c r="F88">
        <v>12</v>
      </c>
      <c r="G88">
        <v>1</v>
      </c>
    </row>
    <row r="89" spans="1:7">
      <c r="A89" t="s">
        <v>2656</v>
      </c>
      <c r="B89" t="s">
        <v>1748</v>
      </c>
      <c r="C89" t="s">
        <v>108</v>
      </c>
      <c r="D89" t="s">
        <v>1880</v>
      </c>
      <c r="E89">
        <v>3</v>
      </c>
      <c r="F89">
        <v>9</v>
      </c>
      <c r="G89">
        <v>1</v>
      </c>
    </row>
    <row r="90" spans="1:7">
      <c r="A90" t="s">
        <v>2657</v>
      </c>
      <c r="B90" t="s">
        <v>2950</v>
      </c>
      <c r="C90" t="s">
        <v>109</v>
      </c>
      <c r="D90" t="s">
        <v>2864</v>
      </c>
      <c r="E90">
        <v>4</v>
      </c>
      <c r="F90">
        <v>0.5</v>
      </c>
      <c r="G90">
        <v>1</v>
      </c>
    </row>
    <row r="91" spans="1:7">
      <c r="A91" t="s">
        <v>2658</v>
      </c>
      <c r="B91" t="s">
        <v>2609</v>
      </c>
      <c r="C91" t="s">
        <v>110</v>
      </c>
      <c r="D91" t="s">
        <v>2859</v>
      </c>
      <c r="E91">
        <v>2</v>
      </c>
      <c r="F91">
        <v>9</v>
      </c>
      <c r="G91">
        <v>2</v>
      </c>
    </row>
    <row r="92" spans="1:7">
      <c r="A92" t="s">
        <v>2659</v>
      </c>
      <c r="B92" t="s">
        <v>2610</v>
      </c>
      <c r="C92" t="s">
        <v>112</v>
      </c>
      <c r="D92" t="s">
        <v>848</v>
      </c>
      <c r="E92">
        <v>2</v>
      </c>
      <c r="F92">
        <v>12</v>
      </c>
      <c r="G92">
        <v>0.5</v>
      </c>
    </row>
    <row r="93" spans="1:7">
      <c r="A93" t="s">
        <v>2660</v>
      </c>
      <c r="B93" t="s">
        <v>2611</v>
      </c>
      <c r="C93" t="s">
        <v>112</v>
      </c>
      <c r="D93" t="s">
        <v>567</v>
      </c>
      <c r="E93">
        <v>2</v>
      </c>
      <c r="F93">
        <v>12</v>
      </c>
      <c r="G93">
        <v>0.5</v>
      </c>
    </row>
    <row r="94" spans="1:7">
      <c r="A94" t="s">
        <v>2661</v>
      </c>
      <c r="B94" t="s">
        <v>2612</v>
      </c>
      <c r="C94" t="s">
        <v>112</v>
      </c>
      <c r="D94" t="s">
        <v>848</v>
      </c>
      <c r="E94">
        <v>2</v>
      </c>
      <c r="F94">
        <v>12</v>
      </c>
      <c r="G94">
        <v>0.5</v>
      </c>
    </row>
    <row r="95" spans="1:7">
      <c r="A95" t="s">
        <v>2781</v>
      </c>
      <c r="B95" t="s">
        <v>2612</v>
      </c>
      <c r="C95" t="s">
        <v>112</v>
      </c>
      <c r="D95" t="s">
        <v>563</v>
      </c>
      <c r="E95">
        <v>2</v>
      </c>
      <c r="F95">
        <v>12</v>
      </c>
      <c r="G95">
        <v>0.4</v>
      </c>
    </row>
    <row r="96" spans="1:7">
      <c r="A96" t="s">
        <v>2662</v>
      </c>
      <c r="B96" t="s">
        <v>2613</v>
      </c>
      <c r="C96" t="s">
        <v>112</v>
      </c>
      <c r="D96" t="s">
        <v>567</v>
      </c>
      <c r="E96">
        <v>2</v>
      </c>
      <c r="F96">
        <v>12</v>
      </c>
      <c r="G96">
        <v>0.5</v>
      </c>
    </row>
    <row r="97" spans="1:7">
      <c r="A97" t="s">
        <v>2663</v>
      </c>
      <c r="B97" t="s">
        <v>1761</v>
      </c>
      <c r="C97" t="s">
        <v>113</v>
      </c>
      <c r="D97" t="s">
        <v>2286</v>
      </c>
      <c r="E97">
        <v>2</v>
      </c>
      <c r="F97">
        <v>18</v>
      </c>
      <c r="G97">
        <v>2</v>
      </c>
    </row>
    <row r="98" spans="1:7">
      <c r="A98" t="s">
        <v>2664</v>
      </c>
      <c r="B98" t="s">
        <v>1760</v>
      </c>
      <c r="C98" t="s">
        <v>113</v>
      </c>
      <c r="D98" t="s">
        <v>2288</v>
      </c>
      <c r="E98">
        <v>2</v>
      </c>
      <c r="F98">
        <v>24</v>
      </c>
      <c r="G98">
        <v>2</v>
      </c>
    </row>
    <row r="99" spans="1:7">
      <c r="A99" t="s">
        <v>2665</v>
      </c>
      <c r="B99" t="s">
        <v>1308</v>
      </c>
      <c r="C99" t="s">
        <v>356</v>
      </c>
      <c r="D99" t="s">
        <v>570</v>
      </c>
      <c r="E99">
        <v>3</v>
      </c>
      <c r="F99">
        <v>12</v>
      </c>
      <c r="G99">
        <v>1.6</v>
      </c>
    </row>
    <row r="100" spans="1:7">
      <c r="A100" t="s">
        <v>2666</v>
      </c>
      <c r="B100" t="s">
        <v>1726</v>
      </c>
      <c r="C100" t="s">
        <v>114</v>
      </c>
      <c r="D100" t="s">
        <v>1347</v>
      </c>
      <c r="E100">
        <v>6</v>
      </c>
      <c r="F100">
        <v>1</v>
      </c>
      <c r="G100">
        <v>0.25</v>
      </c>
    </row>
    <row r="101" spans="1:7">
      <c r="A101" t="s">
        <v>2667</v>
      </c>
      <c r="B101" t="s">
        <v>1924</v>
      </c>
      <c r="C101" t="s">
        <v>114</v>
      </c>
      <c r="D101" t="s">
        <v>577</v>
      </c>
      <c r="E101">
        <v>3</v>
      </c>
      <c r="F101">
        <v>9</v>
      </c>
      <c r="G101">
        <v>1</v>
      </c>
    </row>
    <row r="102" spans="1:7">
      <c r="A102" t="s">
        <v>2668</v>
      </c>
      <c r="B102" t="s">
        <v>1923</v>
      </c>
      <c r="C102" t="s">
        <v>114</v>
      </c>
      <c r="D102" t="s">
        <v>1925</v>
      </c>
      <c r="E102">
        <v>6</v>
      </c>
      <c r="F102">
        <v>3</v>
      </c>
      <c r="G102">
        <v>1</v>
      </c>
    </row>
    <row r="103" spans="1:7">
      <c r="A103" t="s">
        <v>2755</v>
      </c>
      <c r="B103" t="s">
        <v>1726</v>
      </c>
      <c r="C103" t="s">
        <v>114</v>
      </c>
      <c r="D103" t="s">
        <v>1347</v>
      </c>
      <c r="E103">
        <v>6</v>
      </c>
      <c r="F103">
        <v>1</v>
      </c>
      <c r="G103">
        <v>0.5</v>
      </c>
    </row>
    <row r="104" spans="1:7">
      <c r="A104" t="s">
        <v>2756</v>
      </c>
      <c r="B104" t="s">
        <v>2614</v>
      </c>
      <c r="C104" t="s">
        <v>114</v>
      </c>
      <c r="D104" t="s">
        <v>1347</v>
      </c>
      <c r="E104">
        <v>6</v>
      </c>
      <c r="F104">
        <v>1</v>
      </c>
      <c r="G104">
        <v>0.5</v>
      </c>
    </row>
    <row r="105" spans="1:7">
      <c r="A105" t="s">
        <v>2757</v>
      </c>
      <c r="B105" t="s">
        <v>2614</v>
      </c>
      <c r="C105" t="s">
        <v>114</v>
      </c>
      <c r="D105" t="s">
        <v>1347</v>
      </c>
      <c r="E105">
        <v>6</v>
      </c>
      <c r="F105">
        <v>1</v>
      </c>
      <c r="G105">
        <v>0.5</v>
      </c>
    </row>
    <row r="106" spans="1:7">
      <c r="A106" t="s">
        <v>2758</v>
      </c>
      <c r="B106" t="s">
        <v>2614</v>
      </c>
      <c r="C106" t="s">
        <v>114</v>
      </c>
      <c r="D106" t="s">
        <v>1347</v>
      </c>
      <c r="E106">
        <v>6</v>
      </c>
      <c r="F106">
        <v>1</v>
      </c>
      <c r="G106">
        <v>0.5</v>
      </c>
    </row>
    <row r="107" spans="1:7">
      <c r="A107" t="s">
        <v>2759</v>
      </c>
      <c r="B107" t="s">
        <v>2614</v>
      </c>
      <c r="C107" t="s">
        <v>114</v>
      </c>
      <c r="D107" t="s">
        <v>1347</v>
      </c>
      <c r="E107">
        <v>6</v>
      </c>
      <c r="F107">
        <v>1</v>
      </c>
      <c r="G107">
        <v>0.5</v>
      </c>
    </row>
    <row r="108" spans="1:7">
      <c r="A108" t="s">
        <v>2763</v>
      </c>
      <c r="B108" t="s">
        <v>3189</v>
      </c>
      <c r="C108" t="s">
        <v>119</v>
      </c>
      <c r="D108" t="s">
        <v>1851</v>
      </c>
      <c r="E108">
        <v>4</v>
      </c>
      <c r="F108">
        <v>6</v>
      </c>
      <c r="G108">
        <v>0.5</v>
      </c>
    </row>
    <row r="109" spans="1:7">
      <c r="A109" t="s">
        <v>2764</v>
      </c>
      <c r="B109" t="s">
        <v>3189</v>
      </c>
      <c r="C109" t="s">
        <v>119</v>
      </c>
      <c r="D109" t="s">
        <v>1851</v>
      </c>
      <c r="E109">
        <v>4</v>
      </c>
      <c r="F109">
        <v>6</v>
      </c>
      <c r="G109">
        <v>0.5</v>
      </c>
    </row>
    <row r="110" spans="1:7">
      <c r="A110" t="s">
        <v>2765</v>
      </c>
      <c r="B110" t="s">
        <v>3189</v>
      </c>
      <c r="C110" t="s">
        <v>119</v>
      </c>
      <c r="D110" t="s">
        <v>1851</v>
      </c>
      <c r="E110">
        <v>4</v>
      </c>
      <c r="F110">
        <v>6</v>
      </c>
      <c r="G110">
        <v>0.5</v>
      </c>
    </row>
    <row r="111" spans="1:7">
      <c r="A111" t="s">
        <v>2717</v>
      </c>
      <c r="B111" t="s">
        <v>3189</v>
      </c>
      <c r="C111" t="s">
        <v>119</v>
      </c>
      <c r="D111" t="s">
        <v>1851</v>
      </c>
      <c r="E111">
        <v>4</v>
      </c>
      <c r="F111">
        <v>6</v>
      </c>
      <c r="G111">
        <v>0.25</v>
      </c>
    </row>
    <row r="112" spans="1:7">
      <c r="A112" t="s">
        <v>2669</v>
      </c>
      <c r="B112" t="s">
        <v>1740</v>
      </c>
      <c r="C112" t="s">
        <v>124</v>
      </c>
      <c r="D112" t="s">
        <v>1933</v>
      </c>
      <c r="E112">
        <v>1</v>
      </c>
      <c r="F112">
        <v>36</v>
      </c>
      <c r="G112">
        <v>1</v>
      </c>
    </row>
    <row r="113" spans="1:7">
      <c r="A113" t="s">
        <v>2670</v>
      </c>
      <c r="B113" t="s">
        <v>1723</v>
      </c>
      <c r="C113" t="s">
        <v>128</v>
      </c>
      <c r="D113" t="s">
        <v>676</v>
      </c>
      <c r="E113">
        <v>1</v>
      </c>
      <c r="F113">
        <v>24</v>
      </c>
      <c r="G113">
        <v>1</v>
      </c>
    </row>
    <row r="114" spans="1:7">
      <c r="A114" t="s">
        <v>2671</v>
      </c>
      <c r="B114" t="s">
        <v>2616</v>
      </c>
      <c r="C114" t="s">
        <v>128</v>
      </c>
      <c r="D114" t="s">
        <v>584</v>
      </c>
      <c r="E114">
        <v>1</v>
      </c>
      <c r="F114">
        <v>24</v>
      </c>
      <c r="G114">
        <v>2</v>
      </c>
    </row>
    <row r="115" spans="1:7">
      <c r="A115" t="s">
        <v>2672</v>
      </c>
      <c r="B115" t="s">
        <v>1733</v>
      </c>
      <c r="C115" t="s">
        <v>131</v>
      </c>
      <c r="D115" t="s">
        <v>2011</v>
      </c>
      <c r="E115">
        <v>2</v>
      </c>
      <c r="F115">
        <v>18</v>
      </c>
      <c r="G115">
        <v>1</v>
      </c>
    </row>
    <row r="116" spans="1:7">
      <c r="A116" t="s">
        <v>2673</v>
      </c>
      <c r="B116" t="s">
        <v>309</v>
      </c>
      <c r="C116" t="s">
        <v>135</v>
      </c>
      <c r="D116" t="s">
        <v>2842</v>
      </c>
      <c r="E116">
        <v>1</v>
      </c>
      <c r="F116">
        <v>18</v>
      </c>
      <c r="G116">
        <v>1</v>
      </c>
    </row>
    <row r="117" spans="1:7">
      <c r="A117" t="s">
        <v>2674</v>
      </c>
      <c r="B117" t="s">
        <v>2617</v>
      </c>
      <c r="C117" t="s">
        <v>136</v>
      </c>
      <c r="D117" t="s">
        <v>1858</v>
      </c>
      <c r="E117">
        <v>1</v>
      </c>
      <c r="F117">
        <v>18</v>
      </c>
      <c r="G117">
        <v>2</v>
      </c>
    </row>
    <row r="118" spans="1:7">
      <c r="A118" t="s">
        <v>2675</v>
      </c>
      <c r="B118" t="s">
        <v>2618</v>
      </c>
      <c r="C118" t="s">
        <v>136</v>
      </c>
      <c r="D118" t="s">
        <v>1858</v>
      </c>
      <c r="E118">
        <v>1</v>
      </c>
      <c r="F118">
        <v>18</v>
      </c>
      <c r="G118">
        <v>0.5</v>
      </c>
    </row>
    <row r="119" spans="1:7">
      <c r="A119" t="s">
        <v>2676</v>
      </c>
      <c r="B119" t="s">
        <v>2619</v>
      </c>
      <c r="C119" t="s">
        <v>136</v>
      </c>
      <c r="D119" t="s">
        <v>1860</v>
      </c>
      <c r="E119">
        <v>1</v>
      </c>
      <c r="F119">
        <v>18</v>
      </c>
      <c r="G119">
        <v>0.5</v>
      </c>
    </row>
    <row r="120" spans="1:7">
      <c r="A120" t="s">
        <v>2677</v>
      </c>
      <c r="B120" t="s">
        <v>2620</v>
      </c>
      <c r="C120" t="s">
        <v>136</v>
      </c>
      <c r="D120" t="s">
        <v>1857</v>
      </c>
      <c r="E120">
        <v>1</v>
      </c>
      <c r="F120">
        <v>18</v>
      </c>
      <c r="G120">
        <v>2</v>
      </c>
    </row>
    <row r="121" spans="1:7">
      <c r="A121" t="s">
        <v>2678</v>
      </c>
      <c r="B121" t="s">
        <v>2751</v>
      </c>
      <c r="C121" t="s">
        <v>137</v>
      </c>
      <c r="D121" t="s">
        <v>1686</v>
      </c>
      <c r="E121">
        <v>4</v>
      </c>
      <c r="F121">
        <v>1.5</v>
      </c>
      <c r="G121">
        <v>0.5</v>
      </c>
    </row>
    <row r="122" spans="1:7">
      <c r="A122" t="s">
        <v>2679</v>
      </c>
      <c r="B122" t="s">
        <v>2750</v>
      </c>
      <c r="C122" t="s">
        <v>137</v>
      </c>
      <c r="D122" t="s">
        <v>1686</v>
      </c>
      <c r="E122">
        <v>4</v>
      </c>
      <c r="F122">
        <v>1.5</v>
      </c>
      <c r="G122">
        <v>0.5</v>
      </c>
    </row>
    <row r="123" spans="1:7">
      <c r="A123" t="s">
        <v>2680</v>
      </c>
      <c r="B123" t="s">
        <v>2751</v>
      </c>
      <c r="C123" t="s">
        <v>137</v>
      </c>
      <c r="D123" t="s">
        <v>1686</v>
      </c>
      <c r="E123">
        <v>4</v>
      </c>
      <c r="F123">
        <v>1.5</v>
      </c>
      <c r="G123">
        <v>0.25</v>
      </c>
    </row>
    <row r="124" spans="1:7">
      <c r="A124" t="s">
        <v>2752</v>
      </c>
      <c r="B124" t="s">
        <v>2750</v>
      </c>
      <c r="C124" t="s">
        <v>137</v>
      </c>
      <c r="D124" t="s">
        <v>1686</v>
      </c>
      <c r="E124">
        <v>4</v>
      </c>
      <c r="F124">
        <v>1.5</v>
      </c>
      <c r="G124">
        <v>0.5</v>
      </c>
    </row>
    <row r="125" spans="1:7">
      <c r="A125" t="s">
        <v>2753</v>
      </c>
      <c r="B125" t="s">
        <v>2750</v>
      </c>
      <c r="C125" t="s">
        <v>137</v>
      </c>
      <c r="D125" t="s">
        <v>1686</v>
      </c>
      <c r="E125">
        <v>4</v>
      </c>
      <c r="F125">
        <v>1.5</v>
      </c>
      <c r="G125">
        <v>0.5</v>
      </c>
    </row>
    <row r="126" spans="1:7">
      <c r="A126" t="s">
        <v>2754</v>
      </c>
      <c r="B126" t="s">
        <v>2750</v>
      </c>
      <c r="C126" t="s">
        <v>137</v>
      </c>
      <c r="D126" t="s">
        <v>1686</v>
      </c>
      <c r="E126">
        <v>4</v>
      </c>
      <c r="F126">
        <v>1.5</v>
      </c>
      <c r="G126">
        <v>0.5</v>
      </c>
    </row>
    <row r="127" spans="1:7">
      <c r="A127" t="s">
        <v>3006</v>
      </c>
      <c r="B127" t="s">
        <v>3048</v>
      </c>
      <c r="C127" t="s">
        <v>136</v>
      </c>
      <c r="D127" t="s">
        <v>3043</v>
      </c>
      <c r="E127">
        <v>1</v>
      </c>
      <c r="F127">
        <v>24</v>
      </c>
      <c r="G127">
        <v>6</v>
      </c>
    </row>
    <row r="128" spans="1:7">
      <c r="A128" t="s">
        <v>3007</v>
      </c>
      <c r="B128" t="s">
        <v>3049</v>
      </c>
      <c r="C128" t="s">
        <v>136</v>
      </c>
      <c r="D128" t="s">
        <v>3042</v>
      </c>
      <c r="E128">
        <v>1</v>
      </c>
      <c r="F128">
        <v>24</v>
      </c>
      <c r="G128">
        <v>8</v>
      </c>
    </row>
    <row r="129" spans="1:7">
      <c r="A129" t="s">
        <v>3008</v>
      </c>
      <c r="B129" t="s">
        <v>3050</v>
      </c>
      <c r="C129" t="s">
        <v>136</v>
      </c>
      <c r="D129" t="s">
        <v>3041</v>
      </c>
      <c r="E129">
        <v>1</v>
      </c>
      <c r="F129">
        <v>24</v>
      </c>
      <c r="G129">
        <v>8</v>
      </c>
    </row>
    <row r="130" spans="1:7">
      <c r="A130" t="s">
        <v>3030</v>
      </c>
      <c r="B130" t="s">
        <v>3052</v>
      </c>
      <c r="C130" t="s">
        <v>136</v>
      </c>
      <c r="D130" t="s">
        <v>3044</v>
      </c>
      <c r="E130">
        <v>1</v>
      </c>
      <c r="F130">
        <v>12</v>
      </c>
      <c r="G130">
        <v>10.8</v>
      </c>
    </row>
    <row r="131" spans="1:7">
      <c r="A131" t="s">
        <v>3061</v>
      </c>
      <c r="B131" t="s">
        <v>3048</v>
      </c>
      <c r="C131" t="s">
        <v>136</v>
      </c>
      <c r="D131" t="s">
        <v>3043</v>
      </c>
      <c r="E131">
        <v>1</v>
      </c>
      <c r="F131">
        <v>24</v>
      </c>
      <c r="G131">
        <v>2</v>
      </c>
    </row>
    <row r="132" spans="1:7">
      <c r="A132" t="s">
        <v>3193</v>
      </c>
      <c r="B132" t="s">
        <v>3049</v>
      </c>
      <c r="C132" t="s">
        <v>136</v>
      </c>
      <c r="D132" t="s">
        <v>3042</v>
      </c>
      <c r="E132">
        <v>1</v>
      </c>
      <c r="F132">
        <v>24</v>
      </c>
      <c r="G132">
        <v>1</v>
      </c>
    </row>
    <row r="133" spans="1:7">
      <c r="A133" t="s">
        <v>3194</v>
      </c>
      <c r="B133" t="s">
        <v>3050</v>
      </c>
      <c r="C133" t="s">
        <v>136</v>
      </c>
      <c r="D133" t="s">
        <v>3041</v>
      </c>
      <c r="E133">
        <v>1</v>
      </c>
      <c r="F133">
        <v>24</v>
      </c>
      <c r="G133">
        <v>1</v>
      </c>
    </row>
    <row r="134" spans="1:7">
      <c r="A134" t="s">
        <v>3060</v>
      </c>
      <c r="B134" t="s">
        <v>1741</v>
      </c>
      <c r="C134" t="s">
        <v>124</v>
      </c>
      <c r="D134" t="s">
        <v>1937</v>
      </c>
      <c r="E134">
        <v>1</v>
      </c>
      <c r="F134">
        <v>36</v>
      </c>
      <c r="G134">
        <v>16</v>
      </c>
    </row>
    <row r="135" spans="1:7">
      <c r="A135" t="s">
        <v>3188</v>
      </c>
      <c r="B135" t="s">
        <v>2729</v>
      </c>
      <c r="C135" t="s">
        <v>92</v>
      </c>
      <c r="D135" t="s">
        <v>2816</v>
      </c>
      <c r="E135">
        <v>4</v>
      </c>
      <c r="F135">
        <v>9</v>
      </c>
      <c r="G135">
        <v>1</v>
      </c>
    </row>
    <row r="136" spans="1:7">
      <c r="A136" t="s">
        <v>3190</v>
      </c>
      <c r="B136" t="s">
        <v>3102</v>
      </c>
      <c r="C136" t="s">
        <v>44</v>
      </c>
      <c r="D136" t="s">
        <v>2783</v>
      </c>
      <c r="E136">
        <v>1</v>
      </c>
      <c r="F136">
        <v>6</v>
      </c>
      <c r="G136">
        <v>1</v>
      </c>
    </row>
    <row r="137" spans="1:7">
      <c r="A137" t="s">
        <v>3110</v>
      </c>
      <c r="B137" t="s">
        <v>2300</v>
      </c>
      <c r="C137" t="s">
        <v>42</v>
      </c>
      <c r="D137" t="s">
        <v>2850</v>
      </c>
      <c r="E137">
        <v>6</v>
      </c>
      <c r="F137">
        <v>0.25</v>
      </c>
      <c r="G137">
        <v>0.5</v>
      </c>
    </row>
    <row r="138" spans="1:7">
      <c r="A138" t="s">
        <v>3191</v>
      </c>
      <c r="B138" t="s">
        <v>2300</v>
      </c>
      <c r="C138" t="s">
        <v>42</v>
      </c>
      <c r="D138" t="s">
        <v>2850</v>
      </c>
      <c r="E138">
        <v>6</v>
      </c>
      <c r="F138">
        <v>0.25</v>
      </c>
      <c r="G138">
        <v>1</v>
      </c>
    </row>
    <row r="139" spans="1:7">
      <c r="A139" t="s">
        <v>3107</v>
      </c>
      <c r="B139" t="s">
        <v>3106</v>
      </c>
      <c r="C139" t="s">
        <v>1517</v>
      </c>
      <c r="D139" t="s">
        <v>478</v>
      </c>
      <c r="E139">
        <v>4</v>
      </c>
      <c r="F139">
        <v>0.5</v>
      </c>
      <c r="G139">
        <v>0.5</v>
      </c>
    </row>
    <row r="140" spans="1:7">
      <c r="A140" t="s">
        <v>3104</v>
      </c>
      <c r="B140" t="s">
        <v>2614</v>
      </c>
      <c r="C140" t="s">
        <v>114</v>
      </c>
      <c r="D140" t="s">
        <v>1347</v>
      </c>
      <c r="E140">
        <v>6</v>
      </c>
      <c r="F140">
        <v>1</v>
      </c>
      <c r="G140">
        <v>1</v>
      </c>
    </row>
    <row r="141" spans="1:7">
      <c r="A141" t="s">
        <v>3192</v>
      </c>
      <c r="B141" t="s">
        <v>2300</v>
      </c>
      <c r="C141" t="s">
        <v>42</v>
      </c>
      <c r="D141" t="s">
        <v>2850</v>
      </c>
      <c r="E141">
        <v>6</v>
      </c>
      <c r="F141">
        <v>0.25</v>
      </c>
      <c r="G141">
        <v>0.5</v>
      </c>
    </row>
    <row r="142" spans="1:7">
      <c r="A142" t="s">
        <v>470</v>
      </c>
      <c r="E142">
        <v>432</v>
      </c>
      <c r="F142">
        <v>1288.3</v>
      </c>
      <c r="G142">
        <v>156.6</v>
      </c>
    </row>
  </sheetData>
  <pageMargins left="0.7" right="0.7" top="0.75" bottom="0.75" header="0.3" footer="0.3"/>
  <pageSetup scale="63" fitToHeight="0" orientation="portrait" horizontalDpi="0" verticalDpi="0"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8B315-27C3-4F2F-B6AF-AB7DF0FC2150}">
  <sheetPr codeName="Sheet8">
    <pageSetUpPr fitToPage="1"/>
  </sheetPr>
  <dimension ref="A1:F43"/>
  <sheetViews>
    <sheetView workbookViewId="0"/>
  </sheetViews>
  <sheetFormatPr baseColWidth="10" defaultColWidth="8.83203125" defaultRowHeight="15"/>
  <cols>
    <col min="1" max="1" width="22.6640625" bestFit="1" customWidth="1"/>
    <col min="2" max="2" width="16" bestFit="1" customWidth="1"/>
    <col min="3" max="3" width="15.5" bestFit="1" customWidth="1"/>
  </cols>
  <sheetData>
    <row r="1" spans="1:3">
      <c r="A1" s="42" t="s">
        <v>254</v>
      </c>
      <c r="B1" t="s">
        <v>2017</v>
      </c>
    </row>
    <row r="3" spans="1:3">
      <c r="A3" s="42" t="s">
        <v>1351</v>
      </c>
      <c r="B3" t="s">
        <v>1798</v>
      </c>
      <c r="C3" t="s">
        <v>1804</v>
      </c>
    </row>
    <row r="4" spans="1:3">
      <c r="A4" s="53" t="s">
        <v>136</v>
      </c>
      <c r="B4">
        <v>41.8</v>
      </c>
      <c r="C4" s="37">
        <v>89641.666666666657</v>
      </c>
    </row>
    <row r="5" spans="1:3">
      <c r="A5" s="53" t="s">
        <v>124</v>
      </c>
      <c r="B5">
        <v>17</v>
      </c>
      <c r="C5" s="37">
        <v>5624.9999999999991</v>
      </c>
    </row>
    <row r="6" spans="1:3">
      <c r="A6" s="53" t="s">
        <v>92</v>
      </c>
      <c r="B6">
        <v>12.800000000000002</v>
      </c>
      <c r="C6" s="37">
        <v>17446.666666666664</v>
      </c>
    </row>
    <row r="7" spans="1:3">
      <c r="A7" s="53" t="s">
        <v>114</v>
      </c>
      <c r="B7">
        <v>5.75</v>
      </c>
      <c r="C7" s="37">
        <v>3120.5357142857142</v>
      </c>
    </row>
    <row r="8" spans="1:3">
      <c r="A8" s="53" t="s">
        <v>53</v>
      </c>
      <c r="B8">
        <v>5</v>
      </c>
      <c r="C8" s="37">
        <v>2931.4285714285711</v>
      </c>
    </row>
    <row r="9" spans="1:3">
      <c r="A9" s="53" t="s">
        <v>52</v>
      </c>
      <c r="B9">
        <v>4.4000000000000004</v>
      </c>
      <c r="C9" s="37">
        <v>2470.6666666666665</v>
      </c>
    </row>
    <row r="10" spans="1:3">
      <c r="A10" s="53" t="s">
        <v>113</v>
      </c>
      <c r="B10">
        <v>4</v>
      </c>
      <c r="C10" s="37">
        <v>953.74999999999989</v>
      </c>
    </row>
    <row r="11" spans="1:3">
      <c r="A11" s="53" t="s">
        <v>46</v>
      </c>
      <c r="B11">
        <v>4</v>
      </c>
      <c r="C11" s="37">
        <v>1600</v>
      </c>
    </row>
    <row r="12" spans="1:3">
      <c r="A12" s="53" t="s">
        <v>80</v>
      </c>
      <c r="B12">
        <v>4</v>
      </c>
      <c r="C12" s="37">
        <v>2957.1428571428569</v>
      </c>
    </row>
    <row r="13" spans="1:3">
      <c r="A13" s="53" t="s">
        <v>128</v>
      </c>
      <c r="B13">
        <v>3</v>
      </c>
      <c r="C13" s="37">
        <v>1392.8571428571429</v>
      </c>
    </row>
    <row r="14" spans="1:3">
      <c r="A14" s="53" t="s">
        <v>44</v>
      </c>
      <c r="B14">
        <v>3</v>
      </c>
      <c r="C14" s="37">
        <v>3120</v>
      </c>
    </row>
    <row r="15" spans="1:3">
      <c r="A15" s="53" t="s">
        <v>70</v>
      </c>
      <c r="B15">
        <v>3</v>
      </c>
      <c r="C15" s="37">
        <v>4481.4285714285706</v>
      </c>
    </row>
    <row r="16" spans="1:3">
      <c r="A16" s="53" t="s">
        <v>105</v>
      </c>
      <c r="B16">
        <v>3</v>
      </c>
      <c r="C16" s="37">
        <v>1818.75</v>
      </c>
    </row>
    <row r="17" spans="1:6">
      <c r="A17" s="53" t="s">
        <v>137</v>
      </c>
      <c r="B17">
        <v>2.75</v>
      </c>
      <c r="C17" s="37">
        <v>756.25</v>
      </c>
    </row>
    <row r="18" spans="1:6">
      <c r="A18" s="53" t="s">
        <v>112</v>
      </c>
      <c r="B18">
        <v>2.4</v>
      </c>
      <c r="C18" s="37">
        <v>5097.65625</v>
      </c>
    </row>
    <row r="19" spans="1:6">
      <c r="A19" s="53" t="s">
        <v>43</v>
      </c>
      <c r="B19">
        <v>2.4</v>
      </c>
      <c r="C19" s="37">
        <v>826.25</v>
      </c>
    </row>
    <row r="20" spans="1:6">
      <c r="A20" s="53" t="s">
        <v>42</v>
      </c>
      <c r="B20">
        <v>2.25</v>
      </c>
      <c r="C20" s="37">
        <v>506.25</v>
      </c>
    </row>
    <row r="21" spans="1:6">
      <c r="A21" s="53" t="s">
        <v>62</v>
      </c>
      <c r="B21">
        <v>2.25</v>
      </c>
      <c r="C21" s="37">
        <v>2700</v>
      </c>
    </row>
    <row r="22" spans="1:6">
      <c r="A22" s="53" t="s">
        <v>1517</v>
      </c>
      <c r="B22">
        <v>2.1</v>
      </c>
      <c r="C22" s="37">
        <v>1103.3333333333333</v>
      </c>
    </row>
    <row r="23" spans="1:6">
      <c r="A23" s="53" t="s">
        <v>54</v>
      </c>
      <c r="B23">
        <v>2</v>
      </c>
      <c r="C23" s="37">
        <v>1028.5714285714284</v>
      </c>
    </row>
    <row r="24" spans="1:6">
      <c r="A24" s="53" t="s">
        <v>88</v>
      </c>
      <c r="B24">
        <v>2</v>
      </c>
      <c r="C24" s="37">
        <v>1599.9999999999998</v>
      </c>
    </row>
    <row r="25" spans="1:6">
      <c r="A25" s="53" t="s">
        <v>98</v>
      </c>
      <c r="B25">
        <v>2</v>
      </c>
      <c r="C25" s="37">
        <v>900</v>
      </c>
    </row>
    <row r="26" spans="1:6">
      <c r="A26" s="53" t="s">
        <v>78</v>
      </c>
      <c r="B26">
        <v>2</v>
      </c>
      <c r="C26" s="37">
        <v>1333.3333333333335</v>
      </c>
    </row>
    <row r="27" spans="1:6">
      <c r="A27" s="53" t="s">
        <v>89</v>
      </c>
      <c r="B27">
        <v>2</v>
      </c>
      <c r="C27" s="37">
        <v>1200</v>
      </c>
    </row>
    <row r="28" spans="1:6">
      <c r="A28" s="53" t="s">
        <v>325</v>
      </c>
      <c r="B28">
        <v>2</v>
      </c>
      <c r="C28" s="37">
        <v>800</v>
      </c>
    </row>
    <row r="29" spans="1:6">
      <c r="A29" s="53" t="s">
        <v>91</v>
      </c>
      <c r="B29">
        <v>2</v>
      </c>
      <c r="C29" s="37">
        <v>2666.6666666666661</v>
      </c>
    </row>
    <row r="30" spans="1:6">
      <c r="A30" s="53" t="s">
        <v>75</v>
      </c>
      <c r="B30">
        <v>1.75</v>
      </c>
      <c r="C30" s="37">
        <v>2240</v>
      </c>
    </row>
    <row r="31" spans="1:6">
      <c r="A31" s="53" t="s">
        <v>119</v>
      </c>
      <c r="B31">
        <v>1.75</v>
      </c>
      <c r="C31" s="37">
        <v>875</v>
      </c>
      <c r="F31">
        <f>80*5</f>
        <v>400</v>
      </c>
    </row>
    <row r="32" spans="1:6">
      <c r="A32" s="53" t="s">
        <v>356</v>
      </c>
      <c r="B32">
        <v>1.6</v>
      </c>
      <c r="C32" s="37">
        <v>1440</v>
      </c>
    </row>
    <row r="33" spans="1:6">
      <c r="A33" s="53" t="s">
        <v>108</v>
      </c>
      <c r="B33">
        <v>1</v>
      </c>
      <c r="C33" s="37">
        <v>2250</v>
      </c>
      <c r="F33">
        <f>90*6</f>
        <v>540</v>
      </c>
    </row>
    <row r="34" spans="1:6">
      <c r="A34" s="53" t="s">
        <v>135</v>
      </c>
      <c r="B34">
        <v>1</v>
      </c>
      <c r="C34" s="37">
        <v>1599.9999999999998</v>
      </c>
    </row>
    <row r="35" spans="1:6">
      <c r="A35" s="53" t="s">
        <v>131</v>
      </c>
      <c r="B35">
        <v>1</v>
      </c>
      <c r="C35" s="37">
        <v>1049.9999999999998</v>
      </c>
    </row>
    <row r="36" spans="1:6">
      <c r="A36" s="53" t="s">
        <v>55</v>
      </c>
      <c r="B36">
        <v>1</v>
      </c>
      <c r="C36" s="37">
        <v>4949.9999999999991</v>
      </c>
    </row>
    <row r="37" spans="1:6">
      <c r="A37" s="53" t="s">
        <v>387</v>
      </c>
      <c r="B37">
        <v>1</v>
      </c>
      <c r="C37" s="37">
        <v>2400</v>
      </c>
    </row>
    <row r="38" spans="1:6">
      <c r="A38" s="53" t="s">
        <v>60</v>
      </c>
      <c r="B38">
        <v>1</v>
      </c>
      <c r="C38" s="37">
        <v>87.5</v>
      </c>
    </row>
    <row r="39" spans="1:6">
      <c r="A39" s="53" t="s">
        <v>95</v>
      </c>
      <c r="B39">
        <v>0.4</v>
      </c>
      <c r="C39" s="37">
        <v>479.99999999999994</v>
      </c>
    </row>
    <row r="40" spans="1:6">
      <c r="A40" s="53" t="s">
        <v>122</v>
      </c>
      <c r="B40">
        <v>0.4</v>
      </c>
      <c r="C40" s="37">
        <v>822.85714285714278</v>
      </c>
    </row>
    <row r="41" spans="1:6">
      <c r="A41" s="53" t="s">
        <v>1793</v>
      </c>
      <c r="B41">
        <v>0.25</v>
      </c>
      <c r="C41" s="37">
        <v>337.5</v>
      </c>
    </row>
    <row r="42" spans="1:6">
      <c r="A42" s="53" t="s">
        <v>61</v>
      </c>
      <c r="B42">
        <v>0.25</v>
      </c>
      <c r="C42" s="37">
        <v>600</v>
      </c>
    </row>
    <row r="43" spans="1:6">
      <c r="A43" s="53" t="s">
        <v>470</v>
      </c>
      <c r="B43">
        <v>151.30000000000001</v>
      </c>
      <c r="C43" s="37">
        <v>177211.06101190473</v>
      </c>
    </row>
  </sheetData>
  <pageMargins left="0.7" right="0.7" top="0.75" bottom="0.75" header="0.3" footer="0.3"/>
  <pageSetup scale="57" orientation="portrait" horizontalDpi="0" verticalDpi="0"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78A70-7680-4AAB-AD21-BB7253286CF4}">
  <sheetPr codeName="Sheet10"/>
  <dimension ref="A3:R72"/>
  <sheetViews>
    <sheetView workbookViewId="0"/>
  </sheetViews>
  <sheetFormatPr baseColWidth="10" defaultColWidth="8.83203125" defaultRowHeight="15"/>
  <cols>
    <col min="1" max="1" width="15.33203125" bestFit="1" customWidth="1"/>
    <col min="2" max="2" width="17.1640625" bestFit="1" customWidth="1"/>
    <col min="6" max="6" width="18" bestFit="1" customWidth="1"/>
    <col min="7" max="7" width="11.83203125" customWidth="1"/>
    <col min="8" max="8" width="15.5" customWidth="1"/>
    <col min="9" max="9" width="7.83203125" customWidth="1"/>
    <col min="10" max="10" width="11.33203125" customWidth="1"/>
    <col min="11" max="11" width="18.5" customWidth="1"/>
    <col min="13" max="13" width="18" bestFit="1" customWidth="1"/>
    <col min="14" max="14" width="11.83203125" customWidth="1"/>
    <col min="16" max="16" width="11.33203125" customWidth="1"/>
    <col min="17" max="17" width="15.5" customWidth="1"/>
    <col min="18" max="18" width="18.5" customWidth="1"/>
  </cols>
  <sheetData>
    <row r="3" spans="1:18">
      <c r="A3" s="42" t="s">
        <v>1351</v>
      </c>
      <c r="B3" t="s">
        <v>2204</v>
      </c>
      <c r="F3" t="s">
        <v>4</v>
      </c>
      <c r="G3" t="s">
        <v>2205</v>
      </c>
      <c r="H3" t="s">
        <v>2207</v>
      </c>
      <c r="I3" t="s">
        <v>17</v>
      </c>
      <c r="J3" t="s">
        <v>2206</v>
      </c>
      <c r="K3" t="s">
        <v>2208</v>
      </c>
      <c r="M3" t="s">
        <v>4</v>
      </c>
      <c r="N3" t="s">
        <v>2205</v>
      </c>
      <c r="O3" t="s">
        <v>17</v>
      </c>
      <c r="P3" t="s">
        <v>2206</v>
      </c>
      <c r="Q3" t="s">
        <v>2207</v>
      </c>
      <c r="R3" t="s">
        <v>2208</v>
      </c>
    </row>
    <row r="4" spans="1:18">
      <c r="A4" s="53" t="s">
        <v>136</v>
      </c>
      <c r="B4">
        <v>428.18000000000006</v>
      </c>
      <c r="C4">
        <f>_xlfn.XLOOKUP(A4,'Crop Quantity Pivot'!$A$4:$A$83,'Crop Quantity Pivot'!$B$4:$B$83,,)</f>
        <v>41.8</v>
      </c>
      <c r="D4" s="35">
        <f>B4/C4</f>
        <v>10.243540669856461</v>
      </c>
      <c r="E4" t="e">
        <f>GETPIVOTDATA("Order Cost",$A$3,"Crop","Lettuce")/D4</f>
        <v>#REF!</v>
      </c>
      <c r="F4" t="s">
        <v>387</v>
      </c>
      <c r="G4" s="36" t="e">
        <f t="shared" ref="G4:G35" si="0">_xlfn.XLOOKUP(F4,$A$4:$A$71,$B$4:$B$71)</f>
        <v>#N/A</v>
      </c>
      <c r="H4" s="36">
        <f>_xlfn.XLOOKUP(F4,'Crop Quantity Pivot'!$A$4:$A$83,'Crop Quantity Pivot'!$C$4:$C$83,,)</f>
        <v>2400</v>
      </c>
      <c r="I4">
        <f>_xlfn.XLOOKUP(A4,'Crop Quantity Pivot'!$A$4:$A$83,'Crop Quantity Pivot'!$B$4:$B$83,,)</f>
        <v>41.8</v>
      </c>
      <c r="J4" s="35" t="e">
        <f t="shared" ref="J4:J35" si="1">_xlfn.XLOOKUP(F4,$A$4:$A$71,$D$4:$D$71)</f>
        <v>#N/A</v>
      </c>
      <c r="K4" s="174" t="e">
        <f t="shared" ref="K4:K35" si="2">G4/H4</f>
        <v>#N/A</v>
      </c>
      <c r="M4" t="s">
        <v>409</v>
      </c>
      <c r="N4">
        <v>5.75</v>
      </c>
      <c r="O4">
        <v>0.5</v>
      </c>
      <c r="P4">
        <v>11.5</v>
      </c>
      <c r="Q4">
        <v>8.3333333333333321</v>
      </c>
      <c r="R4" s="173">
        <v>0.69000000000000006</v>
      </c>
    </row>
    <row r="5" spans="1:18">
      <c r="A5" s="53" t="s">
        <v>325</v>
      </c>
      <c r="B5">
        <v>84</v>
      </c>
      <c r="C5">
        <f>_xlfn.XLOOKUP(A5,'Crop Quantity Pivot'!$A$4:$A$83,'Crop Quantity Pivot'!$B$4:$B$83,,)</f>
        <v>2</v>
      </c>
      <c r="D5" s="35">
        <f t="shared" ref="D5:D68" si="3">B5/C5</f>
        <v>42</v>
      </c>
      <c r="F5" t="s">
        <v>1766</v>
      </c>
      <c r="G5" s="36" t="e">
        <f t="shared" si="0"/>
        <v>#N/A</v>
      </c>
      <c r="H5" s="36" t="e">
        <f>_xlfn.XLOOKUP(F5,'Crop Quantity Pivot'!$A$4:$A$83,'Crop Quantity Pivot'!$C$4:$C$83,,)</f>
        <v>#N/A</v>
      </c>
      <c r="I5">
        <f>_xlfn.XLOOKUP(A5,'Crop Quantity Pivot'!$A$4:$A$83,'Crop Quantity Pivot'!$B$4:$B$83,,)</f>
        <v>2</v>
      </c>
      <c r="J5" s="35" t="e">
        <f t="shared" si="1"/>
        <v>#N/A</v>
      </c>
      <c r="K5" s="174" t="e">
        <f t="shared" si="2"/>
        <v>#N/A</v>
      </c>
      <c r="M5" t="s">
        <v>325</v>
      </c>
      <c r="N5">
        <v>62</v>
      </c>
      <c r="O5">
        <v>2</v>
      </c>
      <c r="P5">
        <v>31</v>
      </c>
      <c r="Q5">
        <v>359.99999999999994</v>
      </c>
      <c r="R5" s="173">
        <v>0.17222222222222225</v>
      </c>
    </row>
    <row r="6" spans="1:18">
      <c r="A6" s="53" t="s">
        <v>124</v>
      </c>
      <c r="B6">
        <v>70.900000000000006</v>
      </c>
      <c r="C6">
        <f>_xlfn.XLOOKUP(A6,'Crop Quantity Pivot'!$A$4:$A$83,'Crop Quantity Pivot'!$B$4:$B$83,,)</f>
        <v>17</v>
      </c>
      <c r="D6" s="35">
        <f t="shared" si="3"/>
        <v>4.1705882352941179</v>
      </c>
      <c r="F6" t="s">
        <v>57</v>
      </c>
      <c r="G6" s="36" t="e">
        <f t="shared" si="0"/>
        <v>#N/A</v>
      </c>
      <c r="H6" s="36" t="e">
        <f>_xlfn.XLOOKUP(F6,'Crop Quantity Pivot'!$A$4:$A$83,'Crop Quantity Pivot'!$C$4:$C$83,,)</f>
        <v>#N/A</v>
      </c>
      <c r="I6">
        <f>_xlfn.XLOOKUP(A6,'Crop Quantity Pivot'!$A$4:$A$83,'Crop Quantity Pivot'!$B$4:$B$83,,)</f>
        <v>17</v>
      </c>
      <c r="J6" s="35" t="e">
        <f t="shared" si="1"/>
        <v>#N/A</v>
      </c>
      <c r="K6" s="174" t="e">
        <f t="shared" si="2"/>
        <v>#N/A</v>
      </c>
      <c r="M6" t="s">
        <v>1791</v>
      </c>
      <c r="N6">
        <v>19.899999999999999</v>
      </c>
      <c r="O6">
        <v>0.25</v>
      </c>
      <c r="P6">
        <v>79.599999999999994</v>
      </c>
      <c r="Q6">
        <v>175</v>
      </c>
      <c r="R6" s="173">
        <v>0.11371428571428571</v>
      </c>
    </row>
    <row r="7" spans="1:18">
      <c r="A7" s="53" t="s">
        <v>53</v>
      </c>
      <c r="B7">
        <v>53.25</v>
      </c>
      <c r="C7">
        <f>_xlfn.XLOOKUP(A7,'Crop Quantity Pivot'!$A$4:$A$83,'Crop Quantity Pivot'!$B$4:$B$83,,)</f>
        <v>5</v>
      </c>
      <c r="D7" s="35">
        <f t="shared" si="3"/>
        <v>10.65</v>
      </c>
      <c r="F7" t="s">
        <v>112</v>
      </c>
      <c r="G7" s="36" t="e">
        <f t="shared" si="0"/>
        <v>#N/A</v>
      </c>
      <c r="H7" s="36">
        <f>_xlfn.XLOOKUP(F7,'Crop Quantity Pivot'!$A$4:$A$83,'Crop Quantity Pivot'!$C$4:$C$83,,)</f>
        <v>5097.65625</v>
      </c>
      <c r="I7">
        <f>_xlfn.XLOOKUP(A7,'Crop Quantity Pivot'!$A$4:$A$83,'Crop Quantity Pivot'!$B$4:$B$83,,)</f>
        <v>5</v>
      </c>
      <c r="J7" s="35" t="e">
        <f t="shared" si="1"/>
        <v>#N/A</v>
      </c>
      <c r="K7" s="174" t="e">
        <f t="shared" si="2"/>
        <v>#N/A</v>
      </c>
      <c r="M7" t="s">
        <v>41</v>
      </c>
      <c r="N7">
        <v>57.4</v>
      </c>
      <c r="O7">
        <v>0.6</v>
      </c>
      <c r="P7">
        <v>95.666666666666671</v>
      </c>
      <c r="Q7">
        <v>540</v>
      </c>
      <c r="R7" s="173">
        <v>0.10629629629629629</v>
      </c>
    </row>
    <row r="8" spans="1:18">
      <c r="A8" s="53" t="s">
        <v>98</v>
      </c>
      <c r="B8">
        <v>50.55</v>
      </c>
      <c r="C8">
        <f>_xlfn.XLOOKUP(A8,'Crop Quantity Pivot'!$A$4:$A$83,'Crop Quantity Pivot'!$B$4:$B$83,,)</f>
        <v>2</v>
      </c>
      <c r="D8" s="35">
        <f t="shared" si="3"/>
        <v>25.274999999999999</v>
      </c>
      <c r="F8" t="s">
        <v>76</v>
      </c>
      <c r="G8" s="36" t="e">
        <f t="shared" si="0"/>
        <v>#N/A</v>
      </c>
      <c r="H8" s="36" t="e">
        <f>_xlfn.XLOOKUP(F8,'Crop Quantity Pivot'!$A$4:$A$83,'Crop Quantity Pivot'!$C$4:$C$83,,)</f>
        <v>#N/A</v>
      </c>
      <c r="I8">
        <f>_xlfn.XLOOKUP(A8,'Crop Quantity Pivot'!$A$4:$A$83,'Crop Quantity Pivot'!$B$4:$B$83,,)</f>
        <v>2</v>
      </c>
      <c r="J8" s="35" t="e">
        <f t="shared" si="1"/>
        <v>#N/A</v>
      </c>
      <c r="K8" s="174" t="e">
        <f t="shared" si="2"/>
        <v>#N/A</v>
      </c>
      <c r="M8" t="s">
        <v>124</v>
      </c>
      <c r="N8">
        <v>50.9</v>
      </c>
      <c r="O8">
        <v>3</v>
      </c>
      <c r="P8">
        <v>16.966666666666665</v>
      </c>
      <c r="Q8">
        <v>487.49999999999989</v>
      </c>
      <c r="R8" s="173">
        <v>0.10441025641025643</v>
      </c>
    </row>
    <row r="9" spans="1:18">
      <c r="A9" s="53" t="s">
        <v>52</v>
      </c>
      <c r="B9">
        <v>42.9</v>
      </c>
      <c r="C9">
        <f>_xlfn.XLOOKUP(A9,'Crop Quantity Pivot'!$A$4:$A$83,'Crop Quantity Pivot'!$B$4:$B$83,,)</f>
        <v>4.4000000000000004</v>
      </c>
      <c r="D9" s="35">
        <f t="shared" si="3"/>
        <v>9.7499999999999982</v>
      </c>
      <c r="F9" t="s">
        <v>348</v>
      </c>
      <c r="G9" s="36" t="e">
        <f t="shared" si="0"/>
        <v>#N/A</v>
      </c>
      <c r="H9" s="36" t="e">
        <f>_xlfn.XLOOKUP(F9,'Crop Quantity Pivot'!$A$4:$A$83,'Crop Quantity Pivot'!$C$4:$C$83,,)</f>
        <v>#N/A</v>
      </c>
      <c r="I9">
        <f>_xlfn.XLOOKUP(A9,'Crop Quantity Pivot'!$A$4:$A$83,'Crop Quantity Pivot'!$B$4:$B$83,,)</f>
        <v>4.4000000000000004</v>
      </c>
      <c r="J9" s="35" t="e">
        <f t="shared" si="1"/>
        <v>#N/A</v>
      </c>
      <c r="K9" s="174" t="e">
        <f t="shared" si="2"/>
        <v>#N/A</v>
      </c>
      <c r="M9" t="s">
        <v>1766</v>
      </c>
      <c r="N9">
        <v>21.5</v>
      </c>
      <c r="O9">
        <v>0.5</v>
      </c>
      <c r="P9">
        <v>43</v>
      </c>
      <c r="Q9">
        <v>293.33333333333331</v>
      </c>
      <c r="R9" s="173">
        <v>7.3295454545454553E-2</v>
      </c>
    </row>
    <row r="10" spans="1:18">
      <c r="A10" s="53" t="s">
        <v>46</v>
      </c>
      <c r="B10">
        <v>39.15</v>
      </c>
      <c r="C10">
        <f>_xlfn.XLOOKUP(A10,'Crop Quantity Pivot'!$A$4:$A$83,'Crop Quantity Pivot'!$B$4:$B$83,,)</f>
        <v>4</v>
      </c>
      <c r="D10" s="35">
        <f t="shared" si="3"/>
        <v>9.7874999999999996</v>
      </c>
      <c r="F10" t="s">
        <v>130</v>
      </c>
      <c r="G10" s="36" t="e">
        <f t="shared" si="0"/>
        <v>#N/A</v>
      </c>
      <c r="H10" s="36" t="e">
        <f>_xlfn.XLOOKUP(F10,'Crop Quantity Pivot'!$A$4:$A$83,'Crop Quantity Pivot'!$C$4:$C$83,,)</f>
        <v>#N/A</v>
      </c>
      <c r="I10">
        <f>_xlfn.XLOOKUP(A10,'Crop Quantity Pivot'!$A$4:$A$83,'Crop Quantity Pivot'!$B$4:$B$83,,)</f>
        <v>4</v>
      </c>
      <c r="J10" s="35" t="e">
        <f t="shared" si="1"/>
        <v>#N/A</v>
      </c>
      <c r="K10" s="174" t="e">
        <f t="shared" si="2"/>
        <v>#N/A</v>
      </c>
      <c r="M10" t="s">
        <v>118</v>
      </c>
      <c r="N10">
        <v>22.5</v>
      </c>
      <c r="O10">
        <v>0.4</v>
      </c>
      <c r="P10">
        <v>56.25</v>
      </c>
      <c r="Q10">
        <v>315</v>
      </c>
      <c r="R10" s="173">
        <v>7.1428571428571425E-2</v>
      </c>
    </row>
    <row r="11" spans="1:18">
      <c r="A11" s="53" t="s">
        <v>128</v>
      </c>
      <c r="B11">
        <v>9.9499999999999993</v>
      </c>
      <c r="C11">
        <f>_xlfn.XLOOKUP(A11,'Crop Quantity Pivot'!$A$4:$A$83,'Crop Quantity Pivot'!$B$4:$B$83,,)</f>
        <v>3</v>
      </c>
      <c r="D11" s="35">
        <f t="shared" si="3"/>
        <v>3.3166666666666664</v>
      </c>
      <c r="F11" t="s">
        <v>1777</v>
      </c>
      <c r="G11" s="36" t="e">
        <f t="shared" si="0"/>
        <v>#N/A</v>
      </c>
      <c r="H11" s="36" t="e">
        <f>_xlfn.XLOOKUP(F11,'Crop Quantity Pivot'!$A$4:$A$83,'Crop Quantity Pivot'!$C$4:$C$83,,)</f>
        <v>#N/A</v>
      </c>
      <c r="I11">
        <f>_xlfn.XLOOKUP(A11,'Crop Quantity Pivot'!$A$4:$A$83,'Crop Quantity Pivot'!$B$4:$B$83,,)</f>
        <v>3</v>
      </c>
      <c r="J11" s="35" t="e">
        <f t="shared" si="1"/>
        <v>#N/A</v>
      </c>
      <c r="K11" s="174" t="e">
        <f t="shared" si="2"/>
        <v>#N/A</v>
      </c>
      <c r="M11" t="s">
        <v>62</v>
      </c>
      <c r="N11">
        <v>27.2</v>
      </c>
      <c r="O11">
        <v>0.8</v>
      </c>
      <c r="P11">
        <v>34</v>
      </c>
      <c r="Q11">
        <v>400</v>
      </c>
      <c r="R11" s="173">
        <v>6.8000000000000005E-2</v>
      </c>
    </row>
    <row r="12" spans="1:18">
      <c r="A12" s="53" t="s">
        <v>470</v>
      </c>
      <c r="B12">
        <v>778.88000000000011</v>
      </c>
      <c r="C12">
        <f>_xlfn.XLOOKUP(A12,'Crop Quantity Pivot'!$A$4:$A$83,'Crop Quantity Pivot'!$B$4:$B$83,,)</f>
        <v>151.30000000000001</v>
      </c>
      <c r="D12" s="35">
        <f t="shared" si="3"/>
        <v>5.1479180436219432</v>
      </c>
      <c r="F12" t="s">
        <v>1767</v>
      </c>
      <c r="G12" s="36" t="e">
        <f t="shared" si="0"/>
        <v>#N/A</v>
      </c>
      <c r="H12" s="36" t="e">
        <f>_xlfn.XLOOKUP(F12,'Crop Quantity Pivot'!$A$4:$A$83,'Crop Quantity Pivot'!$C$4:$C$83,,)</f>
        <v>#N/A</v>
      </c>
      <c r="I12">
        <f>_xlfn.XLOOKUP(A12,'Crop Quantity Pivot'!$A$4:$A$83,'Crop Quantity Pivot'!$B$4:$B$83,,)</f>
        <v>151.30000000000001</v>
      </c>
      <c r="J12" s="35" t="e">
        <f t="shared" si="1"/>
        <v>#N/A</v>
      </c>
      <c r="K12" s="174" t="e">
        <f t="shared" si="2"/>
        <v>#N/A</v>
      </c>
      <c r="M12" t="s">
        <v>52</v>
      </c>
      <c r="N12">
        <v>252.64999999999998</v>
      </c>
      <c r="O12">
        <v>11</v>
      </c>
      <c r="P12">
        <v>22.968181818181815</v>
      </c>
      <c r="Q12">
        <v>5033.333333333333</v>
      </c>
      <c r="R12" s="173">
        <v>5.0195364238410596E-2</v>
      </c>
    </row>
    <row r="13" spans="1:18">
      <c r="C13">
        <f>_xlfn.XLOOKUP(A13,'Crop Quantity Pivot'!$A$4:$A$83,'Crop Quantity Pivot'!$B$4:$B$83,,)</f>
        <v>0</v>
      </c>
      <c r="D13" s="35" t="e">
        <f t="shared" si="3"/>
        <v>#DIV/0!</v>
      </c>
      <c r="F13" t="s">
        <v>1785</v>
      </c>
      <c r="G13" s="36" t="e">
        <f t="shared" si="0"/>
        <v>#N/A</v>
      </c>
      <c r="H13" s="36" t="e">
        <f>_xlfn.XLOOKUP(F13,'Crop Quantity Pivot'!$A$4:$A$83,'Crop Quantity Pivot'!$C$4:$C$83,,)</f>
        <v>#N/A</v>
      </c>
      <c r="I13">
        <f>_xlfn.XLOOKUP(A13,'Crop Quantity Pivot'!$A$4:$A$83,'Crop Quantity Pivot'!$B$4:$B$83,,)</f>
        <v>0</v>
      </c>
      <c r="J13" s="35" t="e">
        <f t="shared" si="1"/>
        <v>#N/A</v>
      </c>
      <c r="K13" s="174" t="e">
        <f t="shared" si="2"/>
        <v>#N/A</v>
      </c>
      <c r="M13" t="s">
        <v>119</v>
      </c>
      <c r="N13">
        <v>47.9</v>
      </c>
      <c r="O13">
        <v>3</v>
      </c>
      <c r="P13">
        <v>15.966666666666667</v>
      </c>
      <c r="Q13">
        <v>983.33333333333337</v>
      </c>
      <c r="R13" s="173">
        <v>4.8711864406779659E-2</v>
      </c>
    </row>
    <row r="14" spans="1:18">
      <c r="C14">
        <f>_xlfn.XLOOKUP(A14,'Crop Quantity Pivot'!$A$4:$A$83,'Crop Quantity Pivot'!$B$4:$B$83,,)</f>
        <v>0</v>
      </c>
      <c r="D14" s="35" t="e">
        <f t="shared" si="3"/>
        <v>#DIV/0!</v>
      </c>
      <c r="F14" t="s">
        <v>139</v>
      </c>
      <c r="G14" s="36" t="e">
        <f t="shared" si="0"/>
        <v>#N/A</v>
      </c>
      <c r="H14" s="36" t="e">
        <f>_xlfn.XLOOKUP(F14,'Crop Quantity Pivot'!$A$4:$A$83,'Crop Quantity Pivot'!$C$4:$C$83,,)</f>
        <v>#N/A</v>
      </c>
      <c r="I14">
        <f>_xlfn.XLOOKUP(A14,'Crop Quantity Pivot'!$A$4:$A$83,'Crop Quantity Pivot'!$B$4:$B$83,,)</f>
        <v>0</v>
      </c>
      <c r="J14" s="35" t="e">
        <f t="shared" si="1"/>
        <v>#N/A</v>
      </c>
      <c r="K14" s="174" t="e">
        <f t="shared" si="2"/>
        <v>#N/A</v>
      </c>
      <c r="M14" t="s">
        <v>387</v>
      </c>
      <c r="N14">
        <v>9.6999999999999993</v>
      </c>
      <c r="O14">
        <v>0.2</v>
      </c>
      <c r="P14">
        <v>48.499999999999993</v>
      </c>
      <c r="Q14">
        <v>200</v>
      </c>
      <c r="R14" s="173">
        <v>4.8499999999999995E-2</v>
      </c>
    </row>
    <row r="15" spans="1:18">
      <c r="C15">
        <f>_xlfn.XLOOKUP(A15,'Crop Quantity Pivot'!$A$4:$A$83,'Crop Quantity Pivot'!$B$4:$B$83,,)</f>
        <v>0</v>
      </c>
      <c r="D15" s="35" t="e">
        <f t="shared" si="3"/>
        <v>#DIV/0!</v>
      </c>
      <c r="F15" t="s">
        <v>97</v>
      </c>
      <c r="G15" s="36" t="e">
        <f t="shared" si="0"/>
        <v>#N/A</v>
      </c>
      <c r="H15" s="36" t="e">
        <f>_xlfn.XLOOKUP(F15,'Crop Quantity Pivot'!$A$4:$A$83,'Crop Quantity Pivot'!$C$4:$C$83,,)</f>
        <v>#N/A</v>
      </c>
      <c r="I15">
        <f>_xlfn.XLOOKUP(A15,'Crop Quantity Pivot'!$A$4:$A$83,'Crop Quantity Pivot'!$B$4:$B$83,,)</f>
        <v>0</v>
      </c>
      <c r="J15" s="35" t="e">
        <f t="shared" si="1"/>
        <v>#N/A</v>
      </c>
      <c r="K15" s="174" t="e">
        <f t="shared" si="2"/>
        <v>#N/A</v>
      </c>
      <c r="M15" t="s">
        <v>139</v>
      </c>
      <c r="N15">
        <v>13.2</v>
      </c>
      <c r="O15">
        <v>0.5</v>
      </c>
      <c r="P15">
        <v>26.4</v>
      </c>
      <c r="Q15">
        <v>300</v>
      </c>
      <c r="R15" s="173">
        <v>4.3999999999999997E-2</v>
      </c>
    </row>
    <row r="16" spans="1:18">
      <c r="C16">
        <f>_xlfn.XLOOKUP(A16,'Crop Quantity Pivot'!$A$4:$A$83,'Crop Quantity Pivot'!$B$4:$B$83,,)</f>
        <v>0</v>
      </c>
      <c r="D16" s="35" t="e">
        <f t="shared" si="3"/>
        <v>#DIV/0!</v>
      </c>
      <c r="F16" t="s">
        <v>89</v>
      </c>
      <c r="G16" s="36" t="e">
        <f t="shared" si="0"/>
        <v>#N/A</v>
      </c>
      <c r="H16" s="36">
        <f>_xlfn.XLOOKUP(F16,'Crop Quantity Pivot'!$A$4:$A$83,'Crop Quantity Pivot'!$C$4:$C$83,,)</f>
        <v>1200</v>
      </c>
      <c r="I16">
        <f>_xlfn.XLOOKUP(A16,'Crop Quantity Pivot'!$A$4:$A$83,'Crop Quantity Pivot'!$B$4:$B$83,,)</f>
        <v>0</v>
      </c>
      <c r="J16" s="35" t="e">
        <f t="shared" si="1"/>
        <v>#N/A</v>
      </c>
      <c r="K16" s="174" t="e">
        <f t="shared" si="2"/>
        <v>#N/A</v>
      </c>
      <c r="M16" t="s">
        <v>82</v>
      </c>
      <c r="N16">
        <v>8</v>
      </c>
      <c r="O16">
        <v>0.5</v>
      </c>
      <c r="P16">
        <v>16</v>
      </c>
      <c r="Q16">
        <v>199.99999999999997</v>
      </c>
      <c r="R16" s="173">
        <v>4.0000000000000008E-2</v>
      </c>
    </row>
    <row r="17" spans="3:18">
      <c r="C17">
        <f>_xlfn.XLOOKUP(A17,'Crop Quantity Pivot'!$A$4:$A$83,'Crop Quantity Pivot'!$B$4:$B$83,,)</f>
        <v>0</v>
      </c>
      <c r="D17" s="35" t="e">
        <f t="shared" si="3"/>
        <v>#DIV/0!</v>
      </c>
      <c r="F17" t="s">
        <v>122</v>
      </c>
      <c r="G17" s="36" t="e">
        <f t="shared" si="0"/>
        <v>#N/A</v>
      </c>
      <c r="H17" s="36">
        <f>_xlfn.XLOOKUP(F17,'Crop Quantity Pivot'!$A$4:$A$83,'Crop Quantity Pivot'!$C$4:$C$83,,)</f>
        <v>822.85714285714278</v>
      </c>
      <c r="I17">
        <f>_xlfn.XLOOKUP(A17,'Crop Quantity Pivot'!$A$4:$A$83,'Crop Quantity Pivot'!$B$4:$B$83,,)</f>
        <v>0</v>
      </c>
      <c r="J17" s="35" t="e">
        <f t="shared" si="1"/>
        <v>#N/A</v>
      </c>
      <c r="K17" s="174" t="e">
        <f t="shared" si="2"/>
        <v>#N/A</v>
      </c>
      <c r="M17" t="s">
        <v>43</v>
      </c>
      <c r="N17">
        <v>44.85</v>
      </c>
      <c r="O17">
        <v>1.7999999999999998</v>
      </c>
      <c r="P17">
        <v>24.916666666666671</v>
      </c>
      <c r="Q17">
        <v>1134.1666666666665</v>
      </c>
      <c r="R17" s="173">
        <v>3.9544452608376197E-2</v>
      </c>
    </row>
    <row r="18" spans="3:18">
      <c r="C18">
        <f>_xlfn.XLOOKUP(A18,'Crop Quantity Pivot'!$A$4:$A$83,'Crop Quantity Pivot'!$B$4:$B$83,,)</f>
        <v>0</v>
      </c>
      <c r="D18" s="35" t="e">
        <f t="shared" si="3"/>
        <v>#DIV/0!</v>
      </c>
      <c r="F18" t="s">
        <v>41</v>
      </c>
      <c r="G18" s="36" t="e">
        <f t="shared" si="0"/>
        <v>#N/A</v>
      </c>
      <c r="H18" s="36" t="e">
        <f>_xlfn.XLOOKUP(F18,'Crop Quantity Pivot'!$A$4:$A$83,'Crop Quantity Pivot'!$C$4:$C$83,,)</f>
        <v>#N/A</v>
      </c>
      <c r="I18">
        <f>_xlfn.XLOOKUP(A18,'Crop Quantity Pivot'!$A$4:$A$83,'Crop Quantity Pivot'!$B$4:$B$83,,)</f>
        <v>0</v>
      </c>
      <c r="J18" s="35" t="e">
        <f t="shared" si="1"/>
        <v>#N/A</v>
      </c>
      <c r="K18" s="174" t="e">
        <f t="shared" si="2"/>
        <v>#N/A</v>
      </c>
      <c r="M18" t="s">
        <v>137</v>
      </c>
      <c r="N18">
        <v>32.299999999999997</v>
      </c>
      <c r="O18">
        <v>2</v>
      </c>
      <c r="P18">
        <v>16.149999999999999</v>
      </c>
      <c r="Q18">
        <v>825</v>
      </c>
      <c r="R18" s="173">
        <v>3.9151515151515145E-2</v>
      </c>
    </row>
    <row r="19" spans="3:18">
      <c r="C19">
        <f>_xlfn.XLOOKUP(A19,'Crop Quantity Pivot'!$A$4:$A$83,'Crop Quantity Pivot'!$B$4:$B$83,,)</f>
        <v>0</v>
      </c>
      <c r="D19" s="35" t="e">
        <f t="shared" si="3"/>
        <v>#DIV/0!</v>
      </c>
      <c r="F19" t="s">
        <v>128</v>
      </c>
      <c r="G19" s="36">
        <f t="shared" si="0"/>
        <v>9.9499999999999993</v>
      </c>
      <c r="H19" s="36">
        <f>_xlfn.XLOOKUP(F19,'Crop Quantity Pivot'!$A$4:$A$83,'Crop Quantity Pivot'!$C$4:$C$83,,)</f>
        <v>1392.8571428571429</v>
      </c>
      <c r="I19">
        <f>_xlfn.XLOOKUP(A19,'Crop Quantity Pivot'!$A$4:$A$83,'Crop Quantity Pivot'!$B$4:$B$83,,)</f>
        <v>0</v>
      </c>
      <c r="J19" s="35">
        <f t="shared" si="1"/>
        <v>3.3166666666666664</v>
      </c>
      <c r="K19" s="174">
        <f t="shared" si="2"/>
        <v>7.1435897435897433E-3</v>
      </c>
      <c r="M19" t="s">
        <v>348</v>
      </c>
      <c r="N19">
        <v>9.35</v>
      </c>
      <c r="O19">
        <v>0.25</v>
      </c>
      <c r="P19">
        <v>37.4</v>
      </c>
      <c r="Q19">
        <v>240</v>
      </c>
      <c r="R19" s="173">
        <v>3.8958333333333331E-2</v>
      </c>
    </row>
    <row r="20" spans="3:18">
      <c r="C20">
        <f>_xlfn.XLOOKUP(A20,'Crop Quantity Pivot'!$A$4:$A$83,'Crop Quantity Pivot'!$B$4:$B$83,,)</f>
        <v>0</v>
      </c>
      <c r="D20" s="35" t="e">
        <f t="shared" si="3"/>
        <v>#DIV/0!</v>
      </c>
      <c r="F20" t="s">
        <v>67</v>
      </c>
      <c r="G20" s="36" t="e">
        <f t="shared" si="0"/>
        <v>#N/A</v>
      </c>
      <c r="H20" s="36" t="e">
        <f>_xlfn.XLOOKUP(F20,'Crop Quantity Pivot'!$A$4:$A$83,'Crop Quantity Pivot'!$C$4:$C$83,,)</f>
        <v>#N/A</v>
      </c>
      <c r="I20">
        <f>_xlfn.XLOOKUP(A20,'Crop Quantity Pivot'!$A$4:$A$83,'Crop Quantity Pivot'!$B$4:$B$83,,)</f>
        <v>0</v>
      </c>
      <c r="J20" s="35" t="e">
        <f t="shared" si="1"/>
        <v>#N/A</v>
      </c>
      <c r="K20" s="174" t="e">
        <f t="shared" si="2"/>
        <v>#N/A</v>
      </c>
      <c r="M20" t="s">
        <v>1785</v>
      </c>
      <c r="N20">
        <v>9.5500000000000007</v>
      </c>
      <c r="O20">
        <v>0.34</v>
      </c>
      <c r="P20">
        <v>28.088235294117649</v>
      </c>
      <c r="Q20">
        <v>272</v>
      </c>
      <c r="R20" s="173">
        <v>3.5110294117647059E-2</v>
      </c>
    </row>
    <row r="21" spans="3:18">
      <c r="C21">
        <f>_xlfn.XLOOKUP(A21,'Crop Quantity Pivot'!$A$4:$A$83,'Crop Quantity Pivot'!$B$4:$B$83,,)</f>
        <v>0</v>
      </c>
      <c r="D21" s="35" t="e">
        <f t="shared" si="3"/>
        <v>#DIV/0!</v>
      </c>
      <c r="F21" t="s">
        <v>1773</v>
      </c>
      <c r="G21" s="36" t="e">
        <f t="shared" si="0"/>
        <v>#N/A</v>
      </c>
      <c r="H21" s="36" t="e">
        <f>_xlfn.XLOOKUP(F21,'Crop Quantity Pivot'!$A$4:$A$83,'Crop Quantity Pivot'!$C$4:$C$83,,)</f>
        <v>#N/A</v>
      </c>
      <c r="I21">
        <f>_xlfn.XLOOKUP(A21,'Crop Quantity Pivot'!$A$4:$A$83,'Crop Quantity Pivot'!$B$4:$B$83,,)</f>
        <v>0</v>
      </c>
      <c r="J21" s="35" t="e">
        <f t="shared" si="1"/>
        <v>#N/A</v>
      </c>
      <c r="K21" s="174" t="e">
        <f t="shared" si="2"/>
        <v>#N/A</v>
      </c>
      <c r="M21" t="s">
        <v>1773</v>
      </c>
      <c r="N21">
        <v>7.9</v>
      </c>
      <c r="O21">
        <v>0.34</v>
      </c>
      <c r="P21">
        <v>23.235294117647058</v>
      </c>
      <c r="Q21">
        <v>226.66666666666663</v>
      </c>
      <c r="R21" s="173">
        <v>3.4852941176470593E-2</v>
      </c>
    </row>
    <row r="22" spans="3:18">
      <c r="C22">
        <f>_xlfn.XLOOKUP(A22,'Crop Quantity Pivot'!$A$4:$A$83,'Crop Quantity Pivot'!$B$4:$B$83,,)</f>
        <v>0</v>
      </c>
      <c r="D22" s="35" t="e">
        <f t="shared" si="3"/>
        <v>#DIV/0!</v>
      </c>
      <c r="F22" t="s">
        <v>1771</v>
      </c>
      <c r="G22" s="36" t="e">
        <f t="shared" si="0"/>
        <v>#N/A</v>
      </c>
      <c r="H22" s="36" t="e">
        <f>_xlfn.XLOOKUP(F22,'Crop Quantity Pivot'!$A$4:$A$83,'Crop Quantity Pivot'!$C$4:$C$83,,)</f>
        <v>#N/A</v>
      </c>
      <c r="I22">
        <f>_xlfn.XLOOKUP(A22,'Crop Quantity Pivot'!$A$4:$A$83,'Crop Quantity Pivot'!$B$4:$B$83,,)</f>
        <v>0</v>
      </c>
      <c r="J22" s="35" t="e">
        <f t="shared" si="1"/>
        <v>#N/A</v>
      </c>
      <c r="K22" s="174" t="e">
        <f t="shared" si="2"/>
        <v>#N/A</v>
      </c>
      <c r="M22" t="s">
        <v>89</v>
      </c>
      <c r="N22">
        <v>25.950000000000003</v>
      </c>
      <c r="O22">
        <v>1</v>
      </c>
      <c r="P22">
        <v>25.950000000000003</v>
      </c>
      <c r="Q22">
        <v>750</v>
      </c>
      <c r="R22" s="173">
        <v>3.4600000000000006E-2</v>
      </c>
    </row>
    <row r="23" spans="3:18">
      <c r="C23">
        <f>_xlfn.XLOOKUP(A23,'Crop Quantity Pivot'!$A$4:$A$83,'Crop Quantity Pivot'!$B$4:$B$83,,)</f>
        <v>0</v>
      </c>
      <c r="D23" s="35" t="e">
        <f t="shared" si="3"/>
        <v>#DIV/0!</v>
      </c>
      <c r="F23" t="s">
        <v>325</v>
      </c>
      <c r="G23" s="36">
        <f t="shared" si="0"/>
        <v>84</v>
      </c>
      <c r="H23" s="36">
        <f>_xlfn.XLOOKUP(F23,'Crop Quantity Pivot'!$A$4:$A$83,'Crop Quantity Pivot'!$C$4:$C$83,,)</f>
        <v>800</v>
      </c>
      <c r="I23">
        <f>_xlfn.XLOOKUP(A23,'Crop Quantity Pivot'!$A$4:$A$83,'Crop Quantity Pivot'!$B$4:$B$83,,)</f>
        <v>0</v>
      </c>
      <c r="J23" s="35">
        <f t="shared" si="1"/>
        <v>42</v>
      </c>
      <c r="K23" s="174">
        <f t="shared" si="2"/>
        <v>0.105</v>
      </c>
      <c r="M23" t="s">
        <v>105</v>
      </c>
      <c r="N23">
        <v>73.399999999999991</v>
      </c>
      <c r="O23">
        <v>4</v>
      </c>
      <c r="P23">
        <v>18.349999999999998</v>
      </c>
      <c r="Q23">
        <v>2315.625</v>
      </c>
      <c r="R23" s="173">
        <v>3.1697705802968955E-2</v>
      </c>
    </row>
    <row r="24" spans="3:18">
      <c r="C24">
        <f>_xlfn.XLOOKUP(A24,'Crop Quantity Pivot'!$A$4:$A$83,'Crop Quantity Pivot'!$B$4:$B$83,,)</f>
        <v>0</v>
      </c>
      <c r="D24" s="35" t="e">
        <f t="shared" si="3"/>
        <v>#DIV/0!</v>
      </c>
      <c r="F24" t="s">
        <v>62</v>
      </c>
      <c r="G24" s="36" t="e">
        <f t="shared" si="0"/>
        <v>#N/A</v>
      </c>
      <c r="H24" s="36">
        <f>_xlfn.XLOOKUP(F24,'Crop Quantity Pivot'!$A$4:$A$83,'Crop Quantity Pivot'!$C$4:$C$83,,)</f>
        <v>2700</v>
      </c>
      <c r="I24">
        <f>_xlfn.XLOOKUP(A24,'Crop Quantity Pivot'!$A$4:$A$83,'Crop Quantity Pivot'!$B$4:$B$83,,)</f>
        <v>0</v>
      </c>
      <c r="J24" s="35" t="e">
        <f t="shared" si="1"/>
        <v>#N/A</v>
      </c>
      <c r="K24" s="174" t="e">
        <f t="shared" si="2"/>
        <v>#N/A</v>
      </c>
      <c r="M24" t="s">
        <v>1767</v>
      </c>
      <c r="N24">
        <v>12</v>
      </c>
      <c r="O24">
        <v>0.4</v>
      </c>
      <c r="P24">
        <v>30</v>
      </c>
      <c r="Q24">
        <v>400</v>
      </c>
      <c r="R24" s="173">
        <v>0.03</v>
      </c>
    </row>
    <row r="25" spans="3:18">
      <c r="C25">
        <f>_xlfn.XLOOKUP(A25,'Crop Quantity Pivot'!$A$4:$A$83,'Crop Quantity Pivot'!$B$4:$B$83,,)</f>
        <v>0</v>
      </c>
      <c r="D25" s="35" t="e">
        <f t="shared" si="3"/>
        <v>#DIV/0!</v>
      </c>
      <c r="F25" t="s">
        <v>136</v>
      </c>
      <c r="G25" s="36">
        <f t="shared" si="0"/>
        <v>428.18000000000006</v>
      </c>
      <c r="H25" s="36">
        <f>_xlfn.XLOOKUP(F25,'Crop Quantity Pivot'!$A$4:$A$83,'Crop Quantity Pivot'!$C$4:$C$83,,)</f>
        <v>89641.666666666657</v>
      </c>
      <c r="I25">
        <f>_xlfn.XLOOKUP(A25,'Crop Quantity Pivot'!$A$4:$A$83,'Crop Quantity Pivot'!$B$4:$B$83,,)</f>
        <v>0</v>
      </c>
      <c r="J25" s="35">
        <f t="shared" si="1"/>
        <v>10.243540669856461</v>
      </c>
      <c r="K25" s="174">
        <f t="shared" si="2"/>
        <v>4.7765733940689798E-3</v>
      </c>
      <c r="M25" t="s">
        <v>123</v>
      </c>
      <c r="N25">
        <v>36.9</v>
      </c>
      <c r="O25">
        <v>2</v>
      </c>
      <c r="P25">
        <v>18.45</v>
      </c>
      <c r="Q25">
        <v>1280</v>
      </c>
      <c r="R25" s="173">
        <v>2.8828125E-2</v>
      </c>
    </row>
    <row r="26" spans="3:18">
      <c r="C26">
        <f>_xlfn.XLOOKUP(A26,'Crop Quantity Pivot'!$A$4:$A$83,'Crop Quantity Pivot'!$B$4:$B$83,,)</f>
        <v>0</v>
      </c>
      <c r="D26" s="35" t="e">
        <f t="shared" si="3"/>
        <v>#DIV/0!</v>
      </c>
      <c r="F26" t="s">
        <v>98</v>
      </c>
      <c r="G26" s="36">
        <f t="shared" si="0"/>
        <v>50.55</v>
      </c>
      <c r="H26" s="36">
        <f>_xlfn.XLOOKUP(F26,'Crop Quantity Pivot'!$A$4:$A$83,'Crop Quantity Pivot'!$C$4:$C$83,,)</f>
        <v>900</v>
      </c>
      <c r="I26">
        <f>_xlfn.XLOOKUP(A26,'Crop Quantity Pivot'!$A$4:$A$83,'Crop Quantity Pivot'!$B$4:$B$83,,)</f>
        <v>0</v>
      </c>
      <c r="J26" s="35">
        <f t="shared" si="1"/>
        <v>25.274999999999999</v>
      </c>
      <c r="K26" s="174">
        <f t="shared" si="2"/>
        <v>5.6166666666666663E-2</v>
      </c>
      <c r="M26" t="s">
        <v>57</v>
      </c>
      <c r="N26">
        <v>21.15</v>
      </c>
      <c r="O26">
        <v>0.5</v>
      </c>
      <c r="P26">
        <v>42.3</v>
      </c>
      <c r="Q26">
        <v>735</v>
      </c>
      <c r="R26" s="173">
        <v>2.8775510204081631E-2</v>
      </c>
    </row>
    <row r="27" spans="3:18">
      <c r="C27">
        <f>_xlfn.XLOOKUP(A27,'Crop Quantity Pivot'!$A$4:$A$83,'Crop Quantity Pivot'!$B$4:$B$83,,)</f>
        <v>0</v>
      </c>
      <c r="D27" s="35" t="e">
        <f t="shared" si="3"/>
        <v>#DIV/0!</v>
      </c>
      <c r="F27" t="s">
        <v>105</v>
      </c>
      <c r="G27" s="36" t="e">
        <f t="shared" si="0"/>
        <v>#N/A</v>
      </c>
      <c r="H27" s="36">
        <f>_xlfn.XLOOKUP(F27,'Crop Quantity Pivot'!$A$4:$A$83,'Crop Quantity Pivot'!$C$4:$C$83,,)</f>
        <v>1818.75</v>
      </c>
      <c r="I27">
        <f>_xlfn.XLOOKUP(A27,'Crop Quantity Pivot'!$A$4:$A$83,'Crop Quantity Pivot'!$B$4:$B$83,,)</f>
        <v>0</v>
      </c>
      <c r="J27" s="35" t="e">
        <f t="shared" si="1"/>
        <v>#N/A</v>
      </c>
      <c r="K27" s="174" t="e">
        <f t="shared" si="2"/>
        <v>#N/A</v>
      </c>
      <c r="M27" t="s">
        <v>78</v>
      </c>
      <c r="N27">
        <v>68.2</v>
      </c>
      <c r="O27">
        <v>4</v>
      </c>
      <c r="P27">
        <v>17.05</v>
      </c>
      <c r="Q27">
        <v>2400</v>
      </c>
      <c r="R27" s="173">
        <v>2.8416666666666666E-2</v>
      </c>
    </row>
    <row r="28" spans="3:18">
      <c r="C28">
        <f>_xlfn.XLOOKUP(A28,'Crop Quantity Pivot'!$A$4:$A$83,'Crop Quantity Pivot'!$B$4:$B$83,,)</f>
        <v>0</v>
      </c>
      <c r="D28" s="35" t="e">
        <f t="shared" si="3"/>
        <v>#DIV/0!</v>
      </c>
      <c r="F28" t="s">
        <v>141</v>
      </c>
      <c r="G28" s="36" t="e">
        <f t="shared" si="0"/>
        <v>#N/A</v>
      </c>
      <c r="H28" s="36" t="e">
        <f>_xlfn.XLOOKUP(F28,'Crop Quantity Pivot'!$A$4:$A$83,'Crop Quantity Pivot'!$C$4:$C$83,,)</f>
        <v>#N/A</v>
      </c>
      <c r="I28">
        <f>_xlfn.XLOOKUP(A28,'Crop Quantity Pivot'!$A$4:$A$83,'Crop Quantity Pivot'!$B$4:$B$83,,)</f>
        <v>0</v>
      </c>
      <c r="J28" s="35" t="e">
        <f t="shared" si="1"/>
        <v>#N/A</v>
      </c>
      <c r="K28" s="174" t="e">
        <f t="shared" si="2"/>
        <v>#N/A</v>
      </c>
      <c r="M28" t="s">
        <v>75</v>
      </c>
      <c r="N28">
        <v>27.8</v>
      </c>
      <c r="O28">
        <v>1.7</v>
      </c>
      <c r="P28">
        <v>16.352941176470591</v>
      </c>
      <c r="Q28">
        <v>1000</v>
      </c>
      <c r="R28" s="173">
        <v>2.7800000000000002E-2</v>
      </c>
    </row>
    <row r="29" spans="3:18">
      <c r="C29">
        <f>_xlfn.XLOOKUP(A29,'Crop Quantity Pivot'!$A$4:$A$83,'Crop Quantity Pivot'!$B$4:$B$83,,)</f>
        <v>0</v>
      </c>
      <c r="D29" s="35" t="e">
        <f t="shared" si="3"/>
        <v>#DIV/0!</v>
      </c>
      <c r="F29" t="s">
        <v>1768</v>
      </c>
      <c r="G29" s="36" t="e">
        <f t="shared" si="0"/>
        <v>#N/A</v>
      </c>
      <c r="H29" s="36" t="e">
        <f>_xlfn.XLOOKUP(F29,'Crop Quantity Pivot'!$A$4:$A$83,'Crop Quantity Pivot'!$C$4:$C$83,,)</f>
        <v>#N/A</v>
      </c>
      <c r="I29">
        <f>_xlfn.XLOOKUP(A29,'Crop Quantity Pivot'!$A$4:$A$83,'Crop Quantity Pivot'!$B$4:$B$83,,)</f>
        <v>0</v>
      </c>
      <c r="J29" s="35" t="e">
        <f t="shared" si="1"/>
        <v>#N/A</v>
      </c>
      <c r="K29" s="174" t="e">
        <f t="shared" si="2"/>
        <v>#N/A</v>
      </c>
      <c r="M29" t="s">
        <v>112</v>
      </c>
      <c r="N29">
        <v>73.45</v>
      </c>
      <c r="O29">
        <v>1.5</v>
      </c>
      <c r="P29">
        <v>48.966666666666669</v>
      </c>
      <c r="Q29">
        <v>2705.2734375</v>
      </c>
      <c r="R29" s="173">
        <v>2.715067504151325E-2</v>
      </c>
    </row>
    <row r="30" spans="3:18">
      <c r="C30">
        <f>_xlfn.XLOOKUP(A30,'Crop Quantity Pivot'!$A$4:$A$83,'Crop Quantity Pivot'!$B$4:$B$83,,)</f>
        <v>0</v>
      </c>
      <c r="D30" s="35" t="e">
        <f t="shared" si="3"/>
        <v>#DIV/0!</v>
      </c>
      <c r="F30" t="s">
        <v>1763</v>
      </c>
      <c r="G30" s="36" t="e">
        <f t="shared" si="0"/>
        <v>#N/A</v>
      </c>
      <c r="H30" s="36" t="e">
        <f>_xlfn.XLOOKUP(F30,'Crop Quantity Pivot'!$A$4:$A$83,'Crop Quantity Pivot'!$C$4:$C$83,,)</f>
        <v>#N/A</v>
      </c>
      <c r="I30">
        <f>_xlfn.XLOOKUP(A30,'Crop Quantity Pivot'!$A$4:$A$83,'Crop Quantity Pivot'!$B$4:$B$83,,)</f>
        <v>0</v>
      </c>
      <c r="J30" s="35" t="e">
        <f t="shared" si="1"/>
        <v>#N/A</v>
      </c>
      <c r="K30" s="174" t="e">
        <f t="shared" si="2"/>
        <v>#N/A</v>
      </c>
      <c r="M30" t="s">
        <v>128</v>
      </c>
      <c r="N30">
        <v>43.35</v>
      </c>
      <c r="O30">
        <v>2</v>
      </c>
      <c r="P30">
        <v>21.675000000000001</v>
      </c>
      <c r="Q30">
        <v>1600</v>
      </c>
      <c r="R30" s="173">
        <v>2.709375E-2</v>
      </c>
    </row>
    <row r="31" spans="3:18">
      <c r="C31">
        <f>_xlfn.XLOOKUP(A31,'Crop Quantity Pivot'!$A$4:$A$83,'Crop Quantity Pivot'!$B$4:$B$83,,)</f>
        <v>0</v>
      </c>
      <c r="D31" s="35" t="e">
        <f t="shared" si="3"/>
        <v>#DIV/0!</v>
      </c>
      <c r="F31" t="s">
        <v>96</v>
      </c>
      <c r="G31" s="36" t="e">
        <f t="shared" si="0"/>
        <v>#N/A</v>
      </c>
      <c r="H31" s="36" t="e">
        <f>_xlfn.XLOOKUP(F31,'Crop Quantity Pivot'!$A$4:$A$83,'Crop Quantity Pivot'!$C$4:$C$83,,)</f>
        <v>#N/A</v>
      </c>
      <c r="I31">
        <f>_xlfn.XLOOKUP(A31,'Crop Quantity Pivot'!$A$4:$A$83,'Crop Quantity Pivot'!$B$4:$B$83,,)</f>
        <v>0</v>
      </c>
      <c r="J31" s="35" t="e">
        <f t="shared" si="1"/>
        <v>#N/A</v>
      </c>
      <c r="K31" s="174" t="e">
        <f t="shared" si="2"/>
        <v>#N/A</v>
      </c>
      <c r="M31" t="s">
        <v>53</v>
      </c>
      <c r="N31">
        <v>94.45</v>
      </c>
      <c r="O31">
        <v>6</v>
      </c>
      <c r="P31">
        <v>15.741666666666667</v>
      </c>
      <c r="Q31">
        <v>3488.5714285714284</v>
      </c>
      <c r="R31" s="173">
        <v>2.7074119574119575E-2</v>
      </c>
    </row>
    <row r="32" spans="3:18">
      <c r="C32">
        <f>_xlfn.XLOOKUP(A32,'Crop Quantity Pivot'!$A$4:$A$83,'Crop Quantity Pivot'!$B$4:$B$83,,)</f>
        <v>0</v>
      </c>
      <c r="D32" s="35" t="e">
        <f t="shared" si="3"/>
        <v>#DIV/0!</v>
      </c>
      <c r="F32" t="s">
        <v>1695</v>
      </c>
      <c r="G32" s="36" t="e">
        <f t="shared" si="0"/>
        <v>#N/A</v>
      </c>
      <c r="H32" s="36" t="e">
        <f>_xlfn.XLOOKUP(F32,'Crop Quantity Pivot'!$A$4:$A$83,'Crop Quantity Pivot'!$C$4:$C$83,,)</f>
        <v>#N/A</v>
      </c>
      <c r="I32">
        <f>_xlfn.XLOOKUP(A32,'Crop Quantity Pivot'!$A$4:$A$83,'Crop Quantity Pivot'!$B$4:$B$83,,)</f>
        <v>0</v>
      </c>
      <c r="J32" s="35" t="e">
        <f t="shared" si="1"/>
        <v>#N/A</v>
      </c>
      <c r="K32" s="174" t="e">
        <f t="shared" si="2"/>
        <v>#N/A</v>
      </c>
      <c r="M32" t="s">
        <v>114</v>
      </c>
      <c r="N32">
        <v>67.8</v>
      </c>
      <c r="O32">
        <v>4</v>
      </c>
      <c r="P32">
        <v>16.95</v>
      </c>
      <c r="Q32">
        <v>2650</v>
      </c>
      <c r="R32" s="173">
        <v>2.5584905660377358E-2</v>
      </c>
    </row>
    <row r="33" spans="3:18">
      <c r="C33">
        <f>_xlfn.XLOOKUP(A33,'Crop Quantity Pivot'!$A$4:$A$83,'Crop Quantity Pivot'!$B$4:$B$83,,)</f>
        <v>0</v>
      </c>
      <c r="D33" s="35" t="e">
        <f t="shared" si="3"/>
        <v>#DIV/0!</v>
      </c>
      <c r="F33" t="s">
        <v>1769</v>
      </c>
      <c r="G33" s="36" t="e">
        <f t="shared" si="0"/>
        <v>#N/A</v>
      </c>
      <c r="H33" s="36" t="e">
        <f>_xlfn.XLOOKUP(F33,'Crop Quantity Pivot'!$A$4:$A$83,'Crop Quantity Pivot'!$C$4:$C$83,,)</f>
        <v>#N/A</v>
      </c>
      <c r="I33">
        <f>_xlfn.XLOOKUP(A33,'Crop Quantity Pivot'!$A$4:$A$83,'Crop Quantity Pivot'!$B$4:$B$83,,)</f>
        <v>0</v>
      </c>
      <c r="J33" s="35" t="e">
        <f t="shared" si="1"/>
        <v>#N/A</v>
      </c>
      <c r="K33" s="174" t="e">
        <f t="shared" si="2"/>
        <v>#N/A</v>
      </c>
      <c r="M33" t="s">
        <v>98</v>
      </c>
      <c r="N33">
        <v>11</v>
      </c>
      <c r="O33">
        <v>1</v>
      </c>
      <c r="P33">
        <v>11</v>
      </c>
      <c r="Q33">
        <v>450</v>
      </c>
      <c r="R33" s="173">
        <v>2.4444444444444446E-2</v>
      </c>
    </row>
    <row r="34" spans="3:18">
      <c r="C34">
        <f>_xlfn.XLOOKUP(A34,'Crop Quantity Pivot'!$A$4:$A$83,'Crop Quantity Pivot'!$B$4:$B$83,,)</f>
        <v>0</v>
      </c>
      <c r="D34" s="35" t="e">
        <f t="shared" si="3"/>
        <v>#DIV/0!</v>
      </c>
      <c r="F34" t="s">
        <v>52</v>
      </c>
      <c r="G34" s="36">
        <f t="shared" si="0"/>
        <v>42.9</v>
      </c>
      <c r="H34" s="36">
        <f>_xlfn.XLOOKUP(F34,'Crop Quantity Pivot'!$A$4:$A$83,'Crop Quantity Pivot'!$C$4:$C$83,,)</f>
        <v>2470.6666666666665</v>
      </c>
      <c r="I34">
        <f>_xlfn.XLOOKUP(A34,'Crop Quantity Pivot'!$A$4:$A$83,'Crop Quantity Pivot'!$B$4:$B$83,,)</f>
        <v>0</v>
      </c>
      <c r="J34" s="35">
        <f t="shared" si="1"/>
        <v>9.7499999999999982</v>
      </c>
      <c r="K34" s="174">
        <f t="shared" si="2"/>
        <v>1.7363734484619538E-2</v>
      </c>
      <c r="M34" t="s">
        <v>88</v>
      </c>
      <c r="N34">
        <v>65.75</v>
      </c>
      <c r="O34">
        <v>6</v>
      </c>
      <c r="P34">
        <v>10.958333333333334</v>
      </c>
      <c r="Q34">
        <v>2699.9999999999991</v>
      </c>
      <c r="R34" s="173">
        <v>2.4351851851851861E-2</v>
      </c>
    </row>
    <row r="35" spans="3:18">
      <c r="C35">
        <f>_xlfn.XLOOKUP(A35,'Crop Quantity Pivot'!$A$4:$A$83,'Crop Quantity Pivot'!$B$4:$B$83,,)</f>
        <v>0</v>
      </c>
      <c r="D35" s="35" t="e">
        <f t="shared" si="3"/>
        <v>#DIV/0!</v>
      </c>
      <c r="F35" t="s">
        <v>124</v>
      </c>
      <c r="G35" s="36">
        <f t="shared" si="0"/>
        <v>70.900000000000006</v>
      </c>
      <c r="H35" s="36">
        <f>_xlfn.XLOOKUP(F35,'Crop Quantity Pivot'!$A$4:$A$83,'Crop Quantity Pivot'!$C$4:$C$83,,)</f>
        <v>5624.9999999999991</v>
      </c>
      <c r="I35">
        <f>_xlfn.XLOOKUP(A35,'Crop Quantity Pivot'!$A$4:$A$83,'Crop Quantity Pivot'!$B$4:$B$83,,)</f>
        <v>0</v>
      </c>
      <c r="J35" s="35">
        <f t="shared" si="1"/>
        <v>4.1705882352941179</v>
      </c>
      <c r="K35" s="174">
        <f t="shared" si="2"/>
        <v>1.2604444444444448E-2</v>
      </c>
      <c r="M35" t="s">
        <v>136</v>
      </c>
      <c r="N35">
        <v>135.52999999999997</v>
      </c>
      <c r="O35">
        <v>2.99</v>
      </c>
      <c r="P35">
        <v>45.327759197324404</v>
      </c>
      <c r="Q35">
        <v>5630</v>
      </c>
      <c r="R35" s="173">
        <v>2.4072824156305503E-2</v>
      </c>
    </row>
    <row r="36" spans="3:18">
      <c r="C36">
        <f>_xlfn.XLOOKUP(A36,'Crop Quantity Pivot'!$A$4:$A$83,'Crop Quantity Pivot'!$B$4:$B$83,,)</f>
        <v>0</v>
      </c>
      <c r="D36" s="35" t="e">
        <f t="shared" si="3"/>
        <v>#DIV/0!</v>
      </c>
      <c r="F36" t="s">
        <v>120</v>
      </c>
      <c r="G36" s="36" t="e">
        <f t="shared" ref="G36:G67" si="4">_xlfn.XLOOKUP(F36,$A$4:$A$71,$B$4:$B$71)</f>
        <v>#N/A</v>
      </c>
      <c r="H36" s="36" t="e">
        <f>_xlfn.XLOOKUP(F36,'Crop Quantity Pivot'!$A$4:$A$83,'Crop Quantity Pivot'!$C$4:$C$83,,)</f>
        <v>#N/A</v>
      </c>
      <c r="I36">
        <f>_xlfn.XLOOKUP(A36,'Crop Quantity Pivot'!$A$4:$A$83,'Crop Quantity Pivot'!$B$4:$B$83,,)</f>
        <v>0</v>
      </c>
      <c r="J36" s="35" t="e">
        <f t="shared" ref="J36:J71" si="5">_xlfn.XLOOKUP(F36,$A$4:$A$71,$D$4:$D$71)</f>
        <v>#N/A</v>
      </c>
      <c r="K36" s="174" t="e">
        <f t="shared" ref="K36:K71" si="6">G36/H36</f>
        <v>#N/A</v>
      </c>
      <c r="M36" t="s">
        <v>130</v>
      </c>
      <c r="N36">
        <v>80.45</v>
      </c>
      <c r="O36">
        <v>2</v>
      </c>
      <c r="P36">
        <v>40.225000000000001</v>
      </c>
      <c r="Q36">
        <v>3600</v>
      </c>
      <c r="R36" s="173">
        <v>2.2347222222222223E-2</v>
      </c>
    </row>
    <row r="37" spans="3:18">
      <c r="C37">
        <f>_xlfn.XLOOKUP(A37,'Crop Quantity Pivot'!$A$4:$A$83,'Crop Quantity Pivot'!$B$4:$B$83,,)</f>
        <v>0</v>
      </c>
      <c r="D37" s="35" t="e">
        <f t="shared" si="3"/>
        <v>#DIV/0!</v>
      </c>
      <c r="F37" t="s">
        <v>1791</v>
      </c>
      <c r="G37" s="36" t="e">
        <f t="shared" si="4"/>
        <v>#N/A</v>
      </c>
      <c r="H37" s="36" t="e">
        <f>_xlfn.XLOOKUP(F37,'Crop Quantity Pivot'!$A$4:$A$83,'Crop Quantity Pivot'!$C$4:$C$83,,)</f>
        <v>#N/A</v>
      </c>
      <c r="I37">
        <f>_xlfn.XLOOKUP(A37,'Crop Quantity Pivot'!$A$4:$A$83,'Crop Quantity Pivot'!$B$4:$B$83,,)</f>
        <v>0</v>
      </c>
      <c r="J37" s="35" t="e">
        <f t="shared" si="5"/>
        <v>#N/A</v>
      </c>
      <c r="K37" s="174" t="e">
        <f t="shared" si="6"/>
        <v>#N/A</v>
      </c>
      <c r="M37" t="s">
        <v>1793</v>
      </c>
      <c r="N37">
        <v>4.3499999999999996</v>
      </c>
      <c r="O37">
        <v>0.34</v>
      </c>
      <c r="P37">
        <v>12.794117647058821</v>
      </c>
      <c r="Q37">
        <v>204.00000000000003</v>
      </c>
      <c r="R37" s="173">
        <v>2.13235294117647E-2</v>
      </c>
    </row>
    <row r="38" spans="3:18">
      <c r="C38">
        <f>_xlfn.XLOOKUP(A38,'Crop Quantity Pivot'!$A$4:$A$83,'Crop Quantity Pivot'!$B$4:$B$83,,)</f>
        <v>0</v>
      </c>
      <c r="D38" s="35" t="e">
        <f t="shared" si="3"/>
        <v>#DIV/0!</v>
      </c>
      <c r="F38" t="s">
        <v>137</v>
      </c>
      <c r="G38" s="36" t="e">
        <f t="shared" si="4"/>
        <v>#N/A</v>
      </c>
      <c r="H38" s="36">
        <f>_xlfn.XLOOKUP(F38,'Crop Quantity Pivot'!$A$4:$A$83,'Crop Quantity Pivot'!$C$4:$C$83,,)</f>
        <v>756.25</v>
      </c>
      <c r="I38">
        <f>_xlfn.XLOOKUP(A38,'Crop Quantity Pivot'!$A$4:$A$83,'Crop Quantity Pivot'!$B$4:$B$83,,)</f>
        <v>0</v>
      </c>
      <c r="J38" s="35" t="e">
        <f t="shared" si="5"/>
        <v>#N/A</v>
      </c>
      <c r="K38" s="174" t="e">
        <f t="shared" si="6"/>
        <v>#N/A</v>
      </c>
      <c r="M38" t="s">
        <v>92</v>
      </c>
      <c r="N38">
        <v>268.10000000000002</v>
      </c>
      <c r="O38">
        <v>18</v>
      </c>
      <c r="P38">
        <v>14.894444444444446</v>
      </c>
      <c r="Q38">
        <v>13920</v>
      </c>
      <c r="R38" s="173">
        <v>1.9260057471264368E-2</v>
      </c>
    </row>
    <row r="39" spans="3:18">
      <c r="C39">
        <f>_xlfn.XLOOKUP(A39,'Crop Quantity Pivot'!$A$4:$A$83,'Crop Quantity Pivot'!$B$4:$B$83,,)</f>
        <v>0</v>
      </c>
      <c r="D39" s="35" t="e">
        <f t="shared" si="3"/>
        <v>#DIV/0!</v>
      </c>
      <c r="F39" t="s">
        <v>53</v>
      </c>
      <c r="G39" s="36">
        <f t="shared" si="4"/>
        <v>53.25</v>
      </c>
      <c r="H39" s="36">
        <f>_xlfn.XLOOKUP(F39,'Crop Quantity Pivot'!$A$4:$A$83,'Crop Quantity Pivot'!$C$4:$C$83,,)</f>
        <v>2931.4285714285711</v>
      </c>
      <c r="I39">
        <f>_xlfn.XLOOKUP(A39,'Crop Quantity Pivot'!$A$4:$A$83,'Crop Quantity Pivot'!$B$4:$B$83,,)</f>
        <v>0</v>
      </c>
      <c r="J39" s="35">
        <f t="shared" si="5"/>
        <v>10.65</v>
      </c>
      <c r="K39" s="174">
        <f t="shared" si="6"/>
        <v>1.8165204678362575E-2</v>
      </c>
      <c r="M39" t="s">
        <v>1715</v>
      </c>
      <c r="N39">
        <v>3.99</v>
      </c>
      <c r="O39">
        <v>0.4</v>
      </c>
      <c r="P39">
        <v>9.9749999999999996</v>
      </c>
      <c r="Q39">
        <v>211.20000000000002</v>
      </c>
      <c r="R39" s="173">
        <v>1.8892045454545453E-2</v>
      </c>
    </row>
    <row r="40" spans="3:18">
      <c r="C40">
        <f>_xlfn.XLOOKUP(A40,'Crop Quantity Pivot'!$A$4:$A$83,'Crop Quantity Pivot'!$B$4:$B$83,,)</f>
        <v>0</v>
      </c>
      <c r="D40" s="35" t="e">
        <f t="shared" si="3"/>
        <v>#DIV/0!</v>
      </c>
      <c r="F40" t="s">
        <v>114</v>
      </c>
      <c r="G40" s="36" t="e">
        <f t="shared" si="4"/>
        <v>#N/A</v>
      </c>
      <c r="H40" s="36">
        <f>_xlfn.XLOOKUP(F40,'Crop Quantity Pivot'!$A$4:$A$83,'Crop Quantity Pivot'!$C$4:$C$83,,)</f>
        <v>3120.5357142857142</v>
      </c>
      <c r="I40">
        <f>_xlfn.XLOOKUP(A40,'Crop Quantity Pivot'!$A$4:$A$83,'Crop Quantity Pivot'!$B$4:$B$83,,)</f>
        <v>0</v>
      </c>
      <c r="J40" s="35" t="e">
        <f t="shared" si="5"/>
        <v>#N/A</v>
      </c>
      <c r="K40" s="174" t="e">
        <f t="shared" si="6"/>
        <v>#N/A</v>
      </c>
      <c r="M40" t="s">
        <v>77</v>
      </c>
      <c r="N40">
        <v>39.36</v>
      </c>
      <c r="O40">
        <v>4</v>
      </c>
      <c r="P40">
        <v>9.84</v>
      </c>
      <c r="Q40">
        <v>2100</v>
      </c>
      <c r="R40" s="173">
        <v>1.8742857142857141E-2</v>
      </c>
    </row>
    <row r="41" spans="3:18">
      <c r="C41">
        <f>_xlfn.XLOOKUP(A41,'Crop Quantity Pivot'!$A$4:$A$83,'Crop Quantity Pivot'!$B$4:$B$83,,)</f>
        <v>0</v>
      </c>
      <c r="D41" s="35" t="e">
        <f t="shared" si="3"/>
        <v>#DIV/0!</v>
      </c>
      <c r="F41" t="s">
        <v>1793</v>
      </c>
      <c r="G41" s="36" t="e">
        <f t="shared" si="4"/>
        <v>#N/A</v>
      </c>
      <c r="H41" s="36">
        <f>_xlfn.XLOOKUP(F41,'Crop Quantity Pivot'!$A$4:$A$83,'Crop Quantity Pivot'!$C$4:$C$83,,)</f>
        <v>337.5</v>
      </c>
      <c r="I41">
        <f>_xlfn.XLOOKUP(A41,'Crop Quantity Pivot'!$A$4:$A$83,'Crop Quantity Pivot'!$B$4:$B$83,,)</f>
        <v>0</v>
      </c>
      <c r="J41" s="35" t="e">
        <f t="shared" si="5"/>
        <v>#N/A</v>
      </c>
      <c r="K41" s="174" t="e">
        <f t="shared" si="6"/>
        <v>#N/A</v>
      </c>
      <c r="M41" t="s">
        <v>96</v>
      </c>
      <c r="N41">
        <v>11.93</v>
      </c>
      <c r="O41">
        <v>0.7</v>
      </c>
      <c r="P41">
        <v>17.042857142857144</v>
      </c>
      <c r="Q41">
        <v>640</v>
      </c>
      <c r="R41" s="173">
        <v>1.8640625000000001E-2</v>
      </c>
    </row>
    <row r="42" spans="3:18">
      <c r="C42">
        <f>_xlfn.XLOOKUP(A42,'Crop Quantity Pivot'!$A$4:$A$83,'Crop Quantity Pivot'!$B$4:$B$83,,)</f>
        <v>0</v>
      </c>
      <c r="D42" s="35" t="e">
        <f t="shared" si="3"/>
        <v>#DIV/0!</v>
      </c>
      <c r="F42" t="s">
        <v>55</v>
      </c>
      <c r="G42" s="36" t="e">
        <f t="shared" si="4"/>
        <v>#N/A</v>
      </c>
      <c r="H42" s="36">
        <f>_xlfn.XLOOKUP(F42,'Crop Quantity Pivot'!$A$4:$A$83,'Crop Quantity Pivot'!$C$4:$C$83,,)</f>
        <v>4949.9999999999991</v>
      </c>
      <c r="I42">
        <f>_xlfn.XLOOKUP(A42,'Crop Quantity Pivot'!$A$4:$A$83,'Crop Quantity Pivot'!$B$4:$B$83,,)</f>
        <v>0</v>
      </c>
      <c r="J42" s="35" t="e">
        <f t="shared" si="5"/>
        <v>#N/A</v>
      </c>
      <c r="K42" s="174" t="e">
        <f t="shared" si="6"/>
        <v>#N/A</v>
      </c>
      <c r="M42" t="s">
        <v>1768</v>
      </c>
      <c r="N42">
        <v>4.3499999999999996</v>
      </c>
      <c r="O42">
        <v>0.25</v>
      </c>
      <c r="P42">
        <v>17.399999999999999</v>
      </c>
      <c r="Q42">
        <v>240</v>
      </c>
      <c r="R42" s="173">
        <v>1.8124999999999999E-2</v>
      </c>
    </row>
    <row r="43" spans="3:18">
      <c r="C43">
        <f>_xlfn.XLOOKUP(A43,'Crop Quantity Pivot'!$A$4:$A$83,'Crop Quantity Pivot'!$B$4:$B$83,,)</f>
        <v>0</v>
      </c>
      <c r="D43" s="35" t="e">
        <f t="shared" si="3"/>
        <v>#DIV/0!</v>
      </c>
      <c r="F43" t="s">
        <v>70</v>
      </c>
      <c r="G43" s="36" t="e">
        <f t="shared" si="4"/>
        <v>#N/A</v>
      </c>
      <c r="H43" s="36">
        <f>_xlfn.XLOOKUP(F43,'Crop Quantity Pivot'!$A$4:$A$83,'Crop Quantity Pivot'!$C$4:$C$83,,)</f>
        <v>4481.4285714285706</v>
      </c>
      <c r="I43">
        <f>_xlfn.XLOOKUP(A43,'Crop Quantity Pivot'!$A$4:$A$83,'Crop Quantity Pivot'!$B$4:$B$83,,)</f>
        <v>0</v>
      </c>
      <c r="J43" s="35" t="e">
        <f t="shared" si="5"/>
        <v>#N/A</v>
      </c>
      <c r="K43" s="174" t="e">
        <f t="shared" si="6"/>
        <v>#N/A</v>
      </c>
      <c r="M43" t="s">
        <v>120</v>
      </c>
      <c r="N43">
        <v>37.6</v>
      </c>
      <c r="O43">
        <v>3</v>
      </c>
      <c r="P43">
        <v>12.533333333333333</v>
      </c>
      <c r="Q43">
        <v>2090.625</v>
      </c>
      <c r="R43" s="173">
        <v>1.7985052316890883E-2</v>
      </c>
    </row>
    <row r="44" spans="3:18">
      <c r="C44">
        <f>_xlfn.XLOOKUP(A44,'Crop Quantity Pivot'!$A$4:$A$83,'Crop Quantity Pivot'!$B$4:$B$83,,)</f>
        <v>0</v>
      </c>
      <c r="D44" s="35" t="e">
        <f t="shared" si="3"/>
        <v>#DIV/0!</v>
      </c>
      <c r="F44" t="s">
        <v>44</v>
      </c>
      <c r="G44" s="36" t="e">
        <f t="shared" si="4"/>
        <v>#N/A</v>
      </c>
      <c r="H44" s="36">
        <f>_xlfn.XLOOKUP(F44,'Crop Quantity Pivot'!$A$4:$A$83,'Crop Quantity Pivot'!$C$4:$C$83,,)</f>
        <v>3120</v>
      </c>
      <c r="I44">
        <f>_xlfn.XLOOKUP(A44,'Crop Quantity Pivot'!$A$4:$A$83,'Crop Quantity Pivot'!$B$4:$B$83,,)</f>
        <v>0</v>
      </c>
      <c r="J44" s="35" t="e">
        <f t="shared" si="5"/>
        <v>#N/A</v>
      </c>
      <c r="K44" s="174" t="e">
        <f t="shared" si="6"/>
        <v>#N/A</v>
      </c>
      <c r="M44" t="s">
        <v>1777</v>
      </c>
      <c r="N44">
        <v>12.2</v>
      </c>
      <c r="O44">
        <v>0.4</v>
      </c>
      <c r="P44">
        <v>30.499999999999996</v>
      </c>
      <c r="Q44">
        <v>720</v>
      </c>
      <c r="R44" s="173">
        <v>1.6944444444444443E-2</v>
      </c>
    </row>
    <row r="45" spans="3:18">
      <c r="C45">
        <f>_xlfn.XLOOKUP(A45,'Crop Quantity Pivot'!$A$4:$A$83,'Crop Quantity Pivot'!$B$4:$B$83,,)</f>
        <v>0</v>
      </c>
      <c r="D45" s="35" t="e">
        <f t="shared" si="3"/>
        <v>#DIV/0!</v>
      </c>
      <c r="F45" t="s">
        <v>135</v>
      </c>
      <c r="G45" s="36" t="e">
        <f t="shared" si="4"/>
        <v>#N/A</v>
      </c>
      <c r="H45" s="36">
        <f>_xlfn.XLOOKUP(F45,'Crop Quantity Pivot'!$A$4:$A$83,'Crop Quantity Pivot'!$C$4:$C$83,,)</f>
        <v>1599.9999999999998</v>
      </c>
      <c r="I45">
        <f>_xlfn.XLOOKUP(A45,'Crop Quantity Pivot'!$A$4:$A$83,'Crop Quantity Pivot'!$B$4:$B$83,,)</f>
        <v>0</v>
      </c>
      <c r="J45" s="35" t="e">
        <f t="shared" si="5"/>
        <v>#N/A</v>
      </c>
      <c r="K45" s="174" t="e">
        <f t="shared" si="6"/>
        <v>#N/A</v>
      </c>
      <c r="M45" t="s">
        <v>97</v>
      </c>
      <c r="N45">
        <v>43.8</v>
      </c>
      <c r="O45">
        <v>1</v>
      </c>
      <c r="P45">
        <v>43.8</v>
      </c>
      <c r="Q45">
        <v>2616.6666666666665</v>
      </c>
      <c r="R45" s="173">
        <v>1.6738853503184714E-2</v>
      </c>
    </row>
    <row r="46" spans="3:18">
      <c r="C46">
        <f>_xlfn.XLOOKUP(A46,'Crop Quantity Pivot'!$A$4:$A$83,'Crop Quantity Pivot'!$B$4:$B$83,,)</f>
        <v>0</v>
      </c>
      <c r="D46" s="35" t="e">
        <f t="shared" si="3"/>
        <v>#DIV/0!</v>
      </c>
      <c r="F46" t="s">
        <v>121</v>
      </c>
      <c r="G46" s="36" t="e">
        <f t="shared" si="4"/>
        <v>#N/A</v>
      </c>
      <c r="H46" s="36" t="e">
        <f>_xlfn.XLOOKUP(F46,'Crop Quantity Pivot'!$A$4:$A$83,'Crop Quantity Pivot'!$C$4:$C$83,,)</f>
        <v>#N/A</v>
      </c>
      <c r="I46">
        <f>_xlfn.XLOOKUP(A46,'Crop Quantity Pivot'!$A$4:$A$83,'Crop Quantity Pivot'!$B$4:$B$83,,)</f>
        <v>0</v>
      </c>
      <c r="J46" s="35" t="e">
        <f t="shared" si="5"/>
        <v>#N/A</v>
      </c>
      <c r="K46" s="174" t="e">
        <f t="shared" si="6"/>
        <v>#N/A</v>
      </c>
      <c r="M46" t="s">
        <v>1517</v>
      </c>
      <c r="N46">
        <v>27.349999999999998</v>
      </c>
      <c r="O46">
        <v>3</v>
      </c>
      <c r="P46">
        <v>9.1166666666666654</v>
      </c>
      <c r="Q46">
        <v>1687.5</v>
      </c>
      <c r="R46" s="173">
        <v>1.6207407407407406E-2</v>
      </c>
    </row>
    <row r="47" spans="3:18">
      <c r="C47">
        <f>_xlfn.XLOOKUP(A47,'Crop Quantity Pivot'!$A$4:$A$83,'Crop Quantity Pivot'!$B$4:$B$83,,)</f>
        <v>0</v>
      </c>
      <c r="D47" s="35" t="e">
        <f t="shared" si="3"/>
        <v>#DIV/0!</v>
      </c>
      <c r="F47" t="s">
        <v>118</v>
      </c>
      <c r="G47" s="36" t="e">
        <f t="shared" si="4"/>
        <v>#N/A</v>
      </c>
      <c r="H47" s="36" t="e">
        <f>_xlfn.XLOOKUP(F47,'Crop Quantity Pivot'!$A$4:$A$83,'Crop Quantity Pivot'!$C$4:$C$83,,)</f>
        <v>#N/A</v>
      </c>
      <c r="I47">
        <f>_xlfn.XLOOKUP(A47,'Crop Quantity Pivot'!$A$4:$A$83,'Crop Quantity Pivot'!$B$4:$B$83,,)</f>
        <v>0</v>
      </c>
      <c r="J47" s="35" t="e">
        <f t="shared" si="5"/>
        <v>#N/A</v>
      </c>
      <c r="K47" s="174" t="e">
        <f t="shared" si="6"/>
        <v>#N/A</v>
      </c>
      <c r="M47" t="s">
        <v>66</v>
      </c>
      <c r="N47">
        <v>17.7</v>
      </c>
      <c r="O47">
        <v>2</v>
      </c>
      <c r="P47">
        <v>8.85</v>
      </c>
      <c r="Q47">
        <v>1140</v>
      </c>
      <c r="R47" s="173">
        <v>1.5526315789473683E-2</v>
      </c>
    </row>
    <row r="48" spans="3:18">
      <c r="C48">
        <f>_xlfn.XLOOKUP(A48,'Crop Quantity Pivot'!$A$4:$A$83,'Crop Quantity Pivot'!$B$4:$B$83,,)</f>
        <v>0</v>
      </c>
      <c r="D48" s="35" t="e">
        <f t="shared" si="3"/>
        <v>#DIV/0!</v>
      </c>
      <c r="F48" t="s">
        <v>45</v>
      </c>
      <c r="G48" s="36" t="e">
        <f t="shared" si="4"/>
        <v>#N/A</v>
      </c>
      <c r="H48" s="36" t="e">
        <f>_xlfn.XLOOKUP(F48,'Crop Quantity Pivot'!$A$4:$A$83,'Crop Quantity Pivot'!$C$4:$C$83,,)</f>
        <v>#N/A</v>
      </c>
      <c r="I48">
        <f>_xlfn.XLOOKUP(A48,'Crop Quantity Pivot'!$A$4:$A$83,'Crop Quantity Pivot'!$B$4:$B$83,,)</f>
        <v>0</v>
      </c>
      <c r="J48" s="35" t="e">
        <f t="shared" si="5"/>
        <v>#N/A</v>
      </c>
      <c r="K48" s="174" t="e">
        <f t="shared" si="6"/>
        <v>#N/A</v>
      </c>
      <c r="M48" t="s">
        <v>1771</v>
      </c>
      <c r="N48">
        <v>5.75</v>
      </c>
      <c r="O48">
        <v>0.25</v>
      </c>
      <c r="P48">
        <v>23</v>
      </c>
      <c r="Q48">
        <v>375</v>
      </c>
      <c r="R48" s="173">
        <v>1.5333333333333332E-2</v>
      </c>
    </row>
    <row r="49" spans="3:18">
      <c r="C49">
        <f>_xlfn.XLOOKUP(A49,'Crop Quantity Pivot'!$A$4:$A$83,'Crop Quantity Pivot'!$B$4:$B$83,,)</f>
        <v>0</v>
      </c>
      <c r="D49" s="35" t="e">
        <f t="shared" si="3"/>
        <v>#DIV/0!</v>
      </c>
      <c r="F49" t="s">
        <v>77</v>
      </c>
      <c r="G49" s="36" t="e">
        <f t="shared" si="4"/>
        <v>#N/A</v>
      </c>
      <c r="H49" s="36" t="e">
        <f>_xlfn.XLOOKUP(F49,'Crop Quantity Pivot'!$A$4:$A$83,'Crop Quantity Pivot'!$C$4:$C$83,,)</f>
        <v>#N/A</v>
      </c>
      <c r="I49">
        <f>_xlfn.XLOOKUP(A49,'Crop Quantity Pivot'!$A$4:$A$83,'Crop Quantity Pivot'!$B$4:$B$83,,)</f>
        <v>0</v>
      </c>
      <c r="J49" s="35" t="e">
        <f t="shared" si="5"/>
        <v>#N/A</v>
      </c>
      <c r="K49" s="174" t="e">
        <f t="shared" si="6"/>
        <v>#N/A</v>
      </c>
      <c r="M49" t="s">
        <v>1695</v>
      </c>
      <c r="N49">
        <v>16.600000000000001</v>
      </c>
      <c r="O49">
        <v>1</v>
      </c>
      <c r="P49">
        <v>16.600000000000001</v>
      </c>
      <c r="Q49">
        <v>1125</v>
      </c>
      <c r="R49" s="173">
        <v>1.4755555555555556E-2</v>
      </c>
    </row>
    <row r="50" spans="3:18">
      <c r="C50">
        <f>_xlfn.XLOOKUP(A50,'Crop Quantity Pivot'!$A$4:$A$83,'Crop Quantity Pivot'!$B$4:$B$83,,)</f>
        <v>0</v>
      </c>
      <c r="D50" s="35" t="e">
        <f t="shared" si="3"/>
        <v>#DIV/0!</v>
      </c>
      <c r="F50" t="s">
        <v>107</v>
      </c>
      <c r="G50" s="36" t="e">
        <f t="shared" si="4"/>
        <v>#N/A</v>
      </c>
      <c r="H50" s="36" t="e">
        <f>_xlfn.XLOOKUP(F50,'Crop Quantity Pivot'!$A$4:$A$83,'Crop Quantity Pivot'!$C$4:$C$83,,)</f>
        <v>#N/A</v>
      </c>
      <c r="I50">
        <f>_xlfn.XLOOKUP(A50,'Crop Quantity Pivot'!$A$4:$A$83,'Crop Quantity Pivot'!$B$4:$B$83,,)</f>
        <v>0</v>
      </c>
      <c r="J50" s="35" t="e">
        <f t="shared" si="5"/>
        <v>#N/A</v>
      </c>
      <c r="K50" s="174" t="e">
        <f t="shared" si="6"/>
        <v>#N/A</v>
      </c>
      <c r="M50" t="s">
        <v>117</v>
      </c>
      <c r="N50">
        <v>3.95</v>
      </c>
      <c r="O50">
        <v>0.8</v>
      </c>
      <c r="P50">
        <v>4.9375</v>
      </c>
      <c r="Q50">
        <v>285.59999999999991</v>
      </c>
      <c r="R50" s="173">
        <v>1.3830532212885159E-2</v>
      </c>
    </row>
    <row r="51" spans="3:18">
      <c r="C51">
        <f>_xlfn.XLOOKUP(A51,'Crop Quantity Pivot'!$A$4:$A$83,'Crop Quantity Pivot'!$B$4:$B$83,,)</f>
        <v>0</v>
      </c>
      <c r="D51" s="35" t="e">
        <f t="shared" si="3"/>
        <v>#DIV/0!</v>
      </c>
      <c r="F51" t="s">
        <v>92</v>
      </c>
      <c r="G51" s="36" t="e">
        <f t="shared" si="4"/>
        <v>#N/A</v>
      </c>
      <c r="H51" s="36">
        <f>_xlfn.XLOOKUP(F51,'Crop Quantity Pivot'!$A$4:$A$83,'Crop Quantity Pivot'!$C$4:$C$83,,)</f>
        <v>17446.666666666664</v>
      </c>
      <c r="I51">
        <f>_xlfn.XLOOKUP(A51,'Crop Quantity Pivot'!$A$4:$A$83,'Crop Quantity Pivot'!$B$4:$B$83,,)</f>
        <v>0</v>
      </c>
      <c r="J51" s="35" t="e">
        <f t="shared" si="5"/>
        <v>#N/A</v>
      </c>
      <c r="K51" s="174" t="e">
        <f t="shared" si="6"/>
        <v>#N/A</v>
      </c>
      <c r="M51" t="s">
        <v>1769</v>
      </c>
      <c r="N51">
        <v>8</v>
      </c>
      <c r="O51">
        <v>0.5</v>
      </c>
      <c r="P51">
        <v>16</v>
      </c>
      <c r="Q51">
        <v>600</v>
      </c>
      <c r="R51" s="173">
        <v>1.3333333333333334E-2</v>
      </c>
    </row>
    <row r="52" spans="3:18">
      <c r="C52">
        <f>_xlfn.XLOOKUP(A52,'Crop Quantity Pivot'!$A$4:$A$83,'Crop Quantity Pivot'!$B$4:$B$83,,)</f>
        <v>0</v>
      </c>
      <c r="D52" s="35" t="e">
        <f t="shared" si="3"/>
        <v>#DIV/0!</v>
      </c>
      <c r="F52" t="s">
        <v>1517</v>
      </c>
      <c r="G52" s="36" t="e">
        <f t="shared" si="4"/>
        <v>#N/A</v>
      </c>
      <c r="H52" s="36">
        <f>_xlfn.XLOOKUP(F52,'Crop Quantity Pivot'!$A$4:$A$83,'Crop Quantity Pivot'!$C$4:$C$83,,)</f>
        <v>1103.3333333333333</v>
      </c>
      <c r="I52">
        <f>_xlfn.XLOOKUP(A52,'Crop Quantity Pivot'!$A$4:$A$83,'Crop Quantity Pivot'!$B$4:$B$83,,)</f>
        <v>0</v>
      </c>
      <c r="J52" s="35" t="e">
        <f t="shared" si="5"/>
        <v>#N/A</v>
      </c>
      <c r="K52" s="174" t="e">
        <f t="shared" si="6"/>
        <v>#N/A</v>
      </c>
      <c r="M52" t="s">
        <v>54</v>
      </c>
      <c r="N52">
        <v>29.25</v>
      </c>
      <c r="O52">
        <v>6</v>
      </c>
      <c r="P52">
        <v>4.875</v>
      </c>
      <c r="Q52">
        <v>2400</v>
      </c>
      <c r="R52" s="173">
        <v>1.21875E-2</v>
      </c>
    </row>
    <row r="53" spans="3:18">
      <c r="C53">
        <f>_xlfn.XLOOKUP(A53,'Crop Quantity Pivot'!$A$4:$A$83,'Crop Quantity Pivot'!$B$4:$B$83,,)</f>
        <v>0</v>
      </c>
      <c r="D53" s="35" t="e">
        <f t="shared" si="3"/>
        <v>#DIV/0!</v>
      </c>
      <c r="F53" t="s">
        <v>1765</v>
      </c>
      <c r="G53" s="36" t="e">
        <f t="shared" si="4"/>
        <v>#N/A</v>
      </c>
      <c r="H53" s="36" t="e">
        <f>_xlfn.XLOOKUP(F53,'Crop Quantity Pivot'!$A$4:$A$83,'Crop Quantity Pivot'!$C$4:$C$83,,)</f>
        <v>#N/A</v>
      </c>
      <c r="I53">
        <f>_xlfn.XLOOKUP(A53,'Crop Quantity Pivot'!$A$4:$A$83,'Crop Quantity Pivot'!$B$4:$B$83,,)</f>
        <v>0</v>
      </c>
      <c r="J53" s="35" t="e">
        <f t="shared" si="5"/>
        <v>#N/A</v>
      </c>
      <c r="K53" s="174" t="e">
        <f t="shared" si="6"/>
        <v>#N/A</v>
      </c>
      <c r="M53" t="s">
        <v>46</v>
      </c>
      <c r="N53">
        <v>32.15</v>
      </c>
      <c r="O53">
        <v>9</v>
      </c>
      <c r="P53">
        <v>3.572222222222222</v>
      </c>
      <c r="Q53">
        <v>2925</v>
      </c>
      <c r="R53" s="173">
        <v>1.0991452991452991E-2</v>
      </c>
    </row>
    <row r="54" spans="3:18">
      <c r="C54">
        <f>_xlfn.XLOOKUP(A54,'Crop Quantity Pivot'!$A$4:$A$83,'Crop Quantity Pivot'!$B$4:$B$83,,)</f>
        <v>0</v>
      </c>
      <c r="D54" s="35" t="e">
        <f t="shared" si="3"/>
        <v>#DIV/0!</v>
      </c>
      <c r="F54" t="s">
        <v>75</v>
      </c>
      <c r="G54" s="36" t="e">
        <f t="shared" si="4"/>
        <v>#N/A</v>
      </c>
      <c r="H54" s="36">
        <f>_xlfn.XLOOKUP(F54,'Crop Quantity Pivot'!$A$4:$A$83,'Crop Quantity Pivot'!$C$4:$C$83,,)</f>
        <v>2240</v>
      </c>
      <c r="I54">
        <f>_xlfn.XLOOKUP(A54,'Crop Quantity Pivot'!$A$4:$A$83,'Crop Quantity Pivot'!$B$4:$B$83,,)</f>
        <v>0</v>
      </c>
      <c r="J54" s="35" t="e">
        <f t="shared" si="5"/>
        <v>#N/A</v>
      </c>
      <c r="K54" s="174" t="e">
        <f t="shared" si="6"/>
        <v>#N/A</v>
      </c>
      <c r="M54" t="s">
        <v>48</v>
      </c>
      <c r="N54">
        <v>7.35</v>
      </c>
      <c r="O54">
        <v>0.4</v>
      </c>
      <c r="P54">
        <v>18.374999999999996</v>
      </c>
      <c r="Q54">
        <v>672</v>
      </c>
      <c r="R54" s="173">
        <v>1.0937499999999999E-2</v>
      </c>
    </row>
    <row r="55" spans="3:18">
      <c r="C55">
        <f>_xlfn.XLOOKUP(A55,'Crop Quantity Pivot'!$A$4:$A$83,'Crop Quantity Pivot'!$B$4:$B$83,,)</f>
        <v>0</v>
      </c>
      <c r="D55" s="35" t="e">
        <f t="shared" si="3"/>
        <v>#DIV/0!</v>
      </c>
      <c r="F55" t="s">
        <v>43</v>
      </c>
      <c r="G55" s="36" t="e">
        <f t="shared" si="4"/>
        <v>#N/A</v>
      </c>
      <c r="H55" s="36">
        <f>_xlfn.XLOOKUP(F55,'Crop Quantity Pivot'!$A$4:$A$83,'Crop Quantity Pivot'!$C$4:$C$83,,)</f>
        <v>826.25</v>
      </c>
      <c r="I55">
        <f>_xlfn.XLOOKUP(A55,'Crop Quantity Pivot'!$A$4:$A$83,'Crop Quantity Pivot'!$B$4:$B$83,,)</f>
        <v>0</v>
      </c>
      <c r="J55" s="35" t="e">
        <f t="shared" si="5"/>
        <v>#N/A</v>
      </c>
      <c r="K55" s="174" t="e">
        <f t="shared" si="6"/>
        <v>#N/A</v>
      </c>
      <c r="M55" t="s">
        <v>67</v>
      </c>
      <c r="N55">
        <v>16.350000000000001</v>
      </c>
      <c r="O55">
        <v>0.5</v>
      </c>
      <c r="P55">
        <v>32.700000000000003</v>
      </c>
      <c r="Q55">
        <v>1500</v>
      </c>
      <c r="R55" s="173">
        <v>1.0900000000000002E-2</v>
      </c>
    </row>
    <row r="56" spans="3:18">
      <c r="C56">
        <f>_xlfn.XLOOKUP(A56,'Crop Quantity Pivot'!$A$4:$A$83,'Crop Quantity Pivot'!$B$4:$B$83,,)</f>
        <v>0</v>
      </c>
      <c r="D56" s="35" t="e">
        <f t="shared" si="3"/>
        <v>#DIV/0!</v>
      </c>
      <c r="F56" t="s">
        <v>356</v>
      </c>
      <c r="G56" s="36" t="e">
        <f t="shared" si="4"/>
        <v>#N/A</v>
      </c>
      <c r="H56" s="36">
        <f>_xlfn.XLOOKUP(F56,'Crop Quantity Pivot'!$A$4:$A$83,'Crop Quantity Pivot'!$C$4:$C$83,,)</f>
        <v>1440</v>
      </c>
      <c r="I56">
        <f>_xlfn.XLOOKUP(A56,'Crop Quantity Pivot'!$A$4:$A$83,'Crop Quantity Pivot'!$B$4:$B$83,,)</f>
        <v>0</v>
      </c>
      <c r="J56" s="35" t="e">
        <f t="shared" si="5"/>
        <v>#N/A</v>
      </c>
      <c r="K56" s="174" t="e">
        <f t="shared" si="6"/>
        <v>#N/A</v>
      </c>
      <c r="M56" t="s">
        <v>1763</v>
      </c>
      <c r="N56">
        <v>8.5500000000000007</v>
      </c>
      <c r="O56">
        <v>0.5</v>
      </c>
      <c r="P56">
        <v>17.100000000000001</v>
      </c>
      <c r="Q56">
        <v>810</v>
      </c>
      <c r="R56" s="173">
        <v>1.0555555555555556E-2</v>
      </c>
    </row>
    <row r="57" spans="3:18">
      <c r="C57">
        <f>_xlfn.XLOOKUP(A57,'Crop Quantity Pivot'!$A$4:$A$83,'Crop Quantity Pivot'!$B$4:$B$83,,)</f>
        <v>0</v>
      </c>
      <c r="D57" s="35" t="e">
        <f t="shared" si="3"/>
        <v>#DIV/0!</v>
      </c>
      <c r="F57" t="s">
        <v>108</v>
      </c>
      <c r="G57" s="36" t="e">
        <f t="shared" si="4"/>
        <v>#N/A</v>
      </c>
      <c r="H57" s="36">
        <f>_xlfn.XLOOKUP(F57,'Crop Quantity Pivot'!$A$4:$A$83,'Crop Quantity Pivot'!$C$4:$C$83,,)</f>
        <v>2250</v>
      </c>
      <c r="I57">
        <f>_xlfn.XLOOKUP(A57,'Crop Quantity Pivot'!$A$4:$A$83,'Crop Quantity Pivot'!$B$4:$B$83,,)</f>
        <v>0</v>
      </c>
      <c r="J57" s="35" t="e">
        <f t="shared" si="5"/>
        <v>#N/A</v>
      </c>
      <c r="K57" s="174" t="e">
        <f t="shared" si="6"/>
        <v>#N/A</v>
      </c>
      <c r="M57" t="s">
        <v>122</v>
      </c>
      <c r="N57">
        <v>10.1</v>
      </c>
      <c r="O57">
        <v>0.4</v>
      </c>
      <c r="P57">
        <v>25.249999999999996</v>
      </c>
      <c r="Q57">
        <v>960</v>
      </c>
      <c r="R57" s="173">
        <v>1.0520833333333333E-2</v>
      </c>
    </row>
    <row r="58" spans="3:18">
      <c r="C58">
        <f>_xlfn.XLOOKUP(A58,'Crop Quantity Pivot'!$A$4:$A$83,'Crop Quantity Pivot'!$B$4:$B$83,,)</f>
        <v>0</v>
      </c>
      <c r="D58" s="35" t="e">
        <f t="shared" si="3"/>
        <v>#DIV/0!</v>
      </c>
      <c r="F58" t="s">
        <v>123</v>
      </c>
      <c r="G58" s="36" t="e">
        <f t="shared" si="4"/>
        <v>#N/A</v>
      </c>
      <c r="H58" s="36" t="e">
        <f>_xlfn.XLOOKUP(F58,'Crop Quantity Pivot'!$A$4:$A$83,'Crop Quantity Pivot'!$C$4:$C$83,,)</f>
        <v>#N/A</v>
      </c>
      <c r="I58">
        <f>_xlfn.XLOOKUP(A58,'Crop Quantity Pivot'!$A$4:$A$83,'Crop Quantity Pivot'!$B$4:$B$83,,)</f>
        <v>0</v>
      </c>
      <c r="J58" s="35" t="e">
        <f t="shared" si="5"/>
        <v>#N/A</v>
      </c>
      <c r="K58" s="174" t="e">
        <f t="shared" si="6"/>
        <v>#N/A</v>
      </c>
      <c r="M58" t="s">
        <v>76</v>
      </c>
      <c r="N58">
        <v>4.3499999999999996</v>
      </c>
      <c r="O58">
        <v>0.5</v>
      </c>
      <c r="P58">
        <v>8.6999999999999993</v>
      </c>
      <c r="Q58">
        <v>427.5</v>
      </c>
      <c r="R58" s="173">
        <v>1.0175438596491226E-2</v>
      </c>
    </row>
    <row r="59" spans="3:18">
      <c r="C59">
        <f>_xlfn.XLOOKUP(A59,'Crop Quantity Pivot'!$A$4:$A$83,'Crop Quantity Pivot'!$B$4:$B$83,,)</f>
        <v>0</v>
      </c>
      <c r="D59" s="35" t="e">
        <f t="shared" si="3"/>
        <v>#DIV/0!</v>
      </c>
      <c r="F59" t="s">
        <v>88</v>
      </c>
      <c r="G59" s="36" t="e">
        <f t="shared" si="4"/>
        <v>#N/A</v>
      </c>
      <c r="H59" s="36">
        <f>_xlfn.XLOOKUP(F59,'Crop Quantity Pivot'!$A$4:$A$83,'Crop Quantity Pivot'!$C$4:$C$83,,)</f>
        <v>1599.9999999999998</v>
      </c>
      <c r="I59">
        <f>_xlfn.XLOOKUP(A59,'Crop Quantity Pivot'!$A$4:$A$83,'Crop Quantity Pivot'!$B$4:$B$83,,)</f>
        <v>0</v>
      </c>
      <c r="J59" s="35" t="e">
        <f t="shared" si="5"/>
        <v>#N/A</v>
      </c>
      <c r="K59" s="174" t="e">
        <f t="shared" si="6"/>
        <v>#N/A</v>
      </c>
      <c r="M59" t="s">
        <v>108</v>
      </c>
      <c r="N59">
        <v>18.2</v>
      </c>
      <c r="O59">
        <v>1.3</v>
      </c>
      <c r="P59">
        <v>13.999999999999998</v>
      </c>
      <c r="Q59">
        <v>2025</v>
      </c>
      <c r="R59" s="173">
        <v>8.9876543209876543E-3</v>
      </c>
    </row>
    <row r="60" spans="3:18">
      <c r="C60">
        <f>_xlfn.XLOOKUP(A60,'Crop Quantity Pivot'!$A$4:$A$83,'Crop Quantity Pivot'!$B$4:$B$83,,)</f>
        <v>0</v>
      </c>
      <c r="D60" s="35" t="e">
        <f t="shared" si="3"/>
        <v>#DIV/0!</v>
      </c>
      <c r="F60" t="s">
        <v>54</v>
      </c>
      <c r="G60" s="36" t="e">
        <f t="shared" si="4"/>
        <v>#N/A</v>
      </c>
      <c r="H60" s="36">
        <f>_xlfn.XLOOKUP(F60,'Crop Quantity Pivot'!$A$4:$A$83,'Crop Quantity Pivot'!$C$4:$C$83,,)</f>
        <v>1028.5714285714284</v>
      </c>
      <c r="I60">
        <f>_xlfn.XLOOKUP(A60,'Crop Quantity Pivot'!$A$4:$A$83,'Crop Quantity Pivot'!$B$4:$B$83,,)</f>
        <v>0</v>
      </c>
      <c r="J60" s="35" t="e">
        <f t="shared" si="5"/>
        <v>#N/A</v>
      </c>
      <c r="K60" s="174" t="e">
        <f t="shared" si="6"/>
        <v>#N/A</v>
      </c>
      <c r="M60" t="s">
        <v>70</v>
      </c>
      <c r="N60">
        <v>23.55</v>
      </c>
      <c r="O60">
        <v>1.8</v>
      </c>
      <c r="P60">
        <v>13.083333333333334</v>
      </c>
      <c r="Q60">
        <v>2794.2857142857138</v>
      </c>
      <c r="R60" s="173">
        <v>8.4279141104294502E-3</v>
      </c>
    </row>
    <row r="61" spans="3:18">
      <c r="C61">
        <f>_xlfn.XLOOKUP(A61,'Crop Quantity Pivot'!$A$4:$A$83,'Crop Quantity Pivot'!$B$4:$B$83,,)</f>
        <v>0</v>
      </c>
      <c r="D61" s="35" t="e">
        <f t="shared" si="3"/>
        <v>#DIV/0!</v>
      </c>
      <c r="F61" t="s">
        <v>119</v>
      </c>
      <c r="G61" s="36" t="e">
        <f t="shared" si="4"/>
        <v>#N/A</v>
      </c>
      <c r="H61" s="36">
        <f>_xlfn.XLOOKUP(F61,'Crop Quantity Pivot'!$A$4:$A$83,'Crop Quantity Pivot'!$C$4:$C$83,,)</f>
        <v>875</v>
      </c>
      <c r="I61">
        <f>_xlfn.XLOOKUP(A61,'Crop Quantity Pivot'!$A$4:$A$83,'Crop Quantity Pivot'!$B$4:$B$83,,)</f>
        <v>0</v>
      </c>
      <c r="J61" s="35" t="e">
        <f t="shared" si="5"/>
        <v>#N/A</v>
      </c>
      <c r="K61" s="174" t="e">
        <f t="shared" si="6"/>
        <v>#N/A</v>
      </c>
      <c r="M61" t="s">
        <v>121</v>
      </c>
      <c r="N61">
        <v>36.700000000000003</v>
      </c>
      <c r="O61">
        <v>2</v>
      </c>
      <c r="P61">
        <v>18.350000000000001</v>
      </c>
      <c r="Q61">
        <v>4800</v>
      </c>
      <c r="R61" s="173">
        <v>7.6458333333333343E-3</v>
      </c>
    </row>
    <row r="62" spans="3:18">
      <c r="C62">
        <f>_xlfn.XLOOKUP(A62,'Crop Quantity Pivot'!$A$4:$A$83,'Crop Quantity Pivot'!$B$4:$B$83,,)</f>
        <v>0</v>
      </c>
      <c r="D62" s="35" t="e">
        <f t="shared" si="3"/>
        <v>#DIV/0!</v>
      </c>
      <c r="F62" t="s">
        <v>131</v>
      </c>
      <c r="G62" s="36" t="e">
        <f t="shared" si="4"/>
        <v>#N/A</v>
      </c>
      <c r="H62" s="36">
        <f>_xlfn.XLOOKUP(F62,'Crop Quantity Pivot'!$A$4:$A$83,'Crop Quantity Pivot'!$C$4:$C$83,,)</f>
        <v>1049.9999999999998</v>
      </c>
      <c r="I62">
        <f>_xlfn.XLOOKUP(A62,'Crop Quantity Pivot'!$A$4:$A$83,'Crop Quantity Pivot'!$B$4:$B$83,,)</f>
        <v>0</v>
      </c>
      <c r="J62" s="35" t="e">
        <f t="shared" si="5"/>
        <v>#N/A</v>
      </c>
      <c r="K62" s="174" t="e">
        <f t="shared" si="6"/>
        <v>#N/A</v>
      </c>
      <c r="M62" t="s">
        <v>356</v>
      </c>
      <c r="N62">
        <v>48</v>
      </c>
      <c r="O62">
        <v>6.4</v>
      </c>
      <c r="P62">
        <v>7.5</v>
      </c>
      <c r="Q62">
        <v>6400</v>
      </c>
      <c r="R62" s="173">
        <v>7.4999999999999997E-3</v>
      </c>
    </row>
    <row r="63" spans="3:18">
      <c r="C63">
        <f>_xlfn.XLOOKUP(A63,'Crop Quantity Pivot'!$A$4:$A$83,'Crop Quantity Pivot'!$B$4:$B$83,,)</f>
        <v>0</v>
      </c>
      <c r="D63" s="35" t="e">
        <f t="shared" si="3"/>
        <v>#DIV/0!</v>
      </c>
      <c r="F63" t="s">
        <v>140</v>
      </c>
      <c r="G63" s="36" t="e">
        <f t="shared" si="4"/>
        <v>#N/A</v>
      </c>
      <c r="H63" s="36" t="e">
        <f>_xlfn.XLOOKUP(F63,'Crop Quantity Pivot'!$A$4:$A$83,'Crop Quantity Pivot'!$C$4:$C$83,,)</f>
        <v>#N/A</v>
      </c>
      <c r="I63">
        <f>_xlfn.XLOOKUP(A63,'Crop Quantity Pivot'!$A$4:$A$83,'Crop Quantity Pivot'!$B$4:$B$83,,)</f>
        <v>0</v>
      </c>
      <c r="J63" s="35" t="e">
        <f t="shared" si="5"/>
        <v>#N/A</v>
      </c>
      <c r="K63" s="174" t="e">
        <f t="shared" si="6"/>
        <v>#N/A</v>
      </c>
      <c r="M63" t="s">
        <v>1765</v>
      </c>
      <c r="N63">
        <v>4.3499999999999996</v>
      </c>
      <c r="O63">
        <v>0.5</v>
      </c>
      <c r="P63">
        <v>8.6999999999999993</v>
      </c>
      <c r="Q63">
        <v>640</v>
      </c>
      <c r="R63" s="173">
        <v>6.7968749999999991E-3</v>
      </c>
    </row>
    <row r="64" spans="3:18">
      <c r="C64">
        <f>_xlfn.XLOOKUP(A64,'Crop Quantity Pivot'!$A$4:$A$83,'Crop Quantity Pivot'!$B$4:$B$83,,)</f>
        <v>0</v>
      </c>
      <c r="D64" s="35" t="e">
        <f t="shared" si="3"/>
        <v>#DIV/0!</v>
      </c>
      <c r="F64" t="s">
        <v>46</v>
      </c>
      <c r="G64" s="36">
        <f t="shared" si="4"/>
        <v>39.15</v>
      </c>
      <c r="H64" s="36">
        <f>_xlfn.XLOOKUP(F64,'Crop Quantity Pivot'!$A$4:$A$83,'Crop Quantity Pivot'!$C$4:$C$83,,)</f>
        <v>1600</v>
      </c>
      <c r="I64">
        <f>_xlfn.XLOOKUP(A64,'Crop Quantity Pivot'!$A$4:$A$83,'Crop Quantity Pivot'!$B$4:$B$83,,)</f>
        <v>0</v>
      </c>
      <c r="J64" s="35">
        <f t="shared" si="5"/>
        <v>9.7874999999999996</v>
      </c>
      <c r="K64" s="174">
        <f t="shared" si="6"/>
        <v>2.4468749999999997E-2</v>
      </c>
      <c r="M64" t="s">
        <v>140</v>
      </c>
      <c r="N64">
        <v>28.75</v>
      </c>
      <c r="O64">
        <v>2</v>
      </c>
      <c r="P64">
        <v>14.375</v>
      </c>
      <c r="Q64">
        <v>4800</v>
      </c>
      <c r="R64" s="173">
        <v>5.9895833333333337E-3</v>
      </c>
    </row>
    <row r="65" spans="3:18">
      <c r="C65">
        <f>_xlfn.XLOOKUP(A65,'Crop Quantity Pivot'!$A$4:$A$83,'Crop Quantity Pivot'!$B$4:$B$83,,)</f>
        <v>0</v>
      </c>
      <c r="D65" s="35" t="e">
        <f t="shared" si="3"/>
        <v>#DIV/0!</v>
      </c>
      <c r="F65" t="s">
        <v>78</v>
      </c>
      <c r="G65" s="36" t="e">
        <f t="shared" si="4"/>
        <v>#N/A</v>
      </c>
      <c r="H65" s="36">
        <f>_xlfn.XLOOKUP(F65,'Crop Quantity Pivot'!$A$4:$A$83,'Crop Quantity Pivot'!$C$4:$C$83,,)</f>
        <v>1333.3333333333335</v>
      </c>
      <c r="I65">
        <f>_xlfn.XLOOKUP(A65,'Crop Quantity Pivot'!$A$4:$A$83,'Crop Quantity Pivot'!$B$4:$B$83,,)</f>
        <v>0</v>
      </c>
      <c r="J65" s="35" t="e">
        <f t="shared" si="5"/>
        <v>#N/A</v>
      </c>
      <c r="K65" s="174" t="e">
        <f t="shared" si="6"/>
        <v>#N/A</v>
      </c>
      <c r="M65" t="s">
        <v>45</v>
      </c>
      <c r="N65">
        <v>10.85</v>
      </c>
      <c r="O65">
        <v>1</v>
      </c>
      <c r="P65">
        <v>10.85</v>
      </c>
      <c r="Q65">
        <v>2000</v>
      </c>
      <c r="R65" s="173">
        <v>5.4250000000000001E-3</v>
      </c>
    </row>
    <row r="66" spans="3:18">
      <c r="C66">
        <f>_xlfn.XLOOKUP(A66,'Crop Quantity Pivot'!$A$4:$A$83,'Crop Quantity Pivot'!$B$4:$B$83,,)</f>
        <v>0</v>
      </c>
      <c r="D66" s="35" t="e">
        <f t="shared" si="3"/>
        <v>#DIV/0!</v>
      </c>
      <c r="F66" t="s">
        <v>66</v>
      </c>
      <c r="G66" s="36" t="e">
        <f t="shared" si="4"/>
        <v>#N/A</v>
      </c>
      <c r="H66" s="36" t="e">
        <f>_xlfn.XLOOKUP(F66,'Crop Quantity Pivot'!$A$4:$A$83,'Crop Quantity Pivot'!$C$4:$C$83,,)</f>
        <v>#N/A</v>
      </c>
      <c r="I66">
        <f>_xlfn.XLOOKUP(A66,'Crop Quantity Pivot'!$A$4:$A$83,'Crop Quantity Pivot'!$B$4:$B$83,,)</f>
        <v>0</v>
      </c>
      <c r="J66" s="35" t="e">
        <f t="shared" si="5"/>
        <v>#N/A</v>
      </c>
      <c r="K66" s="174" t="e">
        <f t="shared" si="6"/>
        <v>#N/A</v>
      </c>
      <c r="M66" t="s">
        <v>55</v>
      </c>
      <c r="N66">
        <v>24.5</v>
      </c>
      <c r="O66">
        <v>2</v>
      </c>
      <c r="P66">
        <v>12.25</v>
      </c>
      <c r="Q66">
        <v>4949.9999999999991</v>
      </c>
      <c r="R66" s="173">
        <v>4.9494949494949501E-3</v>
      </c>
    </row>
    <row r="67" spans="3:18">
      <c r="C67">
        <f>_xlfn.XLOOKUP(A67,'Crop Quantity Pivot'!$A$4:$A$83,'Crop Quantity Pivot'!$B$4:$B$83,,)</f>
        <v>0</v>
      </c>
      <c r="D67" s="35" t="e">
        <f t="shared" si="3"/>
        <v>#DIV/0!</v>
      </c>
      <c r="F67" t="s">
        <v>82</v>
      </c>
      <c r="G67" s="36" t="e">
        <f t="shared" si="4"/>
        <v>#N/A</v>
      </c>
      <c r="H67" s="36" t="e">
        <f>_xlfn.XLOOKUP(F67,'Crop Quantity Pivot'!$A$4:$A$83,'Crop Quantity Pivot'!$C$4:$C$83,,)</f>
        <v>#N/A</v>
      </c>
      <c r="I67">
        <f>_xlfn.XLOOKUP(A67,'Crop Quantity Pivot'!$A$4:$A$83,'Crop Quantity Pivot'!$B$4:$B$83,,)</f>
        <v>0</v>
      </c>
      <c r="J67" s="35" t="e">
        <f t="shared" si="5"/>
        <v>#N/A</v>
      </c>
      <c r="K67" s="174" t="e">
        <f t="shared" si="6"/>
        <v>#N/A</v>
      </c>
      <c r="M67" t="s">
        <v>131</v>
      </c>
      <c r="N67">
        <v>10.199999999999999</v>
      </c>
      <c r="O67">
        <v>4</v>
      </c>
      <c r="P67">
        <v>2.5499999999999998</v>
      </c>
      <c r="Q67">
        <v>2100</v>
      </c>
      <c r="R67" s="173">
        <v>4.8571428571428567E-3</v>
      </c>
    </row>
    <row r="68" spans="3:18">
      <c r="C68">
        <f>_xlfn.XLOOKUP(A68,'Crop Quantity Pivot'!$A$4:$A$83,'Crop Quantity Pivot'!$B$4:$B$83,,)</f>
        <v>0</v>
      </c>
      <c r="D68" s="35" t="e">
        <f t="shared" si="3"/>
        <v>#DIV/0!</v>
      </c>
      <c r="F68" t="s">
        <v>48</v>
      </c>
      <c r="G68" s="36" t="e">
        <f>_xlfn.XLOOKUP(F68,$A$4:$A$71,$B$4:$B$71)</f>
        <v>#N/A</v>
      </c>
      <c r="H68" s="36" t="e">
        <f>_xlfn.XLOOKUP(F68,'Crop Quantity Pivot'!$A$4:$A$83,'Crop Quantity Pivot'!$C$4:$C$83,,)</f>
        <v>#N/A</v>
      </c>
      <c r="I68">
        <f>_xlfn.XLOOKUP(A68,'Crop Quantity Pivot'!$A$4:$A$83,'Crop Quantity Pivot'!$B$4:$B$83,,)</f>
        <v>0</v>
      </c>
      <c r="J68" s="35" t="e">
        <f t="shared" si="5"/>
        <v>#N/A</v>
      </c>
      <c r="K68" s="174" t="e">
        <f t="shared" si="6"/>
        <v>#N/A</v>
      </c>
      <c r="M68" t="s">
        <v>107</v>
      </c>
      <c r="N68">
        <v>33.6</v>
      </c>
      <c r="O68">
        <v>2</v>
      </c>
      <c r="P68">
        <v>16.8</v>
      </c>
      <c r="Q68">
        <v>7350</v>
      </c>
      <c r="R68" s="173">
        <v>4.5714285714285718E-3</v>
      </c>
    </row>
    <row r="69" spans="3:18">
      <c r="C69">
        <f>_xlfn.XLOOKUP(A69,'Crop Quantity Pivot'!$A$4:$A$83,'Crop Quantity Pivot'!$B$4:$B$83,,)</f>
        <v>0</v>
      </c>
      <c r="D69" s="35" t="e">
        <f>B69/C69</f>
        <v>#DIV/0!</v>
      </c>
      <c r="F69" t="s">
        <v>409</v>
      </c>
      <c r="G69" s="36" t="e">
        <f>_xlfn.XLOOKUP(F69,$A$4:$A$71,$B$4:$B$71)</f>
        <v>#N/A</v>
      </c>
      <c r="H69" s="36" t="e">
        <f>_xlfn.XLOOKUP(F69,'Crop Quantity Pivot'!$A$4:$A$83,'Crop Quantity Pivot'!$C$4:$C$83,,)</f>
        <v>#N/A</v>
      </c>
      <c r="I69">
        <f>_xlfn.XLOOKUP(A69,'Crop Quantity Pivot'!$A$4:$A$83,'Crop Quantity Pivot'!$B$4:$B$83,,)</f>
        <v>0</v>
      </c>
      <c r="J69" s="35" t="e">
        <f t="shared" si="5"/>
        <v>#N/A</v>
      </c>
      <c r="K69" s="174" t="e">
        <f t="shared" si="6"/>
        <v>#N/A</v>
      </c>
      <c r="M69" t="s">
        <v>141</v>
      </c>
      <c r="N69">
        <v>9</v>
      </c>
      <c r="O69">
        <v>0.5</v>
      </c>
      <c r="P69">
        <v>18</v>
      </c>
      <c r="Q69">
        <v>2400</v>
      </c>
      <c r="R69" s="173">
        <v>3.7499999999999999E-3</v>
      </c>
    </row>
    <row r="70" spans="3:18">
      <c r="C70">
        <f>_xlfn.XLOOKUP(A70,'Crop Quantity Pivot'!$A$4:$A$83,'Crop Quantity Pivot'!$B$4:$B$83,,)</f>
        <v>0</v>
      </c>
      <c r="D70" s="35" t="e">
        <f>B70/C70</f>
        <v>#DIV/0!</v>
      </c>
      <c r="F70" t="s">
        <v>1715</v>
      </c>
      <c r="G70" s="36" t="e">
        <f>_xlfn.XLOOKUP(F70,$A$4:$A$71,$B$4:$B$71)</f>
        <v>#N/A</v>
      </c>
      <c r="H70" s="36" t="e">
        <f>_xlfn.XLOOKUP(F70,'Crop Quantity Pivot'!$A$4:$A$83,'Crop Quantity Pivot'!$C$4:$C$83,,)</f>
        <v>#N/A</v>
      </c>
      <c r="I70">
        <f>_xlfn.XLOOKUP(A70,'Crop Quantity Pivot'!$A$4:$A$83,'Crop Quantity Pivot'!$B$4:$B$83,,)</f>
        <v>0</v>
      </c>
      <c r="J70" s="35" t="e">
        <f t="shared" si="5"/>
        <v>#N/A</v>
      </c>
      <c r="K70" s="174" t="e">
        <f t="shared" si="6"/>
        <v>#N/A</v>
      </c>
      <c r="M70" t="s">
        <v>135</v>
      </c>
      <c r="N70">
        <v>0</v>
      </c>
      <c r="O70">
        <v>0.5</v>
      </c>
      <c r="P70">
        <v>0</v>
      </c>
      <c r="Q70">
        <v>799.99999999999989</v>
      </c>
      <c r="R70" s="173">
        <v>0</v>
      </c>
    </row>
    <row r="71" spans="3:18">
      <c r="C71">
        <f>_xlfn.XLOOKUP(A71,'Crop Quantity Pivot'!$A$4:$A$83,'Crop Quantity Pivot'!$B$4:$B$83,,)</f>
        <v>0</v>
      </c>
      <c r="D71" s="35" t="e">
        <f>B71/C71</f>
        <v>#DIV/0!</v>
      </c>
      <c r="F71" t="s">
        <v>117</v>
      </c>
      <c r="G71" s="36" t="e">
        <f>_xlfn.XLOOKUP(F71,$A$4:$A$71,$B$4:$B$71)</f>
        <v>#N/A</v>
      </c>
      <c r="H71" s="36" t="e">
        <f>_xlfn.XLOOKUP(F71,'Crop Quantity Pivot'!$A$4:$A$83,'Crop Quantity Pivot'!$C$4:$C$83,,)</f>
        <v>#N/A</v>
      </c>
      <c r="I71">
        <f>_xlfn.XLOOKUP(A71,'Crop Quantity Pivot'!$A$4:$A$83,'Crop Quantity Pivot'!$B$4:$B$83,,)</f>
        <v>0</v>
      </c>
      <c r="J71" s="35" t="e">
        <f t="shared" si="5"/>
        <v>#N/A</v>
      </c>
      <c r="K71" s="174" t="e">
        <f t="shared" si="6"/>
        <v>#N/A</v>
      </c>
      <c r="M71" t="s">
        <v>44</v>
      </c>
      <c r="N71">
        <v>0</v>
      </c>
      <c r="O71">
        <v>0.5</v>
      </c>
      <c r="P71">
        <v>0</v>
      </c>
      <c r="Q71">
        <v>520</v>
      </c>
      <c r="R71" s="173">
        <v>0</v>
      </c>
    </row>
    <row r="72" spans="3:18">
      <c r="C72">
        <f>_xlfn.XLOOKUP(A72,'Crop Quantity Pivot'!$A$4:$A$83,'Crop Quantity Pivot'!$B$4:$B$83,,)</f>
        <v>0</v>
      </c>
      <c r="H72" s="36">
        <f>_xlfn.XLOOKUP(A72,'Crop Quantity Pivot'!$A$4:$A$83,'Crop Quantity Pivot'!$C$4:$C$83,,)</f>
        <v>0</v>
      </c>
      <c r="K72" s="174" t="e">
        <f>G72/H72</f>
        <v>#DIV/0!</v>
      </c>
    </row>
  </sheetData>
  <pageMargins left="0.7" right="0.7" top="0.75" bottom="0.75" header="0.3" footer="0.3"/>
  <pageSetup orientation="portrait" horizontalDpi="0" verticalDpi="0"/>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451D1-1215-4509-A838-CD5F34FD8A68}">
  <sheetPr codeName="Sheet12"/>
  <dimension ref="B2:S150"/>
  <sheetViews>
    <sheetView workbookViewId="0"/>
  </sheetViews>
  <sheetFormatPr baseColWidth="10" defaultColWidth="8.83203125" defaultRowHeight="15"/>
  <cols>
    <col min="2" max="2" width="43" bestFit="1" customWidth="1"/>
    <col min="3" max="3" width="18.5" bestFit="1" customWidth="1"/>
    <col min="4" max="4" width="27.33203125" bestFit="1" customWidth="1"/>
    <col min="5" max="5" width="34" bestFit="1" customWidth="1"/>
    <col min="6" max="6" width="128.5" bestFit="1" customWidth="1"/>
    <col min="7" max="7" width="9.83203125" customWidth="1"/>
    <col min="8" max="8" width="13.33203125" customWidth="1"/>
    <col min="9" max="9" width="16.83203125" customWidth="1"/>
    <col min="10" max="10" width="13.6640625" customWidth="1"/>
    <col min="11" max="11" width="14.33203125" customWidth="1"/>
    <col min="12" max="12" width="18.1640625" customWidth="1"/>
    <col min="13" max="13" width="15.1640625" customWidth="1"/>
    <col min="14" max="14" width="13.1640625" customWidth="1"/>
    <col min="15" max="15" width="15.83203125" customWidth="1"/>
    <col min="16" max="16" width="15.5" customWidth="1"/>
    <col min="17" max="18" width="12.1640625" customWidth="1"/>
  </cols>
  <sheetData>
    <row r="2" spans="2:19">
      <c r="B2" t="s">
        <v>1265</v>
      </c>
      <c r="C2" t="s">
        <v>244</v>
      </c>
      <c r="D2" t="s">
        <v>243</v>
      </c>
      <c r="E2" t="s">
        <v>6</v>
      </c>
      <c r="F2" t="s">
        <v>1228</v>
      </c>
      <c r="G2" t="s">
        <v>369</v>
      </c>
      <c r="H2" t="s">
        <v>1230</v>
      </c>
      <c r="I2" t="s">
        <v>1234</v>
      </c>
      <c r="J2" t="s">
        <v>1235</v>
      </c>
      <c r="K2" t="s">
        <v>1236</v>
      </c>
      <c r="L2" t="s">
        <v>1237</v>
      </c>
      <c r="M2" t="s">
        <v>1238</v>
      </c>
      <c r="N2" t="s">
        <v>1231</v>
      </c>
      <c r="O2" t="s">
        <v>1232</v>
      </c>
      <c r="P2" t="s">
        <v>1233</v>
      </c>
      <c r="Q2" t="s">
        <v>1239</v>
      </c>
      <c r="R2" t="s">
        <v>1240</v>
      </c>
      <c r="S2" t="s">
        <v>39</v>
      </c>
    </row>
    <row r="3" spans="2:19">
      <c r="B3" t="str">
        <f>_xlfn.TEXTJOIN(" ",  FALSE,SeedOrder2023[[#This Row],[Company]],SeedOrder2023[[#This Row],[Variety]])</f>
        <v>Adaptive Blue</v>
      </c>
      <c r="C3" t="s">
        <v>488</v>
      </c>
      <c r="D3" t="s">
        <v>458</v>
      </c>
      <c r="E3" t="s">
        <v>495</v>
      </c>
      <c r="F3" t="s">
        <v>767</v>
      </c>
      <c r="G3">
        <v>60</v>
      </c>
      <c r="H3" t="s">
        <v>1243</v>
      </c>
      <c r="I3">
        <v>1</v>
      </c>
      <c r="J3" t="s">
        <v>1243</v>
      </c>
      <c r="K3">
        <v>4.1500000000000004</v>
      </c>
      <c r="L3">
        <v>4</v>
      </c>
      <c r="M3" t="e">
        <v>#VALUE!</v>
      </c>
      <c r="N3" t="s">
        <v>212</v>
      </c>
      <c r="O3" t="s">
        <v>212</v>
      </c>
      <c r="P3" t="s">
        <v>212</v>
      </c>
      <c r="Q3" t="s">
        <v>212</v>
      </c>
      <c r="R3" t="e">
        <v>#VALUE!</v>
      </c>
    </row>
    <row r="4" spans="2:19">
      <c r="B4" t="str">
        <f>_xlfn.TEXTJOIN(" ",  FALSE,SeedOrder2023[[#This Row],[Company]],SeedOrder2023[[#This Row],[Variety]])</f>
        <v>Adaptive Cicilian</v>
      </c>
      <c r="C4" t="s">
        <v>488</v>
      </c>
      <c r="D4" t="s">
        <v>108</v>
      </c>
      <c r="E4" t="s">
        <v>561</v>
      </c>
      <c r="F4" t="s">
        <v>1102</v>
      </c>
      <c r="G4">
        <v>450</v>
      </c>
      <c r="H4" t="s">
        <v>1243</v>
      </c>
      <c r="I4">
        <v>2</v>
      </c>
      <c r="J4" t="s">
        <v>1243</v>
      </c>
      <c r="K4">
        <v>7.15</v>
      </c>
      <c r="L4">
        <v>1</v>
      </c>
      <c r="M4" t="e">
        <v>#VALUE!</v>
      </c>
      <c r="N4" t="s">
        <v>212</v>
      </c>
      <c r="O4" t="s">
        <v>212</v>
      </c>
      <c r="P4" t="s">
        <v>212</v>
      </c>
      <c r="Q4" t="s">
        <v>212</v>
      </c>
      <c r="R4" t="e">
        <v>#VALUE!</v>
      </c>
    </row>
    <row r="5" spans="2:19">
      <c r="B5" t="str">
        <f>_xlfn.TEXTJOIN(" ",  FALSE,SeedOrder2023[[#This Row],[Company]],SeedOrder2023[[#This Row],[Variety]])</f>
        <v>Adaptive Cupidon</v>
      </c>
      <c r="C5" t="s">
        <v>488</v>
      </c>
      <c r="D5" t="s">
        <v>448</v>
      </c>
      <c r="E5" t="s">
        <v>487</v>
      </c>
      <c r="F5" t="s">
        <v>751</v>
      </c>
      <c r="G5">
        <v>120</v>
      </c>
      <c r="H5" t="s">
        <v>1242</v>
      </c>
      <c r="I5">
        <v>4</v>
      </c>
      <c r="J5" t="s">
        <v>1242</v>
      </c>
      <c r="K5">
        <v>4.1500000000000004</v>
      </c>
      <c r="L5">
        <v>1</v>
      </c>
      <c r="M5" t="e">
        <v>#VALUE!</v>
      </c>
      <c r="N5" t="s">
        <v>212</v>
      </c>
      <c r="O5" t="s">
        <v>212</v>
      </c>
      <c r="P5" t="s">
        <v>212</v>
      </c>
      <c r="Q5" t="s">
        <v>212</v>
      </c>
      <c r="R5" t="e">
        <v>#VALUE!</v>
      </c>
    </row>
    <row r="6" spans="2:19">
      <c r="B6" t="str">
        <f>_xlfn.TEXTJOIN(" ",  FALSE,SeedOrder2023[[#This Row],[Company]],SeedOrder2023[[#This Row],[Variety]])</f>
        <v>Adaptive Daydream</v>
      </c>
      <c r="C6" t="s">
        <v>488</v>
      </c>
      <c r="D6" t="s">
        <v>67</v>
      </c>
      <c r="E6" t="s">
        <v>607</v>
      </c>
      <c r="F6" t="s">
        <v>800</v>
      </c>
      <c r="G6">
        <v>150</v>
      </c>
      <c r="H6" t="s">
        <v>1243</v>
      </c>
      <c r="I6">
        <v>5</v>
      </c>
      <c r="J6" t="s">
        <v>1243</v>
      </c>
      <c r="K6">
        <v>16</v>
      </c>
      <c r="L6">
        <v>1</v>
      </c>
      <c r="M6">
        <v>4</v>
      </c>
      <c r="N6" t="s">
        <v>212</v>
      </c>
      <c r="O6" t="s">
        <v>212</v>
      </c>
      <c r="P6" t="s">
        <v>212</v>
      </c>
      <c r="Q6">
        <v>2.3076923076923075</v>
      </c>
      <c r="R6">
        <v>16.600000000000001</v>
      </c>
    </row>
    <row r="7" spans="2:19">
      <c r="B7" t="str">
        <f>_xlfn.TEXTJOIN(" ",  FALSE,SeedOrder2023[[#This Row],[Company]],SeedOrder2023[[#This Row],[Variety]])</f>
        <v>Adaptive Einfache Schnitt 3</v>
      </c>
      <c r="C7" t="s">
        <v>488</v>
      </c>
      <c r="D7" t="s">
        <v>108</v>
      </c>
      <c r="E7" t="s">
        <v>560</v>
      </c>
      <c r="F7" t="s">
        <v>1100</v>
      </c>
      <c r="G7">
        <v>450</v>
      </c>
      <c r="H7" t="s">
        <v>1243</v>
      </c>
      <c r="I7">
        <v>0.5</v>
      </c>
      <c r="J7" t="s">
        <v>1243</v>
      </c>
      <c r="K7">
        <v>7.17</v>
      </c>
      <c r="L7">
        <v>1</v>
      </c>
      <c r="M7">
        <v>2</v>
      </c>
      <c r="N7" t="s">
        <v>212</v>
      </c>
      <c r="O7" t="s">
        <v>212</v>
      </c>
      <c r="P7" t="s">
        <v>212</v>
      </c>
      <c r="Q7">
        <v>3.0769230769230766</v>
      </c>
      <c r="R7">
        <v>7.15</v>
      </c>
    </row>
    <row r="8" spans="2:19">
      <c r="B8" t="str">
        <f>_xlfn.TEXTJOIN(" ",  FALSE,SeedOrder2023[[#This Row],[Company]],SeedOrder2023[[#This Row],[Variety]])</f>
        <v>Adaptive Farthest North Mix</v>
      </c>
      <c r="C8" t="s">
        <v>488</v>
      </c>
      <c r="D8" t="s">
        <v>98</v>
      </c>
      <c r="E8" t="s">
        <v>556</v>
      </c>
      <c r="F8" t="s">
        <v>1064</v>
      </c>
      <c r="G8">
        <v>30</v>
      </c>
      <c r="H8" t="s">
        <v>1243</v>
      </c>
      <c r="I8">
        <v>4</v>
      </c>
      <c r="J8" t="s">
        <v>1243</v>
      </c>
      <c r="K8">
        <v>4.1500000000000004</v>
      </c>
      <c r="L8">
        <v>1</v>
      </c>
      <c r="M8">
        <v>4</v>
      </c>
      <c r="N8" t="s">
        <v>212</v>
      </c>
      <c r="O8" t="s">
        <v>212</v>
      </c>
      <c r="P8" t="s">
        <v>212</v>
      </c>
      <c r="Q8">
        <v>1.8461538461538463</v>
      </c>
      <c r="R8">
        <v>4.1500000000000004</v>
      </c>
    </row>
    <row r="9" spans="2:19">
      <c r="B9" t="str">
        <f>_xlfn.TEXTJOIN(" ",  FALSE,SeedOrder2023[[#This Row],[Company]],SeedOrder2023[[#This Row],[Variety]])</f>
        <v>Adaptive Hollandia Purple Crown Mix</v>
      </c>
      <c r="C9" t="s">
        <v>488</v>
      </c>
      <c r="D9" t="s">
        <v>74</v>
      </c>
      <c r="E9" t="s">
        <v>613</v>
      </c>
      <c r="F9" t="s">
        <v>818</v>
      </c>
      <c r="G9">
        <v>875</v>
      </c>
      <c r="H9" t="s">
        <v>1243</v>
      </c>
      <c r="I9">
        <v>175</v>
      </c>
      <c r="J9" t="s">
        <v>1244</v>
      </c>
      <c r="K9">
        <v>4.1500000000000004</v>
      </c>
      <c r="L9">
        <v>1</v>
      </c>
      <c r="M9">
        <v>5</v>
      </c>
      <c r="N9" t="s">
        <v>212</v>
      </c>
      <c r="O9" t="s">
        <v>212</v>
      </c>
      <c r="P9" t="s">
        <v>212</v>
      </c>
      <c r="Q9">
        <v>5.1282051282051286</v>
      </c>
      <c r="R9">
        <v>16</v>
      </c>
    </row>
    <row r="10" spans="2:19">
      <c r="B10" t="str">
        <f>_xlfn.TEXTJOIN(" ",  FALSE,SeedOrder2023[[#This Row],[Company]],SeedOrder2023[[#This Row],[Variety]])</f>
        <v>Adaptive Ildkongen</v>
      </c>
      <c r="C10" t="s">
        <v>488</v>
      </c>
      <c r="D10" t="s">
        <v>97</v>
      </c>
      <c r="E10" t="s">
        <v>625</v>
      </c>
      <c r="F10" t="s">
        <v>877</v>
      </c>
      <c r="G10">
        <v>270</v>
      </c>
      <c r="H10" t="s">
        <v>1243</v>
      </c>
      <c r="I10">
        <v>0.5</v>
      </c>
      <c r="J10" t="s">
        <v>1243</v>
      </c>
      <c r="K10">
        <v>4.1500000000000004</v>
      </c>
      <c r="L10">
        <v>1</v>
      </c>
      <c r="M10">
        <v>0.5</v>
      </c>
      <c r="N10" t="s">
        <v>212</v>
      </c>
      <c r="O10" t="s">
        <v>212</v>
      </c>
      <c r="P10" t="s">
        <v>212</v>
      </c>
      <c r="Q10" t="s">
        <v>212</v>
      </c>
      <c r="R10">
        <v>7.17</v>
      </c>
    </row>
    <row r="11" spans="2:19">
      <c r="B11" t="str">
        <f>_xlfn.TEXTJOIN(" ",  FALSE,SeedOrder2023[[#This Row],[Company]],SeedOrder2023[[#This Row],[Variety]])</f>
        <v>Adaptive January King</v>
      </c>
      <c r="C11" t="s">
        <v>488</v>
      </c>
      <c r="D11" t="s">
        <v>52</v>
      </c>
      <c r="E11" t="s">
        <v>499</v>
      </c>
      <c r="F11" t="s">
        <v>774</v>
      </c>
      <c r="G11">
        <v>300</v>
      </c>
      <c r="H11" t="s">
        <v>1243</v>
      </c>
      <c r="I11">
        <v>0.5</v>
      </c>
      <c r="J11" t="s">
        <v>1243</v>
      </c>
      <c r="K11">
        <v>4.1500000000000004</v>
      </c>
      <c r="L11">
        <v>1</v>
      </c>
      <c r="M11">
        <v>4</v>
      </c>
      <c r="N11" t="s">
        <v>212</v>
      </c>
      <c r="O11" t="s">
        <v>212</v>
      </c>
      <c r="P11" t="s">
        <v>212</v>
      </c>
      <c r="Q11">
        <v>1.2307692307692308</v>
      </c>
      <c r="R11">
        <v>4.1500000000000004</v>
      </c>
      <c r="S11" t="s">
        <v>1274</v>
      </c>
    </row>
    <row r="12" spans="2:19">
      <c r="B12" t="str">
        <f>_xlfn.TEXTJOIN(" ",  FALSE,SeedOrder2023[[#This Row],[Company]],SeedOrder2023[[#This Row],[Variety]])</f>
        <v>Adaptive Love-in-a-Mist</v>
      </c>
      <c r="C12" t="s">
        <v>488</v>
      </c>
      <c r="D12" t="s">
        <v>104</v>
      </c>
      <c r="E12" t="s">
        <v>634</v>
      </c>
      <c r="F12" t="s">
        <v>887</v>
      </c>
      <c r="G12">
        <v>350</v>
      </c>
      <c r="H12" t="s">
        <v>1243</v>
      </c>
      <c r="I12">
        <v>0.5</v>
      </c>
      <c r="J12" t="s">
        <v>1243</v>
      </c>
      <c r="K12">
        <v>4.1500000000000004</v>
      </c>
      <c r="L12">
        <v>1</v>
      </c>
      <c r="M12">
        <v>175</v>
      </c>
      <c r="N12" t="s">
        <v>212</v>
      </c>
      <c r="O12" t="s">
        <v>212</v>
      </c>
      <c r="P12" t="s">
        <v>212</v>
      </c>
      <c r="Q12">
        <v>2.6923076923076925</v>
      </c>
      <c r="R12">
        <v>4.1500000000000004</v>
      </c>
    </row>
    <row r="13" spans="2:19">
      <c r="B13" t="str">
        <f>_xlfn.TEXTJOIN(" ",  FALSE,SeedOrder2023[[#This Row],[Company]],SeedOrder2023[[#This Row],[Variety]])</f>
        <v>Adaptive Peace Bell</v>
      </c>
      <c r="C13" t="s">
        <v>488</v>
      </c>
      <c r="D13" t="s">
        <v>464</v>
      </c>
      <c r="E13" t="s">
        <v>646</v>
      </c>
      <c r="F13" t="s">
        <v>1144</v>
      </c>
      <c r="G13">
        <v>100</v>
      </c>
      <c r="H13" t="s">
        <v>1243</v>
      </c>
      <c r="I13">
        <v>1</v>
      </c>
      <c r="J13" t="s">
        <v>1243</v>
      </c>
      <c r="K13">
        <v>10.199999999999999</v>
      </c>
      <c r="L13">
        <v>1</v>
      </c>
      <c r="M13">
        <v>0.5</v>
      </c>
      <c r="N13" t="s">
        <v>212</v>
      </c>
      <c r="O13" t="s">
        <v>212</v>
      </c>
      <c r="P13" t="s">
        <v>212</v>
      </c>
      <c r="Q13">
        <v>5.5384615384615383</v>
      </c>
      <c r="R13">
        <v>4.1500000000000004</v>
      </c>
    </row>
    <row r="14" spans="2:19">
      <c r="B14" t="str">
        <f>_xlfn.TEXTJOIN(" ",  FALSE,SeedOrder2023[[#This Row],[Company]],SeedOrder2023[[#This Row],[Variety]])</f>
        <v>Adaptive Petch Siam</v>
      </c>
      <c r="C14" t="s">
        <v>488</v>
      </c>
      <c r="D14" t="s">
        <v>76</v>
      </c>
      <c r="E14" t="s">
        <v>616</v>
      </c>
      <c r="F14" t="s">
        <v>1012</v>
      </c>
      <c r="G14">
        <v>6000</v>
      </c>
      <c r="H14" t="s">
        <v>1242</v>
      </c>
      <c r="I14">
        <v>30</v>
      </c>
      <c r="J14" t="s">
        <v>1244</v>
      </c>
      <c r="K14">
        <v>4.1500000000000004</v>
      </c>
      <c r="L14">
        <v>1</v>
      </c>
      <c r="M14">
        <v>0.5</v>
      </c>
      <c r="N14" t="s">
        <v>212</v>
      </c>
      <c r="O14" t="s">
        <v>212</v>
      </c>
      <c r="P14" t="s">
        <v>212</v>
      </c>
      <c r="Q14">
        <v>1.1538461538461537</v>
      </c>
      <c r="R14">
        <v>4.1500000000000004</v>
      </c>
    </row>
    <row r="15" spans="2:19">
      <c r="B15" t="str">
        <f>_xlfn.TEXTJOIN(" ",  FALSE,SeedOrder2023[[#This Row],[Company]],SeedOrder2023[[#This Row],[Variety]])</f>
        <v>Adaptive Poamoho Dark Long</v>
      </c>
      <c r="C15" t="s">
        <v>488</v>
      </c>
      <c r="D15" t="s">
        <v>76</v>
      </c>
      <c r="E15" t="s">
        <v>615</v>
      </c>
      <c r="F15" t="s">
        <v>964</v>
      </c>
      <c r="G15">
        <v>6001</v>
      </c>
      <c r="H15" t="s">
        <v>1242</v>
      </c>
      <c r="I15">
        <v>31</v>
      </c>
      <c r="J15" t="s">
        <v>1244</v>
      </c>
      <c r="K15">
        <v>5.15</v>
      </c>
      <c r="L15">
        <v>1</v>
      </c>
      <c r="M15">
        <v>0.5</v>
      </c>
      <c r="N15" t="s">
        <v>212</v>
      </c>
      <c r="O15" t="s">
        <v>212</v>
      </c>
      <c r="P15" t="s">
        <v>212</v>
      </c>
      <c r="Q15">
        <v>1.0096153846153848</v>
      </c>
      <c r="R15">
        <v>4.1500000000000004</v>
      </c>
    </row>
    <row r="16" spans="2:19">
      <c r="B16" t="str">
        <f>_xlfn.TEXTJOIN(" ",  FALSE,SeedOrder2023[[#This Row],[Company]],SeedOrder2023[[#This Row],[Variety]])</f>
        <v>Adaptive Rose de Roscoff Keravel</v>
      </c>
      <c r="C16" t="s">
        <v>488</v>
      </c>
      <c r="D16" t="s">
        <v>105</v>
      </c>
      <c r="E16" t="s">
        <v>636</v>
      </c>
      <c r="F16" t="s">
        <v>1074</v>
      </c>
      <c r="G16">
        <v>200</v>
      </c>
      <c r="H16" t="s">
        <v>1243</v>
      </c>
      <c r="I16">
        <v>2</v>
      </c>
      <c r="J16" t="s">
        <v>1243</v>
      </c>
      <c r="K16">
        <v>7.15</v>
      </c>
      <c r="L16">
        <v>1</v>
      </c>
      <c r="M16">
        <v>1</v>
      </c>
      <c r="N16" t="s">
        <v>212</v>
      </c>
      <c r="O16" t="s">
        <v>212</v>
      </c>
      <c r="P16" t="s">
        <v>212</v>
      </c>
      <c r="Q16">
        <v>1.5384615384615383</v>
      </c>
      <c r="R16">
        <v>10.199999999999999</v>
      </c>
    </row>
    <row r="17" spans="2:18">
      <c r="B17" t="str">
        <f>_xlfn.TEXTJOIN(" ",  FALSE,SeedOrder2023[[#This Row],[Company]],SeedOrder2023[[#This Row],[Variety]])</f>
        <v>Adaptive Rudi</v>
      </c>
      <c r="C17" t="s">
        <v>488</v>
      </c>
      <c r="D17" t="s">
        <v>114</v>
      </c>
      <c r="E17" t="s">
        <v>574</v>
      </c>
      <c r="F17" t="s">
        <v>1084</v>
      </c>
      <c r="G17">
        <v>113</v>
      </c>
      <c r="H17" t="s">
        <v>1243</v>
      </c>
      <c r="I17">
        <v>1</v>
      </c>
      <c r="J17" t="s">
        <v>1242</v>
      </c>
      <c r="K17">
        <v>10.8</v>
      </c>
      <c r="L17">
        <v>1</v>
      </c>
      <c r="M17">
        <v>30</v>
      </c>
      <c r="N17" t="s">
        <v>212</v>
      </c>
      <c r="O17" t="s">
        <v>212</v>
      </c>
      <c r="P17" t="s">
        <v>212</v>
      </c>
      <c r="Q17">
        <v>2.0769230769230771</v>
      </c>
      <c r="R17">
        <v>4.1500000000000004</v>
      </c>
    </row>
    <row r="18" spans="2:18">
      <c r="B18" t="str">
        <f>_xlfn.TEXTJOIN(" ",  FALSE,SeedOrder2023[[#This Row],[Company]],SeedOrder2023[[#This Row],[Variety]])</f>
        <v>Adaptive Shungiku, Komi</v>
      </c>
      <c r="C18" t="s">
        <v>488</v>
      </c>
      <c r="D18" t="s">
        <v>143</v>
      </c>
      <c r="E18" t="s">
        <v>513</v>
      </c>
      <c r="F18" t="s">
        <v>788</v>
      </c>
      <c r="G18">
        <v>325</v>
      </c>
      <c r="H18" t="s">
        <v>1243</v>
      </c>
      <c r="I18">
        <v>0.25</v>
      </c>
      <c r="J18" t="s">
        <v>1242</v>
      </c>
      <c r="K18">
        <v>7.8</v>
      </c>
      <c r="L18">
        <v>1</v>
      </c>
      <c r="M18">
        <v>31</v>
      </c>
      <c r="N18" t="s">
        <v>212</v>
      </c>
      <c r="O18" t="s">
        <v>212</v>
      </c>
      <c r="P18" t="s">
        <v>212</v>
      </c>
      <c r="Q18">
        <v>2.1461538461538465</v>
      </c>
      <c r="R18">
        <v>5.15</v>
      </c>
    </row>
    <row r="19" spans="2:18">
      <c r="B19" t="str">
        <f>_xlfn.TEXTJOIN(" ",  FALSE,SeedOrder2023[[#This Row],[Company]],SeedOrder2023[[#This Row],[Variety]])</f>
        <v>Adaptive Sungella</v>
      </c>
      <c r="C19" t="s">
        <v>488</v>
      </c>
      <c r="D19" t="s">
        <v>468</v>
      </c>
      <c r="E19" t="s">
        <v>690</v>
      </c>
      <c r="F19" t="s">
        <v>1177</v>
      </c>
      <c r="G19">
        <v>400</v>
      </c>
      <c r="H19" t="s">
        <v>1243</v>
      </c>
      <c r="I19">
        <v>30</v>
      </c>
      <c r="J19" t="s">
        <v>1244</v>
      </c>
      <c r="K19">
        <v>4.1500000000000004</v>
      </c>
      <c r="L19">
        <v>1</v>
      </c>
      <c r="M19">
        <v>2</v>
      </c>
      <c r="N19" t="s">
        <v>212</v>
      </c>
      <c r="O19" t="s">
        <v>212</v>
      </c>
      <c r="P19" t="s">
        <v>212</v>
      </c>
      <c r="Q19" t="s">
        <v>212</v>
      </c>
      <c r="R19">
        <v>7.15</v>
      </c>
    </row>
    <row r="20" spans="2:18">
      <c r="B20" t="str">
        <f>_xlfn.TEXTJOIN(" ",  FALSE,SeedOrder2023[[#This Row],[Company]],SeedOrder2023[[#This Row],[Variety]])</f>
        <v>Adaptive Tangerine Gem</v>
      </c>
      <c r="C20" t="s">
        <v>488</v>
      </c>
      <c r="D20" t="s">
        <v>97</v>
      </c>
      <c r="E20" t="s">
        <v>626</v>
      </c>
      <c r="F20" t="s">
        <v>878</v>
      </c>
      <c r="I20">
        <v>60</v>
      </c>
      <c r="J20" t="s">
        <v>1244</v>
      </c>
      <c r="K20">
        <v>4.1500000000000004</v>
      </c>
      <c r="L20">
        <v>1</v>
      </c>
      <c r="M20">
        <v>1</v>
      </c>
      <c r="N20" t="s">
        <v>212</v>
      </c>
      <c r="O20" t="s">
        <v>212</v>
      </c>
      <c r="P20" t="s">
        <v>212</v>
      </c>
      <c r="Q20">
        <v>0.82140925977564105</v>
      </c>
      <c r="R20">
        <v>10.8</v>
      </c>
    </row>
    <row r="21" spans="2:18">
      <c r="B21" t="str">
        <f>_xlfn.TEXTJOIN(" ",  FALSE,SeedOrder2023[[#This Row],[Company]],SeedOrder2023[[#This Row],[Variety]])</f>
        <v>Adaptive Chiogga</v>
      </c>
      <c r="C21" t="s">
        <v>488</v>
      </c>
      <c r="D21" t="s">
        <v>356</v>
      </c>
      <c r="E21" t="s">
        <v>598</v>
      </c>
      <c r="F21" t="s">
        <v>1252</v>
      </c>
      <c r="G21">
        <v>80</v>
      </c>
      <c r="H21" t="s">
        <v>1243</v>
      </c>
      <c r="I21">
        <v>0.5</v>
      </c>
      <c r="J21" t="s">
        <v>1242</v>
      </c>
      <c r="K21">
        <v>9.8000000000000007</v>
      </c>
      <c r="L21">
        <v>1</v>
      </c>
      <c r="M21">
        <v>0.25</v>
      </c>
      <c r="N21" t="s">
        <v>212</v>
      </c>
      <c r="O21" t="s">
        <v>212</v>
      </c>
      <c r="P21" t="s">
        <v>212</v>
      </c>
      <c r="Q21">
        <v>2.2148064941406251</v>
      </c>
      <c r="R21">
        <v>7.8</v>
      </c>
    </row>
    <row r="22" spans="2:18">
      <c r="B22" t="str">
        <f>_xlfn.TEXTJOIN(" ",  FALSE,SeedOrder2023[[#This Row],[Company]],SeedOrder2023[[#This Row],[Variety]])</f>
        <v>Apaptive Okhura Winter Queen Daikon</v>
      </c>
      <c r="C22" t="s">
        <v>670</v>
      </c>
      <c r="D22" t="s">
        <v>466</v>
      </c>
      <c r="E22" t="s">
        <v>669</v>
      </c>
      <c r="F22" t="s">
        <v>1086</v>
      </c>
      <c r="G22">
        <v>50</v>
      </c>
      <c r="H22" t="s">
        <v>1243</v>
      </c>
      <c r="I22">
        <v>2</v>
      </c>
      <c r="J22" t="s">
        <v>1243</v>
      </c>
      <c r="K22">
        <v>4.25</v>
      </c>
      <c r="L22">
        <v>1</v>
      </c>
      <c r="M22">
        <v>30</v>
      </c>
      <c r="N22" t="s">
        <v>212</v>
      </c>
      <c r="O22" t="s">
        <v>212</v>
      </c>
      <c r="P22" t="s">
        <v>212</v>
      </c>
      <c r="Q22">
        <v>0.86538461538461542</v>
      </c>
      <c r="R22">
        <v>4.1500000000000004</v>
      </c>
    </row>
    <row r="23" spans="2:18">
      <c r="B23" t="str">
        <f>_xlfn.TEXTJOIN(" ",  FALSE,SeedOrder2023[[#This Row],[Company]],SeedOrder2023[[#This Row],[Variety]])</f>
        <v>Baker Creek Kajari Melon</v>
      </c>
      <c r="C23" t="s">
        <v>492</v>
      </c>
      <c r="D23" t="s">
        <v>98</v>
      </c>
      <c r="E23" t="s">
        <v>628</v>
      </c>
      <c r="F23" t="s">
        <v>354</v>
      </c>
      <c r="I23">
        <v>25</v>
      </c>
      <c r="J23" t="s">
        <v>1244</v>
      </c>
      <c r="K23">
        <v>4.5</v>
      </c>
      <c r="L23">
        <v>1</v>
      </c>
      <c r="M23">
        <v>60</v>
      </c>
      <c r="N23" t="s">
        <v>212</v>
      </c>
      <c r="O23" t="s">
        <v>212</v>
      </c>
      <c r="P23" t="s">
        <v>212</v>
      </c>
      <c r="Q23">
        <v>2.4615384615384617</v>
      </c>
      <c r="R23">
        <v>4.1500000000000004</v>
      </c>
    </row>
    <row r="24" spans="2:18">
      <c r="B24" t="str">
        <f>_xlfn.TEXTJOIN(" ",  FALSE,SeedOrder2023[[#This Row],[Company]],SeedOrder2023[[#This Row],[Variety]])</f>
        <v>Baker Creek Orchid Cream</v>
      </c>
      <c r="C24" t="s">
        <v>492</v>
      </c>
      <c r="D24" t="s">
        <v>102</v>
      </c>
      <c r="E24" t="s">
        <v>629</v>
      </c>
      <c r="F24" t="s">
        <v>866</v>
      </c>
      <c r="I24">
        <v>15</v>
      </c>
      <c r="J24" t="s">
        <v>1244</v>
      </c>
      <c r="K24">
        <v>4</v>
      </c>
      <c r="L24">
        <v>7</v>
      </c>
      <c r="M24">
        <v>0.5</v>
      </c>
      <c r="N24" t="s">
        <v>212</v>
      </c>
      <c r="O24" t="s">
        <v>212</v>
      </c>
      <c r="P24" t="s">
        <v>212</v>
      </c>
      <c r="Q24">
        <v>3.8768578632478636</v>
      </c>
      <c r="R24">
        <v>9.8000000000000007</v>
      </c>
    </row>
    <row r="25" spans="2:18">
      <c r="B25" t="str">
        <f>_xlfn.TEXTJOIN(" ",  FALSE,SeedOrder2023[[#This Row],[Company]],SeedOrder2023[[#This Row],[Variety]])</f>
        <v>Baker Creek SPOOKY MIX DIANTHUS</v>
      </c>
      <c r="C25" t="s">
        <v>492</v>
      </c>
      <c r="D25" t="s">
        <v>74</v>
      </c>
      <c r="E25" t="s">
        <v>612</v>
      </c>
      <c r="F25" t="s">
        <v>816</v>
      </c>
      <c r="I25">
        <v>100</v>
      </c>
      <c r="J25" t="s">
        <v>1244</v>
      </c>
      <c r="K25">
        <v>3.55</v>
      </c>
      <c r="L25">
        <v>1</v>
      </c>
      <c r="M25">
        <v>2</v>
      </c>
      <c r="N25" t="s">
        <v>212</v>
      </c>
      <c r="O25" t="s">
        <v>212</v>
      </c>
      <c r="P25" t="s">
        <v>212</v>
      </c>
      <c r="Q25" t="s">
        <v>212</v>
      </c>
      <c r="R25">
        <v>4.25</v>
      </c>
    </row>
    <row r="26" spans="2:18">
      <c r="B26" t="str">
        <f>_xlfn.TEXTJOIN(" ",  FALSE,SeedOrder2023[[#This Row],[Company]],SeedOrder2023[[#This Row],[Variety]])</f>
        <v>Baker Creek Superbissima Giant Rose</v>
      </c>
      <c r="C26" t="s">
        <v>492</v>
      </c>
      <c r="D26" t="s">
        <v>419</v>
      </c>
      <c r="E26" t="s">
        <v>651</v>
      </c>
      <c r="F26" t="s">
        <v>904</v>
      </c>
      <c r="I26">
        <v>50</v>
      </c>
      <c r="J26" t="s">
        <v>1244</v>
      </c>
      <c r="K26">
        <v>4</v>
      </c>
      <c r="L26">
        <v>3</v>
      </c>
      <c r="M26">
        <v>25</v>
      </c>
      <c r="N26" t="s">
        <v>212</v>
      </c>
      <c r="O26" t="s">
        <v>212</v>
      </c>
      <c r="P26" t="s">
        <v>212</v>
      </c>
      <c r="Q26">
        <v>3.8461538461538463</v>
      </c>
      <c r="R26">
        <v>4.5</v>
      </c>
    </row>
    <row r="27" spans="2:18">
      <c r="B27" t="str">
        <f>_xlfn.TEXTJOIN(" ",  FALSE,SeedOrder2023[[#This Row],[Company]],SeedOrder2023[[#This Row],[Variety]])</f>
        <v>Baker Creek Tiger Laeta</v>
      </c>
      <c r="C27" t="s">
        <v>492</v>
      </c>
      <c r="D27" t="s">
        <v>107</v>
      </c>
      <c r="E27" t="s">
        <v>640</v>
      </c>
      <c r="F27" t="s">
        <v>895</v>
      </c>
      <c r="I27">
        <v>30</v>
      </c>
      <c r="J27" t="s">
        <v>1244</v>
      </c>
      <c r="K27">
        <v>4</v>
      </c>
      <c r="L27">
        <v>6</v>
      </c>
      <c r="M27">
        <v>105</v>
      </c>
      <c r="N27" t="s">
        <v>212</v>
      </c>
      <c r="O27" t="s">
        <v>212</v>
      </c>
      <c r="P27" t="s">
        <v>212</v>
      </c>
      <c r="Q27">
        <v>1.0769230769230769</v>
      </c>
      <c r="R27">
        <v>28</v>
      </c>
    </row>
    <row r="28" spans="2:18">
      <c r="B28" t="str">
        <f>_xlfn.TEXTJOIN(" ",  FALSE,SeedOrder2023[[#This Row],[Company]],SeedOrder2023[[#This Row],[Variety]])</f>
        <v>Baker Creek Winged</v>
      </c>
      <c r="C28" t="s">
        <v>492</v>
      </c>
      <c r="D28" t="s">
        <v>451</v>
      </c>
      <c r="E28" t="s">
        <v>153</v>
      </c>
      <c r="F28" t="s">
        <v>757</v>
      </c>
      <c r="I28">
        <v>10</v>
      </c>
      <c r="J28" t="s">
        <v>1244</v>
      </c>
      <c r="K28">
        <v>5</v>
      </c>
      <c r="L28">
        <v>3</v>
      </c>
      <c r="M28">
        <v>100</v>
      </c>
      <c r="N28" t="s">
        <v>212</v>
      </c>
      <c r="O28" t="s">
        <v>212</v>
      </c>
      <c r="P28" t="s">
        <v>212</v>
      </c>
      <c r="Q28">
        <v>1.5384615384615385</v>
      </c>
      <c r="R28">
        <v>3.55</v>
      </c>
    </row>
    <row r="29" spans="2:18">
      <c r="B29" t="str">
        <f>_xlfn.TEXTJOIN(" ",  FALSE,SeedOrder2023[[#This Row],[Company]],SeedOrder2023[[#This Row],[Variety]])</f>
        <v>Garden Hoard Brad's Atomic Grape</v>
      </c>
      <c r="C29" t="s">
        <v>501</v>
      </c>
      <c r="D29" t="s">
        <v>468</v>
      </c>
      <c r="E29" t="s">
        <v>687</v>
      </c>
      <c r="F29" t="s">
        <v>909</v>
      </c>
      <c r="I29">
        <v>25</v>
      </c>
      <c r="J29" t="s">
        <v>1244</v>
      </c>
      <c r="K29">
        <v>3.15</v>
      </c>
      <c r="L29">
        <v>1</v>
      </c>
      <c r="M29">
        <v>150</v>
      </c>
      <c r="N29" t="s">
        <v>212</v>
      </c>
      <c r="O29" t="s">
        <v>212</v>
      </c>
      <c r="P29" t="s">
        <v>212</v>
      </c>
      <c r="Q29">
        <v>1.1538461538461537</v>
      </c>
      <c r="R29">
        <v>12</v>
      </c>
    </row>
    <row r="30" spans="2:18">
      <c r="B30" t="str">
        <f>_xlfn.TEXTJOIN(" ",  FALSE,SeedOrder2023[[#This Row],[Company]],SeedOrder2023[[#This Row],[Variety]])</f>
        <v>Garden Hoard Michihili</v>
      </c>
      <c r="C30" t="s">
        <v>501</v>
      </c>
      <c r="D30" t="s">
        <v>453</v>
      </c>
      <c r="E30" t="s">
        <v>500</v>
      </c>
      <c r="F30" t="s">
        <v>1195</v>
      </c>
      <c r="I30">
        <v>300</v>
      </c>
      <c r="J30" t="s">
        <v>1244</v>
      </c>
      <c r="K30">
        <v>3.25</v>
      </c>
      <c r="L30">
        <v>1</v>
      </c>
      <c r="M30">
        <v>180</v>
      </c>
      <c r="N30" t="s">
        <v>212</v>
      </c>
      <c r="O30" t="s">
        <v>212</v>
      </c>
      <c r="P30" t="s">
        <v>212</v>
      </c>
      <c r="Q30" t="s">
        <v>212</v>
      </c>
      <c r="R30">
        <v>24</v>
      </c>
    </row>
    <row r="31" spans="2:18">
      <c r="B31" t="str">
        <f>_xlfn.TEXTJOIN(" ",  FALSE,SeedOrder2023[[#This Row],[Company]],SeedOrder2023[[#This Row],[Variety]])</f>
        <v>High Mowing Astro</v>
      </c>
      <c r="C31" t="s">
        <v>482</v>
      </c>
      <c r="D31" t="s">
        <v>42</v>
      </c>
      <c r="E31" t="s">
        <v>481</v>
      </c>
      <c r="F31" t="s">
        <v>727</v>
      </c>
      <c r="G31">
        <v>13000</v>
      </c>
      <c r="H31" t="s">
        <v>1242</v>
      </c>
      <c r="I31">
        <v>2</v>
      </c>
      <c r="J31" t="s">
        <v>1242</v>
      </c>
      <c r="K31">
        <v>10.45</v>
      </c>
      <c r="L31">
        <v>1</v>
      </c>
      <c r="M31">
        <v>30</v>
      </c>
      <c r="N31" t="s">
        <v>212</v>
      </c>
      <c r="O31" t="s">
        <v>212</v>
      </c>
      <c r="P31" t="s">
        <v>212</v>
      </c>
      <c r="Q31">
        <v>1.1538461538461537</v>
      </c>
      <c r="R31">
        <v>15</v>
      </c>
    </row>
    <row r="32" spans="2:18">
      <c r="B32" t="str">
        <f>_xlfn.TEXTJOIN(" ",  FALSE,SeedOrder2023[[#This Row],[Company]],SeedOrder2023[[#This Row],[Variety]])</f>
        <v>High Mowing Bengala F1</v>
      </c>
      <c r="C32" t="s">
        <v>482</v>
      </c>
      <c r="D32" t="s">
        <v>53</v>
      </c>
      <c r="E32" t="s">
        <v>1269</v>
      </c>
      <c r="F32" t="s">
        <v>1268</v>
      </c>
      <c r="G32">
        <v>11000</v>
      </c>
      <c r="H32" t="s">
        <v>1242</v>
      </c>
      <c r="I32">
        <v>2000</v>
      </c>
      <c r="J32" t="s">
        <v>1244</v>
      </c>
      <c r="K32">
        <v>8.25</v>
      </c>
      <c r="L32">
        <v>1</v>
      </c>
      <c r="M32">
        <v>25</v>
      </c>
      <c r="N32" t="s">
        <v>212</v>
      </c>
      <c r="O32" t="s">
        <v>212</v>
      </c>
      <c r="P32" t="s">
        <v>212</v>
      </c>
      <c r="Q32">
        <v>0.72115384615384626</v>
      </c>
      <c r="R32">
        <v>3.15</v>
      </c>
    </row>
    <row r="33" spans="2:19">
      <c r="B33" t="str">
        <f>_xlfn.TEXTJOIN(" ",  FALSE,SeedOrder2023[[#This Row],[Company]],SeedOrder2023[[#This Row],[Variety]])</f>
        <v>High Mowing Blue</v>
      </c>
      <c r="C33" t="s">
        <v>482</v>
      </c>
      <c r="D33" t="s">
        <v>104</v>
      </c>
      <c r="E33" t="s">
        <v>495</v>
      </c>
      <c r="F33" t="s">
        <v>868</v>
      </c>
      <c r="I33">
        <v>250</v>
      </c>
      <c r="J33" t="s">
        <v>1244</v>
      </c>
      <c r="K33">
        <v>5.8</v>
      </c>
      <c r="L33">
        <v>1</v>
      </c>
      <c r="M33">
        <v>300</v>
      </c>
      <c r="N33" t="s">
        <v>212</v>
      </c>
      <c r="O33" t="s">
        <v>212</v>
      </c>
      <c r="P33" t="s">
        <v>212</v>
      </c>
      <c r="Q33">
        <v>2.8846153846153846</v>
      </c>
      <c r="R33">
        <v>3.25</v>
      </c>
    </row>
    <row r="34" spans="2:19">
      <c r="B34" t="str">
        <f>_xlfn.TEXTJOIN(" ",  FALSE,SeedOrder2023[[#This Row],[Company]],SeedOrder2023[[#This Row],[Variety]])</f>
        <v>High Mowing Boro F1</v>
      </c>
      <c r="C34" t="s">
        <v>482</v>
      </c>
      <c r="D34" t="s">
        <v>46</v>
      </c>
      <c r="E34" t="s">
        <v>763</v>
      </c>
      <c r="F34" t="s">
        <v>1256</v>
      </c>
      <c r="G34">
        <v>2000</v>
      </c>
      <c r="H34" t="s">
        <v>1242</v>
      </c>
      <c r="I34">
        <v>1000</v>
      </c>
      <c r="J34" t="s">
        <v>1244</v>
      </c>
      <c r="K34">
        <v>8.3000000000000007</v>
      </c>
      <c r="L34">
        <v>1</v>
      </c>
      <c r="M34">
        <v>2</v>
      </c>
      <c r="N34" t="s">
        <v>212</v>
      </c>
      <c r="O34" t="s">
        <v>212</v>
      </c>
      <c r="P34" t="s">
        <v>212</v>
      </c>
      <c r="Q34">
        <v>1.3157894736842106</v>
      </c>
      <c r="R34">
        <v>10.45</v>
      </c>
    </row>
    <row r="35" spans="2:19">
      <c r="B35" t="str">
        <f>_xlfn.TEXTJOIN(" ",  FALSE,SeedOrder2023[[#This Row],[Company]],SeedOrder2023[[#This Row],[Variety]])</f>
        <v>High Mowing COCOZELLE</v>
      </c>
      <c r="C35" t="s">
        <v>482</v>
      </c>
      <c r="D35" t="s">
        <v>128</v>
      </c>
      <c r="E35" t="s">
        <v>679</v>
      </c>
      <c r="F35" t="s">
        <v>1122</v>
      </c>
      <c r="G35">
        <v>160</v>
      </c>
      <c r="H35" t="s">
        <v>1242</v>
      </c>
      <c r="I35">
        <v>0.125</v>
      </c>
      <c r="J35" t="s">
        <v>1242</v>
      </c>
      <c r="K35">
        <v>3.55</v>
      </c>
      <c r="L35">
        <v>1</v>
      </c>
      <c r="M35">
        <v>2000</v>
      </c>
      <c r="N35" t="s">
        <v>212</v>
      </c>
      <c r="O35" t="s">
        <v>212</v>
      </c>
      <c r="P35" t="s">
        <v>212</v>
      </c>
      <c r="Q35">
        <v>0.85470085470085466</v>
      </c>
      <c r="R35">
        <v>8.25</v>
      </c>
    </row>
    <row r="36" spans="2:19">
      <c r="B36" t="str">
        <f>_xlfn.TEXTJOIN(" ",  FALSE,SeedOrder2023[[#This Row],[Company]],SeedOrder2023[[#This Row],[Variety]])</f>
        <v>High Mowing COSTATA ROMANESCO ZUCCHINI</v>
      </c>
      <c r="C36" t="s">
        <v>482</v>
      </c>
      <c r="D36" t="s">
        <v>128</v>
      </c>
      <c r="E36" t="s">
        <v>678</v>
      </c>
      <c r="F36" t="s">
        <v>1120</v>
      </c>
      <c r="G36">
        <v>260</v>
      </c>
      <c r="H36" t="s">
        <v>1242</v>
      </c>
      <c r="I36">
        <v>0.125</v>
      </c>
      <c r="J36" t="s">
        <v>1242</v>
      </c>
      <c r="K36">
        <v>3.55</v>
      </c>
      <c r="L36">
        <v>1</v>
      </c>
      <c r="M36">
        <v>250</v>
      </c>
      <c r="N36" t="s">
        <v>212</v>
      </c>
      <c r="O36" t="s">
        <v>212</v>
      </c>
      <c r="P36" t="s">
        <v>212</v>
      </c>
      <c r="Q36">
        <v>1.4423076923076925</v>
      </c>
      <c r="R36">
        <v>5.8</v>
      </c>
      <c r="S36" t="s">
        <v>1246</v>
      </c>
    </row>
    <row r="37" spans="2:19">
      <c r="B37" t="str">
        <f>_xlfn.TEXTJOIN(" ",  FALSE,SeedOrder2023[[#This Row],[Company]],SeedOrder2023[[#This Row],[Variety]])</f>
        <v>High Mowing Cramer's Plum</v>
      </c>
      <c r="C37" t="s">
        <v>482</v>
      </c>
      <c r="D37" t="s">
        <v>104</v>
      </c>
      <c r="E37" t="s">
        <v>633</v>
      </c>
      <c r="F37" t="s">
        <v>886</v>
      </c>
      <c r="I37">
        <v>250</v>
      </c>
      <c r="J37" t="s">
        <v>1244</v>
      </c>
      <c r="K37">
        <v>6.5</v>
      </c>
      <c r="L37">
        <v>1</v>
      </c>
      <c r="M37">
        <v>1000</v>
      </c>
      <c r="N37" t="s">
        <v>212</v>
      </c>
      <c r="O37" t="s">
        <v>212</v>
      </c>
      <c r="P37" t="s">
        <v>212</v>
      </c>
      <c r="Q37">
        <v>3.4188034188034186</v>
      </c>
      <c r="R37">
        <v>8.3000000000000007</v>
      </c>
    </row>
    <row r="38" spans="2:19">
      <c r="B38" t="str">
        <f>_xlfn.TEXTJOIN(" ",  FALSE,SeedOrder2023[[#This Row],[Company]],SeedOrder2023[[#This Row],[Variety]])</f>
        <v>High Mowing Deep Purple Basil</v>
      </c>
      <c r="C38" t="s">
        <v>482</v>
      </c>
      <c r="D38" t="s">
        <v>462</v>
      </c>
      <c r="E38" t="s">
        <v>485</v>
      </c>
      <c r="F38" t="s">
        <v>744</v>
      </c>
      <c r="G38">
        <v>20000</v>
      </c>
      <c r="H38" t="s">
        <v>1242</v>
      </c>
      <c r="I38">
        <v>3.125E-2</v>
      </c>
      <c r="J38" t="s">
        <v>1242</v>
      </c>
      <c r="K38">
        <v>3.55</v>
      </c>
      <c r="L38">
        <v>1</v>
      </c>
      <c r="M38">
        <v>0.125</v>
      </c>
      <c r="N38" t="s">
        <v>212</v>
      </c>
      <c r="O38" t="s">
        <v>212</v>
      </c>
      <c r="P38" t="s">
        <v>212</v>
      </c>
      <c r="Q38">
        <v>1.2307692307692308</v>
      </c>
      <c r="R38">
        <v>3.55</v>
      </c>
    </row>
    <row r="39" spans="2:19">
      <c r="B39" t="str">
        <f>_xlfn.TEXTJOIN(" ",  FALSE,SeedOrder2023[[#This Row],[Company]],SeedOrder2023[[#This Row],[Variety]])</f>
        <v>High Mowing Honeynut</v>
      </c>
      <c r="C39" t="s">
        <v>482</v>
      </c>
      <c r="D39" t="s">
        <v>124</v>
      </c>
      <c r="E39" t="s">
        <v>684</v>
      </c>
      <c r="F39" t="s">
        <v>1225</v>
      </c>
      <c r="G39">
        <v>300</v>
      </c>
      <c r="H39" t="s">
        <v>1242</v>
      </c>
      <c r="I39">
        <v>0.125</v>
      </c>
      <c r="J39" t="s">
        <v>1242</v>
      </c>
      <c r="K39">
        <v>4.5</v>
      </c>
      <c r="L39">
        <v>1</v>
      </c>
      <c r="M39">
        <v>0.125</v>
      </c>
      <c r="N39" t="s">
        <v>212</v>
      </c>
      <c r="O39" t="s">
        <v>212</v>
      </c>
      <c r="P39" t="s">
        <v>212</v>
      </c>
      <c r="Q39">
        <v>2</v>
      </c>
      <c r="R39">
        <v>3.55</v>
      </c>
    </row>
    <row r="40" spans="2:19">
      <c r="B40" t="str">
        <f>_xlfn.TEXTJOIN(" ",  FALSE,SeedOrder2023[[#This Row],[Company]],SeedOrder2023[[#This Row],[Variety]])</f>
        <v>High Mowing Komatsuna</v>
      </c>
      <c r="C40" t="s">
        <v>482</v>
      </c>
      <c r="D40" t="s">
        <v>90</v>
      </c>
      <c r="E40" t="s">
        <v>90</v>
      </c>
      <c r="F40" t="s">
        <v>728</v>
      </c>
      <c r="G40">
        <v>12500</v>
      </c>
      <c r="H40" t="s">
        <v>1242</v>
      </c>
      <c r="I40">
        <v>0.5</v>
      </c>
      <c r="J40" t="s">
        <v>1242</v>
      </c>
      <c r="K40">
        <v>8.3000000000000007</v>
      </c>
      <c r="L40">
        <v>1</v>
      </c>
      <c r="M40">
        <v>250</v>
      </c>
      <c r="N40" t="s">
        <v>212</v>
      </c>
      <c r="O40" t="s">
        <v>212</v>
      </c>
      <c r="P40" t="s">
        <v>212</v>
      </c>
      <c r="Q40">
        <v>1.4423076923076925</v>
      </c>
      <c r="R40">
        <v>6.5</v>
      </c>
      <c r="S40" t="s">
        <v>1246</v>
      </c>
    </row>
    <row r="41" spans="2:19">
      <c r="B41" t="str">
        <f>_xlfn.TEXTJOIN(" ",  FALSE,SeedOrder2023[[#This Row],[Company]],SeedOrder2023[[#This Row],[Variety]])</f>
        <v>High Mowing LION'S MOUTH BLEND</v>
      </c>
      <c r="C41" t="s">
        <v>482</v>
      </c>
      <c r="D41" t="s">
        <v>121</v>
      </c>
      <c r="E41" t="s">
        <v>675</v>
      </c>
      <c r="F41" t="s">
        <v>935</v>
      </c>
      <c r="G41">
        <v>100000</v>
      </c>
      <c r="H41" t="s">
        <v>1242</v>
      </c>
      <c r="I41">
        <v>1.5625E-2</v>
      </c>
      <c r="J41" t="s">
        <v>1242</v>
      </c>
      <c r="K41">
        <v>3.55</v>
      </c>
      <c r="L41">
        <v>1</v>
      </c>
      <c r="M41">
        <v>3.125E-2</v>
      </c>
      <c r="N41" t="s">
        <v>212</v>
      </c>
      <c r="O41" t="s">
        <v>212</v>
      </c>
      <c r="P41" t="s">
        <v>212</v>
      </c>
      <c r="Q41">
        <v>6.009615384615385</v>
      </c>
      <c r="R41">
        <v>3.55</v>
      </c>
    </row>
    <row r="42" spans="2:19">
      <c r="B42" t="str">
        <f>_xlfn.TEXTJOIN(" ",  FALSE,SeedOrder2023[[#This Row],[Company]],SeedOrder2023[[#This Row],[Variety]])</f>
        <v>High Mowing Mardi F1</v>
      </c>
      <c r="C42" t="s">
        <v>482</v>
      </c>
      <c r="D42" t="s">
        <v>54</v>
      </c>
      <c r="E42" t="s">
        <v>506</v>
      </c>
      <c r="F42" t="s">
        <v>1197</v>
      </c>
      <c r="L42">
        <v>1</v>
      </c>
      <c r="M42">
        <v>0.125</v>
      </c>
      <c r="N42" t="s">
        <v>212</v>
      </c>
      <c r="O42" t="s">
        <v>212</v>
      </c>
      <c r="P42" t="s">
        <v>212</v>
      </c>
      <c r="Q42">
        <v>2.3076923076923075</v>
      </c>
      <c r="R42">
        <v>4.5</v>
      </c>
      <c r="S42" t="s">
        <v>1245</v>
      </c>
    </row>
    <row r="43" spans="2:19">
      <c r="B43" t="str">
        <f>_xlfn.TEXTJOIN(" ",  FALSE,SeedOrder2023[[#This Row],[Company]],SeedOrder2023[[#This Row],[Variety]])</f>
        <v>High Mowing Polka dot (mix)</v>
      </c>
      <c r="C43" t="s">
        <v>482</v>
      </c>
      <c r="D43" t="s">
        <v>65</v>
      </c>
      <c r="E43" t="s">
        <v>591</v>
      </c>
      <c r="F43" t="s">
        <v>730</v>
      </c>
      <c r="G43">
        <v>6250</v>
      </c>
      <c r="H43" t="s">
        <v>1242</v>
      </c>
      <c r="I43">
        <v>3.125E-2</v>
      </c>
      <c r="J43" t="s">
        <v>1242</v>
      </c>
      <c r="K43">
        <v>3.55</v>
      </c>
      <c r="L43">
        <v>1</v>
      </c>
      <c r="M43">
        <v>0.5</v>
      </c>
      <c r="N43" t="s">
        <v>212</v>
      </c>
      <c r="O43" t="s">
        <v>212</v>
      </c>
      <c r="P43" t="s">
        <v>212</v>
      </c>
      <c r="Q43">
        <v>3.0048076923076925</v>
      </c>
      <c r="R43">
        <v>8.3000000000000007</v>
      </c>
    </row>
    <row r="44" spans="2:19">
      <c r="B44" t="str">
        <f>_xlfn.TEXTJOIN(" ",  FALSE,SeedOrder2023[[#This Row],[Company]],SeedOrder2023[[#This Row],[Variety]])</f>
        <v>High Mowing Rouge d'hiver</v>
      </c>
      <c r="C44" t="s">
        <v>482</v>
      </c>
      <c r="D44" t="s">
        <v>92</v>
      </c>
      <c r="E44" t="s">
        <v>537</v>
      </c>
      <c r="F44" t="s">
        <v>1027</v>
      </c>
      <c r="G44">
        <v>24000</v>
      </c>
      <c r="H44" t="s">
        <v>1242</v>
      </c>
      <c r="I44">
        <v>3.125E-2</v>
      </c>
      <c r="J44" t="s">
        <v>1242</v>
      </c>
      <c r="K44">
        <v>3.55</v>
      </c>
      <c r="L44">
        <v>1</v>
      </c>
      <c r="M44">
        <v>1.5625E-2</v>
      </c>
      <c r="N44" t="s">
        <v>212</v>
      </c>
      <c r="O44" t="s">
        <v>212</v>
      </c>
      <c r="P44" t="s">
        <v>212</v>
      </c>
      <c r="Q44">
        <v>4.0064102564102564</v>
      </c>
      <c r="R44">
        <v>3.55</v>
      </c>
    </row>
    <row r="45" spans="2:19">
      <c r="B45" t="str">
        <f>_xlfn.TEXTJOIN(" ",  FALSE,SeedOrder2023[[#This Row],[Company]],SeedOrder2023[[#This Row],[Variety]])</f>
        <v>High Mowing Rudbeckia hirta</v>
      </c>
      <c r="C45" t="s">
        <v>482</v>
      </c>
      <c r="D45" t="s">
        <v>140</v>
      </c>
      <c r="E45" t="s">
        <v>663</v>
      </c>
      <c r="F45" t="s">
        <v>920</v>
      </c>
      <c r="I45">
        <v>50</v>
      </c>
      <c r="J45" t="s">
        <v>1244</v>
      </c>
      <c r="K45">
        <v>3.55</v>
      </c>
      <c r="L45">
        <v>1</v>
      </c>
      <c r="M45">
        <v>0</v>
      </c>
      <c r="N45" t="s">
        <v>212</v>
      </c>
      <c r="O45" t="s">
        <v>212</v>
      </c>
      <c r="P45" t="s">
        <v>212</v>
      </c>
      <c r="Q45" t="s">
        <v>212</v>
      </c>
      <c r="R45">
        <v>0</v>
      </c>
    </row>
    <row r="46" spans="2:19">
      <c r="B46" t="str">
        <f>_xlfn.TEXTJOIN(" ",  FALSE,SeedOrder2023[[#This Row],[Company]],SeedOrder2023[[#This Row],[Variety]])</f>
        <v>High Mowing SCHWARZER RUNDER RADISH</v>
      </c>
      <c r="C46" t="s">
        <v>482</v>
      </c>
      <c r="D46" t="s">
        <v>466</v>
      </c>
      <c r="E46" t="s">
        <v>671</v>
      </c>
      <c r="F46" t="s">
        <v>1091</v>
      </c>
      <c r="G46">
        <v>2650</v>
      </c>
      <c r="H46" t="s">
        <v>1242</v>
      </c>
      <c r="I46">
        <v>6.25E-2</v>
      </c>
      <c r="J46" t="s">
        <v>1242</v>
      </c>
      <c r="K46">
        <v>3.55</v>
      </c>
      <c r="L46">
        <v>1</v>
      </c>
      <c r="M46">
        <v>3.125E-2</v>
      </c>
      <c r="N46" t="s">
        <v>212</v>
      </c>
      <c r="O46" t="s">
        <v>212</v>
      </c>
      <c r="P46" t="s">
        <v>212</v>
      </c>
      <c r="Q46">
        <v>0.90144230769230771</v>
      </c>
      <c r="R46">
        <v>3.55</v>
      </c>
    </row>
    <row r="47" spans="2:19">
      <c r="B47" t="str">
        <f>_xlfn.TEXTJOIN(" ",  FALSE,SeedOrder2023[[#This Row],[Company]],SeedOrder2023[[#This Row],[Variety]])</f>
        <v>High Mowing Tasty Green F1</v>
      </c>
      <c r="C47" t="s">
        <v>482</v>
      </c>
      <c r="D47" t="s">
        <v>456</v>
      </c>
      <c r="E47" t="s">
        <v>520</v>
      </c>
      <c r="F47" t="s">
        <v>801</v>
      </c>
      <c r="I47">
        <v>250</v>
      </c>
      <c r="J47" t="s">
        <v>1244</v>
      </c>
      <c r="K47">
        <v>15.45</v>
      </c>
      <c r="L47">
        <v>1</v>
      </c>
      <c r="M47">
        <v>3.125E-2</v>
      </c>
      <c r="N47" t="s">
        <v>212</v>
      </c>
      <c r="O47" t="s">
        <v>212</v>
      </c>
      <c r="P47" t="s">
        <v>212</v>
      </c>
      <c r="Q47">
        <v>3.8461538461538458</v>
      </c>
      <c r="R47">
        <v>3.55</v>
      </c>
    </row>
    <row r="48" spans="2:19">
      <c r="B48" t="str">
        <f>_xlfn.TEXTJOIN(" ",  FALSE,SeedOrder2023[[#This Row],[Company]],SeedOrder2023[[#This Row],[Variety]])</f>
        <v>High Mowing Waltham</v>
      </c>
      <c r="C48" t="s">
        <v>482</v>
      </c>
      <c r="D48" t="s">
        <v>124</v>
      </c>
      <c r="E48" t="s">
        <v>683</v>
      </c>
      <c r="F48" t="s">
        <v>1225</v>
      </c>
      <c r="G48">
        <v>300</v>
      </c>
      <c r="H48" t="s">
        <v>1242</v>
      </c>
      <c r="I48">
        <v>0.125</v>
      </c>
      <c r="J48" t="s">
        <v>1242</v>
      </c>
      <c r="K48">
        <v>4.5</v>
      </c>
      <c r="L48">
        <v>1</v>
      </c>
      <c r="M48">
        <v>50</v>
      </c>
      <c r="N48" t="s">
        <v>212</v>
      </c>
      <c r="O48" t="s">
        <v>212</v>
      </c>
      <c r="P48" t="s">
        <v>212</v>
      </c>
      <c r="Q48">
        <v>2.6923076923076925</v>
      </c>
      <c r="R48">
        <v>3.55</v>
      </c>
    </row>
    <row r="49" spans="2:19">
      <c r="B49" t="str">
        <f>_xlfn.TEXTJOIN(" ",  FALSE,SeedOrder2023[[#This Row],[Company]],SeedOrder2023[[#This Row],[Variety]])</f>
        <v>Irish Eyes Allred</v>
      </c>
      <c r="C49" t="s">
        <v>653</v>
      </c>
      <c r="D49" t="s">
        <v>465</v>
      </c>
      <c r="E49" t="s">
        <v>654</v>
      </c>
      <c r="F49" t="s">
        <v>1077</v>
      </c>
      <c r="I49">
        <v>15</v>
      </c>
      <c r="J49" t="s">
        <v>1244</v>
      </c>
      <c r="K49">
        <v>21.95</v>
      </c>
      <c r="L49">
        <v>4</v>
      </c>
      <c r="M49">
        <v>6.25E-2</v>
      </c>
      <c r="N49" t="s">
        <v>212</v>
      </c>
      <c r="O49" t="s">
        <v>212</v>
      </c>
      <c r="P49" t="s">
        <v>212</v>
      </c>
      <c r="Q49">
        <v>1.9110576923076923</v>
      </c>
      <c r="R49">
        <v>3.55</v>
      </c>
    </row>
    <row r="50" spans="2:19">
      <c r="B50" t="str">
        <f>_xlfn.TEXTJOIN(" ",  FALSE,SeedOrder2023[[#This Row],[Company]],SeedOrder2023[[#This Row],[Variety]])</f>
        <v>Irish Eyes OG Viking Purple Potato</v>
      </c>
      <c r="C50" t="s">
        <v>653</v>
      </c>
      <c r="D50" t="s">
        <v>465</v>
      </c>
      <c r="E50" t="s">
        <v>652</v>
      </c>
      <c r="F50" t="s">
        <v>1079</v>
      </c>
      <c r="G50">
        <v>10</v>
      </c>
      <c r="H50" t="s">
        <v>1241</v>
      </c>
      <c r="I50">
        <v>10</v>
      </c>
      <c r="J50" t="s">
        <v>1241</v>
      </c>
      <c r="K50">
        <v>40</v>
      </c>
      <c r="L50">
        <v>1</v>
      </c>
      <c r="M50">
        <v>250</v>
      </c>
      <c r="N50" t="s">
        <v>212</v>
      </c>
      <c r="O50" t="s">
        <v>212</v>
      </c>
      <c r="P50" t="s">
        <v>212</v>
      </c>
      <c r="Q50">
        <v>1.9230769230769231</v>
      </c>
      <c r="R50">
        <v>15.45</v>
      </c>
    </row>
    <row r="51" spans="2:19">
      <c r="B51" t="str">
        <f>_xlfn.TEXTJOIN(" ",  FALSE,SeedOrder2023[[#This Row],[Company]],SeedOrder2023[[#This Row],[Variety]])</f>
        <v>Johnny's Antique Pink</v>
      </c>
      <c r="C51" t="s">
        <v>490</v>
      </c>
      <c r="D51" t="s">
        <v>459</v>
      </c>
      <c r="E51" t="s">
        <v>174</v>
      </c>
      <c r="F51" t="s">
        <v>941</v>
      </c>
      <c r="G51">
        <v>13800</v>
      </c>
      <c r="H51" t="s">
        <v>1242</v>
      </c>
      <c r="I51">
        <v>500</v>
      </c>
      <c r="J51" t="s">
        <v>1244</v>
      </c>
      <c r="K51">
        <v>15.25</v>
      </c>
      <c r="L51">
        <v>1</v>
      </c>
      <c r="M51">
        <v>0.125</v>
      </c>
      <c r="N51" t="s">
        <v>212</v>
      </c>
      <c r="O51" t="s">
        <v>212</v>
      </c>
      <c r="P51" t="s">
        <v>212</v>
      </c>
      <c r="Q51">
        <v>2.3076923076923075</v>
      </c>
      <c r="R51">
        <v>4.5</v>
      </c>
    </row>
    <row r="52" spans="2:19">
      <c r="B52" t="str">
        <f>_xlfn.TEXTJOIN(" ",  FALSE,SeedOrder2023[[#This Row],[Company]],SeedOrder2023[[#This Row],[Variety]])</f>
        <v>Johnny's Iron Pastel Mix</v>
      </c>
      <c r="C52" t="s">
        <v>490</v>
      </c>
      <c r="D52" t="s">
        <v>459</v>
      </c>
      <c r="E52" t="s">
        <v>680</v>
      </c>
      <c r="F52" t="s">
        <v>939</v>
      </c>
      <c r="G52">
        <v>16600</v>
      </c>
      <c r="H52" t="s">
        <v>1242</v>
      </c>
      <c r="I52">
        <v>500</v>
      </c>
      <c r="J52" t="s">
        <v>1244</v>
      </c>
      <c r="K52">
        <v>15.25</v>
      </c>
      <c r="L52">
        <v>1</v>
      </c>
      <c r="M52">
        <v>60</v>
      </c>
      <c r="N52" t="s">
        <v>212</v>
      </c>
      <c r="O52" t="s">
        <v>212</v>
      </c>
      <c r="P52" t="s">
        <v>212</v>
      </c>
      <c r="Q52">
        <v>0.92307692307692313</v>
      </c>
      <c r="R52">
        <v>87.8</v>
      </c>
    </row>
    <row r="53" spans="2:19">
      <c r="B53" t="str">
        <f>_xlfn.TEXTJOIN(" ",  FALSE,SeedOrder2023[[#This Row],[Company]],SeedOrder2023[[#This Row],[Variety]])</f>
        <v>Johnny's Katz Formula Mix</v>
      </c>
      <c r="C53" t="s">
        <v>490</v>
      </c>
      <c r="D53" t="s">
        <v>459</v>
      </c>
      <c r="E53" t="s">
        <v>681</v>
      </c>
      <c r="F53" t="s">
        <v>940</v>
      </c>
      <c r="G53">
        <v>17000</v>
      </c>
      <c r="H53" t="s">
        <v>1242</v>
      </c>
      <c r="I53">
        <v>1000</v>
      </c>
      <c r="J53" t="s">
        <v>1244</v>
      </c>
      <c r="K53">
        <v>12.35</v>
      </c>
      <c r="L53">
        <v>1</v>
      </c>
      <c r="M53">
        <v>10</v>
      </c>
      <c r="N53" t="s">
        <v>212</v>
      </c>
      <c r="O53" t="s">
        <v>212</v>
      </c>
      <c r="P53" t="s">
        <v>212</v>
      </c>
      <c r="Q53">
        <v>1.5384615384615385</v>
      </c>
      <c r="R53">
        <v>40</v>
      </c>
      <c r="S53" t="s">
        <v>1282</v>
      </c>
    </row>
    <row r="54" spans="2:19">
      <c r="B54" t="str">
        <f>_xlfn.TEXTJOIN(" ",  FALSE,SeedOrder2023[[#This Row],[Company]],SeedOrder2023[[#This Row],[Variety]])</f>
        <v>Johnny's Madam Butterfly Mix</v>
      </c>
      <c r="C54" t="s">
        <v>490</v>
      </c>
      <c r="D54" t="s">
        <v>121</v>
      </c>
      <c r="E54" t="s">
        <v>674</v>
      </c>
      <c r="F54" t="s">
        <v>934</v>
      </c>
      <c r="G54">
        <v>154000</v>
      </c>
      <c r="H54" t="s">
        <v>1242</v>
      </c>
      <c r="I54">
        <v>500</v>
      </c>
      <c r="J54" t="s">
        <v>1244</v>
      </c>
      <c r="K54">
        <v>12.25</v>
      </c>
      <c r="L54">
        <v>1</v>
      </c>
      <c r="M54">
        <v>500</v>
      </c>
      <c r="N54" t="s">
        <v>212</v>
      </c>
      <c r="O54" t="s">
        <v>212</v>
      </c>
      <c r="P54" t="s">
        <v>212</v>
      </c>
      <c r="Q54">
        <v>1.153846153846154</v>
      </c>
      <c r="R54">
        <v>15.25</v>
      </c>
    </row>
    <row r="55" spans="2:19">
      <c r="B55" t="str">
        <f>_xlfn.TEXTJOIN(" ",  FALSE,SeedOrder2023[[#This Row],[Company]],SeedOrder2023[[#This Row],[Variety]])</f>
        <v>Johnny's Red Hedge</v>
      </c>
      <c r="C55" t="s">
        <v>490</v>
      </c>
      <c r="D55" t="s">
        <v>460</v>
      </c>
      <c r="E55" t="s">
        <v>587</v>
      </c>
      <c r="F55" t="s">
        <v>955</v>
      </c>
      <c r="G55">
        <v>800</v>
      </c>
      <c r="H55" t="s">
        <v>1242</v>
      </c>
      <c r="I55">
        <v>500</v>
      </c>
      <c r="J55" t="s">
        <v>1244</v>
      </c>
      <c r="K55">
        <v>20.7</v>
      </c>
      <c r="L55">
        <v>1</v>
      </c>
      <c r="M55">
        <v>500</v>
      </c>
      <c r="N55" t="s">
        <v>212</v>
      </c>
      <c r="O55" t="s">
        <v>212</v>
      </c>
      <c r="P55" t="s">
        <v>212</v>
      </c>
      <c r="Q55">
        <v>1.153846153846154</v>
      </c>
      <c r="R55">
        <v>15.25</v>
      </c>
    </row>
    <row r="56" spans="2:19">
      <c r="B56" t="str">
        <f>_xlfn.TEXTJOIN(" ",  FALSE,SeedOrder2023[[#This Row],[Company]],SeedOrder2023[[#This Row],[Variety]])</f>
        <v>Johnny's Zephyr</v>
      </c>
      <c r="C56" t="s">
        <v>490</v>
      </c>
      <c r="D56" t="s">
        <v>128</v>
      </c>
      <c r="E56" t="s">
        <v>677</v>
      </c>
      <c r="F56" t="s">
        <v>1128</v>
      </c>
      <c r="I56">
        <v>30</v>
      </c>
      <c r="J56" t="s">
        <v>1244</v>
      </c>
      <c r="K56">
        <v>5.5</v>
      </c>
      <c r="L56">
        <v>1</v>
      </c>
      <c r="M56">
        <v>1000</v>
      </c>
      <c r="N56" t="s">
        <v>212</v>
      </c>
      <c r="O56" t="s">
        <v>212</v>
      </c>
      <c r="P56" t="s">
        <v>212</v>
      </c>
      <c r="Q56">
        <v>2.3076923076923079</v>
      </c>
      <c r="R56">
        <v>12.35</v>
      </c>
    </row>
    <row r="57" spans="2:19">
      <c r="B57" t="str">
        <f>_xlfn.TEXTJOIN(" ",  FALSE,SeedOrder2023[[#This Row],[Company]],SeedOrder2023[[#This Row],[Variety]])</f>
        <v>Johnny's Black Button</v>
      </c>
      <c r="C57" t="s">
        <v>490</v>
      </c>
      <c r="D57" t="s">
        <v>65</v>
      </c>
      <c r="E57" t="s">
        <v>594</v>
      </c>
      <c r="F57" t="s">
        <v>733</v>
      </c>
      <c r="G57">
        <v>5900</v>
      </c>
      <c r="H57" t="s">
        <v>1242</v>
      </c>
      <c r="I57">
        <v>0.5</v>
      </c>
      <c r="J57" t="s">
        <v>1242</v>
      </c>
      <c r="K57">
        <v>12</v>
      </c>
      <c r="L57">
        <v>1</v>
      </c>
      <c r="M57">
        <v>500</v>
      </c>
      <c r="N57" t="s">
        <v>212</v>
      </c>
      <c r="O57" t="s">
        <v>212</v>
      </c>
      <c r="P57" t="s">
        <v>212</v>
      </c>
      <c r="Q57">
        <v>1.2820512820512822</v>
      </c>
      <c r="R57">
        <v>12.25</v>
      </c>
    </row>
    <row r="58" spans="2:19">
      <c r="B58" t="str">
        <f>_xlfn.TEXTJOIN(" ",  FALSE,SeedOrder2023[[#This Row],[Company]],SeedOrder2023[[#This Row],[Variety]])</f>
        <v>Johnny's Classic Magic (purple, black)</v>
      </c>
      <c r="C58" t="s">
        <v>490</v>
      </c>
      <c r="D58" t="s">
        <v>65</v>
      </c>
      <c r="E58" t="s">
        <v>595</v>
      </c>
      <c r="F58" t="s">
        <v>734</v>
      </c>
      <c r="G58">
        <v>5900</v>
      </c>
      <c r="H58" t="s">
        <v>1242</v>
      </c>
      <c r="I58">
        <v>0.5</v>
      </c>
      <c r="J58" t="s">
        <v>1242</v>
      </c>
      <c r="K58">
        <v>5.5</v>
      </c>
      <c r="L58">
        <v>1</v>
      </c>
      <c r="M58">
        <v>500</v>
      </c>
      <c r="N58" t="s">
        <v>212</v>
      </c>
      <c r="O58" t="s">
        <v>212</v>
      </c>
      <c r="P58" t="s">
        <v>212</v>
      </c>
      <c r="Q58">
        <v>1.9230769230769231</v>
      </c>
      <c r="R58">
        <v>20.7</v>
      </c>
    </row>
    <row r="59" spans="2:19">
      <c r="B59" t="str">
        <f>_xlfn.TEXTJOIN(" ",  FALSE,SeedOrder2023[[#This Row],[Company]],SeedOrder2023[[#This Row],[Variety]])</f>
        <v>Johnny's Classic Romantic (reds, pinks, white)</v>
      </c>
      <c r="C59" t="s">
        <v>490</v>
      </c>
      <c r="D59" t="s">
        <v>65</v>
      </c>
      <c r="E59" t="s">
        <v>593</v>
      </c>
      <c r="F59" t="s">
        <v>732</v>
      </c>
      <c r="G59">
        <v>6300</v>
      </c>
      <c r="H59" t="s">
        <v>1242</v>
      </c>
      <c r="I59">
        <v>0.5</v>
      </c>
      <c r="J59" t="s">
        <v>1242</v>
      </c>
      <c r="K59">
        <v>12</v>
      </c>
      <c r="L59">
        <v>1</v>
      </c>
      <c r="M59">
        <v>30</v>
      </c>
      <c r="N59" t="s">
        <v>212</v>
      </c>
      <c r="O59" t="s">
        <v>212</v>
      </c>
      <c r="P59" t="s">
        <v>212</v>
      </c>
      <c r="Q59">
        <v>1.8461538461538463</v>
      </c>
      <c r="R59">
        <v>5.5</v>
      </c>
    </row>
    <row r="60" spans="2:19">
      <c r="B60" t="str">
        <f>_xlfn.TEXTJOIN(" ",  FALSE,SeedOrder2023[[#This Row],[Company]],SeedOrder2023[[#This Row],[Variety]])</f>
        <v>Johnny's Coco</v>
      </c>
      <c r="C60" t="s">
        <v>490</v>
      </c>
      <c r="D60" t="s">
        <v>97</v>
      </c>
      <c r="E60" t="s">
        <v>623</v>
      </c>
      <c r="F60" t="s">
        <v>875</v>
      </c>
      <c r="G60">
        <v>9200</v>
      </c>
      <c r="H60" t="s">
        <v>1242</v>
      </c>
      <c r="I60">
        <v>25</v>
      </c>
      <c r="J60" t="s">
        <v>1244</v>
      </c>
      <c r="K60">
        <v>6.9</v>
      </c>
      <c r="L60">
        <v>1</v>
      </c>
      <c r="M60">
        <v>0.5</v>
      </c>
      <c r="N60" t="s">
        <v>212</v>
      </c>
      <c r="O60" t="s">
        <v>212</v>
      </c>
      <c r="P60" t="s">
        <v>212</v>
      </c>
      <c r="Q60">
        <v>13.615384615384617</v>
      </c>
      <c r="R60">
        <v>12</v>
      </c>
    </row>
    <row r="61" spans="2:19">
      <c r="B61" t="str">
        <f>_xlfn.TEXTJOIN(" ",  FALSE,SeedOrder2023[[#This Row],[Company]],SeedOrder2023[[#This Row],[Variety]])</f>
        <v>Johnny's Diva</v>
      </c>
      <c r="C61" t="s">
        <v>490</v>
      </c>
      <c r="D61" t="s">
        <v>457</v>
      </c>
      <c r="E61" t="s">
        <v>609</v>
      </c>
      <c r="F61" t="s">
        <v>1001</v>
      </c>
      <c r="G61">
        <v>18800</v>
      </c>
      <c r="H61" t="s">
        <v>1241</v>
      </c>
      <c r="I61">
        <v>30</v>
      </c>
      <c r="J61" t="s">
        <v>1244</v>
      </c>
      <c r="K61">
        <v>5.5</v>
      </c>
      <c r="L61">
        <v>1</v>
      </c>
      <c r="M61">
        <v>0.5</v>
      </c>
      <c r="N61" t="s">
        <v>212</v>
      </c>
      <c r="O61" t="s">
        <v>212</v>
      </c>
      <c r="P61" t="s">
        <v>212</v>
      </c>
      <c r="Q61">
        <v>13.615384615384617</v>
      </c>
      <c r="R61">
        <v>5.5</v>
      </c>
    </row>
    <row r="62" spans="2:19">
      <c r="B62" t="str">
        <f>_xlfn.TEXTJOIN(" ",  FALSE,SeedOrder2023[[#This Row],[Company]],SeedOrder2023[[#This Row],[Variety]])</f>
        <v>Johnny's Double click mix</v>
      </c>
      <c r="C62" t="s">
        <v>490</v>
      </c>
      <c r="D62" t="s">
        <v>67</v>
      </c>
      <c r="E62" t="s">
        <v>606</v>
      </c>
      <c r="F62" t="s">
        <v>799</v>
      </c>
      <c r="G62">
        <v>3800</v>
      </c>
      <c r="H62" t="s">
        <v>1242</v>
      </c>
      <c r="I62">
        <v>250</v>
      </c>
      <c r="J62" t="s">
        <v>1244</v>
      </c>
      <c r="K62">
        <v>9.5500000000000007</v>
      </c>
      <c r="L62">
        <v>1</v>
      </c>
      <c r="M62">
        <v>0.5</v>
      </c>
      <c r="N62" t="s">
        <v>212</v>
      </c>
      <c r="O62" t="s">
        <v>212</v>
      </c>
      <c r="P62" t="s">
        <v>212</v>
      </c>
      <c r="Q62">
        <v>14.53846153846154</v>
      </c>
      <c r="R62">
        <v>12</v>
      </c>
    </row>
    <row r="63" spans="2:19">
      <c r="B63" t="str">
        <f>_xlfn.TEXTJOIN(" ",  FALSE,SeedOrder2023[[#This Row],[Company]],SeedOrder2023[[#This Row],[Variety]])</f>
        <v>Johnny's East Indian</v>
      </c>
      <c r="C63" t="s">
        <v>490</v>
      </c>
      <c r="D63" t="s">
        <v>387</v>
      </c>
      <c r="E63" t="s">
        <v>536</v>
      </c>
      <c r="F63" t="s">
        <v>1208</v>
      </c>
      <c r="G63">
        <v>74300</v>
      </c>
      <c r="H63" t="s">
        <v>1242</v>
      </c>
      <c r="I63">
        <v>50</v>
      </c>
      <c r="J63" t="s">
        <v>1244</v>
      </c>
      <c r="K63">
        <v>9.3000000000000007</v>
      </c>
      <c r="L63">
        <v>3</v>
      </c>
      <c r="M63">
        <v>25</v>
      </c>
      <c r="N63" t="s">
        <v>212</v>
      </c>
      <c r="O63" t="s">
        <v>212</v>
      </c>
      <c r="P63" t="s">
        <v>212</v>
      </c>
      <c r="Q63">
        <v>1.0256410256410255</v>
      </c>
      <c r="R63">
        <v>6.9</v>
      </c>
    </row>
    <row r="64" spans="2:19">
      <c r="B64" t="str">
        <f>_xlfn.TEXTJOIN(" ",  FALSE,SeedOrder2023[[#This Row],[Company]],SeedOrder2023[[#This Row],[Variety]])</f>
        <v>Johnny's Emerald Tassels</v>
      </c>
      <c r="C64" t="s">
        <v>490</v>
      </c>
      <c r="D64" t="s">
        <v>41</v>
      </c>
      <c r="E64" t="s">
        <v>707</v>
      </c>
      <c r="F64" t="s">
        <v>722</v>
      </c>
      <c r="G64">
        <v>48000</v>
      </c>
      <c r="H64" t="s">
        <v>1242</v>
      </c>
      <c r="I64">
        <v>0.25</v>
      </c>
      <c r="J64" t="s">
        <v>1242</v>
      </c>
      <c r="K64">
        <v>10.75</v>
      </c>
      <c r="L64">
        <v>1</v>
      </c>
      <c r="M64">
        <v>30</v>
      </c>
      <c r="N64" t="s">
        <v>212</v>
      </c>
      <c r="O64" t="s">
        <v>212</v>
      </c>
      <c r="P64" t="s">
        <v>212</v>
      </c>
      <c r="Q64">
        <v>0.92307692307692313</v>
      </c>
      <c r="R64">
        <v>5.5</v>
      </c>
    </row>
    <row r="65" spans="2:18">
      <c r="B65" t="str">
        <f>_xlfn.TEXTJOIN(" ",  FALSE,SeedOrder2023[[#This Row],[Company]],SeedOrder2023[[#This Row],[Variety]])</f>
        <v>Johnny's Empress of India</v>
      </c>
      <c r="C65" t="s">
        <v>490</v>
      </c>
      <c r="D65" t="s">
        <v>350</v>
      </c>
      <c r="E65" t="s">
        <v>632</v>
      </c>
      <c r="F65" t="s">
        <v>885</v>
      </c>
      <c r="G65">
        <v>300</v>
      </c>
      <c r="H65" t="s">
        <v>1242</v>
      </c>
      <c r="I65">
        <v>1</v>
      </c>
      <c r="J65" t="s">
        <v>1242</v>
      </c>
      <c r="K65">
        <v>7.75</v>
      </c>
      <c r="L65">
        <v>1</v>
      </c>
      <c r="M65">
        <v>250</v>
      </c>
      <c r="N65" t="s">
        <v>212</v>
      </c>
      <c r="O65" t="s">
        <v>212</v>
      </c>
      <c r="P65" t="s">
        <v>212</v>
      </c>
      <c r="Q65">
        <v>1.7094017094017093</v>
      </c>
      <c r="R65">
        <v>9.5500000000000007</v>
      </c>
    </row>
    <row r="66" spans="2:18">
      <c r="B66" t="str">
        <f>_xlfn.TEXTJOIN(" ",  FALSE,SeedOrder2023[[#This Row],[Company]],SeedOrder2023[[#This Row],[Variety]])</f>
        <v>Johnny's Giant Orange</v>
      </c>
      <c r="C66" t="s">
        <v>490</v>
      </c>
      <c r="D66" t="s">
        <v>97</v>
      </c>
      <c r="E66" t="s">
        <v>622</v>
      </c>
      <c r="F66" t="s">
        <v>874</v>
      </c>
      <c r="G66">
        <v>6900</v>
      </c>
      <c r="H66" t="s">
        <v>1242</v>
      </c>
      <c r="I66">
        <v>50</v>
      </c>
      <c r="J66" t="s">
        <v>1244</v>
      </c>
      <c r="K66">
        <v>5.5</v>
      </c>
      <c r="L66">
        <v>1</v>
      </c>
      <c r="M66">
        <v>150</v>
      </c>
      <c r="N66" t="s">
        <v>212</v>
      </c>
      <c r="O66" t="s">
        <v>212</v>
      </c>
      <c r="P66" t="s">
        <v>212</v>
      </c>
      <c r="Q66">
        <v>1.1538461538461537</v>
      </c>
      <c r="R66">
        <v>27.900000000000002</v>
      </c>
    </row>
    <row r="67" spans="2:18">
      <c r="B67" t="str">
        <f>_xlfn.TEXTJOIN(" ",  FALSE,SeedOrder2023[[#This Row],[Company]],SeedOrder2023[[#This Row],[Variety]])</f>
        <v>Johnny's Giant Yellow</v>
      </c>
      <c r="C67" t="s">
        <v>490</v>
      </c>
      <c r="D67" t="s">
        <v>97</v>
      </c>
      <c r="E67" t="s">
        <v>621</v>
      </c>
      <c r="F67" t="s">
        <v>873</v>
      </c>
      <c r="G67">
        <v>10500</v>
      </c>
      <c r="H67" t="s">
        <v>1242</v>
      </c>
      <c r="I67">
        <v>50</v>
      </c>
      <c r="J67" t="s">
        <v>1244</v>
      </c>
      <c r="K67">
        <v>5.5</v>
      </c>
      <c r="L67">
        <v>1</v>
      </c>
      <c r="M67">
        <v>0.25</v>
      </c>
      <c r="N67" t="s">
        <v>212</v>
      </c>
      <c r="O67" t="s">
        <v>212</v>
      </c>
      <c r="P67" t="s">
        <v>212</v>
      </c>
      <c r="Q67">
        <v>13.846153846153847</v>
      </c>
      <c r="R67">
        <v>10.75</v>
      </c>
    </row>
    <row r="68" spans="2:18">
      <c r="B68" t="str">
        <f>_xlfn.TEXTJOIN(" ",  FALSE,SeedOrder2023[[#This Row],[Company]],SeedOrder2023[[#This Row],[Variety]])</f>
        <v>Johnny's Green 70 D</v>
      </c>
      <c r="C68" t="s">
        <v>490</v>
      </c>
      <c r="D68" t="s">
        <v>60</v>
      </c>
      <c r="E68" t="s">
        <v>511</v>
      </c>
      <c r="F68" t="s">
        <v>787</v>
      </c>
      <c r="G68">
        <v>200000</v>
      </c>
      <c r="H68" t="s">
        <v>1241</v>
      </c>
      <c r="I68">
        <v>1</v>
      </c>
      <c r="J68" t="s">
        <v>1242</v>
      </c>
      <c r="K68">
        <v>8.3699999999999992</v>
      </c>
      <c r="L68">
        <v>1</v>
      </c>
      <c r="M68">
        <v>1</v>
      </c>
      <c r="N68" t="s">
        <v>212</v>
      </c>
      <c r="O68" t="s">
        <v>212</v>
      </c>
      <c r="P68" t="s">
        <v>212</v>
      </c>
      <c r="Q68">
        <v>3.0769230769230762</v>
      </c>
      <c r="R68">
        <v>7.75</v>
      </c>
    </row>
    <row r="69" spans="2:18">
      <c r="B69" t="str">
        <f>_xlfn.TEXTJOIN(" ",  FALSE,SeedOrder2023[[#This Row],[Company]],SeedOrder2023[[#This Row],[Variety]])</f>
        <v>Johnny's King Richard</v>
      </c>
      <c r="C69" t="s">
        <v>490</v>
      </c>
      <c r="D69" t="s">
        <v>91</v>
      </c>
      <c r="E69" t="s">
        <v>535</v>
      </c>
      <c r="F69" t="s">
        <v>1258</v>
      </c>
      <c r="G69">
        <v>9500</v>
      </c>
      <c r="H69" t="s">
        <v>1242</v>
      </c>
      <c r="I69">
        <v>5000</v>
      </c>
      <c r="J69" t="s">
        <v>1244</v>
      </c>
      <c r="K69">
        <v>19.25</v>
      </c>
      <c r="L69">
        <v>1</v>
      </c>
      <c r="M69">
        <v>50</v>
      </c>
      <c r="N69" t="s">
        <v>212</v>
      </c>
      <c r="O69" t="s">
        <v>212</v>
      </c>
      <c r="P69" t="s">
        <v>212</v>
      </c>
      <c r="Q69">
        <v>2.0512820512820511</v>
      </c>
      <c r="R69">
        <v>5.5</v>
      </c>
    </row>
    <row r="70" spans="2:18">
      <c r="B70" t="str">
        <f>_xlfn.TEXTJOIN(" ",  FALSE,SeedOrder2023[[#This Row],[Company]],SeedOrder2023[[#This Row],[Variety]])</f>
        <v>Johnny's Muir - Pelleted</v>
      </c>
      <c r="C70" t="s">
        <v>490</v>
      </c>
      <c r="D70" t="s">
        <v>92</v>
      </c>
      <c r="E70" t="s">
        <v>1263</v>
      </c>
      <c r="F70" t="s">
        <v>1264</v>
      </c>
      <c r="G70">
        <v>1100</v>
      </c>
      <c r="H70" t="s">
        <v>1242</v>
      </c>
      <c r="I70">
        <v>1000</v>
      </c>
      <c r="J70" t="s">
        <v>1244</v>
      </c>
      <c r="K70">
        <v>24.5</v>
      </c>
      <c r="L70">
        <v>1</v>
      </c>
      <c r="M70">
        <v>50</v>
      </c>
      <c r="N70" t="s">
        <v>212</v>
      </c>
      <c r="O70" t="s">
        <v>212</v>
      </c>
      <c r="P70" t="s">
        <v>212</v>
      </c>
      <c r="Q70">
        <v>2.0512820512820511</v>
      </c>
      <c r="R70">
        <v>5.5</v>
      </c>
    </row>
    <row r="71" spans="2:18">
      <c r="B71" t="str">
        <f>_xlfn.TEXTJOIN(" ",  FALSE,SeedOrder2023[[#This Row],[Company]],SeedOrder2023[[#This Row],[Variety]])</f>
        <v>Johnny's Nepal</v>
      </c>
      <c r="C71" t="s">
        <v>490</v>
      </c>
      <c r="D71" t="s">
        <v>469</v>
      </c>
      <c r="E71" t="s">
        <v>693</v>
      </c>
      <c r="F71" t="s">
        <v>1169</v>
      </c>
      <c r="G71">
        <v>10700</v>
      </c>
      <c r="H71" t="s">
        <v>1242</v>
      </c>
      <c r="I71">
        <v>40</v>
      </c>
      <c r="J71" t="s">
        <v>1244</v>
      </c>
      <c r="K71">
        <v>5.8</v>
      </c>
      <c r="L71">
        <v>1</v>
      </c>
      <c r="M71">
        <v>1</v>
      </c>
      <c r="N71" t="s">
        <v>212</v>
      </c>
      <c r="O71" t="s">
        <v>212</v>
      </c>
      <c r="P71" t="s">
        <v>212</v>
      </c>
      <c r="Q71">
        <v>12.820512820512821</v>
      </c>
      <c r="R71">
        <v>8.3699999999999992</v>
      </c>
    </row>
    <row r="72" spans="2:18">
      <c r="B72" t="str">
        <f>_xlfn.TEXTJOIN(" ",  FALSE,SeedOrder2023[[#This Row],[Company]],SeedOrder2023[[#This Row],[Variety]])</f>
        <v>Johnny's Ruby Moon</v>
      </c>
      <c r="C72" t="s">
        <v>490</v>
      </c>
      <c r="D72" t="s">
        <v>449</v>
      </c>
      <c r="E72" t="s">
        <v>489</v>
      </c>
      <c r="F72" t="s">
        <v>755</v>
      </c>
      <c r="G72">
        <v>1000</v>
      </c>
      <c r="H72" t="s">
        <v>1242</v>
      </c>
      <c r="I72">
        <v>50</v>
      </c>
      <c r="J72" t="s">
        <v>1244</v>
      </c>
      <c r="K72">
        <v>16.149999999999999</v>
      </c>
      <c r="L72">
        <v>1</v>
      </c>
      <c r="M72">
        <v>5000</v>
      </c>
      <c r="N72" t="s">
        <v>212</v>
      </c>
      <c r="O72" t="s">
        <v>212</v>
      </c>
      <c r="P72" t="s">
        <v>212</v>
      </c>
      <c r="Q72">
        <v>3.8461538461538463</v>
      </c>
      <c r="R72">
        <v>19.25</v>
      </c>
    </row>
    <row r="73" spans="2:18">
      <c r="B73" t="str">
        <f>_xlfn.TEXTJOIN(" ",  FALSE,SeedOrder2023[[#This Row],[Company]],SeedOrder2023[[#This Row],[Variety]])</f>
        <v>Johnny's Salsola komarovii</v>
      </c>
      <c r="C73" t="s">
        <v>490</v>
      </c>
      <c r="D73" t="s">
        <v>409</v>
      </c>
      <c r="E73" t="s">
        <v>673</v>
      </c>
      <c r="F73" t="s">
        <v>717</v>
      </c>
      <c r="G73">
        <v>7700</v>
      </c>
      <c r="H73" t="s">
        <v>1242</v>
      </c>
      <c r="I73">
        <v>0.5</v>
      </c>
      <c r="J73" t="s">
        <v>1242</v>
      </c>
      <c r="K73">
        <v>9.85</v>
      </c>
      <c r="L73">
        <v>1</v>
      </c>
      <c r="M73">
        <v>1000</v>
      </c>
      <c r="N73" t="s">
        <v>212</v>
      </c>
      <c r="O73" t="s">
        <v>212</v>
      </c>
      <c r="P73" t="s">
        <v>212</v>
      </c>
      <c r="Q73">
        <v>1.2820512820512822</v>
      </c>
      <c r="R73">
        <v>24.5</v>
      </c>
    </row>
    <row r="74" spans="2:18">
      <c r="B74" t="str">
        <f>_xlfn.TEXTJOIN(" ",  FALSE,SeedOrder2023[[#This Row],[Company]],SeedOrder2023[[#This Row],[Variety]])</f>
        <v>Johnny's Scarlet Runner</v>
      </c>
      <c r="C74" t="s">
        <v>490</v>
      </c>
      <c r="D74" t="s">
        <v>450</v>
      </c>
      <c r="E74" t="s">
        <v>491</v>
      </c>
      <c r="F74" t="s">
        <v>756</v>
      </c>
      <c r="G74">
        <v>430</v>
      </c>
      <c r="H74" t="s">
        <v>1241</v>
      </c>
      <c r="I74">
        <v>55</v>
      </c>
      <c r="J74" t="s">
        <v>1244</v>
      </c>
      <c r="K74">
        <v>5.3</v>
      </c>
      <c r="L74">
        <v>1</v>
      </c>
      <c r="M74">
        <v>40</v>
      </c>
      <c r="N74" t="s">
        <v>212</v>
      </c>
      <c r="O74" t="s">
        <v>212</v>
      </c>
      <c r="P74" t="s">
        <v>212</v>
      </c>
      <c r="Q74">
        <v>2.3076923076923079</v>
      </c>
      <c r="R74">
        <v>5.8</v>
      </c>
    </row>
    <row r="75" spans="2:18">
      <c r="B75" t="str">
        <f>_xlfn.TEXTJOIN(" ",  FALSE,SeedOrder2023[[#This Row],[Company]],SeedOrder2023[[#This Row],[Variety]])</f>
        <v>Johnny's Sungold F1</v>
      </c>
      <c r="C75" t="s">
        <v>490</v>
      </c>
      <c r="D75" t="s">
        <v>468</v>
      </c>
      <c r="E75" t="s">
        <v>688</v>
      </c>
      <c r="F75" t="s">
        <v>1172</v>
      </c>
      <c r="G75">
        <v>15950</v>
      </c>
      <c r="H75" t="s">
        <v>1242</v>
      </c>
      <c r="I75">
        <v>40</v>
      </c>
      <c r="J75" t="s">
        <v>1244</v>
      </c>
      <c r="K75">
        <v>5.5</v>
      </c>
      <c r="L75">
        <v>1</v>
      </c>
      <c r="M75">
        <v>50</v>
      </c>
      <c r="N75" t="s">
        <v>212</v>
      </c>
      <c r="O75" t="s">
        <v>212</v>
      </c>
      <c r="P75" t="s">
        <v>212</v>
      </c>
      <c r="Q75">
        <v>1.9230769230769231</v>
      </c>
      <c r="R75">
        <v>16.149999999999999</v>
      </c>
    </row>
    <row r="76" spans="2:18">
      <c r="B76" t="str">
        <f>_xlfn.TEXTJOIN(" ",  FALSE,SeedOrder2023[[#This Row],[Company]],SeedOrder2023[[#This Row],[Variety]])</f>
        <v>Johnny's Tall Boy Blue</v>
      </c>
      <c r="C76" t="s">
        <v>490</v>
      </c>
      <c r="D76" t="s">
        <v>65</v>
      </c>
      <c r="E76" t="s">
        <v>592</v>
      </c>
      <c r="F76" t="s">
        <v>731</v>
      </c>
      <c r="G76">
        <v>6300</v>
      </c>
      <c r="H76" t="s">
        <v>1242</v>
      </c>
      <c r="I76">
        <v>1000</v>
      </c>
      <c r="J76" t="s">
        <v>1244</v>
      </c>
      <c r="K76">
        <v>6</v>
      </c>
      <c r="L76">
        <v>1</v>
      </c>
      <c r="M76">
        <v>0.5</v>
      </c>
      <c r="N76" t="s">
        <v>212</v>
      </c>
      <c r="O76" t="s">
        <v>212</v>
      </c>
      <c r="P76" t="s">
        <v>212</v>
      </c>
      <c r="Q76">
        <v>4.1132478632478628</v>
      </c>
      <c r="R76">
        <v>9.85</v>
      </c>
    </row>
    <row r="77" spans="2:18">
      <c r="B77" t="str">
        <f>_xlfn.TEXTJOIN(" ",  FALSE,SeedOrder2023[[#This Row],[Company]],SeedOrder2023[[#This Row],[Variety]])</f>
        <v>Johnny's Tango</v>
      </c>
      <c r="C77" t="s">
        <v>490</v>
      </c>
      <c r="D77" t="s">
        <v>55</v>
      </c>
      <c r="E77" t="s">
        <v>508</v>
      </c>
      <c r="F77" t="s">
        <v>993</v>
      </c>
      <c r="G77">
        <v>66700</v>
      </c>
      <c r="H77" t="s">
        <v>1242</v>
      </c>
      <c r="I77">
        <v>1000</v>
      </c>
      <c r="J77" t="s">
        <v>1244</v>
      </c>
      <c r="K77">
        <v>12.68</v>
      </c>
      <c r="L77">
        <v>1</v>
      </c>
      <c r="M77">
        <v>55</v>
      </c>
      <c r="N77" t="s">
        <v>212</v>
      </c>
      <c r="O77" t="s">
        <v>212</v>
      </c>
      <c r="P77" t="s">
        <v>212</v>
      </c>
      <c r="Q77">
        <v>1.0576923076923077</v>
      </c>
      <c r="R77">
        <v>5.3</v>
      </c>
    </row>
    <row r="78" spans="2:18">
      <c r="B78" t="str">
        <f>_xlfn.TEXTJOIN(" ",  FALSE,SeedOrder2023[[#This Row],[Company]],SeedOrder2023[[#This Row],[Variety]])</f>
        <v>Johnny's Tendril Pea</v>
      </c>
      <c r="C78" t="s">
        <v>490</v>
      </c>
      <c r="D78" t="s">
        <v>382</v>
      </c>
      <c r="E78" t="s">
        <v>562</v>
      </c>
      <c r="F78" t="s">
        <v>1210</v>
      </c>
      <c r="G78">
        <v>1950</v>
      </c>
      <c r="H78" t="s">
        <v>1241</v>
      </c>
      <c r="I78">
        <v>1</v>
      </c>
      <c r="J78" t="s">
        <v>1241</v>
      </c>
      <c r="K78">
        <v>7.5</v>
      </c>
      <c r="L78">
        <v>1</v>
      </c>
      <c r="M78">
        <v>40</v>
      </c>
      <c r="N78" t="s">
        <v>212</v>
      </c>
      <c r="O78" t="s">
        <v>212</v>
      </c>
      <c r="P78" t="s">
        <v>212</v>
      </c>
      <c r="Q78">
        <v>1.153846153846154</v>
      </c>
      <c r="R78">
        <v>5.5</v>
      </c>
    </row>
    <row r="79" spans="2:18">
      <c r="B79" t="str">
        <f>_xlfn.TEXTJOIN(" ",  FALSE,SeedOrder2023[[#This Row],[Company]],SeedOrder2023[[#This Row],[Variety]])</f>
        <v>Johnny's Unagi</v>
      </c>
      <c r="C79" t="s">
        <v>490</v>
      </c>
      <c r="D79" t="s">
        <v>456</v>
      </c>
      <c r="E79" t="s">
        <v>521</v>
      </c>
      <c r="F79" t="s">
        <v>998</v>
      </c>
      <c r="G79">
        <v>17600</v>
      </c>
      <c r="H79" t="s">
        <v>1241</v>
      </c>
      <c r="I79">
        <v>100</v>
      </c>
      <c r="J79" t="s">
        <v>1244</v>
      </c>
      <c r="K79">
        <v>14.95</v>
      </c>
      <c r="L79">
        <v>1</v>
      </c>
      <c r="M79">
        <v>1000</v>
      </c>
      <c r="N79" t="s">
        <v>212</v>
      </c>
      <c r="O79" t="s">
        <v>212</v>
      </c>
      <c r="P79" t="s">
        <v>212</v>
      </c>
      <c r="Q79">
        <v>4.6153846153846159</v>
      </c>
      <c r="R79">
        <v>6</v>
      </c>
    </row>
    <row r="80" spans="2:18">
      <c r="B80" t="str">
        <f>_xlfn.TEXTJOIN(" ",  FALSE,SeedOrder2023[[#This Row],[Company]],SeedOrder2023[[#This Row],[Variety]])</f>
        <v>Johnny's Volcano Mix</v>
      </c>
      <c r="C80" t="s">
        <v>490</v>
      </c>
      <c r="D80" t="s">
        <v>74</v>
      </c>
      <c r="E80" t="s">
        <v>611</v>
      </c>
      <c r="F80" t="s">
        <v>815</v>
      </c>
      <c r="G80">
        <v>34900</v>
      </c>
      <c r="H80" t="s">
        <v>1242</v>
      </c>
      <c r="I80">
        <v>50</v>
      </c>
      <c r="J80" t="s">
        <v>1244</v>
      </c>
      <c r="K80">
        <v>9.4499999999999993</v>
      </c>
      <c r="L80">
        <v>1</v>
      </c>
      <c r="M80">
        <v>1000</v>
      </c>
      <c r="N80" t="s">
        <v>212</v>
      </c>
      <c r="O80" t="s">
        <v>212</v>
      </c>
      <c r="P80" t="s">
        <v>212</v>
      </c>
      <c r="Q80">
        <v>5.1282051282051286</v>
      </c>
      <c r="R80">
        <v>12.68</v>
      </c>
    </row>
    <row r="81" spans="2:19">
      <c r="B81" t="str">
        <f>_xlfn.TEXTJOIN(" ",  FALSE,SeedOrder2023[[#This Row],[Company]],SeedOrder2023[[#This Row],[Variety]])</f>
        <v>Johnny's White Swan</v>
      </c>
      <c r="C81" t="s">
        <v>490</v>
      </c>
      <c r="D81" t="s">
        <v>97</v>
      </c>
      <c r="E81" t="s">
        <v>624</v>
      </c>
      <c r="F81" t="s">
        <v>875</v>
      </c>
      <c r="G81">
        <v>9200</v>
      </c>
      <c r="H81" t="s">
        <v>1242</v>
      </c>
      <c r="I81">
        <v>25</v>
      </c>
      <c r="J81" t="s">
        <v>1244</v>
      </c>
      <c r="K81">
        <v>6.9</v>
      </c>
      <c r="L81">
        <v>1</v>
      </c>
      <c r="M81">
        <v>1</v>
      </c>
      <c r="N81" t="s">
        <v>212</v>
      </c>
      <c r="O81" t="s">
        <v>212</v>
      </c>
      <c r="P81" t="s">
        <v>212</v>
      </c>
      <c r="Q81" t="s">
        <v>212</v>
      </c>
      <c r="R81">
        <v>7.5</v>
      </c>
    </row>
    <row r="82" spans="2:19">
      <c r="B82" t="str">
        <f>_xlfn.TEXTJOIN(" ",  FALSE,SeedOrder2023[[#This Row],[Company]],SeedOrder2023[[#This Row],[Variety]])</f>
        <v>Johnny's Brush Strokes</v>
      </c>
      <c r="C82" t="s">
        <v>490</v>
      </c>
      <c r="D82" t="s">
        <v>107</v>
      </c>
      <c r="E82" t="s">
        <v>639</v>
      </c>
      <c r="F82" t="s">
        <v>894</v>
      </c>
      <c r="G82">
        <v>29240</v>
      </c>
      <c r="H82" t="s">
        <v>1242</v>
      </c>
      <c r="I82">
        <v>500</v>
      </c>
      <c r="J82" t="s">
        <v>1244</v>
      </c>
      <c r="K82">
        <v>6.1</v>
      </c>
      <c r="L82">
        <v>1</v>
      </c>
      <c r="M82">
        <v>100</v>
      </c>
      <c r="N82" t="s">
        <v>212</v>
      </c>
      <c r="O82" t="s">
        <v>212</v>
      </c>
      <c r="P82" t="s">
        <v>212</v>
      </c>
      <c r="Q82">
        <v>1.5384615384615385</v>
      </c>
      <c r="R82">
        <v>14.95</v>
      </c>
    </row>
    <row r="83" spans="2:19">
      <c r="B83" t="str">
        <f>_xlfn.TEXTJOIN(" ",  FALSE,SeedOrder2023[[#This Row],[Company]],SeedOrder2023[[#This Row],[Variety]])</f>
        <v>Johnny's Frizzle Sizzle Mini tapestry</v>
      </c>
      <c r="C83" t="s">
        <v>490</v>
      </c>
      <c r="D83" t="s">
        <v>107</v>
      </c>
      <c r="E83" t="s">
        <v>642</v>
      </c>
      <c r="F83" t="s">
        <v>897</v>
      </c>
      <c r="G83">
        <v>22600</v>
      </c>
      <c r="H83" t="s">
        <v>1242</v>
      </c>
      <c r="I83">
        <v>250</v>
      </c>
      <c r="J83" t="s">
        <v>1244</v>
      </c>
      <c r="K83">
        <v>14.85</v>
      </c>
      <c r="L83">
        <v>1</v>
      </c>
      <c r="M83">
        <v>50</v>
      </c>
      <c r="N83" t="s">
        <v>212</v>
      </c>
      <c r="O83" t="s">
        <v>212</v>
      </c>
      <c r="P83" t="s">
        <v>212</v>
      </c>
      <c r="Q83">
        <v>0.76923076923076927</v>
      </c>
      <c r="R83">
        <v>9.4499999999999993</v>
      </c>
    </row>
    <row r="84" spans="2:19">
      <c r="B84" t="str">
        <f>_xlfn.TEXTJOIN(" ",  FALSE,SeedOrder2023[[#This Row],[Company]],SeedOrder2023[[#This Row],[Variety]])</f>
        <v>Johnny's Frizzle Sizzle Yellow Blue Swirl</v>
      </c>
      <c r="C84" t="s">
        <v>490</v>
      </c>
      <c r="D84" t="s">
        <v>107</v>
      </c>
      <c r="E84" t="s">
        <v>638</v>
      </c>
      <c r="F84" t="s">
        <v>893</v>
      </c>
      <c r="G84">
        <v>17000</v>
      </c>
      <c r="H84" t="s">
        <v>1242</v>
      </c>
      <c r="I84">
        <v>250</v>
      </c>
      <c r="J84" t="s">
        <v>1244</v>
      </c>
      <c r="K84">
        <v>16.5</v>
      </c>
      <c r="L84">
        <v>1</v>
      </c>
      <c r="M84">
        <v>25</v>
      </c>
      <c r="N84" t="s">
        <v>212</v>
      </c>
      <c r="O84" t="s">
        <v>212</v>
      </c>
      <c r="P84" t="s">
        <v>212</v>
      </c>
      <c r="Q84">
        <v>1.0256410256410255</v>
      </c>
      <c r="R84">
        <v>6.9</v>
      </c>
    </row>
    <row r="85" spans="2:19">
      <c r="B85" t="str">
        <f>_xlfn.TEXTJOIN(" ",  FALSE,SeedOrder2023[[#This Row],[Company]],SeedOrder2023[[#This Row],[Variety]])</f>
        <v>Osborne BAUER LETTUCE - Pelleted</v>
      </c>
      <c r="C85" t="s">
        <v>503</v>
      </c>
      <c r="D85" t="s">
        <v>92</v>
      </c>
      <c r="E85" t="s">
        <v>548</v>
      </c>
      <c r="F85" t="s">
        <v>1046</v>
      </c>
      <c r="I85">
        <v>1000</v>
      </c>
      <c r="J85" t="s">
        <v>1244</v>
      </c>
      <c r="K85">
        <v>15.55</v>
      </c>
      <c r="L85">
        <v>1</v>
      </c>
      <c r="M85">
        <v>500</v>
      </c>
      <c r="N85" t="s">
        <v>212</v>
      </c>
      <c r="O85" t="s">
        <v>212</v>
      </c>
      <c r="P85" t="s">
        <v>212</v>
      </c>
      <c r="Q85" t="s">
        <v>212</v>
      </c>
      <c r="R85">
        <v>6.1</v>
      </c>
    </row>
    <row r="86" spans="2:19">
      <c r="B86" t="str">
        <f>_xlfn.TEXTJOIN(" ",  FALSE,SeedOrder2023[[#This Row],[Company]],SeedOrder2023[[#This Row],[Variety]])</f>
        <v>Osborne Frizzle Sizzle Lemonberry</v>
      </c>
      <c r="C86" t="s">
        <v>503</v>
      </c>
      <c r="D86" t="s">
        <v>107</v>
      </c>
      <c r="E86" t="s">
        <v>641</v>
      </c>
      <c r="F86" t="s">
        <v>896</v>
      </c>
      <c r="I86">
        <v>250</v>
      </c>
      <c r="J86" t="s">
        <v>1244</v>
      </c>
      <c r="K86">
        <v>11.85</v>
      </c>
      <c r="L86">
        <v>1</v>
      </c>
      <c r="M86">
        <v>250</v>
      </c>
      <c r="N86" t="s">
        <v>212</v>
      </c>
      <c r="O86" t="s">
        <v>212</v>
      </c>
      <c r="P86" t="s">
        <v>212</v>
      </c>
      <c r="Q86" t="s">
        <v>212</v>
      </c>
      <c r="R86">
        <v>14.85</v>
      </c>
    </row>
    <row r="87" spans="2:19">
      <c r="B87" t="str">
        <f>_xlfn.TEXTJOIN(" ",  FALSE,SeedOrder2023[[#This Row],[Company]],SeedOrder2023[[#This Row],[Variety]])</f>
        <v>Osborne N.P. TRUCHAS - Pelleted</v>
      </c>
      <c r="C87" t="s">
        <v>503</v>
      </c>
      <c r="D87" t="s">
        <v>92</v>
      </c>
      <c r="E87" t="s">
        <v>549</v>
      </c>
      <c r="F87" t="s">
        <v>1047</v>
      </c>
      <c r="I87">
        <v>1000</v>
      </c>
      <c r="J87" t="s">
        <v>1244</v>
      </c>
      <c r="K87">
        <v>10.45</v>
      </c>
      <c r="L87">
        <v>1</v>
      </c>
      <c r="M87">
        <v>250</v>
      </c>
      <c r="N87" t="s">
        <v>212</v>
      </c>
      <c r="O87" t="s">
        <v>212</v>
      </c>
      <c r="P87" t="s">
        <v>212</v>
      </c>
      <c r="Q87" t="s">
        <v>212</v>
      </c>
      <c r="R87">
        <v>16.5</v>
      </c>
      <c r="S87" t="s">
        <v>1247</v>
      </c>
    </row>
    <row r="88" spans="2:19">
      <c r="B88" t="str">
        <f>_xlfn.TEXTJOIN(" ",  FALSE,SeedOrder2023[[#This Row],[Company]],SeedOrder2023[[#This Row],[Variety]])</f>
        <v>Osborne Procut White Lite</v>
      </c>
      <c r="C88" t="s">
        <v>503</v>
      </c>
      <c r="D88" t="s">
        <v>460</v>
      </c>
      <c r="E88" t="s">
        <v>588</v>
      </c>
      <c r="F88" t="s">
        <v>958</v>
      </c>
      <c r="I88">
        <v>250</v>
      </c>
      <c r="J88" t="s">
        <v>1244</v>
      </c>
      <c r="K88">
        <v>13.05</v>
      </c>
      <c r="L88">
        <v>1</v>
      </c>
      <c r="M88">
        <v>1000</v>
      </c>
      <c r="N88" t="s">
        <v>212</v>
      </c>
      <c r="O88" t="s">
        <v>212</v>
      </c>
      <c r="P88" t="s">
        <v>212</v>
      </c>
      <c r="Q88">
        <v>0.96153846153846156</v>
      </c>
      <c r="R88">
        <v>15.55</v>
      </c>
    </row>
    <row r="89" spans="2:19">
      <c r="B89" t="str">
        <f>_xlfn.TEXTJOIN(" ",  FALSE,SeedOrder2023[[#This Row],[Company]],SeedOrder2023[[#This Row],[Variety]])</f>
        <v>Osborne Salmon Baby</v>
      </c>
      <c r="C89" t="s">
        <v>503</v>
      </c>
      <c r="D89" t="s">
        <v>350</v>
      </c>
      <c r="E89" t="s">
        <v>631</v>
      </c>
      <c r="F89" t="s">
        <v>883</v>
      </c>
      <c r="G89">
        <v>1000</v>
      </c>
      <c r="H89" t="s">
        <v>1242</v>
      </c>
      <c r="I89">
        <v>1</v>
      </c>
      <c r="J89" t="s">
        <v>1242</v>
      </c>
      <c r="K89">
        <v>14.45</v>
      </c>
      <c r="L89">
        <v>1</v>
      </c>
      <c r="M89">
        <v>250</v>
      </c>
      <c r="N89" t="s">
        <v>212</v>
      </c>
      <c r="O89" t="s">
        <v>212</v>
      </c>
      <c r="P89" t="s">
        <v>212</v>
      </c>
      <c r="Q89" t="s">
        <v>212</v>
      </c>
      <c r="R89">
        <v>11.85</v>
      </c>
    </row>
    <row r="90" spans="2:19">
      <c r="B90" t="str">
        <f>_xlfn.TEXTJOIN(" ",  FALSE,SeedOrder2023[[#This Row],[Company]],SeedOrder2023[[#This Row],[Variety]])</f>
        <v>Row 7 Badger Flame</v>
      </c>
      <c r="C90" t="s">
        <v>602</v>
      </c>
      <c r="D90" t="s">
        <v>46</v>
      </c>
      <c r="E90" t="s">
        <v>601</v>
      </c>
      <c r="F90" t="s">
        <v>1142</v>
      </c>
      <c r="I90">
        <v>100</v>
      </c>
      <c r="J90" t="s">
        <v>1244</v>
      </c>
      <c r="K90">
        <v>4.25</v>
      </c>
      <c r="L90">
        <v>1</v>
      </c>
      <c r="M90">
        <v>1000</v>
      </c>
      <c r="N90" t="s">
        <v>212</v>
      </c>
      <c r="O90" t="s">
        <v>212</v>
      </c>
      <c r="P90" t="s">
        <v>212</v>
      </c>
      <c r="Q90">
        <v>0.64102564102564108</v>
      </c>
      <c r="R90">
        <v>10.45</v>
      </c>
      <c r="S90" t="s">
        <v>1248</v>
      </c>
    </row>
    <row r="91" spans="2:19">
      <c r="B91" t="str">
        <f>_xlfn.TEXTJOIN(" ",  FALSE,SeedOrder2023[[#This Row],[Company]],SeedOrder2023[[#This Row],[Variety]])</f>
        <v>Row 7 Centercut</v>
      </c>
      <c r="C91" t="s">
        <v>602</v>
      </c>
      <c r="D91" t="s">
        <v>128</v>
      </c>
      <c r="E91" t="s">
        <v>676</v>
      </c>
      <c r="F91" t="s">
        <v>1134</v>
      </c>
      <c r="I91">
        <v>12</v>
      </c>
      <c r="J91" t="s">
        <v>1244</v>
      </c>
      <c r="K91">
        <v>4.95</v>
      </c>
      <c r="L91">
        <v>1</v>
      </c>
      <c r="M91">
        <v>250</v>
      </c>
      <c r="N91" t="s">
        <v>212</v>
      </c>
      <c r="O91" t="s">
        <v>212</v>
      </c>
      <c r="P91" t="s">
        <v>212</v>
      </c>
      <c r="Q91">
        <v>0.96153846153846156</v>
      </c>
      <c r="R91">
        <v>13.05</v>
      </c>
    </row>
    <row r="92" spans="2:19">
      <c r="B92" t="str">
        <f>_xlfn.TEXTJOIN(" ",  FALSE,SeedOrder2023[[#This Row],[Company]],SeedOrder2023[[#This Row],[Variety]])</f>
        <v>Row 7 Honeypatch</v>
      </c>
      <c r="C92" t="s">
        <v>602</v>
      </c>
      <c r="D92" t="s">
        <v>124</v>
      </c>
      <c r="E92" t="s">
        <v>682</v>
      </c>
      <c r="F92" t="s">
        <v>1137</v>
      </c>
      <c r="I92">
        <v>12</v>
      </c>
      <c r="J92" t="s">
        <v>1244</v>
      </c>
      <c r="K92">
        <v>4.95</v>
      </c>
      <c r="L92">
        <v>1</v>
      </c>
      <c r="M92">
        <v>1</v>
      </c>
      <c r="N92" t="s">
        <v>212</v>
      </c>
      <c r="O92" t="s">
        <v>212</v>
      </c>
      <c r="P92" t="s">
        <v>212</v>
      </c>
      <c r="Q92">
        <v>10.256410256410255</v>
      </c>
      <c r="R92">
        <v>14.45</v>
      </c>
    </row>
    <row r="93" spans="2:19">
      <c r="B93" t="str">
        <f>_xlfn.TEXTJOIN(" ",  FALSE,SeedOrder2023[[#This Row],[Company]],SeedOrder2023[[#This Row],[Variety]])</f>
        <v>Row 7 Robin's Koginut</v>
      </c>
      <c r="C93" t="s">
        <v>602</v>
      </c>
      <c r="D93" t="s">
        <v>124</v>
      </c>
      <c r="E93" t="s">
        <v>685</v>
      </c>
      <c r="F93" t="s">
        <v>1140</v>
      </c>
      <c r="I93">
        <v>12</v>
      </c>
      <c r="J93" t="s">
        <v>1244</v>
      </c>
      <c r="K93">
        <v>5</v>
      </c>
      <c r="L93">
        <v>1</v>
      </c>
      <c r="M93">
        <v>100</v>
      </c>
      <c r="N93" t="s">
        <v>212</v>
      </c>
      <c r="O93" t="s">
        <v>212</v>
      </c>
      <c r="P93" t="s">
        <v>212</v>
      </c>
      <c r="Q93">
        <v>0.34188034188034189</v>
      </c>
      <c r="R93">
        <v>4.25</v>
      </c>
    </row>
    <row r="94" spans="2:19">
      <c r="B94" t="str">
        <f>_xlfn.TEXTJOIN(" ",  FALSE,SeedOrder2023[[#This Row],[Company]],SeedOrder2023[[#This Row],[Variety]])</f>
        <v>Seed Savers Brandywine</v>
      </c>
      <c r="C94" t="s">
        <v>600</v>
      </c>
      <c r="D94" t="s">
        <v>467</v>
      </c>
      <c r="E94" t="s">
        <v>701</v>
      </c>
      <c r="F94" t="s">
        <v>1180</v>
      </c>
      <c r="I94">
        <v>25</v>
      </c>
      <c r="J94" t="s">
        <v>1244</v>
      </c>
      <c r="K94">
        <v>3.75</v>
      </c>
      <c r="L94">
        <v>1</v>
      </c>
      <c r="M94">
        <v>12</v>
      </c>
      <c r="N94" t="s">
        <v>212</v>
      </c>
      <c r="O94" t="s">
        <v>212</v>
      </c>
      <c r="P94" t="s">
        <v>212</v>
      </c>
      <c r="Q94">
        <v>0.7384615384615385</v>
      </c>
      <c r="R94">
        <v>4.95</v>
      </c>
    </row>
    <row r="95" spans="2:19">
      <c r="B95" t="str">
        <f>_xlfn.TEXTJOIN(" ",  FALSE,SeedOrder2023[[#This Row],[Company]],SeedOrder2023[[#This Row],[Variety]])</f>
        <v>Seed Savers Burpee's Golden</v>
      </c>
      <c r="C95" t="s">
        <v>600</v>
      </c>
      <c r="D95" t="s">
        <v>46</v>
      </c>
      <c r="E95" t="s">
        <v>599</v>
      </c>
      <c r="F95" t="s">
        <v>764</v>
      </c>
      <c r="G95">
        <v>1600</v>
      </c>
      <c r="H95" t="s">
        <v>1242</v>
      </c>
      <c r="I95">
        <v>0.25</v>
      </c>
      <c r="J95" t="s">
        <v>1242</v>
      </c>
      <c r="K95">
        <v>11.45</v>
      </c>
      <c r="L95">
        <v>1</v>
      </c>
      <c r="M95">
        <v>12</v>
      </c>
      <c r="N95" t="s">
        <v>212</v>
      </c>
      <c r="O95" t="s">
        <v>212</v>
      </c>
      <c r="P95" t="s">
        <v>212</v>
      </c>
      <c r="Q95">
        <v>0.7384615384615385</v>
      </c>
      <c r="R95">
        <v>4.95</v>
      </c>
    </row>
    <row r="96" spans="2:19">
      <c r="B96" t="str">
        <f>_xlfn.TEXTJOIN(" ",  FALSE,SeedOrder2023[[#This Row],[Company]],SeedOrder2023[[#This Row],[Variety]])</f>
        <v>Seed Savers Magnus</v>
      </c>
      <c r="C96" t="s">
        <v>600</v>
      </c>
      <c r="D96" t="s">
        <v>95</v>
      </c>
      <c r="E96" t="s">
        <v>1275</v>
      </c>
      <c r="F96" t="s">
        <v>1276</v>
      </c>
      <c r="I96">
        <v>250</v>
      </c>
      <c r="J96" t="s">
        <v>1244</v>
      </c>
      <c r="K96">
        <v>3.75</v>
      </c>
      <c r="L96">
        <v>1</v>
      </c>
      <c r="M96">
        <v>12</v>
      </c>
      <c r="N96" t="s">
        <v>212</v>
      </c>
      <c r="O96" t="s">
        <v>212</v>
      </c>
      <c r="P96" t="s">
        <v>212</v>
      </c>
      <c r="Q96">
        <v>0.7384615384615385</v>
      </c>
      <c r="R96">
        <v>5</v>
      </c>
    </row>
    <row r="97" spans="2:18">
      <c r="B97" t="str">
        <f>_xlfn.TEXTJOIN(" ",  FALSE,SeedOrder2023[[#This Row],[Company]],SeedOrder2023[[#This Row],[Variety]])</f>
        <v>Seed Savers Rat Tail</v>
      </c>
      <c r="C97" t="s">
        <v>600</v>
      </c>
      <c r="D97" t="s">
        <v>117</v>
      </c>
      <c r="E97" t="s">
        <v>660</v>
      </c>
      <c r="F97" t="s">
        <v>915</v>
      </c>
      <c r="I97">
        <v>350</v>
      </c>
      <c r="J97" t="s">
        <v>1244</v>
      </c>
      <c r="K97">
        <v>3.75</v>
      </c>
      <c r="L97">
        <v>1</v>
      </c>
      <c r="M97">
        <v>25</v>
      </c>
      <c r="N97" t="s">
        <v>212</v>
      </c>
      <c r="O97" t="s">
        <v>212</v>
      </c>
      <c r="P97" t="s">
        <v>212</v>
      </c>
      <c r="Q97">
        <v>1.4423076923076925</v>
      </c>
      <c r="R97">
        <v>3.75</v>
      </c>
    </row>
    <row r="98" spans="2:18">
      <c r="B98" t="str">
        <f>_xlfn.TEXTJOIN(" ",  FALSE,SeedOrder2023[[#This Row],[Company]],SeedOrder2023[[#This Row],[Variety]])</f>
        <v>Strictly Medicinal Red</v>
      </c>
      <c r="C98" t="s">
        <v>552</v>
      </c>
      <c r="D98" t="s">
        <v>96</v>
      </c>
      <c r="E98" t="s">
        <v>551</v>
      </c>
      <c r="F98" t="s">
        <v>871</v>
      </c>
      <c r="I98">
        <v>10</v>
      </c>
      <c r="J98" t="s">
        <v>1244</v>
      </c>
      <c r="K98">
        <v>3.95</v>
      </c>
      <c r="L98">
        <v>2</v>
      </c>
      <c r="M98">
        <v>0.25</v>
      </c>
      <c r="N98" t="s">
        <v>212</v>
      </c>
      <c r="O98" t="s">
        <v>212</v>
      </c>
      <c r="P98" t="s">
        <v>212</v>
      </c>
      <c r="Q98">
        <v>1.3675213675213675</v>
      </c>
      <c r="R98">
        <v>11.45</v>
      </c>
    </row>
    <row r="99" spans="2:18">
      <c r="B99" t="str">
        <f>_xlfn.TEXTJOIN(" ",  FALSE,SeedOrder2023[[#This Row],[Company]],SeedOrder2023[[#This Row],[Variety]])</f>
        <v>Swallowtail Garden Dropmore</v>
      </c>
      <c r="C99" t="s">
        <v>1298</v>
      </c>
      <c r="D99" t="s">
        <v>142</v>
      </c>
      <c r="E99" t="s">
        <v>142</v>
      </c>
      <c r="F99" t="s">
        <v>828</v>
      </c>
      <c r="I99">
        <v>20</v>
      </c>
      <c r="J99" t="s">
        <v>1244</v>
      </c>
      <c r="K99">
        <v>4.49</v>
      </c>
      <c r="L99">
        <v>3</v>
      </c>
      <c r="M99">
        <v>250</v>
      </c>
      <c r="N99" t="s">
        <v>212</v>
      </c>
      <c r="O99" t="s">
        <v>212</v>
      </c>
      <c r="P99" t="s">
        <v>212</v>
      </c>
      <c r="Q99" t="s">
        <v>212</v>
      </c>
      <c r="R99">
        <v>3.75</v>
      </c>
    </row>
    <row r="100" spans="2:18">
      <c r="B100" t="str">
        <f>_xlfn.TEXTJOIN(" ",  FALSE,SeedOrder2023[[#This Row],[Company]],SeedOrder2023[[#This Row],[Variety]])</f>
        <v>Territorial Apollo</v>
      </c>
      <c r="C100" t="s">
        <v>533</v>
      </c>
      <c r="D100" t="s">
        <v>366</v>
      </c>
      <c r="E100" t="s">
        <v>534</v>
      </c>
      <c r="F100" t="s">
        <v>1203</v>
      </c>
      <c r="I100">
        <v>250</v>
      </c>
      <c r="J100" t="s">
        <v>1244</v>
      </c>
      <c r="K100">
        <v>16.75</v>
      </c>
      <c r="L100">
        <v>1</v>
      </c>
      <c r="M100">
        <v>350</v>
      </c>
      <c r="N100" t="s">
        <v>212</v>
      </c>
      <c r="O100" t="s">
        <v>212</v>
      </c>
      <c r="P100" t="s">
        <v>212</v>
      </c>
      <c r="Q100">
        <v>20.192307692307693</v>
      </c>
      <c r="R100">
        <v>3.75</v>
      </c>
    </row>
    <row r="101" spans="2:18">
      <c r="B101" t="str">
        <f>_xlfn.TEXTJOIN(" ",  FALSE,SeedOrder2023[[#This Row],[Company]],SeedOrder2023[[#This Row],[Variety]])</f>
        <v>Tomato Fest Mortgage Lifter, Radiator Charlie's</v>
      </c>
      <c r="C101" t="s">
        <v>695</v>
      </c>
      <c r="D101" t="s">
        <v>467</v>
      </c>
      <c r="E101" t="s">
        <v>1287</v>
      </c>
      <c r="F101" t="s">
        <v>1289</v>
      </c>
      <c r="I101">
        <v>20</v>
      </c>
      <c r="J101" t="s">
        <v>1244</v>
      </c>
      <c r="K101">
        <v>4.5</v>
      </c>
      <c r="L101">
        <v>1</v>
      </c>
      <c r="M101">
        <v>20</v>
      </c>
      <c r="N101" t="s">
        <v>212</v>
      </c>
      <c r="O101" t="s">
        <v>212</v>
      </c>
      <c r="P101" t="s">
        <v>212</v>
      </c>
      <c r="Q101">
        <v>0.45454545454545447</v>
      </c>
      <c r="R101">
        <v>7.9</v>
      </c>
    </row>
    <row r="102" spans="2:18">
      <c r="B102" t="str">
        <f>_xlfn.TEXTJOIN(" ",  FALSE,SeedOrder2023[[#This Row],[Company]],SeedOrder2023[[#This Row],[Variety]])</f>
        <v>Tomato Fest Green Giant</v>
      </c>
      <c r="C102" t="s">
        <v>695</v>
      </c>
      <c r="D102" t="s">
        <v>467</v>
      </c>
      <c r="E102" t="s">
        <v>697</v>
      </c>
      <c r="F102" t="s">
        <v>1186</v>
      </c>
      <c r="I102">
        <v>20</v>
      </c>
      <c r="J102" t="s">
        <v>1244</v>
      </c>
      <c r="K102">
        <v>4.25</v>
      </c>
      <c r="L102">
        <v>1</v>
      </c>
      <c r="M102">
        <v>60</v>
      </c>
      <c r="N102" t="s">
        <v>212</v>
      </c>
      <c r="O102" t="s">
        <v>212</v>
      </c>
      <c r="P102" t="s">
        <v>212</v>
      </c>
      <c r="Q102">
        <v>1.1538461538461537</v>
      </c>
      <c r="R102">
        <v>13.47</v>
      </c>
    </row>
    <row r="103" spans="2:18">
      <c r="B103" t="str">
        <f>_xlfn.TEXTJOIN(" ",  FALSE,SeedOrder2023[[#This Row],[Company]],SeedOrder2023[[#This Row],[Variety]])</f>
        <v>Tomato Fest Hugh's</v>
      </c>
      <c r="C103" t="s">
        <v>695</v>
      </c>
      <c r="D103" t="s">
        <v>467</v>
      </c>
      <c r="E103" t="s">
        <v>704</v>
      </c>
      <c r="F103" t="s">
        <v>1159</v>
      </c>
      <c r="I103">
        <v>20</v>
      </c>
      <c r="J103" t="s">
        <v>1244</v>
      </c>
      <c r="K103">
        <v>4.25</v>
      </c>
      <c r="L103">
        <v>1</v>
      </c>
      <c r="M103">
        <v>250</v>
      </c>
      <c r="N103" t="s">
        <v>212</v>
      </c>
      <c r="O103" t="s">
        <v>212</v>
      </c>
      <c r="P103" t="s">
        <v>212</v>
      </c>
      <c r="Q103">
        <v>2.4038461538461537</v>
      </c>
      <c r="R103">
        <v>16.75</v>
      </c>
    </row>
    <row r="104" spans="2:18">
      <c r="B104" t="str">
        <f>_xlfn.TEXTJOIN(" ",  FALSE,SeedOrder2023[[#This Row],[Company]],SeedOrder2023[[#This Row],[Variety]])</f>
        <v>Tomato Fest Yellow Bell</v>
      </c>
      <c r="C104" t="s">
        <v>695</v>
      </c>
      <c r="D104" t="s">
        <v>469</v>
      </c>
      <c r="E104" t="s">
        <v>694</v>
      </c>
      <c r="F104" t="s">
        <v>1164</v>
      </c>
      <c r="I104">
        <v>20</v>
      </c>
      <c r="J104" t="s">
        <v>1244</v>
      </c>
      <c r="K104">
        <v>3.25</v>
      </c>
      <c r="L104">
        <v>1</v>
      </c>
      <c r="M104">
        <v>20</v>
      </c>
      <c r="N104" t="s">
        <v>212</v>
      </c>
      <c r="O104" t="s">
        <v>212</v>
      </c>
      <c r="P104" t="s">
        <v>212</v>
      </c>
      <c r="Q104">
        <v>1.153846153846154</v>
      </c>
      <c r="R104">
        <v>4.5</v>
      </c>
    </row>
    <row r="105" spans="2:18">
      <c r="B105" t="str">
        <f>_xlfn.TEXTJOIN(" ",  FALSE,SeedOrder2023[[#This Row],[Company]],SeedOrder2023[[#This Row],[Variety]])</f>
        <v>Totally Tomatoes Umberto</v>
      </c>
      <c r="C105" t="s">
        <v>692</v>
      </c>
      <c r="D105" t="s">
        <v>469</v>
      </c>
      <c r="E105" t="s">
        <v>691</v>
      </c>
      <c r="F105" t="s">
        <v>1150</v>
      </c>
      <c r="I105">
        <v>10</v>
      </c>
      <c r="J105" t="s">
        <v>1244</v>
      </c>
      <c r="K105">
        <v>2.95</v>
      </c>
      <c r="L105">
        <v>2</v>
      </c>
      <c r="M105">
        <v>20</v>
      </c>
      <c r="N105" t="s">
        <v>212</v>
      </c>
      <c r="O105" t="s">
        <v>212</v>
      </c>
      <c r="P105" t="s">
        <v>212</v>
      </c>
      <c r="Q105">
        <v>1.153846153846154</v>
      </c>
      <c r="R105">
        <v>4.25</v>
      </c>
    </row>
    <row r="106" spans="2:18">
      <c r="B106" t="str">
        <f>_xlfn.TEXTJOIN(" ",  FALSE,SeedOrder2023[[#This Row],[Company]],SeedOrder2023[[#This Row],[Variety]])</f>
        <v>True Love Mary Reynold's</v>
      </c>
      <c r="C106" t="s">
        <v>700</v>
      </c>
      <c r="D106" t="s">
        <v>467</v>
      </c>
      <c r="E106" t="s">
        <v>698</v>
      </c>
      <c r="F106" t="s">
        <v>1154</v>
      </c>
      <c r="I106">
        <v>25</v>
      </c>
      <c r="J106" t="s">
        <v>1244</v>
      </c>
      <c r="K106">
        <v>4</v>
      </c>
      <c r="L106">
        <v>1</v>
      </c>
      <c r="M106">
        <v>20</v>
      </c>
      <c r="N106" t="s">
        <v>212</v>
      </c>
      <c r="O106" t="s">
        <v>212</v>
      </c>
      <c r="P106" t="s">
        <v>212</v>
      </c>
      <c r="Q106">
        <v>1.153846153846154</v>
      </c>
      <c r="R106">
        <v>4.25</v>
      </c>
    </row>
    <row r="107" spans="2:18">
      <c r="B107" t="str">
        <f>_xlfn.TEXTJOIN(" ",  FALSE,SeedOrder2023[[#This Row],[Company]],SeedOrder2023[[#This Row],[Variety]])</f>
        <v>Uprising Prescott Fond Blanc</v>
      </c>
      <c r="C107" t="s">
        <v>484</v>
      </c>
      <c r="D107" t="s">
        <v>98</v>
      </c>
      <c r="E107" t="s">
        <v>1286</v>
      </c>
      <c r="F107" t="s">
        <v>1062</v>
      </c>
      <c r="I107">
        <v>25</v>
      </c>
      <c r="J107" t="s">
        <v>1244</v>
      </c>
      <c r="K107">
        <v>3.95</v>
      </c>
      <c r="L107">
        <v>1</v>
      </c>
      <c r="M107">
        <v>20</v>
      </c>
      <c r="N107" t="s">
        <v>212</v>
      </c>
      <c r="O107" t="s">
        <v>212</v>
      </c>
      <c r="P107" t="s">
        <v>212</v>
      </c>
      <c r="Q107">
        <v>1.153846153846154</v>
      </c>
      <c r="R107">
        <v>3.25</v>
      </c>
    </row>
    <row r="108" spans="2:18">
      <c r="B108" t="str">
        <f>_xlfn.TEXTJOIN(" ",  FALSE,SeedOrder2023[[#This Row],[Company]],SeedOrder2023[[#This Row],[Variety]])</f>
        <v>Uprising All The Year Round</v>
      </c>
      <c r="C108" t="s">
        <v>484</v>
      </c>
      <c r="D108" t="s">
        <v>54</v>
      </c>
      <c r="E108" t="s">
        <v>507</v>
      </c>
      <c r="F108" t="s">
        <v>1199</v>
      </c>
      <c r="I108">
        <v>100</v>
      </c>
      <c r="J108" t="s">
        <v>1244</v>
      </c>
      <c r="K108">
        <v>3.85</v>
      </c>
      <c r="L108">
        <v>1</v>
      </c>
      <c r="M108">
        <v>20</v>
      </c>
      <c r="N108" t="s">
        <v>212</v>
      </c>
      <c r="O108" t="s">
        <v>212</v>
      </c>
      <c r="P108" t="s">
        <v>212</v>
      </c>
      <c r="Q108">
        <v>1.153846153846154</v>
      </c>
      <c r="R108">
        <v>5.9</v>
      </c>
    </row>
    <row r="109" spans="2:18">
      <c r="B109" t="str">
        <f>_xlfn.TEXTJOIN(" ",  FALSE,SeedOrder2023[[#This Row],[Company]],SeedOrder2023[[#This Row],[Variety]])</f>
        <v>Uprising AQUADULCE</v>
      </c>
      <c r="C109" t="s">
        <v>484</v>
      </c>
      <c r="D109" t="s">
        <v>452</v>
      </c>
      <c r="E109" t="s">
        <v>619</v>
      </c>
      <c r="F109" t="s">
        <v>1022</v>
      </c>
      <c r="I109">
        <v>20</v>
      </c>
      <c r="J109" t="s">
        <v>1244</v>
      </c>
      <c r="K109">
        <v>3.85</v>
      </c>
      <c r="L109">
        <v>4</v>
      </c>
      <c r="M109">
        <v>25</v>
      </c>
      <c r="N109" t="s">
        <v>212</v>
      </c>
      <c r="O109" t="s">
        <v>212</v>
      </c>
      <c r="P109" t="s">
        <v>212</v>
      </c>
      <c r="Q109">
        <v>1.4423076923076925</v>
      </c>
      <c r="R109">
        <v>4</v>
      </c>
    </row>
    <row r="110" spans="2:18">
      <c r="B110" t="str">
        <f>_xlfn.TEXTJOIN(" ",  FALSE,SeedOrder2023[[#This Row],[Company]],SeedOrder2023[[#This Row],[Variety]])</f>
        <v>Uprising AUNT MOLLY'S</v>
      </c>
      <c r="C110" t="s">
        <v>484</v>
      </c>
      <c r="D110" t="s">
        <v>82</v>
      </c>
      <c r="E110" t="s">
        <v>853</v>
      </c>
      <c r="F110" t="s">
        <v>839</v>
      </c>
      <c r="I110">
        <v>50</v>
      </c>
      <c r="J110" t="s">
        <v>1244</v>
      </c>
      <c r="K110">
        <v>3.85</v>
      </c>
      <c r="L110">
        <v>1</v>
      </c>
      <c r="M110">
        <v>25</v>
      </c>
      <c r="N110" t="s">
        <v>212</v>
      </c>
      <c r="O110" t="s">
        <v>212</v>
      </c>
      <c r="P110" t="s">
        <v>212</v>
      </c>
      <c r="Q110">
        <v>3.8461538461538463</v>
      </c>
      <c r="R110">
        <v>3.95</v>
      </c>
    </row>
    <row r="111" spans="2:18">
      <c r="B111" t="str">
        <f>_xlfn.TEXTJOIN(" ",  FALSE,SeedOrder2023[[#This Row],[Company]],SeedOrder2023[[#This Row],[Variety]])</f>
        <v>Uprising Autum Sunset</v>
      </c>
      <c r="C111" t="s">
        <v>484</v>
      </c>
      <c r="D111" t="s">
        <v>140</v>
      </c>
      <c r="E111" t="s">
        <v>662</v>
      </c>
      <c r="F111" t="s">
        <v>919</v>
      </c>
      <c r="I111">
        <v>100</v>
      </c>
      <c r="J111" t="s">
        <v>1244</v>
      </c>
      <c r="K111">
        <v>3.85</v>
      </c>
      <c r="L111">
        <v>1</v>
      </c>
      <c r="M111">
        <v>100</v>
      </c>
      <c r="N111" t="s">
        <v>212</v>
      </c>
      <c r="O111" t="s">
        <v>212</v>
      </c>
      <c r="P111" t="s">
        <v>212</v>
      </c>
      <c r="Q111">
        <v>1.3461538461538463</v>
      </c>
      <c r="R111">
        <v>3.85</v>
      </c>
    </row>
    <row r="112" spans="2:18">
      <c r="B112" t="str">
        <f>_xlfn.TEXTJOIN(" ",  FALSE,SeedOrder2023[[#This Row],[Company]],SeedOrder2023[[#This Row],[Variety]])</f>
        <v>Uprising BEATRICE</v>
      </c>
      <c r="C112" t="s">
        <v>484</v>
      </c>
      <c r="D112" t="s">
        <v>356</v>
      </c>
      <c r="E112" t="s">
        <v>658</v>
      </c>
      <c r="F112" t="s">
        <v>1221</v>
      </c>
      <c r="I112">
        <v>100</v>
      </c>
      <c r="J112" t="s">
        <v>1244</v>
      </c>
      <c r="K112">
        <v>4.5</v>
      </c>
      <c r="L112">
        <v>1</v>
      </c>
      <c r="M112">
        <v>80</v>
      </c>
      <c r="N112" t="s">
        <v>212</v>
      </c>
      <c r="O112" t="s">
        <v>212</v>
      </c>
      <c r="P112" t="s">
        <v>212</v>
      </c>
      <c r="Q112" t="s">
        <v>212</v>
      </c>
      <c r="R112">
        <v>15.4</v>
      </c>
    </row>
    <row r="113" spans="2:18">
      <c r="B113" t="str">
        <f>_xlfn.TEXTJOIN(" ",  FALSE,SeedOrder2023[[#This Row],[Company]],SeedOrder2023[[#This Row],[Variety]])</f>
        <v>Uprising ÇENGELKÖY'</v>
      </c>
      <c r="C113" t="s">
        <v>484</v>
      </c>
      <c r="D113" t="s">
        <v>457</v>
      </c>
      <c r="E113" t="s">
        <v>608</v>
      </c>
      <c r="F113" t="s">
        <v>807</v>
      </c>
      <c r="I113">
        <v>40</v>
      </c>
      <c r="J113" t="s">
        <v>1244</v>
      </c>
      <c r="K113">
        <v>3.85</v>
      </c>
      <c r="L113">
        <v>1</v>
      </c>
      <c r="M113">
        <v>50</v>
      </c>
      <c r="N113" t="s">
        <v>212</v>
      </c>
      <c r="O113" t="s">
        <v>212</v>
      </c>
      <c r="P113" t="s">
        <v>212</v>
      </c>
      <c r="Q113">
        <v>2.884615384615385</v>
      </c>
      <c r="R113">
        <v>3.85</v>
      </c>
    </row>
    <row r="114" spans="2:18">
      <c r="B114" t="str">
        <f>_xlfn.TEXTJOIN(" ",  FALSE,SeedOrder2023[[#This Row],[Company]],SeedOrder2023[[#This Row],[Variety]])</f>
        <v>Uprising Diamond</v>
      </c>
      <c r="C114" t="s">
        <v>484</v>
      </c>
      <c r="D114" t="s">
        <v>76</v>
      </c>
      <c r="E114" t="s">
        <v>617</v>
      </c>
      <c r="F114" t="s">
        <v>1015</v>
      </c>
      <c r="I114">
        <v>25</v>
      </c>
      <c r="J114" t="s">
        <v>1244</v>
      </c>
      <c r="K114">
        <v>3.85</v>
      </c>
      <c r="L114">
        <v>1</v>
      </c>
      <c r="M114">
        <v>100</v>
      </c>
      <c r="N114" t="s">
        <v>212</v>
      </c>
      <c r="O114" t="s">
        <v>212</v>
      </c>
      <c r="P114" t="s">
        <v>212</v>
      </c>
      <c r="Q114">
        <v>5.384615384615385</v>
      </c>
      <c r="R114">
        <v>3.85</v>
      </c>
    </row>
    <row r="115" spans="2:18">
      <c r="B115" t="str">
        <f>_xlfn.TEXTJOIN(" ",  FALSE,SeedOrder2023[[#This Row],[Company]],SeedOrder2023[[#This Row],[Variety]])</f>
        <v>Uprising ELEPHANT'S EAR</v>
      </c>
      <c r="C115" t="s">
        <v>484</v>
      </c>
      <c r="D115" t="s">
        <v>464</v>
      </c>
      <c r="E115" t="s">
        <v>647</v>
      </c>
      <c r="F115" t="s">
        <v>1013</v>
      </c>
      <c r="I115">
        <v>100</v>
      </c>
      <c r="J115" t="s">
        <v>1244</v>
      </c>
      <c r="K115">
        <v>8</v>
      </c>
      <c r="L115">
        <v>1</v>
      </c>
      <c r="M115">
        <v>100</v>
      </c>
      <c r="N115" t="s">
        <v>212</v>
      </c>
      <c r="O115" t="s">
        <v>212</v>
      </c>
      <c r="P115" t="s">
        <v>212</v>
      </c>
      <c r="Q115">
        <v>1.5384615384615385</v>
      </c>
      <c r="R115">
        <v>4.5</v>
      </c>
    </row>
    <row r="116" spans="2:18">
      <c r="B116" t="str">
        <f>_xlfn.TEXTJOIN(" ",  FALSE,SeedOrder2023[[#This Row],[Company]],SeedOrder2023[[#This Row],[Variety]])</f>
        <v>Uprising FILDERKRAUT</v>
      </c>
      <c r="C116" t="s">
        <v>484</v>
      </c>
      <c r="D116" t="s">
        <v>52</v>
      </c>
      <c r="E116" t="s">
        <v>497</v>
      </c>
      <c r="F116" t="s">
        <v>772</v>
      </c>
      <c r="I116">
        <v>100</v>
      </c>
      <c r="J116" t="s">
        <v>1244</v>
      </c>
      <c r="K116">
        <v>3.85</v>
      </c>
      <c r="L116">
        <v>1</v>
      </c>
      <c r="M116">
        <v>40</v>
      </c>
      <c r="N116" t="s">
        <v>212</v>
      </c>
      <c r="O116" t="s">
        <v>212</v>
      </c>
      <c r="P116" t="s">
        <v>212</v>
      </c>
      <c r="Q116">
        <v>1.2307692307692308</v>
      </c>
      <c r="R116">
        <v>3.85</v>
      </c>
    </row>
    <row r="117" spans="2:18">
      <c r="B117" t="str">
        <f>_xlfn.TEXTJOIN(" ",  FALSE,SeedOrder2023[[#This Row],[Company]],SeedOrder2023[[#This Row],[Variety]])</f>
        <v>Uprising FROG ISLAND NATION</v>
      </c>
      <c r="C117" t="s">
        <v>484</v>
      </c>
      <c r="D117" t="s">
        <v>452</v>
      </c>
      <c r="E117" t="s">
        <v>618</v>
      </c>
      <c r="F117" t="s">
        <v>1020</v>
      </c>
      <c r="I117">
        <v>20</v>
      </c>
      <c r="J117" t="s">
        <v>1244</v>
      </c>
      <c r="K117">
        <v>3.85</v>
      </c>
      <c r="L117">
        <v>4</v>
      </c>
      <c r="M117">
        <v>25</v>
      </c>
      <c r="N117" t="s">
        <v>212</v>
      </c>
      <c r="O117" t="s">
        <v>212</v>
      </c>
      <c r="P117" t="s">
        <v>212</v>
      </c>
      <c r="Q117">
        <v>1.7307692307692311</v>
      </c>
      <c r="R117">
        <v>3.85</v>
      </c>
    </row>
    <row r="118" spans="2:18">
      <c r="B118" t="str">
        <f>_xlfn.TEXTJOIN(" ",  FALSE,SeedOrder2023[[#This Row],[Company]],SeedOrder2023[[#This Row],[Variety]])</f>
        <v>Uprising Incantadore</v>
      </c>
      <c r="C118" t="s">
        <v>484</v>
      </c>
      <c r="D118" t="s">
        <v>356</v>
      </c>
      <c r="E118" t="s">
        <v>573</v>
      </c>
      <c r="F118" t="s">
        <v>1212</v>
      </c>
      <c r="I118">
        <v>100</v>
      </c>
      <c r="J118" t="s">
        <v>1244</v>
      </c>
      <c r="K118">
        <v>3.85</v>
      </c>
      <c r="L118">
        <v>1</v>
      </c>
      <c r="M118">
        <v>100</v>
      </c>
      <c r="N118" t="s">
        <v>212</v>
      </c>
      <c r="O118" t="s">
        <v>212</v>
      </c>
      <c r="P118" t="s">
        <v>212</v>
      </c>
      <c r="Q118">
        <v>1.5384615384615385</v>
      </c>
      <c r="R118">
        <v>8</v>
      </c>
    </row>
    <row r="119" spans="2:18">
      <c r="B119" t="str">
        <f>_xlfn.TEXTJOIN(" ",  FALSE,SeedOrder2023[[#This Row],[Company]],SeedOrder2023[[#This Row],[Variety]])</f>
        <v>Uprising Italian Large Leaf</v>
      </c>
      <c r="C119" t="s">
        <v>484</v>
      </c>
      <c r="D119" t="s">
        <v>461</v>
      </c>
      <c r="E119" t="s">
        <v>483</v>
      </c>
      <c r="F119" t="s">
        <v>746</v>
      </c>
      <c r="G119">
        <v>20400</v>
      </c>
      <c r="H119" t="s">
        <v>1242</v>
      </c>
      <c r="I119">
        <v>0.125</v>
      </c>
      <c r="J119" t="s">
        <v>1242</v>
      </c>
      <c r="K119">
        <v>7</v>
      </c>
      <c r="L119">
        <v>1</v>
      </c>
      <c r="M119">
        <v>100</v>
      </c>
      <c r="N119" t="s">
        <v>212</v>
      </c>
      <c r="O119" t="s">
        <v>212</v>
      </c>
      <c r="P119" t="s">
        <v>212</v>
      </c>
      <c r="Q119">
        <v>1.153846153846154</v>
      </c>
      <c r="R119">
        <v>3.85</v>
      </c>
    </row>
    <row r="120" spans="2:18">
      <c r="B120" t="str">
        <f>_xlfn.TEXTJOIN(" ",  FALSE,SeedOrder2023[[#This Row],[Company]],SeedOrder2023[[#This Row],[Variety]])</f>
        <v>Uprising LENTIGGINI</v>
      </c>
      <c r="C120" t="s">
        <v>484</v>
      </c>
      <c r="D120" t="s">
        <v>356</v>
      </c>
      <c r="E120" t="s">
        <v>656</v>
      </c>
      <c r="F120" t="s">
        <v>1223</v>
      </c>
      <c r="I120">
        <v>100</v>
      </c>
      <c r="J120" t="s">
        <v>1244</v>
      </c>
      <c r="K120">
        <v>4.5</v>
      </c>
      <c r="L120">
        <v>1</v>
      </c>
      <c r="M120">
        <v>80</v>
      </c>
      <c r="N120" t="s">
        <v>212</v>
      </c>
      <c r="O120" t="s">
        <v>212</v>
      </c>
      <c r="P120" t="s">
        <v>212</v>
      </c>
      <c r="Q120" t="s">
        <v>212</v>
      </c>
      <c r="R120">
        <v>15.4</v>
      </c>
    </row>
    <row r="121" spans="2:18">
      <c r="B121" t="str">
        <f>_xlfn.TEXTJOIN(" ",  FALSE,SeedOrder2023[[#This Row],[Company]],SeedOrder2023[[#This Row],[Variety]])</f>
        <v>Uprising MERVEILLE DES QUATRE SAISONS</v>
      </c>
      <c r="C121" t="s">
        <v>484</v>
      </c>
      <c r="D121" t="s">
        <v>92</v>
      </c>
      <c r="E121" t="s">
        <v>538</v>
      </c>
      <c r="F121" t="s">
        <v>1029</v>
      </c>
      <c r="G121">
        <v>800</v>
      </c>
      <c r="H121" t="s">
        <v>1243</v>
      </c>
      <c r="I121">
        <v>800</v>
      </c>
      <c r="J121" t="s">
        <v>1244</v>
      </c>
      <c r="K121">
        <v>3.85</v>
      </c>
      <c r="L121">
        <v>1</v>
      </c>
      <c r="M121">
        <v>100</v>
      </c>
      <c r="N121" t="s">
        <v>212</v>
      </c>
      <c r="O121" t="s">
        <v>212</v>
      </c>
      <c r="P121" t="s">
        <v>212</v>
      </c>
      <c r="Q121">
        <v>0.76923076923076927</v>
      </c>
      <c r="R121">
        <v>3.85</v>
      </c>
    </row>
    <row r="122" spans="2:18">
      <c r="B122" t="str">
        <f>_xlfn.TEXTJOIN(" ",  FALSE,SeedOrder2023[[#This Row],[Company]],SeedOrder2023[[#This Row],[Variety]])</f>
        <v>Uprising PACIFICO</v>
      </c>
      <c r="C122" t="s">
        <v>484</v>
      </c>
      <c r="D122" t="s">
        <v>356</v>
      </c>
      <c r="E122" t="s">
        <v>655</v>
      </c>
      <c r="F122" t="s">
        <v>1219</v>
      </c>
      <c r="I122">
        <v>100</v>
      </c>
      <c r="J122" t="s">
        <v>1244</v>
      </c>
      <c r="K122">
        <v>4.5</v>
      </c>
      <c r="L122">
        <v>1</v>
      </c>
      <c r="M122">
        <v>0.125</v>
      </c>
      <c r="N122" t="s">
        <v>212</v>
      </c>
      <c r="O122" t="s">
        <v>212</v>
      </c>
      <c r="P122" t="s">
        <v>212</v>
      </c>
      <c r="Q122">
        <v>29.423076923076927</v>
      </c>
      <c r="R122">
        <v>7</v>
      </c>
    </row>
    <row r="123" spans="2:18">
      <c r="B123" t="str">
        <f>_xlfn.TEXTJOIN(" ",  FALSE,SeedOrder2023[[#This Row],[Company]],SeedOrder2023[[#This Row],[Variety]])</f>
        <v>Uprising PIENNOLO ROSSO</v>
      </c>
      <c r="C123" t="s">
        <v>484</v>
      </c>
      <c r="D123" t="s">
        <v>468</v>
      </c>
      <c r="E123" t="s">
        <v>686</v>
      </c>
      <c r="F123" t="s">
        <v>1131</v>
      </c>
      <c r="I123">
        <v>20</v>
      </c>
      <c r="J123" t="s">
        <v>1244</v>
      </c>
      <c r="K123">
        <v>3.85</v>
      </c>
      <c r="L123">
        <v>1</v>
      </c>
      <c r="M123">
        <v>100</v>
      </c>
      <c r="N123" t="s">
        <v>212</v>
      </c>
      <c r="O123" t="s">
        <v>212</v>
      </c>
      <c r="P123" t="s">
        <v>212</v>
      </c>
      <c r="Q123">
        <v>1.5384615384615385</v>
      </c>
      <c r="R123">
        <v>4.5</v>
      </c>
    </row>
    <row r="124" spans="2:18">
      <c r="B124" t="str">
        <f>_xlfn.TEXTJOIN(" ",  FALSE,SeedOrder2023[[#This Row],[Company]],SeedOrder2023[[#This Row],[Variety]])</f>
        <v>Uprising Pinky</v>
      </c>
      <c r="C124" t="s">
        <v>484</v>
      </c>
      <c r="D124" t="s">
        <v>469</v>
      </c>
      <c r="E124" t="s">
        <v>696</v>
      </c>
      <c r="F124" t="s">
        <v>961</v>
      </c>
      <c r="I124">
        <v>30</v>
      </c>
      <c r="J124" t="s">
        <v>1244</v>
      </c>
      <c r="K124">
        <v>3.85</v>
      </c>
      <c r="L124">
        <v>1</v>
      </c>
      <c r="M124">
        <v>800</v>
      </c>
      <c r="N124" t="s">
        <v>212</v>
      </c>
      <c r="O124" t="s">
        <v>212</v>
      </c>
      <c r="P124" t="s">
        <v>212</v>
      </c>
      <c r="Q124">
        <v>2.0512820512820511</v>
      </c>
      <c r="R124">
        <v>3.85</v>
      </c>
    </row>
    <row r="125" spans="2:18">
      <c r="B125" t="str">
        <f>_xlfn.TEXTJOIN(" ",  FALSE,SeedOrder2023[[#This Row],[Company]],SeedOrder2023[[#This Row],[Variety]])</f>
        <v>Uprising Queen of Malinalco</v>
      </c>
      <c r="C125" t="s">
        <v>484</v>
      </c>
      <c r="D125" t="s">
        <v>135</v>
      </c>
      <c r="E125" t="s">
        <v>480</v>
      </c>
      <c r="F125" t="s">
        <v>906</v>
      </c>
      <c r="I125">
        <v>30</v>
      </c>
      <c r="J125" t="s">
        <v>1244</v>
      </c>
      <c r="K125">
        <v>3.85</v>
      </c>
      <c r="L125">
        <v>1</v>
      </c>
      <c r="M125">
        <v>100</v>
      </c>
      <c r="N125" t="s">
        <v>212</v>
      </c>
      <c r="O125" t="s">
        <v>212</v>
      </c>
      <c r="P125" t="s">
        <v>212</v>
      </c>
      <c r="Q125">
        <v>1.5384615384615385</v>
      </c>
      <c r="R125">
        <v>4.5</v>
      </c>
    </row>
    <row r="126" spans="2:18">
      <c r="B126" t="str">
        <f>_xlfn.TEXTJOIN(" ",  FALSE,SeedOrder2023[[#This Row],[Company]],SeedOrder2023[[#This Row],[Variety]])</f>
        <v>Uprising Reds</v>
      </c>
      <c r="C126" t="s">
        <v>484</v>
      </c>
      <c r="D126" t="s">
        <v>460</v>
      </c>
      <c r="E126" t="s">
        <v>586</v>
      </c>
      <c r="F126" t="s">
        <v>953</v>
      </c>
      <c r="I126">
        <v>1000</v>
      </c>
      <c r="J126" t="s">
        <v>1244</v>
      </c>
      <c r="K126">
        <v>24</v>
      </c>
      <c r="L126">
        <v>1</v>
      </c>
      <c r="M126">
        <v>20</v>
      </c>
      <c r="N126" t="s">
        <v>212</v>
      </c>
      <c r="O126" t="s">
        <v>212</v>
      </c>
      <c r="P126" t="s">
        <v>212</v>
      </c>
      <c r="Q126">
        <v>0.57692307692307698</v>
      </c>
      <c r="R126">
        <v>3.85</v>
      </c>
    </row>
    <row r="127" spans="2:18">
      <c r="B127" t="str">
        <f>_xlfn.TEXTJOIN(" ",  FALSE,SeedOrder2023[[#This Row],[Company]],SeedOrder2023[[#This Row],[Variety]])</f>
        <v>Uprising REGINA ROSSA</v>
      </c>
      <c r="C127" t="s">
        <v>484</v>
      </c>
      <c r="D127" t="s">
        <v>356</v>
      </c>
      <c r="E127" t="s">
        <v>657</v>
      </c>
      <c r="F127" t="s">
        <v>1217</v>
      </c>
      <c r="I127">
        <v>100</v>
      </c>
      <c r="J127" t="s">
        <v>1244</v>
      </c>
      <c r="K127">
        <v>4.5</v>
      </c>
      <c r="L127">
        <v>1</v>
      </c>
      <c r="M127">
        <v>30</v>
      </c>
      <c r="N127" t="s">
        <v>212</v>
      </c>
      <c r="O127" t="s">
        <v>212</v>
      </c>
      <c r="P127" t="s">
        <v>212</v>
      </c>
      <c r="Q127">
        <v>1.7307692307692308</v>
      </c>
      <c r="R127">
        <v>3.85</v>
      </c>
    </row>
    <row r="128" spans="2:18">
      <c r="B128" t="str">
        <f>_xlfn.TEXTJOIN(" ",  FALSE,SeedOrder2023[[#This Row],[Company]],SeedOrder2023[[#This Row],[Variety]])</f>
        <v>Uprising Sahara</v>
      </c>
      <c r="C128" t="s">
        <v>484</v>
      </c>
      <c r="D128" t="s">
        <v>140</v>
      </c>
      <c r="E128" t="s">
        <v>661</v>
      </c>
      <c r="F128" t="s">
        <v>918</v>
      </c>
      <c r="I128">
        <v>100</v>
      </c>
      <c r="J128" t="s">
        <v>1244</v>
      </c>
      <c r="K128">
        <v>3.85</v>
      </c>
      <c r="L128">
        <v>1</v>
      </c>
      <c r="M128">
        <v>30</v>
      </c>
      <c r="N128" t="s">
        <v>212</v>
      </c>
      <c r="O128" t="s">
        <v>212</v>
      </c>
      <c r="P128" t="s">
        <v>212</v>
      </c>
      <c r="Q128">
        <v>1.7307692307692308</v>
      </c>
      <c r="R128">
        <v>3.85</v>
      </c>
    </row>
    <row r="129" spans="2:18">
      <c r="B129" t="str">
        <f>_xlfn.TEXTJOIN(" ",  FALSE,SeedOrder2023[[#This Row],[Company]],SeedOrder2023[[#This Row],[Variety]])</f>
        <v>Uprising STUTTGARTER RIESEN</v>
      </c>
      <c r="C129" t="s">
        <v>484</v>
      </c>
      <c r="D129" t="s">
        <v>105</v>
      </c>
      <c r="E129" t="s">
        <v>635</v>
      </c>
      <c r="F129" t="s">
        <v>1069</v>
      </c>
      <c r="G129">
        <v>100000</v>
      </c>
      <c r="H129" t="s">
        <v>1241</v>
      </c>
      <c r="I129">
        <v>0.125</v>
      </c>
      <c r="J129" t="s">
        <v>1242</v>
      </c>
      <c r="K129">
        <v>3.85</v>
      </c>
      <c r="L129">
        <v>1</v>
      </c>
      <c r="M129">
        <v>1000</v>
      </c>
      <c r="N129" t="s">
        <v>212</v>
      </c>
      <c r="O129" t="s">
        <v>212</v>
      </c>
      <c r="P129" t="s">
        <v>212</v>
      </c>
      <c r="Q129">
        <v>3.8461538461538463</v>
      </c>
      <c r="R129">
        <v>24</v>
      </c>
    </row>
    <row r="130" spans="2:18">
      <c r="B130" t="str">
        <f>_xlfn.TEXTJOIN(" ",  FALSE,SeedOrder2023[[#This Row],[Company]],SeedOrder2023[[#This Row],[Variety]])</f>
        <v>Uprising SWEET ORANGE II</v>
      </c>
      <c r="C130" t="s">
        <v>484</v>
      </c>
      <c r="D130" t="s">
        <v>468</v>
      </c>
      <c r="E130" t="s">
        <v>689</v>
      </c>
      <c r="F130" t="s">
        <v>1174</v>
      </c>
      <c r="I130">
        <v>30</v>
      </c>
      <c r="J130" t="s">
        <v>1244</v>
      </c>
      <c r="K130">
        <v>3.85</v>
      </c>
      <c r="L130">
        <v>1</v>
      </c>
      <c r="M130">
        <v>100</v>
      </c>
      <c r="N130" t="s">
        <v>212</v>
      </c>
      <c r="O130" t="s">
        <v>212</v>
      </c>
      <c r="P130" t="s">
        <v>212</v>
      </c>
      <c r="Q130">
        <v>1.5384615384615385</v>
      </c>
      <c r="R130">
        <v>4.5</v>
      </c>
    </row>
    <row r="131" spans="2:18">
      <c r="B131" t="str">
        <f>_xlfn.TEXTJOIN(" ",  FALSE,SeedOrder2023[[#This Row],[Company]],SeedOrder2023[[#This Row],[Variety]])</f>
        <v>Uprising Tuxana</v>
      </c>
      <c r="C131" t="s">
        <v>484</v>
      </c>
      <c r="D131" t="s">
        <v>454</v>
      </c>
      <c r="E131" t="s">
        <v>516</v>
      </c>
      <c r="F131" t="s">
        <v>996</v>
      </c>
      <c r="I131">
        <v>100</v>
      </c>
      <c r="J131" t="s">
        <v>1244</v>
      </c>
      <c r="K131">
        <v>3.85</v>
      </c>
      <c r="L131">
        <v>2</v>
      </c>
      <c r="M131">
        <v>100</v>
      </c>
      <c r="N131" t="s">
        <v>212</v>
      </c>
      <c r="O131" t="s">
        <v>212</v>
      </c>
      <c r="P131" t="s">
        <v>212</v>
      </c>
      <c r="Q131">
        <v>5.384615384615385</v>
      </c>
      <c r="R131">
        <v>3.85</v>
      </c>
    </row>
    <row r="132" spans="2:18">
      <c r="B132" t="str">
        <f>_xlfn.TEXTJOIN(" ",  FALSE,SeedOrder2023[[#This Row],[Company]],SeedOrder2023[[#This Row],[Variety]])</f>
        <v>Uprising Tuxana</v>
      </c>
      <c r="C132" t="s">
        <v>484</v>
      </c>
      <c r="D132" t="s">
        <v>455</v>
      </c>
      <c r="E132" t="s">
        <v>516</v>
      </c>
      <c r="F132" t="s">
        <v>996</v>
      </c>
      <c r="I132">
        <v>100</v>
      </c>
      <c r="J132" t="s">
        <v>1244</v>
      </c>
      <c r="K132">
        <v>3.85</v>
      </c>
      <c r="L132">
        <v>1</v>
      </c>
      <c r="M132">
        <v>0.125</v>
      </c>
      <c r="N132" t="s">
        <v>212</v>
      </c>
      <c r="O132" t="s">
        <v>212</v>
      </c>
      <c r="P132" t="s">
        <v>212</v>
      </c>
      <c r="Q132" t="s">
        <v>212</v>
      </c>
      <c r="R132">
        <v>3.85</v>
      </c>
    </row>
    <row r="133" spans="2:18">
      <c r="B133" t="str">
        <f>_xlfn.TEXTJOIN(" ",  FALSE,SeedOrder2023[[#This Row],[Company]],SeedOrder2023[[#This Row],[Variety]])</f>
        <v>Uprising VERZA MORETTA DI VERONELLA</v>
      </c>
      <c r="C133" t="s">
        <v>484</v>
      </c>
      <c r="D133" t="s">
        <v>52</v>
      </c>
      <c r="E133" t="s">
        <v>498</v>
      </c>
      <c r="F133" t="s">
        <v>981</v>
      </c>
      <c r="I133">
        <v>100</v>
      </c>
      <c r="J133" t="s">
        <v>1244</v>
      </c>
      <c r="K133">
        <v>4.5</v>
      </c>
      <c r="L133">
        <v>3</v>
      </c>
      <c r="M133">
        <v>30</v>
      </c>
      <c r="N133" t="s">
        <v>212</v>
      </c>
      <c r="O133" t="s">
        <v>212</v>
      </c>
      <c r="P133" t="s">
        <v>212</v>
      </c>
      <c r="Q133">
        <v>0.86538461538461542</v>
      </c>
      <c r="R133">
        <v>3.85</v>
      </c>
    </row>
    <row r="134" spans="2:18">
      <c r="B134" t="str">
        <f>_xlfn.TEXTJOIN(" ",  FALSE,SeedOrder2023[[#This Row],[Company]],SeedOrder2023[[#This Row],[Variety]])</f>
        <v>Uprising BASKET FLOWER, 'ALOHA BLANCA'</v>
      </c>
      <c r="C134" t="s">
        <v>484</v>
      </c>
      <c r="D134" t="s">
        <v>65</v>
      </c>
      <c r="E134" t="s">
        <v>596</v>
      </c>
      <c r="F134" t="s">
        <v>736</v>
      </c>
      <c r="I134">
        <v>50</v>
      </c>
      <c r="J134" t="s">
        <v>1244</v>
      </c>
      <c r="K134">
        <v>3.85</v>
      </c>
      <c r="L134">
        <v>4</v>
      </c>
      <c r="M134">
        <v>200</v>
      </c>
      <c r="N134" t="s">
        <v>212</v>
      </c>
      <c r="O134" t="s">
        <v>212</v>
      </c>
      <c r="P134" t="s">
        <v>212</v>
      </c>
      <c r="Q134">
        <v>0.89445438282647582</v>
      </c>
      <c r="R134">
        <v>7.7</v>
      </c>
    </row>
    <row r="135" spans="2:18">
      <c r="B135" t="str">
        <f>_xlfn.TEXTJOIN(" ",  FALSE,SeedOrder2023[[#This Row],[Company]],SeedOrder2023[[#This Row],[Variety]])</f>
        <v>Uprising Love Lies Bleeding</v>
      </c>
      <c r="C135" t="s">
        <v>484</v>
      </c>
      <c r="D135" t="s">
        <v>41</v>
      </c>
      <c r="E135" t="s">
        <v>706</v>
      </c>
      <c r="F135" t="s">
        <v>719</v>
      </c>
      <c r="G135">
        <v>30000</v>
      </c>
      <c r="H135" t="s">
        <v>1242</v>
      </c>
      <c r="I135">
        <v>0.25</v>
      </c>
      <c r="J135" t="s">
        <v>1242</v>
      </c>
      <c r="K135">
        <v>10</v>
      </c>
      <c r="L135">
        <v>1</v>
      </c>
      <c r="M135">
        <v>100</v>
      </c>
      <c r="N135" t="s">
        <v>212</v>
      </c>
      <c r="O135" t="s">
        <v>212</v>
      </c>
      <c r="P135" t="s">
        <v>212</v>
      </c>
      <c r="Q135">
        <v>0.44722719141323791</v>
      </c>
      <c r="R135">
        <v>3.85</v>
      </c>
    </row>
    <row r="136" spans="2:18">
      <c r="B136" t="str">
        <f>_xlfn.TEXTJOIN(" ",  FALSE,SeedOrder2023[[#This Row],[Company]],SeedOrder2023[[#This Row],[Variety]])</f>
        <v>Uprising Opopeo</v>
      </c>
      <c r="C136" t="s">
        <v>484</v>
      </c>
      <c r="D136" t="s">
        <v>41</v>
      </c>
      <c r="E136" t="s">
        <v>705</v>
      </c>
      <c r="F136" t="s">
        <v>1249</v>
      </c>
      <c r="G136">
        <v>30000</v>
      </c>
      <c r="H136" t="s">
        <v>1242</v>
      </c>
      <c r="I136">
        <v>0.25</v>
      </c>
      <c r="J136" t="s">
        <v>1242</v>
      </c>
      <c r="K136">
        <v>10</v>
      </c>
      <c r="L136">
        <v>1</v>
      </c>
      <c r="M136">
        <v>300</v>
      </c>
      <c r="N136" t="s">
        <v>212</v>
      </c>
      <c r="O136" t="s">
        <v>212</v>
      </c>
      <c r="P136" t="s">
        <v>212</v>
      </c>
      <c r="Q136">
        <v>1.1538461538461537</v>
      </c>
      <c r="R136">
        <v>13.5</v>
      </c>
    </row>
    <row r="137" spans="2:18">
      <c r="B137" t="str">
        <f>_xlfn.TEXTJOIN(" ",  FALSE,SeedOrder2023[[#This Row],[Company]],SeedOrder2023[[#This Row],[Variety]])</f>
        <v>Weston Agretti Roscano Saltwort</v>
      </c>
      <c r="C137" t="s">
        <v>1296</v>
      </c>
      <c r="D137" t="s">
        <v>409</v>
      </c>
      <c r="E137" t="s">
        <v>672</v>
      </c>
      <c r="F137" t="s">
        <v>1112</v>
      </c>
      <c r="I137">
        <v>50</v>
      </c>
      <c r="J137" t="s">
        <v>1244</v>
      </c>
      <c r="K137">
        <v>2.99</v>
      </c>
      <c r="L137">
        <v>4</v>
      </c>
      <c r="M137">
        <v>200</v>
      </c>
      <c r="N137" t="s">
        <v>212</v>
      </c>
      <c r="O137" t="s">
        <v>212</v>
      </c>
      <c r="P137" t="s">
        <v>212</v>
      </c>
      <c r="Q137">
        <v>0.92307692307692313</v>
      </c>
      <c r="R137">
        <v>15.4</v>
      </c>
    </row>
    <row r="138" spans="2:18">
      <c r="B138" t="str">
        <f>_xlfn.TEXTJOIN(" ",  FALSE,SeedOrder2023[[#This Row],[Company]],SeedOrder2023[[#This Row],[Variety]])</f>
        <v>Wild Garden Anemones</v>
      </c>
      <c r="C138" t="s">
        <v>526</v>
      </c>
      <c r="D138" t="s">
        <v>140</v>
      </c>
      <c r="E138" t="s">
        <v>664</v>
      </c>
      <c r="F138" t="s">
        <v>921</v>
      </c>
      <c r="G138">
        <v>1618</v>
      </c>
      <c r="H138" t="s">
        <v>1243</v>
      </c>
      <c r="I138">
        <v>50</v>
      </c>
      <c r="J138" t="s">
        <v>1244</v>
      </c>
      <c r="K138">
        <v>4</v>
      </c>
      <c r="L138">
        <v>1</v>
      </c>
      <c r="M138">
        <v>0.25</v>
      </c>
      <c r="N138" t="s">
        <v>212</v>
      </c>
      <c r="O138" t="s">
        <v>212</v>
      </c>
      <c r="P138" t="s">
        <v>212</v>
      </c>
      <c r="Q138">
        <v>8.6538461538461551</v>
      </c>
      <c r="R138">
        <v>10</v>
      </c>
    </row>
    <row r="139" spans="2:18">
      <c r="B139" t="str">
        <f>_xlfn.TEXTJOIN(" ",  FALSE,SeedOrder2023[[#This Row],[Company]],SeedOrder2023[[#This Row],[Variety]])</f>
        <v>Wild Garden Brown Goldring</v>
      </c>
      <c r="C139" t="s">
        <v>526</v>
      </c>
      <c r="D139" t="s">
        <v>92</v>
      </c>
      <c r="E139" t="s">
        <v>542</v>
      </c>
      <c r="F139" t="s">
        <v>933</v>
      </c>
      <c r="G139">
        <v>250000</v>
      </c>
      <c r="H139" t="s">
        <v>1241</v>
      </c>
      <c r="I139">
        <v>500</v>
      </c>
      <c r="J139" t="s">
        <v>1244</v>
      </c>
      <c r="K139">
        <v>4</v>
      </c>
      <c r="L139">
        <v>1</v>
      </c>
      <c r="M139">
        <v>0.25</v>
      </c>
      <c r="N139" t="s">
        <v>212</v>
      </c>
      <c r="O139" t="s">
        <v>212</v>
      </c>
      <c r="P139" t="s">
        <v>212</v>
      </c>
      <c r="Q139">
        <v>8.6538461538461551</v>
      </c>
      <c r="R139">
        <v>10</v>
      </c>
    </row>
    <row r="140" spans="2:18">
      <c r="B140" t="str">
        <f>_xlfn.TEXTJOIN(" ",  FALSE,SeedOrder2023[[#This Row],[Company]],SeedOrder2023[[#This Row],[Variety]])</f>
        <v>Wild Garden Chim Chiminee</v>
      </c>
      <c r="C140" t="s">
        <v>526</v>
      </c>
      <c r="D140" t="s">
        <v>140</v>
      </c>
      <c r="E140" t="s">
        <v>667</v>
      </c>
      <c r="F140" t="s">
        <v>924</v>
      </c>
      <c r="G140">
        <v>1560</v>
      </c>
      <c r="H140" t="s">
        <v>1243</v>
      </c>
      <c r="I140">
        <v>100</v>
      </c>
      <c r="J140" t="s">
        <v>1244</v>
      </c>
      <c r="K140">
        <v>4</v>
      </c>
      <c r="L140">
        <v>1</v>
      </c>
      <c r="M140">
        <v>200</v>
      </c>
      <c r="N140" t="s">
        <v>212</v>
      </c>
      <c r="O140" t="s">
        <v>212</v>
      </c>
      <c r="P140" t="s">
        <v>212</v>
      </c>
      <c r="Q140">
        <v>0.21367521367521367</v>
      </c>
      <c r="R140">
        <v>11.96</v>
      </c>
    </row>
    <row r="141" spans="2:18">
      <c r="B141" t="str">
        <f>_xlfn.TEXTJOIN(" ",  FALSE,SeedOrder2023[[#This Row],[Company]],SeedOrder2023[[#This Row],[Variety]])</f>
        <v>Wild Garden Dara</v>
      </c>
      <c r="C141" t="s">
        <v>526</v>
      </c>
      <c r="D141" t="s">
        <v>141</v>
      </c>
      <c r="E141" t="s">
        <v>569</v>
      </c>
      <c r="F141" t="s">
        <v>907</v>
      </c>
      <c r="G141">
        <v>1071</v>
      </c>
      <c r="H141" t="s">
        <v>1243</v>
      </c>
      <c r="I141">
        <v>500</v>
      </c>
      <c r="J141" t="s">
        <v>1244</v>
      </c>
      <c r="K141">
        <v>9</v>
      </c>
      <c r="L141">
        <v>1</v>
      </c>
      <c r="M141">
        <v>50</v>
      </c>
      <c r="N141" t="s">
        <v>212</v>
      </c>
      <c r="O141" t="s">
        <v>212</v>
      </c>
      <c r="P141" t="s">
        <v>212</v>
      </c>
      <c r="Q141">
        <v>2.6923076923076925</v>
      </c>
      <c r="R141">
        <v>4</v>
      </c>
    </row>
    <row r="142" spans="2:18">
      <c r="B142" t="str">
        <f>_xlfn.TEXTJOIN(" ",  FALSE,SeedOrder2023[[#This Row],[Company]],SeedOrder2023[[#This Row],[Variety]])</f>
        <v>Wild Garden Dubya Dapple Density</v>
      </c>
      <c r="C142" t="s">
        <v>526</v>
      </c>
      <c r="D142" t="s">
        <v>92</v>
      </c>
      <c r="E142" t="s">
        <v>547</v>
      </c>
      <c r="F142" t="s">
        <v>1040</v>
      </c>
      <c r="G142">
        <v>250000</v>
      </c>
      <c r="H142" t="s">
        <v>1241</v>
      </c>
      <c r="I142">
        <v>500</v>
      </c>
      <c r="J142" t="s">
        <v>1244</v>
      </c>
      <c r="K142">
        <v>4</v>
      </c>
      <c r="L142">
        <v>1</v>
      </c>
      <c r="M142">
        <v>500</v>
      </c>
      <c r="N142" t="s">
        <v>212</v>
      </c>
      <c r="O142" t="s">
        <v>212</v>
      </c>
      <c r="P142" t="s">
        <v>212</v>
      </c>
      <c r="Q142">
        <v>2.5641025641025643</v>
      </c>
      <c r="R142">
        <v>4</v>
      </c>
    </row>
    <row r="143" spans="2:18">
      <c r="B143" t="str">
        <f>_xlfn.TEXTJOIN(" ",  FALSE,SeedOrder2023[[#This Row],[Company]],SeedOrder2023[[#This Row],[Variety]])</f>
        <v>Wild Garden Gloriosa Double Daisy</v>
      </c>
      <c r="C143" t="s">
        <v>526</v>
      </c>
      <c r="D143" t="s">
        <v>140</v>
      </c>
      <c r="E143" t="s">
        <v>666</v>
      </c>
      <c r="F143" t="s">
        <v>923</v>
      </c>
      <c r="I143">
        <v>50</v>
      </c>
      <c r="J143" t="s">
        <v>1244</v>
      </c>
      <c r="K143">
        <v>4</v>
      </c>
      <c r="L143">
        <v>1</v>
      </c>
      <c r="M143">
        <v>100</v>
      </c>
      <c r="N143" t="s">
        <v>212</v>
      </c>
      <c r="O143" t="s">
        <v>212</v>
      </c>
      <c r="P143" t="s">
        <v>212</v>
      </c>
      <c r="Q143">
        <v>5.384615384615385</v>
      </c>
      <c r="R143">
        <v>4</v>
      </c>
    </row>
    <row r="144" spans="2:18">
      <c r="B144" t="str">
        <f>_xlfn.TEXTJOIN(" ",  FALSE,SeedOrder2023[[#This Row],[Company]],SeedOrder2023[[#This Row],[Variety]])</f>
        <v>Wild Garden Green Mist</v>
      </c>
      <c r="C144" t="s">
        <v>526</v>
      </c>
      <c r="D144" t="s">
        <v>463</v>
      </c>
      <c r="E144" t="s">
        <v>525</v>
      </c>
      <c r="F144" t="s">
        <v>826</v>
      </c>
      <c r="I144">
        <v>300</v>
      </c>
      <c r="J144" t="s">
        <v>1244</v>
      </c>
      <c r="K144">
        <v>4</v>
      </c>
      <c r="L144">
        <v>1</v>
      </c>
      <c r="M144">
        <v>500</v>
      </c>
      <c r="N144" t="s">
        <v>212</v>
      </c>
      <c r="O144" t="s">
        <v>212</v>
      </c>
      <c r="P144" t="s">
        <v>212</v>
      </c>
      <c r="Q144">
        <v>1.9230769230769231</v>
      </c>
      <c r="R144">
        <v>9</v>
      </c>
    </row>
    <row r="145" spans="2:18">
      <c r="B145" t="str">
        <f>_xlfn.TEXTJOIN(" ",  FALSE,SeedOrder2023[[#This Row],[Company]],SeedOrder2023[[#This Row],[Variety]])</f>
        <v>Wild Garden Perfection</v>
      </c>
      <c r="C145" t="s">
        <v>526</v>
      </c>
      <c r="D145" t="s">
        <v>78</v>
      </c>
      <c r="E145" t="s">
        <v>530</v>
      </c>
      <c r="F145" t="s">
        <v>1052</v>
      </c>
      <c r="I145">
        <v>300</v>
      </c>
      <c r="J145" t="s">
        <v>1244</v>
      </c>
      <c r="K145">
        <v>4</v>
      </c>
      <c r="L145">
        <v>2</v>
      </c>
      <c r="M145">
        <v>500</v>
      </c>
      <c r="N145" t="s">
        <v>212</v>
      </c>
      <c r="O145" t="s">
        <v>212</v>
      </c>
      <c r="P145" t="s">
        <v>212</v>
      </c>
      <c r="Q145">
        <v>2.5641025641025643</v>
      </c>
      <c r="R145">
        <v>4</v>
      </c>
    </row>
    <row r="146" spans="2:18">
      <c r="B146" t="str">
        <f>_xlfn.TEXTJOIN(" ",  FALSE,SeedOrder2023[[#This Row],[Company]],SeedOrder2023[[#This Row],[Variety]])</f>
        <v>Wild Garden Shades of Gold Mix</v>
      </c>
      <c r="C146" t="s">
        <v>526</v>
      </c>
      <c r="D146" t="s">
        <v>97</v>
      </c>
      <c r="E146" t="s">
        <v>627</v>
      </c>
      <c r="F146" t="s">
        <v>928</v>
      </c>
      <c r="G146">
        <v>300</v>
      </c>
      <c r="H146" t="s">
        <v>1243</v>
      </c>
      <c r="I146">
        <v>50</v>
      </c>
      <c r="J146" t="s">
        <v>1244</v>
      </c>
      <c r="K146">
        <v>4</v>
      </c>
      <c r="L146">
        <v>1</v>
      </c>
      <c r="M146">
        <v>50</v>
      </c>
      <c r="N146" t="s">
        <v>212</v>
      </c>
      <c r="O146" t="s">
        <v>212</v>
      </c>
      <c r="P146" t="s">
        <v>212</v>
      </c>
      <c r="Q146">
        <v>2.6923076923076925</v>
      </c>
      <c r="R146">
        <v>4</v>
      </c>
    </row>
    <row r="147" spans="2:18">
      <c r="B147" t="str">
        <f>_xlfn.TEXTJOIN(" ",  FALSE,SeedOrder2023[[#This Row],[Company]],SeedOrder2023[[#This Row],[Variety]])</f>
        <v>Wild Garden Tall Triloba</v>
      </c>
      <c r="C147" t="s">
        <v>526</v>
      </c>
      <c r="D147" t="s">
        <v>140</v>
      </c>
      <c r="E147" t="s">
        <v>665</v>
      </c>
      <c r="F147" t="s">
        <v>922</v>
      </c>
      <c r="G147">
        <v>1043</v>
      </c>
      <c r="H147" t="s">
        <v>1243</v>
      </c>
      <c r="I147">
        <v>100</v>
      </c>
      <c r="J147" t="s">
        <v>1244</v>
      </c>
      <c r="K147">
        <v>4</v>
      </c>
      <c r="L147">
        <v>1</v>
      </c>
      <c r="M147">
        <v>300</v>
      </c>
      <c r="N147" t="s">
        <v>212</v>
      </c>
      <c r="O147" t="s">
        <v>212</v>
      </c>
      <c r="P147" t="s">
        <v>212</v>
      </c>
      <c r="Q147">
        <v>1.4423076923076923</v>
      </c>
      <c r="R147">
        <v>4</v>
      </c>
    </row>
    <row r="148" spans="2:18">
      <c r="B148" t="str">
        <f>_xlfn.TEXTJOIN(" ",  FALSE,SeedOrder2023[[#This Row],[Company]],SeedOrder2023[[#This Row],[Variety]])</f>
        <v>Wild Garden White Dill</v>
      </c>
      <c r="C148" t="s">
        <v>526</v>
      </c>
      <c r="D148" t="s">
        <v>463</v>
      </c>
      <c r="E148" t="s">
        <v>527</v>
      </c>
      <c r="F148" t="s">
        <v>827</v>
      </c>
      <c r="I148">
        <v>300</v>
      </c>
      <c r="J148" t="s">
        <v>1244</v>
      </c>
      <c r="K148">
        <v>4</v>
      </c>
      <c r="L148">
        <v>1</v>
      </c>
      <c r="M148">
        <v>600</v>
      </c>
      <c r="N148" t="s">
        <v>212</v>
      </c>
      <c r="O148" t="s">
        <v>212</v>
      </c>
      <c r="P148" t="s">
        <v>212</v>
      </c>
      <c r="Q148">
        <v>1.1538461538461537</v>
      </c>
      <c r="R148">
        <v>8</v>
      </c>
    </row>
    <row r="149" spans="2:18">
      <c r="B149" t="str">
        <f>_xlfn.TEXTJOIN(" ",  FALSE,SeedOrder2023[[#This Row],[Company]],SeedOrder2023[[#This Row],[Variety]])</f>
        <v>Wild Garden Zanzico</v>
      </c>
      <c r="C149" t="s">
        <v>526</v>
      </c>
      <c r="D149" t="s">
        <v>461</v>
      </c>
      <c r="E149" t="s">
        <v>710</v>
      </c>
      <c r="F149" t="s">
        <v>1038</v>
      </c>
      <c r="I149">
        <v>500</v>
      </c>
      <c r="J149" t="s">
        <v>1244</v>
      </c>
      <c r="K149">
        <v>11</v>
      </c>
      <c r="L149">
        <v>1</v>
      </c>
      <c r="M149">
        <v>50</v>
      </c>
      <c r="N149" t="s">
        <v>212</v>
      </c>
      <c r="O149" t="s">
        <v>212</v>
      </c>
      <c r="P149" t="s">
        <v>212</v>
      </c>
      <c r="Q149">
        <v>2.0512820512820511</v>
      </c>
      <c r="R149">
        <v>4</v>
      </c>
    </row>
    <row r="150" spans="2:18">
      <c r="B150" t="str">
        <f>_xlfn.TEXTJOIN(" ",  FALSE,SeedOrder2023[[#This Row],[Company]],SeedOrder2023[[#This Row],[Variety]])</f>
        <v>Wild Garden Velvet 'n Lace'</v>
      </c>
      <c r="C150" t="s">
        <v>526</v>
      </c>
      <c r="D150" t="s">
        <v>74</v>
      </c>
      <c r="E150" t="s">
        <v>610</v>
      </c>
      <c r="F150" t="s">
        <v>814</v>
      </c>
      <c r="G150">
        <v>1000</v>
      </c>
      <c r="H150" t="s">
        <v>1243</v>
      </c>
      <c r="I150">
        <v>150</v>
      </c>
      <c r="J150" t="s">
        <v>1244</v>
      </c>
      <c r="K150">
        <v>4</v>
      </c>
      <c r="L150">
        <v>1</v>
      </c>
      <c r="M150">
        <v>100</v>
      </c>
      <c r="N150" t="s">
        <v>212</v>
      </c>
      <c r="O150" t="s">
        <v>212</v>
      </c>
      <c r="P150" t="s">
        <v>212</v>
      </c>
      <c r="Q150">
        <v>5.384615384615385</v>
      </c>
      <c r="R150">
        <v>4</v>
      </c>
    </row>
  </sheetData>
  <pageMargins left="0.7" right="0.7" top="0.75" bottom="0.75" header="0.3" footer="0.3"/>
  <pageSetup orientation="portrait" horizontalDpi="0" verticalDpi="0"/>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E806-B6C6-4EDC-9F1E-16768BCB005D}">
  <sheetPr codeName="Sheet17"/>
  <dimension ref="C1:L184"/>
  <sheetViews>
    <sheetView workbookViewId="0"/>
  </sheetViews>
  <sheetFormatPr baseColWidth="10" defaultColWidth="8.83203125" defaultRowHeight="15"/>
  <cols>
    <col min="3" max="3" width="9.33203125" bestFit="1" customWidth="1"/>
    <col min="4" max="4" width="4.5" bestFit="1" customWidth="1"/>
    <col min="5" max="5" width="43.5" bestFit="1" customWidth="1"/>
    <col min="6" max="6" width="23.33203125" bestFit="1" customWidth="1"/>
    <col min="7" max="7" width="19.83203125" bestFit="1" customWidth="1"/>
    <col min="8" max="8" width="16.33203125" bestFit="1" customWidth="1"/>
    <col min="9" max="10" width="10.83203125" bestFit="1" customWidth="1"/>
    <col min="11" max="11" width="5.6640625" bestFit="1" customWidth="1"/>
    <col min="12" max="13" width="7.6640625" bestFit="1" customWidth="1"/>
  </cols>
  <sheetData>
    <row r="1" spans="3:12" ht="30" customHeight="1">
      <c r="C1" s="30" t="str" cm="1">
        <f t="array" ref="C1:L139">_xlfn._xlws.FILTER(_xlfn.HSTACK(BedPlan[[#Headers],[#Data],[Identifier]], BedPlan[[#Headers],[#Data],[Bed]], BedPlan[[#Headers],[#Data],[Variety]], BedPlan[[#Headers],[#Data],[Company]], BedPlan[[#Headers],[#Data],[Planned Greenhouse Start Date]], BedPlan[[#Headers],[#Data],[Actual Greenhouse Date]], BedPlan[[#Headers],[#Data],[Planned TP or DS Date]], BedPlan[[#Headers],[#Data],[Actual TP or DS Date]], BedPlan[[#Headers],[#Data],[Rows]], BedPlan[[#Headers],[#Data],[Spacing]]),LEFT(BedPlan[[#Headers],[#Data],[Identifier]],3)&lt;&gt;"TAR")</f>
        <v>Identifier</v>
      </c>
      <c r="D1" s="30" t="str">
        <v>Bed</v>
      </c>
      <c r="E1" s="30" t="str">
        <v>Variety</v>
      </c>
      <c r="F1" s="30" t="str">
        <v>Company</v>
      </c>
      <c r="G1" s="30" t="str">
        <v>Planned Greenhouse Start Date</v>
      </c>
      <c r="H1" s="30" t="str">
        <v>Actual Greenhouse Date</v>
      </c>
      <c r="I1" s="30" t="str">
        <v>Planned TP or DS Date</v>
      </c>
      <c r="J1" s="30" t="str">
        <v>Actual TP or DS Date</v>
      </c>
      <c r="K1" s="30" t="str">
        <v>Rows</v>
      </c>
      <c r="L1" s="30" t="str">
        <v>Spacing</v>
      </c>
    </row>
    <row r="2" spans="3:12">
      <c r="C2" t="str">
        <v>ARU002</v>
      </c>
      <c r="D2" t="str">
        <v>X2</v>
      </c>
      <c r="E2" t="str">
        <v>Arugala Mix</v>
      </c>
      <c r="F2">
        <v>0</v>
      </c>
      <c r="G2" s="26" t="str">
        <v/>
      </c>
      <c r="H2" s="26">
        <v>0</v>
      </c>
      <c r="I2" s="26">
        <v>45754</v>
      </c>
      <c r="J2" s="26">
        <v>45754</v>
      </c>
      <c r="K2">
        <v>6</v>
      </c>
      <c r="L2">
        <v>0.25</v>
      </c>
    </row>
    <row r="3" spans="3:12">
      <c r="C3" t="str">
        <v>ARU003</v>
      </c>
      <c r="D3" t="str">
        <v>H8</v>
      </c>
      <c r="E3" t="str">
        <v>Arugala Mix</v>
      </c>
      <c r="F3">
        <v>0</v>
      </c>
      <c r="G3" s="26" t="str">
        <v/>
      </c>
      <c r="H3" s="26">
        <v>0</v>
      </c>
      <c r="I3" s="26">
        <v>45754</v>
      </c>
      <c r="J3" s="26">
        <v>45781</v>
      </c>
      <c r="K3">
        <v>6</v>
      </c>
      <c r="L3">
        <v>0.25</v>
      </c>
    </row>
    <row r="4" spans="3:12">
      <c r="C4" t="str">
        <v>ARU001</v>
      </c>
      <c r="D4" t="str">
        <v>A5</v>
      </c>
      <c r="E4" t="str">
        <v>Arugala Mix</v>
      </c>
      <c r="F4">
        <v>0</v>
      </c>
      <c r="G4" s="26" t="str">
        <v/>
      </c>
      <c r="H4" s="26">
        <v>0</v>
      </c>
      <c r="I4" s="26">
        <v>45758</v>
      </c>
      <c r="J4" s="26">
        <v>45741</v>
      </c>
      <c r="K4">
        <v>6</v>
      </c>
      <c r="L4">
        <v>0.25</v>
      </c>
    </row>
    <row r="5" spans="3:12">
      <c r="C5" t="str">
        <v>ARU004</v>
      </c>
      <c r="D5" t="str">
        <v>D5</v>
      </c>
      <c r="E5" t="str">
        <v>Arugala Mix</v>
      </c>
      <c r="F5">
        <v>0</v>
      </c>
      <c r="G5" s="26" t="str">
        <v/>
      </c>
      <c r="H5" s="26">
        <v>0</v>
      </c>
      <c r="I5" s="26">
        <v>45823</v>
      </c>
      <c r="J5" s="26">
        <v>45838</v>
      </c>
      <c r="K5">
        <v>6</v>
      </c>
      <c r="L5">
        <v>0.25</v>
      </c>
    </row>
    <row r="6" spans="3:12">
      <c r="C6" t="str">
        <v>ARU005</v>
      </c>
      <c r="D6" t="str">
        <v>D5</v>
      </c>
      <c r="E6" t="str">
        <v>Arugala Mix</v>
      </c>
      <c r="F6">
        <v>0</v>
      </c>
      <c r="G6" s="26" t="str">
        <v/>
      </c>
      <c r="H6" s="26">
        <v>0</v>
      </c>
      <c r="I6" s="26">
        <v>45884</v>
      </c>
      <c r="J6" s="26">
        <v>0</v>
      </c>
      <c r="K6">
        <v>6</v>
      </c>
      <c r="L6">
        <v>0.25</v>
      </c>
    </row>
    <row r="7" spans="3:12">
      <c r="C7" t="str">
        <v>BOK001</v>
      </c>
      <c r="D7" t="str">
        <v>E3</v>
      </c>
      <c r="E7" t="str">
        <v>Asian Green Mix</v>
      </c>
      <c r="F7">
        <v>0</v>
      </c>
      <c r="G7" s="26">
        <v>45748</v>
      </c>
      <c r="H7" s="26">
        <v>45761</v>
      </c>
      <c r="I7" s="26">
        <v>45789</v>
      </c>
      <c r="J7" s="26">
        <v>45784</v>
      </c>
      <c r="K7">
        <v>4</v>
      </c>
      <c r="L7">
        <v>9</v>
      </c>
    </row>
    <row r="8" spans="3:12">
      <c r="C8" t="str">
        <v>ASI002</v>
      </c>
      <c r="D8" t="str">
        <v>A2</v>
      </c>
      <c r="E8" t="str">
        <v>Asian Green Mix</v>
      </c>
      <c r="F8">
        <v>0</v>
      </c>
      <c r="G8" s="26">
        <v>45856</v>
      </c>
      <c r="H8" s="26">
        <v>0</v>
      </c>
      <c r="I8" s="26">
        <v>45884</v>
      </c>
      <c r="J8" s="26">
        <v>0</v>
      </c>
      <c r="K8">
        <v>4</v>
      </c>
      <c r="L8">
        <v>9</v>
      </c>
    </row>
    <row r="9" spans="3:12">
      <c r="C9" t="str">
        <v>ASI001</v>
      </c>
      <c r="D9" t="str">
        <v>X2</v>
      </c>
      <c r="E9" t="str">
        <v>Spring Asian Greens Mix</v>
      </c>
      <c r="F9">
        <v>0</v>
      </c>
      <c r="G9" s="26" t="str">
        <v/>
      </c>
      <c r="H9" s="26">
        <v>0</v>
      </c>
      <c r="I9" s="26">
        <v>45754</v>
      </c>
      <c r="J9" s="26">
        <v>45754</v>
      </c>
      <c r="K9">
        <v>4</v>
      </c>
      <c r="L9">
        <v>0.5</v>
      </c>
    </row>
    <row r="10" spans="3:12">
      <c r="C10" t="str">
        <v>BAS001</v>
      </c>
      <c r="D10" t="str">
        <v>A4</v>
      </c>
      <c r="E10" t="str">
        <v>Basil Mix</v>
      </c>
      <c r="F10">
        <v>0</v>
      </c>
      <c r="G10" s="26">
        <v>45748</v>
      </c>
      <c r="H10" s="26">
        <v>45763</v>
      </c>
      <c r="I10" s="26">
        <v>45803</v>
      </c>
      <c r="J10" s="26">
        <v>0</v>
      </c>
      <c r="K10">
        <v>1</v>
      </c>
      <c r="L10">
        <v>12</v>
      </c>
    </row>
    <row r="11" spans="3:12">
      <c r="C11" t="str">
        <v>BAS002</v>
      </c>
      <c r="D11" t="str">
        <v>A6</v>
      </c>
      <c r="E11" t="str">
        <v>Basil Mix</v>
      </c>
      <c r="F11">
        <v>0</v>
      </c>
      <c r="G11" s="26">
        <v>45783</v>
      </c>
      <c r="H11" s="26">
        <v>45796</v>
      </c>
      <c r="I11" s="26">
        <v>45836</v>
      </c>
      <c r="J11" s="26">
        <v>0</v>
      </c>
      <c r="K11">
        <v>4</v>
      </c>
      <c r="L11">
        <v>12</v>
      </c>
    </row>
    <row r="12" spans="3:12">
      <c r="C12" t="str">
        <v>BAS003</v>
      </c>
      <c r="D12" t="str">
        <v>J1</v>
      </c>
      <c r="E12" t="str">
        <v>Tulsi</v>
      </c>
      <c r="F12" t="str">
        <v>Uprising</v>
      </c>
      <c r="G12" s="26">
        <v>45758</v>
      </c>
      <c r="H12" s="26">
        <v>45763</v>
      </c>
      <c r="I12" s="26">
        <v>45803</v>
      </c>
      <c r="J12" s="26">
        <v>45812</v>
      </c>
      <c r="K12">
        <v>2</v>
      </c>
      <c r="L12">
        <v>12</v>
      </c>
    </row>
    <row r="13" spans="3:12">
      <c r="C13" t="str">
        <v>BEA001</v>
      </c>
      <c r="D13" t="str">
        <v>G6</v>
      </c>
      <c r="E13" t="str">
        <v>Pole Bean Mix</v>
      </c>
      <c r="F13">
        <v>0</v>
      </c>
      <c r="G13" s="26">
        <v>45783</v>
      </c>
      <c r="H13" s="26">
        <v>45796</v>
      </c>
      <c r="I13" s="26">
        <v>45810</v>
      </c>
      <c r="J13" s="26">
        <v>45813</v>
      </c>
      <c r="K13">
        <v>1</v>
      </c>
      <c r="L13">
        <v>6</v>
      </c>
    </row>
    <row r="14" spans="3:12">
      <c r="C14" t="str">
        <v>BEA002</v>
      </c>
      <c r="D14" t="str">
        <v>I3</v>
      </c>
      <c r="E14" t="str">
        <v>Pole Bean Mix</v>
      </c>
      <c r="F14">
        <v>0</v>
      </c>
      <c r="G14" s="26">
        <v>45783</v>
      </c>
      <c r="H14" s="26">
        <v>45796</v>
      </c>
      <c r="I14" s="26">
        <v>45810</v>
      </c>
      <c r="J14" s="26">
        <v>45813</v>
      </c>
      <c r="K14">
        <v>1</v>
      </c>
      <c r="L14">
        <v>6</v>
      </c>
    </row>
    <row r="15" spans="3:12">
      <c r="C15" t="str">
        <v>BEE001</v>
      </c>
      <c r="D15" t="str">
        <v>C7</v>
      </c>
      <c r="E15" t="str">
        <v>Beet Mix</v>
      </c>
      <c r="F15">
        <v>0</v>
      </c>
      <c r="G15" s="26">
        <v>45738</v>
      </c>
      <c r="H15" s="26">
        <v>45744</v>
      </c>
      <c r="I15" s="26">
        <v>45779</v>
      </c>
      <c r="J15" s="26">
        <v>0</v>
      </c>
      <c r="K15">
        <v>3</v>
      </c>
      <c r="L15">
        <v>12</v>
      </c>
    </row>
    <row r="16" spans="3:12">
      <c r="C16" t="str">
        <v>BEE002</v>
      </c>
      <c r="D16" t="str">
        <v>I7</v>
      </c>
      <c r="E16" t="str">
        <v>Beet Mix</v>
      </c>
      <c r="F16">
        <v>0</v>
      </c>
      <c r="G16" s="26">
        <v>45808</v>
      </c>
      <c r="H16" s="26">
        <v>45829</v>
      </c>
      <c r="I16" s="26">
        <v>45864</v>
      </c>
      <c r="J16" s="26">
        <v>0</v>
      </c>
      <c r="K16">
        <v>3</v>
      </c>
      <c r="L16">
        <v>12</v>
      </c>
    </row>
    <row r="17" spans="3:12">
      <c r="C17" t="str">
        <v>BEE003</v>
      </c>
      <c r="D17" t="str">
        <v>A8</v>
      </c>
      <c r="E17">
        <v>0</v>
      </c>
      <c r="F17">
        <v>0</v>
      </c>
      <c r="G17" s="26">
        <v>45849</v>
      </c>
      <c r="H17" s="26">
        <v>0</v>
      </c>
      <c r="I17" s="26">
        <v>45884</v>
      </c>
      <c r="J17" s="26">
        <v>0</v>
      </c>
      <c r="K17">
        <v>3</v>
      </c>
      <c r="L17">
        <v>12</v>
      </c>
    </row>
    <row r="18" spans="3:12">
      <c r="C18" t="str">
        <v>BOK002</v>
      </c>
      <c r="D18">
        <v>0</v>
      </c>
      <c r="E18">
        <v>0</v>
      </c>
      <c r="F18">
        <v>0</v>
      </c>
      <c r="G18" s="26">
        <v>45856</v>
      </c>
      <c r="H18" s="26">
        <v>0</v>
      </c>
      <c r="I18" s="26">
        <v>45884</v>
      </c>
      <c r="J18" s="26">
        <v>0</v>
      </c>
      <c r="K18">
        <v>4</v>
      </c>
      <c r="L18">
        <v>9</v>
      </c>
    </row>
    <row r="19" spans="3:12">
      <c r="C19" t="str">
        <v>BRO001</v>
      </c>
      <c r="D19" t="str">
        <v>I2</v>
      </c>
      <c r="E19" t="str">
        <v>Sprouting Broccoli Mix</v>
      </c>
      <c r="F19">
        <v>0</v>
      </c>
      <c r="G19" s="26">
        <v>45818</v>
      </c>
      <c r="H19" s="26">
        <v>45829</v>
      </c>
      <c r="I19" s="26">
        <v>45857</v>
      </c>
      <c r="J19" s="26">
        <v>0</v>
      </c>
      <c r="K19">
        <v>2</v>
      </c>
      <c r="L19">
        <v>12</v>
      </c>
    </row>
    <row r="20" spans="3:12">
      <c r="C20" t="str">
        <v>BRO002</v>
      </c>
      <c r="D20">
        <v>0</v>
      </c>
      <c r="E20" t="str">
        <v>Sprouting Broccoli Mix</v>
      </c>
      <c r="F20">
        <v>0</v>
      </c>
      <c r="G20" s="26">
        <v>45848</v>
      </c>
      <c r="H20" s="26">
        <v>0</v>
      </c>
      <c r="I20" s="26">
        <v>45876</v>
      </c>
      <c r="J20" s="26">
        <v>0</v>
      </c>
      <c r="K20">
        <v>2</v>
      </c>
      <c r="L20">
        <v>12</v>
      </c>
    </row>
    <row r="21" spans="3:12">
      <c r="C21" t="str">
        <v>CAB001</v>
      </c>
      <c r="D21" t="str">
        <v>F4</v>
      </c>
      <c r="E21" t="str">
        <v>Cabbage Fall Mix</v>
      </c>
      <c r="F21">
        <v>0</v>
      </c>
      <c r="G21" s="26">
        <v>45818</v>
      </c>
      <c r="H21" s="26">
        <v>45829</v>
      </c>
      <c r="I21" s="26">
        <v>45864</v>
      </c>
      <c r="J21" s="26">
        <v>0</v>
      </c>
      <c r="K21">
        <v>2</v>
      </c>
      <c r="L21">
        <v>18</v>
      </c>
    </row>
    <row r="22" spans="3:12">
      <c r="C22" t="str">
        <v>CAB002</v>
      </c>
      <c r="D22" t="str">
        <v>I5</v>
      </c>
      <c r="E22" t="str">
        <v>Chinese Cabbage Mix</v>
      </c>
      <c r="F22">
        <v>0</v>
      </c>
      <c r="G22" s="26">
        <v>45817</v>
      </c>
      <c r="H22" s="26">
        <v>45829</v>
      </c>
      <c r="I22" s="26">
        <v>45857</v>
      </c>
      <c r="J22" s="26">
        <v>0</v>
      </c>
      <c r="K22">
        <v>2</v>
      </c>
      <c r="L22">
        <v>15</v>
      </c>
    </row>
    <row r="23" spans="3:12">
      <c r="C23" t="str">
        <v>CAB010</v>
      </c>
      <c r="D23" t="str">
        <v>I6</v>
      </c>
      <c r="E23" t="str">
        <v>Mini Chinese Cabbage Mix</v>
      </c>
      <c r="F23">
        <v>0</v>
      </c>
      <c r="G23" s="26">
        <v>45817</v>
      </c>
      <c r="H23" s="26">
        <v>45841</v>
      </c>
      <c r="I23" s="26">
        <v>45869</v>
      </c>
      <c r="J23" s="26">
        <v>0</v>
      </c>
      <c r="K23">
        <v>3</v>
      </c>
      <c r="L23">
        <v>12</v>
      </c>
    </row>
    <row r="24" spans="3:12">
      <c r="C24" t="str">
        <v>CAB003</v>
      </c>
      <c r="D24" t="str">
        <v>E7</v>
      </c>
      <c r="E24" t="str">
        <v>Mini Cabbage Mix</v>
      </c>
      <c r="F24">
        <v>0</v>
      </c>
      <c r="G24" s="26">
        <v>45713</v>
      </c>
      <c r="H24" s="26">
        <v>45744</v>
      </c>
      <c r="I24" s="26">
        <v>45779</v>
      </c>
      <c r="J24" s="26">
        <v>45782</v>
      </c>
      <c r="K24">
        <v>3</v>
      </c>
      <c r="L24">
        <v>9</v>
      </c>
    </row>
    <row r="25" spans="3:12">
      <c r="C25" t="str">
        <v>CAB004</v>
      </c>
      <c r="D25" t="str">
        <v>D1</v>
      </c>
      <c r="E25" t="str">
        <v>Farao F1</v>
      </c>
      <c r="F25" t="str">
        <v>High Mowing</v>
      </c>
      <c r="G25" s="26">
        <v>45733</v>
      </c>
      <c r="H25" s="26">
        <v>45748</v>
      </c>
      <c r="I25" s="26">
        <v>45783</v>
      </c>
      <c r="J25" s="26">
        <v>45778</v>
      </c>
      <c r="K25">
        <v>3</v>
      </c>
      <c r="L25">
        <v>9</v>
      </c>
    </row>
    <row r="26" spans="3:12">
      <c r="C26" t="str">
        <v>CAR001</v>
      </c>
      <c r="D26" t="str">
        <v>A1</v>
      </c>
      <c r="E26" t="str">
        <v>Early Carrot Mix</v>
      </c>
      <c r="F26">
        <v>0</v>
      </c>
      <c r="G26" s="26" t="str">
        <v/>
      </c>
      <c r="H26" s="26">
        <v>0</v>
      </c>
      <c r="I26" s="26">
        <v>45743</v>
      </c>
      <c r="J26" s="26">
        <v>45752</v>
      </c>
      <c r="K26">
        <v>4</v>
      </c>
      <c r="L26">
        <v>0.5</v>
      </c>
    </row>
    <row r="27" spans="3:12">
      <c r="C27" t="str">
        <v>CAR002</v>
      </c>
      <c r="D27" t="str">
        <v>D3</v>
      </c>
      <c r="E27" t="str">
        <v>Early Carrot Mix</v>
      </c>
      <c r="F27">
        <v>0</v>
      </c>
      <c r="G27" s="26" t="str">
        <v/>
      </c>
      <c r="H27" s="26">
        <v>0</v>
      </c>
      <c r="I27" s="26">
        <v>45764</v>
      </c>
      <c r="J27" s="26">
        <v>45777</v>
      </c>
      <c r="K27">
        <v>4</v>
      </c>
      <c r="L27">
        <v>0.5</v>
      </c>
    </row>
    <row r="28" spans="3:12">
      <c r="C28" t="str">
        <v>CAR004</v>
      </c>
      <c r="D28" t="str">
        <v>D3</v>
      </c>
      <c r="E28" t="str">
        <v>Early Carrot Mix</v>
      </c>
      <c r="F28">
        <v>0</v>
      </c>
      <c r="G28" s="26" t="str">
        <v/>
      </c>
      <c r="H28" s="26">
        <v>0</v>
      </c>
      <c r="I28" s="26">
        <v>45785</v>
      </c>
      <c r="J28" s="26">
        <v>45777</v>
      </c>
      <c r="K28">
        <v>4</v>
      </c>
      <c r="L28">
        <v>0.5</v>
      </c>
    </row>
    <row r="29" spans="3:12">
      <c r="C29" t="str">
        <v>CAR005</v>
      </c>
      <c r="D29" t="str">
        <v>D4</v>
      </c>
      <c r="E29" t="str">
        <v>Early Carrot Mix</v>
      </c>
      <c r="F29">
        <v>0</v>
      </c>
      <c r="G29" s="26" t="str">
        <v/>
      </c>
      <c r="H29" s="26">
        <v>0</v>
      </c>
      <c r="I29" s="26">
        <v>45806</v>
      </c>
      <c r="J29" s="26">
        <v>45837</v>
      </c>
      <c r="K29">
        <v>4</v>
      </c>
      <c r="L29">
        <v>0.5</v>
      </c>
    </row>
    <row r="30" spans="3:12">
      <c r="C30" t="str">
        <v>CAR006</v>
      </c>
      <c r="D30" t="str">
        <v>D4</v>
      </c>
      <c r="E30" t="str">
        <v>Early Carrot Mix</v>
      </c>
      <c r="F30">
        <v>0</v>
      </c>
      <c r="G30" s="26" t="str">
        <v/>
      </c>
      <c r="H30" s="26">
        <v>0</v>
      </c>
      <c r="I30" s="26">
        <v>45827</v>
      </c>
      <c r="J30" s="26">
        <v>45837</v>
      </c>
      <c r="K30">
        <v>4</v>
      </c>
      <c r="L30">
        <v>0.5</v>
      </c>
    </row>
    <row r="31" spans="3:12">
      <c r="C31" t="str">
        <v>CAR008</v>
      </c>
      <c r="D31" t="str">
        <v>B1</v>
      </c>
      <c r="E31">
        <v>0</v>
      </c>
      <c r="F31">
        <v>0</v>
      </c>
      <c r="G31" s="26" t="str">
        <v/>
      </c>
      <c r="H31" s="26">
        <v>0</v>
      </c>
      <c r="I31" s="26">
        <v>45870</v>
      </c>
      <c r="J31" s="26">
        <v>0</v>
      </c>
      <c r="K31">
        <v>4</v>
      </c>
      <c r="L31">
        <v>0.5</v>
      </c>
    </row>
    <row r="32" spans="3:12">
      <c r="C32" t="str">
        <v>CAR003</v>
      </c>
      <c r="D32" t="str">
        <v>D6</v>
      </c>
      <c r="E32" t="str">
        <v>Maincrop Carrot Mix</v>
      </c>
      <c r="F32">
        <v>0</v>
      </c>
      <c r="G32" s="26" t="str">
        <v/>
      </c>
      <c r="H32" s="26">
        <v>0</v>
      </c>
      <c r="I32" s="26">
        <v>45808</v>
      </c>
      <c r="J32" s="26">
        <v>45837</v>
      </c>
      <c r="K32">
        <v>4</v>
      </c>
      <c r="L32">
        <v>0.5</v>
      </c>
    </row>
    <row r="33" spans="3:12">
      <c r="C33" t="str">
        <v>CAR007</v>
      </c>
      <c r="D33" t="str">
        <v>D2</v>
      </c>
      <c r="E33" t="str">
        <v>Maincrop Carrot Mix</v>
      </c>
      <c r="F33">
        <v>0</v>
      </c>
      <c r="G33" s="26" t="str">
        <v/>
      </c>
      <c r="H33" s="26">
        <v>0</v>
      </c>
      <c r="I33" s="26">
        <v>45839</v>
      </c>
      <c r="J33" s="26">
        <v>0</v>
      </c>
      <c r="K33">
        <v>4</v>
      </c>
      <c r="L33">
        <v>0.5</v>
      </c>
    </row>
    <row r="34" spans="3:12">
      <c r="C34" t="str">
        <v>CAU001</v>
      </c>
      <c r="D34" t="str">
        <v>F3</v>
      </c>
      <c r="E34" t="str">
        <v>Fall Cauliflower Mix</v>
      </c>
      <c r="F34">
        <v>0</v>
      </c>
      <c r="G34" s="26">
        <v>45818</v>
      </c>
      <c r="H34" s="26">
        <v>45829</v>
      </c>
      <c r="I34" s="26">
        <v>45864</v>
      </c>
      <c r="J34" s="26">
        <v>0</v>
      </c>
      <c r="K34">
        <v>2</v>
      </c>
      <c r="L34">
        <v>21</v>
      </c>
    </row>
    <row r="35" spans="3:12">
      <c r="C35" t="str">
        <v>CAU002</v>
      </c>
      <c r="D35" t="str">
        <v>I1</v>
      </c>
      <c r="E35" t="str">
        <v>Song TJS-65</v>
      </c>
      <c r="F35" t="str">
        <v>Johnny's</v>
      </c>
      <c r="G35" s="26">
        <v>45835</v>
      </c>
      <c r="H35" s="26">
        <v>45839</v>
      </c>
      <c r="I35" s="26">
        <v>45874</v>
      </c>
      <c r="J35" s="26">
        <v>0</v>
      </c>
      <c r="K35">
        <v>2</v>
      </c>
      <c r="L35">
        <v>21</v>
      </c>
    </row>
    <row r="36" spans="3:12">
      <c r="C36" t="str">
        <v>CEL001</v>
      </c>
      <c r="D36" t="str">
        <v>G1</v>
      </c>
      <c r="E36" t="str">
        <v>Celery Mix</v>
      </c>
      <c r="F36">
        <v>0</v>
      </c>
      <c r="G36" s="26">
        <v>45708</v>
      </c>
      <c r="H36" s="26">
        <v>45744</v>
      </c>
      <c r="I36" s="26">
        <v>45813</v>
      </c>
      <c r="J36" s="26">
        <v>45813</v>
      </c>
      <c r="K36">
        <v>3</v>
      </c>
      <c r="L36">
        <v>12</v>
      </c>
    </row>
    <row r="37" spans="3:12">
      <c r="C37" t="str">
        <v>CHO001</v>
      </c>
      <c r="D37" t="str">
        <v>A3</v>
      </c>
      <c r="E37" t="str">
        <v>Green 70 D</v>
      </c>
      <c r="F37" t="str">
        <v>Johnny's</v>
      </c>
      <c r="G37" s="26">
        <v>45708</v>
      </c>
      <c r="H37" s="26">
        <v>45737</v>
      </c>
      <c r="I37" s="26">
        <v>45767</v>
      </c>
      <c r="J37" s="26">
        <v>45770</v>
      </c>
      <c r="K37">
        <v>4</v>
      </c>
      <c r="L37">
        <v>6</v>
      </c>
    </row>
    <row r="38" spans="3:12">
      <c r="C38" t="str">
        <v>CHO002</v>
      </c>
      <c r="D38" t="str">
        <v>C8</v>
      </c>
      <c r="E38" t="str">
        <v>Green 70 D</v>
      </c>
      <c r="F38" t="str">
        <v>Johnny's</v>
      </c>
      <c r="G38" s="26">
        <v>45846</v>
      </c>
      <c r="H38" s="26">
        <v>0</v>
      </c>
      <c r="I38" s="26">
        <v>45876</v>
      </c>
      <c r="J38" s="26">
        <v>0</v>
      </c>
      <c r="K38">
        <v>4</v>
      </c>
      <c r="L38">
        <v>6</v>
      </c>
    </row>
    <row r="39" spans="3:12">
      <c r="C39" t="str">
        <v>CHR001</v>
      </c>
      <c r="D39" t="str">
        <v>A5</v>
      </c>
      <c r="E39" t="str">
        <v>Shungiku, Komi</v>
      </c>
      <c r="F39" t="str">
        <v>Adaptive</v>
      </c>
      <c r="G39" s="26" t="str">
        <v/>
      </c>
      <c r="H39" s="26">
        <v>0</v>
      </c>
      <c r="I39" s="26">
        <v>45743</v>
      </c>
      <c r="J39" s="26">
        <v>45741</v>
      </c>
      <c r="K39">
        <v>3</v>
      </c>
      <c r="L39">
        <v>0.8</v>
      </c>
    </row>
    <row r="40" spans="3:12">
      <c r="C40" t="str">
        <v>CIL002</v>
      </c>
      <c r="D40" t="str">
        <v>A4</v>
      </c>
      <c r="E40" t="str">
        <v>Cilantro Mix</v>
      </c>
      <c r="F40">
        <v>0</v>
      </c>
      <c r="G40" s="26">
        <v>45728</v>
      </c>
      <c r="H40" s="26">
        <v>45744</v>
      </c>
      <c r="I40" s="26">
        <v>45774</v>
      </c>
      <c r="J40" s="26">
        <v>45767</v>
      </c>
      <c r="K40">
        <v>5</v>
      </c>
      <c r="L40">
        <v>6</v>
      </c>
    </row>
    <row r="41" spans="3:12">
      <c r="C41" t="str">
        <v>CIL003</v>
      </c>
      <c r="D41" t="str">
        <v>B2</v>
      </c>
      <c r="E41" t="str">
        <v>Cilantro Mix</v>
      </c>
      <c r="F41">
        <v>0</v>
      </c>
      <c r="G41" s="26">
        <v>45729</v>
      </c>
      <c r="H41" s="26">
        <v>45744</v>
      </c>
      <c r="I41" s="26">
        <v>45774</v>
      </c>
      <c r="J41" s="26">
        <v>45767</v>
      </c>
      <c r="K41">
        <v>5</v>
      </c>
      <c r="L41">
        <v>6</v>
      </c>
    </row>
    <row r="42" spans="3:12">
      <c r="C42" t="str">
        <v>CIL004</v>
      </c>
      <c r="D42" t="str">
        <v>B2</v>
      </c>
      <c r="E42" t="str">
        <v>Cilantro Mix</v>
      </c>
      <c r="F42">
        <v>0</v>
      </c>
      <c r="G42" s="26">
        <v>45742</v>
      </c>
      <c r="H42" s="26">
        <v>45744</v>
      </c>
      <c r="I42" s="26">
        <v>45774</v>
      </c>
      <c r="J42" s="26">
        <v>45767</v>
      </c>
      <c r="K42">
        <v>5</v>
      </c>
      <c r="L42">
        <v>6</v>
      </c>
    </row>
    <row r="43" spans="3:12">
      <c r="C43" t="str">
        <v>CIL005</v>
      </c>
      <c r="D43" t="str">
        <v>B2</v>
      </c>
      <c r="E43" t="str">
        <v>Cilantro Mix</v>
      </c>
      <c r="F43">
        <v>0</v>
      </c>
      <c r="G43" s="26">
        <v>45756</v>
      </c>
      <c r="H43" s="26">
        <v>45763</v>
      </c>
      <c r="I43" s="26">
        <v>45793</v>
      </c>
      <c r="J43" s="26">
        <v>45795</v>
      </c>
      <c r="K43">
        <v>5</v>
      </c>
      <c r="L43">
        <v>6</v>
      </c>
    </row>
    <row r="44" spans="3:12">
      <c r="C44" t="str">
        <v>CIL006</v>
      </c>
      <c r="D44" t="str">
        <v>B2</v>
      </c>
      <c r="E44" t="str">
        <v>Cilantro Mix</v>
      </c>
      <c r="F44">
        <v>0</v>
      </c>
      <c r="G44" s="26">
        <v>45770</v>
      </c>
      <c r="H44" s="26">
        <v>45767</v>
      </c>
      <c r="I44" s="26">
        <v>45797</v>
      </c>
      <c r="J44" s="26">
        <v>45795</v>
      </c>
      <c r="K44">
        <v>5</v>
      </c>
      <c r="L44">
        <v>6</v>
      </c>
    </row>
    <row r="45" spans="3:12">
      <c r="C45" t="str">
        <v>CIL007</v>
      </c>
      <c r="D45" t="str">
        <v>B2</v>
      </c>
      <c r="E45" t="str">
        <v>Cilantro Mix</v>
      </c>
      <c r="F45">
        <v>0</v>
      </c>
      <c r="G45" s="26">
        <v>45784</v>
      </c>
      <c r="H45" s="26">
        <v>45791</v>
      </c>
      <c r="I45" s="26">
        <v>45821</v>
      </c>
      <c r="J45" s="26">
        <v>0</v>
      </c>
      <c r="K45">
        <v>5</v>
      </c>
      <c r="L45">
        <v>6</v>
      </c>
    </row>
    <row r="46" spans="3:12">
      <c r="C46" t="str">
        <v>CIL012</v>
      </c>
      <c r="D46" t="str">
        <v>D5</v>
      </c>
      <c r="E46" t="str">
        <v>Cilantro Mix</v>
      </c>
      <c r="F46">
        <v>0</v>
      </c>
      <c r="G46" s="26">
        <v>45854</v>
      </c>
      <c r="H46" s="26">
        <v>0</v>
      </c>
      <c r="I46" s="26">
        <v>45884</v>
      </c>
      <c r="J46" s="26">
        <v>0</v>
      </c>
      <c r="K46">
        <v>5</v>
      </c>
      <c r="L46">
        <v>6</v>
      </c>
    </row>
    <row r="47" spans="3:12">
      <c r="C47" t="str">
        <v>COR001</v>
      </c>
      <c r="D47" t="str">
        <v>C1</v>
      </c>
      <c r="E47" t="str">
        <v>Corn Mix</v>
      </c>
      <c r="F47">
        <v>0</v>
      </c>
      <c r="G47" s="26" t="str">
        <v/>
      </c>
      <c r="H47" s="26">
        <v>0</v>
      </c>
      <c r="I47" s="26">
        <v>45823</v>
      </c>
      <c r="J47" s="26">
        <v>45828</v>
      </c>
      <c r="K47">
        <v>3</v>
      </c>
      <c r="L47">
        <v>9</v>
      </c>
    </row>
    <row r="48" spans="3:12">
      <c r="C48" t="str">
        <v>CUC001</v>
      </c>
      <c r="D48" t="str">
        <v>A5</v>
      </c>
      <c r="E48" t="str">
        <v>Asian Cucumber Mix</v>
      </c>
      <c r="F48">
        <v>0</v>
      </c>
      <c r="G48" s="26">
        <v>45748</v>
      </c>
      <c r="H48" s="26">
        <v>45763</v>
      </c>
      <c r="I48" s="26">
        <v>45798</v>
      </c>
      <c r="J48" s="26">
        <v>45807</v>
      </c>
      <c r="K48">
        <v>1</v>
      </c>
      <c r="L48">
        <v>18</v>
      </c>
    </row>
    <row r="49" spans="3:12">
      <c r="C49" t="str">
        <v>CUC003</v>
      </c>
      <c r="D49" t="str">
        <v>F0</v>
      </c>
      <c r="E49" t="str">
        <v>Asian Cucumber Mix</v>
      </c>
      <c r="F49">
        <v>0</v>
      </c>
      <c r="G49" s="26">
        <v>45758</v>
      </c>
      <c r="H49" s="26">
        <v>45763</v>
      </c>
      <c r="I49" s="26">
        <v>45798</v>
      </c>
      <c r="J49" s="26">
        <v>45803</v>
      </c>
      <c r="K49">
        <v>1</v>
      </c>
      <c r="L49">
        <v>12</v>
      </c>
    </row>
    <row r="50" spans="3:12">
      <c r="C50" t="str">
        <v>CUC002</v>
      </c>
      <c r="D50" t="str">
        <v>A4</v>
      </c>
      <c r="E50" t="str">
        <v>Lebanese Cucumber Mix</v>
      </c>
      <c r="F50">
        <v>0</v>
      </c>
      <c r="G50" s="26">
        <v>45748</v>
      </c>
      <c r="H50" s="26">
        <v>45763</v>
      </c>
      <c r="I50" s="26">
        <v>45798</v>
      </c>
      <c r="J50" s="26">
        <v>45807</v>
      </c>
      <c r="K50">
        <v>1</v>
      </c>
      <c r="L50">
        <v>12</v>
      </c>
    </row>
    <row r="51" spans="3:12">
      <c r="C51" t="str">
        <v>CUC004</v>
      </c>
      <c r="D51" t="str">
        <v>F1</v>
      </c>
      <c r="E51" t="str">
        <v>Slicing Cucumber Mix</v>
      </c>
      <c r="F51">
        <v>0</v>
      </c>
      <c r="G51" s="26">
        <v>45758</v>
      </c>
      <c r="H51" s="26">
        <v>45763</v>
      </c>
      <c r="I51" s="26">
        <v>45798</v>
      </c>
      <c r="J51" s="26">
        <v>45803</v>
      </c>
      <c r="K51">
        <v>1</v>
      </c>
      <c r="L51">
        <v>12</v>
      </c>
    </row>
    <row r="52" spans="3:12">
      <c r="C52" t="str">
        <v>DAH001</v>
      </c>
      <c r="D52" t="str">
        <v>U</v>
      </c>
      <c r="E52">
        <v>0</v>
      </c>
      <c r="F52">
        <v>0</v>
      </c>
      <c r="G52" s="26" t="str">
        <v/>
      </c>
      <c r="H52" s="26">
        <v>0</v>
      </c>
      <c r="I52" s="26">
        <v>45748</v>
      </c>
      <c r="J52" s="26">
        <v>0</v>
      </c>
      <c r="K52">
        <v>2</v>
      </c>
      <c r="L52">
        <v>12</v>
      </c>
    </row>
    <row r="53" spans="3:12">
      <c r="C53" t="str">
        <v>DIL004</v>
      </c>
      <c r="D53" t="str">
        <v>B2</v>
      </c>
      <c r="E53" t="str">
        <v>Dill Mix</v>
      </c>
      <c r="F53">
        <v>0</v>
      </c>
      <c r="G53" s="26">
        <v>45756</v>
      </c>
      <c r="H53" s="26">
        <v>45763</v>
      </c>
      <c r="I53" s="26">
        <v>45789</v>
      </c>
      <c r="J53" s="26">
        <v>45795</v>
      </c>
      <c r="K53">
        <v>4</v>
      </c>
      <c r="L53">
        <v>3</v>
      </c>
    </row>
    <row r="54" spans="3:12">
      <c r="C54" t="str">
        <v>DIL001</v>
      </c>
      <c r="D54" t="str">
        <v>A4</v>
      </c>
      <c r="E54" t="str">
        <v>Dill Mix</v>
      </c>
      <c r="F54">
        <v>0</v>
      </c>
      <c r="G54" s="26">
        <v>45728</v>
      </c>
      <c r="H54" s="26">
        <v>45741</v>
      </c>
      <c r="I54" s="26">
        <v>45767</v>
      </c>
      <c r="J54" s="26">
        <v>45767</v>
      </c>
      <c r="K54">
        <v>4</v>
      </c>
      <c r="L54">
        <v>3</v>
      </c>
    </row>
    <row r="55" spans="3:12">
      <c r="C55" t="str">
        <v>DIL002</v>
      </c>
      <c r="D55" t="str">
        <v>B2</v>
      </c>
      <c r="E55" t="str">
        <v>Dill Mix</v>
      </c>
      <c r="F55">
        <v>0</v>
      </c>
      <c r="G55" s="26">
        <v>45728</v>
      </c>
      <c r="H55" s="26">
        <v>45741</v>
      </c>
      <c r="I55" s="26">
        <v>45767</v>
      </c>
      <c r="J55" s="26">
        <v>45767</v>
      </c>
      <c r="K55">
        <v>4</v>
      </c>
      <c r="L55">
        <v>3</v>
      </c>
    </row>
    <row r="56" spans="3:12">
      <c r="C56" t="str">
        <v>DIL005</v>
      </c>
      <c r="D56" t="str">
        <v>B2</v>
      </c>
      <c r="E56" t="str">
        <v>Dill Mix</v>
      </c>
      <c r="F56">
        <v>0</v>
      </c>
      <c r="G56" s="26">
        <v>45770</v>
      </c>
      <c r="H56" s="26">
        <v>45767</v>
      </c>
      <c r="I56" s="26">
        <v>45793</v>
      </c>
      <c r="J56" s="26">
        <v>45795</v>
      </c>
      <c r="K56">
        <v>4</v>
      </c>
      <c r="L56">
        <v>3</v>
      </c>
    </row>
    <row r="57" spans="3:12">
      <c r="C57" t="str">
        <v>DIL006</v>
      </c>
      <c r="D57" t="str">
        <v>D5</v>
      </c>
      <c r="E57" t="str">
        <v>Dill Mix</v>
      </c>
      <c r="F57">
        <v>0</v>
      </c>
      <c r="G57" s="26">
        <v>45784</v>
      </c>
      <c r="H57" s="26">
        <v>45791</v>
      </c>
      <c r="I57" s="26">
        <v>45817</v>
      </c>
      <c r="J57" s="26">
        <v>0</v>
      </c>
      <c r="K57">
        <v>4</v>
      </c>
      <c r="L57">
        <v>3</v>
      </c>
    </row>
    <row r="58" spans="3:12">
      <c r="C58" t="str">
        <v>FAV001</v>
      </c>
      <c r="D58" t="str">
        <v>B1</v>
      </c>
      <c r="E58" t="str">
        <v>Aquadulce</v>
      </c>
      <c r="F58" t="str">
        <v>Sustainable Seed Company</v>
      </c>
      <c r="G58" s="26" t="str">
        <v/>
      </c>
      <c r="H58" s="26">
        <v>0</v>
      </c>
      <c r="I58" s="26">
        <v>45688</v>
      </c>
      <c r="J58" s="26">
        <v>45688</v>
      </c>
      <c r="K58">
        <v>2</v>
      </c>
      <c r="L58">
        <v>9</v>
      </c>
    </row>
    <row r="59" spans="3:12">
      <c r="C59" t="str">
        <v>FEN003</v>
      </c>
      <c r="D59" t="str">
        <v>D2</v>
      </c>
      <c r="E59" t="str">
        <v>Fennel Mix</v>
      </c>
      <c r="F59">
        <v>0</v>
      </c>
      <c r="G59" s="26">
        <v>45723</v>
      </c>
      <c r="H59" s="26">
        <v>45737</v>
      </c>
      <c r="I59" s="26">
        <v>45767</v>
      </c>
      <c r="J59" s="26">
        <v>45781</v>
      </c>
      <c r="K59">
        <v>4</v>
      </c>
      <c r="L59">
        <v>6</v>
      </c>
    </row>
    <row r="60" spans="3:12">
      <c r="C60" t="str">
        <v>GAR535</v>
      </c>
      <c r="D60" t="str">
        <v>I8</v>
      </c>
      <c r="E60" t="str">
        <v>Saved Seed</v>
      </c>
      <c r="F60">
        <v>0</v>
      </c>
      <c r="G60" s="26" t="str">
        <v/>
      </c>
      <c r="H60" s="26">
        <v>0</v>
      </c>
      <c r="I60" s="26">
        <v>45888</v>
      </c>
      <c r="J60" s="26">
        <v>45647</v>
      </c>
      <c r="K60">
        <v>3</v>
      </c>
      <c r="L60">
        <v>2</v>
      </c>
    </row>
    <row r="61" spans="3:12">
      <c r="C61" t="str">
        <v>GAR533</v>
      </c>
      <c r="D61" t="str">
        <v>I5</v>
      </c>
      <c r="E61" t="str">
        <v>Saved Seed</v>
      </c>
      <c r="F61">
        <v>0</v>
      </c>
      <c r="G61" s="26" t="str">
        <v/>
      </c>
      <c r="H61" s="26">
        <v>0</v>
      </c>
      <c r="I61" s="26">
        <v>45523</v>
      </c>
      <c r="J61" s="26">
        <v>45647</v>
      </c>
      <c r="K61">
        <v>3</v>
      </c>
      <c r="L61">
        <v>6</v>
      </c>
    </row>
    <row r="62" spans="3:12">
      <c r="C62" t="str">
        <v>GAR534</v>
      </c>
      <c r="D62" t="str">
        <v>I7</v>
      </c>
      <c r="E62" t="str">
        <v>Saved Seed</v>
      </c>
      <c r="F62">
        <v>0</v>
      </c>
      <c r="G62" s="26" t="str">
        <v/>
      </c>
      <c r="H62" s="26">
        <v>0</v>
      </c>
      <c r="I62" s="26">
        <v>45523</v>
      </c>
      <c r="J62" s="26">
        <v>45647</v>
      </c>
      <c r="K62">
        <v>3</v>
      </c>
      <c r="L62">
        <v>6</v>
      </c>
    </row>
    <row r="63" spans="3:12">
      <c r="C63" t="str">
        <v>GOO001</v>
      </c>
      <c r="D63" t="str">
        <v>A6</v>
      </c>
      <c r="E63" t="str">
        <v>Peruvian Ground Cherry</v>
      </c>
      <c r="F63" t="str">
        <v>Garden Hoard</v>
      </c>
      <c r="G63" s="26">
        <v>45748</v>
      </c>
      <c r="H63" s="26">
        <v>0</v>
      </c>
      <c r="I63" s="26">
        <v>45801</v>
      </c>
      <c r="J63" s="26">
        <v>45658</v>
      </c>
      <c r="K63">
        <v>1</v>
      </c>
      <c r="L63">
        <v>30</v>
      </c>
    </row>
    <row r="64" spans="3:12">
      <c r="C64" t="str">
        <v>KAL003</v>
      </c>
      <c r="D64" t="str">
        <v>B3</v>
      </c>
      <c r="E64" t="str">
        <v>Warm Kale Mix</v>
      </c>
      <c r="F64">
        <v>0</v>
      </c>
      <c r="G64" s="26">
        <v>45738</v>
      </c>
      <c r="H64" s="26">
        <v>45748</v>
      </c>
      <c r="I64" s="26">
        <v>45783</v>
      </c>
      <c r="J64" s="26">
        <v>45775</v>
      </c>
      <c r="K64">
        <v>2</v>
      </c>
      <c r="L64">
        <v>18</v>
      </c>
    </row>
    <row r="65" spans="3:12">
      <c r="C65" t="str">
        <v>KOH002</v>
      </c>
      <c r="D65" t="str">
        <v>A1</v>
      </c>
      <c r="E65" t="str">
        <v>Fresh Kholrabi Mix</v>
      </c>
      <c r="F65">
        <v>0</v>
      </c>
      <c r="G65" s="26">
        <v>45823</v>
      </c>
      <c r="H65" s="26">
        <v>45841</v>
      </c>
      <c r="I65" s="26">
        <v>45866</v>
      </c>
      <c r="J65" s="26">
        <v>0</v>
      </c>
      <c r="K65">
        <v>2</v>
      </c>
      <c r="L65">
        <v>4</v>
      </c>
    </row>
    <row r="66" spans="3:12">
      <c r="C66" t="str">
        <v>KOH003</v>
      </c>
      <c r="D66" t="str">
        <v>A2</v>
      </c>
      <c r="E66" t="str">
        <v>Fresh Kholrabi Mix</v>
      </c>
      <c r="F66">
        <v>0</v>
      </c>
      <c r="G66" s="26">
        <v>45718</v>
      </c>
      <c r="H66" s="26">
        <v>45741</v>
      </c>
      <c r="I66" s="26">
        <v>45766</v>
      </c>
      <c r="J66" s="26">
        <v>45767</v>
      </c>
      <c r="K66">
        <v>2</v>
      </c>
      <c r="L66">
        <v>4</v>
      </c>
    </row>
    <row r="67" spans="3:12">
      <c r="C67" t="str">
        <v>LEE001</v>
      </c>
      <c r="D67" t="str">
        <v>G2</v>
      </c>
      <c r="E67" t="str">
        <v>Summer Leek Mix</v>
      </c>
      <c r="F67">
        <v>0</v>
      </c>
      <c r="G67" s="26">
        <v>45748</v>
      </c>
      <c r="H67" s="26">
        <v>45762</v>
      </c>
      <c r="I67" s="26">
        <v>45822</v>
      </c>
      <c r="J67" s="26">
        <v>45836</v>
      </c>
      <c r="K67">
        <v>4</v>
      </c>
      <c r="L67">
        <v>9</v>
      </c>
    </row>
    <row r="68" spans="3:12">
      <c r="C68" t="str">
        <v>LEM001</v>
      </c>
      <c r="D68" t="str">
        <v>H5</v>
      </c>
      <c r="E68" t="str">
        <v>East Indian Lemongrass</v>
      </c>
      <c r="F68" t="str">
        <v>Johnny's</v>
      </c>
      <c r="G68" s="26">
        <v>45738</v>
      </c>
      <c r="H68" s="26">
        <v>45748</v>
      </c>
      <c r="I68" s="26">
        <v>45788</v>
      </c>
      <c r="J68" s="26">
        <v>45808</v>
      </c>
      <c r="K68">
        <v>2</v>
      </c>
      <c r="L68">
        <v>12</v>
      </c>
    </row>
    <row r="69" spans="3:12">
      <c r="C69" t="str">
        <v>LET014</v>
      </c>
      <c r="D69" t="str">
        <v>E2</v>
      </c>
      <c r="E69" t="str">
        <v>Brown Goldring</v>
      </c>
      <c r="F69" t="str">
        <v>Wild Garden</v>
      </c>
      <c r="G69" s="26">
        <v>45728</v>
      </c>
      <c r="H69" s="26">
        <v>45748</v>
      </c>
      <c r="I69" s="26">
        <v>45778</v>
      </c>
      <c r="J69" s="26">
        <v>45787</v>
      </c>
      <c r="K69">
        <v>4</v>
      </c>
      <c r="L69">
        <v>9</v>
      </c>
    </row>
    <row r="70" spans="3:12">
      <c r="C70" t="str">
        <v>LET015</v>
      </c>
      <c r="D70" t="str">
        <v>E1</v>
      </c>
      <c r="E70" t="str">
        <v>Rouge D'Hiver</v>
      </c>
      <c r="F70" t="str">
        <v>High Mowing</v>
      </c>
      <c r="G70" s="26">
        <v>45749</v>
      </c>
      <c r="H70" s="26">
        <v>45763</v>
      </c>
      <c r="I70" s="26">
        <v>45793</v>
      </c>
      <c r="J70" s="26">
        <v>45787</v>
      </c>
      <c r="K70">
        <v>4</v>
      </c>
      <c r="L70">
        <v>9</v>
      </c>
    </row>
    <row r="71" spans="3:12">
      <c r="C71" t="str">
        <v>LET016</v>
      </c>
      <c r="D71" t="str">
        <v>E6</v>
      </c>
      <c r="E71" t="str">
        <v>Jester</v>
      </c>
      <c r="F71" t="str">
        <v>Wild Garden</v>
      </c>
      <c r="G71" s="26">
        <v>45770</v>
      </c>
      <c r="H71" s="26">
        <v>45771</v>
      </c>
      <c r="I71" s="26">
        <v>45801</v>
      </c>
      <c r="J71" s="26">
        <v>45814</v>
      </c>
      <c r="K71">
        <v>4</v>
      </c>
      <c r="L71">
        <v>9</v>
      </c>
    </row>
    <row r="72" spans="3:12">
      <c r="C72" t="str">
        <v>LET030</v>
      </c>
      <c r="D72" t="str">
        <v>H7</v>
      </c>
      <c r="E72" t="str">
        <v>Cool Lettuce Mix</v>
      </c>
      <c r="F72">
        <v>0</v>
      </c>
      <c r="G72" s="26">
        <v>45779</v>
      </c>
      <c r="H72" s="26">
        <v>45796</v>
      </c>
      <c r="I72" s="26">
        <v>45826</v>
      </c>
      <c r="J72" s="26">
        <v>0</v>
      </c>
      <c r="K72">
        <v>4</v>
      </c>
      <c r="L72">
        <v>9</v>
      </c>
    </row>
    <row r="73" spans="3:12">
      <c r="C73" t="str">
        <v>LET017</v>
      </c>
      <c r="D73" t="str">
        <v>E8</v>
      </c>
      <c r="E73" t="str">
        <v>Truchas - Pelleted</v>
      </c>
      <c r="F73" t="str">
        <v>Osborne</v>
      </c>
      <c r="G73" s="26">
        <v>45791</v>
      </c>
      <c r="H73" s="26">
        <v>45791</v>
      </c>
      <c r="I73" s="26">
        <v>45821</v>
      </c>
      <c r="J73" s="26">
        <v>0</v>
      </c>
      <c r="K73">
        <v>4</v>
      </c>
      <c r="L73">
        <v>9</v>
      </c>
    </row>
    <row r="74" spans="3:12">
      <c r="C74" t="str">
        <v>LET024</v>
      </c>
      <c r="D74" t="str">
        <v>E7</v>
      </c>
      <c r="E74" t="str">
        <v>Summertime</v>
      </c>
      <c r="F74" t="str">
        <v>Uprising</v>
      </c>
      <c r="G74" s="26">
        <v>45812</v>
      </c>
      <c r="H74" s="26">
        <v>45839</v>
      </c>
      <c r="I74" s="26">
        <v>45869</v>
      </c>
      <c r="J74" s="26">
        <v>0</v>
      </c>
      <c r="K74">
        <v>4</v>
      </c>
      <c r="L74">
        <v>9</v>
      </c>
    </row>
    <row r="75" spans="3:12">
      <c r="C75" t="str">
        <v>LET026</v>
      </c>
      <c r="D75" t="str">
        <v>E8</v>
      </c>
      <c r="E75" t="str">
        <v>Lovelock</v>
      </c>
      <c r="F75" t="str">
        <v>High Mowing</v>
      </c>
      <c r="G75" s="26">
        <v>45854</v>
      </c>
      <c r="H75" s="26">
        <v>0</v>
      </c>
      <c r="I75" s="26">
        <v>45884</v>
      </c>
      <c r="J75" s="26">
        <v>0</v>
      </c>
      <c r="K75">
        <v>4</v>
      </c>
      <c r="L75">
        <v>9</v>
      </c>
    </row>
    <row r="76" spans="3:12">
      <c r="C76" t="str">
        <v>LET012</v>
      </c>
      <c r="D76" t="str">
        <v>F5</v>
      </c>
      <c r="E76" t="str">
        <v>Salanova Mix</v>
      </c>
      <c r="F76">
        <v>0</v>
      </c>
      <c r="G76" s="26">
        <v>45728</v>
      </c>
      <c r="H76" s="26">
        <v>45746</v>
      </c>
      <c r="I76" s="26">
        <v>45776</v>
      </c>
      <c r="J76" s="26">
        <v>45785</v>
      </c>
      <c r="K76">
        <v>4</v>
      </c>
      <c r="L76">
        <v>9</v>
      </c>
    </row>
    <row r="77" spans="3:12">
      <c r="C77" t="str">
        <v>LET018</v>
      </c>
      <c r="D77" t="str">
        <v>G4</v>
      </c>
      <c r="E77" t="str">
        <v>Salanova Mix</v>
      </c>
      <c r="F77">
        <v>0</v>
      </c>
      <c r="G77" s="26">
        <v>45748</v>
      </c>
      <c r="H77" s="26">
        <v>45763</v>
      </c>
      <c r="I77" s="26">
        <v>45793</v>
      </c>
      <c r="J77" s="26">
        <v>45789</v>
      </c>
      <c r="K77">
        <v>4</v>
      </c>
      <c r="L77">
        <v>9</v>
      </c>
    </row>
    <row r="78" spans="3:12">
      <c r="C78" t="str">
        <v>LET019</v>
      </c>
      <c r="D78" t="str">
        <v>G5</v>
      </c>
      <c r="E78" t="str">
        <v>Salanova Mix</v>
      </c>
      <c r="F78">
        <v>0</v>
      </c>
      <c r="G78" s="26">
        <v>45769</v>
      </c>
      <c r="H78" s="26">
        <v>45767</v>
      </c>
      <c r="I78" s="26">
        <v>45797</v>
      </c>
      <c r="J78" s="26">
        <v>45795</v>
      </c>
      <c r="K78">
        <v>4</v>
      </c>
      <c r="L78">
        <v>9</v>
      </c>
    </row>
    <row r="79" spans="3:12">
      <c r="C79" t="str">
        <v>LET021</v>
      </c>
      <c r="D79" t="str">
        <v>G5</v>
      </c>
      <c r="E79" t="str">
        <v>Salanova Mix</v>
      </c>
      <c r="F79">
        <v>0</v>
      </c>
      <c r="G79" s="26">
        <v>45811</v>
      </c>
      <c r="H79" s="26">
        <v>45839</v>
      </c>
      <c r="I79" s="26">
        <v>45869</v>
      </c>
      <c r="J79" s="26">
        <v>0</v>
      </c>
      <c r="K79">
        <v>4</v>
      </c>
      <c r="L79">
        <v>9</v>
      </c>
    </row>
    <row r="80" spans="3:12">
      <c r="C80" t="str">
        <v>LET023</v>
      </c>
      <c r="D80" t="str">
        <v>G4</v>
      </c>
      <c r="E80" t="str">
        <v>Salanova Mix</v>
      </c>
      <c r="F80">
        <v>0</v>
      </c>
      <c r="G80" s="26">
        <v>45853</v>
      </c>
      <c r="H80" s="26">
        <v>0</v>
      </c>
      <c r="I80" s="26">
        <v>45883</v>
      </c>
      <c r="J80" s="26">
        <v>0</v>
      </c>
      <c r="K80">
        <v>4</v>
      </c>
      <c r="L80">
        <v>9</v>
      </c>
    </row>
    <row r="81" spans="3:12">
      <c r="C81" t="str">
        <v>LET013</v>
      </c>
      <c r="D81" t="str">
        <v>A6</v>
      </c>
      <c r="E81" t="str">
        <v>Salanova Mix</v>
      </c>
      <c r="F81">
        <v>0</v>
      </c>
      <c r="G81" s="26">
        <v>45713</v>
      </c>
      <c r="H81" s="26">
        <v>45744</v>
      </c>
      <c r="I81" s="26">
        <v>45774</v>
      </c>
      <c r="J81" s="26">
        <v>45775</v>
      </c>
      <c r="K81">
        <v>4</v>
      </c>
      <c r="L81">
        <v>9</v>
      </c>
    </row>
    <row r="82" spans="3:12">
      <c r="C82" t="str">
        <v>LOV366</v>
      </c>
      <c r="D82" t="str">
        <v>J8</v>
      </c>
      <c r="E82" t="str">
        <v>Perennial</v>
      </c>
      <c r="F82">
        <v>0</v>
      </c>
      <c r="G82" s="26" t="str">
        <v/>
      </c>
      <c r="H82" s="26">
        <v>45292</v>
      </c>
      <c r="I82" s="26">
        <v>45292</v>
      </c>
      <c r="J82" s="26">
        <v>45292</v>
      </c>
      <c r="K82">
        <v>1</v>
      </c>
      <c r="L82">
        <v>18</v>
      </c>
    </row>
    <row r="83" spans="3:12">
      <c r="C83" t="str">
        <v>MAG001</v>
      </c>
      <c r="D83" t="str">
        <v>A4</v>
      </c>
      <c r="E83" t="str">
        <v>Magenta Spreen</v>
      </c>
      <c r="F83" t="str">
        <v>Adaptive</v>
      </c>
      <c r="G83" s="26" t="str">
        <v/>
      </c>
      <c r="H83" s="26">
        <v>0</v>
      </c>
      <c r="I83" s="26">
        <v>45733</v>
      </c>
      <c r="J83" s="26">
        <v>45741</v>
      </c>
      <c r="K83">
        <v>4</v>
      </c>
      <c r="L83">
        <v>2</v>
      </c>
    </row>
    <row r="84" spans="3:12">
      <c r="C84" t="str">
        <v>MEL001</v>
      </c>
      <c r="D84" t="str">
        <v>B7</v>
      </c>
      <c r="E84" t="str">
        <v>Melon Mix</v>
      </c>
      <c r="F84">
        <v>0</v>
      </c>
      <c r="G84" s="26">
        <v>45763</v>
      </c>
      <c r="H84" s="26">
        <v>45763</v>
      </c>
      <c r="I84" s="26">
        <v>45784</v>
      </c>
      <c r="J84" s="26">
        <v>45804</v>
      </c>
      <c r="K84">
        <v>1</v>
      </c>
      <c r="L84">
        <v>24</v>
      </c>
    </row>
    <row r="85" spans="3:12">
      <c r="C85" t="str">
        <v>ONI003</v>
      </c>
      <c r="D85" t="str">
        <v>F2</v>
      </c>
      <c r="E85" t="str">
        <v>Rot Resistant Onions Mix</v>
      </c>
      <c r="F85">
        <v>0</v>
      </c>
      <c r="G85" s="26">
        <v>45718</v>
      </c>
      <c r="H85" s="26">
        <v>45737</v>
      </c>
      <c r="I85" s="26">
        <v>45779</v>
      </c>
      <c r="J85" s="26">
        <v>45782</v>
      </c>
      <c r="K85">
        <v>3</v>
      </c>
      <c r="L85">
        <v>12</v>
      </c>
    </row>
    <row r="86" spans="3:12">
      <c r="C86" t="str">
        <v>ONI004</v>
      </c>
      <c r="D86" t="str">
        <v>A8</v>
      </c>
      <c r="E86" t="str">
        <v>Rot Resistant Onions Mix</v>
      </c>
      <c r="F86">
        <v>0</v>
      </c>
      <c r="G86" s="26">
        <v>45713</v>
      </c>
      <c r="H86" s="26">
        <v>45737</v>
      </c>
      <c r="I86" s="26">
        <v>45765</v>
      </c>
      <c r="J86" s="26">
        <v>45767</v>
      </c>
      <c r="K86">
        <v>3</v>
      </c>
      <c r="L86">
        <v>12</v>
      </c>
    </row>
    <row r="87" spans="3:12">
      <c r="C87" t="str">
        <v>ONI005</v>
      </c>
      <c r="D87" t="str">
        <v>C4</v>
      </c>
      <c r="E87" t="str">
        <v>Rot Resistant Onions Mix</v>
      </c>
      <c r="F87">
        <v>0</v>
      </c>
      <c r="G87" s="26">
        <v>45738</v>
      </c>
      <c r="H87" s="26">
        <v>45744</v>
      </c>
      <c r="I87" s="26">
        <v>45772</v>
      </c>
      <c r="J87" s="26">
        <v>45769</v>
      </c>
      <c r="K87">
        <v>3</v>
      </c>
      <c r="L87">
        <v>12</v>
      </c>
    </row>
    <row r="88" spans="3:12">
      <c r="C88" t="str">
        <v>PAR001</v>
      </c>
      <c r="D88" t="str">
        <v>G0</v>
      </c>
      <c r="E88" t="str">
        <v>Parsley Mix</v>
      </c>
      <c r="F88">
        <v>0</v>
      </c>
      <c r="G88" s="26">
        <v>45738</v>
      </c>
      <c r="H88" s="26">
        <v>45748</v>
      </c>
      <c r="I88" s="26">
        <v>45783</v>
      </c>
      <c r="J88" s="26">
        <v>45813</v>
      </c>
      <c r="K88">
        <v>3</v>
      </c>
      <c r="L88">
        <v>9</v>
      </c>
    </row>
    <row r="89" spans="3:12">
      <c r="C89" t="str">
        <v>PEA001</v>
      </c>
      <c r="D89" t="str">
        <v>I1</v>
      </c>
      <c r="E89" t="str">
        <v>Snap Pea Mix</v>
      </c>
      <c r="F89">
        <v>0</v>
      </c>
      <c r="G89" s="26">
        <v>45718</v>
      </c>
      <c r="H89" s="26">
        <v>45737</v>
      </c>
      <c r="I89" s="26">
        <v>45758</v>
      </c>
      <c r="J89" s="26">
        <v>45749</v>
      </c>
      <c r="K89">
        <v>2</v>
      </c>
      <c r="L89">
        <v>9</v>
      </c>
    </row>
    <row r="90" spans="3:12">
      <c r="C90" t="str">
        <v>PEP001</v>
      </c>
      <c r="D90" t="str">
        <v>H8</v>
      </c>
      <c r="E90" t="str">
        <v>Shishito</v>
      </c>
      <c r="F90" t="str">
        <v>Osborne</v>
      </c>
      <c r="G90" s="26">
        <v>45723</v>
      </c>
      <c r="H90" s="26">
        <v>45737</v>
      </c>
      <c r="I90" s="26">
        <v>45827</v>
      </c>
      <c r="J90" s="26">
        <v>45826</v>
      </c>
      <c r="K90">
        <v>2</v>
      </c>
      <c r="L90">
        <v>12</v>
      </c>
    </row>
    <row r="91" spans="3:12">
      <c r="C91" t="str">
        <v>PEP002</v>
      </c>
      <c r="D91" t="str">
        <v>A3</v>
      </c>
      <c r="E91" t="str">
        <v>Sweet Pepper Mix</v>
      </c>
      <c r="F91">
        <v>0</v>
      </c>
      <c r="G91" s="26">
        <v>45708</v>
      </c>
      <c r="H91" s="26">
        <v>45737</v>
      </c>
      <c r="I91" s="26">
        <v>45827</v>
      </c>
      <c r="J91" s="26">
        <v>45828</v>
      </c>
      <c r="K91">
        <v>2</v>
      </c>
      <c r="L91">
        <v>12</v>
      </c>
    </row>
    <row r="92" spans="3:12">
      <c r="C92" t="str">
        <v>PEP003</v>
      </c>
      <c r="D92" t="str">
        <v>H8</v>
      </c>
      <c r="E92" t="str">
        <v>Shishito</v>
      </c>
      <c r="F92" t="str">
        <v>Osborne</v>
      </c>
      <c r="G92" s="26">
        <v>45723</v>
      </c>
      <c r="H92" s="26">
        <v>45737</v>
      </c>
      <c r="I92" s="26">
        <v>45827</v>
      </c>
      <c r="J92" s="26">
        <v>45826</v>
      </c>
      <c r="K92">
        <v>2</v>
      </c>
      <c r="L92">
        <v>12</v>
      </c>
    </row>
    <row r="93" spans="3:12">
      <c r="C93" t="str">
        <v>PEP005</v>
      </c>
      <c r="D93" t="str">
        <v>J3</v>
      </c>
      <c r="E93" t="str">
        <v>Hot Pepper Mix</v>
      </c>
      <c r="F93">
        <v>0</v>
      </c>
      <c r="G93" s="26">
        <v>45723</v>
      </c>
      <c r="H93" s="26">
        <v>45748</v>
      </c>
      <c r="I93" s="26">
        <v>45838</v>
      </c>
      <c r="J93" s="26">
        <v>0</v>
      </c>
      <c r="K93">
        <v>2</v>
      </c>
      <c r="L93">
        <v>12</v>
      </c>
    </row>
    <row r="94" spans="3:12">
      <c r="C94" t="str">
        <v>PEP004</v>
      </c>
      <c r="D94" t="str">
        <v>A3</v>
      </c>
      <c r="E94" t="str">
        <v>Sweet Pepper Mix</v>
      </c>
      <c r="F94">
        <v>0</v>
      </c>
      <c r="G94" s="26">
        <v>45708</v>
      </c>
      <c r="H94" s="26">
        <v>45737</v>
      </c>
      <c r="I94" s="26">
        <v>45827</v>
      </c>
      <c r="J94" s="26">
        <v>45828</v>
      </c>
      <c r="K94">
        <v>2</v>
      </c>
      <c r="L94">
        <v>12</v>
      </c>
    </row>
    <row r="95" spans="3:12">
      <c r="C95" t="str">
        <v>POT001</v>
      </c>
      <c r="D95" t="str">
        <v>F3</v>
      </c>
      <c r="E95" t="str">
        <v>Early Potato Mix</v>
      </c>
      <c r="F95">
        <v>0</v>
      </c>
      <c r="G95" s="26" t="str">
        <v/>
      </c>
      <c r="H95" s="26">
        <v>0</v>
      </c>
      <c r="I95" s="26">
        <v>45748</v>
      </c>
      <c r="J95" s="26">
        <v>45765</v>
      </c>
      <c r="K95">
        <v>2</v>
      </c>
      <c r="L95">
        <v>18</v>
      </c>
    </row>
    <row r="96" spans="3:12">
      <c r="C96" t="str">
        <v>POT002</v>
      </c>
      <c r="D96" t="str">
        <v>C5</v>
      </c>
      <c r="E96" t="str">
        <v>Main Potato Mix</v>
      </c>
      <c r="F96">
        <v>0</v>
      </c>
      <c r="G96" s="26" t="str">
        <v/>
      </c>
      <c r="H96" s="26">
        <v>0</v>
      </c>
      <c r="I96" s="26">
        <v>45768</v>
      </c>
      <c r="J96" s="26">
        <v>45771</v>
      </c>
      <c r="K96">
        <v>2</v>
      </c>
      <c r="L96">
        <v>24</v>
      </c>
    </row>
    <row r="97" spans="3:12">
      <c r="C97" t="str">
        <v>RAD002</v>
      </c>
      <c r="D97" t="str">
        <v>C7</v>
      </c>
      <c r="E97" t="str">
        <v>90 Mix</v>
      </c>
      <c r="F97">
        <v>0</v>
      </c>
      <c r="G97" s="26">
        <v>45808</v>
      </c>
      <c r="H97" s="26">
        <v>45829</v>
      </c>
      <c r="I97" s="26">
        <v>45859</v>
      </c>
      <c r="J97" s="26">
        <v>0</v>
      </c>
      <c r="K97">
        <v>3</v>
      </c>
      <c r="L97">
        <v>12</v>
      </c>
    </row>
    <row r="98" spans="3:12">
      <c r="C98" t="str">
        <v>RAD003</v>
      </c>
      <c r="D98" t="str">
        <v>A5</v>
      </c>
      <c r="E98" t="str">
        <v>Radish Mix</v>
      </c>
      <c r="F98">
        <v>0</v>
      </c>
      <c r="G98" s="26" t="str">
        <v/>
      </c>
      <c r="H98" s="26">
        <v>0</v>
      </c>
      <c r="I98" s="26">
        <v>45728</v>
      </c>
      <c r="J98" s="26">
        <v>45741</v>
      </c>
      <c r="K98">
        <v>6</v>
      </c>
      <c r="L98">
        <v>1</v>
      </c>
    </row>
    <row r="99" spans="3:12">
      <c r="C99" t="str">
        <v>RAD449</v>
      </c>
      <c r="D99" t="str">
        <v>B6</v>
      </c>
      <c r="E99" t="str">
        <v>Radish Mix</v>
      </c>
      <c r="F99">
        <v>0</v>
      </c>
      <c r="G99" s="26" t="str">
        <v/>
      </c>
      <c r="H99" s="26">
        <v>0</v>
      </c>
      <c r="I99" s="26">
        <v>45748</v>
      </c>
      <c r="J99" s="26">
        <v>45777</v>
      </c>
      <c r="K99">
        <v>6</v>
      </c>
      <c r="L99">
        <v>1</v>
      </c>
    </row>
    <row r="100" spans="3:12">
      <c r="C100" t="str">
        <v>RAD455</v>
      </c>
      <c r="D100" t="str">
        <v>X1</v>
      </c>
      <c r="E100" t="str">
        <v>Radish Mix</v>
      </c>
      <c r="F100">
        <v>0</v>
      </c>
      <c r="G100" s="26" t="str">
        <v/>
      </c>
      <c r="H100" s="26">
        <v>0</v>
      </c>
      <c r="I100" s="26">
        <v>45754</v>
      </c>
      <c r="J100" s="26">
        <v>45753</v>
      </c>
      <c r="K100">
        <v>6</v>
      </c>
      <c r="L100">
        <v>1</v>
      </c>
    </row>
    <row r="101" spans="3:12">
      <c r="C101" t="str">
        <v>RAD451</v>
      </c>
      <c r="D101" t="str">
        <v>D7</v>
      </c>
      <c r="E101" t="str">
        <v>Radish Mix</v>
      </c>
      <c r="F101">
        <v>0</v>
      </c>
      <c r="G101" s="26" t="str">
        <v/>
      </c>
      <c r="H101" s="26">
        <v>0</v>
      </c>
      <c r="I101" s="26">
        <v>45808</v>
      </c>
      <c r="J101" s="26">
        <v>45837</v>
      </c>
      <c r="K101">
        <v>6</v>
      </c>
      <c r="L101">
        <v>1</v>
      </c>
    </row>
    <row r="102" spans="3:12">
      <c r="C102" t="str">
        <v>RAD452</v>
      </c>
      <c r="D102" t="str">
        <v>D8</v>
      </c>
      <c r="E102" t="str">
        <v>Radish Mix</v>
      </c>
      <c r="F102">
        <v>0</v>
      </c>
      <c r="G102" s="26" t="str">
        <v/>
      </c>
      <c r="H102" s="26">
        <v>0</v>
      </c>
      <c r="I102" s="26">
        <v>45838</v>
      </c>
      <c r="J102" s="26">
        <v>45859</v>
      </c>
      <c r="K102">
        <v>6</v>
      </c>
      <c r="L102">
        <v>1</v>
      </c>
    </row>
    <row r="103" spans="3:12">
      <c r="C103" t="str">
        <v>RAD453</v>
      </c>
      <c r="D103" t="str">
        <v>D7</v>
      </c>
      <c r="E103" t="str">
        <v>Radish Mix</v>
      </c>
      <c r="F103">
        <v>0</v>
      </c>
      <c r="G103" s="26" t="str">
        <v/>
      </c>
      <c r="H103" s="26">
        <v>0</v>
      </c>
      <c r="I103" s="26">
        <v>45868</v>
      </c>
      <c r="J103" s="26">
        <v>45894</v>
      </c>
      <c r="K103">
        <v>6</v>
      </c>
      <c r="L103">
        <v>1</v>
      </c>
    </row>
    <row r="104" spans="3:12">
      <c r="C104" t="str">
        <v>RAD456</v>
      </c>
      <c r="D104" t="str">
        <v>D3</v>
      </c>
      <c r="E104" t="str">
        <v>Radish Mix</v>
      </c>
      <c r="F104">
        <v>0</v>
      </c>
      <c r="G104" s="26" t="str">
        <v/>
      </c>
      <c r="H104" s="26">
        <v>0</v>
      </c>
      <c r="I104" s="26">
        <v>45870</v>
      </c>
      <c r="J104" s="26">
        <v>0</v>
      </c>
      <c r="K104">
        <v>6</v>
      </c>
      <c r="L104">
        <v>1</v>
      </c>
    </row>
    <row r="105" spans="3:12">
      <c r="C105" t="str">
        <v>RAD457</v>
      </c>
      <c r="D105" t="str">
        <v>D1</v>
      </c>
      <c r="E105" t="str">
        <v>Radish Mix</v>
      </c>
      <c r="F105">
        <v>0</v>
      </c>
      <c r="G105" s="26" t="str">
        <v/>
      </c>
      <c r="H105" s="26">
        <v>0</v>
      </c>
      <c r="I105" s="26">
        <v>45889</v>
      </c>
      <c r="J105" s="26">
        <v>0</v>
      </c>
      <c r="K105">
        <v>6</v>
      </c>
      <c r="L105">
        <v>1</v>
      </c>
    </row>
    <row r="106" spans="3:12">
      <c r="C106" t="str">
        <v>RAD454</v>
      </c>
      <c r="D106" t="str">
        <v>D8</v>
      </c>
      <c r="E106" t="str">
        <v>Radish Mix</v>
      </c>
      <c r="F106">
        <v>0</v>
      </c>
      <c r="G106" s="26" t="str">
        <v/>
      </c>
      <c r="H106" s="26">
        <v>0</v>
      </c>
      <c r="I106" s="26">
        <v>45898</v>
      </c>
      <c r="J106" s="26">
        <v>0</v>
      </c>
      <c r="K106">
        <v>6</v>
      </c>
      <c r="L106">
        <v>1</v>
      </c>
    </row>
    <row r="107" spans="3:12">
      <c r="C107" t="str">
        <v>RAD005</v>
      </c>
      <c r="D107" t="str">
        <v>B6</v>
      </c>
      <c r="E107" t="str">
        <v>Winter Radish Mix</v>
      </c>
      <c r="F107">
        <v>0</v>
      </c>
      <c r="G107" s="26">
        <v>45828</v>
      </c>
      <c r="H107" s="26">
        <v>45839</v>
      </c>
      <c r="I107" s="26">
        <v>45864</v>
      </c>
      <c r="J107" s="26">
        <v>0</v>
      </c>
      <c r="K107">
        <v>3</v>
      </c>
      <c r="L107">
        <v>9</v>
      </c>
    </row>
    <row r="108" spans="3:12">
      <c r="C108" t="str">
        <v>RAD006</v>
      </c>
      <c r="D108" t="str">
        <v>B5</v>
      </c>
      <c r="E108" t="str">
        <v>Schwarzer Runder</v>
      </c>
      <c r="F108" t="str">
        <v>High Mowing</v>
      </c>
      <c r="G108" s="26" t="str">
        <v/>
      </c>
      <c r="H108" s="26">
        <v>0</v>
      </c>
      <c r="I108" s="26">
        <v>45838</v>
      </c>
      <c r="J108" s="26">
        <v>0</v>
      </c>
      <c r="K108">
        <v>6</v>
      </c>
      <c r="L108">
        <v>3</v>
      </c>
    </row>
    <row r="109" spans="3:12">
      <c r="C109" t="str">
        <v>RUT001</v>
      </c>
      <c r="D109" t="str">
        <v>F5</v>
      </c>
      <c r="E109">
        <v>0</v>
      </c>
      <c r="F109">
        <v>0</v>
      </c>
      <c r="G109" s="26">
        <v>45856</v>
      </c>
      <c r="H109" s="26">
        <v>0</v>
      </c>
      <c r="I109" s="26">
        <v>45884</v>
      </c>
      <c r="J109" s="26">
        <v>0</v>
      </c>
      <c r="K109">
        <v>3</v>
      </c>
      <c r="L109">
        <v>12</v>
      </c>
    </row>
    <row r="110" spans="3:12">
      <c r="C110" t="str">
        <v>SCA638</v>
      </c>
      <c r="D110" t="str">
        <v>C3</v>
      </c>
      <c r="E110">
        <v>0</v>
      </c>
      <c r="F110">
        <v>0</v>
      </c>
      <c r="G110" s="26" t="str">
        <v/>
      </c>
      <c r="H110" s="26">
        <v>0</v>
      </c>
      <c r="I110" s="26">
        <v>45833</v>
      </c>
      <c r="J110" s="26">
        <v>0</v>
      </c>
      <c r="K110">
        <v>4</v>
      </c>
      <c r="L110">
        <v>6</v>
      </c>
    </row>
    <row r="111" spans="3:12">
      <c r="C111" t="str">
        <v>SCA636</v>
      </c>
      <c r="D111" t="str">
        <v>C3</v>
      </c>
      <c r="E111">
        <v>0</v>
      </c>
      <c r="F111">
        <v>0</v>
      </c>
      <c r="G111" s="26" t="str">
        <v/>
      </c>
      <c r="H111" s="26">
        <v>0</v>
      </c>
      <c r="I111" s="26">
        <v>45884</v>
      </c>
      <c r="J111" s="26">
        <v>0</v>
      </c>
      <c r="K111">
        <v>4</v>
      </c>
      <c r="L111">
        <v>6</v>
      </c>
    </row>
    <row r="112" spans="3:12">
      <c r="C112" t="str">
        <v>SCA633</v>
      </c>
      <c r="D112" t="str">
        <v>A4</v>
      </c>
      <c r="E112" t="str">
        <v>Scallion Mix</v>
      </c>
      <c r="F112">
        <v>0</v>
      </c>
      <c r="G112" s="26">
        <v>45718</v>
      </c>
      <c r="H112" s="26">
        <v>45741</v>
      </c>
      <c r="I112" s="26">
        <v>45783</v>
      </c>
      <c r="J112" s="26">
        <v>45741</v>
      </c>
      <c r="K112">
        <v>4</v>
      </c>
      <c r="L112">
        <v>6</v>
      </c>
    </row>
    <row r="113" spans="3:12">
      <c r="C113" t="str">
        <v>SCA634</v>
      </c>
      <c r="D113" t="str">
        <v>J5</v>
      </c>
      <c r="E113" t="str">
        <v>Scallion Mix</v>
      </c>
      <c r="F113">
        <v>0</v>
      </c>
      <c r="G113" s="26">
        <v>45739</v>
      </c>
      <c r="H113" s="26">
        <v>45791</v>
      </c>
      <c r="I113" s="26">
        <v>45833</v>
      </c>
      <c r="J113" s="26">
        <v>0</v>
      </c>
      <c r="K113">
        <v>4</v>
      </c>
      <c r="L113">
        <v>6</v>
      </c>
    </row>
    <row r="114" spans="3:12">
      <c r="C114" t="str">
        <v>SCA635</v>
      </c>
      <c r="D114" t="str">
        <v>C3</v>
      </c>
      <c r="E114" t="str">
        <v>Scallion Mix</v>
      </c>
      <c r="F114">
        <v>0</v>
      </c>
      <c r="G114" s="26">
        <v>45760</v>
      </c>
      <c r="H114" s="26">
        <v>45761</v>
      </c>
      <c r="I114" s="26">
        <v>45803</v>
      </c>
      <c r="J114" s="26">
        <v>45795</v>
      </c>
      <c r="K114">
        <v>4</v>
      </c>
      <c r="L114">
        <v>6</v>
      </c>
    </row>
    <row r="115" spans="3:12">
      <c r="C115" t="str">
        <v>SOR485</v>
      </c>
      <c r="D115" t="str">
        <v>J2</v>
      </c>
      <c r="E115" t="str">
        <v>Sorrel Mix</v>
      </c>
      <c r="F115">
        <v>0</v>
      </c>
      <c r="G115" s="26">
        <v>45383</v>
      </c>
      <c r="H115" s="26">
        <v>45374</v>
      </c>
      <c r="I115" s="26">
        <v>45402</v>
      </c>
      <c r="J115" s="26">
        <v>45408</v>
      </c>
      <c r="K115">
        <v>3</v>
      </c>
      <c r="L115">
        <v>12</v>
      </c>
    </row>
    <row r="116" spans="3:12">
      <c r="C116" t="str">
        <v>SQU002</v>
      </c>
      <c r="D116" t="str">
        <v>U</v>
      </c>
      <c r="E116" t="str">
        <v>Delicata Mix</v>
      </c>
      <c r="F116">
        <v>0</v>
      </c>
      <c r="G116" s="26">
        <v>45758</v>
      </c>
      <c r="H116" s="26">
        <v>45763</v>
      </c>
      <c r="I116" s="26">
        <v>45791</v>
      </c>
      <c r="J116" s="26">
        <v>45812</v>
      </c>
      <c r="K116">
        <v>1</v>
      </c>
      <c r="L116">
        <v>36</v>
      </c>
    </row>
    <row r="117" spans="3:12">
      <c r="C117" t="str">
        <v>SQU004</v>
      </c>
      <c r="D117" t="str">
        <v>U</v>
      </c>
      <c r="E117" t="str">
        <v>Winter Squash Mix</v>
      </c>
      <c r="F117">
        <v>0</v>
      </c>
      <c r="G117" s="26">
        <v>45758</v>
      </c>
      <c r="H117" s="26">
        <v>45763</v>
      </c>
      <c r="I117" s="26">
        <v>45791</v>
      </c>
      <c r="J117" s="26">
        <v>45812</v>
      </c>
      <c r="K117">
        <v>1</v>
      </c>
      <c r="L117">
        <v>36</v>
      </c>
    </row>
    <row r="118" spans="3:12">
      <c r="C118" t="str">
        <v>SUM001</v>
      </c>
      <c r="D118" t="str">
        <v>G8</v>
      </c>
      <c r="E118" t="str">
        <v>Centercut</v>
      </c>
      <c r="F118" t="str">
        <v>Row 7</v>
      </c>
      <c r="G118" s="26">
        <v>45748</v>
      </c>
      <c r="H118" s="26">
        <v>45763</v>
      </c>
      <c r="I118" s="26">
        <v>45791</v>
      </c>
      <c r="J118" s="26">
        <v>45796</v>
      </c>
      <c r="K118">
        <v>1</v>
      </c>
      <c r="L118">
        <v>24</v>
      </c>
    </row>
    <row r="119" spans="3:12">
      <c r="C119" t="str">
        <v>SUM002</v>
      </c>
      <c r="D119" t="str">
        <v>F7</v>
      </c>
      <c r="E119" t="str">
        <v>Summer Squash Mix</v>
      </c>
      <c r="F119">
        <v>0</v>
      </c>
      <c r="G119" s="26">
        <v>45748</v>
      </c>
      <c r="H119" s="26">
        <v>45763</v>
      </c>
      <c r="I119" s="26">
        <v>45791</v>
      </c>
      <c r="J119" s="26">
        <v>45800</v>
      </c>
      <c r="K119">
        <v>1</v>
      </c>
      <c r="L119">
        <v>24</v>
      </c>
    </row>
    <row r="120" spans="3:12">
      <c r="C120" t="str">
        <v>SWI002</v>
      </c>
      <c r="D120" t="str">
        <v>I4</v>
      </c>
      <c r="E120" t="str">
        <v>Swiss Chard Mix</v>
      </c>
      <c r="F120">
        <v>0</v>
      </c>
      <c r="G120" s="26">
        <v>45768</v>
      </c>
      <c r="H120" s="26">
        <v>45767</v>
      </c>
      <c r="I120" s="26">
        <v>45791</v>
      </c>
      <c r="J120" s="26">
        <v>45813</v>
      </c>
      <c r="K120">
        <v>2</v>
      </c>
      <c r="L120">
        <v>18</v>
      </c>
    </row>
    <row r="121" spans="3:12">
      <c r="C121" t="str">
        <v>TOM001</v>
      </c>
      <c r="D121" t="str">
        <v>A7</v>
      </c>
      <c r="E121" t="str">
        <v>Tomatillo Mix</v>
      </c>
      <c r="F121">
        <v>0</v>
      </c>
      <c r="G121" s="26">
        <v>45738</v>
      </c>
      <c r="H121" s="26">
        <v>45748</v>
      </c>
      <c r="I121" s="26">
        <v>45804</v>
      </c>
      <c r="J121" s="26">
        <v>45823</v>
      </c>
      <c r="K121">
        <v>1</v>
      </c>
      <c r="L121">
        <v>18</v>
      </c>
    </row>
    <row r="122" spans="3:12">
      <c r="C122" t="str">
        <v>TOM006</v>
      </c>
      <c r="D122" t="str">
        <v>U</v>
      </c>
      <c r="E122" t="str">
        <v>Determinate Beefsteak Mix</v>
      </c>
      <c r="F122">
        <v>0</v>
      </c>
      <c r="G122" s="26">
        <v>45736</v>
      </c>
      <c r="H122" s="26">
        <v>45763</v>
      </c>
      <c r="I122" s="26">
        <v>45819</v>
      </c>
      <c r="J122" s="26">
        <v>45821</v>
      </c>
      <c r="K122">
        <v>1</v>
      </c>
      <c r="L122">
        <v>24</v>
      </c>
    </row>
    <row r="123" spans="3:12">
      <c r="C123" t="str">
        <v>TOM010</v>
      </c>
      <c r="D123" t="str">
        <v>X2</v>
      </c>
      <c r="E123" t="str">
        <v>Determinate Beefsteak Mix</v>
      </c>
      <c r="F123">
        <v>0</v>
      </c>
      <c r="G123" s="26">
        <v>45736</v>
      </c>
      <c r="H123" s="26">
        <v>45763</v>
      </c>
      <c r="I123" s="26">
        <v>45819</v>
      </c>
      <c r="J123" s="26">
        <v>45815</v>
      </c>
      <c r="K123">
        <v>1</v>
      </c>
      <c r="L123">
        <v>24</v>
      </c>
    </row>
    <row r="124" spans="3:12">
      <c r="C124" t="str">
        <v>TOM002</v>
      </c>
      <c r="D124" t="str">
        <v>H1</v>
      </c>
      <c r="E124" t="str">
        <v>Large Tomato Mix</v>
      </c>
      <c r="F124">
        <v>0</v>
      </c>
      <c r="G124" s="26">
        <v>45733</v>
      </c>
      <c r="H124" s="26">
        <v>45748</v>
      </c>
      <c r="I124" s="26">
        <v>45804</v>
      </c>
      <c r="J124" s="26">
        <v>45808</v>
      </c>
      <c r="K124">
        <v>1</v>
      </c>
      <c r="L124">
        <v>18</v>
      </c>
    </row>
    <row r="125" spans="3:12">
      <c r="C125" t="str">
        <v>TOM003</v>
      </c>
      <c r="D125" t="str">
        <v>A5</v>
      </c>
      <c r="E125" t="str">
        <v>Large Tomato Mix</v>
      </c>
      <c r="F125">
        <v>0</v>
      </c>
      <c r="G125" s="26">
        <v>45723</v>
      </c>
      <c r="H125" s="26">
        <v>45748</v>
      </c>
      <c r="I125" s="26">
        <v>45804</v>
      </c>
      <c r="J125" s="26">
        <v>45807</v>
      </c>
      <c r="K125">
        <v>1</v>
      </c>
      <c r="L125">
        <v>18</v>
      </c>
    </row>
    <row r="126" spans="3:12">
      <c r="C126" t="str">
        <v>TOM007</v>
      </c>
      <c r="D126" t="str">
        <v>U</v>
      </c>
      <c r="E126" t="str">
        <v>Determinate Cherry Mix</v>
      </c>
      <c r="F126">
        <v>0</v>
      </c>
      <c r="G126" s="26">
        <v>45752</v>
      </c>
      <c r="H126" s="26">
        <v>45763</v>
      </c>
      <c r="I126" s="26">
        <v>45819</v>
      </c>
      <c r="J126" s="26">
        <v>45823</v>
      </c>
      <c r="K126">
        <v>1</v>
      </c>
      <c r="L126">
        <v>24</v>
      </c>
    </row>
    <row r="127" spans="3:12">
      <c r="C127" t="str">
        <v>TOM011</v>
      </c>
      <c r="D127" t="str">
        <v>X4</v>
      </c>
      <c r="E127" t="str">
        <v>Determinate Cherry Mix</v>
      </c>
      <c r="F127">
        <v>0</v>
      </c>
      <c r="G127" s="26">
        <v>45752</v>
      </c>
      <c r="H127" s="26">
        <v>45763</v>
      </c>
      <c r="I127" s="26">
        <v>45819</v>
      </c>
      <c r="J127" s="26">
        <v>45815</v>
      </c>
      <c r="K127">
        <v>1</v>
      </c>
      <c r="L127">
        <v>24</v>
      </c>
    </row>
    <row r="128" spans="3:12">
      <c r="C128" t="str">
        <v>TOM004</v>
      </c>
      <c r="D128" t="str">
        <v>A4</v>
      </c>
      <c r="E128" t="str">
        <v>Cherry Tomato Mix</v>
      </c>
      <c r="F128">
        <v>0</v>
      </c>
      <c r="G128" s="26">
        <v>45723</v>
      </c>
      <c r="H128" s="26">
        <v>45748</v>
      </c>
      <c r="I128" s="26">
        <v>45804</v>
      </c>
      <c r="J128" s="26">
        <v>45807</v>
      </c>
      <c r="K128">
        <v>1</v>
      </c>
      <c r="L128">
        <v>18</v>
      </c>
    </row>
    <row r="129" spans="3:12">
      <c r="C129" t="str">
        <v>TOM008</v>
      </c>
      <c r="D129" t="str">
        <v>U</v>
      </c>
      <c r="E129" t="str">
        <v>Determinate Medium Mix</v>
      </c>
      <c r="F129">
        <v>0</v>
      </c>
      <c r="G129" s="26">
        <v>45752</v>
      </c>
      <c r="H129" s="26">
        <v>45763</v>
      </c>
      <c r="I129" s="26">
        <v>45819</v>
      </c>
      <c r="J129" s="26">
        <v>45823</v>
      </c>
      <c r="K129">
        <v>1</v>
      </c>
      <c r="L129">
        <v>24</v>
      </c>
    </row>
    <row r="130" spans="3:12">
      <c r="C130" t="str">
        <v>TOM012</v>
      </c>
      <c r="D130" t="str">
        <v>X1</v>
      </c>
      <c r="E130" t="str">
        <v>Determinate Medium Mix</v>
      </c>
      <c r="F130">
        <v>0</v>
      </c>
      <c r="G130" s="26">
        <v>45752</v>
      </c>
      <c r="H130" s="26">
        <v>45763</v>
      </c>
      <c r="I130" s="26">
        <v>45819</v>
      </c>
      <c r="J130" s="26">
        <v>45815</v>
      </c>
      <c r="K130">
        <v>1</v>
      </c>
      <c r="L130">
        <v>24</v>
      </c>
    </row>
    <row r="131" spans="3:12">
      <c r="C131" t="str">
        <v>TOM005</v>
      </c>
      <c r="D131" t="str">
        <v>H3</v>
      </c>
      <c r="E131" t="str">
        <v>Medium Tomato Mix</v>
      </c>
      <c r="F131">
        <v>0</v>
      </c>
      <c r="G131" s="26">
        <v>45733</v>
      </c>
      <c r="H131" s="26">
        <v>45748</v>
      </c>
      <c r="I131" s="26">
        <v>45804</v>
      </c>
      <c r="J131" s="26">
        <v>45808</v>
      </c>
      <c r="K131">
        <v>1</v>
      </c>
      <c r="L131">
        <v>18</v>
      </c>
    </row>
    <row r="132" spans="3:12">
      <c r="C132" t="str">
        <v>TUR001</v>
      </c>
      <c r="D132" t="str">
        <v>B6</v>
      </c>
      <c r="E132" t="str">
        <v>Hakurei</v>
      </c>
      <c r="F132" t="str">
        <v>Johnny's</v>
      </c>
      <c r="G132" s="26" t="str">
        <v/>
      </c>
      <c r="H132" s="26">
        <v>0</v>
      </c>
      <c r="I132" s="26">
        <v>45748</v>
      </c>
      <c r="J132" s="26">
        <v>45777</v>
      </c>
      <c r="K132">
        <v>4</v>
      </c>
      <c r="L132">
        <v>1.5</v>
      </c>
    </row>
    <row r="133" spans="3:12">
      <c r="C133" t="str">
        <v>TUR003</v>
      </c>
      <c r="D133" t="str">
        <v>A5</v>
      </c>
      <c r="E133" t="str">
        <v>Hakurei</v>
      </c>
      <c r="F133" t="str">
        <v>Johnny's</v>
      </c>
      <c r="G133" s="26" t="str">
        <v/>
      </c>
      <c r="H133" s="26">
        <v>0</v>
      </c>
      <c r="I133" s="26">
        <v>45748</v>
      </c>
      <c r="J133" s="26">
        <v>45741</v>
      </c>
      <c r="K133">
        <v>4</v>
      </c>
      <c r="L133">
        <v>1.5</v>
      </c>
    </row>
    <row r="134" spans="3:12">
      <c r="C134" t="str">
        <v>TUR002</v>
      </c>
      <c r="D134" t="str">
        <v>D7</v>
      </c>
      <c r="E134" t="str">
        <v>Hakurei</v>
      </c>
      <c r="F134" t="str">
        <v>Johnny's</v>
      </c>
      <c r="G134" s="26" t="str">
        <v/>
      </c>
      <c r="H134" s="26">
        <v>0</v>
      </c>
      <c r="I134" s="26">
        <v>45822</v>
      </c>
      <c r="J134" s="26">
        <v>45838</v>
      </c>
      <c r="K134">
        <v>4</v>
      </c>
      <c r="L134">
        <v>1.5</v>
      </c>
    </row>
    <row r="135" spans="3:12">
      <c r="C135" t="str">
        <v>TUR528</v>
      </c>
      <c r="D135" t="str">
        <v>D8</v>
      </c>
      <c r="E135" t="str">
        <v>Hakurei</v>
      </c>
      <c r="F135" t="str">
        <v>Johnny's</v>
      </c>
      <c r="G135" s="26" t="str">
        <v/>
      </c>
      <c r="H135" s="26">
        <v>0</v>
      </c>
      <c r="I135" s="26">
        <v>45845</v>
      </c>
      <c r="J135" s="26">
        <v>45859</v>
      </c>
      <c r="K135">
        <v>4</v>
      </c>
      <c r="L135">
        <v>1.5</v>
      </c>
    </row>
    <row r="136" spans="3:12">
      <c r="C136" t="str">
        <v>TUR531</v>
      </c>
      <c r="D136" t="str">
        <v>D3</v>
      </c>
      <c r="E136" t="str">
        <v>Hakurei</v>
      </c>
      <c r="F136" t="str">
        <v>Johnny's</v>
      </c>
      <c r="G136" s="26" t="str">
        <v/>
      </c>
      <c r="H136" s="26">
        <v>0</v>
      </c>
      <c r="I136" s="26">
        <v>45870</v>
      </c>
      <c r="J136" s="26">
        <v>0</v>
      </c>
      <c r="K136">
        <v>4</v>
      </c>
      <c r="L136">
        <v>1.5</v>
      </c>
    </row>
    <row r="137" spans="3:12">
      <c r="C137" t="str">
        <v>TUR529</v>
      </c>
      <c r="D137" t="str">
        <v>D7</v>
      </c>
      <c r="E137" t="str">
        <v>Hakurei</v>
      </c>
      <c r="F137" t="str">
        <v>Johnny's</v>
      </c>
      <c r="G137" s="26" t="str">
        <v/>
      </c>
      <c r="H137" s="26">
        <v>0</v>
      </c>
      <c r="I137" s="26">
        <v>45876</v>
      </c>
      <c r="J137" s="26">
        <v>45894</v>
      </c>
      <c r="K137">
        <v>4</v>
      </c>
      <c r="L137">
        <v>1.5</v>
      </c>
    </row>
    <row r="138" spans="3:12">
      <c r="C138" t="str">
        <v>TUR532</v>
      </c>
      <c r="D138" t="str">
        <v>F6</v>
      </c>
      <c r="E138" t="str">
        <v>Hakurei</v>
      </c>
      <c r="F138" t="str">
        <v>Johnny's</v>
      </c>
      <c r="G138" s="26" t="str">
        <v/>
      </c>
      <c r="H138" s="26">
        <v>0</v>
      </c>
      <c r="I138" s="26">
        <v>45889</v>
      </c>
      <c r="J138" s="26">
        <v>0</v>
      </c>
      <c r="K138">
        <v>4</v>
      </c>
      <c r="L138">
        <v>1.5</v>
      </c>
    </row>
    <row r="139" spans="3:12">
      <c r="C139" t="str">
        <v>TUR530</v>
      </c>
      <c r="D139" t="str">
        <v>D8</v>
      </c>
      <c r="E139" t="str">
        <v>Hakurei</v>
      </c>
      <c r="F139" t="str">
        <v>Johnny's</v>
      </c>
      <c r="G139" s="26" t="str">
        <v/>
      </c>
      <c r="H139" s="26">
        <v>0</v>
      </c>
      <c r="I139" s="26">
        <v>45907</v>
      </c>
      <c r="J139" s="26">
        <v>0</v>
      </c>
      <c r="K139">
        <v>4</v>
      </c>
      <c r="L139">
        <v>1.5</v>
      </c>
    </row>
    <row r="140" spans="3:12">
      <c r="G140" s="26"/>
      <c r="H140" s="26"/>
      <c r="I140" s="26"/>
      <c r="J140" s="26"/>
    </row>
    <row r="141" spans="3:12">
      <c r="G141" s="26"/>
      <c r="H141" s="26"/>
      <c r="I141" s="26"/>
      <c r="J141" s="26"/>
    </row>
    <row r="142" spans="3:12">
      <c r="G142" s="26"/>
      <c r="H142" s="26"/>
      <c r="I142" s="26"/>
      <c r="J142" s="26"/>
    </row>
    <row r="143" spans="3:12">
      <c r="G143" s="26"/>
      <c r="H143" s="26"/>
      <c r="I143" s="26"/>
      <c r="J143" s="26"/>
    </row>
    <row r="144" spans="3:12">
      <c r="G144" s="26"/>
      <c r="H144" s="26"/>
      <c r="I144" s="26"/>
      <c r="J144" s="26"/>
    </row>
    <row r="145" spans="7:10">
      <c r="G145" s="26"/>
      <c r="H145" s="26"/>
      <c r="I145" s="26"/>
      <c r="J145" s="26"/>
    </row>
    <row r="146" spans="7:10">
      <c r="G146" s="26"/>
      <c r="H146" s="26"/>
      <c r="I146" s="26"/>
      <c r="J146" s="26"/>
    </row>
    <row r="147" spans="7:10">
      <c r="G147" s="26"/>
      <c r="H147" s="26"/>
      <c r="I147" s="26"/>
      <c r="J147" s="26"/>
    </row>
    <row r="148" spans="7:10">
      <c r="G148" s="26"/>
      <c r="H148" s="26"/>
      <c r="I148" s="26"/>
      <c r="J148" s="26"/>
    </row>
    <row r="149" spans="7:10">
      <c r="G149" s="26"/>
      <c r="H149" s="26"/>
      <c r="I149" s="26"/>
      <c r="J149" s="26"/>
    </row>
    <row r="150" spans="7:10">
      <c r="G150" s="26"/>
      <c r="H150" s="26"/>
      <c r="I150" s="26"/>
      <c r="J150" s="26"/>
    </row>
    <row r="151" spans="7:10">
      <c r="G151" s="26"/>
      <c r="H151" s="26"/>
      <c r="I151" s="26"/>
      <c r="J151" s="26"/>
    </row>
    <row r="152" spans="7:10">
      <c r="G152" s="26"/>
      <c r="H152" s="26"/>
      <c r="I152" s="26"/>
      <c r="J152" s="26"/>
    </row>
    <row r="153" spans="7:10">
      <c r="G153" s="26"/>
      <c r="H153" s="26"/>
      <c r="I153" s="26"/>
      <c r="J153" s="26"/>
    </row>
    <row r="154" spans="7:10">
      <c r="G154" s="26"/>
      <c r="H154" s="26"/>
      <c r="I154" s="26"/>
      <c r="J154" s="26"/>
    </row>
    <row r="155" spans="7:10">
      <c r="G155" s="26"/>
      <c r="H155" s="26"/>
      <c r="I155" s="26"/>
      <c r="J155" s="26"/>
    </row>
    <row r="156" spans="7:10">
      <c r="G156" s="26"/>
      <c r="H156" s="26"/>
      <c r="I156" s="26"/>
      <c r="J156" s="26"/>
    </row>
    <row r="157" spans="7:10">
      <c r="G157" s="26"/>
      <c r="H157" s="26"/>
      <c r="I157" s="26"/>
      <c r="J157" s="26"/>
    </row>
    <row r="158" spans="7:10">
      <c r="G158" s="26"/>
      <c r="H158" s="26"/>
      <c r="I158" s="26"/>
      <c r="J158" s="26"/>
    </row>
    <row r="159" spans="7:10">
      <c r="G159" s="26"/>
      <c r="H159" s="26"/>
      <c r="I159" s="26"/>
      <c r="J159" s="26"/>
    </row>
    <row r="160" spans="7:10">
      <c r="G160" s="26"/>
      <c r="H160" s="26"/>
      <c r="I160" s="26"/>
      <c r="J160" s="26"/>
    </row>
    <row r="161" spans="7:10">
      <c r="G161" s="26"/>
      <c r="H161" s="26"/>
      <c r="I161" s="26"/>
      <c r="J161" s="26"/>
    </row>
    <row r="162" spans="7:10">
      <c r="G162" s="26"/>
      <c r="H162" s="26"/>
      <c r="I162" s="26"/>
      <c r="J162" s="26"/>
    </row>
    <row r="163" spans="7:10">
      <c r="G163" s="26"/>
      <c r="H163" s="26"/>
      <c r="I163" s="26"/>
      <c r="J163" s="26"/>
    </row>
    <row r="164" spans="7:10">
      <c r="G164" s="26"/>
      <c r="H164" s="26"/>
      <c r="I164" s="26"/>
      <c r="J164" s="26"/>
    </row>
    <row r="165" spans="7:10">
      <c r="G165" s="26"/>
      <c r="H165" s="26"/>
      <c r="I165" s="26"/>
      <c r="J165" s="26"/>
    </row>
    <row r="166" spans="7:10">
      <c r="G166" s="26"/>
      <c r="H166" s="26"/>
      <c r="I166" s="26"/>
      <c r="J166" s="26"/>
    </row>
    <row r="167" spans="7:10">
      <c r="G167" s="26"/>
      <c r="H167" s="26"/>
      <c r="I167" s="26"/>
      <c r="J167" s="26"/>
    </row>
    <row r="168" spans="7:10">
      <c r="G168" s="26"/>
      <c r="H168" s="26"/>
      <c r="I168" s="26"/>
      <c r="J168" s="26"/>
    </row>
    <row r="169" spans="7:10">
      <c r="G169" s="26"/>
      <c r="H169" s="26"/>
      <c r="I169" s="26"/>
      <c r="J169" s="26"/>
    </row>
    <row r="170" spans="7:10">
      <c r="G170" s="26"/>
      <c r="H170" s="26"/>
      <c r="I170" s="26"/>
      <c r="J170" s="26"/>
    </row>
    <row r="171" spans="7:10">
      <c r="G171" s="26"/>
      <c r="H171" s="26"/>
      <c r="I171" s="26"/>
      <c r="J171" s="26"/>
    </row>
    <row r="172" spans="7:10">
      <c r="G172" s="26"/>
      <c r="H172" s="26"/>
      <c r="I172" s="26"/>
      <c r="J172" s="26"/>
    </row>
    <row r="173" spans="7:10">
      <c r="G173" s="26"/>
      <c r="H173" s="26"/>
      <c r="I173" s="26"/>
      <c r="J173" s="26"/>
    </row>
    <row r="174" spans="7:10">
      <c r="G174" s="26"/>
      <c r="H174" s="26"/>
      <c r="I174" s="26"/>
      <c r="J174" s="26"/>
    </row>
    <row r="175" spans="7:10">
      <c r="G175" s="26"/>
      <c r="H175" s="26"/>
      <c r="I175" s="26"/>
      <c r="J175" s="26"/>
    </row>
    <row r="176" spans="7:10">
      <c r="G176" s="26"/>
      <c r="H176" s="26"/>
      <c r="I176" s="26"/>
      <c r="J176" s="26"/>
    </row>
    <row r="177" spans="7:10">
      <c r="G177" s="26"/>
      <c r="H177" s="26"/>
      <c r="I177" s="26"/>
      <c r="J177" s="26"/>
    </row>
    <row r="178" spans="7:10">
      <c r="G178" s="26"/>
      <c r="H178" s="26"/>
      <c r="I178" s="26"/>
      <c r="J178" s="26"/>
    </row>
    <row r="179" spans="7:10">
      <c r="G179" s="26"/>
      <c r="H179" s="26"/>
      <c r="I179" s="26"/>
      <c r="J179" s="26"/>
    </row>
    <row r="180" spans="7:10">
      <c r="G180" s="26"/>
      <c r="H180" s="26"/>
      <c r="I180" s="26"/>
      <c r="J180" s="26"/>
    </row>
    <row r="181" spans="7:10">
      <c r="G181" s="26"/>
      <c r="H181" s="26"/>
      <c r="I181" s="26"/>
      <c r="J181" s="26"/>
    </row>
    <row r="182" spans="7:10">
      <c r="G182" s="26"/>
      <c r="H182" s="26"/>
      <c r="I182" s="26"/>
      <c r="J182" s="26"/>
    </row>
    <row r="183" spans="7:10">
      <c r="G183" s="26"/>
      <c r="H183" s="26"/>
      <c r="I183" s="26"/>
      <c r="J183" s="26"/>
    </row>
    <row r="184" spans="7:10">
      <c r="G184" s="26"/>
      <c r="H184" s="26"/>
      <c r="I184" s="26"/>
      <c r="J184" s="26"/>
    </row>
  </sheetData>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29C73-7C1A-4B38-AEFE-DB11127D0512}">
  <sheetPr codeName="Sheet18">
    <pageSetUpPr fitToPage="1"/>
  </sheetPr>
  <dimension ref="B1:AB62"/>
  <sheetViews>
    <sheetView topLeftCell="A16" workbookViewId="0">
      <selection activeCell="U58" sqref="U58"/>
    </sheetView>
  </sheetViews>
  <sheetFormatPr baseColWidth="10" defaultColWidth="8.83203125" defaultRowHeight="15"/>
  <cols>
    <col min="2" max="2" width="41.33203125" bestFit="1" customWidth="1"/>
    <col min="3" max="3" width="5.1640625" hidden="1" customWidth="1"/>
    <col min="4" max="4" width="8" bestFit="1" customWidth="1"/>
    <col min="5" max="16" width="7.1640625" customWidth="1"/>
  </cols>
  <sheetData>
    <row r="1" spans="2:28">
      <c r="C1" t="s">
        <v>1389</v>
      </c>
      <c r="E1" t="str">
        <f>'Bed Plan'!EL5</f>
        <v>Yield January 2025</v>
      </c>
      <c r="F1" t="str">
        <f>'Bed Plan'!EM5</f>
        <v>Yield February 2025</v>
      </c>
      <c r="G1" t="str">
        <f>'Bed Plan'!EN5</f>
        <v>Yield March 2025</v>
      </c>
      <c r="H1" t="str">
        <f>'Bed Plan'!EO5</f>
        <v>Yield April 2025</v>
      </c>
      <c r="I1" t="str">
        <f>'Bed Plan'!EP5</f>
        <v>Yield May 2025</v>
      </c>
      <c r="J1" t="str">
        <f>'Bed Plan'!EQ5</f>
        <v>Yield June 2025</v>
      </c>
      <c r="K1" t="str">
        <f>'Bed Plan'!ER5</f>
        <v>Yield July 2025</v>
      </c>
      <c r="L1" t="str">
        <f>'Bed Plan'!ES5</f>
        <v>Yield August 2025</v>
      </c>
      <c r="M1" t="str">
        <f>'Bed Plan'!ET5</f>
        <v>Yield September 2025</v>
      </c>
      <c r="N1" t="str">
        <f>'Bed Plan'!EU5</f>
        <v>Yield October 2025</v>
      </c>
      <c r="O1" t="str">
        <f>'Bed Plan'!EV5</f>
        <v>Yield November 2025</v>
      </c>
      <c r="P1" t="str">
        <f>'Bed Plan'!EW5</f>
        <v>Yield December 2025</v>
      </c>
      <c r="Q1" t="s">
        <v>268</v>
      </c>
    </row>
    <row r="2" spans="2:28">
      <c r="B2" t="s">
        <v>7</v>
      </c>
      <c r="C2" t="s">
        <v>1389</v>
      </c>
      <c r="D2" s="52" t="s">
        <v>3127</v>
      </c>
      <c r="E2" s="52" t="s">
        <v>222</v>
      </c>
      <c r="F2" s="52" t="s">
        <v>223</v>
      </c>
      <c r="G2" s="52" t="s">
        <v>224</v>
      </c>
      <c r="H2" s="52" t="s">
        <v>225</v>
      </c>
      <c r="I2" s="52" t="s">
        <v>226</v>
      </c>
      <c r="J2" s="52" t="s">
        <v>227</v>
      </c>
      <c r="K2" s="52" t="s">
        <v>228</v>
      </c>
      <c r="L2" s="52" t="s">
        <v>229</v>
      </c>
      <c r="M2" s="52" t="s">
        <v>230</v>
      </c>
      <c r="N2" s="52" t="s">
        <v>231</v>
      </c>
      <c r="O2" s="52" t="s">
        <v>232</v>
      </c>
      <c r="P2" s="52" t="s">
        <v>233</v>
      </c>
      <c r="Q2" s="52" t="s">
        <v>268</v>
      </c>
      <c r="S2" s="52" t="s">
        <v>3128</v>
      </c>
    </row>
    <row r="3" spans="2:28">
      <c r="B3" t="str" cm="1">
        <f t="array" ref="B3:B62">_xlfn.UNIQUE(BedPlan[Compound Product])</f>
        <v>Arugula Baby Leaf - Lb</v>
      </c>
      <c r="C3">
        <f>SUMIF(BedPlan[[Compound Product]:[Compound Product]],$B3,BedPlan['# Of Beds])</f>
        <v>2.75</v>
      </c>
      <c r="D3" s="35">
        <f t="shared" ref="D3:D34" si="0">S3*0.85</f>
        <v>8.5</v>
      </c>
      <c r="E3" s="33">
        <f>SUMIF(BedPlan[[Compound Product]:[Compound Product]],$B3,BedPlan[Yield January 2025])</f>
        <v>0</v>
      </c>
      <c r="F3" s="33">
        <f>SUMIF(BedPlan[[Compound Product]:[Compound Product]],$B3,BedPlan[Yield February 2025])</f>
        <v>0</v>
      </c>
      <c r="G3" s="33">
        <f>SUMIF(BedPlan[[Compound Product]:[Compound Product]],$B3,BedPlan[Yield March 2025])</f>
        <v>0</v>
      </c>
      <c r="H3" s="33">
        <f>SUMIF(BedPlan[[Compound Product]:[Compound Product]],$B3,BedPlan[Yield April 2025])</f>
        <v>1.7763157894736841</v>
      </c>
      <c r="I3" s="33">
        <f>SUMIF(BedPlan[[Compound Product]:[Compound Product]],$B3,BedPlan[Yield May 2025])</f>
        <v>15.098684210526315</v>
      </c>
      <c r="J3" s="33">
        <f>SUMIF(BedPlan[[Compound Product]:[Compound Product]],$B3,BedPlan[Yield June 2025])</f>
        <v>22.5</v>
      </c>
      <c r="K3" s="33">
        <f>SUMIF(BedPlan[[Compound Product]:[Compound Product]],$B3,BedPlan[Yield July 2025])</f>
        <v>0.59210526315789469</v>
      </c>
      <c r="L3" s="33">
        <f>SUMIF(BedPlan[[Compound Product]:[Compound Product]],$B3,BedPlan[Yield August 2025])</f>
        <v>10.657894736842104</v>
      </c>
      <c r="M3" s="33">
        <f>SUMIF(BedPlan[[Compound Product]:[Compound Product]],$B3,BedPlan[Yield September 2025])</f>
        <v>9.473684210526315</v>
      </c>
      <c r="N3" s="33">
        <f>SUMIF(BedPlan[[Compound Product]:[Compound Product]],$B3,BedPlan[Yield October 2025])</f>
        <v>1.7763157894736841</v>
      </c>
      <c r="O3" s="33">
        <f>SUMIF(BedPlan[[Compound Product]:[Compound Product]],$B3,BedPlan[Yield November 2025])</f>
        <v>0</v>
      </c>
      <c r="P3" s="33">
        <f>SUMIF(BedPlan[[Compound Product]:[Compound Product]],$B3,BedPlan[Yield December 2025])</f>
        <v>0</v>
      </c>
      <c r="Q3" s="37">
        <f>SUM(E3:P3)</f>
        <v>61.875</v>
      </c>
      <c r="S3">
        <v>10</v>
      </c>
      <c r="T3">
        <f>SUMPRODUCT(Q3:Q61,D3:D61)</f>
        <v>130967.74702380953</v>
      </c>
      <c r="X3" t="s">
        <v>3129</v>
      </c>
      <c r="AA3" t="str" cm="1">
        <f t="array" ref="AA3:AB3">_xlfn.TEXTSPLIT(X3," - ")</f>
        <v>Arugula Baby Leaf</v>
      </c>
      <c r="AB3" t="str">
        <v>Lb</v>
      </c>
    </row>
    <row r="4" spans="2:28">
      <c r="B4" t="str">
        <v>Asian Greens Mature Head - Head</v>
      </c>
      <c r="C4">
        <f>SUMIF(BedPlan[[Compound Product]:[Compound Product]],$B4,BedPlan['# Of Beds])</f>
        <v>2.6</v>
      </c>
      <c r="D4" s="35">
        <f t="shared" si="0"/>
        <v>2.5499999999999998</v>
      </c>
      <c r="E4" s="33">
        <f>SUMIF(BedPlan[[Compound Product]:[Compound Product]],$B4,BedPlan[Yield January 2025])</f>
        <v>0</v>
      </c>
      <c r="F4" s="33">
        <f>SUMIF(BedPlan[[Compound Product]:[Compound Product]],$B4,BedPlan[Yield February 2025])</f>
        <v>0</v>
      </c>
      <c r="G4" s="33">
        <f>SUMIF(BedPlan[[Compound Product]:[Compound Product]],$B4,BedPlan[Yield March 2025])</f>
        <v>0</v>
      </c>
      <c r="H4" s="33">
        <f>SUMIF(BedPlan[[Compound Product]:[Compound Product]],$B4,BedPlan[Yield April 2025])</f>
        <v>0</v>
      </c>
      <c r="I4" s="33">
        <f>SUMIF(BedPlan[[Compound Product]:[Compound Product]],$B4,BedPlan[Yield May 2025])</f>
        <v>0</v>
      </c>
      <c r="J4" s="33">
        <f>SUMIF(BedPlan[[Compound Product]:[Compound Product]],$B4,BedPlan[Yield June 2025])</f>
        <v>184.88888888888889</v>
      </c>
      <c r="K4" s="33">
        <f>SUMIF(BedPlan[[Compound Product]:[Compound Product]],$B4,BedPlan[Yield July 2025])</f>
        <v>28.444444444444443</v>
      </c>
      <c r="L4" s="33">
        <f>SUMIF(BedPlan[[Compound Product]:[Compound Product]],$B4,BedPlan[Yield August 2025])</f>
        <v>0</v>
      </c>
      <c r="M4" s="33">
        <f>SUMIF(BedPlan[[Compound Product]:[Compound Product]],$B4,BedPlan[Yield September 2025])</f>
        <v>88.888888888888872</v>
      </c>
      <c r="N4" s="33">
        <f>SUMIF(BedPlan[[Compound Product]:[Compound Product]],$B4,BedPlan[Yield October 2025])</f>
        <v>44.444444444444436</v>
      </c>
      <c r="O4" s="33">
        <f>SUMIF(BedPlan[[Compound Product]:[Compound Product]],$B4,BedPlan[Yield November 2025])</f>
        <v>0</v>
      </c>
      <c r="P4" s="33">
        <f>SUMIF(BedPlan[[Compound Product]:[Compound Product]],$B4,BedPlan[Yield December 2025])</f>
        <v>0</v>
      </c>
      <c r="Q4" s="37">
        <f t="shared" ref="Q4:Q62" si="1">SUM(E4:P4)</f>
        <v>346.66666666666663</v>
      </c>
      <c r="S4">
        <v>3</v>
      </c>
      <c r="X4" t="s">
        <v>3131</v>
      </c>
      <c r="AA4" t="str" cm="1">
        <f t="array" ref="AA4:AB4">_xlfn.TEXTSPLIT(X4," - ")</f>
        <v>Asian Greens Young Leaf</v>
      </c>
      <c r="AB4" t="str">
        <v>Lb</v>
      </c>
    </row>
    <row r="5" spans="2:28">
      <c r="B5" t="str">
        <v>Asian Greens Young Leaf - Lb</v>
      </c>
      <c r="C5">
        <f>SUMIF(BedPlan[[Compound Product]:[Compound Product]],$B5,BedPlan['# Of Beds])</f>
        <v>0.5</v>
      </c>
      <c r="D5" s="35">
        <f t="shared" si="0"/>
        <v>8.5</v>
      </c>
      <c r="E5" s="33">
        <f>SUMIF(BedPlan[[Compound Product]:[Compound Product]],$B5,BedPlan[Yield January 2025])</f>
        <v>0</v>
      </c>
      <c r="F5" s="33">
        <f>SUMIF(BedPlan[[Compound Product]:[Compound Product]],$B5,BedPlan[Yield February 2025])</f>
        <v>0</v>
      </c>
      <c r="G5" s="33">
        <f>SUMIF(BedPlan[[Compound Product]:[Compound Product]],$B5,BedPlan[Yield March 2025])</f>
        <v>0</v>
      </c>
      <c r="H5" s="33">
        <f>SUMIF(BedPlan[[Compound Product]:[Compound Product]],$B5,BedPlan[Yield April 2025])</f>
        <v>0</v>
      </c>
      <c r="I5" s="33">
        <f>SUMIF(BedPlan[[Compound Product]:[Compound Product]],$B5,BedPlan[Yield May 2025])</f>
        <v>8.3333333333333321</v>
      </c>
      <c r="J5" s="33">
        <f>SUMIF(BedPlan[[Compound Product]:[Compound Product]],$B5,BedPlan[Yield June 2025])</f>
        <v>16.666666666666664</v>
      </c>
      <c r="K5" s="33">
        <f>SUMIF(BedPlan[[Compound Product]:[Compound Product]],$B5,BedPlan[Yield July 2025])</f>
        <v>0</v>
      </c>
      <c r="L5" s="33">
        <f>SUMIF(BedPlan[[Compound Product]:[Compound Product]],$B5,BedPlan[Yield August 2025])</f>
        <v>0</v>
      </c>
      <c r="M5" s="33">
        <f>SUMIF(BedPlan[[Compound Product]:[Compound Product]],$B5,BedPlan[Yield September 2025])</f>
        <v>0</v>
      </c>
      <c r="N5" s="33">
        <f>SUMIF(BedPlan[[Compound Product]:[Compound Product]],$B5,BedPlan[Yield October 2025])</f>
        <v>0</v>
      </c>
      <c r="O5" s="33">
        <f>SUMIF(BedPlan[[Compound Product]:[Compound Product]],$B5,BedPlan[Yield November 2025])</f>
        <v>0</v>
      </c>
      <c r="P5" s="33">
        <f>SUMIF(BedPlan[[Compound Product]:[Compound Product]],$B5,BedPlan[Yield December 2025])</f>
        <v>0</v>
      </c>
      <c r="Q5" s="37">
        <f t="shared" si="1"/>
        <v>24.999999999999996</v>
      </c>
      <c r="S5">
        <v>10</v>
      </c>
      <c r="X5" t="s">
        <v>3132</v>
      </c>
      <c r="AA5" t="str" cm="1">
        <f t="array" ref="AA5:AB5">_xlfn.TEXTSPLIT(X5," - ")</f>
        <v>Basil Mature Leaf</v>
      </c>
      <c r="AB5" t="str">
        <v>Bunch</v>
      </c>
    </row>
    <row r="6" spans="2:28">
      <c r="B6" t="str">
        <v>Basil Mature Leaf - Bunch</v>
      </c>
      <c r="C6">
        <f>SUMIF(BedPlan[[Compound Product]:[Compound Product]],$B6,BedPlan['# Of Beds])</f>
        <v>2</v>
      </c>
      <c r="D6" s="35">
        <f t="shared" si="0"/>
        <v>13.6</v>
      </c>
      <c r="E6" s="33">
        <f>SUMIF(BedPlan[[Compound Product]:[Compound Product]],$B6,BedPlan[Yield January 2025])</f>
        <v>0</v>
      </c>
      <c r="F6" s="33">
        <f>SUMIF(BedPlan[[Compound Product]:[Compound Product]],$B6,BedPlan[Yield February 2025])</f>
        <v>0</v>
      </c>
      <c r="G6" s="33">
        <f>SUMIF(BedPlan[[Compound Product]:[Compound Product]],$B6,BedPlan[Yield March 2025])</f>
        <v>0</v>
      </c>
      <c r="H6" s="33">
        <f>SUMIF(BedPlan[[Compound Product]:[Compound Product]],$B6,BedPlan[Yield April 2025])</f>
        <v>0</v>
      </c>
      <c r="I6" s="33">
        <f>SUMIF(BedPlan[[Compound Product]:[Compound Product]],$B6,BedPlan[Yield May 2025])</f>
        <v>0</v>
      </c>
      <c r="J6" s="33">
        <f>SUMIF(BedPlan[[Compound Product]:[Compound Product]],$B6,BedPlan[Yield June 2025])</f>
        <v>0</v>
      </c>
      <c r="K6" s="33">
        <f>SUMIF(BedPlan[[Compound Product]:[Compound Product]],$B6,BedPlan[Yield July 2025])</f>
        <v>6</v>
      </c>
      <c r="L6" s="33">
        <f>SUMIF(BedPlan[[Compound Product]:[Compound Product]],$B6,BedPlan[Yield August 2025])</f>
        <v>35.5</v>
      </c>
      <c r="M6" s="33">
        <f>SUMIF(BedPlan[[Compound Product]:[Compound Product]],$B6,BedPlan[Yield September 2025])</f>
        <v>63.5</v>
      </c>
      <c r="N6" s="33">
        <f>SUMIF(BedPlan[[Compound Product]:[Compound Product]],$B6,BedPlan[Yield October 2025])</f>
        <v>20</v>
      </c>
      <c r="O6" s="33">
        <f>SUMIF(BedPlan[[Compound Product]:[Compound Product]],$B6,BedPlan[Yield November 2025])</f>
        <v>0</v>
      </c>
      <c r="P6" s="33">
        <f>SUMIF(BedPlan[[Compound Product]:[Compound Product]],$B6,BedPlan[Yield December 2025])</f>
        <v>0</v>
      </c>
      <c r="Q6" s="37">
        <f t="shared" si="1"/>
        <v>125</v>
      </c>
      <c r="S6">
        <v>16</v>
      </c>
      <c r="X6" t="s">
        <v>3133</v>
      </c>
      <c r="AA6" t="str" cm="1">
        <f t="array" ref="AA6:AB6">_xlfn.TEXTSPLIT(X6," - ")</f>
        <v>Basil Mature Leaf</v>
      </c>
      <c r="AB6" t="str">
        <v>Lb</v>
      </c>
    </row>
    <row r="7" spans="2:28">
      <c r="B7" t="str">
        <v>Basil Mature Leaf - Lb</v>
      </c>
      <c r="C7">
        <f>SUMIF(BedPlan[[Compound Product]:[Compound Product]],$B7,BedPlan['# Of Beds])</f>
        <v>0.4</v>
      </c>
      <c r="D7" s="35">
        <f t="shared" si="0"/>
        <v>5.95</v>
      </c>
      <c r="E7" s="33">
        <f>SUMIF(BedPlan[[Compound Product]:[Compound Product]],$B7,BedPlan[Yield January 2025])</f>
        <v>0</v>
      </c>
      <c r="F7" s="33">
        <f>SUMIF(BedPlan[[Compound Product]:[Compound Product]],$B7,BedPlan[Yield February 2025])</f>
        <v>0</v>
      </c>
      <c r="G7" s="33">
        <f>SUMIF(BedPlan[[Compound Product]:[Compound Product]],$B7,BedPlan[Yield March 2025])</f>
        <v>0</v>
      </c>
      <c r="H7" s="33">
        <f>SUMIF(BedPlan[[Compound Product]:[Compound Product]],$B7,BedPlan[Yield April 2025])</f>
        <v>0</v>
      </c>
      <c r="I7" s="33">
        <f>SUMIF(BedPlan[[Compound Product]:[Compound Product]],$B7,BedPlan[Yield May 2025])</f>
        <v>0</v>
      </c>
      <c r="J7" s="33">
        <f>SUMIF(BedPlan[[Compound Product]:[Compound Product]],$B7,BedPlan[Yield June 2025])</f>
        <v>0</v>
      </c>
      <c r="K7" s="33">
        <f>SUMIF(BedPlan[[Compound Product]:[Compound Product]],$B7,BedPlan[Yield July 2025])</f>
        <v>3.7168141592920354</v>
      </c>
      <c r="L7" s="33">
        <f>SUMIF(BedPlan[[Compound Product]:[Compound Product]],$B7,BedPlan[Yield August 2025])</f>
        <v>16.460176991150441</v>
      </c>
      <c r="M7" s="33">
        <f>SUMIF(BedPlan[[Compound Product]:[Compound Product]],$B7,BedPlan[Yield September 2025])</f>
        <v>15.929203539823011</v>
      </c>
      <c r="N7" s="33">
        <f>SUMIF(BedPlan[[Compound Product]:[Compound Product]],$B7,BedPlan[Yield October 2025])</f>
        <v>16.460176991150441</v>
      </c>
      <c r="O7" s="33">
        <f>SUMIF(BedPlan[[Compound Product]:[Compound Product]],$B7,BedPlan[Yield November 2025])</f>
        <v>7.4336283185840708</v>
      </c>
      <c r="P7" s="33">
        <f>SUMIF(BedPlan[[Compound Product]:[Compound Product]],$B7,BedPlan[Yield December 2025])</f>
        <v>0</v>
      </c>
      <c r="Q7" s="37">
        <f t="shared" si="1"/>
        <v>59.999999999999993</v>
      </c>
      <c r="S7">
        <v>7</v>
      </c>
      <c r="X7" t="s">
        <v>3134</v>
      </c>
      <c r="AA7" t="str" cm="1">
        <f t="array" ref="AA7:AB7">_xlfn.TEXTSPLIT(X7," - ")</f>
        <v>Bean Young Pod</v>
      </c>
      <c r="AB7" t="str">
        <v>Lb</v>
      </c>
    </row>
    <row r="8" spans="2:28">
      <c r="B8" t="str">
        <v>Bean Young Pod - Lb</v>
      </c>
      <c r="C8">
        <f>SUMIF(BedPlan[[Compound Product]:[Compound Product]],$B8,BedPlan['# Of Beds])</f>
        <v>3</v>
      </c>
      <c r="D8" s="35">
        <f t="shared" si="0"/>
        <v>6.8</v>
      </c>
      <c r="E8" s="33">
        <f>SUMIF(BedPlan[[Compound Product]:[Compound Product]],$B8,BedPlan[Yield January 2025])</f>
        <v>0</v>
      </c>
      <c r="F8" s="33">
        <f>SUMIF(BedPlan[[Compound Product]:[Compound Product]],$B8,BedPlan[Yield February 2025])</f>
        <v>0</v>
      </c>
      <c r="G8" s="33">
        <f>SUMIF(BedPlan[[Compound Product]:[Compound Product]],$B8,BedPlan[Yield March 2025])</f>
        <v>0</v>
      </c>
      <c r="H8" s="33">
        <f>SUMIF(BedPlan[[Compound Product]:[Compound Product]],$B8,BedPlan[Yield April 2025])</f>
        <v>0</v>
      </c>
      <c r="I8" s="33">
        <f>SUMIF(BedPlan[[Compound Product]:[Compound Product]],$B8,BedPlan[Yield May 2025])</f>
        <v>0</v>
      </c>
      <c r="J8" s="33">
        <f>SUMIF(BedPlan[[Compound Product]:[Compound Product]],$B8,BedPlan[Yield June 2025])</f>
        <v>0</v>
      </c>
      <c r="K8" s="33">
        <f>SUMIF(BedPlan[[Compound Product]:[Compound Product]],$B8,BedPlan[Yield July 2025])</f>
        <v>0</v>
      </c>
      <c r="L8" s="33">
        <f>SUMIF(BedPlan[[Compound Product]:[Compound Product]],$B8,BedPlan[Yield August 2025])</f>
        <v>132.95454545454544</v>
      </c>
      <c r="M8" s="33">
        <f>SUMIF(BedPlan[[Compound Product]:[Compound Product]],$B8,BedPlan[Yield September 2025])</f>
        <v>257.0454545454545</v>
      </c>
      <c r="N8" s="33">
        <f>SUMIF(BedPlan[[Compound Product]:[Compound Product]],$B8,BedPlan[Yield October 2025])</f>
        <v>0</v>
      </c>
      <c r="O8" s="33">
        <f>SUMIF(BedPlan[[Compound Product]:[Compound Product]],$B8,BedPlan[Yield November 2025])</f>
        <v>0</v>
      </c>
      <c r="P8" s="33">
        <f>SUMIF(BedPlan[[Compound Product]:[Compound Product]],$B8,BedPlan[Yield December 2025])</f>
        <v>0</v>
      </c>
      <c r="Q8" s="37">
        <f t="shared" si="1"/>
        <v>389.99999999999994</v>
      </c>
      <c r="S8">
        <v>8</v>
      </c>
      <c r="X8" t="s">
        <v>3135</v>
      </c>
      <c r="AA8" t="str" cm="1">
        <f t="array" ref="AA8:AB8">_xlfn.TEXTSPLIT(X8," - ")</f>
        <v>Beet Mature Root</v>
      </c>
      <c r="AB8" t="str">
        <v>Bunch</v>
      </c>
    </row>
    <row r="9" spans="2:28">
      <c r="B9" t="str">
        <v>Beet Mature Root - Bunch</v>
      </c>
      <c r="C9">
        <f>SUMIF(BedPlan[[Compound Product]:[Compound Product]],$B9,BedPlan['# Of Beds])</f>
        <v>5</v>
      </c>
      <c r="D9" s="35">
        <f t="shared" si="0"/>
        <v>3.4</v>
      </c>
      <c r="E9" s="33">
        <f>SUMIF(BedPlan[[Compound Product]:[Compound Product]],$B9,BedPlan[Yield January 2025])</f>
        <v>0</v>
      </c>
      <c r="F9" s="33">
        <f>SUMIF(BedPlan[[Compound Product]:[Compound Product]],$B9,BedPlan[Yield February 2025])</f>
        <v>0</v>
      </c>
      <c r="G9" s="33">
        <f>SUMIF(BedPlan[[Compound Product]:[Compound Product]],$B9,BedPlan[Yield March 2025])</f>
        <v>0</v>
      </c>
      <c r="H9" s="33">
        <f>SUMIF(BedPlan[[Compound Product]:[Compound Product]],$B9,BedPlan[Yield April 2025])</f>
        <v>0</v>
      </c>
      <c r="I9" s="33">
        <f>SUMIF(BedPlan[[Compound Product]:[Compound Product]],$B9,BedPlan[Yield May 2025])</f>
        <v>0</v>
      </c>
      <c r="J9" s="33">
        <f>SUMIF(BedPlan[[Compound Product]:[Compound Product]],$B9,BedPlan[Yield June 2025])</f>
        <v>22.222222222222221</v>
      </c>
      <c r="K9" s="33">
        <f>SUMIF(BedPlan[[Compound Product]:[Compound Product]],$B9,BedPlan[Yield July 2025])</f>
        <v>172.22222222222223</v>
      </c>
      <c r="L9" s="33">
        <f>SUMIF(BedPlan[[Compound Product]:[Compound Product]],$B9,BedPlan[Yield August 2025])</f>
        <v>5.5555555555555554</v>
      </c>
      <c r="M9" s="33">
        <f>SUMIF(BedPlan[[Compound Product]:[Compound Product]],$B9,BedPlan[Yield September 2025])</f>
        <v>127.77777777777779</v>
      </c>
      <c r="N9" s="33">
        <f>SUMIF(BedPlan[[Compound Product]:[Compound Product]],$B9,BedPlan[Yield October 2025])</f>
        <v>163.88888888888891</v>
      </c>
      <c r="O9" s="33">
        <f>SUMIF(BedPlan[[Compound Product]:[Compound Product]],$B9,BedPlan[Yield November 2025])</f>
        <v>8.3333333333333321</v>
      </c>
      <c r="P9" s="33">
        <f>SUMIF(BedPlan[[Compound Product]:[Compound Product]],$B9,BedPlan[Yield December 2025])</f>
        <v>0</v>
      </c>
      <c r="Q9" s="37">
        <f t="shared" si="1"/>
        <v>500</v>
      </c>
      <c r="S9">
        <v>4</v>
      </c>
      <c r="X9" t="s">
        <v>3130</v>
      </c>
      <c r="AA9" t="str" cm="1">
        <f t="array" ref="AA9:AB9">_xlfn.TEXTSPLIT(X9," - ")</f>
        <v>Asian Greens Mature Head</v>
      </c>
      <c r="AB9" t="str">
        <v>Head</v>
      </c>
    </row>
    <row r="10" spans="2:28">
      <c r="B10" t="str">
        <v>Bok Choy Mature Head - Head</v>
      </c>
      <c r="C10">
        <f>SUMIF(BedPlan[[Compound Product]:[Compound Product]],$B10,BedPlan['# Of Beds])</f>
        <v>0.5</v>
      </c>
      <c r="D10" s="35">
        <f t="shared" si="0"/>
        <v>3.4</v>
      </c>
      <c r="E10" s="33">
        <f>SUMIF(BedPlan[[Compound Product]:[Compound Product]],$B10,BedPlan[Yield January 2025])</f>
        <v>0</v>
      </c>
      <c r="F10" s="33">
        <f>SUMIF(BedPlan[[Compound Product]:[Compound Product]],$B10,BedPlan[Yield February 2025])</f>
        <v>0</v>
      </c>
      <c r="G10" s="33">
        <f>SUMIF(BedPlan[[Compound Product]:[Compound Product]],$B10,BedPlan[Yield March 2025])</f>
        <v>0</v>
      </c>
      <c r="H10" s="33">
        <f>SUMIF(BedPlan[[Compound Product]:[Compound Product]],$B10,BedPlan[Yield April 2025])</f>
        <v>0</v>
      </c>
      <c r="I10" s="33">
        <f>SUMIF(BedPlan[[Compound Product]:[Compound Product]],$B10,BedPlan[Yield May 2025])</f>
        <v>0</v>
      </c>
      <c r="J10" s="33">
        <f>SUMIF(BedPlan[[Compound Product]:[Compound Product]],$B10,BedPlan[Yield June 2025])</f>
        <v>0</v>
      </c>
      <c r="K10" s="33">
        <f>SUMIF(BedPlan[[Compound Product]:[Compound Product]],$B10,BedPlan[Yield July 2025])</f>
        <v>0</v>
      </c>
      <c r="L10" s="33">
        <f>SUMIF(BedPlan[[Compound Product]:[Compound Product]],$B10,BedPlan[Yield August 2025])</f>
        <v>0</v>
      </c>
      <c r="M10" s="33">
        <f>SUMIF(BedPlan[[Compound Product]:[Compound Product]],$B10,BedPlan[Yield September 2025])</f>
        <v>0</v>
      </c>
      <c r="N10" s="33">
        <f>SUMIF(BedPlan[[Compound Product]:[Compound Product]],$B10,BedPlan[Yield October 2025])</f>
        <v>133.33333333333331</v>
      </c>
      <c r="O10" s="33">
        <f>SUMIF(BedPlan[[Compound Product]:[Compound Product]],$B10,BedPlan[Yield November 2025])</f>
        <v>0</v>
      </c>
      <c r="P10" s="33">
        <f>SUMIF(BedPlan[[Compound Product]:[Compound Product]],$B10,BedPlan[Yield December 2025])</f>
        <v>0</v>
      </c>
      <c r="Q10" s="37">
        <f t="shared" si="1"/>
        <v>133.33333333333331</v>
      </c>
      <c r="S10">
        <v>4</v>
      </c>
      <c r="X10" t="s">
        <v>3136</v>
      </c>
      <c r="AA10" t="str" cm="1">
        <f t="array" ref="AA10:AB10">_xlfn.TEXTSPLIT(X10," - ")</f>
        <v>Broccoli Loose Florets</v>
      </c>
      <c r="AB10" t="str">
        <v>Bunch</v>
      </c>
    </row>
    <row r="11" spans="2:28">
      <c r="B11" t="str">
        <v>Broccoli Loose Florets - Bunch</v>
      </c>
      <c r="C11">
        <f>SUMIF(BedPlan[[Compound Product]:[Compound Product]],$B11,BedPlan['# Of Beds])</f>
        <v>1.4</v>
      </c>
      <c r="D11" s="35">
        <f t="shared" si="0"/>
        <v>5.6099999999999994</v>
      </c>
      <c r="E11" s="33">
        <f>SUMIF(BedPlan[[Compound Product]:[Compound Product]],$B11,BedPlan[Yield January 2025])</f>
        <v>0</v>
      </c>
      <c r="F11" s="33">
        <f>SUMIF(BedPlan[[Compound Product]:[Compound Product]],$B11,BedPlan[Yield February 2025])</f>
        <v>0</v>
      </c>
      <c r="G11" s="33">
        <f>SUMIF(BedPlan[[Compound Product]:[Compound Product]],$B11,BedPlan[Yield March 2025])</f>
        <v>0</v>
      </c>
      <c r="H11" s="33">
        <f>SUMIF(BedPlan[[Compound Product]:[Compound Product]],$B11,BedPlan[Yield April 2025])</f>
        <v>0</v>
      </c>
      <c r="I11" s="33">
        <f>SUMIF(BedPlan[[Compound Product]:[Compound Product]],$B11,BedPlan[Yield May 2025])</f>
        <v>0</v>
      </c>
      <c r="J11" s="33">
        <f>SUMIF(BedPlan[[Compound Product]:[Compound Product]],$B11,BedPlan[Yield June 2025])</f>
        <v>0</v>
      </c>
      <c r="K11" s="33">
        <f>SUMIF(BedPlan[[Compound Product]:[Compound Product]],$B11,BedPlan[Yield July 2025])</f>
        <v>0</v>
      </c>
      <c r="L11" s="33">
        <f>SUMIF(BedPlan[[Compound Product]:[Compound Product]],$B11,BedPlan[Yield August 2025])</f>
        <v>0</v>
      </c>
      <c r="M11" s="33">
        <f>SUMIF(BedPlan[[Compound Product]:[Compound Product]],$B11,BedPlan[Yield September 2025])</f>
        <v>236.36363636363637</v>
      </c>
      <c r="N11" s="33">
        <f>SUMIF(BedPlan[[Compound Product]:[Compound Product]],$B11,BedPlan[Yield October 2025])</f>
        <v>43.636363636363633</v>
      </c>
      <c r="O11" s="33">
        <f>SUMIF(BedPlan[[Compound Product]:[Compound Product]],$B11,BedPlan[Yield November 2025])</f>
        <v>0</v>
      </c>
      <c r="P11" s="33">
        <f>SUMIF(BedPlan[[Compound Product]:[Compound Product]],$B11,BedPlan[Yield December 2025])</f>
        <v>0</v>
      </c>
      <c r="Q11" s="37">
        <f t="shared" si="1"/>
        <v>280</v>
      </c>
      <c r="S11">
        <v>6.6</v>
      </c>
      <c r="X11" t="s">
        <v>3137</v>
      </c>
      <c r="AA11" t="str" cm="1">
        <f t="array" ref="AA11:AB11">_xlfn.TEXTSPLIT(X11," - ")</f>
        <v>Cabbage Large Head</v>
      </c>
      <c r="AB11" t="str">
        <v>Head</v>
      </c>
    </row>
    <row r="12" spans="2:28">
      <c r="B12" t="str">
        <v>Cabbage Large Head - Head</v>
      </c>
      <c r="C12">
        <f>SUMIF(BedPlan[[Compound Product]:[Compound Product]],$B12,BedPlan['# Of Beds])</f>
        <v>3.4</v>
      </c>
      <c r="D12" s="35">
        <f t="shared" si="0"/>
        <v>3.4</v>
      </c>
      <c r="E12" s="33">
        <f>SUMIF(BedPlan[[Compound Product]:[Compound Product]],$B12,BedPlan[Yield January 2025])</f>
        <v>0</v>
      </c>
      <c r="F12" s="33">
        <f>SUMIF(BedPlan[[Compound Product]:[Compound Product]],$B12,BedPlan[Yield February 2025])</f>
        <v>0</v>
      </c>
      <c r="G12" s="33">
        <f>SUMIF(BedPlan[[Compound Product]:[Compound Product]],$B12,BedPlan[Yield March 2025])</f>
        <v>0</v>
      </c>
      <c r="H12" s="33">
        <f>SUMIF(BedPlan[[Compound Product]:[Compound Product]],$B12,BedPlan[Yield April 2025])</f>
        <v>0</v>
      </c>
      <c r="I12" s="33">
        <f>SUMIF(BedPlan[[Compound Product]:[Compound Product]],$B12,BedPlan[Yield May 2025])</f>
        <v>0</v>
      </c>
      <c r="J12" s="33">
        <f>SUMIF(BedPlan[[Compound Product]:[Compound Product]],$B12,BedPlan[Yield June 2025])</f>
        <v>25</v>
      </c>
      <c r="K12" s="33">
        <f>SUMIF(BedPlan[[Compound Product]:[Compound Product]],$B12,BedPlan[Yield July 2025])</f>
        <v>255</v>
      </c>
      <c r="L12" s="33">
        <f>SUMIF(BedPlan[[Compound Product]:[Compound Product]],$B12,BedPlan[Yield August 2025])</f>
        <v>0</v>
      </c>
      <c r="M12" s="33">
        <f>SUMIF(BedPlan[[Compound Product]:[Compound Product]],$B12,BedPlan[Yield September 2025])</f>
        <v>80</v>
      </c>
      <c r="N12" s="33">
        <f>SUMIF(BedPlan[[Compound Product]:[Compound Product]],$B12,BedPlan[Yield October 2025])</f>
        <v>39.393939393939391</v>
      </c>
      <c r="O12" s="33">
        <f>SUMIF(BedPlan[[Compound Product]:[Compound Product]],$B12,BedPlan[Yield November 2025])</f>
        <v>27.27272727272727</v>
      </c>
      <c r="P12" s="33">
        <f>SUMIF(BedPlan[[Compound Product]:[Compound Product]],$B12,BedPlan[Yield December 2025])</f>
        <v>0</v>
      </c>
      <c r="Q12" s="37">
        <f t="shared" si="1"/>
        <v>426.66666666666663</v>
      </c>
      <c r="S12">
        <v>4</v>
      </c>
      <c r="X12" t="s">
        <v>3138</v>
      </c>
      <c r="AA12" t="str" cm="1">
        <f t="array" ref="AA12:AB12">_xlfn.TEXTSPLIT(X12," - ")</f>
        <v>Cabbage Small Head</v>
      </c>
      <c r="AB12" t="str">
        <v>Head</v>
      </c>
    </row>
    <row r="13" spans="2:28">
      <c r="B13" t="str">
        <v>Cabbage Small Head - Head</v>
      </c>
      <c r="C13">
        <f>SUMIF(BedPlan[[Compound Product]:[Compound Product]],$B13,BedPlan['# Of Beds])</f>
        <v>1</v>
      </c>
      <c r="D13" s="35">
        <f t="shared" si="0"/>
        <v>3.4</v>
      </c>
      <c r="E13" s="33">
        <f>SUMIF(BedPlan[[Compound Product]:[Compound Product]],$B13,BedPlan[Yield January 2025])</f>
        <v>0</v>
      </c>
      <c r="F13" s="33">
        <f>SUMIF(BedPlan[[Compound Product]:[Compound Product]],$B13,BedPlan[Yield February 2025])</f>
        <v>0</v>
      </c>
      <c r="G13" s="33">
        <f>SUMIF(BedPlan[[Compound Product]:[Compound Product]],$B13,BedPlan[Yield March 2025])</f>
        <v>0</v>
      </c>
      <c r="H13" s="33">
        <f>SUMIF(BedPlan[[Compound Product]:[Compound Product]],$B13,BedPlan[Yield April 2025])</f>
        <v>0</v>
      </c>
      <c r="I13" s="33">
        <f>SUMIF(BedPlan[[Compound Product]:[Compound Product]],$B13,BedPlan[Yield May 2025])</f>
        <v>0</v>
      </c>
      <c r="J13" s="33">
        <f>SUMIF(BedPlan[[Compound Product]:[Compound Product]],$B13,BedPlan[Yield June 2025])</f>
        <v>0</v>
      </c>
      <c r="K13" s="33">
        <f>SUMIF(BedPlan[[Compound Product]:[Compound Product]],$B13,BedPlan[Yield July 2025])</f>
        <v>0</v>
      </c>
      <c r="L13" s="33">
        <f>SUMIF(BedPlan[[Compound Product]:[Compound Product]],$B13,BedPlan[Yield August 2025])</f>
        <v>0</v>
      </c>
      <c r="M13" s="33">
        <f>SUMIF(BedPlan[[Compound Product]:[Compound Product]],$B13,BedPlan[Yield September 2025])</f>
        <v>120</v>
      </c>
      <c r="N13" s="33">
        <f>SUMIF(BedPlan[[Compound Product]:[Compound Product]],$B13,BedPlan[Yield October 2025])</f>
        <v>30</v>
      </c>
      <c r="O13" s="33">
        <f>SUMIF(BedPlan[[Compound Product]:[Compound Product]],$B13,BedPlan[Yield November 2025])</f>
        <v>0</v>
      </c>
      <c r="P13" s="33">
        <f>SUMIF(BedPlan[[Compound Product]:[Compound Product]],$B13,BedPlan[Yield December 2025])</f>
        <v>0</v>
      </c>
      <c r="Q13" s="37">
        <f t="shared" si="1"/>
        <v>150</v>
      </c>
      <c r="S13">
        <v>4</v>
      </c>
      <c r="X13" t="s">
        <v>3139</v>
      </c>
      <c r="AA13" t="str" cm="1">
        <f t="array" ref="AA13:AB13">_xlfn.TEXTSPLIT(X13," - ")</f>
        <v>Carrot Mature Root</v>
      </c>
      <c r="AB13" t="str">
        <v>Bunch</v>
      </c>
    </row>
    <row r="14" spans="2:28">
      <c r="B14" t="str">
        <v>Carrot Mature Root - Bunch</v>
      </c>
      <c r="C14">
        <f>SUMIF(BedPlan[[Compound Product]:[Compound Product]],$B14,BedPlan['# Of Beds])</f>
        <v>4</v>
      </c>
      <c r="D14" s="35">
        <f t="shared" si="0"/>
        <v>2.9750000000000001</v>
      </c>
      <c r="E14" s="33">
        <f>SUMIF(BedPlan[[Compound Product]:[Compound Product]],$B14,BedPlan[Yield January 2025])</f>
        <v>0</v>
      </c>
      <c r="F14" s="33">
        <f>SUMIF(BedPlan[[Compound Product]:[Compound Product]],$B14,BedPlan[Yield February 2025])</f>
        <v>0</v>
      </c>
      <c r="G14" s="33">
        <f>SUMIF(BedPlan[[Compound Product]:[Compound Product]],$B14,BedPlan[Yield March 2025])</f>
        <v>0</v>
      </c>
      <c r="H14" s="33">
        <f>SUMIF(BedPlan[[Compound Product]:[Compound Product]],$B14,BedPlan[Yield April 2025])</f>
        <v>0</v>
      </c>
      <c r="I14" s="33">
        <f>SUMIF(BedPlan[[Compound Product]:[Compound Product]],$B14,BedPlan[Yield May 2025])</f>
        <v>0</v>
      </c>
      <c r="J14" s="33">
        <f>SUMIF(BedPlan[[Compound Product]:[Compound Product]],$B14,BedPlan[Yield June 2025])</f>
        <v>132.46753246753246</v>
      </c>
      <c r="K14" s="33">
        <f>SUMIF(BedPlan[[Compound Product]:[Compound Product]],$B14,BedPlan[Yield July 2025])</f>
        <v>210.38961038961037</v>
      </c>
      <c r="L14" s="33">
        <f>SUMIF(BedPlan[[Compound Product]:[Compound Product]],$B14,BedPlan[Yield August 2025])</f>
        <v>0</v>
      </c>
      <c r="M14" s="33">
        <f>SUMIF(BedPlan[[Compound Product]:[Compound Product]],$B14,BedPlan[Yield September 2025])</f>
        <v>171.42857142857142</v>
      </c>
      <c r="N14" s="33">
        <f>SUMIF(BedPlan[[Compound Product]:[Compound Product]],$B14,BedPlan[Yield October 2025])</f>
        <v>171.42857142857142</v>
      </c>
      <c r="O14" s="33">
        <f>SUMIF(BedPlan[[Compound Product]:[Compound Product]],$B14,BedPlan[Yield November 2025])</f>
        <v>0</v>
      </c>
      <c r="P14" s="33">
        <f>SUMIF(BedPlan[[Compound Product]:[Compound Product]],$B14,BedPlan[Yield December 2025])</f>
        <v>0</v>
      </c>
      <c r="Q14" s="37">
        <f t="shared" si="1"/>
        <v>685.71428571428567</v>
      </c>
      <c r="S14">
        <v>3.5</v>
      </c>
      <c r="X14" t="s">
        <v>3140</v>
      </c>
      <c r="AA14" t="str" cm="1">
        <f t="array" ref="AA14:AB14">_xlfn.TEXTSPLIT(X14," - ")</f>
        <v>Carrot Storage Root</v>
      </c>
      <c r="AB14" t="str">
        <v>Lb</v>
      </c>
    </row>
    <row r="15" spans="2:28">
      <c r="B15" t="str">
        <v>Carrot Storage Root - Lb</v>
      </c>
      <c r="C15">
        <f>SUMIF(BedPlan[[Compound Product]:[Compound Product]],$B15,BedPlan['# Of Beds])</f>
        <v>2</v>
      </c>
      <c r="D15" s="35">
        <f t="shared" si="0"/>
        <v>7.6499999999999995</v>
      </c>
      <c r="E15" s="33">
        <f>SUMIF(BedPlan[[Compound Product]:[Compound Product]],$B15,BedPlan[Yield January 2025])</f>
        <v>0</v>
      </c>
      <c r="F15" s="33">
        <f>SUMIF(BedPlan[[Compound Product]:[Compound Product]],$B15,BedPlan[Yield February 2025])</f>
        <v>0</v>
      </c>
      <c r="G15" s="33">
        <f>SUMIF(BedPlan[[Compound Product]:[Compound Product]],$B15,BedPlan[Yield March 2025])</f>
        <v>0</v>
      </c>
      <c r="H15" s="33">
        <f>SUMIF(BedPlan[[Compound Product]:[Compound Product]],$B15,BedPlan[Yield April 2025])</f>
        <v>0</v>
      </c>
      <c r="I15" s="33">
        <f>SUMIF(BedPlan[[Compound Product]:[Compound Product]],$B15,BedPlan[Yield May 2025])</f>
        <v>0</v>
      </c>
      <c r="J15" s="33">
        <f>SUMIF(BedPlan[[Compound Product]:[Compound Product]],$B15,BedPlan[Yield June 2025])</f>
        <v>0</v>
      </c>
      <c r="K15" s="33">
        <f>SUMIF(BedPlan[[Compound Product]:[Compound Product]],$B15,BedPlan[Yield July 2025])</f>
        <v>0</v>
      </c>
      <c r="L15" s="33">
        <f>SUMIF(BedPlan[[Compound Product]:[Compound Product]],$B15,BedPlan[Yield August 2025])</f>
        <v>0</v>
      </c>
      <c r="M15" s="33">
        <f>SUMIF(BedPlan[[Compound Product]:[Compound Product]],$B15,BedPlan[Yield September 2025])</f>
        <v>147.27272727272725</v>
      </c>
      <c r="N15" s="33">
        <f>SUMIF(BedPlan[[Compound Product]:[Compound Product]],$B15,BedPlan[Yield October 2025])</f>
        <v>212.72727272727272</v>
      </c>
      <c r="O15" s="33">
        <f>SUMIF(BedPlan[[Compound Product]:[Compound Product]],$B15,BedPlan[Yield November 2025])</f>
        <v>0</v>
      </c>
      <c r="P15" s="33">
        <f>SUMIF(BedPlan[[Compound Product]:[Compound Product]],$B15,BedPlan[Yield December 2025])</f>
        <v>0</v>
      </c>
      <c r="Q15" s="37">
        <f t="shared" si="1"/>
        <v>360</v>
      </c>
      <c r="S15">
        <v>9</v>
      </c>
      <c r="X15" t="s">
        <v>3141</v>
      </c>
      <c r="AA15" t="str" cm="1">
        <f t="array" ref="AA15:AB15">_xlfn.TEXTSPLIT(X15," - ")</f>
        <v>Cauliflower Mature Head</v>
      </c>
      <c r="AB15" t="str">
        <v>Head</v>
      </c>
    </row>
    <row r="16" spans="2:28">
      <c r="B16" t="str">
        <v>Cauliflower Mature Head - Head</v>
      </c>
      <c r="C16">
        <f>SUMIF(BedPlan[[Compound Product]:[Compound Product]],$B16,BedPlan['# Of Beds])</f>
        <v>2</v>
      </c>
      <c r="D16" s="35">
        <f t="shared" si="0"/>
        <v>2.9750000000000001</v>
      </c>
      <c r="E16" s="33">
        <f>SUMIF(BedPlan[[Compound Product]:[Compound Product]],$B16,BedPlan[Yield January 2025])</f>
        <v>0</v>
      </c>
      <c r="F16" s="33">
        <f>SUMIF(BedPlan[[Compound Product]:[Compound Product]],$B16,BedPlan[Yield February 2025])</f>
        <v>0</v>
      </c>
      <c r="G16" s="33">
        <f>SUMIF(BedPlan[[Compound Product]:[Compound Product]],$B16,BedPlan[Yield March 2025])</f>
        <v>0</v>
      </c>
      <c r="H16" s="33">
        <f>SUMIF(BedPlan[[Compound Product]:[Compound Product]],$B16,BedPlan[Yield April 2025])</f>
        <v>0</v>
      </c>
      <c r="I16" s="33">
        <f>SUMIF(BedPlan[[Compound Product]:[Compound Product]],$B16,BedPlan[Yield May 2025])</f>
        <v>0</v>
      </c>
      <c r="J16" s="33">
        <f>SUMIF(BedPlan[[Compound Product]:[Compound Product]],$B16,BedPlan[Yield June 2025])</f>
        <v>0</v>
      </c>
      <c r="K16" s="33">
        <f>SUMIF(BedPlan[[Compound Product]:[Compound Product]],$B16,BedPlan[Yield July 2025])</f>
        <v>0</v>
      </c>
      <c r="L16" s="33">
        <f>SUMIF(BedPlan[[Compound Product]:[Compound Product]],$B16,BedPlan[Yield August 2025])</f>
        <v>0</v>
      </c>
      <c r="M16" s="33">
        <f>SUMIF(BedPlan[[Compound Product]:[Compound Product]],$B16,BedPlan[Yield September 2025])</f>
        <v>38.961038961038959</v>
      </c>
      <c r="N16" s="33">
        <f>SUMIF(BedPlan[[Compound Product]:[Compound Product]],$B16,BedPlan[Yield October 2025])</f>
        <v>51.948051948051948</v>
      </c>
      <c r="O16" s="33">
        <f>SUMIF(BedPlan[[Compound Product]:[Compound Product]],$B16,BedPlan[Yield November 2025])</f>
        <v>23.376623376623375</v>
      </c>
      <c r="P16" s="33">
        <f>SUMIF(BedPlan[[Compound Product]:[Compound Product]],$B16,BedPlan[Yield December 2025])</f>
        <v>0</v>
      </c>
      <c r="Q16" s="37">
        <f t="shared" si="1"/>
        <v>114.28571428571428</v>
      </c>
      <c r="S16">
        <v>3.5</v>
      </c>
      <c r="X16" t="s">
        <v>3142</v>
      </c>
      <c r="AA16" t="str" cm="1">
        <f t="array" ref="AA16:AB16">_xlfn.TEXTSPLIT(X16," - ")</f>
        <v>Celery Loose Rib</v>
      </c>
      <c r="AB16" t="str">
        <v>Bunch</v>
      </c>
    </row>
    <row r="17" spans="2:28">
      <c r="B17" t="str">
        <v>Celery Loose Rib - Bunch</v>
      </c>
      <c r="C17">
        <f>SUMIF(BedPlan[[Compound Product]:[Compound Product]],$B17,BedPlan['# Of Beds])</f>
        <v>1</v>
      </c>
      <c r="D17" s="35">
        <f t="shared" si="0"/>
        <v>2.9750000000000001</v>
      </c>
      <c r="E17" s="33">
        <f>SUMIF(BedPlan[[Compound Product]:[Compound Product]],$B17,BedPlan[Yield January 2025])</f>
        <v>0</v>
      </c>
      <c r="F17" s="33">
        <f>SUMIF(BedPlan[[Compound Product]:[Compound Product]],$B17,BedPlan[Yield February 2025])</f>
        <v>0</v>
      </c>
      <c r="G17" s="33">
        <f>SUMIF(BedPlan[[Compound Product]:[Compound Product]],$B17,BedPlan[Yield March 2025])</f>
        <v>0</v>
      </c>
      <c r="H17" s="33">
        <f>SUMIF(BedPlan[[Compound Product]:[Compound Product]],$B17,BedPlan[Yield April 2025])</f>
        <v>0</v>
      </c>
      <c r="I17" s="33">
        <f>SUMIF(BedPlan[[Compound Product]:[Compound Product]],$B17,BedPlan[Yield May 2025])</f>
        <v>0</v>
      </c>
      <c r="J17" s="33">
        <f>SUMIF(BedPlan[[Compound Product]:[Compound Product]],$B17,BedPlan[Yield June 2025])</f>
        <v>0</v>
      </c>
      <c r="K17" s="33">
        <f>SUMIF(BedPlan[[Compound Product]:[Compound Product]],$B17,BedPlan[Yield July 2025])</f>
        <v>316.2162162162162</v>
      </c>
      <c r="L17" s="33">
        <f>SUMIF(BedPlan[[Compound Product]:[Compound Product]],$B17,BedPlan[Yield August 2025])</f>
        <v>377.02702702702697</v>
      </c>
      <c r="M17" s="33">
        <f>SUMIF(BedPlan[[Compound Product]:[Compound Product]],$B17,BedPlan[Yield September 2025])</f>
        <v>364.86486486486484</v>
      </c>
      <c r="N17" s="33">
        <f>SUMIF(BedPlan[[Compound Product]:[Compound Product]],$B17,BedPlan[Yield October 2025])</f>
        <v>377.02702702702697</v>
      </c>
      <c r="O17" s="33">
        <f>SUMIF(BedPlan[[Compound Product]:[Compound Product]],$B17,BedPlan[Yield November 2025])</f>
        <v>364.86486486486484</v>
      </c>
      <c r="P17" s="33">
        <f>SUMIF(BedPlan[[Compound Product]:[Compound Product]],$B17,BedPlan[Yield December 2025])</f>
        <v>0</v>
      </c>
      <c r="Q17" s="37">
        <f t="shared" si="1"/>
        <v>1799.9999999999998</v>
      </c>
      <c r="S17">
        <v>3.5</v>
      </c>
      <c r="X17" t="s">
        <v>3143</v>
      </c>
      <c r="AA17" t="str" cm="1">
        <f t="array" ref="AA17:AB17">_xlfn.TEXTSPLIT(X17," - ")</f>
        <v>Choi Sum Mature Head</v>
      </c>
      <c r="AB17" t="str">
        <v>Bunch</v>
      </c>
    </row>
    <row r="18" spans="2:28">
      <c r="B18" t="str">
        <v>Choi Sum Mature Head - Bunch</v>
      </c>
      <c r="C18">
        <f>SUMIF(BedPlan[[Compound Product]:[Compound Product]],$B18,BedPlan['# Of Beds])</f>
        <v>2</v>
      </c>
      <c r="D18" s="35">
        <f t="shared" si="0"/>
        <v>3.4</v>
      </c>
      <c r="E18" s="33">
        <f>SUMIF(BedPlan[[Compound Product]:[Compound Product]],$B18,BedPlan[Yield January 2025])</f>
        <v>0</v>
      </c>
      <c r="F18" s="33">
        <f>SUMIF(BedPlan[[Compound Product]:[Compound Product]],$B18,BedPlan[Yield February 2025])</f>
        <v>0</v>
      </c>
      <c r="G18" s="33">
        <f>SUMIF(BedPlan[[Compound Product]:[Compound Product]],$B18,BedPlan[Yield March 2025])</f>
        <v>0</v>
      </c>
      <c r="H18" s="33">
        <f>SUMIF(BedPlan[[Compound Product]:[Compound Product]],$B18,BedPlan[Yield April 2025])</f>
        <v>0</v>
      </c>
      <c r="I18" s="33">
        <f>SUMIF(BedPlan[[Compound Product]:[Compound Product]],$B18,BedPlan[Yield May 2025])</f>
        <v>68.965517241379317</v>
      </c>
      <c r="J18" s="33">
        <f>SUMIF(BedPlan[[Compound Product]:[Compound Product]],$B18,BedPlan[Yield June 2025])</f>
        <v>64.367816091954026</v>
      </c>
      <c r="K18" s="33">
        <f>SUMIF(BedPlan[[Compound Product]:[Compound Product]],$B18,BedPlan[Yield July 2025])</f>
        <v>0</v>
      </c>
      <c r="L18" s="33">
        <f>SUMIF(BedPlan[[Compound Product]:[Compound Product]],$B18,BedPlan[Yield August 2025])</f>
        <v>0</v>
      </c>
      <c r="M18" s="33">
        <f>SUMIF(BedPlan[[Compound Product]:[Compound Product]],$B18,BedPlan[Yield September 2025])</f>
        <v>128.73563218390805</v>
      </c>
      <c r="N18" s="33">
        <f>SUMIF(BedPlan[[Compound Product]:[Compound Product]],$B18,BedPlan[Yield October 2025])</f>
        <v>4.597701149425288</v>
      </c>
      <c r="O18" s="33">
        <f>SUMIF(BedPlan[[Compound Product]:[Compound Product]],$B18,BedPlan[Yield November 2025])</f>
        <v>0</v>
      </c>
      <c r="P18" s="33">
        <f>SUMIF(BedPlan[[Compound Product]:[Compound Product]],$B18,BedPlan[Yield December 2025])</f>
        <v>0</v>
      </c>
      <c r="Q18" s="37">
        <f t="shared" si="1"/>
        <v>266.66666666666669</v>
      </c>
      <c r="S18">
        <v>4</v>
      </c>
      <c r="X18" t="s">
        <v>3144</v>
      </c>
      <c r="AA18" t="str" cm="1">
        <f t="array" ref="AA18:AB18">_xlfn.TEXTSPLIT(X18," - ")</f>
        <v>Chrysanthemum Greens Mature Leaf</v>
      </c>
      <c r="AB18" t="str">
        <v>Bunch</v>
      </c>
    </row>
    <row r="19" spans="2:28">
      <c r="B19" t="str">
        <v>Chrysanthemum Greens Mature Leaf - Bunch</v>
      </c>
      <c r="C19">
        <f>SUMIF(BedPlan[[Compound Product]:[Compound Product]],$B19,BedPlan['# Of Beds])</f>
        <v>0.25</v>
      </c>
      <c r="D19" s="35">
        <f t="shared" si="0"/>
        <v>2.5499999999999998</v>
      </c>
      <c r="E19" s="33">
        <f>SUMIF(BedPlan[[Compound Product]:[Compound Product]],$B19,BedPlan[Yield January 2025])</f>
        <v>0</v>
      </c>
      <c r="F19" s="33">
        <f>SUMIF(BedPlan[[Compound Product]:[Compound Product]],$B19,BedPlan[Yield February 2025])</f>
        <v>0</v>
      </c>
      <c r="G19" s="33">
        <f>SUMIF(BedPlan[[Compound Product]:[Compound Product]],$B19,BedPlan[Yield March 2025])</f>
        <v>0</v>
      </c>
      <c r="H19" s="33">
        <f>SUMIF(BedPlan[[Compound Product]:[Compound Product]],$B19,BedPlan[Yield April 2025])</f>
        <v>0</v>
      </c>
      <c r="I19" s="33">
        <f>SUMIF(BedPlan[[Compound Product]:[Compound Product]],$B19,BedPlan[Yield May 2025])</f>
        <v>81.578947368421055</v>
      </c>
      <c r="J19" s="33">
        <f>SUMIF(BedPlan[[Compound Product]:[Compound Product]],$B19,BedPlan[Yield June 2025])</f>
        <v>68.421052631578945</v>
      </c>
      <c r="K19" s="33">
        <f>SUMIF(BedPlan[[Compound Product]:[Compound Product]],$B19,BedPlan[Yield July 2025])</f>
        <v>0</v>
      </c>
      <c r="L19" s="33">
        <f>SUMIF(BedPlan[[Compound Product]:[Compound Product]],$B19,BedPlan[Yield August 2025])</f>
        <v>0</v>
      </c>
      <c r="M19" s="33">
        <f>SUMIF(BedPlan[[Compound Product]:[Compound Product]],$B19,BedPlan[Yield September 2025])</f>
        <v>0</v>
      </c>
      <c r="N19" s="33">
        <f>SUMIF(BedPlan[[Compound Product]:[Compound Product]],$B19,BedPlan[Yield October 2025])</f>
        <v>0</v>
      </c>
      <c r="O19" s="33">
        <f>SUMIF(BedPlan[[Compound Product]:[Compound Product]],$B19,BedPlan[Yield November 2025])</f>
        <v>0</v>
      </c>
      <c r="P19" s="33">
        <f>SUMIF(BedPlan[[Compound Product]:[Compound Product]],$B19,BedPlan[Yield December 2025])</f>
        <v>0</v>
      </c>
      <c r="Q19" s="37">
        <f t="shared" si="1"/>
        <v>150</v>
      </c>
      <c r="S19">
        <v>3</v>
      </c>
      <c r="X19" t="s">
        <v>3145</v>
      </c>
      <c r="AA19" t="str" cm="1">
        <f t="array" ref="AA19:AB19">_xlfn.TEXTSPLIT(X19," - ")</f>
        <v>Cilantro Loose Leaf</v>
      </c>
      <c r="AB19" t="str">
        <v>Bunch</v>
      </c>
    </row>
    <row r="20" spans="2:28">
      <c r="B20" t="str">
        <v>Cilantro Loose Leaf - Bunch</v>
      </c>
      <c r="C20">
        <f>SUMIF(BedPlan[[Compound Product]:[Compound Product]],$B20,BedPlan['# Of Beds])</f>
        <v>1.75</v>
      </c>
      <c r="D20" s="35">
        <f t="shared" si="0"/>
        <v>1.7</v>
      </c>
      <c r="E20" s="33">
        <f>SUMIF(BedPlan[[Compound Product]:[Compound Product]],$B20,BedPlan[Yield January 2025])</f>
        <v>0</v>
      </c>
      <c r="F20" s="33">
        <f>SUMIF(BedPlan[[Compound Product]:[Compound Product]],$B20,BedPlan[Yield February 2025])</f>
        <v>0</v>
      </c>
      <c r="G20" s="33">
        <f>SUMIF(BedPlan[[Compound Product]:[Compound Product]],$B20,BedPlan[Yield March 2025])</f>
        <v>0</v>
      </c>
      <c r="H20" s="33">
        <f>SUMIF(BedPlan[[Compound Product]:[Compound Product]],$B20,BedPlan[Yield April 2025])</f>
        <v>0</v>
      </c>
      <c r="I20" s="33">
        <f>SUMIF(BedPlan[[Compound Product]:[Compound Product]],$B20,BedPlan[Yield May 2025])</f>
        <v>0</v>
      </c>
      <c r="J20" s="33">
        <f>SUMIF(BedPlan[[Compound Product]:[Compound Product]],$B20,BedPlan[Yield June 2025])</f>
        <v>206.66666666666669</v>
      </c>
      <c r="K20" s="33">
        <f>SUMIF(BedPlan[[Compound Product]:[Compound Product]],$B20,BedPlan[Yield July 2025])</f>
        <v>293.33333333333331</v>
      </c>
      <c r="L20" s="33">
        <f>SUMIF(BedPlan[[Compound Product]:[Compound Product]],$B20,BedPlan[Yield August 2025])</f>
        <v>100</v>
      </c>
      <c r="M20" s="33">
        <f>SUMIF(BedPlan[[Compound Product]:[Compound Product]],$B20,BedPlan[Yield September 2025])</f>
        <v>0</v>
      </c>
      <c r="N20" s="33">
        <f>SUMIF(BedPlan[[Compound Product]:[Compound Product]],$B20,BedPlan[Yield October 2025])</f>
        <v>100</v>
      </c>
      <c r="O20" s="33">
        <f>SUMIF(BedPlan[[Compound Product]:[Compound Product]],$B20,BedPlan[Yield November 2025])</f>
        <v>0</v>
      </c>
      <c r="P20" s="33">
        <f>SUMIF(BedPlan[[Compound Product]:[Compound Product]],$B20,BedPlan[Yield December 2025])</f>
        <v>0</v>
      </c>
      <c r="Q20" s="37">
        <f t="shared" si="1"/>
        <v>700</v>
      </c>
      <c r="S20">
        <v>2</v>
      </c>
      <c r="X20" t="s">
        <v>3146</v>
      </c>
      <c r="AA20" t="str" cm="1">
        <f t="array" ref="AA20:AB20">_xlfn.TEXTSPLIT(X20," - ")</f>
        <v>Corn  Mature Cob</v>
      </c>
      <c r="AB20" t="str">
        <v>Cobs</v>
      </c>
    </row>
    <row r="21" spans="2:28">
      <c r="B21" t="str">
        <v>Corn  Mature Cob - Cobs</v>
      </c>
      <c r="C21">
        <f>SUMIF(BedPlan[[Compound Product]:[Compound Product]],$B21,BedPlan['# Of Beds])</f>
        <v>2</v>
      </c>
      <c r="D21" s="35">
        <f t="shared" si="0"/>
        <v>1.9124999999999999</v>
      </c>
      <c r="E21" s="33">
        <f>SUMIF(BedPlan[[Compound Product]:[Compound Product]],$B21,BedPlan[Yield January 2025])</f>
        <v>0</v>
      </c>
      <c r="F21" s="33">
        <f>SUMIF(BedPlan[[Compound Product]:[Compound Product]],$B21,BedPlan[Yield February 2025])</f>
        <v>0</v>
      </c>
      <c r="G21" s="33">
        <f>SUMIF(BedPlan[[Compound Product]:[Compound Product]],$B21,BedPlan[Yield March 2025])</f>
        <v>0</v>
      </c>
      <c r="H21" s="33">
        <f>SUMIF(BedPlan[[Compound Product]:[Compound Product]],$B21,BedPlan[Yield April 2025])</f>
        <v>0</v>
      </c>
      <c r="I21" s="33">
        <f>SUMIF(BedPlan[[Compound Product]:[Compound Product]],$B21,BedPlan[Yield May 2025])</f>
        <v>0</v>
      </c>
      <c r="J21" s="33">
        <f>SUMIF(BedPlan[[Compound Product]:[Compound Product]],$B21,BedPlan[Yield June 2025])</f>
        <v>0</v>
      </c>
      <c r="K21" s="33">
        <f>SUMIF(BedPlan[[Compound Product]:[Compound Product]],$B21,BedPlan[Yield July 2025])</f>
        <v>0</v>
      </c>
      <c r="L21" s="33">
        <f>SUMIF(BedPlan[[Compound Product]:[Compound Product]],$B21,BedPlan[Yield August 2025])</f>
        <v>0</v>
      </c>
      <c r="M21" s="33">
        <f>SUMIF(BedPlan[[Compound Product]:[Compound Product]],$B21,BedPlan[Yield September 2025])</f>
        <v>80</v>
      </c>
      <c r="N21" s="33">
        <f>SUMIF(BedPlan[[Compound Product]:[Compound Product]],$B21,BedPlan[Yield October 2025])</f>
        <v>320</v>
      </c>
      <c r="O21" s="33">
        <f>SUMIF(BedPlan[[Compound Product]:[Compound Product]],$B21,BedPlan[Yield November 2025])</f>
        <v>0</v>
      </c>
      <c r="P21" s="33">
        <f>SUMIF(BedPlan[[Compound Product]:[Compound Product]],$B21,BedPlan[Yield December 2025])</f>
        <v>0</v>
      </c>
      <c r="Q21" s="37">
        <f t="shared" si="1"/>
        <v>400</v>
      </c>
      <c r="S21">
        <v>2.25</v>
      </c>
      <c r="X21" t="s">
        <v>3147</v>
      </c>
      <c r="AA21" t="str" cm="1">
        <f t="array" ref="AA21:AB21">_xlfn.TEXTSPLIT(X21," - ")</f>
        <v>Cucumber Large Fruit</v>
      </c>
      <c r="AB21" t="str">
        <v>Fruit</v>
      </c>
    </row>
    <row r="22" spans="2:28">
      <c r="B22" t="str">
        <v>Cucumber Large Fruit - Fruit</v>
      </c>
      <c r="C22">
        <f>SUMIF(BedPlan[[Compound Product]:[Compound Product]],$B22,BedPlan['# Of Beds])</f>
        <v>0.75</v>
      </c>
      <c r="D22" s="35">
        <f t="shared" si="0"/>
        <v>2.5499999999999998</v>
      </c>
      <c r="E22" s="33">
        <f>SUMIF(BedPlan[[Compound Product]:[Compound Product]],$B22,BedPlan[Yield January 2025])</f>
        <v>0</v>
      </c>
      <c r="F22" s="33">
        <f>SUMIF(BedPlan[[Compound Product]:[Compound Product]],$B22,BedPlan[Yield February 2025])</f>
        <v>0</v>
      </c>
      <c r="G22" s="33">
        <f>SUMIF(BedPlan[[Compound Product]:[Compound Product]],$B22,BedPlan[Yield March 2025])</f>
        <v>0</v>
      </c>
      <c r="H22" s="33">
        <f>SUMIF(BedPlan[[Compound Product]:[Compound Product]],$B22,BedPlan[Yield April 2025])</f>
        <v>0</v>
      </c>
      <c r="I22" s="33">
        <f>SUMIF(BedPlan[[Compound Product]:[Compound Product]],$B22,BedPlan[Yield May 2025])</f>
        <v>0</v>
      </c>
      <c r="J22" s="33">
        <f>SUMIF(BedPlan[[Compound Product]:[Compound Product]],$B22,BedPlan[Yield June 2025])</f>
        <v>40.431266846361176</v>
      </c>
      <c r="K22" s="33">
        <f>SUMIF(BedPlan[[Compound Product]:[Compound Product]],$B22,BedPlan[Yield July 2025])</f>
        <v>208.89487870619939</v>
      </c>
      <c r="L22" s="33">
        <f>SUMIF(BedPlan[[Compound Product]:[Compound Product]],$B22,BedPlan[Yield August 2025])</f>
        <v>208.89487870619939</v>
      </c>
      <c r="M22" s="33">
        <f>SUMIF(BedPlan[[Compound Product]:[Compound Product]],$B22,BedPlan[Yield September 2025])</f>
        <v>202.15633423180589</v>
      </c>
      <c r="N22" s="33">
        <f>SUMIF(BedPlan[[Compound Product]:[Compound Product]],$B22,BedPlan[Yield October 2025])</f>
        <v>53.908355795148232</v>
      </c>
      <c r="O22" s="33">
        <f>SUMIF(BedPlan[[Compound Product]:[Compound Product]],$B22,BedPlan[Yield November 2025])</f>
        <v>0</v>
      </c>
      <c r="P22" s="33">
        <f>SUMIF(BedPlan[[Compound Product]:[Compound Product]],$B22,BedPlan[Yield December 2025])</f>
        <v>0</v>
      </c>
      <c r="Q22" s="37">
        <f t="shared" si="1"/>
        <v>714.28571428571411</v>
      </c>
      <c r="S22">
        <v>3</v>
      </c>
      <c r="X22" t="s">
        <v>3149</v>
      </c>
      <c r="AA22" t="str" cm="1">
        <f t="array" ref="AA22:AB22">_xlfn.TEXTSPLIT(X22," - ")</f>
        <v>Cucumber Small Fruit</v>
      </c>
      <c r="AB22" t="str">
        <v>Fruit</v>
      </c>
    </row>
    <row r="23" spans="2:28">
      <c r="B23" t="str">
        <v>Cucumber Ripe Fruit - Lb</v>
      </c>
      <c r="C23">
        <f>SUMIF(BedPlan[[Compound Product]:[Compound Product]],$B23,BedPlan['# Of Beds])</f>
        <v>2</v>
      </c>
      <c r="D23" s="35">
        <f t="shared" si="0"/>
        <v>0.85</v>
      </c>
      <c r="E23" s="33">
        <f>SUMIF(BedPlan[[Compound Product]:[Compound Product]],$B23,BedPlan[Yield January 2025])</f>
        <v>0</v>
      </c>
      <c r="F23" s="33">
        <f>SUMIF(BedPlan[[Compound Product]:[Compound Product]],$B23,BedPlan[Yield February 2025])</f>
        <v>0</v>
      </c>
      <c r="G23" s="33">
        <f>SUMIF(BedPlan[[Compound Product]:[Compound Product]],$B23,BedPlan[Yield March 2025])</f>
        <v>0</v>
      </c>
      <c r="H23" s="33">
        <f>SUMIF(BedPlan[[Compound Product]:[Compound Product]],$B23,BedPlan[Yield April 2025])</f>
        <v>0</v>
      </c>
      <c r="I23" s="33">
        <f>SUMIF(BedPlan[[Compound Product]:[Compound Product]],$B23,BedPlan[Yield May 2025])</f>
        <v>0</v>
      </c>
      <c r="J23" s="33">
        <f>SUMIF(BedPlan[[Compound Product]:[Compound Product]],$B23,BedPlan[Yield June 2025])</f>
        <v>0</v>
      </c>
      <c r="K23" s="33">
        <f>SUMIF(BedPlan[[Compound Product]:[Compound Product]],$B23,BedPlan[Yield July 2025])</f>
        <v>249.23076923076923</v>
      </c>
      <c r="L23" s="33">
        <f>SUMIF(BedPlan[[Compound Product]:[Compound Product]],$B23,BedPlan[Yield August 2025])</f>
        <v>286.15384615384613</v>
      </c>
      <c r="M23" s="33">
        <f>SUMIF(BedPlan[[Compound Product]:[Compound Product]],$B23,BedPlan[Yield September 2025])</f>
        <v>184.61538461538458</v>
      </c>
      <c r="N23" s="33">
        <f>SUMIF(BedPlan[[Compound Product]:[Compound Product]],$B23,BedPlan[Yield October 2025])</f>
        <v>0</v>
      </c>
      <c r="O23" s="33">
        <f>SUMIF(BedPlan[[Compound Product]:[Compound Product]],$B23,BedPlan[Yield November 2025])</f>
        <v>0</v>
      </c>
      <c r="P23" s="33">
        <f>SUMIF(BedPlan[[Compound Product]:[Compound Product]],$B23,BedPlan[Yield December 2025])</f>
        <v>0</v>
      </c>
      <c r="Q23" s="37">
        <f t="shared" si="1"/>
        <v>720</v>
      </c>
      <c r="S23">
        <v>1</v>
      </c>
      <c r="X23" t="s">
        <v>3148</v>
      </c>
      <c r="AA23" t="str" cm="1">
        <f t="array" ref="AA23:AB23">_xlfn.TEXTSPLIT(X23," - ")</f>
        <v>Cucumber Ripe Fruit</v>
      </c>
      <c r="AB23" t="str">
        <v>Lb</v>
      </c>
    </row>
    <row r="24" spans="2:28">
      <c r="B24" t="str">
        <v>Cucumber Small Fruit - Fruit</v>
      </c>
      <c r="C24">
        <f>SUMIF(BedPlan[[Compound Product]:[Compound Product]],$B24,BedPlan['# Of Beds])</f>
        <v>0.25</v>
      </c>
      <c r="D24" s="35">
        <f t="shared" si="0"/>
        <v>2.5499999999999998</v>
      </c>
      <c r="E24" s="33">
        <f>SUMIF(BedPlan[[Compound Product]:[Compound Product]],$B24,BedPlan[Yield January 2025])</f>
        <v>0</v>
      </c>
      <c r="F24" s="33">
        <f>SUMIF(BedPlan[[Compound Product]:[Compound Product]],$B24,BedPlan[Yield February 2025])</f>
        <v>0</v>
      </c>
      <c r="G24" s="33">
        <f>SUMIF(BedPlan[[Compound Product]:[Compound Product]],$B24,BedPlan[Yield March 2025])</f>
        <v>0</v>
      </c>
      <c r="H24" s="33">
        <f>SUMIF(BedPlan[[Compound Product]:[Compound Product]],$B24,BedPlan[Yield April 2025])</f>
        <v>0</v>
      </c>
      <c r="I24" s="33">
        <f>SUMIF(BedPlan[[Compound Product]:[Compound Product]],$B24,BedPlan[Yield May 2025])</f>
        <v>0</v>
      </c>
      <c r="J24" s="33">
        <f>SUMIF(BedPlan[[Compound Product]:[Compound Product]],$B24,BedPlan[Yield June 2025])</f>
        <v>40.431266846361183</v>
      </c>
      <c r="K24" s="33">
        <f>SUMIF(BedPlan[[Compound Product]:[Compound Product]],$B24,BedPlan[Yield July 2025])</f>
        <v>208.89487870619942</v>
      </c>
      <c r="L24" s="33">
        <f>SUMIF(BedPlan[[Compound Product]:[Compound Product]],$B24,BedPlan[Yield August 2025])</f>
        <v>208.89487870619942</v>
      </c>
      <c r="M24" s="33">
        <f>SUMIF(BedPlan[[Compound Product]:[Compound Product]],$B24,BedPlan[Yield September 2025])</f>
        <v>202.15633423180591</v>
      </c>
      <c r="N24" s="33">
        <f>SUMIF(BedPlan[[Compound Product]:[Compound Product]],$B24,BedPlan[Yield October 2025])</f>
        <v>53.908355795148239</v>
      </c>
      <c r="O24" s="33">
        <f>SUMIF(BedPlan[[Compound Product]:[Compound Product]],$B24,BedPlan[Yield November 2025])</f>
        <v>0</v>
      </c>
      <c r="P24" s="33">
        <f>SUMIF(BedPlan[[Compound Product]:[Compound Product]],$B24,BedPlan[Yield December 2025])</f>
        <v>0</v>
      </c>
      <c r="Q24" s="37">
        <f t="shared" si="1"/>
        <v>714.28571428571422</v>
      </c>
      <c r="S24">
        <v>3</v>
      </c>
      <c r="X24" t="s">
        <v>3150</v>
      </c>
      <c r="AA24" t="str" cm="1">
        <f t="array" ref="AA24:AB24">_xlfn.TEXTSPLIT(X24," - ")</f>
        <v>Dill Mature Leaf</v>
      </c>
      <c r="AB24" t="str">
        <v>Bunch</v>
      </c>
    </row>
    <row r="25" spans="2:28">
      <c r="B25" t="str">
        <v>Dahlia Cut Flower - Stem</v>
      </c>
      <c r="C25">
        <f>SUMIF(BedPlan[[Compound Product]:[Compound Product]],$B25,BedPlan['# Of Beds])</f>
        <v>4</v>
      </c>
      <c r="D25" s="35">
        <f t="shared" si="0"/>
        <v>5.0999999999999996</v>
      </c>
      <c r="E25" s="33">
        <f>SUMIF(BedPlan[[Compound Product]:[Compound Product]],$B25,BedPlan[Yield January 2025])</f>
        <v>0</v>
      </c>
      <c r="F25" s="33">
        <f>SUMIF(BedPlan[[Compound Product]:[Compound Product]],$B25,BedPlan[Yield February 2025])</f>
        <v>0</v>
      </c>
      <c r="G25" s="33">
        <f>SUMIF(BedPlan[[Compound Product]:[Compound Product]],$B25,BedPlan[Yield March 2025])</f>
        <v>0</v>
      </c>
      <c r="H25" s="33">
        <f>SUMIF(BedPlan[[Compound Product]:[Compound Product]],$B25,BedPlan[Yield April 2025])</f>
        <v>0</v>
      </c>
      <c r="I25" s="33">
        <f>SUMIF(BedPlan[[Compound Product]:[Compound Product]],$B25,BedPlan[Yield May 2025])</f>
        <v>0</v>
      </c>
      <c r="J25" s="33">
        <f>SUMIF(BedPlan[[Compound Product]:[Compound Product]],$B25,BedPlan[Yield June 2025])</f>
        <v>0</v>
      </c>
      <c r="K25" s="33">
        <f>SUMIF(BedPlan[[Compound Product]:[Compound Product]],$B25,BedPlan[Yield July 2025])</f>
        <v>0</v>
      </c>
      <c r="L25" s="33">
        <f>SUMIF(BedPlan[[Compound Product]:[Compound Product]],$B25,BedPlan[Yield August 2025])</f>
        <v>0</v>
      </c>
      <c r="M25" s="33">
        <f>SUMIF(BedPlan[[Compound Product]:[Compound Product]],$B25,BedPlan[Yield September 2025])</f>
        <v>0</v>
      </c>
      <c r="N25" s="33">
        <f>SUMIF(BedPlan[[Compound Product]:[Compound Product]],$B25,BedPlan[Yield October 2025])</f>
        <v>0</v>
      </c>
      <c r="O25" s="33">
        <f>SUMIF(BedPlan[[Compound Product]:[Compound Product]],$B25,BedPlan[Yield November 2025])</f>
        <v>0</v>
      </c>
      <c r="P25" s="33">
        <f>SUMIF(BedPlan[[Compound Product]:[Compound Product]],$B25,BedPlan[Yield December 2025])</f>
        <v>0</v>
      </c>
      <c r="Q25" s="37">
        <f t="shared" si="1"/>
        <v>0</v>
      </c>
      <c r="S25">
        <v>6</v>
      </c>
      <c r="X25" t="s">
        <v>3151</v>
      </c>
      <c r="AA25" t="str" cm="1">
        <f t="array" ref="AA25:AB25">_xlfn.TEXTSPLIT(X25," - ")</f>
        <v>Fava Bean Mature Pod</v>
      </c>
      <c r="AB25" t="str">
        <v>Lb</v>
      </c>
    </row>
    <row r="26" spans="2:28">
      <c r="B26" t="str">
        <v>Dill Mature Leaf - Bunch</v>
      </c>
      <c r="C26">
        <f>SUMIF(BedPlan[[Compound Product]:[Compound Product]],$B26,BedPlan['# Of Beds])</f>
        <v>1.25</v>
      </c>
      <c r="D26" s="35">
        <f t="shared" si="0"/>
        <v>1.4195</v>
      </c>
      <c r="E26" s="33">
        <f>SUMIF(BedPlan[[Compound Product]:[Compound Product]],$B26,BedPlan[Yield January 2025])</f>
        <v>0</v>
      </c>
      <c r="F26" s="33">
        <f>SUMIF(BedPlan[[Compound Product]:[Compound Product]],$B26,BedPlan[Yield February 2025])</f>
        <v>0</v>
      </c>
      <c r="G26" s="33">
        <f>SUMIF(BedPlan[[Compound Product]:[Compound Product]],$B26,BedPlan[Yield March 2025])</f>
        <v>0</v>
      </c>
      <c r="H26" s="33">
        <f>SUMIF(BedPlan[[Compound Product]:[Compound Product]],$B26,BedPlan[Yield April 2025])</f>
        <v>0</v>
      </c>
      <c r="I26" s="33">
        <f>SUMIF(BedPlan[[Compound Product]:[Compound Product]],$B26,BedPlan[Yield May 2025])</f>
        <v>0</v>
      </c>
      <c r="J26" s="33">
        <f>SUMIF(BedPlan[[Compound Product]:[Compound Product]],$B26,BedPlan[Yield June 2025])</f>
        <v>293.33333333333337</v>
      </c>
      <c r="K26" s="33">
        <f>SUMIF(BedPlan[[Compound Product]:[Compound Product]],$B26,BedPlan[Yield July 2025])</f>
        <v>337.77777777777777</v>
      </c>
      <c r="L26" s="33">
        <f>SUMIF(BedPlan[[Compound Product]:[Compound Product]],$B26,BedPlan[Yield August 2025])</f>
        <v>168.88888888888891</v>
      </c>
      <c r="M26" s="33">
        <f>SUMIF(BedPlan[[Compound Product]:[Compound Product]],$B26,BedPlan[Yield September 2025])</f>
        <v>0</v>
      </c>
      <c r="N26" s="33">
        <f>SUMIF(BedPlan[[Compound Product]:[Compound Product]],$B26,BedPlan[Yield October 2025])</f>
        <v>0</v>
      </c>
      <c r="O26" s="33">
        <f>SUMIF(BedPlan[[Compound Product]:[Compound Product]],$B26,BedPlan[Yield November 2025])</f>
        <v>0</v>
      </c>
      <c r="P26" s="33">
        <f>SUMIF(BedPlan[[Compound Product]:[Compound Product]],$B26,BedPlan[Yield December 2025])</f>
        <v>0</v>
      </c>
      <c r="Q26" s="37">
        <f t="shared" si="1"/>
        <v>800</v>
      </c>
      <c r="S26">
        <v>1.67</v>
      </c>
      <c r="X26" t="s">
        <v>3152</v>
      </c>
      <c r="AA26" t="str" cm="1">
        <f t="array" ref="AA26:AB26">_xlfn.TEXTSPLIT(X26," - ")</f>
        <v>Fennel Mini Bulb</v>
      </c>
      <c r="AB26" t="str">
        <v>Bulb</v>
      </c>
    </row>
    <row r="27" spans="2:28">
      <c r="B27" t="str">
        <v>Fava Bean Mature Pod - Lb</v>
      </c>
      <c r="C27">
        <f>SUMIF(BedPlan[[Compound Product]:[Compound Product]],$B27,BedPlan['# Of Beds])</f>
        <v>1</v>
      </c>
      <c r="D27" s="35">
        <f t="shared" si="0"/>
        <v>15.299999999999999</v>
      </c>
      <c r="E27" s="33">
        <f>SUMIF(BedPlan[[Compound Product]:[Compound Product]],$B27,BedPlan[Yield January 2025])</f>
        <v>0</v>
      </c>
      <c r="F27" s="33">
        <f>SUMIF(BedPlan[[Compound Product]:[Compound Product]],$B27,BedPlan[Yield February 2025])</f>
        <v>0</v>
      </c>
      <c r="G27" s="33">
        <f>SUMIF(BedPlan[[Compound Product]:[Compound Product]],$B27,BedPlan[Yield March 2025])</f>
        <v>0</v>
      </c>
      <c r="H27" s="33">
        <f>SUMIF(BedPlan[[Compound Product]:[Compound Product]],$B27,BedPlan[Yield April 2025])</f>
        <v>0</v>
      </c>
      <c r="I27" s="33">
        <f>SUMIF(BedPlan[[Compound Product]:[Compound Product]],$B27,BedPlan[Yield May 2025])</f>
        <v>0</v>
      </c>
      <c r="J27" s="33">
        <f>SUMIF(BedPlan[[Compound Product]:[Compound Product]],$B27,BedPlan[Yield June 2025])</f>
        <v>50</v>
      </c>
      <c r="K27" s="33">
        <f>SUMIF(BedPlan[[Compound Product]:[Compound Product]],$B27,BedPlan[Yield July 2025])</f>
        <v>50</v>
      </c>
      <c r="L27" s="33">
        <f>SUMIF(BedPlan[[Compound Product]:[Compound Product]],$B27,BedPlan[Yield August 2025])</f>
        <v>0</v>
      </c>
      <c r="M27" s="33">
        <f>SUMIF(BedPlan[[Compound Product]:[Compound Product]],$B27,BedPlan[Yield September 2025])</f>
        <v>0</v>
      </c>
      <c r="N27" s="33">
        <f>SUMIF(BedPlan[[Compound Product]:[Compound Product]],$B27,BedPlan[Yield October 2025])</f>
        <v>0</v>
      </c>
      <c r="O27" s="33">
        <f>SUMIF(BedPlan[[Compound Product]:[Compound Product]],$B27,BedPlan[Yield November 2025])</f>
        <v>0</v>
      </c>
      <c r="P27" s="33">
        <f>SUMIF(BedPlan[[Compound Product]:[Compound Product]],$B27,BedPlan[Yield December 2025])</f>
        <v>0</v>
      </c>
      <c r="Q27" s="37">
        <f t="shared" si="1"/>
        <v>100</v>
      </c>
      <c r="S27">
        <v>18</v>
      </c>
      <c r="X27" t="s">
        <v>3153</v>
      </c>
      <c r="AA27" t="str" cm="1">
        <f t="array" ref="AA27:AB27">_xlfn.TEXTSPLIT(X27," - ")</f>
        <v>Garlic Storage Bulb</v>
      </c>
      <c r="AB27" t="str">
        <v>Lb</v>
      </c>
    </row>
    <row r="28" spans="2:28">
      <c r="B28" t="str">
        <v>Fennel Mini Bulb - Bulb</v>
      </c>
      <c r="C28">
        <f>SUMIF(BedPlan[[Compound Product]:[Compound Product]],$B28,BedPlan['# Of Beds])</f>
        <v>1</v>
      </c>
      <c r="D28" s="35">
        <f t="shared" si="0"/>
        <v>4.25</v>
      </c>
      <c r="E28" s="33">
        <f>SUMIF(BedPlan[[Compound Product]:[Compound Product]],$B28,BedPlan[Yield January 2025])</f>
        <v>0</v>
      </c>
      <c r="F28" s="33">
        <f>SUMIF(BedPlan[[Compound Product]:[Compound Product]],$B28,BedPlan[Yield February 2025])</f>
        <v>0</v>
      </c>
      <c r="G28" s="33">
        <f>SUMIF(BedPlan[[Compound Product]:[Compound Product]],$B28,BedPlan[Yield March 2025])</f>
        <v>0</v>
      </c>
      <c r="H28" s="33">
        <f>SUMIF(BedPlan[[Compound Product]:[Compound Product]],$B28,BedPlan[Yield April 2025])</f>
        <v>0</v>
      </c>
      <c r="I28" s="33">
        <f>SUMIF(BedPlan[[Compound Product]:[Compound Product]],$B28,BedPlan[Yield May 2025])</f>
        <v>0</v>
      </c>
      <c r="J28" s="33">
        <f>SUMIF(BedPlan[[Compound Product]:[Compound Product]],$B28,BedPlan[Yield June 2025])</f>
        <v>400</v>
      </c>
      <c r="K28" s="33">
        <f>SUMIF(BedPlan[[Compound Product]:[Compound Product]],$B28,BedPlan[Yield July 2025])</f>
        <v>0</v>
      </c>
      <c r="L28" s="33">
        <f>SUMIF(BedPlan[[Compound Product]:[Compound Product]],$B28,BedPlan[Yield August 2025])</f>
        <v>0</v>
      </c>
      <c r="M28" s="33">
        <f>SUMIF(BedPlan[[Compound Product]:[Compound Product]],$B28,BedPlan[Yield September 2025])</f>
        <v>0</v>
      </c>
      <c r="N28" s="33">
        <f>SUMIF(BedPlan[[Compound Product]:[Compound Product]],$B28,BedPlan[Yield October 2025])</f>
        <v>0</v>
      </c>
      <c r="O28" s="33">
        <f>SUMIF(BedPlan[[Compound Product]:[Compound Product]],$B28,BedPlan[Yield November 2025])</f>
        <v>0</v>
      </c>
      <c r="P28" s="33">
        <f>SUMIF(BedPlan[[Compound Product]:[Compound Product]],$B28,BedPlan[Yield December 2025])</f>
        <v>0</v>
      </c>
      <c r="Q28" s="37">
        <f t="shared" si="1"/>
        <v>400</v>
      </c>
      <c r="S28">
        <v>5</v>
      </c>
      <c r="X28" t="s">
        <v>3154</v>
      </c>
      <c r="AA28" t="str" cm="1">
        <f t="array" ref="AA28:AB28">_xlfn.TEXTSPLIT(X28," - ")</f>
        <v>Garlic Young Bulb</v>
      </c>
      <c r="AB28" t="str">
        <v>Bunch</v>
      </c>
    </row>
    <row r="29" spans="2:28">
      <c r="B29" t="str">
        <v>Garlic Young Bulb - Bunch</v>
      </c>
      <c r="C29">
        <f>SUMIF(BedPlan[[Compound Product]:[Compound Product]],$B29,BedPlan['# Of Beds])</f>
        <v>1</v>
      </c>
      <c r="D29" s="35">
        <f t="shared" si="0"/>
        <v>6.8</v>
      </c>
      <c r="E29" s="33">
        <f>SUMIF(BedPlan[[Compound Product]:[Compound Product]],$B29,BedPlan[Yield January 2025])</f>
        <v>0</v>
      </c>
      <c r="F29" s="33">
        <f>SUMIF(BedPlan[[Compound Product]:[Compound Product]],$B29,BedPlan[Yield February 2025])</f>
        <v>0</v>
      </c>
      <c r="G29" s="33">
        <f>SUMIF(BedPlan[[Compound Product]:[Compound Product]],$B29,BedPlan[Yield March 2025])</f>
        <v>0</v>
      </c>
      <c r="H29" s="33">
        <f>SUMIF(BedPlan[[Compound Product]:[Compound Product]],$B29,BedPlan[Yield April 2025])</f>
        <v>0</v>
      </c>
      <c r="I29" s="33">
        <f>SUMIF(BedPlan[[Compound Product]:[Compound Product]],$B29,BedPlan[Yield May 2025])</f>
        <v>128.57142857142858</v>
      </c>
      <c r="J29" s="33">
        <f>SUMIF(BedPlan[[Compound Product]:[Compound Product]],$B29,BedPlan[Yield June 2025])</f>
        <v>0</v>
      </c>
      <c r="K29" s="33">
        <f>SUMIF(BedPlan[[Compound Product]:[Compound Product]],$B29,BedPlan[Yield July 2025])</f>
        <v>0</v>
      </c>
      <c r="L29" s="33">
        <f>SUMIF(BedPlan[[Compound Product]:[Compound Product]],$B29,BedPlan[Yield August 2025])</f>
        <v>0</v>
      </c>
      <c r="M29" s="33">
        <f>SUMIF(BedPlan[[Compound Product]:[Compound Product]],$B29,BedPlan[Yield September 2025])</f>
        <v>0</v>
      </c>
      <c r="N29" s="33">
        <f>SUMIF(BedPlan[[Compound Product]:[Compound Product]],$B29,BedPlan[Yield October 2025])</f>
        <v>0</v>
      </c>
      <c r="O29" s="33">
        <f>SUMIF(BedPlan[[Compound Product]:[Compound Product]],$B29,BedPlan[Yield November 2025])</f>
        <v>0</v>
      </c>
      <c r="P29" s="33">
        <f>SUMIF(BedPlan[[Compound Product]:[Compound Product]],$B29,BedPlan[Yield December 2025])</f>
        <v>0</v>
      </c>
      <c r="Q29" s="37">
        <f t="shared" si="1"/>
        <v>128.57142857142858</v>
      </c>
      <c r="S29">
        <v>8</v>
      </c>
      <c r="X29" t="s">
        <v>3155</v>
      </c>
      <c r="AA29" t="str" cm="1">
        <f t="array" ref="AA29:AB29">_xlfn.TEXTSPLIT(X29," - ")</f>
        <v>Gooseberry Mature Berry</v>
      </c>
      <c r="AB29" t="str">
        <v>Pint</v>
      </c>
    </row>
    <row r="30" spans="2:28">
      <c r="B30" t="str">
        <v>Garlic Storage Bulb - Lb</v>
      </c>
      <c r="C30">
        <f>SUMIF(BedPlan[[Compound Product]:[Compound Product]],$B30,BedPlan['# Of Beds])</f>
        <v>3</v>
      </c>
      <c r="D30" s="35">
        <f t="shared" si="0"/>
        <v>2.5499999999999998</v>
      </c>
      <c r="E30" s="33">
        <f>SUMIF(BedPlan[[Compound Product]:[Compound Product]],$B30,BedPlan[Yield January 2025])</f>
        <v>0</v>
      </c>
      <c r="F30" s="33">
        <f>SUMIF(BedPlan[[Compound Product]:[Compound Product]],$B30,BedPlan[Yield February 2025])</f>
        <v>0</v>
      </c>
      <c r="G30" s="33">
        <f>SUMIF(BedPlan[[Compound Product]:[Compound Product]],$B30,BedPlan[Yield March 2025])</f>
        <v>0</v>
      </c>
      <c r="H30" s="33">
        <f>SUMIF(BedPlan[[Compound Product]:[Compound Product]],$B30,BedPlan[Yield April 2025])</f>
        <v>0</v>
      </c>
      <c r="I30" s="33">
        <f>SUMIF(BedPlan[[Compound Product]:[Compound Product]],$B30,BedPlan[Yield May 2025])</f>
        <v>0</v>
      </c>
      <c r="J30" s="33">
        <f>SUMIF(BedPlan[[Compound Product]:[Compound Product]],$B30,BedPlan[Yield June 2025])</f>
        <v>128.57142857142856</v>
      </c>
      <c r="K30" s="33">
        <f>SUMIF(BedPlan[[Compound Product]:[Compound Product]],$B30,BedPlan[Yield July 2025])</f>
        <v>0</v>
      </c>
      <c r="L30" s="33">
        <f>SUMIF(BedPlan[[Compound Product]:[Compound Product]],$B30,BedPlan[Yield August 2025])</f>
        <v>0</v>
      </c>
      <c r="M30" s="33">
        <f>SUMIF(BedPlan[[Compound Product]:[Compound Product]],$B30,BedPlan[Yield September 2025])</f>
        <v>0</v>
      </c>
      <c r="N30" s="33">
        <f>SUMIF(BedPlan[[Compound Product]:[Compound Product]],$B30,BedPlan[Yield October 2025])</f>
        <v>0</v>
      </c>
      <c r="O30" s="33">
        <f>SUMIF(BedPlan[[Compound Product]:[Compound Product]],$B30,BedPlan[Yield November 2025])</f>
        <v>0</v>
      </c>
      <c r="P30" s="33">
        <f>SUMIF(BedPlan[[Compound Product]:[Compound Product]],$B30,BedPlan[Yield December 2025])</f>
        <v>0</v>
      </c>
      <c r="Q30" s="37">
        <f t="shared" si="1"/>
        <v>128.57142857142856</v>
      </c>
      <c r="S30">
        <v>3</v>
      </c>
      <c r="X30" t="s">
        <v>3156</v>
      </c>
      <c r="AA30" t="str" cm="1">
        <f t="array" ref="AA30:AB30">_xlfn.TEXTSPLIT(X30," - ")</f>
        <v>Kale Mature Leaf</v>
      </c>
      <c r="AB30" t="str">
        <v>Bunch</v>
      </c>
    </row>
    <row r="31" spans="2:28">
      <c r="B31" t="str">
        <v>Gooseberry Mature Berry - Pint</v>
      </c>
      <c r="C31">
        <f>SUMIF(BedPlan[[Compound Product]:[Compound Product]],$B31,BedPlan['# Of Beds])</f>
        <v>0.5</v>
      </c>
      <c r="D31" s="35">
        <f t="shared" si="0"/>
        <v>1.7</v>
      </c>
      <c r="E31" s="33">
        <f>SUMIF(BedPlan[[Compound Product]:[Compound Product]],$B31,BedPlan[Yield January 2025])</f>
        <v>0</v>
      </c>
      <c r="F31" s="33">
        <f>SUMIF(BedPlan[[Compound Product]:[Compound Product]],$B31,BedPlan[Yield February 2025])</f>
        <v>0</v>
      </c>
      <c r="G31" s="33">
        <f>SUMIF(BedPlan[[Compound Product]:[Compound Product]],$B31,BedPlan[Yield March 2025])</f>
        <v>0</v>
      </c>
      <c r="H31" s="33">
        <f>SUMIF(BedPlan[[Compound Product]:[Compound Product]],$B31,BedPlan[Yield April 2025])</f>
        <v>0</v>
      </c>
      <c r="I31" s="33">
        <f>SUMIF(BedPlan[[Compound Product]:[Compound Product]],$B31,BedPlan[Yield May 2025])</f>
        <v>0</v>
      </c>
      <c r="J31" s="33">
        <f>SUMIF(BedPlan[[Compound Product]:[Compound Product]],$B31,BedPlan[Yield June 2025])</f>
        <v>0</v>
      </c>
      <c r="K31" s="33">
        <f>SUMIF(BedPlan[[Compound Product]:[Compound Product]],$B31,BedPlan[Yield July 2025])</f>
        <v>0</v>
      </c>
      <c r="L31" s="33">
        <f>SUMIF(BedPlan[[Compound Product]:[Compound Product]],$B31,BedPlan[Yield August 2025])</f>
        <v>0</v>
      </c>
      <c r="M31" s="33">
        <f>SUMIF(BedPlan[[Compound Product]:[Compound Product]],$B31,BedPlan[Yield September 2025])</f>
        <v>20.202020202020204</v>
      </c>
      <c r="N31" s="33">
        <f>SUMIF(BedPlan[[Compound Product]:[Compound Product]],$B31,BedPlan[Yield October 2025])</f>
        <v>25.050505050505052</v>
      </c>
      <c r="O31" s="33">
        <f>SUMIF(BedPlan[[Compound Product]:[Compound Product]],$B31,BedPlan[Yield November 2025])</f>
        <v>24.242424242424242</v>
      </c>
      <c r="P31" s="33">
        <f>SUMIF(BedPlan[[Compound Product]:[Compound Product]],$B31,BedPlan[Yield December 2025])</f>
        <v>10.505050505050505</v>
      </c>
      <c r="Q31" s="37">
        <f t="shared" si="1"/>
        <v>80.000000000000014</v>
      </c>
      <c r="S31">
        <v>2</v>
      </c>
      <c r="X31" t="s">
        <v>3157</v>
      </c>
      <c r="AA31" t="str" cm="1">
        <f t="array" ref="AA31:AB31">_xlfn.TEXTSPLIT(X31," - ")</f>
        <v>Kohlrabi Storage Bulb</v>
      </c>
      <c r="AB31" t="str">
        <v>Bulb</v>
      </c>
    </row>
    <row r="32" spans="2:28">
      <c r="B32" t="str">
        <v>Kale Mature Leaf - Bunch</v>
      </c>
      <c r="C32">
        <f>SUMIF(BedPlan[[Compound Product]:[Compound Product]],$B32,BedPlan['# Of Beds])</f>
        <v>2</v>
      </c>
      <c r="D32" s="35">
        <f t="shared" si="0"/>
        <v>4.25</v>
      </c>
      <c r="E32" s="33">
        <f>SUMIF(BedPlan[[Compound Product]:[Compound Product]],$B32,BedPlan[Yield January 2025])</f>
        <v>0</v>
      </c>
      <c r="F32" s="33">
        <f>SUMIF(BedPlan[[Compound Product]:[Compound Product]],$B32,BedPlan[Yield February 2025])</f>
        <v>0</v>
      </c>
      <c r="G32" s="33">
        <f>SUMIF(BedPlan[[Compound Product]:[Compound Product]],$B32,BedPlan[Yield March 2025])</f>
        <v>0</v>
      </c>
      <c r="H32" s="33">
        <f>SUMIF(BedPlan[[Compound Product]:[Compound Product]],$B32,BedPlan[Yield April 2025])</f>
        <v>0</v>
      </c>
      <c r="I32" s="33">
        <f>SUMIF(BedPlan[[Compound Product]:[Compound Product]],$B32,BedPlan[Yield May 2025])</f>
        <v>0</v>
      </c>
      <c r="J32" s="33">
        <f>SUMIF(BedPlan[[Compound Product]:[Compound Product]],$B32,BedPlan[Yield June 2025])</f>
        <v>9.3567251461988281</v>
      </c>
      <c r="K32" s="33">
        <f>SUMIF(BedPlan[[Compound Product]:[Compound Product]],$B32,BedPlan[Yield July 2025])</f>
        <v>290.05847953216369</v>
      </c>
      <c r="L32" s="33">
        <f>SUMIF(BedPlan[[Compound Product]:[Compound Product]],$B32,BedPlan[Yield August 2025])</f>
        <v>233.9181286549707</v>
      </c>
      <c r="M32" s="33">
        <f>SUMIF(BedPlan[[Compound Product]:[Compound Product]],$B32,BedPlan[Yield September 2025])</f>
        <v>0</v>
      </c>
      <c r="N32" s="33">
        <f>SUMIF(BedPlan[[Compound Product]:[Compound Product]],$B32,BedPlan[Yield October 2025])</f>
        <v>0</v>
      </c>
      <c r="O32" s="33">
        <f>SUMIF(BedPlan[[Compound Product]:[Compound Product]],$B32,BedPlan[Yield November 2025])</f>
        <v>0</v>
      </c>
      <c r="P32" s="33">
        <f>SUMIF(BedPlan[[Compound Product]:[Compound Product]],$B32,BedPlan[Yield December 2025])</f>
        <v>0</v>
      </c>
      <c r="Q32" s="37">
        <f t="shared" si="1"/>
        <v>533.33333333333326</v>
      </c>
      <c r="S32">
        <v>5</v>
      </c>
      <c r="X32" t="s">
        <v>3158</v>
      </c>
      <c r="AA32" t="str" cm="1">
        <f t="array" ref="AA32:AB32">_xlfn.TEXTSPLIT(X32," - ")</f>
        <v>Leek Mature Stalk</v>
      </c>
      <c r="AB32" t="str">
        <v>Bunch</v>
      </c>
    </row>
    <row r="33" spans="2:28">
      <c r="B33" t="str">
        <v>Kohlrabi Storage Bulb - Bulb</v>
      </c>
      <c r="C33">
        <f>SUMIF(BedPlan[[Compound Product]:[Compound Product]],$B33,BedPlan['# Of Beds])</f>
        <v>2</v>
      </c>
      <c r="D33" s="35">
        <f t="shared" si="0"/>
        <v>2.5499999999999998</v>
      </c>
      <c r="E33" s="33">
        <f>SUMIF(BedPlan[[Compound Product]:[Compound Product]],$B33,BedPlan[Yield January 2025])</f>
        <v>0</v>
      </c>
      <c r="F33" s="33">
        <f>SUMIF(BedPlan[[Compound Product]:[Compound Product]],$B33,BedPlan[Yield February 2025])</f>
        <v>0</v>
      </c>
      <c r="G33" s="33">
        <f>SUMIF(BedPlan[[Compound Product]:[Compound Product]],$B33,BedPlan[Yield March 2025])</f>
        <v>0</v>
      </c>
      <c r="H33" s="33">
        <f>SUMIF(BedPlan[[Compound Product]:[Compound Product]],$B33,BedPlan[Yield April 2025])</f>
        <v>0</v>
      </c>
      <c r="I33" s="33">
        <f>SUMIF(BedPlan[[Compound Product]:[Compound Product]],$B33,BedPlan[Yield May 2025])</f>
        <v>260</v>
      </c>
      <c r="J33" s="33">
        <f>SUMIF(BedPlan[[Compound Product]:[Compound Product]],$B33,BedPlan[Yield June 2025])</f>
        <v>40</v>
      </c>
      <c r="K33" s="33">
        <f>SUMIF(BedPlan[[Compound Product]:[Compound Product]],$B33,BedPlan[Yield July 2025])</f>
        <v>0</v>
      </c>
      <c r="L33" s="33">
        <f>SUMIF(BedPlan[[Compound Product]:[Compound Product]],$B33,BedPlan[Yield August 2025])</f>
        <v>0</v>
      </c>
      <c r="M33" s="33">
        <f>SUMIF(BedPlan[[Compound Product]:[Compound Product]],$B33,BedPlan[Yield September 2025])</f>
        <v>300</v>
      </c>
      <c r="N33" s="33">
        <f>SUMIF(BedPlan[[Compound Product]:[Compound Product]],$B33,BedPlan[Yield October 2025])</f>
        <v>0</v>
      </c>
      <c r="O33" s="33">
        <f>SUMIF(BedPlan[[Compound Product]:[Compound Product]],$B33,BedPlan[Yield November 2025])</f>
        <v>0</v>
      </c>
      <c r="P33" s="33">
        <f>SUMIF(BedPlan[[Compound Product]:[Compound Product]],$B33,BedPlan[Yield December 2025])</f>
        <v>0</v>
      </c>
      <c r="Q33" s="37">
        <f t="shared" si="1"/>
        <v>600</v>
      </c>
      <c r="S33">
        <v>3</v>
      </c>
      <c r="X33" t="s">
        <v>3159</v>
      </c>
      <c r="AA33" t="str" cm="1">
        <f t="array" ref="AA33:AB33">_xlfn.TEXTSPLIT(X33," - ")</f>
        <v>Lemongrass Mature Stalks</v>
      </c>
      <c r="AB33" t="str">
        <v>Bunch</v>
      </c>
    </row>
    <row r="34" spans="2:28">
      <c r="B34" t="str">
        <v>Leek Mature Stalk - Bunch</v>
      </c>
      <c r="C34">
        <f>SUMIF(BedPlan[[Compound Product]:[Compound Product]],$B34,BedPlan['# Of Beds])</f>
        <v>2</v>
      </c>
      <c r="D34" s="35">
        <f t="shared" si="0"/>
        <v>8.5</v>
      </c>
      <c r="E34" s="33">
        <f>SUMIF(BedPlan[[Compound Product]:[Compound Product]],$B34,BedPlan[Yield January 2025])</f>
        <v>0</v>
      </c>
      <c r="F34" s="33">
        <f>SUMIF(BedPlan[[Compound Product]:[Compound Product]],$B34,BedPlan[Yield February 2025])</f>
        <v>0</v>
      </c>
      <c r="G34" s="33">
        <f>SUMIF(BedPlan[[Compound Product]:[Compound Product]],$B34,BedPlan[Yield March 2025])</f>
        <v>0</v>
      </c>
      <c r="H34" s="33">
        <f>SUMIF(BedPlan[[Compound Product]:[Compound Product]],$B34,BedPlan[Yield April 2025])</f>
        <v>0</v>
      </c>
      <c r="I34" s="33">
        <f>SUMIF(BedPlan[[Compound Product]:[Compound Product]],$B34,BedPlan[Yield May 2025])</f>
        <v>0</v>
      </c>
      <c r="J34" s="33">
        <f>SUMIF(BedPlan[[Compound Product]:[Compound Product]],$B34,BedPlan[Yield June 2025])</f>
        <v>0</v>
      </c>
      <c r="K34" s="33">
        <f>SUMIF(BedPlan[[Compound Product]:[Compound Product]],$B34,BedPlan[Yield July 2025])</f>
        <v>0</v>
      </c>
      <c r="L34" s="33">
        <f>SUMIF(BedPlan[[Compound Product]:[Compound Product]],$B34,BedPlan[Yield August 2025])</f>
        <v>0</v>
      </c>
      <c r="M34" s="33">
        <f>SUMIF(BedPlan[[Compound Product]:[Compound Product]],$B34,BedPlan[Yield September 2025])</f>
        <v>496.55172413793093</v>
      </c>
      <c r="N34" s="33">
        <f>SUMIF(BedPlan[[Compound Product]:[Compound Product]],$B34,BedPlan[Yield October 2025])</f>
        <v>36.781609195402297</v>
      </c>
      <c r="O34" s="33">
        <f>SUMIF(BedPlan[[Compound Product]:[Compound Product]],$B34,BedPlan[Yield November 2025])</f>
        <v>0</v>
      </c>
      <c r="P34" s="33">
        <f>SUMIF(BedPlan[[Compound Product]:[Compound Product]],$B34,BedPlan[Yield December 2025])</f>
        <v>0</v>
      </c>
      <c r="Q34" s="37">
        <f t="shared" si="1"/>
        <v>533.33333333333326</v>
      </c>
      <c r="S34">
        <v>10</v>
      </c>
      <c r="X34" t="s">
        <v>3160</v>
      </c>
      <c r="AA34" t="str" cm="1">
        <f t="array" ref="AA34:AB34">_xlfn.TEXTSPLIT(X34," - ")</f>
        <v>Lettuce Loose Leaf</v>
      </c>
      <c r="AB34" t="str">
        <v>Lb</v>
      </c>
    </row>
    <row r="35" spans="2:28">
      <c r="B35" t="str">
        <v>Lemongrass Mature Stalks - Bunch</v>
      </c>
      <c r="C35">
        <f>SUMIF(BedPlan[[Compound Product]:[Compound Product]],$B35,BedPlan['# Of Beds])</f>
        <v>1</v>
      </c>
      <c r="D35" s="35">
        <f t="shared" ref="D35:D62" si="2">S35*0.85</f>
        <v>3.4</v>
      </c>
      <c r="E35" s="33">
        <f>SUMIF(BedPlan[[Compound Product]:[Compound Product]],$B35,BedPlan[Yield January 2025])</f>
        <v>0</v>
      </c>
      <c r="F35" s="33">
        <f>SUMIF(BedPlan[[Compound Product]:[Compound Product]],$B35,BedPlan[Yield February 2025])</f>
        <v>0</v>
      </c>
      <c r="G35" s="33">
        <f>SUMIF(BedPlan[[Compound Product]:[Compound Product]],$B35,BedPlan[Yield March 2025])</f>
        <v>0</v>
      </c>
      <c r="H35" s="33">
        <f>SUMIF(BedPlan[[Compound Product]:[Compound Product]],$B35,BedPlan[Yield April 2025])</f>
        <v>0</v>
      </c>
      <c r="I35" s="33">
        <f>SUMIF(BedPlan[[Compound Product]:[Compound Product]],$B35,BedPlan[Yield May 2025])</f>
        <v>0</v>
      </c>
      <c r="J35" s="33">
        <f>SUMIF(BedPlan[[Compound Product]:[Compound Product]],$B35,BedPlan[Yield June 2025])</f>
        <v>0</v>
      </c>
      <c r="K35" s="33">
        <f>SUMIF(BedPlan[[Compound Product]:[Compound Product]],$B35,BedPlan[Yield July 2025])</f>
        <v>25</v>
      </c>
      <c r="L35" s="33">
        <f>SUMIF(BedPlan[[Compound Product]:[Compound Product]],$B35,BedPlan[Yield August 2025])</f>
        <v>387.5</v>
      </c>
      <c r="M35" s="33">
        <f>SUMIF(BedPlan[[Compound Product]:[Compound Product]],$B35,BedPlan[Yield September 2025])</f>
        <v>375</v>
      </c>
      <c r="N35" s="33">
        <f>SUMIF(BedPlan[[Compound Product]:[Compound Product]],$B35,BedPlan[Yield October 2025])</f>
        <v>12.5</v>
      </c>
      <c r="O35" s="33">
        <f>SUMIF(BedPlan[[Compound Product]:[Compound Product]],$B35,BedPlan[Yield November 2025])</f>
        <v>0</v>
      </c>
      <c r="P35" s="33">
        <f>SUMIF(BedPlan[[Compound Product]:[Compound Product]],$B35,BedPlan[Yield December 2025])</f>
        <v>0</v>
      </c>
      <c r="Q35" s="37">
        <f t="shared" si="1"/>
        <v>800</v>
      </c>
      <c r="S35">
        <v>4</v>
      </c>
      <c r="X35" t="s">
        <v>3161</v>
      </c>
      <c r="AA35" t="str" cm="1">
        <f t="array" ref="AA35:AB35">_xlfn.TEXTSPLIT(X35," - ")</f>
        <v>Lettuce Mature Head</v>
      </c>
      <c r="AB35" t="str">
        <v>Head</v>
      </c>
    </row>
    <row r="36" spans="2:28">
      <c r="B36" t="str">
        <v>Lettuce Mature Head - Head</v>
      </c>
      <c r="C36">
        <f>SUMIF(BedPlan[[Compound Product]:[Compound Product]],$B36,BedPlan['# Of Beds])</f>
        <v>3.4</v>
      </c>
      <c r="D36" s="35">
        <f t="shared" si="2"/>
        <v>2.5499999999999998</v>
      </c>
      <c r="E36" s="33">
        <f>SUMIF(BedPlan[[Compound Product]:[Compound Product]],$B36,BedPlan[Yield January 2025])</f>
        <v>0</v>
      </c>
      <c r="F36" s="33">
        <f>SUMIF(BedPlan[[Compound Product]:[Compound Product]],$B36,BedPlan[Yield February 2025])</f>
        <v>0</v>
      </c>
      <c r="G36" s="33">
        <f>SUMIF(BedPlan[[Compound Product]:[Compound Product]],$B36,BedPlan[Yield March 2025])</f>
        <v>0</v>
      </c>
      <c r="H36" s="33">
        <f>SUMIF(BedPlan[[Compound Product]:[Compound Product]],$B36,BedPlan[Yield April 2025])</f>
        <v>0</v>
      </c>
      <c r="I36" s="33">
        <f>SUMIF(BedPlan[[Compound Product]:[Compound Product]],$B36,BedPlan[Yield May 2025])</f>
        <v>0</v>
      </c>
      <c r="J36" s="33">
        <f>SUMIF(BedPlan[[Compound Product]:[Compound Product]],$B36,BedPlan[Yield June 2025])</f>
        <v>0</v>
      </c>
      <c r="K36" s="33">
        <f>SUMIF(BedPlan[[Compound Product]:[Compound Product]],$B36,BedPlan[Yield July 2025])</f>
        <v>355.55555555555554</v>
      </c>
      <c r="L36" s="33">
        <f>SUMIF(BedPlan[[Compound Product]:[Compound Product]],$B36,BedPlan[Yield August 2025])</f>
        <v>337.77777777777771</v>
      </c>
      <c r="M36" s="33">
        <f>SUMIF(BedPlan[[Compound Product]:[Compound Product]],$B36,BedPlan[Yield September 2025])</f>
        <v>156.44444444444443</v>
      </c>
      <c r="N36" s="33">
        <f>SUMIF(BedPlan[[Compound Product]:[Compound Product]],$B36,BedPlan[Yield October 2025])</f>
        <v>56.888888888888886</v>
      </c>
      <c r="O36" s="33">
        <f>SUMIF(BedPlan[[Compound Product]:[Compound Product]],$B36,BedPlan[Yield November 2025])</f>
        <v>0</v>
      </c>
      <c r="P36" s="33">
        <f>SUMIF(BedPlan[[Compound Product]:[Compound Product]],$B36,BedPlan[Yield December 2025])</f>
        <v>0</v>
      </c>
      <c r="Q36" s="37">
        <f t="shared" si="1"/>
        <v>906.66666666666663</v>
      </c>
      <c r="S36">
        <v>3</v>
      </c>
      <c r="X36" t="s">
        <v>3162</v>
      </c>
      <c r="AA36" t="str" cm="1">
        <f t="array" ref="AA36:AB36">_xlfn.TEXTSPLIT(X36," - ")</f>
        <v>Lovage Mature Leaf</v>
      </c>
      <c r="AB36" t="str">
        <v>Bunch</v>
      </c>
    </row>
    <row r="37" spans="2:28">
      <c r="B37" t="str">
        <v>Lettuce Loose Leaf - Lb</v>
      </c>
      <c r="C37">
        <f>SUMIF(BedPlan[[Compound Product]:[Compound Product]],$B37,BedPlan['# Of Beds])</f>
        <v>7</v>
      </c>
      <c r="D37" s="35">
        <f t="shared" si="2"/>
        <v>2.5499999999999998</v>
      </c>
      <c r="E37" s="33">
        <f>SUMIF(BedPlan[[Compound Product]:[Compound Product]],$B37,BedPlan[Yield January 2025])</f>
        <v>0</v>
      </c>
      <c r="F37" s="33">
        <f>SUMIF(BedPlan[[Compound Product]:[Compound Product]],$B37,BedPlan[Yield February 2025])</f>
        <v>0</v>
      </c>
      <c r="G37" s="33">
        <f>SUMIF(BedPlan[[Compound Product]:[Compound Product]],$B37,BedPlan[Yield March 2025])</f>
        <v>0</v>
      </c>
      <c r="H37" s="33">
        <f>SUMIF(BedPlan[[Compound Product]:[Compound Product]],$B37,BedPlan[Yield April 2025])</f>
        <v>0</v>
      </c>
      <c r="I37" s="33">
        <f>SUMIF(BedPlan[[Compound Product]:[Compound Product]],$B37,BedPlan[Yield May 2025])</f>
        <v>0</v>
      </c>
      <c r="J37" s="33">
        <f>SUMIF(BedPlan[[Compound Product]:[Compound Product]],$B37,BedPlan[Yield June 2025])</f>
        <v>407.58730158730157</v>
      </c>
      <c r="K37" s="33">
        <f>SUMIF(BedPlan[[Compound Product]:[Compound Product]],$B37,BedPlan[Yield July 2025])</f>
        <v>395.41269841269832</v>
      </c>
      <c r="L37" s="33">
        <f>SUMIF(BedPlan[[Compound Product]:[Compound Product]],$B37,BedPlan[Yield August 2025])</f>
        <v>0</v>
      </c>
      <c r="M37" s="33">
        <f>SUMIF(BedPlan[[Compound Product]:[Compound Product]],$B37,BedPlan[Yield September 2025])</f>
        <v>143.66071428571425</v>
      </c>
      <c r="N37" s="33">
        <f>SUMIF(BedPlan[[Compound Product]:[Compound Product]],$B37,BedPlan[Yield October 2025])</f>
        <v>124.50595238095237</v>
      </c>
      <c r="O37" s="33">
        <f>SUMIF(BedPlan[[Compound Product]:[Compound Product]],$B37,BedPlan[Yield November 2025])</f>
        <v>0</v>
      </c>
      <c r="P37" s="33">
        <f>SUMIF(BedPlan[[Compound Product]:[Compound Product]],$B37,BedPlan[Yield December 2025])</f>
        <v>0</v>
      </c>
      <c r="Q37" s="37">
        <f t="shared" si="1"/>
        <v>1071.1666666666665</v>
      </c>
      <c r="S37">
        <v>3</v>
      </c>
      <c r="X37" t="s">
        <v>3163</v>
      </c>
      <c r="AA37" t="str" cm="1">
        <f t="array" ref="AA37:AB37">_xlfn.TEXTSPLIT(X37," - ")</f>
        <v>Magenta Spreen Young Stem</v>
      </c>
      <c r="AB37" t="str">
        <v>Bunch</v>
      </c>
    </row>
    <row r="38" spans="2:28">
      <c r="B38" t="str">
        <v>Lovage Mature Leaf - Bunch</v>
      </c>
      <c r="C38">
        <f>SUMIF(BedPlan[[Compound Product]:[Compound Product]],$B38,BedPlan['# Of Beds])</f>
        <v>0.4</v>
      </c>
      <c r="D38" s="35">
        <f t="shared" si="2"/>
        <v>1.2749999999999999</v>
      </c>
      <c r="E38" s="33">
        <f>SUMIF(BedPlan[[Compound Product]:[Compound Product]],$B38,BedPlan[Yield January 2025])</f>
        <v>160</v>
      </c>
      <c r="F38" s="33">
        <f>SUMIF(BedPlan[[Compound Product]:[Compound Product]],$B38,BedPlan[Yield February 2025])</f>
        <v>0</v>
      </c>
      <c r="G38" s="33">
        <f>SUMIF(BedPlan[[Compound Product]:[Compound Product]],$B38,BedPlan[Yield March 2025])</f>
        <v>0</v>
      </c>
      <c r="H38" s="33">
        <f>SUMIF(BedPlan[[Compound Product]:[Compound Product]],$B38,BedPlan[Yield April 2025])</f>
        <v>0</v>
      </c>
      <c r="I38" s="33">
        <f>SUMIF(BedPlan[[Compound Product]:[Compound Product]],$B38,BedPlan[Yield May 2025])</f>
        <v>0</v>
      </c>
      <c r="J38" s="33">
        <f>SUMIF(BedPlan[[Compound Product]:[Compound Product]],$B38,BedPlan[Yield June 2025])</f>
        <v>0</v>
      </c>
      <c r="K38" s="33">
        <f>SUMIF(BedPlan[[Compound Product]:[Compound Product]],$B38,BedPlan[Yield July 2025])</f>
        <v>0</v>
      </c>
      <c r="L38" s="33">
        <f>SUMIF(BedPlan[[Compound Product]:[Compound Product]],$B38,BedPlan[Yield August 2025])</f>
        <v>0</v>
      </c>
      <c r="M38" s="33">
        <f>SUMIF(BedPlan[[Compound Product]:[Compound Product]],$B38,BedPlan[Yield September 2025])</f>
        <v>0</v>
      </c>
      <c r="N38" s="33">
        <f>SUMIF(BedPlan[[Compound Product]:[Compound Product]],$B38,BedPlan[Yield October 2025])</f>
        <v>0</v>
      </c>
      <c r="O38" s="33">
        <f>SUMIF(BedPlan[[Compound Product]:[Compound Product]],$B38,BedPlan[Yield November 2025])</f>
        <v>0</v>
      </c>
      <c r="P38" s="33">
        <f>SUMIF(BedPlan[[Compound Product]:[Compound Product]],$B38,BedPlan[Yield December 2025])</f>
        <v>0</v>
      </c>
      <c r="Q38" s="37">
        <f t="shared" si="1"/>
        <v>160</v>
      </c>
      <c r="S38">
        <v>1.5</v>
      </c>
      <c r="X38" t="s">
        <v>3164</v>
      </c>
      <c r="AA38" t="str" cm="1">
        <f t="array" ref="AA38:AB38">_xlfn.TEXTSPLIT(X38," - ")</f>
        <v>Melon Ripe Fruit</v>
      </c>
      <c r="AB38" t="str">
        <v>Lb</v>
      </c>
    </row>
    <row r="39" spans="2:28">
      <c r="B39" t="str">
        <v>Magenta Spreen Young Stem - Bunch</v>
      </c>
      <c r="C39">
        <f>SUMIF(BedPlan[[Compound Product]:[Compound Product]],$B39,BedPlan['# Of Beds])</f>
        <v>0.25</v>
      </c>
      <c r="D39" s="35">
        <f t="shared" si="2"/>
        <v>2.5499999999999998</v>
      </c>
      <c r="E39" s="33">
        <f>SUMIF(BedPlan[[Compound Product]:[Compound Product]],$B39,BedPlan[Yield January 2025])</f>
        <v>0</v>
      </c>
      <c r="F39" s="33">
        <f>SUMIF(BedPlan[[Compound Product]:[Compound Product]],$B39,BedPlan[Yield February 2025])</f>
        <v>0</v>
      </c>
      <c r="G39" s="33">
        <f>SUMIF(BedPlan[[Compound Product]:[Compound Product]],$B39,BedPlan[Yield March 2025])</f>
        <v>0</v>
      </c>
      <c r="H39" s="33">
        <f>SUMIF(BedPlan[[Compound Product]:[Compound Product]],$B39,BedPlan[Yield April 2025])</f>
        <v>0</v>
      </c>
      <c r="I39" s="33">
        <f>SUMIF(BedPlan[[Compound Product]:[Compound Product]],$B39,BedPlan[Yield May 2025])</f>
        <v>25</v>
      </c>
      <c r="J39" s="33">
        <f>SUMIF(BedPlan[[Compound Product]:[Compound Product]],$B39,BedPlan[Yield June 2025])</f>
        <v>87.5</v>
      </c>
      <c r="K39" s="33">
        <f>SUMIF(BedPlan[[Compound Product]:[Compound Product]],$B39,BedPlan[Yield July 2025])</f>
        <v>0</v>
      </c>
      <c r="L39" s="33">
        <f>SUMIF(BedPlan[[Compound Product]:[Compound Product]],$B39,BedPlan[Yield August 2025])</f>
        <v>0</v>
      </c>
      <c r="M39" s="33">
        <f>SUMIF(BedPlan[[Compound Product]:[Compound Product]],$B39,BedPlan[Yield September 2025])</f>
        <v>0</v>
      </c>
      <c r="N39" s="33">
        <f>SUMIF(BedPlan[[Compound Product]:[Compound Product]],$B39,BedPlan[Yield October 2025])</f>
        <v>0</v>
      </c>
      <c r="O39" s="33">
        <f>SUMIF(BedPlan[[Compound Product]:[Compound Product]],$B39,BedPlan[Yield November 2025])</f>
        <v>0</v>
      </c>
      <c r="P39" s="33">
        <f>SUMIF(BedPlan[[Compound Product]:[Compound Product]],$B39,BedPlan[Yield December 2025])</f>
        <v>0</v>
      </c>
      <c r="Q39" s="37">
        <f t="shared" si="1"/>
        <v>112.5</v>
      </c>
      <c r="S39">
        <v>3</v>
      </c>
      <c r="X39" t="s">
        <v>3165</v>
      </c>
      <c r="AA39" t="str" cm="1">
        <f t="array" ref="AA39:AB39">_xlfn.TEXTSPLIT(X39," - ")</f>
        <v>Onion Mature Bulb</v>
      </c>
      <c r="AB39" t="str">
        <v>Lb</v>
      </c>
    </row>
    <row r="40" spans="2:28">
      <c r="B40" t="str">
        <v>Melon Ripe Fruit - Lb</v>
      </c>
      <c r="C40">
        <f>SUMIF(BedPlan[[Compound Product]:[Compound Product]],$B40,BedPlan['# Of Beds])</f>
        <v>2</v>
      </c>
      <c r="D40" s="35">
        <f t="shared" si="2"/>
        <v>3.8249999999999997</v>
      </c>
      <c r="E40" s="33">
        <f>SUMIF(BedPlan[[Compound Product]:[Compound Product]],$B40,BedPlan[Yield January 2025])</f>
        <v>0</v>
      </c>
      <c r="F40" s="33">
        <f>SUMIF(BedPlan[[Compound Product]:[Compound Product]],$B40,BedPlan[Yield February 2025])</f>
        <v>0</v>
      </c>
      <c r="G40" s="33">
        <f>SUMIF(BedPlan[[Compound Product]:[Compound Product]],$B40,BedPlan[Yield March 2025])</f>
        <v>0</v>
      </c>
      <c r="H40" s="33">
        <f>SUMIF(BedPlan[[Compound Product]:[Compound Product]],$B40,BedPlan[Yield April 2025])</f>
        <v>0</v>
      </c>
      <c r="I40" s="33">
        <f>SUMIF(BedPlan[[Compound Product]:[Compound Product]],$B40,BedPlan[Yield May 2025])</f>
        <v>0</v>
      </c>
      <c r="J40" s="33">
        <f>SUMIF(BedPlan[[Compound Product]:[Compound Product]],$B40,BedPlan[Yield June 2025])</f>
        <v>0</v>
      </c>
      <c r="K40" s="33">
        <f>SUMIF(BedPlan[[Compound Product]:[Compound Product]],$B40,BedPlan[Yield July 2025])</f>
        <v>0</v>
      </c>
      <c r="L40" s="33">
        <f>SUMIF(BedPlan[[Compound Product]:[Compound Product]],$B40,BedPlan[Yield August 2025])</f>
        <v>600</v>
      </c>
      <c r="M40" s="33">
        <f>SUMIF(BedPlan[[Compound Product]:[Compound Product]],$B40,BedPlan[Yield September 2025])</f>
        <v>0</v>
      </c>
      <c r="N40" s="33">
        <f>SUMIF(BedPlan[[Compound Product]:[Compound Product]],$B40,BedPlan[Yield October 2025])</f>
        <v>0</v>
      </c>
      <c r="O40" s="33">
        <f>SUMIF(BedPlan[[Compound Product]:[Compound Product]],$B40,BedPlan[Yield November 2025])</f>
        <v>0</v>
      </c>
      <c r="P40" s="33">
        <f>SUMIF(BedPlan[[Compound Product]:[Compound Product]],$B40,BedPlan[Yield December 2025])</f>
        <v>0</v>
      </c>
      <c r="Q40" s="37">
        <f t="shared" si="1"/>
        <v>600</v>
      </c>
      <c r="S40">
        <v>4.5</v>
      </c>
      <c r="X40" t="s">
        <v>3166</v>
      </c>
      <c r="AA40" t="str" cm="1">
        <f t="array" ref="AA40:AB40">_xlfn.TEXTSPLIT(X40," - ")</f>
        <v>Onion Young Bulb</v>
      </c>
      <c r="AB40" t="str">
        <v>Bunch</v>
      </c>
    </row>
    <row r="41" spans="2:28">
      <c r="B41" t="str">
        <v>Onion Mature Bulb - Lb</v>
      </c>
      <c r="C41">
        <f>SUMIF(BedPlan[[Compound Product]:[Compound Product]],$B41,BedPlan['# Of Beds])</f>
        <v>1</v>
      </c>
      <c r="D41" s="35">
        <f t="shared" si="2"/>
        <v>2.125</v>
      </c>
      <c r="E41" s="33">
        <f>SUMIF(BedPlan[[Compound Product]:[Compound Product]],$B41,BedPlan[Yield January 2025])</f>
        <v>0</v>
      </c>
      <c r="F41" s="33">
        <f>SUMIF(BedPlan[[Compound Product]:[Compound Product]],$B41,BedPlan[Yield February 2025])</f>
        <v>0</v>
      </c>
      <c r="G41" s="33">
        <f>SUMIF(BedPlan[[Compound Product]:[Compound Product]],$B41,BedPlan[Yield March 2025])</f>
        <v>0</v>
      </c>
      <c r="H41" s="33">
        <f>SUMIF(BedPlan[[Compound Product]:[Compound Product]],$B41,BedPlan[Yield April 2025])</f>
        <v>0</v>
      </c>
      <c r="I41" s="33">
        <f>SUMIF(BedPlan[[Compound Product]:[Compound Product]],$B41,BedPlan[Yield May 2025])</f>
        <v>0</v>
      </c>
      <c r="J41" s="33">
        <f>SUMIF(BedPlan[[Compound Product]:[Compound Product]],$B41,BedPlan[Yield June 2025])</f>
        <v>0</v>
      </c>
      <c r="K41" s="33">
        <f>SUMIF(BedPlan[[Compound Product]:[Compound Product]],$B41,BedPlan[Yield July 2025])</f>
        <v>0</v>
      </c>
      <c r="L41" s="33">
        <f>SUMIF(BedPlan[[Compound Product]:[Compound Product]],$B41,BedPlan[Yield August 2025])</f>
        <v>206.25</v>
      </c>
      <c r="M41" s="33">
        <f>SUMIF(BedPlan[[Compound Product]:[Compound Product]],$B41,BedPlan[Yield September 2025])</f>
        <v>0</v>
      </c>
      <c r="N41" s="33">
        <f>SUMIF(BedPlan[[Compound Product]:[Compound Product]],$B41,BedPlan[Yield October 2025])</f>
        <v>0</v>
      </c>
      <c r="O41" s="33">
        <f>SUMIF(BedPlan[[Compound Product]:[Compound Product]],$B41,BedPlan[Yield November 2025])</f>
        <v>0</v>
      </c>
      <c r="P41" s="33">
        <f>SUMIF(BedPlan[[Compound Product]:[Compound Product]],$B41,BedPlan[Yield December 2025])</f>
        <v>0</v>
      </c>
      <c r="Q41" s="37">
        <f t="shared" si="1"/>
        <v>206.25</v>
      </c>
      <c r="S41">
        <v>2.5</v>
      </c>
      <c r="X41" t="s">
        <v>3167</v>
      </c>
      <c r="AA41" t="str" cm="1">
        <f t="array" ref="AA41:AB41">_xlfn.TEXTSPLIT(X41," - ")</f>
        <v>Parsley Mature Leaf</v>
      </c>
      <c r="AB41" t="str">
        <v>Bunch</v>
      </c>
    </row>
    <row r="42" spans="2:28">
      <c r="B42" t="str">
        <v>Onion Young Bulb - Bunch</v>
      </c>
      <c r="C42">
        <f>SUMIF(BedPlan[[Compound Product]:[Compound Product]],$B42,BedPlan['# Of Beds])</f>
        <v>2</v>
      </c>
      <c r="D42" s="35">
        <f t="shared" si="2"/>
        <v>3.4</v>
      </c>
      <c r="E42" s="33">
        <f>SUMIF(BedPlan[[Compound Product]:[Compound Product]],$B42,BedPlan[Yield January 2025])</f>
        <v>0</v>
      </c>
      <c r="F42" s="33">
        <f>SUMIF(BedPlan[[Compound Product]:[Compound Product]],$B42,BedPlan[Yield February 2025])</f>
        <v>0</v>
      </c>
      <c r="G42" s="33">
        <f>SUMIF(BedPlan[[Compound Product]:[Compound Product]],$B42,BedPlan[Yield March 2025])</f>
        <v>0</v>
      </c>
      <c r="H42" s="33">
        <f>SUMIF(BedPlan[[Compound Product]:[Compound Product]],$B42,BedPlan[Yield April 2025])</f>
        <v>0</v>
      </c>
      <c r="I42" s="33">
        <f>SUMIF(BedPlan[[Compound Product]:[Compound Product]],$B42,BedPlan[Yield May 2025])</f>
        <v>0</v>
      </c>
      <c r="J42" s="33">
        <f>SUMIF(BedPlan[[Compound Product]:[Compound Product]],$B42,BedPlan[Yield June 2025])</f>
        <v>44.736842105263158</v>
      </c>
      <c r="K42" s="33">
        <f>SUMIF(BedPlan[[Compound Product]:[Compound Product]],$B42,BedPlan[Yield July 2025])</f>
        <v>163.15789473684211</v>
      </c>
      <c r="L42" s="33">
        <f>SUMIF(BedPlan[[Compound Product]:[Compound Product]],$B42,BedPlan[Yield August 2025])</f>
        <v>92.10526315789474</v>
      </c>
      <c r="M42" s="33">
        <f>SUMIF(BedPlan[[Compound Product]:[Compound Product]],$B42,BedPlan[Yield September 2025])</f>
        <v>0</v>
      </c>
      <c r="N42" s="33">
        <f>SUMIF(BedPlan[[Compound Product]:[Compound Product]],$B42,BedPlan[Yield October 2025])</f>
        <v>0</v>
      </c>
      <c r="O42" s="33">
        <f>SUMIF(BedPlan[[Compound Product]:[Compound Product]],$B42,BedPlan[Yield November 2025])</f>
        <v>0</v>
      </c>
      <c r="P42" s="33">
        <f>SUMIF(BedPlan[[Compound Product]:[Compound Product]],$B42,BedPlan[Yield December 2025])</f>
        <v>0</v>
      </c>
      <c r="Q42" s="37">
        <f t="shared" si="1"/>
        <v>300</v>
      </c>
      <c r="S42">
        <v>4</v>
      </c>
      <c r="X42" t="s">
        <v>3168</v>
      </c>
      <c r="AA42" t="str" cm="1">
        <f t="array" ref="AA42:AB42">_xlfn.TEXTSPLIT(X42," - ")</f>
        <v>Parsnip Mature Root</v>
      </c>
      <c r="AB42" t="str">
        <v>Bunch</v>
      </c>
    </row>
    <row r="43" spans="2:28">
      <c r="B43" t="str">
        <v>Parsley Mature Leaf - Bunch</v>
      </c>
      <c r="C43">
        <f>SUMIF(BedPlan[[Compound Product]:[Compound Product]],$B43,BedPlan['# Of Beds])</f>
        <v>1</v>
      </c>
      <c r="D43" s="35">
        <f t="shared" si="2"/>
        <v>8.0749999999999993</v>
      </c>
      <c r="E43" s="33">
        <f>SUMIF(BedPlan[[Compound Product]:[Compound Product]],$B43,BedPlan[Yield January 2025])</f>
        <v>0</v>
      </c>
      <c r="F43" s="33">
        <f>SUMIF(BedPlan[[Compound Product]:[Compound Product]],$B43,BedPlan[Yield February 2025])</f>
        <v>0</v>
      </c>
      <c r="G43" s="33">
        <f>SUMIF(BedPlan[[Compound Product]:[Compound Product]],$B43,BedPlan[Yield March 2025])</f>
        <v>0</v>
      </c>
      <c r="H43" s="33">
        <f>SUMIF(BedPlan[[Compound Product]:[Compound Product]],$B43,BedPlan[Yield April 2025])</f>
        <v>0</v>
      </c>
      <c r="I43" s="33">
        <f>SUMIF(BedPlan[[Compound Product]:[Compound Product]],$B43,BedPlan[Yield May 2025])</f>
        <v>0</v>
      </c>
      <c r="J43" s="33">
        <f>SUMIF(BedPlan[[Compound Product]:[Compound Product]],$B43,BedPlan[Yield June 2025])</f>
        <v>120</v>
      </c>
      <c r="K43" s="33">
        <f>SUMIF(BedPlan[[Compound Product]:[Compound Product]],$B43,BedPlan[Yield July 2025])</f>
        <v>232.50000000000003</v>
      </c>
      <c r="L43" s="33">
        <f>SUMIF(BedPlan[[Compound Product]:[Compound Product]],$B43,BedPlan[Yield August 2025])</f>
        <v>232.50000000000003</v>
      </c>
      <c r="M43" s="33">
        <f>SUMIF(BedPlan[[Compound Product]:[Compound Product]],$B43,BedPlan[Yield September 2025])</f>
        <v>225</v>
      </c>
      <c r="N43" s="33">
        <f>SUMIF(BedPlan[[Compound Product]:[Compound Product]],$B43,BedPlan[Yield October 2025])</f>
        <v>90</v>
      </c>
      <c r="O43" s="33">
        <f>SUMIF(BedPlan[[Compound Product]:[Compound Product]],$B43,BedPlan[Yield November 2025])</f>
        <v>0</v>
      </c>
      <c r="P43" s="33">
        <f>SUMIF(BedPlan[[Compound Product]:[Compound Product]],$B43,BedPlan[Yield December 2025])</f>
        <v>0</v>
      </c>
      <c r="Q43" s="37">
        <f t="shared" si="1"/>
        <v>900</v>
      </c>
      <c r="S43">
        <v>9.5</v>
      </c>
      <c r="X43" t="s">
        <v>3169</v>
      </c>
      <c r="AA43" t="str" cm="1">
        <f t="array" ref="AA43:AB43">_xlfn.TEXTSPLIT(X43," - ")</f>
        <v>Peas Young Pod</v>
      </c>
      <c r="AB43" t="str">
        <v>Lb</v>
      </c>
    </row>
    <row r="44" spans="2:28">
      <c r="B44" t="str">
        <v>Peas Young Pod - Lb</v>
      </c>
      <c r="C44">
        <f>SUMIF(BedPlan[[Compound Product]:[Compound Product]],$B44,BedPlan['# Of Beds])</f>
        <v>2</v>
      </c>
      <c r="D44" s="35">
        <f t="shared" si="2"/>
        <v>4.25</v>
      </c>
      <c r="E44" s="33">
        <f>SUMIF(BedPlan[[Compound Product]:[Compound Product]],$B44,BedPlan[Yield January 2025])</f>
        <v>0</v>
      </c>
      <c r="F44" s="33">
        <f>SUMIF(BedPlan[[Compound Product]:[Compound Product]],$B44,BedPlan[Yield February 2025])</f>
        <v>0</v>
      </c>
      <c r="G44" s="33">
        <f>SUMIF(BedPlan[[Compound Product]:[Compound Product]],$B44,BedPlan[Yield March 2025])</f>
        <v>0</v>
      </c>
      <c r="H44" s="33">
        <f>SUMIF(BedPlan[[Compound Product]:[Compound Product]],$B44,BedPlan[Yield April 2025])</f>
        <v>0</v>
      </c>
      <c r="I44" s="33">
        <f>SUMIF(BedPlan[[Compound Product]:[Compound Product]],$B44,BedPlan[Yield May 2025])</f>
        <v>0</v>
      </c>
      <c r="J44" s="33">
        <f>SUMIF(BedPlan[[Compound Product]:[Compound Product]],$B44,BedPlan[Yield June 2025])</f>
        <v>32.352941176470587</v>
      </c>
      <c r="K44" s="33">
        <f>SUMIF(BedPlan[[Compound Product]:[Compound Product]],$B44,BedPlan[Yield July 2025])</f>
        <v>17.647058823529413</v>
      </c>
      <c r="L44" s="33">
        <f>SUMIF(BedPlan[[Compound Product]:[Compound Product]],$B44,BedPlan[Yield August 2025])</f>
        <v>0</v>
      </c>
      <c r="M44" s="33">
        <f>SUMIF(BedPlan[[Compound Product]:[Compound Product]],$B44,BedPlan[Yield September 2025])</f>
        <v>0</v>
      </c>
      <c r="N44" s="33">
        <f>SUMIF(BedPlan[[Compound Product]:[Compound Product]],$B44,BedPlan[Yield October 2025])</f>
        <v>0</v>
      </c>
      <c r="O44" s="33">
        <f>SUMIF(BedPlan[[Compound Product]:[Compound Product]],$B44,BedPlan[Yield November 2025])</f>
        <v>0</v>
      </c>
      <c r="P44" s="33">
        <f>SUMIF(BedPlan[[Compound Product]:[Compound Product]],$B44,BedPlan[Yield December 2025])</f>
        <v>0</v>
      </c>
      <c r="Q44" s="37">
        <f t="shared" si="1"/>
        <v>50</v>
      </c>
      <c r="S44">
        <v>5</v>
      </c>
      <c r="X44" t="s">
        <v>3170</v>
      </c>
      <c r="AA44" t="str" cm="1">
        <f t="array" ref="AA44:AB44">_xlfn.TEXTSPLIT(X44," - ")</f>
        <v>Pepper Ripe Fruit Large</v>
      </c>
      <c r="AB44" t="str">
        <v>Lb</v>
      </c>
    </row>
    <row r="45" spans="2:28">
      <c r="B45" t="str">
        <v>Pepper Ripe Fruit Large - Lb</v>
      </c>
      <c r="C45">
        <f>SUMIF(BedPlan[[Compound Product]:[Compound Product]],$B45,BedPlan['# Of Beds])</f>
        <v>1</v>
      </c>
      <c r="D45" s="35">
        <f t="shared" si="2"/>
        <v>6.8</v>
      </c>
      <c r="E45" s="33">
        <f>SUMIF(BedPlan[[Compound Product]:[Compound Product]],$B45,BedPlan[Yield January 2025])</f>
        <v>0</v>
      </c>
      <c r="F45" s="33">
        <f>SUMIF(BedPlan[[Compound Product]:[Compound Product]],$B45,BedPlan[Yield February 2025])</f>
        <v>0</v>
      </c>
      <c r="G45" s="33">
        <f>SUMIF(BedPlan[[Compound Product]:[Compound Product]],$B45,BedPlan[Yield March 2025])</f>
        <v>0</v>
      </c>
      <c r="H45" s="33">
        <f>SUMIF(BedPlan[[Compound Product]:[Compound Product]],$B45,BedPlan[Yield April 2025])</f>
        <v>0</v>
      </c>
      <c r="I45" s="33">
        <f>SUMIF(BedPlan[[Compound Product]:[Compound Product]],$B45,BedPlan[Yield May 2025])</f>
        <v>0</v>
      </c>
      <c r="J45" s="33">
        <f>SUMIF(BedPlan[[Compound Product]:[Compound Product]],$B45,BedPlan[Yield June 2025])</f>
        <v>0</v>
      </c>
      <c r="K45" s="33">
        <f>SUMIF(BedPlan[[Compound Product]:[Compound Product]],$B45,BedPlan[Yield July 2025])</f>
        <v>0</v>
      </c>
      <c r="L45" s="33">
        <f>SUMIF(BedPlan[[Compound Product]:[Compound Product]],$B45,BedPlan[Yield August 2025])</f>
        <v>83.535959853609853</v>
      </c>
      <c r="M45" s="33">
        <f>SUMIF(BedPlan[[Compound Product]:[Compound Product]],$B45,BedPlan[Yield September 2025])</f>
        <v>179.0056282577354</v>
      </c>
      <c r="N45" s="33">
        <f>SUMIF(BedPlan[[Compound Product]:[Compound Product]],$B45,BedPlan[Yield October 2025])</f>
        <v>177.04994732172565</v>
      </c>
      <c r="O45" s="33">
        <f>SUMIF(BedPlan[[Compound Product]:[Compound Product]],$B45,BedPlan[Yield November 2025])</f>
        <v>119.58661417322834</v>
      </c>
      <c r="P45" s="33">
        <f>SUMIF(BedPlan[[Compound Product]:[Compound Product]],$B45,BedPlan[Yield December 2025])</f>
        <v>87.696850393700785</v>
      </c>
      <c r="Q45" s="37">
        <f t="shared" si="1"/>
        <v>646.875</v>
      </c>
      <c r="S45">
        <v>8</v>
      </c>
      <c r="X45" t="s">
        <v>3171</v>
      </c>
      <c r="AA45" t="str" cm="1">
        <f t="array" ref="AA45:AB45">_xlfn.TEXTSPLIT(X45," - ")</f>
        <v>Pepper Ripe Fruit Small</v>
      </c>
      <c r="AB45" t="str">
        <v>Lb</v>
      </c>
    </row>
    <row r="46" spans="2:28">
      <c r="B46" t="str">
        <v>Pepper Ripe Fruit Small - Lb</v>
      </c>
      <c r="C46">
        <f>SUMIF(BedPlan[[Compound Product]:[Compound Product]],$B46,BedPlan['# Of Beds])</f>
        <v>1.4</v>
      </c>
      <c r="D46" s="35">
        <f t="shared" si="2"/>
        <v>2.5499999999999998</v>
      </c>
      <c r="E46" s="33">
        <f>SUMIF(BedPlan[[Compound Product]:[Compound Product]],$B46,BedPlan[Yield January 2025])</f>
        <v>0</v>
      </c>
      <c r="F46" s="33">
        <f>SUMIF(BedPlan[[Compound Product]:[Compound Product]],$B46,BedPlan[Yield February 2025])</f>
        <v>0</v>
      </c>
      <c r="G46" s="33">
        <f>SUMIF(BedPlan[[Compound Product]:[Compound Product]],$B46,BedPlan[Yield March 2025])</f>
        <v>0</v>
      </c>
      <c r="H46" s="33">
        <f>SUMIF(BedPlan[[Compound Product]:[Compound Product]],$B46,BedPlan[Yield April 2025])</f>
        <v>0</v>
      </c>
      <c r="I46" s="33">
        <f>SUMIF(BedPlan[[Compound Product]:[Compound Product]],$B46,BedPlan[Yield May 2025])</f>
        <v>0</v>
      </c>
      <c r="J46" s="33">
        <f>SUMIF(BedPlan[[Compound Product]:[Compound Product]],$B46,BedPlan[Yield June 2025])</f>
        <v>0</v>
      </c>
      <c r="K46" s="33">
        <f>SUMIF(BedPlan[[Compound Product]:[Compound Product]],$B46,BedPlan[Yield July 2025])</f>
        <v>0</v>
      </c>
      <c r="L46" s="33">
        <f>SUMIF(BedPlan[[Compound Product]:[Compound Product]],$B46,BedPlan[Yield August 2025])</f>
        <v>30.192968836641896</v>
      </c>
      <c r="M46" s="33">
        <f>SUMIF(BedPlan[[Compound Product]:[Compound Product]],$B46,BedPlan[Yield September 2025])</f>
        <v>83.373766219363418</v>
      </c>
      <c r="N46" s="33">
        <f>SUMIF(BedPlan[[Compound Product]:[Compound Product]],$B46,BedPlan[Yield October 2025])</f>
        <v>82.191624154375063</v>
      </c>
      <c r="O46" s="33">
        <f>SUMIF(BedPlan[[Compound Product]:[Compound Product]],$B46,BedPlan[Yield November 2025])</f>
        <v>35.442428191194409</v>
      </c>
      <c r="P46" s="33">
        <f>SUMIF(BedPlan[[Compound Product]:[Compound Product]],$B46,BedPlan[Yield December 2025])</f>
        <v>21.924212598425196</v>
      </c>
      <c r="Q46" s="37">
        <f t="shared" si="1"/>
        <v>253.12499999999997</v>
      </c>
      <c r="S46">
        <v>3</v>
      </c>
      <c r="X46" t="s">
        <v>3172</v>
      </c>
      <c r="AA46" t="str" cm="1">
        <f t="array" ref="AA46:AB46">_xlfn.TEXTSPLIT(X46," - ")</f>
        <v>Potato Mature Root</v>
      </c>
      <c r="AB46" t="str">
        <v>Lb</v>
      </c>
    </row>
    <row r="47" spans="2:28">
      <c r="B47" t="str">
        <v>Potato Mature Root - Lb</v>
      </c>
      <c r="C47">
        <f>SUMIF(BedPlan[[Compound Product]:[Compound Product]],$B47,BedPlan['# Of Beds])</f>
        <v>2</v>
      </c>
      <c r="D47" s="35">
        <f t="shared" si="2"/>
        <v>1.9124999999999999</v>
      </c>
      <c r="E47" s="33">
        <f>SUMIF(BedPlan[[Compound Product]:[Compound Product]],$B47,BedPlan[Yield January 2025])</f>
        <v>0</v>
      </c>
      <c r="F47" s="33">
        <f>SUMIF(BedPlan[[Compound Product]:[Compound Product]],$B47,BedPlan[Yield February 2025])</f>
        <v>0</v>
      </c>
      <c r="G47" s="33">
        <f>SUMIF(BedPlan[[Compound Product]:[Compound Product]],$B47,BedPlan[Yield March 2025])</f>
        <v>0</v>
      </c>
      <c r="H47" s="33">
        <f>SUMIF(BedPlan[[Compound Product]:[Compound Product]],$B47,BedPlan[Yield April 2025])</f>
        <v>0</v>
      </c>
      <c r="I47" s="33">
        <f>SUMIF(BedPlan[[Compound Product]:[Compound Product]],$B47,BedPlan[Yield May 2025])</f>
        <v>0</v>
      </c>
      <c r="J47" s="33">
        <f>SUMIF(BedPlan[[Compound Product]:[Compound Product]],$B47,BedPlan[Yield June 2025])</f>
        <v>186.66666666666663</v>
      </c>
      <c r="K47" s="33">
        <f>SUMIF(BedPlan[[Compound Product]:[Compound Product]],$B47,BedPlan[Yield July 2025])</f>
        <v>0</v>
      </c>
      <c r="L47" s="33">
        <f>SUMIF(BedPlan[[Compound Product]:[Compound Product]],$B47,BedPlan[Yield August 2025])</f>
        <v>0</v>
      </c>
      <c r="M47" s="33">
        <f>SUMIF(BedPlan[[Compound Product]:[Compound Product]],$B47,BedPlan[Yield September 2025])</f>
        <v>0</v>
      </c>
      <c r="N47" s="33">
        <f>SUMIF(BedPlan[[Compound Product]:[Compound Product]],$B47,BedPlan[Yield October 2025])</f>
        <v>0</v>
      </c>
      <c r="O47" s="33">
        <f>SUMIF(BedPlan[[Compound Product]:[Compound Product]],$B47,BedPlan[Yield November 2025])</f>
        <v>0</v>
      </c>
      <c r="P47" s="33">
        <f>SUMIF(BedPlan[[Compound Product]:[Compound Product]],$B47,BedPlan[Yield December 2025])</f>
        <v>0</v>
      </c>
      <c r="Q47" s="37">
        <f t="shared" si="1"/>
        <v>186.66666666666663</v>
      </c>
      <c r="S47">
        <v>2.25</v>
      </c>
      <c r="X47" t="s">
        <v>3173</v>
      </c>
      <c r="AA47" t="str" cm="1">
        <f t="array" ref="AA47:AB47">_xlfn.TEXTSPLIT(X47," - ")</f>
        <v>Potato Storage Root</v>
      </c>
      <c r="AB47" t="str">
        <v>Lb</v>
      </c>
    </row>
    <row r="48" spans="2:28">
      <c r="B48" t="str">
        <v>Potato Storage Root - Lb</v>
      </c>
      <c r="C48">
        <f>SUMIF(BedPlan[[Compound Product]:[Compound Product]],$B48,BedPlan['# Of Beds])</f>
        <v>2</v>
      </c>
      <c r="D48" s="35">
        <f t="shared" si="2"/>
        <v>5.0999999999999996</v>
      </c>
      <c r="E48" s="33">
        <f>SUMIF(BedPlan[[Compound Product]:[Compound Product]],$B48,BedPlan[Yield January 2025])</f>
        <v>0</v>
      </c>
      <c r="F48" s="33">
        <f>SUMIF(BedPlan[[Compound Product]:[Compound Product]],$B48,BedPlan[Yield February 2025])</f>
        <v>0</v>
      </c>
      <c r="G48" s="33">
        <f>SUMIF(BedPlan[[Compound Product]:[Compound Product]],$B48,BedPlan[Yield March 2025])</f>
        <v>0</v>
      </c>
      <c r="H48" s="33">
        <f>SUMIF(BedPlan[[Compound Product]:[Compound Product]],$B48,BedPlan[Yield April 2025])</f>
        <v>0</v>
      </c>
      <c r="I48" s="33">
        <f>SUMIF(BedPlan[[Compound Product]:[Compound Product]],$B48,BedPlan[Yield May 2025])</f>
        <v>0</v>
      </c>
      <c r="J48" s="33">
        <f>SUMIF(BedPlan[[Compound Product]:[Compound Product]],$B48,BedPlan[Yield June 2025])</f>
        <v>0</v>
      </c>
      <c r="K48" s="33">
        <f>SUMIF(BedPlan[[Compound Product]:[Compound Product]],$B48,BedPlan[Yield July 2025])</f>
        <v>0</v>
      </c>
      <c r="L48" s="33">
        <f>SUMIF(BedPlan[[Compound Product]:[Compound Product]],$B48,BedPlan[Yield August 2025])</f>
        <v>175</v>
      </c>
      <c r="M48" s="33">
        <f>SUMIF(BedPlan[[Compound Product]:[Compound Product]],$B48,BedPlan[Yield September 2025])</f>
        <v>0</v>
      </c>
      <c r="N48" s="33">
        <f>SUMIF(BedPlan[[Compound Product]:[Compound Product]],$B48,BedPlan[Yield October 2025])</f>
        <v>0</v>
      </c>
      <c r="O48" s="33">
        <f>SUMIF(BedPlan[[Compound Product]:[Compound Product]],$B48,BedPlan[Yield November 2025])</f>
        <v>0</v>
      </c>
      <c r="P48" s="33">
        <f>SUMIF(BedPlan[[Compound Product]:[Compound Product]],$B48,BedPlan[Yield December 2025])</f>
        <v>0</v>
      </c>
      <c r="Q48" s="37">
        <f t="shared" si="1"/>
        <v>175</v>
      </c>
      <c r="S48">
        <v>6</v>
      </c>
      <c r="X48" t="s">
        <v>3174</v>
      </c>
      <c r="AA48" t="str" cm="1">
        <f t="array" ref="AA48:AB48">_xlfn.TEXTSPLIT(X48," - ")</f>
        <v>Radicchio Forced Head</v>
      </c>
      <c r="AB48" t="str">
        <v>Head</v>
      </c>
    </row>
    <row r="49" spans="2:28">
      <c r="B49" t="str">
        <v>Radicchio Forced Head - Head</v>
      </c>
      <c r="C49">
        <f>SUMIF(BedPlan[[Compound Product]:[Compound Product]],$B49,BedPlan['# Of Beds])</f>
        <v>1.6</v>
      </c>
      <c r="D49" s="35">
        <f t="shared" si="2"/>
        <v>2.5499999999999998</v>
      </c>
      <c r="E49" s="33">
        <f>SUMIF(BedPlan[[Compound Product]:[Compound Product]],$B49,BedPlan[Yield January 2025])</f>
        <v>0</v>
      </c>
      <c r="F49" s="33">
        <f>SUMIF(BedPlan[[Compound Product]:[Compound Product]],$B49,BedPlan[Yield February 2025])</f>
        <v>0</v>
      </c>
      <c r="G49" s="33">
        <f>SUMIF(BedPlan[[Compound Product]:[Compound Product]],$B49,BedPlan[Yield March 2025])</f>
        <v>0</v>
      </c>
      <c r="H49" s="33">
        <f>SUMIF(BedPlan[[Compound Product]:[Compound Product]],$B49,BedPlan[Yield April 2025])</f>
        <v>0</v>
      </c>
      <c r="I49" s="33">
        <f>SUMIF(BedPlan[[Compound Product]:[Compound Product]],$B49,BedPlan[Yield May 2025])</f>
        <v>0</v>
      </c>
      <c r="J49" s="33">
        <f>SUMIF(BedPlan[[Compound Product]:[Compound Product]],$B49,BedPlan[Yield June 2025])</f>
        <v>0</v>
      </c>
      <c r="K49" s="33">
        <f>SUMIF(BedPlan[[Compound Product]:[Compound Product]],$B49,BedPlan[Yield July 2025])</f>
        <v>0</v>
      </c>
      <c r="L49" s="33">
        <f>SUMIF(BedPlan[[Compound Product]:[Compound Product]],$B49,BedPlan[Yield August 2025])</f>
        <v>0</v>
      </c>
      <c r="M49" s="33">
        <f>SUMIF(BedPlan[[Compound Product]:[Compound Product]],$B49,BedPlan[Yield September 2025])</f>
        <v>0</v>
      </c>
      <c r="N49" s="33">
        <f>SUMIF(BedPlan[[Compound Product]:[Compound Product]],$B49,BedPlan[Yield October 2025])</f>
        <v>208</v>
      </c>
      <c r="O49" s="33">
        <f>SUMIF(BedPlan[[Compound Product]:[Compound Product]],$B49,BedPlan[Yield November 2025])</f>
        <v>32</v>
      </c>
      <c r="P49" s="33">
        <f>SUMIF(BedPlan[[Compound Product]:[Compound Product]],$B49,BedPlan[Yield December 2025])</f>
        <v>0</v>
      </c>
      <c r="Q49" s="37">
        <f t="shared" si="1"/>
        <v>240</v>
      </c>
      <c r="S49">
        <v>3</v>
      </c>
      <c r="X49" t="s">
        <v>3175</v>
      </c>
      <c r="AA49" t="str" cm="1">
        <f t="array" ref="AA49:AB49">_xlfn.TEXTSPLIT(X49," - ")</f>
        <v>Radish Mature Root</v>
      </c>
      <c r="AB49" t="str">
        <v>Bunch</v>
      </c>
    </row>
    <row r="50" spans="2:28">
      <c r="B50" t="str">
        <v>Radish Mature Root - Bunch</v>
      </c>
      <c r="C50">
        <f>SUMIF(BedPlan[[Compound Product]:[Compound Product]],$B50,BedPlan['# Of Beds])</f>
        <v>4.75</v>
      </c>
      <c r="D50" s="35">
        <f t="shared" si="2"/>
        <v>1.7</v>
      </c>
      <c r="E50" s="33">
        <f>SUMIF(BedPlan[[Compound Product]:[Compound Product]],$B50,BedPlan[Yield January 2025])</f>
        <v>0</v>
      </c>
      <c r="F50" s="33">
        <f>SUMIF(BedPlan[[Compound Product]:[Compound Product]],$B50,BedPlan[Yield February 2025])</f>
        <v>0</v>
      </c>
      <c r="G50" s="33">
        <f>SUMIF(BedPlan[[Compound Product]:[Compound Product]],$B50,BedPlan[Yield March 2025])</f>
        <v>0</v>
      </c>
      <c r="H50" s="33">
        <f>SUMIF(BedPlan[[Compound Product]:[Compound Product]],$B50,BedPlan[Yield April 2025])</f>
        <v>7.1022727272727266</v>
      </c>
      <c r="I50" s="33">
        <f>SUMIF(BedPlan[[Compound Product]:[Compound Product]],$B50,BedPlan[Yield May 2025])</f>
        <v>149.14772727272728</v>
      </c>
      <c r="J50" s="33">
        <f>SUMIF(BedPlan[[Compound Product]:[Compound Product]],$B50,BedPlan[Yield June 2025])</f>
        <v>62.5</v>
      </c>
      <c r="K50" s="33">
        <f>SUMIF(BedPlan[[Compound Product]:[Compound Product]],$B50,BedPlan[Yield July 2025])</f>
        <v>2.8409090909090908</v>
      </c>
      <c r="L50" s="33">
        <f>SUMIF(BedPlan[[Compound Product]:[Compound Product]],$B50,BedPlan[Yield August 2025])</f>
        <v>88.068181818181813</v>
      </c>
      <c r="M50" s="33">
        <f>SUMIF(BedPlan[[Compound Product]:[Compound Product]],$B50,BedPlan[Yield September 2025])</f>
        <v>142.04545454545453</v>
      </c>
      <c r="N50" s="33">
        <f>SUMIF(BedPlan[[Compound Product]:[Compound Product]],$B50,BedPlan[Yield October 2025])</f>
        <v>142.04545454545453</v>
      </c>
      <c r="O50" s="33">
        <f>SUMIF(BedPlan[[Compound Product]:[Compound Product]],$B50,BedPlan[Yield November 2025])</f>
        <v>0</v>
      </c>
      <c r="P50" s="33">
        <f>SUMIF(BedPlan[[Compound Product]:[Compound Product]],$B50,BedPlan[Yield December 2025])</f>
        <v>0</v>
      </c>
      <c r="Q50" s="37">
        <f t="shared" si="1"/>
        <v>593.74999999999989</v>
      </c>
      <c r="S50">
        <v>2</v>
      </c>
      <c r="X50" t="s">
        <v>3176</v>
      </c>
      <c r="AA50" t="str" cm="1">
        <f t="array" ref="AA50:AB50">_xlfn.TEXTSPLIT(X50," - ")</f>
        <v>Radish Storage Root</v>
      </c>
      <c r="AB50" t="str">
        <v>Lb</v>
      </c>
    </row>
    <row r="51" spans="2:28">
      <c r="B51" t="str">
        <v>Radish Storage Root - Lb</v>
      </c>
      <c r="C51">
        <f>SUMIF(BedPlan[[Compound Product]:[Compound Product]],$B51,BedPlan['# Of Beds])</f>
        <v>2</v>
      </c>
      <c r="D51" s="35">
        <f t="shared" si="2"/>
        <v>2.3374999999999999</v>
      </c>
      <c r="E51" s="33">
        <f>SUMIF(BedPlan[[Compound Product]:[Compound Product]],$B51,BedPlan[Yield January 2025])</f>
        <v>0</v>
      </c>
      <c r="F51" s="33">
        <f>SUMIF(BedPlan[[Compound Product]:[Compound Product]],$B51,BedPlan[Yield February 2025])</f>
        <v>0</v>
      </c>
      <c r="G51" s="33">
        <f>SUMIF(BedPlan[[Compound Product]:[Compound Product]],$B51,BedPlan[Yield March 2025])</f>
        <v>0</v>
      </c>
      <c r="H51" s="33">
        <f>SUMIF(BedPlan[[Compound Product]:[Compound Product]],$B51,BedPlan[Yield April 2025])</f>
        <v>0</v>
      </c>
      <c r="I51" s="33">
        <f>SUMIF(BedPlan[[Compound Product]:[Compound Product]],$B51,BedPlan[Yield May 2025])</f>
        <v>0</v>
      </c>
      <c r="J51" s="33">
        <f>SUMIF(BedPlan[[Compound Product]:[Compound Product]],$B51,BedPlan[Yield June 2025])</f>
        <v>0</v>
      </c>
      <c r="K51" s="33">
        <f>SUMIF(BedPlan[[Compound Product]:[Compound Product]],$B51,BedPlan[Yield July 2025])</f>
        <v>0</v>
      </c>
      <c r="L51" s="33">
        <f>SUMIF(BedPlan[[Compound Product]:[Compound Product]],$B51,BedPlan[Yield August 2025])</f>
        <v>101.2987012987013</v>
      </c>
      <c r="M51" s="33">
        <f>SUMIF(BedPlan[[Compound Product]:[Compound Product]],$B51,BedPlan[Yield September 2025])</f>
        <v>533.76623376623377</v>
      </c>
      <c r="N51" s="33">
        <f>SUMIF(BedPlan[[Compound Product]:[Compound Product]],$B51,BedPlan[Yield October 2025])</f>
        <v>136.36363636363635</v>
      </c>
      <c r="O51" s="33">
        <f>SUMIF(BedPlan[[Compound Product]:[Compound Product]],$B51,BedPlan[Yield November 2025])</f>
        <v>0</v>
      </c>
      <c r="P51" s="33">
        <f>SUMIF(BedPlan[[Compound Product]:[Compound Product]],$B51,BedPlan[Yield December 2025])</f>
        <v>0</v>
      </c>
      <c r="Q51" s="37">
        <f t="shared" si="1"/>
        <v>771.42857142857144</v>
      </c>
      <c r="S51">
        <v>2.75</v>
      </c>
      <c r="X51" t="s">
        <v>3177</v>
      </c>
      <c r="AA51" t="str" cm="1">
        <f t="array" ref="AA51:AB51">_xlfn.TEXTSPLIT(X51," - ")</f>
        <v>Scallion Mature Stalk</v>
      </c>
      <c r="AB51" t="str">
        <v>Bunch</v>
      </c>
    </row>
    <row r="52" spans="2:28">
      <c r="B52" t="str">
        <v>Rutabaga Mature Root - Root</v>
      </c>
      <c r="C52">
        <f>SUMIF(BedPlan[[Compound Product]:[Compound Product]],$B52,BedPlan['# Of Beds])</f>
        <v>2</v>
      </c>
      <c r="D52" s="35">
        <f t="shared" si="2"/>
        <v>2.5499999999999998</v>
      </c>
      <c r="E52" s="33">
        <f>SUMIF(BedPlan[[Compound Product]:[Compound Product]],$B52,BedPlan[Yield January 2025])</f>
        <v>0</v>
      </c>
      <c r="F52" s="33">
        <f>SUMIF(BedPlan[[Compound Product]:[Compound Product]],$B52,BedPlan[Yield February 2025])</f>
        <v>0</v>
      </c>
      <c r="G52" s="33">
        <f>SUMIF(BedPlan[[Compound Product]:[Compound Product]],$B52,BedPlan[Yield March 2025])</f>
        <v>0</v>
      </c>
      <c r="H52" s="33">
        <f>SUMIF(BedPlan[[Compound Product]:[Compound Product]],$B52,BedPlan[Yield April 2025])</f>
        <v>0</v>
      </c>
      <c r="I52" s="33">
        <f>SUMIF(BedPlan[[Compound Product]:[Compound Product]],$B52,BedPlan[Yield May 2025])</f>
        <v>0</v>
      </c>
      <c r="J52" s="33">
        <f>SUMIF(BedPlan[[Compound Product]:[Compound Product]],$B52,BedPlan[Yield June 2025])</f>
        <v>0</v>
      </c>
      <c r="K52" s="33">
        <f>SUMIF(BedPlan[[Compound Product]:[Compound Product]],$B52,BedPlan[Yield July 2025])</f>
        <v>0</v>
      </c>
      <c r="L52" s="33">
        <f>SUMIF(BedPlan[[Compound Product]:[Compound Product]],$B52,BedPlan[Yield August 2025])</f>
        <v>0</v>
      </c>
      <c r="M52" s="33">
        <f>SUMIF(BedPlan[[Compound Product]:[Compound Product]],$B52,BedPlan[Yield September 2025])</f>
        <v>0</v>
      </c>
      <c r="N52" s="33">
        <f>SUMIF(BedPlan[[Compound Product]:[Compound Product]],$B52,BedPlan[Yield October 2025])</f>
        <v>0</v>
      </c>
      <c r="O52" s="33">
        <f>SUMIF(BedPlan[[Compound Product]:[Compound Product]],$B52,BedPlan[Yield November 2025])</f>
        <v>218.18181818181819</v>
      </c>
      <c r="P52" s="33">
        <f>SUMIF(BedPlan[[Compound Product]:[Compound Product]],$B52,BedPlan[Yield December 2025])</f>
        <v>81.818181818181813</v>
      </c>
      <c r="Q52" s="37">
        <f t="shared" si="1"/>
        <v>300</v>
      </c>
      <c r="S52">
        <v>3</v>
      </c>
      <c r="X52" t="s">
        <v>3178</v>
      </c>
      <c r="AA52" t="str" cm="1">
        <f t="array" ref="AA52:AB52">_xlfn.TEXTSPLIT(X52," - ")</f>
        <v>Sorrel Mature Leaf</v>
      </c>
      <c r="AB52" t="str">
        <v>Bunch</v>
      </c>
    </row>
    <row r="53" spans="2:28">
      <c r="B53" t="str">
        <v>Scallion Mature Stalk - Bunch</v>
      </c>
      <c r="C53">
        <f>SUMIF(BedPlan[[Compound Product]:[Compound Product]],$B53,BedPlan['# Of Beds])</f>
        <v>2.5499999999999998</v>
      </c>
      <c r="D53" s="35">
        <f t="shared" si="2"/>
        <v>1.9124999999999999</v>
      </c>
      <c r="E53" s="33">
        <f>SUMIF(BedPlan[[Compound Product]:[Compound Product]],$B53,BedPlan[Yield January 2025])</f>
        <v>0</v>
      </c>
      <c r="F53" s="33">
        <f>SUMIF(BedPlan[[Compound Product]:[Compound Product]],$B53,BedPlan[Yield February 2025])</f>
        <v>0</v>
      </c>
      <c r="G53" s="33">
        <f>SUMIF(BedPlan[[Compound Product]:[Compound Product]],$B53,BedPlan[Yield March 2025])</f>
        <v>0</v>
      </c>
      <c r="H53" s="33">
        <f>SUMIF(BedPlan[[Compound Product]:[Compound Product]],$B53,BedPlan[Yield April 2025])</f>
        <v>0</v>
      </c>
      <c r="I53" s="33">
        <f>SUMIF(BedPlan[[Compound Product]:[Compound Product]],$B53,BedPlan[Yield May 2025])</f>
        <v>0</v>
      </c>
      <c r="J53" s="33">
        <f>SUMIF(BedPlan[[Compound Product]:[Compound Product]],$B53,BedPlan[Yield June 2025])</f>
        <v>20</v>
      </c>
      <c r="K53" s="33">
        <f>SUMIF(BedPlan[[Compound Product]:[Compound Product]],$B53,BedPlan[Yield July 2025])</f>
        <v>130</v>
      </c>
      <c r="L53" s="33">
        <f>SUMIF(BedPlan[[Compound Product]:[Compound Product]],$B53,BedPlan[Yield August 2025])</f>
        <v>160</v>
      </c>
      <c r="M53" s="33">
        <f>SUMIF(BedPlan[[Compound Product]:[Compound Product]],$B53,BedPlan[Yield September 2025])</f>
        <v>66.666666666666671</v>
      </c>
      <c r="N53" s="33">
        <f>SUMIF(BedPlan[[Compound Product]:[Compound Product]],$B53,BedPlan[Yield October 2025])</f>
        <v>4.4444444444444446</v>
      </c>
      <c r="O53" s="33">
        <f>SUMIF(BedPlan[[Compound Product]:[Compound Product]],$B53,BedPlan[Yield November 2025])</f>
        <v>62.222222222222229</v>
      </c>
      <c r="P53" s="33">
        <f>SUMIF(BedPlan[[Compound Product]:[Compound Product]],$B53,BedPlan[Yield December 2025])</f>
        <v>0</v>
      </c>
      <c r="Q53" s="37">
        <f t="shared" si="1"/>
        <v>443.33333333333337</v>
      </c>
      <c r="S53">
        <v>2.25</v>
      </c>
      <c r="X53" t="s">
        <v>3179</v>
      </c>
      <c r="AA53" t="str" cm="1">
        <f t="array" ref="AA53:AB53">_xlfn.TEXTSPLIT(X53," - ")</f>
        <v>Squash Storage</v>
      </c>
      <c r="AB53" t="str">
        <v>Lb</v>
      </c>
    </row>
    <row r="54" spans="2:28">
      <c r="B54" t="str">
        <v>Sorrel Mature Leaf - Bunch</v>
      </c>
      <c r="C54">
        <f>SUMIF(BedPlan[[Compound Product]:[Compound Product]],$B54,BedPlan['# Of Beds])</f>
        <v>0.4</v>
      </c>
      <c r="D54" s="35">
        <f t="shared" si="2"/>
        <v>1.7</v>
      </c>
      <c r="E54" s="33">
        <f>SUMIF(BedPlan[[Compound Product]:[Compound Product]],$B54,BedPlan[Yield January 2025])</f>
        <v>274.28571428571428</v>
      </c>
      <c r="F54" s="33">
        <f>SUMIF(BedPlan[[Compound Product]:[Compound Product]],$B54,BedPlan[Yield February 2025])</f>
        <v>0</v>
      </c>
      <c r="G54" s="33">
        <f>SUMIF(BedPlan[[Compound Product]:[Compound Product]],$B54,BedPlan[Yield March 2025])</f>
        <v>0</v>
      </c>
      <c r="H54" s="33">
        <f>SUMIF(BedPlan[[Compound Product]:[Compound Product]],$B54,BedPlan[Yield April 2025])</f>
        <v>0</v>
      </c>
      <c r="I54" s="33">
        <f>SUMIF(BedPlan[[Compound Product]:[Compound Product]],$B54,BedPlan[Yield May 2025])</f>
        <v>0</v>
      </c>
      <c r="J54" s="33">
        <f>SUMIF(BedPlan[[Compound Product]:[Compound Product]],$B54,BedPlan[Yield June 2025])</f>
        <v>0</v>
      </c>
      <c r="K54" s="33">
        <f>SUMIF(BedPlan[[Compound Product]:[Compound Product]],$B54,BedPlan[Yield July 2025])</f>
        <v>0</v>
      </c>
      <c r="L54" s="33">
        <f>SUMIF(BedPlan[[Compound Product]:[Compound Product]],$B54,BedPlan[Yield August 2025])</f>
        <v>0</v>
      </c>
      <c r="M54" s="33">
        <f>SUMIF(BedPlan[[Compound Product]:[Compound Product]],$B54,BedPlan[Yield September 2025])</f>
        <v>0</v>
      </c>
      <c r="N54" s="33">
        <f>SUMIF(BedPlan[[Compound Product]:[Compound Product]],$B54,BedPlan[Yield October 2025])</f>
        <v>0</v>
      </c>
      <c r="O54" s="33">
        <f>SUMIF(BedPlan[[Compound Product]:[Compound Product]],$B54,BedPlan[Yield November 2025])</f>
        <v>0</v>
      </c>
      <c r="P54" s="33">
        <f>SUMIF(BedPlan[[Compound Product]:[Compound Product]],$B54,BedPlan[Yield December 2025])</f>
        <v>0</v>
      </c>
      <c r="Q54" s="37">
        <f t="shared" si="1"/>
        <v>274.28571428571428</v>
      </c>
      <c r="S54">
        <v>2</v>
      </c>
      <c r="X54" t="s">
        <v>3180</v>
      </c>
      <c r="AA54" t="str" cm="1">
        <f t="array" ref="AA54:AB54">_xlfn.TEXTSPLIT(X54," - ")</f>
        <v>Summer Squash Ripe Fruit</v>
      </c>
      <c r="AB54" t="str">
        <v>Lb</v>
      </c>
    </row>
    <row r="55" spans="2:28">
      <c r="B55" t="str">
        <v>Squash Storage - Lb</v>
      </c>
      <c r="C55">
        <f>SUMIF(BedPlan[[Compound Product]:[Compound Product]],$B55,BedPlan['# Of Beds])</f>
        <v>17</v>
      </c>
      <c r="D55" s="35">
        <f t="shared" si="2"/>
        <v>0.85</v>
      </c>
      <c r="E55" s="33">
        <f>SUMIF(BedPlan[[Compound Product]:[Compound Product]],$B55,BedPlan[Yield January 2025])</f>
        <v>0</v>
      </c>
      <c r="F55" s="33">
        <f>SUMIF(BedPlan[[Compound Product]:[Compound Product]],$B55,BedPlan[Yield February 2025])</f>
        <v>0</v>
      </c>
      <c r="G55" s="33">
        <f>SUMIF(BedPlan[[Compound Product]:[Compound Product]],$B55,BedPlan[Yield March 2025])</f>
        <v>0</v>
      </c>
      <c r="H55" s="33">
        <f>SUMIF(BedPlan[[Compound Product]:[Compound Product]],$B55,BedPlan[Yield April 2025])</f>
        <v>0</v>
      </c>
      <c r="I55" s="33">
        <f>SUMIF(BedPlan[[Compound Product]:[Compound Product]],$B55,BedPlan[Yield May 2025])</f>
        <v>0</v>
      </c>
      <c r="J55" s="33">
        <f>SUMIF(BedPlan[[Compound Product]:[Compound Product]],$B55,BedPlan[Yield June 2025])</f>
        <v>0</v>
      </c>
      <c r="K55" s="33">
        <f>SUMIF(BedPlan[[Compound Product]:[Compound Product]],$B55,BedPlan[Yield July 2025])</f>
        <v>0</v>
      </c>
      <c r="L55" s="33">
        <f>SUMIF(BedPlan[[Compound Product]:[Compound Product]],$B55,BedPlan[Yield August 2025])</f>
        <v>2499.9999999999995</v>
      </c>
      <c r="M55" s="33">
        <f>SUMIF(BedPlan[[Compound Product]:[Compound Product]],$B55,BedPlan[Yield September 2025])</f>
        <v>0</v>
      </c>
      <c r="N55" s="33">
        <f>SUMIF(BedPlan[[Compound Product]:[Compound Product]],$B55,BedPlan[Yield October 2025])</f>
        <v>0</v>
      </c>
      <c r="O55" s="33">
        <f>SUMIF(BedPlan[[Compound Product]:[Compound Product]],$B55,BedPlan[Yield November 2025])</f>
        <v>0</v>
      </c>
      <c r="P55" s="33">
        <f>SUMIF(BedPlan[[Compound Product]:[Compound Product]],$B55,BedPlan[Yield December 2025])</f>
        <v>0</v>
      </c>
      <c r="Q55" s="37">
        <f t="shared" si="1"/>
        <v>2499.9999999999995</v>
      </c>
      <c r="S55">
        <v>1</v>
      </c>
      <c r="X55" t="s">
        <v>3182</v>
      </c>
      <c r="AA55" t="str" cm="1">
        <f t="array" ref="AA55:AB55">_xlfn.TEXTSPLIT(X55," - ")</f>
        <v>Swiss Chard Mature Leaf</v>
      </c>
      <c r="AB55" t="str">
        <v>Bunch</v>
      </c>
    </row>
    <row r="56" spans="2:28">
      <c r="B56" t="str">
        <v>Summer Squash Ripe Fruit - Lb</v>
      </c>
      <c r="C56">
        <f>SUMIF(BedPlan[[Compound Product]:[Compound Product]],$B56,BedPlan['# Of Beds])</f>
        <v>3</v>
      </c>
      <c r="D56" s="35">
        <f t="shared" si="2"/>
        <v>2.5499999999999998</v>
      </c>
      <c r="E56" s="33">
        <f>SUMIF(BedPlan[[Compound Product]:[Compound Product]],$B56,BedPlan[Yield January 2025])</f>
        <v>0</v>
      </c>
      <c r="F56" s="33">
        <f>SUMIF(BedPlan[[Compound Product]:[Compound Product]],$B56,BedPlan[Yield February 2025])</f>
        <v>0</v>
      </c>
      <c r="G56" s="33">
        <f>SUMIF(BedPlan[[Compound Product]:[Compound Product]],$B56,BedPlan[Yield March 2025])</f>
        <v>0</v>
      </c>
      <c r="H56" s="33">
        <f>SUMIF(BedPlan[[Compound Product]:[Compound Product]],$B56,BedPlan[Yield April 2025])</f>
        <v>0</v>
      </c>
      <c r="I56" s="33">
        <f>SUMIF(BedPlan[[Compound Product]:[Compound Product]],$B56,BedPlan[Yield May 2025])</f>
        <v>0</v>
      </c>
      <c r="J56" s="33">
        <f>SUMIF(BedPlan[[Compound Product]:[Compound Product]],$B56,BedPlan[Yield June 2025])</f>
        <v>130.49450549450549</v>
      </c>
      <c r="K56" s="33">
        <f>SUMIF(BedPlan[[Compound Product]:[Compound Product]],$B56,BedPlan[Yield July 2025])</f>
        <v>252.83310439560438</v>
      </c>
      <c r="L56" s="33">
        <f>SUMIF(BedPlan[[Compound Product]:[Compound Product]],$B56,BedPlan[Yield August 2025])</f>
        <v>252.83310439560438</v>
      </c>
      <c r="M56" s="33">
        <f>SUMIF(BedPlan[[Compound Product]:[Compound Product]],$B56,BedPlan[Yield September 2025])</f>
        <v>60.267857142857146</v>
      </c>
      <c r="N56" s="33">
        <f>SUMIF(BedPlan[[Compound Product]:[Compound Product]],$B56,BedPlan[Yield October 2025])</f>
        <v>0</v>
      </c>
      <c r="O56" s="33">
        <f>SUMIF(BedPlan[[Compound Product]:[Compound Product]],$B56,BedPlan[Yield November 2025])</f>
        <v>0</v>
      </c>
      <c r="P56" s="33">
        <f>SUMIF(BedPlan[[Compound Product]:[Compound Product]],$B56,BedPlan[Yield December 2025])</f>
        <v>0</v>
      </c>
      <c r="Q56" s="37">
        <f t="shared" si="1"/>
        <v>696.42857142857133</v>
      </c>
      <c r="S56">
        <v>3</v>
      </c>
      <c r="X56" t="s">
        <v>3183</v>
      </c>
      <c r="AA56" t="str" cm="1">
        <f t="array" ref="AA56:AB56">_xlfn.TEXTSPLIT(X56," - ")</f>
        <v>Tomatillo Ripe Fruit</v>
      </c>
      <c r="AB56" t="str">
        <v>Lb</v>
      </c>
    </row>
    <row r="57" spans="2:28">
      <c r="B57" t="str">
        <v>Swiss Chard Mature Leaf - Bunch</v>
      </c>
      <c r="C57">
        <f>SUMIF(BedPlan[[Compound Product]:[Compound Product]],$B57,BedPlan['# Of Beds])</f>
        <v>1</v>
      </c>
      <c r="D57" s="35">
        <f t="shared" si="2"/>
        <v>5.0999999999999996</v>
      </c>
      <c r="E57" s="33">
        <f>SUMIF(BedPlan[[Compound Product]:[Compound Product]],$B57,BedPlan[Yield January 2025])</f>
        <v>0</v>
      </c>
      <c r="F57" s="33">
        <f>SUMIF(BedPlan[[Compound Product]:[Compound Product]],$B57,BedPlan[Yield February 2025])</f>
        <v>0</v>
      </c>
      <c r="G57" s="33">
        <f>SUMIF(BedPlan[[Compound Product]:[Compound Product]],$B57,BedPlan[Yield March 2025])</f>
        <v>0</v>
      </c>
      <c r="H57" s="33">
        <f>SUMIF(BedPlan[[Compound Product]:[Compound Product]],$B57,BedPlan[Yield April 2025])</f>
        <v>0</v>
      </c>
      <c r="I57" s="33">
        <f>SUMIF(BedPlan[[Compound Product]:[Compound Product]],$B57,BedPlan[Yield May 2025])</f>
        <v>0</v>
      </c>
      <c r="J57" s="33">
        <f>SUMIF(BedPlan[[Compound Product]:[Compound Product]],$B57,BedPlan[Yield June 2025])</f>
        <v>35.79545454545454</v>
      </c>
      <c r="K57" s="33">
        <f>SUMIF(BedPlan[[Compound Product]:[Compound Product]],$B57,BedPlan[Yield July 2025])</f>
        <v>123.29545454545453</v>
      </c>
      <c r="L57" s="33">
        <f>SUMIF(BedPlan[[Compound Product]:[Compound Product]],$B57,BedPlan[Yield August 2025])</f>
        <v>123.29545454545453</v>
      </c>
      <c r="M57" s="33">
        <f>SUMIF(BedPlan[[Compound Product]:[Compound Product]],$B57,BedPlan[Yield September 2025])</f>
        <v>67.613636363636346</v>
      </c>
      <c r="N57" s="33">
        <f>SUMIF(BedPlan[[Compound Product]:[Compound Product]],$B57,BedPlan[Yield October 2025])</f>
        <v>0</v>
      </c>
      <c r="O57" s="33">
        <f>SUMIF(BedPlan[[Compound Product]:[Compound Product]],$B57,BedPlan[Yield November 2025])</f>
        <v>0</v>
      </c>
      <c r="P57" s="33">
        <f>SUMIF(BedPlan[[Compound Product]:[Compound Product]],$B57,BedPlan[Yield December 2025])</f>
        <v>0</v>
      </c>
      <c r="Q57" s="37">
        <f t="shared" si="1"/>
        <v>350</v>
      </c>
      <c r="S57">
        <v>6</v>
      </c>
      <c r="X57" t="s">
        <v>3184</v>
      </c>
      <c r="AA57" t="str" cm="1">
        <f t="array" ref="AA57:AB57">_xlfn.TEXTSPLIT(X57," - ")</f>
        <v>Tomato Ripe Fruit Large</v>
      </c>
      <c r="AB57" t="str">
        <v>Lb</v>
      </c>
    </row>
    <row r="58" spans="2:28">
      <c r="B58" t="str">
        <v>Tomatillo Ripe Fruit - Lb</v>
      </c>
      <c r="C58">
        <f>SUMIF(BedPlan[[Compound Product]:[Compound Product]],$B58,BedPlan['# Of Beds])</f>
        <v>1</v>
      </c>
      <c r="D58" s="35">
        <f t="shared" si="2"/>
        <v>4.25</v>
      </c>
      <c r="E58" s="33">
        <f>SUMIF(BedPlan[[Compound Product]:[Compound Product]],$B58,BedPlan[Yield January 2025])</f>
        <v>0</v>
      </c>
      <c r="F58" s="33">
        <f>SUMIF(BedPlan[[Compound Product]:[Compound Product]],$B58,BedPlan[Yield February 2025])</f>
        <v>0</v>
      </c>
      <c r="G58" s="33">
        <f>SUMIF(BedPlan[[Compound Product]:[Compound Product]],$B58,BedPlan[Yield March 2025])</f>
        <v>0</v>
      </c>
      <c r="H58" s="33">
        <f>SUMIF(BedPlan[[Compound Product]:[Compound Product]],$B58,BedPlan[Yield April 2025])</f>
        <v>0</v>
      </c>
      <c r="I58" s="33">
        <f>SUMIF(BedPlan[[Compound Product]:[Compound Product]],$B58,BedPlan[Yield May 2025])</f>
        <v>0</v>
      </c>
      <c r="J58" s="33">
        <f>SUMIF(BedPlan[[Compound Product]:[Compound Product]],$B58,BedPlan[Yield June 2025])</f>
        <v>3.7558685446009386</v>
      </c>
      <c r="K58" s="33">
        <f>SUMIF(BedPlan[[Compound Product]:[Compound Product]],$B58,BedPlan[Yield July 2025])</f>
        <v>116.43192488262909</v>
      </c>
      <c r="L58" s="33">
        <f>SUMIF(BedPlan[[Compound Product]:[Compound Product]],$B58,BedPlan[Yield August 2025])</f>
        <v>116.43192488262909</v>
      </c>
      <c r="M58" s="33">
        <f>SUMIF(BedPlan[[Compound Product]:[Compound Product]],$B58,BedPlan[Yield September 2025])</f>
        <v>30.046948356807508</v>
      </c>
      <c r="N58" s="33">
        <f>SUMIF(BedPlan[[Compound Product]:[Compound Product]],$B58,BedPlan[Yield October 2025])</f>
        <v>0</v>
      </c>
      <c r="O58" s="33">
        <f>SUMIF(BedPlan[[Compound Product]:[Compound Product]],$B58,BedPlan[Yield November 2025])</f>
        <v>0</v>
      </c>
      <c r="P58" s="33">
        <f>SUMIF(BedPlan[[Compound Product]:[Compound Product]],$B58,BedPlan[Yield December 2025])</f>
        <v>0</v>
      </c>
      <c r="Q58" s="37">
        <f t="shared" si="1"/>
        <v>266.66666666666663</v>
      </c>
      <c r="S58">
        <v>5</v>
      </c>
      <c r="X58" t="s">
        <v>3186</v>
      </c>
      <c r="AA58" t="str" cm="1">
        <f t="array" ref="AA58:AB58">_xlfn.TEXTSPLIT(X58," - ")</f>
        <v>Tomato Ripe Fruit Small</v>
      </c>
      <c r="AB58" t="str">
        <v>Lb</v>
      </c>
    </row>
    <row r="59" spans="2:28">
      <c r="B59" t="str">
        <v>Tomato Ripe Fruit Large - Lb</v>
      </c>
      <c r="C59">
        <f>SUMIF(BedPlan[[Compound Product]:[Compound Product]],$B59,BedPlan['# Of Beds])</f>
        <v>10.5</v>
      </c>
      <c r="D59" s="35">
        <f t="shared" si="2"/>
        <v>5.95</v>
      </c>
      <c r="E59" s="33">
        <f>SUMIF(BedPlan[[Compound Product]:[Compound Product]],$B59,BedPlan[Yield January 2025])</f>
        <v>0</v>
      </c>
      <c r="F59" s="33">
        <f>SUMIF(BedPlan[[Compound Product]:[Compound Product]],$B59,BedPlan[Yield February 2025])</f>
        <v>0</v>
      </c>
      <c r="G59" s="33">
        <f>SUMIF(BedPlan[[Compound Product]:[Compound Product]],$B59,BedPlan[Yield March 2025])</f>
        <v>0</v>
      </c>
      <c r="H59" s="33">
        <f>SUMIF(BedPlan[[Compound Product]:[Compound Product]],$B59,BedPlan[Yield April 2025])</f>
        <v>0</v>
      </c>
      <c r="I59" s="33">
        <f>SUMIF(BedPlan[[Compound Product]:[Compound Product]],$B59,BedPlan[Yield May 2025])</f>
        <v>0</v>
      </c>
      <c r="J59" s="33">
        <f>SUMIF(BedPlan[[Compound Product]:[Compound Product]],$B59,BedPlan[Yield June 2025])</f>
        <v>0</v>
      </c>
      <c r="K59" s="33">
        <f>SUMIF(BedPlan[[Compound Product]:[Compound Product]],$B59,BedPlan[Yield July 2025])</f>
        <v>5.8823529411764701</v>
      </c>
      <c r="L59" s="33">
        <f>SUMIF(BedPlan[[Compound Product]:[Compound Product]],$B59,BedPlan[Yield August 2025])</f>
        <v>1567.7389705882354</v>
      </c>
      <c r="M59" s="33">
        <f>SUMIF(BedPlan[[Compound Product]:[Compound Product]],$B59,BedPlan[Yield September 2025])</f>
        <v>1846.0477941176471</v>
      </c>
      <c r="N59" s="33">
        <f>SUMIF(BedPlan[[Compound Product]:[Compound Product]],$B59,BedPlan[Yield October 2025])</f>
        <v>580.33088235294122</v>
      </c>
      <c r="O59" s="33">
        <f>SUMIF(BedPlan[[Compound Product]:[Compound Product]],$B59,BedPlan[Yield November 2025])</f>
        <v>0</v>
      </c>
      <c r="P59" s="33">
        <f>SUMIF(BedPlan[[Compound Product]:[Compound Product]],$B59,BedPlan[Yield December 2025])</f>
        <v>0</v>
      </c>
      <c r="Q59" s="37">
        <f t="shared" si="1"/>
        <v>4000</v>
      </c>
      <c r="S59">
        <v>7</v>
      </c>
      <c r="X59" t="s">
        <v>3185</v>
      </c>
      <c r="AA59" t="str" cm="1">
        <f t="array" ref="AA59:AB59">_xlfn.TEXTSPLIT(X59," - ")</f>
        <v>Tomato Ripe Fruit Medium</v>
      </c>
      <c r="AB59" t="str">
        <v>Lb</v>
      </c>
    </row>
    <row r="60" spans="2:28">
      <c r="B60" t="str">
        <v>Tomato Ripe Fruit Small - Lb</v>
      </c>
      <c r="C60">
        <f>SUMIF(BedPlan[[Compound Product]:[Compound Product]],$B60,BedPlan['# Of Beds])</f>
        <v>9.5</v>
      </c>
      <c r="D60" s="35">
        <f t="shared" si="2"/>
        <v>5.95</v>
      </c>
      <c r="E60" s="33">
        <f>SUMIF(BedPlan[[Compound Product]:[Compound Product]],$B60,BedPlan[Yield January 2025])</f>
        <v>0</v>
      </c>
      <c r="F60" s="33">
        <f>SUMIF(BedPlan[[Compound Product]:[Compound Product]],$B60,BedPlan[Yield February 2025])</f>
        <v>0</v>
      </c>
      <c r="G60" s="33">
        <f>SUMIF(BedPlan[[Compound Product]:[Compound Product]],$B60,BedPlan[Yield March 2025])</f>
        <v>0</v>
      </c>
      <c r="H60" s="33">
        <f>SUMIF(BedPlan[[Compound Product]:[Compound Product]],$B60,BedPlan[Yield April 2025])</f>
        <v>0</v>
      </c>
      <c r="I60" s="33">
        <f>SUMIF(BedPlan[[Compound Product]:[Compound Product]],$B60,BedPlan[Yield May 2025])</f>
        <v>0</v>
      </c>
      <c r="J60" s="33">
        <f>SUMIF(BedPlan[[Compound Product]:[Compound Product]],$B60,BedPlan[Yield June 2025])</f>
        <v>1.4749262536873156</v>
      </c>
      <c r="K60" s="33">
        <f>SUMIF(BedPlan[[Compound Product]:[Compound Product]],$B60,BedPlan[Yield July 2025])</f>
        <v>45.722713864306776</v>
      </c>
      <c r="L60" s="33">
        <f>SUMIF(BedPlan[[Compound Product]:[Compound Product]],$B60,BedPlan[Yield August 2025])</f>
        <v>363.90453204612498</v>
      </c>
      <c r="M60" s="33">
        <f>SUMIF(BedPlan[[Compound Product]:[Compound Product]],$B60,BedPlan[Yield September 2025])</f>
        <v>839.70233306516502</v>
      </c>
      <c r="N60" s="33">
        <f>SUMIF(BedPlan[[Compound Product]:[Compound Product]],$B60,BedPlan[Yield October 2025])</f>
        <v>851.46822204344335</v>
      </c>
      <c r="O60" s="33">
        <f>SUMIF(BedPlan[[Compound Product]:[Compound Product]],$B60,BedPlan[Yield November 2025])</f>
        <v>689.39393939393949</v>
      </c>
      <c r="P60" s="33">
        <f>SUMIF(BedPlan[[Compound Product]:[Compound Product]],$B60,BedPlan[Yield December 2025])</f>
        <v>0</v>
      </c>
      <c r="Q60" s="37">
        <f t="shared" si="1"/>
        <v>2791.666666666667</v>
      </c>
      <c r="S60">
        <v>7</v>
      </c>
      <c r="X60" t="s">
        <v>3187</v>
      </c>
      <c r="AA60" t="str" cm="1">
        <f t="array" ref="AA60:AB60">_xlfn.TEXTSPLIT(X60," - ")</f>
        <v>Turnip Mature Root</v>
      </c>
      <c r="AB60" t="str">
        <v>Bunch</v>
      </c>
    </row>
    <row r="61" spans="2:28">
      <c r="B61" t="str">
        <v>Tomato Ripe Fruit Medium - Lb</v>
      </c>
      <c r="C61">
        <f>SUMIF(BedPlan[[Compound Product]:[Compound Product]],$B61,BedPlan['# Of Beds])</f>
        <v>11</v>
      </c>
      <c r="D61" s="35">
        <f t="shared" si="2"/>
        <v>2.5499999999999998</v>
      </c>
      <c r="E61" s="33">
        <f>SUMIF(BedPlan[[Compound Product]:[Compound Product]],$B61,BedPlan[Yield January 2025])</f>
        <v>0</v>
      </c>
      <c r="F61" s="33">
        <f>SUMIF(BedPlan[[Compound Product]:[Compound Product]],$B61,BedPlan[Yield February 2025])</f>
        <v>0</v>
      </c>
      <c r="G61" s="33">
        <f>SUMIF(BedPlan[[Compound Product]:[Compound Product]],$B61,BedPlan[Yield March 2025])</f>
        <v>0</v>
      </c>
      <c r="H61" s="33">
        <f>SUMIF(BedPlan[[Compound Product]:[Compound Product]],$B61,BedPlan[Yield April 2025])</f>
        <v>0</v>
      </c>
      <c r="I61" s="33">
        <f>SUMIF(BedPlan[[Compound Product]:[Compound Product]],$B61,BedPlan[Yield May 2025])</f>
        <v>0</v>
      </c>
      <c r="J61" s="33">
        <f>SUMIF(BedPlan[[Compound Product]:[Compound Product]],$B61,BedPlan[Yield June 2025])</f>
        <v>0</v>
      </c>
      <c r="K61" s="33">
        <f>SUMIF(BedPlan[[Compound Product]:[Compound Product]],$B61,BedPlan[Yield July 2025])</f>
        <v>0</v>
      </c>
      <c r="L61" s="33">
        <f>SUMIF(BedPlan[[Compound Product]:[Compound Product]],$B61,BedPlan[Yield August 2025])</f>
        <v>168.75</v>
      </c>
      <c r="M61" s="33">
        <f>SUMIF(BedPlan[[Compound Product]:[Compound Product]],$B61,BedPlan[Yield September 2025])</f>
        <v>1209.375</v>
      </c>
      <c r="N61" s="33">
        <f>SUMIF(BedPlan[[Compound Product]:[Compound Product]],$B61,BedPlan[Yield October 2025])</f>
        <v>1457.8125</v>
      </c>
      <c r="O61" s="33">
        <f>SUMIF(BedPlan[[Compound Product]:[Compound Product]],$B61,BedPlan[Yield November 2025])</f>
        <v>464.0625</v>
      </c>
      <c r="P61" s="33">
        <f>SUMIF(BedPlan[[Compound Product]:[Compound Product]],$B61,BedPlan[Yield December 2025])</f>
        <v>0</v>
      </c>
      <c r="Q61" s="37">
        <f t="shared" si="1"/>
        <v>3300</v>
      </c>
      <c r="S61">
        <v>3</v>
      </c>
    </row>
    <row r="62" spans="2:28">
      <c r="B62" t="str">
        <v>Turnip Mature Root - Bunch</v>
      </c>
      <c r="C62">
        <f>SUMIF(BedPlan[[Compound Product]:[Compound Product]],$B62,BedPlan['# Of Beds])</f>
        <v>3.75</v>
      </c>
      <c r="D62" s="35">
        <f t="shared" si="2"/>
        <v>0</v>
      </c>
      <c r="E62" s="33">
        <f>SUMIF(BedPlan[[Compound Product]:[Compound Product]],$B62,BedPlan[Yield January 2025])</f>
        <v>0</v>
      </c>
      <c r="F62" s="33">
        <f>SUMIF(BedPlan[[Compound Product]:[Compound Product]],$B62,BedPlan[Yield February 2025])</f>
        <v>0</v>
      </c>
      <c r="G62" s="33">
        <f>SUMIF(BedPlan[[Compound Product]:[Compound Product]],$B62,BedPlan[Yield March 2025])</f>
        <v>0</v>
      </c>
      <c r="H62" s="33">
        <f>SUMIF(BedPlan[[Compound Product]:[Compound Product]],$B62,BedPlan[Yield April 2025])</f>
        <v>0</v>
      </c>
      <c r="I62" s="33">
        <f>SUMIF(BedPlan[[Compound Product]:[Compound Product]],$B62,BedPlan[Yield May 2025])</f>
        <v>25</v>
      </c>
      <c r="J62" s="33">
        <f>SUMIF(BedPlan[[Compound Product]:[Compound Product]],$B62,BedPlan[Yield June 2025])</f>
        <v>50</v>
      </c>
      <c r="K62" s="33">
        <f>SUMIF(BedPlan[[Compound Product]:[Compound Product]],$B62,BedPlan[Yield July 2025])</f>
        <v>0</v>
      </c>
      <c r="L62" s="33">
        <f>SUMIF(BedPlan[[Compound Product]:[Compound Product]],$B62,BedPlan[Yield August 2025])</f>
        <v>56.666666666666664</v>
      </c>
      <c r="M62" s="33">
        <f>SUMIF(BedPlan[[Compound Product]:[Compound Product]],$B62,BedPlan[Yield September 2025])</f>
        <v>100.00000000000001</v>
      </c>
      <c r="N62" s="33">
        <f>SUMIF(BedPlan[[Compound Product]:[Compound Product]],$B62,BedPlan[Yield October 2025])</f>
        <v>143.33333333333334</v>
      </c>
      <c r="O62" s="33">
        <f>SUMIF(BedPlan[[Compound Product]:[Compound Product]],$B62,BedPlan[Yield November 2025])</f>
        <v>0</v>
      </c>
      <c r="P62" s="33">
        <f>SUMIF(BedPlan[[Compound Product]:[Compound Product]],$B62,BedPlan[Yield December 2025])</f>
        <v>0</v>
      </c>
      <c r="Q62" s="37">
        <f t="shared" si="1"/>
        <v>375</v>
      </c>
    </row>
  </sheetData>
  <phoneticPr fontId="4" type="noConversion"/>
  <conditionalFormatting sqref="S2 B2:Q62">
    <cfRule type="expression" dxfId="33" priority="1">
      <formula>MOD(ROW(B2),2)=0</formula>
    </cfRule>
  </conditionalFormatting>
  <pageMargins left="0.7" right="0.7" top="0.75" bottom="0.75" header="0.3" footer="0.3"/>
  <pageSetup scale="71" fitToHeight="0" orientation="landscape" horizontalDpi="360" verticalDpi="36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E8EDA-7A22-4C22-961B-B013331B869F}">
  <sheetPr codeName="Sheet19"/>
  <dimension ref="B2:P61"/>
  <sheetViews>
    <sheetView topLeftCell="A29" workbookViewId="0">
      <selection activeCell="X42" sqref="X42"/>
    </sheetView>
  </sheetViews>
  <sheetFormatPr baseColWidth="10" defaultColWidth="8.83203125" defaultRowHeight="15"/>
  <cols>
    <col min="2" max="2" width="41.33203125" bestFit="1" customWidth="1"/>
    <col min="3" max="8" width="5.1640625" bestFit="1" customWidth="1"/>
    <col min="9" max="12" width="7" bestFit="1" customWidth="1"/>
    <col min="13" max="14" width="5.1640625" bestFit="1" customWidth="1"/>
    <col min="15" max="15" width="7" bestFit="1" customWidth="1"/>
    <col min="16" max="16" width="8" bestFit="1" customWidth="1"/>
  </cols>
  <sheetData>
    <row r="2" spans="2:16">
      <c r="B2" s="193" t="s">
        <v>7</v>
      </c>
      <c r="C2" s="269" t="s">
        <v>222</v>
      </c>
      <c r="D2" s="269" t="s">
        <v>223</v>
      </c>
      <c r="E2" s="269" t="s">
        <v>224</v>
      </c>
      <c r="F2" s="269" t="s">
        <v>225</v>
      </c>
      <c r="G2" s="269" t="s">
        <v>226</v>
      </c>
      <c r="H2" s="269" t="s">
        <v>227</v>
      </c>
      <c r="I2" s="269" t="s">
        <v>228</v>
      </c>
      <c r="J2" s="269" t="s">
        <v>229</v>
      </c>
      <c r="K2" s="269" t="s">
        <v>230</v>
      </c>
      <c r="L2" s="269" t="s">
        <v>231</v>
      </c>
      <c r="M2" s="269" t="s">
        <v>232</v>
      </c>
      <c r="N2" s="269" t="s">
        <v>233</v>
      </c>
      <c r="O2" s="269" t="s">
        <v>268</v>
      </c>
      <c r="P2" s="269" t="s">
        <v>3127</v>
      </c>
    </row>
    <row r="3" spans="2:16">
      <c r="B3" t="s">
        <v>3129</v>
      </c>
      <c r="C3" s="33">
        <v>0</v>
      </c>
      <c r="D3" s="33">
        <v>0</v>
      </c>
      <c r="E3" s="33">
        <v>0</v>
      </c>
      <c r="F3" s="33">
        <v>0</v>
      </c>
      <c r="G3" s="33">
        <v>16.875</v>
      </c>
      <c r="H3" s="33">
        <v>0</v>
      </c>
      <c r="I3" s="33">
        <v>0</v>
      </c>
      <c r="J3" s="33">
        <v>0</v>
      </c>
      <c r="K3" s="33">
        <v>0</v>
      </c>
      <c r="L3" s="33">
        <v>0</v>
      </c>
      <c r="M3" s="33">
        <v>0</v>
      </c>
      <c r="N3" s="33">
        <v>0</v>
      </c>
      <c r="O3" s="37">
        <v>16.875</v>
      </c>
      <c r="P3" s="35">
        <v>8.1300813008130088</v>
      </c>
    </row>
    <row r="4" spans="2:16">
      <c r="B4" t="s">
        <v>3130</v>
      </c>
      <c r="C4" s="33">
        <v>0</v>
      </c>
      <c r="D4" s="33">
        <v>0</v>
      </c>
      <c r="E4" s="33">
        <v>0</v>
      </c>
      <c r="F4" s="33">
        <v>0</v>
      </c>
      <c r="G4" s="33">
        <v>0</v>
      </c>
      <c r="H4" s="33">
        <v>213.33333333333331</v>
      </c>
      <c r="I4" s="33">
        <v>0</v>
      </c>
      <c r="J4" s="33">
        <v>0</v>
      </c>
      <c r="K4" s="33">
        <v>0</v>
      </c>
      <c r="L4" s="33">
        <v>0</v>
      </c>
      <c r="M4" s="33">
        <v>0</v>
      </c>
      <c r="N4" s="33">
        <v>0</v>
      </c>
      <c r="O4" s="37">
        <v>213.33333333333331</v>
      </c>
      <c r="P4" s="35">
        <v>2.4390243902439024</v>
      </c>
    </row>
    <row r="5" spans="2:16">
      <c r="B5" t="s">
        <v>3131</v>
      </c>
      <c r="C5" s="33">
        <v>0</v>
      </c>
      <c r="D5" s="33">
        <v>0</v>
      </c>
      <c r="E5" s="33">
        <v>0</v>
      </c>
      <c r="F5" s="33">
        <v>0</v>
      </c>
      <c r="G5" s="33">
        <v>8.3333333333333321</v>
      </c>
      <c r="H5" s="33">
        <v>16.666666666666664</v>
      </c>
      <c r="I5" s="33">
        <v>0</v>
      </c>
      <c r="J5" s="33">
        <v>0</v>
      </c>
      <c r="K5" s="33">
        <v>0</v>
      </c>
      <c r="L5" s="33">
        <v>0</v>
      </c>
      <c r="M5" s="33">
        <v>0</v>
      </c>
      <c r="N5" s="33">
        <v>0</v>
      </c>
      <c r="O5" s="37">
        <v>24.999999999999996</v>
      </c>
      <c r="P5" s="35">
        <v>8.1300813008130088</v>
      </c>
    </row>
    <row r="6" spans="2:16">
      <c r="B6" t="s">
        <v>3132</v>
      </c>
      <c r="C6" s="33">
        <v>0</v>
      </c>
      <c r="D6" s="33">
        <v>0</v>
      </c>
      <c r="E6" s="33">
        <v>0</v>
      </c>
      <c r="F6" s="33">
        <v>0</v>
      </c>
      <c r="G6" s="33">
        <v>0</v>
      </c>
      <c r="H6" s="33">
        <v>0</v>
      </c>
      <c r="I6" s="33">
        <v>13.5</v>
      </c>
      <c r="J6" s="33">
        <v>57.5</v>
      </c>
      <c r="K6" s="33">
        <v>54</v>
      </c>
      <c r="L6" s="33">
        <v>0</v>
      </c>
      <c r="M6" s="33">
        <v>0</v>
      </c>
      <c r="N6" s="33">
        <v>0</v>
      </c>
      <c r="O6" s="37">
        <v>125</v>
      </c>
      <c r="P6" s="35">
        <v>2.6422764227642275</v>
      </c>
    </row>
    <row r="7" spans="2:16">
      <c r="B7" t="s">
        <v>3133</v>
      </c>
      <c r="C7" s="33">
        <v>0</v>
      </c>
      <c r="D7" s="33">
        <v>0</v>
      </c>
      <c r="E7" s="33">
        <v>0</v>
      </c>
      <c r="F7" s="33">
        <v>0</v>
      </c>
      <c r="G7" s="33">
        <v>0</v>
      </c>
      <c r="H7" s="33">
        <v>0</v>
      </c>
      <c r="I7" s="33">
        <v>6.3716814159292037</v>
      </c>
      <c r="J7" s="33">
        <v>16.460176991150441</v>
      </c>
      <c r="K7" s="33">
        <v>15.929203539823011</v>
      </c>
      <c r="L7" s="33">
        <v>16.460176991150441</v>
      </c>
      <c r="M7" s="33">
        <v>4.778761061946903</v>
      </c>
      <c r="N7" s="33">
        <v>0</v>
      </c>
      <c r="O7" s="37">
        <v>60</v>
      </c>
      <c r="P7" s="35">
        <v>5.691056910569106</v>
      </c>
    </row>
    <row r="8" spans="2:16">
      <c r="B8" t="s">
        <v>3134</v>
      </c>
      <c r="C8" s="33">
        <v>0</v>
      </c>
      <c r="D8" s="33">
        <v>0</v>
      </c>
      <c r="E8" s="33">
        <v>0</v>
      </c>
      <c r="F8" s="33">
        <v>0</v>
      </c>
      <c r="G8" s="33">
        <v>0</v>
      </c>
      <c r="H8" s="33">
        <v>0</v>
      </c>
      <c r="I8" s="33">
        <v>0</v>
      </c>
      <c r="J8" s="33">
        <v>165.45454545454544</v>
      </c>
      <c r="K8" s="33">
        <v>94.545454545454547</v>
      </c>
      <c r="L8" s="33">
        <v>0</v>
      </c>
      <c r="M8" s="33">
        <v>0</v>
      </c>
      <c r="N8" s="33">
        <v>0</v>
      </c>
      <c r="O8" s="37">
        <v>260</v>
      </c>
      <c r="P8" s="35">
        <v>6.5040650406504064</v>
      </c>
    </row>
    <row r="9" spans="2:16">
      <c r="B9" t="s">
        <v>3135</v>
      </c>
      <c r="C9" s="33">
        <v>0</v>
      </c>
      <c r="D9" s="33">
        <v>0</v>
      </c>
      <c r="E9" s="33">
        <v>0</v>
      </c>
      <c r="F9" s="33">
        <v>0</v>
      </c>
      <c r="G9" s="33">
        <v>0</v>
      </c>
      <c r="H9" s="33">
        <v>22.222222222222221</v>
      </c>
      <c r="I9" s="33">
        <v>172.22222222222223</v>
      </c>
      <c r="J9" s="33">
        <v>365.77777777777777</v>
      </c>
      <c r="K9" s="33">
        <v>319.77777777777777</v>
      </c>
      <c r="L9" s="33">
        <v>0</v>
      </c>
      <c r="M9" s="33">
        <v>0</v>
      </c>
      <c r="N9" s="33">
        <v>0</v>
      </c>
      <c r="O9" s="37">
        <v>880</v>
      </c>
      <c r="P9" s="35">
        <v>3.2520325203252032</v>
      </c>
    </row>
    <row r="10" spans="2:16">
      <c r="B10" t="s">
        <v>3136</v>
      </c>
      <c r="C10" s="33">
        <v>0</v>
      </c>
      <c r="D10" s="33">
        <v>0</v>
      </c>
      <c r="E10" s="33">
        <v>0</v>
      </c>
      <c r="F10" s="33">
        <v>0</v>
      </c>
      <c r="G10" s="33">
        <v>0</v>
      </c>
      <c r="H10" s="33">
        <v>0</v>
      </c>
      <c r="I10" s="33">
        <v>0</v>
      </c>
      <c r="J10" s="33">
        <v>48.484848484848477</v>
      </c>
      <c r="K10" s="33">
        <v>58.181818181818173</v>
      </c>
      <c r="L10" s="33">
        <v>0</v>
      </c>
      <c r="M10" s="33">
        <v>0</v>
      </c>
      <c r="N10" s="33">
        <v>0</v>
      </c>
      <c r="O10" s="37">
        <v>106.66666666666666</v>
      </c>
      <c r="P10" s="35">
        <v>3.2520325203252032</v>
      </c>
    </row>
    <row r="11" spans="2:16">
      <c r="B11" t="s">
        <v>3137</v>
      </c>
      <c r="C11" s="33">
        <v>0</v>
      </c>
      <c r="D11" s="33">
        <v>0</v>
      </c>
      <c r="E11" s="33">
        <v>0</v>
      </c>
      <c r="F11" s="33">
        <v>0</v>
      </c>
      <c r="G11" s="33">
        <v>0</v>
      </c>
      <c r="H11" s="33">
        <v>30.333333333333332</v>
      </c>
      <c r="I11" s="33">
        <v>296.33333333333331</v>
      </c>
      <c r="J11" s="33">
        <v>138.18181818181816</v>
      </c>
      <c r="K11" s="33">
        <v>228.48484848484847</v>
      </c>
      <c r="L11" s="33">
        <v>0</v>
      </c>
      <c r="M11" s="33">
        <v>0</v>
      </c>
      <c r="N11" s="33">
        <v>0</v>
      </c>
      <c r="O11" s="37">
        <v>693.33333333333326</v>
      </c>
      <c r="P11" s="35">
        <v>5.3658536585365848</v>
      </c>
    </row>
    <row r="12" spans="2:16">
      <c r="B12" t="s">
        <v>3138</v>
      </c>
      <c r="C12" s="33">
        <v>0</v>
      </c>
      <c r="D12" s="33">
        <v>0</v>
      </c>
      <c r="E12" s="33">
        <v>0</v>
      </c>
      <c r="F12" s="33">
        <v>0</v>
      </c>
      <c r="G12" s="33">
        <v>0</v>
      </c>
      <c r="H12" s="33">
        <v>0</v>
      </c>
      <c r="I12" s="33">
        <v>0</v>
      </c>
      <c r="J12" s="33">
        <v>510</v>
      </c>
      <c r="K12" s="33">
        <v>90</v>
      </c>
      <c r="L12" s="33">
        <v>0</v>
      </c>
      <c r="M12" s="33">
        <v>0</v>
      </c>
      <c r="N12" s="33">
        <v>0</v>
      </c>
      <c r="O12" s="37">
        <v>600</v>
      </c>
      <c r="P12" s="35">
        <v>3.2520325203252032</v>
      </c>
    </row>
    <row r="13" spans="2:16">
      <c r="B13" t="s">
        <v>3139</v>
      </c>
      <c r="C13" s="33">
        <v>0</v>
      </c>
      <c r="D13" s="33">
        <v>0</v>
      </c>
      <c r="E13" s="33">
        <v>0</v>
      </c>
      <c r="F13" s="33">
        <v>0</v>
      </c>
      <c r="G13" s="33">
        <v>0</v>
      </c>
      <c r="H13" s="33">
        <v>190.90909090909091</v>
      </c>
      <c r="I13" s="33">
        <v>124.67532467532467</v>
      </c>
      <c r="J13" s="33">
        <v>642.85714285714289</v>
      </c>
      <c r="K13" s="33">
        <v>70.129870129870127</v>
      </c>
      <c r="L13" s="33">
        <v>0</v>
      </c>
      <c r="M13" s="33">
        <v>0</v>
      </c>
      <c r="N13" s="33">
        <v>0</v>
      </c>
      <c r="O13" s="37">
        <v>1028.5714285714287</v>
      </c>
      <c r="P13" s="35">
        <v>3.2520325203252032</v>
      </c>
    </row>
    <row r="14" spans="2:16">
      <c r="B14" t="s">
        <v>3140</v>
      </c>
      <c r="C14" s="33">
        <v>0</v>
      </c>
      <c r="D14" s="33">
        <v>0</v>
      </c>
      <c r="E14" s="33">
        <v>0</v>
      </c>
      <c r="F14" s="33">
        <v>0</v>
      </c>
      <c r="G14" s="33">
        <v>0</v>
      </c>
      <c r="H14" s="33">
        <v>0</v>
      </c>
      <c r="I14" s="33">
        <v>0</v>
      </c>
      <c r="J14" s="33">
        <v>73.63636363636364</v>
      </c>
      <c r="K14" s="33">
        <v>237.27272727272728</v>
      </c>
      <c r="L14" s="33">
        <v>229.09090909090909</v>
      </c>
      <c r="M14" s="33">
        <v>0</v>
      </c>
      <c r="N14" s="33">
        <v>0</v>
      </c>
      <c r="O14" s="37">
        <v>540</v>
      </c>
      <c r="P14" s="35">
        <v>2.845528455284553</v>
      </c>
    </row>
    <row r="15" spans="2:16">
      <c r="B15" t="s">
        <v>3141</v>
      </c>
      <c r="C15" s="33">
        <v>0</v>
      </c>
      <c r="D15" s="33">
        <v>0</v>
      </c>
      <c r="E15" s="33">
        <v>0</v>
      </c>
      <c r="F15" s="33">
        <v>0</v>
      </c>
      <c r="G15" s="33">
        <v>0</v>
      </c>
      <c r="H15" s="33">
        <v>0</v>
      </c>
      <c r="I15" s="33">
        <v>0</v>
      </c>
      <c r="J15" s="33">
        <v>0</v>
      </c>
      <c r="K15" s="33">
        <v>106.49350649350649</v>
      </c>
      <c r="L15" s="33">
        <v>7.7922077922077913</v>
      </c>
      <c r="M15" s="33">
        <v>0</v>
      </c>
      <c r="N15" s="33">
        <v>0</v>
      </c>
      <c r="O15" s="37">
        <v>114.28571428571428</v>
      </c>
      <c r="P15" s="35">
        <v>7.3170731707317076</v>
      </c>
    </row>
    <row r="16" spans="2:16">
      <c r="B16" t="s">
        <v>3142</v>
      </c>
      <c r="C16" s="33">
        <v>0</v>
      </c>
      <c r="D16" s="33">
        <v>0</v>
      </c>
      <c r="E16" s="33">
        <v>0</v>
      </c>
      <c r="F16" s="33">
        <v>0</v>
      </c>
      <c r="G16" s="33">
        <v>0</v>
      </c>
      <c r="H16" s="33">
        <v>0</v>
      </c>
      <c r="I16" s="33">
        <v>316.2162162162162</v>
      </c>
      <c r="J16" s="33">
        <v>377.02702702702697</v>
      </c>
      <c r="K16" s="33">
        <v>364.86486486486484</v>
      </c>
      <c r="L16" s="33">
        <v>377.02702702702697</v>
      </c>
      <c r="M16" s="33">
        <v>364.86486486486484</v>
      </c>
      <c r="N16" s="33">
        <v>0</v>
      </c>
      <c r="O16" s="37">
        <v>1799.9999999999998</v>
      </c>
      <c r="P16" s="35">
        <v>2.845528455284553</v>
      </c>
    </row>
    <row r="17" spans="2:16">
      <c r="B17" t="s">
        <v>3143</v>
      </c>
      <c r="C17" s="33">
        <v>0</v>
      </c>
      <c r="D17" s="33">
        <v>0</v>
      </c>
      <c r="E17" s="33">
        <v>0</v>
      </c>
      <c r="F17" s="33">
        <v>0</v>
      </c>
      <c r="G17" s="33">
        <v>25</v>
      </c>
      <c r="H17" s="33">
        <v>0</v>
      </c>
      <c r="I17" s="33">
        <v>0</v>
      </c>
      <c r="J17" s="33">
        <v>0</v>
      </c>
      <c r="K17" s="33">
        <v>0</v>
      </c>
      <c r="L17" s="33">
        <v>0</v>
      </c>
      <c r="M17" s="33">
        <v>0</v>
      </c>
      <c r="N17" s="33">
        <v>0</v>
      </c>
      <c r="O17" s="37">
        <v>25</v>
      </c>
      <c r="P17" s="35">
        <v>2.845528455284553</v>
      </c>
    </row>
    <row r="18" spans="2:16">
      <c r="B18" t="s">
        <v>3144</v>
      </c>
      <c r="C18" s="33">
        <v>0</v>
      </c>
      <c r="D18" s="33">
        <v>0</v>
      </c>
      <c r="E18" s="33">
        <v>0</v>
      </c>
      <c r="F18" s="33">
        <v>0</v>
      </c>
      <c r="G18" s="33">
        <v>76.31578947368422</v>
      </c>
      <c r="H18" s="33">
        <v>73.68421052631578</v>
      </c>
      <c r="I18" s="33">
        <v>0</v>
      </c>
      <c r="J18" s="33">
        <v>0</v>
      </c>
      <c r="K18" s="33">
        <v>0</v>
      </c>
      <c r="L18" s="33">
        <v>0</v>
      </c>
      <c r="M18" s="33">
        <v>0</v>
      </c>
      <c r="N18" s="33">
        <v>0</v>
      </c>
      <c r="O18" s="37">
        <v>150</v>
      </c>
      <c r="P18" s="35">
        <v>3.2520325203252032</v>
      </c>
    </row>
    <row r="19" spans="2:16">
      <c r="B19" t="s">
        <v>3145</v>
      </c>
      <c r="C19" s="33">
        <v>0</v>
      </c>
      <c r="D19" s="33">
        <v>0</v>
      </c>
      <c r="E19" s="33">
        <v>0</v>
      </c>
      <c r="F19" s="33">
        <v>0</v>
      </c>
      <c r="G19" s="33">
        <v>0</v>
      </c>
      <c r="H19" s="33">
        <v>206.66666666666669</v>
      </c>
      <c r="I19" s="33">
        <v>333.33333333333331</v>
      </c>
      <c r="J19" s="33">
        <v>220</v>
      </c>
      <c r="K19" s="33">
        <v>213.33333333333331</v>
      </c>
      <c r="L19" s="33">
        <v>126.66666666666667</v>
      </c>
      <c r="M19" s="33">
        <v>0</v>
      </c>
      <c r="N19" s="33">
        <v>0</v>
      </c>
      <c r="O19" s="37">
        <v>1100</v>
      </c>
      <c r="P19" s="35">
        <v>2.4390243902439024</v>
      </c>
    </row>
    <row r="20" spans="2:16">
      <c r="B20" t="s">
        <v>3146</v>
      </c>
      <c r="C20" s="33">
        <v>0</v>
      </c>
      <c r="D20" s="33">
        <v>0</v>
      </c>
      <c r="E20" s="33">
        <v>0</v>
      </c>
      <c r="F20" s="33">
        <v>0</v>
      </c>
      <c r="G20" s="33">
        <v>0</v>
      </c>
      <c r="H20" s="33">
        <v>0</v>
      </c>
      <c r="I20" s="33">
        <v>0</v>
      </c>
      <c r="J20" s="33">
        <v>213.33333333333334</v>
      </c>
      <c r="K20" s="33">
        <v>986.66666666666663</v>
      </c>
      <c r="L20" s="33">
        <v>0</v>
      </c>
      <c r="M20" s="33">
        <v>0</v>
      </c>
      <c r="N20" s="33">
        <v>0</v>
      </c>
      <c r="O20" s="37">
        <v>1200</v>
      </c>
      <c r="P20" s="35">
        <v>1.6260162601626016</v>
      </c>
    </row>
    <row r="21" spans="2:16">
      <c r="B21" t="s">
        <v>3147</v>
      </c>
      <c r="C21" s="33">
        <v>0</v>
      </c>
      <c r="D21" s="33">
        <v>0</v>
      </c>
      <c r="E21" s="33">
        <v>0</v>
      </c>
      <c r="F21" s="33">
        <v>0</v>
      </c>
      <c r="G21" s="33">
        <v>0</v>
      </c>
      <c r="H21" s="33">
        <v>141.50943396226413</v>
      </c>
      <c r="I21" s="33">
        <v>208.89487870619939</v>
      </c>
      <c r="J21" s="33">
        <v>208.89487870619939</v>
      </c>
      <c r="K21" s="33">
        <v>154.98652291105117</v>
      </c>
      <c r="L21" s="33">
        <v>0</v>
      </c>
      <c r="M21" s="33">
        <v>0</v>
      </c>
      <c r="N21" s="33">
        <v>0</v>
      </c>
      <c r="O21" s="37">
        <v>714.28571428571399</v>
      </c>
      <c r="P21" s="35">
        <v>1.8292682926829269</v>
      </c>
    </row>
    <row r="22" spans="2:16">
      <c r="B22" t="s">
        <v>3148</v>
      </c>
      <c r="C22" s="33">
        <v>0</v>
      </c>
      <c r="D22" s="33">
        <v>0</v>
      </c>
      <c r="E22" s="33">
        <v>0</v>
      </c>
      <c r="F22" s="33">
        <v>0</v>
      </c>
      <c r="G22" s="33">
        <v>0</v>
      </c>
      <c r="H22" s="33">
        <v>9.2307692307692299</v>
      </c>
      <c r="I22" s="33">
        <v>286.15384615384613</v>
      </c>
      <c r="J22" s="33">
        <v>286.15384615384613</v>
      </c>
      <c r="K22" s="33">
        <v>138.46153846153848</v>
      </c>
      <c r="L22" s="33">
        <v>0</v>
      </c>
      <c r="M22" s="33">
        <v>0</v>
      </c>
      <c r="N22" s="33">
        <v>0</v>
      </c>
      <c r="O22" s="37">
        <v>719.99999999999989</v>
      </c>
      <c r="P22" s="35">
        <v>2.4390243902439024</v>
      </c>
    </row>
    <row r="23" spans="2:16">
      <c r="B23" t="s">
        <v>3149</v>
      </c>
      <c r="C23" s="33">
        <v>0</v>
      </c>
      <c r="D23" s="33">
        <v>0</v>
      </c>
      <c r="E23" s="33">
        <v>0</v>
      </c>
      <c r="F23" s="33">
        <v>0</v>
      </c>
      <c r="G23" s="33">
        <v>0</v>
      </c>
      <c r="H23" s="33">
        <v>141.50943396226415</v>
      </c>
      <c r="I23" s="33">
        <v>208.89487870619942</v>
      </c>
      <c r="J23" s="33">
        <v>208.89487870619942</v>
      </c>
      <c r="K23" s="33">
        <v>154.9865229110512</v>
      </c>
      <c r="L23" s="33">
        <v>0</v>
      </c>
      <c r="M23" s="33">
        <v>0</v>
      </c>
      <c r="N23" s="33">
        <v>0</v>
      </c>
      <c r="O23" s="37">
        <v>714.28571428571422</v>
      </c>
      <c r="P23" s="35">
        <v>0.81300813008130079</v>
      </c>
    </row>
    <row r="24" spans="2:16">
      <c r="B24" t="s">
        <v>3150</v>
      </c>
      <c r="C24" s="33">
        <v>0</v>
      </c>
      <c r="D24" s="33">
        <v>0</v>
      </c>
      <c r="E24" s="33">
        <v>0</v>
      </c>
      <c r="F24" s="33">
        <v>0</v>
      </c>
      <c r="G24" s="33">
        <v>0</v>
      </c>
      <c r="H24" s="33">
        <v>293.33333333333337</v>
      </c>
      <c r="I24" s="33">
        <v>435.55555555555554</v>
      </c>
      <c r="J24" s="33">
        <v>346.66666666666669</v>
      </c>
      <c r="K24" s="33">
        <v>337.77777777777783</v>
      </c>
      <c r="L24" s="33">
        <v>26.666666666666664</v>
      </c>
      <c r="M24" s="33">
        <v>0</v>
      </c>
      <c r="N24" s="33">
        <v>0</v>
      </c>
      <c r="O24" s="37">
        <v>1440.0000000000002</v>
      </c>
      <c r="P24" s="35">
        <v>2.4390243902439024</v>
      </c>
    </row>
    <row r="25" spans="2:16">
      <c r="B25" t="s">
        <v>3151</v>
      </c>
      <c r="C25" s="33">
        <v>0</v>
      </c>
      <c r="D25" s="33">
        <v>0</v>
      </c>
      <c r="E25" s="33">
        <v>0</v>
      </c>
      <c r="F25" s="33">
        <v>0</v>
      </c>
      <c r="G25" s="33">
        <v>0</v>
      </c>
      <c r="H25" s="33">
        <v>0</v>
      </c>
      <c r="I25" s="33">
        <v>9.0909090909090917</v>
      </c>
      <c r="J25" s="33">
        <v>90.909090909090907</v>
      </c>
      <c r="K25" s="33">
        <v>0</v>
      </c>
      <c r="L25" s="33">
        <v>0</v>
      </c>
      <c r="M25" s="33">
        <v>0</v>
      </c>
      <c r="N25" s="33">
        <v>0</v>
      </c>
      <c r="O25" s="37">
        <v>100</v>
      </c>
      <c r="P25" s="35">
        <v>4.8780487804878048</v>
      </c>
    </row>
    <row r="26" spans="2:16">
      <c r="B26" t="s">
        <v>3152</v>
      </c>
      <c r="C26" s="33">
        <v>0</v>
      </c>
      <c r="D26" s="33">
        <v>0</v>
      </c>
      <c r="E26" s="33">
        <v>0</v>
      </c>
      <c r="F26" s="33">
        <v>0</v>
      </c>
      <c r="G26" s="33">
        <v>0</v>
      </c>
      <c r="H26" s="33">
        <v>400</v>
      </c>
      <c r="I26" s="33">
        <v>0</v>
      </c>
      <c r="J26" s="33">
        <v>400</v>
      </c>
      <c r="K26" s="33">
        <v>0</v>
      </c>
      <c r="L26" s="33">
        <v>0</v>
      </c>
      <c r="M26" s="33">
        <v>0</v>
      </c>
      <c r="N26" s="33">
        <v>0</v>
      </c>
      <c r="O26" s="37">
        <v>800</v>
      </c>
      <c r="P26" s="35">
        <v>1.3577235772357723</v>
      </c>
    </row>
    <row r="27" spans="2:16">
      <c r="B27" t="s">
        <v>3153</v>
      </c>
      <c r="C27" s="33">
        <v>0</v>
      </c>
      <c r="D27" s="33">
        <v>0</v>
      </c>
      <c r="E27" s="33">
        <v>0</v>
      </c>
      <c r="F27" s="33">
        <v>0</v>
      </c>
      <c r="G27" s="33">
        <v>0</v>
      </c>
      <c r="H27" s="33">
        <v>128.57142857142856</v>
      </c>
      <c r="I27" s="33">
        <v>0</v>
      </c>
      <c r="J27" s="33">
        <v>0</v>
      </c>
      <c r="K27" s="33">
        <v>0</v>
      </c>
      <c r="L27" s="33">
        <v>0</v>
      </c>
      <c r="M27" s="33">
        <v>0</v>
      </c>
      <c r="N27" s="33">
        <v>0</v>
      </c>
      <c r="O27" s="37">
        <v>128.57142857142856</v>
      </c>
      <c r="P27" s="35">
        <v>14.634146341463415</v>
      </c>
    </row>
    <row r="28" spans="2:16">
      <c r="B28" t="s">
        <v>3154</v>
      </c>
      <c r="C28" s="33">
        <v>0</v>
      </c>
      <c r="D28" s="33">
        <v>0</v>
      </c>
      <c r="E28" s="33">
        <v>0</v>
      </c>
      <c r="F28" s="33">
        <v>0</v>
      </c>
      <c r="G28" s="33">
        <v>128.57142857142858</v>
      </c>
      <c r="H28" s="33">
        <v>0</v>
      </c>
      <c r="I28" s="33">
        <v>0</v>
      </c>
      <c r="J28" s="33">
        <v>0</v>
      </c>
      <c r="K28" s="33">
        <v>0</v>
      </c>
      <c r="L28" s="33">
        <v>0</v>
      </c>
      <c r="M28" s="33">
        <v>0</v>
      </c>
      <c r="N28" s="33">
        <v>0</v>
      </c>
      <c r="O28" s="37">
        <v>128.57142857142858</v>
      </c>
      <c r="P28" s="35">
        <v>4.0650406504065044</v>
      </c>
    </row>
    <row r="29" spans="2:16">
      <c r="B29" t="s">
        <v>3155</v>
      </c>
      <c r="C29" s="33">
        <v>0</v>
      </c>
      <c r="D29" s="33">
        <v>0</v>
      </c>
      <c r="E29" s="33">
        <v>0</v>
      </c>
      <c r="F29" s="33">
        <v>0</v>
      </c>
      <c r="G29" s="33">
        <v>0</v>
      </c>
      <c r="H29" s="33">
        <v>0</v>
      </c>
      <c r="I29" s="33">
        <v>0</v>
      </c>
      <c r="J29" s="33">
        <v>0</v>
      </c>
      <c r="K29" s="33">
        <v>20.202020202020204</v>
      </c>
      <c r="L29" s="33">
        <v>25.050505050505052</v>
      </c>
      <c r="M29" s="33">
        <v>24.242424242424242</v>
      </c>
      <c r="N29" s="33">
        <v>10.505050505050505</v>
      </c>
      <c r="O29" s="37">
        <v>80.000000000000014</v>
      </c>
      <c r="P29" s="35">
        <v>6.5040650406504064</v>
      </c>
    </row>
    <row r="30" spans="2:16">
      <c r="B30" t="s">
        <v>3156</v>
      </c>
      <c r="C30" s="33">
        <v>0</v>
      </c>
      <c r="D30" s="33">
        <v>0</v>
      </c>
      <c r="E30" s="33">
        <v>0</v>
      </c>
      <c r="F30" s="33">
        <v>0</v>
      </c>
      <c r="G30" s="33">
        <v>0</v>
      </c>
      <c r="H30" s="33">
        <v>9.3567251461988281</v>
      </c>
      <c r="I30" s="33">
        <v>290.05847953216369</v>
      </c>
      <c r="J30" s="33">
        <v>233.9181286549707</v>
      </c>
      <c r="K30" s="33">
        <v>0</v>
      </c>
      <c r="L30" s="33">
        <v>0</v>
      </c>
      <c r="M30" s="33">
        <v>0</v>
      </c>
      <c r="N30" s="33">
        <v>0</v>
      </c>
      <c r="O30" s="37">
        <v>533.33333333333326</v>
      </c>
      <c r="P30" s="35">
        <v>2.4390243902439024</v>
      </c>
    </row>
    <row r="31" spans="2:16">
      <c r="B31" t="s">
        <v>3157</v>
      </c>
      <c r="C31" s="33">
        <v>0</v>
      </c>
      <c r="D31" s="33">
        <v>0</v>
      </c>
      <c r="E31" s="33">
        <v>0</v>
      </c>
      <c r="F31" s="33">
        <v>0</v>
      </c>
      <c r="G31" s="33">
        <v>260</v>
      </c>
      <c r="H31" s="33">
        <v>40</v>
      </c>
      <c r="I31" s="33">
        <v>0</v>
      </c>
      <c r="J31" s="33">
        <v>100</v>
      </c>
      <c r="K31" s="33">
        <v>200</v>
      </c>
      <c r="L31" s="33">
        <v>0</v>
      </c>
      <c r="M31" s="33">
        <v>0</v>
      </c>
      <c r="N31" s="33">
        <v>0</v>
      </c>
      <c r="O31" s="37">
        <v>600</v>
      </c>
      <c r="P31" s="35">
        <v>1.6260162601626016</v>
      </c>
    </row>
    <row r="32" spans="2:16">
      <c r="B32" t="s">
        <v>3158</v>
      </c>
      <c r="C32" s="33">
        <v>0</v>
      </c>
      <c r="D32" s="33">
        <v>0</v>
      </c>
      <c r="E32" s="33">
        <v>0</v>
      </c>
      <c r="F32" s="33">
        <v>0</v>
      </c>
      <c r="G32" s="33">
        <v>0</v>
      </c>
      <c r="H32" s="33">
        <v>0</v>
      </c>
      <c r="I32" s="33">
        <v>0</v>
      </c>
      <c r="J32" s="33">
        <v>202.29885057471262</v>
      </c>
      <c r="K32" s="33">
        <v>331.03448275862064</v>
      </c>
      <c r="L32" s="33">
        <v>0</v>
      </c>
      <c r="M32" s="33">
        <v>0</v>
      </c>
      <c r="N32" s="33">
        <v>0</v>
      </c>
      <c r="O32" s="37">
        <v>533.33333333333326</v>
      </c>
      <c r="P32" s="35">
        <v>4.0650406504065044</v>
      </c>
    </row>
    <row r="33" spans="2:16">
      <c r="B33" t="s">
        <v>3159</v>
      </c>
      <c r="C33" s="33">
        <v>0</v>
      </c>
      <c r="D33" s="33">
        <v>0</v>
      </c>
      <c r="E33" s="33">
        <v>0</v>
      </c>
      <c r="F33" s="33">
        <v>0</v>
      </c>
      <c r="G33" s="33">
        <v>0</v>
      </c>
      <c r="H33" s="33">
        <v>0</v>
      </c>
      <c r="I33" s="33">
        <v>25</v>
      </c>
      <c r="J33" s="33">
        <v>387.5</v>
      </c>
      <c r="K33" s="33">
        <v>375</v>
      </c>
      <c r="L33" s="33">
        <v>12.5</v>
      </c>
      <c r="M33" s="33">
        <v>0</v>
      </c>
      <c r="N33" s="33">
        <v>0</v>
      </c>
      <c r="O33" s="37">
        <v>800</v>
      </c>
      <c r="P33" s="35">
        <v>2.4390243902439024</v>
      </c>
    </row>
    <row r="34" spans="2:16">
      <c r="B34" t="s">
        <v>3160</v>
      </c>
      <c r="C34" s="33">
        <v>0</v>
      </c>
      <c r="D34" s="33">
        <v>0</v>
      </c>
      <c r="E34" s="33">
        <v>0</v>
      </c>
      <c r="F34" s="33">
        <v>0</v>
      </c>
      <c r="G34" s="33">
        <v>0</v>
      </c>
      <c r="H34" s="33">
        <v>469.84027777777771</v>
      </c>
      <c r="I34" s="33">
        <v>481.60912698412687</v>
      </c>
      <c r="J34" s="33">
        <v>483.65773809523807</v>
      </c>
      <c r="K34" s="33">
        <v>210.70238095238091</v>
      </c>
      <c r="L34" s="33">
        <v>95.773809523809518</v>
      </c>
      <c r="M34" s="33">
        <v>0</v>
      </c>
      <c r="N34" s="33">
        <v>0</v>
      </c>
      <c r="O34" s="37">
        <v>1741.583333333333</v>
      </c>
      <c r="P34" s="35">
        <v>8.1300813008130088</v>
      </c>
    </row>
    <row r="35" spans="2:16">
      <c r="B35" t="s">
        <v>3161</v>
      </c>
      <c r="C35" s="33">
        <v>0</v>
      </c>
      <c r="D35" s="33">
        <v>0</v>
      </c>
      <c r="E35" s="33">
        <v>0</v>
      </c>
      <c r="F35" s="33">
        <v>0</v>
      </c>
      <c r="G35" s="33">
        <v>266.66666666666663</v>
      </c>
      <c r="H35" s="33">
        <v>14.222222222222221</v>
      </c>
      <c r="I35" s="33">
        <v>341.33333333333326</v>
      </c>
      <c r="J35" s="33">
        <v>177.77777777777777</v>
      </c>
      <c r="K35" s="33">
        <v>156.44444444444443</v>
      </c>
      <c r="L35" s="33">
        <v>56.888888888888886</v>
      </c>
      <c r="M35" s="33">
        <v>0</v>
      </c>
      <c r="N35" s="33">
        <v>0</v>
      </c>
      <c r="O35" s="37">
        <v>1013.3333333333334</v>
      </c>
      <c r="P35" s="35">
        <v>3.2520325203252032</v>
      </c>
    </row>
    <row r="36" spans="2:16">
      <c r="B36" t="s">
        <v>3162</v>
      </c>
      <c r="C36" s="33">
        <v>160</v>
      </c>
      <c r="D36" s="33">
        <v>0</v>
      </c>
      <c r="E36" s="33">
        <v>0</v>
      </c>
      <c r="F36" s="33">
        <v>0</v>
      </c>
      <c r="G36" s="33">
        <v>0</v>
      </c>
      <c r="H36" s="33">
        <v>0</v>
      </c>
      <c r="I36" s="33">
        <v>0</v>
      </c>
      <c r="J36" s="33">
        <v>0</v>
      </c>
      <c r="K36" s="33">
        <v>0</v>
      </c>
      <c r="L36" s="33">
        <v>0</v>
      </c>
      <c r="M36" s="33">
        <v>0</v>
      </c>
      <c r="N36" s="33">
        <v>0</v>
      </c>
      <c r="O36" s="37">
        <v>160</v>
      </c>
      <c r="P36" s="35">
        <v>2.4390243902439024</v>
      </c>
    </row>
    <row r="37" spans="2:16">
      <c r="B37" t="s">
        <v>3163</v>
      </c>
      <c r="C37" s="33">
        <v>0</v>
      </c>
      <c r="D37" s="33">
        <v>0</v>
      </c>
      <c r="E37" s="33">
        <v>0</v>
      </c>
      <c r="F37" s="33">
        <v>0</v>
      </c>
      <c r="G37" s="33">
        <v>50</v>
      </c>
      <c r="H37" s="33">
        <v>62.5</v>
      </c>
      <c r="I37" s="33">
        <v>0</v>
      </c>
      <c r="J37" s="33">
        <v>0</v>
      </c>
      <c r="K37" s="33">
        <v>0</v>
      </c>
      <c r="L37" s="33">
        <v>0</v>
      </c>
      <c r="M37" s="33">
        <v>0</v>
      </c>
      <c r="N37" s="33">
        <v>0</v>
      </c>
      <c r="O37" s="37">
        <v>112.5</v>
      </c>
      <c r="P37" s="35">
        <v>2.4390243902439024</v>
      </c>
    </row>
    <row r="38" spans="2:16">
      <c r="B38" t="s">
        <v>3164</v>
      </c>
      <c r="C38" s="33">
        <v>0</v>
      </c>
      <c r="D38" s="33">
        <v>0</v>
      </c>
      <c r="E38" s="33">
        <v>0</v>
      </c>
      <c r="F38" s="33">
        <v>0</v>
      </c>
      <c r="G38" s="33">
        <v>0</v>
      </c>
      <c r="H38" s="33">
        <v>0</v>
      </c>
      <c r="I38" s="33">
        <v>0</v>
      </c>
      <c r="J38" s="33">
        <v>1705.4545454545455</v>
      </c>
      <c r="K38" s="33">
        <v>174.54545454545453</v>
      </c>
      <c r="L38" s="33">
        <v>0</v>
      </c>
      <c r="M38" s="33">
        <v>0</v>
      </c>
      <c r="N38" s="33">
        <v>0</v>
      </c>
      <c r="O38" s="37">
        <v>1880</v>
      </c>
      <c r="P38" s="35">
        <v>1.2195121951219512</v>
      </c>
    </row>
    <row r="39" spans="2:16">
      <c r="B39" t="s">
        <v>3165</v>
      </c>
      <c r="C39" s="33">
        <v>0</v>
      </c>
      <c r="D39" s="33">
        <v>0</v>
      </c>
      <c r="E39" s="33">
        <v>0</v>
      </c>
      <c r="F39" s="33">
        <v>0</v>
      </c>
      <c r="G39" s="33">
        <v>0</v>
      </c>
      <c r="H39" s="33">
        <v>0</v>
      </c>
      <c r="I39" s="33">
        <v>0</v>
      </c>
      <c r="J39" s="33">
        <v>206.25</v>
      </c>
      <c r="K39" s="33">
        <v>0</v>
      </c>
      <c r="L39" s="33">
        <v>0</v>
      </c>
      <c r="M39" s="33">
        <v>0</v>
      </c>
      <c r="N39" s="33">
        <v>0</v>
      </c>
      <c r="O39" s="37">
        <v>206.25</v>
      </c>
      <c r="P39" s="35">
        <v>2.4390243902439024</v>
      </c>
    </row>
    <row r="40" spans="2:16">
      <c r="B40" t="s">
        <v>3166</v>
      </c>
      <c r="C40" s="33">
        <v>0</v>
      </c>
      <c r="D40" s="33">
        <v>0</v>
      </c>
      <c r="E40" s="33">
        <v>0</v>
      </c>
      <c r="F40" s="33">
        <v>0</v>
      </c>
      <c r="G40" s="33">
        <v>0</v>
      </c>
      <c r="H40" s="33">
        <v>44.736842105263158</v>
      </c>
      <c r="I40" s="33">
        <v>163.15789473684211</v>
      </c>
      <c r="J40" s="33">
        <v>92.10526315789474</v>
      </c>
      <c r="K40" s="33">
        <v>0</v>
      </c>
      <c r="L40" s="33">
        <v>0</v>
      </c>
      <c r="M40" s="33">
        <v>0</v>
      </c>
      <c r="N40" s="33">
        <v>0</v>
      </c>
      <c r="O40" s="37">
        <v>300</v>
      </c>
      <c r="P40" s="35">
        <v>3.6585365853658538</v>
      </c>
    </row>
    <row r="41" spans="2:16">
      <c r="B41" t="s">
        <v>3167</v>
      </c>
      <c r="C41" s="33">
        <v>0</v>
      </c>
      <c r="D41" s="33">
        <v>0</v>
      </c>
      <c r="E41" s="33">
        <v>0</v>
      </c>
      <c r="F41" s="33">
        <v>0</v>
      </c>
      <c r="G41" s="33">
        <v>0</v>
      </c>
      <c r="H41" s="33">
        <v>120</v>
      </c>
      <c r="I41" s="33">
        <v>232.50000000000003</v>
      </c>
      <c r="J41" s="33">
        <v>232.50000000000003</v>
      </c>
      <c r="K41" s="33">
        <v>225</v>
      </c>
      <c r="L41" s="33">
        <v>90</v>
      </c>
      <c r="M41" s="33">
        <v>0</v>
      </c>
      <c r="N41" s="33">
        <v>0</v>
      </c>
      <c r="O41" s="37">
        <v>900</v>
      </c>
      <c r="P41" s="35">
        <v>2.0325203252032522</v>
      </c>
    </row>
    <row r="42" spans="2:16">
      <c r="B42" t="s">
        <v>3168</v>
      </c>
      <c r="C42" s="33">
        <v>0</v>
      </c>
      <c r="D42" s="33">
        <v>0</v>
      </c>
      <c r="E42" s="33">
        <v>0</v>
      </c>
      <c r="F42" s="33">
        <v>0</v>
      </c>
      <c r="G42" s="33">
        <v>0</v>
      </c>
      <c r="H42" s="33">
        <v>0</v>
      </c>
      <c r="I42" s="33">
        <v>0</v>
      </c>
      <c r="J42" s="33">
        <v>0</v>
      </c>
      <c r="K42" s="33">
        <v>200</v>
      </c>
      <c r="L42" s="33">
        <v>0</v>
      </c>
      <c r="M42" s="33">
        <v>0</v>
      </c>
      <c r="N42" s="33">
        <v>0</v>
      </c>
      <c r="O42" s="37">
        <v>200</v>
      </c>
      <c r="P42" s="35">
        <v>3.2520325203252032</v>
      </c>
    </row>
    <row r="43" spans="2:16">
      <c r="B43" t="s">
        <v>3169</v>
      </c>
      <c r="C43" s="33">
        <v>0</v>
      </c>
      <c r="D43" s="33">
        <v>0</v>
      </c>
      <c r="E43" s="33">
        <v>0</v>
      </c>
      <c r="F43" s="33">
        <v>0</v>
      </c>
      <c r="G43" s="33">
        <v>0</v>
      </c>
      <c r="H43" s="33">
        <v>32.352941176470587</v>
      </c>
      <c r="I43" s="33">
        <v>17.647058823529413</v>
      </c>
      <c r="J43" s="33">
        <v>0</v>
      </c>
      <c r="K43" s="33">
        <v>0</v>
      </c>
      <c r="L43" s="33">
        <v>0</v>
      </c>
      <c r="M43" s="33">
        <v>0</v>
      </c>
      <c r="N43" s="33">
        <v>0</v>
      </c>
      <c r="O43" s="37">
        <v>50</v>
      </c>
      <c r="P43" s="35">
        <v>7.7235772357723578</v>
      </c>
    </row>
    <row r="44" spans="2:16">
      <c r="B44" t="s">
        <v>3170</v>
      </c>
      <c r="C44" s="33">
        <v>0</v>
      </c>
      <c r="D44" s="33">
        <v>0</v>
      </c>
      <c r="E44" s="33">
        <v>0</v>
      </c>
      <c r="F44" s="33">
        <v>0</v>
      </c>
      <c r="G44" s="33">
        <v>0</v>
      </c>
      <c r="H44" s="33">
        <v>0</v>
      </c>
      <c r="I44" s="33">
        <v>0</v>
      </c>
      <c r="J44" s="33">
        <v>83.535959853609853</v>
      </c>
      <c r="K44" s="33">
        <v>179.0056282577354</v>
      </c>
      <c r="L44" s="33">
        <v>177.04994732172565</v>
      </c>
      <c r="M44" s="33">
        <v>119.58661417322834</v>
      </c>
      <c r="N44" s="33">
        <v>87.696850393700785</v>
      </c>
      <c r="O44" s="37">
        <v>646.875</v>
      </c>
      <c r="P44" s="35">
        <v>4.0650406504065044</v>
      </c>
    </row>
    <row r="45" spans="2:16">
      <c r="B45" t="s">
        <v>3171</v>
      </c>
      <c r="C45" s="33">
        <v>0</v>
      </c>
      <c r="D45" s="33">
        <v>0</v>
      </c>
      <c r="E45" s="33">
        <v>0</v>
      </c>
      <c r="F45" s="33">
        <v>0</v>
      </c>
      <c r="G45" s="33">
        <v>0</v>
      </c>
      <c r="H45" s="33">
        <v>0</v>
      </c>
      <c r="I45" s="33">
        <v>0</v>
      </c>
      <c r="J45" s="33">
        <v>30.192968836641896</v>
      </c>
      <c r="K45" s="33">
        <v>83.373766219363418</v>
      </c>
      <c r="L45" s="33">
        <v>82.191624154375063</v>
      </c>
      <c r="M45" s="33">
        <v>35.442428191194409</v>
      </c>
      <c r="N45" s="33">
        <v>21.924212598425196</v>
      </c>
      <c r="O45" s="37">
        <v>253.12499999999997</v>
      </c>
      <c r="P45" s="35">
        <v>6.5040650406504064</v>
      </c>
    </row>
    <row r="46" spans="2:16">
      <c r="B46" t="s">
        <v>3172</v>
      </c>
      <c r="C46" s="33">
        <v>0</v>
      </c>
      <c r="D46" s="33">
        <v>0</v>
      </c>
      <c r="E46" s="33">
        <v>0</v>
      </c>
      <c r="F46" s="33">
        <v>0</v>
      </c>
      <c r="G46" s="33">
        <v>23.333333333333329</v>
      </c>
      <c r="H46" s="33">
        <v>163.33333333333331</v>
      </c>
      <c r="I46" s="33">
        <v>0</v>
      </c>
      <c r="J46" s="33">
        <v>0</v>
      </c>
      <c r="K46" s="33">
        <v>0</v>
      </c>
      <c r="L46" s="33">
        <v>0</v>
      </c>
      <c r="M46" s="33">
        <v>0</v>
      </c>
      <c r="N46" s="33">
        <v>0</v>
      </c>
      <c r="O46" s="37">
        <v>186.66666666666663</v>
      </c>
      <c r="P46" s="35">
        <v>2.4390243902439024</v>
      </c>
    </row>
    <row r="47" spans="2:16">
      <c r="B47" t="s">
        <v>3173</v>
      </c>
      <c r="C47" s="33">
        <v>0</v>
      </c>
      <c r="D47" s="33">
        <v>0</v>
      </c>
      <c r="E47" s="33">
        <v>0</v>
      </c>
      <c r="F47" s="33">
        <v>0</v>
      </c>
      <c r="G47" s="33">
        <v>0</v>
      </c>
      <c r="H47" s="33">
        <v>0</v>
      </c>
      <c r="I47" s="33">
        <v>0</v>
      </c>
      <c r="J47" s="33">
        <v>175</v>
      </c>
      <c r="K47" s="33">
        <v>0</v>
      </c>
      <c r="L47" s="33">
        <v>0</v>
      </c>
      <c r="M47" s="33">
        <v>0</v>
      </c>
      <c r="N47" s="33">
        <v>0</v>
      </c>
      <c r="O47" s="37">
        <v>175</v>
      </c>
      <c r="P47" s="35">
        <v>1.8292682926829269</v>
      </c>
    </row>
    <row r="48" spans="2:16">
      <c r="B48" t="s">
        <v>3174</v>
      </c>
      <c r="C48" s="33">
        <v>0</v>
      </c>
      <c r="D48" s="33">
        <v>0</v>
      </c>
      <c r="E48" s="33">
        <v>0</v>
      </c>
      <c r="F48" s="33">
        <v>0</v>
      </c>
      <c r="G48" s="33">
        <v>0</v>
      </c>
      <c r="H48" s="33">
        <v>0</v>
      </c>
      <c r="I48" s="33">
        <v>0</v>
      </c>
      <c r="J48" s="33">
        <v>0</v>
      </c>
      <c r="K48" s="33">
        <v>48</v>
      </c>
      <c r="L48" s="33">
        <v>192</v>
      </c>
      <c r="M48" s="33">
        <v>0</v>
      </c>
      <c r="N48" s="33">
        <v>0</v>
      </c>
      <c r="O48" s="37">
        <v>240</v>
      </c>
      <c r="P48" s="35">
        <v>4.8780487804878048</v>
      </c>
    </row>
    <row r="49" spans="2:16">
      <c r="B49" t="s">
        <v>3175</v>
      </c>
      <c r="C49" s="33">
        <v>0</v>
      </c>
      <c r="D49" s="33">
        <v>0</v>
      </c>
      <c r="E49" s="33">
        <v>0</v>
      </c>
      <c r="F49" s="33">
        <v>25.56818181818182</v>
      </c>
      <c r="G49" s="33">
        <v>130.68181818181819</v>
      </c>
      <c r="H49" s="33">
        <v>62.5</v>
      </c>
      <c r="I49" s="33">
        <v>62.5</v>
      </c>
      <c r="J49" s="33">
        <v>65.340909090909093</v>
      </c>
      <c r="K49" s="33">
        <v>62.500000000000007</v>
      </c>
      <c r="L49" s="33">
        <v>59.659090909090914</v>
      </c>
      <c r="M49" s="33">
        <v>0</v>
      </c>
      <c r="N49" s="33">
        <v>0</v>
      </c>
      <c r="O49" s="37">
        <v>468.75000000000006</v>
      </c>
      <c r="P49" s="35">
        <v>2.4390243902439024</v>
      </c>
    </row>
    <row r="50" spans="2:16">
      <c r="B50" t="s">
        <v>3176</v>
      </c>
      <c r="C50" s="33">
        <v>0</v>
      </c>
      <c r="D50" s="33">
        <v>0</v>
      </c>
      <c r="E50" s="33">
        <v>0</v>
      </c>
      <c r="F50" s="33">
        <v>0</v>
      </c>
      <c r="G50" s="33">
        <v>0</v>
      </c>
      <c r="H50" s="33">
        <v>0</v>
      </c>
      <c r="I50" s="33">
        <v>0</v>
      </c>
      <c r="J50" s="33">
        <v>101.2987012987013</v>
      </c>
      <c r="K50" s="33">
        <v>670.12987012987014</v>
      </c>
      <c r="L50" s="33">
        <v>0</v>
      </c>
      <c r="M50" s="33">
        <v>0</v>
      </c>
      <c r="N50" s="33">
        <v>0</v>
      </c>
      <c r="O50" s="37">
        <v>771.42857142857144</v>
      </c>
      <c r="P50" s="35">
        <v>1.6260162601626016</v>
      </c>
    </row>
    <row r="51" spans="2:16">
      <c r="B51" t="s">
        <v>3177</v>
      </c>
      <c r="C51" s="33">
        <v>0</v>
      </c>
      <c r="D51" s="33">
        <v>0</v>
      </c>
      <c r="E51" s="33">
        <v>0</v>
      </c>
      <c r="F51" s="33">
        <v>0</v>
      </c>
      <c r="G51" s="33">
        <v>8.8888888888888893</v>
      </c>
      <c r="H51" s="33">
        <v>131.11111111111114</v>
      </c>
      <c r="I51" s="33">
        <v>102.22222222222223</v>
      </c>
      <c r="J51" s="33">
        <v>97.777777777777786</v>
      </c>
      <c r="K51" s="33">
        <v>66.666666666666671</v>
      </c>
      <c r="L51" s="33">
        <v>0</v>
      </c>
      <c r="M51" s="33">
        <v>0</v>
      </c>
      <c r="N51" s="33">
        <v>0</v>
      </c>
      <c r="O51" s="37">
        <v>406.66666666666674</v>
      </c>
      <c r="P51" s="35">
        <v>2.2357723577235773</v>
      </c>
    </row>
    <row r="52" spans="2:16">
      <c r="B52" t="s">
        <v>3178</v>
      </c>
      <c r="C52" s="33">
        <v>274.28571428571428</v>
      </c>
      <c r="D52" s="33">
        <v>0</v>
      </c>
      <c r="E52" s="33">
        <v>0</v>
      </c>
      <c r="F52" s="33">
        <v>0</v>
      </c>
      <c r="G52" s="33">
        <v>0</v>
      </c>
      <c r="H52" s="33">
        <v>0</v>
      </c>
      <c r="I52" s="33">
        <v>0</v>
      </c>
      <c r="J52" s="33">
        <v>0</v>
      </c>
      <c r="K52" s="33">
        <v>0</v>
      </c>
      <c r="L52" s="33">
        <v>0</v>
      </c>
      <c r="M52" s="33">
        <v>0</v>
      </c>
      <c r="N52" s="33">
        <v>0</v>
      </c>
      <c r="O52" s="37">
        <v>274.28571428571428</v>
      </c>
      <c r="P52" s="35">
        <v>2.4390243902439024</v>
      </c>
    </row>
    <row r="53" spans="2:16">
      <c r="B53" t="s">
        <v>3179</v>
      </c>
      <c r="C53" s="33">
        <v>0</v>
      </c>
      <c r="D53" s="33">
        <v>0</v>
      </c>
      <c r="E53" s="33">
        <v>0</v>
      </c>
      <c r="F53" s="33">
        <v>0</v>
      </c>
      <c r="G53" s="33">
        <v>0</v>
      </c>
      <c r="H53" s="33">
        <v>0</v>
      </c>
      <c r="I53" s="33">
        <v>0</v>
      </c>
      <c r="J53" s="33">
        <v>2949.9999999999995</v>
      </c>
      <c r="K53" s="33">
        <v>0</v>
      </c>
      <c r="L53" s="33">
        <v>0</v>
      </c>
      <c r="M53" s="33">
        <v>0</v>
      </c>
      <c r="N53" s="33">
        <v>0</v>
      </c>
      <c r="O53" s="37">
        <v>2949.9999999999995</v>
      </c>
      <c r="P53" s="35">
        <v>1.8292682926829269</v>
      </c>
    </row>
    <row r="54" spans="2:16">
      <c r="B54" t="s">
        <v>3180</v>
      </c>
      <c r="C54" s="33">
        <v>0</v>
      </c>
      <c r="D54" s="33">
        <v>0</v>
      </c>
      <c r="E54" s="33">
        <v>0</v>
      </c>
      <c r="F54" s="33">
        <v>0</v>
      </c>
      <c r="G54" s="33">
        <v>14.508928571428571</v>
      </c>
      <c r="H54" s="33">
        <v>435.26785714285717</v>
      </c>
      <c r="I54" s="33">
        <v>824.77678571428578</v>
      </c>
      <c r="J54" s="33">
        <v>473.21428571428578</v>
      </c>
      <c r="K54" s="33">
        <v>20.089285714285715</v>
      </c>
      <c r="L54" s="33">
        <v>0</v>
      </c>
      <c r="M54" s="33">
        <v>0</v>
      </c>
      <c r="N54" s="33">
        <v>0</v>
      </c>
      <c r="O54" s="37">
        <v>1767.8571428571431</v>
      </c>
      <c r="P54" s="35">
        <v>1.6260162601626016</v>
      </c>
    </row>
    <row r="55" spans="2:16">
      <c r="B55" t="s">
        <v>3181</v>
      </c>
      <c r="C55" s="33">
        <v>0</v>
      </c>
      <c r="D55" s="33">
        <v>0</v>
      </c>
      <c r="E55" s="33">
        <v>0</v>
      </c>
      <c r="F55" s="33">
        <v>0</v>
      </c>
      <c r="G55" s="33">
        <v>0</v>
      </c>
      <c r="H55" s="33">
        <v>0</v>
      </c>
      <c r="I55" s="33">
        <v>0</v>
      </c>
      <c r="J55" s="33">
        <v>1875.862068965517</v>
      </c>
      <c r="K55" s="33">
        <v>1324.1379310344828</v>
      </c>
      <c r="L55" s="33">
        <v>0</v>
      </c>
      <c r="M55" s="33">
        <v>0</v>
      </c>
      <c r="N55" s="33">
        <v>0</v>
      </c>
      <c r="O55" s="37">
        <v>3200</v>
      </c>
      <c r="P55" s="35">
        <v>0.81300813008130079</v>
      </c>
    </row>
    <row r="56" spans="2:16">
      <c r="B56" t="s">
        <v>3182</v>
      </c>
      <c r="C56" s="33">
        <v>0</v>
      </c>
      <c r="D56" s="33">
        <v>0</v>
      </c>
      <c r="E56" s="33">
        <v>0</v>
      </c>
      <c r="F56" s="33">
        <v>0</v>
      </c>
      <c r="G56" s="33">
        <v>0</v>
      </c>
      <c r="H56" s="33">
        <v>63.636363636363626</v>
      </c>
      <c r="I56" s="33">
        <v>246.59090909090907</v>
      </c>
      <c r="J56" s="33">
        <v>246.59090909090907</v>
      </c>
      <c r="K56" s="33">
        <v>143.18181818181816</v>
      </c>
      <c r="L56" s="33">
        <v>0</v>
      </c>
      <c r="M56" s="33">
        <v>0</v>
      </c>
      <c r="N56" s="33">
        <v>0</v>
      </c>
      <c r="O56" s="37">
        <v>699.99999999999989</v>
      </c>
      <c r="P56" s="35">
        <v>2.4390243902439024</v>
      </c>
    </row>
    <row r="57" spans="2:16">
      <c r="B57" t="s">
        <v>3183</v>
      </c>
      <c r="C57" s="33">
        <v>0</v>
      </c>
      <c r="D57" s="33">
        <v>0</v>
      </c>
      <c r="E57" s="33">
        <v>0</v>
      </c>
      <c r="F57" s="33">
        <v>0</v>
      </c>
      <c r="G57" s="33">
        <v>0</v>
      </c>
      <c r="H57" s="33">
        <v>3.7558685446009386</v>
      </c>
      <c r="I57" s="33">
        <v>116.43192488262909</v>
      </c>
      <c r="J57" s="33">
        <v>116.43192488262909</v>
      </c>
      <c r="K57" s="33">
        <v>30.046948356807508</v>
      </c>
      <c r="L57" s="33">
        <v>0</v>
      </c>
      <c r="M57" s="33">
        <v>0</v>
      </c>
      <c r="N57" s="33">
        <v>0</v>
      </c>
      <c r="O57" s="37">
        <v>266.66666666666663</v>
      </c>
      <c r="P57" s="35">
        <v>4.8780487804878048</v>
      </c>
    </row>
    <row r="58" spans="2:16">
      <c r="B58" t="s">
        <v>3184</v>
      </c>
      <c r="C58" s="33">
        <v>0</v>
      </c>
      <c r="D58" s="33">
        <v>0</v>
      </c>
      <c r="E58" s="33">
        <v>0</v>
      </c>
      <c r="F58" s="33">
        <v>0</v>
      </c>
      <c r="G58" s="33">
        <v>0</v>
      </c>
      <c r="H58" s="33">
        <v>0</v>
      </c>
      <c r="I58" s="33">
        <v>1084.0073529411766</v>
      </c>
      <c r="J58" s="33">
        <v>3470.5330882352941</v>
      </c>
      <c r="K58" s="33">
        <v>2814.4301470588234</v>
      </c>
      <c r="L58" s="33">
        <v>2031.0294117647059</v>
      </c>
      <c r="M58" s="33">
        <v>0</v>
      </c>
      <c r="N58" s="33">
        <v>0</v>
      </c>
      <c r="O58" s="37">
        <v>9400</v>
      </c>
      <c r="P58" s="35">
        <v>4.0650406504065044</v>
      </c>
    </row>
    <row r="59" spans="2:16">
      <c r="B59" t="s">
        <v>3185</v>
      </c>
      <c r="C59" s="33">
        <v>0</v>
      </c>
      <c r="D59" s="33">
        <v>0</v>
      </c>
      <c r="E59" s="33">
        <v>0</v>
      </c>
      <c r="F59" s="33">
        <v>0</v>
      </c>
      <c r="G59" s="33">
        <v>0</v>
      </c>
      <c r="H59" s="33">
        <v>0</v>
      </c>
      <c r="I59" s="33">
        <v>0</v>
      </c>
      <c r="J59" s="33">
        <v>281.25</v>
      </c>
      <c r="K59" s="33">
        <v>1406.25</v>
      </c>
      <c r="L59" s="33">
        <v>1312.5</v>
      </c>
      <c r="M59" s="33">
        <v>0</v>
      </c>
      <c r="N59" s="33">
        <v>0</v>
      </c>
      <c r="O59" s="37">
        <v>3000</v>
      </c>
      <c r="P59" s="35">
        <v>5.691056910569106</v>
      </c>
    </row>
    <row r="60" spans="2:16">
      <c r="B60" t="s">
        <v>3186</v>
      </c>
      <c r="C60" s="33">
        <v>0</v>
      </c>
      <c r="D60" s="33">
        <v>0</v>
      </c>
      <c r="E60" s="33">
        <v>0</v>
      </c>
      <c r="F60" s="33">
        <v>0</v>
      </c>
      <c r="G60" s="33">
        <v>0</v>
      </c>
      <c r="H60" s="33">
        <v>1.4749262536873156</v>
      </c>
      <c r="I60" s="33">
        <v>45.722713864306776</v>
      </c>
      <c r="J60" s="33">
        <v>587.81025595184894</v>
      </c>
      <c r="K60" s="33">
        <v>751.31849468132668</v>
      </c>
      <c r="L60" s="33">
        <v>760.13825571347707</v>
      </c>
      <c r="M60" s="33">
        <v>353.53535353535358</v>
      </c>
      <c r="N60" s="33">
        <v>0</v>
      </c>
      <c r="O60" s="37">
        <v>2500</v>
      </c>
      <c r="P60" s="35">
        <v>5.691056910569106</v>
      </c>
    </row>
    <row r="61" spans="2:16">
      <c r="B61" t="s">
        <v>3187</v>
      </c>
      <c r="C61" s="33">
        <v>0</v>
      </c>
      <c r="D61" s="33">
        <v>0</v>
      </c>
      <c r="E61" s="33">
        <v>0</v>
      </c>
      <c r="F61" s="33">
        <v>0</v>
      </c>
      <c r="G61" s="33">
        <v>125</v>
      </c>
      <c r="H61" s="33">
        <v>50</v>
      </c>
      <c r="I61" s="33">
        <v>50</v>
      </c>
      <c r="J61" s="33">
        <v>50</v>
      </c>
      <c r="K61" s="33">
        <v>50</v>
      </c>
      <c r="L61" s="33">
        <v>50</v>
      </c>
      <c r="M61" s="33">
        <v>0</v>
      </c>
      <c r="N61" s="33">
        <v>0</v>
      </c>
      <c r="O61" s="37">
        <v>375</v>
      </c>
      <c r="P61" s="35">
        <v>2.4390243902439024</v>
      </c>
    </row>
  </sheetData>
  <conditionalFormatting sqref="P2 B2:O61">
    <cfRule type="expression" dxfId="32" priority="1">
      <formula>MOD(ROW(B2),2)=0</formula>
    </cfRule>
  </conditionalFormatting>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DDD0F-6FFE-4019-B8C2-A7558AD2160C}">
  <sheetPr codeName="Sheet20"/>
  <dimension ref="A1:S206"/>
  <sheetViews>
    <sheetView workbookViewId="0"/>
  </sheetViews>
  <sheetFormatPr baseColWidth="10" defaultColWidth="8.83203125" defaultRowHeight="15"/>
  <cols>
    <col min="1" max="1" width="11.6640625" bestFit="1" customWidth="1"/>
    <col min="2" max="2" width="32.33203125" bestFit="1" customWidth="1"/>
    <col min="3" max="3" width="25.33203125" bestFit="1" customWidth="1"/>
    <col min="4" max="4" width="12" bestFit="1" customWidth="1"/>
    <col min="5" max="5" width="22.6640625" bestFit="1" customWidth="1"/>
    <col min="6" max="6" width="14.83203125" bestFit="1" customWidth="1"/>
    <col min="7" max="7" width="7.33203125" bestFit="1" customWidth="1"/>
    <col min="8" max="8" width="10" bestFit="1" customWidth="1"/>
    <col min="9" max="9" width="10.83203125" bestFit="1" customWidth="1"/>
    <col min="10" max="10" width="17.83203125" bestFit="1" customWidth="1"/>
    <col min="11" max="11" width="13" bestFit="1" customWidth="1"/>
    <col min="12" max="13" width="81.1640625" bestFit="1" customWidth="1"/>
    <col min="14" max="14" width="14.6640625" bestFit="1" customWidth="1"/>
    <col min="15" max="15" width="11" bestFit="1" customWidth="1"/>
    <col min="16" max="16" width="9.33203125" bestFit="1" customWidth="1"/>
    <col min="17" max="17" width="10.83203125" bestFit="1" customWidth="1"/>
    <col min="18" max="18" width="13.5" bestFit="1" customWidth="1"/>
    <col min="19" max="19" width="81.1640625" bestFit="1" customWidth="1"/>
  </cols>
  <sheetData>
    <row r="1" spans="1:19">
      <c r="A1" t="s">
        <v>5</v>
      </c>
      <c r="B1" t="s">
        <v>6</v>
      </c>
      <c r="C1" t="s">
        <v>244</v>
      </c>
      <c r="D1" t="s">
        <v>245</v>
      </c>
      <c r="E1" t="s">
        <v>4</v>
      </c>
      <c r="F1" t="s">
        <v>712</v>
      </c>
      <c r="G1" t="s">
        <v>28</v>
      </c>
      <c r="H1" t="s">
        <v>713</v>
      </c>
      <c r="I1" t="s">
        <v>2216</v>
      </c>
      <c r="J1" t="s">
        <v>2230</v>
      </c>
      <c r="K1" t="s">
        <v>2016</v>
      </c>
      <c r="L1" t="s">
        <v>1591</v>
      </c>
      <c r="M1" t="s">
        <v>39</v>
      </c>
      <c r="N1" t="s">
        <v>2014</v>
      </c>
      <c r="O1" t="s">
        <v>2015</v>
      </c>
      <c r="P1" t="s">
        <v>310</v>
      </c>
      <c r="Q1" t="s">
        <v>369</v>
      </c>
      <c r="R1" t="s">
        <v>1230</v>
      </c>
      <c r="S1" t="s">
        <v>714</v>
      </c>
    </row>
    <row r="2" spans="1:19">
      <c r="A2" t="s">
        <v>3007</v>
      </c>
      <c r="B2" t="s">
        <v>3009</v>
      </c>
      <c r="C2" t="s">
        <v>3010</v>
      </c>
      <c r="D2">
        <v>32.5</v>
      </c>
      <c r="E2" t="s">
        <v>136</v>
      </c>
      <c r="H2" t="s">
        <v>3197</v>
      </c>
      <c r="P2" t="b">
        <v>1</v>
      </c>
      <c r="Q2" t="s">
        <v>2916</v>
      </c>
      <c r="S2" t="s">
        <v>3090</v>
      </c>
    </row>
    <row r="3" spans="1:19" hidden="1">
      <c r="A3" t="s">
        <v>3006</v>
      </c>
      <c r="B3" t="s">
        <v>3091</v>
      </c>
      <c r="C3" t="s">
        <v>3040</v>
      </c>
      <c r="D3">
        <v>39</v>
      </c>
      <c r="E3" t="s">
        <v>136</v>
      </c>
      <c r="H3" t="s">
        <v>3196</v>
      </c>
      <c r="P3" t="b">
        <v>1</v>
      </c>
      <c r="Q3" t="s">
        <v>2916</v>
      </c>
      <c r="S3" t="s">
        <v>3092</v>
      </c>
    </row>
    <row r="4" spans="1:19" hidden="1">
      <c r="A4" t="s">
        <v>3007</v>
      </c>
      <c r="B4" t="s">
        <v>3012</v>
      </c>
      <c r="C4" t="s">
        <v>3040</v>
      </c>
      <c r="D4">
        <v>32.5</v>
      </c>
      <c r="E4" t="s">
        <v>136</v>
      </c>
      <c r="H4" t="s">
        <v>3196</v>
      </c>
      <c r="P4" t="b">
        <v>1</v>
      </c>
      <c r="Q4" t="s">
        <v>2916</v>
      </c>
      <c r="S4" t="s">
        <v>3093</v>
      </c>
    </row>
    <row r="5" spans="1:19" hidden="1">
      <c r="A5" t="s">
        <v>3030</v>
      </c>
      <c r="B5" t="s">
        <v>3034</v>
      </c>
      <c r="C5" t="s">
        <v>3040</v>
      </c>
      <c r="D5">
        <v>35.1</v>
      </c>
      <c r="E5" t="s">
        <v>136</v>
      </c>
      <c r="H5" t="s">
        <v>3196</v>
      </c>
      <c r="P5" t="b">
        <v>1</v>
      </c>
      <c r="Q5" t="s">
        <v>2916</v>
      </c>
      <c r="S5" t="s">
        <v>3094</v>
      </c>
    </row>
    <row r="6" spans="1:19" hidden="1">
      <c r="A6" t="s">
        <v>3030</v>
      </c>
      <c r="B6" t="s">
        <v>3035</v>
      </c>
      <c r="C6" t="s">
        <v>3040</v>
      </c>
      <c r="D6">
        <v>35.1</v>
      </c>
      <c r="E6" t="s">
        <v>136</v>
      </c>
      <c r="H6" t="s">
        <v>3196</v>
      </c>
      <c r="P6" t="b">
        <v>1</v>
      </c>
      <c r="Q6" t="s">
        <v>2916</v>
      </c>
      <c r="S6" t="s">
        <v>3095</v>
      </c>
    </row>
    <row r="7" spans="1:19" hidden="1">
      <c r="A7" t="s">
        <v>3030</v>
      </c>
      <c r="B7" t="s">
        <v>3036</v>
      </c>
      <c r="C7" t="s">
        <v>3040</v>
      </c>
      <c r="D7">
        <v>35.1</v>
      </c>
      <c r="E7" t="s">
        <v>136</v>
      </c>
      <c r="H7" t="s">
        <v>3196</v>
      </c>
      <c r="P7" t="b">
        <v>1</v>
      </c>
      <c r="Q7" t="s">
        <v>2916</v>
      </c>
      <c r="S7" t="s">
        <v>3096</v>
      </c>
    </row>
    <row r="8" spans="1:19" hidden="1">
      <c r="A8" t="s">
        <v>3030</v>
      </c>
      <c r="B8" t="s">
        <v>3038</v>
      </c>
      <c r="C8" t="s">
        <v>3040</v>
      </c>
      <c r="D8">
        <v>35.1</v>
      </c>
      <c r="E8" t="s">
        <v>136</v>
      </c>
      <c r="H8" t="s">
        <v>3196</v>
      </c>
      <c r="P8" t="b">
        <v>1</v>
      </c>
      <c r="Q8" t="s">
        <v>2916</v>
      </c>
      <c r="S8" t="s">
        <v>3097</v>
      </c>
    </row>
    <row r="9" spans="1:19" hidden="1">
      <c r="A9" t="s">
        <v>2638</v>
      </c>
      <c r="B9" t="s">
        <v>513</v>
      </c>
      <c r="C9" t="s">
        <v>488</v>
      </c>
      <c r="D9">
        <v>731.25</v>
      </c>
      <c r="E9" t="s">
        <v>61</v>
      </c>
      <c r="H9" t="s">
        <v>3196</v>
      </c>
      <c r="P9" t="b">
        <v>0</v>
      </c>
      <c r="Q9">
        <v>325</v>
      </c>
      <c r="R9" t="s">
        <v>1243</v>
      </c>
      <c r="S9" t="s">
        <v>788</v>
      </c>
    </row>
    <row r="10" spans="1:19" hidden="1">
      <c r="A10" t="s">
        <v>2714</v>
      </c>
      <c r="B10" t="s">
        <v>1793</v>
      </c>
      <c r="C10" t="s">
        <v>488</v>
      </c>
      <c r="D10">
        <v>390</v>
      </c>
      <c r="E10" t="s">
        <v>1793</v>
      </c>
      <c r="H10" t="s">
        <v>3196</v>
      </c>
      <c r="P10" t="b">
        <v>0</v>
      </c>
      <c r="Q10">
        <v>1000</v>
      </c>
      <c r="R10" t="s">
        <v>1243</v>
      </c>
      <c r="S10" t="s">
        <v>2144</v>
      </c>
    </row>
    <row r="11" spans="1:19" hidden="1">
      <c r="A11" t="s">
        <v>2622</v>
      </c>
      <c r="B11" t="s">
        <v>711</v>
      </c>
      <c r="C11" t="s">
        <v>488</v>
      </c>
      <c r="D11">
        <v>16.25</v>
      </c>
      <c r="E11" t="s">
        <v>43</v>
      </c>
      <c r="H11" t="s">
        <v>3196</v>
      </c>
      <c r="P11" t="b">
        <v>0</v>
      </c>
      <c r="Q11">
        <v>700</v>
      </c>
      <c r="R11" t="s">
        <v>1243</v>
      </c>
      <c r="S11" t="s">
        <v>738</v>
      </c>
    </row>
    <row r="12" spans="1:19" hidden="1">
      <c r="A12" t="s">
        <v>2625</v>
      </c>
      <c r="B12" t="s">
        <v>598</v>
      </c>
      <c r="C12" t="s">
        <v>488</v>
      </c>
      <c r="D12">
        <v>330</v>
      </c>
      <c r="E12" t="s">
        <v>46</v>
      </c>
      <c r="F12" t="s">
        <v>551</v>
      </c>
      <c r="H12" t="s">
        <v>3196</v>
      </c>
      <c r="M12" t="s">
        <v>1251</v>
      </c>
      <c r="P12" t="b">
        <v>1</v>
      </c>
      <c r="Q12">
        <v>80</v>
      </c>
      <c r="R12" t="s">
        <v>1243</v>
      </c>
      <c r="S12" t="s">
        <v>1252</v>
      </c>
    </row>
    <row r="13" spans="1:19" hidden="1">
      <c r="A13" t="s">
        <v>2636</v>
      </c>
      <c r="B13" t="s">
        <v>2217</v>
      </c>
      <c r="C13" t="s">
        <v>488</v>
      </c>
      <c r="D13">
        <v>65</v>
      </c>
      <c r="E13" t="s">
        <v>55</v>
      </c>
      <c r="F13" t="s">
        <v>2219</v>
      </c>
      <c r="H13" t="s">
        <v>3196</v>
      </c>
      <c r="P13" t="b">
        <v>0</v>
      </c>
      <c r="Q13">
        <v>2400</v>
      </c>
      <c r="R13" t="s">
        <v>1243</v>
      </c>
      <c r="S13" t="s">
        <v>2220</v>
      </c>
    </row>
    <row r="14" spans="1:19" hidden="1">
      <c r="A14" t="s">
        <v>2640</v>
      </c>
      <c r="B14" t="s">
        <v>2221</v>
      </c>
      <c r="C14" t="s">
        <v>488</v>
      </c>
      <c r="D14">
        <v>520</v>
      </c>
      <c r="E14" t="s">
        <v>410</v>
      </c>
      <c r="F14" t="s">
        <v>994</v>
      </c>
      <c r="H14" t="s">
        <v>3196</v>
      </c>
      <c r="P14" t="b">
        <v>1</v>
      </c>
      <c r="Q14">
        <v>200</v>
      </c>
      <c r="R14" t="s">
        <v>1242</v>
      </c>
      <c r="S14" t="s">
        <v>2222</v>
      </c>
    </row>
    <row r="15" spans="1:19" hidden="1">
      <c r="A15" t="s">
        <v>2643</v>
      </c>
      <c r="B15" t="s">
        <v>523</v>
      </c>
      <c r="C15" t="s">
        <v>488</v>
      </c>
      <c r="D15">
        <v>220.00000000000003</v>
      </c>
      <c r="E15" t="s">
        <v>75</v>
      </c>
      <c r="H15" t="s">
        <v>3196</v>
      </c>
      <c r="P15" t="b">
        <v>0</v>
      </c>
      <c r="Q15">
        <v>400</v>
      </c>
      <c r="R15" t="s">
        <v>1243</v>
      </c>
      <c r="S15" t="s">
        <v>821</v>
      </c>
    </row>
    <row r="16" spans="1:19" hidden="1">
      <c r="A16" t="s">
        <v>2656</v>
      </c>
      <c r="B16" t="s">
        <v>560</v>
      </c>
      <c r="C16" t="s">
        <v>488</v>
      </c>
      <c r="D16">
        <v>97.5</v>
      </c>
      <c r="E16" t="s">
        <v>108</v>
      </c>
      <c r="F16" t="s">
        <v>1098</v>
      </c>
      <c r="H16" t="s">
        <v>3196</v>
      </c>
      <c r="M16" t="s">
        <v>1099</v>
      </c>
      <c r="P16" t="b">
        <v>0</v>
      </c>
      <c r="Q16">
        <v>450</v>
      </c>
      <c r="R16" t="s">
        <v>1243</v>
      </c>
      <c r="S16" t="s">
        <v>1100</v>
      </c>
    </row>
    <row r="17" spans="1:19" hidden="1">
      <c r="A17" t="s">
        <v>2656</v>
      </c>
      <c r="B17" t="s">
        <v>2825</v>
      </c>
      <c r="C17" t="s">
        <v>488</v>
      </c>
      <c r="D17">
        <v>97.5</v>
      </c>
      <c r="E17" t="s">
        <v>108</v>
      </c>
      <c r="H17" t="s">
        <v>3196</v>
      </c>
      <c r="P17" t="b">
        <v>0</v>
      </c>
      <c r="Q17">
        <v>750</v>
      </c>
      <c r="R17" t="s">
        <v>1243</v>
      </c>
      <c r="S17" t="s">
        <v>2924</v>
      </c>
    </row>
    <row r="18" spans="1:19" hidden="1">
      <c r="A18" t="s">
        <v>2667</v>
      </c>
      <c r="B18" t="s">
        <v>669</v>
      </c>
      <c r="C18" t="s">
        <v>488</v>
      </c>
      <c r="D18">
        <v>130</v>
      </c>
      <c r="E18" t="s">
        <v>114</v>
      </c>
      <c r="H18" t="s">
        <v>3196</v>
      </c>
      <c r="P18" t="b">
        <v>0</v>
      </c>
      <c r="Q18">
        <v>50</v>
      </c>
      <c r="R18" t="s">
        <v>1243</v>
      </c>
      <c r="S18" t="s">
        <v>1086</v>
      </c>
    </row>
    <row r="19" spans="1:19" hidden="1">
      <c r="A19" t="s">
        <v>2667</v>
      </c>
      <c r="B19" t="s">
        <v>669</v>
      </c>
      <c r="C19" t="s">
        <v>488</v>
      </c>
      <c r="D19">
        <v>130</v>
      </c>
      <c r="E19" t="s">
        <v>114</v>
      </c>
      <c r="F19" t="s">
        <v>341</v>
      </c>
      <c r="H19" t="s">
        <v>3196</v>
      </c>
      <c r="M19" t="s">
        <v>1085</v>
      </c>
      <c r="P19" t="b">
        <v>0</v>
      </c>
      <c r="Q19">
        <v>50</v>
      </c>
      <c r="R19" t="s">
        <v>1243</v>
      </c>
      <c r="S19" t="s">
        <v>1086</v>
      </c>
    </row>
    <row r="20" spans="1:19" hidden="1">
      <c r="A20" t="s">
        <v>2717</v>
      </c>
      <c r="B20" t="s">
        <v>579</v>
      </c>
      <c r="C20" t="s">
        <v>488</v>
      </c>
      <c r="D20">
        <v>220</v>
      </c>
      <c r="E20" t="s">
        <v>845</v>
      </c>
      <c r="H20" t="s">
        <v>3196</v>
      </c>
      <c r="P20" t="b">
        <v>0</v>
      </c>
      <c r="Q20">
        <v>200</v>
      </c>
      <c r="R20" t="s">
        <v>1243</v>
      </c>
      <c r="S20" t="s">
        <v>846</v>
      </c>
    </row>
    <row r="21" spans="1:19" hidden="1">
      <c r="A21" t="s">
        <v>2674</v>
      </c>
      <c r="B21" t="s">
        <v>2947</v>
      </c>
      <c r="C21" t="s">
        <v>488</v>
      </c>
      <c r="D21">
        <v>10.833333333333332</v>
      </c>
      <c r="E21" t="s">
        <v>136</v>
      </c>
      <c r="H21" t="s">
        <v>3196</v>
      </c>
      <c r="P21" t="b">
        <v>1</v>
      </c>
      <c r="Q21">
        <v>200</v>
      </c>
      <c r="R21" t="s">
        <v>1243</v>
      </c>
      <c r="S21" t="s">
        <v>2933</v>
      </c>
    </row>
    <row r="22" spans="1:19" hidden="1">
      <c r="A22" t="s">
        <v>2674</v>
      </c>
      <c r="B22" t="s">
        <v>2947</v>
      </c>
      <c r="C22" t="s">
        <v>488</v>
      </c>
      <c r="D22">
        <v>10.833333333333332</v>
      </c>
      <c r="E22" t="s">
        <v>136</v>
      </c>
      <c r="H22" t="s">
        <v>3196</v>
      </c>
      <c r="P22" t="b">
        <v>1</v>
      </c>
      <c r="Q22">
        <v>300</v>
      </c>
      <c r="R22" t="s">
        <v>1243</v>
      </c>
      <c r="S22" t="s">
        <v>2933</v>
      </c>
    </row>
    <row r="23" spans="1:19" hidden="1">
      <c r="A23" t="s">
        <v>3006</v>
      </c>
      <c r="B23" t="s">
        <v>3016</v>
      </c>
      <c r="C23" t="s">
        <v>488</v>
      </c>
      <c r="D23">
        <v>39</v>
      </c>
      <c r="E23" t="s">
        <v>136</v>
      </c>
      <c r="H23" t="s">
        <v>3196</v>
      </c>
      <c r="P23" t="b">
        <v>1</v>
      </c>
      <c r="Q23">
        <v>300</v>
      </c>
      <c r="R23" t="s">
        <v>1243</v>
      </c>
      <c r="S23" t="s">
        <v>3083</v>
      </c>
    </row>
    <row r="24" spans="1:19" hidden="1">
      <c r="A24" t="s">
        <v>3008</v>
      </c>
      <c r="B24" t="s">
        <v>3020</v>
      </c>
      <c r="C24" t="s">
        <v>488</v>
      </c>
      <c r="D24">
        <v>52</v>
      </c>
      <c r="E24" t="s">
        <v>136</v>
      </c>
      <c r="H24" t="s">
        <v>3196</v>
      </c>
      <c r="P24" t="b">
        <v>1</v>
      </c>
      <c r="Q24">
        <v>300</v>
      </c>
      <c r="R24" t="s">
        <v>1243</v>
      </c>
      <c r="S24" t="s">
        <v>3099</v>
      </c>
    </row>
    <row r="25" spans="1:19">
      <c r="A25" t="s">
        <v>2674</v>
      </c>
      <c r="B25" t="s">
        <v>2845</v>
      </c>
      <c r="C25" t="s">
        <v>2846</v>
      </c>
      <c r="D25">
        <v>10.833333333333332</v>
      </c>
      <c r="E25" t="s">
        <v>136</v>
      </c>
      <c r="H25" t="s">
        <v>3197</v>
      </c>
      <c r="P25" t="b">
        <v>0</v>
      </c>
      <c r="Q25" t="s">
        <v>2916</v>
      </c>
      <c r="S25" t="s">
        <v>2934</v>
      </c>
    </row>
    <row r="26" spans="1:19">
      <c r="A26" t="s">
        <v>2677</v>
      </c>
      <c r="B26" t="s">
        <v>2849</v>
      </c>
      <c r="C26" t="s">
        <v>2846</v>
      </c>
      <c r="D26">
        <v>14.444444444444443</v>
      </c>
      <c r="E26" t="s">
        <v>136</v>
      </c>
      <c r="H26" t="s">
        <v>3197</v>
      </c>
      <c r="P26" t="b">
        <v>0</v>
      </c>
      <c r="Q26" t="s">
        <v>2916</v>
      </c>
      <c r="S26" t="s">
        <v>2935</v>
      </c>
    </row>
    <row r="27" spans="1:19" hidden="1">
      <c r="A27" t="s">
        <v>2645</v>
      </c>
      <c r="B27" t="s">
        <v>2855</v>
      </c>
      <c r="C27" t="s">
        <v>501</v>
      </c>
      <c r="D27">
        <v>13</v>
      </c>
      <c r="E27" t="s">
        <v>393</v>
      </c>
      <c r="H27" t="s">
        <v>3196</v>
      </c>
      <c r="P27" t="b">
        <v>0</v>
      </c>
      <c r="Q27" t="s">
        <v>2916</v>
      </c>
      <c r="S27" t="s">
        <v>2037</v>
      </c>
    </row>
    <row r="28" spans="1:19" hidden="1">
      <c r="A28" t="s">
        <v>2677</v>
      </c>
      <c r="B28" t="s">
        <v>687</v>
      </c>
      <c r="C28" t="s">
        <v>501</v>
      </c>
      <c r="D28">
        <v>14.444444444444443</v>
      </c>
      <c r="E28" t="s">
        <v>136</v>
      </c>
      <c r="F28" t="s">
        <v>908</v>
      </c>
      <c r="H28" t="s">
        <v>3196</v>
      </c>
      <c r="P28" t="b">
        <v>0</v>
      </c>
      <c r="Q28" t="s">
        <v>2192</v>
      </c>
      <c r="R28" t="s">
        <v>2192</v>
      </c>
      <c r="S28" t="s">
        <v>2186</v>
      </c>
    </row>
    <row r="29" spans="1:19" hidden="1">
      <c r="A29" t="s">
        <v>3008</v>
      </c>
      <c r="B29" t="s">
        <v>3013</v>
      </c>
      <c r="C29" t="s">
        <v>3014</v>
      </c>
      <c r="D29">
        <v>52</v>
      </c>
      <c r="E29" t="s">
        <v>136</v>
      </c>
      <c r="H29" t="s">
        <v>3196</v>
      </c>
      <c r="P29" t="b">
        <v>1</v>
      </c>
      <c r="Q29" t="s">
        <v>2916</v>
      </c>
      <c r="S29" t="s">
        <v>3085</v>
      </c>
    </row>
    <row r="30" spans="1:19" hidden="1">
      <c r="A30" t="s">
        <v>2631</v>
      </c>
      <c r="B30" t="s">
        <v>1899</v>
      </c>
      <c r="C30" t="s">
        <v>482</v>
      </c>
      <c r="D30">
        <v>440.00000000000006</v>
      </c>
      <c r="E30" t="s">
        <v>52</v>
      </c>
      <c r="H30" t="s">
        <v>3196</v>
      </c>
      <c r="P30" t="b">
        <v>0</v>
      </c>
      <c r="Q30">
        <v>4800</v>
      </c>
      <c r="R30" t="s">
        <v>1242</v>
      </c>
      <c r="S30" t="s">
        <v>2045</v>
      </c>
    </row>
    <row r="31" spans="1:19" hidden="1">
      <c r="A31" t="s">
        <v>2731</v>
      </c>
      <c r="B31" t="s">
        <v>1819</v>
      </c>
      <c r="C31" t="s">
        <v>482</v>
      </c>
      <c r="D31">
        <v>180.26666666666665</v>
      </c>
      <c r="E31" t="s">
        <v>92</v>
      </c>
      <c r="H31" t="s">
        <v>3196</v>
      </c>
      <c r="P31" t="b">
        <v>0</v>
      </c>
      <c r="Q31">
        <v>24000</v>
      </c>
      <c r="R31" t="s">
        <v>1242</v>
      </c>
      <c r="S31" t="s">
        <v>1027</v>
      </c>
    </row>
    <row r="32" spans="1:19" hidden="1">
      <c r="A32" t="s">
        <v>2774</v>
      </c>
      <c r="B32" t="s">
        <v>1542</v>
      </c>
      <c r="C32" t="s">
        <v>482</v>
      </c>
      <c r="D32">
        <v>180.26666666666665</v>
      </c>
      <c r="E32" t="s">
        <v>92</v>
      </c>
      <c r="H32" t="s">
        <v>3196</v>
      </c>
      <c r="P32" t="b">
        <v>0</v>
      </c>
      <c r="Q32">
        <v>24000</v>
      </c>
      <c r="R32" t="s">
        <v>1242</v>
      </c>
      <c r="S32" t="s">
        <v>2061</v>
      </c>
    </row>
    <row r="33" spans="1:19" hidden="1">
      <c r="A33" t="s">
        <v>2668</v>
      </c>
      <c r="B33" t="s">
        <v>1925</v>
      </c>
      <c r="C33" t="s">
        <v>482</v>
      </c>
      <c r="D33">
        <v>1560</v>
      </c>
      <c r="E33" t="s">
        <v>114</v>
      </c>
      <c r="H33" t="s">
        <v>3196</v>
      </c>
      <c r="P33" t="b">
        <v>0</v>
      </c>
      <c r="Q33">
        <v>1800</v>
      </c>
      <c r="R33" t="s">
        <v>1242</v>
      </c>
      <c r="S33" t="s">
        <v>1091</v>
      </c>
    </row>
    <row r="34" spans="1:19" hidden="1">
      <c r="A34" t="s">
        <v>2621</v>
      </c>
      <c r="B34" t="s">
        <v>481</v>
      </c>
      <c r="C34" t="s">
        <v>482</v>
      </c>
      <c r="D34">
        <v>2340</v>
      </c>
      <c r="E34" t="s">
        <v>42</v>
      </c>
      <c r="H34" t="s">
        <v>3196</v>
      </c>
      <c r="P34" t="b">
        <v>0</v>
      </c>
      <c r="Q34">
        <v>13000</v>
      </c>
      <c r="R34" t="s">
        <v>1242</v>
      </c>
      <c r="S34" t="s">
        <v>727</v>
      </c>
    </row>
    <row r="35" spans="1:19" hidden="1">
      <c r="A35" t="s">
        <v>3107</v>
      </c>
      <c r="B35" t="s">
        <v>90</v>
      </c>
      <c r="C35" t="s">
        <v>482</v>
      </c>
      <c r="D35">
        <v>780</v>
      </c>
      <c r="E35" t="s">
        <v>90</v>
      </c>
      <c r="H35" t="s">
        <v>3196</v>
      </c>
      <c r="P35" t="b">
        <v>0</v>
      </c>
      <c r="Q35">
        <v>12500</v>
      </c>
      <c r="R35" t="s">
        <v>1242</v>
      </c>
      <c r="S35" t="s">
        <v>728</v>
      </c>
    </row>
    <row r="36" spans="1:19" hidden="1">
      <c r="A36" t="s">
        <v>3107</v>
      </c>
      <c r="B36" t="s">
        <v>90</v>
      </c>
      <c r="C36" t="s">
        <v>482</v>
      </c>
      <c r="D36">
        <v>780</v>
      </c>
      <c r="E36" t="s">
        <v>106</v>
      </c>
      <c r="H36" t="s">
        <v>3196</v>
      </c>
      <c r="P36" t="b">
        <v>0</v>
      </c>
      <c r="Q36">
        <v>12500</v>
      </c>
      <c r="R36" t="s">
        <v>1242</v>
      </c>
      <c r="S36" t="s">
        <v>728</v>
      </c>
    </row>
    <row r="37" spans="1:19" hidden="1">
      <c r="A37" t="s">
        <v>2622</v>
      </c>
      <c r="B37" t="s">
        <v>2209</v>
      </c>
      <c r="C37" t="s">
        <v>482</v>
      </c>
      <c r="D37">
        <v>16.25</v>
      </c>
      <c r="E37" t="s">
        <v>43</v>
      </c>
      <c r="H37" t="s">
        <v>3196</v>
      </c>
      <c r="P37" t="b">
        <v>0</v>
      </c>
      <c r="Q37">
        <v>19900</v>
      </c>
      <c r="R37" t="s">
        <v>1242</v>
      </c>
      <c r="S37" t="s">
        <v>2210</v>
      </c>
    </row>
    <row r="38" spans="1:19" hidden="1">
      <c r="A38" t="s">
        <v>2624</v>
      </c>
      <c r="B38" t="s">
        <v>2787</v>
      </c>
      <c r="C38" t="s">
        <v>482</v>
      </c>
      <c r="D38">
        <v>120</v>
      </c>
      <c r="E38" t="s">
        <v>44</v>
      </c>
      <c r="H38" t="s">
        <v>3196</v>
      </c>
      <c r="P38" t="b">
        <v>0</v>
      </c>
      <c r="Q38">
        <v>1200</v>
      </c>
      <c r="R38" t="s">
        <v>1241</v>
      </c>
      <c r="S38" t="s">
        <v>2893</v>
      </c>
    </row>
    <row r="39" spans="1:19" hidden="1">
      <c r="A39" t="s">
        <v>2624</v>
      </c>
      <c r="B39" t="s">
        <v>2786</v>
      </c>
      <c r="C39" t="s">
        <v>482</v>
      </c>
      <c r="D39">
        <v>120</v>
      </c>
      <c r="E39" t="s">
        <v>44</v>
      </c>
      <c r="H39" t="s">
        <v>3196</v>
      </c>
      <c r="P39" t="b">
        <v>0</v>
      </c>
      <c r="Q39">
        <v>145</v>
      </c>
      <c r="R39" t="s">
        <v>1242</v>
      </c>
      <c r="S39" t="s">
        <v>2894</v>
      </c>
    </row>
    <row r="40" spans="1:19" hidden="1">
      <c r="A40" t="s">
        <v>2625</v>
      </c>
      <c r="B40" t="s">
        <v>601</v>
      </c>
      <c r="C40" t="s">
        <v>482</v>
      </c>
      <c r="D40">
        <v>330</v>
      </c>
      <c r="E40" t="s">
        <v>46</v>
      </c>
      <c r="H40" t="s">
        <v>3196</v>
      </c>
      <c r="M40" t="s">
        <v>1300</v>
      </c>
      <c r="P40" t="b">
        <v>1</v>
      </c>
      <c r="Q40">
        <v>1500</v>
      </c>
      <c r="R40" t="s">
        <v>1242</v>
      </c>
      <c r="S40" t="s">
        <v>1299</v>
      </c>
    </row>
    <row r="41" spans="1:19" hidden="1">
      <c r="A41" t="s">
        <v>2625</v>
      </c>
      <c r="B41" t="s">
        <v>763</v>
      </c>
      <c r="C41" t="s">
        <v>482</v>
      </c>
      <c r="D41">
        <v>330</v>
      </c>
      <c r="E41" t="s">
        <v>46</v>
      </c>
      <c r="F41" t="s">
        <v>551</v>
      </c>
      <c r="H41" t="s">
        <v>3196</v>
      </c>
      <c r="M41" t="s">
        <v>1257</v>
      </c>
      <c r="P41" t="b">
        <v>1</v>
      </c>
      <c r="Q41">
        <v>2000</v>
      </c>
      <c r="R41" t="s">
        <v>1242</v>
      </c>
      <c r="S41" t="s">
        <v>1256</v>
      </c>
    </row>
    <row r="42" spans="1:19" hidden="1">
      <c r="A42" t="s">
        <v>2628</v>
      </c>
      <c r="B42" t="s">
        <v>1891</v>
      </c>
      <c r="C42" t="s">
        <v>482</v>
      </c>
      <c r="D42">
        <v>146.66666666666666</v>
      </c>
      <c r="E42" t="s">
        <v>52</v>
      </c>
      <c r="H42" t="s">
        <v>3196</v>
      </c>
      <c r="P42" t="b">
        <v>1</v>
      </c>
      <c r="Q42">
        <v>4800</v>
      </c>
      <c r="R42" t="s">
        <v>1242</v>
      </c>
      <c r="S42" t="s">
        <v>2039</v>
      </c>
    </row>
    <row r="43" spans="1:19" hidden="1">
      <c r="A43" t="s">
        <v>2629</v>
      </c>
      <c r="B43" t="s">
        <v>1903</v>
      </c>
      <c r="C43" t="s">
        <v>482</v>
      </c>
      <c r="D43">
        <v>58.666666666666664</v>
      </c>
      <c r="E43" t="s">
        <v>52</v>
      </c>
      <c r="H43" t="s">
        <v>3196</v>
      </c>
      <c r="P43" t="b">
        <v>1</v>
      </c>
      <c r="Q43">
        <v>4800</v>
      </c>
      <c r="R43" t="s">
        <v>1242</v>
      </c>
      <c r="S43" t="s">
        <v>2040</v>
      </c>
    </row>
    <row r="44" spans="1:19" hidden="1">
      <c r="A44" t="s">
        <v>2629</v>
      </c>
      <c r="B44" t="s">
        <v>1904</v>
      </c>
      <c r="C44" t="s">
        <v>482</v>
      </c>
      <c r="D44">
        <v>58.666666666666664</v>
      </c>
      <c r="E44" t="s">
        <v>52</v>
      </c>
      <c r="H44" t="s">
        <v>3196</v>
      </c>
      <c r="P44" t="b">
        <v>1</v>
      </c>
      <c r="Q44">
        <v>4800</v>
      </c>
      <c r="R44" t="s">
        <v>1242</v>
      </c>
      <c r="S44" t="s">
        <v>2041</v>
      </c>
    </row>
    <row r="45" spans="1:19" hidden="1">
      <c r="A45" t="s">
        <v>2632</v>
      </c>
      <c r="B45" t="s">
        <v>2802</v>
      </c>
      <c r="C45" t="s">
        <v>482</v>
      </c>
      <c r="D45">
        <v>1560</v>
      </c>
      <c r="E45" t="s">
        <v>53</v>
      </c>
      <c r="H45" t="s">
        <v>3196</v>
      </c>
      <c r="P45" t="b">
        <v>0</v>
      </c>
      <c r="Q45">
        <v>20000</v>
      </c>
      <c r="R45" t="s">
        <v>1241</v>
      </c>
      <c r="S45" t="s">
        <v>2896</v>
      </c>
    </row>
    <row r="46" spans="1:19" hidden="1">
      <c r="A46" t="s">
        <v>2634</v>
      </c>
      <c r="B46" t="s">
        <v>1269</v>
      </c>
      <c r="C46" t="s">
        <v>482</v>
      </c>
      <c r="D46">
        <v>1560</v>
      </c>
      <c r="E46" t="s">
        <v>53</v>
      </c>
      <c r="F46" t="s">
        <v>988</v>
      </c>
      <c r="H46" t="s">
        <v>3196</v>
      </c>
      <c r="M46" t="s">
        <v>1270</v>
      </c>
      <c r="P46" t="b">
        <v>1</v>
      </c>
      <c r="Q46">
        <v>11000</v>
      </c>
      <c r="R46" t="s">
        <v>1242</v>
      </c>
      <c r="S46" t="s">
        <v>1268</v>
      </c>
    </row>
    <row r="47" spans="1:19" hidden="1">
      <c r="A47" t="s">
        <v>2634</v>
      </c>
      <c r="B47" t="s">
        <v>2804</v>
      </c>
      <c r="C47" t="s">
        <v>482</v>
      </c>
      <c r="D47">
        <v>1560</v>
      </c>
      <c r="E47" t="s">
        <v>53</v>
      </c>
      <c r="H47" t="s">
        <v>3196</v>
      </c>
      <c r="P47" t="b">
        <v>1</v>
      </c>
      <c r="Q47">
        <v>20000</v>
      </c>
      <c r="R47" t="s">
        <v>1241</v>
      </c>
      <c r="S47" t="s">
        <v>2897</v>
      </c>
    </row>
    <row r="48" spans="1:19" hidden="1">
      <c r="A48" t="s">
        <v>2634</v>
      </c>
      <c r="B48" t="s">
        <v>2817</v>
      </c>
      <c r="C48" t="s">
        <v>482</v>
      </c>
      <c r="D48">
        <v>1560</v>
      </c>
      <c r="E48" t="s">
        <v>53</v>
      </c>
      <c r="H48" t="s">
        <v>3196</v>
      </c>
      <c r="P48" t="b">
        <v>1</v>
      </c>
      <c r="Q48">
        <v>20000</v>
      </c>
      <c r="R48" t="s">
        <v>1241</v>
      </c>
      <c r="S48" t="s">
        <v>2898</v>
      </c>
    </row>
    <row r="49" spans="1:19" hidden="1">
      <c r="A49" t="s">
        <v>2636</v>
      </c>
      <c r="B49" t="s">
        <v>2218</v>
      </c>
      <c r="C49" t="s">
        <v>482</v>
      </c>
      <c r="D49">
        <v>65</v>
      </c>
      <c r="E49" t="s">
        <v>55</v>
      </c>
      <c r="H49" t="s">
        <v>3196</v>
      </c>
      <c r="I49" t="b">
        <v>1</v>
      </c>
      <c r="P49" t="b">
        <v>0</v>
      </c>
      <c r="Q49">
        <v>65000</v>
      </c>
      <c r="R49" t="s">
        <v>1242</v>
      </c>
      <c r="S49" t="s">
        <v>2053</v>
      </c>
    </row>
    <row r="50" spans="1:19" hidden="1">
      <c r="A50" t="s">
        <v>2636</v>
      </c>
      <c r="B50" t="s">
        <v>508</v>
      </c>
      <c r="C50" t="s">
        <v>482</v>
      </c>
      <c r="D50">
        <v>65</v>
      </c>
      <c r="E50" t="s">
        <v>55</v>
      </c>
      <c r="H50" t="s">
        <v>3196</v>
      </c>
      <c r="P50" t="b">
        <v>0</v>
      </c>
      <c r="Q50">
        <v>65000</v>
      </c>
      <c r="R50" t="s">
        <v>1242</v>
      </c>
      <c r="S50" t="s">
        <v>2052</v>
      </c>
    </row>
    <row r="51" spans="1:19" hidden="1">
      <c r="A51" t="s">
        <v>2639</v>
      </c>
      <c r="B51" t="s">
        <v>1807</v>
      </c>
      <c r="C51" t="s">
        <v>482</v>
      </c>
      <c r="D51">
        <v>206.25000000000003</v>
      </c>
      <c r="E51" t="s">
        <v>62</v>
      </c>
      <c r="H51" t="s">
        <v>3196</v>
      </c>
      <c r="P51" t="b">
        <v>0</v>
      </c>
      <c r="Q51">
        <v>3800</v>
      </c>
      <c r="R51" t="s">
        <v>1242</v>
      </c>
      <c r="S51" t="s">
        <v>2054</v>
      </c>
    </row>
    <row r="52" spans="1:19" hidden="1">
      <c r="A52" t="s">
        <v>2640</v>
      </c>
      <c r="B52" t="s">
        <v>1875</v>
      </c>
      <c r="C52" t="s">
        <v>482</v>
      </c>
      <c r="D52">
        <v>520</v>
      </c>
      <c r="E52" t="s">
        <v>325</v>
      </c>
      <c r="H52" t="s">
        <v>3196</v>
      </c>
      <c r="P52" t="b">
        <v>1</v>
      </c>
      <c r="Q52">
        <v>170</v>
      </c>
      <c r="R52" t="s">
        <v>1242</v>
      </c>
      <c r="S52" t="s">
        <v>2056</v>
      </c>
    </row>
    <row r="53" spans="1:19" hidden="1">
      <c r="A53" t="s">
        <v>2641</v>
      </c>
      <c r="B53" t="s">
        <v>1812</v>
      </c>
      <c r="C53" t="s">
        <v>482</v>
      </c>
      <c r="D53">
        <v>24.375</v>
      </c>
      <c r="E53" t="s">
        <v>70</v>
      </c>
      <c r="H53" t="s">
        <v>3196</v>
      </c>
      <c r="P53" t="b">
        <v>0</v>
      </c>
      <c r="Q53">
        <v>1100</v>
      </c>
      <c r="R53" t="s">
        <v>1242</v>
      </c>
      <c r="S53" t="s">
        <v>801</v>
      </c>
    </row>
    <row r="54" spans="1:19" hidden="1">
      <c r="A54" t="s">
        <v>2641</v>
      </c>
      <c r="B54" t="s">
        <v>2812</v>
      </c>
      <c r="C54" t="s">
        <v>482</v>
      </c>
      <c r="D54">
        <v>8.125</v>
      </c>
      <c r="E54" t="s">
        <v>70</v>
      </c>
      <c r="H54" t="s">
        <v>3196</v>
      </c>
      <c r="P54" t="b">
        <v>0</v>
      </c>
      <c r="Q54">
        <v>1100</v>
      </c>
      <c r="R54" t="s">
        <v>1242</v>
      </c>
      <c r="S54" t="s">
        <v>2899</v>
      </c>
    </row>
    <row r="55" spans="1:19" hidden="1">
      <c r="A55" t="s">
        <v>2642</v>
      </c>
      <c r="B55" t="s">
        <v>1609</v>
      </c>
      <c r="C55" t="s">
        <v>482</v>
      </c>
      <c r="D55">
        <v>8.125</v>
      </c>
      <c r="E55" t="s">
        <v>70</v>
      </c>
      <c r="H55" t="s">
        <v>3196</v>
      </c>
      <c r="P55" t="b">
        <v>0</v>
      </c>
      <c r="Q55">
        <v>1100</v>
      </c>
      <c r="R55" t="s">
        <v>1242</v>
      </c>
      <c r="S55" t="s">
        <v>2058</v>
      </c>
    </row>
    <row r="56" spans="1:19" hidden="1">
      <c r="A56" t="s">
        <v>2723</v>
      </c>
      <c r="B56" t="s">
        <v>1811</v>
      </c>
      <c r="C56" t="s">
        <v>482</v>
      </c>
      <c r="D56">
        <v>48.75</v>
      </c>
      <c r="E56" t="s">
        <v>70</v>
      </c>
      <c r="H56" t="s">
        <v>3196</v>
      </c>
      <c r="P56" t="b">
        <v>0</v>
      </c>
      <c r="Q56">
        <v>1100</v>
      </c>
      <c r="R56" t="s">
        <v>1242</v>
      </c>
      <c r="S56" t="s">
        <v>2059</v>
      </c>
    </row>
    <row r="57" spans="1:19" hidden="1">
      <c r="A57" t="s">
        <v>2643</v>
      </c>
      <c r="B57" t="s">
        <v>524</v>
      </c>
      <c r="C57" t="s">
        <v>482</v>
      </c>
      <c r="D57">
        <v>220.00000000000003</v>
      </c>
      <c r="E57" t="s">
        <v>75</v>
      </c>
      <c r="H57" t="s">
        <v>3196</v>
      </c>
      <c r="P57" t="b">
        <v>0</v>
      </c>
      <c r="Q57">
        <v>15000</v>
      </c>
      <c r="R57" t="s">
        <v>1242</v>
      </c>
      <c r="S57" t="s">
        <v>822</v>
      </c>
    </row>
    <row r="58" spans="1:19" hidden="1">
      <c r="A58" t="s">
        <v>2728</v>
      </c>
      <c r="B58" t="s">
        <v>531</v>
      </c>
      <c r="C58" t="s">
        <v>482</v>
      </c>
      <c r="D58">
        <v>390</v>
      </c>
      <c r="E58" t="s">
        <v>78</v>
      </c>
      <c r="H58" t="s">
        <v>3196</v>
      </c>
      <c r="P58" t="b">
        <v>0</v>
      </c>
      <c r="Q58">
        <v>7000</v>
      </c>
      <c r="R58" t="s">
        <v>1242</v>
      </c>
      <c r="S58" t="s">
        <v>834</v>
      </c>
    </row>
    <row r="59" spans="1:19" hidden="1">
      <c r="A59" t="s">
        <v>2646</v>
      </c>
      <c r="B59" t="s">
        <v>2022</v>
      </c>
      <c r="C59" t="s">
        <v>482</v>
      </c>
      <c r="D59">
        <v>97.777777777777771</v>
      </c>
      <c r="E59" t="s">
        <v>88</v>
      </c>
      <c r="H59" t="s">
        <v>3196</v>
      </c>
      <c r="P59" t="b">
        <v>0</v>
      </c>
      <c r="Q59">
        <v>5600</v>
      </c>
      <c r="R59" t="s">
        <v>1242</v>
      </c>
      <c r="S59" t="s">
        <v>2085</v>
      </c>
    </row>
    <row r="60" spans="1:19" hidden="1">
      <c r="A60" t="s">
        <v>2646</v>
      </c>
      <c r="B60" t="s">
        <v>1554</v>
      </c>
      <c r="C60" t="s">
        <v>482</v>
      </c>
      <c r="D60">
        <v>97.777777777777771</v>
      </c>
      <c r="E60" t="s">
        <v>88</v>
      </c>
      <c r="H60" t="s">
        <v>3196</v>
      </c>
      <c r="P60" t="b">
        <v>0</v>
      </c>
      <c r="Q60">
        <v>5600</v>
      </c>
      <c r="R60" t="s">
        <v>1242</v>
      </c>
      <c r="S60" t="s">
        <v>2082</v>
      </c>
    </row>
    <row r="61" spans="1:19" hidden="1">
      <c r="A61" t="s">
        <v>2646</v>
      </c>
      <c r="B61" t="s">
        <v>2224</v>
      </c>
      <c r="C61" t="s">
        <v>482</v>
      </c>
      <c r="D61">
        <v>97.777777777777771</v>
      </c>
      <c r="E61" t="s">
        <v>88</v>
      </c>
      <c r="H61" t="s">
        <v>3196</v>
      </c>
      <c r="P61" t="b">
        <v>0</v>
      </c>
      <c r="Q61">
        <v>133200</v>
      </c>
      <c r="R61" t="s">
        <v>1241</v>
      </c>
      <c r="S61" t="s">
        <v>2225</v>
      </c>
    </row>
    <row r="62" spans="1:19" hidden="1">
      <c r="A62" t="s">
        <v>2652</v>
      </c>
      <c r="B62" t="s">
        <v>700</v>
      </c>
      <c r="C62" t="s">
        <v>482</v>
      </c>
      <c r="D62">
        <v>16.25</v>
      </c>
      <c r="E62" t="s">
        <v>98</v>
      </c>
      <c r="H62" t="s">
        <v>3196</v>
      </c>
      <c r="P62" t="b">
        <v>0</v>
      </c>
      <c r="Q62">
        <v>18000</v>
      </c>
      <c r="R62" t="s">
        <v>1241</v>
      </c>
      <c r="S62" t="s">
        <v>2901</v>
      </c>
    </row>
    <row r="63" spans="1:19" hidden="1">
      <c r="A63" t="s">
        <v>2653</v>
      </c>
      <c r="B63" t="s">
        <v>1845</v>
      </c>
      <c r="C63" t="s">
        <v>482</v>
      </c>
      <c r="D63">
        <v>330</v>
      </c>
      <c r="E63" t="s">
        <v>105</v>
      </c>
      <c r="H63" t="s">
        <v>3196</v>
      </c>
      <c r="P63" t="b">
        <v>0</v>
      </c>
      <c r="Q63">
        <v>6000</v>
      </c>
      <c r="R63" t="s">
        <v>1242</v>
      </c>
      <c r="S63" t="s">
        <v>2065</v>
      </c>
    </row>
    <row r="64" spans="1:19" hidden="1">
      <c r="A64" t="s">
        <v>2653</v>
      </c>
      <c r="B64" t="s">
        <v>2819</v>
      </c>
      <c r="C64" t="s">
        <v>482</v>
      </c>
      <c r="D64">
        <v>330</v>
      </c>
      <c r="E64" t="s">
        <v>105</v>
      </c>
      <c r="H64" t="s">
        <v>3196</v>
      </c>
      <c r="P64" t="b">
        <v>0</v>
      </c>
      <c r="Q64">
        <v>7000</v>
      </c>
      <c r="R64" t="s">
        <v>1242</v>
      </c>
      <c r="S64" t="s">
        <v>2902</v>
      </c>
    </row>
    <row r="65" spans="1:19" hidden="1">
      <c r="A65" t="s">
        <v>2656</v>
      </c>
      <c r="B65" t="s">
        <v>1879</v>
      </c>
      <c r="C65" t="s">
        <v>482</v>
      </c>
      <c r="D65">
        <v>97.5</v>
      </c>
      <c r="E65" t="s">
        <v>108</v>
      </c>
      <c r="H65" t="s">
        <v>3196</v>
      </c>
      <c r="P65" t="b">
        <v>0</v>
      </c>
      <c r="Q65">
        <v>15000</v>
      </c>
      <c r="R65" t="s">
        <v>1242</v>
      </c>
      <c r="S65" t="s">
        <v>2069</v>
      </c>
    </row>
    <row r="66" spans="1:19" hidden="1">
      <c r="A66" t="s">
        <v>2657</v>
      </c>
      <c r="B66" t="s">
        <v>2865</v>
      </c>
      <c r="C66" t="s">
        <v>482</v>
      </c>
      <c r="D66">
        <v>3120</v>
      </c>
      <c r="E66" t="s">
        <v>109</v>
      </c>
      <c r="H66" t="s">
        <v>3196</v>
      </c>
      <c r="P66" t="b">
        <v>0</v>
      </c>
      <c r="Q66">
        <v>5776</v>
      </c>
      <c r="R66" t="s">
        <v>1242</v>
      </c>
      <c r="S66" t="s">
        <v>2927</v>
      </c>
    </row>
    <row r="67" spans="1:19" hidden="1">
      <c r="A67" t="s">
        <v>2657</v>
      </c>
      <c r="B67" t="s">
        <v>2866</v>
      </c>
      <c r="C67" t="s">
        <v>482</v>
      </c>
      <c r="D67">
        <v>3120</v>
      </c>
      <c r="E67" t="s">
        <v>109</v>
      </c>
      <c r="H67" t="s">
        <v>3196</v>
      </c>
      <c r="P67" t="b">
        <v>0</v>
      </c>
      <c r="Q67">
        <v>5776</v>
      </c>
      <c r="R67" t="s">
        <v>1242</v>
      </c>
      <c r="S67" t="s">
        <v>2926</v>
      </c>
    </row>
    <row r="68" spans="1:19" hidden="1">
      <c r="A68" t="s">
        <v>2664</v>
      </c>
      <c r="B68" t="s">
        <v>2830</v>
      </c>
      <c r="C68" t="s">
        <v>482</v>
      </c>
      <c r="D68">
        <v>65</v>
      </c>
      <c r="E68" t="s">
        <v>113</v>
      </c>
      <c r="H68" t="s">
        <v>3196</v>
      </c>
      <c r="P68" t="b">
        <v>0</v>
      </c>
      <c r="Q68">
        <v>9</v>
      </c>
      <c r="R68" t="s">
        <v>1241</v>
      </c>
      <c r="S68" t="s">
        <v>2892</v>
      </c>
    </row>
    <row r="69" spans="1:19" hidden="1">
      <c r="A69" t="s">
        <v>2664</v>
      </c>
      <c r="B69" t="s">
        <v>2831</v>
      </c>
      <c r="C69" t="s">
        <v>482</v>
      </c>
      <c r="D69">
        <v>65</v>
      </c>
      <c r="E69" t="s">
        <v>113</v>
      </c>
      <c r="H69" t="s">
        <v>3196</v>
      </c>
      <c r="P69" t="b">
        <v>0</v>
      </c>
      <c r="Q69">
        <v>9</v>
      </c>
      <c r="R69" t="s">
        <v>1241</v>
      </c>
      <c r="S69" t="s">
        <v>2892</v>
      </c>
    </row>
    <row r="70" spans="1:19" hidden="1">
      <c r="A70" t="s">
        <v>2666</v>
      </c>
      <c r="B70" t="s">
        <v>1556</v>
      </c>
      <c r="C70" t="s">
        <v>482</v>
      </c>
      <c r="D70">
        <v>292.5</v>
      </c>
      <c r="E70" t="s">
        <v>114</v>
      </c>
      <c r="H70" t="s">
        <v>3196</v>
      </c>
      <c r="P70" t="b">
        <v>0</v>
      </c>
      <c r="Q70">
        <v>2650</v>
      </c>
      <c r="R70" t="s">
        <v>1242</v>
      </c>
      <c r="S70" t="s">
        <v>2112</v>
      </c>
    </row>
    <row r="71" spans="1:19" hidden="1">
      <c r="A71" t="s">
        <v>2666</v>
      </c>
      <c r="B71" t="s">
        <v>575</v>
      </c>
      <c r="C71" t="s">
        <v>482</v>
      </c>
      <c r="D71">
        <v>292.5</v>
      </c>
      <c r="E71" t="s">
        <v>114</v>
      </c>
      <c r="H71" t="s">
        <v>3196</v>
      </c>
      <c r="P71" t="b">
        <v>0</v>
      </c>
      <c r="Q71">
        <v>48200</v>
      </c>
      <c r="R71" t="s">
        <v>1241</v>
      </c>
      <c r="S71" t="s">
        <v>2191</v>
      </c>
    </row>
    <row r="72" spans="1:19" hidden="1">
      <c r="A72" t="s">
        <v>2666</v>
      </c>
      <c r="B72" t="s">
        <v>2833</v>
      </c>
      <c r="C72" t="s">
        <v>482</v>
      </c>
      <c r="D72">
        <v>292.5</v>
      </c>
      <c r="E72" t="s">
        <v>114</v>
      </c>
      <c r="H72" t="s">
        <v>3196</v>
      </c>
      <c r="P72" t="b">
        <v>0</v>
      </c>
      <c r="Q72">
        <v>2650</v>
      </c>
      <c r="R72" t="s">
        <v>1242</v>
      </c>
      <c r="S72" t="s">
        <v>2903</v>
      </c>
    </row>
    <row r="73" spans="1:19" hidden="1">
      <c r="A73" t="s">
        <v>2667</v>
      </c>
      <c r="B73" t="s">
        <v>1922</v>
      </c>
      <c r="C73" t="s">
        <v>482</v>
      </c>
      <c r="D73">
        <v>130</v>
      </c>
      <c r="E73" t="s">
        <v>114</v>
      </c>
      <c r="H73" t="s">
        <v>3196</v>
      </c>
      <c r="P73" t="b">
        <v>0</v>
      </c>
      <c r="Q73">
        <v>1800</v>
      </c>
      <c r="R73" t="s">
        <v>1242</v>
      </c>
      <c r="S73" t="s">
        <v>2070</v>
      </c>
    </row>
    <row r="74" spans="1:19" hidden="1">
      <c r="A74" t="s">
        <v>2717</v>
      </c>
      <c r="B74" t="s">
        <v>1852</v>
      </c>
      <c r="C74" t="s">
        <v>482</v>
      </c>
      <c r="D74">
        <v>220</v>
      </c>
      <c r="E74" t="s">
        <v>119</v>
      </c>
      <c r="H74" t="s">
        <v>3196</v>
      </c>
      <c r="P74" t="b">
        <v>0</v>
      </c>
      <c r="Q74">
        <v>200000</v>
      </c>
      <c r="R74" t="s">
        <v>1241</v>
      </c>
      <c r="S74" t="s">
        <v>2071</v>
      </c>
    </row>
    <row r="75" spans="1:19" hidden="1">
      <c r="A75" t="s">
        <v>1802</v>
      </c>
      <c r="B75" t="s">
        <v>1928</v>
      </c>
      <c r="C75" t="s">
        <v>482</v>
      </c>
      <c r="D75">
        <v>58.5</v>
      </c>
      <c r="E75" t="s">
        <v>122</v>
      </c>
      <c r="H75" t="s">
        <v>3196</v>
      </c>
      <c r="P75" t="b">
        <v>0</v>
      </c>
      <c r="Q75">
        <v>11200</v>
      </c>
      <c r="R75" t="s">
        <v>1242</v>
      </c>
      <c r="S75" t="s">
        <v>2086</v>
      </c>
    </row>
    <row r="76" spans="1:19" hidden="1">
      <c r="A76" t="s">
        <v>2669</v>
      </c>
      <c r="B76" t="s">
        <v>1936</v>
      </c>
      <c r="C76" t="s">
        <v>482</v>
      </c>
      <c r="D76">
        <v>10.833333333333332</v>
      </c>
      <c r="E76" t="s">
        <v>124</v>
      </c>
      <c r="H76" t="s">
        <v>3196</v>
      </c>
      <c r="P76" t="b">
        <v>0</v>
      </c>
      <c r="Q76">
        <v>425</v>
      </c>
      <c r="R76" t="s">
        <v>1242</v>
      </c>
      <c r="S76" t="s">
        <v>2076</v>
      </c>
    </row>
    <row r="77" spans="1:19" hidden="1">
      <c r="A77" t="s">
        <v>2669</v>
      </c>
      <c r="B77" t="s">
        <v>1935</v>
      </c>
      <c r="C77" t="s">
        <v>482</v>
      </c>
      <c r="D77">
        <v>10.833333333333332</v>
      </c>
      <c r="E77" t="s">
        <v>124</v>
      </c>
      <c r="H77" t="s">
        <v>3196</v>
      </c>
      <c r="P77" t="b">
        <v>0</v>
      </c>
      <c r="Q77">
        <v>425</v>
      </c>
      <c r="R77" t="s">
        <v>1242</v>
      </c>
      <c r="S77" t="s">
        <v>2075</v>
      </c>
    </row>
    <row r="78" spans="1:19" hidden="1">
      <c r="A78" t="s">
        <v>3060</v>
      </c>
      <c r="B78" t="s">
        <v>1938</v>
      </c>
      <c r="C78" t="s">
        <v>482</v>
      </c>
      <c r="D78">
        <v>86.666666666666657</v>
      </c>
      <c r="E78" t="s">
        <v>124</v>
      </c>
      <c r="F78" t="s">
        <v>2189</v>
      </c>
      <c r="H78" t="s">
        <v>3196</v>
      </c>
      <c r="M78" t="s">
        <v>1226</v>
      </c>
      <c r="P78" t="b">
        <v>1</v>
      </c>
      <c r="Q78">
        <v>90</v>
      </c>
      <c r="R78" t="s">
        <v>1242</v>
      </c>
      <c r="S78" t="s">
        <v>1227</v>
      </c>
    </row>
    <row r="79" spans="1:19" hidden="1">
      <c r="A79" t="s">
        <v>2671</v>
      </c>
      <c r="B79" t="s">
        <v>1378</v>
      </c>
      <c r="C79" t="s">
        <v>482</v>
      </c>
      <c r="D79">
        <v>10.833333333333332</v>
      </c>
      <c r="E79" t="s">
        <v>128</v>
      </c>
      <c r="H79" t="s">
        <v>3196</v>
      </c>
      <c r="P79" t="b">
        <v>1</v>
      </c>
      <c r="Q79">
        <v>185</v>
      </c>
      <c r="R79" t="s">
        <v>1242</v>
      </c>
      <c r="S79" t="s">
        <v>1120</v>
      </c>
    </row>
    <row r="80" spans="1:19" hidden="1">
      <c r="A80" t="s">
        <v>2671</v>
      </c>
      <c r="B80" t="s">
        <v>1941</v>
      </c>
      <c r="C80" t="s">
        <v>482</v>
      </c>
      <c r="D80">
        <v>10.833333333333332</v>
      </c>
      <c r="E80" t="s">
        <v>1341</v>
      </c>
      <c r="H80" t="s">
        <v>3196</v>
      </c>
      <c r="P80" t="b">
        <v>1</v>
      </c>
      <c r="Q80">
        <v>3950</v>
      </c>
      <c r="R80" t="s">
        <v>1241</v>
      </c>
      <c r="S80" t="s">
        <v>2201</v>
      </c>
    </row>
    <row r="81" spans="1:19" hidden="1">
      <c r="A81" t="s">
        <v>2672</v>
      </c>
      <c r="B81" t="s">
        <v>2936</v>
      </c>
      <c r="C81" t="s">
        <v>482</v>
      </c>
      <c r="D81">
        <v>18.333333333333332</v>
      </c>
      <c r="E81" t="s">
        <v>131</v>
      </c>
      <c r="H81" t="s">
        <v>3196</v>
      </c>
      <c r="P81" t="b">
        <v>0</v>
      </c>
      <c r="Q81">
        <v>1500</v>
      </c>
      <c r="R81" t="s">
        <v>1242</v>
      </c>
      <c r="S81" t="s">
        <v>2939</v>
      </c>
    </row>
    <row r="82" spans="1:19" hidden="1">
      <c r="A82" t="s">
        <v>2672</v>
      </c>
      <c r="B82" t="s">
        <v>2938</v>
      </c>
      <c r="C82" t="s">
        <v>482</v>
      </c>
      <c r="D82">
        <v>18.333333333333332</v>
      </c>
      <c r="E82" t="s">
        <v>131</v>
      </c>
      <c r="H82" t="s">
        <v>3196</v>
      </c>
      <c r="P82" t="b">
        <v>0</v>
      </c>
      <c r="Q82">
        <v>1500</v>
      </c>
      <c r="R82" t="s">
        <v>1242</v>
      </c>
      <c r="S82" t="s">
        <v>2940</v>
      </c>
    </row>
    <row r="83" spans="1:19" hidden="1">
      <c r="A83" t="s">
        <v>2672</v>
      </c>
      <c r="B83" t="s">
        <v>2937</v>
      </c>
      <c r="C83" t="s">
        <v>482</v>
      </c>
      <c r="D83">
        <v>18.333333333333332</v>
      </c>
      <c r="E83" t="s">
        <v>131</v>
      </c>
      <c r="H83" t="s">
        <v>3196</v>
      </c>
      <c r="P83" t="b">
        <v>0</v>
      </c>
      <c r="Q83">
        <v>1500</v>
      </c>
      <c r="R83" t="s">
        <v>1242</v>
      </c>
      <c r="S83" t="s">
        <v>2941</v>
      </c>
    </row>
    <row r="84" spans="1:19" hidden="1">
      <c r="A84" t="s">
        <v>2672</v>
      </c>
      <c r="B84" t="s">
        <v>2012</v>
      </c>
      <c r="C84" t="s">
        <v>482</v>
      </c>
      <c r="D84">
        <v>18.333333333333332</v>
      </c>
      <c r="E84" t="s">
        <v>131</v>
      </c>
      <c r="H84" t="s">
        <v>3196</v>
      </c>
      <c r="P84" t="b">
        <v>0</v>
      </c>
      <c r="Q84">
        <v>20000</v>
      </c>
      <c r="R84" t="s">
        <v>1241</v>
      </c>
      <c r="S84" t="s">
        <v>2080</v>
      </c>
    </row>
    <row r="85" spans="1:19" hidden="1">
      <c r="A85" t="s">
        <v>2673</v>
      </c>
      <c r="B85" t="s">
        <v>2841</v>
      </c>
      <c r="C85" t="s">
        <v>482</v>
      </c>
      <c r="D85">
        <v>21.666666666666664</v>
      </c>
      <c r="E85" t="s">
        <v>135</v>
      </c>
      <c r="H85" t="s">
        <v>3196</v>
      </c>
      <c r="P85" t="b">
        <v>0</v>
      </c>
      <c r="Q85">
        <v>350</v>
      </c>
      <c r="R85" t="s">
        <v>1242</v>
      </c>
      <c r="S85" t="s">
        <v>2904</v>
      </c>
    </row>
    <row r="86" spans="1:19" hidden="1">
      <c r="A86" t="s">
        <v>3030</v>
      </c>
      <c r="B86" t="s">
        <v>3037</v>
      </c>
      <c r="C86" t="s">
        <v>1762</v>
      </c>
      <c r="D86">
        <v>35.1</v>
      </c>
      <c r="E86" t="s">
        <v>136</v>
      </c>
      <c r="H86" t="s">
        <v>3196</v>
      </c>
      <c r="P86" t="b">
        <v>1</v>
      </c>
      <c r="Q86">
        <v>118300</v>
      </c>
      <c r="R86" t="s">
        <v>1241</v>
      </c>
      <c r="S86" t="s">
        <v>3067</v>
      </c>
    </row>
    <row r="87" spans="1:19">
      <c r="A87" t="s">
        <v>2808</v>
      </c>
      <c r="B87" t="s">
        <v>2809</v>
      </c>
      <c r="C87" t="s">
        <v>490</v>
      </c>
      <c r="D87">
        <v>85.714285714285708</v>
      </c>
      <c r="E87" t="s">
        <v>54</v>
      </c>
      <c r="H87" t="s">
        <v>3197</v>
      </c>
      <c r="P87" t="b">
        <v>0</v>
      </c>
      <c r="Q87">
        <v>142900</v>
      </c>
      <c r="R87" t="s">
        <v>1241</v>
      </c>
      <c r="S87" t="s">
        <v>2095</v>
      </c>
    </row>
    <row r="88" spans="1:19">
      <c r="A88" t="s">
        <v>2637</v>
      </c>
      <c r="B88" t="s">
        <v>511</v>
      </c>
      <c r="C88" t="s">
        <v>490</v>
      </c>
      <c r="D88">
        <v>195</v>
      </c>
      <c r="E88" t="s">
        <v>60</v>
      </c>
      <c r="H88" t="s">
        <v>3197</v>
      </c>
      <c r="P88" t="b">
        <v>0</v>
      </c>
      <c r="Q88">
        <v>200000</v>
      </c>
      <c r="R88" t="s">
        <v>1241</v>
      </c>
      <c r="S88" t="s">
        <v>787</v>
      </c>
    </row>
    <row r="89" spans="1:19">
      <c r="A89" t="s">
        <v>2650</v>
      </c>
      <c r="B89" t="s">
        <v>1877</v>
      </c>
      <c r="C89" t="s">
        <v>490</v>
      </c>
      <c r="D89">
        <v>130</v>
      </c>
      <c r="E89" t="s">
        <v>387</v>
      </c>
      <c r="H89" t="s">
        <v>3197</v>
      </c>
      <c r="P89" t="b">
        <v>0</v>
      </c>
      <c r="Q89">
        <v>74300</v>
      </c>
      <c r="R89" t="s">
        <v>1242</v>
      </c>
      <c r="S89" t="s">
        <v>1208</v>
      </c>
    </row>
    <row r="90" spans="1:19" hidden="1">
      <c r="A90" t="s">
        <v>2773</v>
      </c>
      <c r="B90" t="s">
        <v>546</v>
      </c>
      <c r="C90" t="s">
        <v>490</v>
      </c>
      <c r="D90">
        <v>180.26666666666665</v>
      </c>
      <c r="E90" t="s">
        <v>92</v>
      </c>
      <c r="H90" t="s">
        <v>3196</v>
      </c>
      <c r="M90" t="s">
        <v>1033</v>
      </c>
      <c r="P90" t="b">
        <v>0</v>
      </c>
      <c r="Q90">
        <v>25200</v>
      </c>
      <c r="R90" t="s">
        <v>1242</v>
      </c>
      <c r="S90" t="s">
        <v>1364</v>
      </c>
    </row>
    <row r="91" spans="1:19">
      <c r="A91" t="s">
        <v>2678</v>
      </c>
      <c r="B91" t="s">
        <v>1686</v>
      </c>
      <c r="C91" t="s">
        <v>490</v>
      </c>
      <c r="D91">
        <v>1040</v>
      </c>
      <c r="E91" t="s">
        <v>137</v>
      </c>
      <c r="H91" t="s">
        <v>3197</v>
      </c>
      <c r="P91" t="b">
        <v>0</v>
      </c>
      <c r="Q91">
        <v>180650</v>
      </c>
      <c r="R91" t="s">
        <v>1241</v>
      </c>
      <c r="S91" t="s">
        <v>2139</v>
      </c>
    </row>
    <row r="92" spans="1:19" hidden="1">
      <c r="A92" t="s">
        <v>2621</v>
      </c>
      <c r="B92" t="s">
        <v>2851</v>
      </c>
      <c r="C92" t="s">
        <v>490</v>
      </c>
      <c r="D92">
        <v>2340</v>
      </c>
      <c r="E92" t="s">
        <v>42</v>
      </c>
      <c r="H92" t="s">
        <v>3196</v>
      </c>
      <c r="P92" t="b">
        <v>0</v>
      </c>
      <c r="Q92">
        <v>220000</v>
      </c>
      <c r="R92" t="s">
        <v>1241</v>
      </c>
      <c r="S92" t="s">
        <v>2867</v>
      </c>
    </row>
    <row r="93" spans="1:19">
      <c r="A93" t="s">
        <v>3107</v>
      </c>
      <c r="B93" t="s">
        <v>1384</v>
      </c>
      <c r="C93" t="s">
        <v>490</v>
      </c>
      <c r="D93">
        <v>780</v>
      </c>
      <c r="E93" t="s">
        <v>90</v>
      </c>
      <c r="H93" t="s">
        <v>3197</v>
      </c>
      <c r="P93" t="b">
        <v>0</v>
      </c>
      <c r="Q93">
        <v>9600</v>
      </c>
      <c r="R93" t="s">
        <v>1242</v>
      </c>
      <c r="S93" t="s">
        <v>2026</v>
      </c>
    </row>
    <row r="94" spans="1:19">
      <c r="A94" t="s">
        <v>3107</v>
      </c>
      <c r="B94" t="s">
        <v>1382</v>
      </c>
      <c r="C94" t="s">
        <v>490</v>
      </c>
      <c r="D94">
        <v>780</v>
      </c>
      <c r="E94" t="s">
        <v>729</v>
      </c>
      <c r="H94" t="s">
        <v>3197</v>
      </c>
      <c r="P94" t="b">
        <v>0</v>
      </c>
      <c r="Q94">
        <v>27000</v>
      </c>
      <c r="R94" t="s">
        <v>1241</v>
      </c>
      <c r="S94" t="s">
        <v>2131</v>
      </c>
    </row>
    <row r="95" spans="1:19" hidden="1">
      <c r="A95" t="s">
        <v>3107</v>
      </c>
      <c r="B95" t="s">
        <v>891</v>
      </c>
      <c r="C95" t="s">
        <v>490</v>
      </c>
      <c r="D95">
        <v>780</v>
      </c>
      <c r="E95" t="s">
        <v>47</v>
      </c>
      <c r="H95" t="s">
        <v>3196</v>
      </c>
      <c r="P95" t="b">
        <v>0</v>
      </c>
      <c r="Q95">
        <v>122900</v>
      </c>
      <c r="R95" t="s">
        <v>1241</v>
      </c>
      <c r="S95" t="s">
        <v>2869</v>
      </c>
    </row>
    <row r="96" spans="1:19" hidden="1">
      <c r="A96" t="s">
        <v>2622</v>
      </c>
      <c r="B96" t="s">
        <v>2782</v>
      </c>
      <c r="C96" t="s">
        <v>490</v>
      </c>
      <c r="D96">
        <v>8.125</v>
      </c>
      <c r="E96" t="s">
        <v>43</v>
      </c>
      <c r="H96" t="s">
        <v>3196</v>
      </c>
      <c r="P96" t="b">
        <v>0</v>
      </c>
      <c r="Q96">
        <v>19500</v>
      </c>
      <c r="R96" t="s">
        <v>1242</v>
      </c>
      <c r="S96" t="s">
        <v>2868</v>
      </c>
    </row>
    <row r="97" spans="1:19" hidden="1">
      <c r="A97" t="s">
        <v>2624</v>
      </c>
      <c r="B97" t="s">
        <v>2256</v>
      </c>
      <c r="C97" t="s">
        <v>490</v>
      </c>
      <c r="D97">
        <v>120</v>
      </c>
      <c r="E97" t="s">
        <v>44</v>
      </c>
      <c r="F97" t="s">
        <v>2257</v>
      </c>
      <c r="H97" t="s">
        <v>3196</v>
      </c>
      <c r="P97" t="b">
        <v>0</v>
      </c>
      <c r="Q97">
        <v>850</v>
      </c>
      <c r="R97" t="s">
        <v>1241</v>
      </c>
      <c r="S97" t="s">
        <v>2258</v>
      </c>
    </row>
    <row r="98" spans="1:19">
      <c r="A98" t="s">
        <v>2778</v>
      </c>
      <c r="B98" t="s">
        <v>2854</v>
      </c>
      <c r="C98" t="s">
        <v>490</v>
      </c>
      <c r="D98">
        <v>69.333333333333329</v>
      </c>
      <c r="E98" t="s">
        <v>49</v>
      </c>
      <c r="H98" t="s">
        <v>3197</v>
      </c>
      <c r="P98" t="b">
        <v>0</v>
      </c>
      <c r="Q98">
        <v>128400</v>
      </c>
      <c r="R98" t="s">
        <v>1241</v>
      </c>
      <c r="S98" t="s">
        <v>2870</v>
      </c>
    </row>
    <row r="99" spans="1:19">
      <c r="A99" t="s">
        <v>2629</v>
      </c>
      <c r="B99" t="s">
        <v>869</v>
      </c>
      <c r="C99" t="s">
        <v>490</v>
      </c>
      <c r="D99">
        <v>58.666666666666664</v>
      </c>
      <c r="E99" t="s">
        <v>52</v>
      </c>
      <c r="H99" t="s">
        <v>3197</v>
      </c>
      <c r="P99" t="b">
        <v>1</v>
      </c>
      <c r="Q99">
        <v>140000</v>
      </c>
      <c r="R99" t="s">
        <v>1241</v>
      </c>
      <c r="S99" t="s">
        <v>2871</v>
      </c>
    </row>
    <row r="100" spans="1:19">
      <c r="A100" t="s">
        <v>2800</v>
      </c>
      <c r="B100" t="s">
        <v>2793</v>
      </c>
      <c r="C100" t="s">
        <v>490</v>
      </c>
      <c r="D100">
        <v>165</v>
      </c>
      <c r="E100" t="s">
        <v>52</v>
      </c>
      <c r="H100" t="s">
        <v>3197</v>
      </c>
      <c r="P100" t="b">
        <v>0</v>
      </c>
      <c r="Q100">
        <v>137000</v>
      </c>
      <c r="R100" t="s">
        <v>1241</v>
      </c>
      <c r="S100" t="s">
        <v>2872</v>
      </c>
    </row>
    <row r="101" spans="1:19" hidden="1">
      <c r="A101" t="s">
        <v>2632</v>
      </c>
      <c r="B101" t="s">
        <v>2803</v>
      </c>
      <c r="C101" t="s">
        <v>490</v>
      </c>
      <c r="D101">
        <v>1560</v>
      </c>
      <c r="E101" t="s">
        <v>53</v>
      </c>
      <c r="H101" t="s">
        <v>3196</v>
      </c>
      <c r="P101" t="b">
        <v>0</v>
      </c>
      <c r="Q101">
        <v>230900</v>
      </c>
      <c r="R101" t="s">
        <v>1241</v>
      </c>
      <c r="S101" t="s">
        <v>2873</v>
      </c>
    </row>
    <row r="102" spans="1:19">
      <c r="A102" t="s">
        <v>2632</v>
      </c>
      <c r="B102" t="s">
        <v>2801</v>
      </c>
      <c r="C102" t="s">
        <v>490</v>
      </c>
      <c r="D102">
        <v>1560</v>
      </c>
      <c r="E102" t="s">
        <v>53</v>
      </c>
      <c r="H102" t="s">
        <v>3197</v>
      </c>
      <c r="P102" t="b">
        <v>0</v>
      </c>
      <c r="Q102">
        <v>319100</v>
      </c>
      <c r="R102" t="s">
        <v>1241</v>
      </c>
      <c r="S102" t="s">
        <v>2874</v>
      </c>
    </row>
    <row r="103" spans="1:19">
      <c r="A103" t="s">
        <v>2634</v>
      </c>
      <c r="B103" t="s">
        <v>2212</v>
      </c>
      <c r="C103" t="s">
        <v>490</v>
      </c>
      <c r="D103">
        <v>1560</v>
      </c>
      <c r="E103" t="s">
        <v>53</v>
      </c>
      <c r="H103" t="s">
        <v>3197</v>
      </c>
      <c r="P103" t="b">
        <v>1</v>
      </c>
      <c r="Q103">
        <v>250400</v>
      </c>
      <c r="R103" t="s">
        <v>1241</v>
      </c>
      <c r="S103" t="s">
        <v>2091</v>
      </c>
    </row>
    <row r="104" spans="1:19" hidden="1">
      <c r="A104" t="s">
        <v>2635</v>
      </c>
      <c r="B104" t="s">
        <v>2805</v>
      </c>
      <c r="C104" t="s">
        <v>490</v>
      </c>
      <c r="D104">
        <v>42.857142857142854</v>
      </c>
      <c r="E104" t="s">
        <v>54</v>
      </c>
      <c r="H104" t="s">
        <v>3196</v>
      </c>
      <c r="P104" t="b">
        <v>0</v>
      </c>
      <c r="Q104">
        <v>84600</v>
      </c>
      <c r="R104" t="s">
        <v>1241</v>
      </c>
      <c r="S104" t="s">
        <v>2875</v>
      </c>
    </row>
    <row r="105" spans="1:19" hidden="1">
      <c r="A105" t="s">
        <v>2635</v>
      </c>
      <c r="B105" t="s">
        <v>1907</v>
      </c>
      <c r="C105" t="s">
        <v>490</v>
      </c>
      <c r="D105">
        <v>42.857142857142854</v>
      </c>
      <c r="E105" t="s">
        <v>54</v>
      </c>
      <c r="H105" t="s">
        <v>3196</v>
      </c>
      <c r="P105" t="b">
        <v>0</v>
      </c>
      <c r="Q105">
        <v>95500</v>
      </c>
      <c r="R105" t="s">
        <v>1241</v>
      </c>
      <c r="S105" t="s">
        <v>2093</v>
      </c>
    </row>
    <row r="106" spans="1:19">
      <c r="A106" t="s">
        <v>2639</v>
      </c>
      <c r="B106" t="s">
        <v>2810</v>
      </c>
      <c r="C106" t="s">
        <v>490</v>
      </c>
      <c r="D106">
        <v>103.12500000000001</v>
      </c>
      <c r="E106" t="s">
        <v>62</v>
      </c>
      <c r="H106" t="s">
        <v>3197</v>
      </c>
      <c r="P106" t="b">
        <v>0</v>
      </c>
      <c r="Q106">
        <v>3400</v>
      </c>
      <c r="R106" t="s">
        <v>1242</v>
      </c>
      <c r="S106" t="s">
        <v>2876</v>
      </c>
    </row>
    <row r="107" spans="1:19" hidden="1">
      <c r="A107" t="s">
        <v>2723</v>
      </c>
      <c r="B107" t="s">
        <v>2877</v>
      </c>
      <c r="C107" t="s">
        <v>490</v>
      </c>
      <c r="D107">
        <v>16.25</v>
      </c>
      <c r="E107" t="s">
        <v>70</v>
      </c>
      <c r="H107" t="s">
        <v>3196</v>
      </c>
      <c r="P107" t="b">
        <v>0</v>
      </c>
      <c r="Q107">
        <v>17700</v>
      </c>
      <c r="R107" t="s">
        <v>1241</v>
      </c>
      <c r="S107" t="s">
        <v>2878</v>
      </c>
    </row>
    <row r="108" spans="1:19" hidden="1">
      <c r="A108" t="s">
        <v>2643</v>
      </c>
      <c r="B108" t="s">
        <v>2813</v>
      </c>
      <c r="C108" t="s">
        <v>490</v>
      </c>
      <c r="D108">
        <v>220.00000000000003</v>
      </c>
      <c r="E108" t="s">
        <v>75</v>
      </c>
      <c r="H108" t="s">
        <v>3196</v>
      </c>
      <c r="P108" t="b">
        <v>0</v>
      </c>
      <c r="Q108">
        <v>21600</v>
      </c>
      <c r="R108" t="s">
        <v>1242</v>
      </c>
      <c r="S108" t="s">
        <v>2879</v>
      </c>
    </row>
    <row r="109" spans="1:19" hidden="1">
      <c r="A109" t="s">
        <v>2647</v>
      </c>
      <c r="B109" t="s">
        <v>1921</v>
      </c>
      <c r="C109" t="s">
        <v>490</v>
      </c>
      <c r="D109">
        <v>195</v>
      </c>
      <c r="E109" t="s">
        <v>89</v>
      </c>
      <c r="H109" t="s">
        <v>3196</v>
      </c>
      <c r="P109" t="b">
        <v>0</v>
      </c>
      <c r="Q109">
        <v>500000</v>
      </c>
      <c r="R109" t="s">
        <v>1241</v>
      </c>
      <c r="S109" t="s">
        <v>2202</v>
      </c>
    </row>
    <row r="110" spans="1:19" hidden="1">
      <c r="A110" t="s">
        <v>2647</v>
      </c>
      <c r="B110" t="s">
        <v>1920</v>
      </c>
      <c r="C110" t="s">
        <v>490</v>
      </c>
      <c r="D110">
        <v>195</v>
      </c>
      <c r="E110" t="s">
        <v>89</v>
      </c>
      <c r="H110" t="s">
        <v>3196</v>
      </c>
      <c r="P110" t="b">
        <v>0</v>
      </c>
      <c r="Q110">
        <v>82200</v>
      </c>
      <c r="R110" t="s">
        <v>1241</v>
      </c>
      <c r="S110" t="s">
        <v>2128</v>
      </c>
    </row>
    <row r="111" spans="1:19" hidden="1">
      <c r="A111" t="s">
        <v>2649</v>
      </c>
      <c r="B111" t="s">
        <v>535</v>
      </c>
      <c r="C111" t="s">
        <v>490</v>
      </c>
      <c r="D111">
        <v>1155.5555555555552</v>
      </c>
      <c r="E111" t="s">
        <v>91</v>
      </c>
      <c r="H111" t="s">
        <v>3196</v>
      </c>
      <c r="M111" t="s">
        <v>1259</v>
      </c>
      <c r="P111" t="b">
        <v>0</v>
      </c>
      <c r="Q111">
        <v>9500</v>
      </c>
      <c r="R111" t="s">
        <v>1242</v>
      </c>
      <c r="S111" t="s">
        <v>1258</v>
      </c>
    </row>
    <row r="112" spans="1:19">
      <c r="A112" t="s">
        <v>2651</v>
      </c>
      <c r="B112" t="s">
        <v>1824</v>
      </c>
      <c r="C112" t="s">
        <v>490</v>
      </c>
      <c r="D112">
        <v>450.66666666666663</v>
      </c>
      <c r="E112" t="s">
        <v>92</v>
      </c>
      <c r="H112" t="s">
        <v>3197</v>
      </c>
      <c r="I112" t="b">
        <v>1</v>
      </c>
      <c r="P112" t="b">
        <v>0</v>
      </c>
      <c r="Q112">
        <v>750</v>
      </c>
      <c r="R112" t="s">
        <v>1242</v>
      </c>
      <c r="S112" t="s">
        <v>2099</v>
      </c>
    </row>
    <row r="113" spans="1:19">
      <c r="A113" t="s">
        <v>2651</v>
      </c>
      <c r="B113" t="s">
        <v>1385</v>
      </c>
      <c r="C113" t="s">
        <v>490</v>
      </c>
      <c r="D113">
        <v>225.33333333333331</v>
      </c>
      <c r="E113" t="s">
        <v>92</v>
      </c>
      <c r="H113" t="s">
        <v>3197</v>
      </c>
      <c r="I113" t="b">
        <v>1</v>
      </c>
      <c r="P113" t="b">
        <v>0</v>
      </c>
      <c r="Q113">
        <v>11700</v>
      </c>
      <c r="R113" t="s">
        <v>1241</v>
      </c>
      <c r="S113" t="s">
        <v>2104</v>
      </c>
    </row>
    <row r="114" spans="1:19">
      <c r="A114" t="s">
        <v>2651</v>
      </c>
      <c r="B114" t="s">
        <v>1820</v>
      </c>
      <c r="C114" t="s">
        <v>490</v>
      </c>
      <c r="D114">
        <v>112.66666666666666</v>
      </c>
      <c r="E114" t="s">
        <v>92</v>
      </c>
      <c r="H114" t="s">
        <v>3197</v>
      </c>
      <c r="I114" t="b">
        <v>1</v>
      </c>
      <c r="P114" t="b">
        <v>0</v>
      </c>
      <c r="Q114">
        <v>780</v>
      </c>
      <c r="R114" t="s">
        <v>1242</v>
      </c>
      <c r="S114" t="s">
        <v>2096</v>
      </c>
    </row>
    <row r="115" spans="1:19">
      <c r="A115" t="s">
        <v>2651</v>
      </c>
      <c r="B115" t="s">
        <v>1822</v>
      </c>
      <c r="C115" t="s">
        <v>490</v>
      </c>
      <c r="D115">
        <v>112.66666666666666</v>
      </c>
      <c r="E115" t="s">
        <v>92</v>
      </c>
      <c r="H115" t="s">
        <v>3197</v>
      </c>
      <c r="I115" t="b">
        <v>1</v>
      </c>
      <c r="P115" t="b">
        <v>0</v>
      </c>
      <c r="Q115">
        <v>800</v>
      </c>
      <c r="R115" t="s">
        <v>1242</v>
      </c>
      <c r="S115" t="s">
        <v>2097</v>
      </c>
    </row>
    <row r="116" spans="1:19" hidden="1">
      <c r="A116" t="s">
        <v>3188</v>
      </c>
      <c r="B116" t="s">
        <v>2102</v>
      </c>
      <c r="C116" t="s">
        <v>490</v>
      </c>
      <c r="D116">
        <v>90.133333333333326</v>
      </c>
      <c r="E116" t="s">
        <v>92</v>
      </c>
      <c r="H116" t="s">
        <v>3196</v>
      </c>
      <c r="P116" t="b">
        <v>0</v>
      </c>
      <c r="Q116">
        <v>12867</v>
      </c>
      <c r="R116" t="s">
        <v>1241</v>
      </c>
      <c r="S116" t="s">
        <v>2101</v>
      </c>
    </row>
    <row r="117" spans="1:19" hidden="1">
      <c r="A117" t="s">
        <v>2652</v>
      </c>
      <c r="B117" t="s">
        <v>2249</v>
      </c>
      <c r="C117" t="s">
        <v>490</v>
      </c>
      <c r="D117">
        <v>16.25</v>
      </c>
      <c r="E117" t="s">
        <v>98</v>
      </c>
      <c r="F117" t="s">
        <v>1060</v>
      </c>
      <c r="H117" t="s">
        <v>3196</v>
      </c>
      <c r="L117">
        <v>3.6</v>
      </c>
      <c r="P117" t="b">
        <v>0</v>
      </c>
      <c r="Q117">
        <v>15000</v>
      </c>
      <c r="R117" t="s">
        <v>1241</v>
      </c>
      <c r="S117" t="s">
        <v>2250</v>
      </c>
    </row>
    <row r="118" spans="1:19">
      <c r="A118" t="s">
        <v>2652</v>
      </c>
      <c r="B118" t="s">
        <v>1618</v>
      </c>
      <c r="C118" t="s">
        <v>490</v>
      </c>
      <c r="D118">
        <v>16.25</v>
      </c>
      <c r="E118" t="s">
        <v>98</v>
      </c>
      <c r="H118" t="s">
        <v>3197</v>
      </c>
      <c r="P118" t="b">
        <v>0</v>
      </c>
      <c r="Q118">
        <v>19000</v>
      </c>
      <c r="R118" t="s">
        <v>1241</v>
      </c>
      <c r="S118" t="s">
        <v>2107</v>
      </c>
    </row>
    <row r="119" spans="1:19">
      <c r="A119" t="s">
        <v>2653</v>
      </c>
      <c r="B119" t="s">
        <v>2820</v>
      </c>
      <c r="C119" t="s">
        <v>490</v>
      </c>
      <c r="D119">
        <v>330</v>
      </c>
      <c r="E119" t="s">
        <v>105</v>
      </c>
      <c r="H119" t="s">
        <v>3197</v>
      </c>
      <c r="P119" t="b">
        <v>0</v>
      </c>
      <c r="Q119">
        <v>121700</v>
      </c>
      <c r="R119" t="s">
        <v>1241</v>
      </c>
      <c r="S119" t="s">
        <v>2880</v>
      </c>
    </row>
    <row r="120" spans="1:19" hidden="1">
      <c r="A120" t="s">
        <v>2656</v>
      </c>
      <c r="B120" t="s">
        <v>1878</v>
      </c>
      <c r="C120" t="s">
        <v>490</v>
      </c>
      <c r="D120">
        <v>390</v>
      </c>
      <c r="E120" t="s">
        <v>108</v>
      </c>
      <c r="H120" t="s">
        <v>3196</v>
      </c>
      <c r="P120" t="b">
        <v>0</v>
      </c>
      <c r="Q120">
        <v>15300</v>
      </c>
      <c r="R120" t="s">
        <v>1242</v>
      </c>
      <c r="S120" t="s">
        <v>2108</v>
      </c>
    </row>
    <row r="121" spans="1:19">
      <c r="A121" t="s">
        <v>2658</v>
      </c>
      <c r="B121" t="s">
        <v>2860</v>
      </c>
      <c r="C121" t="s">
        <v>490</v>
      </c>
      <c r="D121">
        <v>346.66666666666663</v>
      </c>
      <c r="E121" t="s">
        <v>110</v>
      </c>
      <c r="H121" t="s">
        <v>3197</v>
      </c>
      <c r="P121" t="b">
        <v>0</v>
      </c>
      <c r="Q121">
        <v>1800</v>
      </c>
      <c r="R121" t="s">
        <v>1241</v>
      </c>
      <c r="S121" t="s">
        <v>2881</v>
      </c>
    </row>
    <row r="122" spans="1:19" hidden="1">
      <c r="A122" t="s">
        <v>2660</v>
      </c>
      <c r="B122" t="s">
        <v>1884</v>
      </c>
      <c r="C122" t="s">
        <v>490</v>
      </c>
      <c r="D122">
        <v>32.5</v>
      </c>
      <c r="E122" t="s">
        <v>112</v>
      </c>
      <c r="H122" t="s">
        <v>3196</v>
      </c>
      <c r="P122" t="b">
        <v>0</v>
      </c>
      <c r="Q122">
        <v>50300</v>
      </c>
      <c r="R122" t="s">
        <v>1241</v>
      </c>
      <c r="S122" t="s">
        <v>2111</v>
      </c>
    </row>
    <row r="123" spans="1:19" hidden="1">
      <c r="A123" t="s">
        <v>2781</v>
      </c>
      <c r="B123" t="s">
        <v>1882</v>
      </c>
      <c r="C123" t="s">
        <v>490</v>
      </c>
      <c r="D123">
        <v>15.6</v>
      </c>
      <c r="E123" t="s">
        <v>112</v>
      </c>
      <c r="H123" t="s">
        <v>3196</v>
      </c>
      <c r="P123" t="b">
        <v>0</v>
      </c>
      <c r="Q123">
        <v>55000</v>
      </c>
      <c r="R123" t="s">
        <v>1241</v>
      </c>
      <c r="S123" t="s">
        <v>1359</v>
      </c>
    </row>
    <row r="124" spans="1:19" hidden="1">
      <c r="A124" t="s">
        <v>2781</v>
      </c>
      <c r="B124" t="s">
        <v>2155</v>
      </c>
      <c r="C124" t="s">
        <v>490</v>
      </c>
      <c r="D124">
        <v>20.8</v>
      </c>
      <c r="E124" t="s">
        <v>112</v>
      </c>
      <c r="H124" t="s">
        <v>3196</v>
      </c>
      <c r="P124" t="b">
        <v>0</v>
      </c>
      <c r="Q124">
        <v>64300</v>
      </c>
      <c r="R124" t="s">
        <v>1241</v>
      </c>
      <c r="S124" t="s">
        <v>2156</v>
      </c>
    </row>
    <row r="125" spans="1:19">
      <c r="A125" t="s">
        <v>2781</v>
      </c>
      <c r="B125" t="s">
        <v>2942</v>
      </c>
      <c r="C125" t="s">
        <v>490</v>
      </c>
      <c r="D125">
        <v>5.2</v>
      </c>
      <c r="E125" t="s">
        <v>112</v>
      </c>
      <c r="H125" t="s">
        <v>3197</v>
      </c>
      <c r="P125" t="b">
        <v>0</v>
      </c>
      <c r="Q125">
        <v>6050</v>
      </c>
      <c r="R125" t="s">
        <v>1242</v>
      </c>
      <c r="S125" t="s">
        <v>2943</v>
      </c>
    </row>
    <row r="126" spans="1:19" hidden="1">
      <c r="A126" t="s">
        <v>2663</v>
      </c>
      <c r="B126" t="s">
        <v>2289</v>
      </c>
      <c r="C126" t="s">
        <v>490</v>
      </c>
      <c r="D126">
        <v>86.666666666666657</v>
      </c>
      <c r="E126" t="s">
        <v>113</v>
      </c>
      <c r="H126" t="s">
        <v>3196</v>
      </c>
      <c r="P126" t="b">
        <v>0</v>
      </c>
      <c r="Q126">
        <v>9</v>
      </c>
      <c r="R126" t="s">
        <v>1241</v>
      </c>
      <c r="S126" t="s">
        <v>2890</v>
      </c>
    </row>
    <row r="127" spans="1:19" hidden="1">
      <c r="A127" t="s">
        <v>2663</v>
      </c>
      <c r="B127" t="s">
        <v>2829</v>
      </c>
      <c r="C127" t="s">
        <v>490</v>
      </c>
      <c r="D127">
        <v>86.666666666666657</v>
      </c>
      <c r="E127" t="s">
        <v>113</v>
      </c>
      <c r="H127" t="s">
        <v>3196</v>
      </c>
      <c r="P127" t="b">
        <v>0</v>
      </c>
      <c r="Q127">
        <v>9</v>
      </c>
      <c r="R127" t="s">
        <v>1241</v>
      </c>
      <c r="S127" t="s">
        <v>2891</v>
      </c>
    </row>
    <row r="128" spans="1:19" hidden="1">
      <c r="A128" t="s">
        <v>2666</v>
      </c>
      <c r="B128" t="s">
        <v>2832</v>
      </c>
      <c r="C128" t="s">
        <v>490</v>
      </c>
      <c r="D128">
        <v>292.5</v>
      </c>
      <c r="E128" t="s">
        <v>114</v>
      </c>
      <c r="H128" t="s">
        <v>3196</v>
      </c>
      <c r="P128" t="b">
        <v>0</v>
      </c>
      <c r="Q128">
        <v>60000</v>
      </c>
      <c r="R128" t="s">
        <v>1241</v>
      </c>
      <c r="S128" t="s">
        <v>2882</v>
      </c>
    </row>
    <row r="129" spans="1:19" hidden="1">
      <c r="A129" t="s">
        <v>3060</v>
      </c>
      <c r="B129" t="s">
        <v>2837</v>
      </c>
      <c r="C129" t="s">
        <v>490</v>
      </c>
      <c r="D129">
        <v>86.666666666666657</v>
      </c>
      <c r="E129" t="s">
        <v>124</v>
      </c>
      <c r="H129" t="s">
        <v>3196</v>
      </c>
      <c r="P129" t="b">
        <v>1</v>
      </c>
      <c r="Q129">
        <v>3000</v>
      </c>
      <c r="R129" t="s">
        <v>1241</v>
      </c>
      <c r="S129" t="s">
        <v>2883</v>
      </c>
    </row>
    <row r="130" spans="1:19" hidden="1">
      <c r="A130" t="s">
        <v>3060</v>
      </c>
      <c r="B130" t="s">
        <v>2838</v>
      </c>
      <c r="C130" t="s">
        <v>490</v>
      </c>
      <c r="D130">
        <v>86.666666666666657</v>
      </c>
      <c r="E130" t="s">
        <v>124</v>
      </c>
      <c r="H130" t="s">
        <v>3196</v>
      </c>
      <c r="P130" t="b">
        <v>1</v>
      </c>
      <c r="Q130">
        <v>2100</v>
      </c>
      <c r="R130" t="s">
        <v>1241</v>
      </c>
      <c r="S130" t="s">
        <v>2884</v>
      </c>
    </row>
    <row r="131" spans="1:19">
      <c r="A131" t="s">
        <v>2671</v>
      </c>
      <c r="B131" t="s">
        <v>677</v>
      </c>
      <c r="C131" t="s">
        <v>490</v>
      </c>
      <c r="D131">
        <v>10.833333333333332</v>
      </c>
      <c r="E131" t="s">
        <v>128</v>
      </c>
      <c r="F131" t="s">
        <v>1123</v>
      </c>
      <c r="H131" t="s">
        <v>3197</v>
      </c>
      <c r="M131" t="s">
        <v>1127</v>
      </c>
      <c r="P131" t="b">
        <v>1</v>
      </c>
      <c r="Q131">
        <v>4600</v>
      </c>
      <c r="R131" t="s">
        <v>1241</v>
      </c>
      <c r="S131" t="s">
        <v>1128</v>
      </c>
    </row>
    <row r="132" spans="1:19" hidden="1">
      <c r="A132" t="s">
        <v>2671</v>
      </c>
      <c r="B132" t="s">
        <v>2835</v>
      </c>
      <c r="C132" t="s">
        <v>490</v>
      </c>
      <c r="D132">
        <v>10.833333333333332</v>
      </c>
      <c r="E132" t="s">
        <v>128</v>
      </c>
      <c r="H132" t="s">
        <v>3196</v>
      </c>
      <c r="P132" t="b">
        <v>1</v>
      </c>
      <c r="Q132">
        <v>5700</v>
      </c>
      <c r="R132" t="s">
        <v>1241</v>
      </c>
      <c r="S132" t="s">
        <v>2885</v>
      </c>
    </row>
    <row r="133" spans="1:19" hidden="1">
      <c r="A133" t="s">
        <v>2673</v>
      </c>
      <c r="B133" t="s">
        <v>2840</v>
      </c>
      <c r="C133" t="s">
        <v>490</v>
      </c>
      <c r="D133">
        <v>10.833333333333332</v>
      </c>
      <c r="E133" t="s">
        <v>135</v>
      </c>
      <c r="H133" t="s">
        <v>3196</v>
      </c>
      <c r="P133" t="b">
        <v>0</v>
      </c>
      <c r="Q133">
        <v>18800</v>
      </c>
      <c r="R133" t="s">
        <v>1242</v>
      </c>
      <c r="S133" t="s">
        <v>2886</v>
      </c>
    </row>
    <row r="134" spans="1:19">
      <c r="A134" t="s">
        <v>2674</v>
      </c>
      <c r="B134" t="s">
        <v>2844</v>
      </c>
      <c r="C134" t="s">
        <v>490</v>
      </c>
      <c r="D134">
        <v>10.833333333333332</v>
      </c>
      <c r="E134" t="s">
        <v>136</v>
      </c>
      <c r="H134" t="s">
        <v>3197</v>
      </c>
      <c r="P134" t="b">
        <v>0</v>
      </c>
      <c r="Q134">
        <v>8200</v>
      </c>
      <c r="R134" t="s">
        <v>1242</v>
      </c>
      <c r="S134" t="s">
        <v>2887</v>
      </c>
    </row>
    <row r="135" spans="1:19" hidden="1">
      <c r="A135" t="s">
        <v>2674</v>
      </c>
      <c r="B135" t="s">
        <v>1639</v>
      </c>
      <c r="C135" t="s">
        <v>490</v>
      </c>
      <c r="D135">
        <v>10.833333333333332</v>
      </c>
      <c r="E135" t="s">
        <v>490</v>
      </c>
      <c r="H135" t="s">
        <v>3196</v>
      </c>
      <c r="P135" t="b">
        <v>0</v>
      </c>
      <c r="Q135">
        <v>165000</v>
      </c>
      <c r="R135" t="s">
        <v>1241</v>
      </c>
      <c r="S135" t="s">
        <v>2259</v>
      </c>
    </row>
    <row r="136" spans="1:19">
      <c r="A136" t="s">
        <v>2676</v>
      </c>
      <c r="B136" t="s">
        <v>688</v>
      </c>
      <c r="C136" t="s">
        <v>490</v>
      </c>
      <c r="D136">
        <v>5.4166666666666661</v>
      </c>
      <c r="E136" t="s">
        <v>136</v>
      </c>
      <c r="F136" t="s">
        <v>1170</v>
      </c>
      <c r="H136" t="s">
        <v>3197</v>
      </c>
      <c r="M136" t="s">
        <v>1171</v>
      </c>
      <c r="P136" t="b">
        <v>0</v>
      </c>
      <c r="Q136">
        <v>15950</v>
      </c>
      <c r="R136" t="s">
        <v>1242</v>
      </c>
      <c r="S136" t="s">
        <v>1172</v>
      </c>
    </row>
    <row r="137" spans="1:19" hidden="1">
      <c r="A137" t="s">
        <v>2676</v>
      </c>
      <c r="B137" t="s">
        <v>2848</v>
      </c>
      <c r="C137" t="s">
        <v>490</v>
      </c>
      <c r="D137">
        <v>5.4166666666666661</v>
      </c>
      <c r="E137" t="s">
        <v>136</v>
      </c>
      <c r="H137" t="s">
        <v>3196</v>
      </c>
      <c r="P137" t="b">
        <v>0</v>
      </c>
      <c r="Q137">
        <v>14500</v>
      </c>
      <c r="R137" t="s">
        <v>1242</v>
      </c>
      <c r="S137" t="s">
        <v>2888</v>
      </c>
    </row>
    <row r="138" spans="1:19" hidden="1">
      <c r="A138" t="s">
        <v>2676</v>
      </c>
      <c r="B138" t="s">
        <v>2847</v>
      </c>
      <c r="C138" t="s">
        <v>490</v>
      </c>
      <c r="D138">
        <v>5.4166666666666661</v>
      </c>
      <c r="E138" t="s">
        <v>136</v>
      </c>
      <c r="H138" t="s">
        <v>3196</v>
      </c>
      <c r="P138" t="b">
        <v>0</v>
      </c>
      <c r="Q138">
        <v>17668</v>
      </c>
      <c r="R138" t="s">
        <v>1242</v>
      </c>
      <c r="S138" t="s">
        <v>2889</v>
      </c>
    </row>
    <row r="139" spans="1:19" hidden="1">
      <c r="A139" t="s">
        <v>2677</v>
      </c>
      <c r="B139" t="s">
        <v>1859</v>
      </c>
      <c r="C139" t="s">
        <v>490</v>
      </c>
      <c r="D139">
        <v>14.444444444444443</v>
      </c>
      <c r="E139" t="s">
        <v>136</v>
      </c>
      <c r="H139" t="s">
        <v>3196</v>
      </c>
      <c r="P139" t="b">
        <v>0</v>
      </c>
      <c r="Q139">
        <v>19000</v>
      </c>
      <c r="R139" t="s">
        <v>1242</v>
      </c>
      <c r="S139" t="s">
        <v>2123</v>
      </c>
    </row>
    <row r="140" spans="1:19" hidden="1">
      <c r="A140" t="s">
        <v>3007</v>
      </c>
      <c r="B140" t="s">
        <v>3015</v>
      </c>
      <c r="C140" t="s">
        <v>490</v>
      </c>
      <c r="D140">
        <v>32.5</v>
      </c>
      <c r="E140" t="s">
        <v>136</v>
      </c>
      <c r="H140" t="s">
        <v>3196</v>
      </c>
      <c r="P140" t="b">
        <v>1</v>
      </c>
      <c r="Q140">
        <v>15250</v>
      </c>
      <c r="R140" t="s">
        <v>1242</v>
      </c>
      <c r="S140" t="s">
        <v>3068</v>
      </c>
    </row>
    <row r="141" spans="1:19">
      <c r="A141" t="s">
        <v>3030</v>
      </c>
      <c r="B141" t="s">
        <v>3070</v>
      </c>
      <c r="C141" t="s">
        <v>490</v>
      </c>
      <c r="D141">
        <v>105.3</v>
      </c>
      <c r="E141" t="s">
        <v>136</v>
      </c>
      <c r="H141" t="s">
        <v>3197</v>
      </c>
      <c r="P141" t="b">
        <v>1</v>
      </c>
      <c r="Q141">
        <v>13100</v>
      </c>
      <c r="R141" t="s">
        <v>1242</v>
      </c>
      <c r="S141" t="s">
        <v>3069</v>
      </c>
    </row>
    <row r="142" spans="1:19">
      <c r="A142" t="s">
        <v>3030</v>
      </c>
      <c r="B142" t="s">
        <v>3031</v>
      </c>
      <c r="C142" t="s">
        <v>490</v>
      </c>
      <c r="D142">
        <v>105.3</v>
      </c>
      <c r="E142" t="s">
        <v>136</v>
      </c>
      <c r="H142" t="s">
        <v>3197</v>
      </c>
      <c r="P142" t="b">
        <v>1</v>
      </c>
      <c r="Q142">
        <v>9200</v>
      </c>
      <c r="R142" t="s">
        <v>1242</v>
      </c>
      <c r="S142" t="s">
        <v>3071</v>
      </c>
    </row>
    <row r="143" spans="1:19">
      <c r="A143" t="s">
        <v>3030</v>
      </c>
      <c r="B143" t="s">
        <v>3032</v>
      </c>
      <c r="C143" t="s">
        <v>490</v>
      </c>
      <c r="D143">
        <v>105.3</v>
      </c>
      <c r="E143" t="s">
        <v>136</v>
      </c>
      <c r="H143" t="s">
        <v>3197</v>
      </c>
      <c r="P143" t="b">
        <v>1</v>
      </c>
      <c r="Q143">
        <v>8900</v>
      </c>
      <c r="R143" t="s">
        <v>1242</v>
      </c>
      <c r="S143" t="s">
        <v>3072</v>
      </c>
    </row>
    <row r="144" spans="1:19" hidden="1">
      <c r="A144" t="s">
        <v>3030</v>
      </c>
      <c r="B144" t="s">
        <v>3033</v>
      </c>
      <c r="C144" t="s">
        <v>490</v>
      </c>
      <c r="D144">
        <v>35.1</v>
      </c>
      <c r="E144" t="s">
        <v>136</v>
      </c>
      <c r="H144" t="s">
        <v>3196</v>
      </c>
      <c r="P144" t="b">
        <v>1</v>
      </c>
      <c r="Q144">
        <v>12100</v>
      </c>
      <c r="R144" t="s">
        <v>1242</v>
      </c>
      <c r="S144" t="s">
        <v>3073</v>
      </c>
    </row>
    <row r="145" spans="1:19" hidden="1">
      <c r="A145" t="s">
        <v>3030</v>
      </c>
      <c r="B145" t="s">
        <v>3039</v>
      </c>
      <c r="C145" t="s">
        <v>490</v>
      </c>
      <c r="D145">
        <v>35.1</v>
      </c>
      <c r="E145" t="s">
        <v>136</v>
      </c>
      <c r="H145" t="s">
        <v>3196</v>
      </c>
      <c r="P145" t="b">
        <v>1</v>
      </c>
      <c r="Q145">
        <v>139600</v>
      </c>
      <c r="R145" t="s">
        <v>1241</v>
      </c>
      <c r="S145" t="s">
        <v>3074</v>
      </c>
    </row>
    <row r="146" spans="1:19" hidden="1">
      <c r="A146" t="s">
        <v>2733</v>
      </c>
      <c r="B146" t="s">
        <v>2229</v>
      </c>
      <c r="C146" t="s">
        <v>503</v>
      </c>
      <c r="D146">
        <v>180.26666666666665</v>
      </c>
      <c r="E146" t="s">
        <v>92</v>
      </c>
      <c r="H146" t="s">
        <v>3196</v>
      </c>
      <c r="I146" t="b">
        <v>1</v>
      </c>
      <c r="J146" t="b">
        <v>1</v>
      </c>
      <c r="P146" t="b">
        <v>0</v>
      </c>
      <c r="Q146" t="s">
        <v>2192</v>
      </c>
      <c r="R146" t="s">
        <v>2192</v>
      </c>
      <c r="S146" t="s">
        <v>2231</v>
      </c>
    </row>
    <row r="147" spans="1:19" hidden="1">
      <c r="A147" t="s">
        <v>2659</v>
      </c>
      <c r="B147" t="s">
        <v>848</v>
      </c>
      <c r="C147" t="s">
        <v>503</v>
      </c>
      <c r="D147">
        <v>65</v>
      </c>
      <c r="E147" t="s">
        <v>112</v>
      </c>
      <c r="F147" t="s">
        <v>171</v>
      </c>
      <c r="H147" t="s">
        <v>3196</v>
      </c>
      <c r="P147" t="b">
        <v>0</v>
      </c>
      <c r="Q147">
        <v>71215</v>
      </c>
      <c r="R147" t="s">
        <v>1241</v>
      </c>
      <c r="S147" t="s">
        <v>2190</v>
      </c>
    </row>
    <row r="148" spans="1:19">
      <c r="A148" t="s">
        <v>2778</v>
      </c>
      <c r="B148" t="s">
        <v>2853</v>
      </c>
      <c r="C148" t="s">
        <v>503</v>
      </c>
      <c r="D148">
        <v>69.333333333333329</v>
      </c>
      <c r="E148" t="s">
        <v>49</v>
      </c>
      <c r="H148" t="s">
        <v>3197</v>
      </c>
      <c r="P148" t="b">
        <v>0</v>
      </c>
      <c r="Q148" t="s">
        <v>2920</v>
      </c>
      <c r="S148" t="s">
        <v>2919</v>
      </c>
    </row>
    <row r="149" spans="1:19">
      <c r="A149" t="s">
        <v>2630</v>
      </c>
      <c r="B149" t="s">
        <v>2906</v>
      </c>
      <c r="C149" t="s">
        <v>503</v>
      </c>
      <c r="D149">
        <v>88.000000000000014</v>
      </c>
      <c r="E149" t="s">
        <v>52</v>
      </c>
      <c r="H149" t="s">
        <v>3197</v>
      </c>
      <c r="P149" t="b">
        <v>0</v>
      </c>
      <c r="Q149" t="s">
        <v>2916</v>
      </c>
      <c r="S149" t="s">
        <v>2907</v>
      </c>
    </row>
    <row r="150" spans="1:19">
      <c r="A150" t="s">
        <v>2630</v>
      </c>
      <c r="B150" t="s">
        <v>2791</v>
      </c>
      <c r="C150" t="s">
        <v>503</v>
      </c>
      <c r="D150">
        <v>88.000000000000014</v>
      </c>
      <c r="E150" t="s">
        <v>52</v>
      </c>
      <c r="H150" t="s">
        <v>3197</v>
      </c>
      <c r="P150" t="b">
        <v>0</v>
      </c>
      <c r="Q150" t="s">
        <v>2916</v>
      </c>
      <c r="S150" t="s">
        <v>2909</v>
      </c>
    </row>
    <row r="151" spans="1:19">
      <c r="A151" t="s">
        <v>2800</v>
      </c>
      <c r="B151" t="s">
        <v>2794</v>
      </c>
      <c r="C151" t="s">
        <v>503</v>
      </c>
      <c r="D151">
        <v>165</v>
      </c>
      <c r="E151" t="s">
        <v>52</v>
      </c>
      <c r="H151" t="s">
        <v>3197</v>
      </c>
      <c r="P151" t="b">
        <v>0</v>
      </c>
      <c r="Q151" t="s">
        <v>2916</v>
      </c>
      <c r="S151" t="s">
        <v>2905</v>
      </c>
    </row>
    <row r="152" spans="1:19" hidden="1">
      <c r="A152" t="s">
        <v>2632</v>
      </c>
      <c r="B152" t="s">
        <v>502</v>
      </c>
      <c r="C152" t="s">
        <v>503</v>
      </c>
      <c r="D152">
        <v>1560</v>
      </c>
      <c r="E152" t="s">
        <v>53</v>
      </c>
      <c r="H152" t="s">
        <v>3196</v>
      </c>
      <c r="P152" t="b">
        <v>0</v>
      </c>
      <c r="Q152">
        <v>316800</v>
      </c>
      <c r="R152" t="s">
        <v>1241</v>
      </c>
      <c r="S152" t="s">
        <v>781</v>
      </c>
    </row>
    <row r="153" spans="1:19" hidden="1">
      <c r="A153" t="s">
        <v>2642</v>
      </c>
      <c r="B153" t="s">
        <v>2811</v>
      </c>
      <c r="C153" t="s">
        <v>503</v>
      </c>
      <c r="D153">
        <v>8.125</v>
      </c>
      <c r="E153" t="s">
        <v>70</v>
      </c>
      <c r="H153" t="s">
        <v>3196</v>
      </c>
      <c r="L153" t="s">
        <v>2908</v>
      </c>
      <c r="P153" t="b">
        <v>0</v>
      </c>
      <c r="Q153" t="s">
        <v>2916</v>
      </c>
      <c r="S153" t="s">
        <v>2910</v>
      </c>
    </row>
    <row r="154" spans="1:19" hidden="1">
      <c r="A154" t="s">
        <v>2643</v>
      </c>
      <c r="B154" t="s">
        <v>2900</v>
      </c>
      <c r="C154" t="s">
        <v>503</v>
      </c>
      <c r="D154">
        <v>220.00000000000003</v>
      </c>
      <c r="E154" t="s">
        <v>75</v>
      </c>
      <c r="H154" t="s">
        <v>3196</v>
      </c>
      <c r="P154" t="b">
        <v>0</v>
      </c>
      <c r="Q154">
        <v>16900</v>
      </c>
      <c r="R154" t="s">
        <v>1242</v>
      </c>
      <c r="S154" t="s">
        <v>2917</v>
      </c>
    </row>
    <row r="155" spans="1:19" hidden="1">
      <c r="A155" t="s">
        <v>2649</v>
      </c>
      <c r="B155" t="s">
        <v>2857</v>
      </c>
      <c r="C155" t="s">
        <v>503</v>
      </c>
      <c r="D155">
        <v>1155.5555555555552</v>
      </c>
      <c r="E155" t="s">
        <v>91</v>
      </c>
      <c r="H155" t="s">
        <v>3196</v>
      </c>
      <c r="P155" t="b">
        <v>0</v>
      </c>
      <c r="Q155" t="s">
        <v>2916</v>
      </c>
      <c r="S155" t="s">
        <v>2911</v>
      </c>
    </row>
    <row r="156" spans="1:19" hidden="1">
      <c r="A156" t="s">
        <v>2652</v>
      </c>
      <c r="B156" t="s">
        <v>2249</v>
      </c>
      <c r="C156" t="s">
        <v>503</v>
      </c>
      <c r="D156">
        <v>16.25</v>
      </c>
      <c r="E156" t="s">
        <v>98</v>
      </c>
      <c r="H156" t="s">
        <v>3196</v>
      </c>
      <c r="P156" t="b">
        <v>0</v>
      </c>
      <c r="Q156" t="s">
        <v>2916</v>
      </c>
      <c r="S156" t="s">
        <v>2912</v>
      </c>
    </row>
    <row r="157" spans="1:19">
      <c r="A157" t="s">
        <v>2658</v>
      </c>
      <c r="B157" t="s">
        <v>2862</v>
      </c>
      <c r="C157" t="s">
        <v>503</v>
      </c>
      <c r="D157">
        <v>346.66666666666663</v>
      </c>
      <c r="E157" t="s">
        <v>110</v>
      </c>
      <c r="H157" t="s">
        <v>3197</v>
      </c>
      <c r="P157" t="b">
        <v>0</v>
      </c>
      <c r="Q157" t="s">
        <v>2916</v>
      </c>
      <c r="S157" t="s">
        <v>2913</v>
      </c>
    </row>
    <row r="158" spans="1:19" hidden="1">
      <c r="A158" t="s">
        <v>2781</v>
      </c>
      <c r="B158" t="s">
        <v>1881</v>
      </c>
      <c r="C158" t="s">
        <v>503</v>
      </c>
      <c r="D158">
        <v>10.4</v>
      </c>
      <c r="E158" t="s">
        <v>112</v>
      </c>
      <c r="H158" t="s">
        <v>3196</v>
      </c>
      <c r="P158" t="b">
        <v>0</v>
      </c>
      <c r="Q158" t="s">
        <v>2916</v>
      </c>
      <c r="S158" t="s">
        <v>2914</v>
      </c>
    </row>
    <row r="159" spans="1:19" hidden="1">
      <c r="A159" t="s">
        <v>2674</v>
      </c>
      <c r="B159" t="s">
        <v>965</v>
      </c>
      <c r="C159" t="s">
        <v>503</v>
      </c>
      <c r="D159">
        <v>10.833333333333332</v>
      </c>
      <c r="E159" t="s">
        <v>136</v>
      </c>
      <c r="F159" t="s">
        <v>427</v>
      </c>
      <c r="H159" t="s">
        <v>3196</v>
      </c>
      <c r="P159" t="b">
        <v>1</v>
      </c>
      <c r="Q159">
        <v>147000</v>
      </c>
      <c r="R159" t="s">
        <v>1241</v>
      </c>
      <c r="S159" t="s">
        <v>966</v>
      </c>
    </row>
    <row r="160" spans="1:19">
      <c r="A160" t="s">
        <v>2677</v>
      </c>
      <c r="B160" t="s">
        <v>1549</v>
      </c>
      <c r="C160" t="s">
        <v>503</v>
      </c>
      <c r="D160">
        <v>14.444444444444443</v>
      </c>
      <c r="E160" t="s">
        <v>136</v>
      </c>
      <c r="H160" t="s">
        <v>3197</v>
      </c>
      <c r="P160" t="b">
        <v>0</v>
      </c>
      <c r="Q160" t="s">
        <v>2192</v>
      </c>
      <c r="R160" t="s">
        <v>2192</v>
      </c>
      <c r="S160" t="s">
        <v>2145</v>
      </c>
    </row>
    <row r="161" spans="1:19" hidden="1">
      <c r="A161" t="s">
        <v>2677</v>
      </c>
      <c r="B161" t="s">
        <v>2843</v>
      </c>
      <c r="C161" t="s">
        <v>503</v>
      </c>
      <c r="D161">
        <v>14.444444444444443</v>
      </c>
      <c r="E161" t="s">
        <v>136</v>
      </c>
      <c r="H161" t="s">
        <v>3196</v>
      </c>
      <c r="P161" t="b">
        <v>0</v>
      </c>
      <c r="Q161" t="s">
        <v>2916</v>
      </c>
      <c r="S161" t="s">
        <v>2915</v>
      </c>
    </row>
    <row r="162" spans="1:19" hidden="1">
      <c r="A162" t="s">
        <v>3030</v>
      </c>
      <c r="B162" t="s">
        <v>911</v>
      </c>
      <c r="C162" t="s">
        <v>503</v>
      </c>
      <c r="D162">
        <v>35.1</v>
      </c>
      <c r="E162" t="s">
        <v>136</v>
      </c>
      <c r="F162" t="s">
        <v>405</v>
      </c>
      <c r="H162" t="s">
        <v>3196</v>
      </c>
      <c r="P162" t="b">
        <v>1</v>
      </c>
      <c r="Q162" t="s">
        <v>2916</v>
      </c>
      <c r="S162" t="s">
        <v>912</v>
      </c>
    </row>
    <row r="163" spans="1:19" hidden="1">
      <c r="A163" t="s">
        <v>3030</v>
      </c>
      <c r="B163" t="s">
        <v>911</v>
      </c>
      <c r="C163" t="s">
        <v>503</v>
      </c>
      <c r="D163">
        <v>35.1</v>
      </c>
      <c r="E163" t="s">
        <v>136</v>
      </c>
      <c r="H163" t="s">
        <v>3196</v>
      </c>
      <c r="P163" t="b">
        <v>1</v>
      </c>
      <c r="Q163" t="s">
        <v>2916</v>
      </c>
      <c r="S163" t="s">
        <v>3075</v>
      </c>
    </row>
    <row r="164" spans="1:19" hidden="1">
      <c r="A164" t="s">
        <v>2670</v>
      </c>
      <c r="B164" t="s">
        <v>676</v>
      </c>
      <c r="C164" t="s">
        <v>602</v>
      </c>
      <c r="D164">
        <v>32.5</v>
      </c>
      <c r="E164" t="s">
        <v>128</v>
      </c>
      <c r="F164" t="s">
        <v>1132</v>
      </c>
      <c r="H164" t="s">
        <v>3196</v>
      </c>
      <c r="M164" t="s">
        <v>1133</v>
      </c>
      <c r="P164" t="b">
        <v>0</v>
      </c>
      <c r="Q164" t="s">
        <v>2192</v>
      </c>
      <c r="R164" t="s">
        <v>2192</v>
      </c>
      <c r="S164" t="s">
        <v>1134</v>
      </c>
    </row>
    <row r="165" spans="1:19" hidden="1">
      <c r="A165" t="s">
        <v>2674</v>
      </c>
      <c r="B165" t="s">
        <v>701</v>
      </c>
      <c r="C165" t="s">
        <v>600</v>
      </c>
      <c r="D165">
        <v>10.833333333333332</v>
      </c>
      <c r="E165" t="s">
        <v>136</v>
      </c>
      <c r="F165" t="s">
        <v>1178</v>
      </c>
      <c r="H165" t="s">
        <v>3196</v>
      </c>
      <c r="M165" t="s">
        <v>1179</v>
      </c>
      <c r="P165" t="b">
        <v>1</v>
      </c>
      <c r="Q165">
        <v>0</v>
      </c>
      <c r="R165">
        <v>0</v>
      </c>
      <c r="S165" t="s">
        <v>1180</v>
      </c>
    </row>
    <row r="166" spans="1:19" hidden="1">
      <c r="A166" t="s">
        <v>2674</v>
      </c>
      <c r="B166" t="s">
        <v>2275</v>
      </c>
      <c r="C166" t="s">
        <v>600</v>
      </c>
      <c r="D166">
        <v>10.833333333333332</v>
      </c>
      <c r="E166" t="s">
        <v>136</v>
      </c>
      <c r="F166" t="s">
        <v>1155</v>
      </c>
      <c r="H166" t="s">
        <v>3196</v>
      </c>
      <c r="M166" t="s">
        <v>1587</v>
      </c>
      <c r="P166" t="b">
        <v>0</v>
      </c>
      <c r="Q166">
        <v>15000</v>
      </c>
      <c r="R166" t="s">
        <v>1241</v>
      </c>
      <c r="S166" t="s">
        <v>1156</v>
      </c>
    </row>
    <row r="167" spans="1:19">
      <c r="A167" t="s">
        <v>3006</v>
      </c>
      <c r="B167" t="s">
        <v>3018</v>
      </c>
      <c r="C167" t="s">
        <v>3017</v>
      </c>
      <c r="D167">
        <v>39</v>
      </c>
      <c r="E167" t="s">
        <v>136</v>
      </c>
      <c r="H167" t="s">
        <v>3197</v>
      </c>
      <c r="P167" t="b">
        <v>1</v>
      </c>
      <c r="Q167" t="s">
        <v>2916</v>
      </c>
      <c r="S167" t="s">
        <v>3084</v>
      </c>
    </row>
    <row r="168" spans="1:19" hidden="1">
      <c r="A168" t="s">
        <v>2671</v>
      </c>
      <c r="B168" t="s">
        <v>2836</v>
      </c>
      <c r="C168" t="s">
        <v>1783</v>
      </c>
      <c r="D168">
        <v>10.833333333333332</v>
      </c>
      <c r="E168" t="s">
        <v>128</v>
      </c>
      <c r="H168" t="s">
        <v>3196</v>
      </c>
      <c r="P168" t="b">
        <v>1</v>
      </c>
      <c r="Q168">
        <v>250</v>
      </c>
      <c r="R168" t="s">
        <v>1242</v>
      </c>
      <c r="S168" t="s">
        <v>2931</v>
      </c>
    </row>
    <row r="169" spans="1:19" hidden="1">
      <c r="A169" t="s">
        <v>2644</v>
      </c>
      <c r="B169" t="s">
        <v>1815</v>
      </c>
      <c r="C169" t="s">
        <v>1814</v>
      </c>
      <c r="D169">
        <v>173.33333333333331</v>
      </c>
      <c r="E169" t="s">
        <v>77</v>
      </c>
      <c r="H169" t="s">
        <v>3196</v>
      </c>
      <c r="P169" t="b">
        <v>0</v>
      </c>
      <c r="Q169">
        <v>20</v>
      </c>
      <c r="R169" t="s">
        <v>1242</v>
      </c>
      <c r="S169" t="s">
        <v>2149</v>
      </c>
    </row>
    <row r="170" spans="1:19" hidden="1">
      <c r="A170" t="s">
        <v>2649</v>
      </c>
      <c r="B170" t="s">
        <v>2858</v>
      </c>
      <c r="C170" t="s">
        <v>533</v>
      </c>
      <c r="D170">
        <v>1155.5555555555552</v>
      </c>
      <c r="E170" t="s">
        <v>91</v>
      </c>
      <c r="H170" t="s">
        <v>3196</v>
      </c>
      <c r="P170" t="b">
        <v>0</v>
      </c>
      <c r="Q170" t="s">
        <v>2916</v>
      </c>
      <c r="S170" t="s">
        <v>2922</v>
      </c>
    </row>
    <row r="171" spans="1:19" hidden="1">
      <c r="A171" t="s">
        <v>2658</v>
      </c>
      <c r="B171" t="s">
        <v>2861</v>
      </c>
      <c r="C171" t="s">
        <v>533</v>
      </c>
      <c r="D171">
        <v>346.66666666666663</v>
      </c>
      <c r="E171" t="s">
        <v>110</v>
      </c>
      <c r="H171" t="s">
        <v>3196</v>
      </c>
      <c r="P171" t="b">
        <v>0</v>
      </c>
      <c r="Q171">
        <v>2000</v>
      </c>
      <c r="R171" t="s">
        <v>1241</v>
      </c>
      <c r="S171" t="s">
        <v>2928</v>
      </c>
    </row>
    <row r="172" spans="1:19">
      <c r="A172" t="s">
        <v>3060</v>
      </c>
      <c r="B172" t="s">
        <v>2839</v>
      </c>
      <c r="C172" t="s">
        <v>533</v>
      </c>
      <c r="D172">
        <v>86.666666666666657</v>
      </c>
      <c r="E172" t="s">
        <v>124</v>
      </c>
      <c r="H172" t="s">
        <v>3197</v>
      </c>
      <c r="P172" t="b">
        <v>1</v>
      </c>
      <c r="Q172">
        <v>5</v>
      </c>
      <c r="R172" t="s">
        <v>1243</v>
      </c>
      <c r="S172" t="s">
        <v>2929</v>
      </c>
    </row>
    <row r="173" spans="1:19">
      <c r="A173" t="s">
        <v>2671</v>
      </c>
      <c r="B173" t="s">
        <v>2834</v>
      </c>
      <c r="C173" t="s">
        <v>533</v>
      </c>
      <c r="D173">
        <v>10.833333333333332</v>
      </c>
      <c r="E173" t="s">
        <v>128</v>
      </c>
      <c r="H173" t="s">
        <v>3197</v>
      </c>
      <c r="P173" t="b">
        <v>1</v>
      </c>
      <c r="Q173">
        <v>7</v>
      </c>
      <c r="R173" t="s">
        <v>1243</v>
      </c>
      <c r="S173" t="s">
        <v>2930</v>
      </c>
    </row>
    <row r="174" spans="1:19">
      <c r="A174" t="s">
        <v>2674</v>
      </c>
      <c r="B174" t="s">
        <v>702</v>
      </c>
      <c r="C174" t="s">
        <v>533</v>
      </c>
      <c r="D174">
        <v>10.833333333333332</v>
      </c>
      <c r="E174" t="s">
        <v>136</v>
      </c>
      <c r="H174" t="s">
        <v>3197</v>
      </c>
      <c r="P174" t="b">
        <v>0</v>
      </c>
      <c r="Q174">
        <v>100000</v>
      </c>
      <c r="R174" t="s">
        <v>1241</v>
      </c>
      <c r="S174" t="s">
        <v>2150</v>
      </c>
    </row>
    <row r="175" spans="1:19">
      <c r="A175" t="s">
        <v>2676</v>
      </c>
      <c r="B175" t="s">
        <v>986</v>
      </c>
      <c r="C175" t="s">
        <v>533</v>
      </c>
      <c r="D175">
        <v>5.4166666666666661</v>
      </c>
      <c r="E175" t="s">
        <v>136</v>
      </c>
      <c r="F175" t="s">
        <v>178</v>
      </c>
      <c r="H175" t="s">
        <v>3197</v>
      </c>
      <c r="P175" t="b">
        <v>0</v>
      </c>
      <c r="Q175">
        <v>16000</v>
      </c>
      <c r="R175" t="s">
        <v>1242</v>
      </c>
      <c r="S175" t="s">
        <v>987</v>
      </c>
    </row>
    <row r="176" spans="1:19" hidden="1">
      <c r="A176" t="s">
        <v>3007</v>
      </c>
      <c r="B176" t="s">
        <v>3011</v>
      </c>
      <c r="C176" t="s">
        <v>533</v>
      </c>
      <c r="D176">
        <v>32.5</v>
      </c>
      <c r="E176" t="s">
        <v>136</v>
      </c>
      <c r="H176" t="s">
        <v>3196</v>
      </c>
      <c r="P176" t="b">
        <v>1</v>
      </c>
      <c r="Q176">
        <v>300</v>
      </c>
      <c r="R176" t="s">
        <v>1243</v>
      </c>
      <c r="S176" t="s">
        <v>3076</v>
      </c>
    </row>
    <row r="177" spans="1:19" hidden="1">
      <c r="A177" t="s">
        <v>3006</v>
      </c>
      <c r="B177" t="s">
        <v>3019</v>
      </c>
      <c r="C177" t="s">
        <v>695</v>
      </c>
      <c r="D177">
        <v>39</v>
      </c>
      <c r="E177" t="s">
        <v>136</v>
      </c>
      <c r="H177" t="s">
        <v>3196</v>
      </c>
      <c r="P177" t="b">
        <v>1</v>
      </c>
      <c r="Q177" t="s">
        <v>2916</v>
      </c>
      <c r="S177" t="s">
        <v>3077</v>
      </c>
    </row>
    <row r="178" spans="1:19" hidden="1">
      <c r="A178" t="s">
        <v>3006</v>
      </c>
      <c r="B178" t="s">
        <v>3023</v>
      </c>
      <c r="C178" t="s">
        <v>695</v>
      </c>
      <c r="D178">
        <v>39</v>
      </c>
      <c r="E178" t="s">
        <v>136</v>
      </c>
      <c r="H178" t="s">
        <v>3196</v>
      </c>
      <c r="P178" t="b">
        <v>1</v>
      </c>
      <c r="Q178" t="s">
        <v>2916</v>
      </c>
      <c r="S178" t="s">
        <v>3078</v>
      </c>
    </row>
    <row r="179" spans="1:19" hidden="1">
      <c r="A179" t="s">
        <v>3008</v>
      </c>
      <c r="B179" t="s">
        <v>3024</v>
      </c>
      <c r="C179" t="s">
        <v>695</v>
      </c>
      <c r="D179">
        <v>52</v>
      </c>
      <c r="E179" t="s">
        <v>136</v>
      </c>
      <c r="H179" t="s">
        <v>3196</v>
      </c>
      <c r="P179" t="b">
        <v>1</v>
      </c>
      <c r="Q179" t="s">
        <v>2916</v>
      </c>
      <c r="S179" t="s">
        <v>3079</v>
      </c>
    </row>
    <row r="180" spans="1:19" hidden="1">
      <c r="A180" t="s">
        <v>3008</v>
      </c>
      <c r="B180" t="s">
        <v>3025</v>
      </c>
      <c r="C180" t="s">
        <v>695</v>
      </c>
      <c r="D180">
        <v>52</v>
      </c>
      <c r="E180" t="s">
        <v>136</v>
      </c>
      <c r="H180" t="s">
        <v>3196</v>
      </c>
      <c r="P180" t="b">
        <v>1</v>
      </c>
      <c r="Q180" t="s">
        <v>2916</v>
      </c>
      <c r="S180" t="s">
        <v>3080</v>
      </c>
    </row>
    <row r="181" spans="1:19" hidden="1">
      <c r="A181" t="s">
        <v>3008</v>
      </c>
      <c r="B181" t="s">
        <v>3028</v>
      </c>
      <c r="C181" t="s">
        <v>695</v>
      </c>
      <c r="D181">
        <v>52</v>
      </c>
      <c r="E181" t="s">
        <v>136</v>
      </c>
      <c r="H181" t="s">
        <v>3196</v>
      </c>
      <c r="P181" t="b">
        <v>1</v>
      </c>
      <c r="Q181" t="s">
        <v>2916</v>
      </c>
      <c r="S181" t="s">
        <v>3081</v>
      </c>
    </row>
    <row r="182" spans="1:19" hidden="1">
      <c r="A182" t="s">
        <v>2726</v>
      </c>
      <c r="B182" t="s">
        <v>147</v>
      </c>
      <c r="C182" t="s">
        <v>484</v>
      </c>
      <c r="D182">
        <v>52</v>
      </c>
      <c r="E182" t="s">
        <v>43</v>
      </c>
      <c r="H182" t="s">
        <v>3196</v>
      </c>
      <c r="P182" t="b">
        <v>0</v>
      </c>
      <c r="Q182" t="s">
        <v>2192</v>
      </c>
      <c r="R182" t="s">
        <v>2192</v>
      </c>
      <c r="S182" t="s">
        <v>2152</v>
      </c>
    </row>
    <row r="183" spans="1:19" hidden="1">
      <c r="A183" t="s">
        <v>2772</v>
      </c>
      <c r="B183" t="s">
        <v>2815</v>
      </c>
      <c r="C183" t="s">
        <v>484</v>
      </c>
      <c r="D183">
        <v>180.26666666666665</v>
      </c>
      <c r="E183" t="s">
        <v>92</v>
      </c>
      <c r="H183" t="s">
        <v>3196</v>
      </c>
      <c r="P183" t="b">
        <v>0</v>
      </c>
      <c r="Q183" t="s">
        <v>2916</v>
      </c>
      <c r="S183" t="s">
        <v>2923</v>
      </c>
    </row>
    <row r="184" spans="1:19" hidden="1">
      <c r="A184" t="s">
        <v>2622</v>
      </c>
      <c r="B184" t="s">
        <v>483</v>
      </c>
      <c r="C184" t="s">
        <v>484</v>
      </c>
      <c r="D184">
        <v>16.25</v>
      </c>
      <c r="E184" t="s">
        <v>43</v>
      </c>
      <c r="F184" t="s">
        <v>745</v>
      </c>
      <c r="H184" t="s">
        <v>3196</v>
      </c>
      <c r="P184" t="b">
        <v>0</v>
      </c>
      <c r="Q184">
        <v>20400</v>
      </c>
      <c r="R184" t="s">
        <v>1242</v>
      </c>
      <c r="S184" t="s">
        <v>746</v>
      </c>
    </row>
    <row r="185" spans="1:19" hidden="1">
      <c r="A185" t="s">
        <v>2624</v>
      </c>
      <c r="B185" t="s">
        <v>2784</v>
      </c>
      <c r="C185" t="s">
        <v>484</v>
      </c>
      <c r="D185">
        <v>120</v>
      </c>
      <c r="E185" t="s">
        <v>44</v>
      </c>
      <c r="H185" t="s">
        <v>3196</v>
      </c>
      <c r="P185" t="b">
        <v>0</v>
      </c>
      <c r="S185" t="s">
        <v>2918</v>
      </c>
    </row>
    <row r="186" spans="1:19" hidden="1">
      <c r="A186" t="s">
        <v>2624</v>
      </c>
      <c r="B186" t="s">
        <v>2785</v>
      </c>
      <c r="C186" t="s">
        <v>484</v>
      </c>
      <c r="D186">
        <v>120</v>
      </c>
      <c r="E186" t="s">
        <v>44</v>
      </c>
      <c r="H186" t="s">
        <v>3196</v>
      </c>
      <c r="P186" t="b">
        <v>0</v>
      </c>
      <c r="Q186" t="s">
        <v>2916</v>
      </c>
      <c r="S186" t="s">
        <v>2921</v>
      </c>
    </row>
    <row r="187" spans="1:19" hidden="1">
      <c r="A187" t="s">
        <v>2639</v>
      </c>
      <c r="B187" t="s">
        <v>789</v>
      </c>
      <c r="C187" t="s">
        <v>484</v>
      </c>
      <c r="D187">
        <v>103.12500000000001</v>
      </c>
      <c r="E187" t="s">
        <v>62</v>
      </c>
      <c r="H187" t="s">
        <v>3196</v>
      </c>
      <c r="P187" t="b">
        <v>0</v>
      </c>
      <c r="Q187">
        <v>3800</v>
      </c>
      <c r="R187" t="s">
        <v>1242</v>
      </c>
      <c r="S187" t="s">
        <v>790</v>
      </c>
    </row>
    <row r="188" spans="1:19" hidden="1">
      <c r="A188" t="s">
        <v>2660</v>
      </c>
      <c r="B188" t="s">
        <v>1867</v>
      </c>
      <c r="C188" t="s">
        <v>484</v>
      </c>
      <c r="D188">
        <v>32.5</v>
      </c>
      <c r="E188" t="s">
        <v>112</v>
      </c>
      <c r="H188" t="s">
        <v>3196</v>
      </c>
      <c r="P188" t="b">
        <v>0</v>
      </c>
      <c r="Q188" t="s">
        <v>2192</v>
      </c>
      <c r="R188" t="s">
        <v>2192</v>
      </c>
      <c r="S188" t="s">
        <v>2154</v>
      </c>
    </row>
    <row r="189" spans="1:19" hidden="1">
      <c r="A189" t="s">
        <v>2665</v>
      </c>
      <c r="B189" t="s">
        <v>1866</v>
      </c>
      <c r="C189" t="s">
        <v>484</v>
      </c>
      <c r="D189">
        <v>156</v>
      </c>
      <c r="E189" t="s">
        <v>356</v>
      </c>
      <c r="H189" t="s">
        <v>3196</v>
      </c>
      <c r="P189" t="b">
        <v>0</v>
      </c>
      <c r="Q189">
        <v>13000</v>
      </c>
      <c r="R189" t="s">
        <v>1242</v>
      </c>
      <c r="S189" t="s">
        <v>2157</v>
      </c>
    </row>
    <row r="190" spans="1:19" hidden="1">
      <c r="A190" t="s">
        <v>2665</v>
      </c>
      <c r="B190" t="s">
        <v>1865</v>
      </c>
      <c r="C190" t="s">
        <v>484</v>
      </c>
      <c r="D190">
        <v>156</v>
      </c>
      <c r="E190" t="s">
        <v>356</v>
      </c>
      <c r="H190" t="s">
        <v>3196</v>
      </c>
      <c r="P190" t="b">
        <v>0</v>
      </c>
      <c r="Q190">
        <v>13000</v>
      </c>
      <c r="R190" t="s">
        <v>1242</v>
      </c>
      <c r="S190" t="s">
        <v>2159</v>
      </c>
    </row>
    <row r="191" spans="1:19" hidden="1">
      <c r="A191" t="s">
        <v>2717</v>
      </c>
      <c r="B191" t="s">
        <v>578</v>
      </c>
      <c r="C191" t="s">
        <v>484</v>
      </c>
      <c r="D191">
        <v>220</v>
      </c>
      <c r="E191" t="s">
        <v>845</v>
      </c>
      <c r="H191" t="s">
        <v>3196</v>
      </c>
      <c r="P191" t="b">
        <v>0</v>
      </c>
      <c r="Q191">
        <v>200000</v>
      </c>
      <c r="R191" t="s">
        <v>1241</v>
      </c>
      <c r="S191" t="s">
        <v>847</v>
      </c>
    </row>
    <row r="192" spans="1:19" hidden="1">
      <c r="A192" t="s">
        <v>2673</v>
      </c>
      <c r="B192" t="s">
        <v>1942</v>
      </c>
      <c r="C192" t="s">
        <v>484</v>
      </c>
      <c r="D192">
        <v>10.833333333333332</v>
      </c>
      <c r="E192" t="s">
        <v>135</v>
      </c>
      <c r="H192" t="s">
        <v>3196</v>
      </c>
      <c r="P192" t="b">
        <v>0</v>
      </c>
      <c r="Q192" t="s">
        <v>2192</v>
      </c>
      <c r="R192" t="s">
        <v>2192</v>
      </c>
      <c r="S192" t="s">
        <v>2162</v>
      </c>
    </row>
    <row r="193" spans="1:19" hidden="1">
      <c r="A193" t="s">
        <v>2673</v>
      </c>
      <c r="B193" t="s">
        <v>1942</v>
      </c>
      <c r="C193" t="s">
        <v>484</v>
      </c>
      <c r="D193">
        <v>10.833333333333332</v>
      </c>
      <c r="E193" t="s">
        <v>135</v>
      </c>
      <c r="H193" t="s">
        <v>3196</v>
      </c>
      <c r="P193" t="b">
        <v>0</v>
      </c>
      <c r="Q193" t="s">
        <v>2916</v>
      </c>
      <c r="S193" t="s">
        <v>2932</v>
      </c>
    </row>
    <row r="194" spans="1:19" hidden="1">
      <c r="A194" t="s">
        <v>2677</v>
      </c>
      <c r="B194" t="s">
        <v>696</v>
      </c>
      <c r="C194" t="s">
        <v>484</v>
      </c>
      <c r="D194">
        <v>14.444444444444443</v>
      </c>
      <c r="E194" t="s">
        <v>136</v>
      </c>
      <c r="F194" t="s">
        <v>959</v>
      </c>
      <c r="H194" t="s">
        <v>3196</v>
      </c>
      <c r="M194" t="s">
        <v>960</v>
      </c>
      <c r="P194" t="b">
        <v>0</v>
      </c>
      <c r="Q194" t="s">
        <v>2192</v>
      </c>
      <c r="R194" t="s">
        <v>2192</v>
      </c>
      <c r="S194" t="s">
        <v>961</v>
      </c>
    </row>
    <row r="195" spans="1:19">
      <c r="A195" t="s">
        <v>3007</v>
      </c>
      <c r="B195" t="s">
        <v>3021</v>
      </c>
      <c r="C195" t="s">
        <v>3022</v>
      </c>
      <c r="D195">
        <v>32.5</v>
      </c>
      <c r="E195" t="s">
        <v>136</v>
      </c>
      <c r="H195" t="s">
        <v>3197</v>
      </c>
      <c r="P195" t="b">
        <v>1</v>
      </c>
      <c r="Q195" t="s">
        <v>2916</v>
      </c>
      <c r="S195" t="s">
        <v>3086</v>
      </c>
    </row>
    <row r="196" spans="1:19">
      <c r="A196" t="s">
        <v>3007</v>
      </c>
      <c r="B196" t="s">
        <v>3026</v>
      </c>
      <c r="C196" t="s">
        <v>3022</v>
      </c>
      <c r="D196">
        <v>32.5</v>
      </c>
      <c r="E196" t="s">
        <v>136</v>
      </c>
      <c r="H196" t="s">
        <v>3197</v>
      </c>
      <c r="P196" t="b">
        <v>1</v>
      </c>
      <c r="Q196" t="s">
        <v>2916</v>
      </c>
      <c r="S196" t="s">
        <v>3087</v>
      </c>
    </row>
    <row r="197" spans="1:19">
      <c r="A197" t="s">
        <v>3007</v>
      </c>
      <c r="B197" t="s">
        <v>3027</v>
      </c>
      <c r="C197" t="s">
        <v>3022</v>
      </c>
      <c r="D197">
        <v>32.5</v>
      </c>
      <c r="E197" t="s">
        <v>136</v>
      </c>
      <c r="H197" t="s">
        <v>3197</v>
      </c>
      <c r="P197" t="b">
        <v>1</v>
      </c>
      <c r="Q197" t="s">
        <v>2916</v>
      </c>
      <c r="S197" t="s">
        <v>3088</v>
      </c>
    </row>
    <row r="198" spans="1:19">
      <c r="A198" t="s">
        <v>3007</v>
      </c>
      <c r="B198" t="s">
        <v>3029</v>
      </c>
      <c r="C198" t="s">
        <v>3022</v>
      </c>
      <c r="D198">
        <v>32.5</v>
      </c>
      <c r="E198" t="s">
        <v>136</v>
      </c>
      <c r="H198" t="s">
        <v>3197</v>
      </c>
      <c r="P198" t="b">
        <v>1</v>
      </c>
      <c r="Q198" t="s">
        <v>2916</v>
      </c>
      <c r="S198" t="s">
        <v>3089</v>
      </c>
    </row>
    <row r="199" spans="1:19" hidden="1">
      <c r="A199" t="s">
        <v>2730</v>
      </c>
      <c r="B199" t="s">
        <v>542</v>
      </c>
      <c r="C199" t="s">
        <v>526</v>
      </c>
      <c r="D199">
        <v>180.26666666666665</v>
      </c>
      <c r="E199" t="s">
        <v>92</v>
      </c>
      <c r="H199" t="s">
        <v>3196</v>
      </c>
      <c r="P199" t="b">
        <v>0</v>
      </c>
      <c r="Q199">
        <v>600</v>
      </c>
      <c r="R199" t="s">
        <v>1243</v>
      </c>
      <c r="S199" t="s">
        <v>933</v>
      </c>
    </row>
    <row r="200" spans="1:19" hidden="1">
      <c r="A200" t="s">
        <v>2732</v>
      </c>
      <c r="B200" t="s">
        <v>540</v>
      </c>
      <c r="C200" t="s">
        <v>526</v>
      </c>
      <c r="D200">
        <v>180.26666666666665</v>
      </c>
      <c r="E200" t="s">
        <v>92</v>
      </c>
      <c r="H200" t="s">
        <v>3196</v>
      </c>
      <c r="P200" t="b">
        <v>0</v>
      </c>
      <c r="Q200">
        <v>885</v>
      </c>
      <c r="R200" t="s">
        <v>1243</v>
      </c>
      <c r="S200" t="s">
        <v>836</v>
      </c>
    </row>
    <row r="201" spans="1:19" hidden="1">
      <c r="A201" t="s">
        <v>2622</v>
      </c>
      <c r="B201" t="s">
        <v>710</v>
      </c>
      <c r="C201" t="s">
        <v>526</v>
      </c>
      <c r="D201">
        <v>8.125</v>
      </c>
      <c r="E201" t="s">
        <v>43</v>
      </c>
      <c r="H201" t="s">
        <v>3196</v>
      </c>
      <c r="M201" t="s">
        <v>1037</v>
      </c>
      <c r="P201" t="b">
        <v>0</v>
      </c>
      <c r="Q201">
        <v>574</v>
      </c>
      <c r="R201" t="s">
        <v>1243</v>
      </c>
      <c r="S201" t="s">
        <v>1038</v>
      </c>
    </row>
    <row r="202" spans="1:19" hidden="1">
      <c r="A202" t="s">
        <v>2728</v>
      </c>
      <c r="B202" t="s">
        <v>530</v>
      </c>
      <c r="C202" t="s">
        <v>526</v>
      </c>
      <c r="D202">
        <v>130</v>
      </c>
      <c r="E202" t="s">
        <v>78</v>
      </c>
      <c r="H202" t="s">
        <v>3196</v>
      </c>
      <c r="M202" t="s">
        <v>1051</v>
      </c>
      <c r="P202" t="b">
        <v>0</v>
      </c>
      <c r="Q202">
        <v>7000</v>
      </c>
      <c r="R202" t="s">
        <v>1242</v>
      </c>
      <c r="S202" t="s">
        <v>1052</v>
      </c>
    </row>
    <row r="203" spans="1:19" hidden="1">
      <c r="A203" t="s">
        <v>2656</v>
      </c>
      <c r="B203" t="s">
        <v>2824</v>
      </c>
      <c r="C203" t="s">
        <v>526</v>
      </c>
      <c r="D203">
        <v>97.5</v>
      </c>
      <c r="E203" t="s">
        <v>108</v>
      </c>
      <c r="H203" t="s">
        <v>3196</v>
      </c>
      <c r="P203" t="b">
        <v>0</v>
      </c>
      <c r="Q203">
        <v>14000</v>
      </c>
      <c r="R203" t="s">
        <v>1242</v>
      </c>
      <c r="S203" t="s">
        <v>2925</v>
      </c>
    </row>
    <row r="204" spans="1:19" hidden="1">
      <c r="A204" t="s">
        <v>1802</v>
      </c>
      <c r="B204" t="s">
        <v>1539</v>
      </c>
      <c r="C204" t="s">
        <v>526</v>
      </c>
      <c r="D204">
        <v>58.5</v>
      </c>
      <c r="E204" t="s">
        <v>122</v>
      </c>
      <c r="H204" t="s">
        <v>3196</v>
      </c>
      <c r="P204" t="b">
        <v>0</v>
      </c>
      <c r="Q204">
        <v>28000</v>
      </c>
      <c r="R204" t="s">
        <v>1242</v>
      </c>
      <c r="S204" t="s">
        <v>1540</v>
      </c>
    </row>
    <row r="205" spans="1:19" hidden="1">
      <c r="A205" t="s">
        <v>1799</v>
      </c>
      <c r="B205" t="s">
        <v>2863</v>
      </c>
      <c r="D205">
        <v>300</v>
      </c>
    </row>
    <row r="206" spans="1:19" hidden="1">
      <c r="A206" t="s">
        <v>1801</v>
      </c>
      <c r="B206" t="s">
        <v>1521</v>
      </c>
      <c r="D206">
        <v>0</v>
      </c>
    </row>
  </sheetData>
  <pageMargins left="0.7" right="0.7" top="0.75" bottom="0.75" header="0.3" footer="0.3"/>
  <pageSetup orientation="portrait" horizontalDpi="0"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58F1A-AE8E-43D5-A42E-E59FE5CB8BDE}">
  <sheetPr codeName="Sheet21"/>
  <dimension ref="A1:BD5974"/>
  <sheetViews>
    <sheetView workbookViewId="0"/>
  </sheetViews>
  <sheetFormatPr baseColWidth="10" defaultColWidth="8.83203125" defaultRowHeight="15"/>
  <cols>
    <col min="1" max="1" width="56.1640625" bestFit="1" customWidth="1"/>
    <col min="2" max="2" width="11.6640625" bestFit="1" customWidth="1"/>
    <col min="3" max="3" width="6.6640625" bestFit="1" customWidth="1"/>
    <col min="4" max="4" width="11.5" bestFit="1" customWidth="1"/>
    <col min="5" max="5" width="12" bestFit="1" customWidth="1"/>
    <col min="6" max="6" width="9.1640625" bestFit="1" customWidth="1"/>
    <col min="7" max="7" width="53.1640625" bestFit="1" customWidth="1"/>
    <col min="8" max="8" width="12.6640625" bestFit="1" customWidth="1"/>
    <col min="9" max="9" width="16.6640625" bestFit="1" customWidth="1"/>
    <col min="10" max="10" width="13.83203125" bestFit="1" customWidth="1"/>
    <col min="11" max="11" width="14.33203125" bestFit="1" customWidth="1"/>
    <col min="12" max="12" width="17.5" bestFit="1" customWidth="1"/>
    <col min="13" max="13" width="81.1640625" bestFit="1" customWidth="1"/>
    <col min="14" max="14" width="20.5" bestFit="1" customWidth="1"/>
    <col min="15" max="15" width="81.1640625" bestFit="1" customWidth="1"/>
    <col min="16" max="16" width="20.5" bestFit="1" customWidth="1"/>
    <col min="17" max="17" width="28.6640625" bestFit="1" customWidth="1"/>
    <col min="18" max="18" width="20.5" customWidth="1"/>
    <col min="21" max="21" width="12" bestFit="1" customWidth="1"/>
    <col min="33" max="33" width="12.33203125" customWidth="1"/>
    <col min="34" max="34" width="14.33203125" customWidth="1"/>
    <col min="48" max="48" width="9.6640625" bestFit="1" customWidth="1"/>
    <col min="49" max="49" width="22.5" customWidth="1"/>
    <col min="50" max="50" width="3.1640625" bestFit="1" customWidth="1"/>
    <col min="53" max="53" width="24.6640625" customWidth="1"/>
    <col min="54" max="54" width="79" bestFit="1" customWidth="1"/>
    <col min="55" max="55" width="24.6640625" customWidth="1"/>
  </cols>
  <sheetData>
    <row r="1" spans="1:56">
      <c r="A1" t="s">
        <v>4</v>
      </c>
      <c r="B1" t="s">
        <v>5</v>
      </c>
      <c r="C1" t="s">
        <v>1505</v>
      </c>
      <c r="D1" t="s">
        <v>247</v>
      </c>
      <c r="E1" t="s">
        <v>3203</v>
      </c>
      <c r="F1" t="s">
        <v>3200</v>
      </c>
      <c r="G1" t="s">
        <v>3210</v>
      </c>
      <c r="H1" t="s">
        <v>473</v>
      </c>
      <c r="I1" t="s">
        <v>3199</v>
      </c>
      <c r="J1" t="s">
        <v>3201</v>
      </c>
      <c r="K1" t="s">
        <v>3211</v>
      </c>
      <c r="L1" t="s">
        <v>3202</v>
      </c>
      <c r="M1" t="s">
        <v>3204</v>
      </c>
      <c r="N1" t="s">
        <v>3207</v>
      </c>
      <c r="O1" t="s">
        <v>3205</v>
      </c>
      <c r="P1" t="s">
        <v>3208</v>
      </c>
      <c r="Q1" t="s">
        <v>3206</v>
      </c>
      <c r="R1" t="s">
        <v>3209</v>
      </c>
    </row>
    <row r="2" spans="1:56">
      <c r="A2" t="s">
        <v>1528</v>
      </c>
      <c r="B2" t="s">
        <v>1801</v>
      </c>
      <c r="C2" t="s">
        <v>1504</v>
      </c>
      <c r="D2">
        <v>0.4</v>
      </c>
      <c r="I2" s="272"/>
      <c r="J2" s="272"/>
      <c r="K2" s="272"/>
      <c r="L2" s="272"/>
      <c r="N2" s="272"/>
      <c r="P2" s="272"/>
      <c r="R2" s="272"/>
    </row>
    <row r="3" spans="1:56">
      <c r="A3" t="s">
        <v>1541</v>
      </c>
      <c r="B3" t="s">
        <v>1802</v>
      </c>
      <c r="C3" t="s">
        <v>1498</v>
      </c>
      <c r="D3">
        <v>0.4</v>
      </c>
      <c r="I3" s="272"/>
      <c r="J3" s="272"/>
      <c r="K3" s="272"/>
      <c r="L3" s="272"/>
      <c r="N3" s="272"/>
      <c r="P3" s="272"/>
      <c r="R3" s="272"/>
      <c r="T3" t="s">
        <v>3203</v>
      </c>
      <c r="X3" t="s">
        <v>3242</v>
      </c>
      <c r="AB3" t="s">
        <v>473</v>
      </c>
      <c r="AF3" t="s">
        <v>3204</v>
      </c>
      <c r="AJ3" t="s">
        <v>3243</v>
      </c>
      <c r="AN3" t="s">
        <v>3206</v>
      </c>
    </row>
    <row r="4" spans="1:56">
      <c r="A4" t="s">
        <v>1533</v>
      </c>
      <c r="B4" t="s">
        <v>1799</v>
      </c>
      <c r="C4" t="s">
        <v>1493</v>
      </c>
      <c r="D4">
        <v>2</v>
      </c>
      <c r="I4" s="272"/>
      <c r="J4" s="272"/>
      <c r="K4" s="272"/>
      <c r="L4" s="272"/>
      <c r="N4" s="272"/>
      <c r="P4" s="272"/>
      <c r="R4" s="272"/>
      <c r="T4" t="s">
        <v>1319</v>
      </c>
      <c r="U4" t="s">
        <v>1320</v>
      </c>
      <c r="V4" t="s">
        <v>3241</v>
      </c>
      <c r="X4" t="s">
        <v>1319</v>
      </c>
      <c r="Y4" t="s">
        <v>1320</v>
      </c>
      <c r="Z4" t="s">
        <v>3241</v>
      </c>
      <c r="AB4" t="s">
        <v>1319</v>
      </c>
      <c r="AC4" t="s">
        <v>1320</v>
      </c>
      <c r="AD4" t="s">
        <v>3241</v>
      </c>
      <c r="AF4" t="s">
        <v>1319</v>
      </c>
      <c r="AG4" t="s">
        <v>1320</v>
      </c>
      <c r="AH4" t="s">
        <v>3241</v>
      </c>
      <c r="AJ4" t="s">
        <v>1319</v>
      </c>
      <c r="AK4" t="s">
        <v>1320</v>
      </c>
      <c r="AL4" t="s">
        <v>3241</v>
      </c>
      <c r="AN4" t="s">
        <v>1319</v>
      </c>
      <c r="AO4" t="s">
        <v>1320</v>
      </c>
      <c r="AP4" t="s">
        <v>3241</v>
      </c>
      <c r="AR4" t="s">
        <v>3244</v>
      </c>
      <c r="AV4" s="193" t="s">
        <v>3245</v>
      </c>
      <c r="BA4" t="s">
        <v>3246</v>
      </c>
    </row>
    <row r="5" spans="1:56">
      <c r="A5" t="s">
        <v>1532</v>
      </c>
      <c r="B5" t="s">
        <v>1800</v>
      </c>
      <c r="C5" t="s">
        <v>1495</v>
      </c>
      <c r="D5">
        <v>1</v>
      </c>
      <c r="I5" s="272"/>
      <c r="J5" s="272"/>
      <c r="K5" s="272"/>
      <c r="L5" s="272"/>
      <c r="N5" s="272"/>
      <c r="P5" s="272"/>
      <c r="R5" s="272"/>
      <c r="T5" cm="1">
        <f t="array" ref="T5:T24">_xlfn._xlws.FILTER(OrganicTasks[Broadfork Date],OrganicTasks[Broadfork])</f>
        <v>45741</v>
      </c>
      <c r="U5" t="str">
        <f>IF(ISNUMBER(T5),"Broadforked the bed", "")</f>
        <v>Broadforked the bed</v>
      </c>
      <c r="V5" t="str" cm="1">
        <f t="array" ref="V5:V24">_xlfn._xlws.FILTER(OrganicTasks[Bed],OrganicTasks[Broadfork])</f>
        <v>A5</v>
      </c>
      <c r="X5" cm="1">
        <f t="array" ref="X5:X33">_xlfn._xlws.FILTER(OrganicTasks[Tilther Date],OrganicTasks[Tilther])</f>
        <v>45752</v>
      </c>
      <c r="Y5" t="str">
        <f>IF(ISNUMBER(X5),"Ran tilther in bed", "")</f>
        <v>Ran tilther in bed</v>
      </c>
      <c r="Z5" t="str" cm="1">
        <f t="array" ref="Z5:Z33">_xlfn._xlws.FILTER(OrganicTasks[Bed],OrganicTasks[Tilther])</f>
        <v>A1</v>
      </c>
      <c r="AB5" cm="1">
        <f t="array" ref="AB5:AB19">_xlfn._xlws.FILTER(OrganicTasks[Row Cover Date],OrganicTasks[Row Cover])</f>
        <v>45741</v>
      </c>
      <c r="AC5" t="str">
        <f>IF(ISNUMBER(AB5),"Covered with floating row cover", "")</f>
        <v>Covered with floating row cover</v>
      </c>
      <c r="AD5" t="str" cm="1">
        <f t="array" ref="AD5:AD19">_xlfn._xlws.FILTER(OrganicTasks[Bed],OrganicTasks[Row Cover])</f>
        <v>A5</v>
      </c>
      <c r="AF5" cm="1">
        <f t="array" ref="AF5:AF21">_xlfn._xlws.FILTER(OrganicTasks[Observation 1 Date],ISTEXT(OrganicTasks[Observation 1]))</f>
        <v>45781</v>
      </c>
      <c r="AG5" t="str" cm="1">
        <f t="array" ref="AG5:AG21">_xlfn._xlws.FILTER(OrganicTasks[Observation 1],ISTEXT(OrganicTasks[Observation 1]))</f>
        <v>Has less weeds because it has fresher compost</v>
      </c>
      <c r="AH5" t="str" cm="1">
        <f t="array" ref="AH5:AH21">_xlfn._xlws.FILTER(OrganicTasks[Bed],ISTEXT(OrganicTasks[Observation 1]))</f>
        <v>I8</v>
      </c>
      <c r="AJ5" cm="1">
        <f t="array" ref="AJ5:AJ9">_xlfn._xlws.FILTER(OrganicTasks[Observation 2 Date],ISTEXT(OrganicTasks[Oberservation 2]))</f>
        <v>45830</v>
      </c>
      <c r="AK5" t="str" cm="1">
        <f t="array" ref="AK5:AK9">_xlfn._xlws.FILTER(OrganicTasks[Oberservation 2],ISTEXT(OrganicTasks[Oberservation 2]))</f>
        <v>Seeing lots of deer feeding</v>
      </c>
      <c r="AL5" t="str" cm="1">
        <f t="array" ref="AL5:AL9">_xlfn._xlws.FILTER(OrganicTasks[Bed],ISTEXT(OrganicTasks[Oberservation 2]))</f>
        <v>I1</v>
      </c>
      <c r="AN5" cm="1">
        <f t="array" ref="AN5">_xlfn._xlws.FILTER(OrganicTasks[Observation 3 Date],ISTEXT(OrganicTasks[Observation 3]))</f>
        <v>45825</v>
      </c>
      <c r="AO5" t="str" cm="1">
        <f t="array" ref="AO5">_xlfn._xlws.FILTER(OrganicTasks[Observation 3],ISTEXT(OrganicTasks[Observation 3]))</f>
        <v>Strong regrowth on Komatsuna</v>
      </c>
      <c r="AP5" t="str" cm="1">
        <f t="array" ref="AP5">_xlfn._xlws.FILTER(OrganicTasks[Bed],ISTEXT(OrganicTasks[Observation 3]))</f>
        <v>E3</v>
      </c>
      <c r="AR5" cm="1">
        <f t="array" ref="AR5:AT5974">_xlfn.VSTACK(T5:V999,X5:Z999,AB5:AD999,AF5:AH999,AJ5:AL999,AN5:AP999)</f>
        <v>45741</v>
      </c>
      <c r="AS5" t="str">
        <v>Broadforked the bed</v>
      </c>
      <c r="AT5" t="str">
        <v>A5</v>
      </c>
      <c r="AV5" s="26" cm="1">
        <f t="array" ref="AV5:AX79">_xlfn.UNIQUE(_xlfn._xlws.SORT(_xlfn._xlws.FILTER(_xlfn.ANCHORARRAY(AR5), INDEX(_xlfn.ANCHORARRAY(AR5), , 1) &lt;&gt; 0), 1, TRUE))</f>
        <v>45716</v>
      </c>
      <c r="AW5" t="str">
        <v>Poor germination</v>
      </c>
      <c r="AX5" t="str">
        <v>B1</v>
      </c>
      <c r="BA5" t="s">
        <v>1319</v>
      </c>
      <c r="BB5" t="s">
        <v>3247</v>
      </c>
      <c r="BC5" t="s">
        <v>1505</v>
      </c>
      <c r="BD5" t="s">
        <v>3254</v>
      </c>
    </row>
    <row r="6" spans="1:56">
      <c r="A6" t="s">
        <v>2724</v>
      </c>
      <c r="B6" t="s">
        <v>2725</v>
      </c>
      <c r="C6" t="s">
        <v>1496</v>
      </c>
      <c r="D6">
        <v>1</v>
      </c>
      <c r="I6" s="272"/>
      <c r="J6" s="272"/>
      <c r="K6" s="272"/>
      <c r="L6" s="272"/>
      <c r="M6" t="s">
        <v>3215</v>
      </c>
      <c r="N6" s="272">
        <v>45781</v>
      </c>
      <c r="P6" s="272"/>
      <c r="R6" s="272"/>
      <c r="T6">
        <v>45741</v>
      </c>
      <c r="U6" t="str">
        <f t="shared" ref="U6:U69" si="0">IF(ISNUMBER(T6),"Broadforked the bed", "")</f>
        <v>Broadforked the bed</v>
      </c>
      <c r="V6" t="str">
        <v>A5</v>
      </c>
      <c r="X6">
        <v>45754</v>
      </c>
      <c r="Y6" t="str">
        <f t="shared" ref="Y6:Y69" si="1">IF(ISNUMBER(X6),"Ran tilther in bed", "")</f>
        <v>Ran tilther in bed</v>
      </c>
      <c r="Z6" t="str">
        <v>X2</v>
      </c>
      <c r="AB6">
        <v>45741</v>
      </c>
      <c r="AC6" t="str">
        <f t="shared" ref="AC6:AC49" si="2">IF(ISNUMBER(AB6),"Covered with floating row cover", "")</f>
        <v>Covered with floating row cover</v>
      </c>
      <c r="AD6" t="str">
        <v>A5</v>
      </c>
      <c r="AF6">
        <v>45716</v>
      </c>
      <c r="AG6" t="str">
        <v>Poor germination</v>
      </c>
      <c r="AH6" t="str">
        <v>B1</v>
      </c>
      <c r="AJ6">
        <v>45826</v>
      </c>
      <c r="AK6" t="str">
        <v>The cut potatoes look much smaller than the whole potatoes even though the cut pieces were larger.</v>
      </c>
      <c r="AL6" t="str">
        <v>F3</v>
      </c>
      <c r="AR6">
        <v>45741</v>
      </c>
      <c r="AS6" t="str">
        <v>Broadforked the bed</v>
      </c>
      <c r="AT6" t="str">
        <v>A5</v>
      </c>
      <c r="AV6" s="26">
        <v>45741</v>
      </c>
      <c r="AW6" t="str">
        <v>Broadforked the bed</v>
      </c>
      <c r="AX6" t="str">
        <v>A5</v>
      </c>
      <c r="BA6" s="26" cm="1">
        <f t="array" ref="BA6:BA61">_xlfn._xlws.FILTER(OrganicTasks[Amend Date],ISTEXT(OrganicTasks[Amend]))</f>
        <v>45741</v>
      </c>
      <c r="BB6" t="str" cm="1">
        <f t="array" ref="BB6:BB61">_xlfn._xlws.FILTER(OrganicTasks[Amend],ISTEXT(OrganicTasks[Amend]))</f>
        <v>Lenz Compost: 5 Wheelbarrow per 50' of bed</v>
      </c>
      <c r="BC6" t="str" cm="1">
        <f t="array" ref="BC6:BC61">_xlfn._xlws.FILTER(OrganicTasks[Bed],ISTEXT(OrganicTasks[Amend]))</f>
        <v>A5</v>
      </c>
      <c r="BD6" cm="1">
        <f t="array" ref="BD6:BD61">_xlfn._xlws.FILTER(OrganicTasks['# Of Beds],ISTEXT(OrganicTasks[Amend]))</f>
        <v>0.25</v>
      </c>
    </row>
    <row r="7" spans="1:56">
      <c r="A7" t="s">
        <v>3103</v>
      </c>
      <c r="B7" t="s">
        <v>2645</v>
      </c>
      <c r="C7" t="s">
        <v>1429</v>
      </c>
      <c r="D7">
        <v>0.5</v>
      </c>
      <c r="I7" s="272"/>
      <c r="J7" s="272"/>
      <c r="K7" s="272"/>
      <c r="L7" s="272"/>
      <c r="N7" s="272"/>
      <c r="P7" s="272"/>
      <c r="R7" s="272"/>
      <c r="T7">
        <v>45741</v>
      </c>
      <c r="U7" t="str">
        <f t="shared" si="0"/>
        <v>Broadforked the bed</v>
      </c>
      <c r="V7" t="str">
        <v>A4</v>
      </c>
      <c r="X7">
        <v>45765</v>
      </c>
      <c r="Y7" t="str">
        <f t="shared" si="1"/>
        <v>Ran tilther in bed</v>
      </c>
      <c r="Z7" t="str">
        <v>F3</v>
      </c>
      <c r="AB7">
        <v>45741</v>
      </c>
      <c r="AC7" t="str">
        <f t="shared" si="2"/>
        <v>Covered with floating row cover</v>
      </c>
      <c r="AD7" t="str">
        <v>A4</v>
      </c>
      <c r="AF7">
        <v>45791</v>
      </c>
      <c r="AG7" t="str">
        <v>Astro bolted much faster than Esmee.</v>
      </c>
      <c r="AH7" t="str">
        <v>A5</v>
      </c>
      <c r="AJ7">
        <v>45828</v>
      </c>
      <c r="AK7" t="str">
        <v>Quite a few weeds, could have used compost</v>
      </c>
      <c r="AL7" t="str">
        <v>A2</v>
      </c>
      <c r="AR7">
        <v>45741</v>
      </c>
      <c r="AS7" t="str">
        <v>Broadforked the bed</v>
      </c>
      <c r="AT7" t="str">
        <v>A4</v>
      </c>
      <c r="AV7" s="26">
        <v>45741</v>
      </c>
      <c r="AW7" t="str">
        <v>Broadforked the bed</v>
      </c>
      <c r="AX7" t="str">
        <v>A4</v>
      </c>
      <c r="BA7" s="26">
        <v>45741</v>
      </c>
      <c r="BB7" t="str">
        <v>Lenz Compost: 5 Wheelbarrow per 50' of bed, Stutzman's 8-2-4: 3 Scoops per 50' of bed</v>
      </c>
      <c r="BC7" t="str">
        <v>A5</v>
      </c>
      <c r="BD7">
        <v>0.25</v>
      </c>
    </row>
    <row r="8" spans="1:56">
      <c r="A8" t="s">
        <v>2603</v>
      </c>
      <c r="B8" t="s">
        <v>2644</v>
      </c>
      <c r="C8" t="s">
        <v>1432</v>
      </c>
      <c r="D8">
        <v>1</v>
      </c>
      <c r="I8" s="272"/>
      <c r="J8" s="272"/>
      <c r="K8" s="272"/>
      <c r="L8" s="272"/>
      <c r="M8" t="s">
        <v>3216</v>
      </c>
      <c r="N8" s="272">
        <v>45716</v>
      </c>
      <c r="P8" s="272"/>
      <c r="R8" s="272"/>
      <c r="T8">
        <v>45752</v>
      </c>
      <c r="U8" t="str">
        <f t="shared" si="0"/>
        <v>Broadforked the bed</v>
      </c>
      <c r="V8" t="str">
        <v>A1</v>
      </c>
      <c r="X8">
        <v>45767</v>
      </c>
      <c r="Y8" t="str">
        <f t="shared" si="1"/>
        <v>Ran tilther in bed</v>
      </c>
      <c r="Z8" t="str">
        <v>A8</v>
      </c>
      <c r="AB8">
        <v>45741</v>
      </c>
      <c r="AC8" t="str">
        <f t="shared" si="2"/>
        <v>Covered with floating row cover</v>
      </c>
      <c r="AD8" t="str">
        <v>A5</v>
      </c>
      <c r="AF8">
        <v>45758</v>
      </c>
      <c r="AG8" t="str">
        <v>Installed row cover around to prevent rabbit damage</v>
      </c>
      <c r="AH8" t="str">
        <v>I1</v>
      </c>
      <c r="AJ8">
        <v>45778</v>
      </c>
      <c r="AK8" t="str">
        <v>Incredibly weedy beds. Lots of plaintain.</v>
      </c>
      <c r="AL8" t="str">
        <v>C5</v>
      </c>
      <c r="AR8">
        <v>45752</v>
      </c>
      <c r="AS8" t="str">
        <v>Broadforked the bed</v>
      </c>
      <c r="AT8" t="str">
        <v>A1</v>
      </c>
      <c r="AV8" s="26">
        <v>45741</v>
      </c>
      <c r="AW8" t="str">
        <v>Covered with floating row cover</v>
      </c>
      <c r="AX8" t="str">
        <v>A5</v>
      </c>
      <c r="BA8" s="26">
        <v>45741</v>
      </c>
      <c r="BB8" t="str">
        <v>Lenz Compost: 5 Wheelbarrow per 50' of bed</v>
      </c>
      <c r="BC8" t="str">
        <v>A4</v>
      </c>
      <c r="BD8">
        <v>0.25</v>
      </c>
    </row>
    <row r="9" spans="1:56">
      <c r="A9" t="s">
        <v>2300</v>
      </c>
      <c r="B9" t="s">
        <v>2621</v>
      </c>
      <c r="C9" t="s">
        <v>1428</v>
      </c>
      <c r="D9">
        <v>0.25</v>
      </c>
      <c r="E9" t="b">
        <v>1</v>
      </c>
      <c r="F9" t="b">
        <v>0</v>
      </c>
      <c r="G9" t="s">
        <v>3248</v>
      </c>
      <c r="H9" t="b">
        <v>1</v>
      </c>
      <c r="I9" s="272">
        <v>45741</v>
      </c>
      <c r="J9" s="272"/>
      <c r="K9" s="272">
        <v>45741</v>
      </c>
      <c r="L9" s="272">
        <v>45741</v>
      </c>
      <c r="M9" t="s">
        <v>3213</v>
      </c>
      <c r="N9" s="272">
        <v>45791</v>
      </c>
      <c r="P9" s="272"/>
      <c r="R9" s="272"/>
      <c r="T9">
        <v>45765</v>
      </c>
      <c r="U9" t="str">
        <f t="shared" si="0"/>
        <v>Broadforked the bed</v>
      </c>
      <c r="V9" t="str">
        <v>F3</v>
      </c>
      <c r="X9">
        <v>45769</v>
      </c>
      <c r="Y9" t="str">
        <f t="shared" si="1"/>
        <v>Ran tilther in bed</v>
      </c>
      <c r="Z9" t="str">
        <v>C4</v>
      </c>
      <c r="AB9">
        <v>45741</v>
      </c>
      <c r="AC9" t="str">
        <f t="shared" si="2"/>
        <v>Covered with floating row cover</v>
      </c>
      <c r="AD9" t="str">
        <v>A4</v>
      </c>
      <c r="AF9">
        <v>45807</v>
      </c>
      <c r="AG9" t="str">
        <v>This is the best looking crop of potatoes</v>
      </c>
      <c r="AH9" t="str">
        <v>F3</v>
      </c>
      <c r="AJ9">
        <v>45818</v>
      </c>
      <c r="AK9" t="str">
        <v>Bok Choy bolted</v>
      </c>
      <c r="AL9" t="str">
        <v>E3</v>
      </c>
      <c r="AR9">
        <v>45765</v>
      </c>
      <c r="AS9" t="str">
        <v>Broadforked the bed</v>
      </c>
      <c r="AT9" t="str">
        <v>F3</v>
      </c>
      <c r="AV9" s="26">
        <v>45741</v>
      </c>
      <c r="AW9" t="str">
        <v>Covered with floating row cover</v>
      </c>
      <c r="AX9" t="str">
        <v>A4</v>
      </c>
      <c r="BA9" s="26">
        <v>45749</v>
      </c>
      <c r="BB9" t="str">
        <v>Stutzman's 8-2-4: 3 Scoops per 50' of bed</v>
      </c>
      <c r="BC9" t="str">
        <v>I1</v>
      </c>
      <c r="BD9">
        <v>2</v>
      </c>
    </row>
    <row r="10" spans="1:56">
      <c r="A10" t="s">
        <v>1520</v>
      </c>
      <c r="B10" t="s">
        <v>2638</v>
      </c>
      <c r="C10" t="s">
        <v>1428</v>
      </c>
      <c r="D10">
        <v>0.25</v>
      </c>
      <c r="E10" t="b">
        <v>1</v>
      </c>
      <c r="G10" t="s">
        <v>3249</v>
      </c>
      <c r="H10" t="b">
        <v>1</v>
      </c>
      <c r="I10" s="272">
        <v>45741</v>
      </c>
      <c r="J10" s="272"/>
      <c r="K10" s="272">
        <v>45741</v>
      </c>
      <c r="L10" s="272">
        <v>45741</v>
      </c>
      <c r="N10" s="272"/>
      <c r="P10" s="272"/>
      <c r="R10" s="272"/>
      <c r="T10">
        <v>45767</v>
      </c>
      <c r="U10" t="str">
        <f t="shared" si="0"/>
        <v>Broadforked the bed</v>
      </c>
      <c r="V10" t="str">
        <v>A8</v>
      </c>
      <c r="X10">
        <v>45775</v>
      </c>
      <c r="Y10" t="str">
        <f t="shared" si="1"/>
        <v>Ran tilther in bed</v>
      </c>
      <c r="Z10" t="str">
        <v>B3</v>
      </c>
      <c r="AB10">
        <v>45741</v>
      </c>
      <c r="AC10" t="str">
        <f t="shared" si="2"/>
        <v>Covered with floating row cover</v>
      </c>
      <c r="AD10" t="str">
        <v>A5</v>
      </c>
      <c r="AF10">
        <v>45792</v>
      </c>
      <c r="AG10" t="str">
        <v>Crop withstood the nearby aphic infestation.</v>
      </c>
      <c r="AH10" t="str">
        <v>B2</v>
      </c>
      <c r="AR10">
        <v>45767</v>
      </c>
      <c r="AS10" t="str">
        <v>Broadforked the bed</v>
      </c>
      <c r="AT10" t="str">
        <v>A8</v>
      </c>
      <c r="AV10" s="26">
        <v>45749</v>
      </c>
      <c r="AW10" t="str">
        <v>Covered with floating row cover</v>
      </c>
      <c r="AX10" t="str">
        <v>I1</v>
      </c>
      <c r="BA10" s="26">
        <v>45752</v>
      </c>
      <c r="BB10" t="str">
        <v>Stutzman's 8-2-4: 3 Scoops per 50' of bed</v>
      </c>
      <c r="BC10" t="str">
        <v>A1</v>
      </c>
      <c r="BD10">
        <v>1</v>
      </c>
    </row>
    <row r="11" spans="1:56">
      <c r="A11" t="s">
        <v>2713</v>
      </c>
      <c r="B11" t="s">
        <v>2714</v>
      </c>
      <c r="C11" t="s">
        <v>1427</v>
      </c>
      <c r="D11">
        <v>0.25</v>
      </c>
      <c r="E11" t="b">
        <v>1</v>
      </c>
      <c r="G11" t="s">
        <v>3248</v>
      </c>
      <c r="H11" t="b">
        <v>1</v>
      </c>
      <c r="I11" s="272">
        <v>45741</v>
      </c>
      <c r="J11" s="272"/>
      <c r="K11" s="272">
        <v>45741</v>
      </c>
      <c r="L11" s="272">
        <v>45741</v>
      </c>
      <c r="N11" s="272"/>
      <c r="P11" s="272"/>
      <c r="R11" s="272"/>
      <c r="T11">
        <v>45769</v>
      </c>
      <c r="U11" t="str">
        <f t="shared" si="0"/>
        <v>Broadforked the bed</v>
      </c>
      <c r="V11" t="str">
        <v>C4</v>
      </c>
      <c r="X11">
        <v>45777</v>
      </c>
      <c r="Y11" t="str">
        <f t="shared" si="1"/>
        <v>Ran tilther in bed</v>
      </c>
      <c r="Z11" t="str">
        <v>D2</v>
      </c>
      <c r="AB11">
        <v>45749</v>
      </c>
      <c r="AC11" t="str">
        <f t="shared" si="2"/>
        <v>Covered with floating row cover</v>
      </c>
      <c r="AD11" t="str">
        <v>I1</v>
      </c>
      <c r="AF11">
        <v>45792</v>
      </c>
      <c r="AG11" t="str">
        <v>Strong aphic infestation. Crop is a a near loss</v>
      </c>
      <c r="AH11" t="str">
        <v>B2</v>
      </c>
      <c r="AR11">
        <v>45769</v>
      </c>
      <c r="AS11" t="str">
        <v>Broadforked the bed</v>
      </c>
      <c r="AT11" t="str">
        <v>C4</v>
      </c>
      <c r="AV11" s="26">
        <v>45752</v>
      </c>
      <c r="AW11" t="str">
        <v>Broadforked the bed</v>
      </c>
      <c r="AX11" t="str">
        <v>A1</v>
      </c>
      <c r="BA11" s="26">
        <v>45754</v>
      </c>
      <c r="BB11" t="str">
        <v>Stutzman's 8-2-4: 3 Scoops per 50' of bed</v>
      </c>
      <c r="BC11" t="str">
        <v>X2</v>
      </c>
      <c r="BD11">
        <v>0.5</v>
      </c>
    </row>
    <row r="12" spans="1:56">
      <c r="A12" t="s">
        <v>1726</v>
      </c>
      <c r="B12" t="s">
        <v>2666</v>
      </c>
      <c r="C12" t="s">
        <v>1428</v>
      </c>
      <c r="D12">
        <v>0.25</v>
      </c>
      <c r="H12" t="b">
        <v>1</v>
      </c>
      <c r="I12" s="272"/>
      <c r="J12" s="272"/>
      <c r="K12" s="272"/>
      <c r="L12" s="272">
        <v>45741</v>
      </c>
      <c r="N12" s="272"/>
      <c r="P12" s="272"/>
      <c r="R12" s="272"/>
      <c r="T12">
        <v>45770</v>
      </c>
      <c r="U12" t="str">
        <f t="shared" si="0"/>
        <v>Broadforked the bed</v>
      </c>
      <c r="V12" t="str">
        <v>A3</v>
      </c>
      <c r="X12">
        <v>45777</v>
      </c>
      <c r="Y12" t="str">
        <f t="shared" si="1"/>
        <v>Ran tilther in bed</v>
      </c>
      <c r="Z12" t="str">
        <v>B6</v>
      </c>
      <c r="AB12">
        <v>45754</v>
      </c>
      <c r="AC12" t="str">
        <f t="shared" si="2"/>
        <v>Covered with floating row cover</v>
      </c>
      <c r="AD12" t="str">
        <v>X2</v>
      </c>
      <c r="AF12">
        <v>45815</v>
      </c>
      <c r="AG12" t="str">
        <v>Great crop. Have continued to perform well.</v>
      </c>
      <c r="AH12" t="str">
        <v>A2</v>
      </c>
      <c r="AR12">
        <v>45770</v>
      </c>
      <c r="AS12" t="str">
        <v>Broadforked the bed</v>
      </c>
      <c r="AT12" t="str">
        <v>A3</v>
      </c>
      <c r="AV12" s="26">
        <v>45752</v>
      </c>
      <c r="AW12" t="str">
        <v>Ran tilther in bed</v>
      </c>
      <c r="AX12" t="str">
        <v>A1</v>
      </c>
      <c r="BA12" s="26">
        <v>45754</v>
      </c>
      <c r="BB12" t="str">
        <v>Stutzman's 8-2-4: 3 Scoops per 50' of bed</v>
      </c>
      <c r="BC12" t="str">
        <v>X2</v>
      </c>
      <c r="BD12">
        <v>0.5</v>
      </c>
    </row>
    <row r="13" spans="1:56">
      <c r="A13" t="s">
        <v>3189</v>
      </c>
      <c r="B13" t="s">
        <v>2717</v>
      </c>
      <c r="C13" t="s">
        <v>1427</v>
      </c>
      <c r="D13">
        <v>0.25</v>
      </c>
      <c r="H13" t="b">
        <v>1</v>
      </c>
      <c r="I13" s="272"/>
      <c r="J13" s="272"/>
      <c r="K13" s="272"/>
      <c r="L13" s="272">
        <v>45741</v>
      </c>
      <c r="N13" s="272"/>
      <c r="P13" s="272"/>
      <c r="R13" s="272"/>
      <c r="T13">
        <v>45775</v>
      </c>
      <c r="U13" t="str">
        <f t="shared" si="0"/>
        <v>Broadforked the bed</v>
      </c>
      <c r="V13" t="str">
        <v>B3</v>
      </c>
      <c r="X13">
        <v>45777</v>
      </c>
      <c r="Y13" t="str">
        <f t="shared" si="1"/>
        <v>Ran tilther in bed</v>
      </c>
      <c r="Z13" t="str">
        <v>B6</v>
      </c>
      <c r="AB13">
        <v>45754</v>
      </c>
      <c r="AC13" t="str">
        <f t="shared" si="2"/>
        <v>Covered with floating row cover</v>
      </c>
      <c r="AD13" t="str">
        <v>X2</v>
      </c>
      <c r="AF13">
        <v>45795</v>
      </c>
      <c r="AG13" t="str">
        <v>Our most successful crop. Didn't root deeply</v>
      </c>
      <c r="AH13" t="str">
        <v>A3</v>
      </c>
      <c r="AR13">
        <v>45775</v>
      </c>
      <c r="AS13" t="str">
        <v>Broadforked the bed</v>
      </c>
      <c r="AT13" t="str">
        <v>B3</v>
      </c>
      <c r="AV13" s="26">
        <v>45754</v>
      </c>
      <c r="AW13" t="str">
        <v>Ran tilther in bed</v>
      </c>
      <c r="AX13" t="str">
        <v>X2</v>
      </c>
      <c r="BA13" s="26">
        <v>45765</v>
      </c>
      <c r="BB13" t="str">
        <v>Stutzman's 8-2-4: 3 Scoops per 50' of bed</v>
      </c>
      <c r="BC13" t="str">
        <v>F3</v>
      </c>
      <c r="BD13">
        <v>2</v>
      </c>
    </row>
    <row r="14" spans="1:56">
      <c r="A14" t="s">
        <v>2751</v>
      </c>
      <c r="B14" t="s">
        <v>2680</v>
      </c>
      <c r="C14" t="s">
        <v>1428</v>
      </c>
      <c r="D14">
        <v>0.25</v>
      </c>
      <c r="H14" t="b">
        <v>1</v>
      </c>
      <c r="I14" s="272"/>
      <c r="J14" s="272"/>
      <c r="K14" s="272"/>
      <c r="L14" s="272">
        <v>45741</v>
      </c>
      <c r="N14" s="272"/>
      <c r="P14" s="272"/>
      <c r="R14" s="272"/>
      <c r="T14">
        <v>45775</v>
      </c>
      <c r="U14" t="str">
        <f t="shared" si="0"/>
        <v>Broadforked the bed</v>
      </c>
      <c r="V14" t="str">
        <v>A6</v>
      </c>
      <c r="X14">
        <v>45778</v>
      </c>
      <c r="Y14" t="str">
        <f t="shared" si="1"/>
        <v>Ran tilther in bed</v>
      </c>
      <c r="Z14" t="str">
        <v>D1</v>
      </c>
      <c r="AB14">
        <v>45775</v>
      </c>
      <c r="AC14" t="str">
        <f t="shared" si="2"/>
        <v>Covered with floating row cover</v>
      </c>
      <c r="AD14" t="str">
        <v>A6</v>
      </c>
      <c r="AF14">
        <v>45791</v>
      </c>
      <c r="AG14" t="str">
        <v xml:space="preserve">Incredibly poor growth. About 30% missing. </v>
      </c>
      <c r="AH14" t="str">
        <v>C5</v>
      </c>
      <c r="AR14">
        <v>45775</v>
      </c>
      <c r="AS14" t="str">
        <v>Broadforked the bed</v>
      </c>
      <c r="AT14" t="str">
        <v>A6</v>
      </c>
      <c r="AV14" s="26">
        <v>45754</v>
      </c>
      <c r="AW14" t="str">
        <v>Covered with floating row cover</v>
      </c>
      <c r="AX14" t="str">
        <v>X2</v>
      </c>
      <c r="BA14" s="26">
        <v>45767</v>
      </c>
      <c r="BB14" t="str">
        <v>Stutzman's 8-2-4: 3 Scoops per 50' of bed</v>
      </c>
      <c r="BC14" t="str">
        <v>A8</v>
      </c>
      <c r="BD14">
        <v>1</v>
      </c>
    </row>
    <row r="15" spans="1:56">
      <c r="A15" t="s">
        <v>2609</v>
      </c>
      <c r="B15" t="s">
        <v>2658</v>
      </c>
      <c r="C15" t="s">
        <v>1489</v>
      </c>
      <c r="D15">
        <v>2</v>
      </c>
      <c r="G15" t="s">
        <v>3250</v>
      </c>
      <c r="H15" t="b">
        <v>1</v>
      </c>
      <c r="I15" s="272"/>
      <c r="J15" s="272"/>
      <c r="K15" s="272">
        <v>45749</v>
      </c>
      <c r="L15" s="272">
        <v>45749</v>
      </c>
      <c r="M15" t="s">
        <v>3239</v>
      </c>
      <c r="N15" s="272">
        <v>45758</v>
      </c>
      <c r="O15" t="s">
        <v>3240</v>
      </c>
      <c r="P15" s="272">
        <v>45830</v>
      </c>
      <c r="R15" s="272"/>
      <c r="T15">
        <v>45777</v>
      </c>
      <c r="U15" t="str">
        <f t="shared" si="0"/>
        <v>Broadforked the bed</v>
      </c>
      <c r="V15" t="str">
        <v>B6</v>
      </c>
      <c r="X15">
        <v>45781</v>
      </c>
      <c r="Y15" t="str">
        <f t="shared" si="1"/>
        <v>Ran tilther in bed</v>
      </c>
      <c r="Z15" t="str">
        <v>H8</v>
      </c>
      <c r="AB15">
        <v>45777</v>
      </c>
      <c r="AC15" t="str">
        <f t="shared" si="2"/>
        <v>Covered with floating row cover</v>
      </c>
      <c r="AD15" t="str">
        <v>B6</v>
      </c>
      <c r="AF15">
        <v>45809</v>
      </c>
      <c r="AG15" t="str">
        <v>Plants do not seem to like the lower bed</v>
      </c>
      <c r="AH15" t="str">
        <v>B3</v>
      </c>
      <c r="AR15">
        <v>45777</v>
      </c>
      <c r="AS15" t="str">
        <v>Broadforked the bed</v>
      </c>
      <c r="AT15" t="str">
        <v>B6</v>
      </c>
      <c r="AV15" s="26">
        <v>45758</v>
      </c>
      <c r="AW15" t="str">
        <v>Installed row cover around to prevent rabbit damage</v>
      </c>
      <c r="AX15" t="str">
        <v>I1</v>
      </c>
      <c r="BA15" s="26">
        <v>45769</v>
      </c>
      <c r="BB15" t="str">
        <v>Stutzman's 8-2-4: 3 Scoops per 50' of bed</v>
      </c>
      <c r="BC15" t="str">
        <v>C4</v>
      </c>
      <c r="BD15">
        <v>1</v>
      </c>
    </row>
    <row r="16" spans="1:56">
      <c r="A16" t="s">
        <v>1714</v>
      </c>
      <c r="B16" t="s">
        <v>2632</v>
      </c>
      <c r="C16" t="s">
        <v>1424</v>
      </c>
      <c r="D16">
        <v>1</v>
      </c>
      <c r="E16" t="b">
        <v>1</v>
      </c>
      <c r="F16" t="b">
        <v>1</v>
      </c>
      <c r="G16" t="s">
        <v>3250</v>
      </c>
      <c r="I16" s="272">
        <v>45752</v>
      </c>
      <c r="J16" s="272">
        <v>45752</v>
      </c>
      <c r="K16" s="272">
        <v>45752</v>
      </c>
      <c r="L16" s="272"/>
      <c r="N16" s="272"/>
      <c r="P16" s="272"/>
      <c r="R16" s="272"/>
      <c r="T16">
        <v>45777</v>
      </c>
      <c r="U16" t="str">
        <f t="shared" si="0"/>
        <v>Broadforked the bed</v>
      </c>
      <c r="V16" t="str">
        <v>B6</v>
      </c>
      <c r="X16">
        <v>45781</v>
      </c>
      <c r="Y16" t="str">
        <f t="shared" si="1"/>
        <v>Ran tilther in bed</v>
      </c>
      <c r="Z16" t="str">
        <v>D3</v>
      </c>
      <c r="AB16">
        <v>45777</v>
      </c>
      <c r="AC16" t="str">
        <f t="shared" si="2"/>
        <v>Covered with floating row cover</v>
      </c>
      <c r="AD16" t="str">
        <v>B6</v>
      </c>
      <c r="AF16">
        <v>45792</v>
      </c>
      <c r="AG16" t="str">
        <v>Somewhat weedy</v>
      </c>
      <c r="AH16" t="str">
        <v>D2</v>
      </c>
      <c r="AR16">
        <v>45777</v>
      </c>
      <c r="AS16" t="str">
        <v>Broadforked the bed</v>
      </c>
      <c r="AT16" t="str">
        <v>B6</v>
      </c>
      <c r="AV16" s="26">
        <v>45765</v>
      </c>
      <c r="AW16" t="str">
        <v>Broadforked the bed</v>
      </c>
      <c r="AX16" t="str">
        <v>F3</v>
      </c>
      <c r="BA16" s="26">
        <v>45770</v>
      </c>
      <c r="BB16" t="str">
        <v>Lenz Compost: 5 Wheelbarrow per 50' of bed</v>
      </c>
      <c r="BC16" t="str">
        <v>A3</v>
      </c>
      <c r="BD16">
        <v>1</v>
      </c>
    </row>
    <row r="17" spans="1:56">
      <c r="A17" t="s">
        <v>2614</v>
      </c>
      <c r="B17" t="s">
        <v>3104</v>
      </c>
      <c r="C17" t="s">
        <v>1515</v>
      </c>
      <c r="D17">
        <v>1</v>
      </c>
      <c r="I17" s="272"/>
      <c r="J17" s="272"/>
      <c r="K17" s="272"/>
      <c r="L17" s="272"/>
      <c r="N17" s="272"/>
      <c r="P17" s="272"/>
      <c r="R17" s="272"/>
      <c r="T17">
        <v>45782</v>
      </c>
      <c r="U17" t="str">
        <f t="shared" si="0"/>
        <v>Broadforked the bed</v>
      </c>
      <c r="V17" t="str">
        <v>F2</v>
      </c>
      <c r="X17">
        <v>45782</v>
      </c>
      <c r="Y17" t="str">
        <f t="shared" si="1"/>
        <v>Ran tilther in bed</v>
      </c>
      <c r="Z17" t="str">
        <v>F2</v>
      </c>
      <c r="AB17">
        <v>45778</v>
      </c>
      <c r="AC17" t="str">
        <f t="shared" si="2"/>
        <v>Covered with floating row cover</v>
      </c>
      <c r="AD17" t="str">
        <v>D1</v>
      </c>
      <c r="AF17">
        <v>45826</v>
      </c>
      <c r="AG17" t="str">
        <v>Failed crop. Only about 10% of the upper bed sized. Rest never sized and were outgrown by weeds. Explore cover crop to imporve soil.</v>
      </c>
      <c r="AH17" t="str">
        <v>B6</v>
      </c>
      <c r="AR17">
        <v>45782</v>
      </c>
      <c r="AS17" t="str">
        <v>Broadforked the bed</v>
      </c>
      <c r="AT17" t="str">
        <v>F2</v>
      </c>
      <c r="AV17" s="26">
        <v>45765</v>
      </c>
      <c r="AW17" t="str">
        <v>Ran tilther in bed</v>
      </c>
      <c r="AX17" t="str">
        <v>F3</v>
      </c>
      <c r="BA17" s="26">
        <v>45775</v>
      </c>
      <c r="BB17" t="str">
        <v>Lenz Compost: 5 Wheelbarrow per 50' of bed</v>
      </c>
      <c r="BC17" t="str">
        <v>A6</v>
      </c>
      <c r="BD17">
        <v>1</v>
      </c>
    </row>
    <row r="18" spans="1:56">
      <c r="A18" t="s">
        <v>2300</v>
      </c>
      <c r="B18" t="s">
        <v>3110</v>
      </c>
      <c r="C18" t="s">
        <v>1514</v>
      </c>
      <c r="D18">
        <v>0.5</v>
      </c>
      <c r="G18" t="s">
        <v>3250</v>
      </c>
      <c r="H18" t="b">
        <v>1</v>
      </c>
      <c r="I18" s="272"/>
      <c r="J18" s="272"/>
      <c r="K18" s="272">
        <v>45754</v>
      </c>
      <c r="L18" s="272">
        <v>45754</v>
      </c>
      <c r="N18" s="272"/>
      <c r="P18" s="272"/>
      <c r="R18" s="272"/>
      <c r="T18">
        <v>45785</v>
      </c>
      <c r="U18" t="str">
        <f t="shared" si="0"/>
        <v>Broadforked the bed</v>
      </c>
      <c r="V18" t="str">
        <v>F5</v>
      </c>
      <c r="X18">
        <v>45784</v>
      </c>
      <c r="Y18" t="str">
        <f t="shared" si="1"/>
        <v>Ran tilther in bed</v>
      </c>
      <c r="Z18" t="str">
        <v>E3</v>
      </c>
      <c r="AB18">
        <v>45781</v>
      </c>
      <c r="AC18" t="str">
        <f t="shared" si="2"/>
        <v>Covered with floating row cover</v>
      </c>
      <c r="AD18" t="str">
        <v>H8</v>
      </c>
      <c r="AF18">
        <v>45826</v>
      </c>
      <c r="AG18" t="str">
        <v>Failed crop. Only about 20% of the upper bed sized. Rest never sized and were outgrown by weeds. Explore cover crop to imporve soil.</v>
      </c>
      <c r="AH18" t="str">
        <v>B6</v>
      </c>
      <c r="AR18">
        <v>45785</v>
      </c>
      <c r="AS18" t="str">
        <v>Broadforked the bed</v>
      </c>
      <c r="AT18" t="str">
        <v>F5</v>
      </c>
      <c r="AV18" s="26">
        <v>45767</v>
      </c>
      <c r="AW18" t="str">
        <v>Broadforked the bed</v>
      </c>
      <c r="AX18" t="str">
        <v>A8</v>
      </c>
      <c r="BA18" s="26">
        <v>45777</v>
      </c>
      <c r="BB18" t="str">
        <v>Stutzman's 8-2-4: 3 Scoops per 50' of bed</v>
      </c>
      <c r="BC18" t="str">
        <v>D2</v>
      </c>
      <c r="BD18">
        <v>0.5</v>
      </c>
    </row>
    <row r="19" spans="1:56">
      <c r="A19" t="s">
        <v>3106</v>
      </c>
      <c r="B19" t="s">
        <v>3107</v>
      </c>
      <c r="C19" t="s">
        <v>1514</v>
      </c>
      <c r="D19">
        <v>0.5</v>
      </c>
      <c r="F19" t="b">
        <v>1</v>
      </c>
      <c r="G19" t="s">
        <v>3250</v>
      </c>
      <c r="H19" t="b">
        <v>1</v>
      </c>
      <c r="I19" s="272"/>
      <c r="J19" s="272">
        <v>45754</v>
      </c>
      <c r="K19" s="272">
        <v>45754</v>
      </c>
      <c r="L19" s="272">
        <v>45754</v>
      </c>
      <c r="N19" s="272"/>
      <c r="P19" s="272"/>
      <c r="R19" s="272"/>
      <c r="T19">
        <v>45787</v>
      </c>
      <c r="U19" t="str">
        <f t="shared" si="0"/>
        <v>Broadforked the bed</v>
      </c>
      <c r="V19" t="str">
        <v>E2</v>
      </c>
      <c r="X19">
        <v>45785</v>
      </c>
      <c r="Y19" t="str">
        <f t="shared" si="1"/>
        <v>Ran tilther in bed</v>
      </c>
      <c r="Z19" t="str">
        <v>F5</v>
      </c>
      <c r="AB19">
        <v>45782</v>
      </c>
      <c r="AC19" t="str">
        <f t="shared" si="2"/>
        <v>Covered with floating row cover</v>
      </c>
      <c r="AD19" t="str">
        <v>E7</v>
      </c>
      <c r="AF19">
        <v>45782</v>
      </c>
      <c r="AG19" t="str">
        <v>Bed was really tight. Gave some light tillage with the tilther.</v>
      </c>
      <c r="AH19" t="str">
        <v>F2</v>
      </c>
      <c r="AR19">
        <v>45787</v>
      </c>
      <c r="AS19" t="str">
        <v>Broadforked the bed</v>
      </c>
      <c r="AT19" t="str">
        <v>E2</v>
      </c>
      <c r="AV19" s="26">
        <v>45767</v>
      </c>
      <c r="AW19" t="str">
        <v>Ran tilther in bed</v>
      </c>
      <c r="AX19" t="str">
        <v>A8</v>
      </c>
      <c r="BA19" s="26">
        <v>45777</v>
      </c>
      <c r="BB19" t="str">
        <v>Stutzman's 8-2-4: 3 Scoops per 50' of bed</v>
      </c>
      <c r="BC19" t="str">
        <v>B6</v>
      </c>
      <c r="BD19">
        <v>0.5</v>
      </c>
    </row>
    <row r="20" spans="1:56">
      <c r="A20" t="s">
        <v>1761</v>
      </c>
      <c r="B20" t="s">
        <v>2663</v>
      </c>
      <c r="C20" t="s">
        <v>1467</v>
      </c>
      <c r="D20">
        <v>2</v>
      </c>
      <c r="E20" t="b">
        <v>1</v>
      </c>
      <c r="F20" t="b">
        <v>1</v>
      </c>
      <c r="G20" t="s">
        <v>3250</v>
      </c>
      <c r="I20" s="272">
        <v>45765</v>
      </c>
      <c r="J20" s="272">
        <v>45765</v>
      </c>
      <c r="K20" s="272">
        <v>45765</v>
      </c>
      <c r="L20" s="272"/>
      <c r="M20" t="s">
        <v>3218</v>
      </c>
      <c r="N20" s="272">
        <v>45807</v>
      </c>
      <c r="O20" t="s">
        <v>3219</v>
      </c>
      <c r="P20" s="272">
        <v>45826</v>
      </c>
      <c r="R20" s="272"/>
      <c r="T20">
        <v>45787</v>
      </c>
      <c r="U20" t="str">
        <f t="shared" si="0"/>
        <v>Broadforked the bed</v>
      </c>
      <c r="V20" t="str">
        <v>E1</v>
      </c>
      <c r="X20">
        <v>45787</v>
      </c>
      <c r="Y20" t="str">
        <f t="shared" si="1"/>
        <v>Ran tilther in bed</v>
      </c>
      <c r="Z20" t="str">
        <v>E2</v>
      </c>
      <c r="AC20" t="str">
        <f t="shared" si="2"/>
        <v/>
      </c>
      <c r="AF20">
        <v>45813</v>
      </c>
      <c r="AG20" t="str">
        <v>Komatsuna Bolted</v>
      </c>
      <c r="AH20" t="str">
        <v>E3</v>
      </c>
      <c r="AR20">
        <v>45787</v>
      </c>
      <c r="AS20" t="str">
        <v>Broadforked the bed</v>
      </c>
      <c r="AT20" t="str">
        <v>E1</v>
      </c>
      <c r="AV20" s="26">
        <v>45769</v>
      </c>
      <c r="AW20" t="str">
        <v>Broadforked the bed</v>
      </c>
      <c r="AX20" t="str">
        <v>C4</v>
      </c>
      <c r="BA20" s="26">
        <v>45777</v>
      </c>
      <c r="BB20" t="str">
        <v>Stutzman's 8-2-4: 3 Scoops per 50' of bed</v>
      </c>
      <c r="BC20" t="str">
        <v>B6</v>
      </c>
      <c r="BD20">
        <v>0.5</v>
      </c>
    </row>
    <row r="21" spans="1:56">
      <c r="A21" t="s">
        <v>2747</v>
      </c>
      <c r="B21" t="s">
        <v>2639</v>
      </c>
      <c r="C21" t="s">
        <v>1427</v>
      </c>
      <c r="D21">
        <v>0.25</v>
      </c>
      <c r="I21" s="272"/>
      <c r="J21" s="272"/>
      <c r="K21" s="272"/>
      <c r="L21" s="272"/>
      <c r="N21" s="272"/>
      <c r="P21" s="272"/>
      <c r="R21" s="272"/>
      <c r="T21">
        <v>45789</v>
      </c>
      <c r="U21" t="str">
        <f t="shared" si="0"/>
        <v>Broadforked the bed</v>
      </c>
      <c r="V21" t="str">
        <v>G4</v>
      </c>
      <c r="X21">
        <v>45787</v>
      </c>
      <c r="Y21" t="str">
        <f t="shared" si="1"/>
        <v>Ran tilther in bed</v>
      </c>
      <c r="Z21" t="str">
        <v>E1</v>
      </c>
      <c r="AC21" t="str">
        <f t="shared" si="2"/>
        <v/>
      </c>
      <c r="AF21">
        <v>45809</v>
      </c>
      <c r="AG21" t="str">
        <v>Applied landscape fabric to kill weeds before planting</v>
      </c>
      <c r="AH21" t="str">
        <v>I3</v>
      </c>
      <c r="AR21">
        <v>45789</v>
      </c>
      <c r="AS21" t="str">
        <v>Broadforked the bed</v>
      </c>
      <c r="AT21" t="str">
        <v>G4</v>
      </c>
      <c r="AV21" s="26">
        <v>45769</v>
      </c>
      <c r="AW21" t="str">
        <v>Ran tilther in bed</v>
      </c>
      <c r="AX21" t="str">
        <v>C4</v>
      </c>
      <c r="BA21" s="26">
        <v>45778</v>
      </c>
      <c r="BB21" t="str">
        <v>Stutzman's 8-2-4: 3 Scoops per 50' of bed</v>
      </c>
      <c r="BC21" t="str">
        <v>D1</v>
      </c>
      <c r="BD21">
        <v>1</v>
      </c>
    </row>
    <row r="22" spans="1:56">
      <c r="A22" t="s">
        <v>2747</v>
      </c>
      <c r="B22" t="s">
        <v>2715</v>
      </c>
      <c r="C22" t="s">
        <v>1433</v>
      </c>
      <c r="D22">
        <v>0.25</v>
      </c>
      <c r="I22" s="272"/>
      <c r="J22" s="272"/>
      <c r="K22" s="272"/>
      <c r="L22" s="272"/>
      <c r="N22" s="272"/>
      <c r="P22" s="272"/>
      <c r="R22" s="272"/>
      <c r="T22">
        <v>45795</v>
      </c>
      <c r="U22" t="str">
        <f t="shared" si="0"/>
        <v>Broadforked the bed</v>
      </c>
      <c r="V22" t="str">
        <v>G5</v>
      </c>
      <c r="X22">
        <v>45789</v>
      </c>
      <c r="Y22" t="str">
        <f t="shared" si="1"/>
        <v>Ran tilther in bed</v>
      </c>
      <c r="Z22" t="str">
        <v>G4</v>
      </c>
      <c r="AC22" t="str">
        <f t="shared" si="2"/>
        <v/>
      </c>
      <c r="AR22">
        <v>45795</v>
      </c>
      <c r="AS22" t="str">
        <v>Broadforked the bed</v>
      </c>
      <c r="AT22" t="str">
        <v>G5</v>
      </c>
      <c r="AV22" s="26">
        <v>45770</v>
      </c>
      <c r="AW22" t="str">
        <v>Broadforked the bed</v>
      </c>
      <c r="AX22" t="str">
        <v>A3</v>
      </c>
      <c r="BA22" s="26">
        <v>45781</v>
      </c>
      <c r="BB22" t="str">
        <v>Stutzman's 8-2-4: 3 Scoops per 50' of bed</v>
      </c>
      <c r="BC22" t="str">
        <v>H8</v>
      </c>
      <c r="BD22">
        <v>1</v>
      </c>
    </row>
    <row r="23" spans="1:56">
      <c r="A23" t="s">
        <v>2747</v>
      </c>
      <c r="B23" t="s">
        <v>2734</v>
      </c>
      <c r="C23" t="s">
        <v>1433</v>
      </c>
      <c r="D23">
        <v>0.25</v>
      </c>
      <c r="I23" s="272"/>
      <c r="J23" s="272"/>
      <c r="K23" s="272"/>
      <c r="L23" s="272"/>
      <c r="M23" t="s">
        <v>3221</v>
      </c>
      <c r="N23" s="272">
        <v>45792</v>
      </c>
      <c r="P23" s="272"/>
      <c r="R23" s="272"/>
      <c r="T23">
        <v>45796</v>
      </c>
      <c r="U23" t="str">
        <f t="shared" si="0"/>
        <v>Broadforked the bed</v>
      </c>
      <c r="V23" t="str">
        <v>G8</v>
      </c>
      <c r="X23">
        <v>45795</v>
      </c>
      <c r="Y23" t="str">
        <f t="shared" si="1"/>
        <v>Ran tilther in bed</v>
      </c>
      <c r="Z23" t="str">
        <v>B2</v>
      </c>
      <c r="AC23" t="str">
        <f t="shared" si="2"/>
        <v/>
      </c>
      <c r="AR23">
        <v>45796</v>
      </c>
      <c r="AS23" t="str">
        <v>Broadforked the bed</v>
      </c>
      <c r="AT23" t="str">
        <v>G8</v>
      </c>
      <c r="AV23" s="26">
        <v>45775</v>
      </c>
      <c r="AW23" t="str">
        <v>Broadforked the bed</v>
      </c>
      <c r="AX23" t="str">
        <v>B3</v>
      </c>
      <c r="BA23" s="26">
        <v>45781</v>
      </c>
      <c r="BB23" t="str">
        <v>Stutzman's 8-2-4: 3 Scoops per 50' of bed</v>
      </c>
      <c r="BC23" t="str">
        <v>D3</v>
      </c>
      <c r="BD23">
        <v>1</v>
      </c>
    </row>
    <row r="24" spans="1:56">
      <c r="A24" t="s">
        <v>2748</v>
      </c>
      <c r="B24" t="s">
        <v>2643</v>
      </c>
      <c r="C24" t="s">
        <v>1427</v>
      </c>
      <c r="D24">
        <v>0.25</v>
      </c>
      <c r="I24" s="272"/>
      <c r="J24" s="272"/>
      <c r="K24" s="272"/>
      <c r="L24" s="272"/>
      <c r="N24" s="272"/>
      <c r="P24" s="272"/>
      <c r="R24" s="272"/>
      <c r="T24">
        <v>45813</v>
      </c>
      <c r="U24" t="str">
        <f t="shared" si="0"/>
        <v>Broadforked the bed</v>
      </c>
      <c r="V24" t="str">
        <v>G6</v>
      </c>
      <c r="X24">
        <v>45795</v>
      </c>
      <c r="Y24" t="str">
        <f t="shared" si="1"/>
        <v>Ran tilther in bed</v>
      </c>
      <c r="Z24" t="str">
        <v>B2</v>
      </c>
      <c r="AC24" t="str">
        <f t="shared" si="2"/>
        <v/>
      </c>
      <c r="AR24">
        <v>45813</v>
      </c>
      <c r="AS24" t="str">
        <v>Broadforked the bed</v>
      </c>
      <c r="AT24" t="str">
        <v>G6</v>
      </c>
      <c r="AV24" s="26">
        <v>45775</v>
      </c>
      <c r="AW24" t="str">
        <v>Broadforked the bed</v>
      </c>
      <c r="AX24" t="str">
        <v>A6</v>
      </c>
      <c r="BA24" s="26">
        <v>45782</v>
      </c>
      <c r="BB24" t="str">
        <v>Stutzman's 8-2-4: 3 Scoops per 50' of bed</v>
      </c>
      <c r="BC24" t="str">
        <v>E7</v>
      </c>
      <c r="BD24">
        <v>0.4</v>
      </c>
    </row>
    <row r="25" spans="1:56">
      <c r="A25" t="s">
        <v>2748</v>
      </c>
      <c r="B25" t="s">
        <v>2716</v>
      </c>
      <c r="C25" t="s">
        <v>1433</v>
      </c>
      <c r="D25">
        <v>0.25</v>
      </c>
      <c r="I25" s="272"/>
      <c r="J25" s="272"/>
      <c r="K25" s="272"/>
      <c r="L25" s="272"/>
      <c r="M25" t="s">
        <v>3220</v>
      </c>
      <c r="N25" s="272">
        <v>45792</v>
      </c>
      <c r="P25" s="272"/>
      <c r="R25" s="272"/>
      <c r="U25" t="str">
        <f t="shared" si="0"/>
        <v/>
      </c>
      <c r="X25">
        <v>45795</v>
      </c>
      <c r="Y25" t="str">
        <f t="shared" si="1"/>
        <v>Ran tilther in bed</v>
      </c>
      <c r="Z25" t="str">
        <v>B2</v>
      </c>
      <c r="AC25" t="str">
        <f t="shared" si="2"/>
        <v/>
      </c>
      <c r="AR25">
        <v>0</v>
      </c>
      <c r="AS25" t="str">
        <v/>
      </c>
      <c r="AT25">
        <v>0</v>
      </c>
      <c r="AV25" s="26">
        <v>45775</v>
      </c>
      <c r="AW25" t="str">
        <v>Ran tilther in bed</v>
      </c>
      <c r="AX25" t="str">
        <v>B3</v>
      </c>
      <c r="BA25" s="26">
        <v>45784</v>
      </c>
      <c r="BB25" t="str">
        <v>Stutzman's 8-2-4: 3 Scoops per 50' of bed</v>
      </c>
      <c r="BC25" t="str">
        <v>E3</v>
      </c>
      <c r="BD25">
        <v>1.6</v>
      </c>
    </row>
    <row r="26" spans="1:56">
      <c r="A26" t="s">
        <v>2604</v>
      </c>
      <c r="B26" t="s">
        <v>2648</v>
      </c>
      <c r="C26" t="s">
        <v>1425</v>
      </c>
      <c r="D26">
        <v>1</v>
      </c>
      <c r="I26" s="272"/>
      <c r="J26" s="272"/>
      <c r="K26" s="272"/>
      <c r="L26" s="272"/>
      <c r="M26" t="s">
        <v>3222</v>
      </c>
      <c r="N26" s="272">
        <v>45815</v>
      </c>
      <c r="O26" t="s">
        <v>3223</v>
      </c>
      <c r="P26" s="272">
        <v>45828</v>
      </c>
      <c r="R26" s="272"/>
      <c r="U26" t="str">
        <f t="shared" si="0"/>
        <v/>
      </c>
      <c r="X26">
        <v>45795</v>
      </c>
      <c r="Y26" t="str">
        <f t="shared" si="1"/>
        <v>Ran tilther in bed</v>
      </c>
      <c r="Z26" t="str">
        <v>B2</v>
      </c>
      <c r="AC26" t="str">
        <f t="shared" si="2"/>
        <v/>
      </c>
      <c r="AR26">
        <v>0</v>
      </c>
      <c r="AS26" t="str">
        <v/>
      </c>
      <c r="AT26">
        <v>0</v>
      </c>
      <c r="AV26" s="26">
        <v>45775</v>
      </c>
      <c r="AW26" t="str">
        <v>Covered with floating row cover</v>
      </c>
      <c r="AX26" t="str">
        <v>A6</v>
      </c>
      <c r="BA26" s="26">
        <v>45785</v>
      </c>
      <c r="BB26" t="str">
        <v>Stutzman's 8-2-4: 3 Scoops per 50' of bed</v>
      </c>
      <c r="BC26" t="str">
        <v>F5</v>
      </c>
      <c r="BD26">
        <v>2</v>
      </c>
    </row>
    <row r="27" spans="1:56">
      <c r="A27" t="s">
        <v>2608</v>
      </c>
      <c r="B27" t="s">
        <v>2654</v>
      </c>
      <c r="C27" t="s">
        <v>1431</v>
      </c>
      <c r="D27">
        <v>1</v>
      </c>
      <c r="E27" t="b">
        <v>1</v>
      </c>
      <c r="F27" t="b">
        <v>1</v>
      </c>
      <c r="G27" t="s">
        <v>3250</v>
      </c>
      <c r="I27" s="272">
        <v>45767</v>
      </c>
      <c r="J27" s="272">
        <v>45767</v>
      </c>
      <c r="K27" s="272">
        <v>45767</v>
      </c>
      <c r="L27" s="272"/>
      <c r="N27" s="272"/>
      <c r="P27" s="272"/>
      <c r="R27" s="272"/>
      <c r="U27" t="str">
        <f t="shared" si="0"/>
        <v/>
      </c>
      <c r="X27">
        <v>45795</v>
      </c>
      <c r="Y27" t="str">
        <f t="shared" si="1"/>
        <v>Ran tilther in bed</v>
      </c>
      <c r="Z27" t="str">
        <v>G5</v>
      </c>
      <c r="AC27" t="str">
        <f t="shared" si="2"/>
        <v/>
      </c>
      <c r="AR27">
        <v>0</v>
      </c>
      <c r="AS27" t="str">
        <v/>
      </c>
      <c r="AT27">
        <v>0</v>
      </c>
      <c r="AV27" s="26">
        <v>45777</v>
      </c>
      <c r="AW27" t="str">
        <v>Broadforked the bed</v>
      </c>
      <c r="AX27" t="str">
        <v>B6</v>
      </c>
      <c r="BA27" s="26">
        <v>45787</v>
      </c>
      <c r="BB27" t="str">
        <v>Stutzman's 8-2-4: 3 Scoops per 50' of bed</v>
      </c>
      <c r="BC27" t="str">
        <v>E2</v>
      </c>
      <c r="BD27">
        <v>0.4</v>
      </c>
    </row>
    <row r="28" spans="1:56">
      <c r="A28" t="s">
        <v>1711</v>
      </c>
      <c r="B28" t="s">
        <v>2655</v>
      </c>
      <c r="C28" t="s">
        <v>1443</v>
      </c>
      <c r="D28">
        <v>1</v>
      </c>
      <c r="E28" t="b">
        <v>1</v>
      </c>
      <c r="F28" t="b">
        <v>1</v>
      </c>
      <c r="G28" t="s">
        <v>3250</v>
      </c>
      <c r="I28" s="272">
        <v>45769</v>
      </c>
      <c r="J28" s="272">
        <v>45769</v>
      </c>
      <c r="K28" s="272">
        <v>45769</v>
      </c>
      <c r="L28" s="272"/>
      <c r="N28" s="272"/>
      <c r="P28" s="272"/>
      <c r="R28" s="272"/>
      <c r="U28" t="str">
        <f t="shared" si="0"/>
        <v/>
      </c>
      <c r="X28">
        <v>45795</v>
      </c>
      <c r="Y28" t="str">
        <f t="shared" si="1"/>
        <v>Ran tilther in bed</v>
      </c>
      <c r="Z28" t="str">
        <v>C3</v>
      </c>
      <c r="AC28" t="str">
        <f t="shared" si="2"/>
        <v/>
      </c>
      <c r="AR28">
        <v>0</v>
      </c>
      <c r="AS28" t="str">
        <v/>
      </c>
      <c r="AT28">
        <v>0</v>
      </c>
      <c r="AV28" s="26">
        <v>45777</v>
      </c>
      <c r="AW28" t="str">
        <v>Ran tilther in bed</v>
      </c>
      <c r="AX28" t="str">
        <v>D2</v>
      </c>
      <c r="BA28" s="26">
        <v>45787</v>
      </c>
      <c r="BB28" t="str">
        <v>Stutzman's 8-2-4: 3 Scoops per 50' of bed</v>
      </c>
      <c r="BC28" t="str">
        <v>E1</v>
      </c>
      <c r="BD28">
        <v>0.4</v>
      </c>
    </row>
    <row r="29" spans="1:56">
      <c r="A29" t="s">
        <v>2601</v>
      </c>
      <c r="B29" t="s">
        <v>2637</v>
      </c>
      <c r="C29" t="s">
        <v>1426</v>
      </c>
      <c r="D29">
        <v>1</v>
      </c>
      <c r="E29" t="b">
        <v>1</v>
      </c>
      <c r="G29" t="s">
        <v>3248</v>
      </c>
      <c r="I29" s="272">
        <v>45770</v>
      </c>
      <c r="J29" s="272"/>
      <c r="K29" s="272">
        <v>45770</v>
      </c>
      <c r="L29" s="272"/>
      <c r="M29" t="s">
        <v>3224</v>
      </c>
      <c r="N29" s="272">
        <v>45795</v>
      </c>
      <c r="P29" s="272"/>
      <c r="R29" s="272"/>
      <c r="U29" t="str">
        <f t="shared" si="0"/>
        <v/>
      </c>
      <c r="X29">
        <v>45796</v>
      </c>
      <c r="Y29" t="str">
        <f t="shared" si="1"/>
        <v>Ran tilther in bed</v>
      </c>
      <c r="Z29" t="str">
        <v>G8</v>
      </c>
      <c r="AC29" t="str">
        <f t="shared" si="2"/>
        <v/>
      </c>
      <c r="AR29">
        <v>0</v>
      </c>
      <c r="AS29" t="str">
        <v/>
      </c>
      <c r="AT29">
        <v>0</v>
      </c>
      <c r="AV29" s="26">
        <v>45777</v>
      </c>
      <c r="AW29" t="str">
        <v>Ran tilther in bed</v>
      </c>
      <c r="AX29" t="str">
        <v>B6</v>
      </c>
      <c r="BA29" s="26">
        <v>45789</v>
      </c>
      <c r="BB29" t="str">
        <v>Stutzman's 8-2-4: 3 Scoops per 50' of bed</v>
      </c>
      <c r="BC29" t="str">
        <v>G4</v>
      </c>
      <c r="BD29">
        <v>1</v>
      </c>
    </row>
    <row r="30" spans="1:56">
      <c r="A30" t="s">
        <v>1760</v>
      </c>
      <c r="B30" t="s">
        <v>2664</v>
      </c>
      <c r="C30" t="s">
        <v>1444</v>
      </c>
      <c r="D30">
        <v>2</v>
      </c>
      <c r="I30" s="272"/>
      <c r="J30" s="272"/>
      <c r="K30" s="272"/>
      <c r="L30" s="272"/>
      <c r="M30" t="s">
        <v>3226</v>
      </c>
      <c r="N30" s="272">
        <v>45791</v>
      </c>
      <c r="O30" t="s">
        <v>3225</v>
      </c>
      <c r="P30" s="272">
        <v>45778</v>
      </c>
      <c r="R30" s="272"/>
      <c r="U30" t="str">
        <f t="shared" si="0"/>
        <v/>
      </c>
      <c r="X30">
        <v>45813</v>
      </c>
      <c r="Y30" t="str">
        <f t="shared" si="1"/>
        <v>Ran tilther in bed</v>
      </c>
      <c r="Z30" t="str">
        <v>G6</v>
      </c>
      <c r="AC30" t="str">
        <f t="shared" si="2"/>
        <v/>
      </c>
      <c r="AR30">
        <v>0</v>
      </c>
      <c r="AS30" t="str">
        <v/>
      </c>
      <c r="AT30">
        <v>0</v>
      </c>
      <c r="AV30" s="26">
        <v>45777</v>
      </c>
      <c r="AW30" t="str">
        <v>Covered with floating row cover</v>
      </c>
      <c r="AX30" t="str">
        <v>B6</v>
      </c>
      <c r="BA30" s="26">
        <v>45795</v>
      </c>
      <c r="BB30" t="str">
        <v>Stutzman's 8-2-4: 3 Scoops per 50' of bed</v>
      </c>
      <c r="BC30" t="str">
        <v>G5</v>
      </c>
      <c r="BD30">
        <v>1</v>
      </c>
    </row>
    <row r="31" spans="1:56">
      <c r="A31" t="s">
        <v>2228</v>
      </c>
      <c r="B31" t="s">
        <v>2646</v>
      </c>
      <c r="C31" t="s">
        <v>1434</v>
      </c>
      <c r="D31">
        <v>2</v>
      </c>
      <c r="E31" t="b">
        <v>1</v>
      </c>
      <c r="F31" t="b">
        <v>1</v>
      </c>
      <c r="I31" s="272">
        <v>45775</v>
      </c>
      <c r="J31" s="272">
        <v>45775</v>
      </c>
      <c r="K31" s="272"/>
      <c r="L31" s="272"/>
      <c r="M31" t="s">
        <v>3227</v>
      </c>
      <c r="N31" s="272">
        <v>45809</v>
      </c>
      <c r="P31" s="272"/>
      <c r="R31" s="272"/>
      <c r="U31" t="str">
        <f t="shared" si="0"/>
        <v/>
      </c>
      <c r="X31">
        <v>45813</v>
      </c>
      <c r="Y31" t="str">
        <f t="shared" si="1"/>
        <v>Ran tilther in bed</v>
      </c>
      <c r="Z31" t="str">
        <v>G1</v>
      </c>
      <c r="AC31" t="str">
        <f t="shared" si="2"/>
        <v/>
      </c>
      <c r="AR31">
        <v>0</v>
      </c>
      <c r="AS31" t="str">
        <v/>
      </c>
      <c r="AT31">
        <v>0</v>
      </c>
      <c r="AV31" s="26">
        <v>45778</v>
      </c>
      <c r="AW31" t="str">
        <v>Ran tilther in bed</v>
      </c>
      <c r="AX31" t="str">
        <v>D1</v>
      </c>
      <c r="BA31" s="26">
        <v>45795</v>
      </c>
      <c r="BB31" t="str">
        <v>Stutzman's 8-2-4: 3 Scoops per 50' of bed</v>
      </c>
      <c r="BC31" t="str">
        <v>C3</v>
      </c>
      <c r="BD31">
        <v>0.5</v>
      </c>
    </row>
    <row r="32" spans="1:56">
      <c r="A32" t="s">
        <v>2727</v>
      </c>
      <c r="B32" t="s">
        <v>2709</v>
      </c>
      <c r="C32" t="s">
        <v>1429</v>
      </c>
      <c r="D32">
        <v>1</v>
      </c>
      <c r="E32" t="b">
        <v>1</v>
      </c>
      <c r="G32" t="s">
        <v>3248</v>
      </c>
      <c r="H32" t="b">
        <v>1</v>
      </c>
      <c r="I32" s="272">
        <v>45775</v>
      </c>
      <c r="J32" s="272"/>
      <c r="K32" s="272">
        <v>45775</v>
      </c>
      <c r="L32" s="272">
        <v>45775</v>
      </c>
      <c r="N32" s="272"/>
      <c r="P32" s="272"/>
      <c r="R32" s="272"/>
      <c r="U32" t="str">
        <f t="shared" si="0"/>
        <v/>
      </c>
      <c r="X32">
        <v>45813</v>
      </c>
      <c r="Y32" t="str">
        <f t="shared" si="1"/>
        <v>Ran tilther in bed</v>
      </c>
      <c r="Z32" t="str">
        <v>G0</v>
      </c>
      <c r="AC32" t="str">
        <f t="shared" si="2"/>
        <v/>
      </c>
      <c r="AR32">
        <v>0</v>
      </c>
      <c r="AS32" t="str">
        <v/>
      </c>
      <c r="AT32">
        <v>0</v>
      </c>
      <c r="AV32" s="26">
        <v>45778</v>
      </c>
      <c r="AW32" t="str">
        <v>Covered with floating row cover</v>
      </c>
      <c r="AX32" t="str">
        <v>D1</v>
      </c>
      <c r="BA32" s="26">
        <v>45796</v>
      </c>
      <c r="BB32" t="str">
        <v>Stutzman's 8-2-4: 5 Scoops per 50' of bed</v>
      </c>
      <c r="BC32" t="str">
        <v>G8</v>
      </c>
      <c r="BD32">
        <v>1</v>
      </c>
    </row>
    <row r="33" spans="1:56">
      <c r="A33" t="s">
        <v>1714</v>
      </c>
      <c r="B33" t="s">
        <v>2633</v>
      </c>
      <c r="C33" t="s">
        <v>1449</v>
      </c>
      <c r="D33">
        <v>0.5</v>
      </c>
      <c r="F33" t="b">
        <v>1</v>
      </c>
      <c r="G33" t="s">
        <v>3250</v>
      </c>
      <c r="I33" s="272"/>
      <c r="J33" s="272">
        <v>45777</v>
      </c>
      <c r="K33" s="272">
        <v>45777</v>
      </c>
      <c r="L33" s="272"/>
      <c r="M33" t="s">
        <v>3228</v>
      </c>
      <c r="N33" s="272">
        <v>45792</v>
      </c>
      <c r="P33" s="272"/>
      <c r="R33" s="272"/>
      <c r="U33" t="str">
        <f t="shared" si="0"/>
        <v/>
      </c>
      <c r="X33">
        <v>45813</v>
      </c>
      <c r="Y33" t="str">
        <f t="shared" si="1"/>
        <v>Ran tilther in bed</v>
      </c>
      <c r="Z33" t="str">
        <v>I4</v>
      </c>
      <c r="AC33" t="str">
        <f t="shared" si="2"/>
        <v/>
      </c>
      <c r="AR33">
        <v>0</v>
      </c>
      <c r="AS33" t="str">
        <v/>
      </c>
      <c r="AT33">
        <v>0</v>
      </c>
      <c r="AV33" s="26">
        <v>45778</v>
      </c>
      <c r="AW33" t="str">
        <v>Incredibly weedy beds. Lots of plaintain.</v>
      </c>
      <c r="AX33" t="str">
        <v>C5</v>
      </c>
      <c r="BA33" s="26">
        <v>45800</v>
      </c>
      <c r="BB33" t="str">
        <v>Stutzman's 8-2-4: 5 Scoops per 50' of bed</v>
      </c>
      <c r="BC33" t="str">
        <v>F7</v>
      </c>
      <c r="BD33">
        <v>2</v>
      </c>
    </row>
    <row r="34" spans="1:56">
      <c r="A34" t="s">
        <v>1714</v>
      </c>
      <c r="B34" t="s">
        <v>2760</v>
      </c>
      <c r="C34" t="s">
        <v>1449</v>
      </c>
      <c r="D34">
        <v>0.5</v>
      </c>
      <c r="I34" s="272"/>
      <c r="J34" s="272"/>
      <c r="K34" s="272"/>
      <c r="L34" s="272"/>
      <c r="N34" s="272"/>
      <c r="P34" s="272"/>
      <c r="R34" s="272"/>
      <c r="U34" t="str">
        <f t="shared" si="0"/>
        <v/>
      </c>
      <c r="Y34" t="str">
        <f t="shared" si="1"/>
        <v/>
      </c>
      <c r="AC34" t="str">
        <f t="shared" si="2"/>
        <v/>
      </c>
      <c r="AR34">
        <v>0</v>
      </c>
      <c r="AS34" t="str">
        <v/>
      </c>
      <c r="AT34">
        <v>0</v>
      </c>
      <c r="AV34" s="26">
        <v>45781</v>
      </c>
      <c r="AW34" t="str">
        <v>Ran tilther in bed</v>
      </c>
      <c r="AX34" t="str">
        <v>H8</v>
      </c>
      <c r="BA34" s="26">
        <v>45803</v>
      </c>
      <c r="BB34" t="str">
        <v>Sup'r Green: 3 Scoops per 50' of bed</v>
      </c>
      <c r="BC34" t="str">
        <v>F0</v>
      </c>
      <c r="BD34">
        <v>1</v>
      </c>
    </row>
    <row r="35" spans="1:56">
      <c r="A35" t="s">
        <v>1726</v>
      </c>
      <c r="B35" t="s">
        <v>2755</v>
      </c>
      <c r="C35" t="s">
        <v>1437</v>
      </c>
      <c r="D35">
        <v>0.5</v>
      </c>
      <c r="E35" t="b">
        <v>1</v>
      </c>
      <c r="F35" t="b">
        <v>1</v>
      </c>
      <c r="G35" t="s">
        <v>3250</v>
      </c>
      <c r="H35" t="b">
        <v>1</v>
      </c>
      <c r="I35" s="272">
        <v>45777</v>
      </c>
      <c r="J35" s="272">
        <v>45777</v>
      </c>
      <c r="K35" s="272">
        <v>45777</v>
      </c>
      <c r="L35" s="272">
        <v>45777</v>
      </c>
      <c r="M35" t="s">
        <v>3229</v>
      </c>
      <c r="N35" s="272">
        <v>45826</v>
      </c>
      <c r="P35" s="272"/>
      <c r="R35" s="272"/>
      <c r="U35" t="str">
        <f t="shared" si="0"/>
        <v/>
      </c>
      <c r="Y35" t="str">
        <f t="shared" si="1"/>
        <v/>
      </c>
      <c r="AC35" t="str">
        <f t="shared" si="2"/>
        <v/>
      </c>
      <c r="AR35">
        <v>0</v>
      </c>
      <c r="AS35" t="str">
        <v/>
      </c>
      <c r="AT35">
        <v>0</v>
      </c>
      <c r="AV35" s="26">
        <v>45781</v>
      </c>
      <c r="AW35" t="str">
        <v>Ran tilther in bed</v>
      </c>
      <c r="AX35" t="str">
        <v>D3</v>
      </c>
      <c r="BA35" s="26">
        <v>45803</v>
      </c>
      <c r="BB35" t="str">
        <v>Sup'r Green: 3 Scoops per 50' of bed</v>
      </c>
      <c r="BC35" t="str">
        <v>F1</v>
      </c>
      <c r="BD35">
        <v>1</v>
      </c>
    </row>
    <row r="36" spans="1:56">
      <c r="A36" t="s">
        <v>2751</v>
      </c>
      <c r="B36" t="s">
        <v>2678</v>
      </c>
      <c r="C36" t="s">
        <v>1437</v>
      </c>
      <c r="D36">
        <v>0.5</v>
      </c>
      <c r="E36" t="b">
        <v>1</v>
      </c>
      <c r="F36" t="b">
        <v>1</v>
      </c>
      <c r="G36" t="s">
        <v>3250</v>
      </c>
      <c r="H36" t="b">
        <v>1</v>
      </c>
      <c r="I36" s="272">
        <v>45777</v>
      </c>
      <c r="J36" s="272">
        <v>45777</v>
      </c>
      <c r="K36" s="272">
        <v>45777</v>
      </c>
      <c r="L36" s="272">
        <v>45777</v>
      </c>
      <c r="M36" t="s">
        <v>3230</v>
      </c>
      <c r="N36" s="272">
        <v>45826</v>
      </c>
      <c r="P36" s="272"/>
      <c r="R36" s="272"/>
      <c r="U36" t="str">
        <f t="shared" si="0"/>
        <v/>
      </c>
      <c r="Y36" t="str">
        <f t="shared" si="1"/>
        <v/>
      </c>
      <c r="AC36" t="str">
        <f t="shared" si="2"/>
        <v/>
      </c>
      <c r="AR36">
        <v>0</v>
      </c>
      <c r="AS36" t="str">
        <v/>
      </c>
      <c r="AT36">
        <v>0</v>
      </c>
      <c r="AV36" s="26">
        <v>45781</v>
      </c>
      <c r="AW36" t="str">
        <v>Covered with floating row cover</v>
      </c>
      <c r="AX36" t="str">
        <v>H8</v>
      </c>
      <c r="BA36" s="26">
        <v>45804</v>
      </c>
      <c r="BB36" t="str">
        <v>Sup'r Green: 3 Scoops per 50' of bed</v>
      </c>
      <c r="BC36" t="str">
        <v>B7</v>
      </c>
      <c r="BD36">
        <v>2</v>
      </c>
    </row>
    <row r="37" spans="1:56">
      <c r="A37" t="s">
        <v>2795</v>
      </c>
      <c r="B37" t="s">
        <v>2631</v>
      </c>
      <c r="C37" t="s">
        <v>1448</v>
      </c>
      <c r="D37">
        <v>1</v>
      </c>
      <c r="F37" t="b">
        <v>1</v>
      </c>
      <c r="G37" t="s">
        <v>3250</v>
      </c>
      <c r="H37" t="b">
        <v>1</v>
      </c>
      <c r="I37" s="272"/>
      <c r="J37" s="272">
        <v>45778</v>
      </c>
      <c r="K37" s="272">
        <v>45778</v>
      </c>
      <c r="L37" s="272">
        <v>45778</v>
      </c>
      <c r="N37" s="272"/>
      <c r="P37" s="272"/>
      <c r="R37" s="272"/>
      <c r="U37" t="str">
        <f t="shared" si="0"/>
        <v/>
      </c>
      <c r="Y37" t="str">
        <f t="shared" si="1"/>
        <v/>
      </c>
      <c r="AC37" t="str">
        <f t="shared" si="2"/>
        <v/>
      </c>
      <c r="AR37">
        <v>0</v>
      </c>
      <c r="AS37" t="str">
        <v/>
      </c>
      <c r="AT37">
        <v>0</v>
      </c>
      <c r="AV37" s="26">
        <v>45781</v>
      </c>
      <c r="AW37" t="str">
        <v>Has less weeds because it has fresher compost</v>
      </c>
      <c r="AX37" t="str">
        <v>I8</v>
      </c>
      <c r="BA37" s="26">
        <v>45807</v>
      </c>
      <c r="BB37" t="str">
        <v>Sup'r Green: 3 Scoops per 50' of bed</v>
      </c>
      <c r="BC37" t="str">
        <v>A5</v>
      </c>
      <c r="BD37">
        <v>0.75</v>
      </c>
    </row>
    <row r="38" spans="1:56">
      <c r="A38" t="s">
        <v>2300</v>
      </c>
      <c r="B38" t="s">
        <v>3191</v>
      </c>
      <c r="C38" t="s">
        <v>1488</v>
      </c>
      <c r="D38">
        <v>1</v>
      </c>
      <c r="F38" t="b">
        <v>1</v>
      </c>
      <c r="G38" t="s">
        <v>3250</v>
      </c>
      <c r="H38" t="b">
        <v>1</v>
      </c>
      <c r="I38" s="272"/>
      <c r="J38" s="272">
        <v>45781</v>
      </c>
      <c r="K38" s="272">
        <v>45781</v>
      </c>
      <c r="L38" s="272">
        <v>45781</v>
      </c>
      <c r="N38" s="272"/>
      <c r="P38" s="272"/>
      <c r="R38" s="272"/>
      <c r="U38" t="str">
        <f t="shared" si="0"/>
        <v/>
      </c>
      <c r="Y38" t="str">
        <f t="shared" si="1"/>
        <v/>
      </c>
      <c r="AC38" t="str">
        <f t="shared" si="2"/>
        <v/>
      </c>
      <c r="AR38">
        <v>0</v>
      </c>
      <c r="AS38" t="str">
        <v/>
      </c>
      <c r="AT38">
        <v>0</v>
      </c>
      <c r="AV38" s="26">
        <v>45782</v>
      </c>
      <c r="AW38" t="str">
        <v>Broadforked the bed</v>
      </c>
      <c r="AX38" t="str">
        <v>F2</v>
      </c>
      <c r="BA38" s="26">
        <v>45807</v>
      </c>
      <c r="BB38" t="str">
        <v>Sup'r Green: 3 Scoops per 50' of bed</v>
      </c>
      <c r="BC38" t="str">
        <v>A4</v>
      </c>
      <c r="BD38">
        <v>0.25</v>
      </c>
    </row>
    <row r="39" spans="1:56">
      <c r="A39" t="s">
        <v>1722</v>
      </c>
      <c r="B39" t="s">
        <v>2776</v>
      </c>
      <c r="C39" t="s">
        <v>1450</v>
      </c>
      <c r="D39">
        <v>1</v>
      </c>
      <c r="F39" t="b">
        <v>1</v>
      </c>
      <c r="G39" t="s">
        <v>3250</v>
      </c>
      <c r="I39" s="272"/>
      <c r="J39" s="272">
        <v>45781</v>
      </c>
      <c r="K39" s="272">
        <v>45781</v>
      </c>
      <c r="L39" s="272"/>
      <c r="N39" s="272"/>
      <c r="P39" s="272"/>
      <c r="R39" s="272"/>
      <c r="U39" t="str">
        <f t="shared" si="0"/>
        <v/>
      </c>
      <c r="Y39" t="str">
        <f t="shared" si="1"/>
        <v/>
      </c>
      <c r="AC39" t="str">
        <f t="shared" si="2"/>
        <v/>
      </c>
      <c r="AR39">
        <v>0</v>
      </c>
      <c r="AS39" t="str">
        <v/>
      </c>
      <c r="AT39">
        <v>0</v>
      </c>
      <c r="AV39" s="26">
        <v>45782</v>
      </c>
      <c r="AW39" t="str">
        <v>Ran tilther in bed</v>
      </c>
      <c r="AX39" t="str">
        <v>F2</v>
      </c>
      <c r="BA39" s="26">
        <v>45807</v>
      </c>
      <c r="BB39" t="str">
        <v>Sup'r Green: 6 Scoops per 50' of bed</v>
      </c>
      <c r="BC39" t="str">
        <v>A5</v>
      </c>
      <c r="BD39">
        <v>0.5</v>
      </c>
    </row>
    <row r="40" spans="1:56">
      <c r="A40" t="s">
        <v>2797</v>
      </c>
      <c r="B40" t="s">
        <v>2630</v>
      </c>
      <c r="C40" t="s">
        <v>1462</v>
      </c>
      <c r="D40">
        <v>0.4</v>
      </c>
      <c r="G40" t="s">
        <v>3250</v>
      </c>
      <c r="H40" t="b">
        <v>1</v>
      </c>
      <c r="I40" s="272"/>
      <c r="J40" s="272"/>
      <c r="K40" s="272">
        <v>45782</v>
      </c>
      <c r="L40" s="272">
        <v>45782</v>
      </c>
      <c r="N40" s="272"/>
      <c r="P40" s="272"/>
      <c r="R40" s="272"/>
      <c r="U40" t="str">
        <f t="shared" si="0"/>
        <v/>
      </c>
      <c r="Y40" t="str">
        <f t="shared" si="1"/>
        <v/>
      </c>
      <c r="AC40" t="str">
        <f t="shared" si="2"/>
        <v/>
      </c>
      <c r="AR40">
        <v>0</v>
      </c>
      <c r="AS40" t="str">
        <v/>
      </c>
      <c r="AT40">
        <v>0</v>
      </c>
      <c r="AV40" s="26">
        <v>45782</v>
      </c>
      <c r="AW40" t="str">
        <v>Covered with floating row cover</v>
      </c>
      <c r="AX40" t="str">
        <v>E7</v>
      </c>
      <c r="BA40" s="26">
        <v>45807</v>
      </c>
      <c r="BB40" t="str">
        <v>Sup'r Green: 6 Scoops per 50' of bed</v>
      </c>
      <c r="BC40" t="str">
        <v>A4</v>
      </c>
      <c r="BD40">
        <v>0.5</v>
      </c>
    </row>
    <row r="41" spans="1:56">
      <c r="A41" t="s">
        <v>1803</v>
      </c>
      <c r="B41" t="s">
        <v>2653</v>
      </c>
      <c r="C41" t="s">
        <v>1466</v>
      </c>
      <c r="D41">
        <v>1</v>
      </c>
      <c r="E41" t="b">
        <v>1</v>
      </c>
      <c r="F41" t="b">
        <v>1</v>
      </c>
      <c r="G41" t="b">
        <v>1</v>
      </c>
      <c r="I41" s="272">
        <v>45782</v>
      </c>
      <c r="J41" s="272">
        <v>45782</v>
      </c>
      <c r="K41" s="272">
        <v>45782</v>
      </c>
      <c r="L41" s="272"/>
      <c r="M41" t="s">
        <v>3231</v>
      </c>
      <c r="N41" s="272">
        <v>45782</v>
      </c>
      <c r="P41" s="272"/>
      <c r="R41" s="272"/>
      <c r="U41" t="str">
        <f t="shared" si="0"/>
        <v/>
      </c>
      <c r="Y41" t="str">
        <f t="shared" si="1"/>
        <v/>
      </c>
      <c r="AC41" t="str">
        <f t="shared" si="2"/>
        <v/>
      </c>
      <c r="AR41">
        <v>0</v>
      </c>
      <c r="AS41" t="str">
        <v/>
      </c>
      <c r="AT41">
        <v>0</v>
      </c>
      <c r="AV41" s="26">
        <v>45782</v>
      </c>
      <c r="AW41" t="str">
        <v>Bed was really tight. Gave some light tillage with the tilther.</v>
      </c>
      <c r="AX41" t="str">
        <v>F2</v>
      </c>
      <c r="BA41" s="26">
        <v>45808</v>
      </c>
      <c r="BB41" t="str">
        <v>Stutzman's 8-2-4: 3 Scoops per 50' of bed</v>
      </c>
      <c r="BC41" t="str">
        <v>H5</v>
      </c>
      <c r="BD41">
        <v>1</v>
      </c>
    </row>
    <row r="42" spans="1:56">
      <c r="A42" t="s">
        <v>3108</v>
      </c>
      <c r="B42" t="s">
        <v>2627</v>
      </c>
      <c r="C42" t="s">
        <v>1458</v>
      </c>
      <c r="D42">
        <v>1.6</v>
      </c>
      <c r="F42" t="b">
        <v>1</v>
      </c>
      <c r="G42" t="s">
        <v>3250</v>
      </c>
      <c r="I42" s="272"/>
      <c r="J42" s="272">
        <v>45784</v>
      </c>
      <c r="K42" s="272">
        <v>45784</v>
      </c>
      <c r="L42" s="272"/>
      <c r="M42" t="s">
        <v>3232</v>
      </c>
      <c r="N42" s="272">
        <v>45813</v>
      </c>
      <c r="O42" t="s">
        <v>3233</v>
      </c>
      <c r="P42" s="272">
        <v>45818</v>
      </c>
      <c r="Q42" t="s">
        <v>3234</v>
      </c>
      <c r="R42" s="272">
        <v>45825</v>
      </c>
      <c r="U42" t="str">
        <f t="shared" si="0"/>
        <v/>
      </c>
      <c r="Y42" t="str">
        <f t="shared" si="1"/>
        <v/>
      </c>
      <c r="AC42" t="str">
        <f t="shared" si="2"/>
        <v/>
      </c>
      <c r="AR42">
        <v>0</v>
      </c>
      <c r="AS42" t="str">
        <v/>
      </c>
      <c r="AT42">
        <v>0</v>
      </c>
      <c r="AV42" s="26">
        <v>45784</v>
      </c>
      <c r="AW42" t="str">
        <v>Ran tilther in bed</v>
      </c>
      <c r="AX42" t="str">
        <v>E3</v>
      </c>
      <c r="BA42" s="26">
        <v>45808</v>
      </c>
      <c r="BB42" t="str">
        <v>Sup'r Green: 6 Scoops per 50' of bed</v>
      </c>
      <c r="BC42" t="str">
        <v>H1</v>
      </c>
      <c r="BD42">
        <v>2</v>
      </c>
    </row>
    <row r="43" spans="1:56">
      <c r="A43" t="s">
        <v>2607</v>
      </c>
      <c r="B43" t="s">
        <v>2651</v>
      </c>
      <c r="C43" t="s">
        <v>1469</v>
      </c>
      <c r="D43">
        <v>2</v>
      </c>
      <c r="E43" t="b">
        <v>1</v>
      </c>
      <c r="F43" t="b">
        <v>1</v>
      </c>
      <c r="G43" t="s">
        <v>3250</v>
      </c>
      <c r="I43" s="272">
        <v>45785</v>
      </c>
      <c r="J43" s="272">
        <v>45785</v>
      </c>
      <c r="K43" s="272">
        <v>45785</v>
      </c>
      <c r="L43" s="272"/>
      <c r="N43" s="272"/>
      <c r="P43" s="272"/>
      <c r="R43" s="272"/>
      <c r="U43" t="str">
        <f t="shared" si="0"/>
        <v/>
      </c>
      <c r="Y43" t="str">
        <f t="shared" si="1"/>
        <v/>
      </c>
      <c r="AC43" t="str">
        <f t="shared" si="2"/>
        <v/>
      </c>
      <c r="AR43">
        <v>0</v>
      </c>
      <c r="AS43" t="str">
        <v/>
      </c>
      <c r="AT43">
        <v>0</v>
      </c>
      <c r="AV43" s="26">
        <v>45785</v>
      </c>
      <c r="AW43" t="str">
        <v>Broadforked the bed</v>
      </c>
      <c r="AX43" t="str">
        <v>F5</v>
      </c>
      <c r="BA43" s="26">
        <v>45808</v>
      </c>
      <c r="BB43" t="str">
        <v>Sup'r Green: 6 Scoops per 50' of bed</v>
      </c>
      <c r="BC43" t="str">
        <v>H3</v>
      </c>
      <c r="BD43">
        <v>2</v>
      </c>
    </row>
    <row r="44" spans="1:56">
      <c r="A44" t="s">
        <v>2729</v>
      </c>
      <c r="B44" t="s">
        <v>2730</v>
      </c>
      <c r="C44" t="s">
        <v>1457</v>
      </c>
      <c r="D44">
        <v>0.4</v>
      </c>
      <c r="E44" t="b">
        <v>1</v>
      </c>
      <c r="F44" t="b">
        <v>1</v>
      </c>
      <c r="G44" t="s">
        <v>3250</v>
      </c>
      <c r="I44" s="272">
        <v>45787</v>
      </c>
      <c r="J44" s="272">
        <v>45787</v>
      </c>
      <c r="K44" s="272">
        <v>45787</v>
      </c>
      <c r="L44" s="272"/>
      <c r="N44" s="272"/>
      <c r="P44" s="272"/>
      <c r="R44" s="272"/>
      <c r="U44" t="str">
        <f t="shared" si="0"/>
        <v/>
      </c>
      <c r="Y44" t="str">
        <f t="shared" si="1"/>
        <v/>
      </c>
      <c r="AC44" t="str">
        <f t="shared" si="2"/>
        <v/>
      </c>
      <c r="AR44">
        <v>0</v>
      </c>
      <c r="AS44" t="str">
        <v/>
      </c>
      <c r="AT44">
        <v>0</v>
      </c>
      <c r="AV44" s="26">
        <v>45785</v>
      </c>
      <c r="AW44" t="str">
        <v>Ran tilther in bed</v>
      </c>
      <c r="AX44" t="str">
        <v>F5</v>
      </c>
      <c r="BA44" s="26">
        <v>45813</v>
      </c>
      <c r="BB44" t="str">
        <v>Stutzman's 8-2-4: 3 Scoops per 50' of bed</v>
      </c>
      <c r="BC44" t="str">
        <v>G6</v>
      </c>
      <c r="BD44">
        <v>2</v>
      </c>
    </row>
    <row r="45" spans="1:56">
      <c r="A45" t="s">
        <v>2729</v>
      </c>
      <c r="B45" t="s">
        <v>2731</v>
      </c>
      <c r="C45" t="s">
        <v>1456</v>
      </c>
      <c r="D45">
        <v>0.4</v>
      </c>
      <c r="E45" t="b">
        <v>1</v>
      </c>
      <c r="F45" t="b">
        <v>1</v>
      </c>
      <c r="G45" t="s">
        <v>3250</v>
      </c>
      <c r="I45" s="272">
        <v>45787</v>
      </c>
      <c r="J45" s="272">
        <v>45787</v>
      </c>
      <c r="K45" s="272">
        <v>45787</v>
      </c>
      <c r="L45" s="272"/>
      <c r="N45" s="272"/>
      <c r="P45" s="272"/>
      <c r="R45" s="272"/>
      <c r="U45" t="str">
        <f t="shared" si="0"/>
        <v/>
      </c>
      <c r="Y45" t="str">
        <f t="shared" si="1"/>
        <v/>
      </c>
      <c r="AC45" t="str">
        <f t="shared" si="2"/>
        <v/>
      </c>
      <c r="AR45">
        <v>0</v>
      </c>
      <c r="AS45" t="str">
        <v/>
      </c>
      <c r="AT45">
        <v>0</v>
      </c>
      <c r="AV45" s="26">
        <v>45787</v>
      </c>
      <c r="AW45" t="str">
        <v>Broadforked the bed</v>
      </c>
      <c r="AX45" t="str">
        <v>E2</v>
      </c>
      <c r="BA45" s="26">
        <v>45813</v>
      </c>
      <c r="BB45" t="str">
        <v>Stutzman's 8-2-4: 3 Scoops per 50' of bed</v>
      </c>
      <c r="BC45" t="str">
        <v>I3</v>
      </c>
      <c r="BD45">
        <v>1</v>
      </c>
    </row>
    <row r="46" spans="1:56">
      <c r="A46" t="s">
        <v>2303</v>
      </c>
      <c r="B46" t="s">
        <v>2766</v>
      </c>
      <c r="C46" t="s">
        <v>1476</v>
      </c>
      <c r="D46">
        <v>1</v>
      </c>
      <c r="E46" t="b">
        <v>1</v>
      </c>
      <c r="F46" t="b">
        <v>1</v>
      </c>
      <c r="G46" t="s">
        <v>3250</v>
      </c>
      <c r="I46" s="272">
        <v>45789</v>
      </c>
      <c r="J46" s="272">
        <v>45789</v>
      </c>
      <c r="K46" s="272">
        <v>45789</v>
      </c>
      <c r="L46" s="272"/>
      <c r="N46" s="272"/>
      <c r="P46" s="272"/>
      <c r="R46" s="272"/>
      <c r="U46" t="str">
        <f t="shared" si="0"/>
        <v/>
      </c>
      <c r="Y46" t="str">
        <f t="shared" si="1"/>
        <v/>
      </c>
      <c r="AC46" t="str">
        <f t="shared" si="2"/>
        <v/>
      </c>
      <c r="AR46">
        <v>0</v>
      </c>
      <c r="AS46" t="str">
        <v/>
      </c>
      <c r="AT46">
        <v>0</v>
      </c>
      <c r="AV46" s="26">
        <v>45787</v>
      </c>
      <c r="AW46" t="str">
        <v>Broadforked the bed</v>
      </c>
      <c r="AX46" t="str">
        <v>E1</v>
      </c>
      <c r="BA46" s="26">
        <v>45813</v>
      </c>
      <c r="BB46" t="str">
        <v>Stutzman's 8-2-4: 3 Scoops per 50' of bed</v>
      </c>
      <c r="BC46" t="str">
        <v>G1</v>
      </c>
      <c r="BD46">
        <v>1</v>
      </c>
    </row>
    <row r="47" spans="1:56">
      <c r="A47" t="s">
        <v>2747</v>
      </c>
      <c r="B47" t="s">
        <v>2735</v>
      </c>
      <c r="C47" t="s">
        <v>1433</v>
      </c>
      <c r="D47">
        <v>0.25</v>
      </c>
      <c r="F47" t="b">
        <v>1</v>
      </c>
      <c r="I47" s="272"/>
      <c r="J47" s="272">
        <v>45795</v>
      </c>
      <c r="K47" s="272"/>
      <c r="L47" s="272"/>
      <c r="N47" s="272"/>
      <c r="P47" s="272"/>
      <c r="R47" s="272"/>
      <c r="U47" t="str">
        <f t="shared" si="0"/>
        <v/>
      </c>
      <c r="Y47" t="str">
        <f t="shared" si="1"/>
        <v/>
      </c>
      <c r="AC47" t="str">
        <f t="shared" si="2"/>
        <v/>
      </c>
      <c r="AR47">
        <v>0</v>
      </c>
      <c r="AS47" t="str">
        <v/>
      </c>
      <c r="AT47">
        <v>0</v>
      </c>
      <c r="AV47" s="26">
        <v>45787</v>
      </c>
      <c r="AW47" t="str">
        <v>Ran tilther in bed</v>
      </c>
      <c r="AX47" t="str">
        <v>E2</v>
      </c>
      <c r="BA47" s="26">
        <v>45813</v>
      </c>
      <c r="BB47" t="str">
        <v>Stutzman's 8-2-4: 3 Scoops per 50' of bed</v>
      </c>
      <c r="BC47" t="str">
        <v>G0</v>
      </c>
      <c r="BD47">
        <v>1</v>
      </c>
    </row>
    <row r="48" spans="1:56">
      <c r="A48" t="s">
        <v>2747</v>
      </c>
      <c r="B48" t="s">
        <v>2736</v>
      </c>
      <c r="C48" t="s">
        <v>1433</v>
      </c>
      <c r="D48">
        <v>0.25</v>
      </c>
      <c r="F48" t="b">
        <v>1</v>
      </c>
      <c r="I48" s="272"/>
      <c r="J48" s="272">
        <v>45795</v>
      </c>
      <c r="K48" s="272"/>
      <c r="L48" s="272"/>
      <c r="N48" s="272"/>
      <c r="P48" s="272"/>
      <c r="R48" s="272"/>
      <c r="U48" t="str">
        <f t="shared" si="0"/>
        <v/>
      </c>
      <c r="Y48" t="str">
        <f t="shared" si="1"/>
        <v/>
      </c>
      <c r="AC48" t="str">
        <f t="shared" si="2"/>
        <v/>
      </c>
      <c r="AR48">
        <v>0</v>
      </c>
      <c r="AS48" t="str">
        <v/>
      </c>
      <c r="AT48">
        <v>0</v>
      </c>
      <c r="AV48" s="26">
        <v>45787</v>
      </c>
      <c r="AW48" t="str">
        <v>Ran tilther in bed</v>
      </c>
      <c r="AX48" t="str">
        <v>E1</v>
      </c>
      <c r="BA48" s="26">
        <v>45813</v>
      </c>
      <c r="BB48" t="str">
        <v>Stutzman's 8-2-4: 3 Scoops per 50' of bed</v>
      </c>
      <c r="BC48" t="str">
        <v>I4</v>
      </c>
      <c r="BD48">
        <v>1</v>
      </c>
    </row>
    <row r="49" spans="1:56">
      <c r="A49" t="s">
        <v>2746</v>
      </c>
      <c r="B49" t="s">
        <v>2741</v>
      </c>
      <c r="C49" t="s">
        <v>1433</v>
      </c>
      <c r="D49">
        <v>0.25</v>
      </c>
      <c r="F49" t="b">
        <v>1</v>
      </c>
      <c r="I49" s="272"/>
      <c r="J49" s="272">
        <v>45795</v>
      </c>
      <c r="K49" s="272"/>
      <c r="L49" s="272"/>
      <c r="N49" s="272"/>
      <c r="P49" s="272"/>
      <c r="R49" s="272"/>
      <c r="U49" t="str">
        <f t="shared" si="0"/>
        <v/>
      </c>
      <c r="Y49" t="str">
        <f t="shared" si="1"/>
        <v/>
      </c>
      <c r="AC49" t="str">
        <f t="shared" si="2"/>
        <v/>
      </c>
      <c r="AR49">
        <v>0</v>
      </c>
      <c r="AS49" t="str">
        <v/>
      </c>
      <c r="AT49">
        <v>0</v>
      </c>
      <c r="AV49" s="26">
        <v>45789</v>
      </c>
      <c r="AW49" t="str">
        <v>Broadforked the bed</v>
      </c>
      <c r="AX49" t="str">
        <v>G4</v>
      </c>
      <c r="BA49" s="26">
        <v>45814</v>
      </c>
      <c r="BB49" t="str">
        <v>Stutzman's 8-2-4: 3 Scoops per 50' of bed</v>
      </c>
      <c r="BC49" t="str">
        <v>E6</v>
      </c>
      <c r="BD49">
        <v>0.4</v>
      </c>
    </row>
    <row r="50" spans="1:56">
      <c r="A50" t="s">
        <v>2748</v>
      </c>
      <c r="B50" t="s">
        <v>2742</v>
      </c>
      <c r="C50" t="s">
        <v>1433</v>
      </c>
      <c r="D50">
        <v>0.25</v>
      </c>
      <c r="F50" t="b">
        <v>1</v>
      </c>
      <c r="I50" s="272"/>
      <c r="J50" s="272">
        <v>45795</v>
      </c>
      <c r="K50" s="272"/>
      <c r="L50" s="272"/>
      <c r="N50" s="272"/>
      <c r="P50" s="272"/>
      <c r="R50" s="272"/>
      <c r="U50" t="str">
        <f t="shared" si="0"/>
        <v/>
      </c>
      <c r="Y50" t="str">
        <f t="shared" si="1"/>
        <v/>
      </c>
      <c r="AC50" t="str">
        <f>IF(ISNUMBER(AB50),"Covered", "")</f>
        <v/>
      </c>
      <c r="AR50">
        <v>0</v>
      </c>
      <c r="AS50" t="str">
        <v/>
      </c>
      <c r="AT50">
        <v>0</v>
      </c>
      <c r="AV50" s="26">
        <v>45789</v>
      </c>
      <c r="AW50" t="str">
        <v>Ran tilther in bed</v>
      </c>
      <c r="AX50" t="str">
        <v>G4</v>
      </c>
      <c r="BA50" s="26">
        <v>45815</v>
      </c>
      <c r="BB50" t="str">
        <v>Sup'r Green: 6 Scoops per 50' of bed</v>
      </c>
      <c r="BC50" t="str">
        <v>X2</v>
      </c>
      <c r="BD50">
        <v>2</v>
      </c>
    </row>
    <row r="51" spans="1:56">
      <c r="A51" t="s">
        <v>2303</v>
      </c>
      <c r="B51" t="s">
        <v>2767</v>
      </c>
      <c r="C51" t="s">
        <v>1477</v>
      </c>
      <c r="D51">
        <v>1</v>
      </c>
      <c r="E51" t="b">
        <v>1</v>
      </c>
      <c r="F51" t="b">
        <v>1</v>
      </c>
      <c r="G51" t="s">
        <v>3250</v>
      </c>
      <c r="I51" s="272">
        <v>45795</v>
      </c>
      <c r="J51" s="272">
        <v>45795</v>
      </c>
      <c r="K51" s="272">
        <v>45795</v>
      </c>
      <c r="L51" s="272"/>
      <c r="N51" s="272"/>
      <c r="P51" s="272"/>
      <c r="R51" s="272"/>
      <c r="U51" t="str">
        <f t="shared" si="0"/>
        <v/>
      </c>
      <c r="Y51" t="str">
        <f t="shared" si="1"/>
        <v/>
      </c>
      <c r="AC51" t="str">
        <f t="shared" ref="AC51:AC63" si="3">IF(ISNUMBER(AB51),"Covered", "")</f>
        <v/>
      </c>
      <c r="AR51">
        <v>0</v>
      </c>
      <c r="AS51" t="str">
        <v/>
      </c>
      <c r="AT51">
        <v>0</v>
      </c>
      <c r="AV51" s="26">
        <v>45791</v>
      </c>
      <c r="AW51" t="str">
        <v>Astro bolted much faster than Esmee.</v>
      </c>
      <c r="AX51" t="str">
        <v>A5</v>
      </c>
      <c r="BA51" s="26">
        <v>45815</v>
      </c>
      <c r="BB51" t="str">
        <v>Sup'r Green: 6 Scoops per 50' of bed</v>
      </c>
      <c r="BC51" t="str">
        <v>X4</v>
      </c>
      <c r="BD51">
        <v>1</v>
      </c>
    </row>
    <row r="52" spans="1:56">
      <c r="A52" t="s">
        <v>3189</v>
      </c>
      <c r="B52" t="s">
        <v>2764</v>
      </c>
      <c r="C52" t="s">
        <v>1442</v>
      </c>
      <c r="D52">
        <v>0.5</v>
      </c>
      <c r="F52" t="b">
        <v>1</v>
      </c>
      <c r="G52" t="s">
        <v>3250</v>
      </c>
      <c r="I52" s="272"/>
      <c r="J52" s="272">
        <v>45795</v>
      </c>
      <c r="K52" s="272">
        <v>45795</v>
      </c>
      <c r="L52" s="272"/>
      <c r="N52" s="272"/>
      <c r="P52" s="272"/>
      <c r="R52" s="272"/>
      <c r="U52" t="str">
        <f t="shared" si="0"/>
        <v/>
      </c>
      <c r="Y52" t="str">
        <f t="shared" si="1"/>
        <v/>
      </c>
      <c r="AC52" t="str">
        <f t="shared" si="3"/>
        <v/>
      </c>
      <c r="AR52">
        <v>0</v>
      </c>
      <c r="AS52" t="str">
        <v/>
      </c>
      <c r="AT52">
        <v>0</v>
      </c>
      <c r="AV52" s="26">
        <v>45791</v>
      </c>
      <c r="AW52" t="str">
        <v xml:space="preserve">Incredibly poor growth. About 30% missing. </v>
      </c>
      <c r="AX52" t="str">
        <v>C5</v>
      </c>
      <c r="BA52" s="26">
        <v>45815</v>
      </c>
      <c r="BB52" t="str">
        <v>Sup'r Green: 6 Scoops per 50' of bed</v>
      </c>
      <c r="BC52" t="str">
        <v>X1</v>
      </c>
      <c r="BD52">
        <v>1</v>
      </c>
    </row>
    <row r="53" spans="1:56">
      <c r="A53" t="s">
        <v>1723</v>
      </c>
      <c r="B53" t="s">
        <v>2670</v>
      </c>
      <c r="C53" t="s">
        <v>1480</v>
      </c>
      <c r="D53">
        <v>1</v>
      </c>
      <c r="E53" t="b">
        <v>1</v>
      </c>
      <c r="F53" t="b">
        <v>1</v>
      </c>
      <c r="G53" t="s">
        <v>3251</v>
      </c>
      <c r="I53" s="272">
        <v>45796</v>
      </c>
      <c r="J53" s="272">
        <v>45796</v>
      </c>
      <c r="K53" s="272">
        <v>45796</v>
      </c>
      <c r="L53" s="272"/>
      <c r="N53" s="272"/>
      <c r="P53" s="272"/>
      <c r="R53" s="272"/>
      <c r="U53" t="str">
        <f t="shared" si="0"/>
        <v/>
      </c>
      <c r="Y53" t="str">
        <f t="shared" si="1"/>
        <v/>
      </c>
      <c r="AC53" t="str">
        <f t="shared" si="3"/>
        <v/>
      </c>
      <c r="AR53">
        <v>0</v>
      </c>
      <c r="AS53" t="str">
        <v/>
      </c>
      <c r="AT53">
        <v>0</v>
      </c>
      <c r="AV53" s="26">
        <v>45792</v>
      </c>
      <c r="AW53" t="str">
        <v>Crop withstood the nearby aphic infestation.</v>
      </c>
      <c r="AX53" t="str">
        <v>B2</v>
      </c>
      <c r="BA53" s="26">
        <v>45821</v>
      </c>
      <c r="BB53" t="str">
        <v>Sup'r Green: 6 Scoops per 50' of bed</v>
      </c>
      <c r="BC53" t="str">
        <v>U4</v>
      </c>
      <c r="BD53">
        <v>6</v>
      </c>
    </row>
    <row r="54" spans="1:56">
      <c r="A54" t="s">
        <v>2616</v>
      </c>
      <c r="B54" t="s">
        <v>2671</v>
      </c>
      <c r="C54" t="s">
        <v>1471</v>
      </c>
      <c r="D54">
        <v>2</v>
      </c>
      <c r="G54" t="s">
        <v>3251</v>
      </c>
      <c r="I54" s="272"/>
      <c r="J54" s="272"/>
      <c r="K54" s="272">
        <v>45800</v>
      </c>
      <c r="L54" s="272"/>
      <c r="N54" s="272"/>
      <c r="P54" s="272"/>
      <c r="R54" s="272"/>
      <c r="U54" t="str">
        <f t="shared" si="0"/>
        <v/>
      </c>
      <c r="Y54" t="str">
        <f t="shared" si="1"/>
        <v/>
      </c>
      <c r="AC54" t="str">
        <f t="shared" si="3"/>
        <v/>
      </c>
      <c r="AR54">
        <v>0</v>
      </c>
      <c r="AS54" t="str">
        <v/>
      </c>
      <c r="AT54">
        <v>0</v>
      </c>
      <c r="AV54" s="26">
        <v>45792</v>
      </c>
      <c r="AW54" t="str">
        <v>Strong aphic infestation. Crop is a a near loss</v>
      </c>
      <c r="AX54" t="str">
        <v>B2</v>
      </c>
      <c r="BA54" s="26">
        <v>45826</v>
      </c>
      <c r="BB54" t="str">
        <v>Sup'r Green: 6 Scoops per 50' of bed</v>
      </c>
      <c r="BC54" t="str">
        <v>H8</v>
      </c>
      <c r="BD54">
        <v>0.5</v>
      </c>
    </row>
    <row r="55" spans="1:56">
      <c r="A55" t="s">
        <v>269</v>
      </c>
      <c r="B55" t="s">
        <v>2722</v>
      </c>
      <c r="C55" t="s">
        <v>1464</v>
      </c>
      <c r="D55">
        <v>1</v>
      </c>
      <c r="G55" t="s">
        <v>3252</v>
      </c>
      <c r="I55" s="272"/>
      <c r="J55" s="272"/>
      <c r="K55" s="272">
        <v>45803</v>
      </c>
      <c r="L55" s="272"/>
      <c r="N55" s="272"/>
      <c r="P55" s="272"/>
      <c r="R55" s="272"/>
      <c r="U55" t="str">
        <f t="shared" si="0"/>
        <v/>
      </c>
      <c r="Y55" t="str">
        <f t="shared" si="1"/>
        <v/>
      </c>
      <c r="AC55" t="str">
        <f t="shared" si="3"/>
        <v/>
      </c>
      <c r="AR55">
        <v>0</v>
      </c>
      <c r="AS55" t="str">
        <v/>
      </c>
      <c r="AT55">
        <v>0</v>
      </c>
      <c r="AV55" s="26">
        <v>45792</v>
      </c>
      <c r="AW55" t="str">
        <v>Somewhat weedy</v>
      </c>
      <c r="AX55" t="str">
        <v>D2</v>
      </c>
      <c r="BA55" s="26">
        <v>45828</v>
      </c>
      <c r="BB55" t="str">
        <v>Sup'r Green: 6 Scoops per 50' of bed</v>
      </c>
      <c r="BC55" t="str">
        <v>A3</v>
      </c>
      <c r="BD55">
        <v>0.5</v>
      </c>
    </row>
    <row r="56" spans="1:56">
      <c r="A56" t="s">
        <v>2721</v>
      </c>
      <c r="B56" t="s">
        <v>2723</v>
      </c>
      <c r="C56" t="s">
        <v>1465</v>
      </c>
      <c r="D56">
        <v>1</v>
      </c>
      <c r="G56" t="s">
        <v>3252</v>
      </c>
      <c r="I56" s="272"/>
      <c r="J56" s="272"/>
      <c r="K56" s="272">
        <v>45803</v>
      </c>
      <c r="L56" s="272"/>
      <c r="N56" s="272"/>
      <c r="P56" s="272"/>
      <c r="R56" s="272"/>
      <c r="U56" t="str">
        <f t="shared" si="0"/>
        <v/>
      </c>
      <c r="Y56" t="str">
        <f t="shared" si="1"/>
        <v/>
      </c>
      <c r="AC56" t="str">
        <f t="shared" si="3"/>
        <v/>
      </c>
      <c r="AR56">
        <v>0</v>
      </c>
      <c r="AS56" t="str">
        <v/>
      </c>
      <c r="AT56">
        <v>0</v>
      </c>
      <c r="AV56" s="26">
        <v>45795</v>
      </c>
      <c r="AW56" t="str">
        <v>Broadforked the bed</v>
      </c>
      <c r="AX56" t="str">
        <v>G5</v>
      </c>
      <c r="BA56" s="26">
        <v>45826</v>
      </c>
      <c r="BB56" t="str">
        <v>Sup'r Green: 6 Scoops per 50' of bed</v>
      </c>
      <c r="BC56" t="str">
        <v>H8</v>
      </c>
      <c r="BD56">
        <v>0.5</v>
      </c>
    </row>
    <row r="57" spans="1:56">
      <c r="A57" t="s">
        <v>270</v>
      </c>
      <c r="B57" t="s">
        <v>2652</v>
      </c>
      <c r="C57" t="s">
        <v>1438</v>
      </c>
      <c r="D57">
        <v>2</v>
      </c>
      <c r="G57" t="s">
        <v>3252</v>
      </c>
      <c r="I57" s="272"/>
      <c r="J57" s="272"/>
      <c r="K57" s="272">
        <v>45804</v>
      </c>
      <c r="L57" s="272"/>
      <c r="N57" s="272"/>
      <c r="P57" s="272"/>
      <c r="R57" s="272"/>
      <c r="U57" t="str">
        <f t="shared" si="0"/>
        <v/>
      </c>
      <c r="Y57" t="str">
        <f t="shared" si="1"/>
        <v/>
      </c>
      <c r="AC57" t="str">
        <f t="shared" si="3"/>
        <v/>
      </c>
      <c r="AR57">
        <v>0</v>
      </c>
      <c r="AS57" t="str">
        <v/>
      </c>
      <c r="AT57">
        <v>0</v>
      </c>
      <c r="AV57" s="26">
        <v>45795</v>
      </c>
      <c r="AW57" t="str">
        <v>Ran tilther in bed</v>
      </c>
      <c r="AX57" t="str">
        <v>B2</v>
      </c>
      <c r="BA57" s="26">
        <v>45828</v>
      </c>
      <c r="BB57" t="str">
        <v>Sup'r Green: 6 Scoops per 50' of bed</v>
      </c>
      <c r="BC57" t="str">
        <v>A3</v>
      </c>
      <c r="BD57">
        <v>0.5</v>
      </c>
    </row>
    <row r="58" spans="1:56">
      <c r="A58" t="s">
        <v>2602</v>
      </c>
      <c r="B58" t="s">
        <v>2641</v>
      </c>
      <c r="C58" t="s">
        <v>1428</v>
      </c>
      <c r="D58">
        <v>0.75</v>
      </c>
      <c r="G58" t="s">
        <v>3252</v>
      </c>
      <c r="I58" s="272"/>
      <c r="J58" s="272"/>
      <c r="K58" s="272">
        <v>45807</v>
      </c>
      <c r="L58" s="272"/>
      <c r="N58" s="272"/>
      <c r="P58" s="272"/>
      <c r="R58" s="272"/>
      <c r="U58" t="str">
        <f t="shared" si="0"/>
        <v/>
      </c>
      <c r="Y58" t="str">
        <f t="shared" si="1"/>
        <v/>
      </c>
      <c r="AC58" t="str">
        <f t="shared" si="3"/>
        <v/>
      </c>
      <c r="AR58">
        <v>0</v>
      </c>
      <c r="AS58" t="str">
        <v/>
      </c>
      <c r="AT58">
        <v>0</v>
      </c>
      <c r="AV58" s="26">
        <v>45795</v>
      </c>
      <c r="AW58" t="str">
        <v>Ran tilther in bed</v>
      </c>
      <c r="AX58" t="str">
        <v>G5</v>
      </c>
      <c r="BA58" s="26">
        <v>45823</v>
      </c>
      <c r="BB58" t="str">
        <v>Sup'r Green: 6 Scoops per 50' of bed</v>
      </c>
      <c r="BC58" t="str">
        <v>A7</v>
      </c>
      <c r="BD58">
        <v>1</v>
      </c>
    </row>
    <row r="59" spans="1:56">
      <c r="A59" t="s">
        <v>2720</v>
      </c>
      <c r="B59" t="s">
        <v>2642</v>
      </c>
      <c r="C59" t="s">
        <v>1427</v>
      </c>
      <c r="D59">
        <v>0.25</v>
      </c>
      <c r="G59" t="s">
        <v>3252</v>
      </c>
      <c r="I59" s="272"/>
      <c r="J59" s="272"/>
      <c r="K59" s="272">
        <v>45807</v>
      </c>
      <c r="L59" s="272"/>
      <c r="N59" s="272"/>
      <c r="P59" s="272"/>
      <c r="R59" s="272"/>
      <c r="U59" t="str">
        <f t="shared" si="0"/>
        <v/>
      </c>
      <c r="Y59" t="str">
        <f t="shared" si="1"/>
        <v/>
      </c>
      <c r="AC59" t="str">
        <f t="shared" si="3"/>
        <v/>
      </c>
      <c r="AR59">
        <v>0</v>
      </c>
      <c r="AS59" t="str">
        <v/>
      </c>
      <c r="AT59">
        <v>0</v>
      </c>
      <c r="AV59" s="26">
        <v>45795</v>
      </c>
      <c r="AW59" t="str">
        <v>Ran tilther in bed</v>
      </c>
      <c r="AX59" t="str">
        <v>C3</v>
      </c>
      <c r="BA59" s="26">
        <v>45823</v>
      </c>
      <c r="BB59" t="str">
        <v>Sup'r Green: 6 Scoops per 50' of bed</v>
      </c>
      <c r="BC59" t="str">
        <v>U2</v>
      </c>
      <c r="BD59">
        <v>8</v>
      </c>
    </row>
    <row r="60" spans="1:56">
      <c r="A60" t="s">
        <v>2618</v>
      </c>
      <c r="B60" t="s">
        <v>2675</v>
      </c>
      <c r="C60" t="s">
        <v>1428</v>
      </c>
      <c r="D60">
        <v>0.5</v>
      </c>
      <c r="G60" t="s">
        <v>3253</v>
      </c>
      <c r="I60" s="272"/>
      <c r="J60" s="272"/>
      <c r="K60" s="272">
        <v>45807</v>
      </c>
      <c r="L60" s="272"/>
      <c r="N60" s="272"/>
      <c r="P60" s="272"/>
      <c r="R60" s="272"/>
      <c r="U60" t="str">
        <f t="shared" si="0"/>
        <v/>
      </c>
      <c r="Y60" t="str">
        <f t="shared" si="1"/>
        <v/>
      </c>
      <c r="AC60" t="str">
        <f t="shared" si="3"/>
        <v/>
      </c>
      <c r="AR60">
        <v>0</v>
      </c>
      <c r="AS60" t="str">
        <v/>
      </c>
      <c r="AT60">
        <v>0</v>
      </c>
      <c r="AV60" s="26">
        <v>45795</v>
      </c>
      <c r="AW60" t="str">
        <v>Our most successful crop. Didn't root deeply</v>
      </c>
      <c r="AX60" t="str">
        <v>A3</v>
      </c>
      <c r="BA60" s="26">
        <v>45823</v>
      </c>
      <c r="BB60" t="str">
        <v>Sup'r Green: 6 Scoops per 50' of bed</v>
      </c>
      <c r="BC60" t="str">
        <v>U4</v>
      </c>
      <c r="BD60">
        <v>8</v>
      </c>
    </row>
    <row r="61" spans="1:56">
      <c r="A61" t="s">
        <v>2619</v>
      </c>
      <c r="B61" t="s">
        <v>2676</v>
      </c>
      <c r="C61" t="s">
        <v>1427</v>
      </c>
      <c r="D61">
        <v>0.5</v>
      </c>
      <c r="G61" t="s">
        <v>3253</v>
      </c>
      <c r="I61" s="272"/>
      <c r="J61" s="272"/>
      <c r="K61" s="272">
        <v>45807</v>
      </c>
      <c r="L61" s="272"/>
      <c r="N61" s="272"/>
      <c r="P61" s="272"/>
      <c r="R61" s="272"/>
      <c r="U61" t="str">
        <f t="shared" si="0"/>
        <v/>
      </c>
      <c r="Y61" t="str">
        <f t="shared" si="1"/>
        <v/>
      </c>
      <c r="AC61" t="str">
        <f t="shared" si="3"/>
        <v/>
      </c>
      <c r="AR61">
        <v>0</v>
      </c>
      <c r="AS61" t="str">
        <v/>
      </c>
      <c r="AT61">
        <v>0</v>
      </c>
      <c r="AV61" s="26">
        <v>45796</v>
      </c>
      <c r="AW61" t="str">
        <v>Broadforked the bed</v>
      </c>
      <c r="AX61" t="str">
        <v>G8</v>
      </c>
      <c r="BA61" s="26">
        <v>45818</v>
      </c>
      <c r="BB61" t="str">
        <v>Sup'r Green: 6 Scoops per 50' of bed</v>
      </c>
      <c r="BC61" t="str">
        <v>U5</v>
      </c>
      <c r="BD61">
        <v>8</v>
      </c>
    </row>
    <row r="62" spans="1:56">
      <c r="A62" t="s">
        <v>402</v>
      </c>
      <c r="B62" t="s">
        <v>2650</v>
      </c>
      <c r="C62" t="s">
        <v>1485</v>
      </c>
      <c r="D62">
        <v>1</v>
      </c>
      <c r="G62" t="s">
        <v>3250</v>
      </c>
      <c r="I62" s="272"/>
      <c r="J62" s="272"/>
      <c r="K62" s="272">
        <v>45808</v>
      </c>
      <c r="L62" s="272"/>
      <c r="N62" s="272"/>
      <c r="P62" s="272"/>
      <c r="R62" s="272"/>
      <c r="U62" t="str">
        <f t="shared" si="0"/>
        <v/>
      </c>
      <c r="Y62" t="str">
        <f t="shared" si="1"/>
        <v/>
      </c>
      <c r="AC62" t="str">
        <f t="shared" si="3"/>
        <v/>
      </c>
      <c r="AR62">
        <v>0</v>
      </c>
      <c r="AS62" t="str">
        <v/>
      </c>
      <c r="AT62">
        <v>0</v>
      </c>
      <c r="AV62" s="26">
        <v>45796</v>
      </c>
      <c r="AW62" t="str">
        <v>Ran tilther in bed</v>
      </c>
      <c r="AX62" t="str">
        <v>G8</v>
      </c>
    </row>
    <row r="63" spans="1:56">
      <c r="A63" t="s">
        <v>2617</v>
      </c>
      <c r="B63" t="s">
        <v>2674</v>
      </c>
      <c r="C63" t="s">
        <v>1481</v>
      </c>
      <c r="D63">
        <v>2</v>
      </c>
      <c r="G63" t="s">
        <v>3253</v>
      </c>
      <c r="I63" s="272"/>
      <c r="J63" s="272"/>
      <c r="K63" s="272">
        <v>45808</v>
      </c>
      <c r="L63" s="272"/>
      <c r="N63" s="272"/>
      <c r="P63" s="272"/>
      <c r="R63" s="272"/>
      <c r="U63" t="str">
        <f t="shared" si="0"/>
        <v/>
      </c>
      <c r="Y63" t="str">
        <f t="shared" si="1"/>
        <v/>
      </c>
      <c r="AC63" t="str">
        <f t="shared" si="3"/>
        <v/>
      </c>
      <c r="AR63">
        <v>0</v>
      </c>
      <c r="AS63" t="str">
        <v/>
      </c>
      <c r="AT63">
        <v>0</v>
      </c>
      <c r="AV63" s="26">
        <v>45807</v>
      </c>
      <c r="AW63" t="str">
        <v>This is the best looking crop of potatoes</v>
      </c>
      <c r="AX63" t="str">
        <v>F3</v>
      </c>
    </row>
    <row r="64" spans="1:56">
      <c r="A64" t="s">
        <v>2620</v>
      </c>
      <c r="B64" t="s">
        <v>2677</v>
      </c>
      <c r="C64" t="s">
        <v>1483</v>
      </c>
      <c r="D64">
        <v>2</v>
      </c>
      <c r="G64" t="s">
        <v>3253</v>
      </c>
      <c r="I64" s="272"/>
      <c r="J64" s="272"/>
      <c r="K64" s="272">
        <v>45808</v>
      </c>
      <c r="L64" s="272"/>
      <c r="N64" s="272"/>
      <c r="P64" s="272"/>
      <c r="R64" s="272"/>
      <c r="U64" t="str">
        <f t="shared" si="0"/>
        <v/>
      </c>
      <c r="Y64" t="str">
        <f t="shared" si="1"/>
        <v/>
      </c>
      <c r="AR64">
        <v>0</v>
      </c>
      <c r="AS64" t="str">
        <v/>
      </c>
      <c r="AT64">
        <v>0</v>
      </c>
      <c r="AV64" s="26">
        <v>45809</v>
      </c>
      <c r="AW64" t="str">
        <v>Plants do not seem to like the lower bed</v>
      </c>
      <c r="AX64" t="str">
        <v>B3</v>
      </c>
    </row>
    <row r="65" spans="1:50">
      <c r="A65" t="s">
        <v>3125</v>
      </c>
      <c r="B65" t="s">
        <v>2726</v>
      </c>
      <c r="C65" t="s">
        <v>1497</v>
      </c>
      <c r="D65">
        <v>0.4</v>
      </c>
      <c r="I65" s="272"/>
      <c r="J65" s="272"/>
      <c r="K65" s="272"/>
      <c r="L65" s="272"/>
      <c r="N65" s="272"/>
      <c r="P65" s="272"/>
      <c r="R65" s="272"/>
      <c r="U65" t="str">
        <f t="shared" si="0"/>
        <v/>
      </c>
      <c r="Y65" t="str">
        <f t="shared" si="1"/>
        <v/>
      </c>
      <c r="AR65">
        <v>0</v>
      </c>
      <c r="AS65" t="str">
        <v/>
      </c>
      <c r="AT65">
        <v>0</v>
      </c>
      <c r="AV65" s="26">
        <v>45809</v>
      </c>
      <c r="AW65" t="str">
        <v>Applied landscape fabric to kill weeds before planting</v>
      </c>
      <c r="AX65" t="str">
        <v>I3</v>
      </c>
    </row>
    <row r="66" spans="1:50">
      <c r="A66" t="s">
        <v>1740</v>
      </c>
      <c r="B66" t="s">
        <v>2669</v>
      </c>
      <c r="C66" t="s">
        <v>2705</v>
      </c>
      <c r="D66">
        <v>1</v>
      </c>
      <c r="I66" s="272"/>
      <c r="J66" s="272"/>
      <c r="K66" s="272"/>
      <c r="L66" s="272"/>
      <c r="N66" s="272"/>
      <c r="P66" s="272"/>
      <c r="R66" s="272"/>
      <c r="U66" t="str">
        <f t="shared" si="0"/>
        <v/>
      </c>
      <c r="Y66" t="str">
        <f t="shared" si="1"/>
        <v/>
      </c>
      <c r="AR66">
        <v>0</v>
      </c>
      <c r="AS66" t="str">
        <v/>
      </c>
      <c r="AT66">
        <v>0</v>
      </c>
      <c r="AV66" s="26">
        <v>45813</v>
      </c>
      <c r="AW66" t="str">
        <v>Broadforked the bed</v>
      </c>
      <c r="AX66" t="str">
        <v>G6</v>
      </c>
    </row>
    <row r="67" spans="1:50">
      <c r="A67" t="s">
        <v>1741</v>
      </c>
      <c r="B67" t="s">
        <v>3060</v>
      </c>
      <c r="C67" t="s">
        <v>2708</v>
      </c>
      <c r="D67">
        <v>16</v>
      </c>
      <c r="I67" s="272"/>
      <c r="J67" s="272"/>
      <c r="K67" s="272"/>
      <c r="L67" s="272"/>
      <c r="N67" s="272"/>
      <c r="P67" s="272"/>
      <c r="R67" s="272"/>
      <c r="U67" t="str">
        <f t="shared" si="0"/>
        <v/>
      </c>
      <c r="Y67" t="str">
        <f t="shared" si="1"/>
        <v/>
      </c>
      <c r="AR67">
        <v>0</v>
      </c>
      <c r="AS67" t="str">
        <v/>
      </c>
      <c r="AT67">
        <v>0</v>
      </c>
      <c r="AV67" s="26">
        <v>45813</v>
      </c>
      <c r="AW67" t="str">
        <v>Ran tilther in bed</v>
      </c>
      <c r="AX67" t="str">
        <v>G6</v>
      </c>
    </row>
    <row r="68" spans="1:50">
      <c r="A68" t="s">
        <v>3102</v>
      </c>
      <c r="B68" t="s">
        <v>2624</v>
      </c>
      <c r="C68" t="s">
        <v>1478</v>
      </c>
      <c r="D68">
        <v>2</v>
      </c>
      <c r="E68" t="b">
        <v>1</v>
      </c>
      <c r="F68" t="b">
        <v>1</v>
      </c>
      <c r="G68" t="s">
        <v>3250</v>
      </c>
      <c r="I68" s="272">
        <v>45813</v>
      </c>
      <c r="J68" s="272">
        <v>45813</v>
      </c>
      <c r="K68" s="272">
        <v>45813</v>
      </c>
      <c r="L68" s="272"/>
      <c r="N68" s="272"/>
      <c r="P68" s="272"/>
      <c r="R68" s="272"/>
      <c r="U68" t="str">
        <f t="shared" si="0"/>
        <v/>
      </c>
      <c r="Y68" t="str">
        <f t="shared" si="1"/>
        <v/>
      </c>
      <c r="AR68">
        <v>0</v>
      </c>
      <c r="AS68" t="str">
        <v/>
      </c>
      <c r="AT68">
        <v>0</v>
      </c>
      <c r="AV68" s="26">
        <v>45813</v>
      </c>
      <c r="AW68" t="str">
        <v>Ran tilther in bed</v>
      </c>
      <c r="AX68" t="str">
        <v>G1</v>
      </c>
    </row>
    <row r="69" spans="1:50">
      <c r="A69" t="s">
        <v>3102</v>
      </c>
      <c r="B69" t="s">
        <v>3190</v>
      </c>
      <c r="C69" t="s">
        <v>1491</v>
      </c>
      <c r="D69">
        <v>1</v>
      </c>
      <c r="G69" t="s">
        <v>3250</v>
      </c>
      <c r="I69" s="272"/>
      <c r="J69" s="272"/>
      <c r="K69" s="272">
        <v>45813</v>
      </c>
      <c r="L69" s="272"/>
      <c r="M69" t="s">
        <v>3238</v>
      </c>
      <c r="N69" s="272">
        <v>45809</v>
      </c>
      <c r="P69" s="272"/>
      <c r="R69" s="272"/>
      <c r="U69" t="str">
        <f t="shared" si="0"/>
        <v/>
      </c>
      <c r="Y69" t="str">
        <f t="shared" si="1"/>
        <v/>
      </c>
      <c r="AR69">
        <v>0</v>
      </c>
      <c r="AS69" t="str">
        <v/>
      </c>
      <c r="AT69">
        <v>0</v>
      </c>
      <c r="AV69" s="26">
        <v>45813</v>
      </c>
      <c r="AW69" t="str">
        <v>Ran tilther in bed</v>
      </c>
      <c r="AX69" t="str">
        <v>G0</v>
      </c>
    </row>
    <row r="70" spans="1:50">
      <c r="A70" t="s">
        <v>271</v>
      </c>
      <c r="B70" t="s">
        <v>2636</v>
      </c>
      <c r="C70" t="s">
        <v>1473</v>
      </c>
      <c r="D70">
        <v>1</v>
      </c>
      <c r="F70" t="b">
        <v>1</v>
      </c>
      <c r="G70" t="s">
        <v>3250</v>
      </c>
      <c r="I70" s="272"/>
      <c r="J70" s="272">
        <v>45813</v>
      </c>
      <c r="K70" s="272">
        <v>45813</v>
      </c>
      <c r="L70" s="272"/>
      <c r="N70" s="272"/>
      <c r="P70" s="272"/>
      <c r="R70" s="272"/>
      <c r="U70" t="str">
        <f t="shared" ref="U70:U85" si="4">IF(ISNUMBER(T70),"Broadforked the bed", "")</f>
        <v/>
      </c>
      <c r="Y70" t="str">
        <f t="shared" ref="Y70:Y115" si="5">IF(ISNUMBER(X70),"Ran tilther in bed", "")</f>
        <v/>
      </c>
      <c r="AR70">
        <v>0</v>
      </c>
      <c r="AS70" t="str">
        <v/>
      </c>
      <c r="AT70">
        <v>0</v>
      </c>
      <c r="AV70" s="26">
        <v>45813</v>
      </c>
      <c r="AW70" t="str">
        <v>Ran tilther in bed</v>
      </c>
      <c r="AX70" t="str">
        <v>I4</v>
      </c>
    </row>
    <row r="71" spans="1:50">
      <c r="A71" t="s">
        <v>1748</v>
      </c>
      <c r="B71" t="s">
        <v>2656</v>
      </c>
      <c r="C71" t="s">
        <v>1764</v>
      </c>
      <c r="D71">
        <v>1</v>
      </c>
      <c r="F71" t="b">
        <v>1</v>
      </c>
      <c r="G71" t="s">
        <v>3250</v>
      </c>
      <c r="I71" s="272"/>
      <c r="J71" s="272">
        <v>45813</v>
      </c>
      <c r="K71" s="272">
        <v>45813</v>
      </c>
      <c r="L71" s="272"/>
      <c r="N71" s="272"/>
      <c r="P71" s="272"/>
      <c r="R71" s="272"/>
      <c r="U71" t="str">
        <f t="shared" si="4"/>
        <v/>
      </c>
      <c r="Y71" t="str">
        <f t="shared" si="5"/>
        <v/>
      </c>
      <c r="AR71">
        <v>0</v>
      </c>
      <c r="AS71" t="str">
        <v/>
      </c>
      <c r="AT71">
        <v>0</v>
      </c>
      <c r="AV71" s="26">
        <v>45813</v>
      </c>
      <c r="AW71" t="str">
        <v>Komatsuna Bolted</v>
      </c>
      <c r="AX71" t="str">
        <v>E3</v>
      </c>
    </row>
    <row r="72" spans="1:50">
      <c r="A72" t="s">
        <v>1733</v>
      </c>
      <c r="B72" t="s">
        <v>2672</v>
      </c>
      <c r="C72" t="s">
        <v>1492</v>
      </c>
      <c r="D72">
        <v>1</v>
      </c>
      <c r="F72" t="b">
        <v>1</v>
      </c>
      <c r="G72" t="s">
        <v>3250</v>
      </c>
      <c r="I72" s="272"/>
      <c r="J72" s="272">
        <v>45813</v>
      </c>
      <c r="K72" s="272">
        <v>45813</v>
      </c>
      <c r="L72" s="272"/>
      <c r="N72" s="272"/>
      <c r="P72" s="272"/>
      <c r="R72" s="272"/>
      <c r="U72" t="str">
        <f t="shared" si="4"/>
        <v/>
      </c>
      <c r="Y72" t="str">
        <f t="shared" si="5"/>
        <v/>
      </c>
      <c r="AR72">
        <v>0</v>
      </c>
      <c r="AS72" t="str">
        <v/>
      </c>
      <c r="AT72">
        <v>0</v>
      </c>
      <c r="AV72" s="26">
        <v>45815</v>
      </c>
      <c r="AW72" t="str">
        <v>Great crop. Have continued to perform well.</v>
      </c>
      <c r="AX72" t="str">
        <v>A2</v>
      </c>
    </row>
    <row r="73" spans="1:50">
      <c r="A73" t="s">
        <v>2729</v>
      </c>
      <c r="B73" t="s">
        <v>2732</v>
      </c>
      <c r="C73" t="s">
        <v>1461</v>
      </c>
      <c r="D73">
        <v>0.4</v>
      </c>
      <c r="G73" t="s">
        <v>3250</v>
      </c>
      <c r="I73" s="272"/>
      <c r="J73" s="272"/>
      <c r="K73" s="272">
        <v>45814</v>
      </c>
      <c r="L73" s="272"/>
      <c r="N73" s="272"/>
      <c r="P73" s="272"/>
      <c r="R73" s="272"/>
      <c r="U73" t="str">
        <f t="shared" si="4"/>
        <v/>
      </c>
      <c r="Y73" t="str">
        <f t="shared" si="5"/>
        <v/>
      </c>
      <c r="AR73">
        <v>0</v>
      </c>
      <c r="AS73" t="str">
        <v/>
      </c>
      <c r="AT73">
        <v>0</v>
      </c>
      <c r="AV73" s="26">
        <v>45818</v>
      </c>
      <c r="AW73" t="str">
        <v>Bok Choy bolted</v>
      </c>
      <c r="AX73" t="str">
        <v>E3</v>
      </c>
    </row>
    <row r="74" spans="1:50">
      <c r="A74" t="s">
        <v>3048</v>
      </c>
      <c r="B74" t="s">
        <v>3061</v>
      </c>
      <c r="C74" t="s">
        <v>1514</v>
      </c>
      <c r="D74">
        <v>2</v>
      </c>
      <c r="G74" t="s">
        <v>3253</v>
      </c>
      <c r="I74" s="272"/>
      <c r="J74" s="272"/>
      <c r="K74" s="272">
        <v>45815</v>
      </c>
      <c r="L74" s="272"/>
      <c r="N74" s="272"/>
      <c r="P74" s="272"/>
      <c r="R74" s="272"/>
      <c r="U74" t="str">
        <f t="shared" si="4"/>
        <v/>
      </c>
      <c r="Y74" t="str">
        <f t="shared" si="5"/>
        <v/>
      </c>
      <c r="AR74">
        <v>0</v>
      </c>
      <c r="AS74" t="str">
        <v/>
      </c>
      <c r="AT74">
        <v>0</v>
      </c>
      <c r="AV74" s="26">
        <v>45825</v>
      </c>
      <c r="AW74" t="str">
        <v>Strong regrowth on Komatsuna</v>
      </c>
      <c r="AX74" t="str">
        <v>E3</v>
      </c>
    </row>
    <row r="75" spans="1:50">
      <c r="A75" t="s">
        <v>3049</v>
      </c>
      <c r="B75" t="s">
        <v>3193</v>
      </c>
      <c r="C75" t="s">
        <v>1512</v>
      </c>
      <c r="D75">
        <v>1</v>
      </c>
      <c r="G75" t="s">
        <v>3253</v>
      </c>
      <c r="I75" s="272"/>
      <c r="J75" s="272"/>
      <c r="K75" s="272">
        <v>45815</v>
      </c>
      <c r="L75" s="272"/>
      <c r="N75" s="272"/>
      <c r="P75" s="272"/>
      <c r="R75" s="272"/>
      <c r="U75" t="str">
        <f t="shared" si="4"/>
        <v/>
      </c>
      <c r="Y75" t="str">
        <f t="shared" si="5"/>
        <v/>
      </c>
      <c r="AR75">
        <v>0</v>
      </c>
      <c r="AS75" t="str">
        <v/>
      </c>
      <c r="AT75">
        <v>0</v>
      </c>
      <c r="AV75" s="26">
        <v>45826</v>
      </c>
      <c r="AW75" t="str">
        <v>Failed crop. Only about 10% of the upper bed sized. Rest never sized and were outgrown by weeds. Explore cover crop to imporve soil.</v>
      </c>
      <c r="AX75" t="str">
        <v>B6</v>
      </c>
    </row>
    <row r="76" spans="1:50">
      <c r="A76" t="s">
        <v>3050</v>
      </c>
      <c r="B76" t="s">
        <v>3194</v>
      </c>
      <c r="C76" t="s">
        <v>1515</v>
      </c>
      <c r="D76">
        <v>1</v>
      </c>
      <c r="G76" t="s">
        <v>3253</v>
      </c>
      <c r="I76" s="272"/>
      <c r="J76" s="272"/>
      <c r="K76" s="272">
        <v>45815</v>
      </c>
      <c r="L76" s="272"/>
      <c r="N76" s="272"/>
      <c r="P76" s="272"/>
      <c r="R76" s="272"/>
      <c r="U76" t="str">
        <f t="shared" si="4"/>
        <v/>
      </c>
      <c r="Y76" t="str">
        <f t="shared" si="5"/>
        <v/>
      </c>
      <c r="AR76">
        <v>0</v>
      </c>
      <c r="AS76" t="str">
        <v/>
      </c>
      <c r="AT76">
        <v>0</v>
      </c>
      <c r="AV76" s="26">
        <v>45826</v>
      </c>
      <c r="AW76" t="str">
        <v>Failed crop. Only about 20% of the upper bed sized. Rest never sized and were outgrown by weeds. Explore cover crop to imporve soil.</v>
      </c>
      <c r="AX76" t="str">
        <v>B6</v>
      </c>
    </row>
    <row r="77" spans="1:50">
      <c r="A77" t="s">
        <v>3048</v>
      </c>
      <c r="B77" t="s">
        <v>3006</v>
      </c>
      <c r="C77" t="s">
        <v>2707</v>
      </c>
      <c r="D77">
        <v>6</v>
      </c>
      <c r="G77" t="s">
        <v>3253</v>
      </c>
      <c r="I77" s="272"/>
      <c r="J77" s="272"/>
      <c r="K77" s="272">
        <v>45821</v>
      </c>
      <c r="L77" s="272"/>
      <c r="N77" s="272"/>
      <c r="P77" s="272"/>
      <c r="R77" s="272"/>
      <c r="U77" t="str">
        <f t="shared" si="4"/>
        <v/>
      </c>
      <c r="Y77" t="str">
        <f t="shared" si="5"/>
        <v/>
      </c>
      <c r="AR77">
        <v>0</v>
      </c>
      <c r="AS77" t="str">
        <v/>
      </c>
      <c r="AT77">
        <v>0</v>
      </c>
      <c r="AV77" s="26">
        <v>45826</v>
      </c>
      <c r="AW77" t="str">
        <v>The cut potatoes look much smaller than the whole potatoes even though the cut pieces were larger.</v>
      </c>
      <c r="AX77" t="str">
        <v>F3</v>
      </c>
    </row>
    <row r="78" spans="1:50">
      <c r="A78" t="s">
        <v>1712</v>
      </c>
      <c r="B78" t="s">
        <v>2622</v>
      </c>
      <c r="C78" t="s">
        <v>1427</v>
      </c>
      <c r="D78">
        <v>1</v>
      </c>
      <c r="I78" s="272"/>
      <c r="J78" s="272"/>
      <c r="K78" s="272"/>
      <c r="L78" s="272"/>
      <c r="N78" s="272"/>
      <c r="P78" s="272"/>
      <c r="R78" s="272"/>
      <c r="U78" t="str">
        <f t="shared" si="4"/>
        <v/>
      </c>
      <c r="Y78" t="str">
        <f t="shared" si="5"/>
        <v/>
      </c>
      <c r="AR78">
        <v>0</v>
      </c>
      <c r="AS78" t="str">
        <v/>
      </c>
      <c r="AT78">
        <v>0</v>
      </c>
      <c r="AV78" s="26">
        <v>45828</v>
      </c>
      <c r="AW78" t="str">
        <v>Quite a few weeds, could have used compost</v>
      </c>
      <c r="AX78" t="str">
        <v>A2</v>
      </c>
    </row>
    <row r="79" spans="1:50">
      <c r="A79" t="s">
        <v>353</v>
      </c>
      <c r="B79" t="s">
        <v>2634</v>
      </c>
      <c r="C79" t="s">
        <v>1425</v>
      </c>
      <c r="D79">
        <v>1</v>
      </c>
      <c r="I79" s="272"/>
      <c r="J79" s="272"/>
      <c r="K79" s="272"/>
      <c r="L79" s="272"/>
      <c r="N79" s="272"/>
      <c r="P79" s="272"/>
      <c r="R79" s="272"/>
      <c r="U79" t="str">
        <f t="shared" si="4"/>
        <v/>
      </c>
      <c r="Y79" t="str">
        <f t="shared" si="5"/>
        <v/>
      </c>
      <c r="AR79">
        <v>0</v>
      </c>
      <c r="AS79" t="str">
        <v/>
      </c>
      <c r="AT79">
        <v>0</v>
      </c>
      <c r="AV79" s="26">
        <v>45830</v>
      </c>
      <c r="AW79" t="str">
        <v>Seeing lots of deer feeding</v>
      </c>
      <c r="AX79" t="str">
        <v>I1</v>
      </c>
    </row>
    <row r="80" spans="1:50">
      <c r="A80" t="s">
        <v>1714</v>
      </c>
      <c r="B80" t="s">
        <v>2761</v>
      </c>
      <c r="C80" t="s">
        <v>1451</v>
      </c>
      <c r="D80">
        <v>0.5</v>
      </c>
      <c r="I80" s="272"/>
      <c r="J80" s="272"/>
      <c r="K80" s="272"/>
      <c r="L80" s="272"/>
      <c r="N80" s="272"/>
      <c r="P80" s="272"/>
      <c r="R80" s="272"/>
      <c r="U80" t="str">
        <f t="shared" si="4"/>
        <v/>
      </c>
      <c r="Y80" t="str">
        <f t="shared" si="5"/>
        <v/>
      </c>
      <c r="AR80">
        <v>0</v>
      </c>
      <c r="AS80" t="str">
        <v/>
      </c>
      <c r="AT80">
        <v>0</v>
      </c>
      <c r="AV80" s="26"/>
    </row>
    <row r="81" spans="1:48">
      <c r="A81" t="s">
        <v>2747</v>
      </c>
      <c r="B81" t="s">
        <v>2737</v>
      </c>
      <c r="C81" t="s">
        <v>1433</v>
      </c>
      <c r="D81">
        <v>0.25</v>
      </c>
      <c r="I81" s="272"/>
      <c r="J81" s="272"/>
      <c r="K81" s="272"/>
      <c r="L81" s="272"/>
      <c r="N81" s="272"/>
      <c r="P81" s="272"/>
      <c r="R81" s="272"/>
      <c r="U81" t="str">
        <f t="shared" si="4"/>
        <v/>
      </c>
      <c r="Y81" t="str">
        <f t="shared" si="5"/>
        <v/>
      </c>
      <c r="AR81">
        <v>0</v>
      </c>
      <c r="AS81" t="str">
        <v/>
      </c>
      <c r="AT81">
        <v>0</v>
      </c>
      <c r="AV81" s="26"/>
    </row>
    <row r="82" spans="1:48">
      <c r="A82" t="s">
        <v>1886</v>
      </c>
      <c r="B82" t="s">
        <v>2640</v>
      </c>
      <c r="C82" t="s">
        <v>1440</v>
      </c>
      <c r="D82">
        <v>2</v>
      </c>
      <c r="I82" s="272"/>
      <c r="J82" s="272"/>
      <c r="K82" s="272"/>
      <c r="L82" s="272"/>
      <c r="N82" s="272"/>
      <c r="P82" s="272"/>
      <c r="R82" s="272"/>
      <c r="U82" t="str">
        <f t="shared" si="4"/>
        <v/>
      </c>
      <c r="Y82" t="str">
        <f t="shared" si="5"/>
        <v/>
      </c>
      <c r="AR82">
        <v>0</v>
      </c>
      <c r="AS82" t="str">
        <v/>
      </c>
      <c r="AT82">
        <v>0</v>
      </c>
      <c r="AV82" s="26"/>
    </row>
    <row r="83" spans="1:48">
      <c r="A83" t="s">
        <v>2748</v>
      </c>
      <c r="B83" t="s">
        <v>2743</v>
      </c>
      <c r="C83" t="s">
        <v>1433</v>
      </c>
      <c r="D83">
        <v>0.25</v>
      </c>
      <c r="I83" s="272"/>
      <c r="J83" s="272"/>
      <c r="K83" s="272"/>
      <c r="L83" s="272"/>
      <c r="N83" s="272"/>
      <c r="P83" s="272"/>
      <c r="R83" s="272"/>
      <c r="U83" t="str">
        <f t="shared" si="4"/>
        <v/>
      </c>
      <c r="Y83" t="str">
        <f t="shared" si="5"/>
        <v/>
      </c>
      <c r="AR83">
        <v>0</v>
      </c>
      <c r="AS83" t="str">
        <v/>
      </c>
      <c r="AT83">
        <v>0</v>
      </c>
      <c r="AV83" s="26"/>
    </row>
    <row r="84" spans="1:48">
      <c r="A84" t="s">
        <v>3101</v>
      </c>
      <c r="B84" t="s">
        <v>2649</v>
      </c>
      <c r="C84" t="s">
        <v>1474</v>
      </c>
      <c r="D84">
        <v>2</v>
      </c>
      <c r="I84" s="272"/>
      <c r="J84" s="272"/>
      <c r="K84" s="272"/>
      <c r="L84" s="272"/>
      <c r="N84" s="272"/>
      <c r="P84" s="272"/>
      <c r="R84" s="272"/>
      <c r="U84" t="str">
        <f t="shared" si="4"/>
        <v/>
      </c>
      <c r="Y84" t="str">
        <f t="shared" si="5"/>
        <v/>
      </c>
      <c r="AR84">
        <v>0</v>
      </c>
      <c r="AS84" t="str">
        <v/>
      </c>
      <c r="AT84">
        <v>0</v>
      </c>
      <c r="AV84" s="26"/>
    </row>
    <row r="85" spans="1:48">
      <c r="A85" t="s">
        <v>2729</v>
      </c>
      <c r="B85" t="s">
        <v>2733</v>
      </c>
      <c r="C85" t="s">
        <v>1463</v>
      </c>
      <c r="D85">
        <v>0.4</v>
      </c>
      <c r="I85" s="272"/>
      <c r="J85" s="272"/>
      <c r="K85" s="272"/>
      <c r="L85" s="272"/>
      <c r="N85" s="272"/>
      <c r="P85" s="272"/>
      <c r="R85" s="272"/>
      <c r="U85" t="str">
        <f t="shared" si="4"/>
        <v/>
      </c>
      <c r="Y85" t="str">
        <f t="shared" si="5"/>
        <v/>
      </c>
      <c r="AR85">
        <v>0</v>
      </c>
      <c r="AS85" t="str">
        <v/>
      </c>
      <c r="AT85">
        <v>0</v>
      </c>
      <c r="AV85" s="26"/>
    </row>
    <row r="86" spans="1:48">
      <c r="A86" t="s">
        <v>2303</v>
      </c>
      <c r="B86" t="s">
        <v>2768</v>
      </c>
      <c r="C86" t="s">
        <v>1493</v>
      </c>
      <c r="D86">
        <v>1</v>
      </c>
      <c r="I86" s="272"/>
      <c r="J86" s="272"/>
      <c r="K86" s="272"/>
      <c r="L86" s="272"/>
      <c r="N86" s="272"/>
      <c r="P86" s="272"/>
      <c r="R86" s="272"/>
      <c r="Y86" t="str">
        <f t="shared" si="5"/>
        <v/>
      </c>
      <c r="AR86">
        <v>0</v>
      </c>
      <c r="AS86">
        <v>0</v>
      </c>
      <c r="AT86">
        <v>0</v>
      </c>
      <c r="AV86" s="26"/>
    </row>
    <row r="87" spans="1:48">
      <c r="A87" t="s">
        <v>2950</v>
      </c>
      <c r="B87" t="s">
        <v>2657</v>
      </c>
      <c r="C87" t="s">
        <v>1452</v>
      </c>
      <c r="D87">
        <v>1</v>
      </c>
      <c r="I87" s="272"/>
      <c r="J87" s="272"/>
      <c r="K87" s="272"/>
      <c r="L87" s="272"/>
      <c r="N87" s="272"/>
      <c r="P87" s="272"/>
      <c r="R87" s="272"/>
      <c r="Y87" t="str">
        <f t="shared" si="5"/>
        <v/>
      </c>
      <c r="AR87">
        <v>0</v>
      </c>
      <c r="AS87">
        <v>0</v>
      </c>
      <c r="AT87">
        <v>0</v>
      </c>
      <c r="AV87" s="26"/>
    </row>
    <row r="88" spans="1:48">
      <c r="A88" t="s">
        <v>2610</v>
      </c>
      <c r="B88" t="s">
        <v>2659</v>
      </c>
      <c r="C88" t="s">
        <v>1488</v>
      </c>
      <c r="D88">
        <v>0.5</v>
      </c>
      <c r="G88" t="s">
        <v>3253</v>
      </c>
      <c r="I88" s="272"/>
      <c r="J88" s="272"/>
      <c r="K88" s="272">
        <v>45826</v>
      </c>
      <c r="L88" s="272"/>
      <c r="N88" s="272"/>
      <c r="P88" s="272"/>
      <c r="R88" s="272"/>
      <c r="Y88" t="str">
        <f t="shared" si="5"/>
        <v/>
      </c>
      <c r="AR88">
        <v>0</v>
      </c>
      <c r="AS88">
        <v>0</v>
      </c>
      <c r="AT88">
        <v>0</v>
      </c>
      <c r="AV88" s="26"/>
    </row>
    <row r="89" spans="1:48">
      <c r="A89" t="s">
        <v>2611</v>
      </c>
      <c r="B89" t="s">
        <v>2660</v>
      </c>
      <c r="C89" t="s">
        <v>1426</v>
      </c>
      <c r="D89">
        <v>0.5</v>
      </c>
      <c r="G89" t="s">
        <v>3253</v>
      </c>
      <c r="I89" s="272"/>
      <c r="J89" s="272"/>
      <c r="K89" s="272">
        <v>45828</v>
      </c>
      <c r="L89" s="272"/>
      <c r="N89" s="272"/>
      <c r="P89" s="272"/>
      <c r="R89" s="272"/>
      <c r="Y89" t="str">
        <f t="shared" si="5"/>
        <v/>
      </c>
      <c r="AR89">
        <v>0</v>
      </c>
      <c r="AS89">
        <v>0</v>
      </c>
      <c r="AT89">
        <v>0</v>
      </c>
      <c r="AV89" s="26"/>
    </row>
    <row r="90" spans="1:48">
      <c r="A90" t="s">
        <v>2612</v>
      </c>
      <c r="B90" t="s">
        <v>2661</v>
      </c>
      <c r="C90" t="s">
        <v>1488</v>
      </c>
      <c r="D90">
        <v>0.5</v>
      </c>
      <c r="G90" t="s">
        <v>3253</v>
      </c>
      <c r="I90" s="272"/>
      <c r="J90" s="272"/>
      <c r="K90" s="272">
        <v>45826</v>
      </c>
      <c r="L90" s="272"/>
      <c r="N90" s="272"/>
      <c r="P90" s="272"/>
      <c r="R90" s="272"/>
      <c r="Y90" t="str">
        <f t="shared" si="5"/>
        <v/>
      </c>
      <c r="AR90">
        <v>0</v>
      </c>
      <c r="AS90">
        <v>0</v>
      </c>
      <c r="AT90">
        <v>0</v>
      </c>
      <c r="AV90" s="26"/>
    </row>
    <row r="91" spans="1:48">
      <c r="A91" t="s">
        <v>2613</v>
      </c>
      <c r="B91" t="s">
        <v>2662</v>
      </c>
      <c r="C91" t="s">
        <v>1426</v>
      </c>
      <c r="D91">
        <v>0.5</v>
      </c>
      <c r="G91" t="s">
        <v>3253</v>
      </c>
      <c r="I91" s="272"/>
      <c r="J91" s="272"/>
      <c r="K91" s="272">
        <v>45828</v>
      </c>
      <c r="L91" s="272"/>
      <c r="N91" s="272"/>
      <c r="P91" s="272"/>
      <c r="R91" s="272"/>
      <c r="Y91" t="str">
        <f t="shared" si="5"/>
        <v/>
      </c>
      <c r="AR91">
        <v>0</v>
      </c>
      <c r="AS91">
        <v>0</v>
      </c>
      <c r="AT91">
        <v>0</v>
      </c>
      <c r="AV91" s="26"/>
    </row>
    <row r="92" spans="1:48">
      <c r="A92" t="s">
        <v>2614</v>
      </c>
      <c r="B92" t="s">
        <v>2756</v>
      </c>
      <c r="C92" t="s">
        <v>1454</v>
      </c>
      <c r="D92">
        <v>0.5</v>
      </c>
      <c r="I92" s="272"/>
      <c r="J92" s="272"/>
      <c r="K92" s="272"/>
      <c r="L92" s="272"/>
      <c r="N92" s="272"/>
      <c r="P92" s="272"/>
      <c r="R92" s="272"/>
      <c r="Y92" t="str">
        <f t="shared" si="5"/>
        <v/>
      </c>
      <c r="AR92">
        <v>0</v>
      </c>
      <c r="AS92">
        <v>0</v>
      </c>
      <c r="AT92">
        <v>0</v>
      </c>
    </row>
    <row r="93" spans="1:48">
      <c r="A93" t="s">
        <v>309</v>
      </c>
      <c r="B93" t="s">
        <v>2673</v>
      </c>
      <c r="C93" t="s">
        <v>1430</v>
      </c>
      <c r="D93">
        <v>1</v>
      </c>
      <c r="G93" t="s">
        <v>3253</v>
      </c>
      <c r="I93" s="272"/>
      <c r="J93" s="272"/>
      <c r="K93" s="272">
        <v>45823</v>
      </c>
      <c r="L93" s="272"/>
      <c r="N93" s="272"/>
      <c r="P93" s="272"/>
      <c r="R93" s="272"/>
      <c r="Y93" t="str">
        <f t="shared" si="5"/>
        <v/>
      </c>
      <c r="AR93">
        <v>0</v>
      </c>
      <c r="AS93">
        <v>0</v>
      </c>
      <c r="AT93">
        <v>0</v>
      </c>
    </row>
    <row r="94" spans="1:48">
      <c r="A94" t="s">
        <v>3049</v>
      </c>
      <c r="B94" t="s">
        <v>3007</v>
      </c>
      <c r="C94" t="s">
        <v>2706</v>
      </c>
      <c r="D94">
        <v>8</v>
      </c>
      <c r="G94" t="s">
        <v>3253</v>
      </c>
      <c r="I94" s="272"/>
      <c r="J94" s="272"/>
      <c r="K94" s="272">
        <v>45823</v>
      </c>
      <c r="L94" s="272"/>
      <c r="N94" s="272"/>
      <c r="P94" s="272"/>
      <c r="R94" s="272"/>
      <c r="Y94" t="str">
        <f t="shared" si="5"/>
        <v/>
      </c>
      <c r="AR94">
        <v>0</v>
      </c>
      <c r="AS94">
        <v>0</v>
      </c>
      <c r="AT94">
        <v>0</v>
      </c>
    </row>
    <row r="95" spans="1:48">
      <c r="A95" t="s">
        <v>3050</v>
      </c>
      <c r="B95" t="s">
        <v>3008</v>
      </c>
      <c r="C95" t="s">
        <v>2707</v>
      </c>
      <c r="D95">
        <v>8</v>
      </c>
      <c r="G95" t="s">
        <v>3253</v>
      </c>
      <c r="I95" s="272"/>
      <c r="J95" s="272"/>
      <c r="K95" s="272">
        <v>45823</v>
      </c>
      <c r="L95" s="272"/>
      <c r="N95" s="272"/>
      <c r="P95" s="272"/>
      <c r="R95" s="272"/>
      <c r="Y95" t="str">
        <f t="shared" si="5"/>
        <v/>
      </c>
      <c r="AR95">
        <v>0</v>
      </c>
      <c r="AS95">
        <v>0</v>
      </c>
      <c r="AT95">
        <v>0</v>
      </c>
    </row>
    <row r="96" spans="1:48">
      <c r="A96" t="s">
        <v>3052</v>
      </c>
      <c r="B96" t="s">
        <v>3030</v>
      </c>
      <c r="C96" t="s">
        <v>2708</v>
      </c>
      <c r="D96">
        <v>8</v>
      </c>
      <c r="G96" t="s">
        <v>3253</v>
      </c>
      <c r="I96" s="272"/>
      <c r="J96" s="272"/>
      <c r="K96" s="272">
        <v>45818</v>
      </c>
      <c r="L96" s="272"/>
      <c r="N96" s="272"/>
      <c r="P96" s="272"/>
      <c r="R96" s="272"/>
      <c r="Y96" t="str">
        <f t="shared" si="5"/>
        <v/>
      </c>
      <c r="AR96">
        <v>0</v>
      </c>
      <c r="AS96">
        <v>0</v>
      </c>
      <c r="AT96">
        <v>0</v>
      </c>
    </row>
    <row r="97" spans="1:46">
      <c r="A97" t="s">
        <v>2300</v>
      </c>
      <c r="B97" t="s">
        <v>3192</v>
      </c>
      <c r="C97" t="s">
        <v>1455</v>
      </c>
      <c r="D97">
        <v>0.5</v>
      </c>
      <c r="I97" s="272"/>
      <c r="J97" s="272"/>
      <c r="K97" s="272"/>
      <c r="L97" s="272"/>
      <c r="N97" s="272"/>
      <c r="P97" s="272"/>
      <c r="R97" s="272"/>
      <c r="Y97" t="str">
        <f t="shared" si="5"/>
        <v/>
      </c>
      <c r="AR97">
        <v>0</v>
      </c>
      <c r="AS97">
        <v>0</v>
      </c>
      <c r="AT97">
        <v>0</v>
      </c>
    </row>
    <row r="98" spans="1:46">
      <c r="A98" t="s">
        <v>2596</v>
      </c>
      <c r="B98" t="s">
        <v>2623</v>
      </c>
      <c r="C98" t="s">
        <v>1429</v>
      </c>
      <c r="D98">
        <v>1</v>
      </c>
      <c r="I98" s="272"/>
      <c r="J98" s="272"/>
      <c r="K98" s="272"/>
      <c r="L98" s="272"/>
      <c r="N98" s="272"/>
      <c r="P98" s="272"/>
      <c r="R98" s="272"/>
      <c r="Y98" t="str">
        <f t="shared" si="5"/>
        <v/>
      </c>
      <c r="AR98">
        <v>0</v>
      </c>
      <c r="AS98">
        <v>0</v>
      </c>
      <c r="AT98">
        <v>0</v>
      </c>
    </row>
    <row r="99" spans="1:46">
      <c r="A99" t="s">
        <v>1751</v>
      </c>
      <c r="B99" t="s">
        <v>2625</v>
      </c>
      <c r="C99" t="s">
        <v>1446</v>
      </c>
      <c r="D99">
        <v>2</v>
      </c>
      <c r="I99" s="272"/>
      <c r="J99" s="272"/>
      <c r="K99" s="272"/>
      <c r="L99" s="272"/>
      <c r="N99" s="272"/>
      <c r="P99" s="272"/>
      <c r="R99" s="272"/>
      <c r="Y99" t="str">
        <f t="shared" si="5"/>
        <v/>
      </c>
      <c r="AR99">
        <v>0</v>
      </c>
      <c r="AS99">
        <v>0</v>
      </c>
      <c r="AT99">
        <v>0</v>
      </c>
    </row>
    <row r="100" spans="1:46">
      <c r="A100" t="s">
        <v>1750</v>
      </c>
      <c r="B100" t="s">
        <v>2626</v>
      </c>
      <c r="C100" t="s">
        <v>1495</v>
      </c>
      <c r="D100">
        <v>2</v>
      </c>
      <c r="I100" s="272"/>
      <c r="J100" s="272"/>
      <c r="K100" s="272"/>
      <c r="L100" s="272"/>
      <c r="N100" s="272"/>
      <c r="P100" s="272"/>
      <c r="R100" s="272"/>
      <c r="Y100" t="str">
        <f t="shared" si="5"/>
        <v/>
      </c>
      <c r="AR100">
        <v>0</v>
      </c>
      <c r="AS100">
        <v>0</v>
      </c>
      <c r="AT100">
        <v>0</v>
      </c>
    </row>
    <row r="101" spans="1:46">
      <c r="A101" t="s">
        <v>2777</v>
      </c>
      <c r="B101" t="s">
        <v>2778</v>
      </c>
      <c r="C101" t="s">
        <v>1501</v>
      </c>
      <c r="D101">
        <v>0.8</v>
      </c>
      <c r="I101" s="272"/>
      <c r="J101" s="272"/>
      <c r="K101" s="272"/>
      <c r="L101" s="272"/>
      <c r="N101" s="272"/>
      <c r="P101" s="272"/>
      <c r="R101" s="272"/>
      <c r="Y101" t="str">
        <f t="shared" si="5"/>
        <v/>
      </c>
      <c r="AR101">
        <v>0</v>
      </c>
      <c r="AS101">
        <v>0</v>
      </c>
      <c r="AT101">
        <v>0</v>
      </c>
    </row>
    <row r="102" spans="1:46">
      <c r="A102" t="s">
        <v>2597</v>
      </c>
      <c r="B102" t="s">
        <v>2628</v>
      </c>
      <c r="C102" t="s">
        <v>1468</v>
      </c>
      <c r="D102">
        <v>1</v>
      </c>
      <c r="I102" s="272"/>
      <c r="J102" s="272"/>
      <c r="K102" s="272"/>
      <c r="L102" s="272"/>
      <c r="N102" s="272"/>
      <c r="P102" s="272"/>
      <c r="R102" s="272"/>
      <c r="Y102" t="str">
        <f t="shared" si="5"/>
        <v/>
      </c>
      <c r="AR102">
        <v>0</v>
      </c>
      <c r="AS102">
        <v>0</v>
      </c>
      <c r="AT102">
        <v>0</v>
      </c>
    </row>
    <row r="103" spans="1:46">
      <c r="A103" t="s">
        <v>2598</v>
      </c>
      <c r="B103" t="s">
        <v>2629</v>
      </c>
      <c r="C103" t="s">
        <v>1469</v>
      </c>
      <c r="D103">
        <v>1</v>
      </c>
      <c r="I103" s="272"/>
      <c r="J103" s="272"/>
      <c r="K103" s="272"/>
      <c r="L103" s="272"/>
      <c r="N103" s="272"/>
      <c r="P103" s="272"/>
      <c r="R103" s="272"/>
      <c r="Y103" t="str">
        <f t="shared" si="5"/>
        <v/>
      </c>
      <c r="AR103">
        <v>0</v>
      </c>
      <c r="AS103">
        <v>0</v>
      </c>
      <c r="AT103">
        <v>0</v>
      </c>
    </row>
    <row r="104" spans="1:46">
      <c r="A104" t="s">
        <v>2799</v>
      </c>
      <c r="B104" t="s">
        <v>2800</v>
      </c>
      <c r="C104" t="s">
        <v>1470</v>
      </c>
      <c r="D104">
        <v>1</v>
      </c>
      <c r="I104" s="272"/>
      <c r="J104" s="272"/>
      <c r="K104" s="272"/>
      <c r="L104" s="272"/>
      <c r="N104" s="272"/>
      <c r="P104" s="272"/>
      <c r="R104" s="272"/>
      <c r="Y104" t="str">
        <f t="shared" si="5"/>
        <v/>
      </c>
      <c r="AR104">
        <v>0</v>
      </c>
      <c r="AS104">
        <v>0</v>
      </c>
      <c r="AT104">
        <v>0</v>
      </c>
    </row>
    <row r="105" spans="1:46">
      <c r="A105" t="s">
        <v>1714</v>
      </c>
      <c r="B105" t="s">
        <v>2762</v>
      </c>
      <c r="C105" t="s">
        <v>1451</v>
      </c>
      <c r="D105">
        <v>0.5</v>
      </c>
      <c r="I105" s="272"/>
      <c r="J105" s="272"/>
      <c r="K105" s="272"/>
      <c r="L105" s="272"/>
      <c r="N105" s="272"/>
      <c r="P105" s="272"/>
      <c r="R105" s="272"/>
      <c r="Y105" t="str">
        <f t="shared" si="5"/>
        <v/>
      </c>
      <c r="AR105">
        <v>0</v>
      </c>
      <c r="AS105">
        <v>0</v>
      </c>
      <c r="AT105">
        <v>0</v>
      </c>
    </row>
    <row r="106" spans="1:46">
      <c r="A106" t="s">
        <v>353</v>
      </c>
      <c r="B106" t="s">
        <v>2779</v>
      </c>
      <c r="C106" t="s">
        <v>1448</v>
      </c>
      <c r="D106">
        <v>1</v>
      </c>
      <c r="I106" s="272"/>
      <c r="J106" s="272"/>
      <c r="K106" s="272"/>
      <c r="L106" s="272"/>
      <c r="N106" s="272"/>
      <c r="P106" s="272"/>
      <c r="R106" s="272"/>
      <c r="Y106" t="str">
        <f t="shared" si="5"/>
        <v/>
      </c>
      <c r="AR106">
        <v>0</v>
      </c>
      <c r="AS106">
        <v>0</v>
      </c>
      <c r="AT106">
        <v>0</v>
      </c>
    </row>
    <row r="107" spans="1:46">
      <c r="A107" t="s">
        <v>404</v>
      </c>
      <c r="B107" t="s">
        <v>2635</v>
      </c>
      <c r="C107" t="s">
        <v>1467</v>
      </c>
      <c r="D107">
        <v>1</v>
      </c>
      <c r="I107" s="272"/>
      <c r="J107" s="272"/>
      <c r="K107" s="272"/>
      <c r="L107" s="272"/>
      <c r="N107" s="272"/>
      <c r="P107" s="272"/>
      <c r="R107" s="272"/>
      <c r="Y107" t="str">
        <f t="shared" si="5"/>
        <v/>
      </c>
      <c r="AR107">
        <v>0</v>
      </c>
      <c r="AS107">
        <v>0</v>
      </c>
      <c r="AT107">
        <v>0</v>
      </c>
    </row>
    <row r="108" spans="1:46">
      <c r="A108" t="s">
        <v>2807</v>
      </c>
      <c r="B108" t="s">
        <v>2808</v>
      </c>
      <c r="C108" t="s">
        <v>1489</v>
      </c>
      <c r="D108">
        <v>1</v>
      </c>
      <c r="I108" s="272"/>
      <c r="J108" s="272"/>
      <c r="K108" s="272"/>
      <c r="L108" s="272"/>
      <c r="N108" s="272"/>
      <c r="P108" s="272"/>
      <c r="R108" s="272"/>
      <c r="Y108" t="str">
        <f t="shared" si="5"/>
        <v/>
      </c>
      <c r="AR108">
        <v>0</v>
      </c>
      <c r="AS108">
        <v>0</v>
      </c>
      <c r="AT108">
        <v>0</v>
      </c>
    </row>
    <row r="109" spans="1:46">
      <c r="A109" t="s">
        <v>2747</v>
      </c>
      <c r="B109" t="s">
        <v>2738</v>
      </c>
      <c r="C109" t="s">
        <v>1433</v>
      </c>
      <c r="D109">
        <v>0.25</v>
      </c>
      <c r="I109" s="272"/>
      <c r="J109" s="272"/>
      <c r="K109" s="272"/>
      <c r="L109" s="272"/>
      <c r="N109" s="272"/>
      <c r="P109" s="272"/>
      <c r="R109" s="272"/>
      <c r="Y109" t="str">
        <f t="shared" si="5"/>
        <v/>
      </c>
      <c r="AR109">
        <v>0</v>
      </c>
      <c r="AS109">
        <v>0</v>
      </c>
      <c r="AT109">
        <v>0</v>
      </c>
    </row>
    <row r="110" spans="1:46">
      <c r="A110" t="s">
        <v>2747</v>
      </c>
      <c r="B110" t="s">
        <v>2739</v>
      </c>
      <c r="C110" t="s">
        <v>1433</v>
      </c>
      <c r="D110">
        <v>0.25</v>
      </c>
      <c r="I110" s="272"/>
      <c r="J110" s="272"/>
      <c r="K110" s="272"/>
      <c r="L110" s="272"/>
      <c r="N110" s="272"/>
      <c r="P110" s="272"/>
      <c r="R110" s="272"/>
      <c r="Y110" t="str">
        <f t="shared" si="5"/>
        <v/>
      </c>
      <c r="AR110">
        <v>0</v>
      </c>
      <c r="AS110">
        <v>0</v>
      </c>
      <c r="AT110">
        <v>0</v>
      </c>
    </row>
    <row r="111" spans="1:46">
      <c r="A111" t="s">
        <v>2747</v>
      </c>
      <c r="B111" t="s">
        <v>2740</v>
      </c>
      <c r="C111" t="s">
        <v>1433</v>
      </c>
      <c r="D111">
        <v>0.25</v>
      </c>
      <c r="I111" s="272"/>
      <c r="J111" s="272"/>
      <c r="K111" s="272"/>
      <c r="L111" s="272"/>
      <c r="N111" s="272"/>
      <c r="P111" s="272"/>
      <c r="R111" s="272"/>
      <c r="Y111" t="str">
        <f t="shared" si="5"/>
        <v/>
      </c>
      <c r="AR111">
        <v>0</v>
      </c>
      <c r="AS111">
        <v>0</v>
      </c>
      <c r="AT111">
        <v>0</v>
      </c>
    </row>
    <row r="112" spans="1:46">
      <c r="A112" t="s">
        <v>2748</v>
      </c>
      <c r="B112" t="s">
        <v>2744</v>
      </c>
      <c r="C112" t="s">
        <v>1433</v>
      </c>
      <c r="D112">
        <v>0.25</v>
      </c>
      <c r="I112" s="272"/>
      <c r="J112" s="272"/>
      <c r="K112" s="272"/>
      <c r="L112" s="272"/>
      <c r="N112" s="272"/>
      <c r="P112" s="272"/>
      <c r="R112" s="272"/>
      <c r="Y112" t="str">
        <f t="shared" si="5"/>
        <v/>
      </c>
      <c r="AR112">
        <v>0</v>
      </c>
      <c r="AS112">
        <v>0</v>
      </c>
      <c r="AT112">
        <v>0</v>
      </c>
    </row>
    <row r="113" spans="1:46">
      <c r="A113" t="s">
        <v>2748</v>
      </c>
      <c r="B113" t="s">
        <v>2745</v>
      </c>
      <c r="C113" t="s">
        <v>1433</v>
      </c>
      <c r="D113">
        <v>0.25</v>
      </c>
      <c r="I113" s="272"/>
      <c r="J113" s="272"/>
      <c r="K113" s="272"/>
      <c r="L113" s="272"/>
      <c r="N113" s="272"/>
      <c r="P113" s="272"/>
      <c r="R113" s="272"/>
      <c r="Y113" t="str">
        <f t="shared" si="5"/>
        <v/>
      </c>
      <c r="AR113">
        <v>0</v>
      </c>
      <c r="AS113">
        <v>0</v>
      </c>
      <c r="AT113">
        <v>0</v>
      </c>
    </row>
    <row r="114" spans="1:46">
      <c r="A114" t="s">
        <v>3126</v>
      </c>
      <c r="B114" t="s">
        <v>2728</v>
      </c>
      <c r="C114" t="s">
        <v>1476</v>
      </c>
      <c r="D114">
        <v>1</v>
      </c>
      <c r="I114" s="272"/>
      <c r="J114" s="272"/>
      <c r="K114" s="272"/>
      <c r="L114" s="272"/>
      <c r="N114" s="272"/>
      <c r="P114" s="272"/>
      <c r="R114" s="272"/>
      <c r="Y114" t="str">
        <f t="shared" si="5"/>
        <v/>
      </c>
      <c r="AR114">
        <v>0</v>
      </c>
      <c r="AS114">
        <v>0</v>
      </c>
      <c r="AT114">
        <v>0</v>
      </c>
    </row>
    <row r="115" spans="1:46">
      <c r="A115" t="s">
        <v>1916</v>
      </c>
      <c r="B115" t="s">
        <v>2647</v>
      </c>
      <c r="C115" t="s">
        <v>1424</v>
      </c>
      <c r="D115">
        <v>1</v>
      </c>
      <c r="I115" s="272"/>
      <c r="J115" s="272"/>
      <c r="K115" s="272"/>
      <c r="L115" s="272"/>
      <c r="N115" s="272"/>
      <c r="P115" s="272"/>
      <c r="R115" s="272"/>
      <c r="Y115" t="str">
        <f t="shared" si="5"/>
        <v/>
      </c>
      <c r="AR115">
        <v>0</v>
      </c>
      <c r="AS115">
        <v>0</v>
      </c>
      <c r="AT115">
        <v>0</v>
      </c>
    </row>
    <row r="116" spans="1:46">
      <c r="A116" t="s">
        <v>2303</v>
      </c>
      <c r="B116" t="s">
        <v>2769</v>
      </c>
      <c r="C116" t="s">
        <v>1494</v>
      </c>
      <c r="D116">
        <v>1</v>
      </c>
      <c r="I116" s="272"/>
      <c r="J116" s="272"/>
      <c r="K116" s="272"/>
      <c r="L116" s="272"/>
      <c r="N116" s="272"/>
      <c r="P116" s="272"/>
      <c r="R116" s="272"/>
      <c r="Y116" t="str">
        <f t="shared" ref="Y116:Y119" si="6">IF(ISNUMBER(X116),"Tilthed", "")</f>
        <v/>
      </c>
      <c r="AR116">
        <v>0</v>
      </c>
      <c r="AS116">
        <v>0</v>
      </c>
      <c r="AT116">
        <v>0</v>
      </c>
    </row>
    <row r="117" spans="1:46">
      <c r="A117" t="s">
        <v>2303</v>
      </c>
      <c r="B117" t="s">
        <v>2770</v>
      </c>
      <c r="C117" t="s">
        <v>1487</v>
      </c>
      <c r="D117">
        <v>1</v>
      </c>
      <c r="I117" s="272"/>
      <c r="J117" s="272"/>
      <c r="K117" s="272"/>
      <c r="L117" s="272"/>
      <c r="N117" s="272"/>
      <c r="P117" s="272"/>
      <c r="R117" s="272"/>
      <c r="Y117" t="str">
        <f t="shared" si="6"/>
        <v/>
      </c>
      <c r="AR117">
        <v>0</v>
      </c>
      <c r="AS117">
        <v>0</v>
      </c>
      <c r="AT117">
        <v>0</v>
      </c>
    </row>
    <row r="118" spans="1:46">
      <c r="A118" t="s">
        <v>2303</v>
      </c>
      <c r="B118" t="s">
        <v>2771</v>
      </c>
      <c r="C118" t="s">
        <v>1493</v>
      </c>
      <c r="D118">
        <v>1</v>
      </c>
      <c r="I118" s="272"/>
      <c r="J118" s="272"/>
      <c r="K118" s="272"/>
      <c r="L118" s="272"/>
      <c r="N118" s="272"/>
      <c r="P118" s="272"/>
      <c r="R118" s="272"/>
      <c r="Y118" t="str">
        <f t="shared" si="6"/>
        <v/>
      </c>
      <c r="AR118">
        <v>0</v>
      </c>
      <c r="AS118">
        <v>0</v>
      </c>
      <c r="AT118">
        <v>0</v>
      </c>
    </row>
    <row r="119" spans="1:46">
      <c r="A119" t="s">
        <v>2775</v>
      </c>
      <c r="B119" t="s">
        <v>2772</v>
      </c>
      <c r="C119" t="s">
        <v>1460</v>
      </c>
      <c r="D119">
        <v>0.4</v>
      </c>
      <c r="I119" s="272"/>
      <c r="J119" s="272"/>
      <c r="K119" s="272"/>
      <c r="L119" s="272"/>
      <c r="N119" s="272"/>
      <c r="P119" s="272"/>
      <c r="R119" s="272"/>
      <c r="Y119" t="str">
        <f t="shared" si="6"/>
        <v/>
      </c>
      <c r="AR119">
        <v>0</v>
      </c>
      <c r="AS119">
        <v>0</v>
      </c>
      <c r="AT119">
        <v>0</v>
      </c>
    </row>
    <row r="120" spans="1:46">
      <c r="A120" t="s">
        <v>2775</v>
      </c>
      <c r="B120" t="s">
        <v>2773</v>
      </c>
      <c r="C120" t="s">
        <v>1461</v>
      </c>
      <c r="D120">
        <v>0.4</v>
      </c>
      <c r="I120" s="272"/>
      <c r="J120" s="272"/>
      <c r="K120" s="272"/>
      <c r="L120" s="272"/>
      <c r="N120" s="272"/>
      <c r="P120" s="272"/>
      <c r="R120" s="272"/>
      <c r="AR120">
        <v>0</v>
      </c>
      <c r="AS120">
        <v>0</v>
      </c>
      <c r="AT120">
        <v>0</v>
      </c>
    </row>
    <row r="121" spans="1:46">
      <c r="A121" t="s">
        <v>2775</v>
      </c>
      <c r="B121" t="s">
        <v>2774</v>
      </c>
      <c r="C121" t="s">
        <v>1462</v>
      </c>
      <c r="D121">
        <v>0.4</v>
      </c>
      <c r="I121" s="272"/>
      <c r="J121" s="272"/>
      <c r="K121" s="272"/>
      <c r="L121" s="272"/>
      <c r="N121" s="272"/>
      <c r="P121" s="272"/>
      <c r="R121" s="272"/>
      <c r="AR121">
        <v>0</v>
      </c>
      <c r="AS121">
        <v>0</v>
      </c>
      <c r="AT121">
        <v>0</v>
      </c>
    </row>
    <row r="122" spans="1:46">
      <c r="A122" t="s">
        <v>2729</v>
      </c>
      <c r="B122" t="s">
        <v>3188</v>
      </c>
      <c r="C122" t="s">
        <v>1487</v>
      </c>
      <c r="D122">
        <v>1</v>
      </c>
      <c r="I122" s="272"/>
      <c r="J122" s="272"/>
      <c r="K122" s="272"/>
      <c r="L122" s="272"/>
      <c r="N122" s="272"/>
      <c r="P122" s="272"/>
      <c r="R122" s="272"/>
      <c r="AR122">
        <v>0</v>
      </c>
      <c r="AS122">
        <v>0</v>
      </c>
      <c r="AT122">
        <v>0</v>
      </c>
    </row>
    <row r="123" spans="1:46">
      <c r="A123" t="s">
        <v>2612</v>
      </c>
      <c r="B123" t="s">
        <v>2781</v>
      </c>
      <c r="C123" t="s">
        <v>1499</v>
      </c>
      <c r="D123">
        <v>0.4</v>
      </c>
      <c r="I123" s="272"/>
      <c r="J123" s="272"/>
      <c r="K123" s="272"/>
      <c r="L123" s="272"/>
      <c r="N123" s="272"/>
      <c r="P123" s="272"/>
      <c r="R123" s="272"/>
      <c r="AR123">
        <v>0</v>
      </c>
      <c r="AS123">
        <v>0</v>
      </c>
      <c r="AT123">
        <v>0</v>
      </c>
    </row>
    <row r="124" spans="1:46">
      <c r="A124" t="s">
        <v>1308</v>
      </c>
      <c r="B124" t="s">
        <v>2665</v>
      </c>
      <c r="C124" t="s">
        <v>1456</v>
      </c>
      <c r="D124">
        <v>1.6</v>
      </c>
      <c r="I124" s="272"/>
      <c r="J124" s="272"/>
      <c r="K124" s="272"/>
      <c r="L124" s="272"/>
      <c r="N124" s="272"/>
      <c r="P124" s="272"/>
      <c r="R124" s="272"/>
      <c r="AR124">
        <v>0</v>
      </c>
      <c r="AS124">
        <v>0</v>
      </c>
      <c r="AT124">
        <v>0</v>
      </c>
    </row>
    <row r="125" spans="1:46">
      <c r="A125" t="s">
        <v>1924</v>
      </c>
      <c r="B125" t="s">
        <v>2667</v>
      </c>
      <c r="C125" t="s">
        <v>1450</v>
      </c>
      <c r="D125">
        <v>1</v>
      </c>
      <c r="I125" s="272"/>
      <c r="J125" s="272"/>
      <c r="K125" s="272"/>
      <c r="L125" s="272"/>
      <c r="N125" s="272"/>
      <c r="P125" s="272"/>
      <c r="R125" s="272"/>
      <c r="AR125">
        <v>0</v>
      </c>
      <c r="AS125">
        <v>0</v>
      </c>
      <c r="AT125">
        <v>0</v>
      </c>
    </row>
    <row r="126" spans="1:46">
      <c r="A126" t="s">
        <v>1923</v>
      </c>
      <c r="B126" t="s">
        <v>2668</v>
      </c>
      <c r="C126" t="s">
        <v>1436</v>
      </c>
      <c r="D126">
        <v>1</v>
      </c>
      <c r="I126" s="272"/>
      <c r="J126" s="272"/>
      <c r="K126" s="272"/>
      <c r="L126" s="272"/>
      <c r="N126" s="272"/>
      <c r="P126" s="272"/>
      <c r="R126" s="272"/>
      <c r="AR126">
        <v>0</v>
      </c>
      <c r="AS126">
        <v>0</v>
      </c>
      <c r="AT126">
        <v>0</v>
      </c>
    </row>
    <row r="127" spans="1:46">
      <c r="A127" t="s">
        <v>2614</v>
      </c>
      <c r="B127" t="s">
        <v>2757</v>
      </c>
      <c r="C127" t="s">
        <v>1453</v>
      </c>
      <c r="D127">
        <v>0.5</v>
      </c>
      <c r="I127" s="272"/>
      <c r="J127" s="272"/>
      <c r="K127" s="272"/>
      <c r="L127" s="272"/>
      <c r="N127" s="272"/>
      <c r="P127" s="272"/>
      <c r="R127" s="272"/>
      <c r="AR127">
        <v>0</v>
      </c>
      <c r="AS127">
        <v>0</v>
      </c>
      <c r="AT127">
        <v>0</v>
      </c>
    </row>
    <row r="128" spans="1:46">
      <c r="A128" t="s">
        <v>2614</v>
      </c>
      <c r="B128" t="s">
        <v>2758</v>
      </c>
      <c r="C128" t="s">
        <v>1454</v>
      </c>
      <c r="D128">
        <v>0.5</v>
      </c>
      <c r="I128" s="272"/>
      <c r="J128" s="272"/>
      <c r="K128" s="272"/>
      <c r="L128" s="272"/>
      <c r="N128" s="272"/>
      <c r="P128" s="272"/>
      <c r="R128" s="272"/>
      <c r="AR128">
        <v>0</v>
      </c>
      <c r="AS128">
        <v>0</v>
      </c>
      <c r="AT128">
        <v>0</v>
      </c>
    </row>
    <row r="129" spans="1:46">
      <c r="A129" t="s">
        <v>2614</v>
      </c>
      <c r="B129" t="s">
        <v>2759</v>
      </c>
      <c r="C129" t="s">
        <v>1453</v>
      </c>
      <c r="D129">
        <v>0.5</v>
      </c>
      <c r="I129" s="272"/>
      <c r="J129" s="272"/>
      <c r="K129" s="272"/>
      <c r="L129" s="272"/>
      <c r="N129" s="272"/>
      <c r="P129" s="272"/>
      <c r="R129" s="272"/>
      <c r="AR129">
        <v>0</v>
      </c>
      <c r="AS129">
        <v>0</v>
      </c>
      <c r="AT129">
        <v>0</v>
      </c>
    </row>
    <row r="130" spans="1:46">
      <c r="A130" t="s">
        <v>3189</v>
      </c>
      <c r="B130" t="s">
        <v>2763</v>
      </c>
      <c r="C130" t="s">
        <v>1442</v>
      </c>
      <c r="D130">
        <v>0.5</v>
      </c>
      <c r="I130" s="272"/>
      <c r="J130" s="272"/>
      <c r="K130" s="272"/>
      <c r="L130" s="272"/>
      <c r="N130" s="272"/>
      <c r="P130" s="272"/>
      <c r="R130" s="272"/>
      <c r="AR130">
        <v>0</v>
      </c>
      <c r="AS130">
        <v>0</v>
      </c>
      <c r="AT130">
        <v>0</v>
      </c>
    </row>
    <row r="131" spans="1:46">
      <c r="A131" t="s">
        <v>3189</v>
      </c>
      <c r="B131" t="s">
        <v>2765</v>
      </c>
      <c r="C131" t="s">
        <v>1490</v>
      </c>
      <c r="D131">
        <v>0.5</v>
      </c>
      <c r="I131" s="272"/>
      <c r="J131" s="272"/>
      <c r="K131" s="272"/>
      <c r="L131" s="272"/>
      <c r="N131" s="272"/>
      <c r="P131" s="272"/>
      <c r="R131" s="272"/>
      <c r="AR131">
        <v>0</v>
      </c>
      <c r="AS131">
        <v>0</v>
      </c>
      <c r="AT131">
        <v>0</v>
      </c>
    </row>
    <row r="132" spans="1:46">
      <c r="A132" t="s">
        <v>2750</v>
      </c>
      <c r="B132" t="s">
        <v>2679</v>
      </c>
      <c r="C132" t="s">
        <v>1454</v>
      </c>
      <c r="D132">
        <v>0.5</v>
      </c>
      <c r="I132" s="272"/>
      <c r="J132" s="272"/>
      <c r="K132" s="272"/>
      <c r="L132" s="272"/>
      <c r="N132" s="272"/>
      <c r="P132" s="272"/>
      <c r="R132" s="272"/>
      <c r="AR132">
        <v>0</v>
      </c>
      <c r="AS132">
        <v>0</v>
      </c>
      <c r="AT132">
        <v>0</v>
      </c>
    </row>
    <row r="133" spans="1:46">
      <c r="A133" t="s">
        <v>2750</v>
      </c>
      <c r="B133" t="s">
        <v>2752</v>
      </c>
      <c r="C133" t="s">
        <v>1453</v>
      </c>
      <c r="D133">
        <v>0.5</v>
      </c>
      <c r="I133" s="272"/>
      <c r="J133" s="272"/>
      <c r="K133" s="272"/>
      <c r="L133" s="272"/>
      <c r="N133" s="272"/>
      <c r="P133" s="272"/>
      <c r="R133" s="272"/>
      <c r="AR133">
        <v>0</v>
      </c>
      <c r="AS133">
        <v>0</v>
      </c>
      <c r="AT133">
        <v>0</v>
      </c>
    </row>
    <row r="134" spans="1:46">
      <c r="A134" t="s">
        <v>2750</v>
      </c>
      <c r="B134" t="s">
        <v>2753</v>
      </c>
      <c r="C134" t="s">
        <v>1454</v>
      </c>
      <c r="D134">
        <v>0.5</v>
      </c>
      <c r="I134" s="272"/>
      <c r="J134" s="272"/>
      <c r="K134" s="272"/>
      <c r="L134" s="272"/>
      <c r="N134" s="272"/>
      <c r="P134" s="272"/>
      <c r="R134" s="272"/>
      <c r="AR134">
        <v>0</v>
      </c>
      <c r="AS134">
        <v>0</v>
      </c>
      <c r="AT134">
        <v>0</v>
      </c>
    </row>
    <row r="135" spans="1:46">
      <c r="A135" t="s">
        <v>2750</v>
      </c>
      <c r="B135" t="s">
        <v>2754</v>
      </c>
      <c r="C135" t="s">
        <v>1453</v>
      </c>
      <c r="D135">
        <v>0.5</v>
      </c>
      <c r="I135" s="272"/>
      <c r="J135" s="272"/>
      <c r="K135" s="272"/>
      <c r="L135" s="272"/>
      <c r="N135" s="272"/>
      <c r="P135" s="272"/>
      <c r="R135" s="272"/>
      <c r="AR135">
        <v>0</v>
      </c>
      <c r="AS135">
        <v>0</v>
      </c>
      <c r="AT135">
        <v>0</v>
      </c>
    </row>
    <row r="136" spans="1:46">
      <c r="AR136">
        <v>0</v>
      </c>
      <c r="AS136">
        <v>0</v>
      </c>
      <c r="AT136">
        <v>0</v>
      </c>
    </row>
    <row r="137" spans="1:46">
      <c r="AR137">
        <v>0</v>
      </c>
      <c r="AS137">
        <v>0</v>
      </c>
      <c r="AT137">
        <v>0</v>
      </c>
    </row>
    <row r="138" spans="1:46">
      <c r="AR138">
        <v>0</v>
      </c>
      <c r="AS138">
        <v>0</v>
      </c>
      <c r="AT138">
        <v>0</v>
      </c>
    </row>
    <row r="139" spans="1:46">
      <c r="AR139">
        <v>0</v>
      </c>
      <c r="AS139">
        <v>0</v>
      </c>
      <c r="AT139">
        <v>0</v>
      </c>
    </row>
    <row r="140" spans="1:46">
      <c r="AR140">
        <v>0</v>
      </c>
      <c r="AS140">
        <v>0</v>
      </c>
      <c r="AT140">
        <v>0</v>
      </c>
    </row>
    <row r="141" spans="1:46">
      <c r="AR141">
        <v>0</v>
      </c>
      <c r="AS141">
        <v>0</v>
      </c>
      <c r="AT141">
        <v>0</v>
      </c>
    </row>
    <row r="142" spans="1:46">
      <c r="AR142">
        <v>0</v>
      </c>
      <c r="AS142">
        <v>0</v>
      </c>
      <c r="AT142">
        <v>0</v>
      </c>
    </row>
    <row r="143" spans="1:46">
      <c r="AR143">
        <v>0</v>
      </c>
      <c r="AS143">
        <v>0</v>
      </c>
      <c r="AT143">
        <v>0</v>
      </c>
    </row>
    <row r="144" spans="1:46">
      <c r="AR144">
        <v>0</v>
      </c>
      <c r="AS144">
        <v>0</v>
      </c>
      <c r="AT144">
        <v>0</v>
      </c>
    </row>
    <row r="145" spans="44:46">
      <c r="AR145">
        <v>0</v>
      </c>
      <c r="AS145">
        <v>0</v>
      </c>
      <c r="AT145">
        <v>0</v>
      </c>
    </row>
    <row r="146" spans="44:46">
      <c r="AR146">
        <v>0</v>
      </c>
      <c r="AS146">
        <v>0</v>
      </c>
      <c r="AT146">
        <v>0</v>
      </c>
    </row>
    <row r="147" spans="44:46">
      <c r="AR147">
        <v>0</v>
      </c>
      <c r="AS147">
        <v>0</v>
      </c>
      <c r="AT147">
        <v>0</v>
      </c>
    </row>
    <row r="148" spans="44:46">
      <c r="AR148">
        <v>0</v>
      </c>
      <c r="AS148">
        <v>0</v>
      </c>
      <c r="AT148">
        <v>0</v>
      </c>
    </row>
    <row r="149" spans="44:46">
      <c r="AR149">
        <v>0</v>
      </c>
      <c r="AS149">
        <v>0</v>
      </c>
      <c r="AT149">
        <v>0</v>
      </c>
    </row>
    <row r="150" spans="44:46">
      <c r="AR150">
        <v>0</v>
      </c>
      <c r="AS150">
        <v>0</v>
      </c>
      <c r="AT150">
        <v>0</v>
      </c>
    </row>
    <row r="151" spans="44:46">
      <c r="AR151">
        <v>0</v>
      </c>
      <c r="AS151">
        <v>0</v>
      </c>
      <c r="AT151">
        <v>0</v>
      </c>
    </row>
    <row r="152" spans="44:46">
      <c r="AR152">
        <v>0</v>
      </c>
      <c r="AS152">
        <v>0</v>
      </c>
      <c r="AT152">
        <v>0</v>
      </c>
    </row>
    <row r="153" spans="44:46">
      <c r="AR153">
        <v>0</v>
      </c>
      <c r="AS153">
        <v>0</v>
      </c>
      <c r="AT153">
        <v>0</v>
      </c>
    </row>
    <row r="154" spans="44:46">
      <c r="AR154">
        <v>0</v>
      </c>
      <c r="AS154">
        <v>0</v>
      </c>
      <c r="AT154">
        <v>0</v>
      </c>
    </row>
    <row r="155" spans="44:46">
      <c r="AR155">
        <v>0</v>
      </c>
      <c r="AS155">
        <v>0</v>
      </c>
      <c r="AT155">
        <v>0</v>
      </c>
    </row>
    <row r="156" spans="44:46">
      <c r="AR156">
        <v>0</v>
      </c>
      <c r="AS156">
        <v>0</v>
      </c>
      <c r="AT156">
        <v>0</v>
      </c>
    </row>
    <row r="157" spans="44:46">
      <c r="AR157">
        <v>0</v>
      </c>
      <c r="AS157">
        <v>0</v>
      </c>
      <c r="AT157">
        <v>0</v>
      </c>
    </row>
    <row r="158" spans="44:46">
      <c r="AR158">
        <v>0</v>
      </c>
      <c r="AS158">
        <v>0</v>
      </c>
      <c r="AT158">
        <v>0</v>
      </c>
    </row>
    <row r="159" spans="44:46">
      <c r="AR159">
        <v>0</v>
      </c>
      <c r="AS159">
        <v>0</v>
      </c>
      <c r="AT159">
        <v>0</v>
      </c>
    </row>
    <row r="160" spans="44:46">
      <c r="AR160">
        <v>0</v>
      </c>
      <c r="AS160">
        <v>0</v>
      </c>
      <c r="AT160">
        <v>0</v>
      </c>
    </row>
    <row r="161" spans="44:46">
      <c r="AR161">
        <v>0</v>
      </c>
      <c r="AS161">
        <v>0</v>
      </c>
      <c r="AT161">
        <v>0</v>
      </c>
    </row>
    <row r="162" spans="44:46">
      <c r="AR162">
        <v>0</v>
      </c>
      <c r="AS162">
        <v>0</v>
      </c>
      <c r="AT162">
        <v>0</v>
      </c>
    </row>
    <row r="163" spans="44:46">
      <c r="AR163">
        <v>0</v>
      </c>
      <c r="AS163">
        <v>0</v>
      </c>
      <c r="AT163">
        <v>0</v>
      </c>
    </row>
    <row r="164" spans="44:46">
      <c r="AR164">
        <v>0</v>
      </c>
      <c r="AS164">
        <v>0</v>
      </c>
      <c r="AT164">
        <v>0</v>
      </c>
    </row>
    <row r="165" spans="44:46">
      <c r="AR165">
        <v>0</v>
      </c>
      <c r="AS165">
        <v>0</v>
      </c>
      <c r="AT165">
        <v>0</v>
      </c>
    </row>
    <row r="166" spans="44:46">
      <c r="AR166">
        <v>0</v>
      </c>
      <c r="AS166">
        <v>0</v>
      </c>
      <c r="AT166">
        <v>0</v>
      </c>
    </row>
    <row r="167" spans="44:46">
      <c r="AR167">
        <v>0</v>
      </c>
      <c r="AS167">
        <v>0</v>
      </c>
      <c r="AT167">
        <v>0</v>
      </c>
    </row>
    <row r="168" spans="44:46">
      <c r="AR168">
        <v>0</v>
      </c>
      <c r="AS168">
        <v>0</v>
      </c>
      <c r="AT168">
        <v>0</v>
      </c>
    </row>
    <row r="169" spans="44:46">
      <c r="AR169">
        <v>0</v>
      </c>
      <c r="AS169">
        <v>0</v>
      </c>
      <c r="AT169">
        <v>0</v>
      </c>
    </row>
    <row r="170" spans="44:46">
      <c r="AR170">
        <v>0</v>
      </c>
      <c r="AS170">
        <v>0</v>
      </c>
      <c r="AT170">
        <v>0</v>
      </c>
    </row>
    <row r="171" spans="44:46">
      <c r="AR171">
        <v>0</v>
      </c>
      <c r="AS171">
        <v>0</v>
      </c>
      <c r="AT171">
        <v>0</v>
      </c>
    </row>
    <row r="172" spans="44:46">
      <c r="AR172">
        <v>0</v>
      </c>
      <c r="AS172">
        <v>0</v>
      </c>
      <c r="AT172">
        <v>0</v>
      </c>
    </row>
    <row r="173" spans="44:46">
      <c r="AR173">
        <v>0</v>
      </c>
      <c r="AS173">
        <v>0</v>
      </c>
      <c r="AT173">
        <v>0</v>
      </c>
    </row>
    <row r="174" spans="44:46">
      <c r="AR174">
        <v>0</v>
      </c>
      <c r="AS174">
        <v>0</v>
      </c>
      <c r="AT174">
        <v>0</v>
      </c>
    </row>
    <row r="175" spans="44:46">
      <c r="AR175">
        <v>0</v>
      </c>
      <c r="AS175">
        <v>0</v>
      </c>
      <c r="AT175">
        <v>0</v>
      </c>
    </row>
    <row r="176" spans="44:46">
      <c r="AR176">
        <v>0</v>
      </c>
      <c r="AS176">
        <v>0</v>
      </c>
      <c r="AT176">
        <v>0</v>
      </c>
    </row>
    <row r="177" spans="44:46">
      <c r="AR177">
        <v>0</v>
      </c>
      <c r="AS177">
        <v>0</v>
      </c>
      <c r="AT177">
        <v>0</v>
      </c>
    </row>
    <row r="178" spans="44:46">
      <c r="AR178">
        <v>0</v>
      </c>
      <c r="AS178">
        <v>0</v>
      </c>
      <c r="AT178">
        <v>0</v>
      </c>
    </row>
    <row r="179" spans="44:46">
      <c r="AR179">
        <v>0</v>
      </c>
      <c r="AS179">
        <v>0</v>
      </c>
      <c r="AT179">
        <v>0</v>
      </c>
    </row>
    <row r="180" spans="44:46">
      <c r="AR180">
        <v>0</v>
      </c>
      <c r="AS180">
        <v>0</v>
      </c>
      <c r="AT180">
        <v>0</v>
      </c>
    </row>
    <row r="181" spans="44:46">
      <c r="AR181">
        <v>0</v>
      </c>
      <c r="AS181">
        <v>0</v>
      </c>
      <c r="AT181">
        <v>0</v>
      </c>
    </row>
    <row r="182" spans="44:46">
      <c r="AR182">
        <v>0</v>
      </c>
      <c r="AS182">
        <v>0</v>
      </c>
      <c r="AT182">
        <v>0</v>
      </c>
    </row>
    <row r="183" spans="44:46">
      <c r="AR183">
        <v>0</v>
      </c>
      <c r="AS183">
        <v>0</v>
      </c>
      <c r="AT183">
        <v>0</v>
      </c>
    </row>
    <row r="184" spans="44:46">
      <c r="AR184">
        <v>0</v>
      </c>
      <c r="AS184">
        <v>0</v>
      </c>
      <c r="AT184">
        <v>0</v>
      </c>
    </row>
    <row r="185" spans="44:46">
      <c r="AR185">
        <v>0</v>
      </c>
      <c r="AS185">
        <v>0</v>
      </c>
      <c r="AT185">
        <v>0</v>
      </c>
    </row>
    <row r="186" spans="44:46">
      <c r="AR186">
        <v>0</v>
      </c>
      <c r="AS186">
        <v>0</v>
      </c>
      <c r="AT186">
        <v>0</v>
      </c>
    </row>
    <row r="187" spans="44:46">
      <c r="AR187">
        <v>0</v>
      </c>
      <c r="AS187">
        <v>0</v>
      </c>
      <c r="AT187">
        <v>0</v>
      </c>
    </row>
    <row r="188" spans="44:46">
      <c r="AR188">
        <v>0</v>
      </c>
      <c r="AS188">
        <v>0</v>
      </c>
      <c r="AT188">
        <v>0</v>
      </c>
    </row>
    <row r="189" spans="44:46">
      <c r="AR189">
        <v>0</v>
      </c>
      <c r="AS189">
        <v>0</v>
      </c>
      <c r="AT189">
        <v>0</v>
      </c>
    </row>
    <row r="190" spans="44:46">
      <c r="AR190">
        <v>0</v>
      </c>
      <c r="AS190">
        <v>0</v>
      </c>
      <c r="AT190">
        <v>0</v>
      </c>
    </row>
    <row r="191" spans="44:46">
      <c r="AR191">
        <v>0</v>
      </c>
      <c r="AS191">
        <v>0</v>
      </c>
      <c r="AT191">
        <v>0</v>
      </c>
    </row>
    <row r="192" spans="44:46">
      <c r="AR192">
        <v>0</v>
      </c>
      <c r="AS192">
        <v>0</v>
      </c>
      <c r="AT192">
        <v>0</v>
      </c>
    </row>
    <row r="193" spans="44:46">
      <c r="AR193">
        <v>0</v>
      </c>
      <c r="AS193">
        <v>0</v>
      </c>
      <c r="AT193">
        <v>0</v>
      </c>
    </row>
    <row r="194" spans="44:46">
      <c r="AR194">
        <v>0</v>
      </c>
      <c r="AS194">
        <v>0</v>
      </c>
      <c r="AT194">
        <v>0</v>
      </c>
    </row>
    <row r="195" spans="44:46">
      <c r="AR195">
        <v>0</v>
      </c>
      <c r="AS195">
        <v>0</v>
      </c>
      <c r="AT195">
        <v>0</v>
      </c>
    </row>
    <row r="196" spans="44:46">
      <c r="AR196">
        <v>0</v>
      </c>
      <c r="AS196">
        <v>0</v>
      </c>
      <c r="AT196">
        <v>0</v>
      </c>
    </row>
    <row r="197" spans="44:46">
      <c r="AR197">
        <v>0</v>
      </c>
      <c r="AS197">
        <v>0</v>
      </c>
      <c r="AT197">
        <v>0</v>
      </c>
    </row>
    <row r="198" spans="44:46">
      <c r="AR198">
        <v>0</v>
      </c>
      <c r="AS198">
        <v>0</v>
      </c>
      <c r="AT198">
        <v>0</v>
      </c>
    </row>
    <row r="199" spans="44:46">
      <c r="AR199">
        <v>0</v>
      </c>
      <c r="AS199">
        <v>0</v>
      </c>
      <c r="AT199">
        <v>0</v>
      </c>
    </row>
    <row r="200" spans="44:46">
      <c r="AR200">
        <v>0</v>
      </c>
      <c r="AS200">
        <v>0</v>
      </c>
      <c r="AT200">
        <v>0</v>
      </c>
    </row>
    <row r="201" spans="44:46">
      <c r="AR201">
        <v>0</v>
      </c>
      <c r="AS201">
        <v>0</v>
      </c>
      <c r="AT201">
        <v>0</v>
      </c>
    </row>
    <row r="202" spans="44:46">
      <c r="AR202">
        <v>0</v>
      </c>
      <c r="AS202">
        <v>0</v>
      </c>
      <c r="AT202">
        <v>0</v>
      </c>
    </row>
    <row r="203" spans="44:46">
      <c r="AR203">
        <v>0</v>
      </c>
      <c r="AS203">
        <v>0</v>
      </c>
      <c r="AT203">
        <v>0</v>
      </c>
    </row>
    <row r="204" spans="44:46">
      <c r="AR204">
        <v>0</v>
      </c>
      <c r="AS204">
        <v>0</v>
      </c>
      <c r="AT204">
        <v>0</v>
      </c>
    </row>
    <row r="205" spans="44:46">
      <c r="AR205">
        <v>0</v>
      </c>
      <c r="AS205">
        <v>0</v>
      </c>
      <c r="AT205">
        <v>0</v>
      </c>
    </row>
    <row r="206" spans="44:46">
      <c r="AR206">
        <v>0</v>
      </c>
      <c r="AS206">
        <v>0</v>
      </c>
      <c r="AT206">
        <v>0</v>
      </c>
    </row>
    <row r="207" spans="44:46">
      <c r="AR207">
        <v>0</v>
      </c>
      <c r="AS207">
        <v>0</v>
      </c>
      <c r="AT207">
        <v>0</v>
      </c>
    </row>
    <row r="208" spans="44:46">
      <c r="AR208">
        <v>0</v>
      </c>
      <c r="AS208">
        <v>0</v>
      </c>
      <c r="AT208">
        <v>0</v>
      </c>
    </row>
    <row r="209" spans="44:46">
      <c r="AR209">
        <v>0</v>
      </c>
      <c r="AS209">
        <v>0</v>
      </c>
      <c r="AT209">
        <v>0</v>
      </c>
    </row>
    <row r="210" spans="44:46">
      <c r="AR210">
        <v>0</v>
      </c>
      <c r="AS210">
        <v>0</v>
      </c>
      <c r="AT210">
        <v>0</v>
      </c>
    </row>
    <row r="211" spans="44:46">
      <c r="AR211">
        <v>0</v>
      </c>
      <c r="AS211">
        <v>0</v>
      </c>
      <c r="AT211">
        <v>0</v>
      </c>
    </row>
    <row r="212" spans="44:46">
      <c r="AR212">
        <v>0</v>
      </c>
      <c r="AS212">
        <v>0</v>
      </c>
      <c r="AT212">
        <v>0</v>
      </c>
    </row>
    <row r="213" spans="44:46">
      <c r="AR213">
        <v>0</v>
      </c>
      <c r="AS213">
        <v>0</v>
      </c>
      <c r="AT213">
        <v>0</v>
      </c>
    </row>
    <row r="214" spans="44:46">
      <c r="AR214">
        <v>0</v>
      </c>
      <c r="AS214">
        <v>0</v>
      </c>
      <c r="AT214">
        <v>0</v>
      </c>
    </row>
    <row r="215" spans="44:46">
      <c r="AR215">
        <v>0</v>
      </c>
      <c r="AS215">
        <v>0</v>
      </c>
      <c r="AT215">
        <v>0</v>
      </c>
    </row>
    <row r="216" spans="44:46">
      <c r="AR216">
        <v>0</v>
      </c>
      <c r="AS216">
        <v>0</v>
      </c>
      <c r="AT216">
        <v>0</v>
      </c>
    </row>
    <row r="217" spans="44:46">
      <c r="AR217">
        <v>0</v>
      </c>
      <c r="AS217">
        <v>0</v>
      </c>
      <c r="AT217">
        <v>0</v>
      </c>
    </row>
    <row r="218" spans="44:46">
      <c r="AR218">
        <v>0</v>
      </c>
      <c r="AS218">
        <v>0</v>
      </c>
      <c r="AT218">
        <v>0</v>
      </c>
    </row>
    <row r="219" spans="44:46">
      <c r="AR219">
        <v>0</v>
      </c>
      <c r="AS219">
        <v>0</v>
      </c>
      <c r="AT219">
        <v>0</v>
      </c>
    </row>
    <row r="220" spans="44:46">
      <c r="AR220">
        <v>0</v>
      </c>
      <c r="AS220">
        <v>0</v>
      </c>
      <c r="AT220">
        <v>0</v>
      </c>
    </row>
    <row r="221" spans="44:46">
      <c r="AR221">
        <v>0</v>
      </c>
      <c r="AS221">
        <v>0</v>
      </c>
      <c r="AT221">
        <v>0</v>
      </c>
    </row>
    <row r="222" spans="44:46">
      <c r="AR222">
        <v>0</v>
      </c>
      <c r="AS222">
        <v>0</v>
      </c>
      <c r="AT222">
        <v>0</v>
      </c>
    </row>
    <row r="223" spans="44:46">
      <c r="AR223">
        <v>0</v>
      </c>
      <c r="AS223">
        <v>0</v>
      </c>
      <c r="AT223">
        <v>0</v>
      </c>
    </row>
    <row r="224" spans="44:46">
      <c r="AR224">
        <v>0</v>
      </c>
      <c r="AS224">
        <v>0</v>
      </c>
      <c r="AT224">
        <v>0</v>
      </c>
    </row>
    <row r="225" spans="44:46">
      <c r="AR225">
        <v>0</v>
      </c>
      <c r="AS225">
        <v>0</v>
      </c>
      <c r="AT225">
        <v>0</v>
      </c>
    </row>
    <row r="226" spans="44:46">
      <c r="AR226">
        <v>0</v>
      </c>
      <c r="AS226">
        <v>0</v>
      </c>
      <c r="AT226">
        <v>0</v>
      </c>
    </row>
    <row r="227" spans="44:46">
      <c r="AR227">
        <v>0</v>
      </c>
      <c r="AS227">
        <v>0</v>
      </c>
      <c r="AT227">
        <v>0</v>
      </c>
    </row>
    <row r="228" spans="44:46">
      <c r="AR228">
        <v>0</v>
      </c>
      <c r="AS228">
        <v>0</v>
      </c>
      <c r="AT228">
        <v>0</v>
      </c>
    </row>
    <row r="229" spans="44:46">
      <c r="AR229">
        <v>0</v>
      </c>
      <c r="AS229">
        <v>0</v>
      </c>
      <c r="AT229">
        <v>0</v>
      </c>
    </row>
    <row r="230" spans="44:46">
      <c r="AR230">
        <v>0</v>
      </c>
      <c r="AS230">
        <v>0</v>
      </c>
      <c r="AT230">
        <v>0</v>
      </c>
    </row>
    <row r="231" spans="44:46">
      <c r="AR231">
        <v>0</v>
      </c>
      <c r="AS231">
        <v>0</v>
      </c>
      <c r="AT231">
        <v>0</v>
      </c>
    </row>
    <row r="232" spans="44:46">
      <c r="AR232">
        <v>0</v>
      </c>
      <c r="AS232">
        <v>0</v>
      </c>
      <c r="AT232">
        <v>0</v>
      </c>
    </row>
    <row r="233" spans="44:46">
      <c r="AR233">
        <v>0</v>
      </c>
      <c r="AS233">
        <v>0</v>
      </c>
      <c r="AT233">
        <v>0</v>
      </c>
    </row>
    <row r="234" spans="44:46">
      <c r="AR234">
        <v>0</v>
      </c>
      <c r="AS234">
        <v>0</v>
      </c>
      <c r="AT234">
        <v>0</v>
      </c>
    </row>
    <row r="235" spans="44:46">
      <c r="AR235">
        <v>0</v>
      </c>
      <c r="AS235">
        <v>0</v>
      </c>
      <c r="AT235">
        <v>0</v>
      </c>
    </row>
    <row r="236" spans="44:46">
      <c r="AR236">
        <v>0</v>
      </c>
      <c r="AS236">
        <v>0</v>
      </c>
      <c r="AT236">
        <v>0</v>
      </c>
    </row>
    <row r="237" spans="44:46">
      <c r="AR237">
        <v>0</v>
      </c>
      <c r="AS237">
        <v>0</v>
      </c>
      <c r="AT237">
        <v>0</v>
      </c>
    </row>
    <row r="238" spans="44:46">
      <c r="AR238">
        <v>0</v>
      </c>
      <c r="AS238">
        <v>0</v>
      </c>
      <c r="AT238">
        <v>0</v>
      </c>
    </row>
    <row r="239" spans="44:46">
      <c r="AR239">
        <v>0</v>
      </c>
      <c r="AS239">
        <v>0</v>
      </c>
      <c r="AT239">
        <v>0</v>
      </c>
    </row>
    <row r="240" spans="44:46">
      <c r="AR240">
        <v>0</v>
      </c>
      <c r="AS240">
        <v>0</v>
      </c>
      <c r="AT240">
        <v>0</v>
      </c>
    </row>
    <row r="241" spans="44:46">
      <c r="AR241">
        <v>0</v>
      </c>
      <c r="AS241">
        <v>0</v>
      </c>
      <c r="AT241">
        <v>0</v>
      </c>
    </row>
    <row r="242" spans="44:46">
      <c r="AR242">
        <v>0</v>
      </c>
      <c r="AS242">
        <v>0</v>
      </c>
      <c r="AT242">
        <v>0</v>
      </c>
    </row>
    <row r="243" spans="44:46">
      <c r="AR243">
        <v>0</v>
      </c>
      <c r="AS243">
        <v>0</v>
      </c>
      <c r="AT243">
        <v>0</v>
      </c>
    </row>
    <row r="244" spans="44:46">
      <c r="AR244">
        <v>0</v>
      </c>
      <c r="AS244">
        <v>0</v>
      </c>
      <c r="AT244">
        <v>0</v>
      </c>
    </row>
    <row r="245" spans="44:46">
      <c r="AR245">
        <v>0</v>
      </c>
      <c r="AS245">
        <v>0</v>
      </c>
      <c r="AT245">
        <v>0</v>
      </c>
    </row>
    <row r="246" spans="44:46">
      <c r="AR246">
        <v>0</v>
      </c>
      <c r="AS246">
        <v>0</v>
      </c>
      <c r="AT246">
        <v>0</v>
      </c>
    </row>
    <row r="247" spans="44:46">
      <c r="AR247">
        <v>0</v>
      </c>
      <c r="AS247">
        <v>0</v>
      </c>
      <c r="AT247">
        <v>0</v>
      </c>
    </row>
    <row r="248" spans="44:46">
      <c r="AR248">
        <v>0</v>
      </c>
      <c r="AS248">
        <v>0</v>
      </c>
      <c r="AT248">
        <v>0</v>
      </c>
    </row>
    <row r="249" spans="44:46">
      <c r="AR249">
        <v>0</v>
      </c>
      <c r="AS249">
        <v>0</v>
      </c>
      <c r="AT249">
        <v>0</v>
      </c>
    </row>
    <row r="250" spans="44:46">
      <c r="AR250">
        <v>0</v>
      </c>
      <c r="AS250">
        <v>0</v>
      </c>
      <c r="AT250">
        <v>0</v>
      </c>
    </row>
    <row r="251" spans="44:46">
      <c r="AR251">
        <v>0</v>
      </c>
      <c r="AS251">
        <v>0</v>
      </c>
      <c r="AT251">
        <v>0</v>
      </c>
    </row>
    <row r="252" spans="44:46">
      <c r="AR252">
        <v>0</v>
      </c>
      <c r="AS252">
        <v>0</v>
      </c>
      <c r="AT252">
        <v>0</v>
      </c>
    </row>
    <row r="253" spans="44:46">
      <c r="AR253">
        <v>0</v>
      </c>
      <c r="AS253">
        <v>0</v>
      </c>
      <c r="AT253">
        <v>0</v>
      </c>
    </row>
    <row r="254" spans="44:46">
      <c r="AR254">
        <v>0</v>
      </c>
      <c r="AS254">
        <v>0</v>
      </c>
      <c r="AT254">
        <v>0</v>
      </c>
    </row>
    <row r="255" spans="44:46">
      <c r="AR255">
        <v>0</v>
      </c>
      <c r="AS255">
        <v>0</v>
      </c>
      <c r="AT255">
        <v>0</v>
      </c>
    </row>
    <row r="256" spans="44:46">
      <c r="AR256">
        <v>0</v>
      </c>
      <c r="AS256">
        <v>0</v>
      </c>
      <c r="AT256">
        <v>0</v>
      </c>
    </row>
    <row r="257" spans="44:46">
      <c r="AR257">
        <v>0</v>
      </c>
      <c r="AS257">
        <v>0</v>
      </c>
      <c r="AT257">
        <v>0</v>
      </c>
    </row>
    <row r="258" spans="44:46">
      <c r="AR258">
        <v>0</v>
      </c>
      <c r="AS258">
        <v>0</v>
      </c>
      <c r="AT258">
        <v>0</v>
      </c>
    </row>
    <row r="259" spans="44:46">
      <c r="AR259">
        <v>0</v>
      </c>
      <c r="AS259">
        <v>0</v>
      </c>
      <c r="AT259">
        <v>0</v>
      </c>
    </row>
    <row r="260" spans="44:46">
      <c r="AR260">
        <v>0</v>
      </c>
      <c r="AS260">
        <v>0</v>
      </c>
      <c r="AT260">
        <v>0</v>
      </c>
    </row>
    <row r="261" spans="44:46">
      <c r="AR261">
        <v>0</v>
      </c>
      <c r="AS261">
        <v>0</v>
      </c>
      <c r="AT261">
        <v>0</v>
      </c>
    </row>
    <row r="262" spans="44:46">
      <c r="AR262">
        <v>0</v>
      </c>
      <c r="AS262">
        <v>0</v>
      </c>
      <c r="AT262">
        <v>0</v>
      </c>
    </row>
    <row r="263" spans="44:46">
      <c r="AR263">
        <v>0</v>
      </c>
      <c r="AS263">
        <v>0</v>
      </c>
      <c r="AT263">
        <v>0</v>
      </c>
    </row>
    <row r="264" spans="44:46">
      <c r="AR264">
        <v>0</v>
      </c>
      <c r="AS264">
        <v>0</v>
      </c>
      <c r="AT264">
        <v>0</v>
      </c>
    </row>
    <row r="265" spans="44:46">
      <c r="AR265">
        <v>0</v>
      </c>
      <c r="AS265">
        <v>0</v>
      </c>
      <c r="AT265">
        <v>0</v>
      </c>
    </row>
    <row r="266" spans="44:46">
      <c r="AR266">
        <v>0</v>
      </c>
      <c r="AS266">
        <v>0</v>
      </c>
      <c r="AT266">
        <v>0</v>
      </c>
    </row>
    <row r="267" spans="44:46">
      <c r="AR267">
        <v>0</v>
      </c>
      <c r="AS267">
        <v>0</v>
      </c>
      <c r="AT267">
        <v>0</v>
      </c>
    </row>
    <row r="268" spans="44:46">
      <c r="AR268">
        <v>0</v>
      </c>
      <c r="AS268">
        <v>0</v>
      </c>
      <c r="AT268">
        <v>0</v>
      </c>
    </row>
    <row r="269" spans="44:46">
      <c r="AR269">
        <v>0</v>
      </c>
      <c r="AS269">
        <v>0</v>
      </c>
      <c r="AT269">
        <v>0</v>
      </c>
    </row>
    <row r="270" spans="44:46">
      <c r="AR270">
        <v>0</v>
      </c>
      <c r="AS270">
        <v>0</v>
      </c>
      <c r="AT270">
        <v>0</v>
      </c>
    </row>
    <row r="271" spans="44:46">
      <c r="AR271">
        <v>0</v>
      </c>
      <c r="AS271">
        <v>0</v>
      </c>
      <c r="AT271">
        <v>0</v>
      </c>
    </row>
    <row r="272" spans="44:46">
      <c r="AR272">
        <v>0</v>
      </c>
      <c r="AS272">
        <v>0</v>
      </c>
      <c r="AT272">
        <v>0</v>
      </c>
    </row>
    <row r="273" spans="44:46">
      <c r="AR273">
        <v>0</v>
      </c>
      <c r="AS273">
        <v>0</v>
      </c>
      <c r="AT273">
        <v>0</v>
      </c>
    </row>
    <row r="274" spans="44:46">
      <c r="AR274">
        <v>0</v>
      </c>
      <c r="AS274">
        <v>0</v>
      </c>
      <c r="AT274">
        <v>0</v>
      </c>
    </row>
    <row r="275" spans="44:46">
      <c r="AR275">
        <v>0</v>
      </c>
      <c r="AS275">
        <v>0</v>
      </c>
      <c r="AT275">
        <v>0</v>
      </c>
    </row>
    <row r="276" spans="44:46">
      <c r="AR276">
        <v>0</v>
      </c>
      <c r="AS276">
        <v>0</v>
      </c>
      <c r="AT276">
        <v>0</v>
      </c>
    </row>
    <row r="277" spans="44:46">
      <c r="AR277">
        <v>0</v>
      </c>
      <c r="AS277">
        <v>0</v>
      </c>
      <c r="AT277">
        <v>0</v>
      </c>
    </row>
    <row r="278" spans="44:46">
      <c r="AR278">
        <v>0</v>
      </c>
      <c r="AS278">
        <v>0</v>
      </c>
      <c r="AT278">
        <v>0</v>
      </c>
    </row>
    <row r="279" spans="44:46">
      <c r="AR279">
        <v>0</v>
      </c>
      <c r="AS279">
        <v>0</v>
      </c>
      <c r="AT279">
        <v>0</v>
      </c>
    </row>
    <row r="280" spans="44:46">
      <c r="AR280">
        <v>0</v>
      </c>
      <c r="AS280">
        <v>0</v>
      </c>
      <c r="AT280">
        <v>0</v>
      </c>
    </row>
    <row r="281" spans="44:46">
      <c r="AR281">
        <v>0</v>
      </c>
      <c r="AS281">
        <v>0</v>
      </c>
      <c r="AT281">
        <v>0</v>
      </c>
    </row>
    <row r="282" spans="44:46">
      <c r="AR282">
        <v>0</v>
      </c>
      <c r="AS282">
        <v>0</v>
      </c>
      <c r="AT282">
        <v>0</v>
      </c>
    </row>
    <row r="283" spans="44:46">
      <c r="AR283">
        <v>0</v>
      </c>
      <c r="AS283">
        <v>0</v>
      </c>
      <c r="AT283">
        <v>0</v>
      </c>
    </row>
    <row r="284" spans="44:46">
      <c r="AR284">
        <v>0</v>
      </c>
      <c r="AS284">
        <v>0</v>
      </c>
      <c r="AT284">
        <v>0</v>
      </c>
    </row>
    <row r="285" spans="44:46">
      <c r="AR285">
        <v>0</v>
      </c>
      <c r="AS285">
        <v>0</v>
      </c>
      <c r="AT285">
        <v>0</v>
      </c>
    </row>
    <row r="286" spans="44:46">
      <c r="AR286">
        <v>0</v>
      </c>
      <c r="AS286">
        <v>0</v>
      </c>
      <c r="AT286">
        <v>0</v>
      </c>
    </row>
    <row r="287" spans="44:46">
      <c r="AR287">
        <v>0</v>
      </c>
      <c r="AS287">
        <v>0</v>
      </c>
      <c r="AT287">
        <v>0</v>
      </c>
    </row>
    <row r="288" spans="44:46">
      <c r="AR288">
        <v>0</v>
      </c>
      <c r="AS288">
        <v>0</v>
      </c>
      <c r="AT288">
        <v>0</v>
      </c>
    </row>
    <row r="289" spans="44:46">
      <c r="AR289">
        <v>0</v>
      </c>
      <c r="AS289">
        <v>0</v>
      </c>
      <c r="AT289">
        <v>0</v>
      </c>
    </row>
    <row r="290" spans="44:46">
      <c r="AR290">
        <v>0</v>
      </c>
      <c r="AS290">
        <v>0</v>
      </c>
      <c r="AT290">
        <v>0</v>
      </c>
    </row>
    <row r="291" spans="44:46">
      <c r="AR291">
        <v>0</v>
      </c>
      <c r="AS291">
        <v>0</v>
      </c>
      <c r="AT291">
        <v>0</v>
      </c>
    </row>
    <row r="292" spans="44:46">
      <c r="AR292">
        <v>0</v>
      </c>
      <c r="AS292">
        <v>0</v>
      </c>
      <c r="AT292">
        <v>0</v>
      </c>
    </row>
    <row r="293" spans="44:46">
      <c r="AR293">
        <v>0</v>
      </c>
      <c r="AS293">
        <v>0</v>
      </c>
      <c r="AT293">
        <v>0</v>
      </c>
    </row>
    <row r="294" spans="44:46">
      <c r="AR294">
        <v>0</v>
      </c>
      <c r="AS294">
        <v>0</v>
      </c>
      <c r="AT294">
        <v>0</v>
      </c>
    </row>
    <row r="295" spans="44:46">
      <c r="AR295">
        <v>0</v>
      </c>
      <c r="AS295">
        <v>0</v>
      </c>
      <c r="AT295">
        <v>0</v>
      </c>
    </row>
    <row r="296" spans="44:46">
      <c r="AR296">
        <v>0</v>
      </c>
      <c r="AS296">
        <v>0</v>
      </c>
      <c r="AT296">
        <v>0</v>
      </c>
    </row>
    <row r="297" spans="44:46">
      <c r="AR297">
        <v>0</v>
      </c>
      <c r="AS297">
        <v>0</v>
      </c>
      <c r="AT297">
        <v>0</v>
      </c>
    </row>
    <row r="298" spans="44:46">
      <c r="AR298">
        <v>0</v>
      </c>
      <c r="AS298">
        <v>0</v>
      </c>
      <c r="AT298">
        <v>0</v>
      </c>
    </row>
    <row r="299" spans="44:46">
      <c r="AR299">
        <v>0</v>
      </c>
      <c r="AS299">
        <v>0</v>
      </c>
      <c r="AT299">
        <v>0</v>
      </c>
    </row>
    <row r="300" spans="44:46">
      <c r="AR300">
        <v>0</v>
      </c>
      <c r="AS300">
        <v>0</v>
      </c>
      <c r="AT300">
        <v>0</v>
      </c>
    </row>
    <row r="301" spans="44:46">
      <c r="AR301">
        <v>0</v>
      </c>
      <c r="AS301">
        <v>0</v>
      </c>
      <c r="AT301">
        <v>0</v>
      </c>
    </row>
    <row r="302" spans="44:46">
      <c r="AR302">
        <v>0</v>
      </c>
      <c r="AS302">
        <v>0</v>
      </c>
      <c r="AT302">
        <v>0</v>
      </c>
    </row>
    <row r="303" spans="44:46">
      <c r="AR303">
        <v>0</v>
      </c>
      <c r="AS303">
        <v>0</v>
      </c>
      <c r="AT303">
        <v>0</v>
      </c>
    </row>
    <row r="304" spans="44:46">
      <c r="AR304">
        <v>0</v>
      </c>
      <c r="AS304">
        <v>0</v>
      </c>
      <c r="AT304">
        <v>0</v>
      </c>
    </row>
    <row r="305" spans="44:46">
      <c r="AR305">
        <v>0</v>
      </c>
      <c r="AS305">
        <v>0</v>
      </c>
      <c r="AT305">
        <v>0</v>
      </c>
    </row>
    <row r="306" spans="44:46">
      <c r="AR306">
        <v>0</v>
      </c>
      <c r="AS306">
        <v>0</v>
      </c>
      <c r="AT306">
        <v>0</v>
      </c>
    </row>
    <row r="307" spans="44:46">
      <c r="AR307">
        <v>0</v>
      </c>
      <c r="AS307">
        <v>0</v>
      </c>
      <c r="AT307">
        <v>0</v>
      </c>
    </row>
    <row r="308" spans="44:46">
      <c r="AR308">
        <v>0</v>
      </c>
      <c r="AS308">
        <v>0</v>
      </c>
      <c r="AT308">
        <v>0</v>
      </c>
    </row>
    <row r="309" spans="44:46">
      <c r="AR309">
        <v>0</v>
      </c>
      <c r="AS309">
        <v>0</v>
      </c>
      <c r="AT309">
        <v>0</v>
      </c>
    </row>
    <row r="310" spans="44:46">
      <c r="AR310">
        <v>0</v>
      </c>
      <c r="AS310">
        <v>0</v>
      </c>
      <c r="AT310">
        <v>0</v>
      </c>
    </row>
    <row r="311" spans="44:46">
      <c r="AR311">
        <v>0</v>
      </c>
      <c r="AS311">
        <v>0</v>
      </c>
      <c r="AT311">
        <v>0</v>
      </c>
    </row>
    <row r="312" spans="44:46">
      <c r="AR312">
        <v>0</v>
      </c>
      <c r="AS312">
        <v>0</v>
      </c>
      <c r="AT312">
        <v>0</v>
      </c>
    </row>
    <row r="313" spans="44:46">
      <c r="AR313">
        <v>0</v>
      </c>
      <c r="AS313">
        <v>0</v>
      </c>
      <c r="AT313">
        <v>0</v>
      </c>
    </row>
    <row r="314" spans="44:46">
      <c r="AR314">
        <v>0</v>
      </c>
      <c r="AS314">
        <v>0</v>
      </c>
      <c r="AT314">
        <v>0</v>
      </c>
    </row>
    <row r="315" spans="44:46">
      <c r="AR315">
        <v>0</v>
      </c>
      <c r="AS315">
        <v>0</v>
      </c>
      <c r="AT315">
        <v>0</v>
      </c>
    </row>
    <row r="316" spans="44:46">
      <c r="AR316">
        <v>0</v>
      </c>
      <c r="AS316">
        <v>0</v>
      </c>
      <c r="AT316">
        <v>0</v>
      </c>
    </row>
    <row r="317" spans="44:46">
      <c r="AR317">
        <v>0</v>
      </c>
      <c r="AS317">
        <v>0</v>
      </c>
      <c r="AT317">
        <v>0</v>
      </c>
    </row>
    <row r="318" spans="44:46">
      <c r="AR318">
        <v>0</v>
      </c>
      <c r="AS318">
        <v>0</v>
      </c>
      <c r="AT318">
        <v>0</v>
      </c>
    </row>
    <row r="319" spans="44:46">
      <c r="AR319">
        <v>0</v>
      </c>
      <c r="AS319">
        <v>0</v>
      </c>
      <c r="AT319">
        <v>0</v>
      </c>
    </row>
    <row r="320" spans="44:46">
      <c r="AR320">
        <v>0</v>
      </c>
      <c r="AS320">
        <v>0</v>
      </c>
      <c r="AT320">
        <v>0</v>
      </c>
    </row>
    <row r="321" spans="44:46">
      <c r="AR321">
        <v>0</v>
      </c>
      <c r="AS321">
        <v>0</v>
      </c>
      <c r="AT321">
        <v>0</v>
      </c>
    </row>
    <row r="322" spans="44:46">
      <c r="AR322">
        <v>0</v>
      </c>
      <c r="AS322">
        <v>0</v>
      </c>
      <c r="AT322">
        <v>0</v>
      </c>
    </row>
    <row r="323" spans="44:46">
      <c r="AR323">
        <v>0</v>
      </c>
      <c r="AS323">
        <v>0</v>
      </c>
      <c r="AT323">
        <v>0</v>
      </c>
    </row>
    <row r="324" spans="44:46">
      <c r="AR324">
        <v>0</v>
      </c>
      <c r="AS324">
        <v>0</v>
      </c>
      <c r="AT324">
        <v>0</v>
      </c>
    </row>
    <row r="325" spans="44:46">
      <c r="AR325">
        <v>0</v>
      </c>
      <c r="AS325">
        <v>0</v>
      </c>
      <c r="AT325">
        <v>0</v>
      </c>
    </row>
    <row r="326" spans="44:46">
      <c r="AR326">
        <v>0</v>
      </c>
      <c r="AS326">
        <v>0</v>
      </c>
      <c r="AT326">
        <v>0</v>
      </c>
    </row>
    <row r="327" spans="44:46">
      <c r="AR327">
        <v>0</v>
      </c>
      <c r="AS327">
        <v>0</v>
      </c>
      <c r="AT327">
        <v>0</v>
      </c>
    </row>
    <row r="328" spans="44:46">
      <c r="AR328">
        <v>0</v>
      </c>
      <c r="AS328">
        <v>0</v>
      </c>
      <c r="AT328">
        <v>0</v>
      </c>
    </row>
    <row r="329" spans="44:46">
      <c r="AR329">
        <v>0</v>
      </c>
      <c r="AS329">
        <v>0</v>
      </c>
      <c r="AT329">
        <v>0</v>
      </c>
    </row>
    <row r="330" spans="44:46">
      <c r="AR330">
        <v>0</v>
      </c>
      <c r="AS330">
        <v>0</v>
      </c>
      <c r="AT330">
        <v>0</v>
      </c>
    </row>
    <row r="331" spans="44:46">
      <c r="AR331">
        <v>0</v>
      </c>
      <c r="AS331">
        <v>0</v>
      </c>
      <c r="AT331">
        <v>0</v>
      </c>
    </row>
    <row r="332" spans="44:46">
      <c r="AR332">
        <v>0</v>
      </c>
      <c r="AS332">
        <v>0</v>
      </c>
      <c r="AT332">
        <v>0</v>
      </c>
    </row>
    <row r="333" spans="44:46">
      <c r="AR333">
        <v>0</v>
      </c>
      <c r="AS333">
        <v>0</v>
      </c>
      <c r="AT333">
        <v>0</v>
      </c>
    </row>
    <row r="334" spans="44:46">
      <c r="AR334">
        <v>0</v>
      </c>
      <c r="AS334">
        <v>0</v>
      </c>
      <c r="AT334">
        <v>0</v>
      </c>
    </row>
    <row r="335" spans="44:46">
      <c r="AR335">
        <v>0</v>
      </c>
      <c r="AS335">
        <v>0</v>
      </c>
      <c r="AT335">
        <v>0</v>
      </c>
    </row>
    <row r="336" spans="44:46">
      <c r="AR336">
        <v>0</v>
      </c>
      <c r="AS336">
        <v>0</v>
      </c>
      <c r="AT336">
        <v>0</v>
      </c>
    </row>
    <row r="337" spans="44:46">
      <c r="AR337">
        <v>0</v>
      </c>
      <c r="AS337">
        <v>0</v>
      </c>
      <c r="AT337">
        <v>0</v>
      </c>
    </row>
    <row r="338" spans="44:46">
      <c r="AR338">
        <v>0</v>
      </c>
      <c r="AS338">
        <v>0</v>
      </c>
      <c r="AT338">
        <v>0</v>
      </c>
    </row>
    <row r="339" spans="44:46">
      <c r="AR339">
        <v>0</v>
      </c>
      <c r="AS339">
        <v>0</v>
      </c>
      <c r="AT339">
        <v>0</v>
      </c>
    </row>
    <row r="340" spans="44:46">
      <c r="AR340">
        <v>0</v>
      </c>
      <c r="AS340">
        <v>0</v>
      </c>
      <c r="AT340">
        <v>0</v>
      </c>
    </row>
    <row r="341" spans="44:46">
      <c r="AR341">
        <v>0</v>
      </c>
      <c r="AS341">
        <v>0</v>
      </c>
      <c r="AT341">
        <v>0</v>
      </c>
    </row>
    <row r="342" spans="44:46">
      <c r="AR342">
        <v>0</v>
      </c>
      <c r="AS342">
        <v>0</v>
      </c>
      <c r="AT342">
        <v>0</v>
      </c>
    </row>
    <row r="343" spans="44:46">
      <c r="AR343">
        <v>0</v>
      </c>
      <c r="AS343">
        <v>0</v>
      </c>
      <c r="AT343">
        <v>0</v>
      </c>
    </row>
    <row r="344" spans="44:46">
      <c r="AR344">
        <v>0</v>
      </c>
      <c r="AS344">
        <v>0</v>
      </c>
      <c r="AT344">
        <v>0</v>
      </c>
    </row>
    <row r="345" spans="44:46">
      <c r="AR345">
        <v>0</v>
      </c>
      <c r="AS345">
        <v>0</v>
      </c>
      <c r="AT345">
        <v>0</v>
      </c>
    </row>
    <row r="346" spans="44:46">
      <c r="AR346">
        <v>0</v>
      </c>
      <c r="AS346">
        <v>0</v>
      </c>
      <c r="AT346">
        <v>0</v>
      </c>
    </row>
    <row r="347" spans="44:46">
      <c r="AR347">
        <v>0</v>
      </c>
      <c r="AS347">
        <v>0</v>
      </c>
      <c r="AT347">
        <v>0</v>
      </c>
    </row>
    <row r="348" spans="44:46">
      <c r="AR348">
        <v>0</v>
      </c>
      <c r="AS348">
        <v>0</v>
      </c>
      <c r="AT348">
        <v>0</v>
      </c>
    </row>
    <row r="349" spans="44:46">
      <c r="AR349">
        <v>0</v>
      </c>
      <c r="AS349">
        <v>0</v>
      </c>
      <c r="AT349">
        <v>0</v>
      </c>
    </row>
    <row r="350" spans="44:46">
      <c r="AR350">
        <v>0</v>
      </c>
      <c r="AS350">
        <v>0</v>
      </c>
      <c r="AT350">
        <v>0</v>
      </c>
    </row>
    <row r="351" spans="44:46">
      <c r="AR351">
        <v>0</v>
      </c>
      <c r="AS351">
        <v>0</v>
      </c>
      <c r="AT351">
        <v>0</v>
      </c>
    </row>
    <row r="352" spans="44:46">
      <c r="AR352">
        <v>0</v>
      </c>
      <c r="AS352">
        <v>0</v>
      </c>
      <c r="AT352">
        <v>0</v>
      </c>
    </row>
    <row r="353" spans="44:46">
      <c r="AR353">
        <v>0</v>
      </c>
      <c r="AS353">
        <v>0</v>
      </c>
      <c r="AT353">
        <v>0</v>
      </c>
    </row>
    <row r="354" spans="44:46">
      <c r="AR354">
        <v>0</v>
      </c>
      <c r="AS354">
        <v>0</v>
      </c>
      <c r="AT354">
        <v>0</v>
      </c>
    </row>
    <row r="355" spans="44:46">
      <c r="AR355">
        <v>0</v>
      </c>
      <c r="AS355">
        <v>0</v>
      </c>
      <c r="AT355">
        <v>0</v>
      </c>
    </row>
    <row r="356" spans="44:46">
      <c r="AR356">
        <v>0</v>
      </c>
      <c r="AS356">
        <v>0</v>
      </c>
      <c r="AT356">
        <v>0</v>
      </c>
    </row>
    <row r="357" spans="44:46">
      <c r="AR357">
        <v>0</v>
      </c>
      <c r="AS357">
        <v>0</v>
      </c>
      <c r="AT357">
        <v>0</v>
      </c>
    </row>
    <row r="358" spans="44:46">
      <c r="AR358">
        <v>0</v>
      </c>
      <c r="AS358">
        <v>0</v>
      </c>
      <c r="AT358">
        <v>0</v>
      </c>
    </row>
    <row r="359" spans="44:46">
      <c r="AR359">
        <v>0</v>
      </c>
      <c r="AS359">
        <v>0</v>
      </c>
      <c r="AT359">
        <v>0</v>
      </c>
    </row>
    <row r="360" spans="44:46">
      <c r="AR360">
        <v>0</v>
      </c>
      <c r="AS360">
        <v>0</v>
      </c>
      <c r="AT360">
        <v>0</v>
      </c>
    </row>
    <row r="361" spans="44:46">
      <c r="AR361">
        <v>0</v>
      </c>
      <c r="AS361">
        <v>0</v>
      </c>
      <c r="AT361">
        <v>0</v>
      </c>
    </row>
    <row r="362" spans="44:46">
      <c r="AR362">
        <v>0</v>
      </c>
      <c r="AS362">
        <v>0</v>
      </c>
      <c r="AT362">
        <v>0</v>
      </c>
    </row>
    <row r="363" spans="44:46">
      <c r="AR363">
        <v>0</v>
      </c>
      <c r="AS363">
        <v>0</v>
      </c>
      <c r="AT363">
        <v>0</v>
      </c>
    </row>
    <row r="364" spans="44:46">
      <c r="AR364">
        <v>0</v>
      </c>
      <c r="AS364">
        <v>0</v>
      </c>
      <c r="AT364">
        <v>0</v>
      </c>
    </row>
    <row r="365" spans="44:46">
      <c r="AR365">
        <v>0</v>
      </c>
      <c r="AS365">
        <v>0</v>
      </c>
      <c r="AT365">
        <v>0</v>
      </c>
    </row>
    <row r="366" spans="44:46">
      <c r="AR366">
        <v>0</v>
      </c>
      <c r="AS366">
        <v>0</v>
      </c>
      <c r="AT366">
        <v>0</v>
      </c>
    </row>
    <row r="367" spans="44:46">
      <c r="AR367">
        <v>0</v>
      </c>
      <c r="AS367">
        <v>0</v>
      </c>
      <c r="AT367">
        <v>0</v>
      </c>
    </row>
    <row r="368" spans="44:46">
      <c r="AR368">
        <v>0</v>
      </c>
      <c r="AS368">
        <v>0</v>
      </c>
      <c r="AT368">
        <v>0</v>
      </c>
    </row>
    <row r="369" spans="44:46">
      <c r="AR369">
        <v>0</v>
      </c>
      <c r="AS369">
        <v>0</v>
      </c>
      <c r="AT369">
        <v>0</v>
      </c>
    </row>
    <row r="370" spans="44:46">
      <c r="AR370">
        <v>0</v>
      </c>
      <c r="AS370">
        <v>0</v>
      </c>
      <c r="AT370">
        <v>0</v>
      </c>
    </row>
    <row r="371" spans="44:46">
      <c r="AR371">
        <v>0</v>
      </c>
      <c r="AS371">
        <v>0</v>
      </c>
      <c r="AT371">
        <v>0</v>
      </c>
    </row>
    <row r="372" spans="44:46">
      <c r="AR372">
        <v>0</v>
      </c>
      <c r="AS372">
        <v>0</v>
      </c>
      <c r="AT372">
        <v>0</v>
      </c>
    </row>
    <row r="373" spans="44:46">
      <c r="AR373">
        <v>0</v>
      </c>
      <c r="AS373">
        <v>0</v>
      </c>
      <c r="AT373">
        <v>0</v>
      </c>
    </row>
    <row r="374" spans="44:46">
      <c r="AR374">
        <v>0</v>
      </c>
      <c r="AS374">
        <v>0</v>
      </c>
      <c r="AT374">
        <v>0</v>
      </c>
    </row>
    <row r="375" spans="44:46">
      <c r="AR375">
        <v>0</v>
      </c>
      <c r="AS375">
        <v>0</v>
      </c>
      <c r="AT375">
        <v>0</v>
      </c>
    </row>
    <row r="376" spans="44:46">
      <c r="AR376">
        <v>0</v>
      </c>
      <c r="AS376">
        <v>0</v>
      </c>
      <c r="AT376">
        <v>0</v>
      </c>
    </row>
    <row r="377" spans="44:46">
      <c r="AR377">
        <v>0</v>
      </c>
      <c r="AS377">
        <v>0</v>
      </c>
      <c r="AT377">
        <v>0</v>
      </c>
    </row>
    <row r="378" spans="44:46">
      <c r="AR378">
        <v>0</v>
      </c>
      <c r="AS378">
        <v>0</v>
      </c>
      <c r="AT378">
        <v>0</v>
      </c>
    </row>
    <row r="379" spans="44:46">
      <c r="AR379">
        <v>0</v>
      </c>
      <c r="AS379">
        <v>0</v>
      </c>
      <c r="AT379">
        <v>0</v>
      </c>
    </row>
    <row r="380" spans="44:46">
      <c r="AR380">
        <v>0</v>
      </c>
      <c r="AS380">
        <v>0</v>
      </c>
      <c r="AT380">
        <v>0</v>
      </c>
    </row>
    <row r="381" spans="44:46">
      <c r="AR381">
        <v>0</v>
      </c>
      <c r="AS381">
        <v>0</v>
      </c>
      <c r="AT381">
        <v>0</v>
      </c>
    </row>
    <row r="382" spans="44:46">
      <c r="AR382">
        <v>0</v>
      </c>
      <c r="AS382">
        <v>0</v>
      </c>
      <c r="AT382">
        <v>0</v>
      </c>
    </row>
    <row r="383" spans="44:46">
      <c r="AR383">
        <v>0</v>
      </c>
      <c r="AS383">
        <v>0</v>
      </c>
      <c r="AT383">
        <v>0</v>
      </c>
    </row>
    <row r="384" spans="44:46">
      <c r="AR384">
        <v>0</v>
      </c>
      <c r="AS384">
        <v>0</v>
      </c>
      <c r="AT384">
        <v>0</v>
      </c>
    </row>
    <row r="385" spans="44:46">
      <c r="AR385">
        <v>0</v>
      </c>
      <c r="AS385">
        <v>0</v>
      </c>
      <c r="AT385">
        <v>0</v>
      </c>
    </row>
    <row r="386" spans="44:46">
      <c r="AR386">
        <v>0</v>
      </c>
      <c r="AS386">
        <v>0</v>
      </c>
      <c r="AT386">
        <v>0</v>
      </c>
    </row>
    <row r="387" spans="44:46">
      <c r="AR387">
        <v>0</v>
      </c>
      <c r="AS387">
        <v>0</v>
      </c>
      <c r="AT387">
        <v>0</v>
      </c>
    </row>
    <row r="388" spans="44:46">
      <c r="AR388">
        <v>0</v>
      </c>
      <c r="AS388">
        <v>0</v>
      </c>
      <c r="AT388">
        <v>0</v>
      </c>
    </row>
    <row r="389" spans="44:46">
      <c r="AR389">
        <v>0</v>
      </c>
      <c r="AS389">
        <v>0</v>
      </c>
      <c r="AT389">
        <v>0</v>
      </c>
    </row>
    <row r="390" spans="44:46">
      <c r="AR390">
        <v>0</v>
      </c>
      <c r="AS390">
        <v>0</v>
      </c>
      <c r="AT390">
        <v>0</v>
      </c>
    </row>
    <row r="391" spans="44:46">
      <c r="AR391">
        <v>0</v>
      </c>
      <c r="AS391">
        <v>0</v>
      </c>
      <c r="AT391">
        <v>0</v>
      </c>
    </row>
    <row r="392" spans="44:46">
      <c r="AR392">
        <v>0</v>
      </c>
      <c r="AS392">
        <v>0</v>
      </c>
      <c r="AT392">
        <v>0</v>
      </c>
    </row>
    <row r="393" spans="44:46">
      <c r="AR393">
        <v>0</v>
      </c>
      <c r="AS393">
        <v>0</v>
      </c>
      <c r="AT393">
        <v>0</v>
      </c>
    </row>
    <row r="394" spans="44:46">
      <c r="AR394">
        <v>0</v>
      </c>
      <c r="AS394">
        <v>0</v>
      </c>
      <c r="AT394">
        <v>0</v>
      </c>
    </row>
    <row r="395" spans="44:46">
      <c r="AR395">
        <v>0</v>
      </c>
      <c r="AS395">
        <v>0</v>
      </c>
      <c r="AT395">
        <v>0</v>
      </c>
    </row>
    <row r="396" spans="44:46">
      <c r="AR396">
        <v>0</v>
      </c>
      <c r="AS396">
        <v>0</v>
      </c>
      <c r="AT396">
        <v>0</v>
      </c>
    </row>
    <row r="397" spans="44:46">
      <c r="AR397">
        <v>0</v>
      </c>
      <c r="AS397">
        <v>0</v>
      </c>
      <c r="AT397">
        <v>0</v>
      </c>
    </row>
    <row r="398" spans="44:46">
      <c r="AR398">
        <v>0</v>
      </c>
      <c r="AS398">
        <v>0</v>
      </c>
      <c r="AT398">
        <v>0</v>
      </c>
    </row>
    <row r="399" spans="44:46">
      <c r="AR399">
        <v>0</v>
      </c>
      <c r="AS399">
        <v>0</v>
      </c>
      <c r="AT399">
        <v>0</v>
      </c>
    </row>
    <row r="400" spans="44:46">
      <c r="AR400">
        <v>0</v>
      </c>
      <c r="AS400">
        <v>0</v>
      </c>
      <c r="AT400">
        <v>0</v>
      </c>
    </row>
    <row r="401" spans="44:46">
      <c r="AR401">
        <v>0</v>
      </c>
      <c r="AS401">
        <v>0</v>
      </c>
      <c r="AT401">
        <v>0</v>
      </c>
    </row>
    <row r="402" spans="44:46">
      <c r="AR402">
        <v>0</v>
      </c>
      <c r="AS402">
        <v>0</v>
      </c>
      <c r="AT402">
        <v>0</v>
      </c>
    </row>
    <row r="403" spans="44:46">
      <c r="AR403">
        <v>0</v>
      </c>
      <c r="AS403">
        <v>0</v>
      </c>
      <c r="AT403">
        <v>0</v>
      </c>
    </row>
    <row r="404" spans="44:46">
      <c r="AR404">
        <v>0</v>
      </c>
      <c r="AS404">
        <v>0</v>
      </c>
      <c r="AT404">
        <v>0</v>
      </c>
    </row>
    <row r="405" spans="44:46">
      <c r="AR405">
        <v>0</v>
      </c>
      <c r="AS405">
        <v>0</v>
      </c>
      <c r="AT405">
        <v>0</v>
      </c>
    </row>
    <row r="406" spans="44:46">
      <c r="AR406">
        <v>0</v>
      </c>
      <c r="AS406">
        <v>0</v>
      </c>
      <c r="AT406">
        <v>0</v>
      </c>
    </row>
    <row r="407" spans="44:46">
      <c r="AR407">
        <v>0</v>
      </c>
      <c r="AS407">
        <v>0</v>
      </c>
      <c r="AT407">
        <v>0</v>
      </c>
    </row>
    <row r="408" spans="44:46">
      <c r="AR408">
        <v>0</v>
      </c>
      <c r="AS408">
        <v>0</v>
      </c>
      <c r="AT408">
        <v>0</v>
      </c>
    </row>
    <row r="409" spans="44:46">
      <c r="AR409">
        <v>0</v>
      </c>
      <c r="AS409">
        <v>0</v>
      </c>
      <c r="AT409">
        <v>0</v>
      </c>
    </row>
    <row r="410" spans="44:46">
      <c r="AR410">
        <v>0</v>
      </c>
      <c r="AS410">
        <v>0</v>
      </c>
      <c r="AT410">
        <v>0</v>
      </c>
    </row>
    <row r="411" spans="44:46">
      <c r="AR411">
        <v>0</v>
      </c>
      <c r="AS411">
        <v>0</v>
      </c>
      <c r="AT411">
        <v>0</v>
      </c>
    </row>
    <row r="412" spans="44:46">
      <c r="AR412">
        <v>0</v>
      </c>
      <c r="AS412">
        <v>0</v>
      </c>
      <c r="AT412">
        <v>0</v>
      </c>
    </row>
    <row r="413" spans="44:46">
      <c r="AR413">
        <v>0</v>
      </c>
      <c r="AS413">
        <v>0</v>
      </c>
      <c r="AT413">
        <v>0</v>
      </c>
    </row>
    <row r="414" spans="44:46">
      <c r="AR414">
        <v>0</v>
      </c>
      <c r="AS414">
        <v>0</v>
      </c>
      <c r="AT414">
        <v>0</v>
      </c>
    </row>
    <row r="415" spans="44:46">
      <c r="AR415">
        <v>0</v>
      </c>
      <c r="AS415">
        <v>0</v>
      </c>
      <c r="AT415">
        <v>0</v>
      </c>
    </row>
    <row r="416" spans="44:46">
      <c r="AR416">
        <v>0</v>
      </c>
      <c r="AS416">
        <v>0</v>
      </c>
      <c r="AT416">
        <v>0</v>
      </c>
    </row>
    <row r="417" spans="44:46">
      <c r="AR417">
        <v>0</v>
      </c>
      <c r="AS417">
        <v>0</v>
      </c>
      <c r="AT417">
        <v>0</v>
      </c>
    </row>
    <row r="418" spans="44:46">
      <c r="AR418">
        <v>0</v>
      </c>
      <c r="AS418">
        <v>0</v>
      </c>
      <c r="AT418">
        <v>0</v>
      </c>
    </row>
    <row r="419" spans="44:46">
      <c r="AR419">
        <v>0</v>
      </c>
      <c r="AS419">
        <v>0</v>
      </c>
      <c r="AT419">
        <v>0</v>
      </c>
    </row>
    <row r="420" spans="44:46">
      <c r="AR420">
        <v>0</v>
      </c>
      <c r="AS420">
        <v>0</v>
      </c>
      <c r="AT420">
        <v>0</v>
      </c>
    </row>
    <row r="421" spans="44:46">
      <c r="AR421">
        <v>0</v>
      </c>
      <c r="AS421">
        <v>0</v>
      </c>
      <c r="AT421">
        <v>0</v>
      </c>
    </row>
    <row r="422" spans="44:46">
      <c r="AR422">
        <v>0</v>
      </c>
      <c r="AS422">
        <v>0</v>
      </c>
      <c r="AT422">
        <v>0</v>
      </c>
    </row>
    <row r="423" spans="44:46">
      <c r="AR423">
        <v>0</v>
      </c>
      <c r="AS423">
        <v>0</v>
      </c>
      <c r="AT423">
        <v>0</v>
      </c>
    </row>
    <row r="424" spans="44:46">
      <c r="AR424">
        <v>0</v>
      </c>
      <c r="AS424">
        <v>0</v>
      </c>
      <c r="AT424">
        <v>0</v>
      </c>
    </row>
    <row r="425" spans="44:46">
      <c r="AR425">
        <v>0</v>
      </c>
      <c r="AS425">
        <v>0</v>
      </c>
      <c r="AT425">
        <v>0</v>
      </c>
    </row>
    <row r="426" spans="44:46">
      <c r="AR426">
        <v>0</v>
      </c>
      <c r="AS426">
        <v>0</v>
      </c>
      <c r="AT426">
        <v>0</v>
      </c>
    </row>
    <row r="427" spans="44:46">
      <c r="AR427">
        <v>0</v>
      </c>
      <c r="AS427">
        <v>0</v>
      </c>
      <c r="AT427">
        <v>0</v>
      </c>
    </row>
    <row r="428" spans="44:46">
      <c r="AR428">
        <v>0</v>
      </c>
      <c r="AS428">
        <v>0</v>
      </c>
      <c r="AT428">
        <v>0</v>
      </c>
    </row>
    <row r="429" spans="44:46">
      <c r="AR429">
        <v>0</v>
      </c>
      <c r="AS429">
        <v>0</v>
      </c>
      <c r="AT429">
        <v>0</v>
      </c>
    </row>
    <row r="430" spans="44:46">
      <c r="AR430">
        <v>0</v>
      </c>
      <c r="AS430">
        <v>0</v>
      </c>
      <c r="AT430">
        <v>0</v>
      </c>
    </row>
    <row r="431" spans="44:46">
      <c r="AR431">
        <v>0</v>
      </c>
      <c r="AS431">
        <v>0</v>
      </c>
      <c r="AT431">
        <v>0</v>
      </c>
    </row>
    <row r="432" spans="44:46">
      <c r="AR432">
        <v>0</v>
      </c>
      <c r="AS432">
        <v>0</v>
      </c>
      <c r="AT432">
        <v>0</v>
      </c>
    </row>
    <row r="433" spans="44:46">
      <c r="AR433">
        <v>0</v>
      </c>
      <c r="AS433">
        <v>0</v>
      </c>
      <c r="AT433">
        <v>0</v>
      </c>
    </row>
    <row r="434" spans="44:46">
      <c r="AR434">
        <v>0</v>
      </c>
      <c r="AS434">
        <v>0</v>
      </c>
      <c r="AT434">
        <v>0</v>
      </c>
    </row>
    <row r="435" spans="44:46">
      <c r="AR435">
        <v>0</v>
      </c>
      <c r="AS435">
        <v>0</v>
      </c>
      <c r="AT435">
        <v>0</v>
      </c>
    </row>
    <row r="436" spans="44:46">
      <c r="AR436">
        <v>0</v>
      </c>
      <c r="AS436">
        <v>0</v>
      </c>
      <c r="AT436">
        <v>0</v>
      </c>
    </row>
    <row r="437" spans="44:46">
      <c r="AR437">
        <v>0</v>
      </c>
      <c r="AS437">
        <v>0</v>
      </c>
      <c r="AT437">
        <v>0</v>
      </c>
    </row>
    <row r="438" spans="44:46">
      <c r="AR438">
        <v>0</v>
      </c>
      <c r="AS438">
        <v>0</v>
      </c>
      <c r="AT438">
        <v>0</v>
      </c>
    </row>
    <row r="439" spans="44:46">
      <c r="AR439">
        <v>0</v>
      </c>
      <c r="AS439">
        <v>0</v>
      </c>
      <c r="AT439">
        <v>0</v>
      </c>
    </row>
    <row r="440" spans="44:46">
      <c r="AR440">
        <v>0</v>
      </c>
      <c r="AS440">
        <v>0</v>
      </c>
      <c r="AT440">
        <v>0</v>
      </c>
    </row>
    <row r="441" spans="44:46">
      <c r="AR441">
        <v>0</v>
      </c>
      <c r="AS441">
        <v>0</v>
      </c>
      <c r="AT441">
        <v>0</v>
      </c>
    </row>
    <row r="442" spans="44:46">
      <c r="AR442">
        <v>0</v>
      </c>
      <c r="AS442">
        <v>0</v>
      </c>
      <c r="AT442">
        <v>0</v>
      </c>
    </row>
    <row r="443" spans="44:46">
      <c r="AR443">
        <v>0</v>
      </c>
      <c r="AS443">
        <v>0</v>
      </c>
      <c r="AT443">
        <v>0</v>
      </c>
    </row>
    <row r="444" spans="44:46">
      <c r="AR444">
        <v>0</v>
      </c>
      <c r="AS444">
        <v>0</v>
      </c>
      <c r="AT444">
        <v>0</v>
      </c>
    </row>
    <row r="445" spans="44:46">
      <c r="AR445">
        <v>0</v>
      </c>
      <c r="AS445">
        <v>0</v>
      </c>
      <c r="AT445">
        <v>0</v>
      </c>
    </row>
    <row r="446" spans="44:46">
      <c r="AR446">
        <v>0</v>
      </c>
      <c r="AS446">
        <v>0</v>
      </c>
      <c r="AT446">
        <v>0</v>
      </c>
    </row>
    <row r="447" spans="44:46">
      <c r="AR447">
        <v>0</v>
      </c>
      <c r="AS447">
        <v>0</v>
      </c>
      <c r="AT447">
        <v>0</v>
      </c>
    </row>
    <row r="448" spans="44:46">
      <c r="AR448">
        <v>0</v>
      </c>
      <c r="AS448">
        <v>0</v>
      </c>
      <c r="AT448">
        <v>0</v>
      </c>
    </row>
    <row r="449" spans="44:46">
      <c r="AR449">
        <v>0</v>
      </c>
      <c r="AS449">
        <v>0</v>
      </c>
      <c r="AT449">
        <v>0</v>
      </c>
    </row>
    <row r="450" spans="44:46">
      <c r="AR450">
        <v>0</v>
      </c>
      <c r="AS450">
        <v>0</v>
      </c>
      <c r="AT450">
        <v>0</v>
      </c>
    </row>
    <row r="451" spans="44:46">
      <c r="AR451">
        <v>0</v>
      </c>
      <c r="AS451">
        <v>0</v>
      </c>
      <c r="AT451">
        <v>0</v>
      </c>
    </row>
    <row r="452" spans="44:46">
      <c r="AR452">
        <v>0</v>
      </c>
      <c r="AS452">
        <v>0</v>
      </c>
      <c r="AT452">
        <v>0</v>
      </c>
    </row>
    <row r="453" spans="44:46">
      <c r="AR453">
        <v>0</v>
      </c>
      <c r="AS453">
        <v>0</v>
      </c>
      <c r="AT453">
        <v>0</v>
      </c>
    </row>
    <row r="454" spans="44:46">
      <c r="AR454">
        <v>0</v>
      </c>
      <c r="AS454">
        <v>0</v>
      </c>
      <c r="AT454">
        <v>0</v>
      </c>
    </row>
    <row r="455" spans="44:46">
      <c r="AR455">
        <v>0</v>
      </c>
      <c r="AS455">
        <v>0</v>
      </c>
      <c r="AT455">
        <v>0</v>
      </c>
    </row>
    <row r="456" spans="44:46">
      <c r="AR456">
        <v>0</v>
      </c>
      <c r="AS456">
        <v>0</v>
      </c>
      <c r="AT456">
        <v>0</v>
      </c>
    </row>
    <row r="457" spans="44:46">
      <c r="AR457">
        <v>0</v>
      </c>
      <c r="AS457">
        <v>0</v>
      </c>
      <c r="AT457">
        <v>0</v>
      </c>
    </row>
    <row r="458" spans="44:46">
      <c r="AR458">
        <v>0</v>
      </c>
      <c r="AS458">
        <v>0</v>
      </c>
      <c r="AT458">
        <v>0</v>
      </c>
    </row>
    <row r="459" spans="44:46">
      <c r="AR459">
        <v>0</v>
      </c>
      <c r="AS459">
        <v>0</v>
      </c>
      <c r="AT459">
        <v>0</v>
      </c>
    </row>
    <row r="460" spans="44:46">
      <c r="AR460">
        <v>0</v>
      </c>
      <c r="AS460">
        <v>0</v>
      </c>
      <c r="AT460">
        <v>0</v>
      </c>
    </row>
    <row r="461" spans="44:46">
      <c r="AR461">
        <v>0</v>
      </c>
      <c r="AS461">
        <v>0</v>
      </c>
      <c r="AT461">
        <v>0</v>
      </c>
    </row>
    <row r="462" spans="44:46">
      <c r="AR462">
        <v>0</v>
      </c>
      <c r="AS462">
        <v>0</v>
      </c>
      <c r="AT462">
        <v>0</v>
      </c>
    </row>
    <row r="463" spans="44:46">
      <c r="AR463">
        <v>0</v>
      </c>
      <c r="AS463">
        <v>0</v>
      </c>
      <c r="AT463">
        <v>0</v>
      </c>
    </row>
    <row r="464" spans="44:46">
      <c r="AR464">
        <v>0</v>
      </c>
      <c r="AS464">
        <v>0</v>
      </c>
      <c r="AT464">
        <v>0</v>
      </c>
    </row>
    <row r="465" spans="44:46">
      <c r="AR465">
        <v>0</v>
      </c>
      <c r="AS465">
        <v>0</v>
      </c>
      <c r="AT465">
        <v>0</v>
      </c>
    </row>
    <row r="466" spans="44:46">
      <c r="AR466">
        <v>0</v>
      </c>
      <c r="AS466">
        <v>0</v>
      </c>
      <c r="AT466">
        <v>0</v>
      </c>
    </row>
    <row r="467" spans="44:46">
      <c r="AR467">
        <v>0</v>
      </c>
      <c r="AS467">
        <v>0</v>
      </c>
      <c r="AT467">
        <v>0</v>
      </c>
    </row>
    <row r="468" spans="44:46">
      <c r="AR468">
        <v>0</v>
      </c>
      <c r="AS468">
        <v>0</v>
      </c>
      <c r="AT468">
        <v>0</v>
      </c>
    </row>
    <row r="469" spans="44:46">
      <c r="AR469">
        <v>0</v>
      </c>
      <c r="AS469">
        <v>0</v>
      </c>
      <c r="AT469">
        <v>0</v>
      </c>
    </row>
    <row r="470" spans="44:46">
      <c r="AR470">
        <v>0</v>
      </c>
      <c r="AS470">
        <v>0</v>
      </c>
      <c r="AT470">
        <v>0</v>
      </c>
    </row>
    <row r="471" spans="44:46">
      <c r="AR471">
        <v>0</v>
      </c>
      <c r="AS471">
        <v>0</v>
      </c>
      <c r="AT471">
        <v>0</v>
      </c>
    </row>
    <row r="472" spans="44:46">
      <c r="AR472">
        <v>0</v>
      </c>
      <c r="AS472">
        <v>0</v>
      </c>
      <c r="AT472">
        <v>0</v>
      </c>
    </row>
    <row r="473" spans="44:46">
      <c r="AR473">
        <v>0</v>
      </c>
      <c r="AS473">
        <v>0</v>
      </c>
      <c r="AT473">
        <v>0</v>
      </c>
    </row>
    <row r="474" spans="44:46">
      <c r="AR474">
        <v>0</v>
      </c>
      <c r="AS474">
        <v>0</v>
      </c>
      <c r="AT474">
        <v>0</v>
      </c>
    </row>
    <row r="475" spans="44:46">
      <c r="AR475">
        <v>0</v>
      </c>
      <c r="AS475">
        <v>0</v>
      </c>
      <c r="AT475">
        <v>0</v>
      </c>
    </row>
    <row r="476" spans="44:46">
      <c r="AR476">
        <v>0</v>
      </c>
      <c r="AS476">
        <v>0</v>
      </c>
      <c r="AT476">
        <v>0</v>
      </c>
    </row>
    <row r="477" spans="44:46">
      <c r="AR477">
        <v>0</v>
      </c>
      <c r="AS477">
        <v>0</v>
      </c>
      <c r="AT477">
        <v>0</v>
      </c>
    </row>
    <row r="478" spans="44:46">
      <c r="AR478">
        <v>0</v>
      </c>
      <c r="AS478">
        <v>0</v>
      </c>
      <c r="AT478">
        <v>0</v>
      </c>
    </row>
    <row r="479" spans="44:46">
      <c r="AR479">
        <v>0</v>
      </c>
      <c r="AS479">
        <v>0</v>
      </c>
      <c r="AT479">
        <v>0</v>
      </c>
    </row>
    <row r="480" spans="44:46">
      <c r="AR480">
        <v>0</v>
      </c>
      <c r="AS480">
        <v>0</v>
      </c>
      <c r="AT480">
        <v>0</v>
      </c>
    </row>
    <row r="481" spans="44:46">
      <c r="AR481">
        <v>0</v>
      </c>
      <c r="AS481">
        <v>0</v>
      </c>
      <c r="AT481">
        <v>0</v>
      </c>
    </row>
    <row r="482" spans="44:46">
      <c r="AR482">
        <v>0</v>
      </c>
      <c r="AS482">
        <v>0</v>
      </c>
      <c r="AT482">
        <v>0</v>
      </c>
    </row>
    <row r="483" spans="44:46">
      <c r="AR483">
        <v>0</v>
      </c>
      <c r="AS483">
        <v>0</v>
      </c>
      <c r="AT483">
        <v>0</v>
      </c>
    </row>
    <row r="484" spans="44:46">
      <c r="AR484">
        <v>0</v>
      </c>
      <c r="AS484">
        <v>0</v>
      </c>
      <c r="AT484">
        <v>0</v>
      </c>
    </row>
    <row r="485" spans="44:46">
      <c r="AR485">
        <v>0</v>
      </c>
      <c r="AS485">
        <v>0</v>
      </c>
      <c r="AT485">
        <v>0</v>
      </c>
    </row>
    <row r="486" spans="44:46">
      <c r="AR486">
        <v>0</v>
      </c>
      <c r="AS486">
        <v>0</v>
      </c>
      <c r="AT486">
        <v>0</v>
      </c>
    </row>
    <row r="487" spans="44:46">
      <c r="AR487">
        <v>0</v>
      </c>
      <c r="AS487">
        <v>0</v>
      </c>
      <c r="AT487">
        <v>0</v>
      </c>
    </row>
    <row r="488" spans="44:46">
      <c r="AR488">
        <v>0</v>
      </c>
      <c r="AS488">
        <v>0</v>
      </c>
      <c r="AT488">
        <v>0</v>
      </c>
    </row>
    <row r="489" spans="44:46">
      <c r="AR489">
        <v>0</v>
      </c>
      <c r="AS489">
        <v>0</v>
      </c>
      <c r="AT489">
        <v>0</v>
      </c>
    </row>
    <row r="490" spans="44:46">
      <c r="AR490">
        <v>0</v>
      </c>
      <c r="AS490">
        <v>0</v>
      </c>
      <c r="AT490">
        <v>0</v>
      </c>
    </row>
    <row r="491" spans="44:46">
      <c r="AR491">
        <v>0</v>
      </c>
      <c r="AS491">
        <v>0</v>
      </c>
      <c r="AT491">
        <v>0</v>
      </c>
    </row>
    <row r="492" spans="44:46">
      <c r="AR492">
        <v>0</v>
      </c>
      <c r="AS492">
        <v>0</v>
      </c>
      <c r="AT492">
        <v>0</v>
      </c>
    </row>
    <row r="493" spans="44:46">
      <c r="AR493">
        <v>0</v>
      </c>
      <c r="AS493">
        <v>0</v>
      </c>
      <c r="AT493">
        <v>0</v>
      </c>
    </row>
    <row r="494" spans="44:46">
      <c r="AR494">
        <v>0</v>
      </c>
      <c r="AS494">
        <v>0</v>
      </c>
      <c r="AT494">
        <v>0</v>
      </c>
    </row>
    <row r="495" spans="44:46">
      <c r="AR495">
        <v>0</v>
      </c>
      <c r="AS495">
        <v>0</v>
      </c>
      <c r="AT495">
        <v>0</v>
      </c>
    </row>
    <row r="496" spans="44:46">
      <c r="AR496">
        <v>0</v>
      </c>
      <c r="AS496">
        <v>0</v>
      </c>
      <c r="AT496">
        <v>0</v>
      </c>
    </row>
    <row r="497" spans="44:46">
      <c r="AR497">
        <v>0</v>
      </c>
      <c r="AS497">
        <v>0</v>
      </c>
      <c r="AT497">
        <v>0</v>
      </c>
    </row>
    <row r="498" spans="44:46">
      <c r="AR498">
        <v>0</v>
      </c>
      <c r="AS498">
        <v>0</v>
      </c>
      <c r="AT498">
        <v>0</v>
      </c>
    </row>
    <row r="499" spans="44:46">
      <c r="AR499">
        <v>0</v>
      </c>
      <c r="AS499">
        <v>0</v>
      </c>
      <c r="AT499">
        <v>0</v>
      </c>
    </row>
    <row r="500" spans="44:46">
      <c r="AR500">
        <v>0</v>
      </c>
      <c r="AS500">
        <v>0</v>
      </c>
      <c r="AT500">
        <v>0</v>
      </c>
    </row>
    <row r="501" spans="44:46">
      <c r="AR501">
        <v>0</v>
      </c>
      <c r="AS501">
        <v>0</v>
      </c>
      <c r="AT501">
        <v>0</v>
      </c>
    </row>
    <row r="502" spans="44:46">
      <c r="AR502">
        <v>0</v>
      </c>
      <c r="AS502">
        <v>0</v>
      </c>
      <c r="AT502">
        <v>0</v>
      </c>
    </row>
    <row r="503" spans="44:46">
      <c r="AR503">
        <v>0</v>
      </c>
      <c r="AS503">
        <v>0</v>
      </c>
      <c r="AT503">
        <v>0</v>
      </c>
    </row>
    <row r="504" spans="44:46">
      <c r="AR504">
        <v>0</v>
      </c>
      <c r="AS504">
        <v>0</v>
      </c>
      <c r="AT504">
        <v>0</v>
      </c>
    </row>
    <row r="505" spans="44:46">
      <c r="AR505">
        <v>0</v>
      </c>
      <c r="AS505">
        <v>0</v>
      </c>
      <c r="AT505">
        <v>0</v>
      </c>
    </row>
    <row r="506" spans="44:46">
      <c r="AR506">
        <v>0</v>
      </c>
      <c r="AS506">
        <v>0</v>
      </c>
      <c r="AT506">
        <v>0</v>
      </c>
    </row>
    <row r="507" spans="44:46">
      <c r="AR507">
        <v>0</v>
      </c>
      <c r="AS507">
        <v>0</v>
      </c>
      <c r="AT507">
        <v>0</v>
      </c>
    </row>
    <row r="508" spans="44:46">
      <c r="AR508">
        <v>0</v>
      </c>
      <c r="AS508">
        <v>0</v>
      </c>
      <c r="AT508">
        <v>0</v>
      </c>
    </row>
    <row r="509" spans="44:46">
      <c r="AR509">
        <v>0</v>
      </c>
      <c r="AS509">
        <v>0</v>
      </c>
      <c r="AT509">
        <v>0</v>
      </c>
    </row>
    <row r="510" spans="44:46">
      <c r="AR510">
        <v>0</v>
      </c>
      <c r="AS510">
        <v>0</v>
      </c>
      <c r="AT510">
        <v>0</v>
      </c>
    </row>
    <row r="511" spans="44:46">
      <c r="AR511">
        <v>0</v>
      </c>
      <c r="AS511">
        <v>0</v>
      </c>
      <c r="AT511">
        <v>0</v>
      </c>
    </row>
    <row r="512" spans="44:46">
      <c r="AR512">
        <v>0</v>
      </c>
      <c r="AS512">
        <v>0</v>
      </c>
      <c r="AT512">
        <v>0</v>
      </c>
    </row>
    <row r="513" spans="44:46">
      <c r="AR513">
        <v>0</v>
      </c>
      <c r="AS513">
        <v>0</v>
      </c>
      <c r="AT513">
        <v>0</v>
      </c>
    </row>
    <row r="514" spans="44:46">
      <c r="AR514">
        <v>0</v>
      </c>
      <c r="AS514">
        <v>0</v>
      </c>
      <c r="AT514">
        <v>0</v>
      </c>
    </row>
    <row r="515" spans="44:46">
      <c r="AR515">
        <v>0</v>
      </c>
      <c r="AS515">
        <v>0</v>
      </c>
      <c r="AT515">
        <v>0</v>
      </c>
    </row>
    <row r="516" spans="44:46">
      <c r="AR516">
        <v>0</v>
      </c>
      <c r="AS516">
        <v>0</v>
      </c>
      <c r="AT516">
        <v>0</v>
      </c>
    </row>
    <row r="517" spans="44:46">
      <c r="AR517">
        <v>0</v>
      </c>
      <c r="AS517">
        <v>0</v>
      </c>
      <c r="AT517">
        <v>0</v>
      </c>
    </row>
    <row r="518" spans="44:46">
      <c r="AR518">
        <v>0</v>
      </c>
      <c r="AS518">
        <v>0</v>
      </c>
      <c r="AT518">
        <v>0</v>
      </c>
    </row>
    <row r="519" spans="44:46">
      <c r="AR519">
        <v>0</v>
      </c>
      <c r="AS519">
        <v>0</v>
      </c>
      <c r="AT519">
        <v>0</v>
      </c>
    </row>
    <row r="520" spans="44:46">
      <c r="AR520">
        <v>0</v>
      </c>
      <c r="AS520">
        <v>0</v>
      </c>
      <c r="AT520">
        <v>0</v>
      </c>
    </row>
    <row r="521" spans="44:46">
      <c r="AR521">
        <v>0</v>
      </c>
      <c r="AS521">
        <v>0</v>
      </c>
      <c r="AT521">
        <v>0</v>
      </c>
    </row>
    <row r="522" spans="44:46">
      <c r="AR522">
        <v>0</v>
      </c>
      <c r="AS522">
        <v>0</v>
      </c>
      <c r="AT522">
        <v>0</v>
      </c>
    </row>
    <row r="523" spans="44:46">
      <c r="AR523">
        <v>0</v>
      </c>
      <c r="AS523">
        <v>0</v>
      </c>
      <c r="AT523">
        <v>0</v>
      </c>
    </row>
    <row r="524" spans="44:46">
      <c r="AR524">
        <v>0</v>
      </c>
      <c r="AS524">
        <v>0</v>
      </c>
      <c r="AT524">
        <v>0</v>
      </c>
    </row>
    <row r="525" spans="44:46">
      <c r="AR525">
        <v>0</v>
      </c>
      <c r="AS525">
        <v>0</v>
      </c>
      <c r="AT525">
        <v>0</v>
      </c>
    </row>
    <row r="526" spans="44:46">
      <c r="AR526">
        <v>0</v>
      </c>
      <c r="AS526">
        <v>0</v>
      </c>
      <c r="AT526">
        <v>0</v>
      </c>
    </row>
    <row r="527" spans="44:46">
      <c r="AR527">
        <v>0</v>
      </c>
      <c r="AS527">
        <v>0</v>
      </c>
      <c r="AT527">
        <v>0</v>
      </c>
    </row>
    <row r="528" spans="44:46">
      <c r="AR528">
        <v>0</v>
      </c>
      <c r="AS528">
        <v>0</v>
      </c>
      <c r="AT528">
        <v>0</v>
      </c>
    </row>
    <row r="529" spans="44:46">
      <c r="AR529">
        <v>0</v>
      </c>
      <c r="AS529">
        <v>0</v>
      </c>
      <c r="AT529">
        <v>0</v>
      </c>
    </row>
    <row r="530" spans="44:46">
      <c r="AR530">
        <v>0</v>
      </c>
      <c r="AS530">
        <v>0</v>
      </c>
      <c r="AT530">
        <v>0</v>
      </c>
    </row>
    <row r="531" spans="44:46">
      <c r="AR531">
        <v>0</v>
      </c>
      <c r="AS531">
        <v>0</v>
      </c>
      <c r="AT531">
        <v>0</v>
      </c>
    </row>
    <row r="532" spans="44:46">
      <c r="AR532">
        <v>0</v>
      </c>
      <c r="AS532">
        <v>0</v>
      </c>
      <c r="AT532">
        <v>0</v>
      </c>
    </row>
    <row r="533" spans="44:46">
      <c r="AR533">
        <v>0</v>
      </c>
      <c r="AS533">
        <v>0</v>
      </c>
      <c r="AT533">
        <v>0</v>
      </c>
    </row>
    <row r="534" spans="44:46">
      <c r="AR534">
        <v>0</v>
      </c>
      <c r="AS534">
        <v>0</v>
      </c>
      <c r="AT534">
        <v>0</v>
      </c>
    </row>
    <row r="535" spans="44:46">
      <c r="AR535">
        <v>0</v>
      </c>
      <c r="AS535">
        <v>0</v>
      </c>
      <c r="AT535">
        <v>0</v>
      </c>
    </row>
    <row r="536" spans="44:46">
      <c r="AR536">
        <v>0</v>
      </c>
      <c r="AS536">
        <v>0</v>
      </c>
      <c r="AT536">
        <v>0</v>
      </c>
    </row>
    <row r="537" spans="44:46">
      <c r="AR537">
        <v>0</v>
      </c>
      <c r="AS537">
        <v>0</v>
      </c>
      <c r="AT537">
        <v>0</v>
      </c>
    </row>
    <row r="538" spans="44:46">
      <c r="AR538">
        <v>0</v>
      </c>
      <c r="AS538">
        <v>0</v>
      </c>
      <c r="AT538">
        <v>0</v>
      </c>
    </row>
    <row r="539" spans="44:46">
      <c r="AR539">
        <v>0</v>
      </c>
      <c r="AS539">
        <v>0</v>
      </c>
      <c r="AT539">
        <v>0</v>
      </c>
    </row>
    <row r="540" spans="44:46">
      <c r="AR540">
        <v>0</v>
      </c>
      <c r="AS540">
        <v>0</v>
      </c>
      <c r="AT540">
        <v>0</v>
      </c>
    </row>
    <row r="541" spans="44:46">
      <c r="AR541">
        <v>0</v>
      </c>
      <c r="AS541">
        <v>0</v>
      </c>
      <c r="AT541">
        <v>0</v>
      </c>
    </row>
    <row r="542" spans="44:46">
      <c r="AR542">
        <v>0</v>
      </c>
      <c r="AS542">
        <v>0</v>
      </c>
      <c r="AT542">
        <v>0</v>
      </c>
    </row>
    <row r="543" spans="44:46">
      <c r="AR543">
        <v>0</v>
      </c>
      <c r="AS543">
        <v>0</v>
      </c>
      <c r="AT543">
        <v>0</v>
      </c>
    </row>
    <row r="544" spans="44:46">
      <c r="AR544">
        <v>0</v>
      </c>
      <c r="AS544">
        <v>0</v>
      </c>
      <c r="AT544">
        <v>0</v>
      </c>
    </row>
    <row r="545" spans="44:46">
      <c r="AR545">
        <v>0</v>
      </c>
      <c r="AS545">
        <v>0</v>
      </c>
      <c r="AT545">
        <v>0</v>
      </c>
    </row>
    <row r="546" spans="44:46">
      <c r="AR546">
        <v>0</v>
      </c>
      <c r="AS546">
        <v>0</v>
      </c>
      <c r="AT546">
        <v>0</v>
      </c>
    </row>
    <row r="547" spans="44:46">
      <c r="AR547">
        <v>0</v>
      </c>
      <c r="AS547">
        <v>0</v>
      </c>
      <c r="AT547">
        <v>0</v>
      </c>
    </row>
    <row r="548" spans="44:46">
      <c r="AR548">
        <v>0</v>
      </c>
      <c r="AS548">
        <v>0</v>
      </c>
      <c r="AT548">
        <v>0</v>
      </c>
    </row>
    <row r="549" spans="44:46">
      <c r="AR549">
        <v>0</v>
      </c>
      <c r="AS549">
        <v>0</v>
      </c>
      <c r="AT549">
        <v>0</v>
      </c>
    </row>
    <row r="550" spans="44:46">
      <c r="AR550">
        <v>0</v>
      </c>
      <c r="AS550">
        <v>0</v>
      </c>
      <c r="AT550">
        <v>0</v>
      </c>
    </row>
    <row r="551" spans="44:46">
      <c r="AR551">
        <v>0</v>
      </c>
      <c r="AS551">
        <v>0</v>
      </c>
      <c r="AT551">
        <v>0</v>
      </c>
    </row>
    <row r="552" spans="44:46">
      <c r="AR552">
        <v>0</v>
      </c>
      <c r="AS552">
        <v>0</v>
      </c>
      <c r="AT552">
        <v>0</v>
      </c>
    </row>
    <row r="553" spans="44:46">
      <c r="AR553">
        <v>0</v>
      </c>
      <c r="AS553">
        <v>0</v>
      </c>
      <c r="AT553">
        <v>0</v>
      </c>
    </row>
    <row r="554" spans="44:46">
      <c r="AR554">
        <v>0</v>
      </c>
      <c r="AS554">
        <v>0</v>
      </c>
      <c r="AT554">
        <v>0</v>
      </c>
    </row>
    <row r="555" spans="44:46">
      <c r="AR555">
        <v>0</v>
      </c>
      <c r="AS555">
        <v>0</v>
      </c>
      <c r="AT555">
        <v>0</v>
      </c>
    </row>
    <row r="556" spans="44:46">
      <c r="AR556">
        <v>0</v>
      </c>
      <c r="AS556">
        <v>0</v>
      </c>
      <c r="AT556">
        <v>0</v>
      </c>
    </row>
    <row r="557" spans="44:46">
      <c r="AR557">
        <v>0</v>
      </c>
      <c r="AS557">
        <v>0</v>
      </c>
      <c r="AT557">
        <v>0</v>
      </c>
    </row>
    <row r="558" spans="44:46">
      <c r="AR558">
        <v>0</v>
      </c>
      <c r="AS558">
        <v>0</v>
      </c>
      <c r="AT558">
        <v>0</v>
      </c>
    </row>
    <row r="559" spans="44:46">
      <c r="AR559">
        <v>0</v>
      </c>
      <c r="AS559">
        <v>0</v>
      </c>
      <c r="AT559">
        <v>0</v>
      </c>
    </row>
    <row r="560" spans="44:46">
      <c r="AR560">
        <v>0</v>
      </c>
      <c r="AS560">
        <v>0</v>
      </c>
      <c r="AT560">
        <v>0</v>
      </c>
    </row>
    <row r="561" spans="44:46">
      <c r="AR561">
        <v>0</v>
      </c>
      <c r="AS561">
        <v>0</v>
      </c>
      <c r="AT561">
        <v>0</v>
      </c>
    </row>
    <row r="562" spans="44:46">
      <c r="AR562">
        <v>0</v>
      </c>
      <c r="AS562">
        <v>0</v>
      </c>
      <c r="AT562">
        <v>0</v>
      </c>
    </row>
    <row r="563" spans="44:46">
      <c r="AR563">
        <v>0</v>
      </c>
      <c r="AS563">
        <v>0</v>
      </c>
      <c r="AT563">
        <v>0</v>
      </c>
    </row>
    <row r="564" spans="44:46">
      <c r="AR564">
        <v>0</v>
      </c>
      <c r="AS564">
        <v>0</v>
      </c>
      <c r="AT564">
        <v>0</v>
      </c>
    </row>
    <row r="565" spans="44:46">
      <c r="AR565">
        <v>0</v>
      </c>
      <c r="AS565">
        <v>0</v>
      </c>
      <c r="AT565">
        <v>0</v>
      </c>
    </row>
    <row r="566" spans="44:46">
      <c r="AR566">
        <v>0</v>
      </c>
      <c r="AS566">
        <v>0</v>
      </c>
      <c r="AT566">
        <v>0</v>
      </c>
    </row>
    <row r="567" spans="44:46">
      <c r="AR567">
        <v>0</v>
      </c>
      <c r="AS567">
        <v>0</v>
      </c>
      <c r="AT567">
        <v>0</v>
      </c>
    </row>
    <row r="568" spans="44:46">
      <c r="AR568">
        <v>0</v>
      </c>
      <c r="AS568">
        <v>0</v>
      </c>
      <c r="AT568">
        <v>0</v>
      </c>
    </row>
    <row r="569" spans="44:46">
      <c r="AR569">
        <v>0</v>
      </c>
      <c r="AS569">
        <v>0</v>
      </c>
      <c r="AT569">
        <v>0</v>
      </c>
    </row>
    <row r="570" spans="44:46">
      <c r="AR570">
        <v>0</v>
      </c>
      <c r="AS570">
        <v>0</v>
      </c>
      <c r="AT570">
        <v>0</v>
      </c>
    </row>
    <row r="571" spans="44:46">
      <c r="AR571">
        <v>0</v>
      </c>
      <c r="AS571">
        <v>0</v>
      </c>
      <c r="AT571">
        <v>0</v>
      </c>
    </row>
    <row r="572" spans="44:46">
      <c r="AR572">
        <v>0</v>
      </c>
      <c r="AS572">
        <v>0</v>
      </c>
      <c r="AT572">
        <v>0</v>
      </c>
    </row>
    <row r="573" spans="44:46">
      <c r="AR573">
        <v>0</v>
      </c>
      <c r="AS573">
        <v>0</v>
      </c>
      <c r="AT573">
        <v>0</v>
      </c>
    </row>
    <row r="574" spans="44:46">
      <c r="AR574">
        <v>0</v>
      </c>
      <c r="AS574">
        <v>0</v>
      </c>
      <c r="AT574">
        <v>0</v>
      </c>
    </row>
    <row r="575" spans="44:46">
      <c r="AR575">
        <v>0</v>
      </c>
      <c r="AS575">
        <v>0</v>
      </c>
      <c r="AT575">
        <v>0</v>
      </c>
    </row>
    <row r="576" spans="44:46">
      <c r="AR576">
        <v>0</v>
      </c>
      <c r="AS576">
        <v>0</v>
      </c>
      <c r="AT576">
        <v>0</v>
      </c>
    </row>
    <row r="577" spans="44:46">
      <c r="AR577">
        <v>0</v>
      </c>
      <c r="AS577">
        <v>0</v>
      </c>
      <c r="AT577">
        <v>0</v>
      </c>
    </row>
    <row r="578" spans="44:46">
      <c r="AR578">
        <v>0</v>
      </c>
      <c r="AS578">
        <v>0</v>
      </c>
      <c r="AT578">
        <v>0</v>
      </c>
    </row>
    <row r="579" spans="44:46">
      <c r="AR579">
        <v>0</v>
      </c>
      <c r="AS579">
        <v>0</v>
      </c>
      <c r="AT579">
        <v>0</v>
      </c>
    </row>
    <row r="580" spans="44:46">
      <c r="AR580">
        <v>0</v>
      </c>
      <c r="AS580">
        <v>0</v>
      </c>
      <c r="AT580">
        <v>0</v>
      </c>
    </row>
    <row r="581" spans="44:46">
      <c r="AR581">
        <v>0</v>
      </c>
      <c r="AS581">
        <v>0</v>
      </c>
      <c r="AT581">
        <v>0</v>
      </c>
    </row>
    <row r="582" spans="44:46">
      <c r="AR582">
        <v>0</v>
      </c>
      <c r="AS582">
        <v>0</v>
      </c>
      <c r="AT582">
        <v>0</v>
      </c>
    </row>
    <row r="583" spans="44:46">
      <c r="AR583">
        <v>0</v>
      </c>
      <c r="AS583">
        <v>0</v>
      </c>
      <c r="AT583">
        <v>0</v>
      </c>
    </row>
    <row r="584" spans="44:46">
      <c r="AR584">
        <v>0</v>
      </c>
      <c r="AS584">
        <v>0</v>
      </c>
      <c r="AT584">
        <v>0</v>
      </c>
    </row>
    <row r="585" spans="44:46">
      <c r="AR585">
        <v>0</v>
      </c>
      <c r="AS585">
        <v>0</v>
      </c>
      <c r="AT585">
        <v>0</v>
      </c>
    </row>
    <row r="586" spans="44:46">
      <c r="AR586">
        <v>0</v>
      </c>
      <c r="AS586">
        <v>0</v>
      </c>
      <c r="AT586">
        <v>0</v>
      </c>
    </row>
    <row r="587" spans="44:46">
      <c r="AR587">
        <v>0</v>
      </c>
      <c r="AS587">
        <v>0</v>
      </c>
      <c r="AT587">
        <v>0</v>
      </c>
    </row>
    <row r="588" spans="44:46">
      <c r="AR588">
        <v>0</v>
      </c>
      <c r="AS588">
        <v>0</v>
      </c>
      <c r="AT588">
        <v>0</v>
      </c>
    </row>
    <row r="589" spans="44:46">
      <c r="AR589">
        <v>0</v>
      </c>
      <c r="AS589">
        <v>0</v>
      </c>
      <c r="AT589">
        <v>0</v>
      </c>
    </row>
    <row r="590" spans="44:46">
      <c r="AR590">
        <v>0</v>
      </c>
      <c r="AS590">
        <v>0</v>
      </c>
      <c r="AT590">
        <v>0</v>
      </c>
    </row>
    <row r="591" spans="44:46">
      <c r="AR591">
        <v>0</v>
      </c>
      <c r="AS591">
        <v>0</v>
      </c>
      <c r="AT591">
        <v>0</v>
      </c>
    </row>
    <row r="592" spans="44:46">
      <c r="AR592">
        <v>0</v>
      </c>
      <c r="AS592">
        <v>0</v>
      </c>
      <c r="AT592">
        <v>0</v>
      </c>
    </row>
    <row r="593" spans="44:46">
      <c r="AR593">
        <v>0</v>
      </c>
      <c r="AS593">
        <v>0</v>
      </c>
      <c r="AT593">
        <v>0</v>
      </c>
    </row>
    <row r="594" spans="44:46">
      <c r="AR594">
        <v>0</v>
      </c>
      <c r="AS594">
        <v>0</v>
      </c>
      <c r="AT594">
        <v>0</v>
      </c>
    </row>
    <row r="595" spans="44:46">
      <c r="AR595">
        <v>0</v>
      </c>
      <c r="AS595">
        <v>0</v>
      </c>
      <c r="AT595">
        <v>0</v>
      </c>
    </row>
    <row r="596" spans="44:46">
      <c r="AR596">
        <v>0</v>
      </c>
      <c r="AS596">
        <v>0</v>
      </c>
      <c r="AT596">
        <v>0</v>
      </c>
    </row>
    <row r="597" spans="44:46">
      <c r="AR597">
        <v>0</v>
      </c>
      <c r="AS597">
        <v>0</v>
      </c>
      <c r="AT597">
        <v>0</v>
      </c>
    </row>
    <row r="598" spans="44:46">
      <c r="AR598">
        <v>0</v>
      </c>
      <c r="AS598">
        <v>0</v>
      </c>
      <c r="AT598">
        <v>0</v>
      </c>
    </row>
    <row r="599" spans="44:46">
      <c r="AR599">
        <v>0</v>
      </c>
      <c r="AS599">
        <v>0</v>
      </c>
      <c r="AT599">
        <v>0</v>
      </c>
    </row>
    <row r="600" spans="44:46">
      <c r="AR600">
        <v>0</v>
      </c>
      <c r="AS600">
        <v>0</v>
      </c>
      <c r="AT600">
        <v>0</v>
      </c>
    </row>
    <row r="601" spans="44:46">
      <c r="AR601">
        <v>0</v>
      </c>
      <c r="AS601">
        <v>0</v>
      </c>
      <c r="AT601">
        <v>0</v>
      </c>
    </row>
    <row r="602" spans="44:46">
      <c r="AR602">
        <v>0</v>
      </c>
      <c r="AS602">
        <v>0</v>
      </c>
      <c r="AT602">
        <v>0</v>
      </c>
    </row>
    <row r="603" spans="44:46">
      <c r="AR603">
        <v>0</v>
      </c>
      <c r="AS603">
        <v>0</v>
      </c>
      <c r="AT603">
        <v>0</v>
      </c>
    </row>
    <row r="604" spans="44:46">
      <c r="AR604">
        <v>0</v>
      </c>
      <c r="AS604">
        <v>0</v>
      </c>
      <c r="AT604">
        <v>0</v>
      </c>
    </row>
    <row r="605" spans="44:46">
      <c r="AR605">
        <v>0</v>
      </c>
      <c r="AS605">
        <v>0</v>
      </c>
      <c r="AT605">
        <v>0</v>
      </c>
    </row>
    <row r="606" spans="44:46">
      <c r="AR606">
        <v>0</v>
      </c>
      <c r="AS606">
        <v>0</v>
      </c>
      <c r="AT606">
        <v>0</v>
      </c>
    </row>
    <row r="607" spans="44:46">
      <c r="AR607">
        <v>0</v>
      </c>
      <c r="AS607">
        <v>0</v>
      </c>
      <c r="AT607">
        <v>0</v>
      </c>
    </row>
    <row r="608" spans="44:46">
      <c r="AR608">
        <v>0</v>
      </c>
      <c r="AS608">
        <v>0</v>
      </c>
      <c r="AT608">
        <v>0</v>
      </c>
    </row>
    <row r="609" spans="44:46">
      <c r="AR609">
        <v>0</v>
      </c>
      <c r="AS609">
        <v>0</v>
      </c>
      <c r="AT609">
        <v>0</v>
      </c>
    </row>
    <row r="610" spans="44:46">
      <c r="AR610">
        <v>0</v>
      </c>
      <c r="AS610">
        <v>0</v>
      </c>
      <c r="AT610">
        <v>0</v>
      </c>
    </row>
    <row r="611" spans="44:46">
      <c r="AR611">
        <v>0</v>
      </c>
      <c r="AS611">
        <v>0</v>
      </c>
      <c r="AT611">
        <v>0</v>
      </c>
    </row>
    <row r="612" spans="44:46">
      <c r="AR612">
        <v>0</v>
      </c>
      <c r="AS612">
        <v>0</v>
      </c>
      <c r="AT612">
        <v>0</v>
      </c>
    </row>
    <row r="613" spans="44:46">
      <c r="AR613">
        <v>0</v>
      </c>
      <c r="AS613">
        <v>0</v>
      </c>
      <c r="AT613">
        <v>0</v>
      </c>
    </row>
    <row r="614" spans="44:46">
      <c r="AR614">
        <v>0</v>
      </c>
      <c r="AS614">
        <v>0</v>
      </c>
      <c r="AT614">
        <v>0</v>
      </c>
    </row>
    <row r="615" spans="44:46">
      <c r="AR615">
        <v>0</v>
      </c>
      <c r="AS615">
        <v>0</v>
      </c>
      <c r="AT615">
        <v>0</v>
      </c>
    </row>
    <row r="616" spans="44:46">
      <c r="AR616">
        <v>0</v>
      </c>
      <c r="AS616">
        <v>0</v>
      </c>
      <c r="AT616">
        <v>0</v>
      </c>
    </row>
    <row r="617" spans="44:46">
      <c r="AR617">
        <v>0</v>
      </c>
      <c r="AS617">
        <v>0</v>
      </c>
      <c r="AT617">
        <v>0</v>
      </c>
    </row>
    <row r="618" spans="44:46">
      <c r="AR618">
        <v>0</v>
      </c>
      <c r="AS618">
        <v>0</v>
      </c>
      <c r="AT618">
        <v>0</v>
      </c>
    </row>
    <row r="619" spans="44:46">
      <c r="AR619">
        <v>0</v>
      </c>
      <c r="AS619">
        <v>0</v>
      </c>
      <c r="AT619">
        <v>0</v>
      </c>
    </row>
    <row r="620" spans="44:46">
      <c r="AR620">
        <v>0</v>
      </c>
      <c r="AS620">
        <v>0</v>
      </c>
      <c r="AT620">
        <v>0</v>
      </c>
    </row>
    <row r="621" spans="44:46">
      <c r="AR621">
        <v>0</v>
      </c>
      <c r="AS621">
        <v>0</v>
      </c>
      <c r="AT621">
        <v>0</v>
      </c>
    </row>
    <row r="622" spans="44:46">
      <c r="AR622">
        <v>0</v>
      </c>
      <c r="AS622">
        <v>0</v>
      </c>
      <c r="AT622">
        <v>0</v>
      </c>
    </row>
    <row r="623" spans="44:46">
      <c r="AR623">
        <v>0</v>
      </c>
      <c r="AS623">
        <v>0</v>
      </c>
      <c r="AT623">
        <v>0</v>
      </c>
    </row>
    <row r="624" spans="44:46">
      <c r="AR624">
        <v>0</v>
      </c>
      <c r="AS624">
        <v>0</v>
      </c>
      <c r="AT624">
        <v>0</v>
      </c>
    </row>
    <row r="625" spans="44:46">
      <c r="AR625">
        <v>0</v>
      </c>
      <c r="AS625">
        <v>0</v>
      </c>
      <c r="AT625">
        <v>0</v>
      </c>
    </row>
    <row r="626" spans="44:46">
      <c r="AR626">
        <v>0</v>
      </c>
      <c r="AS626">
        <v>0</v>
      </c>
      <c r="AT626">
        <v>0</v>
      </c>
    </row>
    <row r="627" spans="44:46">
      <c r="AR627">
        <v>0</v>
      </c>
      <c r="AS627">
        <v>0</v>
      </c>
      <c r="AT627">
        <v>0</v>
      </c>
    </row>
    <row r="628" spans="44:46">
      <c r="AR628">
        <v>0</v>
      </c>
      <c r="AS628">
        <v>0</v>
      </c>
      <c r="AT628">
        <v>0</v>
      </c>
    </row>
    <row r="629" spans="44:46">
      <c r="AR629">
        <v>0</v>
      </c>
      <c r="AS629">
        <v>0</v>
      </c>
      <c r="AT629">
        <v>0</v>
      </c>
    </row>
    <row r="630" spans="44:46">
      <c r="AR630">
        <v>0</v>
      </c>
      <c r="AS630">
        <v>0</v>
      </c>
      <c r="AT630">
        <v>0</v>
      </c>
    </row>
    <row r="631" spans="44:46">
      <c r="AR631">
        <v>0</v>
      </c>
      <c r="AS631">
        <v>0</v>
      </c>
      <c r="AT631">
        <v>0</v>
      </c>
    </row>
    <row r="632" spans="44:46">
      <c r="AR632">
        <v>0</v>
      </c>
      <c r="AS632">
        <v>0</v>
      </c>
      <c r="AT632">
        <v>0</v>
      </c>
    </row>
    <row r="633" spans="44:46">
      <c r="AR633">
        <v>0</v>
      </c>
      <c r="AS633">
        <v>0</v>
      </c>
      <c r="AT633">
        <v>0</v>
      </c>
    </row>
    <row r="634" spans="44:46">
      <c r="AR634">
        <v>0</v>
      </c>
      <c r="AS634">
        <v>0</v>
      </c>
      <c r="AT634">
        <v>0</v>
      </c>
    </row>
    <row r="635" spans="44:46">
      <c r="AR635">
        <v>0</v>
      </c>
      <c r="AS635">
        <v>0</v>
      </c>
      <c r="AT635">
        <v>0</v>
      </c>
    </row>
    <row r="636" spans="44:46">
      <c r="AR636">
        <v>0</v>
      </c>
      <c r="AS636">
        <v>0</v>
      </c>
      <c r="AT636">
        <v>0</v>
      </c>
    </row>
    <row r="637" spans="44:46">
      <c r="AR637">
        <v>0</v>
      </c>
      <c r="AS637">
        <v>0</v>
      </c>
      <c r="AT637">
        <v>0</v>
      </c>
    </row>
    <row r="638" spans="44:46">
      <c r="AR638">
        <v>0</v>
      </c>
      <c r="AS638">
        <v>0</v>
      </c>
      <c r="AT638">
        <v>0</v>
      </c>
    </row>
    <row r="639" spans="44:46">
      <c r="AR639">
        <v>0</v>
      </c>
      <c r="AS639">
        <v>0</v>
      </c>
      <c r="AT639">
        <v>0</v>
      </c>
    </row>
    <row r="640" spans="44:46">
      <c r="AR640">
        <v>0</v>
      </c>
      <c r="AS640">
        <v>0</v>
      </c>
      <c r="AT640">
        <v>0</v>
      </c>
    </row>
    <row r="641" spans="44:46">
      <c r="AR641">
        <v>0</v>
      </c>
      <c r="AS641">
        <v>0</v>
      </c>
      <c r="AT641">
        <v>0</v>
      </c>
    </row>
    <row r="642" spans="44:46">
      <c r="AR642">
        <v>0</v>
      </c>
      <c r="AS642">
        <v>0</v>
      </c>
      <c r="AT642">
        <v>0</v>
      </c>
    </row>
    <row r="643" spans="44:46">
      <c r="AR643">
        <v>0</v>
      </c>
      <c r="AS643">
        <v>0</v>
      </c>
      <c r="AT643">
        <v>0</v>
      </c>
    </row>
    <row r="644" spans="44:46">
      <c r="AR644">
        <v>0</v>
      </c>
      <c r="AS644">
        <v>0</v>
      </c>
      <c r="AT644">
        <v>0</v>
      </c>
    </row>
    <row r="645" spans="44:46">
      <c r="AR645">
        <v>0</v>
      </c>
      <c r="AS645">
        <v>0</v>
      </c>
      <c r="AT645">
        <v>0</v>
      </c>
    </row>
    <row r="646" spans="44:46">
      <c r="AR646">
        <v>0</v>
      </c>
      <c r="AS646">
        <v>0</v>
      </c>
      <c r="AT646">
        <v>0</v>
      </c>
    </row>
    <row r="647" spans="44:46">
      <c r="AR647">
        <v>0</v>
      </c>
      <c r="AS647">
        <v>0</v>
      </c>
      <c r="AT647">
        <v>0</v>
      </c>
    </row>
    <row r="648" spans="44:46">
      <c r="AR648">
        <v>0</v>
      </c>
      <c r="AS648">
        <v>0</v>
      </c>
      <c r="AT648">
        <v>0</v>
      </c>
    </row>
    <row r="649" spans="44:46">
      <c r="AR649">
        <v>0</v>
      </c>
      <c r="AS649">
        <v>0</v>
      </c>
      <c r="AT649">
        <v>0</v>
      </c>
    </row>
    <row r="650" spans="44:46">
      <c r="AR650">
        <v>0</v>
      </c>
      <c r="AS650">
        <v>0</v>
      </c>
      <c r="AT650">
        <v>0</v>
      </c>
    </row>
    <row r="651" spans="44:46">
      <c r="AR651">
        <v>0</v>
      </c>
      <c r="AS651">
        <v>0</v>
      </c>
      <c r="AT651">
        <v>0</v>
      </c>
    </row>
    <row r="652" spans="44:46">
      <c r="AR652">
        <v>0</v>
      </c>
      <c r="AS652">
        <v>0</v>
      </c>
      <c r="AT652">
        <v>0</v>
      </c>
    </row>
    <row r="653" spans="44:46">
      <c r="AR653">
        <v>0</v>
      </c>
      <c r="AS653">
        <v>0</v>
      </c>
      <c r="AT653">
        <v>0</v>
      </c>
    </row>
    <row r="654" spans="44:46">
      <c r="AR654">
        <v>0</v>
      </c>
      <c r="AS654">
        <v>0</v>
      </c>
      <c r="AT654">
        <v>0</v>
      </c>
    </row>
    <row r="655" spans="44:46">
      <c r="AR655">
        <v>0</v>
      </c>
      <c r="AS655">
        <v>0</v>
      </c>
      <c r="AT655">
        <v>0</v>
      </c>
    </row>
    <row r="656" spans="44:46">
      <c r="AR656">
        <v>0</v>
      </c>
      <c r="AS656">
        <v>0</v>
      </c>
      <c r="AT656">
        <v>0</v>
      </c>
    </row>
    <row r="657" spans="44:46">
      <c r="AR657">
        <v>0</v>
      </c>
      <c r="AS657">
        <v>0</v>
      </c>
      <c r="AT657">
        <v>0</v>
      </c>
    </row>
    <row r="658" spans="44:46">
      <c r="AR658">
        <v>0</v>
      </c>
      <c r="AS658">
        <v>0</v>
      </c>
      <c r="AT658">
        <v>0</v>
      </c>
    </row>
    <row r="659" spans="44:46">
      <c r="AR659">
        <v>0</v>
      </c>
      <c r="AS659">
        <v>0</v>
      </c>
      <c r="AT659">
        <v>0</v>
      </c>
    </row>
    <row r="660" spans="44:46">
      <c r="AR660">
        <v>0</v>
      </c>
      <c r="AS660">
        <v>0</v>
      </c>
      <c r="AT660">
        <v>0</v>
      </c>
    </row>
    <row r="661" spans="44:46">
      <c r="AR661">
        <v>0</v>
      </c>
      <c r="AS661">
        <v>0</v>
      </c>
      <c r="AT661">
        <v>0</v>
      </c>
    </row>
    <row r="662" spans="44:46">
      <c r="AR662">
        <v>0</v>
      </c>
      <c r="AS662">
        <v>0</v>
      </c>
      <c r="AT662">
        <v>0</v>
      </c>
    </row>
    <row r="663" spans="44:46">
      <c r="AR663">
        <v>0</v>
      </c>
      <c r="AS663">
        <v>0</v>
      </c>
      <c r="AT663">
        <v>0</v>
      </c>
    </row>
    <row r="664" spans="44:46">
      <c r="AR664">
        <v>0</v>
      </c>
      <c r="AS664">
        <v>0</v>
      </c>
      <c r="AT664">
        <v>0</v>
      </c>
    </row>
    <row r="665" spans="44:46">
      <c r="AR665">
        <v>0</v>
      </c>
      <c r="AS665">
        <v>0</v>
      </c>
      <c r="AT665">
        <v>0</v>
      </c>
    </row>
    <row r="666" spans="44:46">
      <c r="AR666">
        <v>0</v>
      </c>
      <c r="AS666">
        <v>0</v>
      </c>
      <c r="AT666">
        <v>0</v>
      </c>
    </row>
    <row r="667" spans="44:46">
      <c r="AR667">
        <v>0</v>
      </c>
      <c r="AS667">
        <v>0</v>
      </c>
      <c r="AT667">
        <v>0</v>
      </c>
    </row>
    <row r="668" spans="44:46">
      <c r="AR668">
        <v>0</v>
      </c>
      <c r="AS668">
        <v>0</v>
      </c>
      <c r="AT668">
        <v>0</v>
      </c>
    </row>
    <row r="669" spans="44:46">
      <c r="AR669">
        <v>0</v>
      </c>
      <c r="AS669">
        <v>0</v>
      </c>
      <c r="AT669">
        <v>0</v>
      </c>
    </row>
    <row r="670" spans="44:46">
      <c r="AR670">
        <v>0</v>
      </c>
      <c r="AS670">
        <v>0</v>
      </c>
      <c r="AT670">
        <v>0</v>
      </c>
    </row>
    <row r="671" spans="44:46">
      <c r="AR671">
        <v>0</v>
      </c>
      <c r="AS671">
        <v>0</v>
      </c>
      <c r="AT671">
        <v>0</v>
      </c>
    </row>
    <row r="672" spans="44:46">
      <c r="AR672">
        <v>0</v>
      </c>
      <c r="AS672">
        <v>0</v>
      </c>
      <c r="AT672">
        <v>0</v>
      </c>
    </row>
    <row r="673" spans="44:46">
      <c r="AR673">
        <v>0</v>
      </c>
      <c r="AS673">
        <v>0</v>
      </c>
      <c r="AT673">
        <v>0</v>
      </c>
    </row>
    <row r="674" spans="44:46">
      <c r="AR674">
        <v>0</v>
      </c>
      <c r="AS674">
        <v>0</v>
      </c>
      <c r="AT674">
        <v>0</v>
      </c>
    </row>
    <row r="675" spans="44:46">
      <c r="AR675">
        <v>0</v>
      </c>
      <c r="AS675">
        <v>0</v>
      </c>
      <c r="AT675">
        <v>0</v>
      </c>
    </row>
    <row r="676" spans="44:46">
      <c r="AR676">
        <v>0</v>
      </c>
      <c r="AS676">
        <v>0</v>
      </c>
      <c r="AT676">
        <v>0</v>
      </c>
    </row>
    <row r="677" spans="44:46">
      <c r="AR677">
        <v>0</v>
      </c>
      <c r="AS677">
        <v>0</v>
      </c>
      <c r="AT677">
        <v>0</v>
      </c>
    </row>
    <row r="678" spans="44:46">
      <c r="AR678">
        <v>0</v>
      </c>
      <c r="AS678">
        <v>0</v>
      </c>
      <c r="AT678">
        <v>0</v>
      </c>
    </row>
    <row r="679" spans="44:46">
      <c r="AR679">
        <v>0</v>
      </c>
      <c r="AS679">
        <v>0</v>
      </c>
      <c r="AT679">
        <v>0</v>
      </c>
    </row>
    <row r="680" spans="44:46">
      <c r="AR680">
        <v>0</v>
      </c>
      <c r="AS680">
        <v>0</v>
      </c>
      <c r="AT680">
        <v>0</v>
      </c>
    </row>
    <row r="681" spans="44:46">
      <c r="AR681">
        <v>0</v>
      </c>
      <c r="AS681">
        <v>0</v>
      </c>
      <c r="AT681">
        <v>0</v>
      </c>
    </row>
    <row r="682" spans="44:46">
      <c r="AR682">
        <v>0</v>
      </c>
      <c r="AS682">
        <v>0</v>
      </c>
      <c r="AT682">
        <v>0</v>
      </c>
    </row>
    <row r="683" spans="44:46">
      <c r="AR683">
        <v>0</v>
      </c>
      <c r="AS683">
        <v>0</v>
      </c>
      <c r="AT683">
        <v>0</v>
      </c>
    </row>
    <row r="684" spans="44:46">
      <c r="AR684">
        <v>0</v>
      </c>
      <c r="AS684">
        <v>0</v>
      </c>
      <c r="AT684">
        <v>0</v>
      </c>
    </row>
    <row r="685" spans="44:46">
      <c r="AR685">
        <v>0</v>
      </c>
      <c r="AS685">
        <v>0</v>
      </c>
      <c r="AT685">
        <v>0</v>
      </c>
    </row>
    <row r="686" spans="44:46">
      <c r="AR686">
        <v>0</v>
      </c>
      <c r="AS686">
        <v>0</v>
      </c>
      <c r="AT686">
        <v>0</v>
      </c>
    </row>
    <row r="687" spans="44:46">
      <c r="AR687">
        <v>0</v>
      </c>
      <c r="AS687">
        <v>0</v>
      </c>
      <c r="AT687">
        <v>0</v>
      </c>
    </row>
    <row r="688" spans="44:46">
      <c r="AR688">
        <v>0</v>
      </c>
      <c r="AS688">
        <v>0</v>
      </c>
      <c r="AT688">
        <v>0</v>
      </c>
    </row>
    <row r="689" spans="44:46">
      <c r="AR689">
        <v>0</v>
      </c>
      <c r="AS689">
        <v>0</v>
      </c>
      <c r="AT689">
        <v>0</v>
      </c>
    </row>
    <row r="690" spans="44:46">
      <c r="AR690">
        <v>0</v>
      </c>
      <c r="AS690">
        <v>0</v>
      </c>
      <c r="AT690">
        <v>0</v>
      </c>
    </row>
    <row r="691" spans="44:46">
      <c r="AR691">
        <v>0</v>
      </c>
      <c r="AS691">
        <v>0</v>
      </c>
      <c r="AT691">
        <v>0</v>
      </c>
    </row>
    <row r="692" spans="44:46">
      <c r="AR692">
        <v>0</v>
      </c>
      <c r="AS692">
        <v>0</v>
      </c>
      <c r="AT692">
        <v>0</v>
      </c>
    </row>
    <row r="693" spans="44:46">
      <c r="AR693">
        <v>0</v>
      </c>
      <c r="AS693">
        <v>0</v>
      </c>
      <c r="AT693">
        <v>0</v>
      </c>
    </row>
    <row r="694" spans="44:46">
      <c r="AR694">
        <v>0</v>
      </c>
      <c r="AS694">
        <v>0</v>
      </c>
      <c r="AT694">
        <v>0</v>
      </c>
    </row>
    <row r="695" spans="44:46">
      <c r="AR695">
        <v>0</v>
      </c>
      <c r="AS695">
        <v>0</v>
      </c>
      <c r="AT695">
        <v>0</v>
      </c>
    </row>
    <row r="696" spans="44:46">
      <c r="AR696">
        <v>0</v>
      </c>
      <c r="AS696">
        <v>0</v>
      </c>
      <c r="AT696">
        <v>0</v>
      </c>
    </row>
    <row r="697" spans="44:46">
      <c r="AR697">
        <v>0</v>
      </c>
      <c r="AS697">
        <v>0</v>
      </c>
      <c r="AT697">
        <v>0</v>
      </c>
    </row>
    <row r="698" spans="44:46">
      <c r="AR698">
        <v>0</v>
      </c>
      <c r="AS698">
        <v>0</v>
      </c>
      <c r="AT698">
        <v>0</v>
      </c>
    </row>
    <row r="699" spans="44:46">
      <c r="AR699">
        <v>0</v>
      </c>
      <c r="AS699">
        <v>0</v>
      </c>
      <c r="AT699">
        <v>0</v>
      </c>
    </row>
    <row r="700" spans="44:46">
      <c r="AR700">
        <v>0</v>
      </c>
      <c r="AS700">
        <v>0</v>
      </c>
      <c r="AT700">
        <v>0</v>
      </c>
    </row>
    <row r="701" spans="44:46">
      <c r="AR701">
        <v>0</v>
      </c>
      <c r="AS701">
        <v>0</v>
      </c>
      <c r="AT701">
        <v>0</v>
      </c>
    </row>
    <row r="702" spans="44:46">
      <c r="AR702">
        <v>0</v>
      </c>
      <c r="AS702">
        <v>0</v>
      </c>
      <c r="AT702">
        <v>0</v>
      </c>
    </row>
    <row r="703" spans="44:46">
      <c r="AR703">
        <v>0</v>
      </c>
      <c r="AS703">
        <v>0</v>
      </c>
      <c r="AT703">
        <v>0</v>
      </c>
    </row>
    <row r="704" spans="44:46">
      <c r="AR704">
        <v>0</v>
      </c>
      <c r="AS704">
        <v>0</v>
      </c>
      <c r="AT704">
        <v>0</v>
      </c>
    </row>
    <row r="705" spans="44:46">
      <c r="AR705">
        <v>0</v>
      </c>
      <c r="AS705">
        <v>0</v>
      </c>
      <c r="AT705">
        <v>0</v>
      </c>
    </row>
    <row r="706" spans="44:46">
      <c r="AR706">
        <v>0</v>
      </c>
      <c r="AS706">
        <v>0</v>
      </c>
      <c r="AT706">
        <v>0</v>
      </c>
    </row>
    <row r="707" spans="44:46">
      <c r="AR707">
        <v>0</v>
      </c>
      <c r="AS707">
        <v>0</v>
      </c>
      <c r="AT707">
        <v>0</v>
      </c>
    </row>
    <row r="708" spans="44:46">
      <c r="AR708">
        <v>0</v>
      </c>
      <c r="AS708">
        <v>0</v>
      </c>
      <c r="AT708">
        <v>0</v>
      </c>
    </row>
    <row r="709" spans="44:46">
      <c r="AR709">
        <v>0</v>
      </c>
      <c r="AS709">
        <v>0</v>
      </c>
      <c r="AT709">
        <v>0</v>
      </c>
    </row>
    <row r="710" spans="44:46">
      <c r="AR710">
        <v>0</v>
      </c>
      <c r="AS710">
        <v>0</v>
      </c>
      <c r="AT710">
        <v>0</v>
      </c>
    </row>
    <row r="711" spans="44:46">
      <c r="AR711">
        <v>0</v>
      </c>
      <c r="AS711">
        <v>0</v>
      </c>
      <c r="AT711">
        <v>0</v>
      </c>
    </row>
    <row r="712" spans="44:46">
      <c r="AR712">
        <v>0</v>
      </c>
      <c r="AS712">
        <v>0</v>
      </c>
      <c r="AT712">
        <v>0</v>
      </c>
    </row>
    <row r="713" spans="44:46">
      <c r="AR713">
        <v>0</v>
      </c>
      <c r="AS713">
        <v>0</v>
      </c>
      <c r="AT713">
        <v>0</v>
      </c>
    </row>
    <row r="714" spans="44:46">
      <c r="AR714">
        <v>0</v>
      </c>
      <c r="AS714">
        <v>0</v>
      </c>
      <c r="AT714">
        <v>0</v>
      </c>
    </row>
    <row r="715" spans="44:46">
      <c r="AR715">
        <v>0</v>
      </c>
      <c r="AS715">
        <v>0</v>
      </c>
      <c r="AT715">
        <v>0</v>
      </c>
    </row>
    <row r="716" spans="44:46">
      <c r="AR716">
        <v>0</v>
      </c>
      <c r="AS716">
        <v>0</v>
      </c>
      <c r="AT716">
        <v>0</v>
      </c>
    </row>
    <row r="717" spans="44:46">
      <c r="AR717">
        <v>0</v>
      </c>
      <c r="AS717">
        <v>0</v>
      </c>
      <c r="AT717">
        <v>0</v>
      </c>
    </row>
    <row r="718" spans="44:46">
      <c r="AR718">
        <v>0</v>
      </c>
      <c r="AS718">
        <v>0</v>
      </c>
      <c r="AT718">
        <v>0</v>
      </c>
    </row>
    <row r="719" spans="44:46">
      <c r="AR719">
        <v>0</v>
      </c>
      <c r="AS719">
        <v>0</v>
      </c>
      <c r="AT719">
        <v>0</v>
      </c>
    </row>
    <row r="720" spans="44:46">
      <c r="AR720">
        <v>0</v>
      </c>
      <c r="AS720">
        <v>0</v>
      </c>
      <c r="AT720">
        <v>0</v>
      </c>
    </row>
    <row r="721" spans="44:46">
      <c r="AR721">
        <v>0</v>
      </c>
      <c r="AS721">
        <v>0</v>
      </c>
      <c r="AT721">
        <v>0</v>
      </c>
    </row>
    <row r="722" spans="44:46">
      <c r="AR722">
        <v>0</v>
      </c>
      <c r="AS722">
        <v>0</v>
      </c>
      <c r="AT722">
        <v>0</v>
      </c>
    </row>
    <row r="723" spans="44:46">
      <c r="AR723">
        <v>0</v>
      </c>
      <c r="AS723">
        <v>0</v>
      </c>
      <c r="AT723">
        <v>0</v>
      </c>
    </row>
    <row r="724" spans="44:46">
      <c r="AR724">
        <v>0</v>
      </c>
      <c r="AS724">
        <v>0</v>
      </c>
      <c r="AT724">
        <v>0</v>
      </c>
    </row>
    <row r="725" spans="44:46">
      <c r="AR725">
        <v>0</v>
      </c>
      <c r="AS725">
        <v>0</v>
      </c>
      <c r="AT725">
        <v>0</v>
      </c>
    </row>
    <row r="726" spans="44:46">
      <c r="AR726">
        <v>0</v>
      </c>
      <c r="AS726">
        <v>0</v>
      </c>
      <c r="AT726">
        <v>0</v>
      </c>
    </row>
    <row r="727" spans="44:46">
      <c r="AR727">
        <v>0</v>
      </c>
      <c r="AS727">
        <v>0</v>
      </c>
      <c r="AT727">
        <v>0</v>
      </c>
    </row>
    <row r="728" spans="44:46">
      <c r="AR728">
        <v>0</v>
      </c>
      <c r="AS728">
        <v>0</v>
      </c>
      <c r="AT728">
        <v>0</v>
      </c>
    </row>
    <row r="729" spans="44:46">
      <c r="AR729">
        <v>0</v>
      </c>
      <c r="AS729">
        <v>0</v>
      </c>
      <c r="AT729">
        <v>0</v>
      </c>
    </row>
    <row r="730" spans="44:46">
      <c r="AR730">
        <v>0</v>
      </c>
      <c r="AS730">
        <v>0</v>
      </c>
      <c r="AT730">
        <v>0</v>
      </c>
    </row>
    <row r="731" spans="44:46">
      <c r="AR731">
        <v>0</v>
      </c>
      <c r="AS731">
        <v>0</v>
      </c>
      <c r="AT731">
        <v>0</v>
      </c>
    </row>
    <row r="732" spans="44:46">
      <c r="AR732">
        <v>0</v>
      </c>
      <c r="AS732">
        <v>0</v>
      </c>
      <c r="AT732">
        <v>0</v>
      </c>
    </row>
    <row r="733" spans="44:46">
      <c r="AR733">
        <v>0</v>
      </c>
      <c r="AS733">
        <v>0</v>
      </c>
      <c r="AT733">
        <v>0</v>
      </c>
    </row>
    <row r="734" spans="44:46">
      <c r="AR734">
        <v>0</v>
      </c>
      <c r="AS734">
        <v>0</v>
      </c>
      <c r="AT734">
        <v>0</v>
      </c>
    </row>
    <row r="735" spans="44:46">
      <c r="AR735">
        <v>0</v>
      </c>
      <c r="AS735">
        <v>0</v>
      </c>
      <c r="AT735">
        <v>0</v>
      </c>
    </row>
    <row r="736" spans="44:46">
      <c r="AR736">
        <v>0</v>
      </c>
      <c r="AS736">
        <v>0</v>
      </c>
      <c r="AT736">
        <v>0</v>
      </c>
    </row>
    <row r="737" spans="44:46">
      <c r="AR737">
        <v>0</v>
      </c>
      <c r="AS737">
        <v>0</v>
      </c>
      <c r="AT737">
        <v>0</v>
      </c>
    </row>
    <row r="738" spans="44:46">
      <c r="AR738">
        <v>0</v>
      </c>
      <c r="AS738">
        <v>0</v>
      </c>
      <c r="AT738">
        <v>0</v>
      </c>
    </row>
    <row r="739" spans="44:46">
      <c r="AR739">
        <v>0</v>
      </c>
      <c r="AS739">
        <v>0</v>
      </c>
      <c r="AT739">
        <v>0</v>
      </c>
    </row>
    <row r="740" spans="44:46">
      <c r="AR740">
        <v>0</v>
      </c>
      <c r="AS740">
        <v>0</v>
      </c>
      <c r="AT740">
        <v>0</v>
      </c>
    </row>
    <row r="741" spans="44:46">
      <c r="AR741">
        <v>0</v>
      </c>
      <c r="AS741">
        <v>0</v>
      </c>
      <c r="AT741">
        <v>0</v>
      </c>
    </row>
    <row r="742" spans="44:46">
      <c r="AR742">
        <v>0</v>
      </c>
      <c r="AS742">
        <v>0</v>
      </c>
      <c r="AT742">
        <v>0</v>
      </c>
    </row>
    <row r="743" spans="44:46">
      <c r="AR743">
        <v>0</v>
      </c>
      <c r="AS743">
        <v>0</v>
      </c>
      <c r="AT743">
        <v>0</v>
      </c>
    </row>
    <row r="744" spans="44:46">
      <c r="AR744">
        <v>0</v>
      </c>
      <c r="AS744">
        <v>0</v>
      </c>
      <c r="AT744">
        <v>0</v>
      </c>
    </row>
    <row r="745" spans="44:46">
      <c r="AR745">
        <v>0</v>
      </c>
      <c r="AS745">
        <v>0</v>
      </c>
      <c r="AT745">
        <v>0</v>
      </c>
    </row>
    <row r="746" spans="44:46">
      <c r="AR746">
        <v>0</v>
      </c>
      <c r="AS746">
        <v>0</v>
      </c>
      <c r="AT746">
        <v>0</v>
      </c>
    </row>
    <row r="747" spans="44:46">
      <c r="AR747">
        <v>0</v>
      </c>
      <c r="AS747">
        <v>0</v>
      </c>
      <c r="AT747">
        <v>0</v>
      </c>
    </row>
    <row r="748" spans="44:46">
      <c r="AR748">
        <v>0</v>
      </c>
      <c r="AS748">
        <v>0</v>
      </c>
      <c r="AT748">
        <v>0</v>
      </c>
    </row>
    <row r="749" spans="44:46">
      <c r="AR749">
        <v>0</v>
      </c>
      <c r="AS749">
        <v>0</v>
      </c>
      <c r="AT749">
        <v>0</v>
      </c>
    </row>
    <row r="750" spans="44:46">
      <c r="AR750">
        <v>0</v>
      </c>
      <c r="AS750">
        <v>0</v>
      </c>
      <c r="AT750">
        <v>0</v>
      </c>
    </row>
    <row r="751" spans="44:46">
      <c r="AR751">
        <v>0</v>
      </c>
      <c r="AS751">
        <v>0</v>
      </c>
      <c r="AT751">
        <v>0</v>
      </c>
    </row>
    <row r="752" spans="44:46">
      <c r="AR752">
        <v>0</v>
      </c>
      <c r="AS752">
        <v>0</v>
      </c>
      <c r="AT752">
        <v>0</v>
      </c>
    </row>
    <row r="753" spans="44:46">
      <c r="AR753">
        <v>0</v>
      </c>
      <c r="AS753">
        <v>0</v>
      </c>
      <c r="AT753">
        <v>0</v>
      </c>
    </row>
    <row r="754" spans="44:46">
      <c r="AR754">
        <v>0</v>
      </c>
      <c r="AS754">
        <v>0</v>
      </c>
      <c r="AT754">
        <v>0</v>
      </c>
    </row>
    <row r="755" spans="44:46">
      <c r="AR755">
        <v>0</v>
      </c>
      <c r="AS755">
        <v>0</v>
      </c>
      <c r="AT755">
        <v>0</v>
      </c>
    </row>
    <row r="756" spans="44:46">
      <c r="AR756">
        <v>0</v>
      </c>
      <c r="AS756">
        <v>0</v>
      </c>
      <c r="AT756">
        <v>0</v>
      </c>
    </row>
    <row r="757" spans="44:46">
      <c r="AR757">
        <v>0</v>
      </c>
      <c r="AS757">
        <v>0</v>
      </c>
      <c r="AT757">
        <v>0</v>
      </c>
    </row>
    <row r="758" spans="44:46">
      <c r="AR758">
        <v>0</v>
      </c>
      <c r="AS758">
        <v>0</v>
      </c>
      <c r="AT758">
        <v>0</v>
      </c>
    </row>
    <row r="759" spans="44:46">
      <c r="AR759">
        <v>0</v>
      </c>
      <c r="AS759">
        <v>0</v>
      </c>
      <c r="AT759">
        <v>0</v>
      </c>
    </row>
    <row r="760" spans="44:46">
      <c r="AR760">
        <v>0</v>
      </c>
      <c r="AS760">
        <v>0</v>
      </c>
      <c r="AT760">
        <v>0</v>
      </c>
    </row>
    <row r="761" spans="44:46">
      <c r="AR761">
        <v>0</v>
      </c>
      <c r="AS761">
        <v>0</v>
      </c>
      <c r="AT761">
        <v>0</v>
      </c>
    </row>
    <row r="762" spans="44:46">
      <c r="AR762">
        <v>0</v>
      </c>
      <c r="AS762">
        <v>0</v>
      </c>
      <c r="AT762">
        <v>0</v>
      </c>
    </row>
    <row r="763" spans="44:46">
      <c r="AR763">
        <v>0</v>
      </c>
      <c r="AS763">
        <v>0</v>
      </c>
      <c r="AT763">
        <v>0</v>
      </c>
    </row>
    <row r="764" spans="44:46">
      <c r="AR764">
        <v>0</v>
      </c>
      <c r="AS764">
        <v>0</v>
      </c>
      <c r="AT764">
        <v>0</v>
      </c>
    </row>
    <row r="765" spans="44:46">
      <c r="AR765">
        <v>0</v>
      </c>
      <c r="AS765">
        <v>0</v>
      </c>
      <c r="AT765">
        <v>0</v>
      </c>
    </row>
    <row r="766" spans="44:46">
      <c r="AR766">
        <v>0</v>
      </c>
      <c r="AS766">
        <v>0</v>
      </c>
      <c r="AT766">
        <v>0</v>
      </c>
    </row>
    <row r="767" spans="44:46">
      <c r="AR767">
        <v>0</v>
      </c>
      <c r="AS767">
        <v>0</v>
      </c>
      <c r="AT767">
        <v>0</v>
      </c>
    </row>
    <row r="768" spans="44:46">
      <c r="AR768">
        <v>0</v>
      </c>
      <c r="AS768">
        <v>0</v>
      </c>
      <c r="AT768">
        <v>0</v>
      </c>
    </row>
    <row r="769" spans="44:46">
      <c r="AR769">
        <v>0</v>
      </c>
      <c r="AS769">
        <v>0</v>
      </c>
      <c r="AT769">
        <v>0</v>
      </c>
    </row>
    <row r="770" spans="44:46">
      <c r="AR770">
        <v>0</v>
      </c>
      <c r="AS770">
        <v>0</v>
      </c>
      <c r="AT770">
        <v>0</v>
      </c>
    </row>
    <row r="771" spans="44:46">
      <c r="AR771">
        <v>0</v>
      </c>
      <c r="AS771">
        <v>0</v>
      </c>
      <c r="AT771">
        <v>0</v>
      </c>
    </row>
    <row r="772" spans="44:46">
      <c r="AR772">
        <v>0</v>
      </c>
      <c r="AS772">
        <v>0</v>
      </c>
      <c r="AT772">
        <v>0</v>
      </c>
    </row>
    <row r="773" spans="44:46">
      <c r="AR773">
        <v>0</v>
      </c>
      <c r="AS773">
        <v>0</v>
      </c>
      <c r="AT773">
        <v>0</v>
      </c>
    </row>
    <row r="774" spans="44:46">
      <c r="AR774">
        <v>0</v>
      </c>
      <c r="AS774">
        <v>0</v>
      </c>
      <c r="AT774">
        <v>0</v>
      </c>
    </row>
    <row r="775" spans="44:46">
      <c r="AR775">
        <v>0</v>
      </c>
      <c r="AS775">
        <v>0</v>
      </c>
      <c r="AT775">
        <v>0</v>
      </c>
    </row>
    <row r="776" spans="44:46">
      <c r="AR776">
        <v>0</v>
      </c>
      <c r="AS776">
        <v>0</v>
      </c>
      <c r="AT776">
        <v>0</v>
      </c>
    </row>
    <row r="777" spans="44:46">
      <c r="AR777">
        <v>0</v>
      </c>
      <c r="AS777">
        <v>0</v>
      </c>
      <c r="AT777">
        <v>0</v>
      </c>
    </row>
    <row r="778" spans="44:46">
      <c r="AR778">
        <v>0</v>
      </c>
      <c r="AS778">
        <v>0</v>
      </c>
      <c r="AT778">
        <v>0</v>
      </c>
    </row>
    <row r="779" spans="44:46">
      <c r="AR779">
        <v>0</v>
      </c>
      <c r="AS779">
        <v>0</v>
      </c>
      <c r="AT779">
        <v>0</v>
      </c>
    </row>
    <row r="780" spans="44:46">
      <c r="AR780">
        <v>0</v>
      </c>
      <c r="AS780">
        <v>0</v>
      </c>
      <c r="AT780">
        <v>0</v>
      </c>
    </row>
    <row r="781" spans="44:46">
      <c r="AR781">
        <v>0</v>
      </c>
      <c r="AS781">
        <v>0</v>
      </c>
      <c r="AT781">
        <v>0</v>
      </c>
    </row>
    <row r="782" spans="44:46">
      <c r="AR782">
        <v>0</v>
      </c>
      <c r="AS782">
        <v>0</v>
      </c>
      <c r="AT782">
        <v>0</v>
      </c>
    </row>
    <row r="783" spans="44:46">
      <c r="AR783">
        <v>0</v>
      </c>
      <c r="AS783">
        <v>0</v>
      </c>
      <c r="AT783">
        <v>0</v>
      </c>
    </row>
    <row r="784" spans="44:46">
      <c r="AR784">
        <v>0</v>
      </c>
      <c r="AS784">
        <v>0</v>
      </c>
      <c r="AT784">
        <v>0</v>
      </c>
    </row>
    <row r="785" spans="44:46">
      <c r="AR785">
        <v>0</v>
      </c>
      <c r="AS785">
        <v>0</v>
      </c>
      <c r="AT785">
        <v>0</v>
      </c>
    </row>
    <row r="786" spans="44:46">
      <c r="AR786">
        <v>0</v>
      </c>
      <c r="AS786">
        <v>0</v>
      </c>
      <c r="AT786">
        <v>0</v>
      </c>
    </row>
    <row r="787" spans="44:46">
      <c r="AR787">
        <v>0</v>
      </c>
      <c r="AS787">
        <v>0</v>
      </c>
      <c r="AT787">
        <v>0</v>
      </c>
    </row>
    <row r="788" spans="44:46">
      <c r="AR788">
        <v>0</v>
      </c>
      <c r="AS788">
        <v>0</v>
      </c>
      <c r="AT788">
        <v>0</v>
      </c>
    </row>
    <row r="789" spans="44:46">
      <c r="AR789">
        <v>0</v>
      </c>
      <c r="AS789">
        <v>0</v>
      </c>
      <c r="AT789">
        <v>0</v>
      </c>
    </row>
    <row r="790" spans="44:46">
      <c r="AR790">
        <v>0</v>
      </c>
      <c r="AS790">
        <v>0</v>
      </c>
      <c r="AT790">
        <v>0</v>
      </c>
    </row>
    <row r="791" spans="44:46">
      <c r="AR791">
        <v>0</v>
      </c>
      <c r="AS791">
        <v>0</v>
      </c>
      <c r="AT791">
        <v>0</v>
      </c>
    </row>
    <row r="792" spans="44:46">
      <c r="AR792">
        <v>0</v>
      </c>
      <c r="AS792">
        <v>0</v>
      </c>
      <c r="AT792">
        <v>0</v>
      </c>
    </row>
    <row r="793" spans="44:46">
      <c r="AR793">
        <v>0</v>
      </c>
      <c r="AS793">
        <v>0</v>
      </c>
      <c r="AT793">
        <v>0</v>
      </c>
    </row>
    <row r="794" spans="44:46">
      <c r="AR794">
        <v>0</v>
      </c>
      <c r="AS794">
        <v>0</v>
      </c>
      <c r="AT794">
        <v>0</v>
      </c>
    </row>
    <row r="795" spans="44:46">
      <c r="AR795">
        <v>0</v>
      </c>
      <c r="AS795">
        <v>0</v>
      </c>
      <c r="AT795">
        <v>0</v>
      </c>
    </row>
    <row r="796" spans="44:46">
      <c r="AR796">
        <v>0</v>
      </c>
      <c r="AS796">
        <v>0</v>
      </c>
      <c r="AT796">
        <v>0</v>
      </c>
    </row>
    <row r="797" spans="44:46">
      <c r="AR797">
        <v>0</v>
      </c>
      <c r="AS797">
        <v>0</v>
      </c>
      <c r="AT797">
        <v>0</v>
      </c>
    </row>
    <row r="798" spans="44:46">
      <c r="AR798">
        <v>0</v>
      </c>
      <c r="AS798">
        <v>0</v>
      </c>
      <c r="AT798">
        <v>0</v>
      </c>
    </row>
    <row r="799" spans="44:46">
      <c r="AR799">
        <v>0</v>
      </c>
      <c r="AS799">
        <v>0</v>
      </c>
      <c r="AT799">
        <v>0</v>
      </c>
    </row>
    <row r="800" spans="44:46">
      <c r="AR800">
        <v>0</v>
      </c>
      <c r="AS800">
        <v>0</v>
      </c>
      <c r="AT800">
        <v>0</v>
      </c>
    </row>
    <row r="801" spans="44:46">
      <c r="AR801">
        <v>0</v>
      </c>
      <c r="AS801">
        <v>0</v>
      </c>
      <c r="AT801">
        <v>0</v>
      </c>
    </row>
    <row r="802" spans="44:46">
      <c r="AR802">
        <v>0</v>
      </c>
      <c r="AS802">
        <v>0</v>
      </c>
      <c r="AT802">
        <v>0</v>
      </c>
    </row>
    <row r="803" spans="44:46">
      <c r="AR803">
        <v>0</v>
      </c>
      <c r="AS803">
        <v>0</v>
      </c>
      <c r="AT803">
        <v>0</v>
      </c>
    </row>
    <row r="804" spans="44:46">
      <c r="AR804">
        <v>0</v>
      </c>
      <c r="AS804">
        <v>0</v>
      </c>
      <c r="AT804">
        <v>0</v>
      </c>
    </row>
    <row r="805" spans="44:46">
      <c r="AR805">
        <v>0</v>
      </c>
      <c r="AS805">
        <v>0</v>
      </c>
      <c r="AT805">
        <v>0</v>
      </c>
    </row>
    <row r="806" spans="44:46">
      <c r="AR806">
        <v>0</v>
      </c>
      <c r="AS806">
        <v>0</v>
      </c>
      <c r="AT806">
        <v>0</v>
      </c>
    </row>
    <row r="807" spans="44:46">
      <c r="AR807">
        <v>0</v>
      </c>
      <c r="AS807">
        <v>0</v>
      </c>
      <c r="AT807">
        <v>0</v>
      </c>
    </row>
    <row r="808" spans="44:46">
      <c r="AR808">
        <v>0</v>
      </c>
      <c r="AS808">
        <v>0</v>
      </c>
      <c r="AT808">
        <v>0</v>
      </c>
    </row>
    <row r="809" spans="44:46">
      <c r="AR809">
        <v>0</v>
      </c>
      <c r="AS809">
        <v>0</v>
      </c>
      <c r="AT809">
        <v>0</v>
      </c>
    </row>
    <row r="810" spans="44:46">
      <c r="AR810">
        <v>0</v>
      </c>
      <c r="AS810">
        <v>0</v>
      </c>
      <c r="AT810">
        <v>0</v>
      </c>
    </row>
    <row r="811" spans="44:46">
      <c r="AR811">
        <v>0</v>
      </c>
      <c r="AS811">
        <v>0</v>
      </c>
      <c r="AT811">
        <v>0</v>
      </c>
    </row>
    <row r="812" spans="44:46">
      <c r="AR812">
        <v>0</v>
      </c>
      <c r="AS812">
        <v>0</v>
      </c>
      <c r="AT812">
        <v>0</v>
      </c>
    </row>
    <row r="813" spans="44:46">
      <c r="AR813">
        <v>0</v>
      </c>
      <c r="AS813">
        <v>0</v>
      </c>
      <c r="AT813">
        <v>0</v>
      </c>
    </row>
    <row r="814" spans="44:46">
      <c r="AR814">
        <v>0</v>
      </c>
      <c r="AS814">
        <v>0</v>
      </c>
      <c r="AT814">
        <v>0</v>
      </c>
    </row>
    <row r="815" spans="44:46">
      <c r="AR815">
        <v>0</v>
      </c>
      <c r="AS815">
        <v>0</v>
      </c>
      <c r="AT815">
        <v>0</v>
      </c>
    </row>
    <row r="816" spans="44:46">
      <c r="AR816">
        <v>0</v>
      </c>
      <c r="AS816">
        <v>0</v>
      </c>
      <c r="AT816">
        <v>0</v>
      </c>
    </row>
    <row r="817" spans="44:46">
      <c r="AR817">
        <v>0</v>
      </c>
      <c r="AS817">
        <v>0</v>
      </c>
      <c r="AT817">
        <v>0</v>
      </c>
    </row>
    <row r="818" spans="44:46">
      <c r="AR818">
        <v>0</v>
      </c>
      <c r="AS818">
        <v>0</v>
      </c>
      <c r="AT818">
        <v>0</v>
      </c>
    </row>
    <row r="819" spans="44:46">
      <c r="AR819">
        <v>0</v>
      </c>
      <c r="AS819">
        <v>0</v>
      </c>
      <c r="AT819">
        <v>0</v>
      </c>
    </row>
    <row r="820" spans="44:46">
      <c r="AR820">
        <v>0</v>
      </c>
      <c r="AS820">
        <v>0</v>
      </c>
      <c r="AT820">
        <v>0</v>
      </c>
    </row>
    <row r="821" spans="44:46">
      <c r="AR821">
        <v>0</v>
      </c>
      <c r="AS821">
        <v>0</v>
      </c>
      <c r="AT821">
        <v>0</v>
      </c>
    </row>
    <row r="822" spans="44:46">
      <c r="AR822">
        <v>0</v>
      </c>
      <c r="AS822">
        <v>0</v>
      </c>
      <c r="AT822">
        <v>0</v>
      </c>
    </row>
    <row r="823" spans="44:46">
      <c r="AR823">
        <v>0</v>
      </c>
      <c r="AS823">
        <v>0</v>
      </c>
      <c r="AT823">
        <v>0</v>
      </c>
    </row>
    <row r="824" spans="44:46">
      <c r="AR824">
        <v>0</v>
      </c>
      <c r="AS824">
        <v>0</v>
      </c>
      <c r="AT824">
        <v>0</v>
      </c>
    </row>
    <row r="825" spans="44:46">
      <c r="AR825">
        <v>0</v>
      </c>
      <c r="AS825">
        <v>0</v>
      </c>
      <c r="AT825">
        <v>0</v>
      </c>
    </row>
    <row r="826" spans="44:46">
      <c r="AR826">
        <v>0</v>
      </c>
      <c r="AS826">
        <v>0</v>
      </c>
      <c r="AT826">
        <v>0</v>
      </c>
    </row>
    <row r="827" spans="44:46">
      <c r="AR827">
        <v>0</v>
      </c>
      <c r="AS827">
        <v>0</v>
      </c>
      <c r="AT827">
        <v>0</v>
      </c>
    </row>
    <row r="828" spans="44:46">
      <c r="AR828">
        <v>0</v>
      </c>
      <c r="AS828">
        <v>0</v>
      </c>
      <c r="AT828">
        <v>0</v>
      </c>
    </row>
    <row r="829" spans="44:46">
      <c r="AR829">
        <v>0</v>
      </c>
      <c r="AS829">
        <v>0</v>
      </c>
      <c r="AT829">
        <v>0</v>
      </c>
    </row>
    <row r="830" spans="44:46">
      <c r="AR830">
        <v>0</v>
      </c>
      <c r="AS830">
        <v>0</v>
      </c>
      <c r="AT830">
        <v>0</v>
      </c>
    </row>
    <row r="831" spans="44:46">
      <c r="AR831">
        <v>0</v>
      </c>
      <c r="AS831">
        <v>0</v>
      </c>
      <c r="AT831">
        <v>0</v>
      </c>
    </row>
    <row r="832" spans="44:46">
      <c r="AR832">
        <v>0</v>
      </c>
      <c r="AS832">
        <v>0</v>
      </c>
      <c r="AT832">
        <v>0</v>
      </c>
    </row>
    <row r="833" spans="44:46">
      <c r="AR833">
        <v>0</v>
      </c>
      <c r="AS833">
        <v>0</v>
      </c>
      <c r="AT833">
        <v>0</v>
      </c>
    </row>
    <row r="834" spans="44:46">
      <c r="AR834">
        <v>0</v>
      </c>
      <c r="AS834">
        <v>0</v>
      </c>
      <c r="AT834">
        <v>0</v>
      </c>
    </row>
    <row r="835" spans="44:46">
      <c r="AR835">
        <v>0</v>
      </c>
      <c r="AS835">
        <v>0</v>
      </c>
      <c r="AT835">
        <v>0</v>
      </c>
    </row>
    <row r="836" spans="44:46">
      <c r="AR836">
        <v>0</v>
      </c>
      <c r="AS836">
        <v>0</v>
      </c>
      <c r="AT836">
        <v>0</v>
      </c>
    </row>
    <row r="837" spans="44:46">
      <c r="AR837">
        <v>0</v>
      </c>
      <c r="AS837">
        <v>0</v>
      </c>
      <c r="AT837">
        <v>0</v>
      </c>
    </row>
    <row r="838" spans="44:46">
      <c r="AR838">
        <v>0</v>
      </c>
      <c r="AS838">
        <v>0</v>
      </c>
      <c r="AT838">
        <v>0</v>
      </c>
    </row>
    <row r="839" spans="44:46">
      <c r="AR839">
        <v>0</v>
      </c>
      <c r="AS839">
        <v>0</v>
      </c>
      <c r="AT839">
        <v>0</v>
      </c>
    </row>
    <row r="840" spans="44:46">
      <c r="AR840">
        <v>0</v>
      </c>
      <c r="AS840">
        <v>0</v>
      </c>
      <c r="AT840">
        <v>0</v>
      </c>
    </row>
    <row r="841" spans="44:46">
      <c r="AR841">
        <v>0</v>
      </c>
      <c r="AS841">
        <v>0</v>
      </c>
      <c r="AT841">
        <v>0</v>
      </c>
    </row>
    <row r="842" spans="44:46">
      <c r="AR842">
        <v>0</v>
      </c>
      <c r="AS842">
        <v>0</v>
      </c>
      <c r="AT842">
        <v>0</v>
      </c>
    </row>
    <row r="843" spans="44:46">
      <c r="AR843">
        <v>0</v>
      </c>
      <c r="AS843">
        <v>0</v>
      </c>
      <c r="AT843">
        <v>0</v>
      </c>
    </row>
    <row r="844" spans="44:46">
      <c r="AR844">
        <v>0</v>
      </c>
      <c r="AS844">
        <v>0</v>
      </c>
      <c r="AT844">
        <v>0</v>
      </c>
    </row>
    <row r="845" spans="44:46">
      <c r="AR845">
        <v>0</v>
      </c>
      <c r="AS845">
        <v>0</v>
      </c>
      <c r="AT845">
        <v>0</v>
      </c>
    </row>
    <row r="846" spans="44:46">
      <c r="AR846">
        <v>0</v>
      </c>
      <c r="AS846">
        <v>0</v>
      </c>
      <c r="AT846">
        <v>0</v>
      </c>
    </row>
    <row r="847" spans="44:46">
      <c r="AR847">
        <v>0</v>
      </c>
      <c r="AS847">
        <v>0</v>
      </c>
      <c r="AT847">
        <v>0</v>
      </c>
    </row>
    <row r="848" spans="44:46">
      <c r="AR848">
        <v>0</v>
      </c>
      <c r="AS848">
        <v>0</v>
      </c>
      <c r="AT848">
        <v>0</v>
      </c>
    </row>
    <row r="849" spans="44:46">
      <c r="AR849">
        <v>0</v>
      </c>
      <c r="AS849">
        <v>0</v>
      </c>
      <c r="AT849">
        <v>0</v>
      </c>
    </row>
    <row r="850" spans="44:46">
      <c r="AR850">
        <v>0</v>
      </c>
      <c r="AS850">
        <v>0</v>
      </c>
      <c r="AT850">
        <v>0</v>
      </c>
    </row>
    <row r="851" spans="44:46">
      <c r="AR851">
        <v>0</v>
      </c>
      <c r="AS851">
        <v>0</v>
      </c>
      <c r="AT851">
        <v>0</v>
      </c>
    </row>
    <row r="852" spans="44:46">
      <c r="AR852">
        <v>0</v>
      </c>
      <c r="AS852">
        <v>0</v>
      </c>
      <c r="AT852">
        <v>0</v>
      </c>
    </row>
    <row r="853" spans="44:46">
      <c r="AR853">
        <v>0</v>
      </c>
      <c r="AS853">
        <v>0</v>
      </c>
      <c r="AT853">
        <v>0</v>
      </c>
    </row>
    <row r="854" spans="44:46">
      <c r="AR854">
        <v>0</v>
      </c>
      <c r="AS854">
        <v>0</v>
      </c>
      <c r="AT854">
        <v>0</v>
      </c>
    </row>
    <row r="855" spans="44:46">
      <c r="AR855">
        <v>0</v>
      </c>
      <c r="AS855">
        <v>0</v>
      </c>
      <c r="AT855">
        <v>0</v>
      </c>
    </row>
    <row r="856" spans="44:46">
      <c r="AR856">
        <v>0</v>
      </c>
      <c r="AS856">
        <v>0</v>
      </c>
      <c r="AT856">
        <v>0</v>
      </c>
    </row>
    <row r="857" spans="44:46">
      <c r="AR857">
        <v>0</v>
      </c>
      <c r="AS857">
        <v>0</v>
      </c>
      <c r="AT857">
        <v>0</v>
      </c>
    </row>
    <row r="858" spans="44:46">
      <c r="AR858">
        <v>0</v>
      </c>
      <c r="AS858">
        <v>0</v>
      </c>
      <c r="AT858">
        <v>0</v>
      </c>
    </row>
    <row r="859" spans="44:46">
      <c r="AR859">
        <v>0</v>
      </c>
      <c r="AS859">
        <v>0</v>
      </c>
      <c r="AT859">
        <v>0</v>
      </c>
    </row>
    <row r="860" spans="44:46">
      <c r="AR860">
        <v>0</v>
      </c>
      <c r="AS860">
        <v>0</v>
      </c>
      <c r="AT860">
        <v>0</v>
      </c>
    </row>
    <row r="861" spans="44:46">
      <c r="AR861">
        <v>0</v>
      </c>
      <c r="AS861">
        <v>0</v>
      </c>
      <c r="AT861">
        <v>0</v>
      </c>
    </row>
    <row r="862" spans="44:46">
      <c r="AR862">
        <v>0</v>
      </c>
      <c r="AS862">
        <v>0</v>
      </c>
      <c r="AT862">
        <v>0</v>
      </c>
    </row>
    <row r="863" spans="44:46">
      <c r="AR863">
        <v>0</v>
      </c>
      <c r="AS863">
        <v>0</v>
      </c>
      <c r="AT863">
        <v>0</v>
      </c>
    </row>
    <row r="864" spans="44:46">
      <c r="AR864">
        <v>0</v>
      </c>
      <c r="AS864">
        <v>0</v>
      </c>
      <c r="AT864">
        <v>0</v>
      </c>
    </row>
    <row r="865" spans="44:46">
      <c r="AR865">
        <v>0</v>
      </c>
      <c r="AS865">
        <v>0</v>
      </c>
      <c r="AT865">
        <v>0</v>
      </c>
    </row>
    <row r="866" spans="44:46">
      <c r="AR866">
        <v>0</v>
      </c>
      <c r="AS866">
        <v>0</v>
      </c>
      <c r="AT866">
        <v>0</v>
      </c>
    </row>
    <row r="867" spans="44:46">
      <c r="AR867">
        <v>0</v>
      </c>
      <c r="AS867">
        <v>0</v>
      </c>
      <c r="AT867">
        <v>0</v>
      </c>
    </row>
    <row r="868" spans="44:46">
      <c r="AR868">
        <v>0</v>
      </c>
      <c r="AS868">
        <v>0</v>
      </c>
      <c r="AT868">
        <v>0</v>
      </c>
    </row>
    <row r="869" spans="44:46">
      <c r="AR869">
        <v>0</v>
      </c>
      <c r="AS869">
        <v>0</v>
      </c>
      <c r="AT869">
        <v>0</v>
      </c>
    </row>
    <row r="870" spans="44:46">
      <c r="AR870">
        <v>0</v>
      </c>
      <c r="AS870">
        <v>0</v>
      </c>
      <c r="AT870">
        <v>0</v>
      </c>
    </row>
    <row r="871" spans="44:46">
      <c r="AR871">
        <v>0</v>
      </c>
      <c r="AS871">
        <v>0</v>
      </c>
      <c r="AT871">
        <v>0</v>
      </c>
    </row>
    <row r="872" spans="44:46">
      <c r="AR872">
        <v>0</v>
      </c>
      <c r="AS872">
        <v>0</v>
      </c>
      <c r="AT872">
        <v>0</v>
      </c>
    </row>
    <row r="873" spans="44:46">
      <c r="AR873">
        <v>0</v>
      </c>
      <c r="AS873">
        <v>0</v>
      </c>
      <c r="AT873">
        <v>0</v>
      </c>
    </row>
    <row r="874" spans="44:46">
      <c r="AR874">
        <v>0</v>
      </c>
      <c r="AS874">
        <v>0</v>
      </c>
      <c r="AT874">
        <v>0</v>
      </c>
    </row>
    <row r="875" spans="44:46">
      <c r="AR875">
        <v>0</v>
      </c>
      <c r="AS875">
        <v>0</v>
      </c>
      <c r="AT875">
        <v>0</v>
      </c>
    </row>
    <row r="876" spans="44:46">
      <c r="AR876">
        <v>0</v>
      </c>
      <c r="AS876">
        <v>0</v>
      </c>
      <c r="AT876">
        <v>0</v>
      </c>
    </row>
    <row r="877" spans="44:46">
      <c r="AR877">
        <v>0</v>
      </c>
      <c r="AS877">
        <v>0</v>
      </c>
      <c r="AT877">
        <v>0</v>
      </c>
    </row>
    <row r="878" spans="44:46">
      <c r="AR878">
        <v>0</v>
      </c>
      <c r="AS878">
        <v>0</v>
      </c>
      <c r="AT878">
        <v>0</v>
      </c>
    </row>
    <row r="879" spans="44:46">
      <c r="AR879">
        <v>0</v>
      </c>
      <c r="AS879">
        <v>0</v>
      </c>
      <c r="AT879">
        <v>0</v>
      </c>
    </row>
    <row r="880" spans="44:46">
      <c r="AR880">
        <v>0</v>
      </c>
      <c r="AS880">
        <v>0</v>
      </c>
      <c r="AT880">
        <v>0</v>
      </c>
    </row>
    <row r="881" spans="44:46">
      <c r="AR881">
        <v>0</v>
      </c>
      <c r="AS881">
        <v>0</v>
      </c>
      <c r="AT881">
        <v>0</v>
      </c>
    </row>
    <row r="882" spans="44:46">
      <c r="AR882">
        <v>0</v>
      </c>
      <c r="AS882">
        <v>0</v>
      </c>
      <c r="AT882">
        <v>0</v>
      </c>
    </row>
    <row r="883" spans="44:46">
      <c r="AR883">
        <v>0</v>
      </c>
      <c r="AS883">
        <v>0</v>
      </c>
      <c r="AT883">
        <v>0</v>
      </c>
    </row>
    <row r="884" spans="44:46">
      <c r="AR884">
        <v>0</v>
      </c>
      <c r="AS884">
        <v>0</v>
      </c>
      <c r="AT884">
        <v>0</v>
      </c>
    </row>
    <row r="885" spans="44:46">
      <c r="AR885">
        <v>0</v>
      </c>
      <c r="AS885">
        <v>0</v>
      </c>
      <c r="AT885">
        <v>0</v>
      </c>
    </row>
    <row r="886" spans="44:46">
      <c r="AR886">
        <v>0</v>
      </c>
      <c r="AS886">
        <v>0</v>
      </c>
      <c r="AT886">
        <v>0</v>
      </c>
    </row>
    <row r="887" spans="44:46">
      <c r="AR887">
        <v>0</v>
      </c>
      <c r="AS887">
        <v>0</v>
      </c>
      <c r="AT887">
        <v>0</v>
      </c>
    </row>
    <row r="888" spans="44:46">
      <c r="AR888">
        <v>0</v>
      </c>
      <c r="AS888">
        <v>0</v>
      </c>
      <c r="AT888">
        <v>0</v>
      </c>
    </row>
    <row r="889" spans="44:46">
      <c r="AR889">
        <v>0</v>
      </c>
      <c r="AS889">
        <v>0</v>
      </c>
      <c r="AT889">
        <v>0</v>
      </c>
    </row>
    <row r="890" spans="44:46">
      <c r="AR890">
        <v>0</v>
      </c>
      <c r="AS890">
        <v>0</v>
      </c>
      <c r="AT890">
        <v>0</v>
      </c>
    </row>
    <row r="891" spans="44:46">
      <c r="AR891">
        <v>0</v>
      </c>
      <c r="AS891">
        <v>0</v>
      </c>
      <c r="AT891">
        <v>0</v>
      </c>
    </row>
    <row r="892" spans="44:46">
      <c r="AR892">
        <v>0</v>
      </c>
      <c r="AS892">
        <v>0</v>
      </c>
      <c r="AT892">
        <v>0</v>
      </c>
    </row>
    <row r="893" spans="44:46">
      <c r="AR893">
        <v>0</v>
      </c>
      <c r="AS893">
        <v>0</v>
      </c>
      <c r="AT893">
        <v>0</v>
      </c>
    </row>
    <row r="894" spans="44:46">
      <c r="AR894">
        <v>0</v>
      </c>
      <c r="AS894">
        <v>0</v>
      </c>
      <c r="AT894">
        <v>0</v>
      </c>
    </row>
    <row r="895" spans="44:46">
      <c r="AR895">
        <v>0</v>
      </c>
      <c r="AS895">
        <v>0</v>
      </c>
      <c r="AT895">
        <v>0</v>
      </c>
    </row>
    <row r="896" spans="44:46">
      <c r="AR896">
        <v>0</v>
      </c>
      <c r="AS896">
        <v>0</v>
      </c>
      <c r="AT896">
        <v>0</v>
      </c>
    </row>
    <row r="897" spans="44:46">
      <c r="AR897">
        <v>0</v>
      </c>
      <c r="AS897">
        <v>0</v>
      </c>
      <c r="AT897">
        <v>0</v>
      </c>
    </row>
    <row r="898" spans="44:46">
      <c r="AR898">
        <v>0</v>
      </c>
      <c r="AS898">
        <v>0</v>
      </c>
      <c r="AT898">
        <v>0</v>
      </c>
    </row>
    <row r="899" spans="44:46">
      <c r="AR899">
        <v>0</v>
      </c>
      <c r="AS899">
        <v>0</v>
      </c>
      <c r="AT899">
        <v>0</v>
      </c>
    </row>
    <row r="900" spans="44:46">
      <c r="AR900">
        <v>0</v>
      </c>
      <c r="AS900">
        <v>0</v>
      </c>
      <c r="AT900">
        <v>0</v>
      </c>
    </row>
    <row r="901" spans="44:46">
      <c r="AR901">
        <v>0</v>
      </c>
      <c r="AS901">
        <v>0</v>
      </c>
      <c r="AT901">
        <v>0</v>
      </c>
    </row>
    <row r="902" spans="44:46">
      <c r="AR902">
        <v>0</v>
      </c>
      <c r="AS902">
        <v>0</v>
      </c>
      <c r="AT902">
        <v>0</v>
      </c>
    </row>
    <row r="903" spans="44:46">
      <c r="AR903">
        <v>0</v>
      </c>
      <c r="AS903">
        <v>0</v>
      </c>
      <c r="AT903">
        <v>0</v>
      </c>
    </row>
    <row r="904" spans="44:46">
      <c r="AR904">
        <v>0</v>
      </c>
      <c r="AS904">
        <v>0</v>
      </c>
      <c r="AT904">
        <v>0</v>
      </c>
    </row>
    <row r="905" spans="44:46">
      <c r="AR905">
        <v>0</v>
      </c>
      <c r="AS905">
        <v>0</v>
      </c>
      <c r="AT905">
        <v>0</v>
      </c>
    </row>
    <row r="906" spans="44:46">
      <c r="AR906">
        <v>0</v>
      </c>
      <c r="AS906">
        <v>0</v>
      </c>
      <c r="AT906">
        <v>0</v>
      </c>
    </row>
    <row r="907" spans="44:46">
      <c r="AR907">
        <v>0</v>
      </c>
      <c r="AS907">
        <v>0</v>
      </c>
      <c r="AT907">
        <v>0</v>
      </c>
    </row>
    <row r="908" spans="44:46">
      <c r="AR908">
        <v>0</v>
      </c>
      <c r="AS908">
        <v>0</v>
      </c>
      <c r="AT908">
        <v>0</v>
      </c>
    </row>
    <row r="909" spans="44:46">
      <c r="AR909">
        <v>0</v>
      </c>
      <c r="AS909">
        <v>0</v>
      </c>
      <c r="AT909">
        <v>0</v>
      </c>
    </row>
    <row r="910" spans="44:46">
      <c r="AR910">
        <v>0</v>
      </c>
      <c r="AS910">
        <v>0</v>
      </c>
      <c r="AT910">
        <v>0</v>
      </c>
    </row>
    <row r="911" spans="44:46">
      <c r="AR911">
        <v>0</v>
      </c>
      <c r="AS911">
        <v>0</v>
      </c>
      <c r="AT911">
        <v>0</v>
      </c>
    </row>
    <row r="912" spans="44:46">
      <c r="AR912">
        <v>0</v>
      </c>
      <c r="AS912">
        <v>0</v>
      </c>
      <c r="AT912">
        <v>0</v>
      </c>
    </row>
    <row r="913" spans="44:46">
      <c r="AR913">
        <v>0</v>
      </c>
      <c r="AS913">
        <v>0</v>
      </c>
      <c r="AT913">
        <v>0</v>
      </c>
    </row>
    <row r="914" spans="44:46">
      <c r="AR914">
        <v>0</v>
      </c>
      <c r="AS914">
        <v>0</v>
      </c>
      <c r="AT914">
        <v>0</v>
      </c>
    </row>
    <row r="915" spans="44:46">
      <c r="AR915">
        <v>0</v>
      </c>
      <c r="AS915">
        <v>0</v>
      </c>
      <c r="AT915">
        <v>0</v>
      </c>
    </row>
    <row r="916" spans="44:46">
      <c r="AR916">
        <v>0</v>
      </c>
      <c r="AS916">
        <v>0</v>
      </c>
      <c r="AT916">
        <v>0</v>
      </c>
    </row>
    <row r="917" spans="44:46">
      <c r="AR917">
        <v>0</v>
      </c>
      <c r="AS917">
        <v>0</v>
      </c>
      <c r="AT917">
        <v>0</v>
      </c>
    </row>
    <row r="918" spans="44:46">
      <c r="AR918">
        <v>0</v>
      </c>
      <c r="AS918">
        <v>0</v>
      </c>
      <c r="AT918">
        <v>0</v>
      </c>
    </row>
    <row r="919" spans="44:46">
      <c r="AR919">
        <v>0</v>
      </c>
      <c r="AS919">
        <v>0</v>
      </c>
      <c r="AT919">
        <v>0</v>
      </c>
    </row>
    <row r="920" spans="44:46">
      <c r="AR920">
        <v>0</v>
      </c>
      <c r="AS920">
        <v>0</v>
      </c>
      <c r="AT920">
        <v>0</v>
      </c>
    </row>
    <row r="921" spans="44:46">
      <c r="AR921">
        <v>0</v>
      </c>
      <c r="AS921">
        <v>0</v>
      </c>
      <c r="AT921">
        <v>0</v>
      </c>
    </row>
    <row r="922" spans="44:46">
      <c r="AR922">
        <v>0</v>
      </c>
      <c r="AS922">
        <v>0</v>
      </c>
      <c r="AT922">
        <v>0</v>
      </c>
    </row>
    <row r="923" spans="44:46">
      <c r="AR923">
        <v>0</v>
      </c>
      <c r="AS923">
        <v>0</v>
      </c>
      <c r="AT923">
        <v>0</v>
      </c>
    </row>
    <row r="924" spans="44:46">
      <c r="AR924">
        <v>0</v>
      </c>
      <c r="AS924">
        <v>0</v>
      </c>
      <c r="AT924">
        <v>0</v>
      </c>
    </row>
    <row r="925" spans="44:46">
      <c r="AR925">
        <v>0</v>
      </c>
      <c r="AS925">
        <v>0</v>
      </c>
      <c r="AT925">
        <v>0</v>
      </c>
    </row>
    <row r="926" spans="44:46">
      <c r="AR926">
        <v>0</v>
      </c>
      <c r="AS926">
        <v>0</v>
      </c>
      <c r="AT926">
        <v>0</v>
      </c>
    </row>
    <row r="927" spans="44:46">
      <c r="AR927">
        <v>0</v>
      </c>
      <c r="AS927">
        <v>0</v>
      </c>
      <c r="AT927">
        <v>0</v>
      </c>
    </row>
    <row r="928" spans="44:46">
      <c r="AR928">
        <v>0</v>
      </c>
      <c r="AS928">
        <v>0</v>
      </c>
      <c r="AT928">
        <v>0</v>
      </c>
    </row>
    <row r="929" spans="44:46">
      <c r="AR929">
        <v>0</v>
      </c>
      <c r="AS929">
        <v>0</v>
      </c>
      <c r="AT929">
        <v>0</v>
      </c>
    </row>
    <row r="930" spans="44:46">
      <c r="AR930">
        <v>0</v>
      </c>
      <c r="AS930">
        <v>0</v>
      </c>
      <c r="AT930">
        <v>0</v>
      </c>
    </row>
    <row r="931" spans="44:46">
      <c r="AR931">
        <v>0</v>
      </c>
      <c r="AS931">
        <v>0</v>
      </c>
      <c r="AT931">
        <v>0</v>
      </c>
    </row>
    <row r="932" spans="44:46">
      <c r="AR932">
        <v>0</v>
      </c>
      <c r="AS932">
        <v>0</v>
      </c>
      <c r="AT932">
        <v>0</v>
      </c>
    </row>
    <row r="933" spans="44:46">
      <c r="AR933">
        <v>0</v>
      </c>
      <c r="AS933">
        <v>0</v>
      </c>
      <c r="AT933">
        <v>0</v>
      </c>
    </row>
    <row r="934" spans="44:46">
      <c r="AR934">
        <v>0</v>
      </c>
      <c r="AS934">
        <v>0</v>
      </c>
      <c r="AT934">
        <v>0</v>
      </c>
    </row>
    <row r="935" spans="44:46">
      <c r="AR935">
        <v>0</v>
      </c>
      <c r="AS935">
        <v>0</v>
      </c>
      <c r="AT935">
        <v>0</v>
      </c>
    </row>
    <row r="936" spans="44:46">
      <c r="AR936">
        <v>0</v>
      </c>
      <c r="AS936">
        <v>0</v>
      </c>
      <c r="AT936">
        <v>0</v>
      </c>
    </row>
    <row r="937" spans="44:46">
      <c r="AR937">
        <v>0</v>
      </c>
      <c r="AS937">
        <v>0</v>
      </c>
      <c r="AT937">
        <v>0</v>
      </c>
    </row>
    <row r="938" spans="44:46">
      <c r="AR938">
        <v>0</v>
      </c>
      <c r="AS938">
        <v>0</v>
      </c>
      <c r="AT938">
        <v>0</v>
      </c>
    </row>
    <row r="939" spans="44:46">
      <c r="AR939">
        <v>0</v>
      </c>
      <c r="AS939">
        <v>0</v>
      </c>
      <c r="AT939">
        <v>0</v>
      </c>
    </row>
    <row r="940" spans="44:46">
      <c r="AR940">
        <v>0</v>
      </c>
      <c r="AS940">
        <v>0</v>
      </c>
      <c r="AT940">
        <v>0</v>
      </c>
    </row>
    <row r="941" spans="44:46">
      <c r="AR941">
        <v>0</v>
      </c>
      <c r="AS941">
        <v>0</v>
      </c>
      <c r="AT941">
        <v>0</v>
      </c>
    </row>
    <row r="942" spans="44:46">
      <c r="AR942">
        <v>0</v>
      </c>
      <c r="AS942">
        <v>0</v>
      </c>
      <c r="AT942">
        <v>0</v>
      </c>
    </row>
    <row r="943" spans="44:46">
      <c r="AR943">
        <v>0</v>
      </c>
      <c r="AS943">
        <v>0</v>
      </c>
      <c r="AT943">
        <v>0</v>
      </c>
    </row>
    <row r="944" spans="44:46">
      <c r="AR944">
        <v>0</v>
      </c>
      <c r="AS944">
        <v>0</v>
      </c>
      <c r="AT944">
        <v>0</v>
      </c>
    </row>
    <row r="945" spans="44:46">
      <c r="AR945">
        <v>0</v>
      </c>
      <c r="AS945">
        <v>0</v>
      </c>
      <c r="AT945">
        <v>0</v>
      </c>
    </row>
    <row r="946" spans="44:46">
      <c r="AR946">
        <v>0</v>
      </c>
      <c r="AS946">
        <v>0</v>
      </c>
      <c r="AT946">
        <v>0</v>
      </c>
    </row>
    <row r="947" spans="44:46">
      <c r="AR947">
        <v>0</v>
      </c>
      <c r="AS947">
        <v>0</v>
      </c>
      <c r="AT947">
        <v>0</v>
      </c>
    </row>
    <row r="948" spans="44:46">
      <c r="AR948">
        <v>0</v>
      </c>
      <c r="AS948">
        <v>0</v>
      </c>
      <c r="AT948">
        <v>0</v>
      </c>
    </row>
    <row r="949" spans="44:46">
      <c r="AR949">
        <v>0</v>
      </c>
      <c r="AS949">
        <v>0</v>
      </c>
      <c r="AT949">
        <v>0</v>
      </c>
    </row>
    <row r="950" spans="44:46">
      <c r="AR950">
        <v>0</v>
      </c>
      <c r="AS950">
        <v>0</v>
      </c>
      <c r="AT950">
        <v>0</v>
      </c>
    </row>
    <row r="951" spans="44:46">
      <c r="AR951">
        <v>0</v>
      </c>
      <c r="AS951">
        <v>0</v>
      </c>
      <c r="AT951">
        <v>0</v>
      </c>
    </row>
    <row r="952" spans="44:46">
      <c r="AR952">
        <v>0</v>
      </c>
      <c r="AS952">
        <v>0</v>
      </c>
      <c r="AT952">
        <v>0</v>
      </c>
    </row>
    <row r="953" spans="44:46">
      <c r="AR953">
        <v>0</v>
      </c>
      <c r="AS953">
        <v>0</v>
      </c>
      <c r="AT953">
        <v>0</v>
      </c>
    </row>
    <row r="954" spans="44:46">
      <c r="AR954">
        <v>0</v>
      </c>
      <c r="AS954">
        <v>0</v>
      </c>
      <c r="AT954">
        <v>0</v>
      </c>
    </row>
    <row r="955" spans="44:46">
      <c r="AR955">
        <v>0</v>
      </c>
      <c r="AS955">
        <v>0</v>
      </c>
      <c r="AT955">
        <v>0</v>
      </c>
    </row>
    <row r="956" spans="44:46">
      <c r="AR956">
        <v>0</v>
      </c>
      <c r="AS956">
        <v>0</v>
      </c>
      <c r="AT956">
        <v>0</v>
      </c>
    </row>
    <row r="957" spans="44:46">
      <c r="AR957">
        <v>0</v>
      </c>
      <c r="AS957">
        <v>0</v>
      </c>
      <c r="AT957">
        <v>0</v>
      </c>
    </row>
    <row r="958" spans="44:46">
      <c r="AR958">
        <v>0</v>
      </c>
      <c r="AS958">
        <v>0</v>
      </c>
      <c r="AT958">
        <v>0</v>
      </c>
    </row>
    <row r="959" spans="44:46">
      <c r="AR959">
        <v>0</v>
      </c>
      <c r="AS959">
        <v>0</v>
      </c>
      <c r="AT959">
        <v>0</v>
      </c>
    </row>
    <row r="960" spans="44:46">
      <c r="AR960">
        <v>0</v>
      </c>
      <c r="AS960">
        <v>0</v>
      </c>
      <c r="AT960">
        <v>0</v>
      </c>
    </row>
    <row r="961" spans="44:46">
      <c r="AR961">
        <v>0</v>
      </c>
      <c r="AS961">
        <v>0</v>
      </c>
      <c r="AT961">
        <v>0</v>
      </c>
    </row>
    <row r="962" spans="44:46">
      <c r="AR962">
        <v>0</v>
      </c>
      <c r="AS962">
        <v>0</v>
      </c>
      <c r="AT962">
        <v>0</v>
      </c>
    </row>
    <row r="963" spans="44:46">
      <c r="AR963">
        <v>0</v>
      </c>
      <c r="AS963">
        <v>0</v>
      </c>
      <c r="AT963">
        <v>0</v>
      </c>
    </row>
    <row r="964" spans="44:46">
      <c r="AR964">
        <v>0</v>
      </c>
      <c r="AS964">
        <v>0</v>
      </c>
      <c r="AT964">
        <v>0</v>
      </c>
    </row>
    <row r="965" spans="44:46">
      <c r="AR965">
        <v>0</v>
      </c>
      <c r="AS965">
        <v>0</v>
      </c>
      <c r="AT965">
        <v>0</v>
      </c>
    </row>
    <row r="966" spans="44:46">
      <c r="AR966">
        <v>0</v>
      </c>
      <c r="AS966">
        <v>0</v>
      </c>
      <c r="AT966">
        <v>0</v>
      </c>
    </row>
    <row r="967" spans="44:46">
      <c r="AR967">
        <v>0</v>
      </c>
      <c r="AS967">
        <v>0</v>
      </c>
      <c r="AT967">
        <v>0</v>
      </c>
    </row>
    <row r="968" spans="44:46">
      <c r="AR968">
        <v>0</v>
      </c>
      <c r="AS968">
        <v>0</v>
      </c>
      <c r="AT968">
        <v>0</v>
      </c>
    </row>
    <row r="969" spans="44:46">
      <c r="AR969">
        <v>0</v>
      </c>
      <c r="AS969">
        <v>0</v>
      </c>
      <c r="AT969">
        <v>0</v>
      </c>
    </row>
    <row r="970" spans="44:46">
      <c r="AR970">
        <v>0</v>
      </c>
      <c r="AS970">
        <v>0</v>
      </c>
      <c r="AT970">
        <v>0</v>
      </c>
    </row>
    <row r="971" spans="44:46">
      <c r="AR971">
        <v>0</v>
      </c>
      <c r="AS971">
        <v>0</v>
      </c>
      <c r="AT971">
        <v>0</v>
      </c>
    </row>
    <row r="972" spans="44:46">
      <c r="AR972">
        <v>0</v>
      </c>
      <c r="AS972">
        <v>0</v>
      </c>
      <c r="AT972">
        <v>0</v>
      </c>
    </row>
    <row r="973" spans="44:46">
      <c r="AR973">
        <v>0</v>
      </c>
      <c r="AS973">
        <v>0</v>
      </c>
      <c r="AT973">
        <v>0</v>
      </c>
    </row>
    <row r="974" spans="44:46">
      <c r="AR974">
        <v>0</v>
      </c>
      <c r="AS974">
        <v>0</v>
      </c>
      <c r="AT974">
        <v>0</v>
      </c>
    </row>
    <row r="975" spans="44:46">
      <c r="AR975">
        <v>0</v>
      </c>
      <c r="AS975">
        <v>0</v>
      </c>
      <c r="AT975">
        <v>0</v>
      </c>
    </row>
    <row r="976" spans="44:46">
      <c r="AR976">
        <v>0</v>
      </c>
      <c r="AS976">
        <v>0</v>
      </c>
      <c r="AT976">
        <v>0</v>
      </c>
    </row>
    <row r="977" spans="44:46">
      <c r="AR977">
        <v>0</v>
      </c>
      <c r="AS977">
        <v>0</v>
      </c>
      <c r="AT977">
        <v>0</v>
      </c>
    </row>
    <row r="978" spans="44:46">
      <c r="AR978">
        <v>0</v>
      </c>
      <c r="AS978">
        <v>0</v>
      </c>
      <c r="AT978">
        <v>0</v>
      </c>
    </row>
    <row r="979" spans="44:46">
      <c r="AR979">
        <v>0</v>
      </c>
      <c r="AS979">
        <v>0</v>
      </c>
      <c r="AT979">
        <v>0</v>
      </c>
    </row>
    <row r="980" spans="44:46">
      <c r="AR980">
        <v>0</v>
      </c>
      <c r="AS980">
        <v>0</v>
      </c>
      <c r="AT980">
        <v>0</v>
      </c>
    </row>
    <row r="981" spans="44:46">
      <c r="AR981">
        <v>0</v>
      </c>
      <c r="AS981">
        <v>0</v>
      </c>
      <c r="AT981">
        <v>0</v>
      </c>
    </row>
    <row r="982" spans="44:46">
      <c r="AR982">
        <v>0</v>
      </c>
      <c r="AS982">
        <v>0</v>
      </c>
      <c r="AT982">
        <v>0</v>
      </c>
    </row>
    <row r="983" spans="44:46">
      <c r="AR983">
        <v>0</v>
      </c>
      <c r="AS983">
        <v>0</v>
      </c>
      <c r="AT983">
        <v>0</v>
      </c>
    </row>
    <row r="984" spans="44:46">
      <c r="AR984">
        <v>0</v>
      </c>
      <c r="AS984">
        <v>0</v>
      </c>
      <c r="AT984">
        <v>0</v>
      </c>
    </row>
    <row r="985" spans="44:46">
      <c r="AR985">
        <v>0</v>
      </c>
      <c r="AS985">
        <v>0</v>
      </c>
      <c r="AT985">
        <v>0</v>
      </c>
    </row>
    <row r="986" spans="44:46">
      <c r="AR986">
        <v>0</v>
      </c>
      <c r="AS986">
        <v>0</v>
      </c>
      <c r="AT986">
        <v>0</v>
      </c>
    </row>
    <row r="987" spans="44:46">
      <c r="AR987">
        <v>0</v>
      </c>
      <c r="AS987">
        <v>0</v>
      </c>
      <c r="AT987">
        <v>0</v>
      </c>
    </row>
    <row r="988" spans="44:46">
      <c r="AR988">
        <v>0</v>
      </c>
      <c r="AS988">
        <v>0</v>
      </c>
      <c r="AT988">
        <v>0</v>
      </c>
    </row>
    <row r="989" spans="44:46">
      <c r="AR989">
        <v>0</v>
      </c>
      <c r="AS989">
        <v>0</v>
      </c>
      <c r="AT989">
        <v>0</v>
      </c>
    </row>
    <row r="990" spans="44:46">
      <c r="AR990">
        <v>0</v>
      </c>
      <c r="AS990">
        <v>0</v>
      </c>
      <c r="AT990">
        <v>0</v>
      </c>
    </row>
    <row r="991" spans="44:46">
      <c r="AR991">
        <v>0</v>
      </c>
      <c r="AS991">
        <v>0</v>
      </c>
      <c r="AT991">
        <v>0</v>
      </c>
    </row>
    <row r="992" spans="44:46">
      <c r="AR992">
        <v>0</v>
      </c>
      <c r="AS992">
        <v>0</v>
      </c>
      <c r="AT992">
        <v>0</v>
      </c>
    </row>
    <row r="993" spans="44:46">
      <c r="AR993">
        <v>0</v>
      </c>
      <c r="AS993">
        <v>0</v>
      </c>
      <c r="AT993">
        <v>0</v>
      </c>
    </row>
    <row r="994" spans="44:46">
      <c r="AR994">
        <v>0</v>
      </c>
      <c r="AS994">
        <v>0</v>
      </c>
      <c r="AT994">
        <v>0</v>
      </c>
    </row>
    <row r="995" spans="44:46">
      <c r="AR995">
        <v>0</v>
      </c>
      <c r="AS995">
        <v>0</v>
      </c>
      <c r="AT995">
        <v>0</v>
      </c>
    </row>
    <row r="996" spans="44:46">
      <c r="AR996">
        <v>0</v>
      </c>
      <c r="AS996">
        <v>0</v>
      </c>
      <c r="AT996">
        <v>0</v>
      </c>
    </row>
    <row r="997" spans="44:46">
      <c r="AR997">
        <v>0</v>
      </c>
      <c r="AS997">
        <v>0</v>
      </c>
      <c r="AT997">
        <v>0</v>
      </c>
    </row>
    <row r="998" spans="44:46">
      <c r="AR998">
        <v>0</v>
      </c>
      <c r="AS998">
        <v>0</v>
      </c>
      <c r="AT998">
        <v>0</v>
      </c>
    </row>
    <row r="999" spans="44:46">
      <c r="AR999">
        <v>0</v>
      </c>
      <c r="AS999">
        <v>0</v>
      </c>
      <c r="AT999">
        <v>0</v>
      </c>
    </row>
    <row r="1000" spans="44:46">
      <c r="AR1000">
        <v>45752</v>
      </c>
      <c r="AS1000" t="str">
        <v>Ran tilther in bed</v>
      </c>
      <c r="AT1000" t="str">
        <v>A1</v>
      </c>
    </row>
    <row r="1001" spans="44:46">
      <c r="AR1001">
        <v>45754</v>
      </c>
      <c r="AS1001" t="str">
        <v>Ran tilther in bed</v>
      </c>
      <c r="AT1001" t="str">
        <v>X2</v>
      </c>
    </row>
    <row r="1002" spans="44:46">
      <c r="AR1002">
        <v>45765</v>
      </c>
      <c r="AS1002" t="str">
        <v>Ran tilther in bed</v>
      </c>
      <c r="AT1002" t="str">
        <v>F3</v>
      </c>
    </row>
    <row r="1003" spans="44:46">
      <c r="AR1003">
        <v>45767</v>
      </c>
      <c r="AS1003" t="str">
        <v>Ran tilther in bed</v>
      </c>
      <c r="AT1003" t="str">
        <v>A8</v>
      </c>
    </row>
    <row r="1004" spans="44:46">
      <c r="AR1004">
        <v>45769</v>
      </c>
      <c r="AS1004" t="str">
        <v>Ran tilther in bed</v>
      </c>
      <c r="AT1004" t="str">
        <v>C4</v>
      </c>
    </row>
    <row r="1005" spans="44:46">
      <c r="AR1005">
        <v>45775</v>
      </c>
      <c r="AS1005" t="str">
        <v>Ran tilther in bed</v>
      </c>
      <c r="AT1005" t="str">
        <v>B3</v>
      </c>
    </row>
    <row r="1006" spans="44:46">
      <c r="AR1006">
        <v>45777</v>
      </c>
      <c r="AS1006" t="str">
        <v>Ran tilther in bed</v>
      </c>
      <c r="AT1006" t="str">
        <v>D2</v>
      </c>
    </row>
    <row r="1007" spans="44:46">
      <c r="AR1007">
        <v>45777</v>
      </c>
      <c r="AS1007" t="str">
        <v>Ran tilther in bed</v>
      </c>
      <c r="AT1007" t="str">
        <v>B6</v>
      </c>
    </row>
    <row r="1008" spans="44:46">
      <c r="AR1008">
        <v>45777</v>
      </c>
      <c r="AS1008" t="str">
        <v>Ran tilther in bed</v>
      </c>
      <c r="AT1008" t="str">
        <v>B6</v>
      </c>
    </row>
    <row r="1009" spans="44:46">
      <c r="AR1009">
        <v>45778</v>
      </c>
      <c r="AS1009" t="str">
        <v>Ran tilther in bed</v>
      </c>
      <c r="AT1009" t="str">
        <v>D1</v>
      </c>
    </row>
    <row r="1010" spans="44:46">
      <c r="AR1010">
        <v>45781</v>
      </c>
      <c r="AS1010" t="str">
        <v>Ran tilther in bed</v>
      </c>
      <c r="AT1010" t="str">
        <v>H8</v>
      </c>
    </row>
    <row r="1011" spans="44:46">
      <c r="AR1011">
        <v>45781</v>
      </c>
      <c r="AS1011" t="str">
        <v>Ran tilther in bed</v>
      </c>
      <c r="AT1011" t="str">
        <v>D3</v>
      </c>
    </row>
    <row r="1012" spans="44:46">
      <c r="AR1012">
        <v>45782</v>
      </c>
      <c r="AS1012" t="str">
        <v>Ran tilther in bed</v>
      </c>
      <c r="AT1012" t="str">
        <v>F2</v>
      </c>
    </row>
    <row r="1013" spans="44:46">
      <c r="AR1013">
        <v>45784</v>
      </c>
      <c r="AS1013" t="str">
        <v>Ran tilther in bed</v>
      </c>
      <c r="AT1013" t="str">
        <v>E3</v>
      </c>
    </row>
    <row r="1014" spans="44:46">
      <c r="AR1014">
        <v>45785</v>
      </c>
      <c r="AS1014" t="str">
        <v>Ran tilther in bed</v>
      </c>
      <c r="AT1014" t="str">
        <v>F5</v>
      </c>
    </row>
    <row r="1015" spans="44:46">
      <c r="AR1015">
        <v>45787</v>
      </c>
      <c r="AS1015" t="str">
        <v>Ran tilther in bed</v>
      </c>
      <c r="AT1015" t="str">
        <v>E2</v>
      </c>
    </row>
    <row r="1016" spans="44:46">
      <c r="AR1016">
        <v>45787</v>
      </c>
      <c r="AS1016" t="str">
        <v>Ran tilther in bed</v>
      </c>
      <c r="AT1016" t="str">
        <v>E1</v>
      </c>
    </row>
    <row r="1017" spans="44:46">
      <c r="AR1017">
        <v>45789</v>
      </c>
      <c r="AS1017" t="str">
        <v>Ran tilther in bed</v>
      </c>
      <c r="AT1017" t="str">
        <v>G4</v>
      </c>
    </row>
    <row r="1018" spans="44:46">
      <c r="AR1018">
        <v>45795</v>
      </c>
      <c r="AS1018" t="str">
        <v>Ran tilther in bed</v>
      </c>
      <c r="AT1018" t="str">
        <v>B2</v>
      </c>
    </row>
    <row r="1019" spans="44:46">
      <c r="AR1019">
        <v>45795</v>
      </c>
      <c r="AS1019" t="str">
        <v>Ran tilther in bed</v>
      </c>
      <c r="AT1019" t="str">
        <v>B2</v>
      </c>
    </row>
    <row r="1020" spans="44:46">
      <c r="AR1020">
        <v>45795</v>
      </c>
      <c r="AS1020" t="str">
        <v>Ran tilther in bed</v>
      </c>
      <c r="AT1020" t="str">
        <v>B2</v>
      </c>
    </row>
    <row r="1021" spans="44:46">
      <c r="AR1021">
        <v>45795</v>
      </c>
      <c r="AS1021" t="str">
        <v>Ran tilther in bed</v>
      </c>
      <c r="AT1021" t="str">
        <v>B2</v>
      </c>
    </row>
    <row r="1022" spans="44:46">
      <c r="AR1022">
        <v>45795</v>
      </c>
      <c r="AS1022" t="str">
        <v>Ran tilther in bed</v>
      </c>
      <c r="AT1022" t="str">
        <v>G5</v>
      </c>
    </row>
    <row r="1023" spans="44:46">
      <c r="AR1023">
        <v>45795</v>
      </c>
      <c r="AS1023" t="str">
        <v>Ran tilther in bed</v>
      </c>
      <c r="AT1023" t="str">
        <v>C3</v>
      </c>
    </row>
    <row r="1024" spans="44:46">
      <c r="AR1024">
        <v>45796</v>
      </c>
      <c r="AS1024" t="str">
        <v>Ran tilther in bed</v>
      </c>
      <c r="AT1024" t="str">
        <v>G8</v>
      </c>
    </row>
    <row r="1025" spans="44:46">
      <c r="AR1025">
        <v>45813</v>
      </c>
      <c r="AS1025" t="str">
        <v>Ran tilther in bed</v>
      </c>
      <c r="AT1025" t="str">
        <v>G6</v>
      </c>
    </row>
    <row r="1026" spans="44:46">
      <c r="AR1026">
        <v>45813</v>
      </c>
      <c r="AS1026" t="str">
        <v>Ran tilther in bed</v>
      </c>
      <c r="AT1026" t="str">
        <v>G1</v>
      </c>
    </row>
    <row r="1027" spans="44:46">
      <c r="AR1027">
        <v>45813</v>
      </c>
      <c r="AS1027" t="str">
        <v>Ran tilther in bed</v>
      </c>
      <c r="AT1027" t="str">
        <v>G0</v>
      </c>
    </row>
    <row r="1028" spans="44:46">
      <c r="AR1028">
        <v>45813</v>
      </c>
      <c r="AS1028" t="str">
        <v>Ran tilther in bed</v>
      </c>
      <c r="AT1028" t="str">
        <v>I4</v>
      </c>
    </row>
    <row r="1029" spans="44:46">
      <c r="AR1029">
        <v>0</v>
      </c>
      <c r="AS1029" t="str">
        <v/>
      </c>
      <c r="AT1029">
        <v>0</v>
      </c>
    </row>
    <row r="1030" spans="44:46">
      <c r="AR1030">
        <v>0</v>
      </c>
      <c r="AS1030" t="str">
        <v/>
      </c>
      <c r="AT1030">
        <v>0</v>
      </c>
    </row>
    <row r="1031" spans="44:46">
      <c r="AR1031">
        <v>0</v>
      </c>
      <c r="AS1031" t="str">
        <v/>
      </c>
      <c r="AT1031">
        <v>0</v>
      </c>
    </row>
    <row r="1032" spans="44:46">
      <c r="AR1032">
        <v>0</v>
      </c>
      <c r="AS1032" t="str">
        <v/>
      </c>
      <c r="AT1032">
        <v>0</v>
      </c>
    </row>
    <row r="1033" spans="44:46">
      <c r="AR1033">
        <v>0</v>
      </c>
      <c r="AS1033" t="str">
        <v/>
      </c>
      <c r="AT1033">
        <v>0</v>
      </c>
    </row>
    <row r="1034" spans="44:46">
      <c r="AR1034">
        <v>0</v>
      </c>
      <c r="AS1034" t="str">
        <v/>
      </c>
      <c r="AT1034">
        <v>0</v>
      </c>
    </row>
    <row r="1035" spans="44:46">
      <c r="AR1035">
        <v>0</v>
      </c>
      <c r="AS1035" t="str">
        <v/>
      </c>
      <c r="AT1035">
        <v>0</v>
      </c>
    </row>
    <row r="1036" spans="44:46">
      <c r="AR1036">
        <v>0</v>
      </c>
      <c r="AS1036" t="str">
        <v/>
      </c>
      <c r="AT1036">
        <v>0</v>
      </c>
    </row>
    <row r="1037" spans="44:46">
      <c r="AR1037">
        <v>0</v>
      </c>
      <c r="AS1037" t="str">
        <v/>
      </c>
      <c r="AT1037">
        <v>0</v>
      </c>
    </row>
    <row r="1038" spans="44:46">
      <c r="AR1038">
        <v>0</v>
      </c>
      <c r="AS1038" t="str">
        <v/>
      </c>
      <c r="AT1038">
        <v>0</v>
      </c>
    </row>
    <row r="1039" spans="44:46">
      <c r="AR1039">
        <v>0</v>
      </c>
      <c r="AS1039" t="str">
        <v/>
      </c>
      <c r="AT1039">
        <v>0</v>
      </c>
    </row>
    <row r="1040" spans="44:46">
      <c r="AR1040">
        <v>0</v>
      </c>
      <c r="AS1040" t="str">
        <v/>
      </c>
      <c r="AT1040">
        <v>0</v>
      </c>
    </row>
    <row r="1041" spans="44:46">
      <c r="AR1041">
        <v>0</v>
      </c>
      <c r="AS1041" t="str">
        <v/>
      </c>
      <c r="AT1041">
        <v>0</v>
      </c>
    </row>
    <row r="1042" spans="44:46">
      <c r="AR1042">
        <v>0</v>
      </c>
      <c r="AS1042" t="str">
        <v/>
      </c>
      <c r="AT1042">
        <v>0</v>
      </c>
    </row>
    <row r="1043" spans="44:46">
      <c r="AR1043">
        <v>0</v>
      </c>
      <c r="AS1043" t="str">
        <v/>
      </c>
      <c r="AT1043">
        <v>0</v>
      </c>
    </row>
    <row r="1044" spans="44:46">
      <c r="AR1044">
        <v>0</v>
      </c>
      <c r="AS1044" t="str">
        <v/>
      </c>
      <c r="AT1044">
        <v>0</v>
      </c>
    </row>
    <row r="1045" spans="44:46">
      <c r="AR1045">
        <v>0</v>
      </c>
      <c r="AS1045" t="str">
        <v/>
      </c>
      <c r="AT1045">
        <v>0</v>
      </c>
    </row>
    <row r="1046" spans="44:46">
      <c r="AR1046">
        <v>0</v>
      </c>
      <c r="AS1046" t="str">
        <v/>
      </c>
      <c r="AT1046">
        <v>0</v>
      </c>
    </row>
    <row r="1047" spans="44:46">
      <c r="AR1047">
        <v>0</v>
      </c>
      <c r="AS1047" t="str">
        <v/>
      </c>
      <c r="AT1047">
        <v>0</v>
      </c>
    </row>
    <row r="1048" spans="44:46">
      <c r="AR1048">
        <v>0</v>
      </c>
      <c r="AS1048" t="str">
        <v/>
      </c>
      <c r="AT1048">
        <v>0</v>
      </c>
    </row>
    <row r="1049" spans="44:46">
      <c r="AR1049">
        <v>0</v>
      </c>
      <c r="AS1049" t="str">
        <v/>
      </c>
      <c r="AT1049">
        <v>0</v>
      </c>
    </row>
    <row r="1050" spans="44:46">
      <c r="AR1050">
        <v>0</v>
      </c>
      <c r="AS1050" t="str">
        <v/>
      </c>
      <c r="AT1050">
        <v>0</v>
      </c>
    </row>
    <row r="1051" spans="44:46">
      <c r="AR1051">
        <v>0</v>
      </c>
      <c r="AS1051" t="str">
        <v/>
      </c>
      <c r="AT1051">
        <v>0</v>
      </c>
    </row>
    <row r="1052" spans="44:46">
      <c r="AR1052">
        <v>0</v>
      </c>
      <c r="AS1052" t="str">
        <v/>
      </c>
      <c r="AT1052">
        <v>0</v>
      </c>
    </row>
    <row r="1053" spans="44:46">
      <c r="AR1053">
        <v>0</v>
      </c>
      <c r="AS1053" t="str">
        <v/>
      </c>
      <c r="AT1053">
        <v>0</v>
      </c>
    </row>
    <row r="1054" spans="44:46">
      <c r="AR1054">
        <v>0</v>
      </c>
      <c r="AS1054" t="str">
        <v/>
      </c>
      <c r="AT1054">
        <v>0</v>
      </c>
    </row>
    <row r="1055" spans="44:46">
      <c r="AR1055">
        <v>0</v>
      </c>
      <c r="AS1055" t="str">
        <v/>
      </c>
      <c r="AT1055">
        <v>0</v>
      </c>
    </row>
    <row r="1056" spans="44:46">
      <c r="AR1056">
        <v>0</v>
      </c>
      <c r="AS1056" t="str">
        <v/>
      </c>
      <c r="AT1056">
        <v>0</v>
      </c>
    </row>
    <row r="1057" spans="44:46">
      <c r="AR1057">
        <v>0</v>
      </c>
      <c r="AS1057" t="str">
        <v/>
      </c>
      <c r="AT1057">
        <v>0</v>
      </c>
    </row>
    <row r="1058" spans="44:46">
      <c r="AR1058">
        <v>0</v>
      </c>
      <c r="AS1058" t="str">
        <v/>
      </c>
      <c r="AT1058">
        <v>0</v>
      </c>
    </row>
    <row r="1059" spans="44:46">
      <c r="AR1059">
        <v>0</v>
      </c>
      <c r="AS1059" t="str">
        <v/>
      </c>
      <c r="AT1059">
        <v>0</v>
      </c>
    </row>
    <row r="1060" spans="44:46">
      <c r="AR1060">
        <v>0</v>
      </c>
      <c r="AS1060" t="str">
        <v/>
      </c>
      <c r="AT1060">
        <v>0</v>
      </c>
    </row>
    <row r="1061" spans="44:46">
      <c r="AR1061">
        <v>0</v>
      </c>
      <c r="AS1061" t="str">
        <v/>
      </c>
      <c r="AT1061">
        <v>0</v>
      </c>
    </row>
    <row r="1062" spans="44:46">
      <c r="AR1062">
        <v>0</v>
      </c>
      <c r="AS1062" t="str">
        <v/>
      </c>
      <c r="AT1062">
        <v>0</v>
      </c>
    </row>
    <row r="1063" spans="44:46">
      <c r="AR1063">
        <v>0</v>
      </c>
      <c r="AS1063" t="str">
        <v/>
      </c>
      <c r="AT1063">
        <v>0</v>
      </c>
    </row>
    <row r="1064" spans="44:46">
      <c r="AR1064">
        <v>0</v>
      </c>
      <c r="AS1064" t="str">
        <v/>
      </c>
      <c r="AT1064">
        <v>0</v>
      </c>
    </row>
    <row r="1065" spans="44:46">
      <c r="AR1065">
        <v>0</v>
      </c>
      <c r="AS1065" t="str">
        <v/>
      </c>
      <c r="AT1065">
        <v>0</v>
      </c>
    </row>
    <row r="1066" spans="44:46">
      <c r="AR1066">
        <v>0</v>
      </c>
      <c r="AS1066" t="str">
        <v/>
      </c>
      <c r="AT1066">
        <v>0</v>
      </c>
    </row>
    <row r="1067" spans="44:46">
      <c r="AR1067">
        <v>0</v>
      </c>
      <c r="AS1067" t="str">
        <v/>
      </c>
      <c r="AT1067">
        <v>0</v>
      </c>
    </row>
    <row r="1068" spans="44:46">
      <c r="AR1068">
        <v>0</v>
      </c>
      <c r="AS1068" t="str">
        <v/>
      </c>
      <c r="AT1068">
        <v>0</v>
      </c>
    </row>
    <row r="1069" spans="44:46">
      <c r="AR1069">
        <v>0</v>
      </c>
      <c r="AS1069" t="str">
        <v/>
      </c>
      <c r="AT1069">
        <v>0</v>
      </c>
    </row>
    <row r="1070" spans="44:46">
      <c r="AR1070">
        <v>0</v>
      </c>
      <c r="AS1070" t="str">
        <v/>
      </c>
      <c r="AT1070">
        <v>0</v>
      </c>
    </row>
    <row r="1071" spans="44:46">
      <c r="AR1071">
        <v>0</v>
      </c>
      <c r="AS1071" t="str">
        <v/>
      </c>
      <c r="AT1071">
        <v>0</v>
      </c>
    </row>
    <row r="1072" spans="44:46">
      <c r="AR1072">
        <v>0</v>
      </c>
      <c r="AS1072" t="str">
        <v/>
      </c>
      <c r="AT1072">
        <v>0</v>
      </c>
    </row>
    <row r="1073" spans="44:46">
      <c r="AR1073">
        <v>0</v>
      </c>
      <c r="AS1073" t="str">
        <v/>
      </c>
      <c r="AT1073">
        <v>0</v>
      </c>
    </row>
    <row r="1074" spans="44:46">
      <c r="AR1074">
        <v>0</v>
      </c>
      <c r="AS1074" t="str">
        <v/>
      </c>
      <c r="AT1074">
        <v>0</v>
      </c>
    </row>
    <row r="1075" spans="44:46">
      <c r="AR1075">
        <v>0</v>
      </c>
      <c r="AS1075" t="str">
        <v/>
      </c>
      <c r="AT1075">
        <v>0</v>
      </c>
    </row>
    <row r="1076" spans="44:46">
      <c r="AR1076">
        <v>0</v>
      </c>
      <c r="AS1076" t="str">
        <v/>
      </c>
      <c r="AT1076">
        <v>0</v>
      </c>
    </row>
    <row r="1077" spans="44:46">
      <c r="AR1077">
        <v>0</v>
      </c>
      <c r="AS1077" t="str">
        <v/>
      </c>
      <c r="AT1077">
        <v>0</v>
      </c>
    </row>
    <row r="1078" spans="44:46">
      <c r="AR1078">
        <v>0</v>
      </c>
      <c r="AS1078" t="str">
        <v/>
      </c>
      <c r="AT1078">
        <v>0</v>
      </c>
    </row>
    <row r="1079" spans="44:46">
      <c r="AR1079">
        <v>0</v>
      </c>
      <c r="AS1079" t="str">
        <v/>
      </c>
      <c r="AT1079">
        <v>0</v>
      </c>
    </row>
    <row r="1080" spans="44:46">
      <c r="AR1080">
        <v>0</v>
      </c>
      <c r="AS1080" t="str">
        <v/>
      </c>
      <c r="AT1080">
        <v>0</v>
      </c>
    </row>
    <row r="1081" spans="44:46">
      <c r="AR1081">
        <v>0</v>
      </c>
      <c r="AS1081" t="str">
        <v/>
      </c>
      <c r="AT1081">
        <v>0</v>
      </c>
    </row>
    <row r="1082" spans="44:46">
      <c r="AR1082">
        <v>0</v>
      </c>
      <c r="AS1082" t="str">
        <v/>
      </c>
      <c r="AT1082">
        <v>0</v>
      </c>
    </row>
    <row r="1083" spans="44:46">
      <c r="AR1083">
        <v>0</v>
      </c>
      <c r="AS1083" t="str">
        <v/>
      </c>
      <c r="AT1083">
        <v>0</v>
      </c>
    </row>
    <row r="1084" spans="44:46">
      <c r="AR1084">
        <v>0</v>
      </c>
      <c r="AS1084" t="str">
        <v/>
      </c>
      <c r="AT1084">
        <v>0</v>
      </c>
    </row>
    <row r="1085" spans="44:46">
      <c r="AR1085">
        <v>0</v>
      </c>
      <c r="AS1085" t="str">
        <v/>
      </c>
      <c r="AT1085">
        <v>0</v>
      </c>
    </row>
    <row r="1086" spans="44:46">
      <c r="AR1086">
        <v>0</v>
      </c>
      <c r="AS1086" t="str">
        <v/>
      </c>
      <c r="AT1086">
        <v>0</v>
      </c>
    </row>
    <row r="1087" spans="44:46">
      <c r="AR1087">
        <v>0</v>
      </c>
      <c r="AS1087" t="str">
        <v/>
      </c>
      <c r="AT1087">
        <v>0</v>
      </c>
    </row>
    <row r="1088" spans="44:46">
      <c r="AR1088">
        <v>0</v>
      </c>
      <c r="AS1088" t="str">
        <v/>
      </c>
      <c r="AT1088">
        <v>0</v>
      </c>
    </row>
    <row r="1089" spans="44:46">
      <c r="AR1089">
        <v>0</v>
      </c>
      <c r="AS1089" t="str">
        <v/>
      </c>
      <c r="AT1089">
        <v>0</v>
      </c>
    </row>
    <row r="1090" spans="44:46">
      <c r="AR1090">
        <v>0</v>
      </c>
      <c r="AS1090" t="str">
        <v/>
      </c>
      <c r="AT1090">
        <v>0</v>
      </c>
    </row>
    <row r="1091" spans="44:46">
      <c r="AR1091">
        <v>0</v>
      </c>
      <c r="AS1091" t="str">
        <v/>
      </c>
      <c r="AT1091">
        <v>0</v>
      </c>
    </row>
    <row r="1092" spans="44:46">
      <c r="AR1092">
        <v>0</v>
      </c>
      <c r="AS1092" t="str">
        <v/>
      </c>
      <c r="AT1092">
        <v>0</v>
      </c>
    </row>
    <row r="1093" spans="44:46">
      <c r="AR1093">
        <v>0</v>
      </c>
      <c r="AS1093" t="str">
        <v/>
      </c>
      <c r="AT1093">
        <v>0</v>
      </c>
    </row>
    <row r="1094" spans="44:46">
      <c r="AR1094">
        <v>0</v>
      </c>
      <c r="AS1094" t="str">
        <v/>
      </c>
      <c r="AT1094">
        <v>0</v>
      </c>
    </row>
    <row r="1095" spans="44:46">
      <c r="AR1095">
        <v>0</v>
      </c>
      <c r="AS1095" t="str">
        <v/>
      </c>
      <c r="AT1095">
        <v>0</v>
      </c>
    </row>
    <row r="1096" spans="44:46">
      <c r="AR1096">
        <v>0</v>
      </c>
      <c r="AS1096" t="str">
        <v/>
      </c>
      <c r="AT1096">
        <v>0</v>
      </c>
    </row>
    <row r="1097" spans="44:46">
      <c r="AR1097">
        <v>0</v>
      </c>
      <c r="AS1097" t="str">
        <v/>
      </c>
      <c r="AT1097">
        <v>0</v>
      </c>
    </row>
    <row r="1098" spans="44:46">
      <c r="AR1098">
        <v>0</v>
      </c>
      <c r="AS1098" t="str">
        <v/>
      </c>
      <c r="AT1098">
        <v>0</v>
      </c>
    </row>
    <row r="1099" spans="44:46">
      <c r="AR1099">
        <v>0</v>
      </c>
      <c r="AS1099" t="str">
        <v/>
      </c>
      <c r="AT1099">
        <v>0</v>
      </c>
    </row>
    <row r="1100" spans="44:46">
      <c r="AR1100">
        <v>0</v>
      </c>
      <c r="AS1100" t="str">
        <v/>
      </c>
      <c r="AT1100">
        <v>0</v>
      </c>
    </row>
    <row r="1101" spans="44:46">
      <c r="AR1101">
        <v>0</v>
      </c>
      <c r="AS1101" t="str">
        <v/>
      </c>
      <c r="AT1101">
        <v>0</v>
      </c>
    </row>
    <row r="1102" spans="44:46">
      <c r="AR1102">
        <v>0</v>
      </c>
      <c r="AS1102" t="str">
        <v/>
      </c>
      <c r="AT1102">
        <v>0</v>
      </c>
    </row>
    <row r="1103" spans="44:46">
      <c r="AR1103">
        <v>0</v>
      </c>
      <c r="AS1103" t="str">
        <v/>
      </c>
      <c r="AT1103">
        <v>0</v>
      </c>
    </row>
    <row r="1104" spans="44:46">
      <c r="AR1104">
        <v>0</v>
      </c>
      <c r="AS1104" t="str">
        <v/>
      </c>
      <c r="AT1104">
        <v>0</v>
      </c>
    </row>
    <row r="1105" spans="44:46">
      <c r="AR1105">
        <v>0</v>
      </c>
      <c r="AS1105" t="str">
        <v/>
      </c>
      <c r="AT1105">
        <v>0</v>
      </c>
    </row>
    <row r="1106" spans="44:46">
      <c r="AR1106">
        <v>0</v>
      </c>
      <c r="AS1106" t="str">
        <v/>
      </c>
      <c r="AT1106">
        <v>0</v>
      </c>
    </row>
    <row r="1107" spans="44:46">
      <c r="AR1107">
        <v>0</v>
      </c>
      <c r="AS1107" t="str">
        <v/>
      </c>
      <c r="AT1107">
        <v>0</v>
      </c>
    </row>
    <row r="1108" spans="44:46">
      <c r="AR1108">
        <v>0</v>
      </c>
      <c r="AS1108" t="str">
        <v/>
      </c>
      <c r="AT1108">
        <v>0</v>
      </c>
    </row>
    <row r="1109" spans="44:46">
      <c r="AR1109">
        <v>0</v>
      </c>
      <c r="AS1109" t="str">
        <v/>
      </c>
      <c r="AT1109">
        <v>0</v>
      </c>
    </row>
    <row r="1110" spans="44:46">
      <c r="AR1110">
        <v>0</v>
      </c>
      <c r="AS1110" t="str">
        <v/>
      </c>
      <c r="AT1110">
        <v>0</v>
      </c>
    </row>
    <row r="1111" spans="44:46">
      <c r="AR1111">
        <v>0</v>
      </c>
      <c r="AS1111" t="str">
        <v/>
      </c>
      <c r="AT1111">
        <v>0</v>
      </c>
    </row>
    <row r="1112" spans="44:46">
      <c r="AR1112">
        <v>0</v>
      </c>
      <c r="AS1112" t="str">
        <v/>
      </c>
      <c r="AT1112">
        <v>0</v>
      </c>
    </row>
    <row r="1113" spans="44:46">
      <c r="AR1113">
        <v>0</v>
      </c>
      <c r="AS1113" t="str">
        <v/>
      </c>
      <c r="AT1113">
        <v>0</v>
      </c>
    </row>
    <row r="1114" spans="44:46">
      <c r="AR1114">
        <v>0</v>
      </c>
      <c r="AS1114" t="str">
        <v/>
      </c>
      <c r="AT1114">
        <v>0</v>
      </c>
    </row>
    <row r="1115" spans="44:46">
      <c r="AR1115">
        <v>0</v>
      </c>
      <c r="AS1115">
        <v>0</v>
      </c>
      <c r="AT1115">
        <v>0</v>
      </c>
    </row>
    <row r="1116" spans="44:46">
      <c r="AR1116">
        <v>0</v>
      </c>
      <c r="AS1116">
        <v>0</v>
      </c>
      <c r="AT1116">
        <v>0</v>
      </c>
    </row>
    <row r="1117" spans="44:46">
      <c r="AR1117">
        <v>0</v>
      </c>
      <c r="AS1117">
        <v>0</v>
      </c>
      <c r="AT1117">
        <v>0</v>
      </c>
    </row>
    <row r="1118" spans="44:46">
      <c r="AR1118">
        <v>0</v>
      </c>
      <c r="AS1118">
        <v>0</v>
      </c>
      <c r="AT1118">
        <v>0</v>
      </c>
    </row>
    <row r="1119" spans="44:46">
      <c r="AR1119">
        <v>0</v>
      </c>
      <c r="AS1119">
        <v>0</v>
      </c>
      <c r="AT1119">
        <v>0</v>
      </c>
    </row>
    <row r="1120" spans="44:46">
      <c r="AR1120">
        <v>0</v>
      </c>
      <c r="AS1120">
        <v>0</v>
      </c>
      <c r="AT1120">
        <v>0</v>
      </c>
    </row>
    <row r="1121" spans="44:46">
      <c r="AR1121">
        <v>0</v>
      </c>
      <c r="AS1121">
        <v>0</v>
      </c>
      <c r="AT1121">
        <v>0</v>
      </c>
    </row>
    <row r="1122" spans="44:46">
      <c r="AR1122">
        <v>0</v>
      </c>
      <c r="AS1122">
        <v>0</v>
      </c>
      <c r="AT1122">
        <v>0</v>
      </c>
    </row>
    <row r="1123" spans="44:46">
      <c r="AR1123">
        <v>0</v>
      </c>
      <c r="AS1123">
        <v>0</v>
      </c>
      <c r="AT1123">
        <v>0</v>
      </c>
    </row>
    <row r="1124" spans="44:46">
      <c r="AR1124">
        <v>0</v>
      </c>
      <c r="AS1124">
        <v>0</v>
      </c>
      <c r="AT1124">
        <v>0</v>
      </c>
    </row>
    <row r="1125" spans="44:46">
      <c r="AR1125">
        <v>0</v>
      </c>
      <c r="AS1125">
        <v>0</v>
      </c>
      <c r="AT1125">
        <v>0</v>
      </c>
    </row>
    <row r="1126" spans="44:46">
      <c r="AR1126">
        <v>0</v>
      </c>
      <c r="AS1126">
        <v>0</v>
      </c>
      <c r="AT1126">
        <v>0</v>
      </c>
    </row>
    <row r="1127" spans="44:46">
      <c r="AR1127">
        <v>0</v>
      </c>
      <c r="AS1127">
        <v>0</v>
      </c>
      <c r="AT1127">
        <v>0</v>
      </c>
    </row>
    <row r="1128" spans="44:46">
      <c r="AR1128">
        <v>0</v>
      </c>
      <c r="AS1128">
        <v>0</v>
      </c>
      <c r="AT1128">
        <v>0</v>
      </c>
    </row>
    <row r="1129" spans="44:46">
      <c r="AR1129">
        <v>0</v>
      </c>
      <c r="AS1129">
        <v>0</v>
      </c>
      <c r="AT1129">
        <v>0</v>
      </c>
    </row>
    <row r="1130" spans="44:46">
      <c r="AR1130">
        <v>0</v>
      </c>
      <c r="AS1130">
        <v>0</v>
      </c>
      <c r="AT1130">
        <v>0</v>
      </c>
    </row>
    <row r="1131" spans="44:46">
      <c r="AR1131">
        <v>0</v>
      </c>
      <c r="AS1131">
        <v>0</v>
      </c>
      <c r="AT1131">
        <v>0</v>
      </c>
    </row>
    <row r="1132" spans="44:46">
      <c r="AR1132">
        <v>0</v>
      </c>
      <c r="AS1132">
        <v>0</v>
      </c>
      <c r="AT1132">
        <v>0</v>
      </c>
    </row>
    <row r="1133" spans="44:46">
      <c r="AR1133">
        <v>0</v>
      </c>
      <c r="AS1133">
        <v>0</v>
      </c>
      <c r="AT1133">
        <v>0</v>
      </c>
    </row>
    <row r="1134" spans="44:46">
      <c r="AR1134">
        <v>0</v>
      </c>
      <c r="AS1134">
        <v>0</v>
      </c>
      <c r="AT1134">
        <v>0</v>
      </c>
    </row>
    <row r="1135" spans="44:46">
      <c r="AR1135">
        <v>0</v>
      </c>
      <c r="AS1135">
        <v>0</v>
      </c>
      <c r="AT1135">
        <v>0</v>
      </c>
    </row>
    <row r="1136" spans="44:46">
      <c r="AR1136">
        <v>0</v>
      </c>
      <c r="AS1136">
        <v>0</v>
      </c>
      <c r="AT1136">
        <v>0</v>
      </c>
    </row>
    <row r="1137" spans="44:46">
      <c r="AR1137">
        <v>0</v>
      </c>
      <c r="AS1137">
        <v>0</v>
      </c>
      <c r="AT1137">
        <v>0</v>
      </c>
    </row>
    <row r="1138" spans="44:46">
      <c r="AR1138">
        <v>0</v>
      </c>
      <c r="AS1138">
        <v>0</v>
      </c>
      <c r="AT1138">
        <v>0</v>
      </c>
    </row>
    <row r="1139" spans="44:46">
      <c r="AR1139">
        <v>0</v>
      </c>
      <c r="AS1139">
        <v>0</v>
      </c>
      <c r="AT1139">
        <v>0</v>
      </c>
    </row>
    <row r="1140" spans="44:46">
      <c r="AR1140">
        <v>0</v>
      </c>
      <c r="AS1140">
        <v>0</v>
      </c>
      <c r="AT1140">
        <v>0</v>
      </c>
    </row>
    <row r="1141" spans="44:46">
      <c r="AR1141">
        <v>0</v>
      </c>
      <c r="AS1141">
        <v>0</v>
      </c>
      <c r="AT1141">
        <v>0</v>
      </c>
    </row>
    <row r="1142" spans="44:46">
      <c r="AR1142">
        <v>0</v>
      </c>
      <c r="AS1142">
        <v>0</v>
      </c>
      <c r="AT1142">
        <v>0</v>
      </c>
    </row>
    <row r="1143" spans="44:46">
      <c r="AR1143">
        <v>0</v>
      </c>
      <c r="AS1143">
        <v>0</v>
      </c>
      <c r="AT1143">
        <v>0</v>
      </c>
    </row>
    <row r="1144" spans="44:46">
      <c r="AR1144">
        <v>0</v>
      </c>
      <c r="AS1144">
        <v>0</v>
      </c>
      <c r="AT1144">
        <v>0</v>
      </c>
    </row>
    <row r="1145" spans="44:46">
      <c r="AR1145">
        <v>0</v>
      </c>
      <c r="AS1145">
        <v>0</v>
      </c>
      <c r="AT1145">
        <v>0</v>
      </c>
    </row>
    <row r="1146" spans="44:46">
      <c r="AR1146">
        <v>0</v>
      </c>
      <c r="AS1146">
        <v>0</v>
      </c>
      <c r="AT1146">
        <v>0</v>
      </c>
    </row>
    <row r="1147" spans="44:46">
      <c r="AR1147">
        <v>0</v>
      </c>
      <c r="AS1147">
        <v>0</v>
      </c>
      <c r="AT1147">
        <v>0</v>
      </c>
    </row>
    <row r="1148" spans="44:46">
      <c r="AR1148">
        <v>0</v>
      </c>
      <c r="AS1148">
        <v>0</v>
      </c>
      <c r="AT1148">
        <v>0</v>
      </c>
    </row>
    <row r="1149" spans="44:46">
      <c r="AR1149">
        <v>0</v>
      </c>
      <c r="AS1149">
        <v>0</v>
      </c>
      <c r="AT1149">
        <v>0</v>
      </c>
    </row>
    <row r="1150" spans="44:46">
      <c r="AR1150">
        <v>0</v>
      </c>
      <c r="AS1150">
        <v>0</v>
      </c>
      <c r="AT1150">
        <v>0</v>
      </c>
    </row>
    <row r="1151" spans="44:46">
      <c r="AR1151">
        <v>0</v>
      </c>
      <c r="AS1151">
        <v>0</v>
      </c>
      <c r="AT1151">
        <v>0</v>
      </c>
    </row>
    <row r="1152" spans="44:46">
      <c r="AR1152">
        <v>0</v>
      </c>
      <c r="AS1152">
        <v>0</v>
      </c>
      <c r="AT1152">
        <v>0</v>
      </c>
    </row>
    <row r="1153" spans="44:46">
      <c r="AR1153">
        <v>0</v>
      </c>
      <c r="AS1153">
        <v>0</v>
      </c>
      <c r="AT1153">
        <v>0</v>
      </c>
    </row>
    <row r="1154" spans="44:46">
      <c r="AR1154">
        <v>0</v>
      </c>
      <c r="AS1154">
        <v>0</v>
      </c>
      <c r="AT1154">
        <v>0</v>
      </c>
    </row>
    <row r="1155" spans="44:46">
      <c r="AR1155">
        <v>0</v>
      </c>
      <c r="AS1155">
        <v>0</v>
      </c>
      <c r="AT1155">
        <v>0</v>
      </c>
    </row>
    <row r="1156" spans="44:46">
      <c r="AR1156">
        <v>0</v>
      </c>
      <c r="AS1156">
        <v>0</v>
      </c>
      <c r="AT1156">
        <v>0</v>
      </c>
    </row>
    <row r="1157" spans="44:46">
      <c r="AR1157">
        <v>0</v>
      </c>
      <c r="AS1157">
        <v>0</v>
      </c>
      <c r="AT1157">
        <v>0</v>
      </c>
    </row>
    <row r="1158" spans="44:46">
      <c r="AR1158">
        <v>0</v>
      </c>
      <c r="AS1158">
        <v>0</v>
      </c>
      <c r="AT1158">
        <v>0</v>
      </c>
    </row>
    <row r="1159" spans="44:46">
      <c r="AR1159">
        <v>0</v>
      </c>
      <c r="AS1159">
        <v>0</v>
      </c>
      <c r="AT1159">
        <v>0</v>
      </c>
    </row>
    <row r="1160" spans="44:46">
      <c r="AR1160">
        <v>0</v>
      </c>
      <c r="AS1160">
        <v>0</v>
      </c>
      <c r="AT1160">
        <v>0</v>
      </c>
    </row>
    <row r="1161" spans="44:46">
      <c r="AR1161">
        <v>0</v>
      </c>
      <c r="AS1161">
        <v>0</v>
      </c>
      <c r="AT1161">
        <v>0</v>
      </c>
    </row>
    <row r="1162" spans="44:46">
      <c r="AR1162">
        <v>0</v>
      </c>
      <c r="AS1162">
        <v>0</v>
      </c>
      <c r="AT1162">
        <v>0</v>
      </c>
    </row>
    <row r="1163" spans="44:46">
      <c r="AR1163">
        <v>0</v>
      </c>
      <c r="AS1163">
        <v>0</v>
      </c>
      <c r="AT1163">
        <v>0</v>
      </c>
    </row>
    <row r="1164" spans="44:46">
      <c r="AR1164">
        <v>0</v>
      </c>
      <c r="AS1164">
        <v>0</v>
      </c>
      <c r="AT1164">
        <v>0</v>
      </c>
    </row>
    <row r="1165" spans="44:46">
      <c r="AR1165">
        <v>0</v>
      </c>
      <c r="AS1165">
        <v>0</v>
      </c>
      <c r="AT1165">
        <v>0</v>
      </c>
    </row>
    <row r="1166" spans="44:46">
      <c r="AR1166">
        <v>0</v>
      </c>
      <c r="AS1166">
        <v>0</v>
      </c>
      <c r="AT1166">
        <v>0</v>
      </c>
    </row>
    <row r="1167" spans="44:46">
      <c r="AR1167">
        <v>0</v>
      </c>
      <c r="AS1167">
        <v>0</v>
      </c>
      <c r="AT1167">
        <v>0</v>
      </c>
    </row>
    <row r="1168" spans="44:46">
      <c r="AR1168">
        <v>0</v>
      </c>
      <c r="AS1168">
        <v>0</v>
      </c>
      <c r="AT1168">
        <v>0</v>
      </c>
    </row>
    <row r="1169" spans="44:46">
      <c r="AR1169">
        <v>0</v>
      </c>
      <c r="AS1169">
        <v>0</v>
      </c>
      <c r="AT1169">
        <v>0</v>
      </c>
    </row>
    <row r="1170" spans="44:46">
      <c r="AR1170">
        <v>0</v>
      </c>
      <c r="AS1170">
        <v>0</v>
      </c>
      <c r="AT1170">
        <v>0</v>
      </c>
    </row>
    <row r="1171" spans="44:46">
      <c r="AR1171">
        <v>0</v>
      </c>
      <c r="AS1171">
        <v>0</v>
      </c>
      <c r="AT1171">
        <v>0</v>
      </c>
    </row>
    <row r="1172" spans="44:46">
      <c r="AR1172">
        <v>0</v>
      </c>
      <c r="AS1172">
        <v>0</v>
      </c>
      <c r="AT1172">
        <v>0</v>
      </c>
    </row>
    <row r="1173" spans="44:46">
      <c r="AR1173">
        <v>0</v>
      </c>
      <c r="AS1173">
        <v>0</v>
      </c>
      <c r="AT1173">
        <v>0</v>
      </c>
    </row>
    <row r="1174" spans="44:46">
      <c r="AR1174">
        <v>0</v>
      </c>
      <c r="AS1174">
        <v>0</v>
      </c>
      <c r="AT1174">
        <v>0</v>
      </c>
    </row>
    <row r="1175" spans="44:46">
      <c r="AR1175">
        <v>0</v>
      </c>
      <c r="AS1175">
        <v>0</v>
      </c>
      <c r="AT1175">
        <v>0</v>
      </c>
    </row>
    <row r="1176" spans="44:46">
      <c r="AR1176">
        <v>0</v>
      </c>
      <c r="AS1176">
        <v>0</v>
      </c>
      <c r="AT1176">
        <v>0</v>
      </c>
    </row>
    <row r="1177" spans="44:46">
      <c r="AR1177">
        <v>0</v>
      </c>
      <c r="AS1177">
        <v>0</v>
      </c>
      <c r="AT1177">
        <v>0</v>
      </c>
    </row>
    <row r="1178" spans="44:46">
      <c r="AR1178">
        <v>0</v>
      </c>
      <c r="AS1178">
        <v>0</v>
      </c>
      <c r="AT1178">
        <v>0</v>
      </c>
    </row>
    <row r="1179" spans="44:46">
      <c r="AR1179">
        <v>0</v>
      </c>
      <c r="AS1179">
        <v>0</v>
      </c>
      <c r="AT1179">
        <v>0</v>
      </c>
    </row>
    <row r="1180" spans="44:46">
      <c r="AR1180">
        <v>0</v>
      </c>
      <c r="AS1180">
        <v>0</v>
      </c>
      <c r="AT1180">
        <v>0</v>
      </c>
    </row>
    <row r="1181" spans="44:46">
      <c r="AR1181">
        <v>0</v>
      </c>
      <c r="AS1181">
        <v>0</v>
      </c>
      <c r="AT1181">
        <v>0</v>
      </c>
    </row>
    <row r="1182" spans="44:46">
      <c r="AR1182">
        <v>0</v>
      </c>
      <c r="AS1182">
        <v>0</v>
      </c>
      <c r="AT1182">
        <v>0</v>
      </c>
    </row>
    <row r="1183" spans="44:46">
      <c r="AR1183">
        <v>0</v>
      </c>
      <c r="AS1183">
        <v>0</v>
      </c>
      <c r="AT1183">
        <v>0</v>
      </c>
    </row>
    <row r="1184" spans="44:46">
      <c r="AR1184">
        <v>0</v>
      </c>
      <c r="AS1184">
        <v>0</v>
      </c>
      <c r="AT1184">
        <v>0</v>
      </c>
    </row>
    <row r="1185" spans="44:46">
      <c r="AR1185">
        <v>0</v>
      </c>
      <c r="AS1185">
        <v>0</v>
      </c>
      <c r="AT1185">
        <v>0</v>
      </c>
    </row>
    <row r="1186" spans="44:46">
      <c r="AR1186">
        <v>0</v>
      </c>
      <c r="AS1186">
        <v>0</v>
      </c>
      <c r="AT1186">
        <v>0</v>
      </c>
    </row>
    <row r="1187" spans="44:46">
      <c r="AR1187">
        <v>0</v>
      </c>
      <c r="AS1187">
        <v>0</v>
      </c>
      <c r="AT1187">
        <v>0</v>
      </c>
    </row>
    <row r="1188" spans="44:46">
      <c r="AR1188">
        <v>0</v>
      </c>
      <c r="AS1188">
        <v>0</v>
      </c>
      <c r="AT1188">
        <v>0</v>
      </c>
    </row>
    <row r="1189" spans="44:46">
      <c r="AR1189">
        <v>0</v>
      </c>
      <c r="AS1189">
        <v>0</v>
      </c>
      <c r="AT1189">
        <v>0</v>
      </c>
    </row>
    <row r="1190" spans="44:46">
      <c r="AR1190">
        <v>0</v>
      </c>
      <c r="AS1190">
        <v>0</v>
      </c>
      <c r="AT1190">
        <v>0</v>
      </c>
    </row>
    <row r="1191" spans="44:46">
      <c r="AR1191">
        <v>0</v>
      </c>
      <c r="AS1191">
        <v>0</v>
      </c>
      <c r="AT1191">
        <v>0</v>
      </c>
    </row>
    <row r="1192" spans="44:46">
      <c r="AR1192">
        <v>0</v>
      </c>
      <c r="AS1192">
        <v>0</v>
      </c>
      <c r="AT1192">
        <v>0</v>
      </c>
    </row>
    <row r="1193" spans="44:46">
      <c r="AR1193">
        <v>0</v>
      </c>
      <c r="AS1193">
        <v>0</v>
      </c>
      <c r="AT1193">
        <v>0</v>
      </c>
    </row>
    <row r="1194" spans="44:46">
      <c r="AR1194">
        <v>0</v>
      </c>
      <c r="AS1194">
        <v>0</v>
      </c>
      <c r="AT1194">
        <v>0</v>
      </c>
    </row>
    <row r="1195" spans="44:46">
      <c r="AR1195">
        <v>0</v>
      </c>
      <c r="AS1195">
        <v>0</v>
      </c>
      <c r="AT1195">
        <v>0</v>
      </c>
    </row>
    <row r="1196" spans="44:46">
      <c r="AR1196">
        <v>0</v>
      </c>
      <c r="AS1196">
        <v>0</v>
      </c>
      <c r="AT1196">
        <v>0</v>
      </c>
    </row>
    <row r="1197" spans="44:46">
      <c r="AR1197">
        <v>0</v>
      </c>
      <c r="AS1197">
        <v>0</v>
      </c>
      <c r="AT1197">
        <v>0</v>
      </c>
    </row>
    <row r="1198" spans="44:46">
      <c r="AR1198">
        <v>0</v>
      </c>
      <c r="AS1198">
        <v>0</v>
      </c>
      <c r="AT1198">
        <v>0</v>
      </c>
    </row>
    <row r="1199" spans="44:46">
      <c r="AR1199">
        <v>0</v>
      </c>
      <c r="AS1199">
        <v>0</v>
      </c>
      <c r="AT1199">
        <v>0</v>
      </c>
    </row>
    <row r="1200" spans="44:46">
      <c r="AR1200">
        <v>0</v>
      </c>
      <c r="AS1200">
        <v>0</v>
      </c>
      <c r="AT1200">
        <v>0</v>
      </c>
    </row>
    <row r="1201" spans="44:46">
      <c r="AR1201">
        <v>0</v>
      </c>
      <c r="AS1201">
        <v>0</v>
      </c>
      <c r="AT1201">
        <v>0</v>
      </c>
    </row>
    <row r="1202" spans="44:46">
      <c r="AR1202">
        <v>0</v>
      </c>
      <c r="AS1202">
        <v>0</v>
      </c>
      <c r="AT1202">
        <v>0</v>
      </c>
    </row>
    <row r="1203" spans="44:46">
      <c r="AR1203">
        <v>0</v>
      </c>
      <c r="AS1203">
        <v>0</v>
      </c>
      <c r="AT1203">
        <v>0</v>
      </c>
    </row>
    <row r="1204" spans="44:46">
      <c r="AR1204">
        <v>0</v>
      </c>
      <c r="AS1204">
        <v>0</v>
      </c>
      <c r="AT1204">
        <v>0</v>
      </c>
    </row>
    <row r="1205" spans="44:46">
      <c r="AR1205">
        <v>0</v>
      </c>
      <c r="AS1205">
        <v>0</v>
      </c>
      <c r="AT1205">
        <v>0</v>
      </c>
    </row>
    <row r="1206" spans="44:46">
      <c r="AR1206">
        <v>0</v>
      </c>
      <c r="AS1206">
        <v>0</v>
      </c>
      <c r="AT1206">
        <v>0</v>
      </c>
    </row>
    <row r="1207" spans="44:46">
      <c r="AR1207">
        <v>0</v>
      </c>
      <c r="AS1207">
        <v>0</v>
      </c>
      <c r="AT1207">
        <v>0</v>
      </c>
    </row>
    <row r="1208" spans="44:46">
      <c r="AR1208">
        <v>0</v>
      </c>
      <c r="AS1208">
        <v>0</v>
      </c>
      <c r="AT1208">
        <v>0</v>
      </c>
    </row>
    <row r="1209" spans="44:46">
      <c r="AR1209">
        <v>0</v>
      </c>
      <c r="AS1209">
        <v>0</v>
      </c>
      <c r="AT1209">
        <v>0</v>
      </c>
    </row>
    <row r="1210" spans="44:46">
      <c r="AR1210">
        <v>0</v>
      </c>
      <c r="AS1210">
        <v>0</v>
      </c>
      <c r="AT1210">
        <v>0</v>
      </c>
    </row>
    <row r="1211" spans="44:46">
      <c r="AR1211">
        <v>0</v>
      </c>
      <c r="AS1211">
        <v>0</v>
      </c>
      <c r="AT1211">
        <v>0</v>
      </c>
    </row>
    <row r="1212" spans="44:46">
      <c r="AR1212">
        <v>0</v>
      </c>
      <c r="AS1212">
        <v>0</v>
      </c>
      <c r="AT1212">
        <v>0</v>
      </c>
    </row>
    <row r="1213" spans="44:46">
      <c r="AR1213">
        <v>0</v>
      </c>
      <c r="AS1213">
        <v>0</v>
      </c>
      <c r="AT1213">
        <v>0</v>
      </c>
    </row>
    <row r="1214" spans="44:46">
      <c r="AR1214">
        <v>0</v>
      </c>
      <c r="AS1214">
        <v>0</v>
      </c>
      <c r="AT1214">
        <v>0</v>
      </c>
    </row>
    <row r="1215" spans="44:46">
      <c r="AR1215">
        <v>0</v>
      </c>
      <c r="AS1215">
        <v>0</v>
      </c>
      <c r="AT1215">
        <v>0</v>
      </c>
    </row>
    <row r="1216" spans="44:46">
      <c r="AR1216">
        <v>0</v>
      </c>
      <c r="AS1216">
        <v>0</v>
      </c>
      <c r="AT1216">
        <v>0</v>
      </c>
    </row>
    <row r="1217" spans="44:46">
      <c r="AR1217">
        <v>0</v>
      </c>
      <c r="AS1217">
        <v>0</v>
      </c>
      <c r="AT1217">
        <v>0</v>
      </c>
    </row>
    <row r="1218" spans="44:46">
      <c r="AR1218">
        <v>0</v>
      </c>
      <c r="AS1218">
        <v>0</v>
      </c>
      <c r="AT1218">
        <v>0</v>
      </c>
    </row>
    <row r="1219" spans="44:46">
      <c r="AR1219">
        <v>0</v>
      </c>
      <c r="AS1219">
        <v>0</v>
      </c>
      <c r="AT1219">
        <v>0</v>
      </c>
    </row>
    <row r="1220" spans="44:46">
      <c r="AR1220">
        <v>0</v>
      </c>
      <c r="AS1220">
        <v>0</v>
      </c>
      <c r="AT1220">
        <v>0</v>
      </c>
    </row>
    <row r="1221" spans="44:46">
      <c r="AR1221">
        <v>0</v>
      </c>
      <c r="AS1221">
        <v>0</v>
      </c>
      <c r="AT1221">
        <v>0</v>
      </c>
    </row>
    <row r="1222" spans="44:46">
      <c r="AR1222">
        <v>0</v>
      </c>
      <c r="AS1222">
        <v>0</v>
      </c>
      <c r="AT1222">
        <v>0</v>
      </c>
    </row>
    <row r="1223" spans="44:46">
      <c r="AR1223">
        <v>0</v>
      </c>
      <c r="AS1223">
        <v>0</v>
      </c>
      <c r="AT1223">
        <v>0</v>
      </c>
    </row>
    <row r="1224" spans="44:46">
      <c r="AR1224">
        <v>0</v>
      </c>
      <c r="AS1224">
        <v>0</v>
      </c>
      <c r="AT1224">
        <v>0</v>
      </c>
    </row>
    <row r="1225" spans="44:46">
      <c r="AR1225">
        <v>0</v>
      </c>
      <c r="AS1225">
        <v>0</v>
      </c>
      <c r="AT1225">
        <v>0</v>
      </c>
    </row>
    <row r="1226" spans="44:46">
      <c r="AR1226">
        <v>0</v>
      </c>
      <c r="AS1226">
        <v>0</v>
      </c>
      <c r="AT1226">
        <v>0</v>
      </c>
    </row>
    <row r="1227" spans="44:46">
      <c r="AR1227">
        <v>0</v>
      </c>
      <c r="AS1227">
        <v>0</v>
      </c>
      <c r="AT1227">
        <v>0</v>
      </c>
    </row>
    <row r="1228" spans="44:46">
      <c r="AR1228">
        <v>0</v>
      </c>
      <c r="AS1228">
        <v>0</v>
      </c>
      <c r="AT1228">
        <v>0</v>
      </c>
    </row>
    <row r="1229" spans="44:46">
      <c r="AR1229">
        <v>0</v>
      </c>
      <c r="AS1229">
        <v>0</v>
      </c>
      <c r="AT1229">
        <v>0</v>
      </c>
    </row>
    <row r="1230" spans="44:46">
      <c r="AR1230">
        <v>0</v>
      </c>
      <c r="AS1230">
        <v>0</v>
      </c>
      <c r="AT1230">
        <v>0</v>
      </c>
    </row>
    <row r="1231" spans="44:46">
      <c r="AR1231">
        <v>0</v>
      </c>
      <c r="AS1231">
        <v>0</v>
      </c>
      <c r="AT1231">
        <v>0</v>
      </c>
    </row>
    <row r="1232" spans="44:46">
      <c r="AR1232">
        <v>0</v>
      </c>
      <c r="AS1232">
        <v>0</v>
      </c>
      <c r="AT1232">
        <v>0</v>
      </c>
    </row>
    <row r="1233" spans="44:46">
      <c r="AR1233">
        <v>0</v>
      </c>
      <c r="AS1233">
        <v>0</v>
      </c>
      <c r="AT1233">
        <v>0</v>
      </c>
    </row>
    <row r="1234" spans="44:46">
      <c r="AR1234">
        <v>0</v>
      </c>
      <c r="AS1234">
        <v>0</v>
      </c>
      <c r="AT1234">
        <v>0</v>
      </c>
    </row>
    <row r="1235" spans="44:46">
      <c r="AR1235">
        <v>0</v>
      </c>
      <c r="AS1235">
        <v>0</v>
      </c>
      <c r="AT1235">
        <v>0</v>
      </c>
    </row>
    <row r="1236" spans="44:46">
      <c r="AR1236">
        <v>0</v>
      </c>
      <c r="AS1236">
        <v>0</v>
      </c>
      <c r="AT1236">
        <v>0</v>
      </c>
    </row>
    <row r="1237" spans="44:46">
      <c r="AR1237">
        <v>0</v>
      </c>
      <c r="AS1237">
        <v>0</v>
      </c>
      <c r="AT1237">
        <v>0</v>
      </c>
    </row>
    <row r="1238" spans="44:46">
      <c r="AR1238">
        <v>0</v>
      </c>
      <c r="AS1238">
        <v>0</v>
      </c>
      <c r="AT1238">
        <v>0</v>
      </c>
    </row>
    <row r="1239" spans="44:46">
      <c r="AR1239">
        <v>0</v>
      </c>
      <c r="AS1239">
        <v>0</v>
      </c>
      <c r="AT1239">
        <v>0</v>
      </c>
    </row>
    <row r="1240" spans="44:46">
      <c r="AR1240">
        <v>0</v>
      </c>
      <c r="AS1240">
        <v>0</v>
      </c>
      <c r="AT1240">
        <v>0</v>
      </c>
    </row>
    <row r="1241" spans="44:46">
      <c r="AR1241">
        <v>0</v>
      </c>
      <c r="AS1241">
        <v>0</v>
      </c>
      <c r="AT1241">
        <v>0</v>
      </c>
    </row>
    <row r="1242" spans="44:46">
      <c r="AR1242">
        <v>0</v>
      </c>
      <c r="AS1242">
        <v>0</v>
      </c>
      <c r="AT1242">
        <v>0</v>
      </c>
    </row>
    <row r="1243" spans="44:46">
      <c r="AR1243">
        <v>0</v>
      </c>
      <c r="AS1243">
        <v>0</v>
      </c>
      <c r="AT1243">
        <v>0</v>
      </c>
    </row>
    <row r="1244" spans="44:46">
      <c r="AR1244">
        <v>0</v>
      </c>
      <c r="AS1244">
        <v>0</v>
      </c>
      <c r="AT1244">
        <v>0</v>
      </c>
    </row>
    <row r="1245" spans="44:46">
      <c r="AR1245">
        <v>0</v>
      </c>
      <c r="AS1245">
        <v>0</v>
      </c>
      <c r="AT1245">
        <v>0</v>
      </c>
    </row>
    <row r="1246" spans="44:46">
      <c r="AR1246">
        <v>0</v>
      </c>
      <c r="AS1246">
        <v>0</v>
      </c>
      <c r="AT1246">
        <v>0</v>
      </c>
    </row>
    <row r="1247" spans="44:46">
      <c r="AR1247">
        <v>0</v>
      </c>
      <c r="AS1247">
        <v>0</v>
      </c>
      <c r="AT1247">
        <v>0</v>
      </c>
    </row>
    <row r="1248" spans="44:46">
      <c r="AR1248">
        <v>0</v>
      </c>
      <c r="AS1248">
        <v>0</v>
      </c>
      <c r="AT1248">
        <v>0</v>
      </c>
    </row>
    <row r="1249" spans="44:46">
      <c r="AR1249">
        <v>0</v>
      </c>
      <c r="AS1249">
        <v>0</v>
      </c>
      <c r="AT1249">
        <v>0</v>
      </c>
    </row>
    <row r="1250" spans="44:46">
      <c r="AR1250">
        <v>0</v>
      </c>
      <c r="AS1250">
        <v>0</v>
      </c>
      <c r="AT1250">
        <v>0</v>
      </c>
    </row>
    <row r="1251" spans="44:46">
      <c r="AR1251">
        <v>0</v>
      </c>
      <c r="AS1251">
        <v>0</v>
      </c>
      <c r="AT1251">
        <v>0</v>
      </c>
    </row>
    <row r="1252" spans="44:46">
      <c r="AR1252">
        <v>0</v>
      </c>
      <c r="AS1252">
        <v>0</v>
      </c>
      <c r="AT1252">
        <v>0</v>
      </c>
    </row>
    <row r="1253" spans="44:46">
      <c r="AR1253">
        <v>0</v>
      </c>
      <c r="AS1253">
        <v>0</v>
      </c>
      <c r="AT1253">
        <v>0</v>
      </c>
    </row>
    <row r="1254" spans="44:46">
      <c r="AR1254">
        <v>0</v>
      </c>
      <c r="AS1254">
        <v>0</v>
      </c>
      <c r="AT1254">
        <v>0</v>
      </c>
    </row>
    <row r="1255" spans="44:46">
      <c r="AR1255">
        <v>0</v>
      </c>
      <c r="AS1255">
        <v>0</v>
      </c>
      <c r="AT1255">
        <v>0</v>
      </c>
    </row>
    <row r="1256" spans="44:46">
      <c r="AR1256">
        <v>0</v>
      </c>
      <c r="AS1256">
        <v>0</v>
      </c>
      <c r="AT1256">
        <v>0</v>
      </c>
    </row>
    <row r="1257" spans="44:46">
      <c r="AR1257">
        <v>0</v>
      </c>
      <c r="AS1257">
        <v>0</v>
      </c>
      <c r="AT1257">
        <v>0</v>
      </c>
    </row>
    <row r="1258" spans="44:46">
      <c r="AR1258">
        <v>0</v>
      </c>
      <c r="AS1258">
        <v>0</v>
      </c>
      <c r="AT1258">
        <v>0</v>
      </c>
    </row>
    <row r="1259" spans="44:46">
      <c r="AR1259">
        <v>0</v>
      </c>
      <c r="AS1259">
        <v>0</v>
      </c>
      <c r="AT1259">
        <v>0</v>
      </c>
    </row>
    <row r="1260" spans="44:46">
      <c r="AR1260">
        <v>0</v>
      </c>
      <c r="AS1260">
        <v>0</v>
      </c>
      <c r="AT1260">
        <v>0</v>
      </c>
    </row>
    <row r="1261" spans="44:46">
      <c r="AR1261">
        <v>0</v>
      </c>
      <c r="AS1261">
        <v>0</v>
      </c>
      <c r="AT1261">
        <v>0</v>
      </c>
    </row>
    <row r="1262" spans="44:46">
      <c r="AR1262">
        <v>0</v>
      </c>
      <c r="AS1262">
        <v>0</v>
      </c>
      <c r="AT1262">
        <v>0</v>
      </c>
    </row>
    <row r="1263" spans="44:46">
      <c r="AR1263">
        <v>0</v>
      </c>
      <c r="AS1263">
        <v>0</v>
      </c>
      <c r="AT1263">
        <v>0</v>
      </c>
    </row>
    <row r="1264" spans="44:46">
      <c r="AR1264">
        <v>0</v>
      </c>
      <c r="AS1264">
        <v>0</v>
      </c>
      <c r="AT1264">
        <v>0</v>
      </c>
    </row>
    <row r="1265" spans="44:46">
      <c r="AR1265">
        <v>0</v>
      </c>
      <c r="AS1265">
        <v>0</v>
      </c>
      <c r="AT1265">
        <v>0</v>
      </c>
    </row>
    <row r="1266" spans="44:46">
      <c r="AR1266">
        <v>0</v>
      </c>
      <c r="AS1266">
        <v>0</v>
      </c>
      <c r="AT1266">
        <v>0</v>
      </c>
    </row>
    <row r="1267" spans="44:46">
      <c r="AR1267">
        <v>0</v>
      </c>
      <c r="AS1267">
        <v>0</v>
      </c>
      <c r="AT1267">
        <v>0</v>
      </c>
    </row>
    <row r="1268" spans="44:46">
      <c r="AR1268">
        <v>0</v>
      </c>
      <c r="AS1268">
        <v>0</v>
      </c>
      <c r="AT1268">
        <v>0</v>
      </c>
    </row>
    <row r="1269" spans="44:46">
      <c r="AR1269">
        <v>0</v>
      </c>
      <c r="AS1269">
        <v>0</v>
      </c>
      <c r="AT1269">
        <v>0</v>
      </c>
    </row>
    <row r="1270" spans="44:46">
      <c r="AR1270">
        <v>0</v>
      </c>
      <c r="AS1270">
        <v>0</v>
      </c>
      <c r="AT1270">
        <v>0</v>
      </c>
    </row>
    <row r="1271" spans="44:46">
      <c r="AR1271">
        <v>0</v>
      </c>
      <c r="AS1271">
        <v>0</v>
      </c>
      <c r="AT1271">
        <v>0</v>
      </c>
    </row>
    <row r="1272" spans="44:46">
      <c r="AR1272">
        <v>0</v>
      </c>
      <c r="AS1272">
        <v>0</v>
      </c>
      <c r="AT1272">
        <v>0</v>
      </c>
    </row>
    <row r="1273" spans="44:46">
      <c r="AR1273">
        <v>0</v>
      </c>
      <c r="AS1273">
        <v>0</v>
      </c>
      <c r="AT1273">
        <v>0</v>
      </c>
    </row>
    <row r="1274" spans="44:46">
      <c r="AR1274">
        <v>0</v>
      </c>
      <c r="AS1274">
        <v>0</v>
      </c>
      <c r="AT1274">
        <v>0</v>
      </c>
    </row>
    <row r="1275" spans="44:46">
      <c r="AR1275">
        <v>0</v>
      </c>
      <c r="AS1275">
        <v>0</v>
      </c>
      <c r="AT1275">
        <v>0</v>
      </c>
    </row>
    <row r="1276" spans="44:46">
      <c r="AR1276">
        <v>0</v>
      </c>
      <c r="AS1276">
        <v>0</v>
      </c>
      <c r="AT1276">
        <v>0</v>
      </c>
    </row>
    <row r="1277" spans="44:46">
      <c r="AR1277">
        <v>0</v>
      </c>
      <c r="AS1277">
        <v>0</v>
      </c>
      <c r="AT1277">
        <v>0</v>
      </c>
    </row>
    <row r="1278" spans="44:46">
      <c r="AR1278">
        <v>0</v>
      </c>
      <c r="AS1278">
        <v>0</v>
      </c>
      <c r="AT1278">
        <v>0</v>
      </c>
    </row>
    <row r="1279" spans="44:46">
      <c r="AR1279">
        <v>0</v>
      </c>
      <c r="AS1279">
        <v>0</v>
      </c>
      <c r="AT1279">
        <v>0</v>
      </c>
    </row>
    <row r="1280" spans="44:46">
      <c r="AR1280">
        <v>0</v>
      </c>
      <c r="AS1280">
        <v>0</v>
      </c>
      <c r="AT1280">
        <v>0</v>
      </c>
    </row>
    <row r="1281" spans="44:46">
      <c r="AR1281">
        <v>0</v>
      </c>
      <c r="AS1281">
        <v>0</v>
      </c>
      <c r="AT1281">
        <v>0</v>
      </c>
    </row>
    <row r="1282" spans="44:46">
      <c r="AR1282">
        <v>0</v>
      </c>
      <c r="AS1282">
        <v>0</v>
      </c>
      <c r="AT1282">
        <v>0</v>
      </c>
    </row>
    <row r="1283" spans="44:46">
      <c r="AR1283">
        <v>0</v>
      </c>
      <c r="AS1283">
        <v>0</v>
      </c>
      <c r="AT1283">
        <v>0</v>
      </c>
    </row>
    <row r="1284" spans="44:46">
      <c r="AR1284">
        <v>0</v>
      </c>
      <c r="AS1284">
        <v>0</v>
      </c>
      <c r="AT1284">
        <v>0</v>
      </c>
    </row>
    <row r="1285" spans="44:46">
      <c r="AR1285">
        <v>0</v>
      </c>
      <c r="AS1285">
        <v>0</v>
      </c>
      <c r="AT1285">
        <v>0</v>
      </c>
    </row>
    <row r="1286" spans="44:46">
      <c r="AR1286">
        <v>0</v>
      </c>
      <c r="AS1286">
        <v>0</v>
      </c>
      <c r="AT1286">
        <v>0</v>
      </c>
    </row>
    <row r="1287" spans="44:46">
      <c r="AR1287">
        <v>0</v>
      </c>
      <c r="AS1287">
        <v>0</v>
      </c>
      <c r="AT1287">
        <v>0</v>
      </c>
    </row>
    <row r="1288" spans="44:46">
      <c r="AR1288">
        <v>0</v>
      </c>
      <c r="AS1288">
        <v>0</v>
      </c>
      <c r="AT1288">
        <v>0</v>
      </c>
    </row>
    <row r="1289" spans="44:46">
      <c r="AR1289">
        <v>0</v>
      </c>
      <c r="AS1289">
        <v>0</v>
      </c>
      <c r="AT1289">
        <v>0</v>
      </c>
    </row>
    <row r="1290" spans="44:46">
      <c r="AR1290">
        <v>0</v>
      </c>
      <c r="AS1290">
        <v>0</v>
      </c>
      <c r="AT1290">
        <v>0</v>
      </c>
    </row>
    <row r="1291" spans="44:46">
      <c r="AR1291">
        <v>0</v>
      </c>
      <c r="AS1291">
        <v>0</v>
      </c>
      <c r="AT1291">
        <v>0</v>
      </c>
    </row>
    <row r="1292" spans="44:46">
      <c r="AR1292">
        <v>0</v>
      </c>
      <c r="AS1292">
        <v>0</v>
      </c>
      <c r="AT1292">
        <v>0</v>
      </c>
    </row>
    <row r="1293" spans="44:46">
      <c r="AR1293">
        <v>0</v>
      </c>
      <c r="AS1293">
        <v>0</v>
      </c>
      <c r="AT1293">
        <v>0</v>
      </c>
    </row>
    <row r="1294" spans="44:46">
      <c r="AR1294">
        <v>0</v>
      </c>
      <c r="AS1294">
        <v>0</v>
      </c>
      <c r="AT1294">
        <v>0</v>
      </c>
    </row>
    <row r="1295" spans="44:46">
      <c r="AR1295">
        <v>0</v>
      </c>
      <c r="AS1295">
        <v>0</v>
      </c>
      <c r="AT1295">
        <v>0</v>
      </c>
    </row>
    <row r="1296" spans="44:46">
      <c r="AR1296">
        <v>0</v>
      </c>
      <c r="AS1296">
        <v>0</v>
      </c>
      <c r="AT1296">
        <v>0</v>
      </c>
    </row>
    <row r="1297" spans="44:46">
      <c r="AR1297">
        <v>0</v>
      </c>
      <c r="AS1297">
        <v>0</v>
      </c>
      <c r="AT1297">
        <v>0</v>
      </c>
    </row>
    <row r="1298" spans="44:46">
      <c r="AR1298">
        <v>0</v>
      </c>
      <c r="AS1298">
        <v>0</v>
      </c>
      <c r="AT1298">
        <v>0</v>
      </c>
    </row>
    <row r="1299" spans="44:46">
      <c r="AR1299">
        <v>0</v>
      </c>
      <c r="AS1299">
        <v>0</v>
      </c>
      <c r="AT1299">
        <v>0</v>
      </c>
    </row>
    <row r="1300" spans="44:46">
      <c r="AR1300">
        <v>0</v>
      </c>
      <c r="AS1300">
        <v>0</v>
      </c>
      <c r="AT1300">
        <v>0</v>
      </c>
    </row>
    <row r="1301" spans="44:46">
      <c r="AR1301">
        <v>0</v>
      </c>
      <c r="AS1301">
        <v>0</v>
      </c>
      <c r="AT1301">
        <v>0</v>
      </c>
    </row>
    <row r="1302" spans="44:46">
      <c r="AR1302">
        <v>0</v>
      </c>
      <c r="AS1302">
        <v>0</v>
      </c>
      <c r="AT1302">
        <v>0</v>
      </c>
    </row>
    <row r="1303" spans="44:46">
      <c r="AR1303">
        <v>0</v>
      </c>
      <c r="AS1303">
        <v>0</v>
      </c>
      <c r="AT1303">
        <v>0</v>
      </c>
    </row>
    <row r="1304" spans="44:46">
      <c r="AR1304">
        <v>0</v>
      </c>
      <c r="AS1304">
        <v>0</v>
      </c>
      <c r="AT1304">
        <v>0</v>
      </c>
    </row>
    <row r="1305" spans="44:46">
      <c r="AR1305">
        <v>0</v>
      </c>
      <c r="AS1305">
        <v>0</v>
      </c>
      <c r="AT1305">
        <v>0</v>
      </c>
    </row>
    <row r="1306" spans="44:46">
      <c r="AR1306">
        <v>0</v>
      </c>
      <c r="AS1306">
        <v>0</v>
      </c>
      <c r="AT1306">
        <v>0</v>
      </c>
    </row>
    <row r="1307" spans="44:46">
      <c r="AR1307">
        <v>0</v>
      </c>
      <c r="AS1307">
        <v>0</v>
      </c>
      <c r="AT1307">
        <v>0</v>
      </c>
    </row>
    <row r="1308" spans="44:46">
      <c r="AR1308">
        <v>0</v>
      </c>
      <c r="AS1308">
        <v>0</v>
      </c>
      <c r="AT1308">
        <v>0</v>
      </c>
    </row>
    <row r="1309" spans="44:46">
      <c r="AR1309">
        <v>0</v>
      </c>
      <c r="AS1309">
        <v>0</v>
      </c>
      <c r="AT1309">
        <v>0</v>
      </c>
    </row>
    <row r="1310" spans="44:46">
      <c r="AR1310">
        <v>0</v>
      </c>
      <c r="AS1310">
        <v>0</v>
      </c>
      <c r="AT1310">
        <v>0</v>
      </c>
    </row>
    <row r="1311" spans="44:46">
      <c r="AR1311">
        <v>0</v>
      </c>
      <c r="AS1311">
        <v>0</v>
      </c>
      <c r="AT1311">
        <v>0</v>
      </c>
    </row>
    <row r="1312" spans="44:46">
      <c r="AR1312">
        <v>0</v>
      </c>
      <c r="AS1312">
        <v>0</v>
      </c>
      <c r="AT1312">
        <v>0</v>
      </c>
    </row>
    <row r="1313" spans="44:46">
      <c r="AR1313">
        <v>0</v>
      </c>
      <c r="AS1313">
        <v>0</v>
      </c>
      <c r="AT1313">
        <v>0</v>
      </c>
    </row>
    <row r="1314" spans="44:46">
      <c r="AR1314">
        <v>0</v>
      </c>
      <c r="AS1314">
        <v>0</v>
      </c>
      <c r="AT1314">
        <v>0</v>
      </c>
    </row>
    <row r="1315" spans="44:46">
      <c r="AR1315">
        <v>0</v>
      </c>
      <c r="AS1315">
        <v>0</v>
      </c>
      <c r="AT1315">
        <v>0</v>
      </c>
    </row>
    <row r="1316" spans="44:46">
      <c r="AR1316">
        <v>0</v>
      </c>
      <c r="AS1316">
        <v>0</v>
      </c>
      <c r="AT1316">
        <v>0</v>
      </c>
    </row>
    <row r="1317" spans="44:46">
      <c r="AR1317">
        <v>0</v>
      </c>
      <c r="AS1317">
        <v>0</v>
      </c>
      <c r="AT1317">
        <v>0</v>
      </c>
    </row>
    <row r="1318" spans="44:46">
      <c r="AR1318">
        <v>0</v>
      </c>
      <c r="AS1318">
        <v>0</v>
      </c>
      <c r="AT1318">
        <v>0</v>
      </c>
    </row>
    <row r="1319" spans="44:46">
      <c r="AR1319">
        <v>0</v>
      </c>
      <c r="AS1319">
        <v>0</v>
      </c>
      <c r="AT1319">
        <v>0</v>
      </c>
    </row>
    <row r="1320" spans="44:46">
      <c r="AR1320">
        <v>0</v>
      </c>
      <c r="AS1320">
        <v>0</v>
      </c>
      <c r="AT1320">
        <v>0</v>
      </c>
    </row>
    <row r="1321" spans="44:46">
      <c r="AR1321">
        <v>0</v>
      </c>
      <c r="AS1321">
        <v>0</v>
      </c>
      <c r="AT1321">
        <v>0</v>
      </c>
    </row>
    <row r="1322" spans="44:46">
      <c r="AR1322">
        <v>0</v>
      </c>
      <c r="AS1322">
        <v>0</v>
      </c>
      <c r="AT1322">
        <v>0</v>
      </c>
    </row>
    <row r="1323" spans="44:46">
      <c r="AR1323">
        <v>0</v>
      </c>
      <c r="AS1323">
        <v>0</v>
      </c>
      <c r="AT1323">
        <v>0</v>
      </c>
    </row>
    <row r="1324" spans="44:46">
      <c r="AR1324">
        <v>0</v>
      </c>
      <c r="AS1324">
        <v>0</v>
      </c>
      <c r="AT1324">
        <v>0</v>
      </c>
    </row>
    <row r="1325" spans="44:46">
      <c r="AR1325">
        <v>0</v>
      </c>
      <c r="AS1325">
        <v>0</v>
      </c>
      <c r="AT1325">
        <v>0</v>
      </c>
    </row>
    <row r="1326" spans="44:46">
      <c r="AR1326">
        <v>0</v>
      </c>
      <c r="AS1326">
        <v>0</v>
      </c>
      <c r="AT1326">
        <v>0</v>
      </c>
    </row>
    <row r="1327" spans="44:46">
      <c r="AR1327">
        <v>0</v>
      </c>
      <c r="AS1327">
        <v>0</v>
      </c>
      <c r="AT1327">
        <v>0</v>
      </c>
    </row>
    <row r="1328" spans="44:46">
      <c r="AR1328">
        <v>0</v>
      </c>
      <c r="AS1328">
        <v>0</v>
      </c>
      <c r="AT1328">
        <v>0</v>
      </c>
    </row>
    <row r="1329" spans="44:46">
      <c r="AR1329">
        <v>0</v>
      </c>
      <c r="AS1329">
        <v>0</v>
      </c>
      <c r="AT1329">
        <v>0</v>
      </c>
    </row>
    <row r="1330" spans="44:46">
      <c r="AR1330">
        <v>0</v>
      </c>
      <c r="AS1330">
        <v>0</v>
      </c>
      <c r="AT1330">
        <v>0</v>
      </c>
    </row>
    <row r="1331" spans="44:46">
      <c r="AR1331">
        <v>0</v>
      </c>
      <c r="AS1331">
        <v>0</v>
      </c>
      <c r="AT1331">
        <v>0</v>
      </c>
    </row>
    <row r="1332" spans="44:46">
      <c r="AR1332">
        <v>0</v>
      </c>
      <c r="AS1332">
        <v>0</v>
      </c>
      <c r="AT1332">
        <v>0</v>
      </c>
    </row>
    <row r="1333" spans="44:46">
      <c r="AR1333">
        <v>0</v>
      </c>
      <c r="AS1333">
        <v>0</v>
      </c>
      <c r="AT1333">
        <v>0</v>
      </c>
    </row>
    <row r="1334" spans="44:46">
      <c r="AR1334">
        <v>0</v>
      </c>
      <c r="AS1334">
        <v>0</v>
      </c>
      <c r="AT1334">
        <v>0</v>
      </c>
    </row>
    <row r="1335" spans="44:46">
      <c r="AR1335">
        <v>0</v>
      </c>
      <c r="AS1335">
        <v>0</v>
      </c>
      <c r="AT1335">
        <v>0</v>
      </c>
    </row>
    <row r="1336" spans="44:46">
      <c r="AR1336">
        <v>0</v>
      </c>
      <c r="AS1336">
        <v>0</v>
      </c>
      <c r="AT1336">
        <v>0</v>
      </c>
    </row>
    <row r="1337" spans="44:46">
      <c r="AR1337">
        <v>0</v>
      </c>
      <c r="AS1337">
        <v>0</v>
      </c>
      <c r="AT1337">
        <v>0</v>
      </c>
    </row>
    <row r="1338" spans="44:46">
      <c r="AR1338">
        <v>0</v>
      </c>
      <c r="AS1338">
        <v>0</v>
      </c>
      <c r="AT1338">
        <v>0</v>
      </c>
    </row>
    <row r="1339" spans="44:46">
      <c r="AR1339">
        <v>0</v>
      </c>
      <c r="AS1339">
        <v>0</v>
      </c>
      <c r="AT1339">
        <v>0</v>
      </c>
    </row>
    <row r="1340" spans="44:46">
      <c r="AR1340">
        <v>0</v>
      </c>
      <c r="AS1340">
        <v>0</v>
      </c>
      <c r="AT1340">
        <v>0</v>
      </c>
    </row>
    <row r="1341" spans="44:46">
      <c r="AR1341">
        <v>0</v>
      </c>
      <c r="AS1341">
        <v>0</v>
      </c>
      <c r="AT1341">
        <v>0</v>
      </c>
    </row>
    <row r="1342" spans="44:46">
      <c r="AR1342">
        <v>0</v>
      </c>
      <c r="AS1342">
        <v>0</v>
      </c>
      <c r="AT1342">
        <v>0</v>
      </c>
    </row>
    <row r="1343" spans="44:46">
      <c r="AR1343">
        <v>0</v>
      </c>
      <c r="AS1343">
        <v>0</v>
      </c>
      <c r="AT1343">
        <v>0</v>
      </c>
    </row>
    <row r="1344" spans="44:46">
      <c r="AR1344">
        <v>0</v>
      </c>
      <c r="AS1344">
        <v>0</v>
      </c>
      <c r="AT1344">
        <v>0</v>
      </c>
    </row>
    <row r="1345" spans="44:46">
      <c r="AR1345">
        <v>0</v>
      </c>
      <c r="AS1345">
        <v>0</v>
      </c>
      <c r="AT1345">
        <v>0</v>
      </c>
    </row>
    <row r="1346" spans="44:46">
      <c r="AR1346">
        <v>0</v>
      </c>
      <c r="AS1346">
        <v>0</v>
      </c>
      <c r="AT1346">
        <v>0</v>
      </c>
    </row>
    <row r="1347" spans="44:46">
      <c r="AR1347">
        <v>0</v>
      </c>
      <c r="AS1347">
        <v>0</v>
      </c>
      <c r="AT1347">
        <v>0</v>
      </c>
    </row>
    <row r="1348" spans="44:46">
      <c r="AR1348">
        <v>0</v>
      </c>
      <c r="AS1348">
        <v>0</v>
      </c>
      <c r="AT1348">
        <v>0</v>
      </c>
    </row>
    <row r="1349" spans="44:46">
      <c r="AR1349">
        <v>0</v>
      </c>
      <c r="AS1349">
        <v>0</v>
      </c>
      <c r="AT1349">
        <v>0</v>
      </c>
    </row>
    <row r="1350" spans="44:46">
      <c r="AR1350">
        <v>0</v>
      </c>
      <c r="AS1350">
        <v>0</v>
      </c>
      <c r="AT1350">
        <v>0</v>
      </c>
    </row>
    <row r="1351" spans="44:46">
      <c r="AR1351">
        <v>0</v>
      </c>
      <c r="AS1351">
        <v>0</v>
      </c>
      <c r="AT1351">
        <v>0</v>
      </c>
    </row>
    <row r="1352" spans="44:46">
      <c r="AR1352">
        <v>0</v>
      </c>
      <c r="AS1352">
        <v>0</v>
      </c>
      <c r="AT1352">
        <v>0</v>
      </c>
    </row>
    <row r="1353" spans="44:46">
      <c r="AR1353">
        <v>0</v>
      </c>
      <c r="AS1353">
        <v>0</v>
      </c>
      <c r="AT1353">
        <v>0</v>
      </c>
    </row>
    <row r="1354" spans="44:46">
      <c r="AR1354">
        <v>0</v>
      </c>
      <c r="AS1354">
        <v>0</v>
      </c>
      <c r="AT1354">
        <v>0</v>
      </c>
    </row>
    <row r="1355" spans="44:46">
      <c r="AR1355">
        <v>0</v>
      </c>
      <c r="AS1355">
        <v>0</v>
      </c>
      <c r="AT1355">
        <v>0</v>
      </c>
    </row>
    <row r="1356" spans="44:46">
      <c r="AR1356">
        <v>0</v>
      </c>
      <c r="AS1356">
        <v>0</v>
      </c>
      <c r="AT1356">
        <v>0</v>
      </c>
    </row>
    <row r="1357" spans="44:46">
      <c r="AR1357">
        <v>0</v>
      </c>
      <c r="AS1357">
        <v>0</v>
      </c>
      <c r="AT1357">
        <v>0</v>
      </c>
    </row>
    <row r="1358" spans="44:46">
      <c r="AR1358">
        <v>0</v>
      </c>
      <c r="AS1358">
        <v>0</v>
      </c>
      <c r="AT1358">
        <v>0</v>
      </c>
    </row>
    <row r="1359" spans="44:46">
      <c r="AR1359">
        <v>0</v>
      </c>
      <c r="AS1359">
        <v>0</v>
      </c>
      <c r="AT1359">
        <v>0</v>
      </c>
    </row>
    <row r="1360" spans="44:46">
      <c r="AR1360">
        <v>0</v>
      </c>
      <c r="AS1360">
        <v>0</v>
      </c>
      <c r="AT1360">
        <v>0</v>
      </c>
    </row>
    <row r="1361" spans="44:46">
      <c r="AR1361">
        <v>0</v>
      </c>
      <c r="AS1361">
        <v>0</v>
      </c>
      <c r="AT1361">
        <v>0</v>
      </c>
    </row>
    <row r="1362" spans="44:46">
      <c r="AR1362">
        <v>0</v>
      </c>
      <c r="AS1362">
        <v>0</v>
      </c>
      <c r="AT1362">
        <v>0</v>
      </c>
    </row>
    <row r="1363" spans="44:46">
      <c r="AR1363">
        <v>0</v>
      </c>
      <c r="AS1363">
        <v>0</v>
      </c>
      <c r="AT1363">
        <v>0</v>
      </c>
    </row>
    <row r="1364" spans="44:46">
      <c r="AR1364">
        <v>0</v>
      </c>
      <c r="AS1364">
        <v>0</v>
      </c>
      <c r="AT1364">
        <v>0</v>
      </c>
    </row>
    <row r="1365" spans="44:46">
      <c r="AR1365">
        <v>0</v>
      </c>
      <c r="AS1365">
        <v>0</v>
      </c>
      <c r="AT1365">
        <v>0</v>
      </c>
    </row>
    <row r="1366" spans="44:46">
      <c r="AR1366">
        <v>0</v>
      </c>
      <c r="AS1366">
        <v>0</v>
      </c>
      <c r="AT1366">
        <v>0</v>
      </c>
    </row>
    <row r="1367" spans="44:46">
      <c r="AR1367">
        <v>0</v>
      </c>
      <c r="AS1367">
        <v>0</v>
      </c>
      <c r="AT1367">
        <v>0</v>
      </c>
    </row>
    <row r="1368" spans="44:46">
      <c r="AR1368">
        <v>0</v>
      </c>
      <c r="AS1368">
        <v>0</v>
      </c>
      <c r="AT1368">
        <v>0</v>
      </c>
    </row>
    <row r="1369" spans="44:46">
      <c r="AR1369">
        <v>0</v>
      </c>
      <c r="AS1369">
        <v>0</v>
      </c>
      <c r="AT1369">
        <v>0</v>
      </c>
    </row>
    <row r="1370" spans="44:46">
      <c r="AR1370">
        <v>0</v>
      </c>
      <c r="AS1370">
        <v>0</v>
      </c>
      <c r="AT1370">
        <v>0</v>
      </c>
    </row>
    <row r="1371" spans="44:46">
      <c r="AR1371">
        <v>0</v>
      </c>
      <c r="AS1371">
        <v>0</v>
      </c>
      <c r="AT1371">
        <v>0</v>
      </c>
    </row>
    <row r="1372" spans="44:46">
      <c r="AR1372">
        <v>0</v>
      </c>
      <c r="AS1372">
        <v>0</v>
      </c>
      <c r="AT1372">
        <v>0</v>
      </c>
    </row>
    <row r="1373" spans="44:46">
      <c r="AR1373">
        <v>0</v>
      </c>
      <c r="AS1373">
        <v>0</v>
      </c>
      <c r="AT1373">
        <v>0</v>
      </c>
    </row>
    <row r="1374" spans="44:46">
      <c r="AR1374">
        <v>0</v>
      </c>
      <c r="AS1374">
        <v>0</v>
      </c>
      <c r="AT1374">
        <v>0</v>
      </c>
    </row>
    <row r="1375" spans="44:46">
      <c r="AR1375">
        <v>0</v>
      </c>
      <c r="AS1375">
        <v>0</v>
      </c>
      <c r="AT1375">
        <v>0</v>
      </c>
    </row>
    <row r="1376" spans="44:46">
      <c r="AR1376">
        <v>0</v>
      </c>
      <c r="AS1376">
        <v>0</v>
      </c>
      <c r="AT1376">
        <v>0</v>
      </c>
    </row>
    <row r="1377" spans="44:46">
      <c r="AR1377">
        <v>0</v>
      </c>
      <c r="AS1377">
        <v>0</v>
      </c>
      <c r="AT1377">
        <v>0</v>
      </c>
    </row>
    <row r="1378" spans="44:46">
      <c r="AR1378">
        <v>0</v>
      </c>
      <c r="AS1378">
        <v>0</v>
      </c>
      <c r="AT1378">
        <v>0</v>
      </c>
    </row>
    <row r="1379" spans="44:46">
      <c r="AR1379">
        <v>0</v>
      </c>
      <c r="AS1379">
        <v>0</v>
      </c>
      <c r="AT1379">
        <v>0</v>
      </c>
    </row>
    <row r="1380" spans="44:46">
      <c r="AR1380">
        <v>0</v>
      </c>
      <c r="AS1380">
        <v>0</v>
      </c>
      <c r="AT1380">
        <v>0</v>
      </c>
    </row>
    <row r="1381" spans="44:46">
      <c r="AR1381">
        <v>0</v>
      </c>
      <c r="AS1381">
        <v>0</v>
      </c>
      <c r="AT1381">
        <v>0</v>
      </c>
    </row>
    <row r="1382" spans="44:46">
      <c r="AR1382">
        <v>0</v>
      </c>
      <c r="AS1382">
        <v>0</v>
      </c>
      <c r="AT1382">
        <v>0</v>
      </c>
    </row>
    <row r="1383" spans="44:46">
      <c r="AR1383">
        <v>0</v>
      </c>
      <c r="AS1383">
        <v>0</v>
      </c>
      <c r="AT1383">
        <v>0</v>
      </c>
    </row>
    <row r="1384" spans="44:46">
      <c r="AR1384">
        <v>0</v>
      </c>
      <c r="AS1384">
        <v>0</v>
      </c>
      <c r="AT1384">
        <v>0</v>
      </c>
    </row>
    <row r="1385" spans="44:46">
      <c r="AR1385">
        <v>0</v>
      </c>
      <c r="AS1385">
        <v>0</v>
      </c>
      <c r="AT1385">
        <v>0</v>
      </c>
    </row>
    <row r="1386" spans="44:46">
      <c r="AR1386">
        <v>0</v>
      </c>
      <c r="AS1386">
        <v>0</v>
      </c>
      <c r="AT1386">
        <v>0</v>
      </c>
    </row>
    <row r="1387" spans="44:46">
      <c r="AR1387">
        <v>0</v>
      </c>
      <c r="AS1387">
        <v>0</v>
      </c>
      <c r="AT1387">
        <v>0</v>
      </c>
    </row>
    <row r="1388" spans="44:46">
      <c r="AR1388">
        <v>0</v>
      </c>
      <c r="AS1388">
        <v>0</v>
      </c>
      <c r="AT1388">
        <v>0</v>
      </c>
    </row>
    <row r="1389" spans="44:46">
      <c r="AR1389">
        <v>0</v>
      </c>
      <c r="AS1389">
        <v>0</v>
      </c>
      <c r="AT1389">
        <v>0</v>
      </c>
    </row>
    <row r="1390" spans="44:46">
      <c r="AR1390">
        <v>0</v>
      </c>
      <c r="AS1390">
        <v>0</v>
      </c>
      <c r="AT1390">
        <v>0</v>
      </c>
    </row>
    <row r="1391" spans="44:46">
      <c r="AR1391">
        <v>0</v>
      </c>
      <c r="AS1391">
        <v>0</v>
      </c>
      <c r="AT1391">
        <v>0</v>
      </c>
    </row>
    <row r="1392" spans="44:46">
      <c r="AR1392">
        <v>0</v>
      </c>
      <c r="AS1392">
        <v>0</v>
      </c>
      <c r="AT1392">
        <v>0</v>
      </c>
    </row>
    <row r="1393" spans="44:46">
      <c r="AR1393">
        <v>0</v>
      </c>
      <c r="AS1393">
        <v>0</v>
      </c>
      <c r="AT1393">
        <v>0</v>
      </c>
    </row>
    <row r="1394" spans="44:46">
      <c r="AR1394">
        <v>0</v>
      </c>
      <c r="AS1394">
        <v>0</v>
      </c>
      <c r="AT1394">
        <v>0</v>
      </c>
    </row>
    <row r="1395" spans="44:46">
      <c r="AR1395">
        <v>0</v>
      </c>
      <c r="AS1395">
        <v>0</v>
      </c>
      <c r="AT1395">
        <v>0</v>
      </c>
    </row>
    <row r="1396" spans="44:46">
      <c r="AR1396">
        <v>0</v>
      </c>
      <c r="AS1396">
        <v>0</v>
      </c>
      <c r="AT1396">
        <v>0</v>
      </c>
    </row>
    <row r="1397" spans="44:46">
      <c r="AR1397">
        <v>0</v>
      </c>
      <c r="AS1397">
        <v>0</v>
      </c>
      <c r="AT1397">
        <v>0</v>
      </c>
    </row>
    <row r="1398" spans="44:46">
      <c r="AR1398">
        <v>0</v>
      </c>
      <c r="AS1398">
        <v>0</v>
      </c>
      <c r="AT1398">
        <v>0</v>
      </c>
    </row>
    <row r="1399" spans="44:46">
      <c r="AR1399">
        <v>0</v>
      </c>
      <c r="AS1399">
        <v>0</v>
      </c>
      <c r="AT1399">
        <v>0</v>
      </c>
    </row>
    <row r="1400" spans="44:46">
      <c r="AR1400">
        <v>0</v>
      </c>
      <c r="AS1400">
        <v>0</v>
      </c>
      <c r="AT1400">
        <v>0</v>
      </c>
    </row>
    <row r="1401" spans="44:46">
      <c r="AR1401">
        <v>0</v>
      </c>
      <c r="AS1401">
        <v>0</v>
      </c>
      <c r="AT1401">
        <v>0</v>
      </c>
    </row>
    <row r="1402" spans="44:46">
      <c r="AR1402">
        <v>0</v>
      </c>
      <c r="AS1402">
        <v>0</v>
      </c>
      <c r="AT1402">
        <v>0</v>
      </c>
    </row>
    <row r="1403" spans="44:46">
      <c r="AR1403">
        <v>0</v>
      </c>
      <c r="AS1403">
        <v>0</v>
      </c>
      <c r="AT1403">
        <v>0</v>
      </c>
    </row>
    <row r="1404" spans="44:46">
      <c r="AR1404">
        <v>0</v>
      </c>
      <c r="AS1404">
        <v>0</v>
      </c>
      <c r="AT1404">
        <v>0</v>
      </c>
    </row>
    <row r="1405" spans="44:46">
      <c r="AR1405">
        <v>0</v>
      </c>
      <c r="AS1405">
        <v>0</v>
      </c>
      <c r="AT1405">
        <v>0</v>
      </c>
    </row>
    <row r="1406" spans="44:46">
      <c r="AR1406">
        <v>0</v>
      </c>
      <c r="AS1406">
        <v>0</v>
      </c>
      <c r="AT1406">
        <v>0</v>
      </c>
    </row>
    <row r="1407" spans="44:46">
      <c r="AR1407">
        <v>0</v>
      </c>
      <c r="AS1407">
        <v>0</v>
      </c>
      <c r="AT1407">
        <v>0</v>
      </c>
    </row>
    <row r="1408" spans="44:46">
      <c r="AR1408">
        <v>0</v>
      </c>
      <c r="AS1408">
        <v>0</v>
      </c>
      <c r="AT1408">
        <v>0</v>
      </c>
    </row>
    <row r="1409" spans="44:46">
      <c r="AR1409">
        <v>0</v>
      </c>
      <c r="AS1409">
        <v>0</v>
      </c>
      <c r="AT1409">
        <v>0</v>
      </c>
    </row>
    <row r="1410" spans="44:46">
      <c r="AR1410">
        <v>0</v>
      </c>
      <c r="AS1410">
        <v>0</v>
      </c>
      <c r="AT1410">
        <v>0</v>
      </c>
    </row>
    <row r="1411" spans="44:46">
      <c r="AR1411">
        <v>0</v>
      </c>
      <c r="AS1411">
        <v>0</v>
      </c>
      <c r="AT1411">
        <v>0</v>
      </c>
    </row>
    <row r="1412" spans="44:46">
      <c r="AR1412">
        <v>0</v>
      </c>
      <c r="AS1412">
        <v>0</v>
      </c>
      <c r="AT1412">
        <v>0</v>
      </c>
    </row>
    <row r="1413" spans="44:46">
      <c r="AR1413">
        <v>0</v>
      </c>
      <c r="AS1413">
        <v>0</v>
      </c>
      <c r="AT1413">
        <v>0</v>
      </c>
    </row>
    <row r="1414" spans="44:46">
      <c r="AR1414">
        <v>0</v>
      </c>
      <c r="AS1414">
        <v>0</v>
      </c>
      <c r="AT1414">
        <v>0</v>
      </c>
    </row>
    <row r="1415" spans="44:46">
      <c r="AR1415">
        <v>0</v>
      </c>
      <c r="AS1415">
        <v>0</v>
      </c>
      <c r="AT1415">
        <v>0</v>
      </c>
    </row>
    <row r="1416" spans="44:46">
      <c r="AR1416">
        <v>0</v>
      </c>
      <c r="AS1416">
        <v>0</v>
      </c>
      <c r="AT1416">
        <v>0</v>
      </c>
    </row>
    <row r="1417" spans="44:46">
      <c r="AR1417">
        <v>0</v>
      </c>
      <c r="AS1417">
        <v>0</v>
      </c>
      <c r="AT1417">
        <v>0</v>
      </c>
    </row>
    <row r="1418" spans="44:46">
      <c r="AR1418">
        <v>0</v>
      </c>
      <c r="AS1418">
        <v>0</v>
      </c>
      <c r="AT1418">
        <v>0</v>
      </c>
    </row>
    <row r="1419" spans="44:46">
      <c r="AR1419">
        <v>0</v>
      </c>
      <c r="AS1419">
        <v>0</v>
      </c>
      <c r="AT1419">
        <v>0</v>
      </c>
    </row>
    <row r="1420" spans="44:46">
      <c r="AR1420">
        <v>0</v>
      </c>
      <c r="AS1420">
        <v>0</v>
      </c>
      <c r="AT1420">
        <v>0</v>
      </c>
    </row>
    <row r="1421" spans="44:46">
      <c r="AR1421">
        <v>0</v>
      </c>
      <c r="AS1421">
        <v>0</v>
      </c>
      <c r="AT1421">
        <v>0</v>
      </c>
    </row>
    <row r="1422" spans="44:46">
      <c r="AR1422">
        <v>0</v>
      </c>
      <c r="AS1422">
        <v>0</v>
      </c>
      <c r="AT1422">
        <v>0</v>
      </c>
    </row>
    <row r="1423" spans="44:46">
      <c r="AR1423">
        <v>0</v>
      </c>
      <c r="AS1423">
        <v>0</v>
      </c>
      <c r="AT1423">
        <v>0</v>
      </c>
    </row>
    <row r="1424" spans="44:46">
      <c r="AR1424">
        <v>0</v>
      </c>
      <c r="AS1424">
        <v>0</v>
      </c>
      <c r="AT1424">
        <v>0</v>
      </c>
    </row>
    <row r="1425" spans="44:46">
      <c r="AR1425">
        <v>0</v>
      </c>
      <c r="AS1425">
        <v>0</v>
      </c>
      <c r="AT1425">
        <v>0</v>
      </c>
    </row>
    <row r="1426" spans="44:46">
      <c r="AR1426">
        <v>0</v>
      </c>
      <c r="AS1426">
        <v>0</v>
      </c>
      <c r="AT1426">
        <v>0</v>
      </c>
    </row>
    <row r="1427" spans="44:46">
      <c r="AR1427">
        <v>0</v>
      </c>
      <c r="AS1427">
        <v>0</v>
      </c>
      <c r="AT1427">
        <v>0</v>
      </c>
    </row>
    <row r="1428" spans="44:46">
      <c r="AR1428">
        <v>0</v>
      </c>
      <c r="AS1428">
        <v>0</v>
      </c>
      <c r="AT1428">
        <v>0</v>
      </c>
    </row>
    <row r="1429" spans="44:46">
      <c r="AR1429">
        <v>0</v>
      </c>
      <c r="AS1429">
        <v>0</v>
      </c>
      <c r="AT1429">
        <v>0</v>
      </c>
    </row>
    <row r="1430" spans="44:46">
      <c r="AR1430">
        <v>0</v>
      </c>
      <c r="AS1430">
        <v>0</v>
      </c>
      <c r="AT1430">
        <v>0</v>
      </c>
    </row>
    <row r="1431" spans="44:46">
      <c r="AR1431">
        <v>0</v>
      </c>
      <c r="AS1431">
        <v>0</v>
      </c>
      <c r="AT1431">
        <v>0</v>
      </c>
    </row>
    <row r="1432" spans="44:46">
      <c r="AR1432">
        <v>0</v>
      </c>
      <c r="AS1432">
        <v>0</v>
      </c>
      <c r="AT1432">
        <v>0</v>
      </c>
    </row>
    <row r="1433" spans="44:46">
      <c r="AR1433">
        <v>0</v>
      </c>
      <c r="AS1433">
        <v>0</v>
      </c>
      <c r="AT1433">
        <v>0</v>
      </c>
    </row>
    <row r="1434" spans="44:46">
      <c r="AR1434">
        <v>0</v>
      </c>
      <c r="AS1434">
        <v>0</v>
      </c>
      <c r="AT1434">
        <v>0</v>
      </c>
    </row>
    <row r="1435" spans="44:46">
      <c r="AR1435">
        <v>0</v>
      </c>
      <c r="AS1435">
        <v>0</v>
      </c>
      <c r="AT1435">
        <v>0</v>
      </c>
    </row>
    <row r="1436" spans="44:46">
      <c r="AR1436">
        <v>0</v>
      </c>
      <c r="AS1436">
        <v>0</v>
      </c>
      <c r="AT1436">
        <v>0</v>
      </c>
    </row>
    <row r="1437" spans="44:46">
      <c r="AR1437">
        <v>0</v>
      </c>
      <c r="AS1437">
        <v>0</v>
      </c>
      <c r="AT1437">
        <v>0</v>
      </c>
    </row>
    <row r="1438" spans="44:46">
      <c r="AR1438">
        <v>0</v>
      </c>
      <c r="AS1438">
        <v>0</v>
      </c>
      <c r="AT1438">
        <v>0</v>
      </c>
    </row>
    <row r="1439" spans="44:46">
      <c r="AR1439">
        <v>0</v>
      </c>
      <c r="AS1439">
        <v>0</v>
      </c>
      <c r="AT1439">
        <v>0</v>
      </c>
    </row>
    <row r="1440" spans="44:46">
      <c r="AR1440">
        <v>0</v>
      </c>
      <c r="AS1440">
        <v>0</v>
      </c>
      <c r="AT1440">
        <v>0</v>
      </c>
    </row>
    <row r="1441" spans="44:46">
      <c r="AR1441">
        <v>0</v>
      </c>
      <c r="AS1441">
        <v>0</v>
      </c>
      <c r="AT1441">
        <v>0</v>
      </c>
    </row>
    <row r="1442" spans="44:46">
      <c r="AR1442">
        <v>0</v>
      </c>
      <c r="AS1442">
        <v>0</v>
      </c>
      <c r="AT1442">
        <v>0</v>
      </c>
    </row>
    <row r="1443" spans="44:46">
      <c r="AR1443">
        <v>0</v>
      </c>
      <c r="AS1443">
        <v>0</v>
      </c>
      <c r="AT1443">
        <v>0</v>
      </c>
    </row>
    <row r="1444" spans="44:46">
      <c r="AR1444">
        <v>0</v>
      </c>
      <c r="AS1444">
        <v>0</v>
      </c>
      <c r="AT1444">
        <v>0</v>
      </c>
    </row>
    <row r="1445" spans="44:46">
      <c r="AR1445">
        <v>0</v>
      </c>
      <c r="AS1445">
        <v>0</v>
      </c>
      <c r="AT1445">
        <v>0</v>
      </c>
    </row>
    <row r="1446" spans="44:46">
      <c r="AR1446">
        <v>0</v>
      </c>
      <c r="AS1446">
        <v>0</v>
      </c>
      <c r="AT1446">
        <v>0</v>
      </c>
    </row>
    <row r="1447" spans="44:46">
      <c r="AR1447">
        <v>0</v>
      </c>
      <c r="AS1447">
        <v>0</v>
      </c>
      <c r="AT1447">
        <v>0</v>
      </c>
    </row>
    <row r="1448" spans="44:46">
      <c r="AR1448">
        <v>0</v>
      </c>
      <c r="AS1448">
        <v>0</v>
      </c>
      <c r="AT1448">
        <v>0</v>
      </c>
    </row>
    <row r="1449" spans="44:46">
      <c r="AR1449">
        <v>0</v>
      </c>
      <c r="AS1449">
        <v>0</v>
      </c>
      <c r="AT1449">
        <v>0</v>
      </c>
    </row>
    <row r="1450" spans="44:46">
      <c r="AR1450">
        <v>0</v>
      </c>
      <c r="AS1450">
        <v>0</v>
      </c>
      <c r="AT1450">
        <v>0</v>
      </c>
    </row>
    <row r="1451" spans="44:46">
      <c r="AR1451">
        <v>0</v>
      </c>
      <c r="AS1451">
        <v>0</v>
      </c>
      <c r="AT1451">
        <v>0</v>
      </c>
    </row>
    <row r="1452" spans="44:46">
      <c r="AR1452">
        <v>0</v>
      </c>
      <c r="AS1452">
        <v>0</v>
      </c>
      <c r="AT1452">
        <v>0</v>
      </c>
    </row>
    <row r="1453" spans="44:46">
      <c r="AR1453">
        <v>0</v>
      </c>
      <c r="AS1453">
        <v>0</v>
      </c>
      <c r="AT1453">
        <v>0</v>
      </c>
    </row>
    <row r="1454" spans="44:46">
      <c r="AR1454">
        <v>0</v>
      </c>
      <c r="AS1454">
        <v>0</v>
      </c>
      <c r="AT1454">
        <v>0</v>
      </c>
    </row>
    <row r="1455" spans="44:46">
      <c r="AR1455">
        <v>0</v>
      </c>
      <c r="AS1455">
        <v>0</v>
      </c>
      <c r="AT1455">
        <v>0</v>
      </c>
    </row>
    <row r="1456" spans="44:46">
      <c r="AR1456">
        <v>0</v>
      </c>
      <c r="AS1456">
        <v>0</v>
      </c>
      <c r="AT1456">
        <v>0</v>
      </c>
    </row>
    <row r="1457" spans="44:46">
      <c r="AR1457">
        <v>0</v>
      </c>
      <c r="AS1457">
        <v>0</v>
      </c>
      <c r="AT1457">
        <v>0</v>
      </c>
    </row>
    <row r="1458" spans="44:46">
      <c r="AR1458">
        <v>0</v>
      </c>
      <c r="AS1458">
        <v>0</v>
      </c>
      <c r="AT1458">
        <v>0</v>
      </c>
    </row>
    <row r="1459" spans="44:46">
      <c r="AR1459">
        <v>0</v>
      </c>
      <c r="AS1459">
        <v>0</v>
      </c>
      <c r="AT1459">
        <v>0</v>
      </c>
    </row>
    <row r="1460" spans="44:46">
      <c r="AR1460">
        <v>0</v>
      </c>
      <c r="AS1460">
        <v>0</v>
      </c>
      <c r="AT1460">
        <v>0</v>
      </c>
    </row>
    <row r="1461" spans="44:46">
      <c r="AR1461">
        <v>0</v>
      </c>
      <c r="AS1461">
        <v>0</v>
      </c>
      <c r="AT1461">
        <v>0</v>
      </c>
    </row>
    <row r="1462" spans="44:46">
      <c r="AR1462">
        <v>0</v>
      </c>
      <c r="AS1462">
        <v>0</v>
      </c>
      <c r="AT1462">
        <v>0</v>
      </c>
    </row>
    <row r="1463" spans="44:46">
      <c r="AR1463">
        <v>0</v>
      </c>
      <c r="AS1463">
        <v>0</v>
      </c>
      <c r="AT1463">
        <v>0</v>
      </c>
    </row>
    <row r="1464" spans="44:46">
      <c r="AR1464">
        <v>0</v>
      </c>
      <c r="AS1464">
        <v>0</v>
      </c>
      <c r="AT1464">
        <v>0</v>
      </c>
    </row>
    <row r="1465" spans="44:46">
      <c r="AR1465">
        <v>0</v>
      </c>
      <c r="AS1465">
        <v>0</v>
      </c>
      <c r="AT1465">
        <v>0</v>
      </c>
    </row>
    <row r="1466" spans="44:46">
      <c r="AR1466">
        <v>0</v>
      </c>
      <c r="AS1466">
        <v>0</v>
      </c>
      <c r="AT1466">
        <v>0</v>
      </c>
    </row>
    <row r="1467" spans="44:46">
      <c r="AR1467">
        <v>0</v>
      </c>
      <c r="AS1467">
        <v>0</v>
      </c>
      <c r="AT1467">
        <v>0</v>
      </c>
    </row>
    <row r="1468" spans="44:46">
      <c r="AR1468">
        <v>0</v>
      </c>
      <c r="AS1468">
        <v>0</v>
      </c>
      <c r="AT1468">
        <v>0</v>
      </c>
    </row>
    <row r="1469" spans="44:46">
      <c r="AR1469">
        <v>0</v>
      </c>
      <c r="AS1469">
        <v>0</v>
      </c>
      <c r="AT1469">
        <v>0</v>
      </c>
    </row>
    <row r="1470" spans="44:46">
      <c r="AR1470">
        <v>0</v>
      </c>
      <c r="AS1470">
        <v>0</v>
      </c>
      <c r="AT1470">
        <v>0</v>
      </c>
    </row>
    <row r="1471" spans="44:46">
      <c r="AR1471">
        <v>0</v>
      </c>
      <c r="AS1471">
        <v>0</v>
      </c>
      <c r="AT1471">
        <v>0</v>
      </c>
    </row>
    <row r="1472" spans="44:46">
      <c r="AR1472">
        <v>0</v>
      </c>
      <c r="AS1472">
        <v>0</v>
      </c>
      <c r="AT1472">
        <v>0</v>
      </c>
    </row>
    <row r="1473" spans="44:46">
      <c r="AR1473">
        <v>0</v>
      </c>
      <c r="AS1473">
        <v>0</v>
      </c>
      <c r="AT1473">
        <v>0</v>
      </c>
    </row>
    <row r="1474" spans="44:46">
      <c r="AR1474">
        <v>0</v>
      </c>
      <c r="AS1474">
        <v>0</v>
      </c>
      <c r="AT1474">
        <v>0</v>
      </c>
    </row>
    <row r="1475" spans="44:46">
      <c r="AR1475">
        <v>0</v>
      </c>
      <c r="AS1475">
        <v>0</v>
      </c>
      <c r="AT1475">
        <v>0</v>
      </c>
    </row>
    <row r="1476" spans="44:46">
      <c r="AR1476">
        <v>0</v>
      </c>
      <c r="AS1476">
        <v>0</v>
      </c>
      <c r="AT1476">
        <v>0</v>
      </c>
    </row>
    <row r="1477" spans="44:46">
      <c r="AR1477">
        <v>0</v>
      </c>
      <c r="AS1477">
        <v>0</v>
      </c>
      <c r="AT1477">
        <v>0</v>
      </c>
    </row>
    <row r="1478" spans="44:46">
      <c r="AR1478">
        <v>0</v>
      </c>
      <c r="AS1478">
        <v>0</v>
      </c>
      <c r="AT1478">
        <v>0</v>
      </c>
    </row>
    <row r="1479" spans="44:46">
      <c r="AR1479">
        <v>0</v>
      </c>
      <c r="AS1479">
        <v>0</v>
      </c>
      <c r="AT1479">
        <v>0</v>
      </c>
    </row>
    <row r="1480" spans="44:46">
      <c r="AR1480">
        <v>0</v>
      </c>
      <c r="AS1480">
        <v>0</v>
      </c>
      <c r="AT1480">
        <v>0</v>
      </c>
    </row>
    <row r="1481" spans="44:46">
      <c r="AR1481">
        <v>0</v>
      </c>
      <c r="AS1481">
        <v>0</v>
      </c>
      <c r="AT1481">
        <v>0</v>
      </c>
    </row>
    <row r="1482" spans="44:46">
      <c r="AR1482">
        <v>0</v>
      </c>
      <c r="AS1482">
        <v>0</v>
      </c>
      <c r="AT1482">
        <v>0</v>
      </c>
    </row>
    <row r="1483" spans="44:46">
      <c r="AR1483">
        <v>0</v>
      </c>
      <c r="AS1483">
        <v>0</v>
      </c>
      <c r="AT1483">
        <v>0</v>
      </c>
    </row>
    <row r="1484" spans="44:46">
      <c r="AR1484">
        <v>0</v>
      </c>
      <c r="AS1484">
        <v>0</v>
      </c>
      <c r="AT1484">
        <v>0</v>
      </c>
    </row>
    <row r="1485" spans="44:46">
      <c r="AR1485">
        <v>0</v>
      </c>
      <c r="AS1485">
        <v>0</v>
      </c>
      <c r="AT1485">
        <v>0</v>
      </c>
    </row>
    <row r="1486" spans="44:46">
      <c r="AR1486">
        <v>0</v>
      </c>
      <c r="AS1486">
        <v>0</v>
      </c>
      <c r="AT1486">
        <v>0</v>
      </c>
    </row>
    <row r="1487" spans="44:46">
      <c r="AR1487">
        <v>0</v>
      </c>
      <c r="AS1487">
        <v>0</v>
      </c>
      <c r="AT1487">
        <v>0</v>
      </c>
    </row>
    <row r="1488" spans="44:46">
      <c r="AR1488">
        <v>0</v>
      </c>
      <c r="AS1488">
        <v>0</v>
      </c>
      <c r="AT1488">
        <v>0</v>
      </c>
    </row>
    <row r="1489" spans="44:46">
      <c r="AR1489">
        <v>0</v>
      </c>
      <c r="AS1489">
        <v>0</v>
      </c>
      <c r="AT1489">
        <v>0</v>
      </c>
    </row>
    <row r="1490" spans="44:46">
      <c r="AR1490">
        <v>0</v>
      </c>
      <c r="AS1490">
        <v>0</v>
      </c>
      <c r="AT1490">
        <v>0</v>
      </c>
    </row>
    <row r="1491" spans="44:46">
      <c r="AR1491">
        <v>0</v>
      </c>
      <c r="AS1491">
        <v>0</v>
      </c>
      <c r="AT1491">
        <v>0</v>
      </c>
    </row>
    <row r="1492" spans="44:46">
      <c r="AR1492">
        <v>0</v>
      </c>
      <c r="AS1492">
        <v>0</v>
      </c>
      <c r="AT1492">
        <v>0</v>
      </c>
    </row>
    <row r="1493" spans="44:46">
      <c r="AR1493">
        <v>0</v>
      </c>
      <c r="AS1493">
        <v>0</v>
      </c>
      <c r="AT1493">
        <v>0</v>
      </c>
    </row>
    <row r="1494" spans="44:46">
      <c r="AR1494">
        <v>0</v>
      </c>
      <c r="AS1494">
        <v>0</v>
      </c>
      <c r="AT1494">
        <v>0</v>
      </c>
    </row>
    <row r="1495" spans="44:46">
      <c r="AR1495">
        <v>0</v>
      </c>
      <c r="AS1495">
        <v>0</v>
      </c>
      <c r="AT1495">
        <v>0</v>
      </c>
    </row>
    <row r="1496" spans="44:46">
      <c r="AR1496">
        <v>0</v>
      </c>
      <c r="AS1496">
        <v>0</v>
      </c>
      <c r="AT1496">
        <v>0</v>
      </c>
    </row>
    <row r="1497" spans="44:46">
      <c r="AR1497">
        <v>0</v>
      </c>
      <c r="AS1497">
        <v>0</v>
      </c>
      <c r="AT1497">
        <v>0</v>
      </c>
    </row>
    <row r="1498" spans="44:46">
      <c r="AR1498">
        <v>0</v>
      </c>
      <c r="AS1498">
        <v>0</v>
      </c>
      <c r="AT1498">
        <v>0</v>
      </c>
    </row>
    <row r="1499" spans="44:46">
      <c r="AR1499">
        <v>0</v>
      </c>
      <c r="AS1499">
        <v>0</v>
      </c>
      <c r="AT1499">
        <v>0</v>
      </c>
    </row>
    <row r="1500" spans="44:46">
      <c r="AR1500">
        <v>0</v>
      </c>
      <c r="AS1500">
        <v>0</v>
      </c>
      <c r="AT1500">
        <v>0</v>
      </c>
    </row>
    <row r="1501" spans="44:46">
      <c r="AR1501">
        <v>0</v>
      </c>
      <c r="AS1501">
        <v>0</v>
      </c>
      <c r="AT1501">
        <v>0</v>
      </c>
    </row>
    <row r="1502" spans="44:46">
      <c r="AR1502">
        <v>0</v>
      </c>
      <c r="AS1502">
        <v>0</v>
      </c>
      <c r="AT1502">
        <v>0</v>
      </c>
    </row>
    <row r="1503" spans="44:46">
      <c r="AR1503">
        <v>0</v>
      </c>
      <c r="AS1503">
        <v>0</v>
      </c>
      <c r="AT1503">
        <v>0</v>
      </c>
    </row>
    <row r="1504" spans="44:46">
      <c r="AR1504">
        <v>0</v>
      </c>
      <c r="AS1504">
        <v>0</v>
      </c>
      <c r="AT1504">
        <v>0</v>
      </c>
    </row>
    <row r="1505" spans="44:46">
      <c r="AR1505">
        <v>0</v>
      </c>
      <c r="AS1505">
        <v>0</v>
      </c>
      <c r="AT1505">
        <v>0</v>
      </c>
    </row>
    <row r="1506" spans="44:46">
      <c r="AR1506">
        <v>0</v>
      </c>
      <c r="AS1506">
        <v>0</v>
      </c>
      <c r="AT1506">
        <v>0</v>
      </c>
    </row>
    <row r="1507" spans="44:46">
      <c r="AR1507">
        <v>0</v>
      </c>
      <c r="AS1507">
        <v>0</v>
      </c>
      <c r="AT1507">
        <v>0</v>
      </c>
    </row>
    <row r="1508" spans="44:46">
      <c r="AR1508">
        <v>0</v>
      </c>
      <c r="AS1508">
        <v>0</v>
      </c>
      <c r="AT1508">
        <v>0</v>
      </c>
    </row>
    <row r="1509" spans="44:46">
      <c r="AR1509">
        <v>0</v>
      </c>
      <c r="AS1509">
        <v>0</v>
      </c>
      <c r="AT1509">
        <v>0</v>
      </c>
    </row>
    <row r="1510" spans="44:46">
      <c r="AR1510">
        <v>0</v>
      </c>
      <c r="AS1510">
        <v>0</v>
      </c>
      <c r="AT1510">
        <v>0</v>
      </c>
    </row>
    <row r="1511" spans="44:46">
      <c r="AR1511">
        <v>0</v>
      </c>
      <c r="AS1511">
        <v>0</v>
      </c>
      <c r="AT1511">
        <v>0</v>
      </c>
    </row>
    <row r="1512" spans="44:46">
      <c r="AR1512">
        <v>0</v>
      </c>
      <c r="AS1512">
        <v>0</v>
      </c>
      <c r="AT1512">
        <v>0</v>
      </c>
    </row>
    <row r="1513" spans="44:46">
      <c r="AR1513">
        <v>0</v>
      </c>
      <c r="AS1513">
        <v>0</v>
      </c>
      <c r="AT1513">
        <v>0</v>
      </c>
    </row>
    <row r="1514" spans="44:46">
      <c r="AR1514">
        <v>0</v>
      </c>
      <c r="AS1514">
        <v>0</v>
      </c>
      <c r="AT1514">
        <v>0</v>
      </c>
    </row>
    <row r="1515" spans="44:46">
      <c r="AR1515">
        <v>0</v>
      </c>
      <c r="AS1515">
        <v>0</v>
      </c>
      <c r="AT1515">
        <v>0</v>
      </c>
    </row>
    <row r="1516" spans="44:46">
      <c r="AR1516">
        <v>0</v>
      </c>
      <c r="AS1516">
        <v>0</v>
      </c>
      <c r="AT1516">
        <v>0</v>
      </c>
    </row>
    <row r="1517" spans="44:46">
      <c r="AR1517">
        <v>0</v>
      </c>
      <c r="AS1517">
        <v>0</v>
      </c>
      <c r="AT1517">
        <v>0</v>
      </c>
    </row>
    <row r="1518" spans="44:46">
      <c r="AR1518">
        <v>0</v>
      </c>
      <c r="AS1518">
        <v>0</v>
      </c>
      <c r="AT1518">
        <v>0</v>
      </c>
    </row>
    <row r="1519" spans="44:46">
      <c r="AR1519">
        <v>0</v>
      </c>
      <c r="AS1519">
        <v>0</v>
      </c>
      <c r="AT1519">
        <v>0</v>
      </c>
    </row>
    <row r="1520" spans="44:46">
      <c r="AR1520">
        <v>0</v>
      </c>
      <c r="AS1520">
        <v>0</v>
      </c>
      <c r="AT1520">
        <v>0</v>
      </c>
    </row>
    <row r="1521" spans="44:46">
      <c r="AR1521">
        <v>0</v>
      </c>
      <c r="AS1521">
        <v>0</v>
      </c>
      <c r="AT1521">
        <v>0</v>
      </c>
    </row>
    <row r="1522" spans="44:46">
      <c r="AR1522">
        <v>0</v>
      </c>
      <c r="AS1522">
        <v>0</v>
      </c>
      <c r="AT1522">
        <v>0</v>
      </c>
    </row>
    <row r="1523" spans="44:46">
      <c r="AR1523">
        <v>0</v>
      </c>
      <c r="AS1523">
        <v>0</v>
      </c>
      <c r="AT1523">
        <v>0</v>
      </c>
    </row>
    <row r="1524" spans="44:46">
      <c r="AR1524">
        <v>0</v>
      </c>
      <c r="AS1524">
        <v>0</v>
      </c>
      <c r="AT1524">
        <v>0</v>
      </c>
    </row>
    <row r="1525" spans="44:46">
      <c r="AR1525">
        <v>0</v>
      </c>
      <c r="AS1525">
        <v>0</v>
      </c>
      <c r="AT1525">
        <v>0</v>
      </c>
    </row>
    <row r="1526" spans="44:46">
      <c r="AR1526">
        <v>0</v>
      </c>
      <c r="AS1526">
        <v>0</v>
      </c>
      <c r="AT1526">
        <v>0</v>
      </c>
    </row>
    <row r="1527" spans="44:46">
      <c r="AR1527">
        <v>0</v>
      </c>
      <c r="AS1527">
        <v>0</v>
      </c>
      <c r="AT1527">
        <v>0</v>
      </c>
    </row>
    <row r="1528" spans="44:46">
      <c r="AR1528">
        <v>0</v>
      </c>
      <c r="AS1528">
        <v>0</v>
      </c>
      <c r="AT1528">
        <v>0</v>
      </c>
    </row>
    <row r="1529" spans="44:46">
      <c r="AR1529">
        <v>0</v>
      </c>
      <c r="AS1529">
        <v>0</v>
      </c>
      <c r="AT1529">
        <v>0</v>
      </c>
    </row>
    <row r="1530" spans="44:46">
      <c r="AR1530">
        <v>0</v>
      </c>
      <c r="AS1530">
        <v>0</v>
      </c>
      <c r="AT1530">
        <v>0</v>
      </c>
    </row>
    <row r="1531" spans="44:46">
      <c r="AR1531">
        <v>0</v>
      </c>
      <c r="AS1531">
        <v>0</v>
      </c>
      <c r="AT1531">
        <v>0</v>
      </c>
    </row>
    <row r="1532" spans="44:46">
      <c r="AR1532">
        <v>0</v>
      </c>
      <c r="AS1532">
        <v>0</v>
      </c>
      <c r="AT1532">
        <v>0</v>
      </c>
    </row>
    <row r="1533" spans="44:46">
      <c r="AR1533">
        <v>0</v>
      </c>
      <c r="AS1533">
        <v>0</v>
      </c>
      <c r="AT1533">
        <v>0</v>
      </c>
    </row>
    <row r="1534" spans="44:46">
      <c r="AR1534">
        <v>0</v>
      </c>
      <c r="AS1534">
        <v>0</v>
      </c>
      <c r="AT1534">
        <v>0</v>
      </c>
    </row>
    <row r="1535" spans="44:46">
      <c r="AR1535">
        <v>0</v>
      </c>
      <c r="AS1535">
        <v>0</v>
      </c>
      <c r="AT1535">
        <v>0</v>
      </c>
    </row>
    <row r="1536" spans="44:46">
      <c r="AR1536">
        <v>0</v>
      </c>
      <c r="AS1536">
        <v>0</v>
      </c>
      <c r="AT1536">
        <v>0</v>
      </c>
    </row>
    <row r="1537" spans="44:46">
      <c r="AR1537">
        <v>0</v>
      </c>
      <c r="AS1537">
        <v>0</v>
      </c>
      <c r="AT1537">
        <v>0</v>
      </c>
    </row>
    <row r="1538" spans="44:46">
      <c r="AR1538">
        <v>0</v>
      </c>
      <c r="AS1538">
        <v>0</v>
      </c>
      <c r="AT1538">
        <v>0</v>
      </c>
    </row>
    <row r="1539" spans="44:46">
      <c r="AR1539">
        <v>0</v>
      </c>
      <c r="AS1539">
        <v>0</v>
      </c>
      <c r="AT1539">
        <v>0</v>
      </c>
    </row>
    <row r="1540" spans="44:46">
      <c r="AR1540">
        <v>0</v>
      </c>
      <c r="AS1540">
        <v>0</v>
      </c>
      <c r="AT1540">
        <v>0</v>
      </c>
    </row>
    <row r="1541" spans="44:46">
      <c r="AR1541">
        <v>0</v>
      </c>
      <c r="AS1541">
        <v>0</v>
      </c>
      <c r="AT1541">
        <v>0</v>
      </c>
    </row>
    <row r="1542" spans="44:46">
      <c r="AR1542">
        <v>0</v>
      </c>
      <c r="AS1542">
        <v>0</v>
      </c>
      <c r="AT1542">
        <v>0</v>
      </c>
    </row>
    <row r="1543" spans="44:46">
      <c r="AR1543">
        <v>0</v>
      </c>
      <c r="AS1543">
        <v>0</v>
      </c>
      <c r="AT1543">
        <v>0</v>
      </c>
    </row>
    <row r="1544" spans="44:46">
      <c r="AR1544">
        <v>0</v>
      </c>
      <c r="AS1544">
        <v>0</v>
      </c>
      <c r="AT1544">
        <v>0</v>
      </c>
    </row>
    <row r="1545" spans="44:46">
      <c r="AR1545">
        <v>0</v>
      </c>
      <c r="AS1545">
        <v>0</v>
      </c>
      <c r="AT1545">
        <v>0</v>
      </c>
    </row>
    <row r="1546" spans="44:46">
      <c r="AR1546">
        <v>0</v>
      </c>
      <c r="AS1546">
        <v>0</v>
      </c>
      <c r="AT1546">
        <v>0</v>
      </c>
    </row>
    <row r="1547" spans="44:46">
      <c r="AR1547">
        <v>0</v>
      </c>
      <c r="AS1547">
        <v>0</v>
      </c>
      <c r="AT1547">
        <v>0</v>
      </c>
    </row>
    <row r="1548" spans="44:46">
      <c r="AR1548">
        <v>0</v>
      </c>
      <c r="AS1548">
        <v>0</v>
      </c>
      <c r="AT1548">
        <v>0</v>
      </c>
    </row>
    <row r="1549" spans="44:46">
      <c r="AR1549">
        <v>0</v>
      </c>
      <c r="AS1549">
        <v>0</v>
      </c>
      <c r="AT1549">
        <v>0</v>
      </c>
    </row>
    <row r="1550" spans="44:46">
      <c r="AR1550">
        <v>0</v>
      </c>
      <c r="AS1550">
        <v>0</v>
      </c>
      <c r="AT1550">
        <v>0</v>
      </c>
    </row>
    <row r="1551" spans="44:46">
      <c r="AR1551">
        <v>0</v>
      </c>
      <c r="AS1551">
        <v>0</v>
      </c>
      <c r="AT1551">
        <v>0</v>
      </c>
    </row>
    <row r="1552" spans="44:46">
      <c r="AR1552">
        <v>0</v>
      </c>
      <c r="AS1552">
        <v>0</v>
      </c>
      <c r="AT1552">
        <v>0</v>
      </c>
    </row>
    <row r="1553" spans="44:46">
      <c r="AR1553">
        <v>0</v>
      </c>
      <c r="AS1553">
        <v>0</v>
      </c>
      <c r="AT1553">
        <v>0</v>
      </c>
    </row>
    <row r="1554" spans="44:46">
      <c r="AR1554">
        <v>0</v>
      </c>
      <c r="AS1554">
        <v>0</v>
      </c>
      <c r="AT1554">
        <v>0</v>
      </c>
    </row>
    <row r="1555" spans="44:46">
      <c r="AR1555">
        <v>0</v>
      </c>
      <c r="AS1555">
        <v>0</v>
      </c>
      <c r="AT1555">
        <v>0</v>
      </c>
    </row>
    <row r="1556" spans="44:46">
      <c r="AR1556">
        <v>0</v>
      </c>
      <c r="AS1556">
        <v>0</v>
      </c>
      <c r="AT1556">
        <v>0</v>
      </c>
    </row>
    <row r="1557" spans="44:46">
      <c r="AR1557">
        <v>0</v>
      </c>
      <c r="AS1557">
        <v>0</v>
      </c>
      <c r="AT1557">
        <v>0</v>
      </c>
    </row>
    <row r="1558" spans="44:46">
      <c r="AR1558">
        <v>0</v>
      </c>
      <c r="AS1558">
        <v>0</v>
      </c>
      <c r="AT1558">
        <v>0</v>
      </c>
    </row>
    <row r="1559" spans="44:46">
      <c r="AR1559">
        <v>0</v>
      </c>
      <c r="AS1559">
        <v>0</v>
      </c>
      <c r="AT1559">
        <v>0</v>
      </c>
    </row>
    <row r="1560" spans="44:46">
      <c r="AR1560">
        <v>0</v>
      </c>
      <c r="AS1560">
        <v>0</v>
      </c>
      <c r="AT1560">
        <v>0</v>
      </c>
    </row>
    <row r="1561" spans="44:46">
      <c r="AR1561">
        <v>0</v>
      </c>
      <c r="AS1561">
        <v>0</v>
      </c>
      <c r="AT1561">
        <v>0</v>
      </c>
    </row>
    <row r="1562" spans="44:46">
      <c r="AR1562">
        <v>0</v>
      </c>
      <c r="AS1562">
        <v>0</v>
      </c>
      <c r="AT1562">
        <v>0</v>
      </c>
    </row>
    <row r="1563" spans="44:46">
      <c r="AR1563">
        <v>0</v>
      </c>
      <c r="AS1563">
        <v>0</v>
      </c>
      <c r="AT1563">
        <v>0</v>
      </c>
    </row>
    <row r="1564" spans="44:46">
      <c r="AR1564">
        <v>0</v>
      </c>
      <c r="AS1564">
        <v>0</v>
      </c>
      <c r="AT1564">
        <v>0</v>
      </c>
    </row>
    <row r="1565" spans="44:46">
      <c r="AR1565">
        <v>0</v>
      </c>
      <c r="AS1565">
        <v>0</v>
      </c>
      <c r="AT1565">
        <v>0</v>
      </c>
    </row>
    <row r="1566" spans="44:46">
      <c r="AR1566">
        <v>0</v>
      </c>
      <c r="AS1566">
        <v>0</v>
      </c>
      <c r="AT1566">
        <v>0</v>
      </c>
    </row>
    <row r="1567" spans="44:46">
      <c r="AR1567">
        <v>0</v>
      </c>
      <c r="AS1567">
        <v>0</v>
      </c>
      <c r="AT1567">
        <v>0</v>
      </c>
    </row>
    <row r="1568" spans="44:46">
      <c r="AR1568">
        <v>0</v>
      </c>
      <c r="AS1568">
        <v>0</v>
      </c>
      <c r="AT1568">
        <v>0</v>
      </c>
    </row>
    <row r="1569" spans="44:46">
      <c r="AR1569">
        <v>0</v>
      </c>
      <c r="AS1569">
        <v>0</v>
      </c>
      <c r="AT1569">
        <v>0</v>
      </c>
    </row>
    <row r="1570" spans="44:46">
      <c r="AR1570">
        <v>0</v>
      </c>
      <c r="AS1570">
        <v>0</v>
      </c>
      <c r="AT1570">
        <v>0</v>
      </c>
    </row>
    <row r="1571" spans="44:46">
      <c r="AR1571">
        <v>0</v>
      </c>
      <c r="AS1571">
        <v>0</v>
      </c>
      <c r="AT1571">
        <v>0</v>
      </c>
    </row>
    <row r="1572" spans="44:46">
      <c r="AR1572">
        <v>0</v>
      </c>
      <c r="AS1572">
        <v>0</v>
      </c>
      <c r="AT1572">
        <v>0</v>
      </c>
    </row>
    <row r="1573" spans="44:46">
      <c r="AR1573">
        <v>0</v>
      </c>
      <c r="AS1573">
        <v>0</v>
      </c>
      <c r="AT1573">
        <v>0</v>
      </c>
    </row>
    <row r="1574" spans="44:46">
      <c r="AR1574">
        <v>0</v>
      </c>
      <c r="AS1574">
        <v>0</v>
      </c>
      <c r="AT1574">
        <v>0</v>
      </c>
    </row>
    <row r="1575" spans="44:46">
      <c r="AR1575">
        <v>0</v>
      </c>
      <c r="AS1575">
        <v>0</v>
      </c>
      <c r="AT1575">
        <v>0</v>
      </c>
    </row>
    <row r="1576" spans="44:46">
      <c r="AR1576">
        <v>0</v>
      </c>
      <c r="AS1576">
        <v>0</v>
      </c>
      <c r="AT1576">
        <v>0</v>
      </c>
    </row>
    <row r="1577" spans="44:46">
      <c r="AR1577">
        <v>0</v>
      </c>
      <c r="AS1577">
        <v>0</v>
      </c>
      <c r="AT1577">
        <v>0</v>
      </c>
    </row>
    <row r="1578" spans="44:46">
      <c r="AR1578">
        <v>0</v>
      </c>
      <c r="AS1578">
        <v>0</v>
      </c>
      <c r="AT1578">
        <v>0</v>
      </c>
    </row>
    <row r="1579" spans="44:46">
      <c r="AR1579">
        <v>0</v>
      </c>
      <c r="AS1579">
        <v>0</v>
      </c>
      <c r="AT1579">
        <v>0</v>
      </c>
    </row>
    <row r="1580" spans="44:46">
      <c r="AR1580">
        <v>0</v>
      </c>
      <c r="AS1580">
        <v>0</v>
      </c>
      <c r="AT1580">
        <v>0</v>
      </c>
    </row>
    <row r="1581" spans="44:46">
      <c r="AR1581">
        <v>0</v>
      </c>
      <c r="AS1581">
        <v>0</v>
      </c>
      <c r="AT1581">
        <v>0</v>
      </c>
    </row>
    <row r="1582" spans="44:46">
      <c r="AR1582">
        <v>0</v>
      </c>
      <c r="AS1582">
        <v>0</v>
      </c>
      <c r="AT1582">
        <v>0</v>
      </c>
    </row>
    <row r="1583" spans="44:46">
      <c r="AR1583">
        <v>0</v>
      </c>
      <c r="AS1583">
        <v>0</v>
      </c>
      <c r="AT1583">
        <v>0</v>
      </c>
    </row>
    <row r="1584" spans="44:46">
      <c r="AR1584">
        <v>0</v>
      </c>
      <c r="AS1584">
        <v>0</v>
      </c>
      <c r="AT1584">
        <v>0</v>
      </c>
    </row>
    <row r="1585" spans="44:46">
      <c r="AR1585">
        <v>0</v>
      </c>
      <c r="AS1585">
        <v>0</v>
      </c>
      <c r="AT1585">
        <v>0</v>
      </c>
    </row>
    <row r="1586" spans="44:46">
      <c r="AR1586">
        <v>0</v>
      </c>
      <c r="AS1586">
        <v>0</v>
      </c>
      <c r="AT1586">
        <v>0</v>
      </c>
    </row>
    <row r="1587" spans="44:46">
      <c r="AR1587">
        <v>0</v>
      </c>
      <c r="AS1587">
        <v>0</v>
      </c>
      <c r="AT1587">
        <v>0</v>
      </c>
    </row>
    <row r="1588" spans="44:46">
      <c r="AR1588">
        <v>0</v>
      </c>
      <c r="AS1588">
        <v>0</v>
      </c>
      <c r="AT1588">
        <v>0</v>
      </c>
    </row>
    <row r="1589" spans="44:46">
      <c r="AR1589">
        <v>0</v>
      </c>
      <c r="AS1589">
        <v>0</v>
      </c>
      <c r="AT1589">
        <v>0</v>
      </c>
    </row>
    <row r="1590" spans="44:46">
      <c r="AR1590">
        <v>0</v>
      </c>
      <c r="AS1590">
        <v>0</v>
      </c>
      <c r="AT1590">
        <v>0</v>
      </c>
    </row>
    <row r="1591" spans="44:46">
      <c r="AR1591">
        <v>0</v>
      </c>
      <c r="AS1591">
        <v>0</v>
      </c>
      <c r="AT1591">
        <v>0</v>
      </c>
    </row>
    <row r="1592" spans="44:46">
      <c r="AR1592">
        <v>0</v>
      </c>
      <c r="AS1592">
        <v>0</v>
      </c>
      <c r="AT1592">
        <v>0</v>
      </c>
    </row>
    <row r="1593" spans="44:46">
      <c r="AR1593">
        <v>0</v>
      </c>
      <c r="AS1593">
        <v>0</v>
      </c>
      <c r="AT1593">
        <v>0</v>
      </c>
    </row>
    <row r="1594" spans="44:46">
      <c r="AR1594">
        <v>0</v>
      </c>
      <c r="AS1594">
        <v>0</v>
      </c>
      <c r="AT1594">
        <v>0</v>
      </c>
    </row>
    <row r="1595" spans="44:46">
      <c r="AR1595">
        <v>0</v>
      </c>
      <c r="AS1595">
        <v>0</v>
      </c>
      <c r="AT1595">
        <v>0</v>
      </c>
    </row>
    <row r="1596" spans="44:46">
      <c r="AR1596">
        <v>0</v>
      </c>
      <c r="AS1596">
        <v>0</v>
      </c>
      <c r="AT1596">
        <v>0</v>
      </c>
    </row>
    <row r="1597" spans="44:46">
      <c r="AR1597">
        <v>0</v>
      </c>
      <c r="AS1597">
        <v>0</v>
      </c>
      <c r="AT1597">
        <v>0</v>
      </c>
    </row>
    <row r="1598" spans="44:46">
      <c r="AR1598">
        <v>0</v>
      </c>
      <c r="AS1598">
        <v>0</v>
      </c>
      <c r="AT1598">
        <v>0</v>
      </c>
    </row>
    <row r="1599" spans="44:46">
      <c r="AR1599">
        <v>0</v>
      </c>
      <c r="AS1599">
        <v>0</v>
      </c>
      <c r="AT1599">
        <v>0</v>
      </c>
    </row>
    <row r="1600" spans="44:46">
      <c r="AR1600">
        <v>0</v>
      </c>
      <c r="AS1600">
        <v>0</v>
      </c>
      <c r="AT1600">
        <v>0</v>
      </c>
    </row>
    <row r="1601" spans="44:46">
      <c r="AR1601">
        <v>0</v>
      </c>
      <c r="AS1601">
        <v>0</v>
      </c>
      <c r="AT1601">
        <v>0</v>
      </c>
    </row>
    <row r="1602" spans="44:46">
      <c r="AR1602">
        <v>0</v>
      </c>
      <c r="AS1602">
        <v>0</v>
      </c>
      <c r="AT1602">
        <v>0</v>
      </c>
    </row>
    <row r="1603" spans="44:46">
      <c r="AR1603">
        <v>0</v>
      </c>
      <c r="AS1603">
        <v>0</v>
      </c>
      <c r="AT1603">
        <v>0</v>
      </c>
    </row>
    <row r="1604" spans="44:46">
      <c r="AR1604">
        <v>0</v>
      </c>
      <c r="AS1604">
        <v>0</v>
      </c>
      <c r="AT1604">
        <v>0</v>
      </c>
    </row>
    <row r="1605" spans="44:46">
      <c r="AR1605">
        <v>0</v>
      </c>
      <c r="AS1605">
        <v>0</v>
      </c>
      <c r="AT1605">
        <v>0</v>
      </c>
    </row>
    <row r="1606" spans="44:46">
      <c r="AR1606">
        <v>0</v>
      </c>
      <c r="AS1606">
        <v>0</v>
      </c>
      <c r="AT1606">
        <v>0</v>
      </c>
    </row>
    <row r="1607" spans="44:46">
      <c r="AR1607">
        <v>0</v>
      </c>
      <c r="AS1607">
        <v>0</v>
      </c>
      <c r="AT1607">
        <v>0</v>
      </c>
    </row>
    <row r="1608" spans="44:46">
      <c r="AR1608">
        <v>0</v>
      </c>
      <c r="AS1608">
        <v>0</v>
      </c>
      <c r="AT1608">
        <v>0</v>
      </c>
    </row>
    <row r="1609" spans="44:46">
      <c r="AR1609">
        <v>0</v>
      </c>
      <c r="AS1609">
        <v>0</v>
      </c>
      <c r="AT1609">
        <v>0</v>
      </c>
    </row>
    <row r="1610" spans="44:46">
      <c r="AR1610">
        <v>0</v>
      </c>
      <c r="AS1610">
        <v>0</v>
      </c>
      <c r="AT1610">
        <v>0</v>
      </c>
    </row>
    <row r="1611" spans="44:46">
      <c r="AR1611">
        <v>0</v>
      </c>
      <c r="AS1611">
        <v>0</v>
      </c>
      <c r="AT1611">
        <v>0</v>
      </c>
    </row>
    <row r="1612" spans="44:46">
      <c r="AR1612">
        <v>0</v>
      </c>
      <c r="AS1612">
        <v>0</v>
      </c>
      <c r="AT1612">
        <v>0</v>
      </c>
    </row>
    <row r="1613" spans="44:46">
      <c r="AR1613">
        <v>0</v>
      </c>
      <c r="AS1613">
        <v>0</v>
      </c>
      <c r="AT1613">
        <v>0</v>
      </c>
    </row>
    <row r="1614" spans="44:46">
      <c r="AR1614">
        <v>0</v>
      </c>
      <c r="AS1614">
        <v>0</v>
      </c>
      <c r="AT1614">
        <v>0</v>
      </c>
    </row>
    <row r="1615" spans="44:46">
      <c r="AR1615">
        <v>0</v>
      </c>
      <c r="AS1615">
        <v>0</v>
      </c>
      <c r="AT1615">
        <v>0</v>
      </c>
    </row>
    <row r="1616" spans="44:46">
      <c r="AR1616">
        <v>0</v>
      </c>
      <c r="AS1616">
        <v>0</v>
      </c>
      <c r="AT1616">
        <v>0</v>
      </c>
    </row>
    <row r="1617" spans="44:46">
      <c r="AR1617">
        <v>0</v>
      </c>
      <c r="AS1617">
        <v>0</v>
      </c>
      <c r="AT1617">
        <v>0</v>
      </c>
    </row>
    <row r="1618" spans="44:46">
      <c r="AR1618">
        <v>0</v>
      </c>
      <c r="AS1618">
        <v>0</v>
      </c>
      <c r="AT1618">
        <v>0</v>
      </c>
    </row>
    <row r="1619" spans="44:46">
      <c r="AR1619">
        <v>0</v>
      </c>
      <c r="AS1619">
        <v>0</v>
      </c>
      <c r="AT1619">
        <v>0</v>
      </c>
    </row>
    <row r="1620" spans="44:46">
      <c r="AR1620">
        <v>0</v>
      </c>
      <c r="AS1620">
        <v>0</v>
      </c>
      <c r="AT1620">
        <v>0</v>
      </c>
    </row>
    <row r="1621" spans="44:46">
      <c r="AR1621">
        <v>0</v>
      </c>
      <c r="AS1621">
        <v>0</v>
      </c>
      <c r="AT1621">
        <v>0</v>
      </c>
    </row>
    <row r="1622" spans="44:46">
      <c r="AR1622">
        <v>0</v>
      </c>
      <c r="AS1622">
        <v>0</v>
      </c>
      <c r="AT1622">
        <v>0</v>
      </c>
    </row>
    <row r="1623" spans="44:46">
      <c r="AR1623">
        <v>0</v>
      </c>
      <c r="AS1623">
        <v>0</v>
      </c>
      <c r="AT1623">
        <v>0</v>
      </c>
    </row>
    <row r="1624" spans="44:46">
      <c r="AR1624">
        <v>0</v>
      </c>
      <c r="AS1624">
        <v>0</v>
      </c>
      <c r="AT1624">
        <v>0</v>
      </c>
    </row>
    <row r="1625" spans="44:46">
      <c r="AR1625">
        <v>0</v>
      </c>
      <c r="AS1625">
        <v>0</v>
      </c>
      <c r="AT1625">
        <v>0</v>
      </c>
    </row>
    <row r="1626" spans="44:46">
      <c r="AR1626">
        <v>0</v>
      </c>
      <c r="AS1626">
        <v>0</v>
      </c>
      <c r="AT1626">
        <v>0</v>
      </c>
    </row>
    <row r="1627" spans="44:46">
      <c r="AR1627">
        <v>0</v>
      </c>
      <c r="AS1627">
        <v>0</v>
      </c>
      <c r="AT1627">
        <v>0</v>
      </c>
    </row>
    <row r="1628" spans="44:46">
      <c r="AR1628">
        <v>0</v>
      </c>
      <c r="AS1628">
        <v>0</v>
      </c>
      <c r="AT1628">
        <v>0</v>
      </c>
    </row>
    <row r="1629" spans="44:46">
      <c r="AR1629">
        <v>0</v>
      </c>
      <c r="AS1629">
        <v>0</v>
      </c>
      <c r="AT1629">
        <v>0</v>
      </c>
    </row>
    <row r="1630" spans="44:46">
      <c r="AR1630">
        <v>0</v>
      </c>
      <c r="AS1630">
        <v>0</v>
      </c>
      <c r="AT1630">
        <v>0</v>
      </c>
    </row>
    <row r="1631" spans="44:46">
      <c r="AR1631">
        <v>0</v>
      </c>
      <c r="AS1631">
        <v>0</v>
      </c>
      <c r="AT1631">
        <v>0</v>
      </c>
    </row>
    <row r="1632" spans="44:46">
      <c r="AR1632">
        <v>0</v>
      </c>
      <c r="AS1632">
        <v>0</v>
      </c>
      <c r="AT1632">
        <v>0</v>
      </c>
    </row>
    <row r="1633" spans="44:46">
      <c r="AR1633">
        <v>0</v>
      </c>
      <c r="AS1633">
        <v>0</v>
      </c>
      <c r="AT1633">
        <v>0</v>
      </c>
    </row>
    <row r="1634" spans="44:46">
      <c r="AR1634">
        <v>0</v>
      </c>
      <c r="AS1634">
        <v>0</v>
      </c>
      <c r="AT1634">
        <v>0</v>
      </c>
    </row>
    <row r="1635" spans="44:46">
      <c r="AR1635">
        <v>0</v>
      </c>
      <c r="AS1635">
        <v>0</v>
      </c>
      <c r="AT1635">
        <v>0</v>
      </c>
    </row>
    <row r="1636" spans="44:46">
      <c r="AR1636">
        <v>0</v>
      </c>
      <c r="AS1636">
        <v>0</v>
      </c>
      <c r="AT1636">
        <v>0</v>
      </c>
    </row>
    <row r="1637" spans="44:46">
      <c r="AR1637">
        <v>0</v>
      </c>
      <c r="AS1637">
        <v>0</v>
      </c>
      <c r="AT1637">
        <v>0</v>
      </c>
    </row>
    <row r="1638" spans="44:46">
      <c r="AR1638">
        <v>0</v>
      </c>
      <c r="AS1638">
        <v>0</v>
      </c>
      <c r="AT1638">
        <v>0</v>
      </c>
    </row>
    <row r="1639" spans="44:46">
      <c r="AR1639">
        <v>0</v>
      </c>
      <c r="AS1639">
        <v>0</v>
      </c>
      <c r="AT1639">
        <v>0</v>
      </c>
    </row>
    <row r="1640" spans="44:46">
      <c r="AR1640">
        <v>0</v>
      </c>
      <c r="AS1640">
        <v>0</v>
      </c>
      <c r="AT1640">
        <v>0</v>
      </c>
    </row>
    <row r="1641" spans="44:46">
      <c r="AR1641">
        <v>0</v>
      </c>
      <c r="AS1641">
        <v>0</v>
      </c>
      <c r="AT1641">
        <v>0</v>
      </c>
    </row>
    <row r="1642" spans="44:46">
      <c r="AR1642">
        <v>0</v>
      </c>
      <c r="AS1642">
        <v>0</v>
      </c>
      <c r="AT1642">
        <v>0</v>
      </c>
    </row>
    <row r="1643" spans="44:46">
      <c r="AR1643">
        <v>0</v>
      </c>
      <c r="AS1643">
        <v>0</v>
      </c>
      <c r="AT1643">
        <v>0</v>
      </c>
    </row>
    <row r="1644" spans="44:46">
      <c r="AR1644">
        <v>0</v>
      </c>
      <c r="AS1644">
        <v>0</v>
      </c>
      <c r="AT1644">
        <v>0</v>
      </c>
    </row>
    <row r="1645" spans="44:46">
      <c r="AR1645">
        <v>0</v>
      </c>
      <c r="AS1645">
        <v>0</v>
      </c>
      <c r="AT1645">
        <v>0</v>
      </c>
    </row>
    <row r="1646" spans="44:46">
      <c r="AR1646">
        <v>0</v>
      </c>
      <c r="AS1646">
        <v>0</v>
      </c>
      <c r="AT1646">
        <v>0</v>
      </c>
    </row>
    <row r="1647" spans="44:46">
      <c r="AR1647">
        <v>0</v>
      </c>
      <c r="AS1647">
        <v>0</v>
      </c>
      <c r="AT1647">
        <v>0</v>
      </c>
    </row>
    <row r="1648" spans="44:46">
      <c r="AR1648">
        <v>0</v>
      </c>
      <c r="AS1648">
        <v>0</v>
      </c>
      <c r="AT1648">
        <v>0</v>
      </c>
    </row>
    <row r="1649" spans="44:46">
      <c r="AR1649">
        <v>0</v>
      </c>
      <c r="AS1649">
        <v>0</v>
      </c>
      <c r="AT1649">
        <v>0</v>
      </c>
    </row>
    <row r="1650" spans="44:46">
      <c r="AR1650">
        <v>0</v>
      </c>
      <c r="AS1650">
        <v>0</v>
      </c>
      <c r="AT1650">
        <v>0</v>
      </c>
    </row>
    <row r="1651" spans="44:46">
      <c r="AR1651">
        <v>0</v>
      </c>
      <c r="AS1651">
        <v>0</v>
      </c>
      <c r="AT1651">
        <v>0</v>
      </c>
    </row>
    <row r="1652" spans="44:46">
      <c r="AR1652">
        <v>0</v>
      </c>
      <c r="AS1652">
        <v>0</v>
      </c>
      <c r="AT1652">
        <v>0</v>
      </c>
    </row>
    <row r="1653" spans="44:46">
      <c r="AR1653">
        <v>0</v>
      </c>
      <c r="AS1653">
        <v>0</v>
      </c>
      <c r="AT1653">
        <v>0</v>
      </c>
    </row>
    <row r="1654" spans="44:46">
      <c r="AR1654">
        <v>0</v>
      </c>
      <c r="AS1654">
        <v>0</v>
      </c>
      <c r="AT1654">
        <v>0</v>
      </c>
    </row>
    <row r="1655" spans="44:46">
      <c r="AR1655">
        <v>0</v>
      </c>
      <c r="AS1655">
        <v>0</v>
      </c>
      <c r="AT1655">
        <v>0</v>
      </c>
    </row>
    <row r="1656" spans="44:46">
      <c r="AR1656">
        <v>0</v>
      </c>
      <c r="AS1656">
        <v>0</v>
      </c>
      <c r="AT1656">
        <v>0</v>
      </c>
    </row>
    <row r="1657" spans="44:46">
      <c r="AR1657">
        <v>0</v>
      </c>
      <c r="AS1657">
        <v>0</v>
      </c>
      <c r="AT1657">
        <v>0</v>
      </c>
    </row>
    <row r="1658" spans="44:46">
      <c r="AR1658">
        <v>0</v>
      </c>
      <c r="AS1658">
        <v>0</v>
      </c>
      <c r="AT1658">
        <v>0</v>
      </c>
    </row>
    <row r="1659" spans="44:46">
      <c r="AR1659">
        <v>0</v>
      </c>
      <c r="AS1659">
        <v>0</v>
      </c>
      <c r="AT1659">
        <v>0</v>
      </c>
    </row>
    <row r="1660" spans="44:46">
      <c r="AR1660">
        <v>0</v>
      </c>
      <c r="AS1660">
        <v>0</v>
      </c>
      <c r="AT1660">
        <v>0</v>
      </c>
    </row>
    <row r="1661" spans="44:46">
      <c r="AR1661">
        <v>0</v>
      </c>
      <c r="AS1661">
        <v>0</v>
      </c>
      <c r="AT1661">
        <v>0</v>
      </c>
    </row>
    <row r="1662" spans="44:46">
      <c r="AR1662">
        <v>0</v>
      </c>
      <c r="AS1662">
        <v>0</v>
      </c>
      <c r="AT1662">
        <v>0</v>
      </c>
    </row>
    <row r="1663" spans="44:46">
      <c r="AR1663">
        <v>0</v>
      </c>
      <c r="AS1663">
        <v>0</v>
      </c>
      <c r="AT1663">
        <v>0</v>
      </c>
    </row>
    <row r="1664" spans="44:46">
      <c r="AR1664">
        <v>0</v>
      </c>
      <c r="AS1664">
        <v>0</v>
      </c>
      <c r="AT1664">
        <v>0</v>
      </c>
    </row>
    <row r="1665" spans="44:46">
      <c r="AR1665">
        <v>0</v>
      </c>
      <c r="AS1665">
        <v>0</v>
      </c>
      <c r="AT1665">
        <v>0</v>
      </c>
    </row>
    <row r="1666" spans="44:46">
      <c r="AR1666">
        <v>0</v>
      </c>
      <c r="AS1666">
        <v>0</v>
      </c>
      <c r="AT1666">
        <v>0</v>
      </c>
    </row>
    <row r="1667" spans="44:46">
      <c r="AR1667">
        <v>0</v>
      </c>
      <c r="AS1667">
        <v>0</v>
      </c>
      <c r="AT1667">
        <v>0</v>
      </c>
    </row>
    <row r="1668" spans="44:46">
      <c r="AR1668">
        <v>0</v>
      </c>
      <c r="AS1668">
        <v>0</v>
      </c>
      <c r="AT1668">
        <v>0</v>
      </c>
    </row>
    <row r="1669" spans="44:46">
      <c r="AR1669">
        <v>0</v>
      </c>
      <c r="AS1669">
        <v>0</v>
      </c>
      <c r="AT1669">
        <v>0</v>
      </c>
    </row>
    <row r="1670" spans="44:46">
      <c r="AR1670">
        <v>0</v>
      </c>
      <c r="AS1670">
        <v>0</v>
      </c>
      <c r="AT1670">
        <v>0</v>
      </c>
    </row>
    <row r="1671" spans="44:46">
      <c r="AR1671">
        <v>0</v>
      </c>
      <c r="AS1671">
        <v>0</v>
      </c>
      <c r="AT1671">
        <v>0</v>
      </c>
    </row>
    <row r="1672" spans="44:46">
      <c r="AR1672">
        <v>0</v>
      </c>
      <c r="AS1672">
        <v>0</v>
      </c>
      <c r="AT1672">
        <v>0</v>
      </c>
    </row>
    <row r="1673" spans="44:46">
      <c r="AR1673">
        <v>0</v>
      </c>
      <c r="AS1673">
        <v>0</v>
      </c>
      <c r="AT1673">
        <v>0</v>
      </c>
    </row>
    <row r="1674" spans="44:46">
      <c r="AR1674">
        <v>0</v>
      </c>
      <c r="AS1674">
        <v>0</v>
      </c>
      <c r="AT1674">
        <v>0</v>
      </c>
    </row>
    <row r="1675" spans="44:46">
      <c r="AR1675">
        <v>0</v>
      </c>
      <c r="AS1675">
        <v>0</v>
      </c>
      <c r="AT1675">
        <v>0</v>
      </c>
    </row>
    <row r="1676" spans="44:46">
      <c r="AR1676">
        <v>0</v>
      </c>
      <c r="AS1676">
        <v>0</v>
      </c>
      <c r="AT1676">
        <v>0</v>
      </c>
    </row>
    <row r="1677" spans="44:46">
      <c r="AR1677">
        <v>0</v>
      </c>
      <c r="AS1677">
        <v>0</v>
      </c>
      <c r="AT1677">
        <v>0</v>
      </c>
    </row>
    <row r="1678" spans="44:46">
      <c r="AR1678">
        <v>0</v>
      </c>
      <c r="AS1678">
        <v>0</v>
      </c>
      <c r="AT1678">
        <v>0</v>
      </c>
    </row>
    <row r="1679" spans="44:46">
      <c r="AR1679">
        <v>0</v>
      </c>
      <c r="AS1679">
        <v>0</v>
      </c>
      <c r="AT1679">
        <v>0</v>
      </c>
    </row>
    <row r="1680" spans="44:46">
      <c r="AR1680">
        <v>0</v>
      </c>
      <c r="AS1680">
        <v>0</v>
      </c>
      <c r="AT1680">
        <v>0</v>
      </c>
    </row>
    <row r="1681" spans="44:46">
      <c r="AR1681">
        <v>0</v>
      </c>
      <c r="AS1681">
        <v>0</v>
      </c>
      <c r="AT1681">
        <v>0</v>
      </c>
    </row>
    <row r="1682" spans="44:46">
      <c r="AR1682">
        <v>0</v>
      </c>
      <c r="AS1682">
        <v>0</v>
      </c>
      <c r="AT1682">
        <v>0</v>
      </c>
    </row>
    <row r="1683" spans="44:46">
      <c r="AR1683">
        <v>0</v>
      </c>
      <c r="AS1683">
        <v>0</v>
      </c>
      <c r="AT1683">
        <v>0</v>
      </c>
    </row>
    <row r="1684" spans="44:46">
      <c r="AR1684">
        <v>0</v>
      </c>
      <c r="AS1684">
        <v>0</v>
      </c>
      <c r="AT1684">
        <v>0</v>
      </c>
    </row>
    <row r="1685" spans="44:46">
      <c r="AR1685">
        <v>0</v>
      </c>
      <c r="AS1685">
        <v>0</v>
      </c>
      <c r="AT1685">
        <v>0</v>
      </c>
    </row>
    <row r="1686" spans="44:46">
      <c r="AR1686">
        <v>0</v>
      </c>
      <c r="AS1686">
        <v>0</v>
      </c>
      <c r="AT1686">
        <v>0</v>
      </c>
    </row>
    <row r="1687" spans="44:46">
      <c r="AR1687">
        <v>0</v>
      </c>
      <c r="AS1687">
        <v>0</v>
      </c>
      <c r="AT1687">
        <v>0</v>
      </c>
    </row>
    <row r="1688" spans="44:46">
      <c r="AR1688">
        <v>0</v>
      </c>
      <c r="AS1688">
        <v>0</v>
      </c>
      <c r="AT1688">
        <v>0</v>
      </c>
    </row>
    <row r="1689" spans="44:46">
      <c r="AR1689">
        <v>0</v>
      </c>
      <c r="AS1689">
        <v>0</v>
      </c>
      <c r="AT1689">
        <v>0</v>
      </c>
    </row>
    <row r="1690" spans="44:46">
      <c r="AR1690">
        <v>0</v>
      </c>
      <c r="AS1690">
        <v>0</v>
      </c>
      <c r="AT1690">
        <v>0</v>
      </c>
    </row>
    <row r="1691" spans="44:46">
      <c r="AR1691">
        <v>0</v>
      </c>
      <c r="AS1691">
        <v>0</v>
      </c>
      <c r="AT1691">
        <v>0</v>
      </c>
    </row>
    <row r="1692" spans="44:46">
      <c r="AR1692">
        <v>0</v>
      </c>
      <c r="AS1692">
        <v>0</v>
      </c>
      <c r="AT1692">
        <v>0</v>
      </c>
    </row>
    <row r="1693" spans="44:46">
      <c r="AR1693">
        <v>0</v>
      </c>
      <c r="AS1693">
        <v>0</v>
      </c>
      <c r="AT1693">
        <v>0</v>
      </c>
    </row>
    <row r="1694" spans="44:46">
      <c r="AR1694">
        <v>0</v>
      </c>
      <c r="AS1694">
        <v>0</v>
      </c>
      <c r="AT1694">
        <v>0</v>
      </c>
    </row>
    <row r="1695" spans="44:46">
      <c r="AR1695">
        <v>0</v>
      </c>
      <c r="AS1695">
        <v>0</v>
      </c>
      <c r="AT1695">
        <v>0</v>
      </c>
    </row>
    <row r="1696" spans="44:46">
      <c r="AR1696">
        <v>0</v>
      </c>
      <c r="AS1696">
        <v>0</v>
      </c>
      <c r="AT1696">
        <v>0</v>
      </c>
    </row>
    <row r="1697" spans="44:46">
      <c r="AR1697">
        <v>0</v>
      </c>
      <c r="AS1697">
        <v>0</v>
      </c>
      <c r="AT1697">
        <v>0</v>
      </c>
    </row>
    <row r="1698" spans="44:46">
      <c r="AR1698">
        <v>0</v>
      </c>
      <c r="AS1698">
        <v>0</v>
      </c>
      <c r="AT1698">
        <v>0</v>
      </c>
    </row>
    <row r="1699" spans="44:46">
      <c r="AR1699">
        <v>0</v>
      </c>
      <c r="AS1699">
        <v>0</v>
      </c>
      <c r="AT1699">
        <v>0</v>
      </c>
    </row>
    <row r="1700" spans="44:46">
      <c r="AR1700">
        <v>0</v>
      </c>
      <c r="AS1700">
        <v>0</v>
      </c>
      <c r="AT1700">
        <v>0</v>
      </c>
    </row>
    <row r="1701" spans="44:46">
      <c r="AR1701">
        <v>0</v>
      </c>
      <c r="AS1701">
        <v>0</v>
      </c>
      <c r="AT1701">
        <v>0</v>
      </c>
    </row>
    <row r="1702" spans="44:46">
      <c r="AR1702">
        <v>0</v>
      </c>
      <c r="AS1702">
        <v>0</v>
      </c>
      <c r="AT1702">
        <v>0</v>
      </c>
    </row>
    <row r="1703" spans="44:46">
      <c r="AR1703">
        <v>0</v>
      </c>
      <c r="AS1703">
        <v>0</v>
      </c>
      <c r="AT1703">
        <v>0</v>
      </c>
    </row>
    <row r="1704" spans="44:46">
      <c r="AR1704">
        <v>0</v>
      </c>
      <c r="AS1704">
        <v>0</v>
      </c>
      <c r="AT1704">
        <v>0</v>
      </c>
    </row>
    <row r="1705" spans="44:46">
      <c r="AR1705">
        <v>0</v>
      </c>
      <c r="AS1705">
        <v>0</v>
      </c>
      <c r="AT1705">
        <v>0</v>
      </c>
    </row>
    <row r="1706" spans="44:46">
      <c r="AR1706">
        <v>0</v>
      </c>
      <c r="AS1706">
        <v>0</v>
      </c>
      <c r="AT1706">
        <v>0</v>
      </c>
    </row>
    <row r="1707" spans="44:46">
      <c r="AR1707">
        <v>0</v>
      </c>
      <c r="AS1707">
        <v>0</v>
      </c>
      <c r="AT1707">
        <v>0</v>
      </c>
    </row>
    <row r="1708" spans="44:46">
      <c r="AR1708">
        <v>0</v>
      </c>
      <c r="AS1708">
        <v>0</v>
      </c>
      <c r="AT1708">
        <v>0</v>
      </c>
    </row>
    <row r="1709" spans="44:46">
      <c r="AR1709">
        <v>0</v>
      </c>
      <c r="AS1709">
        <v>0</v>
      </c>
      <c r="AT1709">
        <v>0</v>
      </c>
    </row>
    <row r="1710" spans="44:46">
      <c r="AR1710">
        <v>0</v>
      </c>
      <c r="AS1710">
        <v>0</v>
      </c>
      <c r="AT1710">
        <v>0</v>
      </c>
    </row>
    <row r="1711" spans="44:46">
      <c r="AR1711">
        <v>0</v>
      </c>
      <c r="AS1711">
        <v>0</v>
      </c>
      <c r="AT1711">
        <v>0</v>
      </c>
    </row>
    <row r="1712" spans="44:46">
      <c r="AR1712">
        <v>0</v>
      </c>
      <c r="AS1712">
        <v>0</v>
      </c>
      <c r="AT1712">
        <v>0</v>
      </c>
    </row>
    <row r="1713" spans="44:46">
      <c r="AR1713">
        <v>0</v>
      </c>
      <c r="AS1713">
        <v>0</v>
      </c>
      <c r="AT1713">
        <v>0</v>
      </c>
    </row>
    <row r="1714" spans="44:46">
      <c r="AR1714">
        <v>0</v>
      </c>
      <c r="AS1714">
        <v>0</v>
      </c>
      <c r="AT1714">
        <v>0</v>
      </c>
    </row>
    <row r="1715" spans="44:46">
      <c r="AR1715">
        <v>0</v>
      </c>
      <c r="AS1715">
        <v>0</v>
      </c>
      <c r="AT1715">
        <v>0</v>
      </c>
    </row>
    <row r="1716" spans="44:46">
      <c r="AR1716">
        <v>0</v>
      </c>
      <c r="AS1716">
        <v>0</v>
      </c>
      <c r="AT1716">
        <v>0</v>
      </c>
    </row>
    <row r="1717" spans="44:46">
      <c r="AR1717">
        <v>0</v>
      </c>
      <c r="AS1717">
        <v>0</v>
      </c>
      <c r="AT1717">
        <v>0</v>
      </c>
    </row>
    <row r="1718" spans="44:46">
      <c r="AR1718">
        <v>0</v>
      </c>
      <c r="AS1718">
        <v>0</v>
      </c>
      <c r="AT1718">
        <v>0</v>
      </c>
    </row>
    <row r="1719" spans="44:46">
      <c r="AR1719">
        <v>0</v>
      </c>
      <c r="AS1719">
        <v>0</v>
      </c>
      <c r="AT1719">
        <v>0</v>
      </c>
    </row>
    <row r="1720" spans="44:46">
      <c r="AR1720">
        <v>0</v>
      </c>
      <c r="AS1720">
        <v>0</v>
      </c>
      <c r="AT1720">
        <v>0</v>
      </c>
    </row>
    <row r="1721" spans="44:46">
      <c r="AR1721">
        <v>0</v>
      </c>
      <c r="AS1721">
        <v>0</v>
      </c>
      <c r="AT1721">
        <v>0</v>
      </c>
    </row>
    <row r="1722" spans="44:46">
      <c r="AR1722">
        <v>0</v>
      </c>
      <c r="AS1722">
        <v>0</v>
      </c>
      <c r="AT1722">
        <v>0</v>
      </c>
    </row>
    <row r="1723" spans="44:46">
      <c r="AR1723">
        <v>0</v>
      </c>
      <c r="AS1723">
        <v>0</v>
      </c>
      <c r="AT1723">
        <v>0</v>
      </c>
    </row>
    <row r="1724" spans="44:46">
      <c r="AR1724">
        <v>0</v>
      </c>
      <c r="AS1724">
        <v>0</v>
      </c>
      <c r="AT1724">
        <v>0</v>
      </c>
    </row>
    <row r="1725" spans="44:46">
      <c r="AR1725">
        <v>0</v>
      </c>
      <c r="AS1725">
        <v>0</v>
      </c>
      <c r="AT1725">
        <v>0</v>
      </c>
    </row>
    <row r="1726" spans="44:46">
      <c r="AR1726">
        <v>0</v>
      </c>
      <c r="AS1726">
        <v>0</v>
      </c>
      <c r="AT1726">
        <v>0</v>
      </c>
    </row>
    <row r="1727" spans="44:46">
      <c r="AR1727">
        <v>0</v>
      </c>
      <c r="AS1727">
        <v>0</v>
      </c>
      <c r="AT1727">
        <v>0</v>
      </c>
    </row>
    <row r="1728" spans="44:46">
      <c r="AR1728">
        <v>0</v>
      </c>
      <c r="AS1728">
        <v>0</v>
      </c>
      <c r="AT1728">
        <v>0</v>
      </c>
    </row>
    <row r="1729" spans="44:46">
      <c r="AR1729">
        <v>0</v>
      </c>
      <c r="AS1729">
        <v>0</v>
      </c>
      <c r="AT1729">
        <v>0</v>
      </c>
    </row>
    <row r="1730" spans="44:46">
      <c r="AR1730">
        <v>0</v>
      </c>
      <c r="AS1730">
        <v>0</v>
      </c>
      <c r="AT1730">
        <v>0</v>
      </c>
    </row>
    <row r="1731" spans="44:46">
      <c r="AR1731">
        <v>0</v>
      </c>
      <c r="AS1731">
        <v>0</v>
      </c>
      <c r="AT1731">
        <v>0</v>
      </c>
    </row>
    <row r="1732" spans="44:46">
      <c r="AR1732">
        <v>0</v>
      </c>
      <c r="AS1732">
        <v>0</v>
      </c>
      <c r="AT1732">
        <v>0</v>
      </c>
    </row>
    <row r="1733" spans="44:46">
      <c r="AR1733">
        <v>0</v>
      </c>
      <c r="AS1733">
        <v>0</v>
      </c>
      <c r="AT1733">
        <v>0</v>
      </c>
    </row>
    <row r="1734" spans="44:46">
      <c r="AR1734">
        <v>0</v>
      </c>
      <c r="AS1734">
        <v>0</v>
      </c>
      <c r="AT1734">
        <v>0</v>
      </c>
    </row>
    <row r="1735" spans="44:46">
      <c r="AR1735">
        <v>0</v>
      </c>
      <c r="AS1735">
        <v>0</v>
      </c>
      <c r="AT1735">
        <v>0</v>
      </c>
    </row>
    <row r="1736" spans="44:46">
      <c r="AR1736">
        <v>0</v>
      </c>
      <c r="AS1736">
        <v>0</v>
      </c>
      <c r="AT1736">
        <v>0</v>
      </c>
    </row>
    <row r="1737" spans="44:46">
      <c r="AR1737">
        <v>0</v>
      </c>
      <c r="AS1737">
        <v>0</v>
      </c>
      <c r="AT1737">
        <v>0</v>
      </c>
    </row>
    <row r="1738" spans="44:46">
      <c r="AR1738">
        <v>0</v>
      </c>
      <c r="AS1738">
        <v>0</v>
      </c>
      <c r="AT1738">
        <v>0</v>
      </c>
    </row>
    <row r="1739" spans="44:46">
      <c r="AR1739">
        <v>0</v>
      </c>
      <c r="AS1739">
        <v>0</v>
      </c>
      <c r="AT1739">
        <v>0</v>
      </c>
    </row>
    <row r="1740" spans="44:46">
      <c r="AR1740">
        <v>0</v>
      </c>
      <c r="AS1740">
        <v>0</v>
      </c>
      <c r="AT1740">
        <v>0</v>
      </c>
    </row>
    <row r="1741" spans="44:46">
      <c r="AR1741">
        <v>0</v>
      </c>
      <c r="AS1741">
        <v>0</v>
      </c>
      <c r="AT1741">
        <v>0</v>
      </c>
    </row>
    <row r="1742" spans="44:46">
      <c r="AR1742">
        <v>0</v>
      </c>
      <c r="AS1742">
        <v>0</v>
      </c>
      <c r="AT1742">
        <v>0</v>
      </c>
    </row>
    <row r="1743" spans="44:46">
      <c r="AR1743">
        <v>0</v>
      </c>
      <c r="AS1743">
        <v>0</v>
      </c>
      <c r="AT1743">
        <v>0</v>
      </c>
    </row>
    <row r="1744" spans="44:46">
      <c r="AR1744">
        <v>0</v>
      </c>
      <c r="AS1744">
        <v>0</v>
      </c>
      <c r="AT1744">
        <v>0</v>
      </c>
    </row>
    <row r="1745" spans="44:46">
      <c r="AR1745">
        <v>0</v>
      </c>
      <c r="AS1745">
        <v>0</v>
      </c>
      <c r="AT1745">
        <v>0</v>
      </c>
    </row>
    <row r="1746" spans="44:46">
      <c r="AR1746">
        <v>0</v>
      </c>
      <c r="AS1746">
        <v>0</v>
      </c>
      <c r="AT1746">
        <v>0</v>
      </c>
    </row>
    <row r="1747" spans="44:46">
      <c r="AR1747">
        <v>0</v>
      </c>
      <c r="AS1747">
        <v>0</v>
      </c>
      <c r="AT1747">
        <v>0</v>
      </c>
    </row>
    <row r="1748" spans="44:46">
      <c r="AR1748">
        <v>0</v>
      </c>
      <c r="AS1748">
        <v>0</v>
      </c>
      <c r="AT1748">
        <v>0</v>
      </c>
    </row>
    <row r="1749" spans="44:46">
      <c r="AR1749">
        <v>0</v>
      </c>
      <c r="AS1749">
        <v>0</v>
      </c>
      <c r="AT1749">
        <v>0</v>
      </c>
    </row>
    <row r="1750" spans="44:46">
      <c r="AR1750">
        <v>0</v>
      </c>
      <c r="AS1750">
        <v>0</v>
      </c>
      <c r="AT1750">
        <v>0</v>
      </c>
    </row>
    <row r="1751" spans="44:46">
      <c r="AR1751">
        <v>0</v>
      </c>
      <c r="AS1751">
        <v>0</v>
      </c>
      <c r="AT1751">
        <v>0</v>
      </c>
    </row>
    <row r="1752" spans="44:46">
      <c r="AR1752">
        <v>0</v>
      </c>
      <c r="AS1752">
        <v>0</v>
      </c>
      <c r="AT1752">
        <v>0</v>
      </c>
    </row>
    <row r="1753" spans="44:46">
      <c r="AR1753">
        <v>0</v>
      </c>
      <c r="AS1753">
        <v>0</v>
      </c>
      <c r="AT1753">
        <v>0</v>
      </c>
    </row>
    <row r="1754" spans="44:46">
      <c r="AR1754">
        <v>0</v>
      </c>
      <c r="AS1754">
        <v>0</v>
      </c>
      <c r="AT1754">
        <v>0</v>
      </c>
    </row>
    <row r="1755" spans="44:46">
      <c r="AR1755">
        <v>0</v>
      </c>
      <c r="AS1755">
        <v>0</v>
      </c>
      <c r="AT1755">
        <v>0</v>
      </c>
    </row>
    <row r="1756" spans="44:46">
      <c r="AR1756">
        <v>0</v>
      </c>
      <c r="AS1756">
        <v>0</v>
      </c>
      <c r="AT1756">
        <v>0</v>
      </c>
    </row>
    <row r="1757" spans="44:46">
      <c r="AR1757">
        <v>0</v>
      </c>
      <c r="AS1757">
        <v>0</v>
      </c>
      <c r="AT1757">
        <v>0</v>
      </c>
    </row>
    <row r="1758" spans="44:46">
      <c r="AR1758">
        <v>0</v>
      </c>
      <c r="AS1758">
        <v>0</v>
      </c>
      <c r="AT1758">
        <v>0</v>
      </c>
    </row>
    <row r="1759" spans="44:46">
      <c r="AR1759">
        <v>0</v>
      </c>
      <c r="AS1759">
        <v>0</v>
      </c>
      <c r="AT1759">
        <v>0</v>
      </c>
    </row>
    <row r="1760" spans="44:46">
      <c r="AR1760">
        <v>0</v>
      </c>
      <c r="AS1760">
        <v>0</v>
      </c>
      <c r="AT1760">
        <v>0</v>
      </c>
    </row>
    <row r="1761" spans="44:46">
      <c r="AR1761">
        <v>0</v>
      </c>
      <c r="AS1761">
        <v>0</v>
      </c>
      <c r="AT1761">
        <v>0</v>
      </c>
    </row>
    <row r="1762" spans="44:46">
      <c r="AR1762">
        <v>0</v>
      </c>
      <c r="AS1762">
        <v>0</v>
      </c>
      <c r="AT1762">
        <v>0</v>
      </c>
    </row>
    <row r="1763" spans="44:46">
      <c r="AR1763">
        <v>0</v>
      </c>
      <c r="AS1763">
        <v>0</v>
      </c>
      <c r="AT1763">
        <v>0</v>
      </c>
    </row>
    <row r="1764" spans="44:46">
      <c r="AR1764">
        <v>0</v>
      </c>
      <c r="AS1764">
        <v>0</v>
      </c>
      <c r="AT1764">
        <v>0</v>
      </c>
    </row>
    <row r="1765" spans="44:46">
      <c r="AR1765">
        <v>0</v>
      </c>
      <c r="AS1765">
        <v>0</v>
      </c>
      <c r="AT1765">
        <v>0</v>
      </c>
    </row>
    <row r="1766" spans="44:46">
      <c r="AR1766">
        <v>0</v>
      </c>
      <c r="AS1766">
        <v>0</v>
      </c>
      <c r="AT1766">
        <v>0</v>
      </c>
    </row>
    <row r="1767" spans="44:46">
      <c r="AR1767">
        <v>0</v>
      </c>
      <c r="AS1767">
        <v>0</v>
      </c>
      <c r="AT1767">
        <v>0</v>
      </c>
    </row>
    <row r="1768" spans="44:46">
      <c r="AR1768">
        <v>0</v>
      </c>
      <c r="AS1768">
        <v>0</v>
      </c>
      <c r="AT1768">
        <v>0</v>
      </c>
    </row>
    <row r="1769" spans="44:46">
      <c r="AR1769">
        <v>0</v>
      </c>
      <c r="AS1769">
        <v>0</v>
      </c>
      <c r="AT1769">
        <v>0</v>
      </c>
    </row>
    <row r="1770" spans="44:46">
      <c r="AR1770">
        <v>0</v>
      </c>
      <c r="AS1770">
        <v>0</v>
      </c>
      <c r="AT1770">
        <v>0</v>
      </c>
    </row>
    <row r="1771" spans="44:46">
      <c r="AR1771">
        <v>0</v>
      </c>
      <c r="AS1771">
        <v>0</v>
      </c>
      <c r="AT1771">
        <v>0</v>
      </c>
    </row>
    <row r="1772" spans="44:46">
      <c r="AR1772">
        <v>0</v>
      </c>
      <c r="AS1772">
        <v>0</v>
      </c>
      <c r="AT1772">
        <v>0</v>
      </c>
    </row>
    <row r="1773" spans="44:46">
      <c r="AR1773">
        <v>0</v>
      </c>
      <c r="AS1773">
        <v>0</v>
      </c>
      <c r="AT1773">
        <v>0</v>
      </c>
    </row>
    <row r="1774" spans="44:46">
      <c r="AR1774">
        <v>0</v>
      </c>
      <c r="AS1774">
        <v>0</v>
      </c>
      <c r="AT1774">
        <v>0</v>
      </c>
    </row>
    <row r="1775" spans="44:46">
      <c r="AR1775">
        <v>0</v>
      </c>
      <c r="AS1775">
        <v>0</v>
      </c>
      <c r="AT1775">
        <v>0</v>
      </c>
    </row>
    <row r="1776" spans="44:46">
      <c r="AR1776">
        <v>0</v>
      </c>
      <c r="AS1776">
        <v>0</v>
      </c>
      <c r="AT1776">
        <v>0</v>
      </c>
    </row>
    <row r="1777" spans="44:46">
      <c r="AR1777">
        <v>0</v>
      </c>
      <c r="AS1777">
        <v>0</v>
      </c>
      <c r="AT1777">
        <v>0</v>
      </c>
    </row>
    <row r="1778" spans="44:46">
      <c r="AR1778">
        <v>0</v>
      </c>
      <c r="AS1778">
        <v>0</v>
      </c>
      <c r="AT1778">
        <v>0</v>
      </c>
    </row>
    <row r="1779" spans="44:46">
      <c r="AR1779">
        <v>0</v>
      </c>
      <c r="AS1779">
        <v>0</v>
      </c>
      <c r="AT1779">
        <v>0</v>
      </c>
    </row>
    <row r="1780" spans="44:46">
      <c r="AR1780">
        <v>0</v>
      </c>
      <c r="AS1780">
        <v>0</v>
      </c>
      <c r="AT1780">
        <v>0</v>
      </c>
    </row>
    <row r="1781" spans="44:46">
      <c r="AR1781">
        <v>0</v>
      </c>
      <c r="AS1781">
        <v>0</v>
      </c>
      <c r="AT1781">
        <v>0</v>
      </c>
    </row>
    <row r="1782" spans="44:46">
      <c r="AR1782">
        <v>0</v>
      </c>
      <c r="AS1782">
        <v>0</v>
      </c>
      <c r="AT1782">
        <v>0</v>
      </c>
    </row>
    <row r="1783" spans="44:46">
      <c r="AR1783">
        <v>0</v>
      </c>
      <c r="AS1783">
        <v>0</v>
      </c>
      <c r="AT1783">
        <v>0</v>
      </c>
    </row>
    <row r="1784" spans="44:46">
      <c r="AR1784">
        <v>0</v>
      </c>
      <c r="AS1784">
        <v>0</v>
      </c>
      <c r="AT1784">
        <v>0</v>
      </c>
    </row>
    <row r="1785" spans="44:46">
      <c r="AR1785">
        <v>0</v>
      </c>
      <c r="AS1785">
        <v>0</v>
      </c>
      <c r="AT1785">
        <v>0</v>
      </c>
    </row>
    <row r="1786" spans="44:46">
      <c r="AR1786">
        <v>0</v>
      </c>
      <c r="AS1786">
        <v>0</v>
      </c>
      <c r="AT1786">
        <v>0</v>
      </c>
    </row>
    <row r="1787" spans="44:46">
      <c r="AR1787">
        <v>0</v>
      </c>
      <c r="AS1787">
        <v>0</v>
      </c>
      <c r="AT1787">
        <v>0</v>
      </c>
    </row>
    <row r="1788" spans="44:46">
      <c r="AR1788">
        <v>0</v>
      </c>
      <c r="AS1788">
        <v>0</v>
      </c>
      <c r="AT1788">
        <v>0</v>
      </c>
    </row>
    <row r="1789" spans="44:46">
      <c r="AR1789">
        <v>0</v>
      </c>
      <c r="AS1789">
        <v>0</v>
      </c>
      <c r="AT1789">
        <v>0</v>
      </c>
    </row>
    <row r="1790" spans="44:46">
      <c r="AR1790">
        <v>0</v>
      </c>
      <c r="AS1790">
        <v>0</v>
      </c>
      <c r="AT1790">
        <v>0</v>
      </c>
    </row>
    <row r="1791" spans="44:46">
      <c r="AR1791">
        <v>0</v>
      </c>
      <c r="AS1791">
        <v>0</v>
      </c>
      <c r="AT1791">
        <v>0</v>
      </c>
    </row>
    <row r="1792" spans="44:46">
      <c r="AR1792">
        <v>0</v>
      </c>
      <c r="AS1792">
        <v>0</v>
      </c>
      <c r="AT1792">
        <v>0</v>
      </c>
    </row>
    <row r="1793" spans="44:46">
      <c r="AR1793">
        <v>0</v>
      </c>
      <c r="AS1793">
        <v>0</v>
      </c>
      <c r="AT1793">
        <v>0</v>
      </c>
    </row>
    <row r="1794" spans="44:46">
      <c r="AR1794">
        <v>0</v>
      </c>
      <c r="AS1794">
        <v>0</v>
      </c>
      <c r="AT1794">
        <v>0</v>
      </c>
    </row>
    <row r="1795" spans="44:46">
      <c r="AR1795">
        <v>0</v>
      </c>
      <c r="AS1795">
        <v>0</v>
      </c>
      <c r="AT1795">
        <v>0</v>
      </c>
    </row>
    <row r="1796" spans="44:46">
      <c r="AR1796">
        <v>0</v>
      </c>
      <c r="AS1796">
        <v>0</v>
      </c>
      <c r="AT1796">
        <v>0</v>
      </c>
    </row>
    <row r="1797" spans="44:46">
      <c r="AR1797">
        <v>0</v>
      </c>
      <c r="AS1797">
        <v>0</v>
      </c>
      <c r="AT1797">
        <v>0</v>
      </c>
    </row>
    <row r="1798" spans="44:46">
      <c r="AR1798">
        <v>0</v>
      </c>
      <c r="AS1798">
        <v>0</v>
      </c>
      <c r="AT1798">
        <v>0</v>
      </c>
    </row>
    <row r="1799" spans="44:46">
      <c r="AR1799">
        <v>0</v>
      </c>
      <c r="AS1799">
        <v>0</v>
      </c>
      <c r="AT1799">
        <v>0</v>
      </c>
    </row>
    <row r="1800" spans="44:46">
      <c r="AR1800">
        <v>0</v>
      </c>
      <c r="AS1800">
        <v>0</v>
      </c>
      <c r="AT1800">
        <v>0</v>
      </c>
    </row>
    <row r="1801" spans="44:46">
      <c r="AR1801">
        <v>0</v>
      </c>
      <c r="AS1801">
        <v>0</v>
      </c>
      <c r="AT1801">
        <v>0</v>
      </c>
    </row>
    <row r="1802" spans="44:46">
      <c r="AR1802">
        <v>0</v>
      </c>
      <c r="AS1802">
        <v>0</v>
      </c>
      <c r="AT1802">
        <v>0</v>
      </c>
    </row>
    <row r="1803" spans="44:46">
      <c r="AR1803">
        <v>0</v>
      </c>
      <c r="AS1803">
        <v>0</v>
      </c>
      <c r="AT1803">
        <v>0</v>
      </c>
    </row>
    <row r="1804" spans="44:46">
      <c r="AR1804">
        <v>0</v>
      </c>
      <c r="AS1804">
        <v>0</v>
      </c>
      <c r="AT1804">
        <v>0</v>
      </c>
    </row>
    <row r="1805" spans="44:46">
      <c r="AR1805">
        <v>0</v>
      </c>
      <c r="AS1805">
        <v>0</v>
      </c>
      <c r="AT1805">
        <v>0</v>
      </c>
    </row>
    <row r="1806" spans="44:46">
      <c r="AR1806">
        <v>0</v>
      </c>
      <c r="AS1806">
        <v>0</v>
      </c>
      <c r="AT1806">
        <v>0</v>
      </c>
    </row>
    <row r="1807" spans="44:46">
      <c r="AR1807">
        <v>0</v>
      </c>
      <c r="AS1807">
        <v>0</v>
      </c>
      <c r="AT1807">
        <v>0</v>
      </c>
    </row>
    <row r="1808" spans="44:46">
      <c r="AR1808">
        <v>0</v>
      </c>
      <c r="AS1808">
        <v>0</v>
      </c>
      <c r="AT1808">
        <v>0</v>
      </c>
    </row>
    <row r="1809" spans="44:46">
      <c r="AR1809">
        <v>0</v>
      </c>
      <c r="AS1809">
        <v>0</v>
      </c>
      <c r="AT1809">
        <v>0</v>
      </c>
    </row>
    <row r="1810" spans="44:46">
      <c r="AR1810">
        <v>0</v>
      </c>
      <c r="AS1810">
        <v>0</v>
      </c>
      <c r="AT1810">
        <v>0</v>
      </c>
    </row>
    <row r="1811" spans="44:46">
      <c r="AR1811">
        <v>0</v>
      </c>
      <c r="AS1811">
        <v>0</v>
      </c>
      <c r="AT1811">
        <v>0</v>
      </c>
    </row>
    <row r="1812" spans="44:46">
      <c r="AR1812">
        <v>0</v>
      </c>
      <c r="AS1812">
        <v>0</v>
      </c>
      <c r="AT1812">
        <v>0</v>
      </c>
    </row>
    <row r="1813" spans="44:46">
      <c r="AR1813">
        <v>0</v>
      </c>
      <c r="AS1813">
        <v>0</v>
      </c>
      <c r="AT1813">
        <v>0</v>
      </c>
    </row>
    <row r="1814" spans="44:46">
      <c r="AR1814">
        <v>0</v>
      </c>
      <c r="AS1814">
        <v>0</v>
      </c>
      <c r="AT1814">
        <v>0</v>
      </c>
    </row>
    <row r="1815" spans="44:46">
      <c r="AR1815">
        <v>0</v>
      </c>
      <c r="AS1815">
        <v>0</v>
      </c>
      <c r="AT1815">
        <v>0</v>
      </c>
    </row>
    <row r="1816" spans="44:46">
      <c r="AR1816">
        <v>0</v>
      </c>
      <c r="AS1816">
        <v>0</v>
      </c>
      <c r="AT1816">
        <v>0</v>
      </c>
    </row>
    <row r="1817" spans="44:46">
      <c r="AR1817">
        <v>0</v>
      </c>
      <c r="AS1817">
        <v>0</v>
      </c>
      <c r="AT1817">
        <v>0</v>
      </c>
    </row>
    <row r="1818" spans="44:46">
      <c r="AR1818">
        <v>0</v>
      </c>
      <c r="AS1818">
        <v>0</v>
      </c>
      <c r="AT1818">
        <v>0</v>
      </c>
    </row>
    <row r="1819" spans="44:46">
      <c r="AR1819">
        <v>0</v>
      </c>
      <c r="AS1819">
        <v>0</v>
      </c>
      <c r="AT1819">
        <v>0</v>
      </c>
    </row>
    <row r="1820" spans="44:46">
      <c r="AR1820">
        <v>0</v>
      </c>
      <c r="AS1820">
        <v>0</v>
      </c>
      <c r="AT1820">
        <v>0</v>
      </c>
    </row>
    <row r="1821" spans="44:46">
      <c r="AR1821">
        <v>0</v>
      </c>
      <c r="AS1821">
        <v>0</v>
      </c>
      <c r="AT1821">
        <v>0</v>
      </c>
    </row>
    <row r="1822" spans="44:46">
      <c r="AR1822">
        <v>0</v>
      </c>
      <c r="AS1822">
        <v>0</v>
      </c>
      <c r="AT1822">
        <v>0</v>
      </c>
    </row>
    <row r="1823" spans="44:46">
      <c r="AR1823">
        <v>0</v>
      </c>
      <c r="AS1823">
        <v>0</v>
      </c>
      <c r="AT1823">
        <v>0</v>
      </c>
    </row>
    <row r="1824" spans="44:46">
      <c r="AR1824">
        <v>0</v>
      </c>
      <c r="AS1824">
        <v>0</v>
      </c>
      <c r="AT1824">
        <v>0</v>
      </c>
    </row>
    <row r="1825" spans="44:46">
      <c r="AR1825">
        <v>0</v>
      </c>
      <c r="AS1825">
        <v>0</v>
      </c>
      <c r="AT1825">
        <v>0</v>
      </c>
    </row>
    <row r="1826" spans="44:46">
      <c r="AR1826">
        <v>0</v>
      </c>
      <c r="AS1826">
        <v>0</v>
      </c>
      <c r="AT1826">
        <v>0</v>
      </c>
    </row>
    <row r="1827" spans="44:46">
      <c r="AR1827">
        <v>0</v>
      </c>
      <c r="AS1827">
        <v>0</v>
      </c>
      <c r="AT1827">
        <v>0</v>
      </c>
    </row>
    <row r="1828" spans="44:46">
      <c r="AR1828">
        <v>0</v>
      </c>
      <c r="AS1828">
        <v>0</v>
      </c>
      <c r="AT1828">
        <v>0</v>
      </c>
    </row>
    <row r="1829" spans="44:46">
      <c r="AR1829">
        <v>0</v>
      </c>
      <c r="AS1829">
        <v>0</v>
      </c>
      <c r="AT1829">
        <v>0</v>
      </c>
    </row>
    <row r="1830" spans="44:46">
      <c r="AR1830">
        <v>0</v>
      </c>
      <c r="AS1830">
        <v>0</v>
      </c>
      <c r="AT1830">
        <v>0</v>
      </c>
    </row>
    <row r="1831" spans="44:46">
      <c r="AR1831">
        <v>0</v>
      </c>
      <c r="AS1831">
        <v>0</v>
      </c>
      <c r="AT1831">
        <v>0</v>
      </c>
    </row>
    <row r="1832" spans="44:46">
      <c r="AR1832">
        <v>0</v>
      </c>
      <c r="AS1832">
        <v>0</v>
      </c>
      <c r="AT1832">
        <v>0</v>
      </c>
    </row>
    <row r="1833" spans="44:46">
      <c r="AR1833">
        <v>0</v>
      </c>
      <c r="AS1833">
        <v>0</v>
      </c>
      <c r="AT1833">
        <v>0</v>
      </c>
    </row>
    <row r="1834" spans="44:46">
      <c r="AR1834">
        <v>0</v>
      </c>
      <c r="AS1834">
        <v>0</v>
      </c>
      <c r="AT1834">
        <v>0</v>
      </c>
    </row>
    <row r="1835" spans="44:46">
      <c r="AR1835">
        <v>0</v>
      </c>
      <c r="AS1835">
        <v>0</v>
      </c>
      <c r="AT1835">
        <v>0</v>
      </c>
    </row>
    <row r="1836" spans="44:46">
      <c r="AR1836">
        <v>0</v>
      </c>
      <c r="AS1836">
        <v>0</v>
      </c>
      <c r="AT1836">
        <v>0</v>
      </c>
    </row>
    <row r="1837" spans="44:46">
      <c r="AR1837">
        <v>0</v>
      </c>
      <c r="AS1837">
        <v>0</v>
      </c>
      <c r="AT1837">
        <v>0</v>
      </c>
    </row>
    <row r="1838" spans="44:46">
      <c r="AR1838">
        <v>0</v>
      </c>
      <c r="AS1838">
        <v>0</v>
      </c>
      <c r="AT1838">
        <v>0</v>
      </c>
    </row>
    <row r="1839" spans="44:46">
      <c r="AR1839">
        <v>0</v>
      </c>
      <c r="AS1839">
        <v>0</v>
      </c>
      <c r="AT1839">
        <v>0</v>
      </c>
    </row>
    <row r="1840" spans="44:46">
      <c r="AR1840">
        <v>0</v>
      </c>
      <c r="AS1840">
        <v>0</v>
      </c>
      <c r="AT1840">
        <v>0</v>
      </c>
    </row>
    <row r="1841" spans="44:46">
      <c r="AR1841">
        <v>0</v>
      </c>
      <c r="AS1841">
        <v>0</v>
      </c>
      <c r="AT1841">
        <v>0</v>
      </c>
    </row>
    <row r="1842" spans="44:46">
      <c r="AR1842">
        <v>0</v>
      </c>
      <c r="AS1842">
        <v>0</v>
      </c>
      <c r="AT1842">
        <v>0</v>
      </c>
    </row>
    <row r="1843" spans="44:46">
      <c r="AR1843">
        <v>0</v>
      </c>
      <c r="AS1843">
        <v>0</v>
      </c>
      <c r="AT1843">
        <v>0</v>
      </c>
    </row>
    <row r="1844" spans="44:46">
      <c r="AR1844">
        <v>0</v>
      </c>
      <c r="AS1844">
        <v>0</v>
      </c>
      <c r="AT1844">
        <v>0</v>
      </c>
    </row>
    <row r="1845" spans="44:46">
      <c r="AR1845">
        <v>0</v>
      </c>
      <c r="AS1845">
        <v>0</v>
      </c>
      <c r="AT1845">
        <v>0</v>
      </c>
    </row>
    <row r="1846" spans="44:46">
      <c r="AR1846">
        <v>0</v>
      </c>
      <c r="AS1846">
        <v>0</v>
      </c>
      <c r="AT1846">
        <v>0</v>
      </c>
    </row>
    <row r="1847" spans="44:46">
      <c r="AR1847">
        <v>0</v>
      </c>
      <c r="AS1847">
        <v>0</v>
      </c>
      <c r="AT1847">
        <v>0</v>
      </c>
    </row>
    <row r="1848" spans="44:46">
      <c r="AR1848">
        <v>0</v>
      </c>
      <c r="AS1848">
        <v>0</v>
      </c>
      <c r="AT1848">
        <v>0</v>
      </c>
    </row>
    <row r="1849" spans="44:46">
      <c r="AR1849">
        <v>0</v>
      </c>
      <c r="AS1849">
        <v>0</v>
      </c>
      <c r="AT1849">
        <v>0</v>
      </c>
    </row>
    <row r="1850" spans="44:46">
      <c r="AR1850">
        <v>0</v>
      </c>
      <c r="AS1850">
        <v>0</v>
      </c>
      <c r="AT1850">
        <v>0</v>
      </c>
    </row>
    <row r="1851" spans="44:46">
      <c r="AR1851">
        <v>0</v>
      </c>
      <c r="AS1851">
        <v>0</v>
      </c>
      <c r="AT1851">
        <v>0</v>
      </c>
    </row>
    <row r="1852" spans="44:46">
      <c r="AR1852">
        <v>0</v>
      </c>
      <c r="AS1852">
        <v>0</v>
      </c>
      <c r="AT1852">
        <v>0</v>
      </c>
    </row>
    <row r="1853" spans="44:46">
      <c r="AR1853">
        <v>0</v>
      </c>
      <c r="AS1853">
        <v>0</v>
      </c>
      <c r="AT1853">
        <v>0</v>
      </c>
    </row>
    <row r="1854" spans="44:46">
      <c r="AR1854">
        <v>0</v>
      </c>
      <c r="AS1854">
        <v>0</v>
      </c>
      <c r="AT1854">
        <v>0</v>
      </c>
    </row>
    <row r="1855" spans="44:46">
      <c r="AR1855">
        <v>0</v>
      </c>
      <c r="AS1855">
        <v>0</v>
      </c>
      <c r="AT1855">
        <v>0</v>
      </c>
    </row>
    <row r="1856" spans="44:46">
      <c r="AR1856">
        <v>0</v>
      </c>
      <c r="AS1856">
        <v>0</v>
      </c>
      <c r="AT1856">
        <v>0</v>
      </c>
    </row>
    <row r="1857" spans="44:46">
      <c r="AR1857">
        <v>0</v>
      </c>
      <c r="AS1857">
        <v>0</v>
      </c>
      <c r="AT1857">
        <v>0</v>
      </c>
    </row>
    <row r="1858" spans="44:46">
      <c r="AR1858">
        <v>0</v>
      </c>
      <c r="AS1858">
        <v>0</v>
      </c>
      <c r="AT1858">
        <v>0</v>
      </c>
    </row>
    <row r="1859" spans="44:46">
      <c r="AR1859">
        <v>0</v>
      </c>
      <c r="AS1859">
        <v>0</v>
      </c>
      <c r="AT1859">
        <v>0</v>
      </c>
    </row>
    <row r="1860" spans="44:46">
      <c r="AR1860">
        <v>0</v>
      </c>
      <c r="AS1860">
        <v>0</v>
      </c>
      <c r="AT1860">
        <v>0</v>
      </c>
    </row>
    <row r="1861" spans="44:46">
      <c r="AR1861">
        <v>0</v>
      </c>
      <c r="AS1861">
        <v>0</v>
      </c>
      <c r="AT1861">
        <v>0</v>
      </c>
    </row>
    <row r="1862" spans="44:46">
      <c r="AR1862">
        <v>0</v>
      </c>
      <c r="AS1862">
        <v>0</v>
      </c>
      <c r="AT1862">
        <v>0</v>
      </c>
    </row>
    <row r="1863" spans="44:46">
      <c r="AR1863">
        <v>0</v>
      </c>
      <c r="AS1863">
        <v>0</v>
      </c>
      <c r="AT1863">
        <v>0</v>
      </c>
    </row>
    <row r="1864" spans="44:46">
      <c r="AR1864">
        <v>0</v>
      </c>
      <c r="AS1864">
        <v>0</v>
      </c>
      <c r="AT1864">
        <v>0</v>
      </c>
    </row>
    <row r="1865" spans="44:46">
      <c r="AR1865">
        <v>0</v>
      </c>
      <c r="AS1865">
        <v>0</v>
      </c>
      <c r="AT1865">
        <v>0</v>
      </c>
    </row>
    <row r="1866" spans="44:46">
      <c r="AR1866">
        <v>0</v>
      </c>
      <c r="AS1866">
        <v>0</v>
      </c>
      <c r="AT1866">
        <v>0</v>
      </c>
    </row>
    <row r="1867" spans="44:46">
      <c r="AR1867">
        <v>0</v>
      </c>
      <c r="AS1867">
        <v>0</v>
      </c>
      <c r="AT1867">
        <v>0</v>
      </c>
    </row>
    <row r="1868" spans="44:46">
      <c r="AR1868">
        <v>0</v>
      </c>
      <c r="AS1868">
        <v>0</v>
      </c>
      <c r="AT1868">
        <v>0</v>
      </c>
    </row>
    <row r="1869" spans="44:46">
      <c r="AR1869">
        <v>0</v>
      </c>
      <c r="AS1869">
        <v>0</v>
      </c>
      <c r="AT1869">
        <v>0</v>
      </c>
    </row>
    <row r="1870" spans="44:46">
      <c r="AR1870">
        <v>0</v>
      </c>
      <c r="AS1870">
        <v>0</v>
      </c>
      <c r="AT1870">
        <v>0</v>
      </c>
    </row>
    <row r="1871" spans="44:46">
      <c r="AR1871">
        <v>0</v>
      </c>
      <c r="AS1871">
        <v>0</v>
      </c>
      <c r="AT1871">
        <v>0</v>
      </c>
    </row>
    <row r="1872" spans="44:46">
      <c r="AR1872">
        <v>0</v>
      </c>
      <c r="AS1872">
        <v>0</v>
      </c>
      <c r="AT1872">
        <v>0</v>
      </c>
    </row>
    <row r="1873" spans="44:46">
      <c r="AR1873">
        <v>0</v>
      </c>
      <c r="AS1873">
        <v>0</v>
      </c>
      <c r="AT1873">
        <v>0</v>
      </c>
    </row>
    <row r="1874" spans="44:46">
      <c r="AR1874">
        <v>0</v>
      </c>
      <c r="AS1874">
        <v>0</v>
      </c>
      <c r="AT1874">
        <v>0</v>
      </c>
    </row>
    <row r="1875" spans="44:46">
      <c r="AR1875">
        <v>0</v>
      </c>
      <c r="AS1875">
        <v>0</v>
      </c>
      <c r="AT1875">
        <v>0</v>
      </c>
    </row>
    <row r="1876" spans="44:46">
      <c r="AR1876">
        <v>0</v>
      </c>
      <c r="AS1876">
        <v>0</v>
      </c>
      <c r="AT1876">
        <v>0</v>
      </c>
    </row>
    <row r="1877" spans="44:46">
      <c r="AR1877">
        <v>0</v>
      </c>
      <c r="AS1877">
        <v>0</v>
      </c>
      <c r="AT1877">
        <v>0</v>
      </c>
    </row>
    <row r="1878" spans="44:46">
      <c r="AR1878">
        <v>0</v>
      </c>
      <c r="AS1878">
        <v>0</v>
      </c>
      <c r="AT1878">
        <v>0</v>
      </c>
    </row>
    <row r="1879" spans="44:46">
      <c r="AR1879">
        <v>0</v>
      </c>
      <c r="AS1879">
        <v>0</v>
      </c>
      <c r="AT1879">
        <v>0</v>
      </c>
    </row>
    <row r="1880" spans="44:46">
      <c r="AR1880">
        <v>0</v>
      </c>
      <c r="AS1880">
        <v>0</v>
      </c>
      <c r="AT1880">
        <v>0</v>
      </c>
    </row>
    <row r="1881" spans="44:46">
      <c r="AR1881">
        <v>0</v>
      </c>
      <c r="AS1881">
        <v>0</v>
      </c>
      <c r="AT1881">
        <v>0</v>
      </c>
    </row>
    <row r="1882" spans="44:46">
      <c r="AR1882">
        <v>0</v>
      </c>
      <c r="AS1882">
        <v>0</v>
      </c>
      <c r="AT1882">
        <v>0</v>
      </c>
    </row>
    <row r="1883" spans="44:46">
      <c r="AR1883">
        <v>0</v>
      </c>
      <c r="AS1883">
        <v>0</v>
      </c>
      <c r="AT1883">
        <v>0</v>
      </c>
    </row>
    <row r="1884" spans="44:46">
      <c r="AR1884">
        <v>0</v>
      </c>
      <c r="AS1884">
        <v>0</v>
      </c>
      <c r="AT1884">
        <v>0</v>
      </c>
    </row>
    <row r="1885" spans="44:46">
      <c r="AR1885">
        <v>0</v>
      </c>
      <c r="AS1885">
        <v>0</v>
      </c>
      <c r="AT1885">
        <v>0</v>
      </c>
    </row>
    <row r="1886" spans="44:46">
      <c r="AR1886">
        <v>0</v>
      </c>
      <c r="AS1886">
        <v>0</v>
      </c>
      <c r="AT1886">
        <v>0</v>
      </c>
    </row>
    <row r="1887" spans="44:46">
      <c r="AR1887">
        <v>0</v>
      </c>
      <c r="AS1887">
        <v>0</v>
      </c>
      <c r="AT1887">
        <v>0</v>
      </c>
    </row>
    <row r="1888" spans="44:46">
      <c r="AR1888">
        <v>0</v>
      </c>
      <c r="AS1888">
        <v>0</v>
      </c>
      <c r="AT1888">
        <v>0</v>
      </c>
    </row>
    <row r="1889" spans="44:46">
      <c r="AR1889">
        <v>0</v>
      </c>
      <c r="AS1889">
        <v>0</v>
      </c>
      <c r="AT1889">
        <v>0</v>
      </c>
    </row>
    <row r="1890" spans="44:46">
      <c r="AR1890">
        <v>0</v>
      </c>
      <c r="AS1890">
        <v>0</v>
      </c>
      <c r="AT1890">
        <v>0</v>
      </c>
    </row>
    <row r="1891" spans="44:46">
      <c r="AR1891">
        <v>0</v>
      </c>
      <c r="AS1891">
        <v>0</v>
      </c>
      <c r="AT1891">
        <v>0</v>
      </c>
    </row>
    <row r="1892" spans="44:46">
      <c r="AR1892">
        <v>0</v>
      </c>
      <c r="AS1892">
        <v>0</v>
      </c>
      <c r="AT1892">
        <v>0</v>
      </c>
    </row>
    <row r="1893" spans="44:46">
      <c r="AR1893">
        <v>0</v>
      </c>
      <c r="AS1893">
        <v>0</v>
      </c>
      <c r="AT1893">
        <v>0</v>
      </c>
    </row>
    <row r="1894" spans="44:46">
      <c r="AR1894">
        <v>0</v>
      </c>
      <c r="AS1894">
        <v>0</v>
      </c>
      <c r="AT1894">
        <v>0</v>
      </c>
    </row>
    <row r="1895" spans="44:46">
      <c r="AR1895">
        <v>0</v>
      </c>
      <c r="AS1895">
        <v>0</v>
      </c>
      <c r="AT1895">
        <v>0</v>
      </c>
    </row>
    <row r="1896" spans="44:46">
      <c r="AR1896">
        <v>0</v>
      </c>
      <c r="AS1896">
        <v>0</v>
      </c>
      <c r="AT1896">
        <v>0</v>
      </c>
    </row>
    <row r="1897" spans="44:46">
      <c r="AR1897">
        <v>0</v>
      </c>
      <c r="AS1897">
        <v>0</v>
      </c>
      <c r="AT1897">
        <v>0</v>
      </c>
    </row>
    <row r="1898" spans="44:46">
      <c r="AR1898">
        <v>0</v>
      </c>
      <c r="AS1898">
        <v>0</v>
      </c>
      <c r="AT1898">
        <v>0</v>
      </c>
    </row>
    <row r="1899" spans="44:46">
      <c r="AR1899">
        <v>0</v>
      </c>
      <c r="AS1899">
        <v>0</v>
      </c>
      <c r="AT1899">
        <v>0</v>
      </c>
    </row>
    <row r="1900" spans="44:46">
      <c r="AR1900">
        <v>0</v>
      </c>
      <c r="AS1900">
        <v>0</v>
      </c>
      <c r="AT1900">
        <v>0</v>
      </c>
    </row>
    <row r="1901" spans="44:46">
      <c r="AR1901">
        <v>0</v>
      </c>
      <c r="AS1901">
        <v>0</v>
      </c>
      <c r="AT1901">
        <v>0</v>
      </c>
    </row>
    <row r="1902" spans="44:46">
      <c r="AR1902">
        <v>0</v>
      </c>
      <c r="AS1902">
        <v>0</v>
      </c>
      <c r="AT1902">
        <v>0</v>
      </c>
    </row>
    <row r="1903" spans="44:46">
      <c r="AR1903">
        <v>0</v>
      </c>
      <c r="AS1903">
        <v>0</v>
      </c>
      <c r="AT1903">
        <v>0</v>
      </c>
    </row>
    <row r="1904" spans="44:46">
      <c r="AR1904">
        <v>0</v>
      </c>
      <c r="AS1904">
        <v>0</v>
      </c>
      <c r="AT1904">
        <v>0</v>
      </c>
    </row>
    <row r="1905" spans="44:46">
      <c r="AR1905">
        <v>0</v>
      </c>
      <c r="AS1905">
        <v>0</v>
      </c>
      <c r="AT1905">
        <v>0</v>
      </c>
    </row>
    <row r="1906" spans="44:46">
      <c r="AR1906">
        <v>0</v>
      </c>
      <c r="AS1906">
        <v>0</v>
      </c>
      <c r="AT1906">
        <v>0</v>
      </c>
    </row>
    <row r="1907" spans="44:46">
      <c r="AR1907">
        <v>0</v>
      </c>
      <c r="AS1907">
        <v>0</v>
      </c>
      <c r="AT1907">
        <v>0</v>
      </c>
    </row>
    <row r="1908" spans="44:46">
      <c r="AR1908">
        <v>0</v>
      </c>
      <c r="AS1908">
        <v>0</v>
      </c>
      <c r="AT1908">
        <v>0</v>
      </c>
    </row>
    <row r="1909" spans="44:46">
      <c r="AR1909">
        <v>0</v>
      </c>
      <c r="AS1909">
        <v>0</v>
      </c>
      <c r="AT1909">
        <v>0</v>
      </c>
    </row>
    <row r="1910" spans="44:46">
      <c r="AR1910">
        <v>0</v>
      </c>
      <c r="AS1910">
        <v>0</v>
      </c>
      <c r="AT1910">
        <v>0</v>
      </c>
    </row>
    <row r="1911" spans="44:46">
      <c r="AR1911">
        <v>0</v>
      </c>
      <c r="AS1911">
        <v>0</v>
      </c>
      <c r="AT1911">
        <v>0</v>
      </c>
    </row>
    <row r="1912" spans="44:46">
      <c r="AR1912">
        <v>0</v>
      </c>
      <c r="AS1912">
        <v>0</v>
      </c>
      <c r="AT1912">
        <v>0</v>
      </c>
    </row>
    <row r="1913" spans="44:46">
      <c r="AR1913">
        <v>0</v>
      </c>
      <c r="AS1913">
        <v>0</v>
      </c>
      <c r="AT1913">
        <v>0</v>
      </c>
    </row>
    <row r="1914" spans="44:46">
      <c r="AR1914">
        <v>0</v>
      </c>
      <c r="AS1914">
        <v>0</v>
      </c>
      <c r="AT1914">
        <v>0</v>
      </c>
    </row>
    <row r="1915" spans="44:46">
      <c r="AR1915">
        <v>0</v>
      </c>
      <c r="AS1915">
        <v>0</v>
      </c>
      <c r="AT1915">
        <v>0</v>
      </c>
    </row>
    <row r="1916" spans="44:46">
      <c r="AR1916">
        <v>0</v>
      </c>
      <c r="AS1916">
        <v>0</v>
      </c>
      <c r="AT1916">
        <v>0</v>
      </c>
    </row>
    <row r="1917" spans="44:46">
      <c r="AR1917">
        <v>0</v>
      </c>
      <c r="AS1917">
        <v>0</v>
      </c>
      <c r="AT1917">
        <v>0</v>
      </c>
    </row>
    <row r="1918" spans="44:46">
      <c r="AR1918">
        <v>0</v>
      </c>
      <c r="AS1918">
        <v>0</v>
      </c>
      <c r="AT1918">
        <v>0</v>
      </c>
    </row>
    <row r="1919" spans="44:46">
      <c r="AR1919">
        <v>0</v>
      </c>
      <c r="AS1919">
        <v>0</v>
      </c>
      <c r="AT1919">
        <v>0</v>
      </c>
    </row>
    <row r="1920" spans="44:46">
      <c r="AR1920">
        <v>0</v>
      </c>
      <c r="AS1920">
        <v>0</v>
      </c>
      <c r="AT1920">
        <v>0</v>
      </c>
    </row>
    <row r="1921" spans="44:46">
      <c r="AR1921">
        <v>0</v>
      </c>
      <c r="AS1921">
        <v>0</v>
      </c>
      <c r="AT1921">
        <v>0</v>
      </c>
    </row>
    <row r="1922" spans="44:46">
      <c r="AR1922">
        <v>0</v>
      </c>
      <c r="AS1922">
        <v>0</v>
      </c>
      <c r="AT1922">
        <v>0</v>
      </c>
    </row>
    <row r="1923" spans="44:46">
      <c r="AR1923">
        <v>0</v>
      </c>
      <c r="AS1923">
        <v>0</v>
      </c>
      <c r="AT1923">
        <v>0</v>
      </c>
    </row>
    <row r="1924" spans="44:46">
      <c r="AR1924">
        <v>0</v>
      </c>
      <c r="AS1924">
        <v>0</v>
      </c>
      <c r="AT1924">
        <v>0</v>
      </c>
    </row>
    <row r="1925" spans="44:46">
      <c r="AR1925">
        <v>0</v>
      </c>
      <c r="AS1925">
        <v>0</v>
      </c>
      <c r="AT1925">
        <v>0</v>
      </c>
    </row>
    <row r="1926" spans="44:46">
      <c r="AR1926">
        <v>0</v>
      </c>
      <c r="AS1926">
        <v>0</v>
      </c>
      <c r="AT1926">
        <v>0</v>
      </c>
    </row>
    <row r="1927" spans="44:46">
      <c r="AR1927">
        <v>0</v>
      </c>
      <c r="AS1927">
        <v>0</v>
      </c>
      <c r="AT1927">
        <v>0</v>
      </c>
    </row>
    <row r="1928" spans="44:46">
      <c r="AR1928">
        <v>0</v>
      </c>
      <c r="AS1928">
        <v>0</v>
      </c>
      <c r="AT1928">
        <v>0</v>
      </c>
    </row>
    <row r="1929" spans="44:46">
      <c r="AR1929">
        <v>0</v>
      </c>
      <c r="AS1929">
        <v>0</v>
      </c>
      <c r="AT1929">
        <v>0</v>
      </c>
    </row>
    <row r="1930" spans="44:46">
      <c r="AR1930">
        <v>0</v>
      </c>
      <c r="AS1930">
        <v>0</v>
      </c>
      <c r="AT1930">
        <v>0</v>
      </c>
    </row>
    <row r="1931" spans="44:46">
      <c r="AR1931">
        <v>0</v>
      </c>
      <c r="AS1931">
        <v>0</v>
      </c>
      <c r="AT1931">
        <v>0</v>
      </c>
    </row>
    <row r="1932" spans="44:46">
      <c r="AR1932">
        <v>0</v>
      </c>
      <c r="AS1932">
        <v>0</v>
      </c>
      <c r="AT1932">
        <v>0</v>
      </c>
    </row>
    <row r="1933" spans="44:46">
      <c r="AR1933">
        <v>0</v>
      </c>
      <c r="AS1933">
        <v>0</v>
      </c>
      <c r="AT1933">
        <v>0</v>
      </c>
    </row>
    <row r="1934" spans="44:46">
      <c r="AR1934">
        <v>0</v>
      </c>
      <c r="AS1934">
        <v>0</v>
      </c>
      <c r="AT1934">
        <v>0</v>
      </c>
    </row>
    <row r="1935" spans="44:46">
      <c r="AR1935">
        <v>0</v>
      </c>
      <c r="AS1935">
        <v>0</v>
      </c>
      <c r="AT1935">
        <v>0</v>
      </c>
    </row>
    <row r="1936" spans="44:46">
      <c r="AR1936">
        <v>0</v>
      </c>
      <c r="AS1936">
        <v>0</v>
      </c>
      <c r="AT1936">
        <v>0</v>
      </c>
    </row>
    <row r="1937" spans="44:46">
      <c r="AR1937">
        <v>0</v>
      </c>
      <c r="AS1937">
        <v>0</v>
      </c>
      <c r="AT1937">
        <v>0</v>
      </c>
    </row>
    <row r="1938" spans="44:46">
      <c r="AR1938">
        <v>0</v>
      </c>
      <c r="AS1938">
        <v>0</v>
      </c>
      <c r="AT1938">
        <v>0</v>
      </c>
    </row>
    <row r="1939" spans="44:46">
      <c r="AR1939">
        <v>0</v>
      </c>
      <c r="AS1939">
        <v>0</v>
      </c>
      <c r="AT1939">
        <v>0</v>
      </c>
    </row>
    <row r="1940" spans="44:46">
      <c r="AR1940">
        <v>0</v>
      </c>
      <c r="AS1940">
        <v>0</v>
      </c>
      <c r="AT1940">
        <v>0</v>
      </c>
    </row>
    <row r="1941" spans="44:46">
      <c r="AR1941">
        <v>0</v>
      </c>
      <c r="AS1941">
        <v>0</v>
      </c>
      <c r="AT1941">
        <v>0</v>
      </c>
    </row>
    <row r="1942" spans="44:46">
      <c r="AR1942">
        <v>0</v>
      </c>
      <c r="AS1942">
        <v>0</v>
      </c>
      <c r="AT1942">
        <v>0</v>
      </c>
    </row>
    <row r="1943" spans="44:46">
      <c r="AR1943">
        <v>0</v>
      </c>
      <c r="AS1943">
        <v>0</v>
      </c>
      <c r="AT1943">
        <v>0</v>
      </c>
    </row>
    <row r="1944" spans="44:46">
      <c r="AR1944">
        <v>0</v>
      </c>
      <c r="AS1944">
        <v>0</v>
      </c>
      <c r="AT1944">
        <v>0</v>
      </c>
    </row>
    <row r="1945" spans="44:46">
      <c r="AR1945">
        <v>0</v>
      </c>
      <c r="AS1945">
        <v>0</v>
      </c>
      <c r="AT1945">
        <v>0</v>
      </c>
    </row>
    <row r="1946" spans="44:46">
      <c r="AR1946">
        <v>0</v>
      </c>
      <c r="AS1946">
        <v>0</v>
      </c>
      <c r="AT1946">
        <v>0</v>
      </c>
    </row>
    <row r="1947" spans="44:46">
      <c r="AR1947">
        <v>0</v>
      </c>
      <c r="AS1947">
        <v>0</v>
      </c>
      <c r="AT1947">
        <v>0</v>
      </c>
    </row>
    <row r="1948" spans="44:46">
      <c r="AR1948">
        <v>0</v>
      </c>
      <c r="AS1948">
        <v>0</v>
      </c>
      <c r="AT1948">
        <v>0</v>
      </c>
    </row>
    <row r="1949" spans="44:46">
      <c r="AR1949">
        <v>0</v>
      </c>
      <c r="AS1949">
        <v>0</v>
      </c>
      <c r="AT1949">
        <v>0</v>
      </c>
    </row>
    <row r="1950" spans="44:46">
      <c r="AR1950">
        <v>0</v>
      </c>
      <c r="AS1950">
        <v>0</v>
      </c>
      <c r="AT1950">
        <v>0</v>
      </c>
    </row>
    <row r="1951" spans="44:46">
      <c r="AR1951">
        <v>0</v>
      </c>
      <c r="AS1951">
        <v>0</v>
      </c>
      <c r="AT1951">
        <v>0</v>
      </c>
    </row>
    <row r="1952" spans="44:46">
      <c r="AR1952">
        <v>0</v>
      </c>
      <c r="AS1952">
        <v>0</v>
      </c>
      <c r="AT1952">
        <v>0</v>
      </c>
    </row>
    <row r="1953" spans="44:46">
      <c r="AR1953">
        <v>0</v>
      </c>
      <c r="AS1953">
        <v>0</v>
      </c>
      <c r="AT1953">
        <v>0</v>
      </c>
    </row>
    <row r="1954" spans="44:46">
      <c r="AR1954">
        <v>0</v>
      </c>
      <c r="AS1954">
        <v>0</v>
      </c>
      <c r="AT1954">
        <v>0</v>
      </c>
    </row>
    <row r="1955" spans="44:46">
      <c r="AR1955">
        <v>0</v>
      </c>
      <c r="AS1955">
        <v>0</v>
      </c>
      <c r="AT1955">
        <v>0</v>
      </c>
    </row>
    <row r="1956" spans="44:46">
      <c r="AR1956">
        <v>0</v>
      </c>
      <c r="AS1956">
        <v>0</v>
      </c>
      <c r="AT1956">
        <v>0</v>
      </c>
    </row>
    <row r="1957" spans="44:46">
      <c r="AR1957">
        <v>0</v>
      </c>
      <c r="AS1957">
        <v>0</v>
      </c>
      <c r="AT1957">
        <v>0</v>
      </c>
    </row>
    <row r="1958" spans="44:46">
      <c r="AR1958">
        <v>0</v>
      </c>
      <c r="AS1958">
        <v>0</v>
      </c>
      <c r="AT1958">
        <v>0</v>
      </c>
    </row>
    <row r="1959" spans="44:46">
      <c r="AR1959">
        <v>0</v>
      </c>
      <c r="AS1959">
        <v>0</v>
      </c>
      <c r="AT1959">
        <v>0</v>
      </c>
    </row>
    <row r="1960" spans="44:46">
      <c r="AR1960">
        <v>0</v>
      </c>
      <c r="AS1960">
        <v>0</v>
      </c>
      <c r="AT1960">
        <v>0</v>
      </c>
    </row>
    <row r="1961" spans="44:46">
      <c r="AR1961">
        <v>0</v>
      </c>
      <c r="AS1961">
        <v>0</v>
      </c>
      <c r="AT1961">
        <v>0</v>
      </c>
    </row>
    <row r="1962" spans="44:46">
      <c r="AR1962">
        <v>0</v>
      </c>
      <c r="AS1962">
        <v>0</v>
      </c>
      <c r="AT1962">
        <v>0</v>
      </c>
    </row>
    <row r="1963" spans="44:46">
      <c r="AR1963">
        <v>0</v>
      </c>
      <c r="AS1963">
        <v>0</v>
      </c>
      <c r="AT1963">
        <v>0</v>
      </c>
    </row>
    <row r="1964" spans="44:46">
      <c r="AR1964">
        <v>0</v>
      </c>
      <c r="AS1964">
        <v>0</v>
      </c>
      <c r="AT1964">
        <v>0</v>
      </c>
    </row>
    <row r="1965" spans="44:46">
      <c r="AR1965">
        <v>0</v>
      </c>
      <c r="AS1965">
        <v>0</v>
      </c>
      <c r="AT1965">
        <v>0</v>
      </c>
    </row>
    <row r="1966" spans="44:46">
      <c r="AR1966">
        <v>0</v>
      </c>
      <c r="AS1966">
        <v>0</v>
      </c>
      <c r="AT1966">
        <v>0</v>
      </c>
    </row>
    <row r="1967" spans="44:46">
      <c r="AR1967">
        <v>0</v>
      </c>
      <c r="AS1967">
        <v>0</v>
      </c>
      <c r="AT1967">
        <v>0</v>
      </c>
    </row>
    <row r="1968" spans="44:46">
      <c r="AR1968">
        <v>0</v>
      </c>
      <c r="AS1968">
        <v>0</v>
      </c>
      <c r="AT1968">
        <v>0</v>
      </c>
    </row>
    <row r="1969" spans="44:46">
      <c r="AR1969">
        <v>0</v>
      </c>
      <c r="AS1969">
        <v>0</v>
      </c>
      <c r="AT1969">
        <v>0</v>
      </c>
    </row>
    <row r="1970" spans="44:46">
      <c r="AR1970">
        <v>0</v>
      </c>
      <c r="AS1970">
        <v>0</v>
      </c>
      <c r="AT1970">
        <v>0</v>
      </c>
    </row>
    <row r="1971" spans="44:46">
      <c r="AR1971">
        <v>0</v>
      </c>
      <c r="AS1971">
        <v>0</v>
      </c>
      <c r="AT1971">
        <v>0</v>
      </c>
    </row>
    <row r="1972" spans="44:46">
      <c r="AR1972">
        <v>0</v>
      </c>
      <c r="AS1972">
        <v>0</v>
      </c>
      <c r="AT1972">
        <v>0</v>
      </c>
    </row>
    <row r="1973" spans="44:46">
      <c r="AR1973">
        <v>0</v>
      </c>
      <c r="AS1973">
        <v>0</v>
      </c>
      <c r="AT1973">
        <v>0</v>
      </c>
    </row>
    <row r="1974" spans="44:46">
      <c r="AR1974">
        <v>0</v>
      </c>
      <c r="AS1974">
        <v>0</v>
      </c>
      <c r="AT1974">
        <v>0</v>
      </c>
    </row>
    <row r="1975" spans="44:46">
      <c r="AR1975">
        <v>0</v>
      </c>
      <c r="AS1975">
        <v>0</v>
      </c>
      <c r="AT1975">
        <v>0</v>
      </c>
    </row>
    <row r="1976" spans="44:46">
      <c r="AR1976">
        <v>0</v>
      </c>
      <c r="AS1976">
        <v>0</v>
      </c>
      <c r="AT1976">
        <v>0</v>
      </c>
    </row>
    <row r="1977" spans="44:46">
      <c r="AR1977">
        <v>0</v>
      </c>
      <c r="AS1977">
        <v>0</v>
      </c>
      <c r="AT1977">
        <v>0</v>
      </c>
    </row>
    <row r="1978" spans="44:46">
      <c r="AR1978">
        <v>0</v>
      </c>
      <c r="AS1978">
        <v>0</v>
      </c>
      <c r="AT1978">
        <v>0</v>
      </c>
    </row>
    <row r="1979" spans="44:46">
      <c r="AR1979">
        <v>0</v>
      </c>
      <c r="AS1979">
        <v>0</v>
      </c>
      <c r="AT1979">
        <v>0</v>
      </c>
    </row>
    <row r="1980" spans="44:46">
      <c r="AR1980">
        <v>0</v>
      </c>
      <c r="AS1980">
        <v>0</v>
      </c>
      <c r="AT1980">
        <v>0</v>
      </c>
    </row>
    <row r="1981" spans="44:46">
      <c r="AR1981">
        <v>0</v>
      </c>
      <c r="AS1981">
        <v>0</v>
      </c>
      <c r="AT1981">
        <v>0</v>
      </c>
    </row>
    <row r="1982" spans="44:46">
      <c r="AR1982">
        <v>0</v>
      </c>
      <c r="AS1982">
        <v>0</v>
      </c>
      <c r="AT1982">
        <v>0</v>
      </c>
    </row>
    <row r="1983" spans="44:46">
      <c r="AR1983">
        <v>0</v>
      </c>
      <c r="AS1983">
        <v>0</v>
      </c>
      <c r="AT1983">
        <v>0</v>
      </c>
    </row>
    <row r="1984" spans="44:46">
      <c r="AR1984">
        <v>0</v>
      </c>
      <c r="AS1984">
        <v>0</v>
      </c>
      <c r="AT1984">
        <v>0</v>
      </c>
    </row>
    <row r="1985" spans="44:46">
      <c r="AR1985">
        <v>0</v>
      </c>
      <c r="AS1985">
        <v>0</v>
      </c>
      <c r="AT1985">
        <v>0</v>
      </c>
    </row>
    <row r="1986" spans="44:46">
      <c r="AR1986">
        <v>0</v>
      </c>
      <c r="AS1986">
        <v>0</v>
      </c>
      <c r="AT1986">
        <v>0</v>
      </c>
    </row>
    <row r="1987" spans="44:46">
      <c r="AR1987">
        <v>0</v>
      </c>
      <c r="AS1987">
        <v>0</v>
      </c>
      <c r="AT1987">
        <v>0</v>
      </c>
    </row>
    <row r="1988" spans="44:46">
      <c r="AR1988">
        <v>0</v>
      </c>
      <c r="AS1988">
        <v>0</v>
      </c>
      <c r="AT1988">
        <v>0</v>
      </c>
    </row>
    <row r="1989" spans="44:46">
      <c r="AR1989">
        <v>0</v>
      </c>
      <c r="AS1989">
        <v>0</v>
      </c>
      <c r="AT1989">
        <v>0</v>
      </c>
    </row>
    <row r="1990" spans="44:46">
      <c r="AR1990">
        <v>0</v>
      </c>
      <c r="AS1990">
        <v>0</v>
      </c>
      <c r="AT1990">
        <v>0</v>
      </c>
    </row>
    <row r="1991" spans="44:46">
      <c r="AR1991">
        <v>0</v>
      </c>
      <c r="AS1991">
        <v>0</v>
      </c>
      <c r="AT1991">
        <v>0</v>
      </c>
    </row>
    <row r="1992" spans="44:46">
      <c r="AR1992">
        <v>0</v>
      </c>
      <c r="AS1992">
        <v>0</v>
      </c>
      <c r="AT1992">
        <v>0</v>
      </c>
    </row>
    <row r="1993" spans="44:46">
      <c r="AR1993">
        <v>0</v>
      </c>
      <c r="AS1993">
        <v>0</v>
      </c>
      <c r="AT1993">
        <v>0</v>
      </c>
    </row>
    <row r="1994" spans="44:46">
      <c r="AR1994">
        <v>0</v>
      </c>
      <c r="AS1994">
        <v>0</v>
      </c>
      <c r="AT1994">
        <v>0</v>
      </c>
    </row>
    <row r="1995" spans="44:46">
      <c r="AR1995">
        <v>45741</v>
      </c>
      <c r="AS1995" t="str">
        <v>Covered with floating row cover</v>
      </c>
      <c r="AT1995" t="str">
        <v>A5</v>
      </c>
    </row>
    <row r="1996" spans="44:46">
      <c r="AR1996">
        <v>45741</v>
      </c>
      <c r="AS1996" t="str">
        <v>Covered with floating row cover</v>
      </c>
      <c r="AT1996" t="str">
        <v>A5</v>
      </c>
    </row>
    <row r="1997" spans="44:46">
      <c r="AR1997">
        <v>45741</v>
      </c>
      <c r="AS1997" t="str">
        <v>Covered with floating row cover</v>
      </c>
      <c r="AT1997" t="str">
        <v>A4</v>
      </c>
    </row>
    <row r="1998" spans="44:46">
      <c r="AR1998">
        <v>45741</v>
      </c>
      <c r="AS1998" t="str">
        <v>Covered with floating row cover</v>
      </c>
      <c r="AT1998" t="str">
        <v>A5</v>
      </c>
    </row>
    <row r="1999" spans="44:46">
      <c r="AR1999">
        <v>45741</v>
      </c>
      <c r="AS1999" t="str">
        <v>Covered with floating row cover</v>
      </c>
      <c r="AT1999" t="str">
        <v>A4</v>
      </c>
    </row>
    <row r="2000" spans="44:46">
      <c r="AR2000">
        <v>45741</v>
      </c>
      <c r="AS2000" t="str">
        <v>Covered with floating row cover</v>
      </c>
      <c r="AT2000" t="str">
        <v>A5</v>
      </c>
    </row>
    <row r="2001" spans="44:46">
      <c r="AR2001">
        <v>45749</v>
      </c>
      <c r="AS2001" t="str">
        <v>Covered with floating row cover</v>
      </c>
      <c r="AT2001" t="str">
        <v>I1</v>
      </c>
    </row>
    <row r="2002" spans="44:46">
      <c r="AR2002">
        <v>45754</v>
      </c>
      <c r="AS2002" t="str">
        <v>Covered with floating row cover</v>
      </c>
      <c r="AT2002" t="str">
        <v>X2</v>
      </c>
    </row>
    <row r="2003" spans="44:46">
      <c r="AR2003">
        <v>45754</v>
      </c>
      <c r="AS2003" t="str">
        <v>Covered with floating row cover</v>
      </c>
      <c r="AT2003" t="str">
        <v>X2</v>
      </c>
    </row>
    <row r="2004" spans="44:46">
      <c r="AR2004">
        <v>45775</v>
      </c>
      <c r="AS2004" t="str">
        <v>Covered with floating row cover</v>
      </c>
      <c r="AT2004" t="str">
        <v>A6</v>
      </c>
    </row>
    <row r="2005" spans="44:46">
      <c r="AR2005">
        <v>45777</v>
      </c>
      <c r="AS2005" t="str">
        <v>Covered with floating row cover</v>
      </c>
      <c r="AT2005" t="str">
        <v>B6</v>
      </c>
    </row>
    <row r="2006" spans="44:46">
      <c r="AR2006">
        <v>45777</v>
      </c>
      <c r="AS2006" t="str">
        <v>Covered with floating row cover</v>
      </c>
      <c r="AT2006" t="str">
        <v>B6</v>
      </c>
    </row>
    <row r="2007" spans="44:46">
      <c r="AR2007">
        <v>45778</v>
      </c>
      <c r="AS2007" t="str">
        <v>Covered with floating row cover</v>
      </c>
      <c r="AT2007" t="str">
        <v>D1</v>
      </c>
    </row>
    <row r="2008" spans="44:46">
      <c r="AR2008">
        <v>45781</v>
      </c>
      <c r="AS2008" t="str">
        <v>Covered with floating row cover</v>
      </c>
      <c r="AT2008" t="str">
        <v>H8</v>
      </c>
    </row>
    <row r="2009" spans="44:46">
      <c r="AR2009">
        <v>45782</v>
      </c>
      <c r="AS2009" t="str">
        <v>Covered with floating row cover</v>
      </c>
      <c r="AT2009" t="str">
        <v>E7</v>
      </c>
    </row>
    <row r="2010" spans="44:46">
      <c r="AR2010">
        <v>0</v>
      </c>
      <c r="AS2010" t="str">
        <v/>
      </c>
      <c r="AT2010">
        <v>0</v>
      </c>
    </row>
    <row r="2011" spans="44:46">
      <c r="AR2011">
        <v>0</v>
      </c>
      <c r="AS2011" t="str">
        <v/>
      </c>
      <c r="AT2011">
        <v>0</v>
      </c>
    </row>
    <row r="2012" spans="44:46">
      <c r="AR2012">
        <v>0</v>
      </c>
      <c r="AS2012" t="str">
        <v/>
      </c>
      <c r="AT2012">
        <v>0</v>
      </c>
    </row>
    <row r="2013" spans="44:46">
      <c r="AR2013">
        <v>0</v>
      </c>
      <c r="AS2013" t="str">
        <v/>
      </c>
      <c r="AT2013">
        <v>0</v>
      </c>
    </row>
    <row r="2014" spans="44:46">
      <c r="AR2014">
        <v>0</v>
      </c>
      <c r="AS2014" t="str">
        <v/>
      </c>
      <c r="AT2014">
        <v>0</v>
      </c>
    </row>
    <row r="2015" spans="44:46">
      <c r="AR2015">
        <v>0</v>
      </c>
      <c r="AS2015" t="str">
        <v/>
      </c>
      <c r="AT2015">
        <v>0</v>
      </c>
    </row>
    <row r="2016" spans="44:46">
      <c r="AR2016">
        <v>0</v>
      </c>
      <c r="AS2016" t="str">
        <v/>
      </c>
      <c r="AT2016">
        <v>0</v>
      </c>
    </row>
    <row r="2017" spans="44:46">
      <c r="AR2017">
        <v>0</v>
      </c>
      <c r="AS2017" t="str">
        <v/>
      </c>
      <c r="AT2017">
        <v>0</v>
      </c>
    </row>
    <row r="2018" spans="44:46">
      <c r="AR2018">
        <v>0</v>
      </c>
      <c r="AS2018" t="str">
        <v/>
      </c>
      <c r="AT2018">
        <v>0</v>
      </c>
    </row>
    <row r="2019" spans="44:46">
      <c r="AR2019">
        <v>0</v>
      </c>
      <c r="AS2019" t="str">
        <v/>
      </c>
      <c r="AT2019">
        <v>0</v>
      </c>
    </row>
    <row r="2020" spans="44:46">
      <c r="AR2020">
        <v>0</v>
      </c>
      <c r="AS2020" t="str">
        <v/>
      </c>
      <c r="AT2020">
        <v>0</v>
      </c>
    </row>
    <row r="2021" spans="44:46">
      <c r="AR2021">
        <v>0</v>
      </c>
      <c r="AS2021" t="str">
        <v/>
      </c>
      <c r="AT2021">
        <v>0</v>
      </c>
    </row>
    <row r="2022" spans="44:46">
      <c r="AR2022">
        <v>0</v>
      </c>
      <c r="AS2022" t="str">
        <v/>
      </c>
      <c r="AT2022">
        <v>0</v>
      </c>
    </row>
    <row r="2023" spans="44:46">
      <c r="AR2023">
        <v>0</v>
      </c>
      <c r="AS2023" t="str">
        <v/>
      </c>
      <c r="AT2023">
        <v>0</v>
      </c>
    </row>
    <row r="2024" spans="44:46">
      <c r="AR2024">
        <v>0</v>
      </c>
      <c r="AS2024" t="str">
        <v/>
      </c>
      <c r="AT2024">
        <v>0</v>
      </c>
    </row>
    <row r="2025" spans="44:46">
      <c r="AR2025">
        <v>0</v>
      </c>
      <c r="AS2025" t="str">
        <v/>
      </c>
      <c r="AT2025">
        <v>0</v>
      </c>
    </row>
    <row r="2026" spans="44:46">
      <c r="AR2026">
        <v>0</v>
      </c>
      <c r="AS2026" t="str">
        <v/>
      </c>
      <c r="AT2026">
        <v>0</v>
      </c>
    </row>
    <row r="2027" spans="44:46">
      <c r="AR2027">
        <v>0</v>
      </c>
      <c r="AS2027" t="str">
        <v/>
      </c>
      <c r="AT2027">
        <v>0</v>
      </c>
    </row>
    <row r="2028" spans="44:46">
      <c r="AR2028">
        <v>0</v>
      </c>
      <c r="AS2028" t="str">
        <v/>
      </c>
      <c r="AT2028">
        <v>0</v>
      </c>
    </row>
    <row r="2029" spans="44:46">
      <c r="AR2029">
        <v>0</v>
      </c>
      <c r="AS2029" t="str">
        <v/>
      </c>
      <c r="AT2029">
        <v>0</v>
      </c>
    </row>
    <row r="2030" spans="44:46">
      <c r="AR2030">
        <v>0</v>
      </c>
      <c r="AS2030" t="str">
        <v/>
      </c>
      <c r="AT2030">
        <v>0</v>
      </c>
    </row>
    <row r="2031" spans="44:46">
      <c r="AR2031">
        <v>0</v>
      </c>
      <c r="AS2031" t="str">
        <v/>
      </c>
      <c r="AT2031">
        <v>0</v>
      </c>
    </row>
    <row r="2032" spans="44:46">
      <c r="AR2032">
        <v>0</v>
      </c>
      <c r="AS2032" t="str">
        <v/>
      </c>
      <c r="AT2032">
        <v>0</v>
      </c>
    </row>
    <row r="2033" spans="44:46">
      <c r="AR2033">
        <v>0</v>
      </c>
      <c r="AS2033" t="str">
        <v/>
      </c>
      <c r="AT2033">
        <v>0</v>
      </c>
    </row>
    <row r="2034" spans="44:46">
      <c r="AR2034">
        <v>0</v>
      </c>
      <c r="AS2034" t="str">
        <v/>
      </c>
      <c r="AT2034">
        <v>0</v>
      </c>
    </row>
    <row r="2035" spans="44:46">
      <c r="AR2035">
        <v>0</v>
      </c>
      <c r="AS2035" t="str">
        <v/>
      </c>
      <c r="AT2035">
        <v>0</v>
      </c>
    </row>
    <row r="2036" spans="44:46">
      <c r="AR2036">
        <v>0</v>
      </c>
      <c r="AS2036" t="str">
        <v/>
      </c>
      <c r="AT2036">
        <v>0</v>
      </c>
    </row>
    <row r="2037" spans="44:46">
      <c r="AR2037">
        <v>0</v>
      </c>
      <c r="AS2037" t="str">
        <v/>
      </c>
      <c r="AT2037">
        <v>0</v>
      </c>
    </row>
    <row r="2038" spans="44:46">
      <c r="AR2038">
        <v>0</v>
      </c>
      <c r="AS2038" t="str">
        <v/>
      </c>
      <c r="AT2038">
        <v>0</v>
      </c>
    </row>
    <row r="2039" spans="44:46">
      <c r="AR2039">
        <v>0</v>
      </c>
      <c r="AS2039" t="str">
        <v/>
      </c>
      <c r="AT2039">
        <v>0</v>
      </c>
    </row>
    <row r="2040" spans="44:46">
      <c r="AR2040">
        <v>0</v>
      </c>
      <c r="AS2040" t="str">
        <v/>
      </c>
      <c r="AT2040">
        <v>0</v>
      </c>
    </row>
    <row r="2041" spans="44:46">
      <c r="AR2041">
        <v>0</v>
      </c>
      <c r="AS2041" t="str">
        <v/>
      </c>
      <c r="AT2041">
        <v>0</v>
      </c>
    </row>
    <row r="2042" spans="44:46">
      <c r="AR2042">
        <v>0</v>
      </c>
      <c r="AS2042" t="str">
        <v/>
      </c>
      <c r="AT2042">
        <v>0</v>
      </c>
    </row>
    <row r="2043" spans="44:46">
      <c r="AR2043">
        <v>0</v>
      </c>
      <c r="AS2043" t="str">
        <v/>
      </c>
      <c r="AT2043">
        <v>0</v>
      </c>
    </row>
    <row r="2044" spans="44:46">
      <c r="AR2044">
        <v>0</v>
      </c>
      <c r="AS2044" t="str">
        <v/>
      </c>
      <c r="AT2044">
        <v>0</v>
      </c>
    </row>
    <row r="2045" spans="44:46">
      <c r="AR2045">
        <v>0</v>
      </c>
      <c r="AS2045" t="str">
        <v/>
      </c>
      <c r="AT2045">
        <v>0</v>
      </c>
    </row>
    <row r="2046" spans="44:46">
      <c r="AR2046">
        <v>0</v>
      </c>
      <c r="AS2046" t="str">
        <v/>
      </c>
      <c r="AT2046">
        <v>0</v>
      </c>
    </row>
    <row r="2047" spans="44:46">
      <c r="AR2047">
        <v>0</v>
      </c>
      <c r="AS2047" t="str">
        <v/>
      </c>
      <c r="AT2047">
        <v>0</v>
      </c>
    </row>
    <row r="2048" spans="44:46">
      <c r="AR2048">
        <v>0</v>
      </c>
      <c r="AS2048" t="str">
        <v/>
      </c>
      <c r="AT2048">
        <v>0</v>
      </c>
    </row>
    <row r="2049" spans="44:46">
      <c r="AR2049">
        <v>0</v>
      </c>
      <c r="AS2049" t="str">
        <v/>
      </c>
      <c r="AT2049">
        <v>0</v>
      </c>
    </row>
    <row r="2050" spans="44:46">
      <c r="AR2050">
        <v>0</v>
      </c>
      <c r="AS2050" t="str">
        <v/>
      </c>
      <c r="AT2050">
        <v>0</v>
      </c>
    </row>
    <row r="2051" spans="44:46">
      <c r="AR2051">
        <v>0</v>
      </c>
      <c r="AS2051" t="str">
        <v/>
      </c>
      <c r="AT2051">
        <v>0</v>
      </c>
    </row>
    <row r="2052" spans="44:46">
      <c r="AR2052">
        <v>0</v>
      </c>
      <c r="AS2052" t="str">
        <v/>
      </c>
      <c r="AT2052">
        <v>0</v>
      </c>
    </row>
    <row r="2053" spans="44:46">
      <c r="AR2053">
        <v>0</v>
      </c>
      <c r="AS2053" t="str">
        <v/>
      </c>
      <c r="AT2053">
        <v>0</v>
      </c>
    </row>
    <row r="2054" spans="44:46">
      <c r="AR2054">
        <v>0</v>
      </c>
      <c r="AS2054">
        <v>0</v>
      </c>
      <c r="AT2054">
        <v>0</v>
      </c>
    </row>
    <row r="2055" spans="44:46">
      <c r="AR2055">
        <v>0</v>
      </c>
      <c r="AS2055">
        <v>0</v>
      </c>
      <c r="AT2055">
        <v>0</v>
      </c>
    </row>
    <row r="2056" spans="44:46">
      <c r="AR2056">
        <v>0</v>
      </c>
      <c r="AS2056">
        <v>0</v>
      </c>
      <c r="AT2056">
        <v>0</v>
      </c>
    </row>
    <row r="2057" spans="44:46">
      <c r="AR2057">
        <v>0</v>
      </c>
      <c r="AS2057">
        <v>0</v>
      </c>
      <c r="AT2057">
        <v>0</v>
      </c>
    </row>
    <row r="2058" spans="44:46">
      <c r="AR2058">
        <v>0</v>
      </c>
      <c r="AS2058">
        <v>0</v>
      </c>
      <c r="AT2058">
        <v>0</v>
      </c>
    </row>
    <row r="2059" spans="44:46">
      <c r="AR2059">
        <v>0</v>
      </c>
      <c r="AS2059">
        <v>0</v>
      </c>
      <c r="AT2059">
        <v>0</v>
      </c>
    </row>
    <row r="2060" spans="44:46">
      <c r="AR2060">
        <v>0</v>
      </c>
      <c r="AS2060">
        <v>0</v>
      </c>
      <c r="AT2060">
        <v>0</v>
      </c>
    </row>
    <row r="2061" spans="44:46">
      <c r="AR2061">
        <v>0</v>
      </c>
      <c r="AS2061">
        <v>0</v>
      </c>
      <c r="AT2061">
        <v>0</v>
      </c>
    </row>
    <row r="2062" spans="44:46">
      <c r="AR2062">
        <v>0</v>
      </c>
      <c r="AS2062">
        <v>0</v>
      </c>
      <c r="AT2062">
        <v>0</v>
      </c>
    </row>
    <row r="2063" spans="44:46">
      <c r="AR2063">
        <v>0</v>
      </c>
      <c r="AS2063">
        <v>0</v>
      </c>
      <c r="AT2063">
        <v>0</v>
      </c>
    </row>
    <row r="2064" spans="44:46">
      <c r="AR2064">
        <v>0</v>
      </c>
      <c r="AS2064">
        <v>0</v>
      </c>
      <c r="AT2064">
        <v>0</v>
      </c>
    </row>
    <row r="2065" spans="44:46">
      <c r="AR2065">
        <v>0</v>
      </c>
      <c r="AS2065">
        <v>0</v>
      </c>
      <c r="AT2065">
        <v>0</v>
      </c>
    </row>
    <row r="2066" spans="44:46">
      <c r="AR2066">
        <v>0</v>
      </c>
      <c r="AS2066">
        <v>0</v>
      </c>
      <c r="AT2066">
        <v>0</v>
      </c>
    </row>
    <row r="2067" spans="44:46">
      <c r="AR2067">
        <v>0</v>
      </c>
      <c r="AS2067">
        <v>0</v>
      </c>
      <c r="AT2067">
        <v>0</v>
      </c>
    </row>
    <row r="2068" spans="44:46">
      <c r="AR2068">
        <v>0</v>
      </c>
      <c r="AS2068">
        <v>0</v>
      </c>
      <c r="AT2068">
        <v>0</v>
      </c>
    </row>
    <row r="2069" spans="44:46">
      <c r="AR2069">
        <v>0</v>
      </c>
      <c r="AS2069">
        <v>0</v>
      </c>
      <c r="AT2069">
        <v>0</v>
      </c>
    </row>
    <row r="2070" spans="44:46">
      <c r="AR2070">
        <v>0</v>
      </c>
      <c r="AS2070">
        <v>0</v>
      </c>
      <c r="AT2070">
        <v>0</v>
      </c>
    </row>
    <row r="2071" spans="44:46">
      <c r="AR2071">
        <v>0</v>
      </c>
      <c r="AS2071">
        <v>0</v>
      </c>
      <c r="AT2071">
        <v>0</v>
      </c>
    </row>
    <row r="2072" spans="44:46">
      <c r="AR2072">
        <v>0</v>
      </c>
      <c r="AS2072">
        <v>0</v>
      </c>
      <c r="AT2072">
        <v>0</v>
      </c>
    </row>
    <row r="2073" spans="44:46">
      <c r="AR2073">
        <v>0</v>
      </c>
      <c r="AS2073">
        <v>0</v>
      </c>
      <c r="AT2073">
        <v>0</v>
      </c>
    </row>
    <row r="2074" spans="44:46">
      <c r="AR2074">
        <v>0</v>
      </c>
      <c r="AS2074">
        <v>0</v>
      </c>
      <c r="AT2074">
        <v>0</v>
      </c>
    </row>
    <row r="2075" spans="44:46">
      <c r="AR2075">
        <v>0</v>
      </c>
      <c r="AS2075">
        <v>0</v>
      </c>
      <c r="AT2075">
        <v>0</v>
      </c>
    </row>
    <row r="2076" spans="44:46">
      <c r="AR2076">
        <v>0</v>
      </c>
      <c r="AS2076">
        <v>0</v>
      </c>
      <c r="AT2076">
        <v>0</v>
      </c>
    </row>
    <row r="2077" spans="44:46">
      <c r="AR2077">
        <v>0</v>
      </c>
      <c r="AS2077">
        <v>0</v>
      </c>
      <c r="AT2077">
        <v>0</v>
      </c>
    </row>
    <row r="2078" spans="44:46">
      <c r="AR2078">
        <v>0</v>
      </c>
      <c r="AS2078">
        <v>0</v>
      </c>
      <c r="AT2078">
        <v>0</v>
      </c>
    </row>
    <row r="2079" spans="44:46">
      <c r="AR2079">
        <v>0</v>
      </c>
      <c r="AS2079">
        <v>0</v>
      </c>
      <c r="AT2079">
        <v>0</v>
      </c>
    </row>
    <row r="2080" spans="44:46">
      <c r="AR2080">
        <v>0</v>
      </c>
      <c r="AS2080">
        <v>0</v>
      </c>
      <c r="AT2080">
        <v>0</v>
      </c>
    </row>
    <row r="2081" spans="44:46">
      <c r="AR2081">
        <v>0</v>
      </c>
      <c r="AS2081">
        <v>0</v>
      </c>
      <c r="AT2081">
        <v>0</v>
      </c>
    </row>
    <row r="2082" spans="44:46">
      <c r="AR2082">
        <v>0</v>
      </c>
      <c r="AS2082">
        <v>0</v>
      </c>
      <c r="AT2082">
        <v>0</v>
      </c>
    </row>
    <row r="2083" spans="44:46">
      <c r="AR2083">
        <v>0</v>
      </c>
      <c r="AS2083">
        <v>0</v>
      </c>
      <c r="AT2083">
        <v>0</v>
      </c>
    </row>
    <row r="2084" spans="44:46">
      <c r="AR2084">
        <v>0</v>
      </c>
      <c r="AS2084">
        <v>0</v>
      </c>
      <c r="AT2084">
        <v>0</v>
      </c>
    </row>
    <row r="2085" spans="44:46">
      <c r="AR2085">
        <v>0</v>
      </c>
      <c r="AS2085">
        <v>0</v>
      </c>
      <c r="AT2085">
        <v>0</v>
      </c>
    </row>
    <row r="2086" spans="44:46">
      <c r="AR2086">
        <v>0</v>
      </c>
      <c r="AS2086">
        <v>0</v>
      </c>
      <c r="AT2086">
        <v>0</v>
      </c>
    </row>
    <row r="2087" spans="44:46">
      <c r="AR2087">
        <v>0</v>
      </c>
      <c r="AS2087">
        <v>0</v>
      </c>
      <c r="AT2087">
        <v>0</v>
      </c>
    </row>
    <row r="2088" spans="44:46">
      <c r="AR2088">
        <v>0</v>
      </c>
      <c r="AS2088">
        <v>0</v>
      </c>
      <c r="AT2088">
        <v>0</v>
      </c>
    </row>
    <row r="2089" spans="44:46">
      <c r="AR2089">
        <v>0</v>
      </c>
      <c r="AS2089">
        <v>0</v>
      </c>
      <c r="AT2089">
        <v>0</v>
      </c>
    </row>
    <row r="2090" spans="44:46">
      <c r="AR2090">
        <v>0</v>
      </c>
      <c r="AS2090">
        <v>0</v>
      </c>
      <c r="AT2090">
        <v>0</v>
      </c>
    </row>
    <row r="2091" spans="44:46">
      <c r="AR2091">
        <v>0</v>
      </c>
      <c r="AS2091">
        <v>0</v>
      </c>
      <c r="AT2091">
        <v>0</v>
      </c>
    </row>
    <row r="2092" spans="44:46">
      <c r="AR2092">
        <v>0</v>
      </c>
      <c r="AS2092">
        <v>0</v>
      </c>
      <c r="AT2092">
        <v>0</v>
      </c>
    </row>
    <row r="2093" spans="44:46">
      <c r="AR2093">
        <v>0</v>
      </c>
      <c r="AS2093">
        <v>0</v>
      </c>
      <c r="AT2093">
        <v>0</v>
      </c>
    </row>
    <row r="2094" spans="44:46">
      <c r="AR2094">
        <v>0</v>
      </c>
      <c r="AS2094">
        <v>0</v>
      </c>
      <c r="AT2094">
        <v>0</v>
      </c>
    </row>
    <row r="2095" spans="44:46">
      <c r="AR2095">
        <v>0</v>
      </c>
      <c r="AS2095">
        <v>0</v>
      </c>
      <c r="AT2095">
        <v>0</v>
      </c>
    </row>
    <row r="2096" spans="44:46">
      <c r="AR2096">
        <v>0</v>
      </c>
      <c r="AS2096">
        <v>0</v>
      </c>
      <c r="AT2096">
        <v>0</v>
      </c>
    </row>
    <row r="2097" spans="44:46">
      <c r="AR2097">
        <v>0</v>
      </c>
      <c r="AS2097">
        <v>0</v>
      </c>
      <c r="AT2097">
        <v>0</v>
      </c>
    </row>
    <row r="2098" spans="44:46">
      <c r="AR2098">
        <v>0</v>
      </c>
      <c r="AS2098">
        <v>0</v>
      </c>
      <c r="AT2098">
        <v>0</v>
      </c>
    </row>
    <row r="2099" spans="44:46">
      <c r="AR2099">
        <v>0</v>
      </c>
      <c r="AS2099">
        <v>0</v>
      </c>
      <c r="AT2099">
        <v>0</v>
      </c>
    </row>
    <row r="2100" spans="44:46">
      <c r="AR2100">
        <v>0</v>
      </c>
      <c r="AS2100">
        <v>0</v>
      </c>
      <c r="AT2100">
        <v>0</v>
      </c>
    </row>
    <row r="2101" spans="44:46">
      <c r="AR2101">
        <v>0</v>
      </c>
      <c r="AS2101">
        <v>0</v>
      </c>
      <c r="AT2101">
        <v>0</v>
      </c>
    </row>
    <row r="2102" spans="44:46">
      <c r="AR2102">
        <v>0</v>
      </c>
      <c r="AS2102">
        <v>0</v>
      </c>
      <c r="AT2102">
        <v>0</v>
      </c>
    </row>
    <row r="2103" spans="44:46">
      <c r="AR2103">
        <v>0</v>
      </c>
      <c r="AS2103">
        <v>0</v>
      </c>
      <c r="AT2103">
        <v>0</v>
      </c>
    </row>
    <row r="2104" spans="44:46">
      <c r="AR2104">
        <v>0</v>
      </c>
      <c r="AS2104">
        <v>0</v>
      </c>
      <c r="AT2104">
        <v>0</v>
      </c>
    </row>
    <row r="2105" spans="44:46">
      <c r="AR2105">
        <v>0</v>
      </c>
      <c r="AS2105">
        <v>0</v>
      </c>
      <c r="AT2105">
        <v>0</v>
      </c>
    </row>
    <row r="2106" spans="44:46">
      <c r="AR2106">
        <v>0</v>
      </c>
      <c r="AS2106">
        <v>0</v>
      </c>
      <c r="AT2106">
        <v>0</v>
      </c>
    </row>
    <row r="2107" spans="44:46">
      <c r="AR2107">
        <v>0</v>
      </c>
      <c r="AS2107">
        <v>0</v>
      </c>
      <c r="AT2107">
        <v>0</v>
      </c>
    </row>
    <row r="2108" spans="44:46">
      <c r="AR2108">
        <v>0</v>
      </c>
      <c r="AS2108">
        <v>0</v>
      </c>
      <c r="AT2108">
        <v>0</v>
      </c>
    </row>
    <row r="2109" spans="44:46">
      <c r="AR2109">
        <v>0</v>
      </c>
      <c r="AS2109">
        <v>0</v>
      </c>
      <c r="AT2109">
        <v>0</v>
      </c>
    </row>
    <row r="2110" spans="44:46">
      <c r="AR2110">
        <v>0</v>
      </c>
      <c r="AS2110">
        <v>0</v>
      </c>
      <c r="AT2110">
        <v>0</v>
      </c>
    </row>
    <row r="2111" spans="44:46">
      <c r="AR2111">
        <v>0</v>
      </c>
      <c r="AS2111">
        <v>0</v>
      </c>
      <c r="AT2111">
        <v>0</v>
      </c>
    </row>
    <row r="2112" spans="44:46">
      <c r="AR2112">
        <v>0</v>
      </c>
      <c r="AS2112">
        <v>0</v>
      </c>
      <c r="AT2112">
        <v>0</v>
      </c>
    </row>
    <row r="2113" spans="44:46">
      <c r="AR2113">
        <v>0</v>
      </c>
      <c r="AS2113">
        <v>0</v>
      </c>
      <c r="AT2113">
        <v>0</v>
      </c>
    </row>
    <row r="2114" spans="44:46">
      <c r="AR2114">
        <v>0</v>
      </c>
      <c r="AS2114">
        <v>0</v>
      </c>
      <c r="AT2114">
        <v>0</v>
      </c>
    </row>
    <row r="2115" spans="44:46">
      <c r="AR2115">
        <v>0</v>
      </c>
      <c r="AS2115">
        <v>0</v>
      </c>
      <c r="AT2115">
        <v>0</v>
      </c>
    </row>
    <row r="2116" spans="44:46">
      <c r="AR2116">
        <v>0</v>
      </c>
      <c r="AS2116">
        <v>0</v>
      </c>
      <c r="AT2116">
        <v>0</v>
      </c>
    </row>
    <row r="2117" spans="44:46">
      <c r="AR2117">
        <v>0</v>
      </c>
      <c r="AS2117">
        <v>0</v>
      </c>
      <c r="AT2117">
        <v>0</v>
      </c>
    </row>
    <row r="2118" spans="44:46">
      <c r="AR2118">
        <v>0</v>
      </c>
      <c r="AS2118">
        <v>0</v>
      </c>
      <c r="AT2118">
        <v>0</v>
      </c>
    </row>
    <row r="2119" spans="44:46">
      <c r="AR2119">
        <v>0</v>
      </c>
      <c r="AS2119">
        <v>0</v>
      </c>
      <c r="AT2119">
        <v>0</v>
      </c>
    </row>
    <row r="2120" spans="44:46">
      <c r="AR2120">
        <v>0</v>
      </c>
      <c r="AS2120">
        <v>0</v>
      </c>
      <c r="AT2120">
        <v>0</v>
      </c>
    </row>
    <row r="2121" spans="44:46">
      <c r="AR2121">
        <v>0</v>
      </c>
      <c r="AS2121">
        <v>0</v>
      </c>
      <c r="AT2121">
        <v>0</v>
      </c>
    </row>
    <row r="2122" spans="44:46">
      <c r="AR2122">
        <v>0</v>
      </c>
      <c r="AS2122">
        <v>0</v>
      </c>
      <c r="AT2122">
        <v>0</v>
      </c>
    </row>
    <row r="2123" spans="44:46">
      <c r="AR2123">
        <v>0</v>
      </c>
      <c r="AS2123">
        <v>0</v>
      </c>
      <c r="AT2123">
        <v>0</v>
      </c>
    </row>
    <row r="2124" spans="44:46">
      <c r="AR2124">
        <v>0</v>
      </c>
      <c r="AS2124">
        <v>0</v>
      </c>
      <c r="AT2124">
        <v>0</v>
      </c>
    </row>
    <row r="2125" spans="44:46">
      <c r="AR2125">
        <v>0</v>
      </c>
      <c r="AS2125">
        <v>0</v>
      </c>
      <c r="AT2125">
        <v>0</v>
      </c>
    </row>
    <row r="2126" spans="44:46">
      <c r="AR2126">
        <v>0</v>
      </c>
      <c r="AS2126">
        <v>0</v>
      </c>
      <c r="AT2126">
        <v>0</v>
      </c>
    </row>
    <row r="2127" spans="44:46">
      <c r="AR2127">
        <v>0</v>
      </c>
      <c r="AS2127">
        <v>0</v>
      </c>
      <c r="AT2127">
        <v>0</v>
      </c>
    </row>
    <row r="2128" spans="44:46">
      <c r="AR2128">
        <v>0</v>
      </c>
      <c r="AS2128">
        <v>0</v>
      </c>
      <c r="AT2128">
        <v>0</v>
      </c>
    </row>
    <row r="2129" spans="44:46">
      <c r="AR2129">
        <v>0</v>
      </c>
      <c r="AS2129">
        <v>0</v>
      </c>
      <c r="AT2129">
        <v>0</v>
      </c>
    </row>
    <row r="2130" spans="44:46">
      <c r="AR2130">
        <v>0</v>
      </c>
      <c r="AS2130">
        <v>0</v>
      </c>
      <c r="AT2130">
        <v>0</v>
      </c>
    </row>
    <row r="2131" spans="44:46">
      <c r="AR2131">
        <v>0</v>
      </c>
      <c r="AS2131">
        <v>0</v>
      </c>
      <c r="AT2131">
        <v>0</v>
      </c>
    </row>
    <row r="2132" spans="44:46">
      <c r="AR2132">
        <v>0</v>
      </c>
      <c r="AS2132">
        <v>0</v>
      </c>
      <c r="AT2132">
        <v>0</v>
      </c>
    </row>
    <row r="2133" spans="44:46">
      <c r="AR2133">
        <v>0</v>
      </c>
      <c r="AS2133">
        <v>0</v>
      </c>
      <c r="AT2133">
        <v>0</v>
      </c>
    </row>
    <row r="2134" spans="44:46">
      <c r="AR2134">
        <v>0</v>
      </c>
      <c r="AS2134">
        <v>0</v>
      </c>
      <c r="AT2134">
        <v>0</v>
      </c>
    </row>
    <row r="2135" spans="44:46">
      <c r="AR2135">
        <v>0</v>
      </c>
      <c r="AS2135">
        <v>0</v>
      </c>
      <c r="AT2135">
        <v>0</v>
      </c>
    </row>
    <row r="2136" spans="44:46">
      <c r="AR2136">
        <v>0</v>
      </c>
      <c r="AS2136">
        <v>0</v>
      </c>
      <c r="AT2136">
        <v>0</v>
      </c>
    </row>
    <row r="2137" spans="44:46">
      <c r="AR2137">
        <v>0</v>
      </c>
      <c r="AS2137">
        <v>0</v>
      </c>
      <c r="AT2137">
        <v>0</v>
      </c>
    </row>
    <row r="2138" spans="44:46">
      <c r="AR2138">
        <v>0</v>
      </c>
      <c r="AS2138">
        <v>0</v>
      </c>
      <c r="AT2138">
        <v>0</v>
      </c>
    </row>
    <row r="2139" spans="44:46">
      <c r="AR2139">
        <v>0</v>
      </c>
      <c r="AS2139">
        <v>0</v>
      </c>
      <c r="AT2139">
        <v>0</v>
      </c>
    </row>
    <row r="2140" spans="44:46">
      <c r="AR2140">
        <v>0</v>
      </c>
      <c r="AS2140">
        <v>0</v>
      </c>
      <c r="AT2140">
        <v>0</v>
      </c>
    </row>
    <row r="2141" spans="44:46">
      <c r="AR2141">
        <v>0</v>
      </c>
      <c r="AS2141">
        <v>0</v>
      </c>
      <c r="AT2141">
        <v>0</v>
      </c>
    </row>
    <row r="2142" spans="44:46">
      <c r="AR2142">
        <v>0</v>
      </c>
      <c r="AS2142">
        <v>0</v>
      </c>
      <c r="AT2142">
        <v>0</v>
      </c>
    </row>
    <row r="2143" spans="44:46">
      <c r="AR2143">
        <v>0</v>
      </c>
      <c r="AS2143">
        <v>0</v>
      </c>
      <c r="AT2143">
        <v>0</v>
      </c>
    </row>
    <row r="2144" spans="44:46">
      <c r="AR2144">
        <v>0</v>
      </c>
      <c r="AS2144">
        <v>0</v>
      </c>
      <c r="AT2144">
        <v>0</v>
      </c>
    </row>
    <row r="2145" spans="44:46">
      <c r="AR2145">
        <v>0</v>
      </c>
      <c r="AS2145">
        <v>0</v>
      </c>
      <c r="AT2145">
        <v>0</v>
      </c>
    </row>
    <row r="2146" spans="44:46">
      <c r="AR2146">
        <v>0</v>
      </c>
      <c r="AS2146">
        <v>0</v>
      </c>
      <c r="AT2146">
        <v>0</v>
      </c>
    </row>
    <row r="2147" spans="44:46">
      <c r="AR2147">
        <v>0</v>
      </c>
      <c r="AS2147">
        <v>0</v>
      </c>
      <c r="AT2147">
        <v>0</v>
      </c>
    </row>
    <row r="2148" spans="44:46">
      <c r="AR2148">
        <v>0</v>
      </c>
      <c r="AS2148">
        <v>0</v>
      </c>
      <c r="AT2148">
        <v>0</v>
      </c>
    </row>
    <row r="2149" spans="44:46">
      <c r="AR2149">
        <v>0</v>
      </c>
      <c r="AS2149">
        <v>0</v>
      </c>
      <c r="AT2149">
        <v>0</v>
      </c>
    </row>
    <row r="2150" spans="44:46">
      <c r="AR2150">
        <v>0</v>
      </c>
      <c r="AS2150">
        <v>0</v>
      </c>
      <c r="AT2150">
        <v>0</v>
      </c>
    </row>
    <row r="2151" spans="44:46">
      <c r="AR2151">
        <v>0</v>
      </c>
      <c r="AS2151">
        <v>0</v>
      </c>
      <c r="AT2151">
        <v>0</v>
      </c>
    </row>
    <row r="2152" spans="44:46">
      <c r="AR2152">
        <v>0</v>
      </c>
      <c r="AS2152">
        <v>0</v>
      </c>
      <c r="AT2152">
        <v>0</v>
      </c>
    </row>
    <row r="2153" spans="44:46">
      <c r="AR2153">
        <v>0</v>
      </c>
      <c r="AS2153">
        <v>0</v>
      </c>
      <c r="AT2153">
        <v>0</v>
      </c>
    </row>
    <row r="2154" spans="44:46">
      <c r="AR2154">
        <v>0</v>
      </c>
      <c r="AS2154">
        <v>0</v>
      </c>
      <c r="AT2154">
        <v>0</v>
      </c>
    </row>
    <row r="2155" spans="44:46">
      <c r="AR2155">
        <v>0</v>
      </c>
      <c r="AS2155">
        <v>0</v>
      </c>
      <c r="AT2155">
        <v>0</v>
      </c>
    </row>
    <row r="2156" spans="44:46">
      <c r="AR2156">
        <v>0</v>
      </c>
      <c r="AS2156">
        <v>0</v>
      </c>
      <c r="AT2156">
        <v>0</v>
      </c>
    </row>
    <row r="2157" spans="44:46">
      <c r="AR2157">
        <v>0</v>
      </c>
      <c r="AS2157">
        <v>0</v>
      </c>
      <c r="AT2157">
        <v>0</v>
      </c>
    </row>
    <row r="2158" spans="44:46">
      <c r="AR2158">
        <v>0</v>
      </c>
      <c r="AS2158">
        <v>0</v>
      </c>
      <c r="AT2158">
        <v>0</v>
      </c>
    </row>
    <row r="2159" spans="44:46">
      <c r="AR2159">
        <v>0</v>
      </c>
      <c r="AS2159">
        <v>0</v>
      </c>
      <c r="AT2159">
        <v>0</v>
      </c>
    </row>
    <row r="2160" spans="44:46">
      <c r="AR2160">
        <v>0</v>
      </c>
      <c r="AS2160">
        <v>0</v>
      </c>
      <c r="AT2160">
        <v>0</v>
      </c>
    </row>
    <row r="2161" spans="44:46">
      <c r="AR2161">
        <v>0</v>
      </c>
      <c r="AS2161">
        <v>0</v>
      </c>
      <c r="AT2161">
        <v>0</v>
      </c>
    </row>
    <row r="2162" spans="44:46">
      <c r="AR2162">
        <v>0</v>
      </c>
      <c r="AS2162">
        <v>0</v>
      </c>
      <c r="AT2162">
        <v>0</v>
      </c>
    </row>
    <row r="2163" spans="44:46">
      <c r="AR2163">
        <v>0</v>
      </c>
      <c r="AS2163">
        <v>0</v>
      </c>
      <c r="AT2163">
        <v>0</v>
      </c>
    </row>
    <row r="2164" spans="44:46">
      <c r="AR2164">
        <v>0</v>
      </c>
      <c r="AS2164">
        <v>0</v>
      </c>
      <c r="AT2164">
        <v>0</v>
      </c>
    </row>
    <row r="2165" spans="44:46">
      <c r="AR2165">
        <v>0</v>
      </c>
      <c r="AS2165">
        <v>0</v>
      </c>
      <c r="AT2165">
        <v>0</v>
      </c>
    </row>
    <row r="2166" spans="44:46">
      <c r="AR2166">
        <v>0</v>
      </c>
      <c r="AS2166">
        <v>0</v>
      </c>
      <c r="AT2166">
        <v>0</v>
      </c>
    </row>
    <row r="2167" spans="44:46">
      <c r="AR2167">
        <v>0</v>
      </c>
      <c r="AS2167">
        <v>0</v>
      </c>
      <c r="AT2167">
        <v>0</v>
      </c>
    </row>
    <row r="2168" spans="44:46">
      <c r="AR2168">
        <v>0</v>
      </c>
      <c r="AS2168">
        <v>0</v>
      </c>
      <c r="AT2168">
        <v>0</v>
      </c>
    </row>
    <row r="2169" spans="44:46">
      <c r="AR2169">
        <v>0</v>
      </c>
      <c r="AS2169">
        <v>0</v>
      </c>
      <c r="AT2169">
        <v>0</v>
      </c>
    </row>
    <row r="2170" spans="44:46">
      <c r="AR2170">
        <v>0</v>
      </c>
      <c r="AS2170">
        <v>0</v>
      </c>
      <c r="AT2170">
        <v>0</v>
      </c>
    </row>
    <row r="2171" spans="44:46">
      <c r="AR2171">
        <v>0</v>
      </c>
      <c r="AS2171">
        <v>0</v>
      </c>
      <c r="AT2171">
        <v>0</v>
      </c>
    </row>
    <row r="2172" spans="44:46">
      <c r="AR2172">
        <v>0</v>
      </c>
      <c r="AS2172">
        <v>0</v>
      </c>
      <c r="AT2172">
        <v>0</v>
      </c>
    </row>
    <row r="2173" spans="44:46">
      <c r="AR2173">
        <v>0</v>
      </c>
      <c r="AS2173">
        <v>0</v>
      </c>
      <c r="AT2173">
        <v>0</v>
      </c>
    </row>
    <row r="2174" spans="44:46">
      <c r="AR2174">
        <v>0</v>
      </c>
      <c r="AS2174">
        <v>0</v>
      </c>
      <c r="AT2174">
        <v>0</v>
      </c>
    </row>
    <row r="2175" spans="44:46">
      <c r="AR2175">
        <v>0</v>
      </c>
      <c r="AS2175">
        <v>0</v>
      </c>
      <c r="AT2175">
        <v>0</v>
      </c>
    </row>
    <row r="2176" spans="44:46">
      <c r="AR2176">
        <v>0</v>
      </c>
      <c r="AS2176">
        <v>0</v>
      </c>
      <c r="AT2176">
        <v>0</v>
      </c>
    </row>
    <row r="2177" spans="44:46">
      <c r="AR2177">
        <v>0</v>
      </c>
      <c r="AS2177">
        <v>0</v>
      </c>
      <c r="AT2177">
        <v>0</v>
      </c>
    </row>
    <row r="2178" spans="44:46">
      <c r="AR2178">
        <v>0</v>
      </c>
      <c r="AS2178">
        <v>0</v>
      </c>
      <c r="AT2178">
        <v>0</v>
      </c>
    </row>
    <row r="2179" spans="44:46">
      <c r="AR2179">
        <v>0</v>
      </c>
      <c r="AS2179">
        <v>0</v>
      </c>
      <c r="AT2179">
        <v>0</v>
      </c>
    </row>
    <row r="2180" spans="44:46">
      <c r="AR2180">
        <v>0</v>
      </c>
      <c r="AS2180">
        <v>0</v>
      </c>
      <c r="AT2180">
        <v>0</v>
      </c>
    </row>
    <row r="2181" spans="44:46">
      <c r="AR2181">
        <v>0</v>
      </c>
      <c r="AS2181">
        <v>0</v>
      </c>
      <c r="AT2181">
        <v>0</v>
      </c>
    </row>
    <row r="2182" spans="44:46">
      <c r="AR2182">
        <v>0</v>
      </c>
      <c r="AS2182">
        <v>0</v>
      </c>
      <c r="AT2182">
        <v>0</v>
      </c>
    </row>
    <row r="2183" spans="44:46">
      <c r="AR2183">
        <v>0</v>
      </c>
      <c r="AS2183">
        <v>0</v>
      </c>
      <c r="AT2183">
        <v>0</v>
      </c>
    </row>
    <row r="2184" spans="44:46">
      <c r="AR2184">
        <v>0</v>
      </c>
      <c r="AS2184">
        <v>0</v>
      </c>
      <c r="AT2184">
        <v>0</v>
      </c>
    </row>
    <row r="2185" spans="44:46">
      <c r="AR2185">
        <v>0</v>
      </c>
      <c r="AS2185">
        <v>0</v>
      </c>
      <c r="AT2185">
        <v>0</v>
      </c>
    </row>
    <row r="2186" spans="44:46">
      <c r="AR2186">
        <v>0</v>
      </c>
      <c r="AS2186">
        <v>0</v>
      </c>
      <c r="AT2186">
        <v>0</v>
      </c>
    </row>
    <row r="2187" spans="44:46">
      <c r="AR2187">
        <v>0</v>
      </c>
      <c r="AS2187">
        <v>0</v>
      </c>
      <c r="AT2187">
        <v>0</v>
      </c>
    </row>
    <row r="2188" spans="44:46">
      <c r="AR2188">
        <v>0</v>
      </c>
      <c r="AS2188">
        <v>0</v>
      </c>
      <c r="AT2188">
        <v>0</v>
      </c>
    </row>
    <row r="2189" spans="44:46">
      <c r="AR2189">
        <v>0</v>
      </c>
      <c r="AS2189">
        <v>0</v>
      </c>
      <c r="AT2189">
        <v>0</v>
      </c>
    </row>
    <row r="2190" spans="44:46">
      <c r="AR2190">
        <v>0</v>
      </c>
      <c r="AS2190">
        <v>0</v>
      </c>
      <c r="AT2190">
        <v>0</v>
      </c>
    </row>
    <row r="2191" spans="44:46">
      <c r="AR2191">
        <v>0</v>
      </c>
      <c r="AS2191">
        <v>0</v>
      </c>
      <c r="AT2191">
        <v>0</v>
      </c>
    </row>
    <row r="2192" spans="44:46">
      <c r="AR2192">
        <v>0</v>
      </c>
      <c r="AS2192">
        <v>0</v>
      </c>
      <c r="AT2192">
        <v>0</v>
      </c>
    </row>
    <row r="2193" spans="44:46">
      <c r="AR2193">
        <v>0</v>
      </c>
      <c r="AS2193">
        <v>0</v>
      </c>
      <c r="AT2193">
        <v>0</v>
      </c>
    </row>
    <row r="2194" spans="44:46">
      <c r="AR2194">
        <v>0</v>
      </c>
      <c r="AS2194">
        <v>0</v>
      </c>
      <c r="AT2194">
        <v>0</v>
      </c>
    </row>
    <row r="2195" spans="44:46">
      <c r="AR2195">
        <v>0</v>
      </c>
      <c r="AS2195">
        <v>0</v>
      </c>
      <c r="AT2195">
        <v>0</v>
      </c>
    </row>
    <row r="2196" spans="44:46">
      <c r="AR2196">
        <v>0</v>
      </c>
      <c r="AS2196">
        <v>0</v>
      </c>
      <c r="AT2196">
        <v>0</v>
      </c>
    </row>
    <row r="2197" spans="44:46">
      <c r="AR2197">
        <v>0</v>
      </c>
      <c r="AS2197">
        <v>0</v>
      </c>
      <c r="AT2197">
        <v>0</v>
      </c>
    </row>
    <row r="2198" spans="44:46">
      <c r="AR2198">
        <v>0</v>
      </c>
      <c r="AS2198">
        <v>0</v>
      </c>
      <c r="AT2198">
        <v>0</v>
      </c>
    </row>
    <row r="2199" spans="44:46">
      <c r="AR2199">
        <v>0</v>
      </c>
      <c r="AS2199">
        <v>0</v>
      </c>
      <c r="AT2199">
        <v>0</v>
      </c>
    </row>
    <row r="2200" spans="44:46">
      <c r="AR2200">
        <v>0</v>
      </c>
      <c r="AS2200">
        <v>0</v>
      </c>
      <c r="AT2200">
        <v>0</v>
      </c>
    </row>
    <row r="2201" spans="44:46">
      <c r="AR2201">
        <v>0</v>
      </c>
      <c r="AS2201">
        <v>0</v>
      </c>
      <c r="AT2201">
        <v>0</v>
      </c>
    </row>
    <row r="2202" spans="44:46">
      <c r="AR2202">
        <v>0</v>
      </c>
      <c r="AS2202">
        <v>0</v>
      </c>
      <c r="AT2202">
        <v>0</v>
      </c>
    </row>
    <row r="2203" spans="44:46">
      <c r="AR2203">
        <v>0</v>
      </c>
      <c r="AS2203">
        <v>0</v>
      </c>
      <c r="AT2203">
        <v>0</v>
      </c>
    </row>
    <row r="2204" spans="44:46">
      <c r="AR2204">
        <v>0</v>
      </c>
      <c r="AS2204">
        <v>0</v>
      </c>
      <c r="AT2204">
        <v>0</v>
      </c>
    </row>
    <row r="2205" spans="44:46">
      <c r="AR2205">
        <v>0</v>
      </c>
      <c r="AS2205">
        <v>0</v>
      </c>
      <c r="AT2205">
        <v>0</v>
      </c>
    </row>
    <row r="2206" spans="44:46">
      <c r="AR2206">
        <v>0</v>
      </c>
      <c r="AS2206">
        <v>0</v>
      </c>
      <c r="AT2206">
        <v>0</v>
      </c>
    </row>
    <row r="2207" spans="44:46">
      <c r="AR2207">
        <v>0</v>
      </c>
      <c r="AS2207">
        <v>0</v>
      </c>
      <c r="AT2207">
        <v>0</v>
      </c>
    </row>
    <row r="2208" spans="44:46">
      <c r="AR2208">
        <v>0</v>
      </c>
      <c r="AS2208">
        <v>0</v>
      </c>
      <c r="AT2208">
        <v>0</v>
      </c>
    </row>
    <row r="2209" spans="44:46">
      <c r="AR2209">
        <v>0</v>
      </c>
      <c r="AS2209">
        <v>0</v>
      </c>
      <c r="AT2209">
        <v>0</v>
      </c>
    </row>
    <row r="2210" spans="44:46">
      <c r="AR2210">
        <v>0</v>
      </c>
      <c r="AS2210">
        <v>0</v>
      </c>
      <c r="AT2210">
        <v>0</v>
      </c>
    </row>
    <row r="2211" spans="44:46">
      <c r="AR2211">
        <v>0</v>
      </c>
      <c r="AS2211">
        <v>0</v>
      </c>
      <c r="AT2211">
        <v>0</v>
      </c>
    </row>
    <row r="2212" spans="44:46">
      <c r="AR2212">
        <v>0</v>
      </c>
      <c r="AS2212">
        <v>0</v>
      </c>
      <c r="AT2212">
        <v>0</v>
      </c>
    </row>
    <row r="2213" spans="44:46">
      <c r="AR2213">
        <v>0</v>
      </c>
      <c r="AS2213">
        <v>0</v>
      </c>
      <c r="AT2213">
        <v>0</v>
      </c>
    </row>
    <row r="2214" spans="44:46">
      <c r="AR2214">
        <v>0</v>
      </c>
      <c r="AS2214">
        <v>0</v>
      </c>
      <c r="AT2214">
        <v>0</v>
      </c>
    </row>
    <row r="2215" spans="44:46">
      <c r="AR2215">
        <v>0</v>
      </c>
      <c r="AS2215">
        <v>0</v>
      </c>
      <c r="AT2215">
        <v>0</v>
      </c>
    </row>
    <row r="2216" spans="44:46">
      <c r="AR2216">
        <v>0</v>
      </c>
      <c r="AS2216">
        <v>0</v>
      </c>
      <c r="AT2216">
        <v>0</v>
      </c>
    </row>
    <row r="2217" spans="44:46">
      <c r="AR2217">
        <v>0</v>
      </c>
      <c r="AS2217">
        <v>0</v>
      </c>
      <c r="AT2217">
        <v>0</v>
      </c>
    </row>
    <row r="2218" spans="44:46">
      <c r="AR2218">
        <v>0</v>
      </c>
      <c r="AS2218">
        <v>0</v>
      </c>
      <c r="AT2218">
        <v>0</v>
      </c>
    </row>
    <row r="2219" spans="44:46">
      <c r="AR2219">
        <v>0</v>
      </c>
      <c r="AS2219">
        <v>0</v>
      </c>
      <c r="AT2219">
        <v>0</v>
      </c>
    </row>
    <row r="2220" spans="44:46">
      <c r="AR2220">
        <v>0</v>
      </c>
      <c r="AS2220">
        <v>0</v>
      </c>
      <c r="AT2220">
        <v>0</v>
      </c>
    </row>
    <row r="2221" spans="44:46">
      <c r="AR2221">
        <v>0</v>
      </c>
      <c r="AS2221">
        <v>0</v>
      </c>
      <c r="AT2221">
        <v>0</v>
      </c>
    </row>
    <row r="2222" spans="44:46">
      <c r="AR2222">
        <v>0</v>
      </c>
      <c r="AS2222">
        <v>0</v>
      </c>
      <c r="AT2222">
        <v>0</v>
      </c>
    </row>
    <row r="2223" spans="44:46">
      <c r="AR2223">
        <v>0</v>
      </c>
      <c r="AS2223">
        <v>0</v>
      </c>
      <c r="AT2223">
        <v>0</v>
      </c>
    </row>
    <row r="2224" spans="44:46">
      <c r="AR2224">
        <v>0</v>
      </c>
      <c r="AS2224">
        <v>0</v>
      </c>
      <c r="AT2224">
        <v>0</v>
      </c>
    </row>
    <row r="2225" spans="44:46">
      <c r="AR2225">
        <v>0</v>
      </c>
      <c r="AS2225">
        <v>0</v>
      </c>
      <c r="AT2225">
        <v>0</v>
      </c>
    </row>
    <row r="2226" spans="44:46">
      <c r="AR2226">
        <v>0</v>
      </c>
      <c r="AS2226">
        <v>0</v>
      </c>
      <c r="AT2226">
        <v>0</v>
      </c>
    </row>
    <row r="2227" spans="44:46">
      <c r="AR2227">
        <v>0</v>
      </c>
      <c r="AS2227">
        <v>0</v>
      </c>
      <c r="AT2227">
        <v>0</v>
      </c>
    </row>
    <row r="2228" spans="44:46">
      <c r="AR2228">
        <v>0</v>
      </c>
      <c r="AS2228">
        <v>0</v>
      </c>
      <c r="AT2228">
        <v>0</v>
      </c>
    </row>
    <row r="2229" spans="44:46">
      <c r="AR2229">
        <v>0</v>
      </c>
      <c r="AS2229">
        <v>0</v>
      </c>
      <c r="AT2229">
        <v>0</v>
      </c>
    </row>
    <row r="2230" spans="44:46">
      <c r="AR2230">
        <v>0</v>
      </c>
      <c r="AS2230">
        <v>0</v>
      </c>
      <c r="AT2230">
        <v>0</v>
      </c>
    </row>
    <row r="2231" spans="44:46">
      <c r="AR2231">
        <v>0</v>
      </c>
      <c r="AS2231">
        <v>0</v>
      </c>
      <c r="AT2231">
        <v>0</v>
      </c>
    </row>
    <row r="2232" spans="44:46">
      <c r="AR2232">
        <v>0</v>
      </c>
      <c r="AS2232">
        <v>0</v>
      </c>
      <c r="AT2232">
        <v>0</v>
      </c>
    </row>
    <row r="2233" spans="44:46">
      <c r="AR2233">
        <v>0</v>
      </c>
      <c r="AS2233">
        <v>0</v>
      </c>
      <c r="AT2233">
        <v>0</v>
      </c>
    </row>
    <row r="2234" spans="44:46">
      <c r="AR2234">
        <v>0</v>
      </c>
      <c r="AS2234">
        <v>0</v>
      </c>
      <c r="AT2234">
        <v>0</v>
      </c>
    </row>
    <row r="2235" spans="44:46">
      <c r="AR2235">
        <v>0</v>
      </c>
      <c r="AS2235">
        <v>0</v>
      </c>
      <c r="AT2235">
        <v>0</v>
      </c>
    </row>
    <row r="2236" spans="44:46">
      <c r="AR2236">
        <v>0</v>
      </c>
      <c r="AS2236">
        <v>0</v>
      </c>
      <c r="AT2236">
        <v>0</v>
      </c>
    </row>
    <row r="2237" spans="44:46">
      <c r="AR2237">
        <v>0</v>
      </c>
      <c r="AS2237">
        <v>0</v>
      </c>
      <c r="AT2237">
        <v>0</v>
      </c>
    </row>
    <row r="2238" spans="44:46">
      <c r="AR2238">
        <v>0</v>
      </c>
      <c r="AS2238">
        <v>0</v>
      </c>
      <c r="AT2238">
        <v>0</v>
      </c>
    </row>
    <row r="2239" spans="44:46">
      <c r="AR2239">
        <v>0</v>
      </c>
      <c r="AS2239">
        <v>0</v>
      </c>
      <c r="AT2239">
        <v>0</v>
      </c>
    </row>
    <row r="2240" spans="44:46">
      <c r="AR2240">
        <v>0</v>
      </c>
      <c r="AS2240">
        <v>0</v>
      </c>
      <c r="AT2240">
        <v>0</v>
      </c>
    </row>
    <row r="2241" spans="44:46">
      <c r="AR2241">
        <v>0</v>
      </c>
      <c r="AS2241">
        <v>0</v>
      </c>
      <c r="AT2241">
        <v>0</v>
      </c>
    </row>
    <row r="2242" spans="44:46">
      <c r="AR2242">
        <v>0</v>
      </c>
      <c r="AS2242">
        <v>0</v>
      </c>
      <c r="AT2242">
        <v>0</v>
      </c>
    </row>
    <row r="2243" spans="44:46">
      <c r="AR2243">
        <v>0</v>
      </c>
      <c r="AS2243">
        <v>0</v>
      </c>
      <c r="AT2243">
        <v>0</v>
      </c>
    </row>
    <row r="2244" spans="44:46">
      <c r="AR2244">
        <v>0</v>
      </c>
      <c r="AS2244">
        <v>0</v>
      </c>
      <c r="AT2244">
        <v>0</v>
      </c>
    </row>
    <row r="2245" spans="44:46">
      <c r="AR2245">
        <v>0</v>
      </c>
      <c r="AS2245">
        <v>0</v>
      </c>
      <c r="AT2245">
        <v>0</v>
      </c>
    </row>
    <row r="2246" spans="44:46">
      <c r="AR2246">
        <v>0</v>
      </c>
      <c r="AS2246">
        <v>0</v>
      </c>
      <c r="AT2246">
        <v>0</v>
      </c>
    </row>
    <row r="2247" spans="44:46">
      <c r="AR2247">
        <v>0</v>
      </c>
      <c r="AS2247">
        <v>0</v>
      </c>
      <c r="AT2247">
        <v>0</v>
      </c>
    </row>
    <row r="2248" spans="44:46">
      <c r="AR2248">
        <v>0</v>
      </c>
      <c r="AS2248">
        <v>0</v>
      </c>
      <c r="AT2248">
        <v>0</v>
      </c>
    </row>
    <row r="2249" spans="44:46">
      <c r="AR2249">
        <v>0</v>
      </c>
      <c r="AS2249">
        <v>0</v>
      </c>
      <c r="AT2249">
        <v>0</v>
      </c>
    </row>
    <row r="2250" spans="44:46">
      <c r="AR2250">
        <v>0</v>
      </c>
      <c r="AS2250">
        <v>0</v>
      </c>
      <c r="AT2250">
        <v>0</v>
      </c>
    </row>
    <row r="2251" spans="44:46">
      <c r="AR2251">
        <v>0</v>
      </c>
      <c r="AS2251">
        <v>0</v>
      </c>
      <c r="AT2251">
        <v>0</v>
      </c>
    </row>
    <row r="2252" spans="44:46">
      <c r="AR2252">
        <v>0</v>
      </c>
      <c r="AS2252">
        <v>0</v>
      </c>
      <c r="AT2252">
        <v>0</v>
      </c>
    </row>
    <row r="2253" spans="44:46">
      <c r="AR2253">
        <v>0</v>
      </c>
      <c r="AS2253">
        <v>0</v>
      </c>
      <c r="AT2253">
        <v>0</v>
      </c>
    </row>
    <row r="2254" spans="44:46">
      <c r="AR2254">
        <v>0</v>
      </c>
      <c r="AS2254">
        <v>0</v>
      </c>
      <c r="AT2254">
        <v>0</v>
      </c>
    </row>
    <row r="2255" spans="44:46">
      <c r="AR2255">
        <v>0</v>
      </c>
      <c r="AS2255">
        <v>0</v>
      </c>
      <c r="AT2255">
        <v>0</v>
      </c>
    </row>
    <row r="2256" spans="44:46">
      <c r="AR2256">
        <v>0</v>
      </c>
      <c r="AS2256">
        <v>0</v>
      </c>
      <c r="AT2256">
        <v>0</v>
      </c>
    </row>
    <row r="2257" spans="44:46">
      <c r="AR2257">
        <v>0</v>
      </c>
      <c r="AS2257">
        <v>0</v>
      </c>
      <c r="AT2257">
        <v>0</v>
      </c>
    </row>
    <row r="2258" spans="44:46">
      <c r="AR2258">
        <v>0</v>
      </c>
      <c r="AS2258">
        <v>0</v>
      </c>
      <c r="AT2258">
        <v>0</v>
      </c>
    </row>
    <row r="2259" spans="44:46">
      <c r="AR2259">
        <v>0</v>
      </c>
      <c r="AS2259">
        <v>0</v>
      </c>
      <c r="AT2259">
        <v>0</v>
      </c>
    </row>
    <row r="2260" spans="44:46">
      <c r="AR2260">
        <v>0</v>
      </c>
      <c r="AS2260">
        <v>0</v>
      </c>
      <c r="AT2260">
        <v>0</v>
      </c>
    </row>
    <row r="2261" spans="44:46">
      <c r="AR2261">
        <v>0</v>
      </c>
      <c r="AS2261">
        <v>0</v>
      </c>
      <c r="AT2261">
        <v>0</v>
      </c>
    </row>
    <row r="2262" spans="44:46">
      <c r="AR2262">
        <v>0</v>
      </c>
      <c r="AS2262">
        <v>0</v>
      </c>
      <c r="AT2262">
        <v>0</v>
      </c>
    </row>
    <row r="2263" spans="44:46">
      <c r="AR2263">
        <v>0</v>
      </c>
      <c r="AS2263">
        <v>0</v>
      </c>
      <c r="AT2263">
        <v>0</v>
      </c>
    </row>
    <row r="2264" spans="44:46">
      <c r="AR2264">
        <v>0</v>
      </c>
      <c r="AS2264">
        <v>0</v>
      </c>
      <c r="AT2264">
        <v>0</v>
      </c>
    </row>
    <row r="2265" spans="44:46">
      <c r="AR2265">
        <v>0</v>
      </c>
      <c r="AS2265">
        <v>0</v>
      </c>
      <c r="AT2265">
        <v>0</v>
      </c>
    </row>
    <row r="2266" spans="44:46">
      <c r="AR2266">
        <v>0</v>
      </c>
      <c r="AS2266">
        <v>0</v>
      </c>
      <c r="AT2266">
        <v>0</v>
      </c>
    </row>
    <row r="2267" spans="44:46">
      <c r="AR2267">
        <v>0</v>
      </c>
      <c r="AS2267">
        <v>0</v>
      </c>
      <c r="AT2267">
        <v>0</v>
      </c>
    </row>
    <row r="2268" spans="44:46">
      <c r="AR2268">
        <v>0</v>
      </c>
      <c r="AS2268">
        <v>0</v>
      </c>
      <c r="AT2268">
        <v>0</v>
      </c>
    </row>
    <row r="2269" spans="44:46">
      <c r="AR2269">
        <v>0</v>
      </c>
      <c r="AS2269">
        <v>0</v>
      </c>
      <c r="AT2269">
        <v>0</v>
      </c>
    </row>
    <row r="2270" spans="44:46">
      <c r="AR2270">
        <v>0</v>
      </c>
      <c r="AS2270">
        <v>0</v>
      </c>
      <c r="AT2270">
        <v>0</v>
      </c>
    </row>
    <row r="2271" spans="44:46">
      <c r="AR2271">
        <v>0</v>
      </c>
      <c r="AS2271">
        <v>0</v>
      </c>
      <c r="AT2271">
        <v>0</v>
      </c>
    </row>
    <row r="2272" spans="44:46">
      <c r="AR2272">
        <v>0</v>
      </c>
      <c r="AS2272">
        <v>0</v>
      </c>
      <c r="AT2272">
        <v>0</v>
      </c>
    </row>
    <row r="2273" spans="44:46">
      <c r="AR2273">
        <v>0</v>
      </c>
      <c r="AS2273">
        <v>0</v>
      </c>
      <c r="AT2273">
        <v>0</v>
      </c>
    </row>
    <row r="2274" spans="44:46">
      <c r="AR2274">
        <v>0</v>
      </c>
      <c r="AS2274">
        <v>0</v>
      </c>
      <c r="AT2274">
        <v>0</v>
      </c>
    </row>
    <row r="2275" spans="44:46">
      <c r="AR2275">
        <v>0</v>
      </c>
      <c r="AS2275">
        <v>0</v>
      </c>
      <c r="AT2275">
        <v>0</v>
      </c>
    </row>
    <row r="2276" spans="44:46">
      <c r="AR2276">
        <v>0</v>
      </c>
      <c r="AS2276">
        <v>0</v>
      </c>
      <c r="AT2276">
        <v>0</v>
      </c>
    </row>
    <row r="2277" spans="44:46">
      <c r="AR2277">
        <v>0</v>
      </c>
      <c r="AS2277">
        <v>0</v>
      </c>
      <c r="AT2277">
        <v>0</v>
      </c>
    </row>
    <row r="2278" spans="44:46">
      <c r="AR2278">
        <v>0</v>
      </c>
      <c r="AS2278">
        <v>0</v>
      </c>
      <c r="AT2278">
        <v>0</v>
      </c>
    </row>
    <row r="2279" spans="44:46">
      <c r="AR2279">
        <v>0</v>
      </c>
      <c r="AS2279">
        <v>0</v>
      </c>
      <c r="AT2279">
        <v>0</v>
      </c>
    </row>
    <row r="2280" spans="44:46">
      <c r="AR2280">
        <v>0</v>
      </c>
      <c r="AS2280">
        <v>0</v>
      </c>
      <c r="AT2280">
        <v>0</v>
      </c>
    </row>
    <row r="2281" spans="44:46">
      <c r="AR2281">
        <v>0</v>
      </c>
      <c r="AS2281">
        <v>0</v>
      </c>
      <c r="AT2281">
        <v>0</v>
      </c>
    </row>
    <row r="2282" spans="44:46">
      <c r="AR2282">
        <v>0</v>
      </c>
      <c r="AS2282">
        <v>0</v>
      </c>
      <c r="AT2282">
        <v>0</v>
      </c>
    </row>
    <row r="2283" spans="44:46">
      <c r="AR2283">
        <v>0</v>
      </c>
      <c r="AS2283">
        <v>0</v>
      </c>
      <c r="AT2283">
        <v>0</v>
      </c>
    </row>
    <row r="2284" spans="44:46">
      <c r="AR2284">
        <v>0</v>
      </c>
      <c r="AS2284">
        <v>0</v>
      </c>
      <c r="AT2284">
        <v>0</v>
      </c>
    </row>
    <row r="2285" spans="44:46">
      <c r="AR2285">
        <v>0</v>
      </c>
      <c r="AS2285">
        <v>0</v>
      </c>
      <c r="AT2285">
        <v>0</v>
      </c>
    </row>
    <row r="2286" spans="44:46">
      <c r="AR2286">
        <v>0</v>
      </c>
      <c r="AS2286">
        <v>0</v>
      </c>
      <c r="AT2286">
        <v>0</v>
      </c>
    </row>
    <row r="2287" spans="44:46">
      <c r="AR2287">
        <v>0</v>
      </c>
      <c r="AS2287">
        <v>0</v>
      </c>
      <c r="AT2287">
        <v>0</v>
      </c>
    </row>
    <row r="2288" spans="44:46">
      <c r="AR2288">
        <v>0</v>
      </c>
      <c r="AS2288">
        <v>0</v>
      </c>
      <c r="AT2288">
        <v>0</v>
      </c>
    </row>
    <row r="2289" spans="44:46">
      <c r="AR2289">
        <v>0</v>
      </c>
      <c r="AS2289">
        <v>0</v>
      </c>
      <c r="AT2289">
        <v>0</v>
      </c>
    </row>
    <row r="2290" spans="44:46">
      <c r="AR2290">
        <v>0</v>
      </c>
      <c r="AS2290">
        <v>0</v>
      </c>
      <c r="AT2290">
        <v>0</v>
      </c>
    </row>
    <row r="2291" spans="44:46">
      <c r="AR2291">
        <v>0</v>
      </c>
      <c r="AS2291">
        <v>0</v>
      </c>
      <c r="AT2291">
        <v>0</v>
      </c>
    </row>
    <row r="2292" spans="44:46">
      <c r="AR2292">
        <v>0</v>
      </c>
      <c r="AS2292">
        <v>0</v>
      </c>
      <c r="AT2292">
        <v>0</v>
      </c>
    </row>
    <row r="2293" spans="44:46">
      <c r="AR2293">
        <v>0</v>
      </c>
      <c r="AS2293">
        <v>0</v>
      </c>
      <c r="AT2293">
        <v>0</v>
      </c>
    </row>
    <row r="2294" spans="44:46">
      <c r="AR2294">
        <v>0</v>
      </c>
      <c r="AS2294">
        <v>0</v>
      </c>
      <c r="AT2294">
        <v>0</v>
      </c>
    </row>
    <row r="2295" spans="44:46">
      <c r="AR2295">
        <v>0</v>
      </c>
      <c r="AS2295">
        <v>0</v>
      </c>
      <c r="AT2295">
        <v>0</v>
      </c>
    </row>
    <row r="2296" spans="44:46">
      <c r="AR2296">
        <v>0</v>
      </c>
      <c r="AS2296">
        <v>0</v>
      </c>
      <c r="AT2296">
        <v>0</v>
      </c>
    </row>
    <row r="2297" spans="44:46">
      <c r="AR2297">
        <v>0</v>
      </c>
      <c r="AS2297">
        <v>0</v>
      </c>
      <c r="AT2297">
        <v>0</v>
      </c>
    </row>
    <row r="2298" spans="44:46">
      <c r="AR2298">
        <v>0</v>
      </c>
      <c r="AS2298">
        <v>0</v>
      </c>
      <c r="AT2298">
        <v>0</v>
      </c>
    </row>
    <row r="2299" spans="44:46">
      <c r="AR2299">
        <v>0</v>
      </c>
      <c r="AS2299">
        <v>0</v>
      </c>
      <c r="AT2299">
        <v>0</v>
      </c>
    </row>
    <row r="2300" spans="44:46">
      <c r="AR2300">
        <v>0</v>
      </c>
      <c r="AS2300">
        <v>0</v>
      </c>
      <c r="AT2300">
        <v>0</v>
      </c>
    </row>
    <row r="2301" spans="44:46">
      <c r="AR2301">
        <v>0</v>
      </c>
      <c r="AS2301">
        <v>0</v>
      </c>
      <c r="AT2301">
        <v>0</v>
      </c>
    </row>
    <row r="2302" spans="44:46">
      <c r="AR2302">
        <v>0</v>
      </c>
      <c r="AS2302">
        <v>0</v>
      </c>
      <c r="AT2302">
        <v>0</v>
      </c>
    </row>
    <row r="2303" spans="44:46">
      <c r="AR2303">
        <v>0</v>
      </c>
      <c r="AS2303">
        <v>0</v>
      </c>
      <c r="AT2303">
        <v>0</v>
      </c>
    </row>
    <row r="2304" spans="44:46">
      <c r="AR2304">
        <v>0</v>
      </c>
      <c r="AS2304">
        <v>0</v>
      </c>
      <c r="AT2304">
        <v>0</v>
      </c>
    </row>
    <row r="2305" spans="44:46">
      <c r="AR2305">
        <v>0</v>
      </c>
      <c r="AS2305">
        <v>0</v>
      </c>
      <c r="AT2305">
        <v>0</v>
      </c>
    </row>
    <row r="2306" spans="44:46">
      <c r="AR2306">
        <v>0</v>
      </c>
      <c r="AS2306">
        <v>0</v>
      </c>
      <c r="AT2306">
        <v>0</v>
      </c>
    </row>
    <row r="2307" spans="44:46">
      <c r="AR2307">
        <v>0</v>
      </c>
      <c r="AS2307">
        <v>0</v>
      </c>
      <c r="AT2307">
        <v>0</v>
      </c>
    </row>
    <row r="2308" spans="44:46">
      <c r="AR2308">
        <v>0</v>
      </c>
      <c r="AS2308">
        <v>0</v>
      </c>
      <c r="AT2308">
        <v>0</v>
      </c>
    </row>
    <row r="2309" spans="44:46">
      <c r="AR2309">
        <v>0</v>
      </c>
      <c r="AS2309">
        <v>0</v>
      </c>
      <c r="AT2309">
        <v>0</v>
      </c>
    </row>
    <row r="2310" spans="44:46">
      <c r="AR2310">
        <v>0</v>
      </c>
      <c r="AS2310">
        <v>0</v>
      </c>
      <c r="AT2310">
        <v>0</v>
      </c>
    </row>
    <row r="2311" spans="44:46">
      <c r="AR2311">
        <v>0</v>
      </c>
      <c r="AS2311">
        <v>0</v>
      </c>
      <c r="AT2311">
        <v>0</v>
      </c>
    </row>
    <row r="2312" spans="44:46">
      <c r="AR2312">
        <v>0</v>
      </c>
      <c r="AS2312">
        <v>0</v>
      </c>
      <c r="AT2312">
        <v>0</v>
      </c>
    </row>
    <row r="2313" spans="44:46">
      <c r="AR2313">
        <v>0</v>
      </c>
      <c r="AS2313">
        <v>0</v>
      </c>
      <c r="AT2313">
        <v>0</v>
      </c>
    </row>
    <row r="2314" spans="44:46">
      <c r="AR2314">
        <v>0</v>
      </c>
      <c r="AS2314">
        <v>0</v>
      </c>
      <c r="AT2314">
        <v>0</v>
      </c>
    </row>
    <row r="2315" spans="44:46">
      <c r="AR2315">
        <v>0</v>
      </c>
      <c r="AS2315">
        <v>0</v>
      </c>
      <c r="AT2315">
        <v>0</v>
      </c>
    </row>
    <row r="2316" spans="44:46">
      <c r="AR2316">
        <v>0</v>
      </c>
      <c r="AS2316">
        <v>0</v>
      </c>
      <c r="AT2316">
        <v>0</v>
      </c>
    </row>
    <row r="2317" spans="44:46">
      <c r="AR2317">
        <v>0</v>
      </c>
      <c r="AS2317">
        <v>0</v>
      </c>
      <c r="AT2317">
        <v>0</v>
      </c>
    </row>
    <row r="2318" spans="44:46">
      <c r="AR2318">
        <v>0</v>
      </c>
      <c r="AS2318">
        <v>0</v>
      </c>
      <c r="AT2318">
        <v>0</v>
      </c>
    </row>
    <row r="2319" spans="44:46">
      <c r="AR2319">
        <v>0</v>
      </c>
      <c r="AS2319">
        <v>0</v>
      </c>
      <c r="AT2319">
        <v>0</v>
      </c>
    </row>
    <row r="2320" spans="44:46">
      <c r="AR2320">
        <v>0</v>
      </c>
      <c r="AS2320">
        <v>0</v>
      </c>
      <c r="AT2320">
        <v>0</v>
      </c>
    </row>
    <row r="2321" spans="44:46">
      <c r="AR2321">
        <v>0</v>
      </c>
      <c r="AS2321">
        <v>0</v>
      </c>
      <c r="AT2321">
        <v>0</v>
      </c>
    </row>
    <row r="2322" spans="44:46">
      <c r="AR2322">
        <v>0</v>
      </c>
      <c r="AS2322">
        <v>0</v>
      </c>
      <c r="AT2322">
        <v>0</v>
      </c>
    </row>
    <row r="2323" spans="44:46">
      <c r="AR2323">
        <v>0</v>
      </c>
      <c r="AS2323">
        <v>0</v>
      </c>
      <c r="AT2323">
        <v>0</v>
      </c>
    </row>
    <row r="2324" spans="44:46">
      <c r="AR2324">
        <v>0</v>
      </c>
      <c r="AS2324">
        <v>0</v>
      </c>
      <c r="AT2324">
        <v>0</v>
      </c>
    </row>
    <row r="2325" spans="44:46">
      <c r="AR2325">
        <v>0</v>
      </c>
      <c r="AS2325">
        <v>0</v>
      </c>
      <c r="AT2325">
        <v>0</v>
      </c>
    </row>
    <row r="2326" spans="44:46">
      <c r="AR2326">
        <v>0</v>
      </c>
      <c r="AS2326">
        <v>0</v>
      </c>
      <c r="AT2326">
        <v>0</v>
      </c>
    </row>
    <row r="2327" spans="44:46">
      <c r="AR2327">
        <v>0</v>
      </c>
      <c r="AS2327">
        <v>0</v>
      </c>
      <c r="AT2327">
        <v>0</v>
      </c>
    </row>
    <row r="2328" spans="44:46">
      <c r="AR2328">
        <v>0</v>
      </c>
      <c r="AS2328">
        <v>0</v>
      </c>
      <c r="AT2328">
        <v>0</v>
      </c>
    </row>
    <row r="2329" spans="44:46">
      <c r="AR2329">
        <v>0</v>
      </c>
      <c r="AS2329">
        <v>0</v>
      </c>
      <c r="AT2329">
        <v>0</v>
      </c>
    </row>
    <row r="2330" spans="44:46">
      <c r="AR2330">
        <v>0</v>
      </c>
      <c r="AS2330">
        <v>0</v>
      </c>
      <c r="AT2330">
        <v>0</v>
      </c>
    </row>
    <row r="2331" spans="44:46">
      <c r="AR2331">
        <v>0</v>
      </c>
      <c r="AS2331">
        <v>0</v>
      </c>
      <c r="AT2331">
        <v>0</v>
      </c>
    </row>
    <row r="2332" spans="44:46">
      <c r="AR2332">
        <v>0</v>
      </c>
      <c r="AS2332">
        <v>0</v>
      </c>
      <c r="AT2332">
        <v>0</v>
      </c>
    </row>
    <row r="2333" spans="44:46">
      <c r="AR2333">
        <v>0</v>
      </c>
      <c r="AS2333">
        <v>0</v>
      </c>
      <c r="AT2333">
        <v>0</v>
      </c>
    </row>
    <row r="2334" spans="44:46">
      <c r="AR2334">
        <v>0</v>
      </c>
      <c r="AS2334">
        <v>0</v>
      </c>
      <c r="AT2334">
        <v>0</v>
      </c>
    </row>
    <row r="2335" spans="44:46">
      <c r="AR2335">
        <v>0</v>
      </c>
      <c r="AS2335">
        <v>0</v>
      </c>
      <c r="AT2335">
        <v>0</v>
      </c>
    </row>
    <row r="2336" spans="44:46">
      <c r="AR2336">
        <v>0</v>
      </c>
      <c r="AS2336">
        <v>0</v>
      </c>
      <c r="AT2336">
        <v>0</v>
      </c>
    </row>
    <row r="2337" spans="44:46">
      <c r="AR2337">
        <v>0</v>
      </c>
      <c r="AS2337">
        <v>0</v>
      </c>
      <c r="AT2337">
        <v>0</v>
      </c>
    </row>
    <row r="2338" spans="44:46">
      <c r="AR2338">
        <v>0</v>
      </c>
      <c r="AS2338">
        <v>0</v>
      </c>
      <c r="AT2338">
        <v>0</v>
      </c>
    </row>
    <row r="2339" spans="44:46">
      <c r="AR2339">
        <v>0</v>
      </c>
      <c r="AS2339">
        <v>0</v>
      </c>
      <c r="AT2339">
        <v>0</v>
      </c>
    </row>
    <row r="2340" spans="44:46">
      <c r="AR2340">
        <v>0</v>
      </c>
      <c r="AS2340">
        <v>0</v>
      </c>
      <c r="AT2340">
        <v>0</v>
      </c>
    </row>
    <row r="2341" spans="44:46">
      <c r="AR2341">
        <v>0</v>
      </c>
      <c r="AS2341">
        <v>0</v>
      </c>
      <c r="AT2341">
        <v>0</v>
      </c>
    </row>
    <row r="2342" spans="44:46">
      <c r="AR2342">
        <v>0</v>
      </c>
      <c r="AS2342">
        <v>0</v>
      </c>
      <c r="AT2342">
        <v>0</v>
      </c>
    </row>
    <row r="2343" spans="44:46">
      <c r="AR2343">
        <v>0</v>
      </c>
      <c r="AS2343">
        <v>0</v>
      </c>
      <c r="AT2343">
        <v>0</v>
      </c>
    </row>
    <row r="2344" spans="44:46">
      <c r="AR2344">
        <v>0</v>
      </c>
      <c r="AS2344">
        <v>0</v>
      </c>
      <c r="AT2344">
        <v>0</v>
      </c>
    </row>
    <row r="2345" spans="44:46">
      <c r="AR2345">
        <v>0</v>
      </c>
      <c r="AS2345">
        <v>0</v>
      </c>
      <c r="AT2345">
        <v>0</v>
      </c>
    </row>
    <row r="2346" spans="44:46">
      <c r="AR2346">
        <v>0</v>
      </c>
      <c r="AS2346">
        <v>0</v>
      </c>
      <c r="AT2346">
        <v>0</v>
      </c>
    </row>
    <row r="2347" spans="44:46">
      <c r="AR2347">
        <v>0</v>
      </c>
      <c r="AS2347">
        <v>0</v>
      </c>
      <c r="AT2347">
        <v>0</v>
      </c>
    </row>
    <row r="2348" spans="44:46">
      <c r="AR2348">
        <v>0</v>
      </c>
      <c r="AS2348">
        <v>0</v>
      </c>
      <c r="AT2348">
        <v>0</v>
      </c>
    </row>
    <row r="2349" spans="44:46">
      <c r="AR2349">
        <v>0</v>
      </c>
      <c r="AS2349">
        <v>0</v>
      </c>
      <c r="AT2349">
        <v>0</v>
      </c>
    </row>
    <row r="2350" spans="44:46">
      <c r="AR2350">
        <v>0</v>
      </c>
      <c r="AS2350">
        <v>0</v>
      </c>
      <c r="AT2350">
        <v>0</v>
      </c>
    </row>
    <row r="2351" spans="44:46">
      <c r="AR2351">
        <v>0</v>
      </c>
      <c r="AS2351">
        <v>0</v>
      </c>
      <c r="AT2351">
        <v>0</v>
      </c>
    </row>
    <row r="2352" spans="44:46">
      <c r="AR2352">
        <v>0</v>
      </c>
      <c r="AS2352">
        <v>0</v>
      </c>
      <c r="AT2352">
        <v>0</v>
      </c>
    </row>
    <row r="2353" spans="44:46">
      <c r="AR2353">
        <v>0</v>
      </c>
      <c r="AS2353">
        <v>0</v>
      </c>
      <c r="AT2353">
        <v>0</v>
      </c>
    </row>
    <row r="2354" spans="44:46">
      <c r="AR2354">
        <v>0</v>
      </c>
      <c r="AS2354">
        <v>0</v>
      </c>
      <c r="AT2354">
        <v>0</v>
      </c>
    </row>
    <row r="2355" spans="44:46">
      <c r="AR2355">
        <v>0</v>
      </c>
      <c r="AS2355">
        <v>0</v>
      </c>
      <c r="AT2355">
        <v>0</v>
      </c>
    </row>
    <row r="2356" spans="44:46">
      <c r="AR2356">
        <v>0</v>
      </c>
      <c r="AS2356">
        <v>0</v>
      </c>
      <c r="AT2356">
        <v>0</v>
      </c>
    </row>
    <row r="2357" spans="44:46">
      <c r="AR2357">
        <v>0</v>
      </c>
      <c r="AS2357">
        <v>0</v>
      </c>
      <c r="AT2357">
        <v>0</v>
      </c>
    </row>
    <row r="2358" spans="44:46">
      <c r="AR2358">
        <v>0</v>
      </c>
      <c r="AS2358">
        <v>0</v>
      </c>
      <c r="AT2358">
        <v>0</v>
      </c>
    </row>
    <row r="2359" spans="44:46">
      <c r="AR2359">
        <v>0</v>
      </c>
      <c r="AS2359">
        <v>0</v>
      </c>
      <c r="AT2359">
        <v>0</v>
      </c>
    </row>
    <row r="2360" spans="44:46">
      <c r="AR2360">
        <v>0</v>
      </c>
      <c r="AS2360">
        <v>0</v>
      </c>
      <c r="AT2360">
        <v>0</v>
      </c>
    </row>
    <row r="2361" spans="44:46">
      <c r="AR2361">
        <v>0</v>
      </c>
      <c r="AS2361">
        <v>0</v>
      </c>
      <c r="AT2361">
        <v>0</v>
      </c>
    </row>
    <row r="2362" spans="44:46">
      <c r="AR2362">
        <v>0</v>
      </c>
      <c r="AS2362">
        <v>0</v>
      </c>
      <c r="AT2362">
        <v>0</v>
      </c>
    </row>
    <row r="2363" spans="44:46">
      <c r="AR2363">
        <v>0</v>
      </c>
      <c r="AS2363">
        <v>0</v>
      </c>
      <c r="AT2363">
        <v>0</v>
      </c>
    </row>
    <row r="2364" spans="44:46">
      <c r="AR2364">
        <v>0</v>
      </c>
      <c r="AS2364">
        <v>0</v>
      </c>
      <c r="AT2364">
        <v>0</v>
      </c>
    </row>
    <row r="2365" spans="44:46">
      <c r="AR2365">
        <v>0</v>
      </c>
      <c r="AS2365">
        <v>0</v>
      </c>
      <c r="AT2365">
        <v>0</v>
      </c>
    </row>
    <row r="2366" spans="44:46">
      <c r="AR2366">
        <v>0</v>
      </c>
      <c r="AS2366">
        <v>0</v>
      </c>
      <c r="AT2366">
        <v>0</v>
      </c>
    </row>
    <row r="2367" spans="44:46">
      <c r="AR2367">
        <v>0</v>
      </c>
      <c r="AS2367">
        <v>0</v>
      </c>
      <c r="AT2367">
        <v>0</v>
      </c>
    </row>
    <row r="2368" spans="44:46">
      <c r="AR2368">
        <v>0</v>
      </c>
      <c r="AS2368">
        <v>0</v>
      </c>
      <c r="AT2368">
        <v>0</v>
      </c>
    </row>
    <row r="2369" spans="44:46">
      <c r="AR2369">
        <v>0</v>
      </c>
      <c r="AS2369">
        <v>0</v>
      </c>
      <c r="AT2369">
        <v>0</v>
      </c>
    </row>
    <row r="2370" spans="44:46">
      <c r="AR2370">
        <v>0</v>
      </c>
      <c r="AS2370">
        <v>0</v>
      </c>
      <c r="AT2370">
        <v>0</v>
      </c>
    </row>
    <row r="2371" spans="44:46">
      <c r="AR2371">
        <v>0</v>
      </c>
      <c r="AS2371">
        <v>0</v>
      </c>
      <c r="AT2371">
        <v>0</v>
      </c>
    </row>
    <row r="2372" spans="44:46">
      <c r="AR2372">
        <v>0</v>
      </c>
      <c r="AS2372">
        <v>0</v>
      </c>
      <c r="AT2372">
        <v>0</v>
      </c>
    </row>
    <row r="2373" spans="44:46">
      <c r="AR2373">
        <v>0</v>
      </c>
      <c r="AS2373">
        <v>0</v>
      </c>
      <c r="AT2373">
        <v>0</v>
      </c>
    </row>
    <row r="2374" spans="44:46">
      <c r="AR2374">
        <v>0</v>
      </c>
      <c r="AS2374">
        <v>0</v>
      </c>
      <c r="AT2374">
        <v>0</v>
      </c>
    </row>
    <row r="2375" spans="44:46">
      <c r="AR2375">
        <v>0</v>
      </c>
      <c r="AS2375">
        <v>0</v>
      </c>
      <c r="AT2375">
        <v>0</v>
      </c>
    </row>
    <row r="2376" spans="44:46">
      <c r="AR2376">
        <v>0</v>
      </c>
      <c r="AS2376">
        <v>0</v>
      </c>
      <c r="AT2376">
        <v>0</v>
      </c>
    </row>
    <row r="2377" spans="44:46">
      <c r="AR2377">
        <v>0</v>
      </c>
      <c r="AS2377">
        <v>0</v>
      </c>
      <c r="AT2377">
        <v>0</v>
      </c>
    </row>
    <row r="2378" spans="44:46">
      <c r="AR2378">
        <v>0</v>
      </c>
      <c r="AS2378">
        <v>0</v>
      </c>
      <c r="AT2378">
        <v>0</v>
      </c>
    </row>
    <row r="2379" spans="44:46">
      <c r="AR2379">
        <v>0</v>
      </c>
      <c r="AS2379">
        <v>0</v>
      </c>
      <c r="AT2379">
        <v>0</v>
      </c>
    </row>
    <row r="2380" spans="44:46">
      <c r="AR2380">
        <v>0</v>
      </c>
      <c r="AS2380">
        <v>0</v>
      </c>
      <c r="AT2380">
        <v>0</v>
      </c>
    </row>
    <row r="2381" spans="44:46">
      <c r="AR2381">
        <v>0</v>
      </c>
      <c r="AS2381">
        <v>0</v>
      </c>
      <c r="AT2381">
        <v>0</v>
      </c>
    </row>
    <row r="2382" spans="44:46">
      <c r="AR2382">
        <v>0</v>
      </c>
      <c r="AS2382">
        <v>0</v>
      </c>
      <c r="AT2382">
        <v>0</v>
      </c>
    </row>
    <row r="2383" spans="44:46">
      <c r="AR2383">
        <v>0</v>
      </c>
      <c r="AS2383">
        <v>0</v>
      </c>
      <c r="AT2383">
        <v>0</v>
      </c>
    </row>
    <row r="2384" spans="44:46">
      <c r="AR2384">
        <v>0</v>
      </c>
      <c r="AS2384">
        <v>0</v>
      </c>
      <c r="AT2384">
        <v>0</v>
      </c>
    </row>
    <row r="2385" spans="44:46">
      <c r="AR2385">
        <v>0</v>
      </c>
      <c r="AS2385">
        <v>0</v>
      </c>
      <c r="AT2385">
        <v>0</v>
      </c>
    </row>
    <row r="2386" spans="44:46">
      <c r="AR2386">
        <v>0</v>
      </c>
      <c r="AS2386">
        <v>0</v>
      </c>
      <c r="AT2386">
        <v>0</v>
      </c>
    </row>
    <row r="2387" spans="44:46">
      <c r="AR2387">
        <v>0</v>
      </c>
      <c r="AS2387">
        <v>0</v>
      </c>
      <c r="AT2387">
        <v>0</v>
      </c>
    </row>
    <row r="2388" spans="44:46">
      <c r="AR2388">
        <v>0</v>
      </c>
      <c r="AS2388">
        <v>0</v>
      </c>
      <c r="AT2388">
        <v>0</v>
      </c>
    </row>
    <row r="2389" spans="44:46">
      <c r="AR2389">
        <v>0</v>
      </c>
      <c r="AS2389">
        <v>0</v>
      </c>
      <c r="AT2389">
        <v>0</v>
      </c>
    </row>
    <row r="2390" spans="44:46">
      <c r="AR2390">
        <v>0</v>
      </c>
      <c r="AS2390">
        <v>0</v>
      </c>
      <c r="AT2390">
        <v>0</v>
      </c>
    </row>
    <row r="2391" spans="44:46">
      <c r="AR2391">
        <v>0</v>
      </c>
      <c r="AS2391">
        <v>0</v>
      </c>
      <c r="AT2391">
        <v>0</v>
      </c>
    </row>
    <row r="2392" spans="44:46">
      <c r="AR2392">
        <v>0</v>
      </c>
      <c r="AS2392">
        <v>0</v>
      </c>
      <c r="AT2392">
        <v>0</v>
      </c>
    </row>
    <row r="2393" spans="44:46">
      <c r="AR2393">
        <v>0</v>
      </c>
      <c r="AS2393">
        <v>0</v>
      </c>
      <c r="AT2393">
        <v>0</v>
      </c>
    </row>
    <row r="2394" spans="44:46">
      <c r="AR2394">
        <v>0</v>
      </c>
      <c r="AS2394">
        <v>0</v>
      </c>
      <c r="AT2394">
        <v>0</v>
      </c>
    </row>
    <row r="2395" spans="44:46">
      <c r="AR2395">
        <v>0</v>
      </c>
      <c r="AS2395">
        <v>0</v>
      </c>
      <c r="AT2395">
        <v>0</v>
      </c>
    </row>
    <row r="2396" spans="44:46">
      <c r="AR2396">
        <v>0</v>
      </c>
      <c r="AS2396">
        <v>0</v>
      </c>
      <c r="AT2396">
        <v>0</v>
      </c>
    </row>
    <row r="2397" spans="44:46">
      <c r="AR2397">
        <v>0</v>
      </c>
      <c r="AS2397">
        <v>0</v>
      </c>
      <c r="AT2397">
        <v>0</v>
      </c>
    </row>
    <row r="2398" spans="44:46">
      <c r="AR2398">
        <v>0</v>
      </c>
      <c r="AS2398">
        <v>0</v>
      </c>
      <c r="AT2398">
        <v>0</v>
      </c>
    </row>
    <row r="2399" spans="44:46">
      <c r="AR2399">
        <v>0</v>
      </c>
      <c r="AS2399">
        <v>0</v>
      </c>
      <c r="AT2399">
        <v>0</v>
      </c>
    </row>
    <row r="2400" spans="44:46">
      <c r="AR2400">
        <v>0</v>
      </c>
      <c r="AS2400">
        <v>0</v>
      </c>
      <c r="AT2400">
        <v>0</v>
      </c>
    </row>
    <row r="2401" spans="44:46">
      <c r="AR2401">
        <v>0</v>
      </c>
      <c r="AS2401">
        <v>0</v>
      </c>
      <c r="AT2401">
        <v>0</v>
      </c>
    </row>
    <row r="2402" spans="44:46">
      <c r="AR2402">
        <v>0</v>
      </c>
      <c r="AS2402">
        <v>0</v>
      </c>
      <c r="AT2402">
        <v>0</v>
      </c>
    </row>
    <row r="2403" spans="44:46">
      <c r="AR2403">
        <v>0</v>
      </c>
      <c r="AS2403">
        <v>0</v>
      </c>
      <c r="AT2403">
        <v>0</v>
      </c>
    </row>
    <row r="2404" spans="44:46">
      <c r="AR2404">
        <v>0</v>
      </c>
      <c r="AS2404">
        <v>0</v>
      </c>
      <c r="AT2404">
        <v>0</v>
      </c>
    </row>
    <row r="2405" spans="44:46">
      <c r="AR2405">
        <v>0</v>
      </c>
      <c r="AS2405">
        <v>0</v>
      </c>
      <c r="AT2405">
        <v>0</v>
      </c>
    </row>
    <row r="2406" spans="44:46">
      <c r="AR2406">
        <v>0</v>
      </c>
      <c r="AS2406">
        <v>0</v>
      </c>
      <c r="AT2406">
        <v>0</v>
      </c>
    </row>
    <row r="2407" spans="44:46">
      <c r="AR2407">
        <v>0</v>
      </c>
      <c r="AS2407">
        <v>0</v>
      </c>
      <c r="AT2407">
        <v>0</v>
      </c>
    </row>
    <row r="2408" spans="44:46">
      <c r="AR2408">
        <v>0</v>
      </c>
      <c r="AS2408">
        <v>0</v>
      </c>
      <c r="AT2408">
        <v>0</v>
      </c>
    </row>
    <row r="2409" spans="44:46">
      <c r="AR2409">
        <v>0</v>
      </c>
      <c r="AS2409">
        <v>0</v>
      </c>
      <c r="AT2409">
        <v>0</v>
      </c>
    </row>
    <row r="2410" spans="44:46">
      <c r="AR2410">
        <v>0</v>
      </c>
      <c r="AS2410">
        <v>0</v>
      </c>
      <c r="AT2410">
        <v>0</v>
      </c>
    </row>
    <row r="2411" spans="44:46">
      <c r="AR2411">
        <v>0</v>
      </c>
      <c r="AS2411">
        <v>0</v>
      </c>
      <c r="AT2411">
        <v>0</v>
      </c>
    </row>
    <row r="2412" spans="44:46">
      <c r="AR2412">
        <v>0</v>
      </c>
      <c r="AS2412">
        <v>0</v>
      </c>
      <c r="AT2412">
        <v>0</v>
      </c>
    </row>
    <row r="2413" spans="44:46">
      <c r="AR2413">
        <v>0</v>
      </c>
      <c r="AS2413">
        <v>0</v>
      </c>
      <c r="AT2413">
        <v>0</v>
      </c>
    </row>
    <row r="2414" spans="44:46">
      <c r="AR2414">
        <v>0</v>
      </c>
      <c r="AS2414">
        <v>0</v>
      </c>
      <c r="AT2414">
        <v>0</v>
      </c>
    </row>
    <row r="2415" spans="44:46">
      <c r="AR2415">
        <v>0</v>
      </c>
      <c r="AS2415">
        <v>0</v>
      </c>
      <c r="AT2415">
        <v>0</v>
      </c>
    </row>
    <row r="2416" spans="44:46">
      <c r="AR2416">
        <v>0</v>
      </c>
      <c r="AS2416">
        <v>0</v>
      </c>
      <c r="AT2416">
        <v>0</v>
      </c>
    </row>
    <row r="2417" spans="44:46">
      <c r="AR2417">
        <v>0</v>
      </c>
      <c r="AS2417">
        <v>0</v>
      </c>
      <c r="AT2417">
        <v>0</v>
      </c>
    </row>
    <row r="2418" spans="44:46">
      <c r="AR2418">
        <v>0</v>
      </c>
      <c r="AS2418">
        <v>0</v>
      </c>
      <c r="AT2418">
        <v>0</v>
      </c>
    </row>
    <row r="2419" spans="44:46">
      <c r="AR2419">
        <v>0</v>
      </c>
      <c r="AS2419">
        <v>0</v>
      </c>
      <c r="AT2419">
        <v>0</v>
      </c>
    </row>
    <row r="2420" spans="44:46">
      <c r="AR2420">
        <v>0</v>
      </c>
      <c r="AS2420">
        <v>0</v>
      </c>
      <c r="AT2420">
        <v>0</v>
      </c>
    </row>
    <row r="2421" spans="44:46">
      <c r="AR2421">
        <v>0</v>
      </c>
      <c r="AS2421">
        <v>0</v>
      </c>
      <c r="AT2421">
        <v>0</v>
      </c>
    </row>
    <row r="2422" spans="44:46">
      <c r="AR2422">
        <v>0</v>
      </c>
      <c r="AS2422">
        <v>0</v>
      </c>
      <c r="AT2422">
        <v>0</v>
      </c>
    </row>
    <row r="2423" spans="44:46">
      <c r="AR2423">
        <v>0</v>
      </c>
      <c r="AS2423">
        <v>0</v>
      </c>
      <c r="AT2423">
        <v>0</v>
      </c>
    </row>
    <row r="2424" spans="44:46">
      <c r="AR2424">
        <v>0</v>
      </c>
      <c r="AS2424">
        <v>0</v>
      </c>
      <c r="AT2424">
        <v>0</v>
      </c>
    </row>
    <row r="2425" spans="44:46">
      <c r="AR2425">
        <v>0</v>
      </c>
      <c r="AS2425">
        <v>0</v>
      </c>
      <c r="AT2425">
        <v>0</v>
      </c>
    </row>
    <row r="2426" spans="44:46">
      <c r="AR2426">
        <v>0</v>
      </c>
      <c r="AS2426">
        <v>0</v>
      </c>
      <c r="AT2426">
        <v>0</v>
      </c>
    </row>
    <row r="2427" spans="44:46">
      <c r="AR2427">
        <v>0</v>
      </c>
      <c r="AS2427">
        <v>0</v>
      </c>
      <c r="AT2427">
        <v>0</v>
      </c>
    </row>
    <row r="2428" spans="44:46">
      <c r="AR2428">
        <v>0</v>
      </c>
      <c r="AS2428">
        <v>0</v>
      </c>
      <c r="AT2428">
        <v>0</v>
      </c>
    </row>
    <row r="2429" spans="44:46">
      <c r="AR2429">
        <v>0</v>
      </c>
      <c r="AS2429">
        <v>0</v>
      </c>
      <c r="AT2429">
        <v>0</v>
      </c>
    </row>
    <row r="2430" spans="44:46">
      <c r="AR2430">
        <v>0</v>
      </c>
      <c r="AS2430">
        <v>0</v>
      </c>
      <c r="AT2430">
        <v>0</v>
      </c>
    </row>
    <row r="2431" spans="44:46">
      <c r="AR2431">
        <v>0</v>
      </c>
      <c r="AS2431">
        <v>0</v>
      </c>
      <c r="AT2431">
        <v>0</v>
      </c>
    </row>
    <row r="2432" spans="44:46">
      <c r="AR2432">
        <v>0</v>
      </c>
      <c r="AS2432">
        <v>0</v>
      </c>
      <c r="AT2432">
        <v>0</v>
      </c>
    </row>
    <row r="2433" spans="44:46">
      <c r="AR2433">
        <v>0</v>
      </c>
      <c r="AS2433">
        <v>0</v>
      </c>
      <c r="AT2433">
        <v>0</v>
      </c>
    </row>
    <row r="2434" spans="44:46">
      <c r="AR2434">
        <v>0</v>
      </c>
      <c r="AS2434">
        <v>0</v>
      </c>
      <c r="AT2434">
        <v>0</v>
      </c>
    </row>
    <row r="2435" spans="44:46">
      <c r="AR2435">
        <v>0</v>
      </c>
      <c r="AS2435">
        <v>0</v>
      </c>
      <c r="AT2435">
        <v>0</v>
      </c>
    </row>
    <row r="2436" spans="44:46">
      <c r="AR2436">
        <v>0</v>
      </c>
      <c r="AS2436">
        <v>0</v>
      </c>
      <c r="AT2436">
        <v>0</v>
      </c>
    </row>
    <row r="2437" spans="44:46">
      <c r="AR2437">
        <v>0</v>
      </c>
      <c r="AS2437">
        <v>0</v>
      </c>
      <c r="AT2437">
        <v>0</v>
      </c>
    </row>
    <row r="2438" spans="44:46">
      <c r="AR2438">
        <v>0</v>
      </c>
      <c r="AS2438">
        <v>0</v>
      </c>
      <c r="AT2438">
        <v>0</v>
      </c>
    </row>
    <row r="2439" spans="44:46">
      <c r="AR2439">
        <v>0</v>
      </c>
      <c r="AS2439">
        <v>0</v>
      </c>
      <c r="AT2439">
        <v>0</v>
      </c>
    </row>
    <row r="2440" spans="44:46">
      <c r="AR2440">
        <v>0</v>
      </c>
      <c r="AS2440">
        <v>0</v>
      </c>
      <c r="AT2440">
        <v>0</v>
      </c>
    </row>
    <row r="2441" spans="44:46">
      <c r="AR2441">
        <v>0</v>
      </c>
      <c r="AS2441">
        <v>0</v>
      </c>
      <c r="AT2441">
        <v>0</v>
      </c>
    </row>
    <row r="2442" spans="44:46">
      <c r="AR2442">
        <v>0</v>
      </c>
      <c r="AS2442">
        <v>0</v>
      </c>
      <c r="AT2442">
        <v>0</v>
      </c>
    </row>
    <row r="2443" spans="44:46">
      <c r="AR2443">
        <v>0</v>
      </c>
      <c r="AS2443">
        <v>0</v>
      </c>
      <c r="AT2443">
        <v>0</v>
      </c>
    </row>
    <row r="2444" spans="44:46">
      <c r="AR2444">
        <v>0</v>
      </c>
      <c r="AS2444">
        <v>0</v>
      </c>
      <c r="AT2444">
        <v>0</v>
      </c>
    </row>
    <row r="2445" spans="44:46">
      <c r="AR2445">
        <v>0</v>
      </c>
      <c r="AS2445">
        <v>0</v>
      </c>
      <c r="AT2445">
        <v>0</v>
      </c>
    </row>
    <row r="2446" spans="44:46">
      <c r="AR2446">
        <v>0</v>
      </c>
      <c r="AS2446">
        <v>0</v>
      </c>
      <c r="AT2446">
        <v>0</v>
      </c>
    </row>
    <row r="2447" spans="44:46">
      <c r="AR2447">
        <v>0</v>
      </c>
      <c r="AS2447">
        <v>0</v>
      </c>
      <c r="AT2447">
        <v>0</v>
      </c>
    </row>
    <row r="2448" spans="44:46">
      <c r="AR2448">
        <v>0</v>
      </c>
      <c r="AS2448">
        <v>0</v>
      </c>
      <c r="AT2448">
        <v>0</v>
      </c>
    </row>
    <row r="2449" spans="44:46">
      <c r="AR2449">
        <v>0</v>
      </c>
      <c r="AS2449">
        <v>0</v>
      </c>
      <c r="AT2449">
        <v>0</v>
      </c>
    </row>
    <row r="2450" spans="44:46">
      <c r="AR2450">
        <v>0</v>
      </c>
      <c r="AS2450">
        <v>0</v>
      </c>
      <c r="AT2450">
        <v>0</v>
      </c>
    </row>
    <row r="2451" spans="44:46">
      <c r="AR2451">
        <v>0</v>
      </c>
      <c r="AS2451">
        <v>0</v>
      </c>
      <c r="AT2451">
        <v>0</v>
      </c>
    </row>
    <row r="2452" spans="44:46">
      <c r="AR2452">
        <v>0</v>
      </c>
      <c r="AS2452">
        <v>0</v>
      </c>
      <c r="AT2452">
        <v>0</v>
      </c>
    </row>
    <row r="2453" spans="44:46">
      <c r="AR2453">
        <v>0</v>
      </c>
      <c r="AS2453">
        <v>0</v>
      </c>
      <c r="AT2453">
        <v>0</v>
      </c>
    </row>
    <row r="2454" spans="44:46">
      <c r="AR2454">
        <v>0</v>
      </c>
      <c r="AS2454">
        <v>0</v>
      </c>
      <c r="AT2454">
        <v>0</v>
      </c>
    </row>
    <row r="2455" spans="44:46">
      <c r="AR2455">
        <v>0</v>
      </c>
      <c r="AS2455">
        <v>0</v>
      </c>
      <c r="AT2455">
        <v>0</v>
      </c>
    </row>
    <row r="2456" spans="44:46">
      <c r="AR2456">
        <v>0</v>
      </c>
      <c r="AS2456">
        <v>0</v>
      </c>
      <c r="AT2456">
        <v>0</v>
      </c>
    </row>
    <row r="2457" spans="44:46">
      <c r="AR2457">
        <v>0</v>
      </c>
      <c r="AS2457">
        <v>0</v>
      </c>
      <c r="AT2457">
        <v>0</v>
      </c>
    </row>
    <row r="2458" spans="44:46">
      <c r="AR2458">
        <v>0</v>
      </c>
      <c r="AS2458">
        <v>0</v>
      </c>
      <c r="AT2458">
        <v>0</v>
      </c>
    </row>
    <row r="2459" spans="44:46">
      <c r="AR2459">
        <v>0</v>
      </c>
      <c r="AS2459">
        <v>0</v>
      </c>
      <c r="AT2459">
        <v>0</v>
      </c>
    </row>
    <row r="2460" spans="44:46">
      <c r="AR2460">
        <v>0</v>
      </c>
      <c r="AS2460">
        <v>0</v>
      </c>
      <c r="AT2460">
        <v>0</v>
      </c>
    </row>
    <row r="2461" spans="44:46">
      <c r="AR2461">
        <v>0</v>
      </c>
      <c r="AS2461">
        <v>0</v>
      </c>
      <c r="AT2461">
        <v>0</v>
      </c>
    </row>
    <row r="2462" spans="44:46">
      <c r="AR2462">
        <v>0</v>
      </c>
      <c r="AS2462">
        <v>0</v>
      </c>
      <c r="AT2462">
        <v>0</v>
      </c>
    </row>
    <row r="2463" spans="44:46">
      <c r="AR2463">
        <v>0</v>
      </c>
      <c r="AS2463">
        <v>0</v>
      </c>
      <c r="AT2463">
        <v>0</v>
      </c>
    </row>
    <row r="2464" spans="44:46">
      <c r="AR2464">
        <v>0</v>
      </c>
      <c r="AS2464">
        <v>0</v>
      </c>
      <c r="AT2464">
        <v>0</v>
      </c>
    </row>
    <row r="2465" spans="44:46">
      <c r="AR2465">
        <v>0</v>
      </c>
      <c r="AS2465">
        <v>0</v>
      </c>
      <c r="AT2465">
        <v>0</v>
      </c>
    </row>
    <row r="2466" spans="44:46">
      <c r="AR2466">
        <v>0</v>
      </c>
      <c r="AS2466">
        <v>0</v>
      </c>
      <c r="AT2466">
        <v>0</v>
      </c>
    </row>
    <row r="2467" spans="44:46">
      <c r="AR2467">
        <v>0</v>
      </c>
      <c r="AS2467">
        <v>0</v>
      </c>
      <c r="AT2467">
        <v>0</v>
      </c>
    </row>
    <row r="2468" spans="44:46">
      <c r="AR2468">
        <v>0</v>
      </c>
      <c r="AS2468">
        <v>0</v>
      </c>
      <c r="AT2468">
        <v>0</v>
      </c>
    </row>
    <row r="2469" spans="44:46">
      <c r="AR2469">
        <v>0</v>
      </c>
      <c r="AS2469">
        <v>0</v>
      </c>
      <c r="AT2469">
        <v>0</v>
      </c>
    </row>
    <row r="2470" spans="44:46">
      <c r="AR2470">
        <v>0</v>
      </c>
      <c r="AS2470">
        <v>0</v>
      </c>
      <c r="AT2470">
        <v>0</v>
      </c>
    </row>
    <row r="2471" spans="44:46">
      <c r="AR2471">
        <v>0</v>
      </c>
      <c r="AS2471">
        <v>0</v>
      </c>
      <c r="AT2471">
        <v>0</v>
      </c>
    </row>
    <row r="2472" spans="44:46">
      <c r="AR2472">
        <v>0</v>
      </c>
      <c r="AS2472">
        <v>0</v>
      </c>
      <c r="AT2472">
        <v>0</v>
      </c>
    </row>
    <row r="2473" spans="44:46">
      <c r="AR2473">
        <v>0</v>
      </c>
      <c r="AS2473">
        <v>0</v>
      </c>
      <c r="AT2473">
        <v>0</v>
      </c>
    </row>
    <row r="2474" spans="44:46">
      <c r="AR2474">
        <v>0</v>
      </c>
      <c r="AS2474">
        <v>0</v>
      </c>
      <c r="AT2474">
        <v>0</v>
      </c>
    </row>
    <row r="2475" spans="44:46">
      <c r="AR2475">
        <v>0</v>
      </c>
      <c r="AS2475">
        <v>0</v>
      </c>
      <c r="AT2475">
        <v>0</v>
      </c>
    </row>
    <row r="2476" spans="44:46">
      <c r="AR2476">
        <v>0</v>
      </c>
      <c r="AS2476">
        <v>0</v>
      </c>
      <c r="AT2476">
        <v>0</v>
      </c>
    </row>
    <row r="2477" spans="44:46">
      <c r="AR2477">
        <v>0</v>
      </c>
      <c r="AS2477">
        <v>0</v>
      </c>
      <c r="AT2477">
        <v>0</v>
      </c>
    </row>
    <row r="2478" spans="44:46">
      <c r="AR2478">
        <v>0</v>
      </c>
      <c r="AS2478">
        <v>0</v>
      </c>
      <c r="AT2478">
        <v>0</v>
      </c>
    </row>
    <row r="2479" spans="44:46">
      <c r="AR2479">
        <v>0</v>
      </c>
      <c r="AS2479">
        <v>0</v>
      </c>
      <c r="AT2479">
        <v>0</v>
      </c>
    </row>
    <row r="2480" spans="44:46">
      <c r="AR2480">
        <v>0</v>
      </c>
      <c r="AS2480">
        <v>0</v>
      </c>
      <c r="AT2480">
        <v>0</v>
      </c>
    </row>
    <row r="2481" spans="44:46">
      <c r="AR2481">
        <v>0</v>
      </c>
      <c r="AS2481">
        <v>0</v>
      </c>
      <c r="AT2481">
        <v>0</v>
      </c>
    </row>
    <row r="2482" spans="44:46">
      <c r="AR2482">
        <v>0</v>
      </c>
      <c r="AS2482">
        <v>0</v>
      </c>
      <c r="AT2482">
        <v>0</v>
      </c>
    </row>
    <row r="2483" spans="44:46">
      <c r="AR2483">
        <v>0</v>
      </c>
      <c r="AS2483">
        <v>0</v>
      </c>
      <c r="AT2483">
        <v>0</v>
      </c>
    </row>
    <row r="2484" spans="44:46">
      <c r="AR2484">
        <v>0</v>
      </c>
      <c r="AS2484">
        <v>0</v>
      </c>
      <c r="AT2484">
        <v>0</v>
      </c>
    </row>
    <row r="2485" spans="44:46">
      <c r="AR2485">
        <v>0</v>
      </c>
      <c r="AS2485">
        <v>0</v>
      </c>
      <c r="AT2485">
        <v>0</v>
      </c>
    </row>
    <row r="2486" spans="44:46">
      <c r="AR2486">
        <v>0</v>
      </c>
      <c r="AS2486">
        <v>0</v>
      </c>
      <c r="AT2486">
        <v>0</v>
      </c>
    </row>
    <row r="2487" spans="44:46">
      <c r="AR2487">
        <v>0</v>
      </c>
      <c r="AS2487">
        <v>0</v>
      </c>
      <c r="AT2487">
        <v>0</v>
      </c>
    </row>
    <row r="2488" spans="44:46">
      <c r="AR2488">
        <v>0</v>
      </c>
      <c r="AS2488">
        <v>0</v>
      </c>
      <c r="AT2488">
        <v>0</v>
      </c>
    </row>
    <row r="2489" spans="44:46">
      <c r="AR2489">
        <v>0</v>
      </c>
      <c r="AS2489">
        <v>0</v>
      </c>
      <c r="AT2489">
        <v>0</v>
      </c>
    </row>
    <row r="2490" spans="44:46">
      <c r="AR2490">
        <v>0</v>
      </c>
      <c r="AS2490">
        <v>0</v>
      </c>
      <c r="AT2490">
        <v>0</v>
      </c>
    </row>
    <row r="2491" spans="44:46">
      <c r="AR2491">
        <v>0</v>
      </c>
      <c r="AS2491">
        <v>0</v>
      </c>
      <c r="AT2491">
        <v>0</v>
      </c>
    </row>
    <row r="2492" spans="44:46">
      <c r="AR2492">
        <v>0</v>
      </c>
      <c r="AS2492">
        <v>0</v>
      </c>
      <c r="AT2492">
        <v>0</v>
      </c>
    </row>
    <row r="2493" spans="44:46">
      <c r="AR2493">
        <v>0</v>
      </c>
      <c r="AS2493">
        <v>0</v>
      </c>
      <c r="AT2493">
        <v>0</v>
      </c>
    </row>
    <row r="2494" spans="44:46">
      <c r="AR2494">
        <v>0</v>
      </c>
      <c r="AS2494">
        <v>0</v>
      </c>
      <c r="AT2494">
        <v>0</v>
      </c>
    </row>
    <row r="2495" spans="44:46">
      <c r="AR2495">
        <v>0</v>
      </c>
      <c r="AS2495">
        <v>0</v>
      </c>
      <c r="AT2495">
        <v>0</v>
      </c>
    </row>
    <row r="2496" spans="44:46">
      <c r="AR2496">
        <v>0</v>
      </c>
      <c r="AS2496">
        <v>0</v>
      </c>
      <c r="AT2496">
        <v>0</v>
      </c>
    </row>
    <row r="2497" spans="44:46">
      <c r="AR2497">
        <v>0</v>
      </c>
      <c r="AS2497">
        <v>0</v>
      </c>
      <c r="AT2497">
        <v>0</v>
      </c>
    </row>
    <row r="2498" spans="44:46">
      <c r="AR2498">
        <v>0</v>
      </c>
      <c r="AS2498">
        <v>0</v>
      </c>
      <c r="AT2498">
        <v>0</v>
      </c>
    </row>
    <row r="2499" spans="44:46">
      <c r="AR2499">
        <v>0</v>
      </c>
      <c r="AS2499">
        <v>0</v>
      </c>
      <c r="AT2499">
        <v>0</v>
      </c>
    </row>
    <row r="2500" spans="44:46">
      <c r="AR2500">
        <v>0</v>
      </c>
      <c r="AS2500">
        <v>0</v>
      </c>
      <c r="AT2500">
        <v>0</v>
      </c>
    </row>
    <row r="2501" spans="44:46">
      <c r="AR2501">
        <v>0</v>
      </c>
      <c r="AS2501">
        <v>0</v>
      </c>
      <c r="AT2501">
        <v>0</v>
      </c>
    </row>
    <row r="2502" spans="44:46">
      <c r="AR2502">
        <v>0</v>
      </c>
      <c r="AS2502">
        <v>0</v>
      </c>
      <c r="AT2502">
        <v>0</v>
      </c>
    </row>
    <row r="2503" spans="44:46">
      <c r="AR2503">
        <v>0</v>
      </c>
      <c r="AS2503">
        <v>0</v>
      </c>
      <c r="AT2503">
        <v>0</v>
      </c>
    </row>
    <row r="2504" spans="44:46">
      <c r="AR2504">
        <v>0</v>
      </c>
      <c r="AS2504">
        <v>0</v>
      </c>
      <c r="AT2504">
        <v>0</v>
      </c>
    </row>
    <row r="2505" spans="44:46">
      <c r="AR2505">
        <v>0</v>
      </c>
      <c r="AS2505">
        <v>0</v>
      </c>
      <c r="AT2505">
        <v>0</v>
      </c>
    </row>
    <row r="2506" spans="44:46">
      <c r="AR2506">
        <v>0</v>
      </c>
      <c r="AS2506">
        <v>0</v>
      </c>
      <c r="AT2506">
        <v>0</v>
      </c>
    </row>
    <row r="2507" spans="44:46">
      <c r="AR2507">
        <v>0</v>
      </c>
      <c r="AS2507">
        <v>0</v>
      </c>
      <c r="AT2507">
        <v>0</v>
      </c>
    </row>
    <row r="2508" spans="44:46">
      <c r="AR2508">
        <v>0</v>
      </c>
      <c r="AS2508">
        <v>0</v>
      </c>
      <c r="AT2508">
        <v>0</v>
      </c>
    </row>
    <row r="2509" spans="44:46">
      <c r="AR2509">
        <v>0</v>
      </c>
      <c r="AS2509">
        <v>0</v>
      </c>
      <c r="AT2509">
        <v>0</v>
      </c>
    </row>
    <row r="2510" spans="44:46">
      <c r="AR2510">
        <v>0</v>
      </c>
      <c r="AS2510">
        <v>0</v>
      </c>
      <c r="AT2510">
        <v>0</v>
      </c>
    </row>
    <row r="2511" spans="44:46">
      <c r="AR2511">
        <v>0</v>
      </c>
      <c r="AS2511">
        <v>0</v>
      </c>
      <c r="AT2511">
        <v>0</v>
      </c>
    </row>
    <row r="2512" spans="44:46">
      <c r="AR2512">
        <v>0</v>
      </c>
      <c r="AS2512">
        <v>0</v>
      </c>
      <c r="AT2512">
        <v>0</v>
      </c>
    </row>
    <row r="2513" spans="44:46">
      <c r="AR2513">
        <v>0</v>
      </c>
      <c r="AS2513">
        <v>0</v>
      </c>
      <c r="AT2513">
        <v>0</v>
      </c>
    </row>
    <row r="2514" spans="44:46">
      <c r="AR2514">
        <v>0</v>
      </c>
      <c r="AS2514">
        <v>0</v>
      </c>
      <c r="AT2514">
        <v>0</v>
      </c>
    </row>
    <row r="2515" spans="44:46">
      <c r="AR2515">
        <v>0</v>
      </c>
      <c r="AS2515">
        <v>0</v>
      </c>
      <c r="AT2515">
        <v>0</v>
      </c>
    </row>
    <row r="2516" spans="44:46">
      <c r="AR2516">
        <v>0</v>
      </c>
      <c r="AS2516">
        <v>0</v>
      </c>
      <c r="AT2516">
        <v>0</v>
      </c>
    </row>
    <row r="2517" spans="44:46">
      <c r="AR2517">
        <v>0</v>
      </c>
      <c r="AS2517">
        <v>0</v>
      </c>
      <c r="AT2517">
        <v>0</v>
      </c>
    </row>
    <row r="2518" spans="44:46">
      <c r="AR2518">
        <v>0</v>
      </c>
      <c r="AS2518">
        <v>0</v>
      </c>
      <c r="AT2518">
        <v>0</v>
      </c>
    </row>
    <row r="2519" spans="44:46">
      <c r="AR2519">
        <v>0</v>
      </c>
      <c r="AS2519">
        <v>0</v>
      </c>
      <c r="AT2519">
        <v>0</v>
      </c>
    </row>
    <row r="2520" spans="44:46">
      <c r="AR2520">
        <v>0</v>
      </c>
      <c r="AS2520">
        <v>0</v>
      </c>
      <c r="AT2520">
        <v>0</v>
      </c>
    </row>
    <row r="2521" spans="44:46">
      <c r="AR2521">
        <v>0</v>
      </c>
      <c r="AS2521">
        <v>0</v>
      </c>
      <c r="AT2521">
        <v>0</v>
      </c>
    </row>
    <row r="2522" spans="44:46">
      <c r="AR2522">
        <v>0</v>
      </c>
      <c r="AS2522">
        <v>0</v>
      </c>
      <c r="AT2522">
        <v>0</v>
      </c>
    </row>
    <row r="2523" spans="44:46">
      <c r="AR2523">
        <v>0</v>
      </c>
      <c r="AS2523">
        <v>0</v>
      </c>
      <c r="AT2523">
        <v>0</v>
      </c>
    </row>
    <row r="2524" spans="44:46">
      <c r="AR2524">
        <v>0</v>
      </c>
      <c r="AS2524">
        <v>0</v>
      </c>
      <c r="AT2524">
        <v>0</v>
      </c>
    </row>
    <row r="2525" spans="44:46">
      <c r="AR2525">
        <v>0</v>
      </c>
      <c r="AS2525">
        <v>0</v>
      </c>
      <c r="AT2525">
        <v>0</v>
      </c>
    </row>
    <row r="2526" spans="44:46">
      <c r="AR2526">
        <v>0</v>
      </c>
      <c r="AS2526">
        <v>0</v>
      </c>
      <c r="AT2526">
        <v>0</v>
      </c>
    </row>
    <row r="2527" spans="44:46">
      <c r="AR2527">
        <v>0</v>
      </c>
      <c r="AS2527">
        <v>0</v>
      </c>
      <c r="AT2527">
        <v>0</v>
      </c>
    </row>
    <row r="2528" spans="44:46">
      <c r="AR2528">
        <v>0</v>
      </c>
      <c r="AS2528">
        <v>0</v>
      </c>
      <c r="AT2528">
        <v>0</v>
      </c>
    </row>
    <row r="2529" spans="44:46">
      <c r="AR2529">
        <v>0</v>
      </c>
      <c r="AS2529">
        <v>0</v>
      </c>
      <c r="AT2529">
        <v>0</v>
      </c>
    </row>
    <row r="2530" spans="44:46">
      <c r="AR2530">
        <v>0</v>
      </c>
      <c r="AS2530">
        <v>0</v>
      </c>
      <c r="AT2530">
        <v>0</v>
      </c>
    </row>
    <row r="2531" spans="44:46">
      <c r="AR2531">
        <v>0</v>
      </c>
      <c r="AS2531">
        <v>0</v>
      </c>
      <c r="AT2531">
        <v>0</v>
      </c>
    </row>
    <row r="2532" spans="44:46">
      <c r="AR2532">
        <v>0</v>
      </c>
      <c r="AS2532">
        <v>0</v>
      </c>
      <c r="AT2532">
        <v>0</v>
      </c>
    </row>
    <row r="2533" spans="44:46">
      <c r="AR2533">
        <v>0</v>
      </c>
      <c r="AS2533">
        <v>0</v>
      </c>
      <c r="AT2533">
        <v>0</v>
      </c>
    </row>
    <row r="2534" spans="44:46">
      <c r="AR2534">
        <v>0</v>
      </c>
      <c r="AS2534">
        <v>0</v>
      </c>
      <c r="AT2534">
        <v>0</v>
      </c>
    </row>
    <row r="2535" spans="44:46">
      <c r="AR2535">
        <v>0</v>
      </c>
      <c r="AS2535">
        <v>0</v>
      </c>
      <c r="AT2535">
        <v>0</v>
      </c>
    </row>
    <row r="2536" spans="44:46">
      <c r="AR2536">
        <v>0</v>
      </c>
      <c r="AS2536">
        <v>0</v>
      </c>
      <c r="AT2536">
        <v>0</v>
      </c>
    </row>
    <row r="2537" spans="44:46">
      <c r="AR2537">
        <v>0</v>
      </c>
      <c r="AS2537">
        <v>0</v>
      </c>
      <c r="AT2537">
        <v>0</v>
      </c>
    </row>
    <row r="2538" spans="44:46">
      <c r="AR2538">
        <v>0</v>
      </c>
      <c r="AS2538">
        <v>0</v>
      </c>
      <c r="AT2538">
        <v>0</v>
      </c>
    </row>
    <row r="2539" spans="44:46">
      <c r="AR2539">
        <v>0</v>
      </c>
      <c r="AS2539">
        <v>0</v>
      </c>
      <c r="AT2539">
        <v>0</v>
      </c>
    </row>
    <row r="2540" spans="44:46">
      <c r="AR2540">
        <v>0</v>
      </c>
      <c r="AS2540">
        <v>0</v>
      </c>
      <c r="AT2540">
        <v>0</v>
      </c>
    </row>
    <row r="2541" spans="44:46">
      <c r="AR2541">
        <v>0</v>
      </c>
      <c r="AS2541">
        <v>0</v>
      </c>
      <c r="AT2541">
        <v>0</v>
      </c>
    </row>
    <row r="2542" spans="44:46">
      <c r="AR2542">
        <v>0</v>
      </c>
      <c r="AS2542">
        <v>0</v>
      </c>
      <c r="AT2542">
        <v>0</v>
      </c>
    </row>
    <row r="2543" spans="44:46">
      <c r="AR2543">
        <v>0</v>
      </c>
      <c r="AS2543">
        <v>0</v>
      </c>
      <c r="AT2543">
        <v>0</v>
      </c>
    </row>
    <row r="2544" spans="44:46">
      <c r="AR2544">
        <v>0</v>
      </c>
      <c r="AS2544">
        <v>0</v>
      </c>
      <c r="AT2544">
        <v>0</v>
      </c>
    </row>
    <row r="2545" spans="44:46">
      <c r="AR2545">
        <v>0</v>
      </c>
      <c r="AS2545">
        <v>0</v>
      </c>
      <c r="AT2545">
        <v>0</v>
      </c>
    </row>
    <row r="2546" spans="44:46">
      <c r="AR2546">
        <v>0</v>
      </c>
      <c r="AS2546">
        <v>0</v>
      </c>
      <c r="AT2546">
        <v>0</v>
      </c>
    </row>
    <row r="2547" spans="44:46">
      <c r="AR2547">
        <v>0</v>
      </c>
      <c r="AS2547">
        <v>0</v>
      </c>
      <c r="AT2547">
        <v>0</v>
      </c>
    </row>
    <row r="2548" spans="44:46">
      <c r="AR2548">
        <v>0</v>
      </c>
      <c r="AS2548">
        <v>0</v>
      </c>
      <c r="AT2548">
        <v>0</v>
      </c>
    </row>
    <row r="2549" spans="44:46">
      <c r="AR2549">
        <v>0</v>
      </c>
      <c r="AS2549">
        <v>0</v>
      </c>
      <c r="AT2549">
        <v>0</v>
      </c>
    </row>
    <row r="2550" spans="44:46">
      <c r="AR2550">
        <v>0</v>
      </c>
      <c r="AS2550">
        <v>0</v>
      </c>
      <c r="AT2550">
        <v>0</v>
      </c>
    </row>
    <row r="2551" spans="44:46">
      <c r="AR2551">
        <v>0</v>
      </c>
      <c r="AS2551">
        <v>0</v>
      </c>
      <c r="AT2551">
        <v>0</v>
      </c>
    </row>
    <row r="2552" spans="44:46">
      <c r="AR2552">
        <v>0</v>
      </c>
      <c r="AS2552">
        <v>0</v>
      </c>
      <c r="AT2552">
        <v>0</v>
      </c>
    </row>
    <row r="2553" spans="44:46">
      <c r="AR2553">
        <v>0</v>
      </c>
      <c r="AS2553">
        <v>0</v>
      </c>
      <c r="AT2553">
        <v>0</v>
      </c>
    </row>
    <row r="2554" spans="44:46">
      <c r="AR2554">
        <v>0</v>
      </c>
      <c r="AS2554">
        <v>0</v>
      </c>
      <c r="AT2554">
        <v>0</v>
      </c>
    </row>
    <row r="2555" spans="44:46">
      <c r="AR2555">
        <v>0</v>
      </c>
      <c r="AS2555">
        <v>0</v>
      </c>
      <c r="AT2555">
        <v>0</v>
      </c>
    </row>
    <row r="2556" spans="44:46">
      <c r="AR2556">
        <v>0</v>
      </c>
      <c r="AS2556">
        <v>0</v>
      </c>
      <c r="AT2556">
        <v>0</v>
      </c>
    </row>
    <row r="2557" spans="44:46">
      <c r="AR2557">
        <v>0</v>
      </c>
      <c r="AS2557">
        <v>0</v>
      </c>
      <c r="AT2557">
        <v>0</v>
      </c>
    </row>
    <row r="2558" spans="44:46">
      <c r="AR2558">
        <v>0</v>
      </c>
      <c r="AS2558">
        <v>0</v>
      </c>
      <c r="AT2558">
        <v>0</v>
      </c>
    </row>
    <row r="2559" spans="44:46">
      <c r="AR2559">
        <v>0</v>
      </c>
      <c r="AS2559">
        <v>0</v>
      </c>
      <c r="AT2559">
        <v>0</v>
      </c>
    </row>
    <row r="2560" spans="44:46">
      <c r="AR2560">
        <v>0</v>
      </c>
      <c r="AS2560">
        <v>0</v>
      </c>
      <c r="AT2560">
        <v>0</v>
      </c>
    </row>
    <row r="2561" spans="44:46">
      <c r="AR2561">
        <v>0</v>
      </c>
      <c r="AS2561">
        <v>0</v>
      </c>
      <c r="AT2561">
        <v>0</v>
      </c>
    </row>
    <row r="2562" spans="44:46">
      <c r="AR2562">
        <v>0</v>
      </c>
      <c r="AS2562">
        <v>0</v>
      </c>
      <c r="AT2562">
        <v>0</v>
      </c>
    </row>
    <row r="2563" spans="44:46">
      <c r="AR2563">
        <v>0</v>
      </c>
      <c r="AS2563">
        <v>0</v>
      </c>
      <c r="AT2563">
        <v>0</v>
      </c>
    </row>
    <row r="2564" spans="44:46">
      <c r="AR2564">
        <v>0</v>
      </c>
      <c r="AS2564">
        <v>0</v>
      </c>
      <c r="AT2564">
        <v>0</v>
      </c>
    </row>
    <row r="2565" spans="44:46">
      <c r="AR2565">
        <v>0</v>
      </c>
      <c r="AS2565">
        <v>0</v>
      </c>
      <c r="AT2565">
        <v>0</v>
      </c>
    </row>
    <row r="2566" spans="44:46">
      <c r="AR2566">
        <v>0</v>
      </c>
      <c r="AS2566">
        <v>0</v>
      </c>
      <c r="AT2566">
        <v>0</v>
      </c>
    </row>
    <row r="2567" spans="44:46">
      <c r="AR2567">
        <v>0</v>
      </c>
      <c r="AS2567">
        <v>0</v>
      </c>
      <c r="AT2567">
        <v>0</v>
      </c>
    </row>
    <row r="2568" spans="44:46">
      <c r="AR2568">
        <v>0</v>
      </c>
      <c r="AS2568">
        <v>0</v>
      </c>
      <c r="AT2568">
        <v>0</v>
      </c>
    </row>
    <row r="2569" spans="44:46">
      <c r="AR2569">
        <v>0</v>
      </c>
      <c r="AS2569">
        <v>0</v>
      </c>
      <c r="AT2569">
        <v>0</v>
      </c>
    </row>
    <row r="2570" spans="44:46">
      <c r="AR2570">
        <v>0</v>
      </c>
      <c r="AS2570">
        <v>0</v>
      </c>
      <c r="AT2570">
        <v>0</v>
      </c>
    </row>
    <row r="2571" spans="44:46">
      <c r="AR2571">
        <v>0</v>
      </c>
      <c r="AS2571">
        <v>0</v>
      </c>
      <c r="AT2571">
        <v>0</v>
      </c>
    </row>
    <row r="2572" spans="44:46">
      <c r="AR2572">
        <v>0</v>
      </c>
      <c r="AS2572">
        <v>0</v>
      </c>
      <c r="AT2572">
        <v>0</v>
      </c>
    </row>
    <row r="2573" spans="44:46">
      <c r="AR2573">
        <v>0</v>
      </c>
      <c r="AS2573">
        <v>0</v>
      </c>
      <c r="AT2573">
        <v>0</v>
      </c>
    </row>
    <row r="2574" spans="44:46">
      <c r="AR2574">
        <v>0</v>
      </c>
      <c r="AS2574">
        <v>0</v>
      </c>
      <c r="AT2574">
        <v>0</v>
      </c>
    </row>
    <row r="2575" spans="44:46">
      <c r="AR2575">
        <v>0</v>
      </c>
      <c r="AS2575">
        <v>0</v>
      </c>
      <c r="AT2575">
        <v>0</v>
      </c>
    </row>
    <row r="2576" spans="44:46">
      <c r="AR2576">
        <v>0</v>
      </c>
      <c r="AS2576">
        <v>0</v>
      </c>
      <c r="AT2576">
        <v>0</v>
      </c>
    </row>
    <row r="2577" spans="44:46">
      <c r="AR2577">
        <v>0</v>
      </c>
      <c r="AS2577">
        <v>0</v>
      </c>
      <c r="AT2577">
        <v>0</v>
      </c>
    </row>
    <row r="2578" spans="44:46">
      <c r="AR2578">
        <v>0</v>
      </c>
      <c r="AS2578">
        <v>0</v>
      </c>
      <c r="AT2578">
        <v>0</v>
      </c>
    </row>
    <row r="2579" spans="44:46">
      <c r="AR2579">
        <v>0</v>
      </c>
      <c r="AS2579">
        <v>0</v>
      </c>
      <c r="AT2579">
        <v>0</v>
      </c>
    </row>
    <row r="2580" spans="44:46">
      <c r="AR2580">
        <v>0</v>
      </c>
      <c r="AS2580">
        <v>0</v>
      </c>
      <c r="AT2580">
        <v>0</v>
      </c>
    </row>
    <row r="2581" spans="44:46">
      <c r="AR2581">
        <v>0</v>
      </c>
      <c r="AS2581">
        <v>0</v>
      </c>
      <c r="AT2581">
        <v>0</v>
      </c>
    </row>
    <row r="2582" spans="44:46">
      <c r="AR2582">
        <v>0</v>
      </c>
      <c r="AS2582">
        <v>0</v>
      </c>
      <c r="AT2582">
        <v>0</v>
      </c>
    </row>
    <row r="2583" spans="44:46">
      <c r="AR2583">
        <v>0</v>
      </c>
      <c r="AS2583">
        <v>0</v>
      </c>
      <c r="AT2583">
        <v>0</v>
      </c>
    </row>
    <row r="2584" spans="44:46">
      <c r="AR2584">
        <v>0</v>
      </c>
      <c r="AS2584">
        <v>0</v>
      </c>
      <c r="AT2584">
        <v>0</v>
      </c>
    </row>
    <row r="2585" spans="44:46">
      <c r="AR2585">
        <v>0</v>
      </c>
      <c r="AS2585">
        <v>0</v>
      </c>
      <c r="AT2585">
        <v>0</v>
      </c>
    </row>
    <row r="2586" spans="44:46">
      <c r="AR2586">
        <v>0</v>
      </c>
      <c r="AS2586">
        <v>0</v>
      </c>
      <c r="AT2586">
        <v>0</v>
      </c>
    </row>
    <row r="2587" spans="44:46">
      <c r="AR2587">
        <v>0</v>
      </c>
      <c r="AS2587">
        <v>0</v>
      </c>
      <c r="AT2587">
        <v>0</v>
      </c>
    </row>
    <row r="2588" spans="44:46">
      <c r="AR2588">
        <v>0</v>
      </c>
      <c r="AS2588">
        <v>0</v>
      </c>
      <c r="AT2588">
        <v>0</v>
      </c>
    </row>
    <row r="2589" spans="44:46">
      <c r="AR2589">
        <v>0</v>
      </c>
      <c r="AS2589">
        <v>0</v>
      </c>
      <c r="AT2589">
        <v>0</v>
      </c>
    </row>
    <row r="2590" spans="44:46">
      <c r="AR2590">
        <v>0</v>
      </c>
      <c r="AS2590">
        <v>0</v>
      </c>
      <c r="AT2590">
        <v>0</v>
      </c>
    </row>
    <row r="2591" spans="44:46">
      <c r="AR2591">
        <v>0</v>
      </c>
      <c r="AS2591">
        <v>0</v>
      </c>
      <c r="AT2591">
        <v>0</v>
      </c>
    </row>
    <row r="2592" spans="44:46">
      <c r="AR2592">
        <v>0</v>
      </c>
      <c r="AS2592">
        <v>0</v>
      </c>
      <c r="AT2592">
        <v>0</v>
      </c>
    </row>
    <row r="2593" spans="44:46">
      <c r="AR2593">
        <v>0</v>
      </c>
      <c r="AS2593">
        <v>0</v>
      </c>
      <c r="AT2593">
        <v>0</v>
      </c>
    </row>
    <row r="2594" spans="44:46">
      <c r="AR2594">
        <v>0</v>
      </c>
      <c r="AS2594">
        <v>0</v>
      </c>
      <c r="AT2594">
        <v>0</v>
      </c>
    </row>
    <row r="2595" spans="44:46">
      <c r="AR2595">
        <v>0</v>
      </c>
      <c r="AS2595">
        <v>0</v>
      </c>
      <c r="AT2595">
        <v>0</v>
      </c>
    </row>
    <row r="2596" spans="44:46">
      <c r="AR2596">
        <v>0</v>
      </c>
      <c r="AS2596">
        <v>0</v>
      </c>
      <c r="AT2596">
        <v>0</v>
      </c>
    </row>
    <row r="2597" spans="44:46">
      <c r="AR2597">
        <v>0</v>
      </c>
      <c r="AS2597">
        <v>0</v>
      </c>
      <c r="AT2597">
        <v>0</v>
      </c>
    </row>
    <row r="2598" spans="44:46">
      <c r="AR2598">
        <v>0</v>
      </c>
      <c r="AS2598">
        <v>0</v>
      </c>
      <c r="AT2598">
        <v>0</v>
      </c>
    </row>
    <row r="2599" spans="44:46">
      <c r="AR2599">
        <v>0</v>
      </c>
      <c r="AS2599">
        <v>0</v>
      </c>
      <c r="AT2599">
        <v>0</v>
      </c>
    </row>
    <row r="2600" spans="44:46">
      <c r="AR2600">
        <v>0</v>
      </c>
      <c r="AS2600">
        <v>0</v>
      </c>
      <c r="AT2600">
        <v>0</v>
      </c>
    </row>
    <row r="2601" spans="44:46">
      <c r="AR2601">
        <v>0</v>
      </c>
      <c r="AS2601">
        <v>0</v>
      </c>
      <c r="AT2601">
        <v>0</v>
      </c>
    </row>
    <row r="2602" spans="44:46">
      <c r="AR2602">
        <v>0</v>
      </c>
      <c r="AS2602">
        <v>0</v>
      </c>
      <c r="AT2602">
        <v>0</v>
      </c>
    </row>
    <row r="2603" spans="44:46">
      <c r="AR2603">
        <v>0</v>
      </c>
      <c r="AS2603">
        <v>0</v>
      </c>
      <c r="AT2603">
        <v>0</v>
      </c>
    </row>
    <row r="2604" spans="44:46">
      <c r="AR2604">
        <v>0</v>
      </c>
      <c r="AS2604">
        <v>0</v>
      </c>
      <c r="AT2604">
        <v>0</v>
      </c>
    </row>
    <row r="2605" spans="44:46">
      <c r="AR2605">
        <v>0</v>
      </c>
      <c r="AS2605">
        <v>0</v>
      </c>
      <c r="AT2605">
        <v>0</v>
      </c>
    </row>
    <row r="2606" spans="44:46">
      <c r="AR2606">
        <v>0</v>
      </c>
      <c r="AS2606">
        <v>0</v>
      </c>
      <c r="AT2606">
        <v>0</v>
      </c>
    </row>
    <row r="2607" spans="44:46">
      <c r="AR2607">
        <v>0</v>
      </c>
      <c r="AS2607">
        <v>0</v>
      </c>
      <c r="AT2607">
        <v>0</v>
      </c>
    </row>
    <row r="2608" spans="44:46">
      <c r="AR2608">
        <v>0</v>
      </c>
      <c r="AS2608">
        <v>0</v>
      </c>
      <c r="AT2608">
        <v>0</v>
      </c>
    </row>
    <row r="2609" spans="44:46">
      <c r="AR2609">
        <v>0</v>
      </c>
      <c r="AS2609">
        <v>0</v>
      </c>
      <c r="AT2609">
        <v>0</v>
      </c>
    </row>
    <row r="2610" spans="44:46">
      <c r="AR2610">
        <v>0</v>
      </c>
      <c r="AS2610">
        <v>0</v>
      </c>
      <c r="AT2610">
        <v>0</v>
      </c>
    </row>
    <row r="2611" spans="44:46">
      <c r="AR2611">
        <v>0</v>
      </c>
      <c r="AS2611">
        <v>0</v>
      </c>
      <c r="AT2611">
        <v>0</v>
      </c>
    </row>
    <row r="2612" spans="44:46">
      <c r="AR2612">
        <v>0</v>
      </c>
      <c r="AS2612">
        <v>0</v>
      </c>
      <c r="AT2612">
        <v>0</v>
      </c>
    </row>
    <row r="2613" spans="44:46">
      <c r="AR2613">
        <v>0</v>
      </c>
      <c r="AS2613">
        <v>0</v>
      </c>
      <c r="AT2613">
        <v>0</v>
      </c>
    </row>
    <row r="2614" spans="44:46">
      <c r="AR2614">
        <v>0</v>
      </c>
      <c r="AS2614">
        <v>0</v>
      </c>
      <c r="AT2614">
        <v>0</v>
      </c>
    </row>
    <row r="2615" spans="44:46">
      <c r="AR2615">
        <v>0</v>
      </c>
      <c r="AS2615">
        <v>0</v>
      </c>
      <c r="AT2615">
        <v>0</v>
      </c>
    </row>
    <row r="2616" spans="44:46">
      <c r="AR2616">
        <v>0</v>
      </c>
      <c r="AS2616">
        <v>0</v>
      </c>
      <c r="AT2616">
        <v>0</v>
      </c>
    </row>
    <row r="2617" spans="44:46">
      <c r="AR2617">
        <v>0</v>
      </c>
      <c r="AS2617">
        <v>0</v>
      </c>
      <c r="AT2617">
        <v>0</v>
      </c>
    </row>
    <row r="2618" spans="44:46">
      <c r="AR2618">
        <v>0</v>
      </c>
      <c r="AS2618">
        <v>0</v>
      </c>
      <c r="AT2618">
        <v>0</v>
      </c>
    </row>
    <row r="2619" spans="44:46">
      <c r="AR2619">
        <v>0</v>
      </c>
      <c r="AS2619">
        <v>0</v>
      </c>
      <c r="AT2619">
        <v>0</v>
      </c>
    </row>
    <row r="2620" spans="44:46">
      <c r="AR2620">
        <v>0</v>
      </c>
      <c r="AS2620">
        <v>0</v>
      </c>
      <c r="AT2620">
        <v>0</v>
      </c>
    </row>
    <row r="2621" spans="44:46">
      <c r="AR2621">
        <v>0</v>
      </c>
      <c r="AS2621">
        <v>0</v>
      </c>
      <c r="AT2621">
        <v>0</v>
      </c>
    </row>
    <row r="2622" spans="44:46">
      <c r="AR2622">
        <v>0</v>
      </c>
      <c r="AS2622">
        <v>0</v>
      </c>
      <c r="AT2622">
        <v>0</v>
      </c>
    </row>
    <row r="2623" spans="44:46">
      <c r="AR2623">
        <v>0</v>
      </c>
      <c r="AS2623">
        <v>0</v>
      </c>
      <c r="AT2623">
        <v>0</v>
      </c>
    </row>
    <row r="2624" spans="44:46">
      <c r="AR2624">
        <v>0</v>
      </c>
      <c r="AS2624">
        <v>0</v>
      </c>
      <c r="AT2624">
        <v>0</v>
      </c>
    </row>
    <row r="2625" spans="44:46">
      <c r="AR2625">
        <v>0</v>
      </c>
      <c r="AS2625">
        <v>0</v>
      </c>
      <c r="AT2625">
        <v>0</v>
      </c>
    </row>
    <row r="2626" spans="44:46">
      <c r="AR2626">
        <v>0</v>
      </c>
      <c r="AS2626">
        <v>0</v>
      </c>
      <c r="AT2626">
        <v>0</v>
      </c>
    </row>
    <row r="2627" spans="44:46">
      <c r="AR2627">
        <v>0</v>
      </c>
      <c r="AS2627">
        <v>0</v>
      </c>
      <c r="AT2627">
        <v>0</v>
      </c>
    </row>
    <row r="2628" spans="44:46">
      <c r="AR2628">
        <v>0</v>
      </c>
      <c r="AS2628">
        <v>0</v>
      </c>
      <c r="AT2628">
        <v>0</v>
      </c>
    </row>
    <row r="2629" spans="44:46">
      <c r="AR2629">
        <v>0</v>
      </c>
      <c r="AS2629">
        <v>0</v>
      </c>
      <c r="AT2629">
        <v>0</v>
      </c>
    </row>
    <row r="2630" spans="44:46">
      <c r="AR2630">
        <v>0</v>
      </c>
      <c r="AS2630">
        <v>0</v>
      </c>
      <c r="AT2630">
        <v>0</v>
      </c>
    </row>
    <row r="2631" spans="44:46">
      <c r="AR2631">
        <v>0</v>
      </c>
      <c r="AS2631">
        <v>0</v>
      </c>
      <c r="AT2631">
        <v>0</v>
      </c>
    </row>
    <row r="2632" spans="44:46">
      <c r="AR2632">
        <v>0</v>
      </c>
      <c r="AS2632">
        <v>0</v>
      </c>
      <c r="AT2632">
        <v>0</v>
      </c>
    </row>
    <row r="2633" spans="44:46">
      <c r="AR2633">
        <v>0</v>
      </c>
      <c r="AS2633">
        <v>0</v>
      </c>
      <c r="AT2633">
        <v>0</v>
      </c>
    </row>
    <row r="2634" spans="44:46">
      <c r="AR2634">
        <v>0</v>
      </c>
      <c r="AS2634">
        <v>0</v>
      </c>
      <c r="AT2634">
        <v>0</v>
      </c>
    </row>
    <row r="2635" spans="44:46">
      <c r="AR2635">
        <v>0</v>
      </c>
      <c r="AS2635">
        <v>0</v>
      </c>
      <c r="AT2635">
        <v>0</v>
      </c>
    </row>
    <row r="2636" spans="44:46">
      <c r="AR2636">
        <v>0</v>
      </c>
      <c r="AS2636">
        <v>0</v>
      </c>
      <c r="AT2636">
        <v>0</v>
      </c>
    </row>
    <row r="2637" spans="44:46">
      <c r="AR2637">
        <v>0</v>
      </c>
      <c r="AS2637">
        <v>0</v>
      </c>
      <c r="AT2637">
        <v>0</v>
      </c>
    </row>
    <row r="2638" spans="44:46">
      <c r="AR2638">
        <v>0</v>
      </c>
      <c r="AS2638">
        <v>0</v>
      </c>
      <c r="AT2638">
        <v>0</v>
      </c>
    </row>
    <row r="2639" spans="44:46">
      <c r="AR2639">
        <v>0</v>
      </c>
      <c r="AS2639">
        <v>0</v>
      </c>
      <c r="AT2639">
        <v>0</v>
      </c>
    </row>
    <row r="2640" spans="44:46">
      <c r="AR2640">
        <v>0</v>
      </c>
      <c r="AS2640">
        <v>0</v>
      </c>
      <c r="AT2640">
        <v>0</v>
      </c>
    </row>
    <row r="2641" spans="44:46">
      <c r="AR2641">
        <v>0</v>
      </c>
      <c r="AS2641">
        <v>0</v>
      </c>
      <c r="AT2641">
        <v>0</v>
      </c>
    </row>
    <row r="2642" spans="44:46">
      <c r="AR2642">
        <v>0</v>
      </c>
      <c r="AS2642">
        <v>0</v>
      </c>
      <c r="AT2642">
        <v>0</v>
      </c>
    </row>
    <row r="2643" spans="44:46">
      <c r="AR2643">
        <v>0</v>
      </c>
      <c r="AS2643">
        <v>0</v>
      </c>
      <c r="AT2643">
        <v>0</v>
      </c>
    </row>
    <row r="2644" spans="44:46">
      <c r="AR2644">
        <v>0</v>
      </c>
      <c r="AS2644">
        <v>0</v>
      </c>
      <c r="AT2644">
        <v>0</v>
      </c>
    </row>
    <row r="2645" spans="44:46">
      <c r="AR2645">
        <v>0</v>
      </c>
      <c r="AS2645">
        <v>0</v>
      </c>
      <c r="AT2645">
        <v>0</v>
      </c>
    </row>
    <row r="2646" spans="44:46">
      <c r="AR2646">
        <v>0</v>
      </c>
      <c r="AS2646">
        <v>0</v>
      </c>
      <c r="AT2646">
        <v>0</v>
      </c>
    </row>
    <row r="2647" spans="44:46">
      <c r="AR2647">
        <v>0</v>
      </c>
      <c r="AS2647">
        <v>0</v>
      </c>
      <c r="AT2647">
        <v>0</v>
      </c>
    </row>
    <row r="2648" spans="44:46">
      <c r="AR2648">
        <v>0</v>
      </c>
      <c r="AS2648">
        <v>0</v>
      </c>
      <c r="AT2648">
        <v>0</v>
      </c>
    </row>
    <row r="2649" spans="44:46">
      <c r="AR2649">
        <v>0</v>
      </c>
      <c r="AS2649">
        <v>0</v>
      </c>
      <c r="AT2649">
        <v>0</v>
      </c>
    </row>
    <row r="2650" spans="44:46">
      <c r="AR2650">
        <v>0</v>
      </c>
      <c r="AS2650">
        <v>0</v>
      </c>
      <c r="AT2650">
        <v>0</v>
      </c>
    </row>
    <row r="2651" spans="44:46">
      <c r="AR2651">
        <v>0</v>
      </c>
      <c r="AS2651">
        <v>0</v>
      </c>
      <c r="AT2651">
        <v>0</v>
      </c>
    </row>
    <row r="2652" spans="44:46">
      <c r="AR2652">
        <v>0</v>
      </c>
      <c r="AS2652">
        <v>0</v>
      </c>
      <c r="AT2652">
        <v>0</v>
      </c>
    </row>
    <row r="2653" spans="44:46">
      <c r="AR2653">
        <v>0</v>
      </c>
      <c r="AS2653">
        <v>0</v>
      </c>
      <c r="AT2653">
        <v>0</v>
      </c>
    </row>
    <row r="2654" spans="44:46">
      <c r="AR2654">
        <v>0</v>
      </c>
      <c r="AS2654">
        <v>0</v>
      </c>
      <c r="AT2654">
        <v>0</v>
      </c>
    </row>
    <row r="2655" spans="44:46">
      <c r="AR2655">
        <v>0</v>
      </c>
      <c r="AS2655">
        <v>0</v>
      </c>
      <c r="AT2655">
        <v>0</v>
      </c>
    </row>
    <row r="2656" spans="44:46">
      <c r="AR2656">
        <v>0</v>
      </c>
      <c r="AS2656">
        <v>0</v>
      </c>
      <c r="AT2656">
        <v>0</v>
      </c>
    </row>
    <row r="2657" spans="44:46">
      <c r="AR2657">
        <v>0</v>
      </c>
      <c r="AS2657">
        <v>0</v>
      </c>
      <c r="AT2657">
        <v>0</v>
      </c>
    </row>
    <row r="2658" spans="44:46">
      <c r="AR2658">
        <v>0</v>
      </c>
      <c r="AS2658">
        <v>0</v>
      </c>
      <c r="AT2658">
        <v>0</v>
      </c>
    </row>
    <row r="2659" spans="44:46">
      <c r="AR2659">
        <v>0</v>
      </c>
      <c r="AS2659">
        <v>0</v>
      </c>
      <c r="AT2659">
        <v>0</v>
      </c>
    </row>
    <row r="2660" spans="44:46">
      <c r="AR2660">
        <v>0</v>
      </c>
      <c r="AS2660">
        <v>0</v>
      </c>
      <c r="AT2660">
        <v>0</v>
      </c>
    </row>
    <row r="2661" spans="44:46">
      <c r="AR2661">
        <v>0</v>
      </c>
      <c r="AS2661">
        <v>0</v>
      </c>
      <c r="AT2661">
        <v>0</v>
      </c>
    </row>
    <row r="2662" spans="44:46">
      <c r="AR2662">
        <v>0</v>
      </c>
      <c r="AS2662">
        <v>0</v>
      </c>
      <c r="AT2662">
        <v>0</v>
      </c>
    </row>
    <row r="2663" spans="44:46">
      <c r="AR2663">
        <v>0</v>
      </c>
      <c r="AS2663">
        <v>0</v>
      </c>
      <c r="AT2663">
        <v>0</v>
      </c>
    </row>
    <row r="2664" spans="44:46">
      <c r="AR2664">
        <v>0</v>
      </c>
      <c r="AS2664">
        <v>0</v>
      </c>
      <c r="AT2664">
        <v>0</v>
      </c>
    </row>
    <row r="2665" spans="44:46">
      <c r="AR2665">
        <v>0</v>
      </c>
      <c r="AS2665">
        <v>0</v>
      </c>
      <c r="AT2665">
        <v>0</v>
      </c>
    </row>
    <row r="2666" spans="44:46">
      <c r="AR2666">
        <v>0</v>
      </c>
      <c r="AS2666">
        <v>0</v>
      </c>
      <c r="AT2666">
        <v>0</v>
      </c>
    </row>
    <row r="2667" spans="44:46">
      <c r="AR2667">
        <v>0</v>
      </c>
      <c r="AS2667">
        <v>0</v>
      </c>
      <c r="AT2667">
        <v>0</v>
      </c>
    </row>
    <row r="2668" spans="44:46">
      <c r="AR2668">
        <v>0</v>
      </c>
      <c r="AS2668">
        <v>0</v>
      </c>
      <c r="AT2668">
        <v>0</v>
      </c>
    </row>
    <row r="2669" spans="44:46">
      <c r="AR2669">
        <v>0</v>
      </c>
      <c r="AS2669">
        <v>0</v>
      </c>
      <c r="AT2669">
        <v>0</v>
      </c>
    </row>
    <row r="2670" spans="44:46">
      <c r="AR2670">
        <v>0</v>
      </c>
      <c r="AS2670">
        <v>0</v>
      </c>
      <c r="AT2670">
        <v>0</v>
      </c>
    </row>
    <row r="2671" spans="44:46">
      <c r="AR2671">
        <v>0</v>
      </c>
      <c r="AS2671">
        <v>0</v>
      </c>
      <c r="AT2671">
        <v>0</v>
      </c>
    </row>
    <row r="2672" spans="44:46">
      <c r="AR2672">
        <v>0</v>
      </c>
      <c r="AS2672">
        <v>0</v>
      </c>
      <c r="AT2672">
        <v>0</v>
      </c>
    </row>
    <row r="2673" spans="44:46">
      <c r="AR2673">
        <v>0</v>
      </c>
      <c r="AS2673">
        <v>0</v>
      </c>
      <c r="AT2673">
        <v>0</v>
      </c>
    </row>
    <row r="2674" spans="44:46">
      <c r="AR2674">
        <v>0</v>
      </c>
      <c r="AS2674">
        <v>0</v>
      </c>
      <c r="AT2674">
        <v>0</v>
      </c>
    </row>
    <row r="2675" spans="44:46">
      <c r="AR2675">
        <v>0</v>
      </c>
      <c r="AS2675">
        <v>0</v>
      </c>
      <c r="AT2675">
        <v>0</v>
      </c>
    </row>
    <row r="2676" spans="44:46">
      <c r="AR2676">
        <v>0</v>
      </c>
      <c r="AS2676">
        <v>0</v>
      </c>
      <c r="AT2676">
        <v>0</v>
      </c>
    </row>
    <row r="2677" spans="44:46">
      <c r="AR2677">
        <v>0</v>
      </c>
      <c r="AS2677">
        <v>0</v>
      </c>
      <c r="AT2677">
        <v>0</v>
      </c>
    </row>
    <row r="2678" spans="44:46">
      <c r="AR2678">
        <v>0</v>
      </c>
      <c r="AS2678">
        <v>0</v>
      </c>
      <c r="AT2678">
        <v>0</v>
      </c>
    </row>
    <row r="2679" spans="44:46">
      <c r="AR2679">
        <v>0</v>
      </c>
      <c r="AS2679">
        <v>0</v>
      </c>
      <c r="AT2679">
        <v>0</v>
      </c>
    </row>
    <row r="2680" spans="44:46">
      <c r="AR2680">
        <v>0</v>
      </c>
      <c r="AS2680">
        <v>0</v>
      </c>
      <c r="AT2680">
        <v>0</v>
      </c>
    </row>
    <row r="2681" spans="44:46">
      <c r="AR2681">
        <v>0</v>
      </c>
      <c r="AS2681">
        <v>0</v>
      </c>
      <c r="AT2681">
        <v>0</v>
      </c>
    </row>
    <row r="2682" spans="44:46">
      <c r="AR2682">
        <v>0</v>
      </c>
      <c r="AS2682">
        <v>0</v>
      </c>
      <c r="AT2682">
        <v>0</v>
      </c>
    </row>
    <row r="2683" spans="44:46">
      <c r="AR2683">
        <v>0</v>
      </c>
      <c r="AS2683">
        <v>0</v>
      </c>
      <c r="AT2683">
        <v>0</v>
      </c>
    </row>
    <row r="2684" spans="44:46">
      <c r="AR2684">
        <v>0</v>
      </c>
      <c r="AS2684">
        <v>0</v>
      </c>
      <c r="AT2684">
        <v>0</v>
      </c>
    </row>
    <row r="2685" spans="44:46">
      <c r="AR2685">
        <v>0</v>
      </c>
      <c r="AS2685">
        <v>0</v>
      </c>
      <c r="AT2685">
        <v>0</v>
      </c>
    </row>
    <row r="2686" spans="44:46">
      <c r="AR2686">
        <v>0</v>
      </c>
      <c r="AS2686">
        <v>0</v>
      </c>
      <c r="AT2686">
        <v>0</v>
      </c>
    </row>
    <row r="2687" spans="44:46">
      <c r="AR2687">
        <v>0</v>
      </c>
      <c r="AS2687">
        <v>0</v>
      </c>
      <c r="AT2687">
        <v>0</v>
      </c>
    </row>
    <row r="2688" spans="44:46">
      <c r="AR2688">
        <v>0</v>
      </c>
      <c r="AS2688">
        <v>0</v>
      </c>
      <c r="AT2688">
        <v>0</v>
      </c>
    </row>
    <row r="2689" spans="44:46">
      <c r="AR2689">
        <v>0</v>
      </c>
      <c r="AS2689">
        <v>0</v>
      </c>
      <c r="AT2689">
        <v>0</v>
      </c>
    </row>
    <row r="2690" spans="44:46">
      <c r="AR2690">
        <v>0</v>
      </c>
      <c r="AS2690">
        <v>0</v>
      </c>
      <c r="AT2690">
        <v>0</v>
      </c>
    </row>
    <row r="2691" spans="44:46">
      <c r="AR2691">
        <v>0</v>
      </c>
      <c r="AS2691">
        <v>0</v>
      </c>
      <c r="AT2691">
        <v>0</v>
      </c>
    </row>
    <row r="2692" spans="44:46">
      <c r="AR2692">
        <v>0</v>
      </c>
      <c r="AS2692">
        <v>0</v>
      </c>
      <c r="AT2692">
        <v>0</v>
      </c>
    </row>
    <row r="2693" spans="44:46">
      <c r="AR2693">
        <v>0</v>
      </c>
      <c r="AS2693">
        <v>0</v>
      </c>
      <c r="AT2693">
        <v>0</v>
      </c>
    </row>
    <row r="2694" spans="44:46">
      <c r="AR2694">
        <v>0</v>
      </c>
      <c r="AS2694">
        <v>0</v>
      </c>
      <c r="AT2694">
        <v>0</v>
      </c>
    </row>
    <row r="2695" spans="44:46">
      <c r="AR2695">
        <v>0</v>
      </c>
      <c r="AS2695">
        <v>0</v>
      </c>
      <c r="AT2695">
        <v>0</v>
      </c>
    </row>
    <row r="2696" spans="44:46">
      <c r="AR2696">
        <v>0</v>
      </c>
      <c r="AS2696">
        <v>0</v>
      </c>
      <c r="AT2696">
        <v>0</v>
      </c>
    </row>
    <row r="2697" spans="44:46">
      <c r="AR2697">
        <v>0</v>
      </c>
      <c r="AS2697">
        <v>0</v>
      </c>
      <c r="AT2697">
        <v>0</v>
      </c>
    </row>
    <row r="2698" spans="44:46">
      <c r="AR2698">
        <v>0</v>
      </c>
      <c r="AS2698">
        <v>0</v>
      </c>
      <c r="AT2698">
        <v>0</v>
      </c>
    </row>
    <row r="2699" spans="44:46">
      <c r="AR2699">
        <v>0</v>
      </c>
      <c r="AS2699">
        <v>0</v>
      </c>
      <c r="AT2699">
        <v>0</v>
      </c>
    </row>
    <row r="2700" spans="44:46">
      <c r="AR2700">
        <v>0</v>
      </c>
      <c r="AS2700">
        <v>0</v>
      </c>
      <c r="AT2700">
        <v>0</v>
      </c>
    </row>
    <row r="2701" spans="44:46">
      <c r="AR2701">
        <v>0</v>
      </c>
      <c r="AS2701">
        <v>0</v>
      </c>
      <c r="AT2701">
        <v>0</v>
      </c>
    </row>
    <row r="2702" spans="44:46">
      <c r="AR2702">
        <v>0</v>
      </c>
      <c r="AS2702">
        <v>0</v>
      </c>
      <c r="AT2702">
        <v>0</v>
      </c>
    </row>
    <row r="2703" spans="44:46">
      <c r="AR2703">
        <v>0</v>
      </c>
      <c r="AS2703">
        <v>0</v>
      </c>
      <c r="AT2703">
        <v>0</v>
      </c>
    </row>
    <row r="2704" spans="44:46">
      <c r="AR2704">
        <v>0</v>
      </c>
      <c r="AS2704">
        <v>0</v>
      </c>
      <c r="AT2704">
        <v>0</v>
      </c>
    </row>
    <row r="2705" spans="44:46">
      <c r="AR2705">
        <v>0</v>
      </c>
      <c r="AS2705">
        <v>0</v>
      </c>
      <c r="AT2705">
        <v>0</v>
      </c>
    </row>
    <row r="2706" spans="44:46">
      <c r="AR2706">
        <v>0</v>
      </c>
      <c r="AS2706">
        <v>0</v>
      </c>
      <c r="AT2706">
        <v>0</v>
      </c>
    </row>
    <row r="2707" spans="44:46">
      <c r="AR2707">
        <v>0</v>
      </c>
      <c r="AS2707">
        <v>0</v>
      </c>
      <c r="AT2707">
        <v>0</v>
      </c>
    </row>
    <row r="2708" spans="44:46">
      <c r="AR2708">
        <v>0</v>
      </c>
      <c r="AS2708">
        <v>0</v>
      </c>
      <c r="AT2708">
        <v>0</v>
      </c>
    </row>
    <row r="2709" spans="44:46">
      <c r="AR2709">
        <v>0</v>
      </c>
      <c r="AS2709">
        <v>0</v>
      </c>
      <c r="AT2709">
        <v>0</v>
      </c>
    </row>
    <row r="2710" spans="44:46">
      <c r="AR2710">
        <v>0</v>
      </c>
      <c r="AS2710">
        <v>0</v>
      </c>
      <c r="AT2710">
        <v>0</v>
      </c>
    </row>
    <row r="2711" spans="44:46">
      <c r="AR2711">
        <v>0</v>
      </c>
      <c r="AS2711">
        <v>0</v>
      </c>
      <c r="AT2711">
        <v>0</v>
      </c>
    </row>
    <row r="2712" spans="44:46">
      <c r="AR2712">
        <v>0</v>
      </c>
      <c r="AS2712">
        <v>0</v>
      </c>
      <c r="AT2712">
        <v>0</v>
      </c>
    </row>
    <row r="2713" spans="44:46">
      <c r="AR2713">
        <v>0</v>
      </c>
      <c r="AS2713">
        <v>0</v>
      </c>
      <c r="AT2713">
        <v>0</v>
      </c>
    </row>
    <row r="2714" spans="44:46">
      <c r="AR2714">
        <v>0</v>
      </c>
      <c r="AS2714">
        <v>0</v>
      </c>
      <c r="AT2714">
        <v>0</v>
      </c>
    </row>
    <row r="2715" spans="44:46">
      <c r="AR2715">
        <v>0</v>
      </c>
      <c r="AS2715">
        <v>0</v>
      </c>
      <c r="AT2715">
        <v>0</v>
      </c>
    </row>
    <row r="2716" spans="44:46">
      <c r="AR2716">
        <v>0</v>
      </c>
      <c r="AS2716">
        <v>0</v>
      </c>
      <c r="AT2716">
        <v>0</v>
      </c>
    </row>
    <row r="2717" spans="44:46">
      <c r="AR2717">
        <v>0</v>
      </c>
      <c r="AS2717">
        <v>0</v>
      </c>
      <c r="AT2717">
        <v>0</v>
      </c>
    </row>
    <row r="2718" spans="44:46">
      <c r="AR2718">
        <v>0</v>
      </c>
      <c r="AS2718">
        <v>0</v>
      </c>
      <c r="AT2718">
        <v>0</v>
      </c>
    </row>
    <row r="2719" spans="44:46">
      <c r="AR2719">
        <v>0</v>
      </c>
      <c r="AS2719">
        <v>0</v>
      </c>
      <c r="AT2719">
        <v>0</v>
      </c>
    </row>
    <row r="2720" spans="44:46">
      <c r="AR2720">
        <v>0</v>
      </c>
      <c r="AS2720">
        <v>0</v>
      </c>
      <c r="AT2720">
        <v>0</v>
      </c>
    </row>
    <row r="2721" spans="44:46">
      <c r="AR2721">
        <v>0</v>
      </c>
      <c r="AS2721">
        <v>0</v>
      </c>
      <c r="AT2721">
        <v>0</v>
      </c>
    </row>
    <row r="2722" spans="44:46">
      <c r="AR2722">
        <v>0</v>
      </c>
      <c r="AS2722">
        <v>0</v>
      </c>
      <c r="AT2722">
        <v>0</v>
      </c>
    </row>
    <row r="2723" spans="44:46">
      <c r="AR2723">
        <v>0</v>
      </c>
      <c r="AS2723">
        <v>0</v>
      </c>
      <c r="AT2723">
        <v>0</v>
      </c>
    </row>
    <row r="2724" spans="44:46">
      <c r="AR2724">
        <v>0</v>
      </c>
      <c r="AS2724">
        <v>0</v>
      </c>
      <c r="AT2724">
        <v>0</v>
      </c>
    </row>
    <row r="2725" spans="44:46">
      <c r="AR2725">
        <v>0</v>
      </c>
      <c r="AS2725">
        <v>0</v>
      </c>
      <c r="AT2725">
        <v>0</v>
      </c>
    </row>
    <row r="2726" spans="44:46">
      <c r="AR2726">
        <v>0</v>
      </c>
      <c r="AS2726">
        <v>0</v>
      </c>
      <c r="AT2726">
        <v>0</v>
      </c>
    </row>
    <row r="2727" spans="44:46">
      <c r="AR2727">
        <v>0</v>
      </c>
      <c r="AS2727">
        <v>0</v>
      </c>
      <c r="AT2727">
        <v>0</v>
      </c>
    </row>
    <row r="2728" spans="44:46">
      <c r="AR2728">
        <v>0</v>
      </c>
      <c r="AS2728">
        <v>0</v>
      </c>
      <c r="AT2728">
        <v>0</v>
      </c>
    </row>
    <row r="2729" spans="44:46">
      <c r="AR2729">
        <v>0</v>
      </c>
      <c r="AS2729">
        <v>0</v>
      </c>
      <c r="AT2729">
        <v>0</v>
      </c>
    </row>
    <row r="2730" spans="44:46">
      <c r="AR2730">
        <v>0</v>
      </c>
      <c r="AS2730">
        <v>0</v>
      </c>
      <c r="AT2730">
        <v>0</v>
      </c>
    </row>
    <row r="2731" spans="44:46">
      <c r="AR2731">
        <v>0</v>
      </c>
      <c r="AS2731">
        <v>0</v>
      </c>
      <c r="AT2731">
        <v>0</v>
      </c>
    </row>
    <row r="2732" spans="44:46">
      <c r="AR2732">
        <v>0</v>
      </c>
      <c r="AS2732">
        <v>0</v>
      </c>
      <c r="AT2732">
        <v>0</v>
      </c>
    </row>
    <row r="2733" spans="44:46">
      <c r="AR2733">
        <v>0</v>
      </c>
      <c r="AS2733">
        <v>0</v>
      </c>
      <c r="AT2733">
        <v>0</v>
      </c>
    </row>
    <row r="2734" spans="44:46">
      <c r="AR2734">
        <v>0</v>
      </c>
      <c r="AS2734">
        <v>0</v>
      </c>
      <c r="AT2734">
        <v>0</v>
      </c>
    </row>
    <row r="2735" spans="44:46">
      <c r="AR2735">
        <v>0</v>
      </c>
      <c r="AS2735">
        <v>0</v>
      </c>
      <c r="AT2735">
        <v>0</v>
      </c>
    </row>
    <row r="2736" spans="44:46">
      <c r="AR2736">
        <v>0</v>
      </c>
      <c r="AS2736">
        <v>0</v>
      </c>
      <c r="AT2736">
        <v>0</v>
      </c>
    </row>
    <row r="2737" spans="44:46">
      <c r="AR2737">
        <v>0</v>
      </c>
      <c r="AS2737">
        <v>0</v>
      </c>
      <c r="AT2737">
        <v>0</v>
      </c>
    </row>
    <row r="2738" spans="44:46">
      <c r="AR2738">
        <v>0</v>
      </c>
      <c r="AS2738">
        <v>0</v>
      </c>
      <c r="AT2738">
        <v>0</v>
      </c>
    </row>
    <row r="2739" spans="44:46">
      <c r="AR2739">
        <v>0</v>
      </c>
      <c r="AS2739">
        <v>0</v>
      </c>
      <c r="AT2739">
        <v>0</v>
      </c>
    </row>
    <row r="2740" spans="44:46">
      <c r="AR2740">
        <v>0</v>
      </c>
      <c r="AS2740">
        <v>0</v>
      </c>
      <c r="AT2740">
        <v>0</v>
      </c>
    </row>
    <row r="2741" spans="44:46">
      <c r="AR2741">
        <v>0</v>
      </c>
      <c r="AS2741">
        <v>0</v>
      </c>
      <c r="AT2741">
        <v>0</v>
      </c>
    </row>
    <row r="2742" spans="44:46">
      <c r="AR2742">
        <v>0</v>
      </c>
      <c r="AS2742">
        <v>0</v>
      </c>
      <c r="AT2742">
        <v>0</v>
      </c>
    </row>
    <row r="2743" spans="44:46">
      <c r="AR2743">
        <v>0</v>
      </c>
      <c r="AS2743">
        <v>0</v>
      </c>
      <c r="AT2743">
        <v>0</v>
      </c>
    </row>
    <row r="2744" spans="44:46">
      <c r="AR2744">
        <v>0</v>
      </c>
      <c r="AS2744">
        <v>0</v>
      </c>
      <c r="AT2744">
        <v>0</v>
      </c>
    </row>
    <row r="2745" spans="44:46">
      <c r="AR2745">
        <v>0</v>
      </c>
      <c r="AS2745">
        <v>0</v>
      </c>
      <c r="AT2745">
        <v>0</v>
      </c>
    </row>
    <row r="2746" spans="44:46">
      <c r="AR2746">
        <v>0</v>
      </c>
      <c r="AS2746">
        <v>0</v>
      </c>
      <c r="AT2746">
        <v>0</v>
      </c>
    </row>
    <row r="2747" spans="44:46">
      <c r="AR2747">
        <v>0</v>
      </c>
      <c r="AS2747">
        <v>0</v>
      </c>
      <c r="AT2747">
        <v>0</v>
      </c>
    </row>
    <row r="2748" spans="44:46">
      <c r="AR2748">
        <v>0</v>
      </c>
      <c r="AS2748">
        <v>0</v>
      </c>
      <c r="AT2748">
        <v>0</v>
      </c>
    </row>
    <row r="2749" spans="44:46">
      <c r="AR2749">
        <v>0</v>
      </c>
      <c r="AS2749">
        <v>0</v>
      </c>
      <c r="AT2749">
        <v>0</v>
      </c>
    </row>
    <row r="2750" spans="44:46">
      <c r="AR2750">
        <v>0</v>
      </c>
      <c r="AS2750">
        <v>0</v>
      </c>
      <c r="AT2750">
        <v>0</v>
      </c>
    </row>
    <row r="2751" spans="44:46">
      <c r="AR2751">
        <v>0</v>
      </c>
      <c r="AS2751">
        <v>0</v>
      </c>
      <c r="AT2751">
        <v>0</v>
      </c>
    </row>
    <row r="2752" spans="44:46">
      <c r="AR2752">
        <v>0</v>
      </c>
      <c r="AS2752">
        <v>0</v>
      </c>
      <c r="AT2752">
        <v>0</v>
      </c>
    </row>
    <row r="2753" spans="44:46">
      <c r="AR2753">
        <v>0</v>
      </c>
      <c r="AS2753">
        <v>0</v>
      </c>
      <c r="AT2753">
        <v>0</v>
      </c>
    </row>
    <row r="2754" spans="44:46">
      <c r="AR2754">
        <v>0</v>
      </c>
      <c r="AS2754">
        <v>0</v>
      </c>
      <c r="AT2754">
        <v>0</v>
      </c>
    </row>
    <row r="2755" spans="44:46">
      <c r="AR2755">
        <v>0</v>
      </c>
      <c r="AS2755">
        <v>0</v>
      </c>
      <c r="AT2755">
        <v>0</v>
      </c>
    </row>
    <row r="2756" spans="44:46">
      <c r="AR2756">
        <v>0</v>
      </c>
      <c r="AS2756">
        <v>0</v>
      </c>
      <c r="AT2756">
        <v>0</v>
      </c>
    </row>
    <row r="2757" spans="44:46">
      <c r="AR2757">
        <v>0</v>
      </c>
      <c r="AS2757">
        <v>0</v>
      </c>
      <c r="AT2757">
        <v>0</v>
      </c>
    </row>
    <row r="2758" spans="44:46">
      <c r="AR2758">
        <v>0</v>
      </c>
      <c r="AS2758">
        <v>0</v>
      </c>
      <c r="AT2758">
        <v>0</v>
      </c>
    </row>
    <row r="2759" spans="44:46">
      <c r="AR2759">
        <v>0</v>
      </c>
      <c r="AS2759">
        <v>0</v>
      </c>
      <c r="AT2759">
        <v>0</v>
      </c>
    </row>
    <row r="2760" spans="44:46">
      <c r="AR2760">
        <v>0</v>
      </c>
      <c r="AS2760">
        <v>0</v>
      </c>
      <c r="AT2760">
        <v>0</v>
      </c>
    </row>
    <row r="2761" spans="44:46">
      <c r="AR2761">
        <v>0</v>
      </c>
      <c r="AS2761">
        <v>0</v>
      </c>
      <c r="AT2761">
        <v>0</v>
      </c>
    </row>
    <row r="2762" spans="44:46">
      <c r="AR2762">
        <v>0</v>
      </c>
      <c r="AS2762">
        <v>0</v>
      </c>
      <c r="AT2762">
        <v>0</v>
      </c>
    </row>
    <row r="2763" spans="44:46">
      <c r="AR2763">
        <v>0</v>
      </c>
      <c r="AS2763">
        <v>0</v>
      </c>
      <c r="AT2763">
        <v>0</v>
      </c>
    </row>
    <row r="2764" spans="44:46">
      <c r="AR2764">
        <v>0</v>
      </c>
      <c r="AS2764">
        <v>0</v>
      </c>
      <c r="AT2764">
        <v>0</v>
      </c>
    </row>
    <row r="2765" spans="44:46">
      <c r="AR2765">
        <v>0</v>
      </c>
      <c r="AS2765">
        <v>0</v>
      </c>
      <c r="AT2765">
        <v>0</v>
      </c>
    </row>
    <row r="2766" spans="44:46">
      <c r="AR2766">
        <v>0</v>
      </c>
      <c r="AS2766">
        <v>0</v>
      </c>
      <c r="AT2766">
        <v>0</v>
      </c>
    </row>
    <row r="2767" spans="44:46">
      <c r="AR2767">
        <v>0</v>
      </c>
      <c r="AS2767">
        <v>0</v>
      </c>
      <c r="AT2767">
        <v>0</v>
      </c>
    </row>
    <row r="2768" spans="44:46">
      <c r="AR2768">
        <v>0</v>
      </c>
      <c r="AS2768">
        <v>0</v>
      </c>
      <c r="AT2768">
        <v>0</v>
      </c>
    </row>
    <row r="2769" spans="44:46">
      <c r="AR2769">
        <v>0</v>
      </c>
      <c r="AS2769">
        <v>0</v>
      </c>
      <c r="AT2769">
        <v>0</v>
      </c>
    </row>
    <row r="2770" spans="44:46">
      <c r="AR2770">
        <v>0</v>
      </c>
      <c r="AS2770">
        <v>0</v>
      </c>
      <c r="AT2770">
        <v>0</v>
      </c>
    </row>
    <row r="2771" spans="44:46">
      <c r="AR2771">
        <v>0</v>
      </c>
      <c r="AS2771">
        <v>0</v>
      </c>
      <c r="AT2771">
        <v>0</v>
      </c>
    </row>
    <row r="2772" spans="44:46">
      <c r="AR2772">
        <v>0</v>
      </c>
      <c r="AS2772">
        <v>0</v>
      </c>
      <c r="AT2772">
        <v>0</v>
      </c>
    </row>
    <row r="2773" spans="44:46">
      <c r="AR2773">
        <v>0</v>
      </c>
      <c r="AS2773">
        <v>0</v>
      </c>
      <c r="AT2773">
        <v>0</v>
      </c>
    </row>
    <row r="2774" spans="44:46">
      <c r="AR2774">
        <v>0</v>
      </c>
      <c r="AS2774">
        <v>0</v>
      </c>
      <c r="AT2774">
        <v>0</v>
      </c>
    </row>
    <row r="2775" spans="44:46">
      <c r="AR2775">
        <v>0</v>
      </c>
      <c r="AS2775">
        <v>0</v>
      </c>
      <c r="AT2775">
        <v>0</v>
      </c>
    </row>
    <row r="2776" spans="44:46">
      <c r="AR2776">
        <v>0</v>
      </c>
      <c r="AS2776">
        <v>0</v>
      </c>
      <c r="AT2776">
        <v>0</v>
      </c>
    </row>
    <row r="2777" spans="44:46">
      <c r="AR2777">
        <v>0</v>
      </c>
      <c r="AS2777">
        <v>0</v>
      </c>
      <c r="AT2777">
        <v>0</v>
      </c>
    </row>
    <row r="2778" spans="44:46">
      <c r="AR2778">
        <v>0</v>
      </c>
      <c r="AS2778">
        <v>0</v>
      </c>
      <c r="AT2778">
        <v>0</v>
      </c>
    </row>
    <row r="2779" spans="44:46">
      <c r="AR2779">
        <v>0</v>
      </c>
      <c r="AS2779">
        <v>0</v>
      </c>
      <c r="AT2779">
        <v>0</v>
      </c>
    </row>
    <row r="2780" spans="44:46">
      <c r="AR2780">
        <v>0</v>
      </c>
      <c r="AS2780">
        <v>0</v>
      </c>
      <c r="AT2780">
        <v>0</v>
      </c>
    </row>
    <row r="2781" spans="44:46">
      <c r="AR2781">
        <v>0</v>
      </c>
      <c r="AS2781">
        <v>0</v>
      </c>
      <c r="AT2781">
        <v>0</v>
      </c>
    </row>
    <row r="2782" spans="44:46">
      <c r="AR2782">
        <v>0</v>
      </c>
      <c r="AS2782">
        <v>0</v>
      </c>
      <c r="AT2782">
        <v>0</v>
      </c>
    </row>
    <row r="2783" spans="44:46">
      <c r="AR2783">
        <v>0</v>
      </c>
      <c r="AS2783">
        <v>0</v>
      </c>
      <c r="AT2783">
        <v>0</v>
      </c>
    </row>
    <row r="2784" spans="44:46">
      <c r="AR2784">
        <v>0</v>
      </c>
      <c r="AS2784">
        <v>0</v>
      </c>
      <c r="AT2784">
        <v>0</v>
      </c>
    </row>
    <row r="2785" spans="44:46">
      <c r="AR2785">
        <v>0</v>
      </c>
      <c r="AS2785">
        <v>0</v>
      </c>
      <c r="AT2785">
        <v>0</v>
      </c>
    </row>
    <row r="2786" spans="44:46">
      <c r="AR2786">
        <v>0</v>
      </c>
      <c r="AS2786">
        <v>0</v>
      </c>
      <c r="AT2786">
        <v>0</v>
      </c>
    </row>
    <row r="2787" spans="44:46">
      <c r="AR2787">
        <v>0</v>
      </c>
      <c r="AS2787">
        <v>0</v>
      </c>
      <c r="AT2787">
        <v>0</v>
      </c>
    </row>
    <row r="2788" spans="44:46">
      <c r="AR2788">
        <v>0</v>
      </c>
      <c r="AS2788">
        <v>0</v>
      </c>
      <c r="AT2788">
        <v>0</v>
      </c>
    </row>
    <row r="2789" spans="44:46">
      <c r="AR2789">
        <v>0</v>
      </c>
      <c r="AS2789">
        <v>0</v>
      </c>
      <c r="AT2789">
        <v>0</v>
      </c>
    </row>
    <row r="2790" spans="44:46">
      <c r="AR2790">
        <v>0</v>
      </c>
      <c r="AS2790">
        <v>0</v>
      </c>
      <c r="AT2790">
        <v>0</v>
      </c>
    </row>
    <row r="2791" spans="44:46">
      <c r="AR2791">
        <v>0</v>
      </c>
      <c r="AS2791">
        <v>0</v>
      </c>
      <c r="AT2791">
        <v>0</v>
      </c>
    </row>
    <row r="2792" spans="44:46">
      <c r="AR2792">
        <v>0</v>
      </c>
      <c r="AS2792">
        <v>0</v>
      </c>
      <c r="AT2792">
        <v>0</v>
      </c>
    </row>
    <row r="2793" spans="44:46">
      <c r="AR2793">
        <v>0</v>
      </c>
      <c r="AS2793">
        <v>0</v>
      </c>
      <c r="AT2793">
        <v>0</v>
      </c>
    </row>
    <row r="2794" spans="44:46">
      <c r="AR2794">
        <v>0</v>
      </c>
      <c r="AS2794">
        <v>0</v>
      </c>
      <c r="AT2794">
        <v>0</v>
      </c>
    </row>
    <row r="2795" spans="44:46">
      <c r="AR2795">
        <v>0</v>
      </c>
      <c r="AS2795">
        <v>0</v>
      </c>
      <c r="AT2795">
        <v>0</v>
      </c>
    </row>
    <row r="2796" spans="44:46">
      <c r="AR2796">
        <v>0</v>
      </c>
      <c r="AS2796">
        <v>0</v>
      </c>
      <c r="AT2796">
        <v>0</v>
      </c>
    </row>
    <row r="2797" spans="44:46">
      <c r="AR2797">
        <v>0</v>
      </c>
      <c r="AS2797">
        <v>0</v>
      </c>
      <c r="AT2797">
        <v>0</v>
      </c>
    </row>
    <row r="2798" spans="44:46">
      <c r="AR2798">
        <v>0</v>
      </c>
      <c r="AS2798">
        <v>0</v>
      </c>
      <c r="AT2798">
        <v>0</v>
      </c>
    </row>
    <row r="2799" spans="44:46">
      <c r="AR2799">
        <v>0</v>
      </c>
      <c r="AS2799">
        <v>0</v>
      </c>
      <c r="AT2799">
        <v>0</v>
      </c>
    </row>
    <row r="2800" spans="44:46">
      <c r="AR2800">
        <v>0</v>
      </c>
      <c r="AS2800">
        <v>0</v>
      </c>
      <c r="AT2800">
        <v>0</v>
      </c>
    </row>
    <row r="2801" spans="44:46">
      <c r="AR2801">
        <v>0</v>
      </c>
      <c r="AS2801">
        <v>0</v>
      </c>
      <c r="AT2801">
        <v>0</v>
      </c>
    </row>
    <row r="2802" spans="44:46">
      <c r="AR2802">
        <v>0</v>
      </c>
      <c r="AS2802">
        <v>0</v>
      </c>
      <c r="AT2802">
        <v>0</v>
      </c>
    </row>
    <row r="2803" spans="44:46">
      <c r="AR2803">
        <v>0</v>
      </c>
      <c r="AS2803">
        <v>0</v>
      </c>
      <c r="AT2803">
        <v>0</v>
      </c>
    </row>
    <row r="2804" spans="44:46">
      <c r="AR2804">
        <v>0</v>
      </c>
      <c r="AS2804">
        <v>0</v>
      </c>
      <c r="AT2804">
        <v>0</v>
      </c>
    </row>
    <row r="2805" spans="44:46">
      <c r="AR2805">
        <v>0</v>
      </c>
      <c r="AS2805">
        <v>0</v>
      </c>
      <c r="AT2805">
        <v>0</v>
      </c>
    </row>
    <row r="2806" spans="44:46">
      <c r="AR2806">
        <v>0</v>
      </c>
      <c r="AS2806">
        <v>0</v>
      </c>
      <c r="AT2806">
        <v>0</v>
      </c>
    </row>
    <row r="2807" spans="44:46">
      <c r="AR2807">
        <v>0</v>
      </c>
      <c r="AS2807">
        <v>0</v>
      </c>
      <c r="AT2807">
        <v>0</v>
      </c>
    </row>
    <row r="2808" spans="44:46">
      <c r="AR2808">
        <v>0</v>
      </c>
      <c r="AS2808">
        <v>0</v>
      </c>
      <c r="AT2808">
        <v>0</v>
      </c>
    </row>
    <row r="2809" spans="44:46">
      <c r="AR2809">
        <v>0</v>
      </c>
      <c r="AS2809">
        <v>0</v>
      </c>
      <c r="AT2809">
        <v>0</v>
      </c>
    </row>
    <row r="2810" spans="44:46">
      <c r="AR2810">
        <v>0</v>
      </c>
      <c r="AS2810">
        <v>0</v>
      </c>
      <c r="AT2810">
        <v>0</v>
      </c>
    </row>
    <row r="2811" spans="44:46">
      <c r="AR2811">
        <v>0</v>
      </c>
      <c r="AS2811">
        <v>0</v>
      </c>
      <c r="AT2811">
        <v>0</v>
      </c>
    </row>
    <row r="2812" spans="44:46">
      <c r="AR2812">
        <v>0</v>
      </c>
      <c r="AS2812">
        <v>0</v>
      </c>
      <c r="AT2812">
        <v>0</v>
      </c>
    </row>
    <row r="2813" spans="44:46">
      <c r="AR2813">
        <v>0</v>
      </c>
      <c r="AS2813">
        <v>0</v>
      </c>
      <c r="AT2813">
        <v>0</v>
      </c>
    </row>
    <row r="2814" spans="44:46">
      <c r="AR2814">
        <v>0</v>
      </c>
      <c r="AS2814">
        <v>0</v>
      </c>
      <c r="AT2814">
        <v>0</v>
      </c>
    </row>
    <row r="2815" spans="44:46">
      <c r="AR2815">
        <v>0</v>
      </c>
      <c r="AS2815">
        <v>0</v>
      </c>
      <c r="AT2815">
        <v>0</v>
      </c>
    </row>
    <row r="2816" spans="44:46">
      <c r="AR2816">
        <v>0</v>
      </c>
      <c r="AS2816">
        <v>0</v>
      </c>
      <c r="AT2816">
        <v>0</v>
      </c>
    </row>
    <row r="2817" spans="44:46">
      <c r="AR2817">
        <v>0</v>
      </c>
      <c r="AS2817">
        <v>0</v>
      </c>
      <c r="AT2817">
        <v>0</v>
      </c>
    </row>
    <row r="2818" spans="44:46">
      <c r="AR2818">
        <v>0</v>
      </c>
      <c r="AS2818">
        <v>0</v>
      </c>
      <c r="AT2818">
        <v>0</v>
      </c>
    </row>
    <row r="2819" spans="44:46">
      <c r="AR2819">
        <v>0</v>
      </c>
      <c r="AS2819">
        <v>0</v>
      </c>
      <c r="AT2819">
        <v>0</v>
      </c>
    </row>
    <row r="2820" spans="44:46">
      <c r="AR2820">
        <v>0</v>
      </c>
      <c r="AS2820">
        <v>0</v>
      </c>
      <c r="AT2820">
        <v>0</v>
      </c>
    </row>
    <row r="2821" spans="44:46">
      <c r="AR2821">
        <v>0</v>
      </c>
      <c r="AS2821">
        <v>0</v>
      </c>
      <c r="AT2821">
        <v>0</v>
      </c>
    </row>
    <row r="2822" spans="44:46">
      <c r="AR2822">
        <v>0</v>
      </c>
      <c r="AS2822">
        <v>0</v>
      </c>
      <c r="AT2822">
        <v>0</v>
      </c>
    </row>
    <row r="2823" spans="44:46">
      <c r="AR2823">
        <v>0</v>
      </c>
      <c r="AS2823">
        <v>0</v>
      </c>
      <c r="AT2823">
        <v>0</v>
      </c>
    </row>
    <row r="2824" spans="44:46">
      <c r="AR2824">
        <v>0</v>
      </c>
      <c r="AS2824">
        <v>0</v>
      </c>
      <c r="AT2824">
        <v>0</v>
      </c>
    </row>
    <row r="2825" spans="44:46">
      <c r="AR2825">
        <v>0</v>
      </c>
      <c r="AS2825">
        <v>0</v>
      </c>
      <c r="AT2825">
        <v>0</v>
      </c>
    </row>
    <row r="2826" spans="44:46">
      <c r="AR2826">
        <v>0</v>
      </c>
      <c r="AS2826">
        <v>0</v>
      </c>
      <c r="AT2826">
        <v>0</v>
      </c>
    </row>
    <row r="2827" spans="44:46">
      <c r="AR2827">
        <v>0</v>
      </c>
      <c r="AS2827">
        <v>0</v>
      </c>
      <c r="AT2827">
        <v>0</v>
      </c>
    </row>
    <row r="2828" spans="44:46">
      <c r="AR2828">
        <v>0</v>
      </c>
      <c r="AS2828">
        <v>0</v>
      </c>
      <c r="AT2828">
        <v>0</v>
      </c>
    </row>
    <row r="2829" spans="44:46">
      <c r="AR2829">
        <v>0</v>
      </c>
      <c r="AS2829">
        <v>0</v>
      </c>
      <c r="AT2829">
        <v>0</v>
      </c>
    </row>
    <row r="2830" spans="44:46">
      <c r="AR2830">
        <v>0</v>
      </c>
      <c r="AS2830">
        <v>0</v>
      </c>
      <c r="AT2830">
        <v>0</v>
      </c>
    </row>
    <row r="2831" spans="44:46">
      <c r="AR2831">
        <v>0</v>
      </c>
      <c r="AS2831">
        <v>0</v>
      </c>
      <c r="AT2831">
        <v>0</v>
      </c>
    </row>
    <row r="2832" spans="44:46">
      <c r="AR2832">
        <v>0</v>
      </c>
      <c r="AS2832">
        <v>0</v>
      </c>
      <c r="AT2832">
        <v>0</v>
      </c>
    </row>
    <row r="2833" spans="44:46">
      <c r="AR2833">
        <v>0</v>
      </c>
      <c r="AS2833">
        <v>0</v>
      </c>
      <c r="AT2833">
        <v>0</v>
      </c>
    </row>
    <row r="2834" spans="44:46">
      <c r="AR2834">
        <v>0</v>
      </c>
      <c r="AS2834">
        <v>0</v>
      </c>
      <c r="AT2834">
        <v>0</v>
      </c>
    </row>
    <row r="2835" spans="44:46">
      <c r="AR2835">
        <v>0</v>
      </c>
      <c r="AS2835">
        <v>0</v>
      </c>
      <c r="AT2835">
        <v>0</v>
      </c>
    </row>
    <row r="2836" spans="44:46">
      <c r="AR2836">
        <v>0</v>
      </c>
      <c r="AS2836">
        <v>0</v>
      </c>
      <c r="AT2836">
        <v>0</v>
      </c>
    </row>
    <row r="2837" spans="44:46">
      <c r="AR2837">
        <v>0</v>
      </c>
      <c r="AS2837">
        <v>0</v>
      </c>
      <c r="AT2837">
        <v>0</v>
      </c>
    </row>
    <row r="2838" spans="44:46">
      <c r="AR2838">
        <v>0</v>
      </c>
      <c r="AS2838">
        <v>0</v>
      </c>
      <c r="AT2838">
        <v>0</v>
      </c>
    </row>
    <row r="2839" spans="44:46">
      <c r="AR2839">
        <v>0</v>
      </c>
      <c r="AS2839">
        <v>0</v>
      </c>
      <c r="AT2839">
        <v>0</v>
      </c>
    </row>
    <row r="2840" spans="44:46">
      <c r="AR2840">
        <v>0</v>
      </c>
      <c r="AS2840">
        <v>0</v>
      </c>
      <c r="AT2840">
        <v>0</v>
      </c>
    </row>
    <row r="2841" spans="44:46">
      <c r="AR2841">
        <v>0</v>
      </c>
      <c r="AS2841">
        <v>0</v>
      </c>
      <c r="AT2841">
        <v>0</v>
      </c>
    </row>
    <row r="2842" spans="44:46">
      <c r="AR2842">
        <v>0</v>
      </c>
      <c r="AS2842">
        <v>0</v>
      </c>
      <c r="AT2842">
        <v>0</v>
      </c>
    </row>
    <row r="2843" spans="44:46">
      <c r="AR2843">
        <v>0</v>
      </c>
      <c r="AS2843">
        <v>0</v>
      </c>
      <c r="AT2843">
        <v>0</v>
      </c>
    </row>
    <row r="2844" spans="44:46">
      <c r="AR2844">
        <v>0</v>
      </c>
      <c r="AS2844">
        <v>0</v>
      </c>
      <c r="AT2844">
        <v>0</v>
      </c>
    </row>
    <row r="2845" spans="44:46">
      <c r="AR2845">
        <v>0</v>
      </c>
      <c r="AS2845">
        <v>0</v>
      </c>
      <c r="AT2845">
        <v>0</v>
      </c>
    </row>
    <row r="2846" spans="44:46">
      <c r="AR2846">
        <v>0</v>
      </c>
      <c r="AS2846">
        <v>0</v>
      </c>
      <c r="AT2846">
        <v>0</v>
      </c>
    </row>
    <row r="2847" spans="44:46">
      <c r="AR2847">
        <v>0</v>
      </c>
      <c r="AS2847">
        <v>0</v>
      </c>
      <c r="AT2847">
        <v>0</v>
      </c>
    </row>
    <row r="2848" spans="44:46">
      <c r="AR2848">
        <v>0</v>
      </c>
      <c r="AS2848">
        <v>0</v>
      </c>
      <c r="AT2848">
        <v>0</v>
      </c>
    </row>
    <row r="2849" spans="44:46">
      <c r="AR2849">
        <v>0</v>
      </c>
      <c r="AS2849">
        <v>0</v>
      </c>
      <c r="AT2849">
        <v>0</v>
      </c>
    </row>
    <row r="2850" spans="44:46">
      <c r="AR2850">
        <v>0</v>
      </c>
      <c r="AS2850">
        <v>0</v>
      </c>
      <c r="AT2850">
        <v>0</v>
      </c>
    </row>
    <row r="2851" spans="44:46">
      <c r="AR2851">
        <v>0</v>
      </c>
      <c r="AS2851">
        <v>0</v>
      </c>
      <c r="AT2851">
        <v>0</v>
      </c>
    </row>
    <row r="2852" spans="44:46">
      <c r="AR2852">
        <v>0</v>
      </c>
      <c r="AS2852">
        <v>0</v>
      </c>
      <c r="AT2852">
        <v>0</v>
      </c>
    </row>
    <row r="2853" spans="44:46">
      <c r="AR2853">
        <v>0</v>
      </c>
      <c r="AS2853">
        <v>0</v>
      </c>
      <c r="AT2853">
        <v>0</v>
      </c>
    </row>
    <row r="2854" spans="44:46">
      <c r="AR2854">
        <v>0</v>
      </c>
      <c r="AS2854">
        <v>0</v>
      </c>
      <c r="AT2854">
        <v>0</v>
      </c>
    </row>
    <row r="2855" spans="44:46">
      <c r="AR2855">
        <v>0</v>
      </c>
      <c r="AS2855">
        <v>0</v>
      </c>
      <c r="AT2855">
        <v>0</v>
      </c>
    </row>
    <row r="2856" spans="44:46">
      <c r="AR2856">
        <v>0</v>
      </c>
      <c r="AS2856">
        <v>0</v>
      </c>
      <c r="AT2856">
        <v>0</v>
      </c>
    </row>
    <row r="2857" spans="44:46">
      <c r="AR2857">
        <v>0</v>
      </c>
      <c r="AS2857">
        <v>0</v>
      </c>
      <c r="AT2857">
        <v>0</v>
      </c>
    </row>
    <row r="2858" spans="44:46">
      <c r="AR2858">
        <v>0</v>
      </c>
      <c r="AS2858">
        <v>0</v>
      </c>
      <c r="AT2858">
        <v>0</v>
      </c>
    </row>
    <row r="2859" spans="44:46">
      <c r="AR2859">
        <v>0</v>
      </c>
      <c r="AS2859">
        <v>0</v>
      </c>
      <c r="AT2859">
        <v>0</v>
      </c>
    </row>
    <row r="2860" spans="44:46">
      <c r="AR2860">
        <v>0</v>
      </c>
      <c r="AS2860">
        <v>0</v>
      </c>
      <c r="AT2860">
        <v>0</v>
      </c>
    </row>
    <row r="2861" spans="44:46">
      <c r="AR2861">
        <v>0</v>
      </c>
      <c r="AS2861">
        <v>0</v>
      </c>
      <c r="AT2861">
        <v>0</v>
      </c>
    </row>
    <row r="2862" spans="44:46">
      <c r="AR2862">
        <v>0</v>
      </c>
      <c r="AS2862">
        <v>0</v>
      </c>
      <c r="AT2862">
        <v>0</v>
      </c>
    </row>
    <row r="2863" spans="44:46">
      <c r="AR2863">
        <v>0</v>
      </c>
      <c r="AS2863">
        <v>0</v>
      </c>
      <c r="AT2863">
        <v>0</v>
      </c>
    </row>
    <row r="2864" spans="44:46">
      <c r="AR2864">
        <v>0</v>
      </c>
      <c r="AS2864">
        <v>0</v>
      </c>
      <c r="AT2864">
        <v>0</v>
      </c>
    </row>
    <row r="2865" spans="44:46">
      <c r="AR2865">
        <v>0</v>
      </c>
      <c r="AS2865">
        <v>0</v>
      </c>
      <c r="AT2865">
        <v>0</v>
      </c>
    </row>
    <row r="2866" spans="44:46">
      <c r="AR2866">
        <v>0</v>
      </c>
      <c r="AS2866">
        <v>0</v>
      </c>
      <c r="AT2866">
        <v>0</v>
      </c>
    </row>
    <row r="2867" spans="44:46">
      <c r="AR2867">
        <v>0</v>
      </c>
      <c r="AS2867">
        <v>0</v>
      </c>
      <c r="AT2867">
        <v>0</v>
      </c>
    </row>
    <row r="2868" spans="44:46">
      <c r="AR2868">
        <v>0</v>
      </c>
      <c r="AS2868">
        <v>0</v>
      </c>
      <c r="AT2868">
        <v>0</v>
      </c>
    </row>
    <row r="2869" spans="44:46">
      <c r="AR2869">
        <v>0</v>
      </c>
      <c r="AS2869">
        <v>0</v>
      </c>
      <c r="AT2869">
        <v>0</v>
      </c>
    </row>
    <row r="2870" spans="44:46">
      <c r="AR2870">
        <v>0</v>
      </c>
      <c r="AS2870">
        <v>0</v>
      </c>
      <c r="AT2870">
        <v>0</v>
      </c>
    </row>
    <row r="2871" spans="44:46">
      <c r="AR2871">
        <v>0</v>
      </c>
      <c r="AS2871">
        <v>0</v>
      </c>
      <c r="AT2871">
        <v>0</v>
      </c>
    </row>
    <row r="2872" spans="44:46">
      <c r="AR2872">
        <v>0</v>
      </c>
      <c r="AS2872">
        <v>0</v>
      </c>
      <c r="AT2872">
        <v>0</v>
      </c>
    </row>
    <row r="2873" spans="44:46">
      <c r="AR2873">
        <v>0</v>
      </c>
      <c r="AS2873">
        <v>0</v>
      </c>
      <c r="AT2873">
        <v>0</v>
      </c>
    </row>
    <row r="2874" spans="44:46">
      <c r="AR2874">
        <v>0</v>
      </c>
      <c r="AS2874">
        <v>0</v>
      </c>
      <c r="AT2874">
        <v>0</v>
      </c>
    </row>
    <row r="2875" spans="44:46">
      <c r="AR2875">
        <v>0</v>
      </c>
      <c r="AS2875">
        <v>0</v>
      </c>
      <c r="AT2875">
        <v>0</v>
      </c>
    </row>
    <row r="2876" spans="44:46">
      <c r="AR2876">
        <v>0</v>
      </c>
      <c r="AS2876">
        <v>0</v>
      </c>
      <c r="AT2876">
        <v>0</v>
      </c>
    </row>
    <row r="2877" spans="44:46">
      <c r="AR2877">
        <v>0</v>
      </c>
      <c r="AS2877">
        <v>0</v>
      </c>
      <c r="AT2877">
        <v>0</v>
      </c>
    </row>
    <row r="2878" spans="44:46">
      <c r="AR2878">
        <v>0</v>
      </c>
      <c r="AS2878">
        <v>0</v>
      </c>
      <c r="AT2878">
        <v>0</v>
      </c>
    </row>
    <row r="2879" spans="44:46">
      <c r="AR2879">
        <v>0</v>
      </c>
      <c r="AS2879">
        <v>0</v>
      </c>
      <c r="AT2879">
        <v>0</v>
      </c>
    </row>
    <row r="2880" spans="44:46">
      <c r="AR2880">
        <v>0</v>
      </c>
      <c r="AS2880">
        <v>0</v>
      </c>
      <c r="AT2880">
        <v>0</v>
      </c>
    </row>
    <row r="2881" spans="44:46">
      <c r="AR2881">
        <v>0</v>
      </c>
      <c r="AS2881">
        <v>0</v>
      </c>
      <c r="AT2881">
        <v>0</v>
      </c>
    </row>
    <row r="2882" spans="44:46">
      <c r="AR2882">
        <v>0</v>
      </c>
      <c r="AS2882">
        <v>0</v>
      </c>
      <c r="AT2882">
        <v>0</v>
      </c>
    </row>
    <row r="2883" spans="44:46">
      <c r="AR2883">
        <v>0</v>
      </c>
      <c r="AS2883">
        <v>0</v>
      </c>
      <c r="AT2883">
        <v>0</v>
      </c>
    </row>
    <row r="2884" spans="44:46">
      <c r="AR2884">
        <v>0</v>
      </c>
      <c r="AS2884">
        <v>0</v>
      </c>
      <c r="AT2884">
        <v>0</v>
      </c>
    </row>
    <row r="2885" spans="44:46">
      <c r="AR2885">
        <v>0</v>
      </c>
      <c r="AS2885">
        <v>0</v>
      </c>
      <c r="AT2885">
        <v>0</v>
      </c>
    </row>
    <row r="2886" spans="44:46">
      <c r="AR2886">
        <v>0</v>
      </c>
      <c r="AS2886">
        <v>0</v>
      </c>
      <c r="AT2886">
        <v>0</v>
      </c>
    </row>
    <row r="2887" spans="44:46">
      <c r="AR2887">
        <v>0</v>
      </c>
      <c r="AS2887">
        <v>0</v>
      </c>
      <c r="AT2887">
        <v>0</v>
      </c>
    </row>
    <row r="2888" spans="44:46">
      <c r="AR2888">
        <v>0</v>
      </c>
      <c r="AS2888">
        <v>0</v>
      </c>
      <c r="AT2888">
        <v>0</v>
      </c>
    </row>
    <row r="2889" spans="44:46">
      <c r="AR2889">
        <v>0</v>
      </c>
      <c r="AS2889">
        <v>0</v>
      </c>
      <c r="AT2889">
        <v>0</v>
      </c>
    </row>
    <row r="2890" spans="44:46">
      <c r="AR2890">
        <v>0</v>
      </c>
      <c r="AS2890">
        <v>0</v>
      </c>
      <c r="AT2890">
        <v>0</v>
      </c>
    </row>
    <row r="2891" spans="44:46">
      <c r="AR2891">
        <v>0</v>
      </c>
      <c r="AS2891">
        <v>0</v>
      </c>
      <c r="AT2891">
        <v>0</v>
      </c>
    </row>
    <row r="2892" spans="44:46">
      <c r="AR2892">
        <v>0</v>
      </c>
      <c r="AS2892">
        <v>0</v>
      </c>
      <c r="AT2892">
        <v>0</v>
      </c>
    </row>
    <row r="2893" spans="44:46">
      <c r="AR2893">
        <v>0</v>
      </c>
      <c r="AS2893">
        <v>0</v>
      </c>
      <c r="AT2893">
        <v>0</v>
      </c>
    </row>
    <row r="2894" spans="44:46">
      <c r="AR2894">
        <v>0</v>
      </c>
      <c r="AS2894">
        <v>0</v>
      </c>
      <c r="AT2894">
        <v>0</v>
      </c>
    </row>
    <row r="2895" spans="44:46">
      <c r="AR2895">
        <v>0</v>
      </c>
      <c r="AS2895">
        <v>0</v>
      </c>
      <c r="AT2895">
        <v>0</v>
      </c>
    </row>
    <row r="2896" spans="44:46">
      <c r="AR2896">
        <v>0</v>
      </c>
      <c r="AS2896">
        <v>0</v>
      </c>
      <c r="AT2896">
        <v>0</v>
      </c>
    </row>
    <row r="2897" spans="44:46">
      <c r="AR2897">
        <v>0</v>
      </c>
      <c r="AS2897">
        <v>0</v>
      </c>
      <c r="AT2897">
        <v>0</v>
      </c>
    </row>
    <row r="2898" spans="44:46">
      <c r="AR2898">
        <v>0</v>
      </c>
      <c r="AS2898">
        <v>0</v>
      </c>
      <c r="AT2898">
        <v>0</v>
      </c>
    </row>
    <row r="2899" spans="44:46">
      <c r="AR2899">
        <v>0</v>
      </c>
      <c r="AS2899">
        <v>0</v>
      </c>
      <c r="AT2899">
        <v>0</v>
      </c>
    </row>
    <row r="2900" spans="44:46">
      <c r="AR2900">
        <v>0</v>
      </c>
      <c r="AS2900">
        <v>0</v>
      </c>
      <c r="AT2900">
        <v>0</v>
      </c>
    </row>
    <row r="2901" spans="44:46">
      <c r="AR2901">
        <v>0</v>
      </c>
      <c r="AS2901">
        <v>0</v>
      </c>
      <c r="AT2901">
        <v>0</v>
      </c>
    </row>
    <row r="2902" spans="44:46">
      <c r="AR2902">
        <v>0</v>
      </c>
      <c r="AS2902">
        <v>0</v>
      </c>
      <c r="AT2902">
        <v>0</v>
      </c>
    </row>
    <row r="2903" spans="44:46">
      <c r="AR2903">
        <v>0</v>
      </c>
      <c r="AS2903">
        <v>0</v>
      </c>
      <c r="AT2903">
        <v>0</v>
      </c>
    </row>
    <row r="2904" spans="44:46">
      <c r="AR2904">
        <v>0</v>
      </c>
      <c r="AS2904">
        <v>0</v>
      </c>
      <c r="AT2904">
        <v>0</v>
      </c>
    </row>
    <row r="2905" spans="44:46">
      <c r="AR2905">
        <v>0</v>
      </c>
      <c r="AS2905">
        <v>0</v>
      </c>
      <c r="AT2905">
        <v>0</v>
      </c>
    </row>
    <row r="2906" spans="44:46">
      <c r="AR2906">
        <v>0</v>
      </c>
      <c r="AS2906">
        <v>0</v>
      </c>
      <c r="AT2906">
        <v>0</v>
      </c>
    </row>
    <row r="2907" spans="44:46">
      <c r="AR2907">
        <v>0</v>
      </c>
      <c r="AS2907">
        <v>0</v>
      </c>
      <c r="AT2907">
        <v>0</v>
      </c>
    </row>
    <row r="2908" spans="44:46">
      <c r="AR2908">
        <v>0</v>
      </c>
      <c r="AS2908">
        <v>0</v>
      </c>
      <c r="AT2908">
        <v>0</v>
      </c>
    </row>
    <row r="2909" spans="44:46">
      <c r="AR2909">
        <v>0</v>
      </c>
      <c r="AS2909">
        <v>0</v>
      </c>
      <c r="AT2909">
        <v>0</v>
      </c>
    </row>
    <row r="2910" spans="44:46">
      <c r="AR2910">
        <v>0</v>
      </c>
      <c r="AS2910">
        <v>0</v>
      </c>
      <c r="AT2910">
        <v>0</v>
      </c>
    </row>
    <row r="2911" spans="44:46">
      <c r="AR2911">
        <v>0</v>
      </c>
      <c r="AS2911">
        <v>0</v>
      </c>
      <c r="AT2911">
        <v>0</v>
      </c>
    </row>
    <row r="2912" spans="44:46">
      <c r="AR2912">
        <v>0</v>
      </c>
      <c r="AS2912">
        <v>0</v>
      </c>
      <c r="AT2912">
        <v>0</v>
      </c>
    </row>
    <row r="2913" spans="44:46">
      <c r="AR2913">
        <v>0</v>
      </c>
      <c r="AS2913">
        <v>0</v>
      </c>
      <c r="AT2913">
        <v>0</v>
      </c>
    </row>
    <row r="2914" spans="44:46">
      <c r="AR2914">
        <v>0</v>
      </c>
      <c r="AS2914">
        <v>0</v>
      </c>
      <c r="AT2914">
        <v>0</v>
      </c>
    </row>
    <row r="2915" spans="44:46">
      <c r="AR2915">
        <v>0</v>
      </c>
      <c r="AS2915">
        <v>0</v>
      </c>
      <c r="AT2915">
        <v>0</v>
      </c>
    </row>
    <row r="2916" spans="44:46">
      <c r="AR2916">
        <v>0</v>
      </c>
      <c r="AS2916">
        <v>0</v>
      </c>
      <c r="AT2916">
        <v>0</v>
      </c>
    </row>
    <row r="2917" spans="44:46">
      <c r="AR2917">
        <v>0</v>
      </c>
      <c r="AS2917">
        <v>0</v>
      </c>
      <c r="AT2917">
        <v>0</v>
      </c>
    </row>
    <row r="2918" spans="44:46">
      <c r="AR2918">
        <v>0</v>
      </c>
      <c r="AS2918">
        <v>0</v>
      </c>
      <c r="AT2918">
        <v>0</v>
      </c>
    </row>
    <row r="2919" spans="44:46">
      <c r="AR2919">
        <v>0</v>
      </c>
      <c r="AS2919">
        <v>0</v>
      </c>
      <c r="AT2919">
        <v>0</v>
      </c>
    </row>
    <row r="2920" spans="44:46">
      <c r="AR2920">
        <v>0</v>
      </c>
      <c r="AS2920">
        <v>0</v>
      </c>
      <c r="AT2920">
        <v>0</v>
      </c>
    </row>
    <row r="2921" spans="44:46">
      <c r="AR2921">
        <v>0</v>
      </c>
      <c r="AS2921">
        <v>0</v>
      </c>
      <c r="AT2921">
        <v>0</v>
      </c>
    </row>
    <row r="2922" spans="44:46">
      <c r="AR2922">
        <v>0</v>
      </c>
      <c r="AS2922">
        <v>0</v>
      </c>
      <c r="AT2922">
        <v>0</v>
      </c>
    </row>
    <row r="2923" spans="44:46">
      <c r="AR2923">
        <v>0</v>
      </c>
      <c r="AS2923">
        <v>0</v>
      </c>
      <c r="AT2923">
        <v>0</v>
      </c>
    </row>
    <row r="2924" spans="44:46">
      <c r="AR2924">
        <v>0</v>
      </c>
      <c r="AS2924">
        <v>0</v>
      </c>
      <c r="AT2924">
        <v>0</v>
      </c>
    </row>
    <row r="2925" spans="44:46">
      <c r="AR2925">
        <v>0</v>
      </c>
      <c r="AS2925">
        <v>0</v>
      </c>
      <c r="AT2925">
        <v>0</v>
      </c>
    </row>
    <row r="2926" spans="44:46">
      <c r="AR2926">
        <v>0</v>
      </c>
      <c r="AS2926">
        <v>0</v>
      </c>
      <c r="AT2926">
        <v>0</v>
      </c>
    </row>
    <row r="2927" spans="44:46">
      <c r="AR2927">
        <v>0</v>
      </c>
      <c r="AS2927">
        <v>0</v>
      </c>
      <c r="AT2927">
        <v>0</v>
      </c>
    </row>
    <row r="2928" spans="44:46">
      <c r="AR2928">
        <v>0</v>
      </c>
      <c r="AS2928">
        <v>0</v>
      </c>
      <c r="AT2928">
        <v>0</v>
      </c>
    </row>
    <row r="2929" spans="44:46">
      <c r="AR2929">
        <v>0</v>
      </c>
      <c r="AS2929">
        <v>0</v>
      </c>
      <c r="AT2929">
        <v>0</v>
      </c>
    </row>
    <row r="2930" spans="44:46">
      <c r="AR2930">
        <v>0</v>
      </c>
      <c r="AS2930">
        <v>0</v>
      </c>
      <c r="AT2930">
        <v>0</v>
      </c>
    </row>
    <row r="2931" spans="44:46">
      <c r="AR2931">
        <v>0</v>
      </c>
      <c r="AS2931">
        <v>0</v>
      </c>
      <c r="AT2931">
        <v>0</v>
      </c>
    </row>
    <row r="2932" spans="44:46">
      <c r="AR2932">
        <v>0</v>
      </c>
      <c r="AS2932">
        <v>0</v>
      </c>
      <c r="AT2932">
        <v>0</v>
      </c>
    </row>
    <row r="2933" spans="44:46">
      <c r="AR2933">
        <v>0</v>
      </c>
      <c r="AS2933">
        <v>0</v>
      </c>
      <c r="AT2933">
        <v>0</v>
      </c>
    </row>
    <row r="2934" spans="44:46">
      <c r="AR2934">
        <v>0</v>
      </c>
      <c r="AS2934">
        <v>0</v>
      </c>
      <c r="AT2934">
        <v>0</v>
      </c>
    </row>
    <row r="2935" spans="44:46">
      <c r="AR2935">
        <v>0</v>
      </c>
      <c r="AS2935">
        <v>0</v>
      </c>
      <c r="AT2935">
        <v>0</v>
      </c>
    </row>
    <row r="2936" spans="44:46">
      <c r="AR2936">
        <v>0</v>
      </c>
      <c r="AS2936">
        <v>0</v>
      </c>
      <c r="AT2936">
        <v>0</v>
      </c>
    </row>
    <row r="2937" spans="44:46">
      <c r="AR2937">
        <v>0</v>
      </c>
      <c r="AS2937">
        <v>0</v>
      </c>
      <c r="AT2937">
        <v>0</v>
      </c>
    </row>
    <row r="2938" spans="44:46">
      <c r="AR2938">
        <v>0</v>
      </c>
      <c r="AS2938">
        <v>0</v>
      </c>
      <c r="AT2938">
        <v>0</v>
      </c>
    </row>
    <row r="2939" spans="44:46">
      <c r="AR2939">
        <v>0</v>
      </c>
      <c r="AS2939">
        <v>0</v>
      </c>
      <c r="AT2939">
        <v>0</v>
      </c>
    </row>
    <row r="2940" spans="44:46">
      <c r="AR2940">
        <v>0</v>
      </c>
      <c r="AS2940">
        <v>0</v>
      </c>
      <c r="AT2940">
        <v>0</v>
      </c>
    </row>
    <row r="2941" spans="44:46">
      <c r="AR2941">
        <v>0</v>
      </c>
      <c r="AS2941">
        <v>0</v>
      </c>
      <c r="AT2941">
        <v>0</v>
      </c>
    </row>
    <row r="2942" spans="44:46">
      <c r="AR2942">
        <v>0</v>
      </c>
      <c r="AS2942">
        <v>0</v>
      </c>
      <c r="AT2942">
        <v>0</v>
      </c>
    </row>
    <row r="2943" spans="44:46">
      <c r="AR2943">
        <v>0</v>
      </c>
      <c r="AS2943">
        <v>0</v>
      </c>
      <c r="AT2943">
        <v>0</v>
      </c>
    </row>
    <row r="2944" spans="44:46">
      <c r="AR2944">
        <v>0</v>
      </c>
      <c r="AS2944">
        <v>0</v>
      </c>
      <c r="AT2944">
        <v>0</v>
      </c>
    </row>
    <row r="2945" spans="44:46">
      <c r="AR2945">
        <v>0</v>
      </c>
      <c r="AS2945">
        <v>0</v>
      </c>
      <c r="AT2945">
        <v>0</v>
      </c>
    </row>
    <row r="2946" spans="44:46">
      <c r="AR2946">
        <v>0</v>
      </c>
      <c r="AS2946">
        <v>0</v>
      </c>
      <c r="AT2946">
        <v>0</v>
      </c>
    </row>
    <row r="2947" spans="44:46">
      <c r="AR2947">
        <v>0</v>
      </c>
      <c r="AS2947">
        <v>0</v>
      </c>
      <c r="AT2947">
        <v>0</v>
      </c>
    </row>
    <row r="2948" spans="44:46">
      <c r="AR2948">
        <v>0</v>
      </c>
      <c r="AS2948">
        <v>0</v>
      </c>
      <c r="AT2948">
        <v>0</v>
      </c>
    </row>
    <row r="2949" spans="44:46">
      <c r="AR2949">
        <v>0</v>
      </c>
      <c r="AS2949">
        <v>0</v>
      </c>
      <c r="AT2949">
        <v>0</v>
      </c>
    </row>
    <row r="2950" spans="44:46">
      <c r="AR2950">
        <v>0</v>
      </c>
      <c r="AS2950">
        <v>0</v>
      </c>
      <c r="AT2950">
        <v>0</v>
      </c>
    </row>
    <row r="2951" spans="44:46">
      <c r="AR2951">
        <v>0</v>
      </c>
      <c r="AS2951">
        <v>0</v>
      </c>
      <c r="AT2951">
        <v>0</v>
      </c>
    </row>
    <row r="2952" spans="44:46">
      <c r="AR2952">
        <v>0</v>
      </c>
      <c r="AS2952">
        <v>0</v>
      </c>
      <c r="AT2952">
        <v>0</v>
      </c>
    </row>
    <row r="2953" spans="44:46">
      <c r="AR2953">
        <v>0</v>
      </c>
      <c r="AS2953">
        <v>0</v>
      </c>
      <c r="AT2953">
        <v>0</v>
      </c>
    </row>
    <row r="2954" spans="44:46">
      <c r="AR2954">
        <v>0</v>
      </c>
      <c r="AS2954">
        <v>0</v>
      </c>
      <c r="AT2954">
        <v>0</v>
      </c>
    </row>
    <row r="2955" spans="44:46">
      <c r="AR2955">
        <v>0</v>
      </c>
      <c r="AS2955">
        <v>0</v>
      </c>
      <c r="AT2955">
        <v>0</v>
      </c>
    </row>
    <row r="2956" spans="44:46">
      <c r="AR2956">
        <v>0</v>
      </c>
      <c r="AS2956">
        <v>0</v>
      </c>
      <c r="AT2956">
        <v>0</v>
      </c>
    </row>
    <row r="2957" spans="44:46">
      <c r="AR2957">
        <v>0</v>
      </c>
      <c r="AS2957">
        <v>0</v>
      </c>
      <c r="AT2957">
        <v>0</v>
      </c>
    </row>
    <row r="2958" spans="44:46">
      <c r="AR2958">
        <v>0</v>
      </c>
      <c r="AS2958">
        <v>0</v>
      </c>
      <c r="AT2958">
        <v>0</v>
      </c>
    </row>
    <row r="2959" spans="44:46">
      <c r="AR2959">
        <v>0</v>
      </c>
      <c r="AS2959">
        <v>0</v>
      </c>
      <c r="AT2959">
        <v>0</v>
      </c>
    </row>
    <row r="2960" spans="44:46">
      <c r="AR2960">
        <v>0</v>
      </c>
      <c r="AS2960">
        <v>0</v>
      </c>
      <c r="AT2960">
        <v>0</v>
      </c>
    </row>
    <row r="2961" spans="44:46">
      <c r="AR2961">
        <v>0</v>
      </c>
      <c r="AS2961">
        <v>0</v>
      </c>
      <c r="AT2961">
        <v>0</v>
      </c>
    </row>
    <row r="2962" spans="44:46">
      <c r="AR2962">
        <v>0</v>
      </c>
      <c r="AS2962">
        <v>0</v>
      </c>
      <c r="AT2962">
        <v>0</v>
      </c>
    </row>
    <row r="2963" spans="44:46">
      <c r="AR2963">
        <v>0</v>
      </c>
      <c r="AS2963">
        <v>0</v>
      </c>
      <c r="AT2963">
        <v>0</v>
      </c>
    </row>
    <row r="2964" spans="44:46">
      <c r="AR2964">
        <v>0</v>
      </c>
      <c r="AS2964">
        <v>0</v>
      </c>
      <c r="AT2964">
        <v>0</v>
      </c>
    </row>
    <row r="2965" spans="44:46">
      <c r="AR2965">
        <v>0</v>
      </c>
      <c r="AS2965">
        <v>0</v>
      </c>
      <c r="AT2965">
        <v>0</v>
      </c>
    </row>
    <row r="2966" spans="44:46">
      <c r="AR2966">
        <v>0</v>
      </c>
      <c r="AS2966">
        <v>0</v>
      </c>
      <c r="AT2966">
        <v>0</v>
      </c>
    </row>
    <row r="2967" spans="44:46">
      <c r="AR2967">
        <v>0</v>
      </c>
      <c r="AS2967">
        <v>0</v>
      </c>
      <c r="AT2967">
        <v>0</v>
      </c>
    </row>
    <row r="2968" spans="44:46">
      <c r="AR2968">
        <v>0</v>
      </c>
      <c r="AS2968">
        <v>0</v>
      </c>
      <c r="AT2968">
        <v>0</v>
      </c>
    </row>
    <row r="2969" spans="44:46">
      <c r="AR2969">
        <v>0</v>
      </c>
      <c r="AS2969">
        <v>0</v>
      </c>
      <c r="AT2969">
        <v>0</v>
      </c>
    </row>
    <row r="2970" spans="44:46">
      <c r="AR2970">
        <v>0</v>
      </c>
      <c r="AS2970">
        <v>0</v>
      </c>
      <c r="AT2970">
        <v>0</v>
      </c>
    </row>
    <row r="2971" spans="44:46">
      <c r="AR2971">
        <v>0</v>
      </c>
      <c r="AS2971">
        <v>0</v>
      </c>
      <c r="AT2971">
        <v>0</v>
      </c>
    </row>
    <row r="2972" spans="44:46">
      <c r="AR2972">
        <v>0</v>
      </c>
      <c r="AS2972">
        <v>0</v>
      </c>
      <c r="AT2972">
        <v>0</v>
      </c>
    </row>
    <row r="2973" spans="44:46">
      <c r="AR2973">
        <v>0</v>
      </c>
      <c r="AS2973">
        <v>0</v>
      </c>
      <c r="AT2973">
        <v>0</v>
      </c>
    </row>
    <row r="2974" spans="44:46">
      <c r="AR2974">
        <v>0</v>
      </c>
      <c r="AS2974">
        <v>0</v>
      </c>
      <c r="AT2974">
        <v>0</v>
      </c>
    </row>
    <row r="2975" spans="44:46">
      <c r="AR2975">
        <v>0</v>
      </c>
      <c r="AS2975">
        <v>0</v>
      </c>
      <c r="AT2975">
        <v>0</v>
      </c>
    </row>
    <row r="2976" spans="44:46">
      <c r="AR2976">
        <v>0</v>
      </c>
      <c r="AS2976">
        <v>0</v>
      </c>
      <c r="AT2976">
        <v>0</v>
      </c>
    </row>
    <row r="2977" spans="44:46">
      <c r="AR2977">
        <v>0</v>
      </c>
      <c r="AS2977">
        <v>0</v>
      </c>
      <c r="AT2977">
        <v>0</v>
      </c>
    </row>
    <row r="2978" spans="44:46">
      <c r="AR2978">
        <v>0</v>
      </c>
      <c r="AS2978">
        <v>0</v>
      </c>
      <c r="AT2978">
        <v>0</v>
      </c>
    </row>
    <row r="2979" spans="44:46">
      <c r="AR2979">
        <v>0</v>
      </c>
      <c r="AS2979">
        <v>0</v>
      </c>
      <c r="AT2979">
        <v>0</v>
      </c>
    </row>
    <row r="2980" spans="44:46">
      <c r="AR2980">
        <v>0</v>
      </c>
      <c r="AS2980">
        <v>0</v>
      </c>
      <c r="AT2980">
        <v>0</v>
      </c>
    </row>
    <row r="2981" spans="44:46">
      <c r="AR2981">
        <v>0</v>
      </c>
      <c r="AS2981">
        <v>0</v>
      </c>
      <c r="AT2981">
        <v>0</v>
      </c>
    </row>
    <row r="2982" spans="44:46">
      <c r="AR2982">
        <v>0</v>
      </c>
      <c r="AS2982">
        <v>0</v>
      </c>
      <c r="AT2982">
        <v>0</v>
      </c>
    </row>
    <row r="2983" spans="44:46">
      <c r="AR2983">
        <v>0</v>
      </c>
      <c r="AS2983">
        <v>0</v>
      </c>
      <c r="AT2983">
        <v>0</v>
      </c>
    </row>
    <row r="2984" spans="44:46">
      <c r="AR2984">
        <v>0</v>
      </c>
      <c r="AS2984">
        <v>0</v>
      </c>
      <c r="AT2984">
        <v>0</v>
      </c>
    </row>
    <row r="2985" spans="44:46">
      <c r="AR2985">
        <v>0</v>
      </c>
      <c r="AS2985">
        <v>0</v>
      </c>
      <c r="AT2985">
        <v>0</v>
      </c>
    </row>
    <row r="2986" spans="44:46">
      <c r="AR2986">
        <v>0</v>
      </c>
      <c r="AS2986">
        <v>0</v>
      </c>
      <c r="AT2986">
        <v>0</v>
      </c>
    </row>
    <row r="2987" spans="44:46">
      <c r="AR2987">
        <v>0</v>
      </c>
      <c r="AS2987">
        <v>0</v>
      </c>
      <c r="AT2987">
        <v>0</v>
      </c>
    </row>
    <row r="2988" spans="44:46">
      <c r="AR2988">
        <v>0</v>
      </c>
      <c r="AS2988">
        <v>0</v>
      </c>
      <c r="AT2988">
        <v>0</v>
      </c>
    </row>
    <row r="2989" spans="44:46">
      <c r="AR2989">
        <v>0</v>
      </c>
      <c r="AS2989">
        <v>0</v>
      </c>
      <c r="AT2989">
        <v>0</v>
      </c>
    </row>
    <row r="2990" spans="44:46">
      <c r="AR2990">
        <v>45781</v>
      </c>
      <c r="AS2990" t="str">
        <v>Has less weeds because it has fresher compost</v>
      </c>
      <c r="AT2990" t="str">
        <v>I8</v>
      </c>
    </row>
    <row r="2991" spans="44:46">
      <c r="AR2991">
        <v>45716</v>
      </c>
      <c r="AS2991" t="str">
        <v>Poor germination</v>
      </c>
      <c r="AT2991" t="str">
        <v>B1</v>
      </c>
    </row>
    <row r="2992" spans="44:46">
      <c r="AR2992">
        <v>45791</v>
      </c>
      <c r="AS2992" t="str">
        <v>Astro bolted much faster than Esmee.</v>
      </c>
      <c r="AT2992" t="str">
        <v>A5</v>
      </c>
    </row>
    <row r="2993" spans="44:46">
      <c r="AR2993">
        <v>45758</v>
      </c>
      <c r="AS2993" t="str">
        <v>Installed row cover around to prevent rabbit damage</v>
      </c>
      <c r="AT2993" t="str">
        <v>I1</v>
      </c>
    </row>
    <row r="2994" spans="44:46">
      <c r="AR2994">
        <v>45807</v>
      </c>
      <c r="AS2994" t="str">
        <v>This is the best looking crop of potatoes</v>
      </c>
      <c r="AT2994" t="str">
        <v>F3</v>
      </c>
    </row>
    <row r="2995" spans="44:46">
      <c r="AR2995">
        <v>45792</v>
      </c>
      <c r="AS2995" t="str">
        <v>Crop withstood the nearby aphic infestation.</v>
      </c>
      <c r="AT2995" t="str">
        <v>B2</v>
      </c>
    </row>
    <row r="2996" spans="44:46">
      <c r="AR2996">
        <v>45792</v>
      </c>
      <c r="AS2996" t="str">
        <v>Strong aphic infestation. Crop is a a near loss</v>
      </c>
      <c r="AT2996" t="str">
        <v>B2</v>
      </c>
    </row>
    <row r="2997" spans="44:46">
      <c r="AR2997">
        <v>45815</v>
      </c>
      <c r="AS2997" t="str">
        <v>Great crop. Have continued to perform well.</v>
      </c>
      <c r="AT2997" t="str">
        <v>A2</v>
      </c>
    </row>
    <row r="2998" spans="44:46">
      <c r="AR2998">
        <v>45795</v>
      </c>
      <c r="AS2998" t="str">
        <v>Our most successful crop. Didn't root deeply</v>
      </c>
      <c r="AT2998" t="str">
        <v>A3</v>
      </c>
    </row>
    <row r="2999" spans="44:46">
      <c r="AR2999">
        <v>45791</v>
      </c>
      <c r="AS2999" t="str">
        <v xml:space="preserve">Incredibly poor growth. About 30% missing. </v>
      </c>
      <c r="AT2999" t="str">
        <v>C5</v>
      </c>
    </row>
    <row r="3000" spans="44:46">
      <c r="AR3000">
        <v>45809</v>
      </c>
      <c r="AS3000" t="str">
        <v>Plants do not seem to like the lower bed</v>
      </c>
      <c r="AT3000" t="str">
        <v>B3</v>
      </c>
    </row>
    <row r="3001" spans="44:46">
      <c r="AR3001">
        <v>45792</v>
      </c>
      <c r="AS3001" t="str">
        <v>Somewhat weedy</v>
      </c>
      <c r="AT3001" t="str">
        <v>D2</v>
      </c>
    </row>
    <row r="3002" spans="44:46">
      <c r="AR3002">
        <v>45826</v>
      </c>
      <c r="AS3002" t="str">
        <v>Failed crop. Only about 10% of the upper bed sized. Rest never sized and were outgrown by weeds. Explore cover crop to imporve soil.</v>
      </c>
      <c r="AT3002" t="str">
        <v>B6</v>
      </c>
    </row>
    <row r="3003" spans="44:46">
      <c r="AR3003">
        <v>45826</v>
      </c>
      <c r="AS3003" t="str">
        <v>Failed crop. Only about 20% of the upper bed sized. Rest never sized and were outgrown by weeds. Explore cover crop to imporve soil.</v>
      </c>
      <c r="AT3003" t="str">
        <v>B6</v>
      </c>
    </row>
    <row r="3004" spans="44:46">
      <c r="AR3004">
        <v>45782</v>
      </c>
      <c r="AS3004" t="str">
        <v>Bed was really tight. Gave some light tillage with the tilther.</v>
      </c>
      <c r="AT3004" t="str">
        <v>F2</v>
      </c>
    </row>
    <row r="3005" spans="44:46">
      <c r="AR3005">
        <v>45813</v>
      </c>
      <c r="AS3005" t="str">
        <v>Komatsuna Bolted</v>
      </c>
      <c r="AT3005" t="str">
        <v>E3</v>
      </c>
    </row>
    <row r="3006" spans="44:46">
      <c r="AR3006">
        <v>45809</v>
      </c>
      <c r="AS3006" t="str">
        <v>Applied landscape fabric to kill weeds before planting</v>
      </c>
      <c r="AT3006" t="str">
        <v>I3</v>
      </c>
    </row>
    <row r="3007" spans="44:46">
      <c r="AR3007">
        <v>0</v>
      </c>
      <c r="AS3007">
        <v>0</v>
      </c>
      <c r="AT3007">
        <v>0</v>
      </c>
    </row>
    <row r="3008" spans="44:46">
      <c r="AR3008">
        <v>0</v>
      </c>
      <c r="AS3008">
        <v>0</v>
      </c>
      <c r="AT3008">
        <v>0</v>
      </c>
    </row>
    <row r="3009" spans="44:46">
      <c r="AR3009">
        <v>0</v>
      </c>
      <c r="AS3009">
        <v>0</v>
      </c>
      <c r="AT3009">
        <v>0</v>
      </c>
    </row>
    <row r="3010" spans="44:46">
      <c r="AR3010">
        <v>0</v>
      </c>
      <c r="AS3010">
        <v>0</v>
      </c>
      <c r="AT3010">
        <v>0</v>
      </c>
    </row>
    <row r="3011" spans="44:46">
      <c r="AR3011">
        <v>0</v>
      </c>
      <c r="AS3011">
        <v>0</v>
      </c>
      <c r="AT3011">
        <v>0</v>
      </c>
    </row>
    <row r="3012" spans="44:46">
      <c r="AR3012">
        <v>0</v>
      </c>
      <c r="AS3012">
        <v>0</v>
      </c>
      <c r="AT3012">
        <v>0</v>
      </c>
    </row>
    <row r="3013" spans="44:46">
      <c r="AR3013">
        <v>0</v>
      </c>
      <c r="AS3013">
        <v>0</v>
      </c>
      <c r="AT3013">
        <v>0</v>
      </c>
    </row>
    <row r="3014" spans="44:46">
      <c r="AR3014">
        <v>0</v>
      </c>
      <c r="AS3014">
        <v>0</v>
      </c>
      <c r="AT3014">
        <v>0</v>
      </c>
    </row>
    <row r="3015" spans="44:46">
      <c r="AR3015">
        <v>0</v>
      </c>
      <c r="AS3015">
        <v>0</v>
      </c>
      <c r="AT3015">
        <v>0</v>
      </c>
    </row>
    <row r="3016" spans="44:46">
      <c r="AR3016">
        <v>0</v>
      </c>
      <c r="AS3016">
        <v>0</v>
      </c>
      <c r="AT3016">
        <v>0</v>
      </c>
    </row>
    <row r="3017" spans="44:46">
      <c r="AR3017">
        <v>0</v>
      </c>
      <c r="AS3017">
        <v>0</v>
      </c>
      <c r="AT3017">
        <v>0</v>
      </c>
    </row>
    <row r="3018" spans="44:46">
      <c r="AR3018">
        <v>0</v>
      </c>
      <c r="AS3018">
        <v>0</v>
      </c>
      <c r="AT3018">
        <v>0</v>
      </c>
    </row>
    <row r="3019" spans="44:46">
      <c r="AR3019">
        <v>0</v>
      </c>
      <c r="AS3019">
        <v>0</v>
      </c>
      <c r="AT3019">
        <v>0</v>
      </c>
    </row>
    <row r="3020" spans="44:46">
      <c r="AR3020">
        <v>0</v>
      </c>
      <c r="AS3020">
        <v>0</v>
      </c>
      <c r="AT3020">
        <v>0</v>
      </c>
    </row>
    <row r="3021" spans="44:46">
      <c r="AR3021">
        <v>0</v>
      </c>
      <c r="AS3021">
        <v>0</v>
      </c>
      <c r="AT3021">
        <v>0</v>
      </c>
    </row>
    <row r="3022" spans="44:46">
      <c r="AR3022">
        <v>0</v>
      </c>
      <c r="AS3022">
        <v>0</v>
      </c>
      <c r="AT3022">
        <v>0</v>
      </c>
    </row>
    <row r="3023" spans="44:46">
      <c r="AR3023">
        <v>0</v>
      </c>
      <c r="AS3023">
        <v>0</v>
      </c>
      <c r="AT3023">
        <v>0</v>
      </c>
    </row>
    <row r="3024" spans="44:46">
      <c r="AR3024">
        <v>0</v>
      </c>
      <c r="AS3024">
        <v>0</v>
      </c>
      <c r="AT3024">
        <v>0</v>
      </c>
    </row>
    <row r="3025" spans="44:46">
      <c r="AR3025">
        <v>0</v>
      </c>
      <c r="AS3025">
        <v>0</v>
      </c>
      <c r="AT3025">
        <v>0</v>
      </c>
    </row>
    <row r="3026" spans="44:46">
      <c r="AR3026">
        <v>0</v>
      </c>
      <c r="AS3026">
        <v>0</v>
      </c>
      <c r="AT3026">
        <v>0</v>
      </c>
    </row>
    <row r="3027" spans="44:46">
      <c r="AR3027">
        <v>0</v>
      </c>
      <c r="AS3027">
        <v>0</v>
      </c>
      <c r="AT3027">
        <v>0</v>
      </c>
    </row>
    <row r="3028" spans="44:46">
      <c r="AR3028">
        <v>0</v>
      </c>
      <c r="AS3028">
        <v>0</v>
      </c>
      <c r="AT3028">
        <v>0</v>
      </c>
    </row>
    <row r="3029" spans="44:46">
      <c r="AR3029">
        <v>0</v>
      </c>
      <c r="AS3029">
        <v>0</v>
      </c>
      <c r="AT3029">
        <v>0</v>
      </c>
    </row>
    <row r="3030" spans="44:46">
      <c r="AR3030">
        <v>0</v>
      </c>
      <c r="AS3030">
        <v>0</v>
      </c>
      <c r="AT3030">
        <v>0</v>
      </c>
    </row>
    <row r="3031" spans="44:46">
      <c r="AR3031">
        <v>0</v>
      </c>
      <c r="AS3031">
        <v>0</v>
      </c>
      <c r="AT3031">
        <v>0</v>
      </c>
    </row>
    <row r="3032" spans="44:46">
      <c r="AR3032">
        <v>0</v>
      </c>
      <c r="AS3032">
        <v>0</v>
      </c>
      <c r="AT3032">
        <v>0</v>
      </c>
    </row>
    <row r="3033" spans="44:46">
      <c r="AR3033">
        <v>0</v>
      </c>
      <c r="AS3033">
        <v>0</v>
      </c>
      <c r="AT3033">
        <v>0</v>
      </c>
    </row>
    <row r="3034" spans="44:46">
      <c r="AR3034">
        <v>0</v>
      </c>
      <c r="AS3034">
        <v>0</v>
      </c>
      <c r="AT3034">
        <v>0</v>
      </c>
    </row>
    <row r="3035" spans="44:46">
      <c r="AR3035">
        <v>0</v>
      </c>
      <c r="AS3035">
        <v>0</v>
      </c>
      <c r="AT3035">
        <v>0</v>
      </c>
    </row>
    <row r="3036" spans="44:46">
      <c r="AR3036">
        <v>0</v>
      </c>
      <c r="AS3036">
        <v>0</v>
      </c>
      <c r="AT3036">
        <v>0</v>
      </c>
    </row>
    <row r="3037" spans="44:46">
      <c r="AR3037">
        <v>0</v>
      </c>
      <c r="AS3037">
        <v>0</v>
      </c>
      <c r="AT3037">
        <v>0</v>
      </c>
    </row>
    <row r="3038" spans="44:46">
      <c r="AR3038">
        <v>0</v>
      </c>
      <c r="AS3038">
        <v>0</v>
      </c>
      <c r="AT3038">
        <v>0</v>
      </c>
    </row>
    <row r="3039" spans="44:46">
      <c r="AR3039">
        <v>0</v>
      </c>
      <c r="AS3039">
        <v>0</v>
      </c>
      <c r="AT3039">
        <v>0</v>
      </c>
    </row>
    <row r="3040" spans="44:46">
      <c r="AR3040">
        <v>0</v>
      </c>
      <c r="AS3040">
        <v>0</v>
      </c>
      <c r="AT3040">
        <v>0</v>
      </c>
    </row>
    <row r="3041" spans="44:46">
      <c r="AR3041">
        <v>0</v>
      </c>
      <c r="AS3041">
        <v>0</v>
      </c>
      <c r="AT3041">
        <v>0</v>
      </c>
    </row>
    <row r="3042" spans="44:46">
      <c r="AR3042">
        <v>0</v>
      </c>
      <c r="AS3042">
        <v>0</v>
      </c>
      <c r="AT3042">
        <v>0</v>
      </c>
    </row>
    <row r="3043" spans="44:46">
      <c r="AR3043">
        <v>0</v>
      </c>
      <c r="AS3043">
        <v>0</v>
      </c>
      <c r="AT3043">
        <v>0</v>
      </c>
    </row>
    <row r="3044" spans="44:46">
      <c r="AR3044">
        <v>0</v>
      </c>
      <c r="AS3044">
        <v>0</v>
      </c>
      <c r="AT3044">
        <v>0</v>
      </c>
    </row>
    <row r="3045" spans="44:46">
      <c r="AR3045">
        <v>0</v>
      </c>
      <c r="AS3045">
        <v>0</v>
      </c>
      <c r="AT3045">
        <v>0</v>
      </c>
    </row>
    <row r="3046" spans="44:46">
      <c r="AR3046">
        <v>0</v>
      </c>
      <c r="AS3046">
        <v>0</v>
      </c>
      <c r="AT3046">
        <v>0</v>
      </c>
    </row>
    <row r="3047" spans="44:46">
      <c r="AR3047">
        <v>0</v>
      </c>
      <c r="AS3047">
        <v>0</v>
      </c>
      <c r="AT3047">
        <v>0</v>
      </c>
    </row>
    <row r="3048" spans="44:46">
      <c r="AR3048">
        <v>0</v>
      </c>
      <c r="AS3048">
        <v>0</v>
      </c>
      <c r="AT3048">
        <v>0</v>
      </c>
    </row>
    <row r="3049" spans="44:46">
      <c r="AR3049">
        <v>0</v>
      </c>
      <c r="AS3049">
        <v>0</v>
      </c>
      <c r="AT3049">
        <v>0</v>
      </c>
    </row>
    <row r="3050" spans="44:46">
      <c r="AR3050">
        <v>0</v>
      </c>
      <c r="AS3050">
        <v>0</v>
      </c>
      <c r="AT3050">
        <v>0</v>
      </c>
    </row>
    <row r="3051" spans="44:46">
      <c r="AR3051">
        <v>0</v>
      </c>
      <c r="AS3051">
        <v>0</v>
      </c>
      <c r="AT3051">
        <v>0</v>
      </c>
    </row>
    <row r="3052" spans="44:46">
      <c r="AR3052">
        <v>0</v>
      </c>
      <c r="AS3052">
        <v>0</v>
      </c>
      <c r="AT3052">
        <v>0</v>
      </c>
    </row>
    <row r="3053" spans="44:46">
      <c r="AR3053">
        <v>0</v>
      </c>
      <c r="AS3053">
        <v>0</v>
      </c>
      <c r="AT3053">
        <v>0</v>
      </c>
    </row>
    <row r="3054" spans="44:46">
      <c r="AR3054">
        <v>0</v>
      </c>
      <c r="AS3054">
        <v>0</v>
      </c>
      <c r="AT3054">
        <v>0</v>
      </c>
    </row>
    <row r="3055" spans="44:46">
      <c r="AR3055">
        <v>0</v>
      </c>
      <c r="AS3055">
        <v>0</v>
      </c>
      <c r="AT3055">
        <v>0</v>
      </c>
    </row>
    <row r="3056" spans="44:46">
      <c r="AR3056">
        <v>0</v>
      </c>
      <c r="AS3056">
        <v>0</v>
      </c>
      <c r="AT3056">
        <v>0</v>
      </c>
    </row>
    <row r="3057" spans="44:46">
      <c r="AR3057">
        <v>0</v>
      </c>
      <c r="AS3057">
        <v>0</v>
      </c>
      <c r="AT3057">
        <v>0</v>
      </c>
    </row>
    <row r="3058" spans="44:46">
      <c r="AR3058">
        <v>0</v>
      </c>
      <c r="AS3058">
        <v>0</v>
      </c>
      <c r="AT3058">
        <v>0</v>
      </c>
    </row>
    <row r="3059" spans="44:46">
      <c r="AR3059">
        <v>0</v>
      </c>
      <c r="AS3059">
        <v>0</v>
      </c>
      <c r="AT3059">
        <v>0</v>
      </c>
    </row>
    <row r="3060" spans="44:46">
      <c r="AR3060">
        <v>0</v>
      </c>
      <c r="AS3060">
        <v>0</v>
      </c>
      <c r="AT3060">
        <v>0</v>
      </c>
    </row>
    <row r="3061" spans="44:46">
      <c r="AR3061">
        <v>0</v>
      </c>
      <c r="AS3061">
        <v>0</v>
      </c>
      <c r="AT3061">
        <v>0</v>
      </c>
    </row>
    <row r="3062" spans="44:46">
      <c r="AR3062">
        <v>0</v>
      </c>
      <c r="AS3062">
        <v>0</v>
      </c>
      <c r="AT3062">
        <v>0</v>
      </c>
    </row>
    <row r="3063" spans="44:46">
      <c r="AR3063">
        <v>0</v>
      </c>
      <c r="AS3063">
        <v>0</v>
      </c>
      <c r="AT3063">
        <v>0</v>
      </c>
    </row>
    <row r="3064" spans="44:46">
      <c r="AR3064">
        <v>0</v>
      </c>
      <c r="AS3064">
        <v>0</v>
      </c>
      <c r="AT3064">
        <v>0</v>
      </c>
    </row>
    <row r="3065" spans="44:46">
      <c r="AR3065">
        <v>0</v>
      </c>
      <c r="AS3065">
        <v>0</v>
      </c>
      <c r="AT3065">
        <v>0</v>
      </c>
    </row>
    <row r="3066" spans="44:46">
      <c r="AR3066">
        <v>0</v>
      </c>
      <c r="AS3066">
        <v>0</v>
      </c>
      <c r="AT3066">
        <v>0</v>
      </c>
    </row>
    <row r="3067" spans="44:46">
      <c r="AR3067">
        <v>0</v>
      </c>
      <c r="AS3067">
        <v>0</v>
      </c>
      <c r="AT3067">
        <v>0</v>
      </c>
    </row>
    <row r="3068" spans="44:46">
      <c r="AR3068">
        <v>0</v>
      </c>
      <c r="AS3068">
        <v>0</v>
      </c>
      <c r="AT3068">
        <v>0</v>
      </c>
    </row>
    <row r="3069" spans="44:46">
      <c r="AR3069">
        <v>0</v>
      </c>
      <c r="AS3069">
        <v>0</v>
      </c>
      <c r="AT3069">
        <v>0</v>
      </c>
    </row>
    <row r="3070" spans="44:46">
      <c r="AR3070">
        <v>0</v>
      </c>
      <c r="AS3070">
        <v>0</v>
      </c>
      <c r="AT3070">
        <v>0</v>
      </c>
    </row>
    <row r="3071" spans="44:46">
      <c r="AR3071">
        <v>0</v>
      </c>
      <c r="AS3071">
        <v>0</v>
      </c>
      <c r="AT3071">
        <v>0</v>
      </c>
    </row>
    <row r="3072" spans="44:46">
      <c r="AR3072">
        <v>0</v>
      </c>
      <c r="AS3072">
        <v>0</v>
      </c>
      <c r="AT3072">
        <v>0</v>
      </c>
    </row>
    <row r="3073" spans="44:46">
      <c r="AR3073">
        <v>0</v>
      </c>
      <c r="AS3073">
        <v>0</v>
      </c>
      <c r="AT3073">
        <v>0</v>
      </c>
    </row>
    <row r="3074" spans="44:46">
      <c r="AR3074">
        <v>0</v>
      </c>
      <c r="AS3074">
        <v>0</v>
      </c>
      <c r="AT3074">
        <v>0</v>
      </c>
    </row>
    <row r="3075" spans="44:46">
      <c r="AR3075">
        <v>0</v>
      </c>
      <c r="AS3075">
        <v>0</v>
      </c>
      <c r="AT3075">
        <v>0</v>
      </c>
    </row>
    <row r="3076" spans="44:46">
      <c r="AR3076">
        <v>0</v>
      </c>
      <c r="AS3076">
        <v>0</v>
      </c>
      <c r="AT3076">
        <v>0</v>
      </c>
    </row>
    <row r="3077" spans="44:46">
      <c r="AR3077">
        <v>0</v>
      </c>
      <c r="AS3077">
        <v>0</v>
      </c>
      <c r="AT3077">
        <v>0</v>
      </c>
    </row>
    <row r="3078" spans="44:46">
      <c r="AR3078">
        <v>0</v>
      </c>
      <c r="AS3078">
        <v>0</v>
      </c>
      <c r="AT3078">
        <v>0</v>
      </c>
    </row>
    <row r="3079" spans="44:46">
      <c r="AR3079">
        <v>0</v>
      </c>
      <c r="AS3079">
        <v>0</v>
      </c>
      <c r="AT3079">
        <v>0</v>
      </c>
    </row>
    <row r="3080" spans="44:46">
      <c r="AR3080">
        <v>0</v>
      </c>
      <c r="AS3080">
        <v>0</v>
      </c>
      <c r="AT3080">
        <v>0</v>
      </c>
    </row>
    <row r="3081" spans="44:46">
      <c r="AR3081">
        <v>0</v>
      </c>
      <c r="AS3081">
        <v>0</v>
      </c>
      <c r="AT3081">
        <v>0</v>
      </c>
    </row>
    <row r="3082" spans="44:46">
      <c r="AR3082">
        <v>0</v>
      </c>
      <c r="AS3082">
        <v>0</v>
      </c>
      <c r="AT3082">
        <v>0</v>
      </c>
    </row>
    <row r="3083" spans="44:46">
      <c r="AR3083">
        <v>0</v>
      </c>
      <c r="AS3083">
        <v>0</v>
      </c>
      <c r="AT3083">
        <v>0</v>
      </c>
    </row>
    <row r="3084" spans="44:46">
      <c r="AR3084">
        <v>0</v>
      </c>
      <c r="AS3084">
        <v>0</v>
      </c>
      <c r="AT3084">
        <v>0</v>
      </c>
    </row>
    <row r="3085" spans="44:46">
      <c r="AR3085">
        <v>0</v>
      </c>
      <c r="AS3085">
        <v>0</v>
      </c>
      <c r="AT3085">
        <v>0</v>
      </c>
    </row>
    <row r="3086" spans="44:46">
      <c r="AR3086">
        <v>0</v>
      </c>
      <c r="AS3086">
        <v>0</v>
      </c>
      <c r="AT3086">
        <v>0</v>
      </c>
    </row>
    <row r="3087" spans="44:46">
      <c r="AR3087">
        <v>0</v>
      </c>
      <c r="AS3087">
        <v>0</v>
      </c>
      <c r="AT3087">
        <v>0</v>
      </c>
    </row>
    <row r="3088" spans="44:46">
      <c r="AR3088">
        <v>0</v>
      </c>
      <c r="AS3088">
        <v>0</v>
      </c>
      <c r="AT3088">
        <v>0</v>
      </c>
    </row>
    <row r="3089" spans="44:46">
      <c r="AR3089">
        <v>0</v>
      </c>
      <c r="AS3089">
        <v>0</v>
      </c>
      <c r="AT3089">
        <v>0</v>
      </c>
    </row>
    <row r="3090" spans="44:46">
      <c r="AR3090">
        <v>0</v>
      </c>
      <c r="AS3090">
        <v>0</v>
      </c>
      <c r="AT3090">
        <v>0</v>
      </c>
    </row>
    <row r="3091" spans="44:46">
      <c r="AR3091">
        <v>0</v>
      </c>
      <c r="AS3091">
        <v>0</v>
      </c>
      <c r="AT3091">
        <v>0</v>
      </c>
    </row>
    <row r="3092" spans="44:46">
      <c r="AR3092">
        <v>0</v>
      </c>
      <c r="AS3092">
        <v>0</v>
      </c>
      <c r="AT3092">
        <v>0</v>
      </c>
    </row>
    <row r="3093" spans="44:46">
      <c r="AR3093">
        <v>0</v>
      </c>
      <c r="AS3093">
        <v>0</v>
      </c>
      <c r="AT3093">
        <v>0</v>
      </c>
    </row>
    <row r="3094" spans="44:46">
      <c r="AR3094">
        <v>0</v>
      </c>
      <c r="AS3094">
        <v>0</v>
      </c>
      <c r="AT3094">
        <v>0</v>
      </c>
    </row>
    <row r="3095" spans="44:46">
      <c r="AR3095">
        <v>0</v>
      </c>
      <c r="AS3095">
        <v>0</v>
      </c>
      <c r="AT3095">
        <v>0</v>
      </c>
    </row>
    <row r="3096" spans="44:46">
      <c r="AR3096">
        <v>0</v>
      </c>
      <c r="AS3096">
        <v>0</v>
      </c>
      <c r="AT3096">
        <v>0</v>
      </c>
    </row>
    <row r="3097" spans="44:46">
      <c r="AR3097">
        <v>0</v>
      </c>
      <c r="AS3097">
        <v>0</v>
      </c>
      <c r="AT3097">
        <v>0</v>
      </c>
    </row>
    <row r="3098" spans="44:46">
      <c r="AR3098">
        <v>0</v>
      </c>
      <c r="AS3098">
        <v>0</v>
      </c>
      <c r="AT3098">
        <v>0</v>
      </c>
    </row>
    <row r="3099" spans="44:46">
      <c r="AR3099">
        <v>0</v>
      </c>
      <c r="AS3099">
        <v>0</v>
      </c>
      <c r="AT3099">
        <v>0</v>
      </c>
    </row>
    <row r="3100" spans="44:46">
      <c r="AR3100">
        <v>0</v>
      </c>
      <c r="AS3100">
        <v>0</v>
      </c>
      <c r="AT3100">
        <v>0</v>
      </c>
    </row>
    <row r="3101" spans="44:46">
      <c r="AR3101">
        <v>0</v>
      </c>
      <c r="AS3101">
        <v>0</v>
      </c>
      <c r="AT3101">
        <v>0</v>
      </c>
    </row>
    <row r="3102" spans="44:46">
      <c r="AR3102">
        <v>0</v>
      </c>
      <c r="AS3102">
        <v>0</v>
      </c>
      <c r="AT3102">
        <v>0</v>
      </c>
    </row>
    <row r="3103" spans="44:46">
      <c r="AR3103">
        <v>0</v>
      </c>
      <c r="AS3103">
        <v>0</v>
      </c>
      <c r="AT3103">
        <v>0</v>
      </c>
    </row>
    <row r="3104" spans="44:46">
      <c r="AR3104">
        <v>0</v>
      </c>
      <c r="AS3104">
        <v>0</v>
      </c>
      <c r="AT3104">
        <v>0</v>
      </c>
    </row>
    <row r="3105" spans="44:46">
      <c r="AR3105">
        <v>0</v>
      </c>
      <c r="AS3105">
        <v>0</v>
      </c>
      <c r="AT3105">
        <v>0</v>
      </c>
    </row>
    <row r="3106" spans="44:46">
      <c r="AR3106">
        <v>0</v>
      </c>
      <c r="AS3106">
        <v>0</v>
      </c>
      <c r="AT3106">
        <v>0</v>
      </c>
    </row>
    <row r="3107" spans="44:46">
      <c r="AR3107">
        <v>0</v>
      </c>
      <c r="AS3107">
        <v>0</v>
      </c>
      <c r="AT3107">
        <v>0</v>
      </c>
    </row>
    <row r="3108" spans="44:46">
      <c r="AR3108">
        <v>0</v>
      </c>
      <c r="AS3108">
        <v>0</v>
      </c>
      <c r="AT3108">
        <v>0</v>
      </c>
    </row>
    <row r="3109" spans="44:46">
      <c r="AR3109">
        <v>0</v>
      </c>
      <c r="AS3109">
        <v>0</v>
      </c>
      <c r="AT3109">
        <v>0</v>
      </c>
    </row>
    <row r="3110" spans="44:46">
      <c r="AR3110">
        <v>0</v>
      </c>
      <c r="AS3110">
        <v>0</v>
      </c>
      <c r="AT3110">
        <v>0</v>
      </c>
    </row>
    <row r="3111" spans="44:46">
      <c r="AR3111">
        <v>0</v>
      </c>
      <c r="AS3111">
        <v>0</v>
      </c>
      <c r="AT3111">
        <v>0</v>
      </c>
    </row>
    <row r="3112" spans="44:46">
      <c r="AR3112">
        <v>0</v>
      </c>
      <c r="AS3112">
        <v>0</v>
      </c>
      <c r="AT3112">
        <v>0</v>
      </c>
    </row>
    <row r="3113" spans="44:46">
      <c r="AR3113">
        <v>0</v>
      </c>
      <c r="AS3113">
        <v>0</v>
      </c>
      <c r="AT3113">
        <v>0</v>
      </c>
    </row>
    <row r="3114" spans="44:46">
      <c r="AR3114">
        <v>0</v>
      </c>
      <c r="AS3114">
        <v>0</v>
      </c>
      <c r="AT3114">
        <v>0</v>
      </c>
    </row>
    <row r="3115" spans="44:46">
      <c r="AR3115">
        <v>0</v>
      </c>
      <c r="AS3115">
        <v>0</v>
      </c>
      <c r="AT3115">
        <v>0</v>
      </c>
    </row>
    <row r="3116" spans="44:46">
      <c r="AR3116">
        <v>0</v>
      </c>
      <c r="AS3116">
        <v>0</v>
      </c>
      <c r="AT3116">
        <v>0</v>
      </c>
    </row>
    <row r="3117" spans="44:46">
      <c r="AR3117">
        <v>0</v>
      </c>
      <c r="AS3117">
        <v>0</v>
      </c>
      <c r="AT3117">
        <v>0</v>
      </c>
    </row>
    <row r="3118" spans="44:46">
      <c r="AR3118">
        <v>0</v>
      </c>
      <c r="AS3118">
        <v>0</v>
      </c>
      <c r="AT3118">
        <v>0</v>
      </c>
    </row>
    <row r="3119" spans="44:46">
      <c r="AR3119">
        <v>0</v>
      </c>
      <c r="AS3119">
        <v>0</v>
      </c>
      <c r="AT3119">
        <v>0</v>
      </c>
    </row>
    <row r="3120" spans="44:46">
      <c r="AR3120">
        <v>0</v>
      </c>
      <c r="AS3120">
        <v>0</v>
      </c>
      <c r="AT3120">
        <v>0</v>
      </c>
    </row>
    <row r="3121" spans="44:46">
      <c r="AR3121">
        <v>0</v>
      </c>
      <c r="AS3121">
        <v>0</v>
      </c>
      <c r="AT3121">
        <v>0</v>
      </c>
    </row>
    <row r="3122" spans="44:46">
      <c r="AR3122">
        <v>0</v>
      </c>
      <c r="AS3122">
        <v>0</v>
      </c>
      <c r="AT3122">
        <v>0</v>
      </c>
    </row>
    <row r="3123" spans="44:46">
      <c r="AR3123">
        <v>0</v>
      </c>
      <c r="AS3123">
        <v>0</v>
      </c>
      <c r="AT3123">
        <v>0</v>
      </c>
    </row>
    <row r="3124" spans="44:46">
      <c r="AR3124">
        <v>0</v>
      </c>
      <c r="AS3124">
        <v>0</v>
      </c>
      <c r="AT3124">
        <v>0</v>
      </c>
    </row>
    <row r="3125" spans="44:46">
      <c r="AR3125">
        <v>0</v>
      </c>
      <c r="AS3125">
        <v>0</v>
      </c>
      <c r="AT3125">
        <v>0</v>
      </c>
    </row>
    <row r="3126" spans="44:46">
      <c r="AR3126">
        <v>0</v>
      </c>
      <c r="AS3126">
        <v>0</v>
      </c>
      <c r="AT3126">
        <v>0</v>
      </c>
    </row>
    <row r="3127" spans="44:46">
      <c r="AR3127">
        <v>0</v>
      </c>
      <c r="AS3127">
        <v>0</v>
      </c>
      <c r="AT3127">
        <v>0</v>
      </c>
    </row>
    <row r="3128" spans="44:46">
      <c r="AR3128">
        <v>0</v>
      </c>
      <c r="AS3128">
        <v>0</v>
      </c>
      <c r="AT3128">
        <v>0</v>
      </c>
    </row>
    <row r="3129" spans="44:46">
      <c r="AR3129">
        <v>0</v>
      </c>
      <c r="AS3129">
        <v>0</v>
      </c>
      <c r="AT3129">
        <v>0</v>
      </c>
    </row>
    <row r="3130" spans="44:46">
      <c r="AR3130">
        <v>0</v>
      </c>
      <c r="AS3130">
        <v>0</v>
      </c>
      <c r="AT3130">
        <v>0</v>
      </c>
    </row>
    <row r="3131" spans="44:46">
      <c r="AR3131">
        <v>0</v>
      </c>
      <c r="AS3131">
        <v>0</v>
      </c>
      <c r="AT3131">
        <v>0</v>
      </c>
    </row>
    <row r="3132" spans="44:46">
      <c r="AR3132">
        <v>0</v>
      </c>
      <c r="AS3132">
        <v>0</v>
      </c>
      <c r="AT3132">
        <v>0</v>
      </c>
    </row>
    <row r="3133" spans="44:46">
      <c r="AR3133">
        <v>0</v>
      </c>
      <c r="AS3133">
        <v>0</v>
      </c>
      <c r="AT3133">
        <v>0</v>
      </c>
    </row>
    <row r="3134" spans="44:46">
      <c r="AR3134">
        <v>0</v>
      </c>
      <c r="AS3134">
        <v>0</v>
      </c>
      <c r="AT3134">
        <v>0</v>
      </c>
    </row>
    <row r="3135" spans="44:46">
      <c r="AR3135">
        <v>0</v>
      </c>
      <c r="AS3135">
        <v>0</v>
      </c>
      <c r="AT3135">
        <v>0</v>
      </c>
    </row>
    <row r="3136" spans="44:46">
      <c r="AR3136">
        <v>0</v>
      </c>
      <c r="AS3136">
        <v>0</v>
      </c>
      <c r="AT3136">
        <v>0</v>
      </c>
    </row>
    <row r="3137" spans="44:46">
      <c r="AR3137">
        <v>0</v>
      </c>
      <c r="AS3137">
        <v>0</v>
      </c>
      <c r="AT3137">
        <v>0</v>
      </c>
    </row>
    <row r="3138" spans="44:46">
      <c r="AR3138">
        <v>0</v>
      </c>
      <c r="AS3138">
        <v>0</v>
      </c>
      <c r="AT3138">
        <v>0</v>
      </c>
    </row>
    <row r="3139" spans="44:46">
      <c r="AR3139">
        <v>0</v>
      </c>
      <c r="AS3139">
        <v>0</v>
      </c>
      <c r="AT3139">
        <v>0</v>
      </c>
    </row>
    <row r="3140" spans="44:46">
      <c r="AR3140">
        <v>0</v>
      </c>
      <c r="AS3140">
        <v>0</v>
      </c>
      <c r="AT3140">
        <v>0</v>
      </c>
    </row>
    <row r="3141" spans="44:46">
      <c r="AR3141">
        <v>0</v>
      </c>
      <c r="AS3141">
        <v>0</v>
      </c>
      <c r="AT3141">
        <v>0</v>
      </c>
    </row>
    <row r="3142" spans="44:46">
      <c r="AR3142">
        <v>0</v>
      </c>
      <c r="AS3142">
        <v>0</v>
      </c>
      <c r="AT3142">
        <v>0</v>
      </c>
    </row>
    <row r="3143" spans="44:46">
      <c r="AR3143">
        <v>0</v>
      </c>
      <c r="AS3143">
        <v>0</v>
      </c>
      <c r="AT3143">
        <v>0</v>
      </c>
    </row>
    <row r="3144" spans="44:46">
      <c r="AR3144">
        <v>0</v>
      </c>
      <c r="AS3144">
        <v>0</v>
      </c>
      <c r="AT3144">
        <v>0</v>
      </c>
    </row>
    <row r="3145" spans="44:46">
      <c r="AR3145">
        <v>0</v>
      </c>
      <c r="AS3145">
        <v>0</v>
      </c>
      <c r="AT3145">
        <v>0</v>
      </c>
    </row>
    <row r="3146" spans="44:46">
      <c r="AR3146">
        <v>0</v>
      </c>
      <c r="AS3146">
        <v>0</v>
      </c>
      <c r="AT3146">
        <v>0</v>
      </c>
    </row>
    <row r="3147" spans="44:46">
      <c r="AR3147">
        <v>0</v>
      </c>
      <c r="AS3147">
        <v>0</v>
      </c>
      <c r="AT3147">
        <v>0</v>
      </c>
    </row>
    <row r="3148" spans="44:46">
      <c r="AR3148">
        <v>0</v>
      </c>
      <c r="AS3148">
        <v>0</v>
      </c>
      <c r="AT3148">
        <v>0</v>
      </c>
    </row>
    <row r="3149" spans="44:46">
      <c r="AR3149">
        <v>0</v>
      </c>
      <c r="AS3149">
        <v>0</v>
      </c>
      <c r="AT3149">
        <v>0</v>
      </c>
    </row>
    <row r="3150" spans="44:46">
      <c r="AR3150">
        <v>0</v>
      </c>
      <c r="AS3150">
        <v>0</v>
      </c>
      <c r="AT3150">
        <v>0</v>
      </c>
    </row>
    <row r="3151" spans="44:46">
      <c r="AR3151">
        <v>0</v>
      </c>
      <c r="AS3151">
        <v>0</v>
      </c>
      <c r="AT3151">
        <v>0</v>
      </c>
    </row>
    <row r="3152" spans="44:46">
      <c r="AR3152">
        <v>0</v>
      </c>
      <c r="AS3152">
        <v>0</v>
      </c>
      <c r="AT3152">
        <v>0</v>
      </c>
    </row>
    <row r="3153" spans="44:46">
      <c r="AR3153">
        <v>0</v>
      </c>
      <c r="AS3153">
        <v>0</v>
      </c>
      <c r="AT3153">
        <v>0</v>
      </c>
    </row>
    <row r="3154" spans="44:46">
      <c r="AR3154">
        <v>0</v>
      </c>
      <c r="AS3154">
        <v>0</v>
      </c>
      <c r="AT3154">
        <v>0</v>
      </c>
    </row>
    <row r="3155" spans="44:46">
      <c r="AR3155">
        <v>0</v>
      </c>
      <c r="AS3155">
        <v>0</v>
      </c>
      <c r="AT3155">
        <v>0</v>
      </c>
    </row>
    <row r="3156" spans="44:46">
      <c r="AR3156">
        <v>0</v>
      </c>
      <c r="AS3156">
        <v>0</v>
      </c>
      <c r="AT3156">
        <v>0</v>
      </c>
    </row>
    <row r="3157" spans="44:46">
      <c r="AR3157">
        <v>0</v>
      </c>
      <c r="AS3157">
        <v>0</v>
      </c>
      <c r="AT3157">
        <v>0</v>
      </c>
    </row>
    <row r="3158" spans="44:46">
      <c r="AR3158">
        <v>0</v>
      </c>
      <c r="AS3158">
        <v>0</v>
      </c>
      <c r="AT3158">
        <v>0</v>
      </c>
    </row>
    <row r="3159" spans="44:46">
      <c r="AR3159">
        <v>0</v>
      </c>
      <c r="AS3159">
        <v>0</v>
      </c>
      <c r="AT3159">
        <v>0</v>
      </c>
    </row>
    <row r="3160" spans="44:46">
      <c r="AR3160">
        <v>0</v>
      </c>
      <c r="AS3160">
        <v>0</v>
      </c>
      <c r="AT3160">
        <v>0</v>
      </c>
    </row>
    <row r="3161" spans="44:46">
      <c r="AR3161">
        <v>0</v>
      </c>
      <c r="AS3161">
        <v>0</v>
      </c>
      <c r="AT3161">
        <v>0</v>
      </c>
    </row>
    <row r="3162" spans="44:46">
      <c r="AR3162">
        <v>0</v>
      </c>
      <c r="AS3162">
        <v>0</v>
      </c>
      <c r="AT3162">
        <v>0</v>
      </c>
    </row>
    <row r="3163" spans="44:46">
      <c r="AR3163">
        <v>0</v>
      </c>
      <c r="AS3163">
        <v>0</v>
      </c>
      <c r="AT3163">
        <v>0</v>
      </c>
    </row>
    <row r="3164" spans="44:46">
      <c r="AR3164">
        <v>0</v>
      </c>
      <c r="AS3164">
        <v>0</v>
      </c>
      <c r="AT3164">
        <v>0</v>
      </c>
    </row>
    <row r="3165" spans="44:46">
      <c r="AR3165">
        <v>0</v>
      </c>
      <c r="AS3165">
        <v>0</v>
      </c>
      <c r="AT3165">
        <v>0</v>
      </c>
    </row>
    <row r="3166" spans="44:46">
      <c r="AR3166">
        <v>0</v>
      </c>
      <c r="AS3166">
        <v>0</v>
      </c>
      <c r="AT3166">
        <v>0</v>
      </c>
    </row>
    <row r="3167" spans="44:46">
      <c r="AR3167">
        <v>0</v>
      </c>
      <c r="AS3167">
        <v>0</v>
      </c>
      <c r="AT3167">
        <v>0</v>
      </c>
    </row>
    <row r="3168" spans="44:46">
      <c r="AR3168">
        <v>0</v>
      </c>
      <c r="AS3168">
        <v>0</v>
      </c>
      <c r="AT3168">
        <v>0</v>
      </c>
    </row>
    <row r="3169" spans="44:46">
      <c r="AR3169">
        <v>0</v>
      </c>
      <c r="AS3169">
        <v>0</v>
      </c>
      <c r="AT3169">
        <v>0</v>
      </c>
    </row>
    <row r="3170" spans="44:46">
      <c r="AR3170">
        <v>0</v>
      </c>
      <c r="AS3170">
        <v>0</v>
      </c>
      <c r="AT3170">
        <v>0</v>
      </c>
    </row>
    <row r="3171" spans="44:46">
      <c r="AR3171">
        <v>0</v>
      </c>
      <c r="AS3171">
        <v>0</v>
      </c>
      <c r="AT3171">
        <v>0</v>
      </c>
    </row>
    <row r="3172" spans="44:46">
      <c r="AR3172">
        <v>0</v>
      </c>
      <c r="AS3172">
        <v>0</v>
      </c>
      <c r="AT3172">
        <v>0</v>
      </c>
    </row>
    <row r="3173" spans="44:46">
      <c r="AR3173">
        <v>0</v>
      </c>
      <c r="AS3173">
        <v>0</v>
      </c>
      <c r="AT3173">
        <v>0</v>
      </c>
    </row>
    <row r="3174" spans="44:46">
      <c r="AR3174">
        <v>0</v>
      </c>
      <c r="AS3174">
        <v>0</v>
      </c>
      <c r="AT3174">
        <v>0</v>
      </c>
    </row>
    <row r="3175" spans="44:46">
      <c r="AR3175">
        <v>0</v>
      </c>
      <c r="AS3175">
        <v>0</v>
      </c>
      <c r="AT3175">
        <v>0</v>
      </c>
    </row>
    <row r="3176" spans="44:46">
      <c r="AR3176">
        <v>0</v>
      </c>
      <c r="AS3176">
        <v>0</v>
      </c>
      <c r="AT3176">
        <v>0</v>
      </c>
    </row>
    <row r="3177" spans="44:46">
      <c r="AR3177">
        <v>0</v>
      </c>
      <c r="AS3177">
        <v>0</v>
      </c>
      <c r="AT3177">
        <v>0</v>
      </c>
    </row>
    <row r="3178" spans="44:46">
      <c r="AR3178">
        <v>0</v>
      </c>
      <c r="AS3178">
        <v>0</v>
      </c>
      <c r="AT3178">
        <v>0</v>
      </c>
    </row>
    <row r="3179" spans="44:46">
      <c r="AR3179">
        <v>0</v>
      </c>
      <c r="AS3179">
        <v>0</v>
      </c>
      <c r="AT3179">
        <v>0</v>
      </c>
    </row>
    <row r="3180" spans="44:46">
      <c r="AR3180">
        <v>0</v>
      </c>
      <c r="AS3180">
        <v>0</v>
      </c>
      <c r="AT3180">
        <v>0</v>
      </c>
    </row>
    <row r="3181" spans="44:46">
      <c r="AR3181">
        <v>0</v>
      </c>
      <c r="AS3181">
        <v>0</v>
      </c>
      <c r="AT3181">
        <v>0</v>
      </c>
    </row>
    <row r="3182" spans="44:46">
      <c r="AR3182">
        <v>0</v>
      </c>
      <c r="AS3182">
        <v>0</v>
      </c>
      <c r="AT3182">
        <v>0</v>
      </c>
    </row>
    <row r="3183" spans="44:46">
      <c r="AR3183">
        <v>0</v>
      </c>
      <c r="AS3183">
        <v>0</v>
      </c>
      <c r="AT3183">
        <v>0</v>
      </c>
    </row>
    <row r="3184" spans="44:46">
      <c r="AR3184">
        <v>0</v>
      </c>
      <c r="AS3184">
        <v>0</v>
      </c>
      <c r="AT3184">
        <v>0</v>
      </c>
    </row>
    <row r="3185" spans="44:46">
      <c r="AR3185">
        <v>0</v>
      </c>
      <c r="AS3185">
        <v>0</v>
      </c>
      <c r="AT3185">
        <v>0</v>
      </c>
    </row>
    <row r="3186" spans="44:46">
      <c r="AR3186">
        <v>0</v>
      </c>
      <c r="AS3186">
        <v>0</v>
      </c>
      <c r="AT3186">
        <v>0</v>
      </c>
    </row>
    <row r="3187" spans="44:46">
      <c r="AR3187">
        <v>0</v>
      </c>
      <c r="AS3187">
        <v>0</v>
      </c>
      <c r="AT3187">
        <v>0</v>
      </c>
    </row>
    <row r="3188" spans="44:46">
      <c r="AR3188">
        <v>0</v>
      </c>
      <c r="AS3188">
        <v>0</v>
      </c>
      <c r="AT3188">
        <v>0</v>
      </c>
    </row>
    <row r="3189" spans="44:46">
      <c r="AR3189">
        <v>0</v>
      </c>
      <c r="AS3189">
        <v>0</v>
      </c>
      <c r="AT3189">
        <v>0</v>
      </c>
    </row>
    <row r="3190" spans="44:46">
      <c r="AR3190">
        <v>0</v>
      </c>
      <c r="AS3190">
        <v>0</v>
      </c>
      <c r="AT3190">
        <v>0</v>
      </c>
    </row>
    <row r="3191" spans="44:46">
      <c r="AR3191">
        <v>0</v>
      </c>
      <c r="AS3191">
        <v>0</v>
      </c>
      <c r="AT3191">
        <v>0</v>
      </c>
    </row>
    <row r="3192" spans="44:46">
      <c r="AR3192">
        <v>0</v>
      </c>
      <c r="AS3192">
        <v>0</v>
      </c>
      <c r="AT3192">
        <v>0</v>
      </c>
    </row>
    <row r="3193" spans="44:46">
      <c r="AR3193">
        <v>0</v>
      </c>
      <c r="AS3193">
        <v>0</v>
      </c>
      <c r="AT3193">
        <v>0</v>
      </c>
    </row>
    <row r="3194" spans="44:46">
      <c r="AR3194">
        <v>0</v>
      </c>
      <c r="AS3194">
        <v>0</v>
      </c>
      <c r="AT3194">
        <v>0</v>
      </c>
    </row>
    <row r="3195" spans="44:46">
      <c r="AR3195">
        <v>0</v>
      </c>
      <c r="AS3195">
        <v>0</v>
      </c>
      <c r="AT3195">
        <v>0</v>
      </c>
    </row>
    <row r="3196" spans="44:46">
      <c r="AR3196">
        <v>0</v>
      </c>
      <c r="AS3196">
        <v>0</v>
      </c>
      <c r="AT3196">
        <v>0</v>
      </c>
    </row>
    <row r="3197" spans="44:46">
      <c r="AR3197">
        <v>0</v>
      </c>
      <c r="AS3197">
        <v>0</v>
      </c>
      <c r="AT3197">
        <v>0</v>
      </c>
    </row>
    <row r="3198" spans="44:46">
      <c r="AR3198">
        <v>0</v>
      </c>
      <c r="AS3198">
        <v>0</v>
      </c>
      <c r="AT3198">
        <v>0</v>
      </c>
    </row>
    <row r="3199" spans="44:46">
      <c r="AR3199">
        <v>0</v>
      </c>
      <c r="AS3199">
        <v>0</v>
      </c>
      <c r="AT3199">
        <v>0</v>
      </c>
    </row>
    <row r="3200" spans="44:46">
      <c r="AR3200">
        <v>0</v>
      </c>
      <c r="AS3200">
        <v>0</v>
      </c>
      <c r="AT3200">
        <v>0</v>
      </c>
    </row>
    <row r="3201" spans="44:46">
      <c r="AR3201">
        <v>0</v>
      </c>
      <c r="AS3201">
        <v>0</v>
      </c>
      <c r="AT3201">
        <v>0</v>
      </c>
    </row>
    <row r="3202" spans="44:46">
      <c r="AR3202">
        <v>0</v>
      </c>
      <c r="AS3202">
        <v>0</v>
      </c>
      <c r="AT3202">
        <v>0</v>
      </c>
    </row>
    <row r="3203" spans="44:46">
      <c r="AR3203">
        <v>0</v>
      </c>
      <c r="AS3203">
        <v>0</v>
      </c>
      <c r="AT3203">
        <v>0</v>
      </c>
    </row>
    <row r="3204" spans="44:46">
      <c r="AR3204">
        <v>0</v>
      </c>
      <c r="AS3204">
        <v>0</v>
      </c>
      <c r="AT3204">
        <v>0</v>
      </c>
    </row>
    <row r="3205" spans="44:46">
      <c r="AR3205">
        <v>0</v>
      </c>
      <c r="AS3205">
        <v>0</v>
      </c>
      <c r="AT3205">
        <v>0</v>
      </c>
    </row>
    <row r="3206" spans="44:46">
      <c r="AR3206">
        <v>0</v>
      </c>
      <c r="AS3206">
        <v>0</v>
      </c>
      <c r="AT3206">
        <v>0</v>
      </c>
    </row>
    <row r="3207" spans="44:46">
      <c r="AR3207">
        <v>0</v>
      </c>
      <c r="AS3207">
        <v>0</v>
      </c>
      <c r="AT3207">
        <v>0</v>
      </c>
    </row>
    <row r="3208" spans="44:46">
      <c r="AR3208">
        <v>0</v>
      </c>
      <c r="AS3208">
        <v>0</v>
      </c>
      <c r="AT3208">
        <v>0</v>
      </c>
    </row>
    <row r="3209" spans="44:46">
      <c r="AR3209">
        <v>0</v>
      </c>
      <c r="AS3209">
        <v>0</v>
      </c>
      <c r="AT3209">
        <v>0</v>
      </c>
    </row>
    <row r="3210" spans="44:46">
      <c r="AR3210">
        <v>0</v>
      </c>
      <c r="AS3210">
        <v>0</v>
      </c>
      <c r="AT3210">
        <v>0</v>
      </c>
    </row>
    <row r="3211" spans="44:46">
      <c r="AR3211">
        <v>0</v>
      </c>
      <c r="AS3211">
        <v>0</v>
      </c>
      <c r="AT3211">
        <v>0</v>
      </c>
    </row>
    <row r="3212" spans="44:46">
      <c r="AR3212">
        <v>0</v>
      </c>
      <c r="AS3212">
        <v>0</v>
      </c>
      <c r="AT3212">
        <v>0</v>
      </c>
    </row>
    <row r="3213" spans="44:46">
      <c r="AR3213">
        <v>0</v>
      </c>
      <c r="AS3213">
        <v>0</v>
      </c>
      <c r="AT3213">
        <v>0</v>
      </c>
    </row>
    <row r="3214" spans="44:46">
      <c r="AR3214">
        <v>0</v>
      </c>
      <c r="AS3214">
        <v>0</v>
      </c>
      <c r="AT3214">
        <v>0</v>
      </c>
    </row>
    <row r="3215" spans="44:46">
      <c r="AR3215">
        <v>0</v>
      </c>
      <c r="AS3215">
        <v>0</v>
      </c>
      <c r="AT3215">
        <v>0</v>
      </c>
    </row>
    <row r="3216" spans="44:46">
      <c r="AR3216">
        <v>0</v>
      </c>
      <c r="AS3216">
        <v>0</v>
      </c>
      <c r="AT3216">
        <v>0</v>
      </c>
    </row>
    <row r="3217" spans="44:46">
      <c r="AR3217">
        <v>0</v>
      </c>
      <c r="AS3217">
        <v>0</v>
      </c>
      <c r="AT3217">
        <v>0</v>
      </c>
    </row>
    <row r="3218" spans="44:46">
      <c r="AR3218">
        <v>0</v>
      </c>
      <c r="AS3218">
        <v>0</v>
      </c>
      <c r="AT3218">
        <v>0</v>
      </c>
    </row>
    <row r="3219" spans="44:46">
      <c r="AR3219">
        <v>0</v>
      </c>
      <c r="AS3219">
        <v>0</v>
      </c>
      <c r="AT3219">
        <v>0</v>
      </c>
    </row>
    <row r="3220" spans="44:46">
      <c r="AR3220">
        <v>0</v>
      </c>
      <c r="AS3220">
        <v>0</v>
      </c>
      <c r="AT3220">
        <v>0</v>
      </c>
    </row>
    <row r="3221" spans="44:46">
      <c r="AR3221">
        <v>0</v>
      </c>
      <c r="AS3221">
        <v>0</v>
      </c>
      <c r="AT3221">
        <v>0</v>
      </c>
    </row>
    <row r="3222" spans="44:46">
      <c r="AR3222">
        <v>0</v>
      </c>
      <c r="AS3222">
        <v>0</v>
      </c>
      <c r="AT3222">
        <v>0</v>
      </c>
    </row>
    <row r="3223" spans="44:46">
      <c r="AR3223">
        <v>0</v>
      </c>
      <c r="AS3223">
        <v>0</v>
      </c>
      <c r="AT3223">
        <v>0</v>
      </c>
    </row>
    <row r="3224" spans="44:46">
      <c r="AR3224">
        <v>0</v>
      </c>
      <c r="AS3224">
        <v>0</v>
      </c>
      <c r="AT3224">
        <v>0</v>
      </c>
    </row>
    <row r="3225" spans="44:46">
      <c r="AR3225">
        <v>0</v>
      </c>
      <c r="AS3225">
        <v>0</v>
      </c>
      <c r="AT3225">
        <v>0</v>
      </c>
    </row>
    <row r="3226" spans="44:46">
      <c r="AR3226">
        <v>0</v>
      </c>
      <c r="AS3226">
        <v>0</v>
      </c>
      <c r="AT3226">
        <v>0</v>
      </c>
    </row>
    <row r="3227" spans="44:46">
      <c r="AR3227">
        <v>0</v>
      </c>
      <c r="AS3227">
        <v>0</v>
      </c>
      <c r="AT3227">
        <v>0</v>
      </c>
    </row>
    <row r="3228" spans="44:46">
      <c r="AR3228">
        <v>0</v>
      </c>
      <c r="AS3228">
        <v>0</v>
      </c>
      <c r="AT3228">
        <v>0</v>
      </c>
    </row>
    <row r="3229" spans="44:46">
      <c r="AR3229">
        <v>0</v>
      </c>
      <c r="AS3229">
        <v>0</v>
      </c>
      <c r="AT3229">
        <v>0</v>
      </c>
    </row>
    <row r="3230" spans="44:46">
      <c r="AR3230">
        <v>0</v>
      </c>
      <c r="AS3230">
        <v>0</v>
      </c>
      <c r="AT3230">
        <v>0</v>
      </c>
    </row>
    <row r="3231" spans="44:46">
      <c r="AR3231">
        <v>0</v>
      </c>
      <c r="AS3231">
        <v>0</v>
      </c>
      <c r="AT3231">
        <v>0</v>
      </c>
    </row>
    <row r="3232" spans="44:46">
      <c r="AR3232">
        <v>0</v>
      </c>
      <c r="AS3232">
        <v>0</v>
      </c>
      <c r="AT3232">
        <v>0</v>
      </c>
    </row>
    <row r="3233" spans="44:46">
      <c r="AR3233">
        <v>0</v>
      </c>
      <c r="AS3233">
        <v>0</v>
      </c>
      <c r="AT3233">
        <v>0</v>
      </c>
    </row>
    <row r="3234" spans="44:46">
      <c r="AR3234">
        <v>0</v>
      </c>
      <c r="AS3234">
        <v>0</v>
      </c>
      <c r="AT3234">
        <v>0</v>
      </c>
    </row>
    <row r="3235" spans="44:46">
      <c r="AR3235">
        <v>0</v>
      </c>
      <c r="AS3235">
        <v>0</v>
      </c>
      <c r="AT3235">
        <v>0</v>
      </c>
    </row>
    <row r="3236" spans="44:46">
      <c r="AR3236">
        <v>0</v>
      </c>
      <c r="AS3236">
        <v>0</v>
      </c>
      <c r="AT3236">
        <v>0</v>
      </c>
    </row>
    <row r="3237" spans="44:46">
      <c r="AR3237">
        <v>0</v>
      </c>
      <c r="AS3237">
        <v>0</v>
      </c>
      <c r="AT3237">
        <v>0</v>
      </c>
    </row>
    <row r="3238" spans="44:46">
      <c r="AR3238">
        <v>0</v>
      </c>
      <c r="AS3238">
        <v>0</v>
      </c>
      <c r="AT3238">
        <v>0</v>
      </c>
    </row>
    <row r="3239" spans="44:46">
      <c r="AR3239">
        <v>0</v>
      </c>
      <c r="AS3239">
        <v>0</v>
      </c>
      <c r="AT3239">
        <v>0</v>
      </c>
    </row>
    <row r="3240" spans="44:46">
      <c r="AR3240">
        <v>0</v>
      </c>
      <c r="AS3240">
        <v>0</v>
      </c>
      <c r="AT3240">
        <v>0</v>
      </c>
    </row>
    <row r="3241" spans="44:46">
      <c r="AR3241">
        <v>0</v>
      </c>
      <c r="AS3241">
        <v>0</v>
      </c>
      <c r="AT3241">
        <v>0</v>
      </c>
    </row>
    <row r="3242" spans="44:46">
      <c r="AR3242">
        <v>0</v>
      </c>
      <c r="AS3242">
        <v>0</v>
      </c>
      <c r="AT3242">
        <v>0</v>
      </c>
    </row>
    <row r="3243" spans="44:46">
      <c r="AR3243">
        <v>0</v>
      </c>
      <c r="AS3243">
        <v>0</v>
      </c>
      <c r="AT3243">
        <v>0</v>
      </c>
    </row>
    <row r="3244" spans="44:46">
      <c r="AR3244">
        <v>0</v>
      </c>
      <c r="AS3244">
        <v>0</v>
      </c>
      <c r="AT3244">
        <v>0</v>
      </c>
    </row>
    <row r="3245" spans="44:46">
      <c r="AR3245">
        <v>0</v>
      </c>
      <c r="AS3245">
        <v>0</v>
      </c>
      <c r="AT3245">
        <v>0</v>
      </c>
    </row>
    <row r="3246" spans="44:46">
      <c r="AR3246">
        <v>0</v>
      </c>
      <c r="AS3246">
        <v>0</v>
      </c>
      <c r="AT3246">
        <v>0</v>
      </c>
    </row>
    <row r="3247" spans="44:46">
      <c r="AR3247">
        <v>0</v>
      </c>
      <c r="AS3247">
        <v>0</v>
      </c>
      <c r="AT3247">
        <v>0</v>
      </c>
    </row>
    <row r="3248" spans="44:46">
      <c r="AR3248">
        <v>0</v>
      </c>
      <c r="AS3248">
        <v>0</v>
      </c>
      <c r="AT3248">
        <v>0</v>
      </c>
    </row>
    <row r="3249" spans="44:46">
      <c r="AR3249">
        <v>0</v>
      </c>
      <c r="AS3249">
        <v>0</v>
      </c>
      <c r="AT3249">
        <v>0</v>
      </c>
    </row>
    <row r="3250" spans="44:46">
      <c r="AR3250">
        <v>0</v>
      </c>
      <c r="AS3250">
        <v>0</v>
      </c>
      <c r="AT3250">
        <v>0</v>
      </c>
    </row>
    <row r="3251" spans="44:46">
      <c r="AR3251">
        <v>0</v>
      </c>
      <c r="AS3251">
        <v>0</v>
      </c>
      <c r="AT3251">
        <v>0</v>
      </c>
    </row>
    <row r="3252" spans="44:46">
      <c r="AR3252">
        <v>0</v>
      </c>
      <c r="AS3252">
        <v>0</v>
      </c>
      <c r="AT3252">
        <v>0</v>
      </c>
    </row>
    <row r="3253" spans="44:46">
      <c r="AR3253">
        <v>0</v>
      </c>
      <c r="AS3253">
        <v>0</v>
      </c>
      <c r="AT3253">
        <v>0</v>
      </c>
    </row>
    <row r="3254" spans="44:46">
      <c r="AR3254">
        <v>0</v>
      </c>
      <c r="AS3254">
        <v>0</v>
      </c>
      <c r="AT3254">
        <v>0</v>
      </c>
    </row>
    <row r="3255" spans="44:46">
      <c r="AR3255">
        <v>0</v>
      </c>
      <c r="AS3255">
        <v>0</v>
      </c>
      <c r="AT3255">
        <v>0</v>
      </c>
    </row>
    <row r="3256" spans="44:46">
      <c r="AR3256">
        <v>0</v>
      </c>
      <c r="AS3256">
        <v>0</v>
      </c>
      <c r="AT3256">
        <v>0</v>
      </c>
    </row>
    <row r="3257" spans="44:46">
      <c r="AR3257">
        <v>0</v>
      </c>
      <c r="AS3257">
        <v>0</v>
      </c>
      <c r="AT3257">
        <v>0</v>
      </c>
    </row>
    <row r="3258" spans="44:46">
      <c r="AR3258">
        <v>0</v>
      </c>
      <c r="AS3258">
        <v>0</v>
      </c>
      <c r="AT3258">
        <v>0</v>
      </c>
    </row>
    <row r="3259" spans="44:46">
      <c r="AR3259">
        <v>0</v>
      </c>
      <c r="AS3259">
        <v>0</v>
      </c>
      <c r="AT3259">
        <v>0</v>
      </c>
    </row>
    <row r="3260" spans="44:46">
      <c r="AR3260">
        <v>0</v>
      </c>
      <c r="AS3260">
        <v>0</v>
      </c>
      <c r="AT3260">
        <v>0</v>
      </c>
    </row>
    <row r="3261" spans="44:46">
      <c r="AR3261">
        <v>0</v>
      </c>
      <c r="AS3261">
        <v>0</v>
      </c>
      <c r="AT3261">
        <v>0</v>
      </c>
    </row>
    <row r="3262" spans="44:46">
      <c r="AR3262">
        <v>0</v>
      </c>
      <c r="AS3262">
        <v>0</v>
      </c>
      <c r="AT3262">
        <v>0</v>
      </c>
    </row>
    <row r="3263" spans="44:46">
      <c r="AR3263">
        <v>0</v>
      </c>
      <c r="AS3263">
        <v>0</v>
      </c>
      <c r="AT3263">
        <v>0</v>
      </c>
    </row>
    <row r="3264" spans="44:46">
      <c r="AR3264">
        <v>0</v>
      </c>
      <c r="AS3264">
        <v>0</v>
      </c>
      <c r="AT3264">
        <v>0</v>
      </c>
    </row>
    <row r="3265" spans="44:46">
      <c r="AR3265">
        <v>0</v>
      </c>
      <c r="AS3265">
        <v>0</v>
      </c>
      <c r="AT3265">
        <v>0</v>
      </c>
    </row>
    <row r="3266" spans="44:46">
      <c r="AR3266">
        <v>0</v>
      </c>
      <c r="AS3266">
        <v>0</v>
      </c>
      <c r="AT3266">
        <v>0</v>
      </c>
    </row>
    <row r="3267" spans="44:46">
      <c r="AR3267">
        <v>0</v>
      </c>
      <c r="AS3267">
        <v>0</v>
      </c>
      <c r="AT3267">
        <v>0</v>
      </c>
    </row>
    <row r="3268" spans="44:46">
      <c r="AR3268">
        <v>0</v>
      </c>
      <c r="AS3268">
        <v>0</v>
      </c>
      <c r="AT3268">
        <v>0</v>
      </c>
    </row>
    <row r="3269" spans="44:46">
      <c r="AR3269">
        <v>0</v>
      </c>
      <c r="AS3269">
        <v>0</v>
      </c>
      <c r="AT3269">
        <v>0</v>
      </c>
    </row>
    <row r="3270" spans="44:46">
      <c r="AR3270">
        <v>0</v>
      </c>
      <c r="AS3270">
        <v>0</v>
      </c>
      <c r="AT3270">
        <v>0</v>
      </c>
    </row>
    <row r="3271" spans="44:46">
      <c r="AR3271">
        <v>0</v>
      </c>
      <c r="AS3271">
        <v>0</v>
      </c>
      <c r="AT3271">
        <v>0</v>
      </c>
    </row>
    <row r="3272" spans="44:46">
      <c r="AR3272">
        <v>0</v>
      </c>
      <c r="AS3272">
        <v>0</v>
      </c>
      <c r="AT3272">
        <v>0</v>
      </c>
    </row>
    <row r="3273" spans="44:46">
      <c r="AR3273">
        <v>0</v>
      </c>
      <c r="AS3273">
        <v>0</v>
      </c>
      <c r="AT3273">
        <v>0</v>
      </c>
    </row>
    <row r="3274" spans="44:46">
      <c r="AR3274">
        <v>0</v>
      </c>
      <c r="AS3274">
        <v>0</v>
      </c>
      <c r="AT3274">
        <v>0</v>
      </c>
    </row>
    <row r="3275" spans="44:46">
      <c r="AR3275">
        <v>0</v>
      </c>
      <c r="AS3275">
        <v>0</v>
      </c>
      <c r="AT3275">
        <v>0</v>
      </c>
    </row>
    <row r="3276" spans="44:46">
      <c r="AR3276">
        <v>0</v>
      </c>
      <c r="AS3276">
        <v>0</v>
      </c>
      <c r="AT3276">
        <v>0</v>
      </c>
    </row>
    <row r="3277" spans="44:46">
      <c r="AR3277">
        <v>0</v>
      </c>
      <c r="AS3277">
        <v>0</v>
      </c>
      <c r="AT3277">
        <v>0</v>
      </c>
    </row>
    <row r="3278" spans="44:46">
      <c r="AR3278">
        <v>0</v>
      </c>
      <c r="AS3278">
        <v>0</v>
      </c>
      <c r="AT3278">
        <v>0</v>
      </c>
    </row>
    <row r="3279" spans="44:46">
      <c r="AR3279">
        <v>0</v>
      </c>
      <c r="AS3279">
        <v>0</v>
      </c>
      <c r="AT3279">
        <v>0</v>
      </c>
    </row>
    <row r="3280" spans="44:46">
      <c r="AR3280">
        <v>0</v>
      </c>
      <c r="AS3280">
        <v>0</v>
      </c>
      <c r="AT3280">
        <v>0</v>
      </c>
    </row>
    <row r="3281" spans="44:46">
      <c r="AR3281">
        <v>0</v>
      </c>
      <c r="AS3281">
        <v>0</v>
      </c>
      <c r="AT3281">
        <v>0</v>
      </c>
    </row>
    <row r="3282" spans="44:46">
      <c r="AR3282">
        <v>0</v>
      </c>
      <c r="AS3282">
        <v>0</v>
      </c>
      <c r="AT3282">
        <v>0</v>
      </c>
    </row>
    <row r="3283" spans="44:46">
      <c r="AR3283">
        <v>0</v>
      </c>
      <c r="AS3283">
        <v>0</v>
      </c>
      <c r="AT3283">
        <v>0</v>
      </c>
    </row>
    <row r="3284" spans="44:46">
      <c r="AR3284">
        <v>0</v>
      </c>
      <c r="AS3284">
        <v>0</v>
      </c>
      <c r="AT3284">
        <v>0</v>
      </c>
    </row>
    <row r="3285" spans="44:46">
      <c r="AR3285">
        <v>0</v>
      </c>
      <c r="AS3285">
        <v>0</v>
      </c>
      <c r="AT3285">
        <v>0</v>
      </c>
    </row>
    <row r="3286" spans="44:46">
      <c r="AR3286">
        <v>0</v>
      </c>
      <c r="AS3286">
        <v>0</v>
      </c>
      <c r="AT3286">
        <v>0</v>
      </c>
    </row>
    <row r="3287" spans="44:46">
      <c r="AR3287">
        <v>0</v>
      </c>
      <c r="AS3287">
        <v>0</v>
      </c>
      <c r="AT3287">
        <v>0</v>
      </c>
    </row>
    <row r="3288" spans="44:46">
      <c r="AR3288">
        <v>0</v>
      </c>
      <c r="AS3288">
        <v>0</v>
      </c>
      <c r="AT3288">
        <v>0</v>
      </c>
    </row>
    <row r="3289" spans="44:46">
      <c r="AR3289">
        <v>0</v>
      </c>
      <c r="AS3289">
        <v>0</v>
      </c>
      <c r="AT3289">
        <v>0</v>
      </c>
    </row>
    <row r="3290" spans="44:46">
      <c r="AR3290">
        <v>0</v>
      </c>
      <c r="AS3290">
        <v>0</v>
      </c>
      <c r="AT3290">
        <v>0</v>
      </c>
    </row>
    <row r="3291" spans="44:46">
      <c r="AR3291">
        <v>0</v>
      </c>
      <c r="AS3291">
        <v>0</v>
      </c>
      <c r="AT3291">
        <v>0</v>
      </c>
    </row>
    <row r="3292" spans="44:46">
      <c r="AR3292">
        <v>0</v>
      </c>
      <c r="AS3292">
        <v>0</v>
      </c>
      <c r="AT3292">
        <v>0</v>
      </c>
    </row>
    <row r="3293" spans="44:46">
      <c r="AR3293">
        <v>0</v>
      </c>
      <c r="AS3293">
        <v>0</v>
      </c>
      <c r="AT3293">
        <v>0</v>
      </c>
    </row>
    <row r="3294" spans="44:46">
      <c r="AR3294">
        <v>0</v>
      </c>
      <c r="AS3294">
        <v>0</v>
      </c>
      <c r="AT3294">
        <v>0</v>
      </c>
    </row>
    <row r="3295" spans="44:46">
      <c r="AR3295">
        <v>0</v>
      </c>
      <c r="AS3295">
        <v>0</v>
      </c>
      <c r="AT3295">
        <v>0</v>
      </c>
    </row>
    <row r="3296" spans="44:46">
      <c r="AR3296">
        <v>0</v>
      </c>
      <c r="AS3296">
        <v>0</v>
      </c>
      <c r="AT3296">
        <v>0</v>
      </c>
    </row>
    <row r="3297" spans="44:46">
      <c r="AR3297">
        <v>0</v>
      </c>
      <c r="AS3297">
        <v>0</v>
      </c>
      <c r="AT3297">
        <v>0</v>
      </c>
    </row>
    <row r="3298" spans="44:46">
      <c r="AR3298">
        <v>0</v>
      </c>
      <c r="AS3298">
        <v>0</v>
      </c>
      <c r="AT3298">
        <v>0</v>
      </c>
    </row>
    <row r="3299" spans="44:46">
      <c r="AR3299">
        <v>0</v>
      </c>
      <c r="AS3299">
        <v>0</v>
      </c>
      <c r="AT3299">
        <v>0</v>
      </c>
    </row>
    <row r="3300" spans="44:46">
      <c r="AR3300">
        <v>0</v>
      </c>
      <c r="AS3300">
        <v>0</v>
      </c>
      <c r="AT3300">
        <v>0</v>
      </c>
    </row>
    <row r="3301" spans="44:46">
      <c r="AR3301">
        <v>0</v>
      </c>
      <c r="AS3301">
        <v>0</v>
      </c>
      <c r="AT3301">
        <v>0</v>
      </c>
    </row>
    <row r="3302" spans="44:46">
      <c r="AR3302">
        <v>0</v>
      </c>
      <c r="AS3302">
        <v>0</v>
      </c>
      <c r="AT3302">
        <v>0</v>
      </c>
    </row>
    <row r="3303" spans="44:46">
      <c r="AR3303">
        <v>0</v>
      </c>
      <c r="AS3303">
        <v>0</v>
      </c>
      <c r="AT3303">
        <v>0</v>
      </c>
    </row>
    <row r="3304" spans="44:46">
      <c r="AR3304">
        <v>0</v>
      </c>
      <c r="AS3304">
        <v>0</v>
      </c>
      <c r="AT3304">
        <v>0</v>
      </c>
    </row>
    <row r="3305" spans="44:46">
      <c r="AR3305">
        <v>0</v>
      </c>
      <c r="AS3305">
        <v>0</v>
      </c>
      <c r="AT3305">
        <v>0</v>
      </c>
    </row>
    <row r="3306" spans="44:46">
      <c r="AR3306">
        <v>0</v>
      </c>
      <c r="AS3306">
        <v>0</v>
      </c>
      <c r="AT3306">
        <v>0</v>
      </c>
    </row>
    <row r="3307" spans="44:46">
      <c r="AR3307">
        <v>0</v>
      </c>
      <c r="AS3307">
        <v>0</v>
      </c>
      <c r="AT3307">
        <v>0</v>
      </c>
    </row>
    <row r="3308" spans="44:46">
      <c r="AR3308">
        <v>0</v>
      </c>
      <c r="AS3308">
        <v>0</v>
      </c>
      <c r="AT3308">
        <v>0</v>
      </c>
    </row>
    <row r="3309" spans="44:46">
      <c r="AR3309">
        <v>0</v>
      </c>
      <c r="AS3309">
        <v>0</v>
      </c>
      <c r="AT3309">
        <v>0</v>
      </c>
    </row>
    <row r="3310" spans="44:46">
      <c r="AR3310">
        <v>0</v>
      </c>
      <c r="AS3310">
        <v>0</v>
      </c>
      <c r="AT3310">
        <v>0</v>
      </c>
    </row>
    <row r="3311" spans="44:46">
      <c r="AR3311">
        <v>0</v>
      </c>
      <c r="AS3311">
        <v>0</v>
      </c>
      <c r="AT3311">
        <v>0</v>
      </c>
    </row>
    <row r="3312" spans="44:46">
      <c r="AR3312">
        <v>0</v>
      </c>
      <c r="AS3312">
        <v>0</v>
      </c>
      <c r="AT3312">
        <v>0</v>
      </c>
    </row>
    <row r="3313" spans="44:46">
      <c r="AR3313">
        <v>0</v>
      </c>
      <c r="AS3313">
        <v>0</v>
      </c>
      <c r="AT3313">
        <v>0</v>
      </c>
    </row>
    <row r="3314" spans="44:46">
      <c r="AR3314">
        <v>0</v>
      </c>
      <c r="AS3314">
        <v>0</v>
      </c>
      <c r="AT3314">
        <v>0</v>
      </c>
    </row>
    <row r="3315" spans="44:46">
      <c r="AR3315">
        <v>0</v>
      </c>
      <c r="AS3315">
        <v>0</v>
      </c>
      <c r="AT3315">
        <v>0</v>
      </c>
    </row>
    <row r="3316" spans="44:46">
      <c r="AR3316">
        <v>0</v>
      </c>
      <c r="AS3316">
        <v>0</v>
      </c>
      <c r="AT3316">
        <v>0</v>
      </c>
    </row>
    <row r="3317" spans="44:46">
      <c r="AR3317">
        <v>0</v>
      </c>
      <c r="AS3317">
        <v>0</v>
      </c>
      <c r="AT3317">
        <v>0</v>
      </c>
    </row>
    <row r="3318" spans="44:46">
      <c r="AR3318">
        <v>0</v>
      </c>
      <c r="AS3318">
        <v>0</v>
      </c>
      <c r="AT3318">
        <v>0</v>
      </c>
    </row>
    <row r="3319" spans="44:46">
      <c r="AR3319">
        <v>0</v>
      </c>
      <c r="AS3319">
        <v>0</v>
      </c>
      <c r="AT3319">
        <v>0</v>
      </c>
    </row>
    <row r="3320" spans="44:46">
      <c r="AR3320">
        <v>0</v>
      </c>
      <c r="AS3320">
        <v>0</v>
      </c>
      <c r="AT3320">
        <v>0</v>
      </c>
    </row>
    <row r="3321" spans="44:46">
      <c r="AR3321">
        <v>0</v>
      </c>
      <c r="AS3321">
        <v>0</v>
      </c>
      <c r="AT3321">
        <v>0</v>
      </c>
    </row>
    <row r="3322" spans="44:46">
      <c r="AR3322">
        <v>0</v>
      </c>
      <c r="AS3322">
        <v>0</v>
      </c>
      <c r="AT3322">
        <v>0</v>
      </c>
    </row>
    <row r="3323" spans="44:46">
      <c r="AR3323">
        <v>0</v>
      </c>
      <c r="AS3323">
        <v>0</v>
      </c>
      <c r="AT3323">
        <v>0</v>
      </c>
    </row>
    <row r="3324" spans="44:46">
      <c r="AR3324">
        <v>0</v>
      </c>
      <c r="AS3324">
        <v>0</v>
      </c>
      <c r="AT3324">
        <v>0</v>
      </c>
    </row>
    <row r="3325" spans="44:46">
      <c r="AR3325">
        <v>0</v>
      </c>
      <c r="AS3325">
        <v>0</v>
      </c>
      <c r="AT3325">
        <v>0</v>
      </c>
    </row>
    <row r="3326" spans="44:46">
      <c r="AR3326">
        <v>0</v>
      </c>
      <c r="AS3326">
        <v>0</v>
      </c>
      <c r="AT3326">
        <v>0</v>
      </c>
    </row>
    <row r="3327" spans="44:46">
      <c r="AR3327">
        <v>0</v>
      </c>
      <c r="AS3327">
        <v>0</v>
      </c>
      <c r="AT3327">
        <v>0</v>
      </c>
    </row>
    <row r="3328" spans="44:46">
      <c r="AR3328">
        <v>0</v>
      </c>
      <c r="AS3328">
        <v>0</v>
      </c>
      <c r="AT3328">
        <v>0</v>
      </c>
    </row>
    <row r="3329" spans="44:46">
      <c r="AR3329">
        <v>0</v>
      </c>
      <c r="AS3329">
        <v>0</v>
      </c>
      <c r="AT3329">
        <v>0</v>
      </c>
    </row>
    <row r="3330" spans="44:46">
      <c r="AR3330">
        <v>0</v>
      </c>
      <c r="AS3330">
        <v>0</v>
      </c>
      <c r="AT3330">
        <v>0</v>
      </c>
    </row>
    <row r="3331" spans="44:46">
      <c r="AR3331">
        <v>0</v>
      </c>
      <c r="AS3331">
        <v>0</v>
      </c>
      <c r="AT3331">
        <v>0</v>
      </c>
    </row>
    <row r="3332" spans="44:46">
      <c r="AR3332">
        <v>0</v>
      </c>
      <c r="AS3332">
        <v>0</v>
      </c>
      <c r="AT3332">
        <v>0</v>
      </c>
    </row>
    <row r="3333" spans="44:46">
      <c r="AR3333">
        <v>0</v>
      </c>
      <c r="AS3333">
        <v>0</v>
      </c>
      <c r="AT3333">
        <v>0</v>
      </c>
    </row>
    <row r="3334" spans="44:46">
      <c r="AR3334">
        <v>0</v>
      </c>
      <c r="AS3334">
        <v>0</v>
      </c>
      <c r="AT3334">
        <v>0</v>
      </c>
    </row>
    <row r="3335" spans="44:46">
      <c r="AR3335">
        <v>0</v>
      </c>
      <c r="AS3335">
        <v>0</v>
      </c>
      <c r="AT3335">
        <v>0</v>
      </c>
    </row>
    <row r="3336" spans="44:46">
      <c r="AR3336">
        <v>0</v>
      </c>
      <c r="AS3336">
        <v>0</v>
      </c>
      <c r="AT3336">
        <v>0</v>
      </c>
    </row>
    <row r="3337" spans="44:46">
      <c r="AR3337">
        <v>0</v>
      </c>
      <c r="AS3337">
        <v>0</v>
      </c>
      <c r="AT3337">
        <v>0</v>
      </c>
    </row>
    <row r="3338" spans="44:46">
      <c r="AR3338">
        <v>0</v>
      </c>
      <c r="AS3338">
        <v>0</v>
      </c>
      <c r="AT3338">
        <v>0</v>
      </c>
    </row>
    <row r="3339" spans="44:46">
      <c r="AR3339">
        <v>0</v>
      </c>
      <c r="AS3339">
        <v>0</v>
      </c>
      <c r="AT3339">
        <v>0</v>
      </c>
    </row>
    <row r="3340" spans="44:46">
      <c r="AR3340">
        <v>0</v>
      </c>
      <c r="AS3340">
        <v>0</v>
      </c>
      <c r="AT3340">
        <v>0</v>
      </c>
    </row>
    <row r="3341" spans="44:46">
      <c r="AR3341">
        <v>0</v>
      </c>
      <c r="AS3341">
        <v>0</v>
      </c>
      <c r="AT3341">
        <v>0</v>
      </c>
    </row>
    <row r="3342" spans="44:46">
      <c r="AR3342">
        <v>0</v>
      </c>
      <c r="AS3342">
        <v>0</v>
      </c>
      <c r="AT3342">
        <v>0</v>
      </c>
    </row>
    <row r="3343" spans="44:46">
      <c r="AR3343">
        <v>0</v>
      </c>
      <c r="AS3343">
        <v>0</v>
      </c>
      <c r="AT3343">
        <v>0</v>
      </c>
    </row>
    <row r="3344" spans="44:46">
      <c r="AR3344">
        <v>0</v>
      </c>
      <c r="AS3344">
        <v>0</v>
      </c>
      <c r="AT3344">
        <v>0</v>
      </c>
    </row>
    <row r="3345" spans="44:46">
      <c r="AR3345">
        <v>0</v>
      </c>
      <c r="AS3345">
        <v>0</v>
      </c>
      <c r="AT3345">
        <v>0</v>
      </c>
    </row>
    <row r="3346" spans="44:46">
      <c r="AR3346">
        <v>0</v>
      </c>
      <c r="AS3346">
        <v>0</v>
      </c>
      <c r="AT3346">
        <v>0</v>
      </c>
    </row>
    <row r="3347" spans="44:46">
      <c r="AR3347">
        <v>0</v>
      </c>
      <c r="AS3347">
        <v>0</v>
      </c>
      <c r="AT3347">
        <v>0</v>
      </c>
    </row>
    <row r="3348" spans="44:46">
      <c r="AR3348">
        <v>0</v>
      </c>
      <c r="AS3348">
        <v>0</v>
      </c>
      <c r="AT3348">
        <v>0</v>
      </c>
    </row>
    <row r="3349" spans="44:46">
      <c r="AR3349">
        <v>0</v>
      </c>
      <c r="AS3349">
        <v>0</v>
      </c>
      <c r="AT3349">
        <v>0</v>
      </c>
    </row>
    <row r="3350" spans="44:46">
      <c r="AR3350">
        <v>0</v>
      </c>
      <c r="AS3350">
        <v>0</v>
      </c>
      <c r="AT3350">
        <v>0</v>
      </c>
    </row>
    <row r="3351" spans="44:46">
      <c r="AR3351">
        <v>0</v>
      </c>
      <c r="AS3351">
        <v>0</v>
      </c>
      <c r="AT3351">
        <v>0</v>
      </c>
    </row>
    <row r="3352" spans="44:46">
      <c r="AR3352">
        <v>0</v>
      </c>
      <c r="AS3352">
        <v>0</v>
      </c>
      <c r="AT3352">
        <v>0</v>
      </c>
    </row>
    <row r="3353" spans="44:46">
      <c r="AR3353">
        <v>0</v>
      </c>
      <c r="AS3353">
        <v>0</v>
      </c>
      <c r="AT3353">
        <v>0</v>
      </c>
    </row>
    <row r="3354" spans="44:46">
      <c r="AR3354">
        <v>0</v>
      </c>
      <c r="AS3354">
        <v>0</v>
      </c>
      <c r="AT3354">
        <v>0</v>
      </c>
    </row>
    <row r="3355" spans="44:46">
      <c r="AR3355">
        <v>0</v>
      </c>
      <c r="AS3355">
        <v>0</v>
      </c>
      <c r="AT3355">
        <v>0</v>
      </c>
    </row>
    <row r="3356" spans="44:46">
      <c r="AR3356">
        <v>0</v>
      </c>
      <c r="AS3356">
        <v>0</v>
      </c>
      <c r="AT3356">
        <v>0</v>
      </c>
    </row>
    <row r="3357" spans="44:46">
      <c r="AR3357">
        <v>0</v>
      </c>
      <c r="AS3357">
        <v>0</v>
      </c>
      <c r="AT3357">
        <v>0</v>
      </c>
    </row>
    <row r="3358" spans="44:46">
      <c r="AR3358">
        <v>0</v>
      </c>
      <c r="AS3358">
        <v>0</v>
      </c>
      <c r="AT3358">
        <v>0</v>
      </c>
    </row>
    <row r="3359" spans="44:46">
      <c r="AR3359">
        <v>0</v>
      </c>
      <c r="AS3359">
        <v>0</v>
      </c>
      <c r="AT3359">
        <v>0</v>
      </c>
    </row>
    <row r="3360" spans="44:46">
      <c r="AR3360">
        <v>0</v>
      </c>
      <c r="AS3360">
        <v>0</v>
      </c>
      <c r="AT3360">
        <v>0</v>
      </c>
    </row>
    <row r="3361" spans="44:46">
      <c r="AR3361">
        <v>0</v>
      </c>
      <c r="AS3361">
        <v>0</v>
      </c>
      <c r="AT3361">
        <v>0</v>
      </c>
    </row>
    <row r="3362" spans="44:46">
      <c r="AR3362">
        <v>0</v>
      </c>
      <c r="AS3362">
        <v>0</v>
      </c>
      <c r="AT3362">
        <v>0</v>
      </c>
    </row>
    <row r="3363" spans="44:46">
      <c r="AR3363">
        <v>0</v>
      </c>
      <c r="AS3363">
        <v>0</v>
      </c>
      <c r="AT3363">
        <v>0</v>
      </c>
    </row>
    <row r="3364" spans="44:46">
      <c r="AR3364">
        <v>0</v>
      </c>
      <c r="AS3364">
        <v>0</v>
      </c>
      <c r="AT3364">
        <v>0</v>
      </c>
    </row>
    <row r="3365" spans="44:46">
      <c r="AR3365">
        <v>0</v>
      </c>
      <c r="AS3365">
        <v>0</v>
      </c>
      <c r="AT3365">
        <v>0</v>
      </c>
    </row>
    <row r="3366" spans="44:46">
      <c r="AR3366">
        <v>0</v>
      </c>
      <c r="AS3366">
        <v>0</v>
      </c>
      <c r="AT3366">
        <v>0</v>
      </c>
    </row>
    <row r="3367" spans="44:46">
      <c r="AR3367">
        <v>0</v>
      </c>
      <c r="AS3367">
        <v>0</v>
      </c>
      <c r="AT3367">
        <v>0</v>
      </c>
    </row>
    <row r="3368" spans="44:46">
      <c r="AR3368">
        <v>0</v>
      </c>
      <c r="AS3368">
        <v>0</v>
      </c>
      <c r="AT3368">
        <v>0</v>
      </c>
    </row>
    <row r="3369" spans="44:46">
      <c r="AR3369">
        <v>0</v>
      </c>
      <c r="AS3369">
        <v>0</v>
      </c>
      <c r="AT3369">
        <v>0</v>
      </c>
    </row>
    <row r="3370" spans="44:46">
      <c r="AR3370">
        <v>0</v>
      </c>
      <c r="AS3370">
        <v>0</v>
      </c>
      <c r="AT3370">
        <v>0</v>
      </c>
    </row>
    <row r="3371" spans="44:46">
      <c r="AR3371">
        <v>0</v>
      </c>
      <c r="AS3371">
        <v>0</v>
      </c>
      <c r="AT3371">
        <v>0</v>
      </c>
    </row>
    <row r="3372" spans="44:46">
      <c r="AR3372">
        <v>0</v>
      </c>
      <c r="AS3372">
        <v>0</v>
      </c>
      <c r="AT3372">
        <v>0</v>
      </c>
    </row>
    <row r="3373" spans="44:46">
      <c r="AR3373">
        <v>0</v>
      </c>
      <c r="AS3373">
        <v>0</v>
      </c>
      <c r="AT3373">
        <v>0</v>
      </c>
    </row>
    <row r="3374" spans="44:46">
      <c r="AR3374">
        <v>0</v>
      </c>
      <c r="AS3374">
        <v>0</v>
      </c>
      <c r="AT3374">
        <v>0</v>
      </c>
    </row>
    <row r="3375" spans="44:46">
      <c r="AR3375">
        <v>0</v>
      </c>
      <c r="AS3375">
        <v>0</v>
      </c>
      <c r="AT3375">
        <v>0</v>
      </c>
    </row>
    <row r="3376" spans="44:46">
      <c r="AR3376">
        <v>0</v>
      </c>
      <c r="AS3376">
        <v>0</v>
      </c>
      <c r="AT3376">
        <v>0</v>
      </c>
    </row>
    <row r="3377" spans="44:46">
      <c r="AR3377">
        <v>0</v>
      </c>
      <c r="AS3377">
        <v>0</v>
      </c>
      <c r="AT3377">
        <v>0</v>
      </c>
    </row>
    <row r="3378" spans="44:46">
      <c r="AR3378">
        <v>0</v>
      </c>
      <c r="AS3378">
        <v>0</v>
      </c>
      <c r="AT3378">
        <v>0</v>
      </c>
    </row>
    <row r="3379" spans="44:46">
      <c r="AR3379">
        <v>0</v>
      </c>
      <c r="AS3379">
        <v>0</v>
      </c>
      <c r="AT3379">
        <v>0</v>
      </c>
    </row>
    <row r="3380" spans="44:46">
      <c r="AR3380">
        <v>0</v>
      </c>
      <c r="AS3380">
        <v>0</v>
      </c>
      <c r="AT3380">
        <v>0</v>
      </c>
    </row>
    <row r="3381" spans="44:46">
      <c r="AR3381">
        <v>0</v>
      </c>
      <c r="AS3381">
        <v>0</v>
      </c>
      <c r="AT3381">
        <v>0</v>
      </c>
    </row>
    <row r="3382" spans="44:46">
      <c r="AR3382">
        <v>0</v>
      </c>
      <c r="AS3382">
        <v>0</v>
      </c>
      <c r="AT3382">
        <v>0</v>
      </c>
    </row>
    <row r="3383" spans="44:46">
      <c r="AR3383">
        <v>0</v>
      </c>
      <c r="AS3383">
        <v>0</v>
      </c>
      <c r="AT3383">
        <v>0</v>
      </c>
    </row>
    <row r="3384" spans="44:46">
      <c r="AR3384">
        <v>0</v>
      </c>
      <c r="AS3384">
        <v>0</v>
      </c>
      <c r="AT3384">
        <v>0</v>
      </c>
    </row>
    <row r="3385" spans="44:46">
      <c r="AR3385">
        <v>0</v>
      </c>
      <c r="AS3385">
        <v>0</v>
      </c>
      <c r="AT3385">
        <v>0</v>
      </c>
    </row>
    <row r="3386" spans="44:46">
      <c r="AR3386">
        <v>0</v>
      </c>
      <c r="AS3386">
        <v>0</v>
      </c>
      <c r="AT3386">
        <v>0</v>
      </c>
    </row>
    <row r="3387" spans="44:46">
      <c r="AR3387">
        <v>0</v>
      </c>
      <c r="AS3387">
        <v>0</v>
      </c>
      <c r="AT3387">
        <v>0</v>
      </c>
    </row>
    <row r="3388" spans="44:46">
      <c r="AR3388">
        <v>0</v>
      </c>
      <c r="AS3388">
        <v>0</v>
      </c>
      <c r="AT3388">
        <v>0</v>
      </c>
    </row>
    <row r="3389" spans="44:46">
      <c r="AR3389">
        <v>0</v>
      </c>
      <c r="AS3389">
        <v>0</v>
      </c>
      <c r="AT3389">
        <v>0</v>
      </c>
    </row>
    <row r="3390" spans="44:46">
      <c r="AR3390">
        <v>0</v>
      </c>
      <c r="AS3390">
        <v>0</v>
      </c>
      <c r="AT3390">
        <v>0</v>
      </c>
    </row>
    <row r="3391" spans="44:46">
      <c r="AR3391">
        <v>0</v>
      </c>
      <c r="AS3391">
        <v>0</v>
      </c>
      <c r="AT3391">
        <v>0</v>
      </c>
    </row>
    <row r="3392" spans="44:46">
      <c r="AR3392">
        <v>0</v>
      </c>
      <c r="AS3392">
        <v>0</v>
      </c>
      <c r="AT3392">
        <v>0</v>
      </c>
    </row>
    <row r="3393" spans="44:46">
      <c r="AR3393">
        <v>0</v>
      </c>
      <c r="AS3393">
        <v>0</v>
      </c>
      <c r="AT3393">
        <v>0</v>
      </c>
    </row>
    <row r="3394" spans="44:46">
      <c r="AR3394">
        <v>0</v>
      </c>
      <c r="AS3394">
        <v>0</v>
      </c>
      <c r="AT3394">
        <v>0</v>
      </c>
    </row>
    <row r="3395" spans="44:46">
      <c r="AR3395">
        <v>0</v>
      </c>
      <c r="AS3395">
        <v>0</v>
      </c>
      <c r="AT3395">
        <v>0</v>
      </c>
    </row>
    <row r="3396" spans="44:46">
      <c r="AR3396">
        <v>0</v>
      </c>
      <c r="AS3396">
        <v>0</v>
      </c>
      <c r="AT3396">
        <v>0</v>
      </c>
    </row>
    <row r="3397" spans="44:46">
      <c r="AR3397">
        <v>0</v>
      </c>
      <c r="AS3397">
        <v>0</v>
      </c>
      <c r="AT3397">
        <v>0</v>
      </c>
    </row>
    <row r="3398" spans="44:46">
      <c r="AR3398">
        <v>0</v>
      </c>
      <c r="AS3398">
        <v>0</v>
      </c>
      <c r="AT3398">
        <v>0</v>
      </c>
    </row>
    <row r="3399" spans="44:46">
      <c r="AR3399">
        <v>0</v>
      </c>
      <c r="AS3399">
        <v>0</v>
      </c>
      <c r="AT3399">
        <v>0</v>
      </c>
    </row>
    <row r="3400" spans="44:46">
      <c r="AR3400">
        <v>0</v>
      </c>
      <c r="AS3400">
        <v>0</v>
      </c>
      <c r="AT3400">
        <v>0</v>
      </c>
    </row>
    <row r="3401" spans="44:46">
      <c r="AR3401">
        <v>0</v>
      </c>
      <c r="AS3401">
        <v>0</v>
      </c>
      <c r="AT3401">
        <v>0</v>
      </c>
    </row>
    <row r="3402" spans="44:46">
      <c r="AR3402">
        <v>0</v>
      </c>
      <c r="AS3402">
        <v>0</v>
      </c>
      <c r="AT3402">
        <v>0</v>
      </c>
    </row>
    <row r="3403" spans="44:46">
      <c r="AR3403">
        <v>0</v>
      </c>
      <c r="AS3403">
        <v>0</v>
      </c>
      <c r="AT3403">
        <v>0</v>
      </c>
    </row>
    <row r="3404" spans="44:46">
      <c r="AR3404">
        <v>0</v>
      </c>
      <c r="AS3404">
        <v>0</v>
      </c>
      <c r="AT3404">
        <v>0</v>
      </c>
    </row>
    <row r="3405" spans="44:46">
      <c r="AR3405">
        <v>0</v>
      </c>
      <c r="AS3405">
        <v>0</v>
      </c>
      <c r="AT3405">
        <v>0</v>
      </c>
    </row>
    <row r="3406" spans="44:46">
      <c r="AR3406">
        <v>0</v>
      </c>
      <c r="AS3406">
        <v>0</v>
      </c>
      <c r="AT3406">
        <v>0</v>
      </c>
    </row>
    <row r="3407" spans="44:46">
      <c r="AR3407">
        <v>0</v>
      </c>
      <c r="AS3407">
        <v>0</v>
      </c>
      <c r="AT3407">
        <v>0</v>
      </c>
    </row>
    <row r="3408" spans="44:46">
      <c r="AR3408">
        <v>0</v>
      </c>
      <c r="AS3408">
        <v>0</v>
      </c>
      <c r="AT3408">
        <v>0</v>
      </c>
    </row>
    <row r="3409" spans="44:46">
      <c r="AR3409">
        <v>0</v>
      </c>
      <c r="AS3409">
        <v>0</v>
      </c>
      <c r="AT3409">
        <v>0</v>
      </c>
    </row>
    <row r="3410" spans="44:46">
      <c r="AR3410">
        <v>0</v>
      </c>
      <c r="AS3410">
        <v>0</v>
      </c>
      <c r="AT3410">
        <v>0</v>
      </c>
    </row>
    <row r="3411" spans="44:46">
      <c r="AR3411">
        <v>0</v>
      </c>
      <c r="AS3411">
        <v>0</v>
      </c>
      <c r="AT3411">
        <v>0</v>
      </c>
    </row>
    <row r="3412" spans="44:46">
      <c r="AR3412">
        <v>0</v>
      </c>
      <c r="AS3412">
        <v>0</v>
      </c>
      <c r="AT3412">
        <v>0</v>
      </c>
    </row>
    <row r="3413" spans="44:46">
      <c r="AR3413">
        <v>0</v>
      </c>
      <c r="AS3413">
        <v>0</v>
      </c>
      <c r="AT3413">
        <v>0</v>
      </c>
    </row>
    <row r="3414" spans="44:46">
      <c r="AR3414">
        <v>0</v>
      </c>
      <c r="AS3414">
        <v>0</v>
      </c>
      <c r="AT3414">
        <v>0</v>
      </c>
    </row>
    <row r="3415" spans="44:46">
      <c r="AR3415">
        <v>0</v>
      </c>
      <c r="AS3415">
        <v>0</v>
      </c>
      <c r="AT3415">
        <v>0</v>
      </c>
    </row>
    <row r="3416" spans="44:46">
      <c r="AR3416">
        <v>0</v>
      </c>
      <c r="AS3416">
        <v>0</v>
      </c>
      <c r="AT3416">
        <v>0</v>
      </c>
    </row>
    <row r="3417" spans="44:46">
      <c r="AR3417">
        <v>0</v>
      </c>
      <c r="AS3417">
        <v>0</v>
      </c>
      <c r="AT3417">
        <v>0</v>
      </c>
    </row>
    <row r="3418" spans="44:46">
      <c r="AR3418">
        <v>0</v>
      </c>
      <c r="AS3418">
        <v>0</v>
      </c>
      <c r="AT3418">
        <v>0</v>
      </c>
    </row>
    <row r="3419" spans="44:46">
      <c r="AR3419">
        <v>0</v>
      </c>
      <c r="AS3419">
        <v>0</v>
      </c>
      <c r="AT3419">
        <v>0</v>
      </c>
    </row>
    <row r="3420" spans="44:46">
      <c r="AR3420">
        <v>0</v>
      </c>
      <c r="AS3420">
        <v>0</v>
      </c>
      <c r="AT3420">
        <v>0</v>
      </c>
    </row>
    <row r="3421" spans="44:46">
      <c r="AR3421">
        <v>0</v>
      </c>
      <c r="AS3421">
        <v>0</v>
      </c>
      <c r="AT3421">
        <v>0</v>
      </c>
    </row>
    <row r="3422" spans="44:46">
      <c r="AR3422">
        <v>0</v>
      </c>
      <c r="AS3422">
        <v>0</v>
      </c>
      <c r="AT3422">
        <v>0</v>
      </c>
    </row>
    <row r="3423" spans="44:46">
      <c r="AR3423">
        <v>0</v>
      </c>
      <c r="AS3423">
        <v>0</v>
      </c>
      <c r="AT3423">
        <v>0</v>
      </c>
    </row>
    <row r="3424" spans="44:46">
      <c r="AR3424">
        <v>0</v>
      </c>
      <c r="AS3424">
        <v>0</v>
      </c>
      <c r="AT3424">
        <v>0</v>
      </c>
    </row>
    <row r="3425" spans="44:46">
      <c r="AR3425">
        <v>0</v>
      </c>
      <c r="AS3425">
        <v>0</v>
      </c>
      <c r="AT3425">
        <v>0</v>
      </c>
    </row>
    <row r="3426" spans="44:46">
      <c r="AR3426">
        <v>0</v>
      </c>
      <c r="AS3426">
        <v>0</v>
      </c>
      <c r="AT3426">
        <v>0</v>
      </c>
    </row>
    <row r="3427" spans="44:46">
      <c r="AR3427">
        <v>0</v>
      </c>
      <c r="AS3427">
        <v>0</v>
      </c>
      <c r="AT3427">
        <v>0</v>
      </c>
    </row>
    <row r="3428" spans="44:46">
      <c r="AR3428">
        <v>0</v>
      </c>
      <c r="AS3428">
        <v>0</v>
      </c>
      <c r="AT3428">
        <v>0</v>
      </c>
    </row>
    <row r="3429" spans="44:46">
      <c r="AR3429">
        <v>0</v>
      </c>
      <c r="AS3429">
        <v>0</v>
      </c>
      <c r="AT3429">
        <v>0</v>
      </c>
    </row>
    <row r="3430" spans="44:46">
      <c r="AR3430">
        <v>0</v>
      </c>
      <c r="AS3430">
        <v>0</v>
      </c>
      <c r="AT3430">
        <v>0</v>
      </c>
    </row>
    <row r="3431" spans="44:46">
      <c r="AR3431">
        <v>0</v>
      </c>
      <c r="AS3431">
        <v>0</v>
      </c>
      <c r="AT3431">
        <v>0</v>
      </c>
    </row>
    <row r="3432" spans="44:46">
      <c r="AR3432">
        <v>0</v>
      </c>
      <c r="AS3432">
        <v>0</v>
      </c>
      <c r="AT3432">
        <v>0</v>
      </c>
    </row>
    <row r="3433" spans="44:46">
      <c r="AR3433">
        <v>0</v>
      </c>
      <c r="AS3433">
        <v>0</v>
      </c>
      <c r="AT3433">
        <v>0</v>
      </c>
    </row>
    <row r="3434" spans="44:46">
      <c r="AR3434">
        <v>0</v>
      </c>
      <c r="AS3434">
        <v>0</v>
      </c>
      <c r="AT3434">
        <v>0</v>
      </c>
    </row>
    <row r="3435" spans="44:46">
      <c r="AR3435">
        <v>0</v>
      </c>
      <c r="AS3435">
        <v>0</v>
      </c>
      <c r="AT3435">
        <v>0</v>
      </c>
    </row>
    <row r="3436" spans="44:46">
      <c r="AR3436">
        <v>0</v>
      </c>
      <c r="AS3436">
        <v>0</v>
      </c>
      <c r="AT3436">
        <v>0</v>
      </c>
    </row>
    <row r="3437" spans="44:46">
      <c r="AR3437">
        <v>0</v>
      </c>
      <c r="AS3437">
        <v>0</v>
      </c>
      <c r="AT3437">
        <v>0</v>
      </c>
    </row>
    <row r="3438" spans="44:46">
      <c r="AR3438">
        <v>0</v>
      </c>
      <c r="AS3438">
        <v>0</v>
      </c>
      <c r="AT3438">
        <v>0</v>
      </c>
    </row>
    <row r="3439" spans="44:46">
      <c r="AR3439">
        <v>0</v>
      </c>
      <c r="AS3439">
        <v>0</v>
      </c>
      <c r="AT3439">
        <v>0</v>
      </c>
    </row>
    <row r="3440" spans="44:46">
      <c r="AR3440">
        <v>0</v>
      </c>
      <c r="AS3440">
        <v>0</v>
      </c>
      <c r="AT3440">
        <v>0</v>
      </c>
    </row>
    <row r="3441" spans="44:46">
      <c r="AR3441">
        <v>0</v>
      </c>
      <c r="AS3441">
        <v>0</v>
      </c>
      <c r="AT3441">
        <v>0</v>
      </c>
    </row>
    <row r="3442" spans="44:46">
      <c r="AR3442">
        <v>0</v>
      </c>
      <c r="AS3442">
        <v>0</v>
      </c>
      <c r="AT3442">
        <v>0</v>
      </c>
    </row>
    <row r="3443" spans="44:46">
      <c r="AR3443">
        <v>0</v>
      </c>
      <c r="AS3443">
        <v>0</v>
      </c>
      <c r="AT3443">
        <v>0</v>
      </c>
    </row>
    <row r="3444" spans="44:46">
      <c r="AR3444">
        <v>0</v>
      </c>
      <c r="AS3444">
        <v>0</v>
      </c>
      <c r="AT3444">
        <v>0</v>
      </c>
    </row>
    <row r="3445" spans="44:46">
      <c r="AR3445">
        <v>0</v>
      </c>
      <c r="AS3445">
        <v>0</v>
      </c>
      <c r="AT3445">
        <v>0</v>
      </c>
    </row>
    <row r="3446" spans="44:46">
      <c r="AR3446">
        <v>0</v>
      </c>
      <c r="AS3446">
        <v>0</v>
      </c>
      <c r="AT3446">
        <v>0</v>
      </c>
    </row>
    <row r="3447" spans="44:46">
      <c r="AR3447">
        <v>0</v>
      </c>
      <c r="AS3447">
        <v>0</v>
      </c>
      <c r="AT3447">
        <v>0</v>
      </c>
    </row>
    <row r="3448" spans="44:46">
      <c r="AR3448">
        <v>0</v>
      </c>
      <c r="AS3448">
        <v>0</v>
      </c>
      <c r="AT3448">
        <v>0</v>
      </c>
    </row>
    <row r="3449" spans="44:46">
      <c r="AR3449">
        <v>0</v>
      </c>
      <c r="AS3449">
        <v>0</v>
      </c>
      <c r="AT3449">
        <v>0</v>
      </c>
    </row>
    <row r="3450" spans="44:46">
      <c r="AR3450">
        <v>0</v>
      </c>
      <c r="AS3450">
        <v>0</v>
      </c>
      <c r="AT3450">
        <v>0</v>
      </c>
    </row>
    <row r="3451" spans="44:46">
      <c r="AR3451">
        <v>0</v>
      </c>
      <c r="AS3451">
        <v>0</v>
      </c>
      <c r="AT3451">
        <v>0</v>
      </c>
    </row>
    <row r="3452" spans="44:46">
      <c r="AR3452">
        <v>0</v>
      </c>
      <c r="AS3452">
        <v>0</v>
      </c>
      <c r="AT3452">
        <v>0</v>
      </c>
    </row>
    <row r="3453" spans="44:46">
      <c r="AR3453">
        <v>0</v>
      </c>
      <c r="AS3453">
        <v>0</v>
      </c>
      <c r="AT3453">
        <v>0</v>
      </c>
    </row>
    <row r="3454" spans="44:46">
      <c r="AR3454">
        <v>0</v>
      </c>
      <c r="AS3454">
        <v>0</v>
      </c>
      <c r="AT3454">
        <v>0</v>
      </c>
    </row>
    <row r="3455" spans="44:46">
      <c r="AR3455">
        <v>0</v>
      </c>
      <c r="AS3455">
        <v>0</v>
      </c>
      <c r="AT3455">
        <v>0</v>
      </c>
    </row>
    <row r="3456" spans="44:46">
      <c r="AR3456">
        <v>0</v>
      </c>
      <c r="AS3456">
        <v>0</v>
      </c>
      <c r="AT3456">
        <v>0</v>
      </c>
    </row>
    <row r="3457" spans="44:46">
      <c r="AR3457">
        <v>0</v>
      </c>
      <c r="AS3457">
        <v>0</v>
      </c>
      <c r="AT3457">
        <v>0</v>
      </c>
    </row>
    <row r="3458" spans="44:46">
      <c r="AR3458">
        <v>0</v>
      </c>
      <c r="AS3458">
        <v>0</v>
      </c>
      <c r="AT3458">
        <v>0</v>
      </c>
    </row>
    <row r="3459" spans="44:46">
      <c r="AR3459">
        <v>0</v>
      </c>
      <c r="AS3459">
        <v>0</v>
      </c>
      <c r="AT3459">
        <v>0</v>
      </c>
    </row>
    <row r="3460" spans="44:46">
      <c r="AR3460">
        <v>0</v>
      </c>
      <c r="AS3460">
        <v>0</v>
      </c>
      <c r="AT3460">
        <v>0</v>
      </c>
    </row>
    <row r="3461" spans="44:46">
      <c r="AR3461">
        <v>0</v>
      </c>
      <c r="AS3461">
        <v>0</v>
      </c>
      <c r="AT3461">
        <v>0</v>
      </c>
    </row>
    <row r="3462" spans="44:46">
      <c r="AR3462">
        <v>0</v>
      </c>
      <c r="AS3462">
        <v>0</v>
      </c>
      <c r="AT3462">
        <v>0</v>
      </c>
    </row>
    <row r="3463" spans="44:46">
      <c r="AR3463">
        <v>0</v>
      </c>
      <c r="AS3463">
        <v>0</v>
      </c>
      <c r="AT3463">
        <v>0</v>
      </c>
    </row>
    <row r="3464" spans="44:46">
      <c r="AR3464">
        <v>0</v>
      </c>
      <c r="AS3464">
        <v>0</v>
      </c>
      <c r="AT3464">
        <v>0</v>
      </c>
    </row>
    <row r="3465" spans="44:46">
      <c r="AR3465">
        <v>0</v>
      </c>
      <c r="AS3465">
        <v>0</v>
      </c>
      <c r="AT3465">
        <v>0</v>
      </c>
    </row>
    <row r="3466" spans="44:46">
      <c r="AR3466">
        <v>0</v>
      </c>
      <c r="AS3466">
        <v>0</v>
      </c>
      <c r="AT3466">
        <v>0</v>
      </c>
    </row>
    <row r="3467" spans="44:46">
      <c r="AR3467">
        <v>0</v>
      </c>
      <c r="AS3467">
        <v>0</v>
      </c>
      <c r="AT3467">
        <v>0</v>
      </c>
    </row>
    <row r="3468" spans="44:46">
      <c r="AR3468">
        <v>0</v>
      </c>
      <c r="AS3468">
        <v>0</v>
      </c>
      <c r="AT3468">
        <v>0</v>
      </c>
    </row>
    <row r="3469" spans="44:46">
      <c r="AR3469">
        <v>0</v>
      </c>
      <c r="AS3469">
        <v>0</v>
      </c>
      <c r="AT3469">
        <v>0</v>
      </c>
    </row>
    <row r="3470" spans="44:46">
      <c r="AR3470">
        <v>0</v>
      </c>
      <c r="AS3470">
        <v>0</v>
      </c>
      <c r="AT3470">
        <v>0</v>
      </c>
    </row>
    <row r="3471" spans="44:46">
      <c r="AR3471">
        <v>0</v>
      </c>
      <c r="AS3471">
        <v>0</v>
      </c>
      <c r="AT3471">
        <v>0</v>
      </c>
    </row>
    <row r="3472" spans="44:46">
      <c r="AR3472">
        <v>0</v>
      </c>
      <c r="AS3472">
        <v>0</v>
      </c>
      <c r="AT3472">
        <v>0</v>
      </c>
    </row>
    <row r="3473" spans="44:46">
      <c r="AR3473">
        <v>0</v>
      </c>
      <c r="AS3473">
        <v>0</v>
      </c>
      <c r="AT3473">
        <v>0</v>
      </c>
    </row>
    <row r="3474" spans="44:46">
      <c r="AR3474">
        <v>0</v>
      </c>
      <c r="AS3474">
        <v>0</v>
      </c>
      <c r="AT3474">
        <v>0</v>
      </c>
    </row>
    <row r="3475" spans="44:46">
      <c r="AR3475">
        <v>0</v>
      </c>
      <c r="AS3475">
        <v>0</v>
      </c>
      <c r="AT3475">
        <v>0</v>
      </c>
    </row>
    <row r="3476" spans="44:46">
      <c r="AR3476">
        <v>0</v>
      </c>
      <c r="AS3476">
        <v>0</v>
      </c>
      <c r="AT3476">
        <v>0</v>
      </c>
    </row>
    <row r="3477" spans="44:46">
      <c r="AR3477">
        <v>0</v>
      </c>
      <c r="AS3477">
        <v>0</v>
      </c>
      <c r="AT3477">
        <v>0</v>
      </c>
    </row>
    <row r="3478" spans="44:46">
      <c r="AR3478">
        <v>0</v>
      </c>
      <c r="AS3478">
        <v>0</v>
      </c>
      <c r="AT3478">
        <v>0</v>
      </c>
    </row>
    <row r="3479" spans="44:46">
      <c r="AR3479">
        <v>0</v>
      </c>
      <c r="AS3479">
        <v>0</v>
      </c>
      <c r="AT3479">
        <v>0</v>
      </c>
    </row>
    <row r="3480" spans="44:46">
      <c r="AR3480">
        <v>0</v>
      </c>
      <c r="AS3480">
        <v>0</v>
      </c>
      <c r="AT3480">
        <v>0</v>
      </c>
    </row>
    <row r="3481" spans="44:46">
      <c r="AR3481">
        <v>0</v>
      </c>
      <c r="AS3481">
        <v>0</v>
      </c>
      <c r="AT3481">
        <v>0</v>
      </c>
    </row>
    <row r="3482" spans="44:46">
      <c r="AR3482">
        <v>0</v>
      </c>
      <c r="AS3482">
        <v>0</v>
      </c>
      <c r="AT3482">
        <v>0</v>
      </c>
    </row>
    <row r="3483" spans="44:46">
      <c r="AR3483">
        <v>0</v>
      </c>
      <c r="AS3483">
        <v>0</v>
      </c>
      <c r="AT3483">
        <v>0</v>
      </c>
    </row>
    <row r="3484" spans="44:46">
      <c r="AR3484">
        <v>0</v>
      </c>
      <c r="AS3484">
        <v>0</v>
      </c>
      <c r="AT3484">
        <v>0</v>
      </c>
    </row>
    <row r="3485" spans="44:46">
      <c r="AR3485">
        <v>0</v>
      </c>
      <c r="AS3485">
        <v>0</v>
      </c>
      <c r="AT3485">
        <v>0</v>
      </c>
    </row>
    <row r="3486" spans="44:46">
      <c r="AR3486">
        <v>0</v>
      </c>
      <c r="AS3486">
        <v>0</v>
      </c>
      <c r="AT3486">
        <v>0</v>
      </c>
    </row>
    <row r="3487" spans="44:46">
      <c r="AR3487">
        <v>0</v>
      </c>
      <c r="AS3487">
        <v>0</v>
      </c>
      <c r="AT3487">
        <v>0</v>
      </c>
    </row>
    <row r="3488" spans="44:46">
      <c r="AR3488">
        <v>0</v>
      </c>
      <c r="AS3488">
        <v>0</v>
      </c>
      <c r="AT3488">
        <v>0</v>
      </c>
    </row>
    <row r="3489" spans="44:46">
      <c r="AR3489">
        <v>0</v>
      </c>
      <c r="AS3489">
        <v>0</v>
      </c>
      <c r="AT3489">
        <v>0</v>
      </c>
    </row>
    <row r="3490" spans="44:46">
      <c r="AR3490">
        <v>0</v>
      </c>
      <c r="AS3490">
        <v>0</v>
      </c>
      <c r="AT3490">
        <v>0</v>
      </c>
    </row>
    <row r="3491" spans="44:46">
      <c r="AR3491">
        <v>0</v>
      </c>
      <c r="AS3491">
        <v>0</v>
      </c>
      <c r="AT3491">
        <v>0</v>
      </c>
    </row>
    <row r="3492" spans="44:46">
      <c r="AR3492">
        <v>0</v>
      </c>
      <c r="AS3492">
        <v>0</v>
      </c>
      <c r="AT3492">
        <v>0</v>
      </c>
    </row>
    <row r="3493" spans="44:46">
      <c r="AR3493">
        <v>0</v>
      </c>
      <c r="AS3493">
        <v>0</v>
      </c>
      <c r="AT3493">
        <v>0</v>
      </c>
    </row>
    <row r="3494" spans="44:46">
      <c r="AR3494">
        <v>0</v>
      </c>
      <c r="AS3494">
        <v>0</v>
      </c>
      <c r="AT3494">
        <v>0</v>
      </c>
    </row>
    <row r="3495" spans="44:46">
      <c r="AR3495">
        <v>0</v>
      </c>
      <c r="AS3495">
        <v>0</v>
      </c>
      <c r="AT3495">
        <v>0</v>
      </c>
    </row>
    <row r="3496" spans="44:46">
      <c r="AR3496">
        <v>0</v>
      </c>
      <c r="AS3496">
        <v>0</v>
      </c>
      <c r="AT3496">
        <v>0</v>
      </c>
    </row>
    <row r="3497" spans="44:46">
      <c r="AR3497">
        <v>0</v>
      </c>
      <c r="AS3497">
        <v>0</v>
      </c>
      <c r="AT3497">
        <v>0</v>
      </c>
    </row>
    <row r="3498" spans="44:46">
      <c r="AR3498">
        <v>0</v>
      </c>
      <c r="AS3498">
        <v>0</v>
      </c>
      <c r="AT3498">
        <v>0</v>
      </c>
    </row>
    <row r="3499" spans="44:46">
      <c r="AR3499">
        <v>0</v>
      </c>
      <c r="AS3499">
        <v>0</v>
      </c>
      <c r="AT3499">
        <v>0</v>
      </c>
    </row>
    <row r="3500" spans="44:46">
      <c r="AR3500">
        <v>0</v>
      </c>
      <c r="AS3500">
        <v>0</v>
      </c>
      <c r="AT3500">
        <v>0</v>
      </c>
    </row>
    <row r="3501" spans="44:46">
      <c r="AR3501">
        <v>0</v>
      </c>
      <c r="AS3501">
        <v>0</v>
      </c>
      <c r="AT3501">
        <v>0</v>
      </c>
    </row>
    <row r="3502" spans="44:46">
      <c r="AR3502">
        <v>0</v>
      </c>
      <c r="AS3502">
        <v>0</v>
      </c>
      <c r="AT3502">
        <v>0</v>
      </c>
    </row>
    <row r="3503" spans="44:46">
      <c r="AR3503">
        <v>0</v>
      </c>
      <c r="AS3503">
        <v>0</v>
      </c>
      <c r="AT3503">
        <v>0</v>
      </c>
    </row>
    <row r="3504" spans="44:46">
      <c r="AR3504">
        <v>0</v>
      </c>
      <c r="AS3504">
        <v>0</v>
      </c>
      <c r="AT3504">
        <v>0</v>
      </c>
    </row>
    <row r="3505" spans="44:46">
      <c r="AR3505">
        <v>0</v>
      </c>
      <c r="AS3505">
        <v>0</v>
      </c>
      <c r="AT3505">
        <v>0</v>
      </c>
    </row>
    <row r="3506" spans="44:46">
      <c r="AR3506">
        <v>0</v>
      </c>
      <c r="AS3506">
        <v>0</v>
      </c>
      <c r="AT3506">
        <v>0</v>
      </c>
    </row>
    <row r="3507" spans="44:46">
      <c r="AR3507">
        <v>0</v>
      </c>
      <c r="AS3507">
        <v>0</v>
      </c>
      <c r="AT3507">
        <v>0</v>
      </c>
    </row>
    <row r="3508" spans="44:46">
      <c r="AR3508">
        <v>0</v>
      </c>
      <c r="AS3508">
        <v>0</v>
      </c>
      <c r="AT3508">
        <v>0</v>
      </c>
    </row>
    <row r="3509" spans="44:46">
      <c r="AR3509">
        <v>0</v>
      </c>
      <c r="AS3509">
        <v>0</v>
      </c>
      <c r="AT3509">
        <v>0</v>
      </c>
    </row>
    <row r="3510" spans="44:46">
      <c r="AR3510">
        <v>0</v>
      </c>
      <c r="AS3510">
        <v>0</v>
      </c>
      <c r="AT3510">
        <v>0</v>
      </c>
    </row>
    <row r="3511" spans="44:46">
      <c r="AR3511">
        <v>0</v>
      </c>
      <c r="AS3511">
        <v>0</v>
      </c>
      <c r="AT3511">
        <v>0</v>
      </c>
    </row>
    <row r="3512" spans="44:46">
      <c r="AR3512">
        <v>0</v>
      </c>
      <c r="AS3512">
        <v>0</v>
      </c>
      <c r="AT3512">
        <v>0</v>
      </c>
    </row>
    <row r="3513" spans="44:46">
      <c r="AR3513">
        <v>0</v>
      </c>
      <c r="AS3513">
        <v>0</v>
      </c>
      <c r="AT3513">
        <v>0</v>
      </c>
    </row>
    <row r="3514" spans="44:46">
      <c r="AR3514">
        <v>0</v>
      </c>
      <c r="AS3514">
        <v>0</v>
      </c>
      <c r="AT3514">
        <v>0</v>
      </c>
    </row>
    <row r="3515" spans="44:46">
      <c r="AR3515">
        <v>0</v>
      </c>
      <c r="AS3515">
        <v>0</v>
      </c>
      <c r="AT3515">
        <v>0</v>
      </c>
    </row>
    <row r="3516" spans="44:46">
      <c r="AR3516">
        <v>0</v>
      </c>
      <c r="AS3516">
        <v>0</v>
      </c>
      <c r="AT3516">
        <v>0</v>
      </c>
    </row>
    <row r="3517" spans="44:46">
      <c r="AR3517">
        <v>0</v>
      </c>
      <c r="AS3517">
        <v>0</v>
      </c>
      <c r="AT3517">
        <v>0</v>
      </c>
    </row>
    <row r="3518" spans="44:46">
      <c r="AR3518">
        <v>0</v>
      </c>
      <c r="AS3518">
        <v>0</v>
      </c>
      <c r="AT3518">
        <v>0</v>
      </c>
    </row>
    <row r="3519" spans="44:46">
      <c r="AR3519">
        <v>0</v>
      </c>
      <c r="AS3519">
        <v>0</v>
      </c>
      <c r="AT3519">
        <v>0</v>
      </c>
    </row>
    <row r="3520" spans="44:46">
      <c r="AR3520">
        <v>0</v>
      </c>
      <c r="AS3520">
        <v>0</v>
      </c>
      <c r="AT3520">
        <v>0</v>
      </c>
    </row>
    <row r="3521" spans="44:46">
      <c r="AR3521">
        <v>0</v>
      </c>
      <c r="AS3521">
        <v>0</v>
      </c>
      <c r="AT3521">
        <v>0</v>
      </c>
    </row>
    <row r="3522" spans="44:46">
      <c r="AR3522">
        <v>0</v>
      </c>
      <c r="AS3522">
        <v>0</v>
      </c>
      <c r="AT3522">
        <v>0</v>
      </c>
    </row>
    <row r="3523" spans="44:46">
      <c r="AR3523">
        <v>0</v>
      </c>
      <c r="AS3523">
        <v>0</v>
      </c>
      <c r="AT3523">
        <v>0</v>
      </c>
    </row>
    <row r="3524" spans="44:46">
      <c r="AR3524">
        <v>0</v>
      </c>
      <c r="AS3524">
        <v>0</v>
      </c>
      <c r="AT3524">
        <v>0</v>
      </c>
    </row>
    <row r="3525" spans="44:46">
      <c r="AR3525">
        <v>0</v>
      </c>
      <c r="AS3525">
        <v>0</v>
      </c>
      <c r="AT3525">
        <v>0</v>
      </c>
    </row>
    <row r="3526" spans="44:46">
      <c r="AR3526">
        <v>0</v>
      </c>
      <c r="AS3526">
        <v>0</v>
      </c>
      <c r="AT3526">
        <v>0</v>
      </c>
    </row>
    <row r="3527" spans="44:46">
      <c r="AR3527">
        <v>0</v>
      </c>
      <c r="AS3527">
        <v>0</v>
      </c>
      <c r="AT3527">
        <v>0</v>
      </c>
    </row>
    <row r="3528" spans="44:46">
      <c r="AR3528">
        <v>0</v>
      </c>
      <c r="AS3528">
        <v>0</v>
      </c>
      <c r="AT3528">
        <v>0</v>
      </c>
    </row>
    <row r="3529" spans="44:46">
      <c r="AR3529">
        <v>0</v>
      </c>
      <c r="AS3529">
        <v>0</v>
      </c>
      <c r="AT3529">
        <v>0</v>
      </c>
    </row>
    <row r="3530" spans="44:46">
      <c r="AR3530">
        <v>0</v>
      </c>
      <c r="AS3530">
        <v>0</v>
      </c>
      <c r="AT3530">
        <v>0</v>
      </c>
    </row>
    <row r="3531" spans="44:46">
      <c r="AR3531">
        <v>0</v>
      </c>
      <c r="AS3531">
        <v>0</v>
      </c>
      <c r="AT3531">
        <v>0</v>
      </c>
    </row>
    <row r="3532" spans="44:46">
      <c r="AR3532">
        <v>0</v>
      </c>
      <c r="AS3532">
        <v>0</v>
      </c>
      <c r="AT3532">
        <v>0</v>
      </c>
    </row>
    <row r="3533" spans="44:46">
      <c r="AR3533">
        <v>0</v>
      </c>
      <c r="AS3533">
        <v>0</v>
      </c>
      <c r="AT3533">
        <v>0</v>
      </c>
    </row>
    <row r="3534" spans="44:46">
      <c r="AR3534">
        <v>0</v>
      </c>
      <c r="AS3534">
        <v>0</v>
      </c>
      <c r="AT3534">
        <v>0</v>
      </c>
    </row>
    <row r="3535" spans="44:46">
      <c r="AR3535">
        <v>0</v>
      </c>
      <c r="AS3535">
        <v>0</v>
      </c>
      <c r="AT3535">
        <v>0</v>
      </c>
    </row>
    <row r="3536" spans="44:46">
      <c r="AR3536">
        <v>0</v>
      </c>
      <c r="AS3536">
        <v>0</v>
      </c>
      <c r="AT3536">
        <v>0</v>
      </c>
    </row>
    <row r="3537" spans="44:46">
      <c r="AR3537">
        <v>0</v>
      </c>
      <c r="AS3537">
        <v>0</v>
      </c>
      <c r="AT3537">
        <v>0</v>
      </c>
    </row>
    <row r="3538" spans="44:46">
      <c r="AR3538">
        <v>0</v>
      </c>
      <c r="AS3538">
        <v>0</v>
      </c>
      <c r="AT3538">
        <v>0</v>
      </c>
    </row>
    <row r="3539" spans="44:46">
      <c r="AR3539">
        <v>0</v>
      </c>
      <c r="AS3539">
        <v>0</v>
      </c>
      <c r="AT3539">
        <v>0</v>
      </c>
    </row>
    <row r="3540" spans="44:46">
      <c r="AR3540">
        <v>0</v>
      </c>
      <c r="AS3540">
        <v>0</v>
      </c>
      <c r="AT3540">
        <v>0</v>
      </c>
    </row>
    <row r="3541" spans="44:46">
      <c r="AR3541">
        <v>0</v>
      </c>
      <c r="AS3541">
        <v>0</v>
      </c>
      <c r="AT3541">
        <v>0</v>
      </c>
    </row>
    <row r="3542" spans="44:46">
      <c r="AR3542">
        <v>0</v>
      </c>
      <c r="AS3542">
        <v>0</v>
      </c>
      <c r="AT3542">
        <v>0</v>
      </c>
    </row>
    <row r="3543" spans="44:46">
      <c r="AR3543">
        <v>0</v>
      </c>
      <c r="AS3543">
        <v>0</v>
      </c>
      <c r="AT3543">
        <v>0</v>
      </c>
    </row>
    <row r="3544" spans="44:46">
      <c r="AR3544">
        <v>0</v>
      </c>
      <c r="AS3544">
        <v>0</v>
      </c>
      <c r="AT3544">
        <v>0</v>
      </c>
    </row>
    <row r="3545" spans="44:46">
      <c r="AR3545">
        <v>0</v>
      </c>
      <c r="AS3545">
        <v>0</v>
      </c>
      <c r="AT3545">
        <v>0</v>
      </c>
    </row>
    <row r="3546" spans="44:46">
      <c r="AR3546">
        <v>0</v>
      </c>
      <c r="AS3546">
        <v>0</v>
      </c>
      <c r="AT3546">
        <v>0</v>
      </c>
    </row>
    <row r="3547" spans="44:46">
      <c r="AR3547">
        <v>0</v>
      </c>
      <c r="AS3547">
        <v>0</v>
      </c>
      <c r="AT3547">
        <v>0</v>
      </c>
    </row>
    <row r="3548" spans="44:46">
      <c r="AR3548">
        <v>0</v>
      </c>
      <c r="AS3548">
        <v>0</v>
      </c>
      <c r="AT3548">
        <v>0</v>
      </c>
    </row>
    <row r="3549" spans="44:46">
      <c r="AR3549">
        <v>0</v>
      </c>
      <c r="AS3549">
        <v>0</v>
      </c>
      <c r="AT3549">
        <v>0</v>
      </c>
    </row>
    <row r="3550" spans="44:46">
      <c r="AR3550">
        <v>0</v>
      </c>
      <c r="AS3550">
        <v>0</v>
      </c>
      <c r="AT3550">
        <v>0</v>
      </c>
    </row>
    <row r="3551" spans="44:46">
      <c r="AR3551">
        <v>0</v>
      </c>
      <c r="AS3551">
        <v>0</v>
      </c>
      <c r="AT3551">
        <v>0</v>
      </c>
    </row>
    <row r="3552" spans="44:46">
      <c r="AR3552">
        <v>0</v>
      </c>
      <c r="AS3552">
        <v>0</v>
      </c>
      <c r="AT3552">
        <v>0</v>
      </c>
    </row>
    <row r="3553" spans="44:46">
      <c r="AR3553">
        <v>0</v>
      </c>
      <c r="AS3553">
        <v>0</v>
      </c>
      <c r="AT3553">
        <v>0</v>
      </c>
    </row>
    <row r="3554" spans="44:46">
      <c r="AR3554">
        <v>0</v>
      </c>
      <c r="AS3554">
        <v>0</v>
      </c>
      <c r="AT3554">
        <v>0</v>
      </c>
    </row>
    <row r="3555" spans="44:46">
      <c r="AR3555">
        <v>0</v>
      </c>
      <c r="AS3555">
        <v>0</v>
      </c>
      <c r="AT3555">
        <v>0</v>
      </c>
    </row>
    <row r="3556" spans="44:46">
      <c r="AR3556">
        <v>0</v>
      </c>
      <c r="AS3556">
        <v>0</v>
      </c>
      <c r="AT3556">
        <v>0</v>
      </c>
    </row>
    <row r="3557" spans="44:46">
      <c r="AR3557">
        <v>0</v>
      </c>
      <c r="AS3557">
        <v>0</v>
      </c>
      <c r="AT3557">
        <v>0</v>
      </c>
    </row>
    <row r="3558" spans="44:46">
      <c r="AR3558">
        <v>0</v>
      </c>
      <c r="AS3558">
        <v>0</v>
      </c>
      <c r="AT3558">
        <v>0</v>
      </c>
    </row>
    <row r="3559" spans="44:46">
      <c r="AR3559">
        <v>0</v>
      </c>
      <c r="AS3559">
        <v>0</v>
      </c>
      <c r="AT3559">
        <v>0</v>
      </c>
    </row>
    <row r="3560" spans="44:46">
      <c r="AR3560">
        <v>0</v>
      </c>
      <c r="AS3560">
        <v>0</v>
      </c>
      <c r="AT3560">
        <v>0</v>
      </c>
    </row>
    <row r="3561" spans="44:46">
      <c r="AR3561">
        <v>0</v>
      </c>
      <c r="AS3561">
        <v>0</v>
      </c>
      <c r="AT3561">
        <v>0</v>
      </c>
    </row>
    <row r="3562" spans="44:46">
      <c r="AR3562">
        <v>0</v>
      </c>
      <c r="AS3562">
        <v>0</v>
      </c>
      <c r="AT3562">
        <v>0</v>
      </c>
    </row>
    <row r="3563" spans="44:46">
      <c r="AR3563">
        <v>0</v>
      </c>
      <c r="AS3563">
        <v>0</v>
      </c>
      <c r="AT3563">
        <v>0</v>
      </c>
    </row>
    <row r="3564" spans="44:46">
      <c r="AR3564">
        <v>0</v>
      </c>
      <c r="AS3564">
        <v>0</v>
      </c>
      <c r="AT3564">
        <v>0</v>
      </c>
    </row>
    <row r="3565" spans="44:46">
      <c r="AR3565">
        <v>0</v>
      </c>
      <c r="AS3565">
        <v>0</v>
      </c>
      <c r="AT3565">
        <v>0</v>
      </c>
    </row>
    <row r="3566" spans="44:46">
      <c r="AR3566">
        <v>0</v>
      </c>
      <c r="AS3566">
        <v>0</v>
      </c>
      <c r="AT3566">
        <v>0</v>
      </c>
    </row>
    <row r="3567" spans="44:46">
      <c r="AR3567">
        <v>0</v>
      </c>
      <c r="AS3567">
        <v>0</v>
      </c>
      <c r="AT3567">
        <v>0</v>
      </c>
    </row>
    <row r="3568" spans="44:46">
      <c r="AR3568">
        <v>0</v>
      </c>
      <c r="AS3568">
        <v>0</v>
      </c>
      <c r="AT3568">
        <v>0</v>
      </c>
    </row>
    <row r="3569" spans="44:46">
      <c r="AR3569">
        <v>0</v>
      </c>
      <c r="AS3569">
        <v>0</v>
      </c>
      <c r="AT3569">
        <v>0</v>
      </c>
    </row>
    <row r="3570" spans="44:46">
      <c r="AR3570">
        <v>0</v>
      </c>
      <c r="AS3570">
        <v>0</v>
      </c>
      <c r="AT3570">
        <v>0</v>
      </c>
    </row>
    <row r="3571" spans="44:46">
      <c r="AR3571">
        <v>0</v>
      </c>
      <c r="AS3571">
        <v>0</v>
      </c>
      <c r="AT3571">
        <v>0</v>
      </c>
    </row>
    <row r="3572" spans="44:46">
      <c r="AR3572">
        <v>0</v>
      </c>
      <c r="AS3572">
        <v>0</v>
      </c>
      <c r="AT3572">
        <v>0</v>
      </c>
    </row>
    <row r="3573" spans="44:46">
      <c r="AR3573">
        <v>0</v>
      </c>
      <c r="AS3573">
        <v>0</v>
      </c>
      <c r="AT3573">
        <v>0</v>
      </c>
    </row>
    <row r="3574" spans="44:46">
      <c r="AR3574">
        <v>0</v>
      </c>
      <c r="AS3574">
        <v>0</v>
      </c>
      <c r="AT3574">
        <v>0</v>
      </c>
    </row>
    <row r="3575" spans="44:46">
      <c r="AR3575">
        <v>0</v>
      </c>
      <c r="AS3575">
        <v>0</v>
      </c>
      <c r="AT3575">
        <v>0</v>
      </c>
    </row>
    <row r="3576" spans="44:46">
      <c r="AR3576">
        <v>0</v>
      </c>
      <c r="AS3576">
        <v>0</v>
      </c>
      <c r="AT3576">
        <v>0</v>
      </c>
    </row>
    <row r="3577" spans="44:46">
      <c r="AR3577">
        <v>0</v>
      </c>
      <c r="AS3577">
        <v>0</v>
      </c>
      <c r="AT3577">
        <v>0</v>
      </c>
    </row>
    <row r="3578" spans="44:46">
      <c r="AR3578">
        <v>0</v>
      </c>
      <c r="AS3578">
        <v>0</v>
      </c>
      <c r="AT3578">
        <v>0</v>
      </c>
    </row>
    <row r="3579" spans="44:46">
      <c r="AR3579">
        <v>0</v>
      </c>
      <c r="AS3579">
        <v>0</v>
      </c>
      <c r="AT3579">
        <v>0</v>
      </c>
    </row>
    <row r="3580" spans="44:46">
      <c r="AR3580">
        <v>0</v>
      </c>
      <c r="AS3580">
        <v>0</v>
      </c>
      <c r="AT3580">
        <v>0</v>
      </c>
    </row>
    <row r="3581" spans="44:46">
      <c r="AR3581">
        <v>0</v>
      </c>
      <c r="AS3581">
        <v>0</v>
      </c>
      <c r="AT3581">
        <v>0</v>
      </c>
    </row>
    <row r="3582" spans="44:46">
      <c r="AR3582">
        <v>0</v>
      </c>
      <c r="AS3582">
        <v>0</v>
      </c>
      <c r="AT3582">
        <v>0</v>
      </c>
    </row>
    <row r="3583" spans="44:46">
      <c r="AR3583">
        <v>0</v>
      </c>
      <c r="AS3583">
        <v>0</v>
      </c>
      <c r="AT3583">
        <v>0</v>
      </c>
    </row>
    <row r="3584" spans="44:46">
      <c r="AR3584">
        <v>0</v>
      </c>
      <c r="AS3584">
        <v>0</v>
      </c>
      <c r="AT3584">
        <v>0</v>
      </c>
    </row>
    <row r="3585" spans="44:46">
      <c r="AR3585">
        <v>0</v>
      </c>
      <c r="AS3585">
        <v>0</v>
      </c>
      <c r="AT3585">
        <v>0</v>
      </c>
    </row>
    <row r="3586" spans="44:46">
      <c r="AR3586">
        <v>0</v>
      </c>
      <c r="AS3586">
        <v>0</v>
      </c>
      <c r="AT3586">
        <v>0</v>
      </c>
    </row>
    <row r="3587" spans="44:46">
      <c r="AR3587">
        <v>0</v>
      </c>
      <c r="AS3587">
        <v>0</v>
      </c>
      <c r="AT3587">
        <v>0</v>
      </c>
    </row>
    <row r="3588" spans="44:46">
      <c r="AR3588">
        <v>0</v>
      </c>
      <c r="AS3588">
        <v>0</v>
      </c>
      <c r="AT3588">
        <v>0</v>
      </c>
    </row>
    <row r="3589" spans="44:46">
      <c r="AR3589">
        <v>0</v>
      </c>
      <c r="AS3589">
        <v>0</v>
      </c>
      <c r="AT3589">
        <v>0</v>
      </c>
    </row>
    <row r="3590" spans="44:46">
      <c r="AR3590">
        <v>0</v>
      </c>
      <c r="AS3590">
        <v>0</v>
      </c>
      <c r="AT3590">
        <v>0</v>
      </c>
    </row>
    <row r="3591" spans="44:46">
      <c r="AR3591">
        <v>0</v>
      </c>
      <c r="AS3591">
        <v>0</v>
      </c>
      <c r="AT3591">
        <v>0</v>
      </c>
    </row>
    <row r="3592" spans="44:46">
      <c r="AR3592">
        <v>0</v>
      </c>
      <c r="AS3592">
        <v>0</v>
      </c>
      <c r="AT3592">
        <v>0</v>
      </c>
    </row>
    <row r="3593" spans="44:46">
      <c r="AR3593">
        <v>0</v>
      </c>
      <c r="AS3593">
        <v>0</v>
      </c>
      <c r="AT3593">
        <v>0</v>
      </c>
    </row>
    <row r="3594" spans="44:46">
      <c r="AR3594">
        <v>0</v>
      </c>
      <c r="AS3594">
        <v>0</v>
      </c>
      <c r="AT3594">
        <v>0</v>
      </c>
    </row>
    <row r="3595" spans="44:46">
      <c r="AR3595">
        <v>0</v>
      </c>
      <c r="AS3595">
        <v>0</v>
      </c>
      <c r="AT3595">
        <v>0</v>
      </c>
    </row>
    <row r="3596" spans="44:46">
      <c r="AR3596">
        <v>0</v>
      </c>
      <c r="AS3596">
        <v>0</v>
      </c>
      <c r="AT3596">
        <v>0</v>
      </c>
    </row>
    <row r="3597" spans="44:46">
      <c r="AR3597">
        <v>0</v>
      </c>
      <c r="AS3597">
        <v>0</v>
      </c>
      <c r="AT3597">
        <v>0</v>
      </c>
    </row>
    <row r="3598" spans="44:46">
      <c r="AR3598">
        <v>0</v>
      </c>
      <c r="AS3598">
        <v>0</v>
      </c>
      <c r="AT3598">
        <v>0</v>
      </c>
    </row>
    <row r="3599" spans="44:46">
      <c r="AR3599">
        <v>0</v>
      </c>
      <c r="AS3599">
        <v>0</v>
      </c>
      <c r="AT3599">
        <v>0</v>
      </c>
    </row>
    <row r="3600" spans="44:46">
      <c r="AR3600">
        <v>0</v>
      </c>
      <c r="AS3600">
        <v>0</v>
      </c>
      <c r="AT3600">
        <v>0</v>
      </c>
    </row>
    <row r="3601" spans="44:46">
      <c r="AR3601">
        <v>0</v>
      </c>
      <c r="AS3601">
        <v>0</v>
      </c>
      <c r="AT3601">
        <v>0</v>
      </c>
    </row>
    <row r="3602" spans="44:46">
      <c r="AR3602">
        <v>0</v>
      </c>
      <c r="AS3602">
        <v>0</v>
      </c>
      <c r="AT3602">
        <v>0</v>
      </c>
    </row>
    <row r="3603" spans="44:46">
      <c r="AR3603">
        <v>0</v>
      </c>
      <c r="AS3603">
        <v>0</v>
      </c>
      <c r="AT3603">
        <v>0</v>
      </c>
    </row>
    <row r="3604" spans="44:46">
      <c r="AR3604">
        <v>0</v>
      </c>
      <c r="AS3604">
        <v>0</v>
      </c>
      <c r="AT3604">
        <v>0</v>
      </c>
    </row>
    <row r="3605" spans="44:46">
      <c r="AR3605">
        <v>0</v>
      </c>
      <c r="AS3605">
        <v>0</v>
      </c>
      <c r="AT3605">
        <v>0</v>
      </c>
    </row>
    <row r="3606" spans="44:46">
      <c r="AR3606">
        <v>0</v>
      </c>
      <c r="AS3606">
        <v>0</v>
      </c>
      <c r="AT3606">
        <v>0</v>
      </c>
    </row>
    <row r="3607" spans="44:46">
      <c r="AR3607">
        <v>0</v>
      </c>
      <c r="AS3607">
        <v>0</v>
      </c>
      <c r="AT3607">
        <v>0</v>
      </c>
    </row>
    <row r="3608" spans="44:46">
      <c r="AR3608">
        <v>0</v>
      </c>
      <c r="AS3608">
        <v>0</v>
      </c>
      <c r="AT3608">
        <v>0</v>
      </c>
    </row>
    <row r="3609" spans="44:46">
      <c r="AR3609">
        <v>0</v>
      </c>
      <c r="AS3609">
        <v>0</v>
      </c>
      <c r="AT3609">
        <v>0</v>
      </c>
    </row>
    <row r="3610" spans="44:46">
      <c r="AR3610">
        <v>0</v>
      </c>
      <c r="AS3610">
        <v>0</v>
      </c>
      <c r="AT3610">
        <v>0</v>
      </c>
    </row>
    <row r="3611" spans="44:46">
      <c r="AR3611">
        <v>0</v>
      </c>
      <c r="AS3611">
        <v>0</v>
      </c>
      <c r="AT3611">
        <v>0</v>
      </c>
    </row>
    <row r="3612" spans="44:46">
      <c r="AR3612">
        <v>0</v>
      </c>
      <c r="AS3612">
        <v>0</v>
      </c>
      <c r="AT3612">
        <v>0</v>
      </c>
    </row>
    <row r="3613" spans="44:46">
      <c r="AR3613">
        <v>0</v>
      </c>
      <c r="AS3613">
        <v>0</v>
      </c>
      <c r="AT3613">
        <v>0</v>
      </c>
    </row>
    <row r="3614" spans="44:46">
      <c r="AR3614">
        <v>0</v>
      </c>
      <c r="AS3614">
        <v>0</v>
      </c>
      <c r="AT3614">
        <v>0</v>
      </c>
    </row>
    <row r="3615" spans="44:46">
      <c r="AR3615">
        <v>0</v>
      </c>
      <c r="AS3615">
        <v>0</v>
      </c>
      <c r="AT3615">
        <v>0</v>
      </c>
    </row>
    <row r="3616" spans="44:46">
      <c r="AR3616">
        <v>0</v>
      </c>
      <c r="AS3616">
        <v>0</v>
      </c>
      <c r="AT3616">
        <v>0</v>
      </c>
    </row>
    <row r="3617" spans="44:46">
      <c r="AR3617">
        <v>0</v>
      </c>
      <c r="AS3617">
        <v>0</v>
      </c>
      <c r="AT3617">
        <v>0</v>
      </c>
    </row>
    <row r="3618" spans="44:46">
      <c r="AR3618">
        <v>0</v>
      </c>
      <c r="AS3618">
        <v>0</v>
      </c>
      <c r="AT3618">
        <v>0</v>
      </c>
    </row>
    <row r="3619" spans="44:46">
      <c r="AR3619">
        <v>0</v>
      </c>
      <c r="AS3619">
        <v>0</v>
      </c>
      <c r="AT3619">
        <v>0</v>
      </c>
    </row>
    <row r="3620" spans="44:46">
      <c r="AR3620">
        <v>0</v>
      </c>
      <c r="AS3620">
        <v>0</v>
      </c>
      <c r="AT3620">
        <v>0</v>
      </c>
    </row>
    <row r="3621" spans="44:46">
      <c r="AR3621">
        <v>0</v>
      </c>
      <c r="AS3621">
        <v>0</v>
      </c>
      <c r="AT3621">
        <v>0</v>
      </c>
    </row>
    <row r="3622" spans="44:46">
      <c r="AR3622">
        <v>0</v>
      </c>
      <c r="AS3622">
        <v>0</v>
      </c>
      <c r="AT3622">
        <v>0</v>
      </c>
    </row>
    <row r="3623" spans="44:46">
      <c r="AR3623">
        <v>0</v>
      </c>
      <c r="AS3623">
        <v>0</v>
      </c>
      <c r="AT3623">
        <v>0</v>
      </c>
    </row>
    <row r="3624" spans="44:46">
      <c r="AR3624">
        <v>0</v>
      </c>
      <c r="AS3624">
        <v>0</v>
      </c>
      <c r="AT3624">
        <v>0</v>
      </c>
    </row>
    <row r="3625" spans="44:46">
      <c r="AR3625">
        <v>0</v>
      </c>
      <c r="AS3625">
        <v>0</v>
      </c>
      <c r="AT3625">
        <v>0</v>
      </c>
    </row>
    <row r="3626" spans="44:46">
      <c r="AR3626">
        <v>0</v>
      </c>
      <c r="AS3626">
        <v>0</v>
      </c>
      <c r="AT3626">
        <v>0</v>
      </c>
    </row>
    <row r="3627" spans="44:46">
      <c r="AR3627">
        <v>0</v>
      </c>
      <c r="AS3627">
        <v>0</v>
      </c>
      <c r="AT3627">
        <v>0</v>
      </c>
    </row>
    <row r="3628" spans="44:46">
      <c r="AR3628">
        <v>0</v>
      </c>
      <c r="AS3628">
        <v>0</v>
      </c>
      <c r="AT3628">
        <v>0</v>
      </c>
    </row>
    <row r="3629" spans="44:46">
      <c r="AR3629">
        <v>0</v>
      </c>
      <c r="AS3629">
        <v>0</v>
      </c>
      <c r="AT3629">
        <v>0</v>
      </c>
    </row>
    <row r="3630" spans="44:46">
      <c r="AR3630">
        <v>0</v>
      </c>
      <c r="AS3630">
        <v>0</v>
      </c>
      <c r="AT3630">
        <v>0</v>
      </c>
    </row>
    <row r="3631" spans="44:46">
      <c r="AR3631">
        <v>0</v>
      </c>
      <c r="AS3631">
        <v>0</v>
      </c>
      <c r="AT3631">
        <v>0</v>
      </c>
    </row>
    <row r="3632" spans="44:46">
      <c r="AR3632">
        <v>0</v>
      </c>
      <c r="AS3632">
        <v>0</v>
      </c>
      <c r="AT3632">
        <v>0</v>
      </c>
    </row>
    <row r="3633" spans="44:46">
      <c r="AR3633">
        <v>0</v>
      </c>
      <c r="AS3633">
        <v>0</v>
      </c>
      <c r="AT3633">
        <v>0</v>
      </c>
    </row>
    <row r="3634" spans="44:46">
      <c r="AR3634">
        <v>0</v>
      </c>
      <c r="AS3634">
        <v>0</v>
      </c>
      <c r="AT3634">
        <v>0</v>
      </c>
    </row>
    <row r="3635" spans="44:46">
      <c r="AR3635">
        <v>0</v>
      </c>
      <c r="AS3635">
        <v>0</v>
      </c>
      <c r="AT3635">
        <v>0</v>
      </c>
    </row>
    <row r="3636" spans="44:46">
      <c r="AR3636">
        <v>0</v>
      </c>
      <c r="AS3636">
        <v>0</v>
      </c>
      <c r="AT3636">
        <v>0</v>
      </c>
    </row>
    <row r="3637" spans="44:46">
      <c r="AR3637">
        <v>0</v>
      </c>
      <c r="AS3637">
        <v>0</v>
      </c>
      <c r="AT3637">
        <v>0</v>
      </c>
    </row>
    <row r="3638" spans="44:46">
      <c r="AR3638">
        <v>0</v>
      </c>
      <c r="AS3638">
        <v>0</v>
      </c>
      <c r="AT3638">
        <v>0</v>
      </c>
    </row>
    <row r="3639" spans="44:46">
      <c r="AR3639">
        <v>0</v>
      </c>
      <c r="AS3639">
        <v>0</v>
      </c>
      <c r="AT3639">
        <v>0</v>
      </c>
    </row>
    <row r="3640" spans="44:46">
      <c r="AR3640">
        <v>0</v>
      </c>
      <c r="AS3640">
        <v>0</v>
      </c>
      <c r="AT3640">
        <v>0</v>
      </c>
    </row>
    <row r="3641" spans="44:46">
      <c r="AR3641">
        <v>0</v>
      </c>
      <c r="AS3641">
        <v>0</v>
      </c>
      <c r="AT3641">
        <v>0</v>
      </c>
    </row>
    <row r="3642" spans="44:46">
      <c r="AR3642">
        <v>0</v>
      </c>
      <c r="AS3642">
        <v>0</v>
      </c>
      <c r="AT3642">
        <v>0</v>
      </c>
    </row>
    <row r="3643" spans="44:46">
      <c r="AR3643">
        <v>0</v>
      </c>
      <c r="AS3643">
        <v>0</v>
      </c>
      <c r="AT3643">
        <v>0</v>
      </c>
    </row>
    <row r="3644" spans="44:46">
      <c r="AR3644">
        <v>0</v>
      </c>
      <c r="AS3644">
        <v>0</v>
      </c>
      <c r="AT3644">
        <v>0</v>
      </c>
    </row>
    <row r="3645" spans="44:46">
      <c r="AR3645">
        <v>0</v>
      </c>
      <c r="AS3645">
        <v>0</v>
      </c>
      <c r="AT3645">
        <v>0</v>
      </c>
    </row>
    <row r="3646" spans="44:46">
      <c r="AR3646">
        <v>0</v>
      </c>
      <c r="AS3646">
        <v>0</v>
      </c>
      <c r="AT3646">
        <v>0</v>
      </c>
    </row>
    <row r="3647" spans="44:46">
      <c r="AR3647">
        <v>0</v>
      </c>
      <c r="AS3647">
        <v>0</v>
      </c>
      <c r="AT3647">
        <v>0</v>
      </c>
    </row>
    <row r="3648" spans="44:46">
      <c r="AR3648">
        <v>0</v>
      </c>
      <c r="AS3648">
        <v>0</v>
      </c>
      <c r="AT3648">
        <v>0</v>
      </c>
    </row>
    <row r="3649" spans="44:46">
      <c r="AR3649">
        <v>0</v>
      </c>
      <c r="AS3649">
        <v>0</v>
      </c>
      <c r="AT3649">
        <v>0</v>
      </c>
    </row>
    <row r="3650" spans="44:46">
      <c r="AR3650">
        <v>0</v>
      </c>
      <c r="AS3650">
        <v>0</v>
      </c>
      <c r="AT3650">
        <v>0</v>
      </c>
    </row>
    <row r="3651" spans="44:46">
      <c r="AR3651">
        <v>0</v>
      </c>
      <c r="AS3651">
        <v>0</v>
      </c>
      <c r="AT3651">
        <v>0</v>
      </c>
    </row>
    <row r="3652" spans="44:46">
      <c r="AR3652">
        <v>0</v>
      </c>
      <c r="AS3652">
        <v>0</v>
      </c>
      <c r="AT3652">
        <v>0</v>
      </c>
    </row>
    <row r="3653" spans="44:46">
      <c r="AR3653">
        <v>0</v>
      </c>
      <c r="AS3653">
        <v>0</v>
      </c>
      <c r="AT3653">
        <v>0</v>
      </c>
    </row>
    <row r="3654" spans="44:46">
      <c r="AR3654">
        <v>0</v>
      </c>
      <c r="AS3654">
        <v>0</v>
      </c>
      <c r="AT3654">
        <v>0</v>
      </c>
    </row>
    <row r="3655" spans="44:46">
      <c r="AR3655">
        <v>0</v>
      </c>
      <c r="AS3655">
        <v>0</v>
      </c>
      <c r="AT3655">
        <v>0</v>
      </c>
    </row>
    <row r="3656" spans="44:46">
      <c r="AR3656">
        <v>0</v>
      </c>
      <c r="AS3656">
        <v>0</v>
      </c>
      <c r="AT3656">
        <v>0</v>
      </c>
    </row>
    <row r="3657" spans="44:46">
      <c r="AR3657">
        <v>0</v>
      </c>
      <c r="AS3657">
        <v>0</v>
      </c>
      <c r="AT3657">
        <v>0</v>
      </c>
    </row>
    <row r="3658" spans="44:46">
      <c r="AR3658">
        <v>0</v>
      </c>
      <c r="AS3658">
        <v>0</v>
      </c>
      <c r="AT3658">
        <v>0</v>
      </c>
    </row>
    <row r="3659" spans="44:46">
      <c r="AR3659">
        <v>0</v>
      </c>
      <c r="AS3659">
        <v>0</v>
      </c>
      <c r="AT3659">
        <v>0</v>
      </c>
    </row>
    <row r="3660" spans="44:46">
      <c r="AR3660">
        <v>0</v>
      </c>
      <c r="AS3660">
        <v>0</v>
      </c>
      <c r="AT3660">
        <v>0</v>
      </c>
    </row>
    <row r="3661" spans="44:46">
      <c r="AR3661">
        <v>0</v>
      </c>
      <c r="AS3661">
        <v>0</v>
      </c>
      <c r="AT3661">
        <v>0</v>
      </c>
    </row>
    <row r="3662" spans="44:46">
      <c r="AR3662">
        <v>0</v>
      </c>
      <c r="AS3662">
        <v>0</v>
      </c>
      <c r="AT3662">
        <v>0</v>
      </c>
    </row>
    <row r="3663" spans="44:46">
      <c r="AR3663">
        <v>0</v>
      </c>
      <c r="AS3663">
        <v>0</v>
      </c>
      <c r="AT3663">
        <v>0</v>
      </c>
    </row>
    <row r="3664" spans="44:46">
      <c r="AR3664">
        <v>0</v>
      </c>
      <c r="AS3664">
        <v>0</v>
      </c>
      <c r="AT3664">
        <v>0</v>
      </c>
    </row>
    <row r="3665" spans="44:46">
      <c r="AR3665">
        <v>0</v>
      </c>
      <c r="AS3665">
        <v>0</v>
      </c>
      <c r="AT3665">
        <v>0</v>
      </c>
    </row>
    <row r="3666" spans="44:46">
      <c r="AR3666">
        <v>0</v>
      </c>
      <c r="AS3666">
        <v>0</v>
      </c>
      <c r="AT3666">
        <v>0</v>
      </c>
    </row>
    <row r="3667" spans="44:46">
      <c r="AR3667">
        <v>0</v>
      </c>
      <c r="AS3667">
        <v>0</v>
      </c>
      <c r="AT3667">
        <v>0</v>
      </c>
    </row>
    <row r="3668" spans="44:46">
      <c r="AR3668">
        <v>0</v>
      </c>
      <c r="AS3668">
        <v>0</v>
      </c>
      <c r="AT3668">
        <v>0</v>
      </c>
    </row>
    <row r="3669" spans="44:46">
      <c r="AR3669">
        <v>0</v>
      </c>
      <c r="AS3669">
        <v>0</v>
      </c>
      <c r="AT3669">
        <v>0</v>
      </c>
    </row>
    <row r="3670" spans="44:46">
      <c r="AR3670">
        <v>0</v>
      </c>
      <c r="AS3670">
        <v>0</v>
      </c>
      <c r="AT3670">
        <v>0</v>
      </c>
    </row>
    <row r="3671" spans="44:46">
      <c r="AR3671">
        <v>0</v>
      </c>
      <c r="AS3671">
        <v>0</v>
      </c>
      <c r="AT3671">
        <v>0</v>
      </c>
    </row>
    <row r="3672" spans="44:46">
      <c r="AR3672">
        <v>0</v>
      </c>
      <c r="AS3672">
        <v>0</v>
      </c>
      <c r="AT3672">
        <v>0</v>
      </c>
    </row>
    <row r="3673" spans="44:46">
      <c r="AR3673">
        <v>0</v>
      </c>
      <c r="AS3673">
        <v>0</v>
      </c>
      <c r="AT3673">
        <v>0</v>
      </c>
    </row>
    <row r="3674" spans="44:46">
      <c r="AR3674">
        <v>0</v>
      </c>
      <c r="AS3674">
        <v>0</v>
      </c>
      <c r="AT3674">
        <v>0</v>
      </c>
    </row>
    <row r="3675" spans="44:46">
      <c r="AR3675">
        <v>0</v>
      </c>
      <c r="AS3675">
        <v>0</v>
      </c>
      <c r="AT3675">
        <v>0</v>
      </c>
    </row>
    <row r="3676" spans="44:46">
      <c r="AR3676">
        <v>0</v>
      </c>
      <c r="AS3676">
        <v>0</v>
      </c>
      <c r="AT3676">
        <v>0</v>
      </c>
    </row>
    <row r="3677" spans="44:46">
      <c r="AR3677">
        <v>0</v>
      </c>
      <c r="AS3677">
        <v>0</v>
      </c>
      <c r="AT3677">
        <v>0</v>
      </c>
    </row>
    <row r="3678" spans="44:46">
      <c r="AR3678">
        <v>0</v>
      </c>
      <c r="AS3678">
        <v>0</v>
      </c>
      <c r="AT3678">
        <v>0</v>
      </c>
    </row>
    <row r="3679" spans="44:46">
      <c r="AR3679">
        <v>0</v>
      </c>
      <c r="AS3679">
        <v>0</v>
      </c>
      <c r="AT3679">
        <v>0</v>
      </c>
    </row>
    <row r="3680" spans="44:46">
      <c r="AR3680">
        <v>0</v>
      </c>
      <c r="AS3680">
        <v>0</v>
      </c>
      <c r="AT3680">
        <v>0</v>
      </c>
    </row>
    <row r="3681" spans="44:46">
      <c r="AR3681">
        <v>0</v>
      </c>
      <c r="AS3681">
        <v>0</v>
      </c>
      <c r="AT3681">
        <v>0</v>
      </c>
    </row>
    <row r="3682" spans="44:46">
      <c r="AR3682">
        <v>0</v>
      </c>
      <c r="AS3682">
        <v>0</v>
      </c>
      <c r="AT3682">
        <v>0</v>
      </c>
    </row>
    <row r="3683" spans="44:46">
      <c r="AR3683">
        <v>0</v>
      </c>
      <c r="AS3683">
        <v>0</v>
      </c>
      <c r="AT3683">
        <v>0</v>
      </c>
    </row>
    <row r="3684" spans="44:46">
      <c r="AR3684">
        <v>0</v>
      </c>
      <c r="AS3684">
        <v>0</v>
      </c>
      <c r="AT3684">
        <v>0</v>
      </c>
    </row>
    <row r="3685" spans="44:46">
      <c r="AR3685">
        <v>0</v>
      </c>
      <c r="AS3685">
        <v>0</v>
      </c>
      <c r="AT3685">
        <v>0</v>
      </c>
    </row>
    <row r="3686" spans="44:46">
      <c r="AR3686">
        <v>0</v>
      </c>
      <c r="AS3686">
        <v>0</v>
      </c>
      <c r="AT3686">
        <v>0</v>
      </c>
    </row>
    <row r="3687" spans="44:46">
      <c r="AR3687">
        <v>0</v>
      </c>
      <c r="AS3687">
        <v>0</v>
      </c>
      <c r="AT3687">
        <v>0</v>
      </c>
    </row>
    <row r="3688" spans="44:46">
      <c r="AR3688">
        <v>0</v>
      </c>
      <c r="AS3688">
        <v>0</v>
      </c>
      <c r="AT3688">
        <v>0</v>
      </c>
    </row>
    <row r="3689" spans="44:46">
      <c r="AR3689">
        <v>0</v>
      </c>
      <c r="AS3689">
        <v>0</v>
      </c>
      <c r="AT3689">
        <v>0</v>
      </c>
    </row>
    <row r="3690" spans="44:46">
      <c r="AR3690">
        <v>0</v>
      </c>
      <c r="AS3690">
        <v>0</v>
      </c>
      <c r="AT3690">
        <v>0</v>
      </c>
    </row>
    <row r="3691" spans="44:46">
      <c r="AR3691">
        <v>0</v>
      </c>
      <c r="AS3691">
        <v>0</v>
      </c>
      <c r="AT3691">
        <v>0</v>
      </c>
    </row>
    <row r="3692" spans="44:46">
      <c r="AR3692">
        <v>0</v>
      </c>
      <c r="AS3692">
        <v>0</v>
      </c>
      <c r="AT3692">
        <v>0</v>
      </c>
    </row>
    <row r="3693" spans="44:46">
      <c r="AR3693">
        <v>0</v>
      </c>
      <c r="AS3693">
        <v>0</v>
      </c>
      <c r="AT3693">
        <v>0</v>
      </c>
    </row>
    <row r="3694" spans="44:46">
      <c r="AR3694">
        <v>0</v>
      </c>
      <c r="AS3694">
        <v>0</v>
      </c>
      <c r="AT3694">
        <v>0</v>
      </c>
    </row>
    <row r="3695" spans="44:46">
      <c r="AR3695">
        <v>0</v>
      </c>
      <c r="AS3695">
        <v>0</v>
      </c>
      <c r="AT3695">
        <v>0</v>
      </c>
    </row>
    <row r="3696" spans="44:46">
      <c r="AR3696">
        <v>0</v>
      </c>
      <c r="AS3696">
        <v>0</v>
      </c>
      <c r="AT3696">
        <v>0</v>
      </c>
    </row>
    <row r="3697" spans="44:46">
      <c r="AR3697">
        <v>0</v>
      </c>
      <c r="AS3697">
        <v>0</v>
      </c>
      <c r="AT3697">
        <v>0</v>
      </c>
    </row>
    <row r="3698" spans="44:46">
      <c r="AR3698">
        <v>0</v>
      </c>
      <c r="AS3698">
        <v>0</v>
      </c>
      <c r="AT3698">
        <v>0</v>
      </c>
    </row>
    <row r="3699" spans="44:46">
      <c r="AR3699">
        <v>0</v>
      </c>
      <c r="AS3699">
        <v>0</v>
      </c>
      <c r="AT3699">
        <v>0</v>
      </c>
    </row>
    <row r="3700" spans="44:46">
      <c r="AR3700">
        <v>0</v>
      </c>
      <c r="AS3700">
        <v>0</v>
      </c>
      <c r="AT3700">
        <v>0</v>
      </c>
    </row>
    <row r="3701" spans="44:46">
      <c r="AR3701">
        <v>0</v>
      </c>
      <c r="AS3701">
        <v>0</v>
      </c>
      <c r="AT3701">
        <v>0</v>
      </c>
    </row>
    <row r="3702" spans="44:46">
      <c r="AR3702">
        <v>0</v>
      </c>
      <c r="AS3702">
        <v>0</v>
      </c>
      <c r="AT3702">
        <v>0</v>
      </c>
    </row>
    <row r="3703" spans="44:46">
      <c r="AR3703">
        <v>0</v>
      </c>
      <c r="AS3703">
        <v>0</v>
      </c>
      <c r="AT3703">
        <v>0</v>
      </c>
    </row>
    <row r="3704" spans="44:46">
      <c r="AR3704">
        <v>0</v>
      </c>
      <c r="AS3704">
        <v>0</v>
      </c>
      <c r="AT3704">
        <v>0</v>
      </c>
    </row>
    <row r="3705" spans="44:46">
      <c r="AR3705">
        <v>0</v>
      </c>
      <c r="AS3705">
        <v>0</v>
      </c>
      <c r="AT3705">
        <v>0</v>
      </c>
    </row>
    <row r="3706" spans="44:46">
      <c r="AR3706">
        <v>0</v>
      </c>
      <c r="AS3706">
        <v>0</v>
      </c>
      <c r="AT3706">
        <v>0</v>
      </c>
    </row>
    <row r="3707" spans="44:46">
      <c r="AR3707">
        <v>0</v>
      </c>
      <c r="AS3707">
        <v>0</v>
      </c>
      <c r="AT3707">
        <v>0</v>
      </c>
    </row>
    <row r="3708" spans="44:46">
      <c r="AR3708">
        <v>0</v>
      </c>
      <c r="AS3708">
        <v>0</v>
      </c>
      <c r="AT3708">
        <v>0</v>
      </c>
    </row>
    <row r="3709" spans="44:46">
      <c r="AR3709">
        <v>0</v>
      </c>
      <c r="AS3709">
        <v>0</v>
      </c>
      <c r="AT3709">
        <v>0</v>
      </c>
    </row>
    <row r="3710" spans="44:46">
      <c r="AR3710">
        <v>0</v>
      </c>
      <c r="AS3710">
        <v>0</v>
      </c>
      <c r="AT3710">
        <v>0</v>
      </c>
    </row>
    <row r="3711" spans="44:46">
      <c r="AR3711">
        <v>0</v>
      </c>
      <c r="AS3711">
        <v>0</v>
      </c>
      <c r="AT3711">
        <v>0</v>
      </c>
    </row>
    <row r="3712" spans="44:46">
      <c r="AR3712">
        <v>0</v>
      </c>
      <c r="AS3712">
        <v>0</v>
      </c>
      <c r="AT3712">
        <v>0</v>
      </c>
    </row>
    <row r="3713" spans="44:46">
      <c r="AR3713">
        <v>0</v>
      </c>
      <c r="AS3713">
        <v>0</v>
      </c>
      <c r="AT3713">
        <v>0</v>
      </c>
    </row>
    <row r="3714" spans="44:46">
      <c r="AR3714">
        <v>0</v>
      </c>
      <c r="AS3714">
        <v>0</v>
      </c>
      <c r="AT3714">
        <v>0</v>
      </c>
    </row>
    <row r="3715" spans="44:46">
      <c r="AR3715">
        <v>0</v>
      </c>
      <c r="AS3715">
        <v>0</v>
      </c>
      <c r="AT3715">
        <v>0</v>
      </c>
    </row>
    <row r="3716" spans="44:46">
      <c r="AR3716">
        <v>0</v>
      </c>
      <c r="AS3716">
        <v>0</v>
      </c>
      <c r="AT3716">
        <v>0</v>
      </c>
    </row>
    <row r="3717" spans="44:46">
      <c r="AR3717">
        <v>0</v>
      </c>
      <c r="AS3717">
        <v>0</v>
      </c>
      <c r="AT3717">
        <v>0</v>
      </c>
    </row>
    <row r="3718" spans="44:46">
      <c r="AR3718">
        <v>0</v>
      </c>
      <c r="AS3718">
        <v>0</v>
      </c>
      <c r="AT3718">
        <v>0</v>
      </c>
    </row>
    <row r="3719" spans="44:46">
      <c r="AR3719">
        <v>0</v>
      </c>
      <c r="AS3719">
        <v>0</v>
      </c>
      <c r="AT3719">
        <v>0</v>
      </c>
    </row>
    <row r="3720" spans="44:46">
      <c r="AR3720">
        <v>0</v>
      </c>
      <c r="AS3720">
        <v>0</v>
      </c>
      <c r="AT3720">
        <v>0</v>
      </c>
    </row>
    <row r="3721" spans="44:46">
      <c r="AR3721">
        <v>0</v>
      </c>
      <c r="AS3721">
        <v>0</v>
      </c>
      <c r="AT3721">
        <v>0</v>
      </c>
    </row>
    <row r="3722" spans="44:46">
      <c r="AR3722">
        <v>0</v>
      </c>
      <c r="AS3722">
        <v>0</v>
      </c>
      <c r="AT3722">
        <v>0</v>
      </c>
    </row>
    <row r="3723" spans="44:46">
      <c r="AR3723">
        <v>0</v>
      </c>
      <c r="AS3723">
        <v>0</v>
      </c>
      <c r="AT3723">
        <v>0</v>
      </c>
    </row>
    <row r="3724" spans="44:46">
      <c r="AR3724">
        <v>0</v>
      </c>
      <c r="AS3724">
        <v>0</v>
      </c>
      <c r="AT3724">
        <v>0</v>
      </c>
    </row>
    <row r="3725" spans="44:46">
      <c r="AR3725">
        <v>0</v>
      </c>
      <c r="AS3725">
        <v>0</v>
      </c>
      <c r="AT3725">
        <v>0</v>
      </c>
    </row>
    <row r="3726" spans="44:46">
      <c r="AR3726">
        <v>0</v>
      </c>
      <c r="AS3726">
        <v>0</v>
      </c>
      <c r="AT3726">
        <v>0</v>
      </c>
    </row>
    <row r="3727" spans="44:46">
      <c r="AR3727">
        <v>0</v>
      </c>
      <c r="AS3727">
        <v>0</v>
      </c>
      <c r="AT3727">
        <v>0</v>
      </c>
    </row>
    <row r="3728" spans="44:46">
      <c r="AR3728">
        <v>0</v>
      </c>
      <c r="AS3728">
        <v>0</v>
      </c>
      <c r="AT3728">
        <v>0</v>
      </c>
    </row>
    <row r="3729" spans="44:46">
      <c r="AR3729">
        <v>0</v>
      </c>
      <c r="AS3729">
        <v>0</v>
      </c>
      <c r="AT3729">
        <v>0</v>
      </c>
    </row>
    <row r="3730" spans="44:46">
      <c r="AR3730">
        <v>0</v>
      </c>
      <c r="AS3730">
        <v>0</v>
      </c>
      <c r="AT3730">
        <v>0</v>
      </c>
    </row>
    <row r="3731" spans="44:46">
      <c r="AR3731">
        <v>0</v>
      </c>
      <c r="AS3731">
        <v>0</v>
      </c>
      <c r="AT3731">
        <v>0</v>
      </c>
    </row>
    <row r="3732" spans="44:46">
      <c r="AR3732">
        <v>0</v>
      </c>
      <c r="AS3732">
        <v>0</v>
      </c>
      <c r="AT3732">
        <v>0</v>
      </c>
    </row>
    <row r="3733" spans="44:46">
      <c r="AR3733">
        <v>0</v>
      </c>
      <c r="AS3733">
        <v>0</v>
      </c>
      <c r="AT3733">
        <v>0</v>
      </c>
    </row>
    <row r="3734" spans="44:46">
      <c r="AR3734">
        <v>0</v>
      </c>
      <c r="AS3734">
        <v>0</v>
      </c>
      <c r="AT3734">
        <v>0</v>
      </c>
    </row>
    <row r="3735" spans="44:46">
      <c r="AR3735">
        <v>0</v>
      </c>
      <c r="AS3735">
        <v>0</v>
      </c>
      <c r="AT3735">
        <v>0</v>
      </c>
    </row>
    <row r="3736" spans="44:46">
      <c r="AR3736">
        <v>0</v>
      </c>
      <c r="AS3736">
        <v>0</v>
      </c>
      <c r="AT3736">
        <v>0</v>
      </c>
    </row>
    <row r="3737" spans="44:46">
      <c r="AR3737">
        <v>0</v>
      </c>
      <c r="AS3737">
        <v>0</v>
      </c>
      <c r="AT3737">
        <v>0</v>
      </c>
    </row>
    <row r="3738" spans="44:46">
      <c r="AR3738">
        <v>0</v>
      </c>
      <c r="AS3738">
        <v>0</v>
      </c>
      <c r="AT3738">
        <v>0</v>
      </c>
    </row>
    <row r="3739" spans="44:46">
      <c r="AR3739">
        <v>0</v>
      </c>
      <c r="AS3739">
        <v>0</v>
      </c>
      <c r="AT3739">
        <v>0</v>
      </c>
    </row>
    <row r="3740" spans="44:46">
      <c r="AR3740">
        <v>0</v>
      </c>
      <c r="AS3740">
        <v>0</v>
      </c>
      <c r="AT3740">
        <v>0</v>
      </c>
    </row>
    <row r="3741" spans="44:46">
      <c r="AR3741">
        <v>0</v>
      </c>
      <c r="AS3741">
        <v>0</v>
      </c>
      <c r="AT3741">
        <v>0</v>
      </c>
    </row>
    <row r="3742" spans="44:46">
      <c r="AR3742">
        <v>0</v>
      </c>
      <c r="AS3742">
        <v>0</v>
      </c>
      <c r="AT3742">
        <v>0</v>
      </c>
    </row>
    <row r="3743" spans="44:46">
      <c r="AR3743">
        <v>0</v>
      </c>
      <c r="AS3743">
        <v>0</v>
      </c>
      <c r="AT3743">
        <v>0</v>
      </c>
    </row>
    <row r="3744" spans="44:46">
      <c r="AR3744">
        <v>0</v>
      </c>
      <c r="AS3744">
        <v>0</v>
      </c>
      <c r="AT3744">
        <v>0</v>
      </c>
    </row>
    <row r="3745" spans="44:46">
      <c r="AR3745">
        <v>0</v>
      </c>
      <c r="AS3745">
        <v>0</v>
      </c>
      <c r="AT3745">
        <v>0</v>
      </c>
    </row>
    <row r="3746" spans="44:46">
      <c r="AR3746">
        <v>0</v>
      </c>
      <c r="AS3746">
        <v>0</v>
      </c>
      <c r="AT3746">
        <v>0</v>
      </c>
    </row>
    <row r="3747" spans="44:46">
      <c r="AR3747">
        <v>0</v>
      </c>
      <c r="AS3747">
        <v>0</v>
      </c>
      <c r="AT3747">
        <v>0</v>
      </c>
    </row>
    <row r="3748" spans="44:46">
      <c r="AR3748">
        <v>0</v>
      </c>
      <c r="AS3748">
        <v>0</v>
      </c>
      <c r="AT3748">
        <v>0</v>
      </c>
    </row>
    <row r="3749" spans="44:46">
      <c r="AR3749">
        <v>0</v>
      </c>
      <c r="AS3749">
        <v>0</v>
      </c>
      <c r="AT3749">
        <v>0</v>
      </c>
    </row>
    <row r="3750" spans="44:46">
      <c r="AR3750">
        <v>0</v>
      </c>
      <c r="AS3750">
        <v>0</v>
      </c>
      <c r="AT3750">
        <v>0</v>
      </c>
    </row>
    <row r="3751" spans="44:46">
      <c r="AR3751">
        <v>0</v>
      </c>
      <c r="AS3751">
        <v>0</v>
      </c>
      <c r="AT3751">
        <v>0</v>
      </c>
    </row>
    <row r="3752" spans="44:46">
      <c r="AR3752">
        <v>0</v>
      </c>
      <c r="AS3752">
        <v>0</v>
      </c>
      <c r="AT3752">
        <v>0</v>
      </c>
    </row>
    <row r="3753" spans="44:46">
      <c r="AR3753">
        <v>0</v>
      </c>
      <c r="AS3753">
        <v>0</v>
      </c>
      <c r="AT3753">
        <v>0</v>
      </c>
    </row>
    <row r="3754" spans="44:46">
      <c r="AR3754">
        <v>0</v>
      </c>
      <c r="AS3754">
        <v>0</v>
      </c>
      <c r="AT3754">
        <v>0</v>
      </c>
    </row>
    <row r="3755" spans="44:46">
      <c r="AR3755">
        <v>0</v>
      </c>
      <c r="AS3755">
        <v>0</v>
      </c>
      <c r="AT3755">
        <v>0</v>
      </c>
    </row>
    <row r="3756" spans="44:46">
      <c r="AR3756">
        <v>0</v>
      </c>
      <c r="AS3756">
        <v>0</v>
      </c>
      <c r="AT3756">
        <v>0</v>
      </c>
    </row>
    <row r="3757" spans="44:46">
      <c r="AR3757">
        <v>0</v>
      </c>
      <c r="AS3757">
        <v>0</v>
      </c>
      <c r="AT3757">
        <v>0</v>
      </c>
    </row>
    <row r="3758" spans="44:46">
      <c r="AR3758">
        <v>0</v>
      </c>
      <c r="AS3758">
        <v>0</v>
      </c>
      <c r="AT3758">
        <v>0</v>
      </c>
    </row>
    <row r="3759" spans="44:46">
      <c r="AR3759">
        <v>0</v>
      </c>
      <c r="AS3759">
        <v>0</v>
      </c>
      <c r="AT3759">
        <v>0</v>
      </c>
    </row>
    <row r="3760" spans="44:46">
      <c r="AR3760">
        <v>0</v>
      </c>
      <c r="AS3760">
        <v>0</v>
      </c>
      <c r="AT3760">
        <v>0</v>
      </c>
    </row>
    <row r="3761" spans="44:46">
      <c r="AR3761">
        <v>0</v>
      </c>
      <c r="AS3761">
        <v>0</v>
      </c>
      <c r="AT3761">
        <v>0</v>
      </c>
    </row>
    <row r="3762" spans="44:46">
      <c r="AR3762">
        <v>0</v>
      </c>
      <c r="AS3762">
        <v>0</v>
      </c>
      <c r="AT3762">
        <v>0</v>
      </c>
    </row>
    <row r="3763" spans="44:46">
      <c r="AR3763">
        <v>0</v>
      </c>
      <c r="AS3763">
        <v>0</v>
      </c>
      <c r="AT3763">
        <v>0</v>
      </c>
    </row>
    <row r="3764" spans="44:46">
      <c r="AR3764">
        <v>0</v>
      </c>
      <c r="AS3764">
        <v>0</v>
      </c>
      <c r="AT3764">
        <v>0</v>
      </c>
    </row>
    <row r="3765" spans="44:46">
      <c r="AR3765">
        <v>0</v>
      </c>
      <c r="AS3765">
        <v>0</v>
      </c>
      <c r="AT3765">
        <v>0</v>
      </c>
    </row>
    <row r="3766" spans="44:46">
      <c r="AR3766">
        <v>0</v>
      </c>
      <c r="AS3766">
        <v>0</v>
      </c>
      <c r="AT3766">
        <v>0</v>
      </c>
    </row>
    <row r="3767" spans="44:46">
      <c r="AR3767">
        <v>0</v>
      </c>
      <c r="AS3767">
        <v>0</v>
      </c>
      <c r="AT3767">
        <v>0</v>
      </c>
    </row>
    <row r="3768" spans="44:46">
      <c r="AR3768">
        <v>0</v>
      </c>
      <c r="AS3768">
        <v>0</v>
      </c>
      <c r="AT3768">
        <v>0</v>
      </c>
    </row>
    <row r="3769" spans="44:46">
      <c r="AR3769">
        <v>0</v>
      </c>
      <c r="AS3769">
        <v>0</v>
      </c>
      <c r="AT3769">
        <v>0</v>
      </c>
    </row>
    <row r="3770" spans="44:46">
      <c r="AR3770">
        <v>0</v>
      </c>
      <c r="AS3770">
        <v>0</v>
      </c>
      <c r="AT3770">
        <v>0</v>
      </c>
    </row>
    <row r="3771" spans="44:46">
      <c r="AR3771">
        <v>0</v>
      </c>
      <c r="AS3771">
        <v>0</v>
      </c>
      <c r="AT3771">
        <v>0</v>
      </c>
    </row>
    <row r="3772" spans="44:46">
      <c r="AR3772">
        <v>0</v>
      </c>
      <c r="AS3772">
        <v>0</v>
      </c>
      <c r="AT3772">
        <v>0</v>
      </c>
    </row>
    <row r="3773" spans="44:46">
      <c r="AR3773">
        <v>0</v>
      </c>
      <c r="AS3773">
        <v>0</v>
      </c>
      <c r="AT3773">
        <v>0</v>
      </c>
    </row>
    <row r="3774" spans="44:46">
      <c r="AR3774">
        <v>0</v>
      </c>
      <c r="AS3774">
        <v>0</v>
      </c>
      <c r="AT3774">
        <v>0</v>
      </c>
    </row>
    <row r="3775" spans="44:46">
      <c r="AR3775">
        <v>0</v>
      </c>
      <c r="AS3775">
        <v>0</v>
      </c>
      <c r="AT3775">
        <v>0</v>
      </c>
    </row>
    <row r="3776" spans="44:46">
      <c r="AR3776">
        <v>0</v>
      </c>
      <c r="AS3776">
        <v>0</v>
      </c>
      <c r="AT3776">
        <v>0</v>
      </c>
    </row>
    <row r="3777" spans="44:46">
      <c r="AR3777">
        <v>0</v>
      </c>
      <c r="AS3777">
        <v>0</v>
      </c>
      <c r="AT3777">
        <v>0</v>
      </c>
    </row>
    <row r="3778" spans="44:46">
      <c r="AR3778">
        <v>0</v>
      </c>
      <c r="AS3778">
        <v>0</v>
      </c>
      <c r="AT3778">
        <v>0</v>
      </c>
    </row>
    <row r="3779" spans="44:46">
      <c r="AR3779">
        <v>0</v>
      </c>
      <c r="AS3779">
        <v>0</v>
      </c>
      <c r="AT3779">
        <v>0</v>
      </c>
    </row>
    <row r="3780" spans="44:46">
      <c r="AR3780">
        <v>0</v>
      </c>
      <c r="AS3780">
        <v>0</v>
      </c>
      <c r="AT3780">
        <v>0</v>
      </c>
    </row>
    <row r="3781" spans="44:46">
      <c r="AR3781">
        <v>0</v>
      </c>
      <c r="AS3781">
        <v>0</v>
      </c>
      <c r="AT3781">
        <v>0</v>
      </c>
    </row>
    <row r="3782" spans="44:46">
      <c r="AR3782">
        <v>0</v>
      </c>
      <c r="AS3782">
        <v>0</v>
      </c>
      <c r="AT3782">
        <v>0</v>
      </c>
    </row>
    <row r="3783" spans="44:46">
      <c r="AR3783">
        <v>0</v>
      </c>
      <c r="AS3783">
        <v>0</v>
      </c>
      <c r="AT3783">
        <v>0</v>
      </c>
    </row>
    <row r="3784" spans="44:46">
      <c r="AR3784">
        <v>0</v>
      </c>
      <c r="AS3784">
        <v>0</v>
      </c>
      <c r="AT3784">
        <v>0</v>
      </c>
    </row>
    <row r="3785" spans="44:46">
      <c r="AR3785">
        <v>0</v>
      </c>
      <c r="AS3785">
        <v>0</v>
      </c>
      <c r="AT3785">
        <v>0</v>
      </c>
    </row>
    <row r="3786" spans="44:46">
      <c r="AR3786">
        <v>0</v>
      </c>
      <c r="AS3786">
        <v>0</v>
      </c>
      <c r="AT3786">
        <v>0</v>
      </c>
    </row>
    <row r="3787" spans="44:46">
      <c r="AR3787">
        <v>0</v>
      </c>
      <c r="AS3787">
        <v>0</v>
      </c>
      <c r="AT3787">
        <v>0</v>
      </c>
    </row>
    <row r="3788" spans="44:46">
      <c r="AR3788">
        <v>0</v>
      </c>
      <c r="AS3788">
        <v>0</v>
      </c>
      <c r="AT3788">
        <v>0</v>
      </c>
    </row>
    <row r="3789" spans="44:46">
      <c r="AR3789">
        <v>0</v>
      </c>
      <c r="AS3789">
        <v>0</v>
      </c>
      <c r="AT3789">
        <v>0</v>
      </c>
    </row>
    <row r="3790" spans="44:46">
      <c r="AR3790">
        <v>0</v>
      </c>
      <c r="AS3790">
        <v>0</v>
      </c>
      <c r="AT3790">
        <v>0</v>
      </c>
    </row>
    <row r="3791" spans="44:46">
      <c r="AR3791">
        <v>0</v>
      </c>
      <c r="AS3791">
        <v>0</v>
      </c>
      <c r="AT3791">
        <v>0</v>
      </c>
    </row>
    <row r="3792" spans="44:46">
      <c r="AR3792">
        <v>0</v>
      </c>
      <c r="AS3792">
        <v>0</v>
      </c>
      <c r="AT3792">
        <v>0</v>
      </c>
    </row>
    <row r="3793" spans="44:46">
      <c r="AR3793">
        <v>0</v>
      </c>
      <c r="AS3793">
        <v>0</v>
      </c>
      <c r="AT3793">
        <v>0</v>
      </c>
    </row>
    <row r="3794" spans="44:46">
      <c r="AR3794">
        <v>0</v>
      </c>
      <c r="AS3794">
        <v>0</v>
      </c>
      <c r="AT3794">
        <v>0</v>
      </c>
    </row>
    <row r="3795" spans="44:46">
      <c r="AR3795">
        <v>0</v>
      </c>
      <c r="AS3795">
        <v>0</v>
      </c>
      <c r="AT3795">
        <v>0</v>
      </c>
    </row>
    <row r="3796" spans="44:46">
      <c r="AR3796">
        <v>0</v>
      </c>
      <c r="AS3796">
        <v>0</v>
      </c>
      <c r="AT3796">
        <v>0</v>
      </c>
    </row>
    <row r="3797" spans="44:46">
      <c r="AR3797">
        <v>0</v>
      </c>
      <c r="AS3797">
        <v>0</v>
      </c>
      <c r="AT3797">
        <v>0</v>
      </c>
    </row>
    <row r="3798" spans="44:46">
      <c r="AR3798">
        <v>0</v>
      </c>
      <c r="AS3798">
        <v>0</v>
      </c>
      <c r="AT3798">
        <v>0</v>
      </c>
    </row>
    <row r="3799" spans="44:46">
      <c r="AR3799">
        <v>0</v>
      </c>
      <c r="AS3799">
        <v>0</v>
      </c>
      <c r="AT3799">
        <v>0</v>
      </c>
    </row>
    <row r="3800" spans="44:46">
      <c r="AR3800">
        <v>0</v>
      </c>
      <c r="AS3800">
        <v>0</v>
      </c>
      <c r="AT3800">
        <v>0</v>
      </c>
    </row>
    <row r="3801" spans="44:46">
      <c r="AR3801">
        <v>0</v>
      </c>
      <c r="AS3801">
        <v>0</v>
      </c>
      <c r="AT3801">
        <v>0</v>
      </c>
    </row>
    <row r="3802" spans="44:46">
      <c r="AR3802">
        <v>0</v>
      </c>
      <c r="AS3802">
        <v>0</v>
      </c>
      <c r="AT3802">
        <v>0</v>
      </c>
    </row>
    <row r="3803" spans="44:46">
      <c r="AR3803">
        <v>0</v>
      </c>
      <c r="AS3803">
        <v>0</v>
      </c>
      <c r="AT3803">
        <v>0</v>
      </c>
    </row>
    <row r="3804" spans="44:46">
      <c r="AR3804">
        <v>0</v>
      </c>
      <c r="AS3804">
        <v>0</v>
      </c>
      <c r="AT3804">
        <v>0</v>
      </c>
    </row>
    <row r="3805" spans="44:46">
      <c r="AR3805">
        <v>0</v>
      </c>
      <c r="AS3805">
        <v>0</v>
      </c>
      <c r="AT3805">
        <v>0</v>
      </c>
    </row>
    <row r="3806" spans="44:46">
      <c r="AR3806">
        <v>0</v>
      </c>
      <c r="AS3806">
        <v>0</v>
      </c>
      <c r="AT3806">
        <v>0</v>
      </c>
    </row>
    <row r="3807" spans="44:46">
      <c r="AR3807">
        <v>0</v>
      </c>
      <c r="AS3807">
        <v>0</v>
      </c>
      <c r="AT3807">
        <v>0</v>
      </c>
    </row>
    <row r="3808" spans="44:46">
      <c r="AR3808">
        <v>0</v>
      </c>
      <c r="AS3808">
        <v>0</v>
      </c>
      <c r="AT3808">
        <v>0</v>
      </c>
    </row>
    <row r="3809" spans="44:46">
      <c r="AR3809">
        <v>0</v>
      </c>
      <c r="AS3809">
        <v>0</v>
      </c>
      <c r="AT3809">
        <v>0</v>
      </c>
    </row>
    <row r="3810" spans="44:46">
      <c r="AR3810">
        <v>0</v>
      </c>
      <c r="AS3810">
        <v>0</v>
      </c>
      <c r="AT3810">
        <v>0</v>
      </c>
    </row>
    <row r="3811" spans="44:46">
      <c r="AR3811">
        <v>0</v>
      </c>
      <c r="AS3811">
        <v>0</v>
      </c>
      <c r="AT3811">
        <v>0</v>
      </c>
    </row>
    <row r="3812" spans="44:46">
      <c r="AR3812">
        <v>0</v>
      </c>
      <c r="AS3812">
        <v>0</v>
      </c>
      <c r="AT3812">
        <v>0</v>
      </c>
    </row>
    <row r="3813" spans="44:46">
      <c r="AR3813">
        <v>0</v>
      </c>
      <c r="AS3813">
        <v>0</v>
      </c>
      <c r="AT3813">
        <v>0</v>
      </c>
    </row>
    <row r="3814" spans="44:46">
      <c r="AR3814">
        <v>0</v>
      </c>
      <c r="AS3814">
        <v>0</v>
      </c>
      <c r="AT3814">
        <v>0</v>
      </c>
    </row>
    <row r="3815" spans="44:46">
      <c r="AR3815">
        <v>0</v>
      </c>
      <c r="AS3815">
        <v>0</v>
      </c>
      <c r="AT3815">
        <v>0</v>
      </c>
    </row>
    <row r="3816" spans="44:46">
      <c r="AR3816">
        <v>0</v>
      </c>
      <c r="AS3816">
        <v>0</v>
      </c>
      <c r="AT3816">
        <v>0</v>
      </c>
    </row>
    <row r="3817" spans="44:46">
      <c r="AR3817">
        <v>0</v>
      </c>
      <c r="AS3817">
        <v>0</v>
      </c>
      <c r="AT3817">
        <v>0</v>
      </c>
    </row>
    <row r="3818" spans="44:46">
      <c r="AR3818">
        <v>0</v>
      </c>
      <c r="AS3818">
        <v>0</v>
      </c>
      <c r="AT3818">
        <v>0</v>
      </c>
    </row>
    <row r="3819" spans="44:46">
      <c r="AR3819">
        <v>0</v>
      </c>
      <c r="AS3819">
        <v>0</v>
      </c>
      <c r="AT3819">
        <v>0</v>
      </c>
    </row>
    <row r="3820" spans="44:46">
      <c r="AR3820">
        <v>0</v>
      </c>
      <c r="AS3820">
        <v>0</v>
      </c>
      <c r="AT3820">
        <v>0</v>
      </c>
    </row>
    <row r="3821" spans="44:46">
      <c r="AR3821">
        <v>0</v>
      </c>
      <c r="AS3821">
        <v>0</v>
      </c>
      <c r="AT3821">
        <v>0</v>
      </c>
    </row>
    <row r="3822" spans="44:46">
      <c r="AR3822">
        <v>0</v>
      </c>
      <c r="AS3822">
        <v>0</v>
      </c>
      <c r="AT3822">
        <v>0</v>
      </c>
    </row>
    <row r="3823" spans="44:46">
      <c r="AR3823">
        <v>0</v>
      </c>
      <c r="AS3823">
        <v>0</v>
      </c>
      <c r="AT3823">
        <v>0</v>
      </c>
    </row>
    <row r="3824" spans="44:46">
      <c r="AR3824">
        <v>0</v>
      </c>
      <c r="AS3824">
        <v>0</v>
      </c>
      <c r="AT3824">
        <v>0</v>
      </c>
    </row>
    <row r="3825" spans="44:46">
      <c r="AR3825">
        <v>0</v>
      </c>
      <c r="AS3825">
        <v>0</v>
      </c>
      <c r="AT3825">
        <v>0</v>
      </c>
    </row>
    <row r="3826" spans="44:46">
      <c r="AR3826">
        <v>0</v>
      </c>
      <c r="AS3826">
        <v>0</v>
      </c>
      <c r="AT3826">
        <v>0</v>
      </c>
    </row>
    <row r="3827" spans="44:46">
      <c r="AR3827">
        <v>0</v>
      </c>
      <c r="AS3827">
        <v>0</v>
      </c>
      <c r="AT3827">
        <v>0</v>
      </c>
    </row>
    <row r="3828" spans="44:46">
      <c r="AR3828">
        <v>0</v>
      </c>
      <c r="AS3828">
        <v>0</v>
      </c>
      <c r="AT3828">
        <v>0</v>
      </c>
    </row>
    <row r="3829" spans="44:46">
      <c r="AR3829">
        <v>0</v>
      </c>
      <c r="AS3829">
        <v>0</v>
      </c>
      <c r="AT3829">
        <v>0</v>
      </c>
    </row>
    <row r="3830" spans="44:46">
      <c r="AR3830">
        <v>0</v>
      </c>
      <c r="AS3830">
        <v>0</v>
      </c>
      <c r="AT3830">
        <v>0</v>
      </c>
    </row>
    <row r="3831" spans="44:46">
      <c r="AR3831">
        <v>0</v>
      </c>
      <c r="AS3831">
        <v>0</v>
      </c>
      <c r="AT3831">
        <v>0</v>
      </c>
    </row>
    <row r="3832" spans="44:46">
      <c r="AR3832">
        <v>0</v>
      </c>
      <c r="AS3832">
        <v>0</v>
      </c>
      <c r="AT3832">
        <v>0</v>
      </c>
    </row>
    <row r="3833" spans="44:46">
      <c r="AR3833">
        <v>0</v>
      </c>
      <c r="AS3833">
        <v>0</v>
      </c>
      <c r="AT3833">
        <v>0</v>
      </c>
    </row>
    <row r="3834" spans="44:46">
      <c r="AR3834">
        <v>0</v>
      </c>
      <c r="AS3834">
        <v>0</v>
      </c>
      <c r="AT3834">
        <v>0</v>
      </c>
    </row>
    <row r="3835" spans="44:46">
      <c r="AR3835">
        <v>0</v>
      </c>
      <c r="AS3835">
        <v>0</v>
      </c>
      <c r="AT3835">
        <v>0</v>
      </c>
    </row>
    <row r="3836" spans="44:46">
      <c r="AR3836">
        <v>0</v>
      </c>
      <c r="AS3836">
        <v>0</v>
      </c>
      <c r="AT3836">
        <v>0</v>
      </c>
    </row>
    <row r="3837" spans="44:46">
      <c r="AR3837">
        <v>0</v>
      </c>
      <c r="AS3837">
        <v>0</v>
      </c>
      <c r="AT3837">
        <v>0</v>
      </c>
    </row>
    <row r="3838" spans="44:46">
      <c r="AR3838">
        <v>0</v>
      </c>
      <c r="AS3838">
        <v>0</v>
      </c>
      <c r="AT3838">
        <v>0</v>
      </c>
    </row>
    <row r="3839" spans="44:46">
      <c r="AR3839">
        <v>0</v>
      </c>
      <c r="AS3839">
        <v>0</v>
      </c>
      <c r="AT3839">
        <v>0</v>
      </c>
    </row>
    <row r="3840" spans="44:46">
      <c r="AR3840">
        <v>0</v>
      </c>
      <c r="AS3840">
        <v>0</v>
      </c>
      <c r="AT3840">
        <v>0</v>
      </c>
    </row>
    <row r="3841" spans="44:46">
      <c r="AR3841">
        <v>0</v>
      </c>
      <c r="AS3841">
        <v>0</v>
      </c>
      <c r="AT3841">
        <v>0</v>
      </c>
    </row>
    <row r="3842" spans="44:46">
      <c r="AR3842">
        <v>0</v>
      </c>
      <c r="AS3842">
        <v>0</v>
      </c>
      <c r="AT3842">
        <v>0</v>
      </c>
    </row>
    <row r="3843" spans="44:46">
      <c r="AR3843">
        <v>0</v>
      </c>
      <c r="AS3843">
        <v>0</v>
      </c>
      <c r="AT3843">
        <v>0</v>
      </c>
    </row>
    <row r="3844" spans="44:46">
      <c r="AR3844">
        <v>0</v>
      </c>
      <c r="AS3844">
        <v>0</v>
      </c>
      <c r="AT3844">
        <v>0</v>
      </c>
    </row>
    <row r="3845" spans="44:46">
      <c r="AR3845">
        <v>0</v>
      </c>
      <c r="AS3845">
        <v>0</v>
      </c>
      <c r="AT3845">
        <v>0</v>
      </c>
    </row>
    <row r="3846" spans="44:46">
      <c r="AR3846">
        <v>0</v>
      </c>
      <c r="AS3846">
        <v>0</v>
      </c>
      <c r="AT3846">
        <v>0</v>
      </c>
    </row>
    <row r="3847" spans="44:46">
      <c r="AR3847">
        <v>0</v>
      </c>
      <c r="AS3847">
        <v>0</v>
      </c>
      <c r="AT3847">
        <v>0</v>
      </c>
    </row>
    <row r="3848" spans="44:46">
      <c r="AR3848">
        <v>0</v>
      </c>
      <c r="AS3848">
        <v>0</v>
      </c>
      <c r="AT3848">
        <v>0</v>
      </c>
    </row>
    <row r="3849" spans="44:46">
      <c r="AR3849">
        <v>0</v>
      </c>
      <c r="AS3849">
        <v>0</v>
      </c>
      <c r="AT3849">
        <v>0</v>
      </c>
    </row>
    <row r="3850" spans="44:46">
      <c r="AR3850">
        <v>0</v>
      </c>
      <c r="AS3850">
        <v>0</v>
      </c>
      <c r="AT3850">
        <v>0</v>
      </c>
    </row>
    <row r="3851" spans="44:46">
      <c r="AR3851">
        <v>0</v>
      </c>
      <c r="AS3851">
        <v>0</v>
      </c>
      <c r="AT3851">
        <v>0</v>
      </c>
    </row>
    <row r="3852" spans="44:46">
      <c r="AR3852">
        <v>0</v>
      </c>
      <c r="AS3852">
        <v>0</v>
      </c>
      <c r="AT3852">
        <v>0</v>
      </c>
    </row>
    <row r="3853" spans="44:46">
      <c r="AR3853">
        <v>0</v>
      </c>
      <c r="AS3853">
        <v>0</v>
      </c>
      <c r="AT3853">
        <v>0</v>
      </c>
    </row>
    <row r="3854" spans="44:46">
      <c r="AR3854">
        <v>0</v>
      </c>
      <c r="AS3854">
        <v>0</v>
      </c>
      <c r="AT3854">
        <v>0</v>
      </c>
    </row>
    <row r="3855" spans="44:46">
      <c r="AR3855">
        <v>0</v>
      </c>
      <c r="AS3855">
        <v>0</v>
      </c>
      <c r="AT3855">
        <v>0</v>
      </c>
    </row>
    <row r="3856" spans="44:46">
      <c r="AR3856">
        <v>0</v>
      </c>
      <c r="AS3856">
        <v>0</v>
      </c>
      <c r="AT3856">
        <v>0</v>
      </c>
    </row>
    <row r="3857" spans="44:46">
      <c r="AR3857">
        <v>0</v>
      </c>
      <c r="AS3857">
        <v>0</v>
      </c>
      <c r="AT3857">
        <v>0</v>
      </c>
    </row>
    <row r="3858" spans="44:46">
      <c r="AR3858">
        <v>0</v>
      </c>
      <c r="AS3858">
        <v>0</v>
      </c>
      <c r="AT3858">
        <v>0</v>
      </c>
    </row>
    <row r="3859" spans="44:46">
      <c r="AR3859">
        <v>0</v>
      </c>
      <c r="AS3859">
        <v>0</v>
      </c>
      <c r="AT3859">
        <v>0</v>
      </c>
    </row>
    <row r="3860" spans="44:46">
      <c r="AR3860">
        <v>0</v>
      </c>
      <c r="AS3860">
        <v>0</v>
      </c>
      <c r="AT3860">
        <v>0</v>
      </c>
    </row>
    <row r="3861" spans="44:46">
      <c r="AR3861">
        <v>0</v>
      </c>
      <c r="AS3861">
        <v>0</v>
      </c>
      <c r="AT3861">
        <v>0</v>
      </c>
    </row>
    <row r="3862" spans="44:46">
      <c r="AR3862">
        <v>0</v>
      </c>
      <c r="AS3862">
        <v>0</v>
      </c>
      <c r="AT3862">
        <v>0</v>
      </c>
    </row>
    <row r="3863" spans="44:46">
      <c r="AR3863">
        <v>0</v>
      </c>
      <c r="AS3863">
        <v>0</v>
      </c>
      <c r="AT3863">
        <v>0</v>
      </c>
    </row>
    <row r="3864" spans="44:46">
      <c r="AR3864">
        <v>0</v>
      </c>
      <c r="AS3864">
        <v>0</v>
      </c>
      <c r="AT3864">
        <v>0</v>
      </c>
    </row>
    <row r="3865" spans="44:46">
      <c r="AR3865">
        <v>0</v>
      </c>
      <c r="AS3865">
        <v>0</v>
      </c>
      <c r="AT3865">
        <v>0</v>
      </c>
    </row>
    <row r="3866" spans="44:46">
      <c r="AR3866">
        <v>0</v>
      </c>
      <c r="AS3866">
        <v>0</v>
      </c>
      <c r="AT3866">
        <v>0</v>
      </c>
    </row>
    <row r="3867" spans="44:46">
      <c r="AR3867">
        <v>0</v>
      </c>
      <c r="AS3867">
        <v>0</v>
      </c>
      <c r="AT3867">
        <v>0</v>
      </c>
    </row>
    <row r="3868" spans="44:46">
      <c r="AR3868">
        <v>0</v>
      </c>
      <c r="AS3868">
        <v>0</v>
      </c>
      <c r="AT3868">
        <v>0</v>
      </c>
    </row>
    <row r="3869" spans="44:46">
      <c r="AR3869">
        <v>0</v>
      </c>
      <c r="AS3869">
        <v>0</v>
      </c>
      <c r="AT3869">
        <v>0</v>
      </c>
    </row>
    <row r="3870" spans="44:46">
      <c r="AR3870">
        <v>0</v>
      </c>
      <c r="AS3870">
        <v>0</v>
      </c>
      <c r="AT3870">
        <v>0</v>
      </c>
    </row>
    <row r="3871" spans="44:46">
      <c r="AR3871">
        <v>0</v>
      </c>
      <c r="AS3871">
        <v>0</v>
      </c>
      <c r="AT3871">
        <v>0</v>
      </c>
    </row>
    <row r="3872" spans="44:46">
      <c r="AR3872">
        <v>0</v>
      </c>
      <c r="AS3872">
        <v>0</v>
      </c>
      <c r="AT3872">
        <v>0</v>
      </c>
    </row>
    <row r="3873" spans="44:46">
      <c r="AR3873">
        <v>0</v>
      </c>
      <c r="AS3873">
        <v>0</v>
      </c>
      <c r="AT3873">
        <v>0</v>
      </c>
    </row>
    <row r="3874" spans="44:46">
      <c r="AR3874">
        <v>0</v>
      </c>
      <c r="AS3874">
        <v>0</v>
      </c>
      <c r="AT3874">
        <v>0</v>
      </c>
    </row>
    <row r="3875" spans="44:46">
      <c r="AR3875">
        <v>0</v>
      </c>
      <c r="AS3875">
        <v>0</v>
      </c>
      <c r="AT3875">
        <v>0</v>
      </c>
    </row>
    <row r="3876" spans="44:46">
      <c r="AR3876">
        <v>0</v>
      </c>
      <c r="AS3876">
        <v>0</v>
      </c>
      <c r="AT3876">
        <v>0</v>
      </c>
    </row>
    <row r="3877" spans="44:46">
      <c r="AR3877">
        <v>0</v>
      </c>
      <c r="AS3877">
        <v>0</v>
      </c>
      <c r="AT3877">
        <v>0</v>
      </c>
    </row>
    <row r="3878" spans="44:46">
      <c r="AR3878">
        <v>0</v>
      </c>
      <c r="AS3878">
        <v>0</v>
      </c>
      <c r="AT3878">
        <v>0</v>
      </c>
    </row>
    <row r="3879" spans="44:46">
      <c r="AR3879">
        <v>0</v>
      </c>
      <c r="AS3879">
        <v>0</v>
      </c>
      <c r="AT3879">
        <v>0</v>
      </c>
    </row>
    <row r="3880" spans="44:46">
      <c r="AR3880">
        <v>0</v>
      </c>
      <c r="AS3880">
        <v>0</v>
      </c>
      <c r="AT3880">
        <v>0</v>
      </c>
    </row>
    <row r="3881" spans="44:46">
      <c r="AR3881">
        <v>0</v>
      </c>
      <c r="AS3881">
        <v>0</v>
      </c>
      <c r="AT3881">
        <v>0</v>
      </c>
    </row>
    <row r="3882" spans="44:46">
      <c r="AR3882">
        <v>0</v>
      </c>
      <c r="AS3882">
        <v>0</v>
      </c>
      <c r="AT3882">
        <v>0</v>
      </c>
    </row>
    <row r="3883" spans="44:46">
      <c r="AR3883">
        <v>0</v>
      </c>
      <c r="AS3883">
        <v>0</v>
      </c>
      <c r="AT3883">
        <v>0</v>
      </c>
    </row>
    <row r="3884" spans="44:46">
      <c r="AR3884">
        <v>0</v>
      </c>
      <c r="AS3884">
        <v>0</v>
      </c>
      <c r="AT3884">
        <v>0</v>
      </c>
    </row>
    <row r="3885" spans="44:46">
      <c r="AR3885">
        <v>0</v>
      </c>
      <c r="AS3885">
        <v>0</v>
      </c>
      <c r="AT3885">
        <v>0</v>
      </c>
    </row>
    <row r="3886" spans="44:46">
      <c r="AR3886">
        <v>0</v>
      </c>
      <c r="AS3886">
        <v>0</v>
      </c>
      <c r="AT3886">
        <v>0</v>
      </c>
    </row>
    <row r="3887" spans="44:46">
      <c r="AR3887">
        <v>0</v>
      </c>
      <c r="AS3887">
        <v>0</v>
      </c>
      <c r="AT3887">
        <v>0</v>
      </c>
    </row>
    <row r="3888" spans="44:46">
      <c r="AR3888">
        <v>0</v>
      </c>
      <c r="AS3888">
        <v>0</v>
      </c>
      <c r="AT3888">
        <v>0</v>
      </c>
    </row>
    <row r="3889" spans="44:46">
      <c r="AR3889">
        <v>0</v>
      </c>
      <c r="AS3889">
        <v>0</v>
      </c>
      <c r="AT3889">
        <v>0</v>
      </c>
    </row>
    <row r="3890" spans="44:46">
      <c r="AR3890">
        <v>0</v>
      </c>
      <c r="AS3890">
        <v>0</v>
      </c>
      <c r="AT3890">
        <v>0</v>
      </c>
    </row>
    <row r="3891" spans="44:46">
      <c r="AR3891">
        <v>0</v>
      </c>
      <c r="AS3891">
        <v>0</v>
      </c>
      <c r="AT3891">
        <v>0</v>
      </c>
    </row>
    <row r="3892" spans="44:46">
      <c r="AR3892">
        <v>0</v>
      </c>
      <c r="AS3892">
        <v>0</v>
      </c>
      <c r="AT3892">
        <v>0</v>
      </c>
    </row>
    <row r="3893" spans="44:46">
      <c r="AR3893">
        <v>0</v>
      </c>
      <c r="AS3893">
        <v>0</v>
      </c>
      <c r="AT3893">
        <v>0</v>
      </c>
    </row>
    <row r="3894" spans="44:46">
      <c r="AR3894">
        <v>0</v>
      </c>
      <c r="AS3894">
        <v>0</v>
      </c>
      <c r="AT3894">
        <v>0</v>
      </c>
    </row>
    <row r="3895" spans="44:46">
      <c r="AR3895">
        <v>0</v>
      </c>
      <c r="AS3895">
        <v>0</v>
      </c>
      <c r="AT3895">
        <v>0</v>
      </c>
    </row>
    <row r="3896" spans="44:46">
      <c r="AR3896">
        <v>0</v>
      </c>
      <c r="AS3896">
        <v>0</v>
      </c>
      <c r="AT3896">
        <v>0</v>
      </c>
    </row>
    <row r="3897" spans="44:46">
      <c r="AR3897">
        <v>0</v>
      </c>
      <c r="AS3897">
        <v>0</v>
      </c>
      <c r="AT3897">
        <v>0</v>
      </c>
    </row>
    <row r="3898" spans="44:46">
      <c r="AR3898">
        <v>0</v>
      </c>
      <c r="AS3898">
        <v>0</v>
      </c>
      <c r="AT3898">
        <v>0</v>
      </c>
    </row>
    <row r="3899" spans="44:46">
      <c r="AR3899">
        <v>0</v>
      </c>
      <c r="AS3899">
        <v>0</v>
      </c>
      <c r="AT3899">
        <v>0</v>
      </c>
    </row>
    <row r="3900" spans="44:46">
      <c r="AR3900">
        <v>0</v>
      </c>
      <c r="AS3900">
        <v>0</v>
      </c>
      <c r="AT3900">
        <v>0</v>
      </c>
    </row>
    <row r="3901" spans="44:46">
      <c r="AR3901">
        <v>0</v>
      </c>
      <c r="AS3901">
        <v>0</v>
      </c>
      <c r="AT3901">
        <v>0</v>
      </c>
    </row>
    <row r="3902" spans="44:46">
      <c r="AR3902">
        <v>0</v>
      </c>
      <c r="AS3902">
        <v>0</v>
      </c>
      <c r="AT3902">
        <v>0</v>
      </c>
    </row>
    <row r="3903" spans="44:46">
      <c r="AR3903">
        <v>0</v>
      </c>
      <c r="AS3903">
        <v>0</v>
      </c>
      <c r="AT3903">
        <v>0</v>
      </c>
    </row>
    <row r="3904" spans="44:46">
      <c r="AR3904">
        <v>0</v>
      </c>
      <c r="AS3904">
        <v>0</v>
      </c>
      <c r="AT3904">
        <v>0</v>
      </c>
    </row>
    <row r="3905" spans="44:46">
      <c r="AR3905">
        <v>0</v>
      </c>
      <c r="AS3905">
        <v>0</v>
      </c>
      <c r="AT3905">
        <v>0</v>
      </c>
    </row>
    <row r="3906" spans="44:46">
      <c r="AR3906">
        <v>0</v>
      </c>
      <c r="AS3906">
        <v>0</v>
      </c>
      <c r="AT3906">
        <v>0</v>
      </c>
    </row>
    <row r="3907" spans="44:46">
      <c r="AR3907">
        <v>0</v>
      </c>
      <c r="AS3907">
        <v>0</v>
      </c>
      <c r="AT3907">
        <v>0</v>
      </c>
    </row>
    <row r="3908" spans="44:46">
      <c r="AR3908">
        <v>0</v>
      </c>
      <c r="AS3908">
        <v>0</v>
      </c>
      <c r="AT3908">
        <v>0</v>
      </c>
    </row>
    <row r="3909" spans="44:46">
      <c r="AR3909">
        <v>0</v>
      </c>
      <c r="AS3909">
        <v>0</v>
      </c>
      <c r="AT3909">
        <v>0</v>
      </c>
    </row>
    <row r="3910" spans="44:46">
      <c r="AR3910">
        <v>0</v>
      </c>
      <c r="AS3910">
        <v>0</v>
      </c>
      <c r="AT3910">
        <v>0</v>
      </c>
    </row>
    <row r="3911" spans="44:46">
      <c r="AR3911">
        <v>0</v>
      </c>
      <c r="AS3911">
        <v>0</v>
      </c>
      <c r="AT3911">
        <v>0</v>
      </c>
    </row>
    <row r="3912" spans="44:46">
      <c r="AR3912">
        <v>0</v>
      </c>
      <c r="AS3912">
        <v>0</v>
      </c>
      <c r="AT3912">
        <v>0</v>
      </c>
    </row>
    <row r="3913" spans="44:46">
      <c r="AR3913">
        <v>0</v>
      </c>
      <c r="AS3913">
        <v>0</v>
      </c>
      <c r="AT3913">
        <v>0</v>
      </c>
    </row>
    <row r="3914" spans="44:46">
      <c r="AR3914">
        <v>0</v>
      </c>
      <c r="AS3914">
        <v>0</v>
      </c>
      <c r="AT3914">
        <v>0</v>
      </c>
    </row>
    <row r="3915" spans="44:46">
      <c r="AR3915">
        <v>0</v>
      </c>
      <c r="AS3915">
        <v>0</v>
      </c>
      <c r="AT3915">
        <v>0</v>
      </c>
    </row>
    <row r="3916" spans="44:46">
      <c r="AR3916">
        <v>0</v>
      </c>
      <c r="AS3916">
        <v>0</v>
      </c>
      <c r="AT3916">
        <v>0</v>
      </c>
    </row>
    <row r="3917" spans="44:46">
      <c r="AR3917">
        <v>0</v>
      </c>
      <c r="AS3917">
        <v>0</v>
      </c>
      <c r="AT3917">
        <v>0</v>
      </c>
    </row>
    <row r="3918" spans="44:46">
      <c r="AR3918">
        <v>0</v>
      </c>
      <c r="AS3918">
        <v>0</v>
      </c>
      <c r="AT3918">
        <v>0</v>
      </c>
    </row>
    <row r="3919" spans="44:46">
      <c r="AR3919">
        <v>0</v>
      </c>
      <c r="AS3919">
        <v>0</v>
      </c>
      <c r="AT3919">
        <v>0</v>
      </c>
    </row>
    <row r="3920" spans="44:46">
      <c r="AR3920">
        <v>0</v>
      </c>
      <c r="AS3920">
        <v>0</v>
      </c>
      <c r="AT3920">
        <v>0</v>
      </c>
    </row>
    <row r="3921" spans="44:46">
      <c r="AR3921">
        <v>0</v>
      </c>
      <c r="AS3921">
        <v>0</v>
      </c>
      <c r="AT3921">
        <v>0</v>
      </c>
    </row>
    <row r="3922" spans="44:46">
      <c r="AR3922">
        <v>0</v>
      </c>
      <c r="AS3922">
        <v>0</v>
      </c>
      <c r="AT3922">
        <v>0</v>
      </c>
    </row>
    <row r="3923" spans="44:46">
      <c r="AR3923">
        <v>0</v>
      </c>
      <c r="AS3923">
        <v>0</v>
      </c>
      <c r="AT3923">
        <v>0</v>
      </c>
    </row>
    <row r="3924" spans="44:46">
      <c r="AR3924">
        <v>0</v>
      </c>
      <c r="AS3924">
        <v>0</v>
      </c>
      <c r="AT3924">
        <v>0</v>
      </c>
    </row>
    <row r="3925" spans="44:46">
      <c r="AR3925">
        <v>0</v>
      </c>
      <c r="AS3925">
        <v>0</v>
      </c>
      <c r="AT3925">
        <v>0</v>
      </c>
    </row>
    <row r="3926" spans="44:46">
      <c r="AR3926">
        <v>0</v>
      </c>
      <c r="AS3926">
        <v>0</v>
      </c>
      <c r="AT3926">
        <v>0</v>
      </c>
    </row>
    <row r="3927" spans="44:46">
      <c r="AR3927">
        <v>0</v>
      </c>
      <c r="AS3927">
        <v>0</v>
      </c>
      <c r="AT3927">
        <v>0</v>
      </c>
    </row>
    <row r="3928" spans="44:46">
      <c r="AR3928">
        <v>0</v>
      </c>
      <c r="AS3928">
        <v>0</v>
      </c>
      <c r="AT3928">
        <v>0</v>
      </c>
    </row>
    <row r="3929" spans="44:46">
      <c r="AR3929">
        <v>0</v>
      </c>
      <c r="AS3929">
        <v>0</v>
      </c>
      <c r="AT3929">
        <v>0</v>
      </c>
    </row>
    <row r="3930" spans="44:46">
      <c r="AR3930">
        <v>0</v>
      </c>
      <c r="AS3930">
        <v>0</v>
      </c>
      <c r="AT3930">
        <v>0</v>
      </c>
    </row>
    <row r="3931" spans="44:46">
      <c r="AR3931">
        <v>0</v>
      </c>
      <c r="AS3931">
        <v>0</v>
      </c>
      <c r="AT3931">
        <v>0</v>
      </c>
    </row>
    <row r="3932" spans="44:46">
      <c r="AR3932">
        <v>0</v>
      </c>
      <c r="AS3932">
        <v>0</v>
      </c>
      <c r="AT3932">
        <v>0</v>
      </c>
    </row>
    <row r="3933" spans="44:46">
      <c r="AR3933">
        <v>0</v>
      </c>
      <c r="AS3933">
        <v>0</v>
      </c>
      <c r="AT3933">
        <v>0</v>
      </c>
    </row>
    <row r="3934" spans="44:46">
      <c r="AR3934">
        <v>0</v>
      </c>
      <c r="AS3934">
        <v>0</v>
      </c>
      <c r="AT3934">
        <v>0</v>
      </c>
    </row>
    <row r="3935" spans="44:46">
      <c r="AR3935">
        <v>0</v>
      </c>
      <c r="AS3935">
        <v>0</v>
      </c>
      <c r="AT3935">
        <v>0</v>
      </c>
    </row>
    <row r="3936" spans="44:46">
      <c r="AR3936">
        <v>0</v>
      </c>
      <c r="AS3936">
        <v>0</v>
      </c>
      <c r="AT3936">
        <v>0</v>
      </c>
    </row>
    <row r="3937" spans="44:46">
      <c r="AR3937">
        <v>0</v>
      </c>
      <c r="AS3937">
        <v>0</v>
      </c>
      <c r="AT3937">
        <v>0</v>
      </c>
    </row>
    <row r="3938" spans="44:46">
      <c r="AR3938">
        <v>0</v>
      </c>
      <c r="AS3938">
        <v>0</v>
      </c>
      <c r="AT3938">
        <v>0</v>
      </c>
    </row>
    <row r="3939" spans="44:46">
      <c r="AR3939">
        <v>0</v>
      </c>
      <c r="AS3939">
        <v>0</v>
      </c>
      <c r="AT3939">
        <v>0</v>
      </c>
    </row>
    <row r="3940" spans="44:46">
      <c r="AR3940">
        <v>0</v>
      </c>
      <c r="AS3940">
        <v>0</v>
      </c>
      <c r="AT3940">
        <v>0</v>
      </c>
    </row>
    <row r="3941" spans="44:46">
      <c r="AR3941">
        <v>0</v>
      </c>
      <c r="AS3941">
        <v>0</v>
      </c>
      <c r="AT3941">
        <v>0</v>
      </c>
    </row>
    <row r="3942" spans="44:46">
      <c r="AR3942">
        <v>0</v>
      </c>
      <c r="AS3942">
        <v>0</v>
      </c>
      <c r="AT3942">
        <v>0</v>
      </c>
    </row>
    <row r="3943" spans="44:46">
      <c r="AR3943">
        <v>0</v>
      </c>
      <c r="AS3943">
        <v>0</v>
      </c>
      <c r="AT3943">
        <v>0</v>
      </c>
    </row>
    <row r="3944" spans="44:46">
      <c r="AR3944">
        <v>0</v>
      </c>
      <c r="AS3944">
        <v>0</v>
      </c>
      <c r="AT3944">
        <v>0</v>
      </c>
    </row>
    <row r="3945" spans="44:46">
      <c r="AR3945">
        <v>0</v>
      </c>
      <c r="AS3945">
        <v>0</v>
      </c>
      <c r="AT3945">
        <v>0</v>
      </c>
    </row>
    <row r="3946" spans="44:46">
      <c r="AR3946">
        <v>0</v>
      </c>
      <c r="AS3946">
        <v>0</v>
      </c>
      <c r="AT3946">
        <v>0</v>
      </c>
    </row>
    <row r="3947" spans="44:46">
      <c r="AR3947">
        <v>0</v>
      </c>
      <c r="AS3947">
        <v>0</v>
      </c>
      <c r="AT3947">
        <v>0</v>
      </c>
    </row>
    <row r="3948" spans="44:46">
      <c r="AR3948">
        <v>0</v>
      </c>
      <c r="AS3948">
        <v>0</v>
      </c>
      <c r="AT3948">
        <v>0</v>
      </c>
    </row>
    <row r="3949" spans="44:46">
      <c r="AR3949">
        <v>0</v>
      </c>
      <c r="AS3949">
        <v>0</v>
      </c>
      <c r="AT3949">
        <v>0</v>
      </c>
    </row>
    <row r="3950" spans="44:46">
      <c r="AR3950">
        <v>0</v>
      </c>
      <c r="AS3950">
        <v>0</v>
      </c>
      <c r="AT3950">
        <v>0</v>
      </c>
    </row>
    <row r="3951" spans="44:46">
      <c r="AR3951">
        <v>0</v>
      </c>
      <c r="AS3951">
        <v>0</v>
      </c>
      <c r="AT3951">
        <v>0</v>
      </c>
    </row>
    <row r="3952" spans="44:46">
      <c r="AR3952">
        <v>0</v>
      </c>
      <c r="AS3952">
        <v>0</v>
      </c>
      <c r="AT3952">
        <v>0</v>
      </c>
    </row>
    <row r="3953" spans="44:46">
      <c r="AR3953">
        <v>0</v>
      </c>
      <c r="AS3953">
        <v>0</v>
      </c>
      <c r="AT3953">
        <v>0</v>
      </c>
    </row>
    <row r="3954" spans="44:46">
      <c r="AR3954">
        <v>0</v>
      </c>
      <c r="AS3954">
        <v>0</v>
      </c>
      <c r="AT3954">
        <v>0</v>
      </c>
    </row>
    <row r="3955" spans="44:46">
      <c r="AR3955">
        <v>0</v>
      </c>
      <c r="AS3955">
        <v>0</v>
      </c>
      <c r="AT3955">
        <v>0</v>
      </c>
    </row>
    <row r="3956" spans="44:46">
      <c r="AR3956">
        <v>0</v>
      </c>
      <c r="AS3956">
        <v>0</v>
      </c>
      <c r="AT3956">
        <v>0</v>
      </c>
    </row>
    <row r="3957" spans="44:46">
      <c r="AR3957">
        <v>0</v>
      </c>
      <c r="AS3957">
        <v>0</v>
      </c>
      <c r="AT3957">
        <v>0</v>
      </c>
    </row>
    <row r="3958" spans="44:46">
      <c r="AR3958">
        <v>0</v>
      </c>
      <c r="AS3958">
        <v>0</v>
      </c>
      <c r="AT3958">
        <v>0</v>
      </c>
    </row>
    <row r="3959" spans="44:46">
      <c r="AR3959">
        <v>0</v>
      </c>
      <c r="AS3959">
        <v>0</v>
      </c>
      <c r="AT3959">
        <v>0</v>
      </c>
    </row>
    <row r="3960" spans="44:46">
      <c r="AR3960">
        <v>0</v>
      </c>
      <c r="AS3960">
        <v>0</v>
      </c>
      <c r="AT3960">
        <v>0</v>
      </c>
    </row>
    <row r="3961" spans="44:46">
      <c r="AR3961">
        <v>0</v>
      </c>
      <c r="AS3961">
        <v>0</v>
      </c>
      <c r="AT3961">
        <v>0</v>
      </c>
    </row>
    <row r="3962" spans="44:46">
      <c r="AR3962">
        <v>0</v>
      </c>
      <c r="AS3962">
        <v>0</v>
      </c>
      <c r="AT3962">
        <v>0</v>
      </c>
    </row>
    <row r="3963" spans="44:46">
      <c r="AR3963">
        <v>0</v>
      </c>
      <c r="AS3963">
        <v>0</v>
      </c>
      <c r="AT3963">
        <v>0</v>
      </c>
    </row>
    <row r="3964" spans="44:46">
      <c r="AR3964">
        <v>0</v>
      </c>
      <c r="AS3964">
        <v>0</v>
      </c>
      <c r="AT3964">
        <v>0</v>
      </c>
    </row>
    <row r="3965" spans="44:46">
      <c r="AR3965">
        <v>0</v>
      </c>
      <c r="AS3965">
        <v>0</v>
      </c>
      <c r="AT3965">
        <v>0</v>
      </c>
    </row>
    <row r="3966" spans="44:46">
      <c r="AR3966">
        <v>0</v>
      </c>
      <c r="AS3966">
        <v>0</v>
      </c>
      <c r="AT3966">
        <v>0</v>
      </c>
    </row>
    <row r="3967" spans="44:46">
      <c r="AR3967">
        <v>0</v>
      </c>
      <c r="AS3967">
        <v>0</v>
      </c>
      <c r="AT3967">
        <v>0</v>
      </c>
    </row>
    <row r="3968" spans="44:46">
      <c r="AR3968">
        <v>0</v>
      </c>
      <c r="AS3968">
        <v>0</v>
      </c>
      <c r="AT3968">
        <v>0</v>
      </c>
    </row>
    <row r="3969" spans="44:46">
      <c r="AR3969">
        <v>0</v>
      </c>
      <c r="AS3969">
        <v>0</v>
      </c>
      <c r="AT3969">
        <v>0</v>
      </c>
    </row>
    <row r="3970" spans="44:46">
      <c r="AR3970">
        <v>0</v>
      </c>
      <c r="AS3970">
        <v>0</v>
      </c>
      <c r="AT3970">
        <v>0</v>
      </c>
    </row>
    <row r="3971" spans="44:46">
      <c r="AR3971">
        <v>0</v>
      </c>
      <c r="AS3971">
        <v>0</v>
      </c>
      <c r="AT3971">
        <v>0</v>
      </c>
    </row>
    <row r="3972" spans="44:46">
      <c r="AR3972">
        <v>0</v>
      </c>
      <c r="AS3972">
        <v>0</v>
      </c>
      <c r="AT3972">
        <v>0</v>
      </c>
    </row>
    <row r="3973" spans="44:46">
      <c r="AR3973">
        <v>0</v>
      </c>
      <c r="AS3973">
        <v>0</v>
      </c>
      <c r="AT3973">
        <v>0</v>
      </c>
    </row>
    <row r="3974" spans="44:46">
      <c r="AR3974">
        <v>0</v>
      </c>
      <c r="AS3974">
        <v>0</v>
      </c>
      <c r="AT3974">
        <v>0</v>
      </c>
    </row>
    <row r="3975" spans="44:46">
      <c r="AR3975">
        <v>0</v>
      </c>
      <c r="AS3975">
        <v>0</v>
      </c>
      <c r="AT3975">
        <v>0</v>
      </c>
    </row>
    <row r="3976" spans="44:46">
      <c r="AR3976">
        <v>0</v>
      </c>
      <c r="AS3976">
        <v>0</v>
      </c>
      <c r="AT3976">
        <v>0</v>
      </c>
    </row>
    <row r="3977" spans="44:46">
      <c r="AR3977">
        <v>0</v>
      </c>
      <c r="AS3977">
        <v>0</v>
      </c>
      <c r="AT3977">
        <v>0</v>
      </c>
    </row>
    <row r="3978" spans="44:46">
      <c r="AR3978">
        <v>0</v>
      </c>
      <c r="AS3978">
        <v>0</v>
      </c>
      <c r="AT3978">
        <v>0</v>
      </c>
    </row>
    <row r="3979" spans="44:46">
      <c r="AR3979">
        <v>0</v>
      </c>
      <c r="AS3979">
        <v>0</v>
      </c>
      <c r="AT3979">
        <v>0</v>
      </c>
    </row>
    <row r="3980" spans="44:46">
      <c r="AR3980">
        <v>0</v>
      </c>
      <c r="AS3980">
        <v>0</v>
      </c>
      <c r="AT3980">
        <v>0</v>
      </c>
    </row>
    <row r="3981" spans="44:46">
      <c r="AR3981">
        <v>0</v>
      </c>
      <c r="AS3981">
        <v>0</v>
      </c>
      <c r="AT3981">
        <v>0</v>
      </c>
    </row>
    <row r="3982" spans="44:46">
      <c r="AR3982">
        <v>0</v>
      </c>
      <c r="AS3982">
        <v>0</v>
      </c>
      <c r="AT3982">
        <v>0</v>
      </c>
    </row>
    <row r="3983" spans="44:46">
      <c r="AR3983">
        <v>0</v>
      </c>
      <c r="AS3983">
        <v>0</v>
      </c>
      <c r="AT3983">
        <v>0</v>
      </c>
    </row>
    <row r="3984" spans="44:46">
      <c r="AR3984">
        <v>0</v>
      </c>
      <c r="AS3984">
        <v>0</v>
      </c>
      <c r="AT3984">
        <v>0</v>
      </c>
    </row>
    <row r="3985" spans="44:46">
      <c r="AR3985">
        <v>45830</v>
      </c>
      <c r="AS3985" t="str">
        <v>Seeing lots of deer feeding</v>
      </c>
      <c r="AT3985" t="str">
        <v>I1</v>
      </c>
    </row>
    <row r="3986" spans="44:46">
      <c r="AR3986">
        <v>45826</v>
      </c>
      <c r="AS3986" t="str">
        <v>The cut potatoes look much smaller than the whole potatoes even though the cut pieces were larger.</v>
      </c>
      <c r="AT3986" t="str">
        <v>F3</v>
      </c>
    </row>
    <row r="3987" spans="44:46">
      <c r="AR3987">
        <v>45828</v>
      </c>
      <c r="AS3987" t="str">
        <v>Quite a few weeds, could have used compost</v>
      </c>
      <c r="AT3987" t="str">
        <v>A2</v>
      </c>
    </row>
    <row r="3988" spans="44:46">
      <c r="AR3988">
        <v>45778</v>
      </c>
      <c r="AS3988" t="str">
        <v>Incredibly weedy beds. Lots of plaintain.</v>
      </c>
      <c r="AT3988" t="str">
        <v>C5</v>
      </c>
    </row>
    <row r="3989" spans="44:46">
      <c r="AR3989">
        <v>45818</v>
      </c>
      <c r="AS3989" t="str">
        <v>Bok Choy bolted</v>
      </c>
      <c r="AT3989" t="str">
        <v>E3</v>
      </c>
    </row>
    <row r="3990" spans="44:46">
      <c r="AR3990">
        <v>0</v>
      </c>
      <c r="AS3990">
        <v>0</v>
      </c>
      <c r="AT3990">
        <v>0</v>
      </c>
    </row>
    <row r="3991" spans="44:46">
      <c r="AR3991">
        <v>0</v>
      </c>
      <c r="AS3991">
        <v>0</v>
      </c>
      <c r="AT3991">
        <v>0</v>
      </c>
    </row>
    <row r="3992" spans="44:46">
      <c r="AR3992">
        <v>0</v>
      </c>
      <c r="AS3992">
        <v>0</v>
      </c>
      <c r="AT3992">
        <v>0</v>
      </c>
    </row>
    <row r="3993" spans="44:46">
      <c r="AR3993">
        <v>0</v>
      </c>
      <c r="AS3993">
        <v>0</v>
      </c>
      <c r="AT3993">
        <v>0</v>
      </c>
    </row>
    <row r="3994" spans="44:46">
      <c r="AR3994">
        <v>0</v>
      </c>
      <c r="AS3994">
        <v>0</v>
      </c>
      <c r="AT3994">
        <v>0</v>
      </c>
    </row>
    <row r="3995" spans="44:46">
      <c r="AR3995">
        <v>0</v>
      </c>
      <c r="AS3995">
        <v>0</v>
      </c>
      <c r="AT3995">
        <v>0</v>
      </c>
    </row>
    <row r="3996" spans="44:46">
      <c r="AR3996">
        <v>0</v>
      </c>
      <c r="AS3996">
        <v>0</v>
      </c>
      <c r="AT3996">
        <v>0</v>
      </c>
    </row>
    <row r="3997" spans="44:46">
      <c r="AR3997">
        <v>0</v>
      </c>
      <c r="AS3997">
        <v>0</v>
      </c>
      <c r="AT3997">
        <v>0</v>
      </c>
    </row>
    <row r="3998" spans="44:46">
      <c r="AR3998">
        <v>0</v>
      </c>
      <c r="AS3998">
        <v>0</v>
      </c>
      <c r="AT3998">
        <v>0</v>
      </c>
    </row>
    <row r="3999" spans="44:46">
      <c r="AR3999">
        <v>0</v>
      </c>
      <c r="AS3999">
        <v>0</v>
      </c>
      <c r="AT3999">
        <v>0</v>
      </c>
    </row>
    <row r="4000" spans="44:46">
      <c r="AR4000">
        <v>0</v>
      </c>
      <c r="AS4000">
        <v>0</v>
      </c>
      <c r="AT4000">
        <v>0</v>
      </c>
    </row>
    <row r="4001" spans="44:46">
      <c r="AR4001">
        <v>0</v>
      </c>
      <c r="AS4001">
        <v>0</v>
      </c>
      <c r="AT4001">
        <v>0</v>
      </c>
    </row>
    <row r="4002" spans="44:46">
      <c r="AR4002">
        <v>0</v>
      </c>
      <c r="AS4002">
        <v>0</v>
      </c>
      <c r="AT4002">
        <v>0</v>
      </c>
    </row>
    <row r="4003" spans="44:46">
      <c r="AR4003">
        <v>0</v>
      </c>
      <c r="AS4003">
        <v>0</v>
      </c>
      <c r="AT4003">
        <v>0</v>
      </c>
    </row>
    <row r="4004" spans="44:46">
      <c r="AR4004">
        <v>0</v>
      </c>
      <c r="AS4004">
        <v>0</v>
      </c>
      <c r="AT4004">
        <v>0</v>
      </c>
    </row>
    <row r="4005" spans="44:46">
      <c r="AR4005">
        <v>0</v>
      </c>
      <c r="AS4005">
        <v>0</v>
      </c>
      <c r="AT4005">
        <v>0</v>
      </c>
    </row>
    <row r="4006" spans="44:46">
      <c r="AR4006">
        <v>0</v>
      </c>
      <c r="AS4006">
        <v>0</v>
      </c>
      <c r="AT4006">
        <v>0</v>
      </c>
    </row>
    <row r="4007" spans="44:46">
      <c r="AR4007">
        <v>0</v>
      </c>
      <c r="AS4007">
        <v>0</v>
      </c>
      <c r="AT4007">
        <v>0</v>
      </c>
    </row>
    <row r="4008" spans="44:46">
      <c r="AR4008">
        <v>0</v>
      </c>
      <c r="AS4008">
        <v>0</v>
      </c>
      <c r="AT4008">
        <v>0</v>
      </c>
    </row>
    <row r="4009" spans="44:46">
      <c r="AR4009">
        <v>0</v>
      </c>
      <c r="AS4009">
        <v>0</v>
      </c>
      <c r="AT4009">
        <v>0</v>
      </c>
    </row>
    <row r="4010" spans="44:46">
      <c r="AR4010">
        <v>0</v>
      </c>
      <c r="AS4010">
        <v>0</v>
      </c>
      <c r="AT4010">
        <v>0</v>
      </c>
    </row>
    <row r="4011" spans="44:46">
      <c r="AR4011">
        <v>0</v>
      </c>
      <c r="AS4011">
        <v>0</v>
      </c>
      <c r="AT4011">
        <v>0</v>
      </c>
    </row>
    <row r="4012" spans="44:46">
      <c r="AR4012">
        <v>0</v>
      </c>
      <c r="AS4012">
        <v>0</v>
      </c>
      <c r="AT4012">
        <v>0</v>
      </c>
    </row>
    <row r="4013" spans="44:46">
      <c r="AR4013">
        <v>0</v>
      </c>
      <c r="AS4013">
        <v>0</v>
      </c>
      <c r="AT4013">
        <v>0</v>
      </c>
    </row>
    <row r="4014" spans="44:46">
      <c r="AR4014">
        <v>0</v>
      </c>
      <c r="AS4014">
        <v>0</v>
      </c>
      <c r="AT4014">
        <v>0</v>
      </c>
    </row>
    <row r="4015" spans="44:46">
      <c r="AR4015">
        <v>0</v>
      </c>
      <c r="AS4015">
        <v>0</v>
      </c>
      <c r="AT4015">
        <v>0</v>
      </c>
    </row>
    <row r="4016" spans="44:46">
      <c r="AR4016">
        <v>0</v>
      </c>
      <c r="AS4016">
        <v>0</v>
      </c>
      <c r="AT4016">
        <v>0</v>
      </c>
    </row>
    <row r="4017" spans="44:46">
      <c r="AR4017">
        <v>0</v>
      </c>
      <c r="AS4017">
        <v>0</v>
      </c>
      <c r="AT4017">
        <v>0</v>
      </c>
    </row>
    <row r="4018" spans="44:46">
      <c r="AR4018">
        <v>0</v>
      </c>
      <c r="AS4018">
        <v>0</v>
      </c>
      <c r="AT4018">
        <v>0</v>
      </c>
    </row>
    <row r="4019" spans="44:46">
      <c r="AR4019">
        <v>0</v>
      </c>
      <c r="AS4019">
        <v>0</v>
      </c>
      <c r="AT4019">
        <v>0</v>
      </c>
    </row>
    <row r="4020" spans="44:46">
      <c r="AR4020">
        <v>0</v>
      </c>
      <c r="AS4020">
        <v>0</v>
      </c>
      <c r="AT4020">
        <v>0</v>
      </c>
    </row>
    <row r="4021" spans="44:46">
      <c r="AR4021">
        <v>0</v>
      </c>
      <c r="AS4021">
        <v>0</v>
      </c>
      <c r="AT4021">
        <v>0</v>
      </c>
    </row>
    <row r="4022" spans="44:46">
      <c r="AR4022">
        <v>0</v>
      </c>
      <c r="AS4022">
        <v>0</v>
      </c>
      <c r="AT4022">
        <v>0</v>
      </c>
    </row>
    <row r="4023" spans="44:46">
      <c r="AR4023">
        <v>0</v>
      </c>
      <c r="AS4023">
        <v>0</v>
      </c>
      <c r="AT4023">
        <v>0</v>
      </c>
    </row>
    <row r="4024" spans="44:46">
      <c r="AR4024">
        <v>0</v>
      </c>
      <c r="AS4024">
        <v>0</v>
      </c>
      <c r="AT4024">
        <v>0</v>
      </c>
    </row>
    <row r="4025" spans="44:46">
      <c r="AR4025">
        <v>0</v>
      </c>
      <c r="AS4025">
        <v>0</v>
      </c>
      <c r="AT4025">
        <v>0</v>
      </c>
    </row>
    <row r="4026" spans="44:46">
      <c r="AR4026">
        <v>0</v>
      </c>
      <c r="AS4026">
        <v>0</v>
      </c>
      <c r="AT4026">
        <v>0</v>
      </c>
    </row>
    <row r="4027" spans="44:46">
      <c r="AR4027">
        <v>0</v>
      </c>
      <c r="AS4027">
        <v>0</v>
      </c>
      <c r="AT4027">
        <v>0</v>
      </c>
    </row>
    <row r="4028" spans="44:46">
      <c r="AR4028">
        <v>0</v>
      </c>
      <c r="AS4028">
        <v>0</v>
      </c>
      <c r="AT4028">
        <v>0</v>
      </c>
    </row>
    <row r="4029" spans="44:46">
      <c r="AR4029">
        <v>0</v>
      </c>
      <c r="AS4029">
        <v>0</v>
      </c>
      <c r="AT4029">
        <v>0</v>
      </c>
    </row>
    <row r="4030" spans="44:46">
      <c r="AR4030">
        <v>0</v>
      </c>
      <c r="AS4030">
        <v>0</v>
      </c>
      <c r="AT4030">
        <v>0</v>
      </c>
    </row>
    <row r="4031" spans="44:46">
      <c r="AR4031">
        <v>0</v>
      </c>
      <c r="AS4031">
        <v>0</v>
      </c>
      <c r="AT4031">
        <v>0</v>
      </c>
    </row>
    <row r="4032" spans="44:46">
      <c r="AR4032">
        <v>0</v>
      </c>
      <c r="AS4032">
        <v>0</v>
      </c>
      <c r="AT4032">
        <v>0</v>
      </c>
    </row>
    <row r="4033" spans="44:46">
      <c r="AR4033">
        <v>0</v>
      </c>
      <c r="AS4033">
        <v>0</v>
      </c>
      <c r="AT4033">
        <v>0</v>
      </c>
    </row>
    <row r="4034" spans="44:46">
      <c r="AR4034">
        <v>0</v>
      </c>
      <c r="AS4034">
        <v>0</v>
      </c>
      <c r="AT4034">
        <v>0</v>
      </c>
    </row>
    <row r="4035" spans="44:46">
      <c r="AR4035">
        <v>0</v>
      </c>
      <c r="AS4035">
        <v>0</v>
      </c>
      <c r="AT4035">
        <v>0</v>
      </c>
    </row>
    <row r="4036" spans="44:46">
      <c r="AR4036">
        <v>0</v>
      </c>
      <c r="AS4036">
        <v>0</v>
      </c>
      <c r="AT4036">
        <v>0</v>
      </c>
    </row>
    <row r="4037" spans="44:46">
      <c r="AR4037">
        <v>0</v>
      </c>
      <c r="AS4037">
        <v>0</v>
      </c>
      <c r="AT4037">
        <v>0</v>
      </c>
    </row>
    <row r="4038" spans="44:46">
      <c r="AR4038">
        <v>0</v>
      </c>
      <c r="AS4038">
        <v>0</v>
      </c>
      <c r="AT4038">
        <v>0</v>
      </c>
    </row>
    <row r="4039" spans="44:46">
      <c r="AR4039">
        <v>0</v>
      </c>
      <c r="AS4039">
        <v>0</v>
      </c>
      <c r="AT4039">
        <v>0</v>
      </c>
    </row>
    <row r="4040" spans="44:46">
      <c r="AR4040">
        <v>0</v>
      </c>
      <c r="AS4040">
        <v>0</v>
      </c>
      <c r="AT4040">
        <v>0</v>
      </c>
    </row>
    <row r="4041" spans="44:46">
      <c r="AR4041">
        <v>0</v>
      </c>
      <c r="AS4041">
        <v>0</v>
      </c>
      <c r="AT4041">
        <v>0</v>
      </c>
    </row>
    <row r="4042" spans="44:46">
      <c r="AR4042">
        <v>0</v>
      </c>
      <c r="AS4042">
        <v>0</v>
      </c>
      <c r="AT4042">
        <v>0</v>
      </c>
    </row>
    <row r="4043" spans="44:46">
      <c r="AR4043">
        <v>0</v>
      </c>
      <c r="AS4043">
        <v>0</v>
      </c>
      <c r="AT4043">
        <v>0</v>
      </c>
    </row>
    <row r="4044" spans="44:46">
      <c r="AR4044">
        <v>0</v>
      </c>
      <c r="AS4044">
        <v>0</v>
      </c>
      <c r="AT4044">
        <v>0</v>
      </c>
    </row>
    <row r="4045" spans="44:46">
      <c r="AR4045">
        <v>0</v>
      </c>
      <c r="AS4045">
        <v>0</v>
      </c>
      <c r="AT4045">
        <v>0</v>
      </c>
    </row>
    <row r="4046" spans="44:46">
      <c r="AR4046">
        <v>0</v>
      </c>
      <c r="AS4046">
        <v>0</v>
      </c>
      <c r="AT4046">
        <v>0</v>
      </c>
    </row>
    <row r="4047" spans="44:46">
      <c r="AR4047">
        <v>0</v>
      </c>
      <c r="AS4047">
        <v>0</v>
      </c>
      <c r="AT4047">
        <v>0</v>
      </c>
    </row>
    <row r="4048" spans="44:46">
      <c r="AR4048">
        <v>0</v>
      </c>
      <c r="AS4048">
        <v>0</v>
      </c>
      <c r="AT4048">
        <v>0</v>
      </c>
    </row>
    <row r="4049" spans="44:46">
      <c r="AR4049">
        <v>0</v>
      </c>
      <c r="AS4049">
        <v>0</v>
      </c>
      <c r="AT4049">
        <v>0</v>
      </c>
    </row>
    <row r="4050" spans="44:46">
      <c r="AR4050">
        <v>0</v>
      </c>
      <c r="AS4050">
        <v>0</v>
      </c>
      <c r="AT4050">
        <v>0</v>
      </c>
    </row>
    <row r="4051" spans="44:46">
      <c r="AR4051">
        <v>0</v>
      </c>
      <c r="AS4051">
        <v>0</v>
      </c>
      <c r="AT4051">
        <v>0</v>
      </c>
    </row>
    <row r="4052" spans="44:46">
      <c r="AR4052">
        <v>0</v>
      </c>
      <c r="AS4052">
        <v>0</v>
      </c>
      <c r="AT4052">
        <v>0</v>
      </c>
    </row>
    <row r="4053" spans="44:46">
      <c r="AR4053">
        <v>0</v>
      </c>
      <c r="AS4053">
        <v>0</v>
      </c>
      <c r="AT4053">
        <v>0</v>
      </c>
    </row>
    <row r="4054" spans="44:46">
      <c r="AR4054">
        <v>0</v>
      </c>
      <c r="AS4054">
        <v>0</v>
      </c>
      <c r="AT4054">
        <v>0</v>
      </c>
    </row>
    <row r="4055" spans="44:46">
      <c r="AR4055">
        <v>0</v>
      </c>
      <c r="AS4055">
        <v>0</v>
      </c>
      <c r="AT4055">
        <v>0</v>
      </c>
    </row>
    <row r="4056" spans="44:46">
      <c r="AR4056">
        <v>0</v>
      </c>
      <c r="AS4056">
        <v>0</v>
      </c>
      <c r="AT4056">
        <v>0</v>
      </c>
    </row>
    <row r="4057" spans="44:46">
      <c r="AR4057">
        <v>0</v>
      </c>
      <c r="AS4057">
        <v>0</v>
      </c>
      <c r="AT4057">
        <v>0</v>
      </c>
    </row>
    <row r="4058" spans="44:46">
      <c r="AR4058">
        <v>0</v>
      </c>
      <c r="AS4058">
        <v>0</v>
      </c>
      <c r="AT4058">
        <v>0</v>
      </c>
    </row>
    <row r="4059" spans="44:46">
      <c r="AR4059">
        <v>0</v>
      </c>
      <c r="AS4059">
        <v>0</v>
      </c>
      <c r="AT4059">
        <v>0</v>
      </c>
    </row>
    <row r="4060" spans="44:46">
      <c r="AR4060">
        <v>0</v>
      </c>
      <c r="AS4060">
        <v>0</v>
      </c>
      <c r="AT4060">
        <v>0</v>
      </c>
    </row>
    <row r="4061" spans="44:46">
      <c r="AR4061">
        <v>0</v>
      </c>
      <c r="AS4061">
        <v>0</v>
      </c>
      <c r="AT4061">
        <v>0</v>
      </c>
    </row>
    <row r="4062" spans="44:46">
      <c r="AR4062">
        <v>0</v>
      </c>
      <c r="AS4062">
        <v>0</v>
      </c>
      <c r="AT4062">
        <v>0</v>
      </c>
    </row>
    <row r="4063" spans="44:46">
      <c r="AR4063">
        <v>0</v>
      </c>
      <c r="AS4063">
        <v>0</v>
      </c>
      <c r="AT4063">
        <v>0</v>
      </c>
    </row>
    <row r="4064" spans="44:46">
      <c r="AR4064">
        <v>0</v>
      </c>
      <c r="AS4064">
        <v>0</v>
      </c>
      <c r="AT4064">
        <v>0</v>
      </c>
    </row>
    <row r="4065" spans="44:46">
      <c r="AR4065">
        <v>0</v>
      </c>
      <c r="AS4065">
        <v>0</v>
      </c>
      <c r="AT4065">
        <v>0</v>
      </c>
    </row>
    <row r="4066" spans="44:46">
      <c r="AR4066">
        <v>0</v>
      </c>
      <c r="AS4066">
        <v>0</v>
      </c>
      <c r="AT4066">
        <v>0</v>
      </c>
    </row>
    <row r="4067" spans="44:46">
      <c r="AR4067">
        <v>0</v>
      </c>
      <c r="AS4067">
        <v>0</v>
      </c>
      <c r="AT4067">
        <v>0</v>
      </c>
    </row>
    <row r="4068" spans="44:46">
      <c r="AR4068">
        <v>0</v>
      </c>
      <c r="AS4068">
        <v>0</v>
      </c>
      <c r="AT4068">
        <v>0</v>
      </c>
    </row>
    <row r="4069" spans="44:46">
      <c r="AR4069">
        <v>0</v>
      </c>
      <c r="AS4069">
        <v>0</v>
      </c>
      <c r="AT4069">
        <v>0</v>
      </c>
    </row>
    <row r="4070" spans="44:46">
      <c r="AR4070">
        <v>0</v>
      </c>
      <c r="AS4070">
        <v>0</v>
      </c>
      <c r="AT4070">
        <v>0</v>
      </c>
    </row>
    <row r="4071" spans="44:46">
      <c r="AR4071">
        <v>0</v>
      </c>
      <c r="AS4071">
        <v>0</v>
      </c>
      <c r="AT4071">
        <v>0</v>
      </c>
    </row>
    <row r="4072" spans="44:46">
      <c r="AR4072">
        <v>0</v>
      </c>
      <c r="AS4072">
        <v>0</v>
      </c>
      <c r="AT4072">
        <v>0</v>
      </c>
    </row>
    <row r="4073" spans="44:46">
      <c r="AR4073">
        <v>0</v>
      </c>
      <c r="AS4073">
        <v>0</v>
      </c>
      <c r="AT4073">
        <v>0</v>
      </c>
    </row>
    <row r="4074" spans="44:46">
      <c r="AR4074">
        <v>0</v>
      </c>
      <c r="AS4074">
        <v>0</v>
      </c>
      <c r="AT4074">
        <v>0</v>
      </c>
    </row>
    <row r="4075" spans="44:46">
      <c r="AR4075">
        <v>0</v>
      </c>
      <c r="AS4075">
        <v>0</v>
      </c>
      <c r="AT4075">
        <v>0</v>
      </c>
    </row>
    <row r="4076" spans="44:46">
      <c r="AR4076">
        <v>0</v>
      </c>
      <c r="AS4076">
        <v>0</v>
      </c>
      <c r="AT4076">
        <v>0</v>
      </c>
    </row>
    <row r="4077" spans="44:46">
      <c r="AR4077">
        <v>0</v>
      </c>
      <c r="AS4077">
        <v>0</v>
      </c>
      <c r="AT4077">
        <v>0</v>
      </c>
    </row>
    <row r="4078" spans="44:46">
      <c r="AR4078">
        <v>0</v>
      </c>
      <c r="AS4078">
        <v>0</v>
      </c>
      <c r="AT4078">
        <v>0</v>
      </c>
    </row>
    <row r="4079" spans="44:46">
      <c r="AR4079">
        <v>0</v>
      </c>
      <c r="AS4079">
        <v>0</v>
      </c>
      <c r="AT4079">
        <v>0</v>
      </c>
    </row>
    <row r="4080" spans="44:46">
      <c r="AR4080">
        <v>0</v>
      </c>
      <c r="AS4080">
        <v>0</v>
      </c>
      <c r="AT4080">
        <v>0</v>
      </c>
    </row>
    <row r="4081" spans="44:46">
      <c r="AR4081">
        <v>0</v>
      </c>
      <c r="AS4081">
        <v>0</v>
      </c>
      <c r="AT4081">
        <v>0</v>
      </c>
    </row>
    <row r="4082" spans="44:46">
      <c r="AR4082">
        <v>0</v>
      </c>
      <c r="AS4082">
        <v>0</v>
      </c>
      <c r="AT4082">
        <v>0</v>
      </c>
    </row>
    <row r="4083" spans="44:46">
      <c r="AR4083">
        <v>0</v>
      </c>
      <c r="AS4083">
        <v>0</v>
      </c>
      <c r="AT4083">
        <v>0</v>
      </c>
    </row>
    <row r="4084" spans="44:46">
      <c r="AR4084">
        <v>0</v>
      </c>
      <c r="AS4084">
        <v>0</v>
      </c>
      <c r="AT4084">
        <v>0</v>
      </c>
    </row>
    <row r="4085" spans="44:46">
      <c r="AR4085">
        <v>0</v>
      </c>
      <c r="AS4085">
        <v>0</v>
      </c>
      <c r="AT4085">
        <v>0</v>
      </c>
    </row>
    <row r="4086" spans="44:46">
      <c r="AR4086">
        <v>0</v>
      </c>
      <c r="AS4086">
        <v>0</v>
      </c>
      <c r="AT4086">
        <v>0</v>
      </c>
    </row>
    <row r="4087" spans="44:46">
      <c r="AR4087">
        <v>0</v>
      </c>
      <c r="AS4087">
        <v>0</v>
      </c>
      <c r="AT4087">
        <v>0</v>
      </c>
    </row>
    <row r="4088" spans="44:46">
      <c r="AR4088">
        <v>0</v>
      </c>
      <c r="AS4088">
        <v>0</v>
      </c>
      <c r="AT4088">
        <v>0</v>
      </c>
    </row>
    <row r="4089" spans="44:46">
      <c r="AR4089">
        <v>0</v>
      </c>
      <c r="AS4089">
        <v>0</v>
      </c>
      <c r="AT4089">
        <v>0</v>
      </c>
    </row>
    <row r="4090" spans="44:46">
      <c r="AR4090">
        <v>0</v>
      </c>
      <c r="AS4090">
        <v>0</v>
      </c>
      <c r="AT4090">
        <v>0</v>
      </c>
    </row>
    <row r="4091" spans="44:46">
      <c r="AR4091">
        <v>0</v>
      </c>
      <c r="AS4091">
        <v>0</v>
      </c>
      <c r="AT4091">
        <v>0</v>
      </c>
    </row>
    <row r="4092" spans="44:46">
      <c r="AR4092">
        <v>0</v>
      </c>
      <c r="AS4092">
        <v>0</v>
      </c>
      <c r="AT4092">
        <v>0</v>
      </c>
    </row>
    <row r="4093" spans="44:46">
      <c r="AR4093">
        <v>0</v>
      </c>
      <c r="AS4093">
        <v>0</v>
      </c>
      <c r="AT4093">
        <v>0</v>
      </c>
    </row>
    <row r="4094" spans="44:46">
      <c r="AR4094">
        <v>0</v>
      </c>
      <c r="AS4094">
        <v>0</v>
      </c>
      <c r="AT4094">
        <v>0</v>
      </c>
    </row>
    <row r="4095" spans="44:46">
      <c r="AR4095">
        <v>0</v>
      </c>
      <c r="AS4095">
        <v>0</v>
      </c>
      <c r="AT4095">
        <v>0</v>
      </c>
    </row>
    <row r="4096" spans="44:46">
      <c r="AR4096">
        <v>0</v>
      </c>
      <c r="AS4096">
        <v>0</v>
      </c>
      <c r="AT4096">
        <v>0</v>
      </c>
    </row>
    <row r="4097" spans="44:46">
      <c r="AR4097">
        <v>0</v>
      </c>
      <c r="AS4097">
        <v>0</v>
      </c>
      <c r="AT4097">
        <v>0</v>
      </c>
    </row>
    <row r="4098" spans="44:46">
      <c r="AR4098">
        <v>0</v>
      </c>
      <c r="AS4098">
        <v>0</v>
      </c>
      <c r="AT4098">
        <v>0</v>
      </c>
    </row>
    <row r="4099" spans="44:46">
      <c r="AR4099">
        <v>0</v>
      </c>
      <c r="AS4099">
        <v>0</v>
      </c>
      <c r="AT4099">
        <v>0</v>
      </c>
    </row>
    <row r="4100" spans="44:46">
      <c r="AR4100">
        <v>0</v>
      </c>
      <c r="AS4100">
        <v>0</v>
      </c>
      <c r="AT4100">
        <v>0</v>
      </c>
    </row>
    <row r="4101" spans="44:46">
      <c r="AR4101">
        <v>0</v>
      </c>
      <c r="AS4101">
        <v>0</v>
      </c>
      <c r="AT4101">
        <v>0</v>
      </c>
    </row>
    <row r="4102" spans="44:46">
      <c r="AR4102">
        <v>0</v>
      </c>
      <c r="AS4102">
        <v>0</v>
      </c>
      <c r="AT4102">
        <v>0</v>
      </c>
    </row>
    <row r="4103" spans="44:46">
      <c r="AR4103">
        <v>0</v>
      </c>
      <c r="AS4103">
        <v>0</v>
      </c>
      <c r="AT4103">
        <v>0</v>
      </c>
    </row>
    <row r="4104" spans="44:46">
      <c r="AR4104">
        <v>0</v>
      </c>
      <c r="AS4104">
        <v>0</v>
      </c>
      <c r="AT4104">
        <v>0</v>
      </c>
    </row>
    <row r="4105" spans="44:46">
      <c r="AR4105">
        <v>0</v>
      </c>
      <c r="AS4105">
        <v>0</v>
      </c>
      <c r="AT4105">
        <v>0</v>
      </c>
    </row>
    <row r="4106" spans="44:46">
      <c r="AR4106">
        <v>0</v>
      </c>
      <c r="AS4106">
        <v>0</v>
      </c>
      <c r="AT4106">
        <v>0</v>
      </c>
    </row>
    <row r="4107" spans="44:46">
      <c r="AR4107">
        <v>0</v>
      </c>
      <c r="AS4107">
        <v>0</v>
      </c>
      <c r="AT4107">
        <v>0</v>
      </c>
    </row>
    <row r="4108" spans="44:46">
      <c r="AR4108">
        <v>0</v>
      </c>
      <c r="AS4108">
        <v>0</v>
      </c>
      <c r="AT4108">
        <v>0</v>
      </c>
    </row>
    <row r="4109" spans="44:46">
      <c r="AR4109">
        <v>0</v>
      </c>
      <c r="AS4109">
        <v>0</v>
      </c>
      <c r="AT4109">
        <v>0</v>
      </c>
    </row>
    <row r="4110" spans="44:46">
      <c r="AR4110">
        <v>0</v>
      </c>
      <c r="AS4110">
        <v>0</v>
      </c>
      <c r="AT4110">
        <v>0</v>
      </c>
    </row>
    <row r="4111" spans="44:46">
      <c r="AR4111">
        <v>0</v>
      </c>
      <c r="AS4111">
        <v>0</v>
      </c>
      <c r="AT4111">
        <v>0</v>
      </c>
    </row>
    <row r="4112" spans="44:46">
      <c r="AR4112">
        <v>0</v>
      </c>
      <c r="AS4112">
        <v>0</v>
      </c>
      <c r="AT4112">
        <v>0</v>
      </c>
    </row>
    <row r="4113" spans="44:46">
      <c r="AR4113">
        <v>0</v>
      </c>
      <c r="AS4113">
        <v>0</v>
      </c>
      <c r="AT4113">
        <v>0</v>
      </c>
    </row>
    <row r="4114" spans="44:46">
      <c r="AR4114">
        <v>0</v>
      </c>
      <c r="AS4114">
        <v>0</v>
      </c>
      <c r="AT4114">
        <v>0</v>
      </c>
    </row>
    <row r="4115" spans="44:46">
      <c r="AR4115">
        <v>0</v>
      </c>
      <c r="AS4115">
        <v>0</v>
      </c>
      <c r="AT4115">
        <v>0</v>
      </c>
    </row>
    <row r="4116" spans="44:46">
      <c r="AR4116">
        <v>0</v>
      </c>
      <c r="AS4116">
        <v>0</v>
      </c>
      <c r="AT4116">
        <v>0</v>
      </c>
    </row>
    <row r="4117" spans="44:46">
      <c r="AR4117">
        <v>0</v>
      </c>
      <c r="AS4117">
        <v>0</v>
      </c>
      <c r="AT4117">
        <v>0</v>
      </c>
    </row>
    <row r="4118" spans="44:46">
      <c r="AR4118">
        <v>0</v>
      </c>
      <c r="AS4118">
        <v>0</v>
      </c>
      <c r="AT4118">
        <v>0</v>
      </c>
    </row>
    <row r="4119" spans="44:46">
      <c r="AR4119">
        <v>0</v>
      </c>
      <c r="AS4119">
        <v>0</v>
      </c>
      <c r="AT4119">
        <v>0</v>
      </c>
    </row>
    <row r="4120" spans="44:46">
      <c r="AR4120">
        <v>0</v>
      </c>
      <c r="AS4120">
        <v>0</v>
      </c>
      <c r="AT4120">
        <v>0</v>
      </c>
    </row>
    <row r="4121" spans="44:46">
      <c r="AR4121">
        <v>0</v>
      </c>
      <c r="AS4121">
        <v>0</v>
      </c>
      <c r="AT4121">
        <v>0</v>
      </c>
    </row>
    <row r="4122" spans="44:46">
      <c r="AR4122">
        <v>0</v>
      </c>
      <c r="AS4122">
        <v>0</v>
      </c>
      <c r="AT4122">
        <v>0</v>
      </c>
    </row>
    <row r="4123" spans="44:46">
      <c r="AR4123">
        <v>0</v>
      </c>
      <c r="AS4123">
        <v>0</v>
      </c>
      <c r="AT4123">
        <v>0</v>
      </c>
    </row>
    <row r="4124" spans="44:46">
      <c r="AR4124">
        <v>0</v>
      </c>
      <c r="AS4124">
        <v>0</v>
      </c>
      <c r="AT4124">
        <v>0</v>
      </c>
    </row>
    <row r="4125" spans="44:46">
      <c r="AR4125">
        <v>0</v>
      </c>
      <c r="AS4125">
        <v>0</v>
      </c>
      <c r="AT4125">
        <v>0</v>
      </c>
    </row>
    <row r="4126" spans="44:46">
      <c r="AR4126">
        <v>0</v>
      </c>
      <c r="AS4126">
        <v>0</v>
      </c>
      <c r="AT4126">
        <v>0</v>
      </c>
    </row>
    <row r="4127" spans="44:46">
      <c r="AR4127">
        <v>0</v>
      </c>
      <c r="AS4127">
        <v>0</v>
      </c>
      <c r="AT4127">
        <v>0</v>
      </c>
    </row>
    <row r="4128" spans="44:46">
      <c r="AR4128">
        <v>0</v>
      </c>
      <c r="AS4128">
        <v>0</v>
      </c>
      <c r="AT4128">
        <v>0</v>
      </c>
    </row>
    <row r="4129" spans="44:46">
      <c r="AR4129">
        <v>0</v>
      </c>
      <c r="AS4129">
        <v>0</v>
      </c>
      <c r="AT4129">
        <v>0</v>
      </c>
    </row>
    <row r="4130" spans="44:46">
      <c r="AR4130">
        <v>0</v>
      </c>
      <c r="AS4130">
        <v>0</v>
      </c>
      <c r="AT4130">
        <v>0</v>
      </c>
    </row>
    <row r="4131" spans="44:46">
      <c r="AR4131">
        <v>0</v>
      </c>
      <c r="AS4131">
        <v>0</v>
      </c>
      <c r="AT4131">
        <v>0</v>
      </c>
    </row>
    <row r="4132" spans="44:46">
      <c r="AR4132">
        <v>0</v>
      </c>
      <c r="AS4132">
        <v>0</v>
      </c>
      <c r="AT4132">
        <v>0</v>
      </c>
    </row>
    <row r="4133" spans="44:46">
      <c r="AR4133">
        <v>0</v>
      </c>
      <c r="AS4133">
        <v>0</v>
      </c>
      <c r="AT4133">
        <v>0</v>
      </c>
    </row>
    <row r="4134" spans="44:46">
      <c r="AR4134">
        <v>0</v>
      </c>
      <c r="AS4134">
        <v>0</v>
      </c>
      <c r="AT4134">
        <v>0</v>
      </c>
    </row>
    <row r="4135" spans="44:46">
      <c r="AR4135">
        <v>0</v>
      </c>
      <c r="AS4135">
        <v>0</v>
      </c>
      <c r="AT4135">
        <v>0</v>
      </c>
    </row>
    <row r="4136" spans="44:46">
      <c r="AR4136">
        <v>0</v>
      </c>
      <c r="AS4136">
        <v>0</v>
      </c>
      <c r="AT4136">
        <v>0</v>
      </c>
    </row>
    <row r="4137" spans="44:46">
      <c r="AR4137">
        <v>0</v>
      </c>
      <c r="AS4137">
        <v>0</v>
      </c>
      <c r="AT4137">
        <v>0</v>
      </c>
    </row>
    <row r="4138" spans="44:46">
      <c r="AR4138">
        <v>0</v>
      </c>
      <c r="AS4138">
        <v>0</v>
      </c>
      <c r="AT4138">
        <v>0</v>
      </c>
    </row>
    <row r="4139" spans="44:46">
      <c r="AR4139">
        <v>0</v>
      </c>
      <c r="AS4139">
        <v>0</v>
      </c>
      <c r="AT4139">
        <v>0</v>
      </c>
    </row>
    <row r="4140" spans="44:46">
      <c r="AR4140">
        <v>0</v>
      </c>
      <c r="AS4140">
        <v>0</v>
      </c>
      <c r="AT4140">
        <v>0</v>
      </c>
    </row>
    <row r="4141" spans="44:46">
      <c r="AR4141">
        <v>0</v>
      </c>
      <c r="AS4141">
        <v>0</v>
      </c>
      <c r="AT4141">
        <v>0</v>
      </c>
    </row>
    <row r="4142" spans="44:46">
      <c r="AR4142">
        <v>0</v>
      </c>
      <c r="AS4142">
        <v>0</v>
      </c>
      <c r="AT4142">
        <v>0</v>
      </c>
    </row>
    <row r="4143" spans="44:46">
      <c r="AR4143">
        <v>0</v>
      </c>
      <c r="AS4143">
        <v>0</v>
      </c>
      <c r="AT4143">
        <v>0</v>
      </c>
    </row>
    <row r="4144" spans="44:46">
      <c r="AR4144">
        <v>0</v>
      </c>
      <c r="AS4144">
        <v>0</v>
      </c>
      <c r="AT4144">
        <v>0</v>
      </c>
    </row>
    <row r="4145" spans="44:46">
      <c r="AR4145">
        <v>0</v>
      </c>
      <c r="AS4145">
        <v>0</v>
      </c>
      <c r="AT4145">
        <v>0</v>
      </c>
    </row>
    <row r="4146" spans="44:46">
      <c r="AR4146">
        <v>0</v>
      </c>
      <c r="AS4146">
        <v>0</v>
      </c>
      <c r="AT4146">
        <v>0</v>
      </c>
    </row>
    <row r="4147" spans="44:46">
      <c r="AR4147">
        <v>0</v>
      </c>
      <c r="AS4147">
        <v>0</v>
      </c>
      <c r="AT4147">
        <v>0</v>
      </c>
    </row>
    <row r="4148" spans="44:46">
      <c r="AR4148">
        <v>0</v>
      </c>
      <c r="AS4148">
        <v>0</v>
      </c>
      <c r="AT4148">
        <v>0</v>
      </c>
    </row>
    <row r="4149" spans="44:46">
      <c r="AR4149">
        <v>0</v>
      </c>
      <c r="AS4149">
        <v>0</v>
      </c>
      <c r="AT4149">
        <v>0</v>
      </c>
    </row>
    <row r="4150" spans="44:46">
      <c r="AR4150">
        <v>0</v>
      </c>
      <c r="AS4150">
        <v>0</v>
      </c>
      <c r="AT4150">
        <v>0</v>
      </c>
    </row>
    <row r="4151" spans="44:46">
      <c r="AR4151">
        <v>0</v>
      </c>
      <c r="AS4151">
        <v>0</v>
      </c>
      <c r="AT4151">
        <v>0</v>
      </c>
    </row>
    <row r="4152" spans="44:46">
      <c r="AR4152">
        <v>0</v>
      </c>
      <c r="AS4152">
        <v>0</v>
      </c>
      <c r="AT4152">
        <v>0</v>
      </c>
    </row>
    <row r="4153" spans="44:46">
      <c r="AR4153">
        <v>0</v>
      </c>
      <c r="AS4153">
        <v>0</v>
      </c>
      <c r="AT4153">
        <v>0</v>
      </c>
    </row>
    <row r="4154" spans="44:46">
      <c r="AR4154">
        <v>0</v>
      </c>
      <c r="AS4154">
        <v>0</v>
      </c>
      <c r="AT4154">
        <v>0</v>
      </c>
    </row>
    <row r="4155" spans="44:46">
      <c r="AR4155">
        <v>0</v>
      </c>
      <c r="AS4155">
        <v>0</v>
      </c>
      <c r="AT4155">
        <v>0</v>
      </c>
    </row>
    <row r="4156" spans="44:46">
      <c r="AR4156">
        <v>0</v>
      </c>
      <c r="AS4156">
        <v>0</v>
      </c>
      <c r="AT4156">
        <v>0</v>
      </c>
    </row>
    <row r="4157" spans="44:46">
      <c r="AR4157">
        <v>0</v>
      </c>
      <c r="AS4157">
        <v>0</v>
      </c>
      <c r="AT4157">
        <v>0</v>
      </c>
    </row>
    <row r="4158" spans="44:46">
      <c r="AR4158">
        <v>0</v>
      </c>
      <c r="AS4158">
        <v>0</v>
      </c>
      <c r="AT4158">
        <v>0</v>
      </c>
    </row>
    <row r="4159" spans="44:46">
      <c r="AR4159">
        <v>0</v>
      </c>
      <c r="AS4159">
        <v>0</v>
      </c>
      <c r="AT4159">
        <v>0</v>
      </c>
    </row>
    <row r="4160" spans="44:46">
      <c r="AR4160">
        <v>0</v>
      </c>
      <c r="AS4160">
        <v>0</v>
      </c>
      <c r="AT4160">
        <v>0</v>
      </c>
    </row>
    <row r="4161" spans="44:46">
      <c r="AR4161">
        <v>0</v>
      </c>
      <c r="AS4161">
        <v>0</v>
      </c>
      <c r="AT4161">
        <v>0</v>
      </c>
    </row>
    <row r="4162" spans="44:46">
      <c r="AR4162">
        <v>0</v>
      </c>
      <c r="AS4162">
        <v>0</v>
      </c>
      <c r="AT4162">
        <v>0</v>
      </c>
    </row>
    <row r="4163" spans="44:46">
      <c r="AR4163">
        <v>0</v>
      </c>
      <c r="AS4163">
        <v>0</v>
      </c>
      <c r="AT4163">
        <v>0</v>
      </c>
    </row>
    <row r="4164" spans="44:46">
      <c r="AR4164">
        <v>0</v>
      </c>
      <c r="AS4164">
        <v>0</v>
      </c>
      <c r="AT4164">
        <v>0</v>
      </c>
    </row>
    <row r="4165" spans="44:46">
      <c r="AR4165">
        <v>0</v>
      </c>
      <c r="AS4165">
        <v>0</v>
      </c>
      <c r="AT4165">
        <v>0</v>
      </c>
    </row>
    <row r="4166" spans="44:46">
      <c r="AR4166">
        <v>0</v>
      </c>
      <c r="AS4166">
        <v>0</v>
      </c>
      <c r="AT4166">
        <v>0</v>
      </c>
    </row>
    <row r="4167" spans="44:46">
      <c r="AR4167">
        <v>0</v>
      </c>
      <c r="AS4167">
        <v>0</v>
      </c>
      <c r="AT4167">
        <v>0</v>
      </c>
    </row>
    <row r="4168" spans="44:46">
      <c r="AR4168">
        <v>0</v>
      </c>
      <c r="AS4168">
        <v>0</v>
      </c>
      <c r="AT4168">
        <v>0</v>
      </c>
    </row>
    <row r="4169" spans="44:46">
      <c r="AR4169">
        <v>0</v>
      </c>
      <c r="AS4169">
        <v>0</v>
      </c>
      <c r="AT4169">
        <v>0</v>
      </c>
    </row>
    <row r="4170" spans="44:46">
      <c r="AR4170">
        <v>0</v>
      </c>
      <c r="AS4170">
        <v>0</v>
      </c>
      <c r="AT4170">
        <v>0</v>
      </c>
    </row>
    <row r="4171" spans="44:46">
      <c r="AR4171">
        <v>0</v>
      </c>
      <c r="AS4171">
        <v>0</v>
      </c>
      <c r="AT4171">
        <v>0</v>
      </c>
    </row>
    <row r="4172" spans="44:46">
      <c r="AR4172">
        <v>0</v>
      </c>
      <c r="AS4172">
        <v>0</v>
      </c>
      <c r="AT4172">
        <v>0</v>
      </c>
    </row>
    <row r="4173" spans="44:46">
      <c r="AR4173">
        <v>0</v>
      </c>
      <c r="AS4173">
        <v>0</v>
      </c>
      <c r="AT4173">
        <v>0</v>
      </c>
    </row>
    <row r="4174" spans="44:46">
      <c r="AR4174">
        <v>0</v>
      </c>
      <c r="AS4174">
        <v>0</v>
      </c>
      <c r="AT4174">
        <v>0</v>
      </c>
    </row>
    <row r="4175" spans="44:46">
      <c r="AR4175">
        <v>0</v>
      </c>
      <c r="AS4175">
        <v>0</v>
      </c>
      <c r="AT4175">
        <v>0</v>
      </c>
    </row>
    <row r="4176" spans="44:46">
      <c r="AR4176">
        <v>0</v>
      </c>
      <c r="AS4176">
        <v>0</v>
      </c>
      <c r="AT4176">
        <v>0</v>
      </c>
    </row>
    <row r="4177" spans="44:46">
      <c r="AR4177">
        <v>0</v>
      </c>
      <c r="AS4177">
        <v>0</v>
      </c>
      <c r="AT4177">
        <v>0</v>
      </c>
    </row>
    <row r="4178" spans="44:46">
      <c r="AR4178">
        <v>0</v>
      </c>
      <c r="AS4178">
        <v>0</v>
      </c>
      <c r="AT4178">
        <v>0</v>
      </c>
    </row>
    <row r="4179" spans="44:46">
      <c r="AR4179">
        <v>0</v>
      </c>
      <c r="AS4179">
        <v>0</v>
      </c>
      <c r="AT4179">
        <v>0</v>
      </c>
    </row>
    <row r="4180" spans="44:46">
      <c r="AR4180">
        <v>0</v>
      </c>
      <c r="AS4180">
        <v>0</v>
      </c>
      <c r="AT4180">
        <v>0</v>
      </c>
    </row>
    <row r="4181" spans="44:46">
      <c r="AR4181">
        <v>0</v>
      </c>
      <c r="AS4181">
        <v>0</v>
      </c>
      <c r="AT4181">
        <v>0</v>
      </c>
    </row>
    <row r="4182" spans="44:46">
      <c r="AR4182">
        <v>0</v>
      </c>
      <c r="AS4182">
        <v>0</v>
      </c>
      <c r="AT4182">
        <v>0</v>
      </c>
    </row>
    <row r="4183" spans="44:46">
      <c r="AR4183">
        <v>0</v>
      </c>
      <c r="AS4183">
        <v>0</v>
      </c>
      <c r="AT4183">
        <v>0</v>
      </c>
    </row>
    <row r="4184" spans="44:46">
      <c r="AR4184">
        <v>0</v>
      </c>
      <c r="AS4184">
        <v>0</v>
      </c>
      <c r="AT4184">
        <v>0</v>
      </c>
    </row>
    <row r="4185" spans="44:46">
      <c r="AR4185">
        <v>0</v>
      </c>
      <c r="AS4185">
        <v>0</v>
      </c>
      <c r="AT4185">
        <v>0</v>
      </c>
    </row>
    <row r="4186" spans="44:46">
      <c r="AR4186">
        <v>0</v>
      </c>
      <c r="AS4186">
        <v>0</v>
      </c>
      <c r="AT4186">
        <v>0</v>
      </c>
    </row>
    <row r="4187" spans="44:46">
      <c r="AR4187">
        <v>0</v>
      </c>
      <c r="AS4187">
        <v>0</v>
      </c>
      <c r="AT4187">
        <v>0</v>
      </c>
    </row>
    <row r="4188" spans="44:46">
      <c r="AR4188">
        <v>0</v>
      </c>
      <c r="AS4188">
        <v>0</v>
      </c>
      <c r="AT4188">
        <v>0</v>
      </c>
    </row>
    <row r="4189" spans="44:46">
      <c r="AR4189">
        <v>0</v>
      </c>
      <c r="AS4189">
        <v>0</v>
      </c>
      <c r="AT4189">
        <v>0</v>
      </c>
    </row>
    <row r="4190" spans="44:46">
      <c r="AR4190">
        <v>0</v>
      </c>
      <c r="AS4190">
        <v>0</v>
      </c>
      <c r="AT4190">
        <v>0</v>
      </c>
    </row>
    <row r="4191" spans="44:46">
      <c r="AR4191">
        <v>0</v>
      </c>
      <c r="AS4191">
        <v>0</v>
      </c>
      <c r="AT4191">
        <v>0</v>
      </c>
    </row>
    <row r="4192" spans="44:46">
      <c r="AR4192">
        <v>0</v>
      </c>
      <c r="AS4192">
        <v>0</v>
      </c>
      <c r="AT4192">
        <v>0</v>
      </c>
    </row>
    <row r="4193" spans="44:46">
      <c r="AR4193">
        <v>0</v>
      </c>
      <c r="AS4193">
        <v>0</v>
      </c>
      <c r="AT4193">
        <v>0</v>
      </c>
    </row>
    <row r="4194" spans="44:46">
      <c r="AR4194">
        <v>0</v>
      </c>
      <c r="AS4194">
        <v>0</v>
      </c>
      <c r="AT4194">
        <v>0</v>
      </c>
    </row>
    <row r="4195" spans="44:46">
      <c r="AR4195">
        <v>0</v>
      </c>
      <c r="AS4195">
        <v>0</v>
      </c>
      <c r="AT4195">
        <v>0</v>
      </c>
    </row>
    <row r="4196" spans="44:46">
      <c r="AR4196">
        <v>0</v>
      </c>
      <c r="AS4196">
        <v>0</v>
      </c>
      <c r="AT4196">
        <v>0</v>
      </c>
    </row>
    <row r="4197" spans="44:46">
      <c r="AR4197">
        <v>0</v>
      </c>
      <c r="AS4197">
        <v>0</v>
      </c>
      <c r="AT4197">
        <v>0</v>
      </c>
    </row>
    <row r="4198" spans="44:46">
      <c r="AR4198">
        <v>0</v>
      </c>
      <c r="AS4198">
        <v>0</v>
      </c>
      <c r="AT4198">
        <v>0</v>
      </c>
    </row>
    <row r="4199" spans="44:46">
      <c r="AR4199">
        <v>0</v>
      </c>
      <c r="AS4199">
        <v>0</v>
      </c>
      <c r="AT4199">
        <v>0</v>
      </c>
    </row>
    <row r="4200" spans="44:46">
      <c r="AR4200">
        <v>0</v>
      </c>
      <c r="AS4200">
        <v>0</v>
      </c>
      <c r="AT4200">
        <v>0</v>
      </c>
    </row>
    <row r="4201" spans="44:46">
      <c r="AR4201">
        <v>0</v>
      </c>
      <c r="AS4201">
        <v>0</v>
      </c>
      <c r="AT4201">
        <v>0</v>
      </c>
    </row>
    <row r="4202" spans="44:46">
      <c r="AR4202">
        <v>0</v>
      </c>
      <c r="AS4202">
        <v>0</v>
      </c>
      <c r="AT4202">
        <v>0</v>
      </c>
    </row>
    <row r="4203" spans="44:46">
      <c r="AR4203">
        <v>0</v>
      </c>
      <c r="AS4203">
        <v>0</v>
      </c>
      <c r="AT4203">
        <v>0</v>
      </c>
    </row>
    <row r="4204" spans="44:46">
      <c r="AR4204">
        <v>0</v>
      </c>
      <c r="AS4204">
        <v>0</v>
      </c>
      <c r="AT4204">
        <v>0</v>
      </c>
    </row>
    <row r="4205" spans="44:46">
      <c r="AR4205">
        <v>0</v>
      </c>
      <c r="AS4205">
        <v>0</v>
      </c>
      <c r="AT4205">
        <v>0</v>
      </c>
    </row>
    <row r="4206" spans="44:46">
      <c r="AR4206">
        <v>0</v>
      </c>
      <c r="AS4206">
        <v>0</v>
      </c>
      <c r="AT4206">
        <v>0</v>
      </c>
    </row>
    <row r="4207" spans="44:46">
      <c r="AR4207">
        <v>0</v>
      </c>
      <c r="AS4207">
        <v>0</v>
      </c>
      <c r="AT4207">
        <v>0</v>
      </c>
    </row>
    <row r="4208" spans="44:46">
      <c r="AR4208">
        <v>0</v>
      </c>
      <c r="AS4208">
        <v>0</v>
      </c>
      <c r="AT4208">
        <v>0</v>
      </c>
    </row>
    <row r="4209" spans="44:46">
      <c r="AR4209">
        <v>0</v>
      </c>
      <c r="AS4209">
        <v>0</v>
      </c>
      <c r="AT4209">
        <v>0</v>
      </c>
    </row>
    <row r="4210" spans="44:46">
      <c r="AR4210">
        <v>0</v>
      </c>
      <c r="AS4210">
        <v>0</v>
      </c>
      <c r="AT4210">
        <v>0</v>
      </c>
    </row>
    <row r="4211" spans="44:46">
      <c r="AR4211">
        <v>0</v>
      </c>
      <c r="AS4211">
        <v>0</v>
      </c>
      <c r="AT4211">
        <v>0</v>
      </c>
    </row>
    <row r="4212" spans="44:46">
      <c r="AR4212">
        <v>0</v>
      </c>
      <c r="AS4212">
        <v>0</v>
      </c>
      <c r="AT4212">
        <v>0</v>
      </c>
    </row>
    <row r="4213" spans="44:46">
      <c r="AR4213">
        <v>0</v>
      </c>
      <c r="AS4213">
        <v>0</v>
      </c>
      <c r="AT4213">
        <v>0</v>
      </c>
    </row>
    <row r="4214" spans="44:46">
      <c r="AR4214">
        <v>0</v>
      </c>
      <c r="AS4214">
        <v>0</v>
      </c>
      <c r="AT4214">
        <v>0</v>
      </c>
    </row>
    <row r="4215" spans="44:46">
      <c r="AR4215">
        <v>0</v>
      </c>
      <c r="AS4215">
        <v>0</v>
      </c>
      <c r="AT4215">
        <v>0</v>
      </c>
    </row>
    <row r="4216" spans="44:46">
      <c r="AR4216">
        <v>0</v>
      </c>
      <c r="AS4216">
        <v>0</v>
      </c>
      <c r="AT4216">
        <v>0</v>
      </c>
    </row>
    <row r="4217" spans="44:46">
      <c r="AR4217">
        <v>0</v>
      </c>
      <c r="AS4217">
        <v>0</v>
      </c>
      <c r="AT4217">
        <v>0</v>
      </c>
    </row>
    <row r="4218" spans="44:46">
      <c r="AR4218">
        <v>0</v>
      </c>
      <c r="AS4218">
        <v>0</v>
      </c>
      <c r="AT4218">
        <v>0</v>
      </c>
    </row>
    <row r="4219" spans="44:46">
      <c r="AR4219">
        <v>0</v>
      </c>
      <c r="AS4219">
        <v>0</v>
      </c>
      <c r="AT4219">
        <v>0</v>
      </c>
    </row>
    <row r="4220" spans="44:46">
      <c r="AR4220">
        <v>0</v>
      </c>
      <c r="AS4220">
        <v>0</v>
      </c>
      <c r="AT4220">
        <v>0</v>
      </c>
    </row>
    <row r="4221" spans="44:46">
      <c r="AR4221">
        <v>0</v>
      </c>
      <c r="AS4221">
        <v>0</v>
      </c>
      <c r="AT4221">
        <v>0</v>
      </c>
    </row>
    <row r="4222" spans="44:46">
      <c r="AR4222">
        <v>0</v>
      </c>
      <c r="AS4222">
        <v>0</v>
      </c>
      <c r="AT4222">
        <v>0</v>
      </c>
    </row>
    <row r="4223" spans="44:46">
      <c r="AR4223">
        <v>0</v>
      </c>
      <c r="AS4223">
        <v>0</v>
      </c>
      <c r="AT4223">
        <v>0</v>
      </c>
    </row>
    <row r="4224" spans="44:46">
      <c r="AR4224">
        <v>0</v>
      </c>
      <c r="AS4224">
        <v>0</v>
      </c>
      <c r="AT4224">
        <v>0</v>
      </c>
    </row>
    <row r="4225" spans="44:46">
      <c r="AR4225">
        <v>0</v>
      </c>
      <c r="AS4225">
        <v>0</v>
      </c>
      <c r="AT4225">
        <v>0</v>
      </c>
    </row>
    <row r="4226" spans="44:46">
      <c r="AR4226">
        <v>0</v>
      </c>
      <c r="AS4226">
        <v>0</v>
      </c>
      <c r="AT4226">
        <v>0</v>
      </c>
    </row>
    <row r="4227" spans="44:46">
      <c r="AR4227">
        <v>0</v>
      </c>
      <c r="AS4227">
        <v>0</v>
      </c>
      <c r="AT4227">
        <v>0</v>
      </c>
    </row>
    <row r="4228" spans="44:46">
      <c r="AR4228">
        <v>0</v>
      </c>
      <c r="AS4228">
        <v>0</v>
      </c>
      <c r="AT4228">
        <v>0</v>
      </c>
    </row>
    <row r="4229" spans="44:46">
      <c r="AR4229">
        <v>0</v>
      </c>
      <c r="AS4229">
        <v>0</v>
      </c>
      <c r="AT4229">
        <v>0</v>
      </c>
    </row>
    <row r="4230" spans="44:46">
      <c r="AR4230">
        <v>0</v>
      </c>
      <c r="AS4230">
        <v>0</v>
      </c>
      <c r="AT4230">
        <v>0</v>
      </c>
    </row>
    <row r="4231" spans="44:46">
      <c r="AR4231">
        <v>0</v>
      </c>
      <c r="AS4231">
        <v>0</v>
      </c>
      <c r="AT4231">
        <v>0</v>
      </c>
    </row>
    <row r="4232" spans="44:46">
      <c r="AR4232">
        <v>0</v>
      </c>
      <c r="AS4232">
        <v>0</v>
      </c>
      <c r="AT4232">
        <v>0</v>
      </c>
    </row>
    <row r="4233" spans="44:46">
      <c r="AR4233">
        <v>0</v>
      </c>
      <c r="AS4233">
        <v>0</v>
      </c>
      <c r="AT4233">
        <v>0</v>
      </c>
    </row>
    <row r="4234" spans="44:46">
      <c r="AR4234">
        <v>0</v>
      </c>
      <c r="AS4234">
        <v>0</v>
      </c>
      <c r="AT4234">
        <v>0</v>
      </c>
    </row>
    <row r="4235" spans="44:46">
      <c r="AR4235">
        <v>0</v>
      </c>
      <c r="AS4235">
        <v>0</v>
      </c>
      <c r="AT4235">
        <v>0</v>
      </c>
    </row>
    <row r="4236" spans="44:46">
      <c r="AR4236">
        <v>0</v>
      </c>
      <c r="AS4236">
        <v>0</v>
      </c>
      <c r="AT4236">
        <v>0</v>
      </c>
    </row>
    <row r="4237" spans="44:46">
      <c r="AR4237">
        <v>0</v>
      </c>
      <c r="AS4237">
        <v>0</v>
      </c>
      <c r="AT4237">
        <v>0</v>
      </c>
    </row>
    <row r="4238" spans="44:46">
      <c r="AR4238">
        <v>0</v>
      </c>
      <c r="AS4238">
        <v>0</v>
      </c>
      <c r="AT4238">
        <v>0</v>
      </c>
    </row>
    <row r="4239" spans="44:46">
      <c r="AR4239">
        <v>0</v>
      </c>
      <c r="AS4239">
        <v>0</v>
      </c>
      <c r="AT4239">
        <v>0</v>
      </c>
    </row>
    <row r="4240" spans="44:46">
      <c r="AR4240">
        <v>0</v>
      </c>
      <c r="AS4240">
        <v>0</v>
      </c>
      <c r="AT4240">
        <v>0</v>
      </c>
    </row>
    <row r="4241" spans="44:46">
      <c r="AR4241">
        <v>0</v>
      </c>
      <c r="AS4241">
        <v>0</v>
      </c>
      <c r="AT4241">
        <v>0</v>
      </c>
    </row>
    <row r="4242" spans="44:46">
      <c r="AR4242">
        <v>0</v>
      </c>
      <c r="AS4242">
        <v>0</v>
      </c>
      <c r="AT4242">
        <v>0</v>
      </c>
    </row>
    <row r="4243" spans="44:46">
      <c r="AR4243">
        <v>0</v>
      </c>
      <c r="AS4243">
        <v>0</v>
      </c>
      <c r="AT4243">
        <v>0</v>
      </c>
    </row>
    <row r="4244" spans="44:46">
      <c r="AR4244">
        <v>0</v>
      </c>
      <c r="AS4244">
        <v>0</v>
      </c>
      <c r="AT4244">
        <v>0</v>
      </c>
    </row>
    <row r="4245" spans="44:46">
      <c r="AR4245">
        <v>0</v>
      </c>
      <c r="AS4245">
        <v>0</v>
      </c>
      <c r="AT4245">
        <v>0</v>
      </c>
    </row>
    <row r="4246" spans="44:46">
      <c r="AR4246">
        <v>0</v>
      </c>
      <c r="AS4246">
        <v>0</v>
      </c>
      <c r="AT4246">
        <v>0</v>
      </c>
    </row>
    <row r="4247" spans="44:46">
      <c r="AR4247">
        <v>0</v>
      </c>
      <c r="AS4247">
        <v>0</v>
      </c>
      <c r="AT4247">
        <v>0</v>
      </c>
    </row>
    <row r="4248" spans="44:46">
      <c r="AR4248">
        <v>0</v>
      </c>
      <c r="AS4248">
        <v>0</v>
      </c>
      <c r="AT4248">
        <v>0</v>
      </c>
    </row>
    <row r="4249" spans="44:46">
      <c r="AR4249">
        <v>0</v>
      </c>
      <c r="AS4249">
        <v>0</v>
      </c>
      <c r="AT4249">
        <v>0</v>
      </c>
    </row>
    <row r="4250" spans="44:46">
      <c r="AR4250">
        <v>0</v>
      </c>
      <c r="AS4250">
        <v>0</v>
      </c>
      <c r="AT4250">
        <v>0</v>
      </c>
    </row>
    <row r="4251" spans="44:46">
      <c r="AR4251">
        <v>0</v>
      </c>
      <c r="AS4251">
        <v>0</v>
      </c>
      <c r="AT4251">
        <v>0</v>
      </c>
    </row>
    <row r="4252" spans="44:46">
      <c r="AR4252">
        <v>0</v>
      </c>
      <c r="AS4252">
        <v>0</v>
      </c>
      <c r="AT4252">
        <v>0</v>
      </c>
    </row>
    <row r="4253" spans="44:46">
      <c r="AR4253">
        <v>0</v>
      </c>
      <c r="AS4253">
        <v>0</v>
      </c>
      <c r="AT4253">
        <v>0</v>
      </c>
    </row>
    <row r="4254" spans="44:46">
      <c r="AR4254">
        <v>0</v>
      </c>
      <c r="AS4254">
        <v>0</v>
      </c>
      <c r="AT4254">
        <v>0</v>
      </c>
    </row>
    <row r="4255" spans="44:46">
      <c r="AR4255">
        <v>0</v>
      </c>
      <c r="AS4255">
        <v>0</v>
      </c>
      <c r="AT4255">
        <v>0</v>
      </c>
    </row>
    <row r="4256" spans="44:46">
      <c r="AR4256">
        <v>0</v>
      </c>
      <c r="AS4256">
        <v>0</v>
      </c>
      <c r="AT4256">
        <v>0</v>
      </c>
    </row>
    <row r="4257" spans="44:46">
      <c r="AR4257">
        <v>0</v>
      </c>
      <c r="AS4257">
        <v>0</v>
      </c>
      <c r="AT4257">
        <v>0</v>
      </c>
    </row>
    <row r="4258" spans="44:46">
      <c r="AR4258">
        <v>0</v>
      </c>
      <c r="AS4258">
        <v>0</v>
      </c>
      <c r="AT4258">
        <v>0</v>
      </c>
    </row>
    <row r="4259" spans="44:46">
      <c r="AR4259">
        <v>0</v>
      </c>
      <c r="AS4259">
        <v>0</v>
      </c>
      <c r="AT4259">
        <v>0</v>
      </c>
    </row>
    <row r="4260" spans="44:46">
      <c r="AR4260">
        <v>0</v>
      </c>
      <c r="AS4260">
        <v>0</v>
      </c>
      <c r="AT4260">
        <v>0</v>
      </c>
    </row>
    <row r="4261" spans="44:46">
      <c r="AR4261">
        <v>0</v>
      </c>
      <c r="AS4261">
        <v>0</v>
      </c>
      <c r="AT4261">
        <v>0</v>
      </c>
    </row>
    <row r="4262" spans="44:46">
      <c r="AR4262">
        <v>0</v>
      </c>
      <c r="AS4262">
        <v>0</v>
      </c>
      <c r="AT4262">
        <v>0</v>
      </c>
    </row>
    <row r="4263" spans="44:46">
      <c r="AR4263">
        <v>0</v>
      </c>
      <c r="AS4263">
        <v>0</v>
      </c>
      <c r="AT4263">
        <v>0</v>
      </c>
    </row>
    <row r="4264" spans="44:46">
      <c r="AR4264">
        <v>0</v>
      </c>
      <c r="AS4264">
        <v>0</v>
      </c>
      <c r="AT4264">
        <v>0</v>
      </c>
    </row>
    <row r="4265" spans="44:46">
      <c r="AR4265">
        <v>0</v>
      </c>
      <c r="AS4265">
        <v>0</v>
      </c>
      <c r="AT4265">
        <v>0</v>
      </c>
    </row>
    <row r="4266" spans="44:46">
      <c r="AR4266">
        <v>0</v>
      </c>
      <c r="AS4266">
        <v>0</v>
      </c>
      <c r="AT4266">
        <v>0</v>
      </c>
    </row>
    <row r="4267" spans="44:46">
      <c r="AR4267">
        <v>0</v>
      </c>
      <c r="AS4267">
        <v>0</v>
      </c>
      <c r="AT4267">
        <v>0</v>
      </c>
    </row>
    <row r="4268" spans="44:46">
      <c r="AR4268">
        <v>0</v>
      </c>
      <c r="AS4268">
        <v>0</v>
      </c>
      <c r="AT4268">
        <v>0</v>
      </c>
    </row>
    <row r="4269" spans="44:46">
      <c r="AR4269">
        <v>0</v>
      </c>
      <c r="AS4269">
        <v>0</v>
      </c>
      <c r="AT4269">
        <v>0</v>
      </c>
    </row>
    <row r="4270" spans="44:46">
      <c r="AR4270">
        <v>0</v>
      </c>
      <c r="AS4270">
        <v>0</v>
      </c>
      <c r="AT4270">
        <v>0</v>
      </c>
    </row>
    <row r="4271" spans="44:46">
      <c r="AR4271">
        <v>0</v>
      </c>
      <c r="AS4271">
        <v>0</v>
      </c>
      <c r="AT4271">
        <v>0</v>
      </c>
    </row>
    <row r="4272" spans="44:46">
      <c r="AR4272">
        <v>0</v>
      </c>
      <c r="AS4272">
        <v>0</v>
      </c>
      <c r="AT4272">
        <v>0</v>
      </c>
    </row>
    <row r="4273" spans="44:46">
      <c r="AR4273">
        <v>0</v>
      </c>
      <c r="AS4273">
        <v>0</v>
      </c>
      <c r="AT4273">
        <v>0</v>
      </c>
    </row>
    <row r="4274" spans="44:46">
      <c r="AR4274">
        <v>0</v>
      </c>
      <c r="AS4274">
        <v>0</v>
      </c>
      <c r="AT4274">
        <v>0</v>
      </c>
    </row>
    <row r="4275" spans="44:46">
      <c r="AR4275">
        <v>0</v>
      </c>
      <c r="AS4275">
        <v>0</v>
      </c>
      <c r="AT4275">
        <v>0</v>
      </c>
    </row>
    <row r="4276" spans="44:46">
      <c r="AR4276">
        <v>0</v>
      </c>
      <c r="AS4276">
        <v>0</v>
      </c>
      <c r="AT4276">
        <v>0</v>
      </c>
    </row>
    <row r="4277" spans="44:46">
      <c r="AR4277">
        <v>0</v>
      </c>
      <c r="AS4277">
        <v>0</v>
      </c>
      <c r="AT4277">
        <v>0</v>
      </c>
    </row>
    <row r="4278" spans="44:46">
      <c r="AR4278">
        <v>0</v>
      </c>
      <c r="AS4278">
        <v>0</v>
      </c>
      <c r="AT4278">
        <v>0</v>
      </c>
    </row>
    <row r="4279" spans="44:46">
      <c r="AR4279">
        <v>0</v>
      </c>
      <c r="AS4279">
        <v>0</v>
      </c>
      <c r="AT4279">
        <v>0</v>
      </c>
    </row>
    <row r="4280" spans="44:46">
      <c r="AR4280">
        <v>0</v>
      </c>
      <c r="AS4280">
        <v>0</v>
      </c>
      <c r="AT4280">
        <v>0</v>
      </c>
    </row>
    <row r="4281" spans="44:46">
      <c r="AR4281">
        <v>0</v>
      </c>
      <c r="AS4281">
        <v>0</v>
      </c>
      <c r="AT4281">
        <v>0</v>
      </c>
    </row>
    <row r="4282" spans="44:46">
      <c r="AR4282">
        <v>0</v>
      </c>
      <c r="AS4282">
        <v>0</v>
      </c>
      <c r="AT4282">
        <v>0</v>
      </c>
    </row>
    <row r="4283" spans="44:46">
      <c r="AR4283">
        <v>0</v>
      </c>
      <c r="AS4283">
        <v>0</v>
      </c>
      <c r="AT4283">
        <v>0</v>
      </c>
    </row>
    <row r="4284" spans="44:46">
      <c r="AR4284">
        <v>0</v>
      </c>
      <c r="AS4284">
        <v>0</v>
      </c>
      <c r="AT4284">
        <v>0</v>
      </c>
    </row>
    <row r="4285" spans="44:46">
      <c r="AR4285">
        <v>0</v>
      </c>
      <c r="AS4285">
        <v>0</v>
      </c>
      <c r="AT4285">
        <v>0</v>
      </c>
    </row>
    <row r="4286" spans="44:46">
      <c r="AR4286">
        <v>0</v>
      </c>
      <c r="AS4286">
        <v>0</v>
      </c>
      <c r="AT4286">
        <v>0</v>
      </c>
    </row>
    <row r="4287" spans="44:46">
      <c r="AR4287">
        <v>0</v>
      </c>
      <c r="AS4287">
        <v>0</v>
      </c>
      <c r="AT4287">
        <v>0</v>
      </c>
    </row>
    <row r="4288" spans="44:46">
      <c r="AR4288">
        <v>0</v>
      </c>
      <c r="AS4288">
        <v>0</v>
      </c>
      <c r="AT4288">
        <v>0</v>
      </c>
    </row>
    <row r="4289" spans="44:46">
      <c r="AR4289">
        <v>0</v>
      </c>
      <c r="AS4289">
        <v>0</v>
      </c>
      <c r="AT4289">
        <v>0</v>
      </c>
    </row>
    <row r="4290" spans="44:46">
      <c r="AR4290">
        <v>0</v>
      </c>
      <c r="AS4290">
        <v>0</v>
      </c>
      <c r="AT4290">
        <v>0</v>
      </c>
    </row>
    <row r="4291" spans="44:46">
      <c r="AR4291">
        <v>0</v>
      </c>
      <c r="AS4291">
        <v>0</v>
      </c>
      <c r="AT4291">
        <v>0</v>
      </c>
    </row>
    <row r="4292" spans="44:46">
      <c r="AR4292">
        <v>0</v>
      </c>
      <c r="AS4292">
        <v>0</v>
      </c>
      <c r="AT4292">
        <v>0</v>
      </c>
    </row>
    <row r="4293" spans="44:46">
      <c r="AR4293">
        <v>0</v>
      </c>
      <c r="AS4293">
        <v>0</v>
      </c>
      <c r="AT4293">
        <v>0</v>
      </c>
    </row>
    <row r="4294" spans="44:46">
      <c r="AR4294">
        <v>0</v>
      </c>
      <c r="AS4294">
        <v>0</v>
      </c>
      <c r="AT4294">
        <v>0</v>
      </c>
    </row>
    <row r="4295" spans="44:46">
      <c r="AR4295">
        <v>0</v>
      </c>
      <c r="AS4295">
        <v>0</v>
      </c>
      <c r="AT4295">
        <v>0</v>
      </c>
    </row>
    <row r="4296" spans="44:46">
      <c r="AR4296">
        <v>0</v>
      </c>
      <c r="AS4296">
        <v>0</v>
      </c>
      <c r="AT4296">
        <v>0</v>
      </c>
    </row>
    <row r="4297" spans="44:46">
      <c r="AR4297">
        <v>0</v>
      </c>
      <c r="AS4297">
        <v>0</v>
      </c>
      <c r="AT4297">
        <v>0</v>
      </c>
    </row>
    <row r="4298" spans="44:46">
      <c r="AR4298">
        <v>0</v>
      </c>
      <c r="AS4298">
        <v>0</v>
      </c>
      <c r="AT4298">
        <v>0</v>
      </c>
    </row>
    <row r="4299" spans="44:46">
      <c r="AR4299">
        <v>0</v>
      </c>
      <c r="AS4299">
        <v>0</v>
      </c>
      <c r="AT4299">
        <v>0</v>
      </c>
    </row>
    <row r="4300" spans="44:46">
      <c r="AR4300">
        <v>0</v>
      </c>
      <c r="AS4300">
        <v>0</v>
      </c>
      <c r="AT4300">
        <v>0</v>
      </c>
    </row>
    <row r="4301" spans="44:46">
      <c r="AR4301">
        <v>0</v>
      </c>
      <c r="AS4301">
        <v>0</v>
      </c>
      <c r="AT4301">
        <v>0</v>
      </c>
    </row>
    <row r="4302" spans="44:46">
      <c r="AR4302">
        <v>0</v>
      </c>
      <c r="AS4302">
        <v>0</v>
      </c>
      <c r="AT4302">
        <v>0</v>
      </c>
    </row>
    <row r="4303" spans="44:46">
      <c r="AR4303">
        <v>0</v>
      </c>
      <c r="AS4303">
        <v>0</v>
      </c>
      <c r="AT4303">
        <v>0</v>
      </c>
    </row>
    <row r="4304" spans="44:46">
      <c r="AR4304">
        <v>0</v>
      </c>
      <c r="AS4304">
        <v>0</v>
      </c>
      <c r="AT4304">
        <v>0</v>
      </c>
    </row>
    <row r="4305" spans="44:46">
      <c r="AR4305">
        <v>0</v>
      </c>
      <c r="AS4305">
        <v>0</v>
      </c>
      <c r="AT4305">
        <v>0</v>
      </c>
    </row>
    <row r="4306" spans="44:46">
      <c r="AR4306">
        <v>0</v>
      </c>
      <c r="AS4306">
        <v>0</v>
      </c>
      <c r="AT4306">
        <v>0</v>
      </c>
    </row>
    <row r="4307" spans="44:46">
      <c r="AR4307">
        <v>0</v>
      </c>
      <c r="AS4307">
        <v>0</v>
      </c>
      <c r="AT4307">
        <v>0</v>
      </c>
    </row>
    <row r="4308" spans="44:46">
      <c r="AR4308">
        <v>0</v>
      </c>
      <c r="AS4308">
        <v>0</v>
      </c>
      <c r="AT4308">
        <v>0</v>
      </c>
    </row>
    <row r="4309" spans="44:46">
      <c r="AR4309">
        <v>0</v>
      </c>
      <c r="AS4309">
        <v>0</v>
      </c>
      <c r="AT4309">
        <v>0</v>
      </c>
    </row>
    <row r="4310" spans="44:46">
      <c r="AR4310">
        <v>0</v>
      </c>
      <c r="AS4310">
        <v>0</v>
      </c>
      <c r="AT4310">
        <v>0</v>
      </c>
    </row>
    <row r="4311" spans="44:46">
      <c r="AR4311">
        <v>0</v>
      </c>
      <c r="AS4311">
        <v>0</v>
      </c>
      <c r="AT4311">
        <v>0</v>
      </c>
    </row>
    <row r="4312" spans="44:46">
      <c r="AR4312">
        <v>0</v>
      </c>
      <c r="AS4312">
        <v>0</v>
      </c>
      <c r="AT4312">
        <v>0</v>
      </c>
    </row>
    <row r="4313" spans="44:46">
      <c r="AR4313">
        <v>0</v>
      </c>
      <c r="AS4313">
        <v>0</v>
      </c>
      <c r="AT4313">
        <v>0</v>
      </c>
    </row>
    <row r="4314" spans="44:46">
      <c r="AR4314">
        <v>0</v>
      </c>
      <c r="AS4314">
        <v>0</v>
      </c>
      <c r="AT4314">
        <v>0</v>
      </c>
    </row>
    <row r="4315" spans="44:46">
      <c r="AR4315">
        <v>0</v>
      </c>
      <c r="AS4315">
        <v>0</v>
      </c>
      <c r="AT4315">
        <v>0</v>
      </c>
    </row>
    <row r="4316" spans="44:46">
      <c r="AR4316">
        <v>0</v>
      </c>
      <c r="AS4316">
        <v>0</v>
      </c>
      <c r="AT4316">
        <v>0</v>
      </c>
    </row>
    <row r="4317" spans="44:46">
      <c r="AR4317">
        <v>0</v>
      </c>
      <c r="AS4317">
        <v>0</v>
      </c>
      <c r="AT4317">
        <v>0</v>
      </c>
    </row>
    <row r="4318" spans="44:46">
      <c r="AR4318">
        <v>0</v>
      </c>
      <c r="AS4318">
        <v>0</v>
      </c>
      <c r="AT4318">
        <v>0</v>
      </c>
    </row>
    <row r="4319" spans="44:46">
      <c r="AR4319">
        <v>0</v>
      </c>
      <c r="AS4319">
        <v>0</v>
      </c>
      <c r="AT4319">
        <v>0</v>
      </c>
    </row>
    <row r="4320" spans="44:46">
      <c r="AR4320">
        <v>0</v>
      </c>
      <c r="AS4320">
        <v>0</v>
      </c>
      <c r="AT4320">
        <v>0</v>
      </c>
    </row>
    <row r="4321" spans="44:46">
      <c r="AR4321">
        <v>0</v>
      </c>
      <c r="AS4321">
        <v>0</v>
      </c>
      <c r="AT4321">
        <v>0</v>
      </c>
    </row>
    <row r="4322" spans="44:46">
      <c r="AR4322">
        <v>0</v>
      </c>
      <c r="AS4322">
        <v>0</v>
      </c>
      <c r="AT4322">
        <v>0</v>
      </c>
    </row>
    <row r="4323" spans="44:46">
      <c r="AR4323">
        <v>0</v>
      </c>
      <c r="AS4323">
        <v>0</v>
      </c>
      <c r="AT4323">
        <v>0</v>
      </c>
    </row>
    <row r="4324" spans="44:46">
      <c r="AR4324">
        <v>0</v>
      </c>
      <c r="AS4324">
        <v>0</v>
      </c>
      <c r="AT4324">
        <v>0</v>
      </c>
    </row>
    <row r="4325" spans="44:46">
      <c r="AR4325">
        <v>0</v>
      </c>
      <c r="AS4325">
        <v>0</v>
      </c>
      <c r="AT4325">
        <v>0</v>
      </c>
    </row>
    <row r="4326" spans="44:46">
      <c r="AR4326">
        <v>0</v>
      </c>
      <c r="AS4326">
        <v>0</v>
      </c>
      <c r="AT4326">
        <v>0</v>
      </c>
    </row>
    <row r="4327" spans="44:46">
      <c r="AR4327">
        <v>0</v>
      </c>
      <c r="AS4327">
        <v>0</v>
      </c>
      <c r="AT4327">
        <v>0</v>
      </c>
    </row>
    <row r="4328" spans="44:46">
      <c r="AR4328">
        <v>0</v>
      </c>
      <c r="AS4328">
        <v>0</v>
      </c>
      <c r="AT4328">
        <v>0</v>
      </c>
    </row>
    <row r="4329" spans="44:46">
      <c r="AR4329">
        <v>0</v>
      </c>
      <c r="AS4329">
        <v>0</v>
      </c>
      <c r="AT4329">
        <v>0</v>
      </c>
    </row>
    <row r="4330" spans="44:46">
      <c r="AR4330">
        <v>0</v>
      </c>
      <c r="AS4330">
        <v>0</v>
      </c>
      <c r="AT4330">
        <v>0</v>
      </c>
    </row>
    <row r="4331" spans="44:46">
      <c r="AR4331">
        <v>0</v>
      </c>
      <c r="AS4331">
        <v>0</v>
      </c>
      <c r="AT4331">
        <v>0</v>
      </c>
    </row>
    <row r="4332" spans="44:46">
      <c r="AR4332">
        <v>0</v>
      </c>
      <c r="AS4332">
        <v>0</v>
      </c>
      <c r="AT4332">
        <v>0</v>
      </c>
    </row>
    <row r="4333" spans="44:46">
      <c r="AR4333">
        <v>0</v>
      </c>
      <c r="AS4333">
        <v>0</v>
      </c>
      <c r="AT4333">
        <v>0</v>
      </c>
    </row>
    <row r="4334" spans="44:46">
      <c r="AR4334">
        <v>0</v>
      </c>
      <c r="AS4334">
        <v>0</v>
      </c>
      <c r="AT4334">
        <v>0</v>
      </c>
    </row>
    <row r="4335" spans="44:46">
      <c r="AR4335">
        <v>0</v>
      </c>
      <c r="AS4335">
        <v>0</v>
      </c>
      <c r="AT4335">
        <v>0</v>
      </c>
    </row>
    <row r="4336" spans="44:46">
      <c r="AR4336">
        <v>0</v>
      </c>
      <c r="AS4336">
        <v>0</v>
      </c>
      <c r="AT4336">
        <v>0</v>
      </c>
    </row>
    <row r="4337" spans="44:46">
      <c r="AR4337">
        <v>0</v>
      </c>
      <c r="AS4337">
        <v>0</v>
      </c>
      <c r="AT4337">
        <v>0</v>
      </c>
    </row>
    <row r="4338" spans="44:46">
      <c r="AR4338">
        <v>0</v>
      </c>
      <c r="AS4338">
        <v>0</v>
      </c>
      <c r="AT4338">
        <v>0</v>
      </c>
    </row>
    <row r="4339" spans="44:46">
      <c r="AR4339">
        <v>0</v>
      </c>
      <c r="AS4339">
        <v>0</v>
      </c>
      <c r="AT4339">
        <v>0</v>
      </c>
    </row>
    <row r="4340" spans="44:46">
      <c r="AR4340">
        <v>0</v>
      </c>
      <c r="AS4340">
        <v>0</v>
      </c>
      <c r="AT4340">
        <v>0</v>
      </c>
    </row>
    <row r="4341" spans="44:46">
      <c r="AR4341">
        <v>0</v>
      </c>
      <c r="AS4341">
        <v>0</v>
      </c>
      <c r="AT4341">
        <v>0</v>
      </c>
    </row>
    <row r="4342" spans="44:46">
      <c r="AR4342">
        <v>0</v>
      </c>
      <c r="AS4342">
        <v>0</v>
      </c>
      <c r="AT4342">
        <v>0</v>
      </c>
    </row>
    <row r="4343" spans="44:46">
      <c r="AR4343">
        <v>0</v>
      </c>
      <c r="AS4343">
        <v>0</v>
      </c>
      <c r="AT4343">
        <v>0</v>
      </c>
    </row>
    <row r="4344" spans="44:46">
      <c r="AR4344">
        <v>0</v>
      </c>
      <c r="AS4344">
        <v>0</v>
      </c>
      <c r="AT4344">
        <v>0</v>
      </c>
    </row>
    <row r="4345" spans="44:46">
      <c r="AR4345">
        <v>0</v>
      </c>
      <c r="AS4345">
        <v>0</v>
      </c>
      <c r="AT4345">
        <v>0</v>
      </c>
    </row>
    <row r="4346" spans="44:46">
      <c r="AR4346">
        <v>0</v>
      </c>
      <c r="AS4346">
        <v>0</v>
      </c>
      <c r="AT4346">
        <v>0</v>
      </c>
    </row>
    <row r="4347" spans="44:46">
      <c r="AR4347">
        <v>0</v>
      </c>
      <c r="AS4347">
        <v>0</v>
      </c>
      <c r="AT4347">
        <v>0</v>
      </c>
    </row>
    <row r="4348" spans="44:46">
      <c r="AR4348">
        <v>0</v>
      </c>
      <c r="AS4348">
        <v>0</v>
      </c>
      <c r="AT4348">
        <v>0</v>
      </c>
    </row>
    <row r="4349" spans="44:46">
      <c r="AR4349">
        <v>0</v>
      </c>
      <c r="AS4349">
        <v>0</v>
      </c>
      <c r="AT4349">
        <v>0</v>
      </c>
    </row>
    <row r="4350" spans="44:46">
      <c r="AR4350">
        <v>0</v>
      </c>
      <c r="AS4350">
        <v>0</v>
      </c>
      <c r="AT4350">
        <v>0</v>
      </c>
    </row>
    <row r="4351" spans="44:46">
      <c r="AR4351">
        <v>0</v>
      </c>
      <c r="AS4351">
        <v>0</v>
      </c>
      <c r="AT4351">
        <v>0</v>
      </c>
    </row>
    <row r="4352" spans="44:46">
      <c r="AR4352">
        <v>0</v>
      </c>
      <c r="AS4352">
        <v>0</v>
      </c>
      <c r="AT4352">
        <v>0</v>
      </c>
    </row>
    <row r="4353" spans="44:46">
      <c r="AR4353">
        <v>0</v>
      </c>
      <c r="AS4353">
        <v>0</v>
      </c>
      <c r="AT4353">
        <v>0</v>
      </c>
    </row>
    <row r="4354" spans="44:46">
      <c r="AR4354">
        <v>0</v>
      </c>
      <c r="AS4354">
        <v>0</v>
      </c>
      <c r="AT4354">
        <v>0</v>
      </c>
    </row>
    <row r="4355" spans="44:46">
      <c r="AR4355">
        <v>0</v>
      </c>
      <c r="AS4355">
        <v>0</v>
      </c>
      <c r="AT4355">
        <v>0</v>
      </c>
    </row>
    <row r="4356" spans="44:46">
      <c r="AR4356">
        <v>0</v>
      </c>
      <c r="AS4356">
        <v>0</v>
      </c>
      <c r="AT4356">
        <v>0</v>
      </c>
    </row>
    <row r="4357" spans="44:46">
      <c r="AR4357">
        <v>0</v>
      </c>
      <c r="AS4357">
        <v>0</v>
      </c>
      <c r="AT4357">
        <v>0</v>
      </c>
    </row>
    <row r="4358" spans="44:46">
      <c r="AR4358">
        <v>0</v>
      </c>
      <c r="AS4358">
        <v>0</v>
      </c>
      <c r="AT4358">
        <v>0</v>
      </c>
    </row>
    <row r="4359" spans="44:46">
      <c r="AR4359">
        <v>0</v>
      </c>
      <c r="AS4359">
        <v>0</v>
      </c>
      <c r="AT4359">
        <v>0</v>
      </c>
    </row>
    <row r="4360" spans="44:46">
      <c r="AR4360">
        <v>0</v>
      </c>
      <c r="AS4360">
        <v>0</v>
      </c>
      <c r="AT4360">
        <v>0</v>
      </c>
    </row>
    <row r="4361" spans="44:46">
      <c r="AR4361">
        <v>0</v>
      </c>
      <c r="AS4361">
        <v>0</v>
      </c>
      <c r="AT4361">
        <v>0</v>
      </c>
    </row>
    <row r="4362" spans="44:46">
      <c r="AR4362">
        <v>0</v>
      </c>
      <c r="AS4362">
        <v>0</v>
      </c>
      <c r="AT4362">
        <v>0</v>
      </c>
    </row>
    <row r="4363" spans="44:46">
      <c r="AR4363">
        <v>0</v>
      </c>
      <c r="AS4363">
        <v>0</v>
      </c>
      <c r="AT4363">
        <v>0</v>
      </c>
    </row>
    <row r="4364" spans="44:46">
      <c r="AR4364">
        <v>0</v>
      </c>
      <c r="AS4364">
        <v>0</v>
      </c>
      <c r="AT4364">
        <v>0</v>
      </c>
    </row>
    <row r="4365" spans="44:46">
      <c r="AR4365">
        <v>0</v>
      </c>
      <c r="AS4365">
        <v>0</v>
      </c>
      <c r="AT4365">
        <v>0</v>
      </c>
    </row>
    <row r="4366" spans="44:46">
      <c r="AR4366">
        <v>0</v>
      </c>
      <c r="AS4366">
        <v>0</v>
      </c>
      <c r="AT4366">
        <v>0</v>
      </c>
    </row>
    <row r="4367" spans="44:46">
      <c r="AR4367">
        <v>0</v>
      </c>
      <c r="AS4367">
        <v>0</v>
      </c>
      <c r="AT4367">
        <v>0</v>
      </c>
    </row>
    <row r="4368" spans="44:46">
      <c r="AR4368">
        <v>0</v>
      </c>
      <c r="AS4368">
        <v>0</v>
      </c>
      <c r="AT4368">
        <v>0</v>
      </c>
    </row>
    <row r="4369" spans="44:46">
      <c r="AR4369">
        <v>0</v>
      </c>
      <c r="AS4369">
        <v>0</v>
      </c>
      <c r="AT4369">
        <v>0</v>
      </c>
    </row>
    <row r="4370" spans="44:46">
      <c r="AR4370">
        <v>0</v>
      </c>
      <c r="AS4370">
        <v>0</v>
      </c>
      <c r="AT4370">
        <v>0</v>
      </c>
    </row>
    <row r="4371" spans="44:46">
      <c r="AR4371">
        <v>0</v>
      </c>
      <c r="AS4371">
        <v>0</v>
      </c>
      <c r="AT4371">
        <v>0</v>
      </c>
    </row>
    <row r="4372" spans="44:46">
      <c r="AR4372">
        <v>0</v>
      </c>
      <c r="AS4372">
        <v>0</v>
      </c>
      <c r="AT4372">
        <v>0</v>
      </c>
    </row>
    <row r="4373" spans="44:46">
      <c r="AR4373">
        <v>0</v>
      </c>
      <c r="AS4373">
        <v>0</v>
      </c>
      <c r="AT4373">
        <v>0</v>
      </c>
    </row>
    <row r="4374" spans="44:46">
      <c r="AR4374">
        <v>0</v>
      </c>
      <c r="AS4374">
        <v>0</v>
      </c>
      <c r="AT4374">
        <v>0</v>
      </c>
    </row>
    <row r="4375" spans="44:46">
      <c r="AR4375">
        <v>0</v>
      </c>
      <c r="AS4375">
        <v>0</v>
      </c>
      <c r="AT4375">
        <v>0</v>
      </c>
    </row>
    <row r="4376" spans="44:46">
      <c r="AR4376">
        <v>0</v>
      </c>
      <c r="AS4376">
        <v>0</v>
      </c>
      <c r="AT4376">
        <v>0</v>
      </c>
    </row>
    <row r="4377" spans="44:46">
      <c r="AR4377">
        <v>0</v>
      </c>
      <c r="AS4377">
        <v>0</v>
      </c>
      <c r="AT4377">
        <v>0</v>
      </c>
    </row>
    <row r="4378" spans="44:46">
      <c r="AR4378">
        <v>0</v>
      </c>
      <c r="AS4378">
        <v>0</v>
      </c>
      <c r="AT4378">
        <v>0</v>
      </c>
    </row>
    <row r="4379" spans="44:46">
      <c r="AR4379">
        <v>0</v>
      </c>
      <c r="AS4379">
        <v>0</v>
      </c>
      <c r="AT4379">
        <v>0</v>
      </c>
    </row>
    <row r="4380" spans="44:46">
      <c r="AR4380">
        <v>0</v>
      </c>
      <c r="AS4380">
        <v>0</v>
      </c>
      <c r="AT4380">
        <v>0</v>
      </c>
    </row>
    <row r="4381" spans="44:46">
      <c r="AR4381">
        <v>0</v>
      </c>
      <c r="AS4381">
        <v>0</v>
      </c>
      <c r="AT4381">
        <v>0</v>
      </c>
    </row>
    <row r="4382" spans="44:46">
      <c r="AR4382">
        <v>0</v>
      </c>
      <c r="AS4382">
        <v>0</v>
      </c>
      <c r="AT4382">
        <v>0</v>
      </c>
    </row>
    <row r="4383" spans="44:46">
      <c r="AR4383">
        <v>0</v>
      </c>
      <c r="AS4383">
        <v>0</v>
      </c>
      <c r="AT4383">
        <v>0</v>
      </c>
    </row>
    <row r="4384" spans="44:46">
      <c r="AR4384">
        <v>0</v>
      </c>
      <c r="AS4384">
        <v>0</v>
      </c>
      <c r="AT4384">
        <v>0</v>
      </c>
    </row>
    <row r="4385" spans="44:46">
      <c r="AR4385">
        <v>0</v>
      </c>
      <c r="AS4385">
        <v>0</v>
      </c>
      <c r="AT4385">
        <v>0</v>
      </c>
    </row>
    <row r="4386" spans="44:46">
      <c r="AR4386">
        <v>0</v>
      </c>
      <c r="AS4386">
        <v>0</v>
      </c>
      <c r="AT4386">
        <v>0</v>
      </c>
    </row>
    <row r="4387" spans="44:46">
      <c r="AR4387">
        <v>0</v>
      </c>
      <c r="AS4387">
        <v>0</v>
      </c>
      <c r="AT4387">
        <v>0</v>
      </c>
    </row>
    <row r="4388" spans="44:46">
      <c r="AR4388">
        <v>0</v>
      </c>
      <c r="AS4388">
        <v>0</v>
      </c>
      <c r="AT4388">
        <v>0</v>
      </c>
    </row>
    <row r="4389" spans="44:46">
      <c r="AR4389">
        <v>0</v>
      </c>
      <c r="AS4389">
        <v>0</v>
      </c>
      <c r="AT4389">
        <v>0</v>
      </c>
    </row>
    <row r="4390" spans="44:46">
      <c r="AR4390">
        <v>0</v>
      </c>
      <c r="AS4390">
        <v>0</v>
      </c>
      <c r="AT4390">
        <v>0</v>
      </c>
    </row>
    <row r="4391" spans="44:46">
      <c r="AR4391">
        <v>0</v>
      </c>
      <c r="AS4391">
        <v>0</v>
      </c>
      <c r="AT4391">
        <v>0</v>
      </c>
    </row>
    <row r="4392" spans="44:46">
      <c r="AR4392">
        <v>0</v>
      </c>
      <c r="AS4392">
        <v>0</v>
      </c>
      <c r="AT4392">
        <v>0</v>
      </c>
    </row>
    <row r="4393" spans="44:46">
      <c r="AR4393">
        <v>0</v>
      </c>
      <c r="AS4393">
        <v>0</v>
      </c>
      <c r="AT4393">
        <v>0</v>
      </c>
    </row>
    <row r="4394" spans="44:46">
      <c r="AR4394">
        <v>0</v>
      </c>
      <c r="AS4394">
        <v>0</v>
      </c>
      <c r="AT4394">
        <v>0</v>
      </c>
    </row>
    <row r="4395" spans="44:46">
      <c r="AR4395">
        <v>0</v>
      </c>
      <c r="AS4395">
        <v>0</v>
      </c>
      <c r="AT4395">
        <v>0</v>
      </c>
    </row>
    <row r="4396" spans="44:46">
      <c r="AR4396">
        <v>0</v>
      </c>
      <c r="AS4396">
        <v>0</v>
      </c>
      <c r="AT4396">
        <v>0</v>
      </c>
    </row>
    <row r="4397" spans="44:46">
      <c r="AR4397">
        <v>0</v>
      </c>
      <c r="AS4397">
        <v>0</v>
      </c>
      <c r="AT4397">
        <v>0</v>
      </c>
    </row>
    <row r="4398" spans="44:46">
      <c r="AR4398">
        <v>0</v>
      </c>
      <c r="AS4398">
        <v>0</v>
      </c>
      <c r="AT4398">
        <v>0</v>
      </c>
    </row>
    <row r="4399" spans="44:46">
      <c r="AR4399">
        <v>0</v>
      </c>
      <c r="AS4399">
        <v>0</v>
      </c>
      <c r="AT4399">
        <v>0</v>
      </c>
    </row>
    <row r="4400" spans="44:46">
      <c r="AR4400">
        <v>0</v>
      </c>
      <c r="AS4400">
        <v>0</v>
      </c>
      <c r="AT4400">
        <v>0</v>
      </c>
    </row>
    <row r="4401" spans="44:46">
      <c r="AR4401">
        <v>0</v>
      </c>
      <c r="AS4401">
        <v>0</v>
      </c>
      <c r="AT4401">
        <v>0</v>
      </c>
    </row>
    <row r="4402" spans="44:46">
      <c r="AR4402">
        <v>0</v>
      </c>
      <c r="AS4402">
        <v>0</v>
      </c>
      <c r="AT4402">
        <v>0</v>
      </c>
    </row>
    <row r="4403" spans="44:46">
      <c r="AR4403">
        <v>0</v>
      </c>
      <c r="AS4403">
        <v>0</v>
      </c>
      <c r="AT4403">
        <v>0</v>
      </c>
    </row>
    <row r="4404" spans="44:46">
      <c r="AR4404">
        <v>0</v>
      </c>
      <c r="AS4404">
        <v>0</v>
      </c>
      <c r="AT4404">
        <v>0</v>
      </c>
    </row>
    <row r="4405" spans="44:46">
      <c r="AR4405">
        <v>0</v>
      </c>
      <c r="AS4405">
        <v>0</v>
      </c>
      <c r="AT4405">
        <v>0</v>
      </c>
    </row>
    <row r="4406" spans="44:46">
      <c r="AR4406">
        <v>0</v>
      </c>
      <c r="AS4406">
        <v>0</v>
      </c>
      <c r="AT4406">
        <v>0</v>
      </c>
    </row>
    <row r="4407" spans="44:46">
      <c r="AR4407">
        <v>0</v>
      </c>
      <c r="AS4407">
        <v>0</v>
      </c>
      <c r="AT4407">
        <v>0</v>
      </c>
    </row>
    <row r="4408" spans="44:46">
      <c r="AR4408">
        <v>0</v>
      </c>
      <c r="AS4408">
        <v>0</v>
      </c>
      <c r="AT4408">
        <v>0</v>
      </c>
    </row>
    <row r="4409" spans="44:46">
      <c r="AR4409">
        <v>0</v>
      </c>
      <c r="AS4409">
        <v>0</v>
      </c>
      <c r="AT4409">
        <v>0</v>
      </c>
    </row>
    <row r="4410" spans="44:46">
      <c r="AR4410">
        <v>0</v>
      </c>
      <c r="AS4410">
        <v>0</v>
      </c>
      <c r="AT4410">
        <v>0</v>
      </c>
    </row>
    <row r="4411" spans="44:46">
      <c r="AR4411">
        <v>0</v>
      </c>
      <c r="AS4411">
        <v>0</v>
      </c>
      <c r="AT4411">
        <v>0</v>
      </c>
    </row>
    <row r="4412" spans="44:46">
      <c r="AR4412">
        <v>0</v>
      </c>
      <c r="AS4412">
        <v>0</v>
      </c>
      <c r="AT4412">
        <v>0</v>
      </c>
    </row>
    <row r="4413" spans="44:46">
      <c r="AR4413">
        <v>0</v>
      </c>
      <c r="AS4413">
        <v>0</v>
      </c>
      <c r="AT4413">
        <v>0</v>
      </c>
    </row>
    <row r="4414" spans="44:46">
      <c r="AR4414">
        <v>0</v>
      </c>
      <c r="AS4414">
        <v>0</v>
      </c>
      <c r="AT4414">
        <v>0</v>
      </c>
    </row>
    <row r="4415" spans="44:46">
      <c r="AR4415">
        <v>0</v>
      </c>
      <c r="AS4415">
        <v>0</v>
      </c>
      <c r="AT4415">
        <v>0</v>
      </c>
    </row>
    <row r="4416" spans="44:46">
      <c r="AR4416">
        <v>0</v>
      </c>
      <c r="AS4416">
        <v>0</v>
      </c>
      <c r="AT4416">
        <v>0</v>
      </c>
    </row>
    <row r="4417" spans="44:46">
      <c r="AR4417">
        <v>0</v>
      </c>
      <c r="AS4417">
        <v>0</v>
      </c>
      <c r="AT4417">
        <v>0</v>
      </c>
    </row>
    <row r="4418" spans="44:46">
      <c r="AR4418">
        <v>0</v>
      </c>
      <c r="AS4418">
        <v>0</v>
      </c>
      <c r="AT4418">
        <v>0</v>
      </c>
    </row>
    <row r="4419" spans="44:46">
      <c r="AR4419">
        <v>0</v>
      </c>
      <c r="AS4419">
        <v>0</v>
      </c>
      <c r="AT4419">
        <v>0</v>
      </c>
    </row>
    <row r="4420" spans="44:46">
      <c r="AR4420">
        <v>0</v>
      </c>
      <c r="AS4420">
        <v>0</v>
      </c>
      <c r="AT4420">
        <v>0</v>
      </c>
    </row>
    <row r="4421" spans="44:46">
      <c r="AR4421">
        <v>0</v>
      </c>
      <c r="AS4421">
        <v>0</v>
      </c>
      <c r="AT4421">
        <v>0</v>
      </c>
    </row>
    <row r="4422" spans="44:46">
      <c r="AR4422">
        <v>0</v>
      </c>
      <c r="AS4422">
        <v>0</v>
      </c>
      <c r="AT4422">
        <v>0</v>
      </c>
    </row>
    <row r="4423" spans="44:46">
      <c r="AR4423">
        <v>0</v>
      </c>
      <c r="AS4423">
        <v>0</v>
      </c>
      <c r="AT4423">
        <v>0</v>
      </c>
    </row>
    <row r="4424" spans="44:46">
      <c r="AR4424">
        <v>0</v>
      </c>
      <c r="AS4424">
        <v>0</v>
      </c>
      <c r="AT4424">
        <v>0</v>
      </c>
    </row>
    <row r="4425" spans="44:46">
      <c r="AR4425">
        <v>0</v>
      </c>
      <c r="AS4425">
        <v>0</v>
      </c>
      <c r="AT4425">
        <v>0</v>
      </c>
    </row>
    <row r="4426" spans="44:46">
      <c r="AR4426">
        <v>0</v>
      </c>
      <c r="AS4426">
        <v>0</v>
      </c>
      <c r="AT4426">
        <v>0</v>
      </c>
    </row>
    <row r="4427" spans="44:46">
      <c r="AR4427">
        <v>0</v>
      </c>
      <c r="AS4427">
        <v>0</v>
      </c>
      <c r="AT4427">
        <v>0</v>
      </c>
    </row>
    <row r="4428" spans="44:46">
      <c r="AR4428">
        <v>0</v>
      </c>
      <c r="AS4428">
        <v>0</v>
      </c>
      <c r="AT4428">
        <v>0</v>
      </c>
    </row>
    <row r="4429" spans="44:46">
      <c r="AR4429">
        <v>0</v>
      </c>
      <c r="AS4429">
        <v>0</v>
      </c>
      <c r="AT4429">
        <v>0</v>
      </c>
    </row>
    <row r="4430" spans="44:46">
      <c r="AR4430">
        <v>0</v>
      </c>
      <c r="AS4430">
        <v>0</v>
      </c>
      <c r="AT4430">
        <v>0</v>
      </c>
    </row>
    <row r="4431" spans="44:46">
      <c r="AR4431">
        <v>0</v>
      </c>
      <c r="AS4431">
        <v>0</v>
      </c>
      <c r="AT4431">
        <v>0</v>
      </c>
    </row>
    <row r="4432" spans="44:46">
      <c r="AR4432">
        <v>0</v>
      </c>
      <c r="AS4432">
        <v>0</v>
      </c>
      <c r="AT4432">
        <v>0</v>
      </c>
    </row>
    <row r="4433" spans="44:46">
      <c r="AR4433">
        <v>0</v>
      </c>
      <c r="AS4433">
        <v>0</v>
      </c>
      <c r="AT4433">
        <v>0</v>
      </c>
    </row>
    <row r="4434" spans="44:46">
      <c r="AR4434">
        <v>0</v>
      </c>
      <c r="AS4434">
        <v>0</v>
      </c>
      <c r="AT4434">
        <v>0</v>
      </c>
    </row>
    <row r="4435" spans="44:46">
      <c r="AR4435">
        <v>0</v>
      </c>
      <c r="AS4435">
        <v>0</v>
      </c>
      <c r="AT4435">
        <v>0</v>
      </c>
    </row>
    <row r="4436" spans="44:46">
      <c r="AR4436">
        <v>0</v>
      </c>
      <c r="AS4436">
        <v>0</v>
      </c>
      <c r="AT4436">
        <v>0</v>
      </c>
    </row>
    <row r="4437" spans="44:46">
      <c r="AR4437">
        <v>0</v>
      </c>
      <c r="AS4437">
        <v>0</v>
      </c>
      <c r="AT4437">
        <v>0</v>
      </c>
    </row>
    <row r="4438" spans="44:46">
      <c r="AR4438">
        <v>0</v>
      </c>
      <c r="AS4438">
        <v>0</v>
      </c>
      <c r="AT4438">
        <v>0</v>
      </c>
    </row>
    <row r="4439" spans="44:46">
      <c r="AR4439">
        <v>0</v>
      </c>
      <c r="AS4439">
        <v>0</v>
      </c>
      <c r="AT4439">
        <v>0</v>
      </c>
    </row>
    <row r="4440" spans="44:46">
      <c r="AR4440">
        <v>0</v>
      </c>
      <c r="AS4440">
        <v>0</v>
      </c>
      <c r="AT4440">
        <v>0</v>
      </c>
    </row>
    <row r="4441" spans="44:46">
      <c r="AR4441">
        <v>0</v>
      </c>
      <c r="AS4441">
        <v>0</v>
      </c>
      <c r="AT4441">
        <v>0</v>
      </c>
    </row>
    <row r="4442" spans="44:46">
      <c r="AR4442">
        <v>0</v>
      </c>
      <c r="AS4442">
        <v>0</v>
      </c>
      <c r="AT4442">
        <v>0</v>
      </c>
    </row>
    <row r="4443" spans="44:46">
      <c r="AR4443">
        <v>0</v>
      </c>
      <c r="AS4443">
        <v>0</v>
      </c>
      <c r="AT4443">
        <v>0</v>
      </c>
    </row>
    <row r="4444" spans="44:46">
      <c r="AR4444">
        <v>0</v>
      </c>
      <c r="AS4444">
        <v>0</v>
      </c>
      <c r="AT4444">
        <v>0</v>
      </c>
    </row>
    <row r="4445" spans="44:46">
      <c r="AR4445">
        <v>0</v>
      </c>
      <c r="AS4445">
        <v>0</v>
      </c>
      <c r="AT4445">
        <v>0</v>
      </c>
    </row>
    <row r="4446" spans="44:46">
      <c r="AR4446">
        <v>0</v>
      </c>
      <c r="AS4446">
        <v>0</v>
      </c>
      <c r="AT4446">
        <v>0</v>
      </c>
    </row>
    <row r="4447" spans="44:46">
      <c r="AR4447">
        <v>0</v>
      </c>
      <c r="AS4447">
        <v>0</v>
      </c>
      <c r="AT4447">
        <v>0</v>
      </c>
    </row>
    <row r="4448" spans="44:46">
      <c r="AR4448">
        <v>0</v>
      </c>
      <c r="AS4448">
        <v>0</v>
      </c>
      <c r="AT4448">
        <v>0</v>
      </c>
    </row>
    <row r="4449" spans="44:46">
      <c r="AR4449">
        <v>0</v>
      </c>
      <c r="AS4449">
        <v>0</v>
      </c>
      <c r="AT4449">
        <v>0</v>
      </c>
    </row>
    <row r="4450" spans="44:46">
      <c r="AR4450">
        <v>0</v>
      </c>
      <c r="AS4450">
        <v>0</v>
      </c>
      <c r="AT4450">
        <v>0</v>
      </c>
    </row>
    <row r="4451" spans="44:46">
      <c r="AR4451">
        <v>0</v>
      </c>
      <c r="AS4451">
        <v>0</v>
      </c>
      <c r="AT4451">
        <v>0</v>
      </c>
    </row>
    <row r="4452" spans="44:46">
      <c r="AR4452">
        <v>0</v>
      </c>
      <c r="AS4452">
        <v>0</v>
      </c>
      <c r="AT4452">
        <v>0</v>
      </c>
    </row>
    <row r="4453" spans="44:46">
      <c r="AR4453">
        <v>0</v>
      </c>
      <c r="AS4453">
        <v>0</v>
      </c>
      <c r="AT4453">
        <v>0</v>
      </c>
    </row>
    <row r="4454" spans="44:46">
      <c r="AR4454">
        <v>0</v>
      </c>
      <c r="AS4454">
        <v>0</v>
      </c>
      <c r="AT4454">
        <v>0</v>
      </c>
    </row>
    <row r="4455" spans="44:46">
      <c r="AR4455">
        <v>0</v>
      </c>
      <c r="AS4455">
        <v>0</v>
      </c>
      <c r="AT4455">
        <v>0</v>
      </c>
    </row>
    <row r="4456" spans="44:46">
      <c r="AR4456">
        <v>0</v>
      </c>
      <c r="AS4456">
        <v>0</v>
      </c>
      <c r="AT4456">
        <v>0</v>
      </c>
    </row>
    <row r="4457" spans="44:46">
      <c r="AR4457">
        <v>0</v>
      </c>
      <c r="AS4457">
        <v>0</v>
      </c>
      <c r="AT4457">
        <v>0</v>
      </c>
    </row>
    <row r="4458" spans="44:46">
      <c r="AR4458">
        <v>0</v>
      </c>
      <c r="AS4458">
        <v>0</v>
      </c>
      <c r="AT4458">
        <v>0</v>
      </c>
    </row>
    <row r="4459" spans="44:46">
      <c r="AR4459">
        <v>0</v>
      </c>
      <c r="AS4459">
        <v>0</v>
      </c>
      <c r="AT4459">
        <v>0</v>
      </c>
    </row>
    <row r="4460" spans="44:46">
      <c r="AR4460">
        <v>0</v>
      </c>
      <c r="AS4460">
        <v>0</v>
      </c>
      <c r="AT4460">
        <v>0</v>
      </c>
    </row>
    <row r="4461" spans="44:46">
      <c r="AR4461">
        <v>0</v>
      </c>
      <c r="AS4461">
        <v>0</v>
      </c>
      <c r="AT4461">
        <v>0</v>
      </c>
    </row>
    <row r="4462" spans="44:46">
      <c r="AR4462">
        <v>0</v>
      </c>
      <c r="AS4462">
        <v>0</v>
      </c>
      <c r="AT4462">
        <v>0</v>
      </c>
    </row>
    <row r="4463" spans="44:46">
      <c r="AR4463">
        <v>0</v>
      </c>
      <c r="AS4463">
        <v>0</v>
      </c>
      <c r="AT4463">
        <v>0</v>
      </c>
    </row>
    <row r="4464" spans="44:46">
      <c r="AR4464">
        <v>0</v>
      </c>
      <c r="AS4464">
        <v>0</v>
      </c>
      <c r="AT4464">
        <v>0</v>
      </c>
    </row>
    <row r="4465" spans="44:46">
      <c r="AR4465">
        <v>0</v>
      </c>
      <c r="AS4465">
        <v>0</v>
      </c>
      <c r="AT4465">
        <v>0</v>
      </c>
    </row>
    <row r="4466" spans="44:46">
      <c r="AR4466">
        <v>0</v>
      </c>
      <c r="AS4466">
        <v>0</v>
      </c>
      <c r="AT4466">
        <v>0</v>
      </c>
    </row>
    <row r="4467" spans="44:46">
      <c r="AR4467">
        <v>0</v>
      </c>
      <c r="AS4467">
        <v>0</v>
      </c>
      <c r="AT4467">
        <v>0</v>
      </c>
    </row>
    <row r="4468" spans="44:46">
      <c r="AR4468">
        <v>0</v>
      </c>
      <c r="AS4468">
        <v>0</v>
      </c>
      <c r="AT4468">
        <v>0</v>
      </c>
    </row>
    <row r="4469" spans="44:46">
      <c r="AR4469">
        <v>0</v>
      </c>
      <c r="AS4469">
        <v>0</v>
      </c>
      <c r="AT4469">
        <v>0</v>
      </c>
    </row>
    <row r="4470" spans="44:46">
      <c r="AR4470">
        <v>0</v>
      </c>
      <c r="AS4470">
        <v>0</v>
      </c>
      <c r="AT4470">
        <v>0</v>
      </c>
    </row>
    <row r="4471" spans="44:46">
      <c r="AR4471">
        <v>0</v>
      </c>
      <c r="AS4471">
        <v>0</v>
      </c>
      <c r="AT4471">
        <v>0</v>
      </c>
    </row>
    <row r="4472" spans="44:46">
      <c r="AR4472">
        <v>0</v>
      </c>
      <c r="AS4472">
        <v>0</v>
      </c>
      <c r="AT4472">
        <v>0</v>
      </c>
    </row>
    <row r="4473" spans="44:46">
      <c r="AR4473">
        <v>0</v>
      </c>
      <c r="AS4473">
        <v>0</v>
      </c>
      <c r="AT4473">
        <v>0</v>
      </c>
    </row>
    <row r="4474" spans="44:46">
      <c r="AR4474">
        <v>0</v>
      </c>
      <c r="AS4474">
        <v>0</v>
      </c>
      <c r="AT4474">
        <v>0</v>
      </c>
    </row>
    <row r="4475" spans="44:46">
      <c r="AR4475">
        <v>0</v>
      </c>
      <c r="AS4475">
        <v>0</v>
      </c>
      <c r="AT4475">
        <v>0</v>
      </c>
    </row>
    <row r="4476" spans="44:46">
      <c r="AR4476">
        <v>0</v>
      </c>
      <c r="AS4476">
        <v>0</v>
      </c>
      <c r="AT4476">
        <v>0</v>
      </c>
    </row>
    <row r="4477" spans="44:46">
      <c r="AR4477">
        <v>0</v>
      </c>
      <c r="AS4477">
        <v>0</v>
      </c>
      <c r="AT4477">
        <v>0</v>
      </c>
    </row>
    <row r="4478" spans="44:46">
      <c r="AR4478">
        <v>0</v>
      </c>
      <c r="AS4478">
        <v>0</v>
      </c>
      <c r="AT4478">
        <v>0</v>
      </c>
    </row>
    <row r="4479" spans="44:46">
      <c r="AR4479">
        <v>0</v>
      </c>
      <c r="AS4479">
        <v>0</v>
      </c>
      <c r="AT4479">
        <v>0</v>
      </c>
    </row>
    <row r="4480" spans="44:46">
      <c r="AR4480">
        <v>0</v>
      </c>
      <c r="AS4480">
        <v>0</v>
      </c>
      <c r="AT4480">
        <v>0</v>
      </c>
    </row>
    <row r="4481" spans="44:46">
      <c r="AR4481">
        <v>0</v>
      </c>
      <c r="AS4481">
        <v>0</v>
      </c>
      <c r="AT4481">
        <v>0</v>
      </c>
    </row>
    <row r="4482" spans="44:46">
      <c r="AR4482">
        <v>0</v>
      </c>
      <c r="AS4482">
        <v>0</v>
      </c>
      <c r="AT4482">
        <v>0</v>
      </c>
    </row>
    <row r="4483" spans="44:46">
      <c r="AR4483">
        <v>0</v>
      </c>
      <c r="AS4483">
        <v>0</v>
      </c>
      <c r="AT4483">
        <v>0</v>
      </c>
    </row>
    <row r="4484" spans="44:46">
      <c r="AR4484">
        <v>0</v>
      </c>
      <c r="AS4484">
        <v>0</v>
      </c>
      <c r="AT4484">
        <v>0</v>
      </c>
    </row>
    <row r="4485" spans="44:46">
      <c r="AR4485">
        <v>0</v>
      </c>
      <c r="AS4485">
        <v>0</v>
      </c>
      <c r="AT4485">
        <v>0</v>
      </c>
    </row>
    <row r="4486" spans="44:46">
      <c r="AR4486">
        <v>0</v>
      </c>
      <c r="AS4486">
        <v>0</v>
      </c>
      <c r="AT4486">
        <v>0</v>
      </c>
    </row>
    <row r="4487" spans="44:46">
      <c r="AR4487">
        <v>0</v>
      </c>
      <c r="AS4487">
        <v>0</v>
      </c>
      <c r="AT4487">
        <v>0</v>
      </c>
    </row>
    <row r="4488" spans="44:46">
      <c r="AR4488">
        <v>0</v>
      </c>
      <c r="AS4488">
        <v>0</v>
      </c>
      <c r="AT4488">
        <v>0</v>
      </c>
    </row>
    <row r="4489" spans="44:46">
      <c r="AR4489">
        <v>0</v>
      </c>
      <c r="AS4489">
        <v>0</v>
      </c>
      <c r="AT4489">
        <v>0</v>
      </c>
    </row>
    <row r="4490" spans="44:46">
      <c r="AR4490">
        <v>0</v>
      </c>
      <c r="AS4490">
        <v>0</v>
      </c>
      <c r="AT4490">
        <v>0</v>
      </c>
    </row>
    <row r="4491" spans="44:46">
      <c r="AR4491">
        <v>0</v>
      </c>
      <c r="AS4491">
        <v>0</v>
      </c>
      <c r="AT4491">
        <v>0</v>
      </c>
    </row>
    <row r="4492" spans="44:46">
      <c r="AR4492">
        <v>0</v>
      </c>
      <c r="AS4492">
        <v>0</v>
      </c>
      <c r="AT4492">
        <v>0</v>
      </c>
    </row>
    <row r="4493" spans="44:46">
      <c r="AR4493">
        <v>0</v>
      </c>
      <c r="AS4493">
        <v>0</v>
      </c>
      <c r="AT4493">
        <v>0</v>
      </c>
    </row>
    <row r="4494" spans="44:46">
      <c r="AR4494">
        <v>0</v>
      </c>
      <c r="AS4494">
        <v>0</v>
      </c>
      <c r="AT4494">
        <v>0</v>
      </c>
    </row>
    <row r="4495" spans="44:46">
      <c r="AR4495">
        <v>0</v>
      </c>
      <c r="AS4495">
        <v>0</v>
      </c>
      <c r="AT4495">
        <v>0</v>
      </c>
    </row>
    <row r="4496" spans="44:46">
      <c r="AR4496">
        <v>0</v>
      </c>
      <c r="AS4496">
        <v>0</v>
      </c>
      <c r="AT4496">
        <v>0</v>
      </c>
    </row>
    <row r="4497" spans="44:46">
      <c r="AR4497">
        <v>0</v>
      </c>
      <c r="AS4497">
        <v>0</v>
      </c>
      <c r="AT4497">
        <v>0</v>
      </c>
    </row>
    <row r="4498" spans="44:46">
      <c r="AR4498">
        <v>0</v>
      </c>
      <c r="AS4498">
        <v>0</v>
      </c>
      <c r="AT4498">
        <v>0</v>
      </c>
    </row>
    <row r="4499" spans="44:46">
      <c r="AR4499">
        <v>0</v>
      </c>
      <c r="AS4499">
        <v>0</v>
      </c>
      <c r="AT4499">
        <v>0</v>
      </c>
    </row>
    <row r="4500" spans="44:46">
      <c r="AR4500">
        <v>0</v>
      </c>
      <c r="AS4500">
        <v>0</v>
      </c>
      <c r="AT4500">
        <v>0</v>
      </c>
    </row>
    <row r="4501" spans="44:46">
      <c r="AR4501">
        <v>0</v>
      </c>
      <c r="AS4501">
        <v>0</v>
      </c>
      <c r="AT4501">
        <v>0</v>
      </c>
    </row>
    <row r="4502" spans="44:46">
      <c r="AR4502">
        <v>0</v>
      </c>
      <c r="AS4502">
        <v>0</v>
      </c>
      <c r="AT4502">
        <v>0</v>
      </c>
    </row>
    <row r="4503" spans="44:46">
      <c r="AR4503">
        <v>0</v>
      </c>
      <c r="AS4503">
        <v>0</v>
      </c>
      <c r="AT4503">
        <v>0</v>
      </c>
    </row>
    <row r="4504" spans="44:46">
      <c r="AR4504">
        <v>0</v>
      </c>
      <c r="AS4504">
        <v>0</v>
      </c>
      <c r="AT4504">
        <v>0</v>
      </c>
    </row>
    <row r="4505" spans="44:46">
      <c r="AR4505">
        <v>0</v>
      </c>
      <c r="AS4505">
        <v>0</v>
      </c>
      <c r="AT4505">
        <v>0</v>
      </c>
    </row>
    <row r="4506" spans="44:46">
      <c r="AR4506">
        <v>0</v>
      </c>
      <c r="AS4506">
        <v>0</v>
      </c>
      <c r="AT4506">
        <v>0</v>
      </c>
    </row>
    <row r="4507" spans="44:46">
      <c r="AR4507">
        <v>0</v>
      </c>
      <c r="AS4507">
        <v>0</v>
      </c>
      <c r="AT4507">
        <v>0</v>
      </c>
    </row>
    <row r="4508" spans="44:46">
      <c r="AR4508">
        <v>0</v>
      </c>
      <c r="AS4508">
        <v>0</v>
      </c>
      <c r="AT4508">
        <v>0</v>
      </c>
    </row>
    <row r="4509" spans="44:46">
      <c r="AR4509">
        <v>0</v>
      </c>
      <c r="AS4509">
        <v>0</v>
      </c>
      <c r="AT4509">
        <v>0</v>
      </c>
    </row>
    <row r="4510" spans="44:46">
      <c r="AR4510">
        <v>0</v>
      </c>
      <c r="AS4510">
        <v>0</v>
      </c>
      <c r="AT4510">
        <v>0</v>
      </c>
    </row>
    <row r="4511" spans="44:46">
      <c r="AR4511">
        <v>0</v>
      </c>
      <c r="AS4511">
        <v>0</v>
      </c>
      <c r="AT4511">
        <v>0</v>
      </c>
    </row>
    <row r="4512" spans="44:46">
      <c r="AR4512">
        <v>0</v>
      </c>
      <c r="AS4512">
        <v>0</v>
      </c>
      <c r="AT4512">
        <v>0</v>
      </c>
    </row>
    <row r="4513" spans="44:46">
      <c r="AR4513">
        <v>0</v>
      </c>
      <c r="AS4513">
        <v>0</v>
      </c>
      <c r="AT4513">
        <v>0</v>
      </c>
    </row>
    <row r="4514" spans="44:46">
      <c r="AR4514">
        <v>0</v>
      </c>
      <c r="AS4514">
        <v>0</v>
      </c>
      <c r="AT4514">
        <v>0</v>
      </c>
    </row>
    <row r="4515" spans="44:46">
      <c r="AR4515">
        <v>0</v>
      </c>
      <c r="AS4515">
        <v>0</v>
      </c>
      <c r="AT4515">
        <v>0</v>
      </c>
    </row>
    <row r="4516" spans="44:46">
      <c r="AR4516">
        <v>0</v>
      </c>
      <c r="AS4516">
        <v>0</v>
      </c>
      <c r="AT4516">
        <v>0</v>
      </c>
    </row>
    <row r="4517" spans="44:46">
      <c r="AR4517">
        <v>0</v>
      </c>
      <c r="AS4517">
        <v>0</v>
      </c>
      <c r="AT4517">
        <v>0</v>
      </c>
    </row>
    <row r="4518" spans="44:46">
      <c r="AR4518">
        <v>0</v>
      </c>
      <c r="AS4518">
        <v>0</v>
      </c>
      <c r="AT4518">
        <v>0</v>
      </c>
    </row>
    <row r="4519" spans="44:46">
      <c r="AR4519">
        <v>0</v>
      </c>
      <c r="AS4519">
        <v>0</v>
      </c>
      <c r="AT4519">
        <v>0</v>
      </c>
    </row>
    <row r="4520" spans="44:46">
      <c r="AR4520">
        <v>0</v>
      </c>
      <c r="AS4520">
        <v>0</v>
      </c>
      <c r="AT4520">
        <v>0</v>
      </c>
    </row>
    <row r="4521" spans="44:46">
      <c r="AR4521">
        <v>0</v>
      </c>
      <c r="AS4521">
        <v>0</v>
      </c>
      <c r="AT4521">
        <v>0</v>
      </c>
    </row>
    <row r="4522" spans="44:46">
      <c r="AR4522">
        <v>0</v>
      </c>
      <c r="AS4522">
        <v>0</v>
      </c>
      <c r="AT4522">
        <v>0</v>
      </c>
    </row>
    <row r="4523" spans="44:46">
      <c r="AR4523">
        <v>0</v>
      </c>
      <c r="AS4523">
        <v>0</v>
      </c>
      <c r="AT4523">
        <v>0</v>
      </c>
    </row>
    <row r="4524" spans="44:46">
      <c r="AR4524">
        <v>0</v>
      </c>
      <c r="AS4524">
        <v>0</v>
      </c>
      <c r="AT4524">
        <v>0</v>
      </c>
    </row>
    <row r="4525" spans="44:46">
      <c r="AR4525">
        <v>0</v>
      </c>
      <c r="AS4525">
        <v>0</v>
      </c>
      <c r="AT4525">
        <v>0</v>
      </c>
    </row>
    <row r="4526" spans="44:46">
      <c r="AR4526">
        <v>0</v>
      </c>
      <c r="AS4526">
        <v>0</v>
      </c>
      <c r="AT4526">
        <v>0</v>
      </c>
    </row>
    <row r="4527" spans="44:46">
      <c r="AR4527">
        <v>0</v>
      </c>
      <c r="AS4527">
        <v>0</v>
      </c>
      <c r="AT4527">
        <v>0</v>
      </c>
    </row>
    <row r="4528" spans="44:46">
      <c r="AR4528">
        <v>0</v>
      </c>
      <c r="AS4528">
        <v>0</v>
      </c>
      <c r="AT4528">
        <v>0</v>
      </c>
    </row>
    <row r="4529" spans="44:46">
      <c r="AR4529">
        <v>0</v>
      </c>
      <c r="AS4529">
        <v>0</v>
      </c>
      <c r="AT4529">
        <v>0</v>
      </c>
    </row>
    <row r="4530" spans="44:46">
      <c r="AR4530">
        <v>0</v>
      </c>
      <c r="AS4530">
        <v>0</v>
      </c>
      <c r="AT4530">
        <v>0</v>
      </c>
    </row>
    <row r="4531" spans="44:46">
      <c r="AR4531">
        <v>0</v>
      </c>
      <c r="AS4531">
        <v>0</v>
      </c>
      <c r="AT4531">
        <v>0</v>
      </c>
    </row>
    <row r="4532" spans="44:46">
      <c r="AR4532">
        <v>0</v>
      </c>
      <c r="AS4532">
        <v>0</v>
      </c>
      <c r="AT4532">
        <v>0</v>
      </c>
    </row>
    <row r="4533" spans="44:46">
      <c r="AR4533">
        <v>0</v>
      </c>
      <c r="AS4533">
        <v>0</v>
      </c>
      <c r="AT4533">
        <v>0</v>
      </c>
    </row>
    <row r="4534" spans="44:46">
      <c r="AR4534">
        <v>0</v>
      </c>
      <c r="AS4534">
        <v>0</v>
      </c>
      <c r="AT4534">
        <v>0</v>
      </c>
    </row>
    <row r="4535" spans="44:46">
      <c r="AR4535">
        <v>0</v>
      </c>
      <c r="AS4535">
        <v>0</v>
      </c>
      <c r="AT4535">
        <v>0</v>
      </c>
    </row>
    <row r="4536" spans="44:46">
      <c r="AR4536">
        <v>0</v>
      </c>
      <c r="AS4536">
        <v>0</v>
      </c>
      <c r="AT4536">
        <v>0</v>
      </c>
    </row>
    <row r="4537" spans="44:46">
      <c r="AR4537">
        <v>0</v>
      </c>
      <c r="AS4537">
        <v>0</v>
      </c>
      <c r="AT4537">
        <v>0</v>
      </c>
    </row>
    <row r="4538" spans="44:46">
      <c r="AR4538">
        <v>0</v>
      </c>
      <c r="AS4538">
        <v>0</v>
      </c>
      <c r="AT4538">
        <v>0</v>
      </c>
    </row>
    <row r="4539" spans="44:46">
      <c r="AR4539">
        <v>0</v>
      </c>
      <c r="AS4539">
        <v>0</v>
      </c>
      <c r="AT4539">
        <v>0</v>
      </c>
    </row>
    <row r="4540" spans="44:46">
      <c r="AR4540">
        <v>0</v>
      </c>
      <c r="AS4540">
        <v>0</v>
      </c>
      <c r="AT4540">
        <v>0</v>
      </c>
    </row>
    <row r="4541" spans="44:46">
      <c r="AR4541">
        <v>0</v>
      </c>
      <c r="AS4541">
        <v>0</v>
      </c>
      <c r="AT4541">
        <v>0</v>
      </c>
    </row>
    <row r="4542" spans="44:46">
      <c r="AR4542">
        <v>0</v>
      </c>
      <c r="AS4542">
        <v>0</v>
      </c>
      <c r="AT4542">
        <v>0</v>
      </c>
    </row>
    <row r="4543" spans="44:46">
      <c r="AR4543">
        <v>0</v>
      </c>
      <c r="AS4543">
        <v>0</v>
      </c>
      <c r="AT4543">
        <v>0</v>
      </c>
    </row>
    <row r="4544" spans="44:46">
      <c r="AR4544">
        <v>0</v>
      </c>
      <c r="AS4544">
        <v>0</v>
      </c>
      <c r="AT4544">
        <v>0</v>
      </c>
    </row>
    <row r="4545" spans="44:46">
      <c r="AR4545">
        <v>0</v>
      </c>
      <c r="AS4545">
        <v>0</v>
      </c>
      <c r="AT4545">
        <v>0</v>
      </c>
    </row>
    <row r="4546" spans="44:46">
      <c r="AR4546">
        <v>0</v>
      </c>
      <c r="AS4546">
        <v>0</v>
      </c>
      <c r="AT4546">
        <v>0</v>
      </c>
    </row>
    <row r="4547" spans="44:46">
      <c r="AR4547">
        <v>0</v>
      </c>
      <c r="AS4547">
        <v>0</v>
      </c>
      <c r="AT4547">
        <v>0</v>
      </c>
    </row>
    <row r="4548" spans="44:46">
      <c r="AR4548">
        <v>0</v>
      </c>
      <c r="AS4548">
        <v>0</v>
      </c>
      <c r="AT4548">
        <v>0</v>
      </c>
    </row>
    <row r="4549" spans="44:46">
      <c r="AR4549">
        <v>0</v>
      </c>
      <c r="AS4549">
        <v>0</v>
      </c>
      <c r="AT4549">
        <v>0</v>
      </c>
    </row>
    <row r="4550" spans="44:46">
      <c r="AR4550">
        <v>0</v>
      </c>
      <c r="AS4550">
        <v>0</v>
      </c>
      <c r="AT4550">
        <v>0</v>
      </c>
    </row>
    <row r="4551" spans="44:46">
      <c r="AR4551">
        <v>0</v>
      </c>
      <c r="AS4551">
        <v>0</v>
      </c>
      <c r="AT4551">
        <v>0</v>
      </c>
    </row>
    <row r="4552" spans="44:46">
      <c r="AR4552">
        <v>0</v>
      </c>
      <c r="AS4552">
        <v>0</v>
      </c>
      <c r="AT4552">
        <v>0</v>
      </c>
    </row>
    <row r="4553" spans="44:46">
      <c r="AR4553">
        <v>0</v>
      </c>
      <c r="AS4553">
        <v>0</v>
      </c>
      <c r="AT4553">
        <v>0</v>
      </c>
    </row>
    <row r="4554" spans="44:46">
      <c r="AR4554">
        <v>0</v>
      </c>
      <c r="AS4554">
        <v>0</v>
      </c>
      <c r="AT4554">
        <v>0</v>
      </c>
    </row>
    <row r="4555" spans="44:46">
      <c r="AR4555">
        <v>0</v>
      </c>
      <c r="AS4555">
        <v>0</v>
      </c>
      <c r="AT4555">
        <v>0</v>
      </c>
    </row>
    <row r="4556" spans="44:46">
      <c r="AR4556">
        <v>0</v>
      </c>
      <c r="AS4556">
        <v>0</v>
      </c>
      <c r="AT4556">
        <v>0</v>
      </c>
    </row>
    <row r="4557" spans="44:46">
      <c r="AR4557">
        <v>0</v>
      </c>
      <c r="AS4557">
        <v>0</v>
      </c>
      <c r="AT4557">
        <v>0</v>
      </c>
    </row>
    <row r="4558" spans="44:46">
      <c r="AR4558">
        <v>0</v>
      </c>
      <c r="AS4558">
        <v>0</v>
      </c>
      <c r="AT4558">
        <v>0</v>
      </c>
    </row>
    <row r="4559" spans="44:46">
      <c r="AR4559">
        <v>0</v>
      </c>
      <c r="AS4559">
        <v>0</v>
      </c>
      <c r="AT4559">
        <v>0</v>
      </c>
    </row>
    <row r="4560" spans="44:46">
      <c r="AR4560">
        <v>0</v>
      </c>
      <c r="AS4560">
        <v>0</v>
      </c>
      <c r="AT4560">
        <v>0</v>
      </c>
    </row>
    <row r="4561" spans="44:46">
      <c r="AR4561">
        <v>0</v>
      </c>
      <c r="AS4561">
        <v>0</v>
      </c>
      <c r="AT4561">
        <v>0</v>
      </c>
    </row>
    <row r="4562" spans="44:46">
      <c r="AR4562">
        <v>0</v>
      </c>
      <c r="AS4562">
        <v>0</v>
      </c>
      <c r="AT4562">
        <v>0</v>
      </c>
    </row>
    <row r="4563" spans="44:46">
      <c r="AR4563">
        <v>0</v>
      </c>
      <c r="AS4563">
        <v>0</v>
      </c>
      <c r="AT4563">
        <v>0</v>
      </c>
    </row>
    <row r="4564" spans="44:46">
      <c r="AR4564">
        <v>0</v>
      </c>
      <c r="AS4564">
        <v>0</v>
      </c>
      <c r="AT4564">
        <v>0</v>
      </c>
    </row>
    <row r="4565" spans="44:46">
      <c r="AR4565">
        <v>0</v>
      </c>
      <c r="AS4565">
        <v>0</v>
      </c>
      <c r="AT4565">
        <v>0</v>
      </c>
    </row>
    <row r="4566" spans="44:46">
      <c r="AR4566">
        <v>0</v>
      </c>
      <c r="AS4566">
        <v>0</v>
      </c>
      <c r="AT4566">
        <v>0</v>
      </c>
    </row>
    <row r="4567" spans="44:46">
      <c r="AR4567">
        <v>0</v>
      </c>
      <c r="AS4567">
        <v>0</v>
      </c>
      <c r="AT4567">
        <v>0</v>
      </c>
    </row>
    <row r="4568" spans="44:46">
      <c r="AR4568">
        <v>0</v>
      </c>
      <c r="AS4568">
        <v>0</v>
      </c>
      <c r="AT4568">
        <v>0</v>
      </c>
    </row>
    <row r="4569" spans="44:46">
      <c r="AR4569">
        <v>0</v>
      </c>
      <c r="AS4569">
        <v>0</v>
      </c>
      <c r="AT4569">
        <v>0</v>
      </c>
    </row>
    <row r="4570" spans="44:46">
      <c r="AR4570">
        <v>0</v>
      </c>
      <c r="AS4570">
        <v>0</v>
      </c>
      <c r="AT4570">
        <v>0</v>
      </c>
    </row>
    <row r="4571" spans="44:46">
      <c r="AR4571">
        <v>0</v>
      </c>
      <c r="AS4571">
        <v>0</v>
      </c>
      <c r="AT4571">
        <v>0</v>
      </c>
    </row>
    <row r="4572" spans="44:46">
      <c r="AR4572">
        <v>0</v>
      </c>
      <c r="AS4572">
        <v>0</v>
      </c>
      <c r="AT4572">
        <v>0</v>
      </c>
    </row>
    <row r="4573" spans="44:46">
      <c r="AR4573">
        <v>0</v>
      </c>
      <c r="AS4573">
        <v>0</v>
      </c>
      <c r="AT4573">
        <v>0</v>
      </c>
    </row>
    <row r="4574" spans="44:46">
      <c r="AR4574">
        <v>0</v>
      </c>
      <c r="AS4574">
        <v>0</v>
      </c>
      <c r="AT4574">
        <v>0</v>
      </c>
    </row>
    <row r="4575" spans="44:46">
      <c r="AR4575">
        <v>0</v>
      </c>
      <c r="AS4575">
        <v>0</v>
      </c>
      <c r="AT4575">
        <v>0</v>
      </c>
    </row>
    <row r="4576" spans="44:46">
      <c r="AR4576">
        <v>0</v>
      </c>
      <c r="AS4576">
        <v>0</v>
      </c>
      <c r="AT4576">
        <v>0</v>
      </c>
    </row>
    <row r="4577" spans="44:46">
      <c r="AR4577">
        <v>0</v>
      </c>
      <c r="AS4577">
        <v>0</v>
      </c>
      <c r="AT4577">
        <v>0</v>
      </c>
    </row>
    <row r="4578" spans="44:46">
      <c r="AR4578">
        <v>0</v>
      </c>
      <c r="AS4578">
        <v>0</v>
      </c>
      <c r="AT4578">
        <v>0</v>
      </c>
    </row>
    <row r="4579" spans="44:46">
      <c r="AR4579">
        <v>0</v>
      </c>
      <c r="AS4579">
        <v>0</v>
      </c>
      <c r="AT4579">
        <v>0</v>
      </c>
    </row>
    <row r="4580" spans="44:46">
      <c r="AR4580">
        <v>0</v>
      </c>
      <c r="AS4580">
        <v>0</v>
      </c>
      <c r="AT4580">
        <v>0</v>
      </c>
    </row>
    <row r="4581" spans="44:46">
      <c r="AR4581">
        <v>0</v>
      </c>
      <c r="AS4581">
        <v>0</v>
      </c>
      <c r="AT4581">
        <v>0</v>
      </c>
    </row>
    <row r="4582" spans="44:46">
      <c r="AR4582">
        <v>0</v>
      </c>
      <c r="AS4582">
        <v>0</v>
      </c>
      <c r="AT4582">
        <v>0</v>
      </c>
    </row>
    <row r="4583" spans="44:46">
      <c r="AR4583">
        <v>0</v>
      </c>
      <c r="AS4583">
        <v>0</v>
      </c>
      <c r="AT4583">
        <v>0</v>
      </c>
    </row>
    <row r="4584" spans="44:46">
      <c r="AR4584">
        <v>0</v>
      </c>
      <c r="AS4584">
        <v>0</v>
      </c>
      <c r="AT4584">
        <v>0</v>
      </c>
    </row>
    <row r="4585" spans="44:46">
      <c r="AR4585">
        <v>0</v>
      </c>
      <c r="AS4585">
        <v>0</v>
      </c>
      <c r="AT4585">
        <v>0</v>
      </c>
    </row>
    <row r="4586" spans="44:46">
      <c r="AR4586">
        <v>0</v>
      </c>
      <c r="AS4586">
        <v>0</v>
      </c>
      <c r="AT4586">
        <v>0</v>
      </c>
    </row>
    <row r="4587" spans="44:46">
      <c r="AR4587">
        <v>0</v>
      </c>
      <c r="AS4587">
        <v>0</v>
      </c>
      <c r="AT4587">
        <v>0</v>
      </c>
    </row>
    <row r="4588" spans="44:46">
      <c r="AR4588">
        <v>0</v>
      </c>
      <c r="AS4588">
        <v>0</v>
      </c>
      <c r="AT4588">
        <v>0</v>
      </c>
    </row>
    <row r="4589" spans="44:46">
      <c r="AR4589">
        <v>0</v>
      </c>
      <c r="AS4589">
        <v>0</v>
      </c>
      <c r="AT4589">
        <v>0</v>
      </c>
    </row>
    <row r="4590" spans="44:46">
      <c r="AR4590">
        <v>0</v>
      </c>
      <c r="AS4590">
        <v>0</v>
      </c>
      <c r="AT4590">
        <v>0</v>
      </c>
    </row>
    <row r="4591" spans="44:46">
      <c r="AR4591">
        <v>0</v>
      </c>
      <c r="AS4591">
        <v>0</v>
      </c>
      <c r="AT4591">
        <v>0</v>
      </c>
    </row>
    <row r="4592" spans="44:46">
      <c r="AR4592">
        <v>0</v>
      </c>
      <c r="AS4592">
        <v>0</v>
      </c>
      <c r="AT4592">
        <v>0</v>
      </c>
    </row>
    <row r="4593" spans="44:46">
      <c r="AR4593">
        <v>0</v>
      </c>
      <c r="AS4593">
        <v>0</v>
      </c>
      <c r="AT4593">
        <v>0</v>
      </c>
    </row>
    <row r="4594" spans="44:46">
      <c r="AR4594">
        <v>0</v>
      </c>
      <c r="AS4594">
        <v>0</v>
      </c>
      <c r="AT4594">
        <v>0</v>
      </c>
    </row>
    <row r="4595" spans="44:46">
      <c r="AR4595">
        <v>0</v>
      </c>
      <c r="AS4595">
        <v>0</v>
      </c>
      <c r="AT4595">
        <v>0</v>
      </c>
    </row>
    <row r="4596" spans="44:46">
      <c r="AR4596">
        <v>0</v>
      </c>
      <c r="AS4596">
        <v>0</v>
      </c>
      <c r="AT4596">
        <v>0</v>
      </c>
    </row>
    <row r="4597" spans="44:46">
      <c r="AR4597">
        <v>0</v>
      </c>
      <c r="AS4597">
        <v>0</v>
      </c>
      <c r="AT4597">
        <v>0</v>
      </c>
    </row>
    <row r="4598" spans="44:46">
      <c r="AR4598">
        <v>0</v>
      </c>
      <c r="AS4598">
        <v>0</v>
      </c>
      <c r="AT4598">
        <v>0</v>
      </c>
    </row>
    <row r="4599" spans="44:46">
      <c r="AR4599">
        <v>0</v>
      </c>
      <c r="AS4599">
        <v>0</v>
      </c>
      <c r="AT4599">
        <v>0</v>
      </c>
    </row>
    <row r="4600" spans="44:46">
      <c r="AR4600">
        <v>0</v>
      </c>
      <c r="AS4600">
        <v>0</v>
      </c>
      <c r="AT4600">
        <v>0</v>
      </c>
    </row>
    <row r="4601" spans="44:46">
      <c r="AR4601">
        <v>0</v>
      </c>
      <c r="AS4601">
        <v>0</v>
      </c>
      <c r="AT4601">
        <v>0</v>
      </c>
    </row>
    <row r="4602" spans="44:46">
      <c r="AR4602">
        <v>0</v>
      </c>
      <c r="AS4602">
        <v>0</v>
      </c>
      <c r="AT4602">
        <v>0</v>
      </c>
    </row>
    <row r="4603" spans="44:46">
      <c r="AR4603">
        <v>0</v>
      </c>
      <c r="AS4603">
        <v>0</v>
      </c>
      <c r="AT4603">
        <v>0</v>
      </c>
    </row>
    <row r="4604" spans="44:46">
      <c r="AR4604">
        <v>0</v>
      </c>
      <c r="AS4604">
        <v>0</v>
      </c>
      <c r="AT4604">
        <v>0</v>
      </c>
    </row>
    <row r="4605" spans="44:46">
      <c r="AR4605">
        <v>0</v>
      </c>
      <c r="AS4605">
        <v>0</v>
      </c>
      <c r="AT4605">
        <v>0</v>
      </c>
    </row>
    <row r="4606" spans="44:46">
      <c r="AR4606">
        <v>0</v>
      </c>
      <c r="AS4606">
        <v>0</v>
      </c>
      <c r="AT4606">
        <v>0</v>
      </c>
    </row>
    <row r="4607" spans="44:46">
      <c r="AR4607">
        <v>0</v>
      </c>
      <c r="AS4607">
        <v>0</v>
      </c>
      <c r="AT4607">
        <v>0</v>
      </c>
    </row>
    <row r="4608" spans="44:46">
      <c r="AR4608">
        <v>0</v>
      </c>
      <c r="AS4608">
        <v>0</v>
      </c>
      <c r="AT4608">
        <v>0</v>
      </c>
    </row>
    <row r="4609" spans="44:46">
      <c r="AR4609">
        <v>0</v>
      </c>
      <c r="AS4609">
        <v>0</v>
      </c>
      <c r="AT4609">
        <v>0</v>
      </c>
    </row>
    <row r="4610" spans="44:46">
      <c r="AR4610">
        <v>0</v>
      </c>
      <c r="AS4610">
        <v>0</v>
      </c>
      <c r="AT4610">
        <v>0</v>
      </c>
    </row>
    <row r="4611" spans="44:46">
      <c r="AR4611">
        <v>0</v>
      </c>
      <c r="AS4611">
        <v>0</v>
      </c>
      <c r="AT4611">
        <v>0</v>
      </c>
    </row>
    <row r="4612" spans="44:46">
      <c r="AR4612">
        <v>0</v>
      </c>
      <c r="AS4612">
        <v>0</v>
      </c>
      <c r="AT4612">
        <v>0</v>
      </c>
    </row>
    <row r="4613" spans="44:46">
      <c r="AR4613">
        <v>0</v>
      </c>
      <c r="AS4613">
        <v>0</v>
      </c>
      <c r="AT4613">
        <v>0</v>
      </c>
    </row>
    <row r="4614" spans="44:46">
      <c r="AR4614">
        <v>0</v>
      </c>
      <c r="AS4614">
        <v>0</v>
      </c>
      <c r="AT4614">
        <v>0</v>
      </c>
    </row>
    <row r="4615" spans="44:46">
      <c r="AR4615">
        <v>0</v>
      </c>
      <c r="AS4615">
        <v>0</v>
      </c>
      <c r="AT4615">
        <v>0</v>
      </c>
    </row>
    <row r="4616" spans="44:46">
      <c r="AR4616">
        <v>0</v>
      </c>
      <c r="AS4616">
        <v>0</v>
      </c>
      <c r="AT4616">
        <v>0</v>
      </c>
    </row>
    <row r="4617" spans="44:46">
      <c r="AR4617">
        <v>0</v>
      </c>
      <c r="AS4617">
        <v>0</v>
      </c>
      <c r="AT4617">
        <v>0</v>
      </c>
    </row>
    <row r="4618" spans="44:46">
      <c r="AR4618">
        <v>0</v>
      </c>
      <c r="AS4618">
        <v>0</v>
      </c>
      <c r="AT4618">
        <v>0</v>
      </c>
    </row>
    <row r="4619" spans="44:46">
      <c r="AR4619">
        <v>0</v>
      </c>
      <c r="AS4619">
        <v>0</v>
      </c>
      <c r="AT4619">
        <v>0</v>
      </c>
    </row>
    <row r="4620" spans="44:46">
      <c r="AR4620">
        <v>0</v>
      </c>
      <c r="AS4620">
        <v>0</v>
      </c>
      <c r="AT4620">
        <v>0</v>
      </c>
    </row>
    <row r="4621" spans="44:46">
      <c r="AR4621">
        <v>0</v>
      </c>
      <c r="AS4621">
        <v>0</v>
      </c>
      <c r="AT4621">
        <v>0</v>
      </c>
    </row>
    <row r="4622" spans="44:46">
      <c r="AR4622">
        <v>0</v>
      </c>
      <c r="AS4622">
        <v>0</v>
      </c>
      <c r="AT4622">
        <v>0</v>
      </c>
    </row>
    <row r="4623" spans="44:46">
      <c r="AR4623">
        <v>0</v>
      </c>
      <c r="AS4623">
        <v>0</v>
      </c>
      <c r="AT4623">
        <v>0</v>
      </c>
    </row>
    <row r="4624" spans="44:46">
      <c r="AR4624">
        <v>0</v>
      </c>
      <c r="AS4624">
        <v>0</v>
      </c>
      <c r="AT4624">
        <v>0</v>
      </c>
    </row>
    <row r="4625" spans="44:46">
      <c r="AR4625">
        <v>0</v>
      </c>
      <c r="AS4625">
        <v>0</v>
      </c>
      <c r="AT4625">
        <v>0</v>
      </c>
    </row>
    <row r="4626" spans="44:46">
      <c r="AR4626">
        <v>0</v>
      </c>
      <c r="AS4626">
        <v>0</v>
      </c>
      <c r="AT4626">
        <v>0</v>
      </c>
    </row>
    <row r="4627" spans="44:46">
      <c r="AR4627">
        <v>0</v>
      </c>
      <c r="AS4627">
        <v>0</v>
      </c>
      <c r="AT4627">
        <v>0</v>
      </c>
    </row>
    <row r="4628" spans="44:46">
      <c r="AR4628">
        <v>0</v>
      </c>
      <c r="AS4628">
        <v>0</v>
      </c>
      <c r="AT4628">
        <v>0</v>
      </c>
    </row>
    <row r="4629" spans="44:46">
      <c r="AR4629">
        <v>0</v>
      </c>
      <c r="AS4629">
        <v>0</v>
      </c>
      <c r="AT4629">
        <v>0</v>
      </c>
    </row>
    <row r="4630" spans="44:46">
      <c r="AR4630">
        <v>0</v>
      </c>
      <c r="AS4630">
        <v>0</v>
      </c>
      <c r="AT4630">
        <v>0</v>
      </c>
    </row>
    <row r="4631" spans="44:46">
      <c r="AR4631">
        <v>0</v>
      </c>
      <c r="AS4631">
        <v>0</v>
      </c>
      <c r="AT4631">
        <v>0</v>
      </c>
    </row>
    <row r="4632" spans="44:46">
      <c r="AR4632">
        <v>0</v>
      </c>
      <c r="AS4632">
        <v>0</v>
      </c>
      <c r="AT4632">
        <v>0</v>
      </c>
    </row>
    <row r="4633" spans="44:46">
      <c r="AR4633">
        <v>0</v>
      </c>
      <c r="AS4633">
        <v>0</v>
      </c>
      <c r="AT4633">
        <v>0</v>
      </c>
    </row>
    <row r="4634" spans="44:46">
      <c r="AR4634">
        <v>0</v>
      </c>
      <c r="AS4634">
        <v>0</v>
      </c>
      <c r="AT4634">
        <v>0</v>
      </c>
    </row>
    <row r="4635" spans="44:46">
      <c r="AR4635">
        <v>0</v>
      </c>
      <c r="AS4635">
        <v>0</v>
      </c>
      <c r="AT4635">
        <v>0</v>
      </c>
    </row>
    <row r="4636" spans="44:46">
      <c r="AR4636">
        <v>0</v>
      </c>
      <c r="AS4636">
        <v>0</v>
      </c>
      <c r="AT4636">
        <v>0</v>
      </c>
    </row>
    <row r="4637" spans="44:46">
      <c r="AR4637">
        <v>0</v>
      </c>
      <c r="AS4637">
        <v>0</v>
      </c>
      <c r="AT4637">
        <v>0</v>
      </c>
    </row>
    <row r="4638" spans="44:46">
      <c r="AR4638">
        <v>0</v>
      </c>
      <c r="AS4638">
        <v>0</v>
      </c>
      <c r="AT4638">
        <v>0</v>
      </c>
    </row>
    <row r="4639" spans="44:46">
      <c r="AR4639">
        <v>0</v>
      </c>
      <c r="AS4639">
        <v>0</v>
      </c>
      <c r="AT4639">
        <v>0</v>
      </c>
    </row>
    <row r="4640" spans="44:46">
      <c r="AR4640">
        <v>0</v>
      </c>
      <c r="AS4640">
        <v>0</v>
      </c>
      <c r="AT4640">
        <v>0</v>
      </c>
    </row>
    <row r="4641" spans="44:46">
      <c r="AR4641">
        <v>0</v>
      </c>
      <c r="AS4641">
        <v>0</v>
      </c>
      <c r="AT4641">
        <v>0</v>
      </c>
    </row>
    <row r="4642" spans="44:46">
      <c r="AR4642">
        <v>0</v>
      </c>
      <c r="AS4642">
        <v>0</v>
      </c>
      <c r="AT4642">
        <v>0</v>
      </c>
    </row>
    <row r="4643" spans="44:46">
      <c r="AR4643">
        <v>0</v>
      </c>
      <c r="AS4643">
        <v>0</v>
      </c>
      <c r="AT4643">
        <v>0</v>
      </c>
    </row>
    <row r="4644" spans="44:46">
      <c r="AR4644">
        <v>0</v>
      </c>
      <c r="AS4644">
        <v>0</v>
      </c>
      <c r="AT4644">
        <v>0</v>
      </c>
    </row>
    <row r="4645" spans="44:46">
      <c r="AR4645">
        <v>0</v>
      </c>
      <c r="AS4645">
        <v>0</v>
      </c>
      <c r="AT4645">
        <v>0</v>
      </c>
    </row>
    <row r="4646" spans="44:46">
      <c r="AR4646">
        <v>0</v>
      </c>
      <c r="AS4646">
        <v>0</v>
      </c>
      <c r="AT4646">
        <v>0</v>
      </c>
    </row>
    <row r="4647" spans="44:46">
      <c r="AR4647">
        <v>0</v>
      </c>
      <c r="AS4647">
        <v>0</v>
      </c>
      <c r="AT4647">
        <v>0</v>
      </c>
    </row>
    <row r="4648" spans="44:46">
      <c r="AR4648">
        <v>0</v>
      </c>
      <c r="AS4648">
        <v>0</v>
      </c>
      <c r="AT4648">
        <v>0</v>
      </c>
    </row>
    <row r="4649" spans="44:46">
      <c r="AR4649">
        <v>0</v>
      </c>
      <c r="AS4649">
        <v>0</v>
      </c>
      <c r="AT4649">
        <v>0</v>
      </c>
    </row>
    <row r="4650" spans="44:46">
      <c r="AR4650">
        <v>0</v>
      </c>
      <c r="AS4650">
        <v>0</v>
      </c>
      <c r="AT4650">
        <v>0</v>
      </c>
    </row>
    <row r="4651" spans="44:46">
      <c r="AR4651">
        <v>0</v>
      </c>
      <c r="AS4651">
        <v>0</v>
      </c>
      <c r="AT4651">
        <v>0</v>
      </c>
    </row>
    <row r="4652" spans="44:46">
      <c r="AR4652">
        <v>0</v>
      </c>
      <c r="AS4652">
        <v>0</v>
      </c>
      <c r="AT4652">
        <v>0</v>
      </c>
    </row>
    <row r="4653" spans="44:46">
      <c r="AR4653">
        <v>0</v>
      </c>
      <c r="AS4653">
        <v>0</v>
      </c>
      <c r="AT4653">
        <v>0</v>
      </c>
    </row>
    <row r="4654" spans="44:46">
      <c r="AR4654">
        <v>0</v>
      </c>
      <c r="AS4654">
        <v>0</v>
      </c>
      <c r="AT4654">
        <v>0</v>
      </c>
    </row>
    <row r="4655" spans="44:46">
      <c r="AR4655">
        <v>0</v>
      </c>
      <c r="AS4655">
        <v>0</v>
      </c>
      <c r="AT4655">
        <v>0</v>
      </c>
    </row>
    <row r="4656" spans="44:46">
      <c r="AR4656">
        <v>0</v>
      </c>
      <c r="AS4656">
        <v>0</v>
      </c>
      <c r="AT4656">
        <v>0</v>
      </c>
    </row>
    <row r="4657" spans="44:46">
      <c r="AR4657">
        <v>0</v>
      </c>
      <c r="AS4657">
        <v>0</v>
      </c>
      <c r="AT4657">
        <v>0</v>
      </c>
    </row>
    <row r="4658" spans="44:46">
      <c r="AR4658">
        <v>0</v>
      </c>
      <c r="AS4658">
        <v>0</v>
      </c>
      <c r="AT4658">
        <v>0</v>
      </c>
    </row>
    <row r="4659" spans="44:46">
      <c r="AR4659">
        <v>0</v>
      </c>
      <c r="AS4659">
        <v>0</v>
      </c>
      <c r="AT4659">
        <v>0</v>
      </c>
    </row>
    <row r="4660" spans="44:46">
      <c r="AR4660">
        <v>0</v>
      </c>
      <c r="AS4660">
        <v>0</v>
      </c>
      <c r="AT4660">
        <v>0</v>
      </c>
    </row>
    <row r="4661" spans="44:46">
      <c r="AR4661">
        <v>0</v>
      </c>
      <c r="AS4661">
        <v>0</v>
      </c>
      <c r="AT4661">
        <v>0</v>
      </c>
    </row>
    <row r="4662" spans="44:46">
      <c r="AR4662">
        <v>0</v>
      </c>
      <c r="AS4662">
        <v>0</v>
      </c>
      <c r="AT4662">
        <v>0</v>
      </c>
    </row>
    <row r="4663" spans="44:46">
      <c r="AR4663">
        <v>0</v>
      </c>
      <c r="AS4663">
        <v>0</v>
      </c>
      <c r="AT4663">
        <v>0</v>
      </c>
    </row>
    <row r="4664" spans="44:46">
      <c r="AR4664">
        <v>0</v>
      </c>
      <c r="AS4664">
        <v>0</v>
      </c>
      <c r="AT4664">
        <v>0</v>
      </c>
    </row>
    <row r="4665" spans="44:46">
      <c r="AR4665">
        <v>0</v>
      </c>
      <c r="AS4665">
        <v>0</v>
      </c>
      <c r="AT4665">
        <v>0</v>
      </c>
    </row>
    <row r="4666" spans="44:46">
      <c r="AR4666">
        <v>0</v>
      </c>
      <c r="AS4666">
        <v>0</v>
      </c>
      <c r="AT4666">
        <v>0</v>
      </c>
    </row>
    <row r="4667" spans="44:46">
      <c r="AR4667">
        <v>0</v>
      </c>
      <c r="AS4667">
        <v>0</v>
      </c>
      <c r="AT4667">
        <v>0</v>
      </c>
    </row>
    <row r="4668" spans="44:46">
      <c r="AR4668">
        <v>0</v>
      </c>
      <c r="AS4668">
        <v>0</v>
      </c>
      <c r="AT4668">
        <v>0</v>
      </c>
    </row>
    <row r="4669" spans="44:46">
      <c r="AR4669">
        <v>0</v>
      </c>
      <c r="AS4669">
        <v>0</v>
      </c>
      <c r="AT4669">
        <v>0</v>
      </c>
    </row>
    <row r="4670" spans="44:46">
      <c r="AR4670">
        <v>0</v>
      </c>
      <c r="AS4670">
        <v>0</v>
      </c>
      <c r="AT4670">
        <v>0</v>
      </c>
    </row>
    <row r="4671" spans="44:46">
      <c r="AR4671">
        <v>0</v>
      </c>
      <c r="AS4671">
        <v>0</v>
      </c>
      <c r="AT4671">
        <v>0</v>
      </c>
    </row>
    <row r="4672" spans="44:46">
      <c r="AR4672">
        <v>0</v>
      </c>
      <c r="AS4672">
        <v>0</v>
      </c>
      <c r="AT4672">
        <v>0</v>
      </c>
    </row>
    <row r="4673" spans="44:46">
      <c r="AR4673">
        <v>0</v>
      </c>
      <c r="AS4673">
        <v>0</v>
      </c>
      <c r="AT4673">
        <v>0</v>
      </c>
    </row>
    <row r="4674" spans="44:46">
      <c r="AR4674">
        <v>0</v>
      </c>
      <c r="AS4674">
        <v>0</v>
      </c>
      <c r="AT4674">
        <v>0</v>
      </c>
    </row>
    <row r="4675" spans="44:46">
      <c r="AR4675">
        <v>0</v>
      </c>
      <c r="AS4675">
        <v>0</v>
      </c>
      <c r="AT4675">
        <v>0</v>
      </c>
    </row>
    <row r="4676" spans="44:46">
      <c r="AR4676">
        <v>0</v>
      </c>
      <c r="AS4676">
        <v>0</v>
      </c>
      <c r="AT4676">
        <v>0</v>
      </c>
    </row>
    <row r="4677" spans="44:46">
      <c r="AR4677">
        <v>0</v>
      </c>
      <c r="AS4677">
        <v>0</v>
      </c>
      <c r="AT4677">
        <v>0</v>
      </c>
    </row>
    <row r="4678" spans="44:46">
      <c r="AR4678">
        <v>0</v>
      </c>
      <c r="AS4678">
        <v>0</v>
      </c>
      <c r="AT4678">
        <v>0</v>
      </c>
    </row>
    <row r="4679" spans="44:46">
      <c r="AR4679">
        <v>0</v>
      </c>
      <c r="AS4679">
        <v>0</v>
      </c>
      <c r="AT4679">
        <v>0</v>
      </c>
    </row>
    <row r="4680" spans="44:46">
      <c r="AR4680">
        <v>0</v>
      </c>
      <c r="AS4680">
        <v>0</v>
      </c>
      <c r="AT4680">
        <v>0</v>
      </c>
    </row>
    <row r="4681" spans="44:46">
      <c r="AR4681">
        <v>0</v>
      </c>
      <c r="AS4681">
        <v>0</v>
      </c>
      <c r="AT4681">
        <v>0</v>
      </c>
    </row>
    <row r="4682" spans="44:46">
      <c r="AR4682">
        <v>0</v>
      </c>
      <c r="AS4682">
        <v>0</v>
      </c>
      <c r="AT4682">
        <v>0</v>
      </c>
    </row>
    <row r="4683" spans="44:46">
      <c r="AR4683">
        <v>0</v>
      </c>
      <c r="AS4683">
        <v>0</v>
      </c>
      <c r="AT4683">
        <v>0</v>
      </c>
    </row>
    <row r="4684" spans="44:46">
      <c r="AR4684">
        <v>0</v>
      </c>
      <c r="AS4684">
        <v>0</v>
      </c>
      <c r="AT4684">
        <v>0</v>
      </c>
    </row>
    <row r="4685" spans="44:46">
      <c r="AR4685">
        <v>0</v>
      </c>
      <c r="AS4685">
        <v>0</v>
      </c>
      <c r="AT4685">
        <v>0</v>
      </c>
    </row>
    <row r="4686" spans="44:46">
      <c r="AR4686">
        <v>0</v>
      </c>
      <c r="AS4686">
        <v>0</v>
      </c>
      <c r="AT4686">
        <v>0</v>
      </c>
    </row>
    <row r="4687" spans="44:46">
      <c r="AR4687">
        <v>0</v>
      </c>
      <c r="AS4687">
        <v>0</v>
      </c>
      <c r="AT4687">
        <v>0</v>
      </c>
    </row>
    <row r="4688" spans="44:46">
      <c r="AR4688">
        <v>0</v>
      </c>
      <c r="AS4688">
        <v>0</v>
      </c>
      <c r="AT4688">
        <v>0</v>
      </c>
    </row>
    <row r="4689" spans="44:46">
      <c r="AR4689">
        <v>0</v>
      </c>
      <c r="AS4689">
        <v>0</v>
      </c>
      <c r="AT4689">
        <v>0</v>
      </c>
    </row>
    <row r="4690" spans="44:46">
      <c r="AR4690">
        <v>0</v>
      </c>
      <c r="AS4690">
        <v>0</v>
      </c>
      <c r="AT4690">
        <v>0</v>
      </c>
    </row>
    <row r="4691" spans="44:46">
      <c r="AR4691">
        <v>0</v>
      </c>
      <c r="AS4691">
        <v>0</v>
      </c>
      <c r="AT4691">
        <v>0</v>
      </c>
    </row>
    <row r="4692" spans="44:46">
      <c r="AR4692">
        <v>0</v>
      </c>
      <c r="AS4692">
        <v>0</v>
      </c>
      <c r="AT4692">
        <v>0</v>
      </c>
    </row>
    <row r="4693" spans="44:46">
      <c r="AR4693">
        <v>0</v>
      </c>
      <c r="AS4693">
        <v>0</v>
      </c>
      <c r="AT4693">
        <v>0</v>
      </c>
    </row>
    <row r="4694" spans="44:46">
      <c r="AR4694">
        <v>0</v>
      </c>
      <c r="AS4694">
        <v>0</v>
      </c>
      <c r="AT4694">
        <v>0</v>
      </c>
    </row>
    <row r="4695" spans="44:46">
      <c r="AR4695">
        <v>0</v>
      </c>
      <c r="AS4695">
        <v>0</v>
      </c>
      <c r="AT4695">
        <v>0</v>
      </c>
    </row>
    <row r="4696" spans="44:46">
      <c r="AR4696">
        <v>0</v>
      </c>
      <c r="AS4696">
        <v>0</v>
      </c>
      <c r="AT4696">
        <v>0</v>
      </c>
    </row>
    <row r="4697" spans="44:46">
      <c r="AR4697">
        <v>0</v>
      </c>
      <c r="AS4697">
        <v>0</v>
      </c>
      <c r="AT4697">
        <v>0</v>
      </c>
    </row>
    <row r="4698" spans="44:46">
      <c r="AR4698">
        <v>0</v>
      </c>
      <c r="AS4698">
        <v>0</v>
      </c>
      <c r="AT4698">
        <v>0</v>
      </c>
    </row>
    <row r="4699" spans="44:46">
      <c r="AR4699">
        <v>0</v>
      </c>
      <c r="AS4699">
        <v>0</v>
      </c>
      <c r="AT4699">
        <v>0</v>
      </c>
    </row>
    <row r="4700" spans="44:46">
      <c r="AR4700">
        <v>0</v>
      </c>
      <c r="AS4700">
        <v>0</v>
      </c>
      <c r="AT4700">
        <v>0</v>
      </c>
    </row>
    <row r="4701" spans="44:46">
      <c r="AR4701">
        <v>0</v>
      </c>
      <c r="AS4701">
        <v>0</v>
      </c>
      <c r="AT4701">
        <v>0</v>
      </c>
    </row>
    <row r="4702" spans="44:46">
      <c r="AR4702">
        <v>0</v>
      </c>
      <c r="AS4702">
        <v>0</v>
      </c>
      <c r="AT4702">
        <v>0</v>
      </c>
    </row>
    <row r="4703" spans="44:46">
      <c r="AR4703">
        <v>0</v>
      </c>
      <c r="AS4703">
        <v>0</v>
      </c>
      <c r="AT4703">
        <v>0</v>
      </c>
    </row>
    <row r="4704" spans="44:46">
      <c r="AR4704">
        <v>0</v>
      </c>
      <c r="AS4704">
        <v>0</v>
      </c>
      <c r="AT4704">
        <v>0</v>
      </c>
    </row>
    <row r="4705" spans="44:46">
      <c r="AR4705">
        <v>0</v>
      </c>
      <c r="AS4705">
        <v>0</v>
      </c>
      <c r="AT4705">
        <v>0</v>
      </c>
    </row>
    <row r="4706" spans="44:46">
      <c r="AR4706">
        <v>0</v>
      </c>
      <c r="AS4706">
        <v>0</v>
      </c>
      <c r="AT4706">
        <v>0</v>
      </c>
    </row>
    <row r="4707" spans="44:46">
      <c r="AR4707">
        <v>0</v>
      </c>
      <c r="AS4707">
        <v>0</v>
      </c>
      <c r="AT4707">
        <v>0</v>
      </c>
    </row>
    <row r="4708" spans="44:46">
      <c r="AR4708">
        <v>0</v>
      </c>
      <c r="AS4708">
        <v>0</v>
      </c>
      <c r="AT4708">
        <v>0</v>
      </c>
    </row>
    <row r="4709" spans="44:46">
      <c r="AR4709">
        <v>0</v>
      </c>
      <c r="AS4709">
        <v>0</v>
      </c>
      <c r="AT4709">
        <v>0</v>
      </c>
    </row>
    <row r="4710" spans="44:46">
      <c r="AR4710">
        <v>0</v>
      </c>
      <c r="AS4710">
        <v>0</v>
      </c>
      <c r="AT4710">
        <v>0</v>
      </c>
    </row>
    <row r="4711" spans="44:46">
      <c r="AR4711">
        <v>0</v>
      </c>
      <c r="AS4711">
        <v>0</v>
      </c>
      <c r="AT4711">
        <v>0</v>
      </c>
    </row>
    <row r="4712" spans="44:46">
      <c r="AR4712">
        <v>0</v>
      </c>
      <c r="AS4712">
        <v>0</v>
      </c>
      <c r="AT4712">
        <v>0</v>
      </c>
    </row>
    <row r="4713" spans="44:46">
      <c r="AR4713">
        <v>0</v>
      </c>
      <c r="AS4713">
        <v>0</v>
      </c>
      <c r="AT4713">
        <v>0</v>
      </c>
    </row>
    <row r="4714" spans="44:46">
      <c r="AR4714">
        <v>0</v>
      </c>
      <c r="AS4714">
        <v>0</v>
      </c>
      <c r="AT4714">
        <v>0</v>
      </c>
    </row>
    <row r="4715" spans="44:46">
      <c r="AR4715">
        <v>0</v>
      </c>
      <c r="AS4715">
        <v>0</v>
      </c>
      <c r="AT4715">
        <v>0</v>
      </c>
    </row>
    <row r="4716" spans="44:46">
      <c r="AR4716">
        <v>0</v>
      </c>
      <c r="AS4716">
        <v>0</v>
      </c>
      <c r="AT4716">
        <v>0</v>
      </c>
    </row>
    <row r="4717" spans="44:46">
      <c r="AR4717">
        <v>0</v>
      </c>
      <c r="AS4717">
        <v>0</v>
      </c>
      <c r="AT4717">
        <v>0</v>
      </c>
    </row>
    <row r="4718" spans="44:46">
      <c r="AR4718">
        <v>0</v>
      </c>
      <c r="AS4718">
        <v>0</v>
      </c>
      <c r="AT4718">
        <v>0</v>
      </c>
    </row>
    <row r="4719" spans="44:46">
      <c r="AR4719">
        <v>0</v>
      </c>
      <c r="AS4719">
        <v>0</v>
      </c>
      <c r="AT4719">
        <v>0</v>
      </c>
    </row>
    <row r="4720" spans="44:46">
      <c r="AR4720">
        <v>0</v>
      </c>
      <c r="AS4720">
        <v>0</v>
      </c>
      <c r="AT4720">
        <v>0</v>
      </c>
    </row>
    <row r="4721" spans="44:46">
      <c r="AR4721">
        <v>0</v>
      </c>
      <c r="AS4721">
        <v>0</v>
      </c>
      <c r="AT4721">
        <v>0</v>
      </c>
    </row>
    <row r="4722" spans="44:46">
      <c r="AR4722">
        <v>0</v>
      </c>
      <c r="AS4722">
        <v>0</v>
      </c>
      <c r="AT4722">
        <v>0</v>
      </c>
    </row>
    <row r="4723" spans="44:46">
      <c r="AR4723">
        <v>0</v>
      </c>
      <c r="AS4723">
        <v>0</v>
      </c>
      <c r="AT4723">
        <v>0</v>
      </c>
    </row>
    <row r="4724" spans="44:46">
      <c r="AR4724">
        <v>0</v>
      </c>
      <c r="AS4724">
        <v>0</v>
      </c>
      <c r="AT4724">
        <v>0</v>
      </c>
    </row>
    <row r="4725" spans="44:46">
      <c r="AR4725">
        <v>0</v>
      </c>
      <c r="AS4725">
        <v>0</v>
      </c>
      <c r="AT4725">
        <v>0</v>
      </c>
    </row>
    <row r="4726" spans="44:46">
      <c r="AR4726">
        <v>0</v>
      </c>
      <c r="AS4726">
        <v>0</v>
      </c>
      <c r="AT4726">
        <v>0</v>
      </c>
    </row>
    <row r="4727" spans="44:46">
      <c r="AR4727">
        <v>0</v>
      </c>
      <c r="AS4727">
        <v>0</v>
      </c>
      <c r="AT4727">
        <v>0</v>
      </c>
    </row>
    <row r="4728" spans="44:46">
      <c r="AR4728">
        <v>0</v>
      </c>
      <c r="AS4728">
        <v>0</v>
      </c>
      <c r="AT4728">
        <v>0</v>
      </c>
    </row>
    <row r="4729" spans="44:46">
      <c r="AR4729">
        <v>0</v>
      </c>
      <c r="AS4729">
        <v>0</v>
      </c>
      <c r="AT4729">
        <v>0</v>
      </c>
    </row>
    <row r="4730" spans="44:46">
      <c r="AR4730">
        <v>0</v>
      </c>
      <c r="AS4730">
        <v>0</v>
      </c>
      <c r="AT4730">
        <v>0</v>
      </c>
    </row>
    <row r="4731" spans="44:46">
      <c r="AR4731">
        <v>0</v>
      </c>
      <c r="AS4731">
        <v>0</v>
      </c>
      <c r="AT4731">
        <v>0</v>
      </c>
    </row>
    <row r="4732" spans="44:46">
      <c r="AR4732">
        <v>0</v>
      </c>
      <c r="AS4732">
        <v>0</v>
      </c>
      <c r="AT4732">
        <v>0</v>
      </c>
    </row>
    <row r="4733" spans="44:46">
      <c r="AR4733">
        <v>0</v>
      </c>
      <c r="AS4733">
        <v>0</v>
      </c>
      <c r="AT4733">
        <v>0</v>
      </c>
    </row>
    <row r="4734" spans="44:46">
      <c r="AR4734">
        <v>0</v>
      </c>
      <c r="AS4734">
        <v>0</v>
      </c>
      <c r="AT4734">
        <v>0</v>
      </c>
    </row>
    <row r="4735" spans="44:46">
      <c r="AR4735">
        <v>0</v>
      </c>
      <c r="AS4735">
        <v>0</v>
      </c>
      <c r="AT4735">
        <v>0</v>
      </c>
    </row>
    <row r="4736" spans="44:46">
      <c r="AR4736">
        <v>0</v>
      </c>
      <c r="AS4736">
        <v>0</v>
      </c>
      <c r="AT4736">
        <v>0</v>
      </c>
    </row>
    <row r="4737" spans="44:46">
      <c r="AR4737">
        <v>0</v>
      </c>
      <c r="AS4737">
        <v>0</v>
      </c>
      <c r="AT4737">
        <v>0</v>
      </c>
    </row>
    <row r="4738" spans="44:46">
      <c r="AR4738">
        <v>0</v>
      </c>
      <c r="AS4738">
        <v>0</v>
      </c>
      <c r="AT4738">
        <v>0</v>
      </c>
    </row>
    <row r="4739" spans="44:46">
      <c r="AR4739">
        <v>0</v>
      </c>
      <c r="AS4739">
        <v>0</v>
      </c>
      <c r="AT4739">
        <v>0</v>
      </c>
    </row>
    <row r="4740" spans="44:46">
      <c r="AR4740">
        <v>0</v>
      </c>
      <c r="AS4740">
        <v>0</v>
      </c>
      <c r="AT4740">
        <v>0</v>
      </c>
    </row>
    <row r="4741" spans="44:46">
      <c r="AR4741">
        <v>0</v>
      </c>
      <c r="AS4741">
        <v>0</v>
      </c>
      <c r="AT4741">
        <v>0</v>
      </c>
    </row>
    <row r="4742" spans="44:46">
      <c r="AR4742">
        <v>0</v>
      </c>
      <c r="AS4742">
        <v>0</v>
      </c>
      <c r="AT4742">
        <v>0</v>
      </c>
    </row>
    <row r="4743" spans="44:46">
      <c r="AR4743">
        <v>0</v>
      </c>
      <c r="AS4743">
        <v>0</v>
      </c>
      <c r="AT4743">
        <v>0</v>
      </c>
    </row>
    <row r="4744" spans="44:46">
      <c r="AR4744">
        <v>0</v>
      </c>
      <c r="AS4744">
        <v>0</v>
      </c>
      <c r="AT4744">
        <v>0</v>
      </c>
    </row>
    <row r="4745" spans="44:46">
      <c r="AR4745">
        <v>0</v>
      </c>
      <c r="AS4745">
        <v>0</v>
      </c>
      <c r="AT4745">
        <v>0</v>
      </c>
    </row>
    <row r="4746" spans="44:46">
      <c r="AR4746">
        <v>0</v>
      </c>
      <c r="AS4746">
        <v>0</v>
      </c>
      <c r="AT4746">
        <v>0</v>
      </c>
    </row>
    <row r="4747" spans="44:46">
      <c r="AR4747">
        <v>0</v>
      </c>
      <c r="AS4747">
        <v>0</v>
      </c>
      <c r="AT4747">
        <v>0</v>
      </c>
    </row>
    <row r="4748" spans="44:46">
      <c r="AR4748">
        <v>0</v>
      </c>
      <c r="AS4748">
        <v>0</v>
      </c>
      <c r="AT4748">
        <v>0</v>
      </c>
    </row>
    <row r="4749" spans="44:46">
      <c r="AR4749">
        <v>0</v>
      </c>
      <c r="AS4749">
        <v>0</v>
      </c>
      <c r="AT4749">
        <v>0</v>
      </c>
    </row>
    <row r="4750" spans="44:46">
      <c r="AR4750">
        <v>0</v>
      </c>
      <c r="AS4750">
        <v>0</v>
      </c>
      <c r="AT4750">
        <v>0</v>
      </c>
    </row>
    <row r="4751" spans="44:46">
      <c r="AR4751">
        <v>0</v>
      </c>
      <c r="AS4751">
        <v>0</v>
      </c>
      <c r="AT4751">
        <v>0</v>
      </c>
    </row>
    <row r="4752" spans="44:46">
      <c r="AR4752">
        <v>0</v>
      </c>
      <c r="AS4752">
        <v>0</v>
      </c>
      <c r="AT4752">
        <v>0</v>
      </c>
    </row>
    <row r="4753" spans="44:46">
      <c r="AR4753">
        <v>0</v>
      </c>
      <c r="AS4753">
        <v>0</v>
      </c>
      <c r="AT4753">
        <v>0</v>
      </c>
    </row>
    <row r="4754" spans="44:46">
      <c r="AR4754">
        <v>0</v>
      </c>
      <c r="AS4754">
        <v>0</v>
      </c>
      <c r="AT4754">
        <v>0</v>
      </c>
    </row>
    <row r="4755" spans="44:46">
      <c r="AR4755">
        <v>0</v>
      </c>
      <c r="AS4755">
        <v>0</v>
      </c>
      <c r="AT4755">
        <v>0</v>
      </c>
    </row>
    <row r="4756" spans="44:46">
      <c r="AR4756">
        <v>0</v>
      </c>
      <c r="AS4756">
        <v>0</v>
      </c>
      <c r="AT4756">
        <v>0</v>
      </c>
    </row>
    <row r="4757" spans="44:46">
      <c r="AR4757">
        <v>0</v>
      </c>
      <c r="AS4757">
        <v>0</v>
      </c>
      <c r="AT4757">
        <v>0</v>
      </c>
    </row>
    <row r="4758" spans="44:46">
      <c r="AR4758">
        <v>0</v>
      </c>
      <c r="AS4758">
        <v>0</v>
      </c>
      <c r="AT4758">
        <v>0</v>
      </c>
    </row>
    <row r="4759" spans="44:46">
      <c r="AR4759">
        <v>0</v>
      </c>
      <c r="AS4759">
        <v>0</v>
      </c>
      <c r="AT4759">
        <v>0</v>
      </c>
    </row>
    <row r="4760" spans="44:46">
      <c r="AR4760">
        <v>0</v>
      </c>
      <c r="AS4760">
        <v>0</v>
      </c>
      <c r="AT4760">
        <v>0</v>
      </c>
    </row>
    <row r="4761" spans="44:46">
      <c r="AR4761">
        <v>0</v>
      </c>
      <c r="AS4761">
        <v>0</v>
      </c>
      <c r="AT4761">
        <v>0</v>
      </c>
    </row>
    <row r="4762" spans="44:46">
      <c r="AR4762">
        <v>0</v>
      </c>
      <c r="AS4762">
        <v>0</v>
      </c>
      <c r="AT4762">
        <v>0</v>
      </c>
    </row>
    <row r="4763" spans="44:46">
      <c r="AR4763">
        <v>0</v>
      </c>
      <c r="AS4763">
        <v>0</v>
      </c>
      <c r="AT4763">
        <v>0</v>
      </c>
    </row>
    <row r="4764" spans="44:46">
      <c r="AR4764">
        <v>0</v>
      </c>
      <c r="AS4764">
        <v>0</v>
      </c>
      <c r="AT4764">
        <v>0</v>
      </c>
    </row>
    <row r="4765" spans="44:46">
      <c r="AR4765">
        <v>0</v>
      </c>
      <c r="AS4765">
        <v>0</v>
      </c>
      <c r="AT4765">
        <v>0</v>
      </c>
    </row>
    <row r="4766" spans="44:46">
      <c r="AR4766">
        <v>0</v>
      </c>
      <c r="AS4766">
        <v>0</v>
      </c>
      <c r="AT4766">
        <v>0</v>
      </c>
    </row>
    <row r="4767" spans="44:46">
      <c r="AR4767">
        <v>0</v>
      </c>
      <c r="AS4767">
        <v>0</v>
      </c>
      <c r="AT4767">
        <v>0</v>
      </c>
    </row>
    <row r="4768" spans="44:46">
      <c r="AR4768">
        <v>0</v>
      </c>
      <c r="AS4768">
        <v>0</v>
      </c>
      <c r="AT4768">
        <v>0</v>
      </c>
    </row>
    <row r="4769" spans="44:46">
      <c r="AR4769">
        <v>0</v>
      </c>
      <c r="AS4769">
        <v>0</v>
      </c>
      <c r="AT4769">
        <v>0</v>
      </c>
    </row>
    <row r="4770" spans="44:46">
      <c r="AR4770">
        <v>0</v>
      </c>
      <c r="AS4770">
        <v>0</v>
      </c>
      <c r="AT4770">
        <v>0</v>
      </c>
    </row>
    <row r="4771" spans="44:46">
      <c r="AR4771">
        <v>0</v>
      </c>
      <c r="AS4771">
        <v>0</v>
      </c>
      <c r="AT4771">
        <v>0</v>
      </c>
    </row>
    <row r="4772" spans="44:46">
      <c r="AR4772">
        <v>0</v>
      </c>
      <c r="AS4772">
        <v>0</v>
      </c>
      <c r="AT4772">
        <v>0</v>
      </c>
    </row>
    <row r="4773" spans="44:46">
      <c r="AR4773">
        <v>0</v>
      </c>
      <c r="AS4773">
        <v>0</v>
      </c>
      <c r="AT4773">
        <v>0</v>
      </c>
    </row>
    <row r="4774" spans="44:46">
      <c r="AR4774">
        <v>0</v>
      </c>
      <c r="AS4774">
        <v>0</v>
      </c>
      <c r="AT4774">
        <v>0</v>
      </c>
    </row>
    <row r="4775" spans="44:46">
      <c r="AR4775">
        <v>0</v>
      </c>
      <c r="AS4775">
        <v>0</v>
      </c>
      <c r="AT4775">
        <v>0</v>
      </c>
    </row>
    <row r="4776" spans="44:46">
      <c r="AR4776">
        <v>0</v>
      </c>
      <c r="AS4776">
        <v>0</v>
      </c>
      <c r="AT4776">
        <v>0</v>
      </c>
    </row>
    <row r="4777" spans="44:46">
      <c r="AR4777">
        <v>0</v>
      </c>
      <c r="AS4777">
        <v>0</v>
      </c>
      <c r="AT4777">
        <v>0</v>
      </c>
    </row>
    <row r="4778" spans="44:46">
      <c r="AR4778">
        <v>0</v>
      </c>
      <c r="AS4778">
        <v>0</v>
      </c>
      <c r="AT4778">
        <v>0</v>
      </c>
    </row>
    <row r="4779" spans="44:46">
      <c r="AR4779">
        <v>0</v>
      </c>
      <c r="AS4779">
        <v>0</v>
      </c>
      <c r="AT4779">
        <v>0</v>
      </c>
    </row>
    <row r="4780" spans="44:46">
      <c r="AR4780">
        <v>0</v>
      </c>
      <c r="AS4780">
        <v>0</v>
      </c>
      <c r="AT4780">
        <v>0</v>
      </c>
    </row>
    <row r="4781" spans="44:46">
      <c r="AR4781">
        <v>0</v>
      </c>
      <c r="AS4781">
        <v>0</v>
      </c>
      <c r="AT4781">
        <v>0</v>
      </c>
    </row>
    <row r="4782" spans="44:46">
      <c r="AR4782">
        <v>0</v>
      </c>
      <c r="AS4782">
        <v>0</v>
      </c>
      <c r="AT4782">
        <v>0</v>
      </c>
    </row>
    <row r="4783" spans="44:46">
      <c r="AR4783">
        <v>0</v>
      </c>
      <c r="AS4783">
        <v>0</v>
      </c>
      <c r="AT4783">
        <v>0</v>
      </c>
    </row>
    <row r="4784" spans="44:46">
      <c r="AR4784">
        <v>0</v>
      </c>
      <c r="AS4784">
        <v>0</v>
      </c>
      <c r="AT4784">
        <v>0</v>
      </c>
    </row>
    <row r="4785" spans="44:46">
      <c r="AR4785">
        <v>0</v>
      </c>
      <c r="AS4785">
        <v>0</v>
      </c>
      <c r="AT4785">
        <v>0</v>
      </c>
    </row>
    <row r="4786" spans="44:46">
      <c r="AR4786">
        <v>0</v>
      </c>
      <c r="AS4786">
        <v>0</v>
      </c>
      <c r="AT4786">
        <v>0</v>
      </c>
    </row>
    <row r="4787" spans="44:46">
      <c r="AR4787">
        <v>0</v>
      </c>
      <c r="AS4787">
        <v>0</v>
      </c>
      <c r="AT4787">
        <v>0</v>
      </c>
    </row>
    <row r="4788" spans="44:46">
      <c r="AR4788">
        <v>0</v>
      </c>
      <c r="AS4788">
        <v>0</v>
      </c>
      <c r="AT4788">
        <v>0</v>
      </c>
    </row>
    <row r="4789" spans="44:46">
      <c r="AR4789">
        <v>0</v>
      </c>
      <c r="AS4789">
        <v>0</v>
      </c>
      <c r="AT4789">
        <v>0</v>
      </c>
    </row>
    <row r="4790" spans="44:46">
      <c r="AR4790">
        <v>0</v>
      </c>
      <c r="AS4790">
        <v>0</v>
      </c>
      <c r="AT4790">
        <v>0</v>
      </c>
    </row>
    <row r="4791" spans="44:46">
      <c r="AR4791">
        <v>0</v>
      </c>
      <c r="AS4791">
        <v>0</v>
      </c>
      <c r="AT4791">
        <v>0</v>
      </c>
    </row>
    <row r="4792" spans="44:46">
      <c r="AR4792">
        <v>0</v>
      </c>
      <c r="AS4792">
        <v>0</v>
      </c>
      <c r="AT4792">
        <v>0</v>
      </c>
    </row>
    <row r="4793" spans="44:46">
      <c r="AR4793">
        <v>0</v>
      </c>
      <c r="AS4793">
        <v>0</v>
      </c>
      <c r="AT4793">
        <v>0</v>
      </c>
    </row>
    <row r="4794" spans="44:46">
      <c r="AR4794">
        <v>0</v>
      </c>
      <c r="AS4794">
        <v>0</v>
      </c>
      <c r="AT4794">
        <v>0</v>
      </c>
    </row>
    <row r="4795" spans="44:46">
      <c r="AR4795">
        <v>0</v>
      </c>
      <c r="AS4795">
        <v>0</v>
      </c>
      <c r="AT4795">
        <v>0</v>
      </c>
    </row>
    <row r="4796" spans="44:46">
      <c r="AR4796">
        <v>0</v>
      </c>
      <c r="AS4796">
        <v>0</v>
      </c>
      <c r="AT4796">
        <v>0</v>
      </c>
    </row>
    <row r="4797" spans="44:46">
      <c r="AR4797">
        <v>0</v>
      </c>
      <c r="AS4797">
        <v>0</v>
      </c>
      <c r="AT4797">
        <v>0</v>
      </c>
    </row>
    <row r="4798" spans="44:46">
      <c r="AR4798">
        <v>0</v>
      </c>
      <c r="AS4798">
        <v>0</v>
      </c>
      <c r="AT4798">
        <v>0</v>
      </c>
    </row>
    <row r="4799" spans="44:46">
      <c r="AR4799">
        <v>0</v>
      </c>
      <c r="AS4799">
        <v>0</v>
      </c>
      <c r="AT4799">
        <v>0</v>
      </c>
    </row>
    <row r="4800" spans="44:46">
      <c r="AR4800">
        <v>0</v>
      </c>
      <c r="AS4800">
        <v>0</v>
      </c>
      <c r="AT4800">
        <v>0</v>
      </c>
    </row>
    <row r="4801" spans="44:46">
      <c r="AR4801">
        <v>0</v>
      </c>
      <c r="AS4801">
        <v>0</v>
      </c>
      <c r="AT4801">
        <v>0</v>
      </c>
    </row>
    <row r="4802" spans="44:46">
      <c r="AR4802">
        <v>0</v>
      </c>
      <c r="AS4802">
        <v>0</v>
      </c>
      <c r="AT4802">
        <v>0</v>
      </c>
    </row>
    <row r="4803" spans="44:46">
      <c r="AR4803">
        <v>0</v>
      </c>
      <c r="AS4803">
        <v>0</v>
      </c>
      <c r="AT4803">
        <v>0</v>
      </c>
    </row>
    <row r="4804" spans="44:46">
      <c r="AR4804">
        <v>0</v>
      </c>
      <c r="AS4804">
        <v>0</v>
      </c>
      <c r="AT4804">
        <v>0</v>
      </c>
    </row>
    <row r="4805" spans="44:46">
      <c r="AR4805">
        <v>0</v>
      </c>
      <c r="AS4805">
        <v>0</v>
      </c>
      <c r="AT4805">
        <v>0</v>
      </c>
    </row>
    <row r="4806" spans="44:46">
      <c r="AR4806">
        <v>0</v>
      </c>
      <c r="AS4806">
        <v>0</v>
      </c>
      <c r="AT4806">
        <v>0</v>
      </c>
    </row>
    <row r="4807" spans="44:46">
      <c r="AR4807">
        <v>0</v>
      </c>
      <c r="AS4807">
        <v>0</v>
      </c>
      <c r="AT4807">
        <v>0</v>
      </c>
    </row>
    <row r="4808" spans="44:46">
      <c r="AR4808">
        <v>0</v>
      </c>
      <c r="AS4808">
        <v>0</v>
      </c>
      <c r="AT4808">
        <v>0</v>
      </c>
    </row>
    <row r="4809" spans="44:46">
      <c r="AR4809">
        <v>0</v>
      </c>
      <c r="AS4809">
        <v>0</v>
      </c>
      <c r="AT4809">
        <v>0</v>
      </c>
    </row>
    <row r="4810" spans="44:46">
      <c r="AR4810">
        <v>0</v>
      </c>
      <c r="AS4810">
        <v>0</v>
      </c>
      <c r="AT4810">
        <v>0</v>
      </c>
    </row>
    <row r="4811" spans="44:46">
      <c r="AR4811">
        <v>0</v>
      </c>
      <c r="AS4811">
        <v>0</v>
      </c>
      <c r="AT4811">
        <v>0</v>
      </c>
    </row>
    <row r="4812" spans="44:46">
      <c r="AR4812">
        <v>0</v>
      </c>
      <c r="AS4812">
        <v>0</v>
      </c>
      <c r="AT4812">
        <v>0</v>
      </c>
    </row>
    <row r="4813" spans="44:46">
      <c r="AR4813">
        <v>0</v>
      </c>
      <c r="AS4813">
        <v>0</v>
      </c>
      <c r="AT4813">
        <v>0</v>
      </c>
    </row>
    <row r="4814" spans="44:46">
      <c r="AR4814">
        <v>0</v>
      </c>
      <c r="AS4814">
        <v>0</v>
      </c>
      <c r="AT4814">
        <v>0</v>
      </c>
    </row>
    <row r="4815" spans="44:46">
      <c r="AR4815">
        <v>0</v>
      </c>
      <c r="AS4815">
        <v>0</v>
      </c>
      <c r="AT4815">
        <v>0</v>
      </c>
    </row>
    <row r="4816" spans="44:46">
      <c r="AR4816">
        <v>0</v>
      </c>
      <c r="AS4816">
        <v>0</v>
      </c>
      <c r="AT4816">
        <v>0</v>
      </c>
    </row>
    <row r="4817" spans="44:46">
      <c r="AR4817">
        <v>0</v>
      </c>
      <c r="AS4817">
        <v>0</v>
      </c>
      <c r="AT4817">
        <v>0</v>
      </c>
    </row>
    <row r="4818" spans="44:46">
      <c r="AR4818">
        <v>0</v>
      </c>
      <c r="AS4818">
        <v>0</v>
      </c>
      <c r="AT4818">
        <v>0</v>
      </c>
    </row>
    <row r="4819" spans="44:46">
      <c r="AR4819">
        <v>0</v>
      </c>
      <c r="AS4819">
        <v>0</v>
      </c>
      <c r="AT4819">
        <v>0</v>
      </c>
    </row>
    <row r="4820" spans="44:46">
      <c r="AR4820">
        <v>0</v>
      </c>
      <c r="AS4820">
        <v>0</v>
      </c>
      <c r="AT4820">
        <v>0</v>
      </c>
    </row>
    <row r="4821" spans="44:46">
      <c r="AR4821">
        <v>0</v>
      </c>
      <c r="AS4821">
        <v>0</v>
      </c>
      <c r="AT4821">
        <v>0</v>
      </c>
    </row>
    <row r="4822" spans="44:46">
      <c r="AR4822">
        <v>0</v>
      </c>
      <c r="AS4822">
        <v>0</v>
      </c>
      <c r="AT4822">
        <v>0</v>
      </c>
    </row>
    <row r="4823" spans="44:46">
      <c r="AR4823">
        <v>0</v>
      </c>
      <c r="AS4823">
        <v>0</v>
      </c>
      <c r="AT4823">
        <v>0</v>
      </c>
    </row>
    <row r="4824" spans="44:46">
      <c r="AR4824">
        <v>0</v>
      </c>
      <c r="AS4824">
        <v>0</v>
      </c>
      <c r="AT4824">
        <v>0</v>
      </c>
    </row>
    <row r="4825" spans="44:46">
      <c r="AR4825">
        <v>0</v>
      </c>
      <c r="AS4825">
        <v>0</v>
      </c>
      <c r="AT4825">
        <v>0</v>
      </c>
    </row>
    <row r="4826" spans="44:46">
      <c r="AR4826">
        <v>0</v>
      </c>
      <c r="AS4826">
        <v>0</v>
      </c>
      <c r="AT4826">
        <v>0</v>
      </c>
    </row>
    <row r="4827" spans="44:46">
      <c r="AR4827">
        <v>0</v>
      </c>
      <c r="AS4827">
        <v>0</v>
      </c>
      <c r="AT4827">
        <v>0</v>
      </c>
    </row>
    <row r="4828" spans="44:46">
      <c r="AR4828">
        <v>0</v>
      </c>
      <c r="AS4828">
        <v>0</v>
      </c>
      <c r="AT4828">
        <v>0</v>
      </c>
    </row>
    <row r="4829" spans="44:46">
      <c r="AR4829">
        <v>0</v>
      </c>
      <c r="AS4829">
        <v>0</v>
      </c>
      <c r="AT4829">
        <v>0</v>
      </c>
    </row>
    <row r="4830" spans="44:46">
      <c r="AR4830">
        <v>0</v>
      </c>
      <c r="AS4830">
        <v>0</v>
      </c>
      <c r="AT4830">
        <v>0</v>
      </c>
    </row>
    <row r="4831" spans="44:46">
      <c r="AR4831">
        <v>0</v>
      </c>
      <c r="AS4831">
        <v>0</v>
      </c>
      <c r="AT4831">
        <v>0</v>
      </c>
    </row>
    <row r="4832" spans="44:46">
      <c r="AR4832">
        <v>0</v>
      </c>
      <c r="AS4832">
        <v>0</v>
      </c>
      <c r="AT4832">
        <v>0</v>
      </c>
    </row>
    <row r="4833" spans="44:46">
      <c r="AR4833">
        <v>0</v>
      </c>
      <c r="AS4833">
        <v>0</v>
      </c>
      <c r="AT4833">
        <v>0</v>
      </c>
    </row>
    <row r="4834" spans="44:46">
      <c r="AR4834">
        <v>0</v>
      </c>
      <c r="AS4834">
        <v>0</v>
      </c>
      <c r="AT4834">
        <v>0</v>
      </c>
    </row>
    <row r="4835" spans="44:46">
      <c r="AR4835">
        <v>0</v>
      </c>
      <c r="AS4835">
        <v>0</v>
      </c>
      <c r="AT4835">
        <v>0</v>
      </c>
    </row>
    <row r="4836" spans="44:46">
      <c r="AR4836">
        <v>0</v>
      </c>
      <c r="AS4836">
        <v>0</v>
      </c>
      <c r="AT4836">
        <v>0</v>
      </c>
    </row>
    <row r="4837" spans="44:46">
      <c r="AR4837">
        <v>0</v>
      </c>
      <c r="AS4837">
        <v>0</v>
      </c>
      <c r="AT4837">
        <v>0</v>
      </c>
    </row>
    <row r="4838" spans="44:46">
      <c r="AR4838">
        <v>0</v>
      </c>
      <c r="AS4838">
        <v>0</v>
      </c>
      <c r="AT4838">
        <v>0</v>
      </c>
    </row>
    <row r="4839" spans="44:46">
      <c r="AR4839">
        <v>0</v>
      </c>
      <c r="AS4839">
        <v>0</v>
      </c>
      <c r="AT4839">
        <v>0</v>
      </c>
    </row>
    <row r="4840" spans="44:46">
      <c r="AR4840">
        <v>0</v>
      </c>
      <c r="AS4840">
        <v>0</v>
      </c>
      <c r="AT4840">
        <v>0</v>
      </c>
    </row>
    <row r="4841" spans="44:46">
      <c r="AR4841">
        <v>0</v>
      </c>
      <c r="AS4841">
        <v>0</v>
      </c>
      <c r="AT4841">
        <v>0</v>
      </c>
    </row>
    <row r="4842" spans="44:46">
      <c r="AR4842">
        <v>0</v>
      </c>
      <c r="AS4842">
        <v>0</v>
      </c>
      <c r="AT4842">
        <v>0</v>
      </c>
    </row>
    <row r="4843" spans="44:46">
      <c r="AR4843">
        <v>0</v>
      </c>
      <c r="AS4843">
        <v>0</v>
      </c>
      <c r="AT4843">
        <v>0</v>
      </c>
    </row>
    <row r="4844" spans="44:46">
      <c r="AR4844">
        <v>0</v>
      </c>
      <c r="AS4844">
        <v>0</v>
      </c>
      <c r="AT4844">
        <v>0</v>
      </c>
    </row>
    <row r="4845" spans="44:46">
      <c r="AR4845">
        <v>0</v>
      </c>
      <c r="AS4845">
        <v>0</v>
      </c>
      <c r="AT4845">
        <v>0</v>
      </c>
    </row>
    <row r="4846" spans="44:46">
      <c r="AR4846">
        <v>0</v>
      </c>
      <c r="AS4846">
        <v>0</v>
      </c>
      <c r="AT4846">
        <v>0</v>
      </c>
    </row>
    <row r="4847" spans="44:46">
      <c r="AR4847">
        <v>0</v>
      </c>
      <c r="AS4847">
        <v>0</v>
      </c>
      <c r="AT4847">
        <v>0</v>
      </c>
    </row>
    <row r="4848" spans="44:46">
      <c r="AR4848">
        <v>0</v>
      </c>
      <c r="AS4848">
        <v>0</v>
      </c>
      <c r="AT4848">
        <v>0</v>
      </c>
    </row>
    <row r="4849" spans="44:46">
      <c r="AR4849">
        <v>0</v>
      </c>
      <c r="AS4849">
        <v>0</v>
      </c>
      <c r="AT4849">
        <v>0</v>
      </c>
    </row>
    <row r="4850" spans="44:46">
      <c r="AR4850">
        <v>0</v>
      </c>
      <c r="AS4850">
        <v>0</v>
      </c>
      <c r="AT4850">
        <v>0</v>
      </c>
    </row>
    <row r="4851" spans="44:46">
      <c r="AR4851">
        <v>0</v>
      </c>
      <c r="AS4851">
        <v>0</v>
      </c>
      <c r="AT4851">
        <v>0</v>
      </c>
    </row>
    <row r="4852" spans="44:46">
      <c r="AR4852">
        <v>0</v>
      </c>
      <c r="AS4852">
        <v>0</v>
      </c>
      <c r="AT4852">
        <v>0</v>
      </c>
    </row>
    <row r="4853" spans="44:46">
      <c r="AR4853">
        <v>0</v>
      </c>
      <c r="AS4853">
        <v>0</v>
      </c>
      <c r="AT4853">
        <v>0</v>
      </c>
    </row>
    <row r="4854" spans="44:46">
      <c r="AR4854">
        <v>0</v>
      </c>
      <c r="AS4854">
        <v>0</v>
      </c>
      <c r="AT4854">
        <v>0</v>
      </c>
    </row>
    <row r="4855" spans="44:46">
      <c r="AR4855">
        <v>0</v>
      </c>
      <c r="AS4855">
        <v>0</v>
      </c>
      <c r="AT4855">
        <v>0</v>
      </c>
    </row>
    <row r="4856" spans="44:46">
      <c r="AR4856">
        <v>0</v>
      </c>
      <c r="AS4856">
        <v>0</v>
      </c>
      <c r="AT4856">
        <v>0</v>
      </c>
    </row>
    <row r="4857" spans="44:46">
      <c r="AR4857">
        <v>0</v>
      </c>
      <c r="AS4857">
        <v>0</v>
      </c>
      <c r="AT4857">
        <v>0</v>
      </c>
    </row>
    <row r="4858" spans="44:46">
      <c r="AR4858">
        <v>0</v>
      </c>
      <c r="AS4858">
        <v>0</v>
      </c>
      <c r="AT4858">
        <v>0</v>
      </c>
    </row>
    <row r="4859" spans="44:46">
      <c r="AR4859">
        <v>0</v>
      </c>
      <c r="AS4859">
        <v>0</v>
      </c>
      <c r="AT4859">
        <v>0</v>
      </c>
    </row>
    <row r="4860" spans="44:46">
      <c r="AR4860">
        <v>0</v>
      </c>
      <c r="AS4860">
        <v>0</v>
      </c>
      <c r="AT4860">
        <v>0</v>
      </c>
    </row>
    <row r="4861" spans="44:46">
      <c r="AR4861">
        <v>0</v>
      </c>
      <c r="AS4861">
        <v>0</v>
      </c>
      <c r="AT4861">
        <v>0</v>
      </c>
    </row>
    <row r="4862" spans="44:46">
      <c r="AR4862">
        <v>0</v>
      </c>
      <c r="AS4862">
        <v>0</v>
      </c>
      <c r="AT4862">
        <v>0</v>
      </c>
    </row>
    <row r="4863" spans="44:46">
      <c r="AR4863">
        <v>0</v>
      </c>
      <c r="AS4863">
        <v>0</v>
      </c>
      <c r="AT4863">
        <v>0</v>
      </c>
    </row>
    <row r="4864" spans="44:46">
      <c r="AR4864">
        <v>0</v>
      </c>
      <c r="AS4864">
        <v>0</v>
      </c>
      <c r="AT4864">
        <v>0</v>
      </c>
    </row>
    <row r="4865" spans="44:46">
      <c r="AR4865">
        <v>0</v>
      </c>
      <c r="AS4865">
        <v>0</v>
      </c>
      <c r="AT4865">
        <v>0</v>
      </c>
    </row>
    <row r="4866" spans="44:46">
      <c r="AR4866">
        <v>0</v>
      </c>
      <c r="AS4866">
        <v>0</v>
      </c>
      <c r="AT4866">
        <v>0</v>
      </c>
    </row>
    <row r="4867" spans="44:46">
      <c r="AR4867">
        <v>0</v>
      </c>
      <c r="AS4867">
        <v>0</v>
      </c>
      <c r="AT4867">
        <v>0</v>
      </c>
    </row>
    <row r="4868" spans="44:46">
      <c r="AR4868">
        <v>0</v>
      </c>
      <c r="AS4868">
        <v>0</v>
      </c>
      <c r="AT4868">
        <v>0</v>
      </c>
    </row>
    <row r="4869" spans="44:46">
      <c r="AR4869">
        <v>0</v>
      </c>
      <c r="AS4869">
        <v>0</v>
      </c>
      <c r="AT4869">
        <v>0</v>
      </c>
    </row>
    <row r="4870" spans="44:46">
      <c r="AR4870">
        <v>0</v>
      </c>
      <c r="AS4870">
        <v>0</v>
      </c>
      <c r="AT4870">
        <v>0</v>
      </c>
    </row>
    <row r="4871" spans="44:46">
      <c r="AR4871">
        <v>0</v>
      </c>
      <c r="AS4871">
        <v>0</v>
      </c>
      <c r="AT4871">
        <v>0</v>
      </c>
    </row>
    <row r="4872" spans="44:46">
      <c r="AR4872">
        <v>0</v>
      </c>
      <c r="AS4872">
        <v>0</v>
      </c>
      <c r="AT4872">
        <v>0</v>
      </c>
    </row>
    <row r="4873" spans="44:46">
      <c r="AR4873">
        <v>0</v>
      </c>
      <c r="AS4873">
        <v>0</v>
      </c>
      <c r="AT4873">
        <v>0</v>
      </c>
    </row>
    <row r="4874" spans="44:46">
      <c r="AR4874">
        <v>0</v>
      </c>
      <c r="AS4874">
        <v>0</v>
      </c>
      <c r="AT4874">
        <v>0</v>
      </c>
    </row>
    <row r="4875" spans="44:46">
      <c r="AR4875">
        <v>0</v>
      </c>
      <c r="AS4875">
        <v>0</v>
      </c>
      <c r="AT4875">
        <v>0</v>
      </c>
    </row>
    <row r="4876" spans="44:46">
      <c r="AR4876">
        <v>0</v>
      </c>
      <c r="AS4876">
        <v>0</v>
      </c>
      <c r="AT4876">
        <v>0</v>
      </c>
    </row>
    <row r="4877" spans="44:46">
      <c r="AR4877">
        <v>0</v>
      </c>
      <c r="AS4877">
        <v>0</v>
      </c>
      <c r="AT4877">
        <v>0</v>
      </c>
    </row>
    <row r="4878" spans="44:46">
      <c r="AR4878">
        <v>0</v>
      </c>
      <c r="AS4878">
        <v>0</v>
      </c>
      <c r="AT4878">
        <v>0</v>
      </c>
    </row>
    <row r="4879" spans="44:46">
      <c r="AR4879">
        <v>0</v>
      </c>
      <c r="AS4879">
        <v>0</v>
      </c>
      <c r="AT4879">
        <v>0</v>
      </c>
    </row>
    <row r="4880" spans="44:46">
      <c r="AR4880">
        <v>0</v>
      </c>
      <c r="AS4880">
        <v>0</v>
      </c>
      <c r="AT4880">
        <v>0</v>
      </c>
    </row>
    <row r="4881" spans="44:46">
      <c r="AR4881">
        <v>0</v>
      </c>
      <c r="AS4881">
        <v>0</v>
      </c>
      <c r="AT4881">
        <v>0</v>
      </c>
    </row>
    <row r="4882" spans="44:46">
      <c r="AR4882">
        <v>0</v>
      </c>
      <c r="AS4882">
        <v>0</v>
      </c>
      <c r="AT4882">
        <v>0</v>
      </c>
    </row>
    <row r="4883" spans="44:46">
      <c r="AR4883">
        <v>0</v>
      </c>
      <c r="AS4883">
        <v>0</v>
      </c>
      <c r="AT4883">
        <v>0</v>
      </c>
    </row>
    <row r="4884" spans="44:46">
      <c r="AR4884">
        <v>0</v>
      </c>
      <c r="AS4884">
        <v>0</v>
      </c>
      <c r="AT4884">
        <v>0</v>
      </c>
    </row>
    <row r="4885" spans="44:46">
      <c r="AR4885">
        <v>0</v>
      </c>
      <c r="AS4885">
        <v>0</v>
      </c>
      <c r="AT4885">
        <v>0</v>
      </c>
    </row>
    <row r="4886" spans="44:46">
      <c r="AR4886">
        <v>0</v>
      </c>
      <c r="AS4886">
        <v>0</v>
      </c>
      <c r="AT4886">
        <v>0</v>
      </c>
    </row>
    <row r="4887" spans="44:46">
      <c r="AR4887">
        <v>0</v>
      </c>
      <c r="AS4887">
        <v>0</v>
      </c>
      <c r="AT4887">
        <v>0</v>
      </c>
    </row>
    <row r="4888" spans="44:46">
      <c r="AR4888">
        <v>0</v>
      </c>
      <c r="AS4888">
        <v>0</v>
      </c>
      <c r="AT4888">
        <v>0</v>
      </c>
    </row>
    <row r="4889" spans="44:46">
      <c r="AR4889">
        <v>0</v>
      </c>
      <c r="AS4889">
        <v>0</v>
      </c>
      <c r="AT4889">
        <v>0</v>
      </c>
    </row>
    <row r="4890" spans="44:46">
      <c r="AR4890">
        <v>0</v>
      </c>
      <c r="AS4890">
        <v>0</v>
      </c>
      <c r="AT4890">
        <v>0</v>
      </c>
    </row>
    <row r="4891" spans="44:46">
      <c r="AR4891">
        <v>0</v>
      </c>
      <c r="AS4891">
        <v>0</v>
      </c>
      <c r="AT4891">
        <v>0</v>
      </c>
    </row>
    <row r="4892" spans="44:46">
      <c r="AR4892">
        <v>0</v>
      </c>
      <c r="AS4892">
        <v>0</v>
      </c>
      <c r="AT4892">
        <v>0</v>
      </c>
    </row>
    <row r="4893" spans="44:46">
      <c r="AR4893">
        <v>0</v>
      </c>
      <c r="AS4893">
        <v>0</v>
      </c>
      <c r="AT4893">
        <v>0</v>
      </c>
    </row>
    <row r="4894" spans="44:46">
      <c r="AR4894">
        <v>0</v>
      </c>
      <c r="AS4894">
        <v>0</v>
      </c>
      <c r="AT4894">
        <v>0</v>
      </c>
    </row>
    <row r="4895" spans="44:46">
      <c r="AR4895">
        <v>0</v>
      </c>
      <c r="AS4895">
        <v>0</v>
      </c>
      <c r="AT4895">
        <v>0</v>
      </c>
    </row>
    <row r="4896" spans="44:46">
      <c r="AR4896">
        <v>0</v>
      </c>
      <c r="AS4896">
        <v>0</v>
      </c>
      <c r="AT4896">
        <v>0</v>
      </c>
    </row>
    <row r="4897" spans="44:46">
      <c r="AR4897">
        <v>0</v>
      </c>
      <c r="AS4897">
        <v>0</v>
      </c>
      <c r="AT4897">
        <v>0</v>
      </c>
    </row>
    <row r="4898" spans="44:46">
      <c r="AR4898">
        <v>0</v>
      </c>
      <c r="AS4898">
        <v>0</v>
      </c>
      <c r="AT4898">
        <v>0</v>
      </c>
    </row>
    <row r="4899" spans="44:46">
      <c r="AR4899">
        <v>0</v>
      </c>
      <c r="AS4899">
        <v>0</v>
      </c>
      <c r="AT4899">
        <v>0</v>
      </c>
    </row>
    <row r="4900" spans="44:46">
      <c r="AR4900">
        <v>0</v>
      </c>
      <c r="AS4900">
        <v>0</v>
      </c>
      <c r="AT4900">
        <v>0</v>
      </c>
    </row>
    <row r="4901" spans="44:46">
      <c r="AR4901">
        <v>0</v>
      </c>
      <c r="AS4901">
        <v>0</v>
      </c>
      <c r="AT4901">
        <v>0</v>
      </c>
    </row>
    <row r="4902" spans="44:46">
      <c r="AR4902">
        <v>0</v>
      </c>
      <c r="AS4902">
        <v>0</v>
      </c>
      <c r="AT4902">
        <v>0</v>
      </c>
    </row>
    <row r="4903" spans="44:46">
      <c r="AR4903">
        <v>0</v>
      </c>
      <c r="AS4903">
        <v>0</v>
      </c>
      <c r="AT4903">
        <v>0</v>
      </c>
    </row>
    <row r="4904" spans="44:46">
      <c r="AR4904">
        <v>0</v>
      </c>
      <c r="AS4904">
        <v>0</v>
      </c>
      <c r="AT4904">
        <v>0</v>
      </c>
    </row>
    <row r="4905" spans="44:46">
      <c r="AR4905">
        <v>0</v>
      </c>
      <c r="AS4905">
        <v>0</v>
      </c>
      <c r="AT4905">
        <v>0</v>
      </c>
    </row>
    <row r="4906" spans="44:46">
      <c r="AR4906">
        <v>0</v>
      </c>
      <c r="AS4906">
        <v>0</v>
      </c>
      <c r="AT4906">
        <v>0</v>
      </c>
    </row>
    <row r="4907" spans="44:46">
      <c r="AR4907">
        <v>0</v>
      </c>
      <c r="AS4907">
        <v>0</v>
      </c>
      <c r="AT4907">
        <v>0</v>
      </c>
    </row>
    <row r="4908" spans="44:46">
      <c r="AR4908">
        <v>0</v>
      </c>
      <c r="AS4908">
        <v>0</v>
      </c>
      <c r="AT4908">
        <v>0</v>
      </c>
    </row>
    <row r="4909" spans="44:46">
      <c r="AR4909">
        <v>0</v>
      </c>
      <c r="AS4909">
        <v>0</v>
      </c>
      <c r="AT4909">
        <v>0</v>
      </c>
    </row>
    <row r="4910" spans="44:46">
      <c r="AR4910">
        <v>0</v>
      </c>
      <c r="AS4910">
        <v>0</v>
      </c>
      <c r="AT4910">
        <v>0</v>
      </c>
    </row>
    <row r="4911" spans="44:46">
      <c r="AR4911">
        <v>0</v>
      </c>
      <c r="AS4911">
        <v>0</v>
      </c>
      <c r="AT4911">
        <v>0</v>
      </c>
    </row>
    <row r="4912" spans="44:46">
      <c r="AR4912">
        <v>0</v>
      </c>
      <c r="AS4912">
        <v>0</v>
      </c>
      <c r="AT4912">
        <v>0</v>
      </c>
    </row>
    <row r="4913" spans="44:46">
      <c r="AR4913">
        <v>0</v>
      </c>
      <c r="AS4913">
        <v>0</v>
      </c>
      <c r="AT4913">
        <v>0</v>
      </c>
    </row>
    <row r="4914" spans="44:46">
      <c r="AR4914">
        <v>0</v>
      </c>
      <c r="AS4914">
        <v>0</v>
      </c>
      <c r="AT4914">
        <v>0</v>
      </c>
    </row>
    <row r="4915" spans="44:46">
      <c r="AR4915">
        <v>0</v>
      </c>
      <c r="AS4915">
        <v>0</v>
      </c>
      <c r="AT4915">
        <v>0</v>
      </c>
    </row>
    <row r="4916" spans="44:46">
      <c r="AR4916">
        <v>0</v>
      </c>
      <c r="AS4916">
        <v>0</v>
      </c>
      <c r="AT4916">
        <v>0</v>
      </c>
    </row>
    <row r="4917" spans="44:46">
      <c r="AR4917">
        <v>0</v>
      </c>
      <c r="AS4917">
        <v>0</v>
      </c>
      <c r="AT4917">
        <v>0</v>
      </c>
    </row>
    <row r="4918" spans="44:46">
      <c r="AR4918">
        <v>0</v>
      </c>
      <c r="AS4918">
        <v>0</v>
      </c>
      <c r="AT4918">
        <v>0</v>
      </c>
    </row>
    <row r="4919" spans="44:46">
      <c r="AR4919">
        <v>0</v>
      </c>
      <c r="AS4919">
        <v>0</v>
      </c>
      <c r="AT4919">
        <v>0</v>
      </c>
    </row>
    <row r="4920" spans="44:46">
      <c r="AR4920">
        <v>0</v>
      </c>
      <c r="AS4920">
        <v>0</v>
      </c>
      <c r="AT4920">
        <v>0</v>
      </c>
    </row>
    <row r="4921" spans="44:46">
      <c r="AR4921">
        <v>0</v>
      </c>
      <c r="AS4921">
        <v>0</v>
      </c>
      <c r="AT4921">
        <v>0</v>
      </c>
    </row>
    <row r="4922" spans="44:46">
      <c r="AR4922">
        <v>0</v>
      </c>
      <c r="AS4922">
        <v>0</v>
      </c>
      <c r="AT4922">
        <v>0</v>
      </c>
    </row>
    <row r="4923" spans="44:46">
      <c r="AR4923">
        <v>0</v>
      </c>
      <c r="AS4923">
        <v>0</v>
      </c>
      <c r="AT4923">
        <v>0</v>
      </c>
    </row>
    <row r="4924" spans="44:46">
      <c r="AR4924">
        <v>0</v>
      </c>
      <c r="AS4924">
        <v>0</v>
      </c>
      <c r="AT4924">
        <v>0</v>
      </c>
    </row>
    <row r="4925" spans="44:46">
      <c r="AR4925">
        <v>0</v>
      </c>
      <c r="AS4925">
        <v>0</v>
      </c>
      <c r="AT4925">
        <v>0</v>
      </c>
    </row>
    <row r="4926" spans="44:46">
      <c r="AR4926">
        <v>0</v>
      </c>
      <c r="AS4926">
        <v>0</v>
      </c>
      <c r="AT4926">
        <v>0</v>
      </c>
    </row>
    <row r="4927" spans="44:46">
      <c r="AR4927">
        <v>0</v>
      </c>
      <c r="AS4927">
        <v>0</v>
      </c>
      <c r="AT4927">
        <v>0</v>
      </c>
    </row>
    <row r="4928" spans="44:46">
      <c r="AR4928">
        <v>0</v>
      </c>
      <c r="AS4928">
        <v>0</v>
      </c>
      <c r="AT4928">
        <v>0</v>
      </c>
    </row>
    <row r="4929" spans="44:46">
      <c r="AR4929">
        <v>0</v>
      </c>
      <c r="AS4929">
        <v>0</v>
      </c>
      <c r="AT4929">
        <v>0</v>
      </c>
    </row>
    <row r="4930" spans="44:46">
      <c r="AR4930">
        <v>0</v>
      </c>
      <c r="AS4930">
        <v>0</v>
      </c>
      <c r="AT4930">
        <v>0</v>
      </c>
    </row>
    <row r="4931" spans="44:46">
      <c r="AR4931">
        <v>0</v>
      </c>
      <c r="AS4931">
        <v>0</v>
      </c>
      <c r="AT4931">
        <v>0</v>
      </c>
    </row>
    <row r="4932" spans="44:46">
      <c r="AR4932">
        <v>0</v>
      </c>
      <c r="AS4932">
        <v>0</v>
      </c>
      <c r="AT4932">
        <v>0</v>
      </c>
    </row>
    <row r="4933" spans="44:46">
      <c r="AR4933">
        <v>0</v>
      </c>
      <c r="AS4933">
        <v>0</v>
      </c>
      <c r="AT4933">
        <v>0</v>
      </c>
    </row>
    <row r="4934" spans="44:46">
      <c r="AR4934">
        <v>0</v>
      </c>
      <c r="AS4934">
        <v>0</v>
      </c>
      <c r="AT4934">
        <v>0</v>
      </c>
    </row>
    <row r="4935" spans="44:46">
      <c r="AR4935">
        <v>0</v>
      </c>
      <c r="AS4935">
        <v>0</v>
      </c>
      <c r="AT4935">
        <v>0</v>
      </c>
    </row>
    <row r="4936" spans="44:46">
      <c r="AR4936">
        <v>0</v>
      </c>
      <c r="AS4936">
        <v>0</v>
      </c>
      <c r="AT4936">
        <v>0</v>
      </c>
    </row>
    <row r="4937" spans="44:46">
      <c r="AR4937">
        <v>0</v>
      </c>
      <c r="AS4937">
        <v>0</v>
      </c>
      <c r="AT4937">
        <v>0</v>
      </c>
    </row>
    <row r="4938" spans="44:46">
      <c r="AR4938">
        <v>0</v>
      </c>
      <c r="AS4938">
        <v>0</v>
      </c>
      <c r="AT4938">
        <v>0</v>
      </c>
    </row>
    <row r="4939" spans="44:46">
      <c r="AR4939">
        <v>0</v>
      </c>
      <c r="AS4939">
        <v>0</v>
      </c>
      <c r="AT4939">
        <v>0</v>
      </c>
    </row>
    <row r="4940" spans="44:46">
      <c r="AR4940">
        <v>0</v>
      </c>
      <c r="AS4940">
        <v>0</v>
      </c>
      <c r="AT4940">
        <v>0</v>
      </c>
    </row>
    <row r="4941" spans="44:46">
      <c r="AR4941">
        <v>0</v>
      </c>
      <c r="AS4941">
        <v>0</v>
      </c>
      <c r="AT4941">
        <v>0</v>
      </c>
    </row>
    <row r="4942" spans="44:46">
      <c r="AR4942">
        <v>0</v>
      </c>
      <c r="AS4942">
        <v>0</v>
      </c>
      <c r="AT4942">
        <v>0</v>
      </c>
    </row>
    <row r="4943" spans="44:46">
      <c r="AR4943">
        <v>0</v>
      </c>
      <c r="AS4943">
        <v>0</v>
      </c>
      <c r="AT4943">
        <v>0</v>
      </c>
    </row>
    <row r="4944" spans="44:46">
      <c r="AR4944">
        <v>0</v>
      </c>
      <c r="AS4944">
        <v>0</v>
      </c>
      <c r="AT4944">
        <v>0</v>
      </c>
    </row>
    <row r="4945" spans="44:46">
      <c r="AR4945">
        <v>0</v>
      </c>
      <c r="AS4945">
        <v>0</v>
      </c>
      <c r="AT4945">
        <v>0</v>
      </c>
    </row>
    <row r="4946" spans="44:46">
      <c r="AR4946">
        <v>0</v>
      </c>
      <c r="AS4946">
        <v>0</v>
      </c>
      <c r="AT4946">
        <v>0</v>
      </c>
    </row>
    <row r="4947" spans="44:46">
      <c r="AR4947">
        <v>0</v>
      </c>
      <c r="AS4947">
        <v>0</v>
      </c>
      <c r="AT4947">
        <v>0</v>
      </c>
    </row>
    <row r="4948" spans="44:46">
      <c r="AR4948">
        <v>0</v>
      </c>
      <c r="AS4948">
        <v>0</v>
      </c>
      <c r="AT4948">
        <v>0</v>
      </c>
    </row>
    <row r="4949" spans="44:46">
      <c r="AR4949">
        <v>0</v>
      </c>
      <c r="AS4949">
        <v>0</v>
      </c>
      <c r="AT4949">
        <v>0</v>
      </c>
    </row>
    <row r="4950" spans="44:46">
      <c r="AR4950">
        <v>0</v>
      </c>
      <c r="AS4950">
        <v>0</v>
      </c>
      <c r="AT4950">
        <v>0</v>
      </c>
    </row>
    <row r="4951" spans="44:46">
      <c r="AR4951">
        <v>0</v>
      </c>
      <c r="AS4951">
        <v>0</v>
      </c>
      <c r="AT4951">
        <v>0</v>
      </c>
    </row>
    <row r="4952" spans="44:46">
      <c r="AR4952">
        <v>0</v>
      </c>
      <c r="AS4952">
        <v>0</v>
      </c>
      <c r="AT4952">
        <v>0</v>
      </c>
    </row>
    <row r="4953" spans="44:46">
      <c r="AR4953">
        <v>0</v>
      </c>
      <c r="AS4953">
        <v>0</v>
      </c>
      <c r="AT4953">
        <v>0</v>
      </c>
    </row>
    <row r="4954" spans="44:46">
      <c r="AR4954">
        <v>0</v>
      </c>
      <c r="AS4954">
        <v>0</v>
      </c>
      <c r="AT4954">
        <v>0</v>
      </c>
    </row>
    <row r="4955" spans="44:46">
      <c r="AR4955">
        <v>0</v>
      </c>
      <c r="AS4955">
        <v>0</v>
      </c>
      <c r="AT4955">
        <v>0</v>
      </c>
    </row>
    <row r="4956" spans="44:46">
      <c r="AR4956">
        <v>0</v>
      </c>
      <c r="AS4956">
        <v>0</v>
      </c>
      <c r="AT4956">
        <v>0</v>
      </c>
    </row>
    <row r="4957" spans="44:46">
      <c r="AR4957">
        <v>0</v>
      </c>
      <c r="AS4957">
        <v>0</v>
      </c>
      <c r="AT4957">
        <v>0</v>
      </c>
    </row>
    <row r="4958" spans="44:46">
      <c r="AR4958">
        <v>0</v>
      </c>
      <c r="AS4958">
        <v>0</v>
      </c>
      <c r="AT4958">
        <v>0</v>
      </c>
    </row>
    <row r="4959" spans="44:46">
      <c r="AR4959">
        <v>0</v>
      </c>
      <c r="AS4959">
        <v>0</v>
      </c>
      <c r="AT4959">
        <v>0</v>
      </c>
    </row>
    <row r="4960" spans="44:46">
      <c r="AR4960">
        <v>0</v>
      </c>
      <c r="AS4960">
        <v>0</v>
      </c>
      <c r="AT4960">
        <v>0</v>
      </c>
    </row>
    <row r="4961" spans="44:46">
      <c r="AR4961">
        <v>0</v>
      </c>
      <c r="AS4961">
        <v>0</v>
      </c>
      <c r="AT4961">
        <v>0</v>
      </c>
    </row>
    <row r="4962" spans="44:46">
      <c r="AR4962">
        <v>0</v>
      </c>
      <c r="AS4962">
        <v>0</v>
      </c>
      <c r="AT4962">
        <v>0</v>
      </c>
    </row>
    <row r="4963" spans="44:46">
      <c r="AR4963">
        <v>0</v>
      </c>
      <c r="AS4963">
        <v>0</v>
      </c>
      <c r="AT4963">
        <v>0</v>
      </c>
    </row>
    <row r="4964" spans="44:46">
      <c r="AR4964">
        <v>0</v>
      </c>
      <c r="AS4964">
        <v>0</v>
      </c>
      <c r="AT4964">
        <v>0</v>
      </c>
    </row>
    <row r="4965" spans="44:46">
      <c r="AR4965">
        <v>0</v>
      </c>
      <c r="AS4965">
        <v>0</v>
      </c>
      <c r="AT4965">
        <v>0</v>
      </c>
    </row>
    <row r="4966" spans="44:46">
      <c r="AR4966">
        <v>0</v>
      </c>
      <c r="AS4966">
        <v>0</v>
      </c>
      <c r="AT4966">
        <v>0</v>
      </c>
    </row>
    <row r="4967" spans="44:46">
      <c r="AR4967">
        <v>0</v>
      </c>
      <c r="AS4967">
        <v>0</v>
      </c>
      <c r="AT4967">
        <v>0</v>
      </c>
    </row>
    <row r="4968" spans="44:46">
      <c r="AR4968">
        <v>0</v>
      </c>
      <c r="AS4968">
        <v>0</v>
      </c>
      <c r="AT4968">
        <v>0</v>
      </c>
    </row>
    <row r="4969" spans="44:46">
      <c r="AR4969">
        <v>0</v>
      </c>
      <c r="AS4969">
        <v>0</v>
      </c>
      <c r="AT4969">
        <v>0</v>
      </c>
    </row>
    <row r="4970" spans="44:46">
      <c r="AR4970">
        <v>0</v>
      </c>
      <c r="AS4970">
        <v>0</v>
      </c>
      <c r="AT4970">
        <v>0</v>
      </c>
    </row>
    <row r="4971" spans="44:46">
      <c r="AR4971">
        <v>0</v>
      </c>
      <c r="AS4971">
        <v>0</v>
      </c>
      <c r="AT4971">
        <v>0</v>
      </c>
    </row>
    <row r="4972" spans="44:46">
      <c r="AR4972">
        <v>0</v>
      </c>
      <c r="AS4972">
        <v>0</v>
      </c>
      <c r="AT4972">
        <v>0</v>
      </c>
    </row>
    <row r="4973" spans="44:46">
      <c r="AR4973">
        <v>0</v>
      </c>
      <c r="AS4973">
        <v>0</v>
      </c>
      <c r="AT4973">
        <v>0</v>
      </c>
    </row>
    <row r="4974" spans="44:46">
      <c r="AR4974">
        <v>0</v>
      </c>
      <c r="AS4974">
        <v>0</v>
      </c>
      <c r="AT4974">
        <v>0</v>
      </c>
    </row>
    <row r="4975" spans="44:46">
      <c r="AR4975">
        <v>0</v>
      </c>
      <c r="AS4975">
        <v>0</v>
      </c>
      <c r="AT4975">
        <v>0</v>
      </c>
    </row>
    <row r="4976" spans="44:46">
      <c r="AR4976">
        <v>0</v>
      </c>
      <c r="AS4976">
        <v>0</v>
      </c>
      <c r="AT4976">
        <v>0</v>
      </c>
    </row>
    <row r="4977" spans="44:46">
      <c r="AR4977">
        <v>0</v>
      </c>
      <c r="AS4977">
        <v>0</v>
      </c>
      <c r="AT4977">
        <v>0</v>
      </c>
    </row>
    <row r="4978" spans="44:46">
      <c r="AR4978">
        <v>0</v>
      </c>
      <c r="AS4978">
        <v>0</v>
      </c>
      <c r="AT4978">
        <v>0</v>
      </c>
    </row>
    <row r="4979" spans="44:46">
      <c r="AR4979">
        <v>0</v>
      </c>
      <c r="AS4979">
        <v>0</v>
      </c>
      <c r="AT4979">
        <v>0</v>
      </c>
    </row>
    <row r="4980" spans="44:46">
      <c r="AR4980">
        <v>45825</v>
      </c>
      <c r="AS4980" t="str">
        <v>Strong regrowth on Komatsuna</v>
      </c>
      <c r="AT4980" t="str">
        <v>E3</v>
      </c>
    </row>
    <row r="4981" spans="44:46">
      <c r="AR4981">
        <v>0</v>
      </c>
      <c r="AS4981">
        <v>0</v>
      </c>
      <c r="AT4981">
        <v>0</v>
      </c>
    </row>
    <row r="4982" spans="44:46">
      <c r="AR4982">
        <v>0</v>
      </c>
      <c r="AS4982">
        <v>0</v>
      </c>
      <c r="AT4982">
        <v>0</v>
      </c>
    </row>
    <row r="4983" spans="44:46">
      <c r="AR4983">
        <v>0</v>
      </c>
      <c r="AS4983">
        <v>0</v>
      </c>
      <c r="AT4983">
        <v>0</v>
      </c>
    </row>
    <row r="4984" spans="44:46">
      <c r="AR4984">
        <v>0</v>
      </c>
      <c r="AS4984">
        <v>0</v>
      </c>
      <c r="AT4984">
        <v>0</v>
      </c>
    </row>
    <row r="4985" spans="44:46">
      <c r="AR4985">
        <v>0</v>
      </c>
      <c r="AS4985">
        <v>0</v>
      </c>
      <c r="AT4985">
        <v>0</v>
      </c>
    </row>
    <row r="4986" spans="44:46">
      <c r="AR4986">
        <v>0</v>
      </c>
      <c r="AS4986">
        <v>0</v>
      </c>
      <c r="AT4986">
        <v>0</v>
      </c>
    </row>
    <row r="4987" spans="44:46">
      <c r="AR4987">
        <v>0</v>
      </c>
      <c r="AS4987">
        <v>0</v>
      </c>
      <c r="AT4987">
        <v>0</v>
      </c>
    </row>
    <row r="4988" spans="44:46">
      <c r="AR4988">
        <v>0</v>
      </c>
      <c r="AS4988">
        <v>0</v>
      </c>
      <c r="AT4988">
        <v>0</v>
      </c>
    </row>
    <row r="4989" spans="44:46">
      <c r="AR4989">
        <v>0</v>
      </c>
      <c r="AS4989">
        <v>0</v>
      </c>
      <c r="AT4989">
        <v>0</v>
      </c>
    </row>
    <row r="4990" spans="44:46">
      <c r="AR4990">
        <v>0</v>
      </c>
      <c r="AS4990">
        <v>0</v>
      </c>
      <c r="AT4990">
        <v>0</v>
      </c>
    </row>
    <row r="4991" spans="44:46">
      <c r="AR4991">
        <v>0</v>
      </c>
      <c r="AS4991">
        <v>0</v>
      </c>
      <c r="AT4991">
        <v>0</v>
      </c>
    </row>
    <row r="4992" spans="44:46">
      <c r="AR4992">
        <v>0</v>
      </c>
      <c r="AS4992">
        <v>0</v>
      </c>
      <c r="AT4992">
        <v>0</v>
      </c>
    </row>
    <row r="4993" spans="44:46">
      <c r="AR4993">
        <v>0</v>
      </c>
      <c r="AS4993">
        <v>0</v>
      </c>
      <c r="AT4993">
        <v>0</v>
      </c>
    </row>
    <row r="4994" spans="44:46">
      <c r="AR4994">
        <v>0</v>
      </c>
      <c r="AS4994">
        <v>0</v>
      </c>
      <c r="AT4994">
        <v>0</v>
      </c>
    </row>
    <row r="4995" spans="44:46">
      <c r="AR4995">
        <v>0</v>
      </c>
      <c r="AS4995">
        <v>0</v>
      </c>
      <c r="AT4995">
        <v>0</v>
      </c>
    </row>
    <row r="4996" spans="44:46">
      <c r="AR4996">
        <v>0</v>
      </c>
      <c r="AS4996">
        <v>0</v>
      </c>
      <c r="AT4996">
        <v>0</v>
      </c>
    </row>
    <row r="4997" spans="44:46">
      <c r="AR4997">
        <v>0</v>
      </c>
      <c r="AS4997">
        <v>0</v>
      </c>
      <c r="AT4997">
        <v>0</v>
      </c>
    </row>
    <row r="4998" spans="44:46">
      <c r="AR4998">
        <v>0</v>
      </c>
      <c r="AS4998">
        <v>0</v>
      </c>
      <c r="AT4998">
        <v>0</v>
      </c>
    </row>
    <row r="4999" spans="44:46">
      <c r="AR4999">
        <v>0</v>
      </c>
      <c r="AS4999">
        <v>0</v>
      </c>
      <c r="AT4999">
        <v>0</v>
      </c>
    </row>
    <row r="5000" spans="44:46">
      <c r="AR5000">
        <v>0</v>
      </c>
      <c r="AS5000">
        <v>0</v>
      </c>
      <c r="AT5000">
        <v>0</v>
      </c>
    </row>
    <row r="5001" spans="44:46">
      <c r="AR5001">
        <v>0</v>
      </c>
      <c r="AS5001">
        <v>0</v>
      </c>
      <c r="AT5001">
        <v>0</v>
      </c>
    </row>
    <row r="5002" spans="44:46">
      <c r="AR5002">
        <v>0</v>
      </c>
      <c r="AS5002">
        <v>0</v>
      </c>
      <c r="AT5002">
        <v>0</v>
      </c>
    </row>
    <row r="5003" spans="44:46">
      <c r="AR5003">
        <v>0</v>
      </c>
      <c r="AS5003">
        <v>0</v>
      </c>
      <c r="AT5003">
        <v>0</v>
      </c>
    </row>
    <row r="5004" spans="44:46">
      <c r="AR5004">
        <v>0</v>
      </c>
      <c r="AS5004">
        <v>0</v>
      </c>
      <c r="AT5004">
        <v>0</v>
      </c>
    </row>
    <row r="5005" spans="44:46">
      <c r="AR5005">
        <v>0</v>
      </c>
      <c r="AS5005">
        <v>0</v>
      </c>
      <c r="AT5005">
        <v>0</v>
      </c>
    </row>
    <row r="5006" spans="44:46">
      <c r="AR5006">
        <v>0</v>
      </c>
      <c r="AS5006">
        <v>0</v>
      </c>
      <c r="AT5006">
        <v>0</v>
      </c>
    </row>
    <row r="5007" spans="44:46">
      <c r="AR5007">
        <v>0</v>
      </c>
      <c r="AS5007">
        <v>0</v>
      </c>
      <c r="AT5007">
        <v>0</v>
      </c>
    </row>
    <row r="5008" spans="44:46">
      <c r="AR5008">
        <v>0</v>
      </c>
      <c r="AS5008">
        <v>0</v>
      </c>
      <c r="AT5008">
        <v>0</v>
      </c>
    </row>
    <row r="5009" spans="44:46">
      <c r="AR5009">
        <v>0</v>
      </c>
      <c r="AS5009">
        <v>0</v>
      </c>
      <c r="AT5009">
        <v>0</v>
      </c>
    </row>
    <row r="5010" spans="44:46">
      <c r="AR5010">
        <v>0</v>
      </c>
      <c r="AS5010">
        <v>0</v>
      </c>
      <c r="AT5010">
        <v>0</v>
      </c>
    </row>
    <row r="5011" spans="44:46">
      <c r="AR5011">
        <v>0</v>
      </c>
      <c r="AS5011">
        <v>0</v>
      </c>
      <c r="AT5011">
        <v>0</v>
      </c>
    </row>
    <row r="5012" spans="44:46">
      <c r="AR5012">
        <v>0</v>
      </c>
      <c r="AS5012">
        <v>0</v>
      </c>
      <c r="AT5012">
        <v>0</v>
      </c>
    </row>
    <row r="5013" spans="44:46">
      <c r="AR5013">
        <v>0</v>
      </c>
      <c r="AS5013">
        <v>0</v>
      </c>
      <c r="AT5013">
        <v>0</v>
      </c>
    </row>
    <row r="5014" spans="44:46">
      <c r="AR5014">
        <v>0</v>
      </c>
      <c r="AS5014">
        <v>0</v>
      </c>
      <c r="AT5014">
        <v>0</v>
      </c>
    </row>
    <row r="5015" spans="44:46">
      <c r="AR5015">
        <v>0</v>
      </c>
      <c r="AS5015">
        <v>0</v>
      </c>
      <c r="AT5015">
        <v>0</v>
      </c>
    </row>
    <row r="5016" spans="44:46">
      <c r="AR5016">
        <v>0</v>
      </c>
      <c r="AS5016">
        <v>0</v>
      </c>
      <c r="AT5016">
        <v>0</v>
      </c>
    </row>
    <row r="5017" spans="44:46">
      <c r="AR5017">
        <v>0</v>
      </c>
      <c r="AS5017">
        <v>0</v>
      </c>
      <c r="AT5017">
        <v>0</v>
      </c>
    </row>
    <row r="5018" spans="44:46">
      <c r="AR5018">
        <v>0</v>
      </c>
      <c r="AS5018">
        <v>0</v>
      </c>
      <c r="AT5018">
        <v>0</v>
      </c>
    </row>
    <row r="5019" spans="44:46">
      <c r="AR5019">
        <v>0</v>
      </c>
      <c r="AS5019">
        <v>0</v>
      </c>
      <c r="AT5019">
        <v>0</v>
      </c>
    </row>
    <row r="5020" spans="44:46">
      <c r="AR5020">
        <v>0</v>
      </c>
      <c r="AS5020">
        <v>0</v>
      </c>
      <c r="AT5020">
        <v>0</v>
      </c>
    </row>
    <row r="5021" spans="44:46">
      <c r="AR5021">
        <v>0</v>
      </c>
      <c r="AS5021">
        <v>0</v>
      </c>
      <c r="AT5021">
        <v>0</v>
      </c>
    </row>
    <row r="5022" spans="44:46">
      <c r="AR5022">
        <v>0</v>
      </c>
      <c r="AS5022">
        <v>0</v>
      </c>
      <c r="AT5022">
        <v>0</v>
      </c>
    </row>
    <row r="5023" spans="44:46">
      <c r="AR5023">
        <v>0</v>
      </c>
      <c r="AS5023">
        <v>0</v>
      </c>
      <c r="AT5023">
        <v>0</v>
      </c>
    </row>
    <row r="5024" spans="44:46">
      <c r="AR5024">
        <v>0</v>
      </c>
      <c r="AS5024">
        <v>0</v>
      </c>
      <c r="AT5024">
        <v>0</v>
      </c>
    </row>
    <row r="5025" spans="44:46">
      <c r="AR5025">
        <v>0</v>
      </c>
      <c r="AS5025">
        <v>0</v>
      </c>
      <c r="AT5025">
        <v>0</v>
      </c>
    </row>
    <row r="5026" spans="44:46">
      <c r="AR5026">
        <v>0</v>
      </c>
      <c r="AS5026">
        <v>0</v>
      </c>
      <c r="AT5026">
        <v>0</v>
      </c>
    </row>
    <row r="5027" spans="44:46">
      <c r="AR5027">
        <v>0</v>
      </c>
      <c r="AS5027">
        <v>0</v>
      </c>
      <c r="AT5027">
        <v>0</v>
      </c>
    </row>
    <row r="5028" spans="44:46">
      <c r="AR5028">
        <v>0</v>
      </c>
      <c r="AS5028">
        <v>0</v>
      </c>
      <c r="AT5028">
        <v>0</v>
      </c>
    </row>
    <row r="5029" spans="44:46">
      <c r="AR5029">
        <v>0</v>
      </c>
      <c r="AS5029">
        <v>0</v>
      </c>
      <c r="AT5029">
        <v>0</v>
      </c>
    </row>
    <row r="5030" spans="44:46">
      <c r="AR5030">
        <v>0</v>
      </c>
      <c r="AS5030">
        <v>0</v>
      </c>
      <c r="AT5030">
        <v>0</v>
      </c>
    </row>
    <row r="5031" spans="44:46">
      <c r="AR5031">
        <v>0</v>
      </c>
      <c r="AS5031">
        <v>0</v>
      </c>
      <c r="AT5031">
        <v>0</v>
      </c>
    </row>
    <row r="5032" spans="44:46">
      <c r="AR5032">
        <v>0</v>
      </c>
      <c r="AS5032">
        <v>0</v>
      </c>
      <c r="AT5032">
        <v>0</v>
      </c>
    </row>
    <row r="5033" spans="44:46">
      <c r="AR5033">
        <v>0</v>
      </c>
      <c r="AS5033">
        <v>0</v>
      </c>
      <c r="AT5033">
        <v>0</v>
      </c>
    </row>
    <row r="5034" spans="44:46">
      <c r="AR5034">
        <v>0</v>
      </c>
      <c r="AS5034">
        <v>0</v>
      </c>
      <c r="AT5034">
        <v>0</v>
      </c>
    </row>
    <row r="5035" spans="44:46">
      <c r="AR5035">
        <v>0</v>
      </c>
      <c r="AS5035">
        <v>0</v>
      </c>
      <c r="AT5035">
        <v>0</v>
      </c>
    </row>
    <row r="5036" spans="44:46">
      <c r="AR5036">
        <v>0</v>
      </c>
      <c r="AS5036">
        <v>0</v>
      </c>
      <c r="AT5036">
        <v>0</v>
      </c>
    </row>
    <row r="5037" spans="44:46">
      <c r="AR5037">
        <v>0</v>
      </c>
      <c r="AS5037">
        <v>0</v>
      </c>
      <c r="AT5037">
        <v>0</v>
      </c>
    </row>
    <row r="5038" spans="44:46">
      <c r="AR5038">
        <v>0</v>
      </c>
      <c r="AS5038">
        <v>0</v>
      </c>
      <c r="AT5038">
        <v>0</v>
      </c>
    </row>
    <row r="5039" spans="44:46">
      <c r="AR5039">
        <v>0</v>
      </c>
      <c r="AS5039">
        <v>0</v>
      </c>
      <c r="AT5039">
        <v>0</v>
      </c>
    </row>
    <row r="5040" spans="44:46">
      <c r="AR5040">
        <v>0</v>
      </c>
      <c r="AS5040">
        <v>0</v>
      </c>
      <c r="AT5040">
        <v>0</v>
      </c>
    </row>
    <row r="5041" spans="44:46">
      <c r="AR5041">
        <v>0</v>
      </c>
      <c r="AS5041">
        <v>0</v>
      </c>
      <c r="AT5041">
        <v>0</v>
      </c>
    </row>
    <row r="5042" spans="44:46">
      <c r="AR5042">
        <v>0</v>
      </c>
      <c r="AS5042">
        <v>0</v>
      </c>
      <c r="AT5042">
        <v>0</v>
      </c>
    </row>
    <row r="5043" spans="44:46">
      <c r="AR5043">
        <v>0</v>
      </c>
      <c r="AS5043">
        <v>0</v>
      </c>
      <c r="AT5043">
        <v>0</v>
      </c>
    </row>
    <row r="5044" spans="44:46">
      <c r="AR5044">
        <v>0</v>
      </c>
      <c r="AS5044">
        <v>0</v>
      </c>
      <c r="AT5044">
        <v>0</v>
      </c>
    </row>
    <row r="5045" spans="44:46">
      <c r="AR5045">
        <v>0</v>
      </c>
      <c r="AS5045">
        <v>0</v>
      </c>
      <c r="AT5045">
        <v>0</v>
      </c>
    </row>
    <row r="5046" spans="44:46">
      <c r="AR5046">
        <v>0</v>
      </c>
      <c r="AS5046">
        <v>0</v>
      </c>
      <c r="AT5046">
        <v>0</v>
      </c>
    </row>
    <row r="5047" spans="44:46">
      <c r="AR5047">
        <v>0</v>
      </c>
      <c r="AS5047">
        <v>0</v>
      </c>
      <c r="AT5047">
        <v>0</v>
      </c>
    </row>
    <row r="5048" spans="44:46">
      <c r="AR5048">
        <v>0</v>
      </c>
      <c r="AS5048">
        <v>0</v>
      </c>
      <c r="AT5048">
        <v>0</v>
      </c>
    </row>
    <row r="5049" spans="44:46">
      <c r="AR5049">
        <v>0</v>
      </c>
      <c r="AS5049">
        <v>0</v>
      </c>
      <c r="AT5049">
        <v>0</v>
      </c>
    </row>
    <row r="5050" spans="44:46">
      <c r="AR5050">
        <v>0</v>
      </c>
      <c r="AS5050">
        <v>0</v>
      </c>
      <c r="AT5050">
        <v>0</v>
      </c>
    </row>
    <row r="5051" spans="44:46">
      <c r="AR5051">
        <v>0</v>
      </c>
      <c r="AS5051">
        <v>0</v>
      </c>
      <c r="AT5051">
        <v>0</v>
      </c>
    </row>
    <row r="5052" spans="44:46">
      <c r="AR5052">
        <v>0</v>
      </c>
      <c r="AS5052">
        <v>0</v>
      </c>
      <c r="AT5052">
        <v>0</v>
      </c>
    </row>
    <row r="5053" spans="44:46">
      <c r="AR5053">
        <v>0</v>
      </c>
      <c r="AS5053">
        <v>0</v>
      </c>
      <c r="AT5053">
        <v>0</v>
      </c>
    </row>
    <row r="5054" spans="44:46">
      <c r="AR5054">
        <v>0</v>
      </c>
      <c r="AS5054">
        <v>0</v>
      </c>
      <c r="AT5054">
        <v>0</v>
      </c>
    </row>
    <row r="5055" spans="44:46">
      <c r="AR5055">
        <v>0</v>
      </c>
      <c r="AS5055">
        <v>0</v>
      </c>
      <c r="AT5055">
        <v>0</v>
      </c>
    </row>
    <row r="5056" spans="44:46">
      <c r="AR5056">
        <v>0</v>
      </c>
      <c r="AS5056">
        <v>0</v>
      </c>
      <c r="AT5056">
        <v>0</v>
      </c>
    </row>
    <row r="5057" spans="44:46">
      <c r="AR5057">
        <v>0</v>
      </c>
      <c r="AS5057">
        <v>0</v>
      </c>
      <c r="AT5057">
        <v>0</v>
      </c>
    </row>
    <row r="5058" spans="44:46">
      <c r="AR5058">
        <v>0</v>
      </c>
      <c r="AS5058">
        <v>0</v>
      </c>
      <c r="AT5058">
        <v>0</v>
      </c>
    </row>
    <row r="5059" spans="44:46">
      <c r="AR5059">
        <v>0</v>
      </c>
      <c r="AS5059">
        <v>0</v>
      </c>
      <c r="AT5059">
        <v>0</v>
      </c>
    </row>
    <row r="5060" spans="44:46">
      <c r="AR5060">
        <v>0</v>
      </c>
      <c r="AS5060">
        <v>0</v>
      </c>
      <c r="AT5060">
        <v>0</v>
      </c>
    </row>
    <row r="5061" spans="44:46">
      <c r="AR5061">
        <v>0</v>
      </c>
      <c r="AS5061">
        <v>0</v>
      </c>
      <c r="AT5061">
        <v>0</v>
      </c>
    </row>
    <row r="5062" spans="44:46">
      <c r="AR5062">
        <v>0</v>
      </c>
      <c r="AS5062">
        <v>0</v>
      </c>
      <c r="AT5062">
        <v>0</v>
      </c>
    </row>
    <row r="5063" spans="44:46">
      <c r="AR5063">
        <v>0</v>
      </c>
      <c r="AS5063">
        <v>0</v>
      </c>
      <c r="AT5063">
        <v>0</v>
      </c>
    </row>
    <row r="5064" spans="44:46">
      <c r="AR5064">
        <v>0</v>
      </c>
      <c r="AS5064">
        <v>0</v>
      </c>
      <c r="AT5064">
        <v>0</v>
      </c>
    </row>
    <row r="5065" spans="44:46">
      <c r="AR5065">
        <v>0</v>
      </c>
      <c r="AS5065">
        <v>0</v>
      </c>
      <c r="AT5065">
        <v>0</v>
      </c>
    </row>
    <row r="5066" spans="44:46">
      <c r="AR5066">
        <v>0</v>
      </c>
      <c r="AS5066">
        <v>0</v>
      </c>
      <c r="AT5066">
        <v>0</v>
      </c>
    </row>
    <row r="5067" spans="44:46">
      <c r="AR5067">
        <v>0</v>
      </c>
      <c r="AS5067">
        <v>0</v>
      </c>
      <c r="AT5067">
        <v>0</v>
      </c>
    </row>
    <row r="5068" spans="44:46">
      <c r="AR5068">
        <v>0</v>
      </c>
      <c r="AS5068">
        <v>0</v>
      </c>
      <c r="AT5068">
        <v>0</v>
      </c>
    </row>
    <row r="5069" spans="44:46">
      <c r="AR5069">
        <v>0</v>
      </c>
      <c r="AS5069">
        <v>0</v>
      </c>
      <c r="AT5069">
        <v>0</v>
      </c>
    </row>
    <row r="5070" spans="44:46">
      <c r="AR5070">
        <v>0</v>
      </c>
      <c r="AS5070">
        <v>0</v>
      </c>
      <c r="AT5070">
        <v>0</v>
      </c>
    </row>
    <row r="5071" spans="44:46">
      <c r="AR5071">
        <v>0</v>
      </c>
      <c r="AS5071">
        <v>0</v>
      </c>
      <c r="AT5071">
        <v>0</v>
      </c>
    </row>
    <row r="5072" spans="44:46">
      <c r="AR5072">
        <v>0</v>
      </c>
      <c r="AS5072">
        <v>0</v>
      </c>
      <c r="AT5072">
        <v>0</v>
      </c>
    </row>
    <row r="5073" spans="44:46">
      <c r="AR5073">
        <v>0</v>
      </c>
      <c r="AS5073">
        <v>0</v>
      </c>
      <c r="AT5073">
        <v>0</v>
      </c>
    </row>
    <row r="5074" spans="44:46">
      <c r="AR5074">
        <v>0</v>
      </c>
      <c r="AS5074">
        <v>0</v>
      </c>
      <c r="AT5074">
        <v>0</v>
      </c>
    </row>
    <row r="5075" spans="44:46">
      <c r="AR5075">
        <v>0</v>
      </c>
      <c r="AS5075">
        <v>0</v>
      </c>
      <c r="AT5075">
        <v>0</v>
      </c>
    </row>
    <row r="5076" spans="44:46">
      <c r="AR5076">
        <v>0</v>
      </c>
      <c r="AS5076">
        <v>0</v>
      </c>
      <c r="AT5076">
        <v>0</v>
      </c>
    </row>
    <row r="5077" spans="44:46">
      <c r="AR5077">
        <v>0</v>
      </c>
      <c r="AS5077">
        <v>0</v>
      </c>
      <c r="AT5077">
        <v>0</v>
      </c>
    </row>
    <row r="5078" spans="44:46">
      <c r="AR5078">
        <v>0</v>
      </c>
      <c r="AS5078">
        <v>0</v>
      </c>
      <c r="AT5078">
        <v>0</v>
      </c>
    </row>
    <row r="5079" spans="44:46">
      <c r="AR5079">
        <v>0</v>
      </c>
      <c r="AS5079">
        <v>0</v>
      </c>
      <c r="AT5079">
        <v>0</v>
      </c>
    </row>
    <row r="5080" spans="44:46">
      <c r="AR5080">
        <v>0</v>
      </c>
      <c r="AS5080">
        <v>0</v>
      </c>
      <c r="AT5080">
        <v>0</v>
      </c>
    </row>
    <row r="5081" spans="44:46">
      <c r="AR5081">
        <v>0</v>
      </c>
      <c r="AS5081">
        <v>0</v>
      </c>
      <c r="AT5081">
        <v>0</v>
      </c>
    </row>
    <row r="5082" spans="44:46">
      <c r="AR5082">
        <v>0</v>
      </c>
      <c r="AS5082">
        <v>0</v>
      </c>
      <c r="AT5082">
        <v>0</v>
      </c>
    </row>
    <row r="5083" spans="44:46">
      <c r="AR5083">
        <v>0</v>
      </c>
      <c r="AS5083">
        <v>0</v>
      </c>
      <c r="AT5083">
        <v>0</v>
      </c>
    </row>
    <row r="5084" spans="44:46">
      <c r="AR5084">
        <v>0</v>
      </c>
      <c r="AS5084">
        <v>0</v>
      </c>
      <c r="AT5084">
        <v>0</v>
      </c>
    </row>
    <row r="5085" spans="44:46">
      <c r="AR5085">
        <v>0</v>
      </c>
      <c r="AS5085">
        <v>0</v>
      </c>
      <c r="AT5085">
        <v>0</v>
      </c>
    </row>
    <row r="5086" spans="44:46">
      <c r="AR5086">
        <v>0</v>
      </c>
      <c r="AS5086">
        <v>0</v>
      </c>
      <c r="AT5086">
        <v>0</v>
      </c>
    </row>
    <row r="5087" spans="44:46">
      <c r="AR5087">
        <v>0</v>
      </c>
      <c r="AS5087">
        <v>0</v>
      </c>
      <c r="AT5087">
        <v>0</v>
      </c>
    </row>
    <row r="5088" spans="44:46">
      <c r="AR5088">
        <v>0</v>
      </c>
      <c r="AS5088">
        <v>0</v>
      </c>
      <c r="AT5088">
        <v>0</v>
      </c>
    </row>
    <row r="5089" spans="44:46">
      <c r="AR5089">
        <v>0</v>
      </c>
      <c r="AS5089">
        <v>0</v>
      </c>
      <c r="AT5089">
        <v>0</v>
      </c>
    </row>
    <row r="5090" spans="44:46">
      <c r="AR5090">
        <v>0</v>
      </c>
      <c r="AS5090">
        <v>0</v>
      </c>
      <c r="AT5090">
        <v>0</v>
      </c>
    </row>
    <row r="5091" spans="44:46">
      <c r="AR5091">
        <v>0</v>
      </c>
      <c r="AS5091">
        <v>0</v>
      </c>
      <c r="AT5091">
        <v>0</v>
      </c>
    </row>
    <row r="5092" spans="44:46">
      <c r="AR5092">
        <v>0</v>
      </c>
      <c r="AS5092">
        <v>0</v>
      </c>
      <c r="AT5092">
        <v>0</v>
      </c>
    </row>
    <row r="5093" spans="44:46">
      <c r="AR5093">
        <v>0</v>
      </c>
      <c r="AS5093">
        <v>0</v>
      </c>
      <c r="AT5093">
        <v>0</v>
      </c>
    </row>
    <row r="5094" spans="44:46">
      <c r="AR5094">
        <v>0</v>
      </c>
      <c r="AS5094">
        <v>0</v>
      </c>
      <c r="AT5094">
        <v>0</v>
      </c>
    </row>
    <row r="5095" spans="44:46">
      <c r="AR5095">
        <v>0</v>
      </c>
      <c r="AS5095">
        <v>0</v>
      </c>
      <c r="AT5095">
        <v>0</v>
      </c>
    </row>
    <row r="5096" spans="44:46">
      <c r="AR5096">
        <v>0</v>
      </c>
      <c r="AS5096">
        <v>0</v>
      </c>
      <c r="AT5096">
        <v>0</v>
      </c>
    </row>
    <row r="5097" spans="44:46">
      <c r="AR5097">
        <v>0</v>
      </c>
      <c r="AS5097">
        <v>0</v>
      </c>
      <c r="AT5097">
        <v>0</v>
      </c>
    </row>
    <row r="5098" spans="44:46">
      <c r="AR5098">
        <v>0</v>
      </c>
      <c r="AS5098">
        <v>0</v>
      </c>
      <c r="AT5098">
        <v>0</v>
      </c>
    </row>
    <row r="5099" spans="44:46">
      <c r="AR5099">
        <v>0</v>
      </c>
      <c r="AS5099">
        <v>0</v>
      </c>
      <c r="AT5099">
        <v>0</v>
      </c>
    </row>
    <row r="5100" spans="44:46">
      <c r="AR5100">
        <v>0</v>
      </c>
      <c r="AS5100">
        <v>0</v>
      </c>
      <c r="AT5100">
        <v>0</v>
      </c>
    </row>
    <row r="5101" spans="44:46">
      <c r="AR5101">
        <v>0</v>
      </c>
      <c r="AS5101">
        <v>0</v>
      </c>
      <c r="AT5101">
        <v>0</v>
      </c>
    </row>
    <row r="5102" spans="44:46">
      <c r="AR5102">
        <v>0</v>
      </c>
      <c r="AS5102">
        <v>0</v>
      </c>
      <c r="AT5102">
        <v>0</v>
      </c>
    </row>
    <row r="5103" spans="44:46">
      <c r="AR5103">
        <v>0</v>
      </c>
      <c r="AS5103">
        <v>0</v>
      </c>
      <c r="AT5103">
        <v>0</v>
      </c>
    </row>
    <row r="5104" spans="44:46">
      <c r="AR5104">
        <v>0</v>
      </c>
      <c r="AS5104">
        <v>0</v>
      </c>
      <c r="AT5104">
        <v>0</v>
      </c>
    </row>
    <row r="5105" spans="44:46">
      <c r="AR5105">
        <v>0</v>
      </c>
      <c r="AS5105">
        <v>0</v>
      </c>
      <c r="AT5105">
        <v>0</v>
      </c>
    </row>
    <row r="5106" spans="44:46">
      <c r="AR5106">
        <v>0</v>
      </c>
      <c r="AS5106">
        <v>0</v>
      </c>
      <c r="AT5106">
        <v>0</v>
      </c>
    </row>
    <row r="5107" spans="44:46">
      <c r="AR5107">
        <v>0</v>
      </c>
      <c r="AS5107">
        <v>0</v>
      </c>
      <c r="AT5107">
        <v>0</v>
      </c>
    </row>
    <row r="5108" spans="44:46">
      <c r="AR5108">
        <v>0</v>
      </c>
      <c r="AS5108">
        <v>0</v>
      </c>
      <c r="AT5108">
        <v>0</v>
      </c>
    </row>
    <row r="5109" spans="44:46">
      <c r="AR5109">
        <v>0</v>
      </c>
      <c r="AS5109">
        <v>0</v>
      </c>
      <c r="AT5109">
        <v>0</v>
      </c>
    </row>
    <row r="5110" spans="44:46">
      <c r="AR5110">
        <v>0</v>
      </c>
      <c r="AS5110">
        <v>0</v>
      </c>
      <c r="AT5110">
        <v>0</v>
      </c>
    </row>
    <row r="5111" spans="44:46">
      <c r="AR5111">
        <v>0</v>
      </c>
      <c r="AS5111">
        <v>0</v>
      </c>
      <c r="AT5111">
        <v>0</v>
      </c>
    </row>
    <row r="5112" spans="44:46">
      <c r="AR5112">
        <v>0</v>
      </c>
      <c r="AS5112">
        <v>0</v>
      </c>
      <c r="AT5112">
        <v>0</v>
      </c>
    </row>
    <row r="5113" spans="44:46">
      <c r="AR5113">
        <v>0</v>
      </c>
      <c r="AS5113">
        <v>0</v>
      </c>
      <c r="AT5113">
        <v>0</v>
      </c>
    </row>
    <row r="5114" spans="44:46">
      <c r="AR5114">
        <v>0</v>
      </c>
      <c r="AS5114">
        <v>0</v>
      </c>
      <c r="AT5114">
        <v>0</v>
      </c>
    </row>
    <row r="5115" spans="44:46">
      <c r="AR5115">
        <v>0</v>
      </c>
      <c r="AS5115">
        <v>0</v>
      </c>
      <c r="AT5115">
        <v>0</v>
      </c>
    </row>
    <row r="5116" spans="44:46">
      <c r="AR5116">
        <v>0</v>
      </c>
      <c r="AS5116">
        <v>0</v>
      </c>
      <c r="AT5116">
        <v>0</v>
      </c>
    </row>
    <row r="5117" spans="44:46">
      <c r="AR5117">
        <v>0</v>
      </c>
      <c r="AS5117">
        <v>0</v>
      </c>
      <c r="AT5117">
        <v>0</v>
      </c>
    </row>
    <row r="5118" spans="44:46">
      <c r="AR5118">
        <v>0</v>
      </c>
      <c r="AS5118">
        <v>0</v>
      </c>
      <c r="AT5118">
        <v>0</v>
      </c>
    </row>
    <row r="5119" spans="44:46">
      <c r="AR5119">
        <v>0</v>
      </c>
      <c r="AS5119">
        <v>0</v>
      </c>
      <c r="AT5119">
        <v>0</v>
      </c>
    </row>
    <row r="5120" spans="44:46">
      <c r="AR5120">
        <v>0</v>
      </c>
      <c r="AS5120">
        <v>0</v>
      </c>
      <c r="AT5120">
        <v>0</v>
      </c>
    </row>
    <row r="5121" spans="44:46">
      <c r="AR5121">
        <v>0</v>
      </c>
      <c r="AS5121">
        <v>0</v>
      </c>
      <c r="AT5121">
        <v>0</v>
      </c>
    </row>
    <row r="5122" spans="44:46">
      <c r="AR5122">
        <v>0</v>
      </c>
      <c r="AS5122">
        <v>0</v>
      </c>
      <c r="AT5122">
        <v>0</v>
      </c>
    </row>
    <row r="5123" spans="44:46">
      <c r="AR5123">
        <v>0</v>
      </c>
      <c r="AS5123">
        <v>0</v>
      </c>
      <c r="AT5123">
        <v>0</v>
      </c>
    </row>
    <row r="5124" spans="44:46">
      <c r="AR5124">
        <v>0</v>
      </c>
      <c r="AS5124">
        <v>0</v>
      </c>
      <c r="AT5124">
        <v>0</v>
      </c>
    </row>
    <row r="5125" spans="44:46">
      <c r="AR5125">
        <v>0</v>
      </c>
      <c r="AS5125">
        <v>0</v>
      </c>
      <c r="AT5125">
        <v>0</v>
      </c>
    </row>
    <row r="5126" spans="44:46">
      <c r="AR5126">
        <v>0</v>
      </c>
      <c r="AS5126">
        <v>0</v>
      </c>
      <c r="AT5126">
        <v>0</v>
      </c>
    </row>
    <row r="5127" spans="44:46">
      <c r="AR5127">
        <v>0</v>
      </c>
      <c r="AS5127">
        <v>0</v>
      </c>
      <c r="AT5127">
        <v>0</v>
      </c>
    </row>
    <row r="5128" spans="44:46">
      <c r="AR5128">
        <v>0</v>
      </c>
      <c r="AS5128">
        <v>0</v>
      </c>
      <c r="AT5128">
        <v>0</v>
      </c>
    </row>
    <row r="5129" spans="44:46">
      <c r="AR5129">
        <v>0</v>
      </c>
      <c r="AS5129">
        <v>0</v>
      </c>
      <c r="AT5129">
        <v>0</v>
      </c>
    </row>
    <row r="5130" spans="44:46">
      <c r="AR5130">
        <v>0</v>
      </c>
      <c r="AS5130">
        <v>0</v>
      </c>
      <c r="AT5130">
        <v>0</v>
      </c>
    </row>
    <row r="5131" spans="44:46">
      <c r="AR5131">
        <v>0</v>
      </c>
      <c r="AS5131">
        <v>0</v>
      </c>
      <c r="AT5131">
        <v>0</v>
      </c>
    </row>
    <row r="5132" spans="44:46">
      <c r="AR5132">
        <v>0</v>
      </c>
      <c r="AS5132">
        <v>0</v>
      </c>
      <c r="AT5132">
        <v>0</v>
      </c>
    </row>
    <row r="5133" spans="44:46">
      <c r="AR5133">
        <v>0</v>
      </c>
      <c r="AS5133">
        <v>0</v>
      </c>
      <c r="AT5133">
        <v>0</v>
      </c>
    </row>
    <row r="5134" spans="44:46">
      <c r="AR5134">
        <v>0</v>
      </c>
      <c r="AS5134">
        <v>0</v>
      </c>
      <c r="AT5134">
        <v>0</v>
      </c>
    </row>
    <row r="5135" spans="44:46">
      <c r="AR5135">
        <v>0</v>
      </c>
      <c r="AS5135">
        <v>0</v>
      </c>
      <c r="AT5135">
        <v>0</v>
      </c>
    </row>
    <row r="5136" spans="44:46">
      <c r="AR5136">
        <v>0</v>
      </c>
      <c r="AS5136">
        <v>0</v>
      </c>
      <c r="AT5136">
        <v>0</v>
      </c>
    </row>
    <row r="5137" spans="44:46">
      <c r="AR5137">
        <v>0</v>
      </c>
      <c r="AS5137">
        <v>0</v>
      </c>
      <c r="AT5137">
        <v>0</v>
      </c>
    </row>
    <row r="5138" spans="44:46">
      <c r="AR5138">
        <v>0</v>
      </c>
      <c r="AS5138">
        <v>0</v>
      </c>
      <c r="AT5138">
        <v>0</v>
      </c>
    </row>
    <row r="5139" spans="44:46">
      <c r="AR5139">
        <v>0</v>
      </c>
      <c r="AS5139">
        <v>0</v>
      </c>
      <c r="AT5139">
        <v>0</v>
      </c>
    </row>
    <row r="5140" spans="44:46">
      <c r="AR5140">
        <v>0</v>
      </c>
      <c r="AS5140">
        <v>0</v>
      </c>
      <c r="AT5140">
        <v>0</v>
      </c>
    </row>
    <row r="5141" spans="44:46">
      <c r="AR5141">
        <v>0</v>
      </c>
      <c r="AS5141">
        <v>0</v>
      </c>
      <c r="AT5141">
        <v>0</v>
      </c>
    </row>
    <row r="5142" spans="44:46">
      <c r="AR5142">
        <v>0</v>
      </c>
      <c r="AS5142">
        <v>0</v>
      </c>
      <c r="AT5142">
        <v>0</v>
      </c>
    </row>
    <row r="5143" spans="44:46">
      <c r="AR5143">
        <v>0</v>
      </c>
      <c r="AS5143">
        <v>0</v>
      </c>
      <c r="AT5143">
        <v>0</v>
      </c>
    </row>
    <row r="5144" spans="44:46">
      <c r="AR5144">
        <v>0</v>
      </c>
      <c r="AS5144">
        <v>0</v>
      </c>
      <c r="AT5144">
        <v>0</v>
      </c>
    </row>
    <row r="5145" spans="44:46">
      <c r="AR5145">
        <v>0</v>
      </c>
      <c r="AS5145">
        <v>0</v>
      </c>
      <c r="AT5145">
        <v>0</v>
      </c>
    </row>
    <row r="5146" spans="44:46">
      <c r="AR5146">
        <v>0</v>
      </c>
      <c r="AS5146">
        <v>0</v>
      </c>
      <c r="AT5146">
        <v>0</v>
      </c>
    </row>
    <row r="5147" spans="44:46">
      <c r="AR5147">
        <v>0</v>
      </c>
      <c r="AS5147">
        <v>0</v>
      </c>
      <c r="AT5147">
        <v>0</v>
      </c>
    </row>
    <row r="5148" spans="44:46">
      <c r="AR5148">
        <v>0</v>
      </c>
      <c r="AS5148">
        <v>0</v>
      </c>
      <c r="AT5148">
        <v>0</v>
      </c>
    </row>
    <row r="5149" spans="44:46">
      <c r="AR5149">
        <v>0</v>
      </c>
      <c r="AS5149">
        <v>0</v>
      </c>
      <c r="AT5149">
        <v>0</v>
      </c>
    </row>
    <row r="5150" spans="44:46">
      <c r="AR5150">
        <v>0</v>
      </c>
      <c r="AS5150">
        <v>0</v>
      </c>
      <c r="AT5150">
        <v>0</v>
      </c>
    </row>
    <row r="5151" spans="44:46">
      <c r="AR5151">
        <v>0</v>
      </c>
      <c r="AS5151">
        <v>0</v>
      </c>
      <c r="AT5151">
        <v>0</v>
      </c>
    </row>
    <row r="5152" spans="44:46">
      <c r="AR5152">
        <v>0</v>
      </c>
      <c r="AS5152">
        <v>0</v>
      </c>
      <c r="AT5152">
        <v>0</v>
      </c>
    </row>
    <row r="5153" spans="44:46">
      <c r="AR5153">
        <v>0</v>
      </c>
      <c r="AS5153">
        <v>0</v>
      </c>
      <c r="AT5153">
        <v>0</v>
      </c>
    </row>
    <row r="5154" spans="44:46">
      <c r="AR5154">
        <v>0</v>
      </c>
      <c r="AS5154">
        <v>0</v>
      </c>
      <c r="AT5154">
        <v>0</v>
      </c>
    </row>
    <row r="5155" spans="44:46">
      <c r="AR5155">
        <v>0</v>
      </c>
      <c r="AS5155">
        <v>0</v>
      </c>
      <c r="AT5155">
        <v>0</v>
      </c>
    </row>
    <row r="5156" spans="44:46">
      <c r="AR5156">
        <v>0</v>
      </c>
      <c r="AS5156">
        <v>0</v>
      </c>
      <c r="AT5156">
        <v>0</v>
      </c>
    </row>
    <row r="5157" spans="44:46">
      <c r="AR5157">
        <v>0</v>
      </c>
      <c r="AS5157">
        <v>0</v>
      </c>
      <c r="AT5157">
        <v>0</v>
      </c>
    </row>
    <row r="5158" spans="44:46">
      <c r="AR5158">
        <v>0</v>
      </c>
      <c r="AS5158">
        <v>0</v>
      </c>
      <c r="AT5158">
        <v>0</v>
      </c>
    </row>
    <row r="5159" spans="44:46">
      <c r="AR5159">
        <v>0</v>
      </c>
      <c r="AS5159">
        <v>0</v>
      </c>
      <c r="AT5159">
        <v>0</v>
      </c>
    </row>
    <row r="5160" spans="44:46">
      <c r="AR5160">
        <v>0</v>
      </c>
      <c r="AS5160">
        <v>0</v>
      </c>
      <c r="AT5160">
        <v>0</v>
      </c>
    </row>
    <row r="5161" spans="44:46">
      <c r="AR5161">
        <v>0</v>
      </c>
      <c r="AS5161">
        <v>0</v>
      </c>
      <c r="AT5161">
        <v>0</v>
      </c>
    </row>
    <row r="5162" spans="44:46">
      <c r="AR5162">
        <v>0</v>
      </c>
      <c r="AS5162">
        <v>0</v>
      </c>
      <c r="AT5162">
        <v>0</v>
      </c>
    </row>
    <row r="5163" spans="44:46">
      <c r="AR5163">
        <v>0</v>
      </c>
      <c r="AS5163">
        <v>0</v>
      </c>
      <c r="AT5163">
        <v>0</v>
      </c>
    </row>
    <row r="5164" spans="44:46">
      <c r="AR5164">
        <v>0</v>
      </c>
      <c r="AS5164">
        <v>0</v>
      </c>
      <c r="AT5164">
        <v>0</v>
      </c>
    </row>
    <row r="5165" spans="44:46">
      <c r="AR5165">
        <v>0</v>
      </c>
      <c r="AS5165">
        <v>0</v>
      </c>
      <c r="AT5165">
        <v>0</v>
      </c>
    </row>
    <row r="5166" spans="44:46">
      <c r="AR5166">
        <v>0</v>
      </c>
      <c r="AS5166">
        <v>0</v>
      </c>
      <c r="AT5166">
        <v>0</v>
      </c>
    </row>
    <row r="5167" spans="44:46">
      <c r="AR5167">
        <v>0</v>
      </c>
      <c r="AS5167">
        <v>0</v>
      </c>
      <c r="AT5167">
        <v>0</v>
      </c>
    </row>
    <row r="5168" spans="44:46">
      <c r="AR5168">
        <v>0</v>
      </c>
      <c r="AS5168">
        <v>0</v>
      </c>
      <c r="AT5168">
        <v>0</v>
      </c>
    </row>
    <row r="5169" spans="44:46">
      <c r="AR5169">
        <v>0</v>
      </c>
      <c r="AS5169">
        <v>0</v>
      </c>
      <c r="AT5169">
        <v>0</v>
      </c>
    </row>
    <row r="5170" spans="44:46">
      <c r="AR5170">
        <v>0</v>
      </c>
      <c r="AS5170">
        <v>0</v>
      </c>
      <c r="AT5170">
        <v>0</v>
      </c>
    </row>
    <row r="5171" spans="44:46">
      <c r="AR5171">
        <v>0</v>
      </c>
      <c r="AS5171">
        <v>0</v>
      </c>
      <c r="AT5171">
        <v>0</v>
      </c>
    </row>
    <row r="5172" spans="44:46">
      <c r="AR5172">
        <v>0</v>
      </c>
      <c r="AS5172">
        <v>0</v>
      </c>
      <c r="AT5172">
        <v>0</v>
      </c>
    </row>
    <row r="5173" spans="44:46">
      <c r="AR5173">
        <v>0</v>
      </c>
      <c r="AS5173">
        <v>0</v>
      </c>
      <c r="AT5173">
        <v>0</v>
      </c>
    </row>
    <row r="5174" spans="44:46">
      <c r="AR5174">
        <v>0</v>
      </c>
      <c r="AS5174">
        <v>0</v>
      </c>
      <c r="AT5174">
        <v>0</v>
      </c>
    </row>
    <row r="5175" spans="44:46">
      <c r="AR5175">
        <v>0</v>
      </c>
      <c r="AS5175">
        <v>0</v>
      </c>
      <c r="AT5175">
        <v>0</v>
      </c>
    </row>
    <row r="5176" spans="44:46">
      <c r="AR5176">
        <v>0</v>
      </c>
      <c r="AS5176">
        <v>0</v>
      </c>
      <c r="AT5176">
        <v>0</v>
      </c>
    </row>
    <row r="5177" spans="44:46">
      <c r="AR5177">
        <v>0</v>
      </c>
      <c r="AS5177">
        <v>0</v>
      </c>
      <c r="AT5177">
        <v>0</v>
      </c>
    </row>
    <row r="5178" spans="44:46">
      <c r="AR5178">
        <v>0</v>
      </c>
      <c r="AS5178">
        <v>0</v>
      </c>
      <c r="AT5178">
        <v>0</v>
      </c>
    </row>
    <row r="5179" spans="44:46">
      <c r="AR5179">
        <v>0</v>
      </c>
      <c r="AS5179">
        <v>0</v>
      </c>
      <c r="AT5179">
        <v>0</v>
      </c>
    </row>
    <row r="5180" spans="44:46">
      <c r="AR5180">
        <v>0</v>
      </c>
      <c r="AS5180">
        <v>0</v>
      </c>
      <c r="AT5180">
        <v>0</v>
      </c>
    </row>
    <row r="5181" spans="44:46">
      <c r="AR5181">
        <v>0</v>
      </c>
      <c r="AS5181">
        <v>0</v>
      </c>
      <c r="AT5181">
        <v>0</v>
      </c>
    </row>
    <row r="5182" spans="44:46">
      <c r="AR5182">
        <v>0</v>
      </c>
      <c r="AS5182">
        <v>0</v>
      </c>
      <c r="AT5182">
        <v>0</v>
      </c>
    </row>
    <row r="5183" spans="44:46">
      <c r="AR5183">
        <v>0</v>
      </c>
      <c r="AS5183">
        <v>0</v>
      </c>
      <c r="AT5183">
        <v>0</v>
      </c>
    </row>
    <row r="5184" spans="44:46">
      <c r="AR5184">
        <v>0</v>
      </c>
      <c r="AS5184">
        <v>0</v>
      </c>
      <c r="AT5184">
        <v>0</v>
      </c>
    </row>
    <row r="5185" spans="44:46">
      <c r="AR5185">
        <v>0</v>
      </c>
      <c r="AS5185">
        <v>0</v>
      </c>
      <c r="AT5185">
        <v>0</v>
      </c>
    </row>
    <row r="5186" spans="44:46">
      <c r="AR5186">
        <v>0</v>
      </c>
      <c r="AS5186">
        <v>0</v>
      </c>
      <c r="AT5186">
        <v>0</v>
      </c>
    </row>
    <row r="5187" spans="44:46">
      <c r="AR5187">
        <v>0</v>
      </c>
      <c r="AS5187">
        <v>0</v>
      </c>
      <c r="AT5187">
        <v>0</v>
      </c>
    </row>
    <row r="5188" spans="44:46">
      <c r="AR5188">
        <v>0</v>
      </c>
      <c r="AS5188">
        <v>0</v>
      </c>
      <c r="AT5188">
        <v>0</v>
      </c>
    </row>
    <row r="5189" spans="44:46">
      <c r="AR5189">
        <v>0</v>
      </c>
      <c r="AS5189">
        <v>0</v>
      </c>
      <c r="AT5189">
        <v>0</v>
      </c>
    </row>
    <row r="5190" spans="44:46">
      <c r="AR5190">
        <v>0</v>
      </c>
      <c r="AS5190">
        <v>0</v>
      </c>
      <c r="AT5190">
        <v>0</v>
      </c>
    </row>
    <row r="5191" spans="44:46">
      <c r="AR5191">
        <v>0</v>
      </c>
      <c r="AS5191">
        <v>0</v>
      </c>
      <c r="AT5191">
        <v>0</v>
      </c>
    </row>
    <row r="5192" spans="44:46">
      <c r="AR5192">
        <v>0</v>
      </c>
      <c r="AS5192">
        <v>0</v>
      </c>
      <c r="AT5192">
        <v>0</v>
      </c>
    </row>
    <row r="5193" spans="44:46">
      <c r="AR5193">
        <v>0</v>
      </c>
      <c r="AS5193">
        <v>0</v>
      </c>
      <c r="AT5193">
        <v>0</v>
      </c>
    </row>
    <row r="5194" spans="44:46">
      <c r="AR5194">
        <v>0</v>
      </c>
      <c r="AS5194">
        <v>0</v>
      </c>
      <c r="AT5194">
        <v>0</v>
      </c>
    </row>
    <row r="5195" spans="44:46">
      <c r="AR5195">
        <v>0</v>
      </c>
      <c r="AS5195">
        <v>0</v>
      </c>
      <c r="AT5195">
        <v>0</v>
      </c>
    </row>
    <row r="5196" spans="44:46">
      <c r="AR5196">
        <v>0</v>
      </c>
      <c r="AS5196">
        <v>0</v>
      </c>
      <c r="AT5196">
        <v>0</v>
      </c>
    </row>
    <row r="5197" spans="44:46">
      <c r="AR5197">
        <v>0</v>
      </c>
      <c r="AS5197">
        <v>0</v>
      </c>
      <c r="AT5197">
        <v>0</v>
      </c>
    </row>
    <row r="5198" spans="44:46">
      <c r="AR5198">
        <v>0</v>
      </c>
      <c r="AS5198">
        <v>0</v>
      </c>
      <c r="AT5198">
        <v>0</v>
      </c>
    </row>
    <row r="5199" spans="44:46">
      <c r="AR5199">
        <v>0</v>
      </c>
      <c r="AS5199">
        <v>0</v>
      </c>
      <c r="AT5199">
        <v>0</v>
      </c>
    </row>
    <row r="5200" spans="44:46">
      <c r="AR5200">
        <v>0</v>
      </c>
      <c r="AS5200">
        <v>0</v>
      </c>
      <c r="AT5200">
        <v>0</v>
      </c>
    </row>
    <row r="5201" spans="44:46">
      <c r="AR5201">
        <v>0</v>
      </c>
      <c r="AS5201">
        <v>0</v>
      </c>
      <c r="AT5201">
        <v>0</v>
      </c>
    </row>
    <row r="5202" spans="44:46">
      <c r="AR5202">
        <v>0</v>
      </c>
      <c r="AS5202">
        <v>0</v>
      </c>
      <c r="AT5202">
        <v>0</v>
      </c>
    </row>
    <row r="5203" spans="44:46">
      <c r="AR5203">
        <v>0</v>
      </c>
      <c r="AS5203">
        <v>0</v>
      </c>
      <c r="AT5203">
        <v>0</v>
      </c>
    </row>
    <row r="5204" spans="44:46">
      <c r="AR5204">
        <v>0</v>
      </c>
      <c r="AS5204">
        <v>0</v>
      </c>
      <c r="AT5204">
        <v>0</v>
      </c>
    </row>
    <row r="5205" spans="44:46">
      <c r="AR5205">
        <v>0</v>
      </c>
      <c r="AS5205">
        <v>0</v>
      </c>
      <c r="AT5205">
        <v>0</v>
      </c>
    </row>
    <row r="5206" spans="44:46">
      <c r="AR5206">
        <v>0</v>
      </c>
      <c r="AS5206">
        <v>0</v>
      </c>
      <c r="AT5206">
        <v>0</v>
      </c>
    </row>
    <row r="5207" spans="44:46">
      <c r="AR5207">
        <v>0</v>
      </c>
      <c r="AS5207">
        <v>0</v>
      </c>
      <c r="AT5207">
        <v>0</v>
      </c>
    </row>
    <row r="5208" spans="44:46">
      <c r="AR5208">
        <v>0</v>
      </c>
      <c r="AS5208">
        <v>0</v>
      </c>
      <c r="AT5208">
        <v>0</v>
      </c>
    </row>
    <row r="5209" spans="44:46">
      <c r="AR5209">
        <v>0</v>
      </c>
      <c r="AS5209">
        <v>0</v>
      </c>
      <c r="AT5209">
        <v>0</v>
      </c>
    </row>
    <row r="5210" spans="44:46">
      <c r="AR5210">
        <v>0</v>
      </c>
      <c r="AS5210">
        <v>0</v>
      </c>
      <c r="AT5210">
        <v>0</v>
      </c>
    </row>
    <row r="5211" spans="44:46">
      <c r="AR5211">
        <v>0</v>
      </c>
      <c r="AS5211">
        <v>0</v>
      </c>
      <c r="AT5211">
        <v>0</v>
      </c>
    </row>
    <row r="5212" spans="44:46">
      <c r="AR5212">
        <v>0</v>
      </c>
      <c r="AS5212">
        <v>0</v>
      </c>
      <c r="AT5212">
        <v>0</v>
      </c>
    </row>
    <row r="5213" spans="44:46">
      <c r="AR5213">
        <v>0</v>
      </c>
      <c r="AS5213">
        <v>0</v>
      </c>
      <c r="AT5213">
        <v>0</v>
      </c>
    </row>
    <row r="5214" spans="44:46">
      <c r="AR5214">
        <v>0</v>
      </c>
      <c r="AS5214">
        <v>0</v>
      </c>
      <c r="AT5214">
        <v>0</v>
      </c>
    </row>
    <row r="5215" spans="44:46">
      <c r="AR5215">
        <v>0</v>
      </c>
      <c r="AS5215">
        <v>0</v>
      </c>
      <c r="AT5215">
        <v>0</v>
      </c>
    </row>
    <row r="5216" spans="44:46">
      <c r="AR5216">
        <v>0</v>
      </c>
      <c r="AS5216">
        <v>0</v>
      </c>
      <c r="AT5216">
        <v>0</v>
      </c>
    </row>
    <row r="5217" spans="44:46">
      <c r="AR5217">
        <v>0</v>
      </c>
      <c r="AS5217">
        <v>0</v>
      </c>
      <c r="AT5217">
        <v>0</v>
      </c>
    </row>
    <row r="5218" spans="44:46">
      <c r="AR5218">
        <v>0</v>
      </c>
      <c r="AS5218">
        <v>0</v>
      </c>
      <c r="AT5218">
        <v>0</v>
      </c>
    </row>
    <row r="5219" spans="44:46">
      <c r="AR5219">
        <v>0</v>
      </c>
      <c r="AS5219">
        <v>0</v>
      </c>
      <c r="AT5219">
        <v>0</v>
      </c>
    </row>
    <row r="5220" spans="44:46">
      <c r="AR5220">
        <v>0</v>
      </c>
      <c r="AS5220">
        <v>0</v>
      </c>
      <c r="AT5220">
        <v>0</v>
      </c>
    </row>
    <row r="5221" spans="44:46">
      <c r="AR5221">
        <v>0</v>
      </c>
      <c r="AS5221">
        <v>0</v>
      </c>
      <c r="AT5221">
        <v>0</v>
      </c>
    </row>
    <row r="5222" spans="44:46">
      <c r="AR5222">
        <v>0</v>
      </c>
      <c r="AS5222">
        <v>0</v>
      </c>
      <c r="AT5222">
        <v>0</v>
      </c>
    </row>
    <row r="5223" spans="44:46">
      <c r="AR5223">
        <v>0</v>
      </c>
      <c r="AS5223">
        <v>0</v>
      </c>
      <c r="AT5223">
        <v>0</v>
      </c>
    </row>
    <row r="5224" spans="44:46">
      <c r="AR5224">
        <v>0</v>
      </c>
      <c r="AS5224">
        <v>0</v>
      </c>
      <c r="AT5224">
        <v>0</v>
      </c>
    </row>
    <row r="5225" spans="44:46">
      <c r="AR5225">
        <v>0</v>
      </c>
      <c r="AS5225">
        <v>0</v>
      </c>
      <c r="AT5225">
        <v>0</v>
      </c>
    </row>
    <row r="5226" spans="44:46">
      <c r="AR5226">
        <v>0</v>
      </c>
      <c r="AS5226">
        <v>0</v>
      </c>
      <c r="AT5226">
        <v>0</v>
      </c>
    </row>
    <row r="5227" spans="44:46">
      <c r="AR5227">
        <v>0</v>
      </c>
      <c r="AS5227">
        <v>0</v>
      </c>
      <c r="AT5227">
        <v>0</v>
      </c>
    </row>
    <row r="5228" spans="44:46">
      <c r="AR5228">
        <v>0</v>
      </c>
      <c r="AS5228">
        <v>0</v>
      </c>
      <c r="AT5228">
        <v>0</v>
      </c>
    </row>
    <row r="5229" spans="44:46">
      <c r="AR5229">
        <v>0</v>
      </c>
      <c r="AS5229">
        <v>0</v>
      </c>
      <c r="AT5229">
        <v>0</v>
      </c>
    </row>
    <row r="5230" spans="44:46">
      <c r="AR5230">
        <v>0</v>
      </c>
      <c r="AS5230">
        <v>0</v>
      </c>
      <c r="AT5230">
        <v>0</v>
      </c>
    </row>
    <row r="5231" spans="44:46">
      <c r="AR5231">
        <v>0</v>
      </c>
      <c r="AS5231">
        <v>0</v>
      </c>
      <c r="AT5231">
        <v>0</v>
      </c>
    </row>
    <row r="5232" spans="44:46">
      <c r="AR5232">
        <v>0</v>
      </c>
      <c r="AS5232">
        <v>0</v>
      </c>
      <c r="AT5232">
        <v>0</v>
      </c>
    </row>
    <row r="5233" spans="44:46">
      <c r="AR5233">
        <v>0</v>
      </c>
      <c r="AS5233">
        <v>0</v>
      </c>
      <c r="AT5233">
        <v>0</v>
      </c>
    </row>
    <row r="5234" spans="44:46">
      <c r="AR5234">
        <v>0</v>
      </c>
      <c r="AS5234">
        <v>0</v>
      </c>
      <c r="AT5234">
        <v>0</v>
      </c>
    </row>
    <row r="5235" spans="44:46">
      <c r="AR5235">
        <v>0</v>
      </c>
      <c r="AS5235">
        <v>0</v>
      </c>
      <c r="AT5235">
        <v>0</v>
      </c>
    </row>
    <row r="5236" spans="44:46">
      <c r="AR5236">
        <v>0</v>
      </c>
      <c r="AS5236">
        <v>0</v>
      </c>
      <c r="AT5236">
        <v>0</v>
      </c>
    </row>
    <row r="5237" spans="44:46">
      <c r="AR5237">
        <v>0</v>
      </c>
      <c r="AS5237">
        <v>0</v>
      </c>
      <c r="AT5237">
        <v>0</v>
      </c>
    </row>
    <row r="5238" spans="44:46">
      <c r="AR5238">
        <v>0</v>
      </c>
      <c r="AS5238">
        <v>0</v>
      </c>
      <c r="AT5238">
        <v>0</v>
      </c>
    </row>
    <row r="5239" spans="44:46">
      <c r="AR5239">
        <v>0</v>
      </c>
      <c r="AS5239">
        <v>0</v>
      </c>
      <c r="AT5239">
        <v>0</v>
      </c>
    </row>
    <row r="5240" spans="44:46">
      <c r="AR5240">
        <v>0</v>
      </c>
      <c r="AS5240">
        <v>0</v>
      </c>
      <c r="AT5240">
        <v>0</v>
      </c>
    </row>
    <row r="5241" spans="44:46">
      <c r="AR5241">
        <v>0</v>
      </c>
      <c r="AS5241">
        <v>0</v>
      </c>
      <c r="AT5241">
        <v>0</v>
      </c>
    </row>
    <row r="5242" spans="44:46">
      <c r="AR5242">
        <v>0</v>
      </c>
      <c r="AS5242">
        <v>0</v>
      </c>
      <c r="AT5242">
        <v>0</v>
      </c>
    </row>
    <row r="5243" spans="44:46">
      <c r="AR5243">
        <v>0</v>
      </c>
      <c r="AS5243">
        <v>0</v>
      </c>
      <c r="AT5243">
        <v>0</v>
      </c>
    </row>
    <row r="5244" spans="44:46">
      <c r="AR5244">
        <v>0</v>
      </c>
      <c r="AS5244">
        <v>0</v>
      </c>
      <c r="AT5244">
        <v>0</v>
      </c>
    </row>
    <row r="5245" spans="44:46">
      <c r="AR5245">
        <v>0</v>
      </c>
      <c r="AS5245">
        <v>0</v>
      </c>
      <c r="AT5245">
        <v>0</v>
      </c>
    </row>
    <row r="5246" spans="44:46">
      <c r="AR5246">
        <v>0</v>
      </c>
      <c r="AS5246">
        <v>0</v>
      </c>
      <c r="AT5246">
        <v>0</v>
      </c>
    </row>
    <row r="5247" spans="44:46">
      <c r="AR5247">
        <v>0</v>
      </c>
      <c r="AS5247">
        <v>0</v>
      </c>
      <c r="AT5247">
        <v>0</v>
      </c>
    </row>
    <row r="5248" spans="44:46">
      <c r="AR5248">
        <v>0</v>
      </c>
      <c r="AS5248">
        <v>0</v>
      </c>
      <c r="AT5248">
        <v>0</v>
      </c>
    </row>
    <row r="5249" spans="44:46">
      <c r="AR5249">
        <v>0</v>
      </c>
      <c r="AS5249">
        <v>0</v>
      </c>
      <c r="AT5249">
        <v>0</v>
      </c>
    </row>
    <row r="5250" spans="44:46">
      <c r="AR5250">
        <v>0</v>
      </c>
      <c r="AS5250">
        <v>0</v>
      </c>
      <c r="AT5250">
        <v>0</v>
      </c>
    </row>
    <row r="5251" spans="44:46">
      <c r="AR5251">
        <v>0</v>
      </c>
      <c r="AS5251">
        <v>0</v>
      </c>
      <c r="AT5251">
        <v>0</v>
      </c>
    </row>
    <row r="5252" spans="44:46">
      <c r="AR5252">
        <v>0</v>
      </c>
      <c r="AS5252">
        <v>0</v>
      </c>
      <c r="AT5252">
        <v>0</v>
      </c>
    </row>
    <row r="5253" spans="44:46">
      <c r="AR5253">
        <v>0</v>
      </c>
      <c r="AS5253">
        <v>0</v>
      </c>
      <c r="AT5253">
        <v>0</v>
      </c>
    </row>
    <row r="5254" spans="44:46">
      <c r="AR5254">
        <v>0</v>
      </c>
      <c r="AS5254">
        <v>0</v>
      </c>
      <c r="AT5254">
        <v>0</v>
      </c>
    </row>
    <row r="5255" spans="44:46">
      <c r="AR5255">
        <v>0</v>
      </c>
      <c r="AS5255">
        <v>0</v>
      </c>
      <c r="AT5255">
        <v>0</v>
      </c>
    </row>
    <row r="5256" spans="44:46">
      <c r="AR5256">
        <v>0</v>
      </c>
      <c r="AS5256">
        <v>0</v>
      </c>
      <c r="AT5256">
        <v>0</v>
      </c>
    </row>
    <row r="5257" spans="44:46">
      <c r="AR5257">
        <v>0</v>
      </c>
      <c r="AS5257">
        <v>0</v>
      </c>
      <c r="AT5257">
        <v>0</v>
      </c>
    </row>
    <row r="5258" spans="44:46">
      <c r="AR5258">
        <v>0</v>
      </c>
      <c r="AS5258">
        <v>0</v>
      </c>
      <c r="AT5258">
        <v>0</v>
      </c>
    </row>
    <row r="5259" spans="44:46">
      <c r="AR5259">
        <v>0</v>
      </c>
      <c r="AS5259">
        <v>0</v>
      </c>
      <c r="AT5259">
        <v>0</v>
      </c>
    </row>
    <row r="5260" spans="44:46">
      <c r="AR5260">
        <v>0</v>
      </c>
      <c r="AS5260">
        <v>0</v>
      </c>
      <c r="AT5260">
        <v>0</v>
      </c>
    </row>
    <row r="5261" spans="44:46">
      <c r="AR5261">
        <v>0</v>
      </c>
      <c r="AS5261">
        <v>0</v>
      </c>
      <c r="AT5261">
        <v>0</v>
      </c>
    </row>
    <row r="5262" spans="44:46">
      <c r="AR5262">
        <v>0</v>
      </c>
      <c r="AS5262">
        <v>0</v>
      </c>
      <c r="AT5262">
        <v>0</v>
      </c>
    </row>
    <row r="5263" spans="44:46">
      <c r="AR5263">
        <v>0</v>
      </c>
      <c r="AS5263">
        <v>0</v>
      </c>
      <c r="AT5263">
        <v>0</v>
      </c>
    </row>
    <row r="5264" spans="44:46">
      <c r="AR5264">
        <v>0</v>
      </c>
      <c r="AS5264">
        <v>0</v>
      </c>
      <c r="AT5264">
        <v>0</v>
      </c>
    </row>
    <row r="5265" spans="44:46">
      <c r="AR5265">
        <v>0</v>
      </c>
      <c r="AS5265">
        <v>0</v>
      </c>
      <c r="AT5265">
        <v>0</v>
      </c>
    </row>
    <row r="5266" spans="44:46">
      <c r="AR5266">
        <v>0</v>
      </c>
      <c r="AS5266">
        <v>0</v>
      </c>
      <c r="AT5266">
        <v>0</v>
      </c>
    </row>
    <row r="5267" spans="44:46">
      <c r="AR5267">
        <v>0</v>
      </c>
      <c r="AS5267">
        <v>0</v>
      </c>
      <c r="AT5267">
        <v>0</v>
      </c>
    </row>
    <row r="5268" spans="44:46">
      <c r="AR5268">
        <v>0</v>
      </c>
      <c r="AS5268">
        <v>0</v>
      </c>
      <c r="AT5268">
        <v>0</v>
      </c>
    </row>
    <row r="5269" spans="44:46">
      <c r="AR5269">
        <v>0</v>
      </c>
      <c r="AS5269">
        <v>0</v>
      </c>
      <c r="AT5269">
        <v>0</v>
      </c>
    </row>
    <row r="5270" spans="44:46">
      <c r="AR5270">
        <v>0</v>
      </c>
      <c r="AS5270">
        <v>0</v>
      </c>
      <c r="AT5270">
        <v>0</v>
      </c>
    </row>
    <row r="5271" spans="44:46">
      <c r="AR5271">
        <v>0</v>
      </c>
      <c r="AS5271">
        <v>0</v>
      </c>
      <c r="AT5271">
        <v>0</v>
      </c>
    </row>
    <row r="5272" spans="44:46">
      <c r="AR5272">
        <v>0</v>
      </c>
      <c r="AS5272">
        <v>0</v>
      </c>
      <c r="AT5272">
        <v>0</v>
      </c>
    </row>
    <row r="5273" spans="44:46">
      <c r="AR5273">
        <v>0</v>
      </c>
      <c r="AS5273">
        <v>0</v>
      </c>
      <c r="AT5273">
        <v>0</v>
      </c>
    </row>
    <row r="5274" spans="44:46">
      <c r="AR5274">
        <v>0</v>
      </c>
      <c r="AS5274">
        <v>0</v>
      </c>
      <c r="AT5274">
        <v>0</v>
      </c>
    </row>
    <row r="5275" spans="44:46">
      <c r="AR5275">
        <v>0</v>
      </c>
      <c r="AS5275">
        <v>0</v>
      </c>
      <c r="AT5275">
        <v>0</v>
      </c>
    </row>
    <row r="5276" spans="44:46">
      <c r="AR5276">
        <v>0</v>
      </c>
      <c r="AS5276">
        <v>0</v>
      </c>
      <c r="AT5276">
        <v>0</v>
      </c>
    </row>
    <row r="5277" spans="44:46">
      <c r="AR5277">
        <v>0</v>
      </c>
      <c r="AS5277">
        <v>0</v>
      </c>
      <c r="AT5277">
        <v>0</v>
      </c>
    </row>
    <row r="5278" spans="44:46">
      <c r="AR5278">
        <v>0</v>
      </c>
      <c r="AS5278">
        <v>0</v>
      </c>
      <c r="AT5278">
        <v>0</v>
      </c>
    </row>
    <row r="5279" spans="44:46">
      <c r="AR5279">
        <v>0</v>
      </c>
      <c r="AS5279">
        <v>0</v>
      </c>
      <c r="AT5279">
        <v>0</v>
      </c>
    </row>
    <row r="5280" spans="44:46">
      <c r="AR5280">
        <v>0</v>
      </c>
      <c r="AS5280">
        <v>0</v>
      </c>
      <c r="AT5280">
        <v>0</v>
      </c>
    </row>
    <row r="5281" spans="44:46">
      <c r="AR5281">
        <v>0</v>
      </c>
      <c r="AS5281">
        <v>0</v>
      </c>
      <c r="AT5281">
        <v>0</v>
      </c>
    </row>
    <row r="5282" spans="44:46">
      <c r="AR5282">
        <v>0</v>
      </c>
      <c r="AS5282">
        <v>0</v>
      </c>
      <c r="AT5282">
        <v>0</v>
      </c>
    </row>
    <row r="5283" spans="44:46">
      <c r="AR5283">
        <v>0</v>
      </c>
      <c r="AS5283">
        <v>0</v>
      </c>
      <c r="AT5283">
        <v>0</v>
      </c>
    </row>
    <row r="5284" spans="44:46">
      <c r="AR5284">
        <v>0</v>
      </c>
      <c r="AS5284">
        <v>0</v>
      </c>
      <c r="AT5284">
        <v>0</v>
      </c>
    </row>
    <row r="5285" spans="44:46">
      <c r="AR5285">
        <v>0</v>
      </c>
      <c r="AS5285">
        <v>0</v>
      </c>
      <c r="AT5285">
        <v>0</v>
      </c>
    </row>
    <row r="5286" spans="44:46">
      <c r="AR5286">
        <v>0</v>
      </c>
      <c r="AS5286">
        <v>0</v>
      </c>
      <c r="AT5286">
        <v>0</v>
      </c>
    </row>
    <row r="5287" spans="44:46">
      <c r="AR5287">
        <v>0</v>
      </c>
      <c r="AS5287">
        <v>0</v>
      </c>
      <c r="AT5287">
        <v>0</v>
      </c>
    </row>
    <row r="5288" spans="44:46">
      <c r="AR5288">
        <v>0</v>
      </c>
      <c r="AS5288">
        <v>0</v>
      </c>
      <c r="AT5288">
        <v>0</v>
      </c>
    </row>
    <row r="5289" spans="44:46">
      <c r="AR5289">
        <v>0</v>
      </c>
      <c r="AS5289">
        <v>0</v>
      </c>
      <c r="AT5289">
        <v>0</v>
      </c>
    </row>
    <row r="5290" spans="44:46">
      <c r="AR5290">
        <v>0</v>
      </c>
      <c r="AS5290">
        <v>0</v>
      </c>
      <c r="AT5290">
        <v>0</v>
      </c>
    </row>
    <row r="5291" spans="44:46">
      <c r="AR5291">
        <v>0</v>
      </c>
      <c r="AS5291">
        <v>0</v>
      </c>
      <c r="AT5291">
        <v>0</v>
      </c>
    </row>
    <row r="5292" spans="44:46">
      <c r="AR5292">
        <v>0</v>
      </c>
      <c r="AS5292">
        <v>0</v>
      </c>
      <c r="AT5292">
        <v>0</v>
      </c>
    </row>
    <row r="5293" spans="44:46">
      <c r="AR5293">
        <v>0</v>
      </c>
      <c r="AS5293">
        <v>0</v>
      </c>
      <c r="AT5293">
        <v>0</v>
      </c>
    </row>
    <row r="5294" spans="44:46">
      <c r="AR5294">
        <v>0</v>
      </c>
      <c r="AS5294">
        <v>0</v>
      </c>
      <c r="AT5294">
        <v>0</v>
      </c>
    </row>
    <row r="5295" spans="44:46">
      <c r="AR5295">
        <v>0</v>
      </c>
      <c r="AS5295">
        <v>0</v>
      </c>
      <c r="AT5295">
        <v>0</v>
      </c>
    </row>
    <row r="5296" spans="44:46">
      <c r="AR5296">
        <v>0</v>
      </c>
      <c r="AS5296">
        <v>0</v>
      </c>
      <c r="AT5296">
        <v>0</v>
      </c>
    </row>
    <row r="5297" spans="44:46">
      <c r="AR5297">
        <v>0</v>
      </c>
      <c r="AS5297">
        <v>0</v>
      </c>
      <c r="AT5297">
        <v>0</v>
      </c>
    </row>
    <row r="5298" spans="44:46">
      <c r="AR5298">
        <v>0</v>
      </c>
      <c r="AS5298">
        <v>0</v>
      </c>
      <c r="AT5298">
        <v>0</v>
      </c>
    </row>
    <row r="5299" spans="44:46">
      <c r="AR5299">
        <v>0</v>
      </c>
      <c r="AS5299">
        <v>0</v>
      </c>
      <c r="AT5299">
        <v>0</v>
      </c>
    </row>
    <row r="5300" spans="44:46">
      <c r="AR5300">
        <v>0</v>
      </c>
      <c r="AS5300">
        <v>0</v>
      </c>
      <c r="AT5300">
        <v>0</v>
      </c>
    </row>
    <row r="5301" spans="44:46">
      <c r="AR5301">
        <v>0</v>
      </c>
      <c r="AS5301">
        <v>0</v>
      </c>
      <c r="AT5301">
        <v>0</v>
      </c>
    </row>
    <row r="5302" spans="44:46">
      <c r="AR5302">
        <v>0</v>
      </c>
      <c r="AS5302">
        <v>0</v>
      </c>
      <c r="AT5302">
        <v>0</v>
      </c>
    </row>
    <row r="5303" spans="44:46">
      <c r="AR5303">
        <v>0</v>
      </c>
      <c r="AS5303">
        <v>0</v>
      </c>
      <c r="AT5303">
        <v>0</v>
      </c>
    </row>
    <row r="5304" spans="44:46">
      <c r="AR5304">
        <v>0</v>
      </c>
      <c r="AS5304">
        <v>0</v>
      </c>
      <c r="AT5304">
        <v>0</v>
      </c>
    </row>
    <row r="5305" spans="44:46">
      <c r="AR5305">
        <v>0</v>
      </c>
      <c r="AS5305">
        <v>0</v>
      </c>
      <c r="AT5305">
        <v>0</v>
      </c>
    </row>
    <row r="5306" spans="44:46">
      <c r="AR5306">
        <v>0</v>
      </c>
      <c r="AS5306">
        <v>0</v>
      </c>
      <c r="AT5306">
        <v>0</v>
      </c>
    </row>
    <row r="5307" spans="44:46">
      <c r="AR5307">
        <v>0</v>
      </c>
      <c r="AS5307">
        <v>0</v>
      </c>
      <c r="AT5307">
        <v>0</v>
      </c>
    </row>
    <row r="5308" spans="44:46">
      <c r="AR5308">
        <v>0</v>
      </c>
      <c r="AS5308">
        <v>0</v>
      </c>
      <c r="AT5308">
        <v>0</v>
      </c>
    </row>
    <row r="5309" spans="44:46">
      <c r="AR5309">
        <v>0</v>
      </c>
      <c r="AS5309">
        <v>0</v>
      </c>
      <c r="AT5309">
        <v>0</v>
      </c>
    </row>
    <row r="5310" spans="44:46">
      <c r="AR5310">
        <v>0</v>
      </c>
      <c r="AS5310">
        <v>0</v>
      </c>
      <c r="AT5310">
        <v>0</v>
      </c>
    </row>
    <row r="5311" spans="44:46">
      <c r="AR5311">
        <v>0</v>
      </c>
      <c r="AS5311">
        <v>0</v>
      </c>
      <c r="AT5311">
        <v>0</v>
      </c>
    </row>
    <row r="5312" spans="44:46">
      <c r="AR5312">
        <v>0</v>
      </c>
      <c r="AS5312">
        <v>0</v>
      </c>
      <c r="AT5312">
        <v>0</v>
      </c>
    </row>
    <row r="5313" spans="44:46">
      <c r="AR5313">
        <v>0</v>
      </c>
      <c r="AS5313">
        <v>0</v>
      </c>
      <c r="AT5313">
        <v>0</v>
      </c>
    </row>
    <row r="5314" spans="44:46">
      <c r="AR5314">
        <v>0</v>
      </c>
      <c r="AS5314">
        <v>0</v>
      </c>
      <c r="AT5314">
        <v>0</v>
      </c>
    </row>
    <row r="5315" spans="44:46">
      <c r="AR5315">
        <v>0</v>
      </c>
      <c r="AS5315">
        <v>0</v>
      </c>
      <c r="AT5315">
        <v>0</v>
      </c>
    </row>
    <row r="5316" spans="44:46">
      <c r="AR5316">
        <v>0</v>
      </c>
      <c r="AS5316">
        <v>0</v>
      </c>
      <c r="AT5316">
        <v>0</v>
      </c>
    </row>
    <row r="5317" spans="44:46">
      <c r="AR5317">
        <v>0</v>
      </c>
      <c r="AS5317">
        <v>0</v>
      </c>
      <c r="AT5317">
        <v>0</v>
      </c>
    </row>
    <row r="5318" spans="44:46">
      <c r="AR5318">
        <v>0</v>
      </c>
      <c r="AS5318">
        <v>0</v>
      </c>
      <c r="AT5318">
        <v>0</v>
      </c>
    </row>
    <row r="5319" spans="44:46">
      <c r="AR5319">
        <v>0</v>
      </c>
      <c r="AS5319">
        <v>0</v>
      </c>
      <c r="AT5319">
        <v>0</v>
      </c>
    </row>
    <row r="5320" spans="44:46">
      <c r="AR5320">
        <v>0</v>
      </c>
      <c r="AS5320">
        <v>0</v>
      </c>
      <c r="AT5320">
        <v>0</v>
      </c>
    </row>
    <row r="5321" spans="44:46">
      <c r="AR5321">
        <v>0</v>
      </c>
      <c r="AS5321">
        <v>0</v>
      </c>
      <c r="AT5321">
        <v>0</v>
      </c>
    </row>
    <row r="5322" spans="44:46">
      <c r="AR5322">
        <v>0</v>
      </c>
      <c r="AS5322">
        <v>0</v>
      </c>
      <c r="AT5322">
        <v>0</v>
      </c>
    </row>
    <row r="5323" spans="44:46">
      <c r="AR5323">
        <v>0</v>
      </c>
      <c r="AS5323">
        <v>0</v>
      </c>
      <c r="AT5323">
        <v>0</v>
      </c>
    </row>
    <row r="5324" spans="44:46">
      <c r="AR5324">
        <v>0</v>
      </c>
      <c r="AS5324">
        <v>0</v>
      </c>
      <c r="AT5324">
        <v>0</v>
      </c>
    </row>
    <row r="5325" spans="44:46">
      <c r="AR5325">
        <v>0</v>
      </c>
      <c r="AS5325">
        <v>0</v>
      </c>
      <c r="AT5325">
        <v>0</v>
      </c>
    </row>
    <row r="5326" spans="44:46">
      <c r="AR5326">
        <v>0</v>
      </c>
      <c r="AS5326">
        <v>0</v>
      </c>
      <c r="AT5326">
        <v>0</v>
      </c>
    </row>
    <row r="5327" spans="44:46">
      <c r="AR5327">
        <v>0</v>
      </c>
      <c r="AS5327">
        <v>0</v>
      </c>
      <c r="AT5327">
        <v>0</v>
      </c>
    </row>
    <row r="5328" spans="44:46">
      <c r="AR5328">
        <v>0</v>
      </c>
      <c r="AS5328">
        <v>0</v>
      </c>
      <c r="AT5328">
        <v>0</v>
      </c>
    </row>
    <row r="5329" spans="44:46">
      <c r="AR5329">
        <v>0</v>
      </c>
      <c r="AS5329">
        <v>0</v>
      </c>
      <c r="AT5329">
        <v>0</v>
      </c>
    </row>
    <row r="5330" spans="44:46">
      <c r="AR5330">
        <v>0</v>
      </c>
      <c r="AS5330">
        <v>0</v>
      </c>
      <c r="AT5330">
        <v>0</v>
      </c>
    </row>
    <row r="5331" spans="44:46">
      <c r="AR5331">
        <v>0</v>
      </c>
      <c r="AS5331">
        <v>0</v>
      </c>
      <c r="AT5331">
        <v>0</v>
      </c>
    </row>
    <row r="5332" spans="44:46">
      <c r="AR5332">
        <v>0</v>
      </c>
      <c r="AS5332">
        <v>0</v>
      </c>
      <c r="AT5332">
        <v>0</v>
      </c>
    </row>
    <row r="5333" spans="44:46">
      <c r="AR5333">
        <v>0</v>
      </c>
      <c r="AS5333">
        <v>0</v>
      </c>
      <c r="AT5333">
        <v>0</v>
      </c>
    </row>
    <row r="5334" spans="44:46">
      <c r="AR5334">
        <v>0</v>
      </c>
      <c r="AS5334">
        <v>0</v>
      </c>
      <c r="AT5334">
        <v>0</v>
      </c>
    </row>
    <row r="5335" spans="44:46">
      <c r="AR5335">
        <v>0</v>
      </c>
      <c r="AS5335">
        <v>0</v>
      </c>
      <c r="AT5335">
        <v>0</v>
      </c>
    </row>
    <row r="5336" spans="44:46">
      <c r="AR5336">
        <v>0</v>
      </c>
      <c r="AS5336">
        <v>0</v>
      </c>
      <c r="AT5336">
        <v>0</v>
      </c>
    </row>
    <row r="5337" spans="44:46">
      <c r="AR5337">
        <v>0</v>
      </c>
      <c r="AS5337">
        <v>0</v>
      </c>
      <c r="AT5337">
        <v>0</v>
      </c>
    </row>
    <row r="5338" spans="44:46">
      <c r="AR5338">
        <v>0</v>
      </c>
      <c r="AS5338">
        <v>0</v>
      </c>
      <c r="AT5338">
        <v>0</v>
      </c>
    </row>
    <row r="5339" spans="44:46">
      <c r="AR5339">
        <v>0</v>
      </c>
      <c r="AS5339">
        <v>0</v>
      </c>
      <c r="AT5339">
        <v>0</v>
      </c>
    </row>
    <row r="5340" spans="44:46">
      <c r="AR5340">
        <v>0</v>
      </c>
      <c r="AS5340">
        <v>0</v>
      </c>
      <c r="AT5340">
        <v>0</v>
      </c>
    </row>
    <row r="5341" spans="44:46">
      <c r="AR5341">
        <v>0</v>
      </c>
      <c r="AS5341">
        <v>0</v>
      </c>
      <c r="AT5341">
        <v>0</v>
      </c>
    </row>
    <row r="5342" spans="44:46">
      <c r="AR5342">
        <v>0</v>
      </c>
      <c r="AS5342">
        <v>0</v>
      </c>
      <c r="AT5342">
        <v>0</v>
      </c>
    </row>
    <row r="5343" spans="44:46">
      <c r="AR5343">
        <v>0</v>
      </c>
      <c r="AS5343">
        <v>0</v>
      </c>
      <c r="AT5343">
        <v>0</v>
      </c>
    </row>
    <row r="5344" spans="44:46">
      <c r="AR5344">
        <v>0</v>
      </c>
      <c r="AS5344">
        <v>0</v>
      </c>
      <c r="AT5344">
        <v>0</v>
      </c>
    </row>
    <row r="5345" spans="44:46">
      <c r="AR5345">
        <v>0</v>
      </c>
      <c r="AS5345">
        <v>0</v>
      </c>
      <c r="AT5345">
        <v>0</v>
      </c>
    </row>
    <row r="5346" spans="44:46">
      <c r="AR5346">
        <v>0</v>
      </c>
      <c r="AS5346">
        <v>0</v>
      </c>
      <c r="AT5346">
        <v>0</v>
      </c>
    </row>
    <row r="5347" spans="44:46">
      <c r="AR5347">
        <v>0</v>
      </c>
      <c r="AS5347">
        <v>0</v>
      </c>
      <c r="AT5347">
        <v>0</v>
      </c>
    </row>
    <row r="5348" spans="44:46">
      <c r="AR5348">
        <v>0</v>
      </c>
      <c r="AS5348">
        <v>0</v>
      </c>
      <c r="AT5348">
        <v>0</v>
      </c>
    </row>
    <row r="5349" spans="44:46">
      <c r="AR5349">
        <v>0</v>
      </c>
      <c r="AS5349">
        <v>0</v>
      </c>
      <c r="AT5349">
        <v>0</v>
      </c>
    </row>
    <row r="5350" spans="44:46">
      <c r="AR5350">
        <v>0</v>
      </c>
      <c r="AS5350">
        <v>0</v>
      </c>
      <c r="AT5350">
        <v>0</v>
      </c>
    </row>
    <row r="5351" spans="44:46">
      <c r="AR5351">
        <v>0</v>
      </c>
      <c r="AS5351">
        <v>0</v>
      </c>
      <c r="AT5351">
        <v>0</v>
      </c>
    </row>
    <row r="5352" spans="44:46">
      <c r="AR5352">
        <v>0</v>
      </c>
      <c r="AS5352">
        <v>0</v>
      </c>
      <c r="AT5352">
        <v>0</v>
      </c>
    </row>
    <row r="5353" spans="44:46">
      <c r="AR5353">
        <v>0</v>
      </c>
      <c r="AS5353">
        <v>0</v>
      </c>
      <c r="AT5353">
        <v>0</v>
      </c>
    </row>
    <row r="5354" spans="44:46">
      <c r="AR5354">
        <v>0</v>
      </c>
      <c r="AS5354">
        <v>0</v>
      </c>
      <c r="AT5354">
        <v>0</v>
      </c>
    </row>
    <row r="5355" spans="44:46">
      <c r="AR5355">
        <v>0</v>
      </c>
      <c r="AS5355">
        <v>0</v>
      </c>
      <c r="AT5355">
        <v>0</v>
      </c>
    </row>
    <row r="5356" spans="44:46">
      <c r="AR5356">
        <v>0</v>
      </c>
      <c r="AS5356">
        <v>0</v>
      </c>
      <c r="AT5356">
        <v>0</v>
      </c>
    </row>
    <row r="5357" spans="44:46">
      <c r="AR5357">
        <v>0</v>
      </c>
      <c r="AS5357">
        <v>0</v>
      </c>
      <c r="AT5357">
        <v>0</v>
      </c>
    </row>
    <row r="5358" spans="44:46">
      <c r="AR5358">
        <v>0</v>
      </c>
      <c r="AS5358">
        <v>0</v>
      </c>
      <c r="AT5358">
        <v>0</v>
      </c>
    </row>
    <row r="5359" spans="44:46">
      <c r="AR5359">
        <v>0</v>
      </c>
      <c r="AS5359">
        <v>0</v>
      </c>
      <c r="AT5359">
        <v>0</v>
      </c>
    </row>
    <row r="5360" spans="44:46">
      <c r="AR5360">
        <v>0</v>
      </c>
      <c r="AS5360">
        <v>0</v>
      </c>
      <c r="AT5360">
        <v>0</v>
      </c>
    </row>
    <row r="5361" spans="44:46">
      <c r="AR5361">
        <v>0</v>
      </c>
      <c r="AS5361">
        <v>0</v>
      </c>
      <c r="AT5361">
        <v>0</v>
      </c>
    </row>
    <row r="5362" spans="44:46">
      <c r="AR5362">
        <v>0</v>
      </c>
      <c r="AS5362">
        <v>0</v>
      </c>
      <c r="AT5362">
        <v>0</v>
      </c>
    </row>
    <row r="5363" spans="44:46">
      <c r="AR5363">
        <v>0</v>
      </c>
      <c r="AS5363">
        <v>0</v>
      </c>
      <c r="AT5363">
        <v>0</v>
      </c>
    </row>
    <row r="5364" spans="44:46">
      <c r="AR5364">
        <v>0</v>
      </c>
      <c r="AS5364">
        <v>0</v>
      </c>
      <c r="AT5364">
        <v>0</v>
      </c>
    </row>
    <row r="5365" spans="44:46">
      <c r="AR5365">
        <v>0</v>
      </c>
      <c r="AS5365">
        <v>0</v>
      </c>
      <c r="AT5365">
        <v>0</v>
      </c>
    </row>
    <row r="5366" spans="44:46">
      <c r="AR5366">
        <v>0</v>
      </c>
      <c r="AS5366">
        <v>0</v>
      </c>
      <c r="AT5366">
        <v>0</v>
      </c>
    </row>
    <row r="5367" spans="44:46">
      <c r="AR5367">
        <v>0</v>
      </c>
      <c r="AS5367">
        <v>0</v>
      </c>
      <c r="AT5367">
        <v>0</v>
      </c>
    </row>
    <row r="5368" spans="44:46">
      <c r="AR5368">
        <v>0</v>
      </c>
      <c r="AS5368">
        <v>0</v>
      </c>
      <c r="AT5368">
        <v>0</v>
      </c>
    </row>
    <row r="5369" spans="44:46">
      <c r="AR5369">
        <v>0</v>
      </c>
      <c r="AS5369">
        <v>0</v>
      </c>
      <c r="AT5369">
        <v>0</v>
      </c>
    </row>
    <row r="5370" spans="44:46">
      <c r="AR5370">
        <v>0</v>
      </c>
      <c r="AS5370">
        <v>0</v>
      </c>
      <c r="AT5370">
        <v>0</v>
      </c>
    </row>
    <row r="5371" spans="44:46">
      <c r="AR5371">
        <v>0</v>
      </c>
      <c r="AS5371">
        <v>0</v>
      </c>
      <c r="AT5371">
        <v>0</v>
      </c>
    </row>
    <row r="5372" spans="44:46">
      <c r="AR5372">
        <v>0</v>
      </c>
      <c r="AS5372">
        <v>0</v>
      </c>
      <c r="AT5372">
        <v>0</v>
      </c>
    </row>
    <row r="5373" spans="44:46">
      <c r="AR5373">
        <v>0</v>
      </c>
      <c r="AS5373">
        <v>0</v>
      </c>
      <c r="AT5373">
        <v>0</v>
      </c>
    </row>
    <row r="5374" spans="44:46">
      <c r="AR5374">
        <v>0</v>
      </c>
      <c r="AS5374">
        <v>0</v>
      </c>
      <c r="AT5374">
        <v>0</v>
      </c>
    </row>
    <row r="5375" spans="44:46">
      <c r="AR5375">
        <v>0</v>
      </c>
      <c r="AS5375">
        <v>0</v>
      </c>
      <c r="AT5375">
        <v>0</v>
      </c>
    </row>
    <row r="5376" spans="44:46">
      <c r="AR5376">
        <v>0</v>
      </c>
      <c r="AS5376">
        <v>0</v>
      </c>
      <c r="AT5376">
        <v>0</v>
      </c>
    </row>
    <row r="5377" spans="44:46">
      <c r="AR5377">
        <v>0</v>
      </c>
      <c r="AS5377">
        <v>0</v>
      </c>
      <c r="AT5377">
        <v>0</v>
      </c>
    </row>
    <row r="5378" spans="44:46">
      <c r="AR5378">
        <v>0</v>
      </c>
      <c r="AS5378">
        <v>0</v>
      </c>
      <c r="AT5378">
        <v>0</v>
      </c>
    </row>
    <row r="5379" spans="44:46">
      <c r="AR5379">
        <v>0</v>
      </c>
      <c r="AS5379">
        <v>0</v>
      </c>
      <c r="AT5379">
        <v>0</v>
      </c>
    </row>
    <row r="5380" spans="44:46">
      <c r="AR5380">
        <v>0</v>
      </c>
      <c r="AS5380">
        <v>0</v>
      </c>
      <c r="AT5380">
        <v>0</v>
      </c>
    </row>
    <row r="5381" spans="44:46">
      <c r="AR5381">
        <v>0</v>
      </c>
      <c r="AS5381">
        <v>0</v>
      </c>
      <c r="AT5381">
        <v>0</v>
      </c>
    </row>
    <row r="5382" spans="44:46">
      <c r="AR5382">
        <v>0</v>
      </c>
      <c r="AS5382">
        <v>0</v>
      </c>
      <c r="AT5382">
        <v>0</v>
      </c>
    </row>
    <row r="5383" spans="44:46">
      <c r="AR5383">
        <v>0</v>
      </c>
      <c r="AS5383">
        <v>0</v>
      </c>
      <c r="AT5383">
        <v>0</v>
      </c>
    </row>
    <row r="5384" spans="44:46">
      <c r="AR5384">
        <v>0</v>
      </c>
      <c r="AS5384">
        <v>0</v>
      </c>
      <c r="AT5384">
        <v>0</v>
      </c>
    </row>
    <row r="5385" spans="44:46">
      <c r="AR5385">
        <v>0</v>
      </c>
      <c r="AS5385">
        <v>0</v>
      </c>
      <c r="AT5385">
        <v>0</v>
      </c>
    </row>
    <row r="5386" spans="44:46">
      <c r="AR5386">
        <v>0</v>
      </c>
      <c r="AS5386">
        <v>0</v>
      </c>
      <c r="AT5386">
        <v>0</v>
      </c>
    </row>
    <row r="5387" spans="44:46">
      <c r="AR5387">
        <v>0</v>
      </c>
      <c r="AS5387">
        <v>0</v>
      </c>
      <c r="AT5387">
        <v>0</v>
      </c>
    </row>
    <row r="5388" spans="44:46">
      <c r="AR5388">
        <v>0</v>
      </c>
      <c r="AS5388">
        <v>0</v>
      </c>
      <c r="AT5388">
        <v>0</v>
      </c>
    </row>
    <row r="5389" spans="44:46">
      <c r="AR5389">
        <v>0</v>
      </c>
      <c r="AS5389">
        <v>0</v>
      </c>
      <c r="AT5389">
        <v>0</v>
      </c>
    </row>
    <row r="5390" spans="44:46">
      <c r="AR5390">
        <v>0</v>
      </c>
      <c r="AS5390">
        <v>0</v>
      </c>
      <c r="AT5390">
        <v>0</v>
      </c>
    </row>
    <row r="5391" spans="44:46">
      <c r="AR5391">
        <v>0</v>
      </c>
      <c r="AS5391">
        <v>0</v>
      </c>
      <c r="AT5391">
        <v>0</v>
      </c>
    </row>
    <row r="5392" spans="44:46">
      <c r="AR5392">
        <v>0</v>
      </c>
      <c r="AS5392">
        <v>0</v>
      </c>
      <c r="AT5392">
        <v>0</v>
      </c>
    </row>
    <row r="5393" spans="44:46">
      <c r="AR5393">
        <v>0</v>
      </c>
      <c r="AS5393">
        <v>0</v>
      </c>
      <c r="AT5393">
        <v>0</v>
      </c>
    </row>
    <row r="5394" spans="44:46">
      <c r="AR5394">
        <v>0</v>
      </c>
      <c r="AS5394">
        <v>0</v>
      </c>
      <c r="AT5394">
        <v>0</v>
      </c>
    </row>
    <row r="5395" spans="44:46">
      <c r="AR5395">
        <v>0</v>
      </c>
      <c r="AS5395">
        <v>0</v>
      </c>
      <c r="AT5395">
        <v>0</v>
      </c>
    </row>
    <row r="5396" spans="44:46">
      <c r="AR5396">
        <v>0</v>
      </c>
      <c r="AS5396">
        <v>0</v>
      </c>
      <c r="AT5396">
        <v>0</v>
      </c>
    </row>
    <row r="5397" spans="44:46">
      <c r="AR5397">
        <v>0</v>
      </c>
      <c r="AS5397">
        <v>0</v>
      </c>
      <c r="AT5397">
        <v>0</v>
      </c>
    </row>
    <row r="5398" spans="44:46">
      <c r="AR5398">
        <v>0</v>
      </c>
      <c r="AS5398">
        <v>0</v>
      </c>
      <c r="AT5398">
        <v>0</v>
      </c>
    </row>
    <row r="5399" spans="44:46">
      <c r="AR5399">
        <v>0</v>
      </c>
      <c r="AS5399">
        <v>0</v>
      </c>
      <c r="AT5399">
        <v>0</v>
      </c>
    </row>
    <row r="5400" spans="44:46">
      <c r="AR5400">
        <v>0</v>
      </c>
      <c r="AS5400">
        <v>0</v>
      </c>
      <c r="AT5400">
        <v>0</v>
      </c>
    </row>
    <row r="5401" spans="44:46">
      <c r="AR5401">
        <v>0</v>
      </c>
      <c r="AS5401">
        <v>0</v>
      </c>
      <c r="AT5401">
        <v>0</v>
      </c>
    </row>
    <row r="5402" spans="44:46">
      <c r="AR5402">
        <v>0</v>
      </c>
      <c r="AS5402">
        <v>0</v>
      </c>
      <c r="AT5402">
        <v>0</v>
      </c>
    </row>
    <row r="5403" spans="44:46">
      <c r="AR5403">
        <v>0</v>
      </c>
      <c r="AS5403">
        <v>0</v>
      </c>
      <c r="AT5403">
        <v>0</v>
      </c>
    </row>
    <row r="5404" spans="44:46">
      <c r="AR5404">
        <v>0</v>
      </c>
      <c r="AS5404">
        <v>0</v>
      </c>
      <c r="AT5404">
        <v>0</v>
      </c>
    </row>
    <row r="5405" spans="44:46">
      <c r="AR5405">
        <v>0</v>
      </c>
      <c r="AS5405">
        <v>0</v>
      </c>
      <c r="AT5405">
        <v>0</v>
      </c>
    </row>
    <row r="5406" spans="44:46">
      <c r="AR5406">
        <v>0</v>
      </c>
      <c r="AS5406">
        <v>0</v>
      </c>
      <c r="AT5406">
        <v>0</v>
      </c>
    </row>
    <row r="5407" spans="44:46">
      <c r="AR5407">
        <v>0</v>
      </c>
      <c r="AS5407">
        <v>0</v>
      </c>
      <c r="AT5407">
        <v>0</v>
      </c>
    </row>
    <row r="5408" spans="44:46">
      <c r="AR5408">
        <v>0</v>
      </c>
      <c r="AS5408">
        <v>0</v>
      </c>
      <c r="AT5408">
        <v>0</v>
      </c>
    </row>
    <row r="5409" spans="44:46">
      <c r="AR5409">
        <v>0</v>
      </c>
      <c r="AS5409">
        <v>0</v>
      </c>
      <c r="AT5409">
        <v>0</v>
      </c>
    </row>
    <row r="5410" spans="44:46">
      <c r="AR5410">
        <v>0</v>
      </c>
      <c r="AS5410">
        <v>0</v>
      </c>
      <c r="AT5410">
        <v>0</v>
      </c>
    </row>
    <row r="5411" spans="44:46">
      <c r="AR5411">
        <v>0</v>
      </c>
      <c r="AS5411">
        <v>0</v>
      </c>
      <c r="AT5411">
        <v>0</v>
      </c>
    </row>
    <row r="5412" spans="44:46">
      <c r="AR5412">
        <v>0</v>
      </c>
      <c r="AS5412">
        <v>0</v>
      </c>
      <c r="AT5412">
        <v>0</v>
      </c>
    </row>
    <row r="5413" spans="44:46">
      <c r="AR5413">
        <v>0</v>
      </c>
      <c r="AS5413">
        <v>0</v>
      </c>
      <c r="AT5413">
        <v>0</v>
      </c>
    </row>
    <row r="5414" spans="44:46">
      <c r="AR5414">
        <v>0</v>
      </c>
      <c r="AS5414">
        <v>0</v>
      </c>
      <c r="AT5414">
        <v>0</v>
      </c>
    </row>
    <row r="5415" spans="44:46">
      <c r="AR5415">
        <v>0</v>
      </c>
      <c r="AS5415">
        <v>0</v>
      </c>
      <c r="AT5415">
        <v>0</v>
      </c>
    </row>
    <row r="5416" spans="44:46">
      <c r="AR5416">
        <v>0</v>
      </c>
      <c r="AS5416">
        <v>0</v>
      </c>
      <c r="AT5416">
        <v>0</v>
      </c>
    </row>
    <row r="5417" spans="44:46">
      <c r="AR5417">
        <v>0</v>
      </c>
      <c r="AS5417">
        <v>0</v>
      </c>
      <c r="AT5417">
        <v>0</v>
      </c>
    </row>
    <row r="5418" spans="44:46">
      <c r="AR5418">
        <v>0</v>
      </c>
      <c r="AS5418">
        <v>0</v>
      </c>
      <c r="AT5418">
        <v>0</v>
      </c>
    </row>
    <row r="5419" spans="44:46">
      <c r="AR5419">
        <v>0</v>
      </c>
      <c r="AS5419">
        <v>0</v>
      </c>
      <c r="AT5419">
        <v>0</v>
      </c>
    </row>
    <row r="5420" spans="44:46">
      <c r="AR5420">
        <v>0</v>
      </c>
      <c r="AS5420">
        <v>0</v>
      </c>
      <c r="AT5420">
        <v>0</v>
      </c>
    </row>
    <row r="5421" spans="44:46">
      <c r="AR5421">
        <v>0</v>
      </c>
      <c r="AS5421">
        <v>0</v>
      </c>
      <c r="AT5421">
        <v>0</v>
      </c>
    </row>
    <row r="5422" spans="44:46">
      <c r="AR5422">
        <v>0</v>
      </c>
      <c r="AS5422">
        <v>0</v>
      </c>
      <c r="AT5422">
        <v>0</v>
      </c>
    </row>
    <row r="5423" spans="44:46">
      <c r="AR5423">
        <v>0</v>
      </c>
      <c r="AS5423">
        <v>0</v>
      </c>
      <c r="AT5423">
        <v>0</v>
      </c>
    </row>
    <row r="5424" spans="44:46">
      <c r="AR5424">
        <v>0</v>
      </c>
      <c r="AS5424">
        <v>0</v>
      </c>
      <c r="AT5424">
        <v>0</v>
      </c>
    </row>
    <row r="5425" spans="44:46">
      <c r="AR5425">
        <v>0</v>
      </c>
      <c r="AS5425">
        <v>0</v>
      </c>
      <c r="AT5425">
        <v>0</v>
      </c>
    </row>
    <row r="5426" spans="44:46">
      <c r="AR5426">
        <v>0</v>
      </c>
      <c r="AS5426">
        <v>0</v>
      </c>
      <c r="AT5426">
        <v>0</v>
      </c>
    </row>
    <row r="5427" spans="44:46">
      <c r="AR5427">
        <v>0</v>
      </c>
      <c r="AS5427">
        <v>0</v>
      </c>
      <c r="AT5427">
        <v>0</v>
      </c>
    </row>
    <row r="5428" spans="44:46">
      <c r="AR5428">
        <v>0</v>
      </c>
      <c r="AS5428">
        <v>0</v>
      </c>
      <c r="AT5428">
        <v>0</v>
      </c>
    </row>
    <row r="5429" spans="44:46">
      <c r="AR5429">
        <v>0</v>
      </c>
      <c r="AS5429">
        <v>0</v>
      </c>
      <c r="AT5429">
        <v>0</v>
      </c>
    </row>
    <row r="5430" spans="44:46">
      <c r="AR5430">
        <v>0</v>
      </c>
      <c r="AS5430">
        <v>0</v>
      </c>
      <c r="AT5430">
        <v>0</v>
      </c>
    </row>
    <row r="5431" spans="44:46">
      <c r="AR5431">
        <v>0</v>
      </c>
      <c r="AS5431">
        <v>0</v>
      </c>
      <c r="AT5431">
        <v>0</v>
      </c>
    </row>
    <row r="5432" spans="44:46">
      <c r="AR5432">
        <v>0</v>
      </c>
      <c r="AS5432">
        <v>0</v>
      </c>
      <c r="AT5432">
        <v>0</v>
      </c>
    </row>
    <row r="5433" spans="44:46">
      <c r="AR5433">
        <v>0</v>
      </c>
      <c r="AS5433">
        <v>0</v>
      </c>
      <c r="AT5433">
        <v>0</v>
      </c>
    </row>
    <row r="5434" spans="44:46">
      <c r="AR5434">
        <v>0</v>
      </c>
      <c r="AS5434">
        <v>0</v>
      </c>
      <c r="AT5434">
        <v>0</v>
      </c>
    </row>
    <row r="5435" spans="44:46">
      <c r="AR5435">
        <v>0</v>
      </c>
      <c r="AS5435">
        <v>0</v>
      </c>
      <c r="AT5435">
        <v>0</v>
      </c>
    </row>
    <row r="5436" spans="44:46">
      <c r="AR5436">
        <v>0</v>
      </c>
      <c r="AS5436">
        <v>0</v>
      </c>
      <c r="AT5436">
        <v>0</v>
      </c>
    </row>
    <row r="5437" spans="44:46">
      <c r="AR5437">
        <v>0</v>
      </c>
      <c r="AS5437">
        <v>0</v>
      </c>
      <c r="AT5437">
        <v>0</v>
      </c>
    </row>
    <row r="5438" spans="44:46">
      <c r="AR5438">
        <v>0</v>
      </c>
      <c r="AS5438">
        <v>0</v>
      </c>
      <c r="AT5438">
        <v>0</v>
      </c>
    </row>
    <row r="5439" spans="44:46">
      <c r="AR5439">
        <v>0</v>
      </c>
      <c r="AS5439">
        <v>0</v>
      </c>
      <c r="AT5439">
        <v>0</v>
      </c>
    </row>
    <row r="5440" spans="44:46">
      <c r="AR5440">
        <v>0</v>
      </c>
      <c r="AS5440">
        <v>0</v>
      </c>
      <c r="AT5440">
        <v>0</v>
      </c>
    </row>
    <row r="5441" spans="44:46">
      <c r="AR5441">
        <v>0</v>
      </c>
      <c r="AS5441">
        <v>0</v>
      </c>
      <c r="AT5441">
        <v>0</v>
      </c>
    </row>
    <row r="5442" spans="44:46">
      <c r="AR5442">
        <v>0</v>
      </c>
      <c r="AS5442">
        <v>0</v>
      </c>
      <c r="AT5442">
        <v>0</v>
      </c>
    </row>
    <row r="5443" spans="44:46">
      <c r="AR5443">
        <v>0</v>
      </c>
      <c r="AS5443">
        <v>0</v>
      </c>
      <c r="AT5443">
        <v>0</v>
      </c>
    </row>
    <row r="5444" spans="44:46">
      <c r="AR5444">
        <v>0</v>
      </c>
      <c r="AS5444">
        <v>0</v>
      </c>
      <c r="AT5444">
        <v>0</v>
      </c>
    </row>
    <row r="5445" spans="44:46">
      <c r="AR5445">
        <v>0</v>
      </c>
      <c r="AS5445">
        <v>0</v>
      </c>
      <c r="AT5445">
        <v>0</v>
      </c>
    </row>
    <row r="5446" spans="44:46">
      <c r="AR5446">
        <v>0</v>
      </c>
      <c r="AS5446">
        <v>0</v>
      </c>
      <c r="AT5446">
        <v>0</v>
      </c>
    </row>
    <row r="5447" spans="44:46">
      <c r="AR5447">
        <v>0</v>
      </c>
      <c r="AS5447">
        <v>0</v>
      </c>
      <c r="AT5447">
        <v>0</v>
      </c>
    </row>
    <row r="5448" spans="44:46">
      <c r="AR5448">
        <v>0</v>
      </c>
      <c r="AS5448">
        <v>0</v>
      </c>
      <c r="AT5448">
        <v>0</v>
      </c>
    </row>
    <row r="5449" spans="44:46">
      <c r="AR5449">
        <v>0</v>
      </c>
      <c r="AS5449">
        <v>0</v>
      </c>
      <c r="AT5449">
        <v>0</v>
      </c>
    </row>
    <row r="5450" spans="44:46">
      <c r="AR5450">
        <v>0</v>
      </c>
      <c r="AS5450">
        <v>0</v>
      </c>
      <c r="AT5450">
        <v>0</v>
      </c>
    </row>
    <row r="5451" spans="44:46">
      <c r="AR5451">
        <v>0</v>
      </c>
      <c r="AS5451">
        <v>0</v>
      </c>
      <c r="AT5451">
        <v>0</v>
      </c>
    </row>
    <row r="5452" spans="44:46">
      <c r="AR5452">
        <v>0</v>
      </c>
      <c r="AS5452">
        <v>0</v>
      </c>
      <c r="AT5452">
        <v>0</v>
      </c>
    </row>
    <row r="5453" spans="44:46">
      <c r="AR5453">
        <v>0</v>
      </c>
      <c r="AS5453">
        <v>0</v>
      </c>
      <c r="AT5453">
        <v>0</v>
      </c>
    </row>
    <row r="5454" spans="44:46">
      <c r="AR5454">
        <v>0</v>
      </c>
      <c r="AS5454">
        <v>0</v>
      </c>
      <c r="AT5454">
        <v>0</v>
      </c>
    </row>
    <row r="5455" spans="44:46">
      <c r="AR5455">
        <v>0</v>
      </c>
      <c r="AS5455">
        <v>0</v>
      </c>
      <c r="AT5455">
        <v>0</v>
      </c>
    </row>
    <row r="5456" spans="44:46">
      <c r="AR5456">
        <v>0</v>
      </c>
      <c r="AS5456">
        <v>0</v>
      </c>
      <c r="AT5456">
        <v>0</v>
      </c>
    </row>
    <row r="5457" spans="44:46">
      <c r="AR5457">
        <v>0</v>
      </c>
      <c r="AS5457">
        <v>0</v>
      </c>
      <c r="AT5457">
        <v>0</v>
      </c>
    </row>
    <row r="5458" spans="44:46">
      <c r="AR5458">
        <v>0</v>
      </c>
      <c r="AS5458">
        <v>0</v>
      </c>
      <c r="AT5458">
        <v>0</v>
      </c>
    </row>
    <row r="5459" spans="44:46">
      <c r="AR5459">
        <v>0</v>
      </c>
      <c r="AS5459">
        <v>0</v>
      </c>
      <c r="AT5459">
        <v>0</v>
      </c>
    </row>
    <row r="5460" spans="44:46">
      <c r="AR5460">
        <v>0</v>
      </c>
      <c r="AS5460">
        <v>0</v>
      </c>
      <c r="AT5460">
        <v>0</v>
      </c>
    </row>
    <row r="5461" spans="44:46">
      <c r="AR5461">
        <v>0</v>
      </c>
      <c r="AS5461">
        <v>0</v>
      </c>
      <c r="AT5461">
        <v>0</v>
      </c>
    </row>
    <row r="5462" spans="44:46">
      <c r="AR5462">
        <v>0</v>
      </c>
      <c r="AS5462">
        <v>0</v>
      </c>
      <c r="AT5462">
        <v>0</v>
      </c>
    </row>
    <row r="5463" spans="44:46">
      <c r="AR5463">
        <v>0</v>
      </c>
      <c r="AS5463">
        <v>0</v>
      </c>
      <c r="AT5463">
        <v>0</v>
      </c>
    </row>
    <row r="5464" spans="44:46">
      <c r="AR5464">
        <v>0</v>
      </c>
      <c r="AS5464">
        <v>0</v>
      </c>
      <c r="AT5464">
        <v>0</v>
      </c>
    </row>
    <row r="5465" spans="44:46">
      <c r="AR5465">
        <v>0</v>
      </c>
      <c r="AS5465">
        <v>0</v>
      </c>
      <c r="AT5465">
        <v>0</v>
      </c>
    </row>
    <row r="5466" spans="44:46">
      <c r="AR5466">
        <v>0</v>
      </c>
      <c r="AS5466">
        <v>0</v>
      </c>
      <c r="AT5466">
        <v>0</v>
      </c>
    </row>
    <row r="5467" spans="44:46">
      <c r="AR5467">
        <v>0</v>
      </c>
      <c r="AS5467">
        <v>0</v>
      </c>
      <c r="AT5467">
        <v>0</v>
      </c>
    </row>
    <row r="5468" spans="44:46">
      <c r="AR5468">
        <v>0</v>
      </c>
      <c r="AS5468">
        <v>0</v>
      </c>
      <c r="AT5468">
        <v>0</v>
      </c>
    </row>
    <row r="5469" spans="44:46">
      <c r="AR5469">
        <v>0</v>
      </c>
      <c r="AS5469">
        <v>0</v>
      </c>
      <c r="AT5469">
        <v>0</v>
      </c>
    </row>
    <row r="5470" spans="44:46">
      <c r="AR5470">
        <v>0</v>
      </c>
      <c r="AS5470">
        <v>0</v>
      </c>
      <c r="AT5470">
        <v>0</v>
      </c>
    </row>
    <row r="5471" spans="44:46">
      <c r="AR5471">
        <v>0</v>
      </c>
      <c r="AS5471">
        <v>0</v>
      </c>
      <c r="AT5471">
        <v>0</v>
      </c>
    </row>
    <row r="5472" spans="44:46">
      <c r="AR5472">
        <v>0</v>
      </c>
      <c r="AS5472">
        <v>0</v>
      </c>
      <c r="AT5472">
        <v>0</v>
      </c>
    </row>
    <row r="5473" spans="44:46">
      <c r="AR5473">
        <v>0</v>
      </c>
      <c r="AS5473">
        <v>0</v>
      </c>
      <c r="AT5473">
        <v>0</v>
      </c>
    </row>
    <row r="5474" spans="44:46">
      <c r="AR5474">
        <v>0</v>
      </c>
      <c r="AS5474">
        <v>0</v>
      </c>
      <c r="AT5474">
        <v>0</v>
      </c>
    </row>
    <row r="5475" spans="44:46">
      <c r="AR5475">
        <v>0</v>
      </c>
      <c r="AS5475">
        <v>0</v>
      </c>
      <c r="AT5475">
        <v>0</v>
      </c>
    </row>
    <row r="5476" spans="44:46">
      <c r="AR5476">
        <v>0</v>
      </c>
      <c r="AS5476">
        <v>0</v>
      </c>
      <c r="AT5476">
        <v>0</v>
      </c>
    </row>
    <row r="5477" spans="44:46">
      <c r="AR5477">
        <v>0</v>
      </c>
      <c r="AS5477">
        <v>0</v>
      </c>
      <c r="AT5477">
        <v>0</v>
      </c>
    </row>
    <row r="5478" spans="44:46">
      <c r="AR5478">
        <v>0</v>
      </c>
      <c r="AS5478">
        <v>0</v>
      </c>
      <c r="AT5478">
        <v>0</v>
      </c>
    </row>
    <row r="5479" spans="44:46">
      <c r="AR5479">
        <v>0</v>
      </c>
      <c r="AS5479">
        <v>0</v>
      </c>
      <c r="AT5479">
        <v>0</v>
      </c>
    </row>
    <row r="5480" spans="44:46">
      <c r="AR5480">
        <v>0</v>
      </c>
      <c r="AS5480">
        <v>0</v>
      </c>
      <c r="AT5480">
        <v>0</v>
      </c>
    </row>
    <row r="5481" spans="44:46">
      <c r="AR5481">
        <v>0</v>
      </c>
      <c r="AS5481">
        <v>0</v>
      </c>
      <c r="AT5481">
        <v>0</v>
      </c>
    </row>
    <row r="5482" spans="44:46">
      <c r="AR5482">
        <v>0</v>
      </c>
      <c r="AS5482">
        <v>0</v>
      </c>
      <c r="AT5482">
        <v>0</v>
      </c>
    </row>
    <row r="5483" spans="44:46">
      <c r="AR5483">
        <v>0</v>
      </c>
      <c r="AS5483">
        <v>0</v>
      </c>
      <c r="AT5483">
        <v>0</v>
      </c>
    </row>
    <row r="5484" spans="44:46">
      <c r="AR5484">
        <v>0</v>
      </c>
      <c r="AS5484">
        <v>0</v>
      </c>
      <c r="AT5484">
        <v>0</v>
      </c>
    </row>
    <row r="5485" spans="44:46">
      <c r="AR5485">
        <v>0</v>
      </c>
      <c r="AS5485">
        <v>0</v>
      </c>
      <c r="AT5485">
        <v>0</v>
      </c>
    </row>
    <row r="5486" spans="44:46">
      <c r="AR5486">
        <v>0</v>
      </c>
      <c r="AS5486">
        <v>0</v>
      </c>
      <c r="AT5486">
        <v>0</v>
      </c>
    </row>
    <row r="5487" spans="44:46">
      <c r="AR5487">
        <v>0</v>
      </c>
      <c r="AS5487">
        <v>0</v>
      </c>
      <c r="AT5487">
        <v>0</v>
      </c>
    </row>
    <row r="5488" spans="44:46">
      <c r="AR5488">
        <v>0</v>
      </c>
      <c r="AS5488">
        <v>0</v>
      </c>
      <c r="AT5488">
        <v>0</v>
      </c>
    </row>
    <row r="5489" spans="44:46">
      <c r="AR5489">
        <v>0</v>
      </c>
      <c r="AS5489">
        <v>0</v>
      </c>
      <c r="AT5489">
        <v>0</v>
      </c>
    </row>
    <row r="5490" spans="44:46">
      <c r="AR5490">
        <v>0</v>
      </c>
      <c r="AS5490">
        <v>0</v>
      </c>
      <c r="AT5490">
        <v>0</v>
      </c>
    </row>
    <row r="5491" spans="44:46">
      <c r="AR5491">
        <v>0</v>
      </c>
      <c r="AS5491">
        <v>0</v>
      </c>
      <c r="AT5491">
        <v>0</v>
      </c>
    </row>
    <row r="5492" spans="44:46">
      <c r="AR5492">
        <v>0</v>
      </c>
      <c r="AS5492">
        <v>0</v>
      </c>
      <c r="AT5492">
        <v>0</v>
      </c>
    </row>
    <row r="5493" spans="44:46">
      <c r="AR5493">
        <v>0</v>
      </c>
      <c r="AS5493">
        <v>0</v>
      </c>
      <c r="AT5493">
        <v>0</v>
      </c>
    </row>
    <row r="5494" spans="44:46">
      <c r="AR5494">
        <v>0</v>
      </c>
      <c r="AS5494">
        <v>0</v>
      </c>
      <c r="AT5494">
        <v>0</v>
      </c>
    </row>
    <row r="5495" spans="44:46">
      <c r="AR5495">
        <v>0</v>
      </c>
      <c r="AS5495">
        <v>0</v>
      </c>
      <c r="AT5495">
        <v>0</v>
      </c>
    </row>
    <row r="5496" spans="44:46">
      <c r="AR5496">
        <v>0</v>
      </c>
      <c r="AS5496">
        <v>0</v>
      </c>
      <c r="AT5496">
        <v>0</v>
      </c>
    </row>
    <row r="5497" spans="44:46">
      <c r="AR5497">
        <v>0</v>
      </c>
      <c r="AS5497">
        <v>0</v>
      </c>
      <c r="AT5497">
        <v>0</v>
      </c>
    </row>
    <row r="5498" spans="44:46">
      <c r="AR5498">
        <v>0</v>
      </c>
      <c r="AS5498">
        <v>0</v>
      </c>
      <c r="AT5498">
        <v>0</v>
      </c>
    </row>
    <row r="5499" spans="44:46">
      <c r="AR5499">
        <v>0</v>
      </c>
      <c r="AS5499">
        <v>0</v>
      </c>
      <c r="AT5499">
        <v>0</v>
      </c>
    </row>
    <row r="5500" spans="44:46">
      <c r="AR5500">
        <v>0</v>
      </c>
      <c r="AS5500">
        <v>0</v>
      </c>
      <c r="AT5500">
        <v>0</v>
      </c>
    </row>
    <row r="5501" spans="44:46">
      <c r="AR5501">
        <v>0</v>
      </c>
      <c r="AS5501">
        <v>0</v>
      </c>
      <c r="AT5501">
        <v>0</v>
      </c>
    </row>
    <row r="5502" spans="44:46">
      <c r="AR5502">
        <v>0</v>
      </c>
      <c r="AS5502">
        <v>0</v>
      </c>
      <c r="AT5502">
        <v>0</v>
      </c>
    </row>
    <row r="5503" spans="44:46">
      <c r="AR5503">
        <v>0</v>
      </c>
      <c r="AS5503">
        <v>0</v>
      </c>
      <c r="AT5503">
        <v>0</v>
      </c>
    </row>
    <row r="5504" spans="44:46">
      <c r="AR5504">
        <v>0</v>
      </c>
      <c r="AS5504">
        <v>0</v>
      </c>
      <c r="AT5504">
        <v>0</v>
      </c>
    </row>
    <row r="5505" spans="44:46">
      <c r="AR5505">
        <v>0</v>
      </c>
      <c r="AS5505">
        <v>0</v>
      </c>
      <c r="AT5505">
        <v>0</v>
      </c>
    </row>
    <row r="5506" spans="44:46">
      <c r="AR5506">
        <v>0</v>
      </c>
      <c r="AS5506">
        <v>0</v>
      </c>
      <c r="AT5506">
        <v>0</v>
      </c>
    </row>
    <row r="5507" spans="44:46">
      <c r="AR5507">
        <v>0</v>
      </c>
      <c r="AS5507">
        <v>0</v>
      </c>
      <c r="AT5507">
        <v>0</v>
      </c>
    </row>
    <row r="5508" spans="44:46">
      <c r="AR5508">
        <v>0</v>
      </c>
      <c r="AS5508">
        <v>0</v>
      </c>
      <c r="AT5508">
        <v>0</v>
      </c>
    </row>
    <row r="5509" spans="44:46">
      <c r="AR5509">
        <v>0</v>
      </c>
      <c r="AS5509">
        <v>0</v>
      </c>
      <c r="AT5509">
        <v>0</v>
      </c>
    </row>
    <row r="5510" spans="44:46">
      <c r="AR5510">
        <v>0</v>
      </c>
      <c r="AS5510">
        <v>0</v>
      </c>
      <c r="AT5510">
        <v>0</v>
      </c>
    </row>
    <row r="5511" spans="44:46">
      <c r="AR5511">
        <v>0</v>
      </c>
      <c r="AS5511">
        <v>0</v>
      </c>
      <c r="AT5511">
        <v>0</v>
      </c>
    </row>
    <row r="5512" spans="44:46">
      <c r="AR5512">
        <v>0</v>
      </c>
      <c r="AS5512">
        <v>0</v>
      </c>
      <c r="AT5512">
        <v>0</v>
      </c>
    </row>
    <row r="5513" spans="44:46">
      <c r="AR5513">
        <v>0</v>
      </c>
      <c r="AS5513">
        <v>0</v>
      </c>
      <c r="AT5513">
        <v>0</v>
      </c>
    </row>
    <row r="5514" spans="44:46">
      <c r="AR5514">
        <v>0</v>
      </c>
      <c r="AS5514">
        <v>0</v>
      </c>
      <c r="AT5514">
        <v>0</v>
      </c>
    </row>
    <row r="5515" spans="44:46">
      <c r="AR5515">
        <v>0</v>
      </c>
      <c r="AS5515">
        <v>0</v>
      </c>
      <c r="AT5515">
        <v>0</v>
      </c>
    </row>
    <row r="5516" spans="44:46">
      <c r="AR5516">
        <v>0</v>
      </c>
      <c r="AS5516">
        <v>0</v>
      </c>
      <c r="AT5516">
        <v>0</v>
      </c>
    </row>
    <row r="5517" spans="44:46">
      <c r="AR5517">
        <v>0</v>
      </c>
      <c r="AS5517">
        <v>0</v>
      </c>
      <c r="AT5517">
        <v>0</v>
      </c>
    </row>
    <row r="5518" spans="44:46">
      <c r="AR5518">
        <v>0</v>
      </c>
      <c r="AS5518">
        <v>0</v>
      </c>
      <c r="AT5518">
        <v>0</v>
      </c>
    </row>
    <row r="5519" spans="44:46">
      <c r="AR5519">
        <v>0</v>
      </c>
      <c r="AS5519">
        <v>0</v>
      </c>
      <c r="AT5519">
        <v>0</v>
      </c>
    </row>
    <row r="5520" spans="44:46">
      <c r="AR5520">
        <v>0</v>
      </c>
      <c r="AS5520">
        <v>0</v>
      </c>
      <c r="AT5520">
        <v>0</v>
      </c>
    </row>
    <row r="5521" spans="44:46">
      <c r="AR5521">
        <v>0</v>
      </c>
      <c r="AS5521">
        <v>0</v>
      </c>
      <c r="AT5521">
        <v>0</v>
      </c>
    </row>
    <row r="5522" spans="44:46">
      <c r="AR5522">
        <v>0</v>
      </c>
      <c r="AS5522">
        <v>0</v>
      </c>
      <c r="AT5522">
        <v>0</v>
      </c>
    </row>
    <row r="5523" spans="44:46">
      <c r="AR5523">
        <v>0</v>
      </c>
      <c r="AS5523">
        <v>0</v>
      </c>
      <c r="AT5523">
        <v>0</v>
      </c>
    </row>
    <row r="5524" spans="44:46">
      <c r="AR5524">
        <v>0</v>
      </c>
      <c r="AS5524">
        <v>0</v>
      </c>
      <c r="AT5524">
        <v>0</v>
      </c>
    </row>
    <row r="5525" spans="44:46">
      <c r="AR5525">
        <v>0</v>
      </c>
      <c r="AS5525">
        <v>0</v>
      </c>
      <c r="AT5525">
        <v>0</v>
      </c>
    </row>
    <row r="5526" spans="44:46">
      <c r="AR5526">
        <v>0</v>
      </c>
      <c r="AS5526">
        <v>0</v>
      </c>
      <c r="AT5526">
        <v>0</v>
      </c>
    </row>
    <row r="5527" spans="44:46">
      <c r="AR5527">
        <v>0</v>
      </c>
      <c r="AS5527">
        <v>0</v>
      </c>
      <c r="AT5527">
        <v>0</v>
      </c>
    </row>
    <row r="5528" spans="44:46">
      <c r="AR5528">
        <v>0</v>
      </c>
      <c r="AS5528">
        <v>0</v>
      </c>
      <c r="AT5528">
        <v>0</v>
      </c>
    </row>
    <row r="5529" spans="44:46">
      <c r="AR5529">
        <v>0</v>
      </c>
      <c r="AS5529">
        <v>0</v>
      </c>
      <c r="AT5529">
        <v>0</v>
      </c>
    </row>
    <row r="5530" spans="44:46">
      <c r="AR5530">
        <v>0</v>
      </c>
      <c r="AS5530">
        <v>0</v>
      </c>
      <c r="AT5530">
        <v>0</v>
      </c>
    </row>
    <row r="5531" spans="44:46">
      <c r="AR5531">
        <v>0</v>
      </c>
      <c r="AS5531">
        <v>0</v>
      </c>
      <c r="AT5531">
        <v>0</v>
      </c>
    </row>
    <row r="5532" spans="44:46">
      <c r="AR5532">
        <v>0</v>
      </c>
      <c r="AS5532">
        <v>0</v>
      </c>
      <c r="AT5532">
        <v>0</v>
      </c>
    </row>
    <row r="5533" spans="44:46">
      <c r="AR5533">
        <v>0</v>
      </c>
      <c r="AS5533">
        <v>0</v>
      </c>
      <c r="AT5533">
        <v>0</v>
      </c>
    </row>
    <row r="5534" spans="44:46">
      <c r="AR5534">
        <v>0</v>
      </c>
      <c r="AS5534">
        <v>0</v>
      </c>
      <c r="AT5534">
        <v>0</v>
      </c>
    </row>
    <row r="5535" spans="44:46">
      <c r="AR5535">
        <v>0</v>
      </c>
      <c r="AS5535">
        <v>0</v>
      </c>
      <c r="AT5535">
        <v>0</v>
      </c>
    </row>
    <row r="5536" spans="44:46">
      <c r="AR5536">
        <v>0</v>
      </c>
      <c r="AS5536">
        <v>0</v>
      </c>
      <c r="AT5536">
        <v>0</v>
      </c>
    </row>
    <row r="5537" spans="44:46">
      <c r="AR5537">
        <v>0</v>
      </c>
      <c r="AS5537">
        <v>0</v>
      </c>
      <c r="AT5537">
        <v>0</v>
      </c>
    </row>
    <row r="5538" spans="44:46">
      <c r="AR5538">
        <v>0</v>
      </c>
      <c r="AS5538">
        <v>0</v>
      </c>
      <c r="AT5538">
        <v>0</v>
      </c>
    </row>
    <row r="5539" spans="44:46">
      <c r="AR5539">
        <v>0</v>
      </c>
      <c r="AS5539">
        <v>0</v>
      </c>
      <c r="AT5539">
        <v>0</v>
      </c>
    </row>
    <row r="5540" spans="44:46">
      <c r="AR5540">
        <v>0</v>
      </c>
      <c r="AS5540">
        <v>0</v>
      </c>
      <c r="AT5540">
        <v>0</v>
      </c>
    </row>
    <row r="5541" spans="44:46">
      <c r="AR5541">
        <v>0</v>
      </c>
      <c r="AS5541">
        <v>0</v>
      </c>
      <c r="AT5541">
        <v>0</v>
      </c>
    </row>
    <row r="5542" spans="44:46">
      <c r="AR5542">
        <v>0</v>
      </c>
      <c r="AS5542">
        <v>0</v>
      </c>
      <c r="AT5542">
        <v>0</v>
      </c>
    </row>
    <row r="5543" spans="44:46">
      <c r="AR5543">
        <v>0</v>
      </c>
      <c r="AS5543">
        <v>0</v>
      </c>
      <c r="AT5543">
        <v>0</v>
      </c>
    </row>
    <row r="5544" spans="44:46">
      <c r="AR5544">
        <v>0</v>
      </c>
      <c r="AS5544">
        <v>0</v>
      </c>
      <c r="AT5544">
        <v>0</v>
      </c>
    </row>
    <row r="5545" spans="44:46">
      <c r="AR5545">
        <v>0</v>
      </c>
      <c r="AS5545">
        <v>0</v>
      </c>
      <c r="AT5545">
        <v>0</v>
      </c>
    </row>
    <row r="5546" spans="44:46">
      <c r="AR5546">
        <v>0</v>
      </c>
      <c r="AS5546">
        <v>0</v>
      </c>
      <c r="AT5546">
        <v>0</v>
      </c>
    </row>
    <row r="5547" spans="44:46">
      <c r="AR5547">
        <v>0</v>
      </c>
      <c r="AS5547">
        <v>0</v>
      </c>
      <c r="AT5547">
        <v>0</v>
      </c>
    </row>
    <row r="5548" spans="44:46">
      <c r="AR5548">
        <v>0</v>
      </c>
      <c r="AS5548">
        <v>0</v>
      </c>
      <c r="AT5548">
        <v>0</v>
      </c>
    </row>
    <row r="5549" spans="44:46">
      <c r="AR5549">
        <v>0</v>
      </c>
      <c r="AS5549">
        <v>0</v>
      </c>
      <c r="AT5549">
        <v>0</v>
      </c>
    </row>
    <row r="5550" spans="44:46">
      <c r="AR5550">
        <v>0</v>
      </c>
      <c r="AS5550">
        <v>0</v>
      </c>
      <c r="AT5550">
        <v>0</v>
      </c>
    </row>
    <row r="5551" spans="44:46">
      <c r="AR5551">
        <v>0</v>
      </c>
      <c r="AS5551">
        <v>0</v>
      </c>
      <c r="AT5551">
        <v>0</v>
      </c>
    </row>
    <row r="5552" spans="44:46">
      <c r="AR5552">
        <v>0</v>
      </c>
      <c r="AS5552">
        <v>0</v>
      </c>
      <c r="AT5552">
        <v>0</v>
      </c>
    </row>
    <row r="5553" spans="44:46">
      <c r="AR5553">
        <v>0</v>
      </c>
      <c r="AS5553">
        <v>0</v>
      </c>
      <c r="AT5553">
        <v>0</v>
      </c>
    </row>
    <row r="5554" spans="44:46">
      <c r="AR5554">
        <v>0</v>
      </c>
      <c r="AS5554">
        <v>0</v>
      </c>
      <c r="AT5554">
        <v>0</v>
      </c>
    </row>
    <row r="5555" spans="44:46">
      <c r="AR5555">
        <v>0</v>
      </c>
      <c r="AS5555">
        <v>0</v>
      </c>
      <c r="AT5555">
        <v>0</v>
      </c>
    </row>
    <row r="5556" spans="44:46">
      <c r="AR5556">
        <v>0</v>
      </c>
      <c r="AS5556">
        <v>0</v>
      </c>
      <c r="AT5556">
        <v>0</v>
      </c>
    </row>
    <row r="5557" spans="44:46">
      <c r="AR5557">
        <v>0</v>
      </c>
      <c r="AS5557">
        <v>0</v>
      </c>
      <c r="AT5557">
        <v>0</v>
      </c>
    </row>
    <row r="5558" spans="44:46">
      <c r="AR5558">
        <v>0</v>
      </c>
      <c r="AS5558">
        <v>0</v>
      </c>
      <c r="AT5558">
        <v>0</v>
      </c>
    </row>
    <row r="5559" spans="44:46">
      <c r="AR5559">
        <v>0</v>
      </c>
      <c r="AS5559">
        <v>0</v>
      </c>
      <c r="AT5559">
        <v>0</v>
      </c>
    </row>
    <row r="5560" spans="44:46">
      <c r="AR5560">
        <v>0</v>
      </c>
      <c r="AS5560">
        <v>0</v>
      </c>
      <c r="AT5560">
        <v>0</v>
      </c>
    </row>
    <row r="5561" spans="44:46">
      <c r="AR5561">
        <v>0</v>
      </c>
      <c r="AS5561">
        <v>0</v>
      </c>
      <c r="AT5561">
        <v>0</v>
      </c>
    </row>
    <row r="5562" spans="44:46">
      <c r="AR5562">
        <v>0</v>
      </c>
      <c r="AS5562">
        <v>0</v>
      </c>
      <c r="AT5562">
        <v>0</v>
      </c>
    </row>
    <row r="5563" spans="44:46">
      <c r="AR5563">
        <v>0</v>
      </c>
      <c r="AS5563">
        <v>0</v>
      </c>
      <c r="AT5563">
        <v>0</v>
      </c>
    </row>
    <row r="5564" spans="44:46">
      <c r="AR5564">
        <v>0</v>
      </c>
      <c r="AS5564">
        <v>0</v>
      </c>
      <c r="AT5564">
        <v>0</v>
      </c>
    </row>
    <row r="5565" spans="44:46">
      <c r="AR5565">
        <v>0</v>
      </c>
      <c r="AS5565">
        <v>0</v>
      </c>
      <c r="AT5565">
        <v>0</v>
      </c>
    </row>
    <row r="5566" spans="44:46">
      <c r="AR5566">
        <v>0</v>
      </c>
      <c r="AS5566">
        <v>0</v>
      </c>
      <c r="AT5566">
        <v>0</v>
      </c>
    </row>
    <row r="5567" spans="44:46">
      <c r="AR5567">
        <v>0</v>
      </c>
      <c r="AS5567">
        <v>0</v>
      </c>
      <c r="AT5567">
        <v>0</v>
      </c>
    </row>
    <row r="5568" spans="44:46">
      <c r="AR5568">
        <v>0</v>
      </c>
      <c r="AS5568">
        <v>0</v>
      </c>
      <c r="AT5568">
        <v>0</v>
      </c>
    </row>
    <row r="5569" spans="44:46">
      <c r="AR5569">
        <v>0</v>
      </c>
      <c r="AS5569">
        <v>0</v>
      </c>
      <c r="AT5569">
        <v>0</v>
      </c>
    </row>
    <row r="5570" spans="44:46">
      <c r="AR5570">
        <v>0</v>
      </c>
      <c r="AS5570">
        <v>0</v>
      </c>
      <c r="AT5570">
        <v>0</v>
      </c>
    </row>
    <row r="5571" spans="44:46">
      <c r="AR5571">
        <v>0</v>
      </c>
      <c r="AS5571">
        <v>0</v>
      </c>
      <c r="AT5571">
        <v>0</v>
      </c>
    </row>
    <row r="5572" spans="44:46">
      <c r="AR5572">
        <v>0</v>
      </c>
      <c r="AS5572">
        <v>0</v>
      </c>
      <c r="AT5572">
        <v>0</v>
      </c>
    </row>
    <row r="5573" spans="44:46">
      <c r="AR5573">
        <v>0</v>
      </c>
      <c r="AS5573">
        <v>0</v>
      </c>
      <c r="AT5573">
        <v>0</v>
      </c>
    </row>
    <row r="5574" spans="44:46">
      <c r="AR5574">
        <v>0</v>
      </c>
      <c r="AS5574">
        <v>0</v>
      </c>
      <c r="AT5574">
        <v>0</v>
      </c>
    </row>
    <row r="5575" spans="44:46">
      <c r="AR5575">
        <v>0</v>
      </c>
      <c r="AS5575">
        <v>0</v>
      </c>
      <c r="AT5575">
        <v>0</v>
      </c>
    </row>
    <row r="5576" spans="44:46">
      <c r="AR5576">
        <v>0</v>
      </c>
      <c r="AS5576">
        <v>0</v>
      </c>
      <c r="AT5576">
        <v>0</v>
      </c>
    </row>
    <row r="5577" spans="44:46">
      <c r="AR5577">
        <v>0</v>
      </c>
      <c r="AS5577">
        <v>0</v>
      </c>
      <c r="AT5577">
        <v>0</v>
      </c>
    </row>
    <row r="5578" spans="44:46">
      <c r="AR5578">
        <v>0</v>
      </c>
      <c r="AS5578">
        <v>0</v>
      </c>
      <c r="AT5578">
        <v>0</v>
      </c>
    </row>
    <row r="5579" spans="44:46">
      <c r="AR5579">
        <v>0</v>
      </c>
      <c r="AS5579">
        <v>0</v>
      </c>
      <c r="AT5579">
        <v>0</v>
      </c>
    </row>
    <row r="5580" spans="44:46">
      <c r="AR5580">
        <v>0</v>
      </c>
      <c r="AS5580">
        <v>0</v>
      </c>
      <c r="AT5580">
        <v>0</v>
      </c>
    </row>
    <row r="5581" spans="44:46">
      <c r="AR5581">
        <v>0</v>
      </c>
      <c r="AS5581">
        <v>0</v>
      </c>
      <c r="AT5581">
        <v>0</v>
      </c>
    </row>
    <row r="5582" spans="44:46">
      <c r="AR5582">
        <v>0</v>
      </c>
      <c r="AS5582">
        <v>0</v>
      </c>
      <c r="AT5582">
        <v>0</v>
      </c>
    </row>
    <row r="5583" spans="44:46">
      <c r="AR5583">
        <v>0</v>
      </c>
      <c r="AS5583">
        <v>0</v>
      </c>
      <c r="AT5583">
        <v>0</v>
      </c>
    </row>
    <row r="5584" spans="44:46">
      <c r="AR5584">
        <v>0</v>
      </c>
      <c r="AS5584">
        <v>0</v>
      </c>
      <c r="AT5584">
        <v>0</v>
      </c>
    </row>
    <row r="5585" spans="44:46">
      <c r="AR5585">
        <v>0</v>
      </c>
      <c r="AS5585">
        <v>0</v>
      </c>
      <c r="AT5585">
        <v>0</v>
      </c>
    </row>
    <row r="5586" spans="44:46">
      <c r="AR5586">
        <v>0</v>
      </c>
      <c r="AS5586">
        <v>0</v>
      </c>
      <c r="AT5586">
        <v>0</v>
      </c>
    </row>
    <row r="5587" spans="44:46">
      <c r="AR5587">
        <v>0</v>
      </c>
      <c r="AS5587">
        <v>0</v>
      </c>
      <c r="AT5587">
        <v>0</v>
      </c>
    </row>
    <row r="5588" spans="44:46">
      <c r="AR5588">
        <v>0</v>
      </c>
      <c r="AS5588">
        <v>0</v>
      </c>
      <c r="AT5588">
        <v>0</v>
      </c>
    </row>
    <row r="5589" spans="44:46">
      <c r="AR5589">
        <v>0</v>
      </c>
      <c r="AS5589">
        <v>0</v>
      </c>
      <c r="AT5589">
        <v>0</v>
      </c>
    </row>
    <row r="5590" spans="44:46">
      <c r="AR5590">
        <v>0</v>
      </c>
      <c r="AS5590">
        <v>0</v>
      </c>
      <c r="AT5590">
        <v>0</v>
      </c>
    </row>
    <row r="5591" spans="44:46">
      <c r="AR5591">
        <v>0</v>
      </c>
      <c r="AS5591">
        <v>0</v>
      </c>
      <c r="AT5591">
        <v>0</v>
      </c>
    </row>
    <row r="5592" spans="44:46">
      <c r="AR5592">
        <v>0</v>
      </c>
      <c r="AS5592">
        <v>0</v>
      </c>
      <c r="AT5592">
        <v>0</v>
      </c>
    </row>
    <row r="5593" spans="44:46">
      <c r="AR5593">
        <v>0</v>
      </c>
      <c r="AS5593">
        <v>0</v>
      </c>
      <c r="AT5593">
        <v>0</v>
      </c>
    </row>
    <row r="5594" spans="44:46">
      <c r="AR5594">
        <v>0</v>
      </c>
      <c r="AS5594">
        <v>0</v>
      </c>
      <c r="AT5594">
        <v>0</v>
      </c>
    </row>
    <row r="5595" spans="44:46">
      <c r="AR5595">
        <v>0</v>
      </c>
      <c r="AS5595">
        <v>0</v>
      </c>
      <c r="AT5595">
        <v>0</v>
      </c>
    </row>
    <row r="5596" spans="44:46">
      <c r="AR5596">
        <v>0</v>
      </c>
      <c r="AS5596">
        <v>0</v>
      </c>
      <c r="AT5596">
        <v>0</v>
      </c>
    </row>
    <row r="5597" spans="44:46">
      <c r="AR5597">
        <v>0</v>
      </c>
      <c r="AS5597">
        <v>0</v>
      </c>
      <c r="AT5597">
        <v>0</v>
      </c>
    </row>
    <row r="5598" spans="44:46">
      <c r="AR5598">
        <v>0</v>
      </c>
      <c r="AS5598">
        <v>0</v>
      </c>
      <c r="AT5598">
        <v>0</v>
      </c>
    </row>
    <row r="5599" spans="44:46">
      <c r="AR5599">
        <v>0</v>
      </c>
      <c r="AS5599">
        <v>0</v>
      </c>
      <c r="AT5599">
        <v>0</v>
      </c>
    </row>
    <row r="5600" spans="44:46">
      <c r="AR5600">
        <v>0</v>
      </c>
      <c r="AS5600">
        <v>0</v>
      </c>
      <c r="AT5600">
        <v>0</v>
      </c>
    </row>
    <row r="5601" spans="44:46">
      <c r="AR5601">
        <v>0</v>
      </c>
      <c r="AS5601">
        <v>0</v>
      </c>
      <c r="AT5601">
        <v>0</v>
      </c>
    </row>
    <row r="5602" spans="44:46">
      <c r="AR5602">
        <v>0</v>
      </c>
      <c r="AS5602">
        <v>0</v>
      </c>
      <c r="AT5602">
        <v>0</v>
      </c>
    </row>
    <row r="5603" spans="44:46">
      <c r="AR5603">
        <v>0</v>
      </c>
      <c r="AS5603">
        <v>0</v>
      </c>
      <c r="AT5603">
        <v>0</v>
      </c>
    </row>
    <row r="5604" spans="44:46">
      <c r="AR5604">
        <v>0</v>
      </c>
      <c r="AS5604">
        <v>0</v>
      </c>
      <c r="AT5604">
        <v>0</v>
      </c>
    </row>
    <row r="5605" spans="44:46">
      <c r="AR5605">
        <v>0</v>
      </c>
      <c r="AS5605">
        <v>0</v>
      </c>
      <c r="AT5605">
        <v>0</v>
      </c>
    </row>
    <row r="5606" spans="44:46">
      <c r="AR5606">
        <v>0</v>
      </c>
      <c r="AS5606">
        <v>0</v>
      </c>
      <c r="AT5606">
        <v>0</v>
      </c>
    </row>
    <row r="5607" spans="44:46">
      <c r="AR5607">
        <v>0</v>
      </c>
      <c r="AS5607">
        <v>0</v>
      </c>
      <c r="AT5607">
        <v>0</v>
      </c>
    </row>
    <row r="5608" spans="44:46">
      <c r="AR5608">
        <v>0</v>
      </c>
      <c r="AS5608">
        <v>0</v>
      </c>
      <c r="AT5608">
        <v>0</v>
      </c>
    </row>
    <row r="5609" spans="44:46">
      <c r="AR5609">
        <v>0</v>
      </c>
      <c r="AS5609">
        <v>0</v>
      </c>
      <c r="AT5609">
        <v>0</v>
      </c>
    </row>
    <row r="5610" spans="44:46">
      <c r="AR5610">
        <v>0</v>
      </c>
      <c r="AS5610">
        <v>0</v>
      </c>
      <c r="AT5610">
        <v>0</v>
      </c>
    </row>
    <row r="5611" spans="44:46">
      <c r="AR5611">
        <v>0</v>
      </c>
      <c r="AS5611">
        <v>0</v>
      </c>
      <c r="AT5611">
        <v>0</v>
      </c>
    </row>
    <row r="5612" spans="44:46">
      <c r="AR5612">
        <v>0</v>
      </c>
      <c r="AS5612">
        <v>0</v>
      </c>
      <c r="AT5612">
        <v>0</v>
      </c>
    </row>
    <row r="5613" spans="44:46">
      <c r="AR5613">
        <v>0</v>
      </c>
      <c r="AS5613">
        <v>0</v>
      </c>
      <c r="AT5613">
        <v>0</v>
      </c>
    </row>
    <row r="5614" spans="44:46">
      <c r="AR5614">
        <v>0</v>
      </c>
      <c r="AS5614">
        <v>0</v>
      </c>
      <c r="AT5614">
        <v>0</v>
      </c>
    </row>
    <row r="5615" spans="44:46">
      <c r="AR5615">
        <v>0</v>
      </c>
      <c r="AS5615">
        <v>0</v>
      </c>
      <c r="AT5615">
        <v>0</v>
      </c>
    </row>
    <row r="5616" spans="44:46">
      <c r="AR5616">
        <v>0</v>
      </c>
      <c r="AS5616">
        <v>0</v>
      </c>
      <c r="AT5616">
        <v>0</v>
      </c>
    </row>
    <row r="5617" spans="44:46">
      <c r="AR5617">
        <v>0</v>
      </c>
      <c r="AS5617">
        <v>0</v>
      </c>
      <c r="AT5617">
        <v>0</v>
      </c>
    </row>
    <row r="5618" spans="44:46">
      <c r="AR5618">
        <v>0</v>
      </c>
      <c r="AS5618">
        <v>0</v>
      </c>
      <c r="AT5618">
        <v>0</v>
      </c>
    </row>
    <row r="5619" spans="44:46">
      <c r="AR5619">
        <v>0</v>
      </c>
      <c r="AS5619">
        <v>0</v>
      </c>
      <c r="AT5619">
        <v>0</v>
      </c>
    </row>
    <row r="5620" spans="44:46">
      <c r="AR5620">
        <v>0</v>
      </c>
      <c r="AS5620">
        <v>0</v>
      </c>
      <c r="AT5620">
        <v>0</v>
      </c>
    </row>
    <row r="5621" spans="44:46">
      <c r="AR5621">
        <v>0</v>
      </c>
      <c r="AS5621">
        <v>0</v>
      </c>
      <c r="AT5621">
        <v>0</v>
      </c>
    </row>
    <row r="5622" spans="44:46">
      <c r="AR5622">
        <v>0</v>
      </c>
      <c r="AS5622">
        <v>0</v>
      </c>
      <c r="AT5622">
        <v>0</v>
      </c>
    </row>
    <row r="5623" spans="44:46">
      <c r="AR5623">
        <v>0</v>
      </c>
      <c r="AS5623">
        <v>0</v>
      </c>
      <c r="AT5623">
        <v>0</v>
      </c>
    </row>
    <row r="5624" spans="44:46">
      <c r="AR5624">
        <v>0</v>
      </c>
      <c r="AS5624">
        <v>0</v>
      </c>
      <c r="AT5624">
        <v>0</v>
      </c>
    </row>
    <row r="5625" spans="44:46">
      <c r="AR5625">
        <v>0</v>
      </c>
      <c r="AS5625">
        <v>0</v>
      </c>
      <c r="AT5625">
        <v>0</v>
      </c>
    </row>
    <row r="5626" spans="44:46">
      <c r="AR5626">
        <v>0</v>
      </c>
      <c r="AS5626">
        <v>0</v>
      </c>
      <c r="AT5626">
        <v>0</v>
      </c>
    </row>
    <row r="5627" spans="44:46">
      <c r="AR5627">
        <v>0</v>
      </c>
      <c r="AS5627">
        <v>0</v>
      </c>
      <c r="AT5627">
        <v>0</v>
      </c>
    </row>
    <row r="5628" spans="44:46">
      <c r="AR5628">
        <v>0</v>
      </c>
      <c r="AS5628">
        <v>0</v>
      </c>
      <c r="AT5628">
        <v>0</v>
      </c>
    </row>
    <row r="5629" spans="44:46">
      <c r="AR5629">
        <v>0</v>
      </c>
      <c r="AS5629">
        <v>0</v>
      </c>
      <c r="AT5629">
        <v>0</v>
      </c>
    </row>
    <row r="5630" spans="44:46">
      <c r="AR5630">
        <v>0</v>
      </c>
      <c r="AS5630">
        <v>0</v>
      </c>
      <c r="AT5630">
        <v>0</v>
      </c>
    </row>
    <row r="5631" spans="44:46">
      <c r="AR5631">
        <v>0</v>
      </c>
      <c r="AS5631">
        <v>0</v>
      </c>
      <c r="AT5631">
        <v>0</v>
      </c>
    </row>
    <row r="5632" spans="44:46">
      <c r="AR5632">
        <v>0</v>
      </c>
      <c r="AS5632">
        <v>0</v>
      </c>
      <c r="AT5632">
        <v>0</v>
      </c>
    </row>
    <row r="5633" spans="44:46">
      <c r="AR5633">
        <v>0</v>
      </c>
      <c r="AS5633">
        <v>0</v>
      </c>
      <c r="AT5633">
        <v>0</v>
      </c>
    </row>
    <row r="5634" spans="44:46">
      <c r="AR5634">
        <v>0</v>
      </c>
      <c r="AS5634">
        <v>0</v>
      </c>
      <c r="AT5634">
        <v>0</v>
      </c>
    </row>
    <row r="5635" spans="44:46">
      <c r="AR5635">
        <v>0</v>
      </c>
      <c r="AS5635">
        <v>0</v>
      </c>
      <c r="AT5635">
        <v>0</v>
      </c>
    </row>
    <row r="5636" spans="44:46">
      <c r="AR5636">
        <v>0</v>
      </c>
      <c r="AS5636">
        <v>0</v>
      </c>
      <c r="AT5636">
        <v>0</v>
      </c>
    </row>
    <row r="5637" spans="44:46">
      <c r="AR5637">
        <v>0</v>
      </c>
      <c r="AS5637">
        <v>0</v>
      </c>
      <c r="AT5637">
        <v>0</v>
      </c>
    </row>
    <row r="5638" spans="44:46">
      <c r="AR5638">
        <v>0</v>
      </c>
      <c r="AS5638">
        <v>0</v>
      </c>
      <c r="AT5638">
        <v>0</v>
      </c>
    </row>
    <row r="5639" spans="44:46">
      <c r="AR5639">
        <v>0</v>
      </c>
      <c r="AS5639">
        <v>0</v>
      </c>
      <c r="AT5639">
        <v>0</v>
      </c>
    </row>
    <row r="5640" spans="44:46">
      <c r="AR5640">
        <v>0</v>
      </c>
      <c r="AS5640">
        <v>0</v>
      </c>
      <c r="AT5640">
        <v>0</v>
      </c>
    </row>
    <row r="5641" spans="44:46">
      <c r="AR5641">
        <v>0</v>
      </c>
      <c r="AS5641">
        <v>0</v>
      </c>
      <c r="AT5641">
        <v>0</v>
      </c>
    </row>
    <row r="5642" spans="44:46">
      <c r="AR5642">
        <v>0</v>
      </c>
      <c r="AS5642">
        <v>0</v>
      </c>
      <c r="AT5642">
        <v>0</v>
      </c>
    </row>
    <row r="5643" spans="44:46">
      <c r="AR5643">
        <v>0</v>
      </c>
      <c r="AS5643">
        <v>0</v>
      </c>
      <c r="AT5643">
        <v>0</v>
      </c>
    </row>
    <row r="5644" spans="44:46">
      <c r="AR5644">
        <v>0</v>
      </c>
      <c r="AS5644">
        <v>0</v>
      </c>
      <c r="AT5644">
        <v>0</v>
      </c>
    </row>
    <row r="5645" spans="44:46">
      <c r="AR5645">
        <v>0</v>
      </c>
      <c r="AS5645">
        <v>0</v>
      </c>
      <c r="AT5645">
        <v>0</v>
      </c>
    </row>
    <row r="5646" spans="44:46">
      <c r="AR5646">
        <v>0</v>
      </c>
      <c r="AS5646">
        <v>0</v>
      </c>
      <c r="AT5646">
        <v>0</v>
      </c>
    </row>
    <row r="5647" spans="44:46">
      <c r="AR5647">
        <v>0</v>
      </c>
      <c r="AS5647">
        <v>0</v>
      </c>
      <c r="AT5647">
        <v>0</v>
      </c>
    </row>
    <row r="5648" spans="44:46">
      <c r="AR5648">
        <v>0</v>
      </c>
      <c r="AS5648">
        <v>0</v>
      </c>
      <c r="AT5648">
        <v>0</v>
      </c>
    </row>
    <row r="5649" spans="44:46">
      <c r="AR5649">
        <v>0</v>
      </c>
      <c r="AS5649">
        <v>0</v>
      </c>
      <c r="AT5649">
        <v>0</v>
      </c>
    </row>
    <row r="5650" spans="44:46">
      <c r="AR5650">
        <v>0</v>
      </c>
      <c r="AS5650">
        <v>0</v>
      </c>
      <c r="AT5650">
        <v>0</v>
      </c>
    </row>
    <row r="5651" spans="44:46">
      <c r="AR5651">
        <v>0</v>
      </c>
      <c r="AS5651">
        <v>0</v>
      </c>
      <c r="AT5651">
        <v>0</v>
      </c>
    </row>
    <row r="5652" spans="44:46">
      <c r="AR5652">
        <v>0</v>
      </c>
      <c r="AS5652">
        <v>0</v>
      </c>
      <c r="AT5652">
        <v>0</v>
      </c>
    </row>
    <row r="5653" spans="44:46">
      <c r="AR5653">
        <v>0</v>
      </c>
      <c r="AS5653">
        <v>0</v>
      </c>
      <c r="AT5653">
        <v>0</v>
      </c>
    </row>
    <row r="5654" spans="44:46">
      <c r="AR5654">
        <v>0</v>
      </c>
      <c r="AS5654">
        <v>0</v>
      </c>
      <c r="AT5654">
        <v>0</v>
      </c>
    </row>
    <row r="5655" spans="44:46">
      <c r="AR5655">
        <v>0</v>
      </c>
      <c r="AS5655">
        <v>0</v>
      </c>
      <c r="AT5655">
        <v>0</v>
      </c>
    </row>
    <row r="5656" spans="44:46">
      <c r="AR5656">
        <v>0</v>
      </c>
      <c r="AS5656">
        <v>0</v>
      </c>
      <c r="AT5656">
        <v>0</v>
      </c>
    </row>
    <row r="5657" spans="44:46">
      <c r="AR5657">
        <v>0</v>
      </c>
      <c r="AS5657">
        <v>0</v>
      </c>
      <c r="AT5657">
        <v>0</v>
      </c>
    </row>
    <row r="5658" spans="44:46">
      <c r="AR5658">
        <v>0</v>
      </c>
      <c r="AS5658">
        <v>0</v>
      </c>
      <c r="AT5658">
        <v>0</v>
      </c>
    </row>
    <row r="5659" spans="44:46">
      <c r="AR5659">
        <v>0</v>
      </c>
      <c r="AS5659">
        <v>0</v>
      </c>
      <c r="AT5659">
        <v>0</v>
      </c>
    </row>
    <row r="5660" spans="44:46">
      <c r="AR5660">
        <v>0</v>
      </c>
      <c r="AS5660">
        <v>0</v>
      </c>
      <c r="AT5660">
        <v>0</v>
      </c>
    </row>
    <row r="5661" spans="44:46">
      <c r="AR5661">
        <v>0</v>
      </c>
      <c r="AS5661">
        <v>0</v>
      </c>
      <c r="AT5661">
        <v>0</v>
      </c>
    </row>
    <row r="5662" spans="44:46">
      <c r="AR5662">
        <v>0</v>
      </c>
      <c r="AS5662">
        <v>0</v>
      </c>
      <c r="AT5662">
        <v>0</v>
      </c>
    </row>
    <row r="5663" spans="44:46">
      <c r="AR5663">
        <v>0</v>
      </c>
      <c r="AS5663">
        <v>0</v>
      </c>
      <c r="AT5663">
        <v>0</v>
      </c>
    </row>
    <row r="5664" spans="44:46">
      <c r="AR5664">
        <v>0</v>
      </c>
      <c r="AS5664">
        <v>0</v>
      </c>
      <c r="AT5664">
        <v>0</v>
      </c>
    </row>
    <row r="5665" spans="44:46">
      <c r="AR5665">
        <v>0</v>
      </c>
      <c r="AS5665">
        <v>0</v>
      </c>
      <c r="AT5665">
        <v>0</v>
      </c>
    </row>
    <row r="5666" spans="44:46">
      <c r="AR5666">
        <v>0</v>
      </c>
      <c r="AS5666">
        <v>0</v>
      </c>
      <c r="AT5666">
        <v>0</v>
      </c>
    </row>
    <row r="5667" spans="44:46">
      <c r="AR5667">
        <v>0</v>
      </c>
      <c r="AS5667">
        <v>0</v>
      </c>
      <c r="AT5667">
        <v>0</v>
      </c>
    </row>
    <row r="5668" spans="44:46">
      <c r="AR5668">
        <v>0</v>
      </c>
      <c r="AS5668">
        <v>0</v>
      </c>
      <c r="AT5668">
        <v>0</v>
      </c>
    </row>
    <row r="5669" spans="44:46">
      <c r="AR5669">
        <v>0</v>
      </c>
      <c r="AS5669">
        <v>0</v>
      </c>
      <c r="AT5669">
        <v>0</v>
      </c>
    </row>
    <row r="5670" spans="44:46">
      <c r="AR5670">
        <v>0</v>
      </c>
      <c r="AS5670">
        <v>0</v>
      </c>
      <c r="AT5670">
        <v>0</v>
      </c>
    </row>
    <row r="5671" spans="44:46">
      <c r="AR5671">
        <v>0</v>
      </c>
      <c r="AS5671">
        <v>0</v>
      </c>
      <c r="AT5671">
        <v>0</v>
      </c>
    </row>
    <row r="5672" spans="44:46">
      <c r="AR5672">
        <v>0</v>
      </c>
      <c r="AS5672">
        <v>0</v>
      </c>
      <c r="AT5672">
        <v>0</v>
      </c>
    </row>
    <row r="5673" spans="44:46">
      <c r="AR5673">
        <v>0</v>
      </c>
      <c r="AS5673">
        <v>0</v>
      </c>
      <c r="AT5673">
        <v>0</v>
      </c>
    </row>
    <row r="5674" spans="44:46">
      <c r="AR5674">
        <v>0</v>
      </c>
      <c r="AS5674">
        <v>0</v>
      </c>
      <c r="AT5674">
        <v>0</v>
      </c>
    </row>
    <row r="5675" spans="44:46">
      <c r="AR5675">
        <v>0</v>
      </c>
      <c r="AS5675">
        <v>0</v>
      </c>
      <c r="AT5675">
        <v>0</v>
      </c>
    </row>
    <row r="5676" spans="44:46">
      <c r="AR5676">
        <v>0</v>
      </c>
      <c r="AS5676">
        <v>0</v>
      </c>
      <c r="AT5676">
        <v>0</v>
      </c>
    </row>
    <row r="5677" spans="44:46">
      <c r="AR5677">
        <v>0</v>
      </c>
      <c r="AS5677">
        <v>0</v>
      </c>
      <c r="AT5677">
        <v>0</v>
      </c>
    </row>
    <row r="5678" spans="44:46">
      <c r="AR5678">
        <v>0</v>
      </c>
      <c r="AS5678">
        <v>0</v>
      </c>
      <c r="AT5678">
        <v>0</v>
      </c>
    </row>
    <row r="5679" spans="44:46">
      <c r="AR5679">
        <v>0</v>
      </c>
      <c r="AS5679">
        <v>0</v>
      </c>
      <c r="AT5679">
        <v>0</v>
      </c>
    </row>
    <row r="5680" spans="44:46">
      <c r="AR5680">
        <v>0</v>
      </c>
      <c r="AS5680">
        <v>0</v>
      </c>
      <c r="AT5680">
        <v>0</v>
      </c>
    </row>
    <row r="5681" spans="44:46">
      <c r="AR5681">
        <v>0</v>
      </c>
      <c r="AS5681">
        <v>0</v>
      </c>
      <c r="AT5681">
        <v>0</v>
      </c>
    </row>
    <row r="5682" spans="44:46">
      <c r="AR5682">
        <v>0</v>
      </c>
      <c r="AS5682">
        <v>0</v>
      </c>
      <c r="AT5682">
        <v>0</v>
      </c>
    </row>
    <row r="5683" spans="44:46">
      <c r="AR5683">
        <v>0</v>
      </c>
      <c r="AS5683">
        <v>0</v>
      </c>
      <c r="AT5683">
        <v>0</v>
      </c>
    </row>
    <row r="5684" spans="44:46">
      <c r="AR5684">
        <v>0</v>
      </c>
      <c r="AS5684">
        <v>0</v>
      </c>
      <c r="AT5684">
        <v>0</v>
      </c>
    </row>
    <row r="5685" spans="44:46">
      <c r="AR5685">
        <v>0</v>
      </c>
      <c r="AS5685">
        <v>0</v>
      </c>
      <c r="AT5685">
        <v>0</v>
      </c>
    </row>
    <row r="5686" spans="44:46">
      <c r="AR5686">
        <v>0</v>
      </c>
      <c r="AS5686">
        <v>0</v>
      </c>
      <c r="AT5686">
        <v>0</v>
      </c>
    </row>
    <row r="5687" spans="44:46">
      <c r="AR5687">
        <v>0</v>
      </c>
      <c r="AS5687">
        <v>0</v>
      </c>
      <c r="AT5687">
        <v>0</v>
      </c>
    </row>
    <row r="5688" spans="44:46">
      <c r="AR5688">
        <v>0</v>
      </c>
      <c r="AS5688">
        <v>0</v>
      </c>
      <c r="AT5688">
        <v>0</v>
      </c>
    </row>
    <row r="5689" spans="44:46">
      <c r="AR5689">
        <v>0</v>
      </c>
      <c r="AS5689">
        <v>0</v>
      </c>
      <c r="AT5689">
        <v>0</v>
      </c>
    </row>
    <row r="5690" spans="44:46">
      <c r="AR5690">
        <v>0</v>
      </c>
      <c r="AS5690">
        <v>0</v>
      </c>
      <c r="AT5690">
        <v>0</v>
      </c>
    </row>
    <row r="5691" spans="44:46">
      <c r="AR5691">
        <v>0</v>
      </c>
      <c r="AS5691">
        <v>0</v>
      </c>
      <c r="AT5691">
        <v>0</v>
      </c>
    </row>
    <row r="5692" spans="44:46">
      <c r="AR5692">
        <v>0</v>
      </c>
      <c r="AS5692">
        <v>0</v>
      </c>
      <c r="AT5692">
        <v>0</v>
      </c>
    </row>
    <row r="5693" spans="44:46">
      <c r="AR5693">
        <v>0</v>
      </c>
      <c r="AS5693">
        <v>0</v>
      </c>
      <c r="AT5693">
        <v>0</v>
      </c>
    </row>
    <row r="5694" spans="44:46">
      <c r="AR5694">
        <v>0</v>
      </c>
      <c r="AS5694">
        <v>0</v>
      </c>
      <c r="AT5694">
        <v>0</v>
      </c>
    </row>
    <row r="5695" spans="44:46">
      <c r="AR5695">
        <v>0</v>
      </c>
      <c r="AS5695">
        <v>0</v>
      </c>
      <c r="AT5695">
        <v>0</v>
      </c>
    </row>
    <row r="5696" spans="44:46">
      <c r="AR5696">
        <v>0</v>
      </c>
      <c r="AS5696">
        <v>0</v>
      </c>
      <c r="AT5696">
        <v>0</v>
      </c>
    </row>
    <row r="5697" spans="44:46">
      <c r="AR5697">
        <v>0</v>
      </c>
      <c r="AS5697">
        <v>0</v>
      </c>
      <c r="AT5697">
        <v>0</v>
      </c>
    </row>
    <row r="5698" spans="44:46">
      <c r="AR5698">
        <v>0</v>
      </c>
      <c r="AS5698">
        <v>0</v>
      </c>
      <c r="AT5698">
        <v>0</v>
      </c>
    </row>
    <row r="5699" spans="44:46">
      <c r="AR5699">
        <v>0</v>
      </c>
      <c r="AS5699">
        <v>0</v>
      </c>
      <c r="AT5699">
        <v>0</v>
      </c>
    </row>
    <row r="5700" spans="44:46">
      <c r="AR5700">
        <v>0</v>
      </c>
      <c r="AS5700">
        <v>0</v>
      </c>
      <c r="AT5700">
        <v>0</v>
      </c>
    </row>
    <row r="5701" spans="44:46">
      <c r="AR5701">
        <v>0</v>
      </c>
      <c r="AS5701">
        <v>0</v>
      </c>
      <c r="AT5701">
        <v>0</v>
      </c>
    </row>
    <row r="5702" spans="44:46">
      <c r="AR5702">
        <v>0</v>
      </c>
      <c r="AS5702">
        <v>0</v>
      </c>
      <c r="AT5702">
        <v>0</v>
      </c>
    </row>
    <row r="5703" spans="44:46">
      <c r="AR5703">
        <v>0</v>
      </c>
      <c r="AS5703">
        <v>0</v>
      </c>
      <c r="AT5703">
        <v>0</v>
      </c>
    </row>
    <row r="5704" spans="44:46">
      <c r="AR5704">
        <v>0</v>
      </c>
      <c r="AS5704">
        <v>0</v>
      </c>
      <c r="AT5704">
        <v>0</v>
      </c>
    </row>
    <row r="5705" spans="44:46">
      <c r="AR5705">
        <v>0</v>
      </c>
      <c r="AS5705">
        <v>0</v>
      </c>
      <c r="AT5705">
        <v>0</v>
      </c>
    </row>
    <row r="5706" spans="44:46">
      <c r="AR5706">
        <v>0</v>
      </c>
      <c r="AS5706">
        <v>0</v>
      </c>
      <c r="AT5706">
        <v>0</v>
      </c>
    </row>
    <row r="5707" spans="44:46">
      <c r="AR5707">
        <v>0</v>
      </c>
      <c r="AS5707">
        <v>0</v>
      </c>
      <c r="AT5707">
        <v>0</v>
      </c>
    </row>
    <row r="5708" spans="44:46">
      <c r="AR5708">
        <v>0</v>
      </c>
      <c r="AS5708">
        <v>0</v>
      </c>
      <c r="AT5708">
        <v>0</v>
      </c>
    </row>
    <row r="5709" spans="44:46">
      <c r="AR5709">
        <v>0</v>
      </c>
      <c r="AS5709">
        <v>0</v>
      </c>
      <c r="AT5709">
        <v>0</v>
      </c>
    </row>
    <row r="5710" spans="44:46">
      <c r="AR5710">
        <v>0</v>
      </c>
      <c r="AS5710">
        <v>0</v>
      </c>
      <c r="AT5710">
        <v>0</v>
      </c>
    </row>
    <row r="5711" spans="44:46">
      <c r="AR5711">
        <v>0</v>
      </c>
      <c r="AS5711">
        <v>0</v>
      </c>
      <c r="AT5711">
        <v>0</v>
      </c>
    </row>
    <row r="5712" spans="44:46">
      <c r="AR5712">
        <v>0</v>
      </c>
      <c r="AS5712">
        <v>0</v>
      </c>
      <c r="AT5712">
        <v>0</v>
      </c>
    </row>
    <row r="5713" spans="44:46">
      <c r="AR5713">
        <v>0</v>
      </c>
      <c r="AS5713">
        <v>0</v>
      </c>
      <c r="AT5713">
        <v>0</v>
      </c>
    </row>
    <row r="5714" spans="44:46">
      <c r="AR5714">
        <v>0</v>
      </c>
      <c r="AS5714">
        <v>0</v>
      </c>
      <c r="AT5714">
        <v>0</v>
      </c>
    </row>
    <row r="5715" spans="44:46">
      <c r="AR5715">
        <v>0</v>
      </c>
      <c r="AS5715">
        <v>0</v>
      </c>
      <c r="AT5715">
        <v>0</v>
      </c>
    </row>
    <row r="5716" spans="44:46">
      <c r="AR5716">
        <v>0</v>
      </c>
      <c r="AS5716">
        <v>0</v>
      </c>
      <c r="AT5716">
        <v>0</v>
      </c>
    </row>
    <row r="5717" spans="44:46">
      <c r="AR5717">
        <v>0</v>
      </c>
      <c r="AS5717">
        <v>0</v>
      </c>
      <c r="AT5717">
        <v>0</v>
      </c>
    </row>
    <row r="5718" spans="44:46">
      <c r="AR5718">
        <v>0</v>
      </c>
      <c r="AS5718">
        <v>0</v>
      </c>
      <c r="AT5718">
        <v>0</v>
      </c>
    </row>
    <row r="5719" spans="44:46">
      <c r="AR5719">
        <v>0</v>
      </c>
      <c r="AS5719">
        <v>0</v>
      </c>
      <c r="AT5719">
        <v>0</v>
      </c>
    </row>
    <row r="5720" spans="44:46">
      <c r="AR5720">
        <v>0</v>
      </c>
      <c r="AS5720">
        <v>0</v>
      </c>
      <c r="AT5720">
        <v>0</v>
      </c>
    </row>
    <row r="5721" spans="44:46">
      <c r="AR5721">
        <v>0</v>
      </c>
      <c r="AS5721">
        <v>0</v>
      </c>
      <c r="AT5721">
        <v>0</v>
      </c>
    </row>
    <row r="5722" spans="44:46">
      <c r="AR5722">
        <v>0</v>
      </c>
      <c r="AS5722">
        <v>0</v>
      </c>
      <c r="AT5722">
        <v>0</v>
      </c>
    </row>
    <row r="5723" spans="44:46">
      <c r="AR5723">
        <v>0</v>
      </c>
      <c r="AS5723">
        <v>0</v>
      </c>
      <c r="AT5723">
        <v>0</v>
      </c>
    </row>
    <row r="5724" spans="44:46">
      <c r="AR5724">
        <v>0</v>
      </c>
      <c r="AS5724">
        <v>0</v>
      </c>
      <c r="AT5724">
        <v>0</v>
      </c>
    </row>
    <row r="5725" spans="44:46">
      <c r="AR5725">
        <v>0</v>
      </c>
      <c r="AS5725">
        <v>0</v>
      </c>
      <c r="AT5725">
        <v>0</v>
      </c>
    </row>
    <row r="5726" spans="44:46">
      <c r="AR5726">
        <v>0</v>
      </c>
      <c r="AS5726">
        <v>0</v>
      </c>
      <c r="AT5726">
        <v>0</v>
      </c>
    </row>
    <row r="5727" spans="44:46">
      <c r="AR5727">
        <v>0</v>
      </c>
      <c r="AS5727">
        <v>0</v>
      </c>
      <c r="AT5727">
        <v>0</v>
      </c>
    </row>
    <row r="5728" spans="44:46">
      <c r="AR5728">
        <v>0</v>
      </c>
      <c r="AS5728">
        <v>0</v>
      </c>
      <c r="AT5728">
        <v>0</v>
      </c>
    </row>
    <row r="5729" spans="44:46">
      <c r="AR5729">
        <v>0</v>
      </c>
      <c r="AS5729">
        <v>0</v>
      </c>
      <c r="AT5729">
        <v>0</v>
      </c>
    </row>
    <row r="5730" spans="44:46">
      <c r="AR5730">
        <v>0</v>
      </c>
      <c r="AS5730">
        <v>0</v>
      </c>
      <c r="AT5730">
        <v>0</v>
      </c>
    </row>
    <row r="5731" spans="44:46">
      <c r="AR5731">
        <v>0</v>
      </c>
      <c r="AS5731">
        <v>0</v>
      </c>
      <c r="AT5731">
        <v>0</v>
      </c>
    </row>
    <row r="5732" spans="44:46">
      <c r="AR5732">
        <v>0</v>
      </c>
      <c r="AS5732">
        <v>0</v>
      </c>
      <c r="AT5732">
        <v>0</v>
      </c>
    </row>
    <row r="5733" spans="44:46">
      <c r="AR5733">
        <v>0</v>
      </c>
      <c r="AS5733">
        <v>0</v>
      </c>
      <c r="AT5733">
        <v>0</v>
      </c>
    </row>
    <row r="5734" spans="44:46">
      <c r="AR5734">
        <v>0</v>
      </c>
      <c r="AS5734">
        <v>0</v>
      </c>
      <c r="AT5734">
        <v>0</v>
      </c>
    </row>
    <row r="5735" spans="44:46">
      <c r="AR5735">
        <v>0</v>
      </c>
      <c r="AS5735">
        <v>0</v>
      </c>
      <c r="AT5735">
        <v>0</v>
      </c>
    </row>
    <row r="5736" spans="44:46">
      <c r="AR5736">
        <v>0</v>
      </c>
      <c r="AS5736">
        <v>0</v>
      </c>
      <c r="AT5736">
        <v>0</v>
      </c>
    </row>
    <row r="5737" spans="44:46">
      <c r="AR5737">
        <v>0</v>
      </c>
      <c r="AS5737">
        <v>0</v>
      </c>
      <c r="AT5737">
        <v>0</v>
      </c>
    </row>
    <row r="5738" spans="44:46">
      <c r="AR5738">
        <v>0</v>
      </c>
      <c r="AS5738">
        <v>0</v>
      </c>
      <c r="AT5738">
        <v>0</v>
      </c>
    </row>
    <row r="5739" spans="44:46">
      <c r="AR5739">
        <v>0</v>
      </c>
      <c r="AS5739">
        <v>0</v>
      </c>
      <c r="AT5739">
        <v>0</v>
      </c>
    </row>
    <row r="5740" spans="44:46">
      <c r="AR5740">
        <v>0</v>
      </c>
      <c r="AS5740">
        <v>0</v>
      </c>
      <c r="AT5740">
        <v>0</v>
      </c>
    </row>
    <row r="5741" spans="44:46">
      <c r="AR5741">
        <v>0</v>
      </c>
      <c r="AS5741">
        <v>0</v>
      </c>
      <c r="AT5741">
        <v>0</v>
      </c>
    </row>
    <row r="5742" spans="44:46">
      <c r="AR5742">
        <v>0</v>
      </c>
      <c r="AS5742">
        <v>0</v>
      </c>
      <c r="AT5742">
        <v>0</v>
      </c>
    </row>
    <row r="5743" spans="44:46">
      <c r="AR5743">
        <v>0</v>
      </c>
      <c r="AS5743">
        <v>0</v>
      </c>
      <c r="AT5743">
        <v>0</v>
      </c>
    </row>
    <row r="5744" spans="44:46">
      <c r="AR5744">
        <v>0</v>
      </c>
      <c r="AS5744">
        <v>0</v>
      </c>
      <c r="AT5744">
        <v>0</v>
      </c>
    </row>
    <row r="5745" spans="44:46">
      <c r="AR5745">
        <v>0</v>
      </c>
      <c r="AS5745">
        <v>0</v>
      </c>
      <c r="AT5745">
        <v>0</v>
      </c>
    </row>
    <row r="5746" spans="44:46">
      <c r="AR5746">
        <v>0</v>
      </c>
      <c r="AS5746">
        <v>0</v>
      </c>
      <c r="AT5746">
        <v>0</v>
      </c>
    </row>
    <row r="5747" spans="44:46">
      <c r="AR5747">
        <v>0</v>
      </c>
      <c r="AS5747">
        <v>0</v>
      </c>
      <c r="AT5747">
        <v>0</v>
      </c>
    </row>
    <row r="5748" spans="44:46">
      <c r="AR5748">
        <v>0</v>
      </c>
      <c r="AS5748">
        <v>0</v>
      </c>
      <c r="AT5748">
        <v>0</v>
      </c>
    </row>
    <row r="5749" spans="44:46">
      <c r="AR5749">
        <v>0</v>
      </c>
      <c r="AS5749">
        <v>0</v>
      </c>
      <c r="AT5749">
        <v>0</v>
      </c>
    </row>
    <row r="5750" spans="44:46">
      <c r="AR5750">
        <v>0</v>
      </c>
      <c r="AS5750">
        <v>0</v>
      </c>
      <c r="AT5750">
        <v>0</v>
      </c>
    </row>
    <row r="5751" spans="44:46">
      <c r="AR5751">
        <v>0</v>
      </c>
      <c r="AS5751">
        <v>0</v>
      </c>
      <c r="AT5751">
        <v>0</v>
      </c>
    </row>
    <row r="5752" spans="44:46">
      <c r="AR5752">
        <v>0</v>
      </c>
      <c r="AS5752">
        <v>0</v>
      </c>
      <c r="AT5752">
        <v>0</v>
      </c>
    </row>
    <row r="5753" spans="44:46">
      <c r="AR5753">
        <v>0</v>
      </c>
      <c r="AS5753">
        <v>0</v>
      </c>
      <c r="AT5753">
        <v>0</v>
      </c>
    </row>
    <row r="5754" spans="44:46">
      <c r="AR5754">
        <v>0</v>
      </c>
      <c r="AS5754">
        <v>0</v>
      </c>
      <c r="AT5754">
        <v>0</v>
      </c>
    </row>
    <row r="5755" spans="44:46">
      <c r="AR5755">
        <v>0</v>
      </c>
      <c r="AS5755">
        <v>0</v>
      </c>
      <c r="AT5755">
        <v>0</v>
      </c>
    </row>
    <row r="5756" spans="44:46">
      <c r="AR5756">
        <v>0</v>
      </c>
      <c r="AS5756">
        <v>0</v>
      </c>
      <c r="AT5756">
        <v>0</v>
      </c>
    </row>
    <row r="5757" spans="44:46">
      <c r="AR5757">
        <v>0</v>
      </c>
      <c r="AS5757">
        <v>0</v>
      </c>
      <c r="AT5757">
        <v>0</v>
      </c>
    </row>
    <row r="5758" spans="44:46">
      <c r="AR5758">
        <v>0</v>
      </c>
      <c r="AS5758">
        <v>0</v>
      </c>
      <c r="AT5758">
        <v>0</v>
      </c>
    </row>
    <row r="5759" spans="44:46">
      <c r="AR5759">
        <v>0</v>
      </c>
      <c r="AS5759">
        <v>0</v>
      </c>
      <c r="AT5759">
        <v>0</v>
      </c>
    </row>
    <row r="5760" spans="44:46">
      <c r="AR5760">
        <v>0</v>
      </c>
      <c r="AS5760">
        <v>0</v>
      </c>
      <c r="AT5760">
        <v>0</v>
      </c>
    </row>
    <row r="5761" spans="44:46">
      <c r="AR5761">
        <v>0</v>
      </c>
      <c r="AS5761">
        <v>0</v>
      </c>
      <c r="AT5761">
        <v>0</v>
      </c>
    </row>
    <row r="5762" spans="44:46">
      <c r="AR5762">
        <v>0</v>
      </c>
      <c r="AS5762">
        <v>0</v>
      </c>
      <c r="AT5762">
        <v>0</v>
      </c>
    </row>
    <row r="5763" spans="44:46">
      <c r="AR5763">
        <v>0</v>
      </c>
      <c r="AS5763">
        <v>0</v>
      </c>
      <c r="AT5763">
        <v>0</v>
      </c>
    </row>
    <row r="5764" spans="44:46">
      <c r="AR5764">
        <v>0</v>
      </c>
      <c r="AS5764">
        <v>0</v>
      </c>
      <c r="AT5764">
        <v>0</v>
      </c>
    </row>
    <row r="5765" spans="44:46">
      <c r="AR5765">
        <v>0</v>
      </c>
      <c r="AS5765">
        <v>0</v>
      </c>
      <c r="AT5765">
        <v>0</v>
      </c>
    </row>
    <row r="5766" spans="44:46">
      <c r="AR5766">
        <v>0</v>
      </c>
      <c r="AS5766">
        <v>0</v>
      </c>
      <c r="AT5766">
        <v>0</v>
      </c>
    </row>
    <row r="5767" spans="44:46">
      <c r="AR5767">
        <v>0</v>
      </c>
      <c r="AS5767">
        <v>0</v>
      </c>
      <c r="AT5767">
        <v>0</v>
      </c>
    </row>
    <row r="5768" spans="44:46">
      <c r="AR5768">
        <v>0</v>
      </c>
      <c r="AS5768">
        <v>0</v>
      </c>
      <c r="AT5768">
        <v>0</v>
      </c>
    </row>
    <row r="5769" spans="44:46">
      <c r="AR5769">
        <v>0</v>
      </c>
      <c r="AS5769">
        <v>0</v>
      </c>
      <c r="AT5769">
        <v>0</v>
      </c>
    </row>
    <row r="5770" spans="44:46">
      <c r="AR5770">
        <v>0</v>
      </c>
      <c r="AS5770">
        <v>0</v>
      </c>
      <c r="AT5770">
        <v>0</v>
      </c>
    </row>
    <row r="5771" spans="44:46">
      <c r="AR5771">
        <v>0</v>
      </c>
      <c r="AS5771">
        <v>0</v>
      </c>
      <c r="AT5771">
        <v>0</v>
      </c>
    </row>
    <row r="5772" spans="44:46">
      <c r="AR5772">
        <v>0</v>
      </c>
      <c r="AS5772">
        <v>0</v>
      </c>
      <c r="AT5772">
        <v>0</v>
      </c>
    </row>
    <row r="5773" spans="44:46">
      <c r="AR5773">
        <v>0</v>
      </c>
      <c r="AS5773">
        <v>0</v>
      </c>
      <c r="AT5773">
        <v>0</v>
      </c>
    </row>
    <row r="5774" spans="44:46">
      <c r="AR5774">
        <v>0</v>
      </c>
      <c r="AS5774">
        <v>0</v>
      </c>
      <c r="AT5774">
        <v>0</v>
      </c>
    </row>
    <row r="5775" spans="44:46">
      <c r="AR5775">
        <v>0</v>
      </c>
      <c r="AS5775">
        <v>0</v>
      </c>
      <c r="AT5775">
        <v>0</v>
      </c>
    </row>
    <row r="5776" spans="44:46">
      <c r="AR5776">
        <v>0</v>
      </c>
      <c r="AS5776">
        <v>0</v>
      </c>
      <c r="AT5776">
        <v>0</v>
      </c>
    </row>
    <row r="5777" spans="44:46">
      <c r="AR5777">
        <v>0</v>
      </c>
      <c r="AS5777">
        <v>0</v>
      </c>
      <c r="AT5777">
        <v>0</v>
      </c>
    </row>
    <row r="5778" spans="44:46">
      <c r="AR5778">
        <v>0</v>
      </c>
      <c r="AS5778">
        <v>0</v>
      </c>
      <c r="AT5778">
        <v>0</v>
      </c>
    </row>
    <row r="5779" spans="44:46">
      <c r="AR5779">
        <v>0</v>
      </c>
      <c r="AS5779">
        <v>0</v>
      </c>
      <c r="AT5779">
        <v>0</v>
      </c>
    </row>
    <row r="5780" spans="44:46">
      <c r="AR5780">
        <v>0</v>
      </c>
      <c r="AS5780">
        <v>0</v>
      </c>
      <c r="AT5780">
        <v>0</v>
      </c>
    </row>
    <row r="5781" spans="44:46">
      <c r="AR5781">
        <v>0</v>
      </c>
      <c r="AS5781">
        <v>0</v>
      </c>
      <c r="AT5781">
        <v>0</v>
      </c>
    </row>
    <row r="5782" spans="44:46">
      <c r="AR5782">
        <v>0</v>
      </c>
      <c r="AS5782">
        <v>0</v>
      </c>
      <c r="AT5782">
        <v>0</v>
      </c>
    </row>
    <row r="5783" spans="44:46">
      <c r="AR5783">
        <v>0</v>
      </c>
      <c r="AS5783">
        <v>0</v>
      </c>
      <c r="AT5783">
        <v>0</v>
      </c>
    </row>
    <row r="5784" spans="44:46">
      <c r="AR5784">
        <v>0</v>
      </c>
      <c r="AS5784">
        <v>0</v>
      </c>
      <c r="AT5784">
        <v>0</v>
      </c>
    </row>
    <row r="5785" spans="44:46">
      <c r="AR5785">
        <v>0</v>
      </c>
      <c r="AS5785">
        <v>0</v>
      </c>
      <c r="AT5785">
        <v>0</v>
      </c>
    </row>
    <row r="5786" spans="44:46">
      <c r="AR5786">
        <v>0</v>
      </c>
      <c r="AS5786">
        <v>0</v>
      </c>
      <c r="AT5786">
        <v>0</v>
      </c>
    </row>
    <row r="5787" spans="44:46">
      <c r="AR5787">
        <v>0</v>
      </c>
      <c r="AS5787">
        <v>0</v>
      </c>
      <c r="AT5787">
        <v>0</v>
      </c>
    </row>
    <row r="5788" spans="44:46">
      <c r="AR5788">
        <v>0</v>
      </c>
      <c r="AS5788">
        <v>0</v>
      </c>
      <c r="AT5788">
        <v>0</v>
      </c>
    </row>
    <row r="5789" spans="44:46">
      <c r="AR5789">
        <v>0</v>
      </c>
      <c r="AS5789">
        <v>0</v>
      </c>
      <c r="AT5789">
        <v>0</v>
      </c>
    </row>
    <row r="5790" spans="44:46">
      <c r="AR5790">
        <v>0</v>
      </c>
      <c r="AS5790">
        <v>0</v>
      </c>
      <c r="AT5790">
        <v>0</v>
      </c>
    </row>
    <row r="5791" spans="44:46">
      <c r="AR5791">
        <v>0</v>
      </c>
      <c r="AS5791">
        <v>0</v>
      </c>
      <c r="AT5791">
        <v>0</v>
      </c>
    </row>
    <row r="5792" spans="44:46">
      <c r="AR5792">
        <v>0</v>
      </c>
      <c r="AS5792">
        <v>0</v>
      </c>
      <c r="AT5792">
        <v>0</v>
      </c>
    </row>
    <row r="5793" spans="44:46">
      <c r="AR5793">
        <v>0</v>
      </c>
      <c r="AS5793">
        <v>0</v>
      </c>
      <c r="AT5793">
        <v>0</v>
      </c>
    </row>
    <row r="5794" spans="44:46">
      <c r="AR5794">
        <v>0</v>
      </c>
      <c r="AS5794">
        <v>0</v>
      </c>
      <c r="AT5794">
        <v>0</v>
      </c>
    </row>
    <row r="5795" spans="44:46">
      <c r="AR5795">
        <v>0</v>
      </c>
      <c r="AS5795">
        <v>0</v>
      </c>
      <c r="AT5795">
        <v>0</v>
      </c>
    </row>
    <row r="5796" spans="44:46">
      <c r="AR5796">
        <v>0</v>
      </c>
      <c r="AS5796">
        <v>0</v>
      </c>
      <c r="AT5796">
        <v>0</v>
      </c>
    </row>
    <row r="5797" spans="44:46">
      <c r="AR5797">
        <v>0</v>
      </c>
      <c r="AS5797">
        <v>0</v>
      </c>
      <c r="AT5797">
        <v>0</v>
      </c>
    </row>
    <row r="5798" spans="44:46">
      <c r="AR5798">
        <v>0</v>
      </c>
      <c r="AS5798">
        <v>0</v>
      </c>
      <c r="AT5798">
        <v>0</v>
      </c>
    </row>
    <row r="5799" spans="44:46">
      <c r="AR5799">
        <v>0</v>
      </c>
      <c r="AS5799">
        <v>0</v>
      </c>
      <c r="AT5799">
        <v>0</v>
      </c>
    </row>
    <row r="5800" spans="44:46">
      <c r="AR5800">
        <v>0</v>
      </c>
      <c r="AS5800">
        <v>0</v>
      </c>
      <c r="AT5800">
        <v>0</v>
      </c>
    </row>
    <row r="5801" spans="44:46">
      <c r="AR5801">
        <v>0</v>
      </c>
      <c r="AS5801">
        <v>0</v>
      </c>
      <c r="AT5801">
        <v>0</v>
      </c>
    </row>
    <row r="5802" spans="44:46">
      <c r="AR5802">
        <v>0</v>
      </c>
      <c r="AS5802">
        <v>0</v>
      </c>
      <c r="AT5802">
        <v>0</v>
      </c>
    </row>
    <row r="5803" spans="44:46">
      <c r="AR5803">
        <v>0</v>
      </c>
      <c r="AS5803">
        <v>0</v>
      </c>
      <c r="AT5803">
        <v>0</v>
      </c>
    </row>
    <row r="5804" spans="44:46">
      <c r="AR5804">
        <v>0</v>
      </c>
      <c r="AS5804">
        <v>0</v>
      </c>
      <c r="AT5804">
        <v>0</v>
      </c>
    </row>
    <row r="5805" spans="44:46">
      <c r="AR5805">
        <v>0</v>
      </c>
      <c r="AS5805">
        <v>0</v>
      </c>
      <c r="AT5805">
        <v>0</v>
      </c>
    </row>
    <row r="5806" spans="44:46">
      <c r="AR5806">
        <v>0</v>
      </c>
      <c r="AS5806">
        <v>0</v>
      </c>
      <c r="AT5806">
        <v>0</v>
      </c>
    </row>
    <row r="5807" spans="44:46">
      <c r="AR5807">
        <v>0</v>
      </c>
      <c r="AS5807">
        <v>0</v>
      </c>
      <c r="AT5807">
        <v>0</v>
      </c>
    </row>
    <row r="5808" spans="44:46">
      <c r="AR5808">
        <v>0</v>
      </c>
      <c r="AS5808">
        <v>0</v>
      </c>
      <c r="AT5808">
        <v>0</v>
      </c>
    </row>
    <row r="5809" spans="44:46">
      <c r="AR5809">
        <v>0</v>
      </c>
      <c r="AS5809">
        <v>0</v>
      </c>
      <c r="AT5809">
        <v>0</v>
      </c>
    </row>
    <row r="5810" spans="44:46">
      <c r="AR5810">
        <v>0</v>
      </c>
      <c r="AS5810">
        <v>0</v>
      </c>
      <c r="AT5810">
        <v>0</v>
      </c>
    </row>
    <row r="5811" spans="44:46">
      <c r="AR5811">
        <v>0</v>
      </c>
      <c r="AS5811">
        <v>0</v>
      </c>
      <c r="AT5811">
        <v>0</v>
      </c>
    </row>
    <row r="5812" spans="44:46">
      <c r="AR5812">
        <v>0</v>
      </c>
      <c r="AS5812">
        <v>0</v>
      </c>
      <c r="AT5812">
        <v>0</v>
      </c>
    </row>
    <row r="5813" spans="44:46">
      <c r="AR5813">
        <v>0</v>
      </c>
      <c r="AS5813">
        <v>0</v>
      </c>
      <c r="AT5813">
        <v>0</v>
      </c>
    </row>
    <row r="5814" spans="44:46">
      <c r="AR5814">
        <v>0</v>
      </c>
      <c r="AS5814">
        <v>0</v>
      </c>
      <c r="AT5814">
        <v>0</v>
      </c>
    </row>
    <row r="5815" spans="44:46">
      <c r="AR5815">
        <v>0</v>
      </c>
      <c r="AS5815">
        <v>0</v>
      </c>
      <c r="AT5815">
        <v>0</v>
      </c>
    </row>
    <row r="5816" spans="44:46">
      <c r="AR5816">
        <v>0</v>
      </c>
      <c r="AS5816">
        <v>0</v>
      </c>
      <c r="AT5816">
        <v>0</v>
      </c>
    </row>
    <row r="5817" spans="44:46">
      <c r="AR5817">
        <v>0</v>
      </c>
      <c r="AS5817">
        <v>0</v>
      </c>
      <c r="AT5817">
        <v>0</v>
      </c>
    </row>
    <row r="5818" spans="44:46">
      <c r="AR5818">
        <v>0</v>
      </c>
      <c r="AS5818">
        <v>0</v>
      </c>
      <c r="AT5818">
        <v>0</v>
      </c>
    </row>
    <row r="5819" spans="44:46">
      <c r="AR5819">
        <v>0</v>
      </c>
      <c r="AS5819">
        <v>0</v>
      </c>
      <c r="AT5819">
        <v>0</v>
      </c>
    </row>
    <row r="5820" spans="44:46">
      <c r="AR5820">
        <v>0</v>
      </c>
      <c r="AS5820">
        <v>0</v>
      </c>
      <c r="AT5820">
        <v>0</v>
      </c>
    </row>
    <row r="5821" spans="44:46">
      <c r="AR5821">
        <v>0</v>
      </c>
      <c r="AS5821">
        <v>0</v>
      </c>
      <c r="AT5821">
        <v>0</v>
      </c>
    </row>
    <row r="5822" spans="44:46">
      <c r="AR5822">
        <v>0</v>
      </c>
      <c r="AS5822">
        <v>0</v>
      </c>
      <c r="AT5822">
        <v>0</v>
      </c>
    </row>
    <row r="5823" spans="44:46">
      <c r="AR5823">
        <v>0</v>
      </c>
      <c r="AS5823">
        <v>0</v>
      </c>
      <c r="AT5823">
        <v>0</v>
      </c>
    </row>
    <row r="5824" spans="44:46">
      <c r="AR5824">
        <v>0</v>
      </c>
      <c r="AS5824">
        <v>0</v>
      </c>
      <c r="AT5824">
        <v>0</v>
      </c>
    </row>
    <row r="5825" spans="44:46">
      <c r="AR5825">
        <v>0</v>
      </c>
      <c r="AS5825">
        <v>0</v>
      </c>
      <c r="AT5825">
        <v>0</v>
      </c>
    </row>
    <row r="5826" spans="44:46">
      <c r="AR5826">
        <v>0</v>
      </c>
      <c r="AS5826">
        <v>0</v>
      </c>
      <c r="AT5826">
        <v>0</v>
      </c>
    </row>
    <row r="5827" spans="44:46">
      <c r="AR5827">
        <v>0</v>
      </c>
      <c r="AS5827">
        <v>0</v>
      </c>
      <c r="AT5827">
        <v>0</v>
      </c>
    </row>
    <row r="5828" spans="44:46">
      <c r="AR5828">
        <v>0</v>
      </c>
      <c r="AS5828">
        <v>0</v>
      </c>
      <c r="AT5828">
        <v>0</v>
      </c>
    </row>
    <row r="5829" spans="44:46">
      <c r="AR5829">
        <v>0</v>
      </c>
      <c r="AS5829">
        <v>0</v>
      </c>
      <c r="AT5829">
        <v>0</v>
      </c>
    </row>
    <row r="5830" spans="44:46">
      <c r="AR5830">
        <v>0</v>
      </c>
      <c r="AS5830">
        <v>0</v>
      </c>
      <c r="AT5830">
        <v>0</v>
      </c>
    </row>
    <row r="5831" spans="44:46">
      <c r="AR5831">
        <v>0</v>
      </c>
      <c r="AS5831">
        <v>0</v>
      </c>
      <c r="AT5831">
        <v>0</v>
      </c>
    </row>
    <row r="5832" spans="44:46">
      <c r="AR5832">
        <v>0</v>
      </c>
      <c r="AS5832">
        <v>0</v>
      </c>
      <c r="AT5832">
        <v>0</v>
      </c>
    </row>
    <row r="5833" spans="44:46">
      <c r="AR5833">
        <v>0</v>
      </c>
      <c r="AS5833">
        <v>0</v>
      </c>
      <c r="AT5833">
        <v>0</v>
      </c>
    </row>
    <row r="5834" spans="44:46">
      <c r="AR5834">
        <v>0</v>
      </c>
      <c r="AS5834">
        <v>0</v>
      </c>
      <c r="AT5834">
        <v>0</v>
      </c>
    </row>
    <row r="5835" spans="44:46">
      <c r="AR5835">
        <v>0</v>
      </c>
      <c r="AS5835">
        <v>0</v>
      </c>
      <c r="AT5835">
        <v>0</v>
      </c>
    </row>
    <row r="5836" spans="44:46">
      <c r="AR5836">
        <v>0</v>
      </c>
      <c r="AS5836">
        <v>0</v>
      </c>
      <c r="AT5836">
        <v>0</v>
      </c>
    </row>
    <row r="5837" spans="44:46">
      <c r="AR5837">
        <v>0</v>
      </c>
      <c r="AS5837">
        <v>0</v>
      </c>
      <c r="AT5837">
        <v>0</v>
      </c>
    </row>
    <row r="5838" spans="44:46">
      <c r="AR5838">
        <v>0</v>
      </c>
      <c r="AS5838">
        <v>0</v>
      </c>
      <c r="AT5838">
        <v>0</v>
      </c>
    </row>
    <row r="5839" spans="44:46">
      <c r="AR5839">
        <v>0</v>
      </c>
      <c r="AS5839">
        <v>0</v>
      </c>
      <c r="AT5839">
        <v>0</v>
      </c>
    </row>
    <row r="5840" spans="44:46">
      <c r="AR5840">
        <v>0</v>
      </c>
      <c r="AS5840">
        <v>0</v>
      </c>
      <c r="AT5840">
        <v>0</v>
      </c>
    </row>
    <row r="5841" spans="44:46">
      <c r="AR5841">
        <v>0</v>
      </c>
      <c r="AS5841">
        <v>0</v>
      </c>
      <c r="AT5841">
        <v>0</v>
      </c>
    </row>
    <row r="5842" spans="44:46">
      <c r="AR5842">
        <v>0</v>
      </c>
      <c r="AS5842">
        <v>0</v>
      </c>
      <c r="AT5842">
        <v>0</v>
      </c>
    </row>
    <row r="5843" spans="44:46">
      <c r="AR5843">
        <v>0</v>
      </c>
      <c r="AS5843">
        <v>0</v>
      </c>
      <c r="AT5843">
        <v>0</v>
      </c>
    </row>
    <row r="5844" spans="44:46">
      <c r="AR5844">
        <v>0</v>
      </c>
      <c r="AS5844">
        <v>0</v>
      </c>
      <c r="AT5844">
        <v>0</v>
      </c>
    </row>
    <row r="5845" spans="44:46">
      <c r="AR5845">
        <v>0</v>
      </c>
      <c r="AS5845">
        <v>0</v>
      </c>
      <c r="AT5845">
        <v>0</v>
      </c>
    </row>
    <row r="5846" spans="44:46">
      <c r="AR5846">
        <v>0</v>
      </c>
      <c r="AS5846">
        <v>0</v>
      </c>
      <c r="AT5846">
        <v>0</v>
      </c>
    </row>
    <row r="5847" spans="44:46">
      <c r="AR5847">
        <v>0</v>
      </c>
      <c r="AS5847">
        <v>0</v>
      </c>
      <c r="AT5847">
        <v>0</v>
      </c>
    </row>
    <row r="5848" spans="44:46">
      <c r="AR5848">
        <v>0</v>
      </c>
      <c r="AS5848">
        <v>0</v>
      </c>
      <c r="AT5848">
        <v>0</v>
      </c>
    </row>
    <row r="5849" spans="44:46">
      <c r="AR5849">
        <v>0</v>
      </c>
      <c r="AS5849">
        <v>0</v>
      </c>
      <c r="AT5849">
        <v>0</v>
      </c>
    </row>
    <row r="5850" spans="44:46">
      <c r="AR5850">
        <v>0</v>
      </c>
      <c r="AS5850">
        <v>0</v>
      </c>
      <c r="AT5850">
        <v>0</v>
      </c>
    </row>
    <row r="5851" spans="44:46">
      <c r="AR5851">
        <v>0</v>
      </c>
      <c r="AS5851">
        <v>0</v>
      </c>
      <c r="AT5851">
        <v>0</v>
      </c>
    </row>
    <row r="5852" spans="44:46">
      <c r="AR5852">
        <v>0</v>
      </c>
      <c r="AS5852">
        <v>0</v>
      </c>
      <c r="AT5852">
        <v>0</v>
      </c>
    </row>
    <row r="5853" spans="44:46">
      <c r="AR5853">
        <v>0</v>
      </c>
      <c r="AS5853">
        <v>0</v>
      </c>
      <c r="AT5853">
        <v>0</v>
      </c>
    </row>
    <row r="5854" spans="44:46">
      <c r="AR5854">
        <v>0</v>
      </c>
      <c r="AS5854">
        <v>0</v>
      </c>
      <c r="AT5854">
        <v>0</v>
      </c>
    </row>
    <row r="5855" spans="44:46">
      <c r="AR5855">
        <v>0</v>
      </c>
      <c r="AS5855">
        <v>0</v>
      </c>
      <c r="AT5855">
        <v>0</v>
      </c>
    </row>
    <row r="5856" spans="44:46">
      <c r="AR5856">
        <v>0</v>
      </c>
      <c r="AS5856">
        <v>0</v>
      </c>
      <c r="AT5856">
        <v>0</v>
      </c>
    </row>
    <row r="5857" spans="44:46">
      <c r="AR5857">
        <v>0</v>
      </c>
      <c r="AS5857">
        <v>0</v>
      </c>
      <c r="AT5857">
        <v>0</v>
      </c>
    </row>
    <row r="5858" spans="44:46">
      <c r="AR5858">
        <v>0</v>
      </c>
      <c r="AS5858">
        <v>0</v>
      </c>
      <c r="AT5858">
        <v>0</v>
      </c>
    </row>
    <row r="5859" spans="44:46">
      <c r="AR5859">
        <v>0</v>
      </c>
      <c r="AS5859">
        <v>0</v>
      </c>
      <c r="AT5859">
        <v>0</v>
      </c>
    </row>
    <row r="5860" spans="44:46">
      <c r="AR5860">
        <v>0</v>
      </c>
      <c r="AS5860">
        <v>0</v>
      </c>
      <c r="AT5860">
        <v>0</v>
      </c>
    </row>
    <row r="5861" spans="44:46">
      <c r="AR5861">
        <v>0</v>
      </c>
      <c r="AS5861">
        <v>0</v>
      </c>
      <c r="AT5861">
        <v>0</v>
      </c>
    </row>
    <row r="5862" spans="44:46">
      <c r="AR5862">
        <v>0</v>
      </c>
      <c r="AS5862">
        <v>0</v>
      </c>
      <c r="AT5862">
        <v>0</v>
      </c>
    </row>
    <row r="5863" spans="44:46">
      <c r="AR5863">
        <v>0</v>
      </c>
      <c r="AS5863">
        <v>0</v>
      </c>
      <c r="AT5863">
        <v>0</v>
      </c>
    </row>
    <row r="5864" spans="44:46">
      <c r="AR5864">
        <v>0</v>
      </c>
      <c r="AS5864">
        <v>0</v>
      </c>
      <c r="AT5864">
        <v>0</v>
      </c>
    </row>
    <row r="5865" spans="44:46">
      <c r="AR5865">
        <v>0</v>
      </c>
      <c r="AS5865">
        <v>0</v>
      </c>
      <c r="AT5865">
        <v>0</v>
      </c>
    </row>
    <row r="5866" spans="44:46">
      <c r="AR5866">
        <v>0</v>
      </c>
      <c r="AS5866">
        <v>0</v>
      </c>
      <c r="AT5866">
        <v>0</v>
      </c>
    </row>
    <row r="5867" spans="44:46">
      <c r="AR5867">
        <v>0</v>
      </c>
      <c r="AS5867">
        <v>0</v>
      </c>
      <c r="AT5867">
        <v>0</v>
      </c>
    </row>
    <row r="5868" spans="44:46">
      <c r="AR5868">
        <v>0</v>
      </c>
      <c r="AS5868">
        <v>0</v>
      </c>
      <c r="AT5868">
        <v>0</v>
      </c>
    </row>
    <row r="5869" spans="44:46">
      <c r="AR5869">
        <v>0</v>
      </c>
      <c r="AS5869">
        <v>0</v>
      </c>
      <c r="AT5869">
        <v>0</v>
      </c>
    </row>
    <row r="5870" spans="44:46">
      <c r="AR5870">
        <v>0</v>
      </c>
      <c r="AS5870">
        <v>0</v>
      </c>
      <c r="AT5870">
        <v>0</v>
      </c>
    </row>
    <row r="5871" spans="44:46">
      <c r="AR5871">
        <v>0</v>
      </c>
      <c r="AS5871">
        <v>0</v>
      </c>
      <c r="AT5871">
        <v>0</v>
      </c>
    </row>
    <row r="5872" spans="44:46">
      <c r="AR5872">
        <v>0</v>
      </c>
      <c r="AS5872">
        <v>0</v>
      </c>
      <c r="AT5872">
        <v>0</v>
      </c>
    </row>
    <row r="5873" spans="44:46">
      <c r="AR5873">
        <v>0</v>
      </c>
      <c r="AS5873">
        <v>0</v>
      </c>
      <c r="AT5873">
        <v>0</v>
      </c>
    </row>
    <row r="5874" spans="44:46">
      <c r="AR5874">
        <v>0</v>
      </c>
      <c r="AS5874">
        <v>0</v>
      </c>
      <c r="AT5874">
        <v>0</v>
      </c>
    </row>
    <row r="5875" spans="44:46">
      <c r="AR5875">
        <v>0</v>
      </c>
      <c r="AS5875">
        <v>0</v>
      </c>
      <c r="AT5875">
        <v>0</v>
      </c>
    </row>
    <row r="5876" spans="44:46">
      <c r="AR5876">
        <v>0</v>
      </c>
      <c r="AS5876">
        <v>0</v>
      </c>
      <c r="AT5876">
        <v>0</v>
      </c>
    </row>
    <row r="5877" spans="44:46">
      <c r="AR5877">
        <v>0</v>
      </c>
      <c r="AS5877">
        <v>0</v>
      </c>
      <c r="AT5877">
        <v>0</v>
      </c>
    </row>
    <row r="5878" spans="44:46">
      <c r="AR5878">
        <v>0</v>
      </c>
      <c r="AS5878">
        <v>0</v>
      </c>
      <c r="AT5878">
        <v>0</v>
      </c>
    </row>
    <row r="5879" spans="44:46">
      <c r="AR5879">
        <v>0</v>
      </c>
      <c r="AS5879">
        <v>0</v>
      </c>
      <c r="AT5879">
        <v>0</v>
      </c>
    </row>
    <row r="5880" spans="44:46">
      <c r="AR5880">
        <v>0</v>
      </c>
      <c r="AS5880">
        <v>0</v>
      </c>
      <c r="AT5880">
        <v>0</v>
      </c>
    </row>
    <row r="5881" spans="44:46">
      <c r="AR5881">
        <v>0</v>
      </c>
      <c r="AS5881">
        <v>0</v>
      </c>
      <c r="AT5881">
        <v>0</v>
      </c>
    </row>
    <row r="5882" spans="44:46">
      <c r="AR5882">
        <v>0</v>
      </c>
      <c r="AS5882">
        <v>0</v>
      </c>
      <c r="AT5882">
        <v>0</v>
      </c>
    </row>
    <row r="5883" spans="44:46">
      <c r="AR5883">
        <v>0</v>
      </c>
      <c r="AS5883">
        <v>0</v>
      </c>
      <c r="AT5883">
        <v>0</v>
      </c>
    </row>
    <row r="5884" spans="44:46">
      <c r="AR5884">
        <v>0</v>
      </c>
      <c r="AS5884">
        <v>0</v>
      </c>
      <c r="AT5884">
        <v>0</v>
      </c>
    </row>
    <row r="5885" spans="44:46">
      <c r="AR5885">
        <v>0</v>
      </c>
      <c r="AS5885">
        <v>0</v>
      </c>
      <c r="AT5885">
        <v>0</v>
      </c>
    </row>
    <row r="5886" spans="44:46">
      <c r="AR5886">
        <v>0</v>
      </c>
      <c r="AS5886">
        <v>0</v>
      </c>
      <c r="AT5886">
        <v>0</v>
      </c>
    </row>
    <row r="5887" spans="44:46">
      <c r="AR5887">
        <v>0</v>
      </c>
      <c r="AS5887">
        <v>0</v>
      </c>
      <c r="AT5887">
        <v>0</v>
      </c>
    </row>
    <row r="5888" spans="44:46">
      <c r="AR5888">
        <v>0</v>
      </c>
      <c r="AS5888">
        <v>0</v>
      </c>
      <c r="AT5888">
        <v>0</v>
      </c>
    </row>
    <row r="5889" spans="44:46">
      <c r="AR5889">
        <v>0</v>
      </c>
      <c r="AS5889">
        <v>0</v>
      </c>
      <c r="AT5889">
        <v>0</v>
      </c>
    </row>
    <row r="5890" spans="44:46">
      <c r="AR5890">
        <v>0</v>
      </c>
      <c r="AS5890">
        <v>0</v>
      </c>
      <c r="AT5890">
        <v>0</v>
      </c>
    </row>
    <row r="5891" spans="44:46">
      <c r="AR5891">
        <v>0</v>
      </c>
      <c r="AS5891">
        <v>0</v>
      </c>
      <c r="AT5891">
        <v>0</v>
      </c>
    </row>
    <row r="5892" spans="44:46">
      <c r="AR5892">
        <v>0</v>
      </c>
      <c r="AS5892">
        <v>0</v>
      </c>
      <c r="AT5892">
        <v>0</v>
      </c>
    </row>
    <row r="5893" spans="44:46">
      <c r="AR5893">
        <v>0</v>
      </c>
      <c r="AS5893">
        <v>0</v>
      </c>
      <c r="AT5893">
        <v>0</v>
      </c>
    </row>
    <row r="5894" spans="44:46">
      <c r="AR5894">
        <v>0</v>
      </c>
      <c r="AS5894">
        <v>0</v>
      </c>
      <c r="AT5894">
        <v>0</v>
      </c>
    </row>
    <row r="5895" spans="44:46">
      <c r="AR5895">
        <v>0</v>
      </c>
      <c r="AS5895">
        <v>0</v>
      </c>
      <c r="AT5895">
        <v>0</v>
      </c>
    </row>
    <row r="5896" spans="44:46">
      <c r="AR5896">
        <v>0</v>
      </c>
      <c r="AS5896">
        <v>0</v>
      </c>
      <c r="AT5896">
        <v>0</v>
      </c>
    </row>
    <row r="5897" spans="44:46">
      <c r="AR5897">
        <v>0</v>
      </c>
      <c r="AS5897">
        <v>0</v>
      </c>
      <c r="AT5897">
        <v>0</v>
      </c>
    </row>
    <row r="5898" spans="44:46">
      <c r="AR5898">
        <v>0</v>
      </c>
      <c r="AS5898">
        <v>0</v>
      </c>
      <c r="AT5898">
        <v>0</v>
      </c>
    </row>
    <row r="5899" spans="44:46">
      <c r="AR5899">
        <v>0</v>
      </c>
      <c r="AS5899">
        <v>0</v>
      </c>
      <c r="AT5899">
        <v>0</v>
      </c>
    </row>
    <row r="5900" spans="44:46">
      <c r="AR5900">
        <v>0</v>
      </c>
      <c r="AS5900">
        <v>0</v>
      </c>
      <c r="AT5900">
        <v>0</v>
      </c>
    </row>
    <row r="5901" spans="44:46">
      <c r="AR5901">
        <v>0</v>
      </c>
      <c r="AS5901">
        <v>0</v>
      </c>
      <c r="AT5901">
        <v>0</v>
      </c>
    </row>
    <row r="5902" spans="44:46">
      <c r="AR5902">
        <v>0</v>
      </c>
      <c r="AS5902">
        <v>0</v>
      </c>
      <c r="AT5902">
        <v>0</v>
      </c>
    </row>
    <row r="5903" spans="44:46">
      <c r="AR5903">
        <v>0</v>
      </c>
      <c r="AS5903">
        <v>0</v>
      </c>
      <c r="AT5903">
        <v>0</v>
      </c>
    </row>
    <row r="5904" spans="44:46">
      <c r="AR5904">
        <v>0</v>
      </c>
      <c r="AS5904">
        <v>0</v>
      </c>
      <c r="AT5904">
        <v>0</v>
      </c>
    </row>
    <row r="5905" spans="44:46">
      <c r="AR5905">
        <v>0</v>
      </c>
      <c r="AS5905">
        <v>0</v>
      </c>
      <c r="AT5905">
        <v>0</v>
      </c>
    </row>
    <row r="5906" spans="44:46">
      <c r="AR5906">
        <v>0</v>
      </c>
      <c r="AS5906">
        <v>0</v>
      </c>
      <c r="AT5906">
        <v>0</v>
      </c>
    </row>
    <row r="5907" spans="44:46">
      <c r="AR5907">
        <v>0</v>
      </c>
      <c r="AS5907">
        <v>0</v>
      </c>
      <c r="AT5907">
        <v>0</v>
      </c>
    </row>
    <row r="5908" spans="44:46">
      <c r="AR5908">
        <v>0</v>
      </c>
      <c r="AS5908">
        <v>0</v>
      </c>
      <c r="AT5908">
        <v>0</v>
      </c>
    </row>
    <row r="5909" spans="44:46">
      <c r="AR5909">
        <v>0</v>
      </c>
      <c r="AS5909">
        <v>0</v>
      </c>
      <c r="AT5909">
        <v>0</v>
      </c>
    </row>
    <row r="5910" spans="44:46">
      <c r="AR5910">
        <v>0</v>
      </c>
      <c r="AS5910">
        <v>0</v>
      </c>
      <c r="AT5910">
        <v>0</v>
      </c>
    </row>
    <row r="5911" spans="44:46">
      <c r="AR5911">
        <v>0</v>
      </c>
      <c r="AS5911">
        <v>0</v>
      </c>
      <c r="AT5911">
        <v>0</v>
      </c>
    </row>
    <row r="5912" spans="44:46">
      <c r="AR5912">
        <v>0</v>
      </c>
      <c r="AS5912">
        <v>0</v>
      </c>
      <c r="AT5912">
        <v>0</v>
      </c>
    </row>
    <row r="5913" spans="44:46">
      <c r="AR5913">
        <v>0</v>
      </c>
      <c r="AS5913">
        <v>0</v>
      </c>
      <c r="AT5913">
        <v>0</v>
      </c>
    </row>
    <row r="5914" spans="44:46">
      <c r="AR5914">
        <v>0</v>
      </c>
      <c r="AS5914">
        <v>0</v>
      </c>
      <c r="AT5914">
        <v>0</v>
      </c>
    </row>
    <row r="5915" spans="44:46">
      <c r="AR5915">
        <v>0</v>
      </c>
      <c r="AS5915">
        <v>0</v>
      </c>
      <c r="AT5915">
        <v>0</v>
      </c>
    </row>
    <row r="5916" spans="44:46">
      <c r="AR5916">
        <v>0</v>
      </c>
      <c r="AS5916">
        <v>0</v>
      </c>
      <c r="AT5916">
        <v>0</v>
      </c>
    </row>
    <row r="5917" spans="44:46">
      <c r="AR5917">
        <v>0</v>
      </c>
      <c r="AS5917">
        <v>0</v>
      </c>
      <c r="AT5917">
        <v>0</v>
      </c>
    </row>
    <row r="5918" spans="44:46">
      <c r="AR5918">
        <v>0</v>
      </c>
      <c r="AS5918">
        <v>0</v>
      </c>
      <c r="AT5918">
        <v>0</v>
      </c>
    </row>
    <row r="5919" spans="44:46">
      <c r="AR5919">
        <v>0</v>
      </c>
      <c r="AS5919">
        <v>0</v>
      </c>
      <c r="AT5919">
        <v>0</v>
      </c>
    </row>
    <row r="5920" spans="44:46">
      <c r="AR5920">
        <v>0</v>
      </c>
      <c r="AS5920">
        <v>0</v>
      </c>
      <c r="AT5920">
        <v>0</v>
      </c>
    </row>
    <row r="5921" spans="44:46">
      <c r="AR5921">
        <v>0</v>
      </c>
      <c r="AS5921">
        <v>0</v>
      </c>
      <c r="AT5921">
        <v>0</v>
      </c>
    </row>
    <row r="5922" spans="44:46">
      <c r="AR5922">
        <v>0</v>
      </c>
      <c r="AS5922">
        <v>0</v>
      </c>
      <c r="AT5922">
        <v>0</v>
      </c>
    </row>
    <row r="5923" spans="44:46">
      <c r="AR5923">
        <v>0</v>
      </c>
      <c r="AS5923">
        <v>0</v>
      </c>
      <c r="AT5923">
        <v>0</v>
      </c>
    </row>
    <row r="5924" spans="44:46">
      <c r="AR5924">
        <v>0</v>
      </c>
      <c r="AS5924">
        <v>0</v>
      </c>
      <c r="AT5924">
        <v>0</v>
      </c>
    </row>
    <row r="5925" spans="44:46">
      <c r="AR5925">
        <v>0</v>
      </c>
      <c r="AS5925">
        <v>0</v>
      </c>
      <c r="AT5925">
        <v>0</v>
      </c>
    </row>
    <row r="5926" spans="44:46">
      <c r="AR5926">
        <v>0</v>
      </c>
      <c r="AS5926">
        <v>0</v>
      </c>
      <c r="AT5926">
        <v>0</v>
      </c>
    </row>
    <row r="5927" spans="44:46">
      <c r="AR5927">
        <v>0</v>
      </c>
      <c r="AS5927">
        <v>0</v>
      </c>
      <c r="AT5927">
        <v>0</v>
      </c>
    </row>
    <row r="5928" spans="44:46">
      <c r="AR5928">
        <v>0</v>
      </c>
      <c r="AS5928">
        <v>0</v>
      </c>
      <c r="AT5928">
        <v>0</v>
      </c>
    </row>
    <row r="5929" spans="44:46">
      <c r="AR5929">
        <v>0</v>
      </c>
      <c r="AS5929">
        <v>0</v>
      </c>
      <c r="AT5929">
        <v>0</v>
      </c>
    </row>
    <row r="5930" spans="44:46">
      <c r="AR5930">
        <v>0</v>
      </c>
      <c r="AS5930">
        <v>0</v>
      </c>
      <c r="AT5930">
        <v>0</v>
      </c>
    </row>
    <row r="5931" spans="44:46">
      <c r="AR5931">
        <v>0</v>
      </c>
      <c r="AS5931">
        <v>0</v>
      </c>
      <c r="AT5931">
        <v>0</v>
      </c>
    </row>
    <row r="5932" spans="44:46">
      <c r="AR5932">
        <v>0</v>
      </c>
      <c r="AS5932">
        <v>0</v>
      </c>
      <c r="AT5932">
        <v>0</v>
      </c>
    </row>
    <row r="5933" spans="44:46">
      <c r="AR5933">
        <v>0</v>
      </c>
      <c r="AS5933">
        <v>0</v>
      </c>
      <c r="AT5933">
        <v>0</v>
      </c>
    </row>
    <row r="5934" spans="44:46">
      <c r="AR5934">
        <v>0</v>
      </c>
      <c r="AS5934">
        <v>0</v>
      </c>
      <c r="AT5934">
        <v>0</v>
      </c>
    </row>
    <row r="5935" spans="44:46">
      <c r="AR5935">
        <v>0</v>
      </c>
      <c r="AS5935">
        <v>0</v>
      </c>
      <c r="AT5935">
        <v>0</v>
      </c>
    </row>
    <row r="5936" spans="44:46">
      <c r="AR5936">
        <v>0</v>
      </c>
      <c r="AS5936">
        <v>0</v>
      </c>
      <c r="AT5936">
        <v>0</v>
      </c>
    </row>
    <row r="5937" spans="44:46">
      <c r="AR5937">
        <v>0</v>
      </c>
      <c r="AS5937">
        <v>0</v>
      </c>
      <c r="AT5937">
        <v>0</v>
      </c>
    </row>
    <row r="5938" spans="44:46">
      <c r="AR5938">
        <v>0</v>
      </c>
      <c r="AS5938">
        <v>0</v>
      </c>
      <c r="AT5938">
        <v>0</v>
      </c>
    </row>
    <row r="5939" spans="44:46">
      <c r="AR5939">
        <v>0</v>
      </c>
      <c r="AS5939">
        <v>0</v>
      </c>
      <c r="AT5939">
        <v>0</v>
      </c>
    </row>
    <row r="5940" spans="44:46">
      <c r="AR5940">
        <v>0</v>
      </c>
      <c r="AS5940">
        <v>0</v>
      </c>
      <c r="AT5940">
        <v>0</v>
      </c>
    </row>
    <row r="5941" spans="44:46">
      <c r="AR5941">
        <v>0</v>
      </c>
      <c r="AS5941">
        <v>0</v>
      </c>
      <c r="AT5941">
        <v>0</v>
      </c>
    </row>
    <row r="5942" spans="44:46">
      <c r="AR5942">
        <v>0</v>
      </c>
      <c r="AS5942">
        <v>0</v>
      </c>
      <c r="AT5942">
        <v>0</v>
      </c>
    </row>
    <row r="5943" spans="44:46">
      <c r="AR5943">
        <v>0</v>
      </c>
      <c r="AS5943">
        <v>0</v>
      </c>
      <c r="AT5943">
        <v>0</v>
      </c>
    </row>
    <row r="5944" spans="44:46">
      <c r="AR5944">
        <v>0</v>
      </c>
      <c r="AS5944">
        <v>0</v>
      </c>
      <c r="AT5944">
        <v>0</v>
      </c>
    </row>
    <row r="5945" spans="44:46">
      <c r="AR5945">
        <v>0</v>
      </c>
      <c r="AS5945">
        <v>0</v>
      </c>
      <c r="AT5945">
        <v>0</v>
      </c>
    </row>
    <row r="5946" spans="44:46">
      <c r="AR5946">
        <v>0</v>
      </c>
      <c r="AS5946">
        <v>0</v>
      </c>
      <c r="AT5946">
        <v>0</v>
      </c>
    </row>
    <row r="5947" spans="44:46">
      <c r="AR5947">
        <v>0</v>
      </c>
      <c r="AS5947">
        <v>0</v>
      </c>
      <c r="AT5947">
        <v>0</v>
      </c>
    </row>
    <row r="5948" spans="44:46">
      <c r="AR5948">
        <v>0</v>
      </c>
      <c r="AS5948">
        <v>0</v>
      </c>
      <c r="AT5948">
        <v>0</v>
      </c>
    </row>
    <row r="5949" spans="44:46">
      <c r="AR5949">
        <v>0</v>
      </c>
      <c r="AS5949">
        <v>0</v>
      </c>
      <c r="AT5949">
        <v>0</v>
      </c>
    </row>
    <row r="5950" spans="44:46">
      <c r="AR5950">
        <v>0</v>
      </c>
      <c r="AS5950">
        <v>0</v>
      </c>
      <c r="AT5950">
        <v>0</v>
      </c>
    </row>
    <row r="5951" spans="44:46">
      <c r="AR5951">
        <v>0</v>
      </c>
      <c r="AS5951">
        <v>0</v>
      </c>
      <c r="AT5951">
        <v>0</v>
      </c>
    </row>
    <row r="5952" spans="44:46">
      <c r="AR5952">
        <v>0</v>
      </c>
      <c r="AS5952">
        <v>0</v>
      </c>
      <c r="AT5952">
        <v>0</v>
      </c>
    </row>
    <row r="5953" spans="44:46">
      <c r="AR5953">
        <v>0</v>
      </c>
      <c r="AS5953">
        <v>0</v>
      </c>
      <c r="AT5953">
        <v>0</v>
      </c>
    </row>
    <row r="5954" spans="44:46">
      <c r="AR5954">
        <v>0</v>
      </c>
      <c r="AS5954">
        <v>0</v>
      </c>
      <c r="AT5954">
        <v>0</v>
      </c>
    </row>
    <row r="5955" spans="44:46">
      <c r="AR5955">
        <v>0</v>
      </c>
      <c r="AS5955">
        <v>0</v>
      </c>
      <c r="AT5955">
        <v>0</v>
      </c>
    </row>
    <row r="5956" spans="44:46">
      <c r="AR5956">
        <v>0</v>
      </c>
      <c r="AS5956">
        <v>0</v>
      </c>
      <c r="AT5956">
        <v>0</v>
      </c>
    </row>
    <row r="5957" spans="44:46">
      <c r="AR5957">
        <v>0</v>
      </c>
      <c r="AS5957">
        <v>0</v>
      </c>
      <c r="AT5957">
        <v>0</v>
      </c>
    </row>
    <row r="5958" spans="44:46">
      <c r="AR5958">
        <v>0</v>
      </c>
      <c r="AS5958">
        <v>0</v>
      </c>
      <c r="AT5958">
        <v>0</v>
      </c>
    </row>
    <row r="5959" spans="44:46">
      <c r="AR5959">
        <v>0</v>
      </c>
      <c r="AS5959">
        <v>0</v>
      </c>
      <c r="AT5959">
        <v>0</v>
      </c>
    </row>
    <row r="5960" spans="44:46">
      <c r="AR5960">
        <v>0</v>
      </c>
      <c r="AS5960">
        <v>0</v>
      </c>
      <c r="AT5960">
        <v>0</v>
      </c>
    </row>
    <row r="5961" spans="44:46">
      <c r="AR5961">
        <v>0</v>
      </c>
      <c r="AS5961">
        <v>0</v>
      </c>
      <c r="AT5961">
        <v>0</v>
      </c>
    </row>
    <row r="5962" spans="44:46">
      <c r="AR5962">
        <v>0</v>
      </c>
      <c r="AS5962">
        <v>0</v>
      </c>
      <c r="AT5962">
        <v>0</v>
      </c>
    </row>
    <row r="5963" spans="44:46">
      <c r="AR5963">
        <v>0</v>
      </c>
      <c r="AS5963">
        <v>0</v>
      </c>
      <c r="AT5963">
        <v>0</v>
      </c>
    </row>
    <row r="5964" spans="44:46">
      <c r="AR5964">
        <v>0</v>
      </c>
      <c r="AS5964">
        <v>0</v>
      </c>
      <c r="AT5964">
        <v>0</v>
      </c>
    </row>
    <row r="5965" spans="44:46">
      <c r="AR5965">
        <v>0</v>
      </c>
      <c r="AS5965">
        <v>0</v>
      </c>
      <c r="AT5965">
        <v>0</v>
      </c>
    </row>
    <row r="5966" spans="44:46">
      <c r="AR5966">
        <v>0</v>
      </c>
      <c r="AS5966">
        <v>0</v>
      </c>
      <c r="AT5966">
        <v>0</v>
      </c>
    </row>
    <row r="5967" spans="44:46">
      <c r="AR5967">
        <v>0</v>
      </c>
      <c r="AS5967">
        <v>0</v>
      </c>
      <c r="AT5967">
        <v>0</v>
      </c>
    </row>
    <row r="5968" spans="44:46">
      <c r="AR5968">
        <v>0</v>
      </c>
      <c r="AS5968">
        <v>0</v>
      </c>
      <c r="AT5968">
        <v>0</v>
      </c>
    </row>
    <row r="5969" spans="44:46">
      <c r="AR5969">
        <v>0</v>
      </c>
      <c r="AS5969">
        <v>0</v>
      </c>
      <c r="AT5969">
        <v>0</v>
      </c>
    </row>
    <row r="5970" spans="44:46">
      <c r="AR5970">
        <v>0</v>
      </c>
      <c r="AS5970">
        <v>0</v>
      </c>
      <c r="AT5970">
        <v>0</v>
      </c>
    </row>
    <row r="5971" spans="44:46">
      <c r="AR5971">
        <v>0</v>
      </c>
      <c r="AS5971">
        <v>0</v>
      </c>
      <c r="AT5971">
        <v>0</v>
      </c>
    </row>
    <row r="5972" spans="44:46">
      <c r="AR5972">
        <v>0</v>
      </c>
      <c r="AS5972">
        <v>0</v>
      </c>
      <c r="AT5972">
        <v>0</v>
      </c>
    </row>
    <row r="5973" spans="44:46">
      <c r="AR5973">
        <v>0</v>
      </c>
      <c r="AS5973">
        <v>0</v>
      </c>
      <c r="AT5973">
        <v>0</v>
      </c>
    </row>
    <row r="5974" spans="44:46">
      <c r="AR5974">
        <v>0</v>
      </c>
      <c r="AS5974">
        <v>0</v>
      </c>
      <c r="AT5974">
        <v>0</v>
      </c>
    </row>
  </sheetData>
  <pageMargins left="0.7" right="0.7" top="0.75" bottom="0.75" header="0.3" footer="0.3"/>
  <pageSetup orientation="portrait" horizontalDpi="0" verticalDpi="0"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F2679-9646-4824-913A-D32C06657B45}">
  <sheetPr codeName="Sheet22">
    <pageSetUpPr fitToPage="1"/>
  </sheetPr>
  <dimension ref="A1:M134"/>
  <sheetViews>
    <sheetView workbookViewId="0"/>
  </sheetViews>
  <sheetFormatPr baseColWidth="10" defaultColWidth="8.83203125" defaultRowHeight="15"/>
  <cols>
    <col min="1" max="1" width="22.6640625" bestFit="1" customWidth="1"/>
    <col min="2" max="2" width="25.83203125" bestFit="1" customWidth="1"/>
    <col min="3" max="3" width="25.33203125" bestFit="1" customWidth="1"/>
    <col min="4" max="4" width="6.6640625" bestFit="1" customWidth="1"/>
    <col min="5" max="5" width="11.6640625" bestFit="1" customWidth="1"/>
    <col min="6" max="6" width="11.5" bestFit="1" customWidth="1"/>
    <col min="7" max="13" width="12.33203125" customWidth="1"/>
    <col min="14" max="15" width="13.6640625" customWidth="1"/>
  </cols>
  <sheetData>
    <row r="1" spans="1:13" ht="45" customHeight="1">
      <c r="A1" s="30" t="s">
        <v>243</v>
      </c>
      <c r="B1" s="30" t="s">
        <v>6</v>
      </c>
      <c r="C1" s="30" t="s">
        <v>244</v>
      </c>
      <c r="D1" s="30" t="s">
        <v>1505</v>
      </c>
      <c r="E1" s="30" t="s">
        <v>5</v>
      </c>
      <c r="F1" s="30" t="s">
        <v>247</v>
      </c>
      <c r="G1" s="30" t="s">
        <v>1509</v>
      </c>
      <c r="H1" s="30" t="s">
        <v>1349</v>
      </c>
      <c r="I1" s="30" t="s">
        <v>1375</v>
      </c>
      <c r="J1" s="30" t="s">
        <v>1350</v>
      </c>
      <c r="K1" s="30" t="s">
        <v>254</v>
      </c>
      <c r="L1" s="30" t="s">
        <v>1402</v>
      </c>
      <c r="M1" s="30" t="s">
        <v>1403</v>
      </c>
    </row>
    <row r="2" spans="1:13">
      <c r="A2" t="s">
        <v>95</v>
      </c>
      <c r="B2" t="s">
        <v>1521</v>
      </c>
      <c r="D2" t="s">
        <v>1504</v>
      </c>
      <c r="E2" t="s">
        <v>1801</v>
      </c>
      <c r="F2">
        <v>0.4</v>
      </c>
      <c r="G2" s="26"/>
      <c r="H2" s="26">
        <v>45292</v>
      </c>
      <c r="I2" s="26">
        <v>45292</v>
      </c>
      <c r="J2" s="26">
        <v>45292</v>
      </c>
      <c r="K2" s="26">
        <v>45292</v>
      </c>
      <c r="L2" s="26">
        <v>45417</v>
      </c>
      <c r="M2" s="26">
        <v>45677</v>
      </c>
    </row>
    <row r="3" spans="1:13">
      <c r="A3" t="s">
        <v>122</v>
      </c>
      <c r="B3" t="s">
        <v>1927</v>
      </c>
      <c r="D3" t="s">
        <v>1498</v>
      </c>
      <c r="E3" t="s">
        <v>1802</v>
      </c>
      <c r="F3">
        <v>0.4</v>
      </c>
      <c r="G3" s="26">
        <v>45383</v>
      </c>
      <c r="H3" s="26">
        <v>45374</v>
      </c>
      <c r="I3" s="26">
        <v>45402</v>
      </c>
      <c r="J3" s="26">
        <v>45408</v>
      </c>
      <c r="K3" s="26">
        <v>45408</v>
      </c>
      <c r="L3" s="26">
        <v>45444</v>
      </c>
      <c r="M3" s="26">
        <v>45668</v>
      </c>
    </row>
    <row r="4" spans="1:13">
      <c r="A4" t="s">
        <v>80</v>
      </c>
      <c r="B4" t="s">
        <v>2863</v>
      </c>
      <c r="D4" t="s">
        <v>1493</v>
      </c>
      <c r="E4" t="s">
        <v>1799</v>
      </c>
      <c r="F4">
        <v>2</v>
      </c>
      <c r="G4" s="26"/>
      <c r="H4" s="26"/>
      <c r="I4" s="26">
        <v>45523</v>
      </c>
      <c r="J4" s="26">
        <v>45647</v>
      </c>
      <c r="K4" s="26">
        <v>45647</v>
      </c>
      <c r="L4" s="26">
        <v>45809</v>
      </c>
      <c r="M4" s="26">
        <v>45823</v>
      </c>
    </row>
    <row r="5" spans="1:13">
      <c r="A5" t="s">
        <v>80</v>
      </c>
      <c r="B5" t="s">
        <v>2863</v>
      </c>
      <c r="D5" t="s">
        <v>1495</v>
      </c>
      <c r="E5" t="s">
        <v>1800</v>
      </c>
      <c r="F5">
        <v>1</v>
      </c>
      <c r="G5" s="26"/>
      <c r="H5" s="26"/>
      <c r="I5" s="26">
        <v>45523</v>
      </c>
      <c r="J5" s="26">
        <v>45647</v>
      </c>
      <c r="K5" s="26">
        <v>45647</v>
      </c>
      <c r="L5" s="26">
        <v>45823</v>
      </c>
      <c r="M5" s="26">
        <v>45833</v>
      </c>
    </row>
    <row r="6" spans="1:13">
      <c r="A6" t="s">
        <v>2281</v>
      </c>
      <c r="B6" t="s">
        <v>1815</v>
      </c>
      <c r="C6" t="s">
        <v>1814</v>
      </c>
      <c r="D6" t="s">
        <v>1432</v>
      </c>
      <c r="E6" t="s">
        <v>2644</v>
      </c>
      <c r="F6">
        <v>1</v>
      </c>
      <c r="G6" s="26"/>
      <c r="H6" s="26"/>
      <c r="I6" s="26">
        <v>45688</v>
      </c>
      <c r="J6" s="26">
        <v>45688</v>
      </c>
      <c r="K6" s="26">
        <v>45688</v>
      </c>
      <c r="L6" s="26">
        <v>45868</v>
      </c>
      <c r="M6" s="26">
        <v>45889</v>
      </c>
    </row>
    <row r="7" spans="1:13">
      <c r="A7" t="s">
        <v>114</v>
      </c>
      <c r="B7" t="s">
        <v>1347</v>
      </c>
      <c r="D7" t="s">
        <v>1428</v>
      </c>
      <c r="E7" t="s">
        <v>2666</v>
      </c>
      <c r="F7">
        <v>0.25</v>
      </c>
      <c r="G7" s="26"/>
      <c r="H7" s="26"/>
      <c r="I7" s="26">
        <v>45728</v>
      </c>
      <c r="J7" s="26">
        <v>45741</v>
      </c>
      <c r="K7" s="26">
        <v>45741</v>
      </c>
      <c r="L7" s="26">
        <v>45773</v>
      </c>
      <c r="M7" s="26">
        <v>45794</v>
      </c>
    </row>
    <row r="8" spans="1:13">
      <c r="A8" t="s">
        <v>1793</v>
      </c>
      <c r="B8" t="s">
        <v>1793</v>
      </c>
      <c r="C8" t="s">
        <v>488</v>
      </c>
      <c r="D8" t="s">
        <v>1427</v>
      </c>
      <c r="E8" t="s">
        <v>2714</v>
      </c>
      <c r="F8">
        <v>0.25</v>
      </c>
      <c r="G8" s="26"/>
      <c r="H8" s="26"/>
      <c r="I8" s="26">
        <v>45733</v>
      </c>
      <c r="J8" s="26">
        <v>45741</v>
      </c>
      <c r="K8" s="26">
        <v>45741</v>
      </c>
      <c r="L8" s="26">
        <v>45801</v>
      </c>
      <c r="M8" s="26">
        <v>45836</v>
      </c>
    </row>
    <row r="9" spans="1:13">
      <c r="A9" t="s">
        <v>53</v>
      </c>
      <c r="B9" t="s">
        <v>1808</v>
      </c>
      <c r="D9" t="s">
        <v>1424</v>
      </c>
      <c r="E9" t="s">
        <v>2632</v>
      </c>
      <c r="F9">
        <v>1</v>
      </c>
      <c r="G9" s="26"/>
      <c r="H9" s="26"/>
      <c r="I9" s="26">
        <v>45743</v>
      </c>
      <c r="J9" s="26">
        <v>45752</v>
      </c>
      <c r="K9" s="26">
        <v>45752</v>
      </c>
      <c r="L9" s="26">
        <v>45822</v>
      </c>
      <c r="M9" s="26">
        <v>45843</v>
      </c>
    </row>
    <row r="10" spans="1:13">
      <c r="A10" t="s">
        <v>61</v>
      </c>
      <c r="B10" t="s">
        <v>513</v>
      </c>
      <c r="C10" t="s">
        <v>488</v>
      </c>
      <c r="D10" t="s">
        <v>1428</v>
      </c>
      <c r="E10" t="s">
        <v>2638</v>
      </c>
      <c r="F10">
        <v>0.25</v>
      </c>
      <c r="G10" s="26"/>
      <c r="H10" s="26"/>
      <c r="I10" s="26">
        <v>45743</v>
      </c>
      <c r="J10" s="26">
        <v>45741</v>
      </c>
      <c r="K10" s="26">
        <v>45741</v>
      </c>
      <c r="L10" s="26">
        <v>45778</v>
      </c>
      <c r="M10" s="26">
        <v>45834</v>
      </c>
    </row>
    <row r="11" spans="1:13">
      <c r="A11" t="s">
        <v>113</v>
      </c>
      <c r="B11" t="s">
        <v>2286</v>
      </c>
      <c r="D11" t="s">
        <v>1467</v>
      </c>
      <c r="E11" t="s">
        <v>2663</v>
      </c>
      <c r="F11">
        <v>2</v>
      </c>
      <c r="G11" s="26"/>
      <c r="H11" s="26"/>
      <c r="I11" s="26">
        <v>45748</v>
      </c>
      <c r="J11" s="26">
        <v>45765</v>
      </c>
      <c r="K11" s="26">
        <v>45765</v>
      </c>
      <c r="L11" s="26">
        <v>45825</v>
      </c>
      <c r="M11" s="26">
        <v>45832</v>
      </c>
    </row>
    <row r="12" spans="1:13">
      <c r="A12" t="s">
        <v>114</v>
      </c>
      <c r="B12" t="s">
        <v>1347</v>
      </c>
      <c r="D12" t="s">
        <v>1437</v>
      </c>
      <c r="E12" t="s">
        <v>2755</v>
      </c>
      <c r="F12">
        <v>0.5</v>
      </c>
      <c r="G12" s="26"/>
      <c r="H12" s="26"/>
      <c r="I12" s="26">
        <v>45748</v>
      </c>
      <c r="J12" s="26">
        <v>45777</v>
      </c>
      <c r="K12" s="26">
        <v>45777</v>
      </c>
      <c r="L12" s="26">
        <v>45809</v>
      </c>
      <c r="M12" s="26">
        <v>45830</v>
      </c>
    </row>
    <row r="13" spans="1:13">
      <c r="A13" t="s">
        <v>137</v>
      </c>
      <c r="B13" t="s">
        <v>1686</v>
      </c>
      <c r="C13" t="s">
        <v>490</v>
      </c>
      <c r="D13" t="s">
        <v>1428</v>
      </c>
      <c r="E13" t="s">
        <v>2680</v>
      </c>
      <c r="F13">
        <v>0.25</v>
      </c>
      <c r="G13" s="26"/>
      <c r="H13" s="26"/>
      <c r="I13" s="26">
        <v>45748</v>
      </c>
      <c r="J13" s="26">
        <v>45741</v>
      </c>
      <c r="K13" s="26">
        <v>45741</v>
      </c>
      <c r="L13" s="26">
        <v>45781</v>
      </c>
      <c r="M13" s="26">
        <v>45795</v>
      </c>
    </row>
    <row r="14" spans="1:13">
      <c r="A14" t="s">
        <v>137</v>
      </c>
      <c r="B14" t="s">
        <v>1686</v>
      </c>
      <c r="C14" t="s">
        <v>490</v>
      </c>
      <c r="D14" t="s">
        <v>1437</v>
      </c>
      <c r="E14" t="s">
        <v>2678</v>
      </c>
      <c r="F14">
        <v>0.5</v>
      </c>
      <c r="G14" s="26"/>
      <c r="H14" s="26"/>
      <c r="I14" s="26">
        <v>45748</v>
      </c>
      <c r="J14" s="26">
        <v>45777</v>
      </c>
      <c r="K14" s="26">
        <v>45777</v>
      </c>
      <c r="L14" s="26">
        <v>45817</v>
      </c>
      <c r="M14" s="26">
        <v>45831</v>
      </c>
    </row>
    <row r="15" spans="1:13">
      <c r="A15" t="s">
        <v>42</v>
      </c>
      <c r="B15" t="s">
        <v>2850</v>
      </c>
      <c r="D15" t="s">
        <v>1488</v>
      </c>
      <c r="E15" t="s">
        <v>3191</v>
      </c>
      <c r="F15">
        <v>1</v>
      </c>
      <c r="G15" s="26"/>
      <c r="H15" s="26"/>
      <c r="I15" s="26">
        <v>45754</v>
      </c>
      <c r="J15" s="26">
        <v>45781</v>
      </c>
      <c r="K15" s="26">
        <v>45781</v>
      </c>
      <c r="L15" s="26">
        <v>45812</v>
      </c>
      <c r="M15" s="26">
        <v>45830</v>
      </c>
    </row>
    <row r="16" spans="1:13">
      <c r="A16" t="s">
        <v>42</v>
      </c>
      <c r="B16" t="s">
        <v>2850</v>
      </c>
      <c r="D16" t="s">
        <v>1514</v>
      </c>
      <c r="E16" t="s">
        <v>3110</v>
      </c>
      <c r="F16">
        <v>0.5</v>
      </c>
      <c r="G16" s="26"/>
      <c r="H16" s="26"/>
      <c r="I16" s="26">
        <v>45754</v>
      </c>
      <c r="J16" s="26">
        <v>45754</v>
      </c>
      <c r="K16" s="26">
        <v>45754</v>
      </c>
      <c r="L16" s="26">
        <v>45785</v>
      </c>
      <c r="M16" s="26">
        <v>45803</v>
      </c>
    </row>
    <row r="17" spans="1:13">
      <c r="A17" t="s">
        <v>1517</v>
      </c>
      <c r="B17" t="s">
        <v>3198</v>
      </c>
      <c r="D17" t="s">
        <v>1514</v>
      </c>
      <c r="E17" t="s">
        <v>3107</v>
      </c>
      <c r="F17">
        <v>0.5</v>
      </c>
      <c r="G17" s="26"/>
      <c r="H17" s="26"/>
      <c r="I17" s="26">
        <v>45754</v>
      </c>
      <c r="J17" s="26">
        <v>45754</v>
      </c>
      <c r="K17" s="26">
        <v>45754</v>
      </c>
      <c r="L17" s="26">
        <v>45804</v>
      </c>
      <c r="M17" s="26">
        <v>45818</v>
      </c>
    </row>
    <row r="18" spans="1:13">
      <c r="A18" t="s">
        <v>114</v>
      </c>
      <c r="B18" t="s">
        <v>1347</v>
      </c>
      <c r="D18" t="s">
        <v>1515</v>
      </c>
      <c r="E18" t="s">
        <v>3104</v>
      </c>
      <c r="F18">
        <v>1</v>
      </c>
      <c r="G18" s="26"/>
      <c r="H18" s="26"/>
      <c r="I18" s="26">
        <v>45754</v>
      </c>
      <c r="J18" s="26">
        <v>45753</v>
      </c>
      <c r="K18" s="26">
        <v>45753</v>
      </c>
      <c r="L18" s="26">
        <v>45785</v>
      </c>
      <c r="M18" s="26">
        <v>45806</v>
      </c>
    </row>
    <row r="19" spans="1:13">
      <c r="A19" t="s">
        <v>42</v>
      </c>
      <c r="B19" t="s">
        <v>2850</v>
      </c>
      <c r="D19" t="s">
        <v>1428</v>
      </c>
      <c r="E19" t="s">
        <v>2621</v>
      </c>
      <c r="F19">
        <v>0.25</v>
      </c>
      <c r="G19" s="26"/>
      <c r="H19" s="26"/>
      <c r="I19" s="26">
        <v>45758</v>
      </c>
      <c r="J19" s="26">
        <v>45741</v>
      </c>
      <c r="K19" s="26">
        <v>45741</v>
      </c>
      <c r="L19" s="26">
        <v>45772</v>
      </c>
      <c r="M19" s="26">
        <v>45790</v>
      </c>
    </row>
    <row r="20" spans="1:13">
      <c r="A20" t="s">
        <v>110</v>
      </c>
      <c r="B20" t="s">
        <v>2859</v>
      </c>
      <c r="D20" t="s">
        <v>1489</v>
      </c>
      <c r="E20" t="s">
        <v>2658</v>
      </c>
      <c r="F20">
        <v>2</v>
      </c>
      <c r="G20" s="26">
        <v>45718</v>
      </c>
      <c r="H20" s="26">
        <v>45737</v>
      </c>
      <c r="I20" s="26">
        <v>45758</v>
      </c>
      <c r="J20" s="26">
        <v>45749</v>
      </c>
      <c r="K20" s="26">
        <v>45749</v>
      </c>
      <c r="L20" s="26">
        <v>45817</v>
      </c>
      <c r="M20" s="26">
        <v>45850</v>
      </c>
    </row>
    <row r="21" spans="1:13">
      <c r="A21" t="s">
        <v>53</v>
      </c>
      <c r="B21" t="s">
        <v>1808</v>
      </c>
      <c r="D21" t="s">
        <v>1449</v>
      </c>
      <c r="E21" t="s">
        <v>2633</v>
      </c>
      <c r="F21">
        <v>0.5</v>
      </c>
      <c r="G21" s="26"/>
      <c r="H21" s="26"/>
      <c r="I21" s="26">
        <v>45764</v>
      </c>
      <c r="J21" s="26">
        <v>45777</v>
      </c>
      <c r="K21" s="26">
        <v>45777</v>
      </c>
      <c r="L21" s="26">
        <v>45847</v>
      </c>
      <c r="M21" s="26">
        <v>45868</v>
      </c>
    </row>
    <row r="22" spans="1:13">
      <c r="A22" t="s">
        <v>105</v>
      </c>
      <c r="B22" t="s">
        <v>2818</v>
      </c>
      <c r="D22" t="s">
        <v>1431</v>
      </c>
      <c r="E22" t="s">
        <v>2654</v>
      </c>
      <c r="F22">
        <v>1</v>
      </c>
      <c r="G22" s="26">
        <v>45713</v>
      </c>
      <c r="H22" s="26">
        <v>45737</v>
      </c>
      <c r="I22" s="26">
        <v>45765</v>
      </c>
      <c r="J22" s="26">
        <v>45767</v>
      </c>
      <c r="K22" s="26">
        <v>45767</v>
      </c>
      <c r="L22" s="26">
        <v>45827</v>
      </c>
      <c r="M22" s="26">
        <v>45883</v>
      </c>
    </row>
    <row r="23" spans="1:13">
      <c r="A23" t="s">
        <v>89</v>
      </c>
      <c r="B23" t="s">
        <v>1918</v>
      </c>
      <c r="D23" t="s">
        <v>1425</v>
      </c>
      <c r="E23" t="s">
        <v>2648</v>
      </c>
      <c r="F23">
        <v>1</v>
      </c>
      <c r="G23" s="26">
        <v>45718</v>
      </c>
      <c r="H23" s="26">
        <v>45741</v>
      </c>
      <c r="I23" s="26">
        <v>45766</v>
      </c>
      <c r="J23" s="26">
        <v>45767</v>
      </c>
      <c r="K23" s="26">
        <v>45767</v>
      </c>
      <c r="L23" s="26">
        <v>45796</v>
      </c>
      <c r="M23" s="26">
        <v>45810</v>
      </c>
    </row>
    <row r="24" spans="1:13">
      <c r="A24" t="s">
        <v>60</v>
      </c>
      <c r="B24" t="s">
        <v>511</v>
      </c>
      <c r="C24" t="s">
        <v>490</v>
      </c>
      <c r="D24" t="s">
        <v>1426</v>
      </c>
      <c r="E24" t="s">
        <v>2637</v>
      </c>
      <c r="F24">
        <v>1</v>
      </c>
      <c r="G24" s="26">
        <v>45708</v>
      </c>
      <c r="H24" s="26">
        <v>45737</v>
      </c>
      <c r="I24" s="26">
        <v>45767</v>
      </c>
      <c r="J24" s="26">
        <v>45770</v>
      </c>
      <c r="K24" s="26">
        <v>45770</v>
      </c>
      <c r="L24" s="26">
        <v>45794</v>
      </c>
      <c r="M24" s="26">
        <v>45808</v>
      </c>
    </row>
    <row r="25" spans="1:13">
      <c r="A25" t="s">
        <v>75</v>
      </c>
      <c r="B25" t="s">
        <v>614</v>
      </c>
      <c r="D25" t="s">
        <v>1427</v>
      </c>
      <c r="E25" t="s">
        <v>2643</v>
      </c>
      <c r="F25">
        <v>0.25</v>
      </c>
      <c r="G25" s="26">
        <v>45728</v>
      </c>
      <c r="H25" s="26">
        <v>45741</v>
      </c>
      <c r="I25" s="26">
        <v>45767</v>
      </c>
      <c r="J25" s="26">
        <v>45767</v>
      </c>
      <c r="K25" s="26">
        <v>45767</v>
      </c>
      <c r="L25" s="26">
        <v>45817</v>
      </c>
      <c r="M25" s="26">
        <v>45834</v>
      </c>
    </row>
    <row r="26" spans="1:13">
      <c r="A26" t="s">
        <v>75</v>
      </c>
      <c r="B26" t="s">
        <v>614</v>
      </c>
      <c r="D26" t="s">
        <v>1433</v>
      </c>
      <c r="E26" t="s">
        <v>2716</v>
      </c>
      <c r="F26">
        <v>0.25</v>
      </c>
      <c r="G26" s="26">
        <v>45728</v>
      </c>
      <c r="H26" s="26">
        <v>45741</v>
      </c>
      <c r="I26" s="26">
        <v>45767</v>
      </c>
      <c r="J26" s="26">
        <v>45767</v>
      </c>
      <c r="K26" s="26">
        <v>45767</v>
      </c>
      <c r="L26" s="26">
        <v>45824</v>
      </c>
      <c r="M26" s="26">
        <v>45841</v>
      </c>
    </row>
    <row r="27" spans="1:13">
      <c r="A27" t="s">
        <v>78</v>
      </c>
      <c r="B27" t="s">
        <v>1832</v>
      </c>
      <c r="D27" t="s">
        <v>1450</v>
      </c>
      <c r="E27" t="s">
        <v>2776</v>
      </c>
      <c r="F27">
        <v>1</v>
      </c>
      <c r="G27" s="26">
        <v>45723</v>
      </c>
      <c r="H27" s="26">
        <v>45737</v>
      </c>
      <c r="I27" s="26">
        <v>45767</v>
      </c>
      <c r="J27" s="26">
        <v>45781</v>
      </c>
      <c r="K27" s="26">
        <v>45781</v>
      </c>
      <c r="L27" s="26">
        <v>45814</v>
      </c>
      <c r="M27" s="26">
        <v>45828</v>
      </c>
    </row>
    <row r="28" spans="1:13">
      <c r="A28" t="s">
        <v>113</v>
      </c>
      <c r="B28" t="s">
        <v>2288</v>
      </c>
      <c r="D28" t="s">
        <v>1444</v>
      </c>
      <c r="E28" t="s">
        <v>2664</v>
      </c>
      <c r="F28">
        <v>2</v>
      </c>
      <c r="G28" s="26"/>
      <c r="H28" s="26"/>
      <c r="I28" s="26">
        <v>45768</v>
      </c>
      <c r="J28" s="26">
        <v>45771</v>
      </c>
      <c r="K28" s="26">
        <v>45771</v>
      </c>
      <c r="L28" s="26">
        <v>45891</v>
      </c>
      <c r="M28" s="26">
        <v>45898</v>
      </c>
    </row>
    <row r="29" spans="1:13">
      <c r="A29" t="s">
        <v>105</v>
      </c>
      <c r="B29" t="s">
        <v>2818</v>
      </c>
      <c r="D29" t="s">
        <v>1443</v>
      </c>
      <c r="E29" t="s">
        <v>2655</v>
      </c>
      <c r="F29">
        <v>1</v>
      </c>
      <c r="G29" s="26">
        <v>45738</v>
      </c>
      <c r="H29" s="26">
        <v>45744</v>
      </c>
      <c r="I29" s="26">
        <v>45772</v>
      </c>
      <c r="J29" s="26">
        <v>45769</v>
      </c>
      <c r="K29" s="26">
        <v>45769</v>
      </c>
      <c r="L29" s="26">
        <v>45834</v>
      </c>
      <c r="M29" s="26">
        <v>45890</v>
      </c>
    </row>
    <row r="30" spans="1:13">
      <c r="A30" t="s">
        <v>62</v>
      </c>
      <c r="B30" t="s">
        <v>514</v>
      </c>
      <c r="D30" t="s">
        <v>1427</v>
      </c>
      <c r="E30" t="s">
        <v>2639</v>
      </c>
      <c r="F30">
        <v>0.25</v>
      </c>
      <c r="G30" s="26">
        <v>45728</v>
      </c>
      <c r="H30" s="26">
        <v>45744</v>
      </c>
      <c r="I30" s="26">
        <v>45774</v>
      </c>
      <c r="J30" s="26">
        <v>45767</v>
      </c>
      <c r="K30" s="26">
        <v>45767</v>
      </c>
      <c r="L30" s="26">
        <v>45824</v>
      </c>
      <c r="M30" s="26">
        <v>45838</v>
      </c>
    </row>
    <row r="31" spans="1:13">
      <c r="A31" t="s">
        <v>62</v>
      </c>
      <c r="B31" t="s">
        <v>514</v>
      </c>
      <c r="D31" t="s">
        <v>1433</v>
      </c>
      <c r="E31" t="s">
        <v>2715</v>
      </c>
      <c r="F31">
        <v>0.25</v>
      </c>
      <c r="G31" s="26">
        <v>45729</v>
      </c>
      <c r="H31" s="26">
        <v>45744</v>
      </c>
      <c r="I31" s="26">
        <v>45774</v>
      </c>
      <c r="J31" s="26">
        <v>45767</v>
      </c>
      <c r="K31" s="26">
        <v>45767</v>
      </c>
      <c r="L31" s="26">
        <v>45831</v>
      </c>
      <c r="M31" s="26">
        <v>45845</v>
      </c>
    </row>
    <row r="32" spans="1:13">
      <c r="A32" t="s">
        <v>62</v>
      </c>
      <c r="B32" t="s">
        <v>514</v>
      </c>
      <c r="D32" t="s">
        <v>1433</v>
      </c>
      <c r="E32" t="s">
        <v>2734</v>
      </c>
      <c r="F32">
        <v>0.25</v>
      </c>
      <c r="G32" s="26">
        <v>45742</v>
      </c>
      <c r="H32" s="26">
        <v>45744</v>
      </c>
      <c r="I32" s="26">
        <v>45774</v>
      </c>
      <c r="J32" s="26">
        <v>45767</v>
      </c>
      <c r="K32" s="26">
        <v>45767</v>
      </c>
      <c r="L32" s="26">
        <v>45831</v>
      </c>
      <c r="M32" s="26">
        <v>45845</v>
      </c>
    </row>
    <row r="33" spans="1:13">
      <c r="A33" t="s">
        <v>92</v>
      </c>
      <c r="B33" t="s">
        <v>2304</v>
      </c>
      <c r="D33" t="s">
        <v>1429</v>
      </c>
      <c r="E33" t="s">
        <v>2709</v>
      </c>
      <c r="F33">
        <v>1</v>
      </c>
      <c r="G33" s="26">
        <v>45713</v>
      </c>
      <c r="H33" s="26">
        <v>45744</v>
      </c>
      <c r="I33" s="26">
        <v>45774</v>
      </c>
      <c r="J33" s="26">
        <v>45775</v>
      </c>
      <c r="K33" s="26">
        <v>45775</v>
      </c>
      <c r="L33" s="26">
        <v>45829</v>
      </c>
      <c r="M33" s="26">
        <v>45842</v>
      </c>
    </row>
    <row r="34" spans="1:13">
      <c r="A34" t="s">
        <v>92</v>
      </c>
      <c r="B34" t="s">
        <v>2304</v>
      </c>
      <c r="D34" t="s">
        <v>1469</v>
      </c>
      <c r="E34" t="s">
        <v>2651</v>
      </c>
      <c r="F34">
        <v>2</v>
      </c>
      <c r="G34" s="26">
        <v>45728</v>
      </c>
      <c r="H34" s="26">
        <v>45746</v>
      </c>
      <c r="I34" s="26">
        <v>45776</v>
      </c>
      <c r="J34" s="26">
        <v>45785</v>
      </c>
      <c r="K34" s="26">
        <v>45785</v>
      </c>
      <c r="L34" s="26">
        <v>45831</v>
      </c>
      <c r="M34" s="26">
        <v>45842</v>
      </c>
    </row>
    <row r="35" spans="1:13">
      <c r="A35" t="s">
        <v>92</v>
      </c>
      <c r="B35" t="s">
        <v>542</v>
      </c>
      <c r="C35" t="s">
        <v>526</v>
      </c>
      <c r="D35" t="s">
        <v>1457</v>
      </c>
      <c r="E35" t="s">
        <v>2730</v>
      </c>
      <c r="F35">
        <v>0.4</v>
      </c>
      <c r="G35" s="26">
        <v>45728</v>
      </c>
      <c r="H35" s="26">
        <v>45748</v>
      </c>
      <c r="I35" s="26">
        <v>45778</v>
      </c>
      <c r="J35" s="26">
        <v>45787</v>
      </c>
      <c r="K35" s="26">
        <v>45787</v>
      </c>
      <c r="L35" s="26">
        <v>45843</v>
      </c>
      <c r="M35" s="26">
        <v>45857</v>
      </c>
    </row>
    <row r="36" spans="1:13">
      <c r="A36" t="s">
        <v>52</v>
      </c>
      <c r="B36" t="s">
        <v>2790</v>
      </c>
      <c r="D36" t="s">
        <v>1462</v>
      </c>
      <c r="E36" t="s">
        <v>2630</v>
      </c>
      <c r="F36">
        <v>0.4</v>
      </c>
      <c r="G36" s="26">
        <v>45713</v>
      </c>
      <c r="H36" s="26">
        <v>45744</v>
      </c>
      <c r="I36" s="26">
        <v>45779</v>
      </c>
      <c r="J36" s="26">
        <v>45782</v>
      </c>
      <c r="K36" s="26">
        <v>45782</v>
      </c>
      <c r="L36" s="26">
        <v>45849</v>
      </c>
      <c r="M36" s="26">
        <v>45856</v>
      </c>
    </row>
    <row r="37" spans="1:13">
      <c r="A37" t="s">
        <v>105</v>
      </c>
      <c r="B37" t="s">
        <v>2818</v>
      </c>
      <c r="D37" t="s">
        <v>1466</v>
      </c>
      <c r="E37" t="s">
        <v>2653</v>
      </c>
      <c r="F37">
        <v>1</v>
      </c>
      <c r="G37" s="26">
        <v>45718</v>
      </c>
      <c r="H37" s="26">
        <v>45737</v>
      </c>
      <c r="I37" s="26">
        <v>45779</v>
      </c>
      <c r="J37" s="26">
        <v>45782</v>
      </c>
      <c r="K37" s="26">
        <v>45782</v>
      </c>
      <c r="L37" s="26">
        <v>45872</v>
      </c>
      <c r="M37" s="26">
        <v>45886</v>
      </c>
    </row>
    <row r="38" spans="1:13">
      <c r="A38" t="s">
        <v>52</v>
      </c>
      <c r="B38" t="s">
        <v>1899</v>
      </c>
      <c r="C38" t="s">
        <v>482</v>
      </c>
      <c r="D38" t="s">
        <v>1448</v>
      </c>
      <c r="E38" t="s">
        <v>2631</v>
      </c>
      <c r="F38">
        <v>1</v>
      </c>
      <c r="G38" s="26">
        <v>45733</v>
      </c>
      <c r="H38" s="26">
        <v>45748</v>
      </c>
      <c r="I38" s="26">
        <v>45783</v>
      </c>
      <c r="J38" s="26">
        <v>45778</v>
      </c>
      <c r="K38" s="26">
        <v>45778</v>
      </c>
      <c r="L38" s="26">
        <v>45838</v>
      </c>
      <c r="M38" s="26">
        <v>45845</v>
      </c>
    </row>
    <row r="39" spans="1:13">
      <c r="A39" t="s">
        <v>88</v>
      </c>
      <c r="B39" t="s">
        <v>1912</v>
      </c>
      <c r="D39" t="s">
        <v>1434</v>
      </c>
      <c r="E39" t="s">
        <v>2646</v>
      </c>
      <c r="F39">
        <v>2</v>
      </c>
      <c r="G39" s="26">
        <v>45738</v>
      </c>
      <c r="H39" s="26">
        <v>45748</v>
      </c>
      <c r="I39" s="26">
        <v>45783</v>
      </c>
      <c r="J39" s="26">
        <v>45775</v>
      </c>
      <c r="K39" s="26">
        <v>45775</v>
      </c>
      <c r="L39" s="26">
        <v>45838</v>
      </c>
      <c r="M39" s="26">
        <v>45894</v>
      </c>
    </row>
    <row r="40" spans="1:13">
      <c r="A40" t="s">
        <v>108</v>
      </c>
      <c r="B40" t="s">
        <v>1880</v>
      </c>
      <c r="D40" t="s">
        <v>1764</v>
      </c>
      <c r="E40" t="s">
        <v>2656</v>
      </c>
      <c r="F40">
        <v>1</v>
      </c>
      <c r="G40" s="26">
        <v>45738</v>
      </c>
      <c r="H40" s="26">
        <v>45748</v>
      </c>
      <c r="I40" s="26">
        <v>45783</v>
      </c>
      <c r="J40" s="26">
        <v>45813</v>
      </c>
      <c r="K40" s="26">
        <v>45813</v>
      </c>
      <c r="L40" s="26">
        <v>45823</v>
      </c>
      <c r="M40" s="26">
        <v>45942</v>
      </c>
    </row>
    <row r="41" spans="1:13">
      <c r="A41" t="s">
        <v>119</v>
      </c>
      <c r="B41" t="s">
        <v>1851</v>
      </c>
      <c r="D41" t="s">
        <v>1427</v>
      </c>
      <c r="E41" t="s">
        <v>2717</v>
      </c>
      <c r="F41">
        <v>0.25</v>
      </c>
      <c r="G41" s="26">
        <v>45718</v>
      </c>
      <c r="H41" s="26">
        <v>45741</v>
      </c>
      <c r="I41" s="26">
        <v>45783</v>
      </c>
      <c r="J41" s="26">
        <v>45741</v>
      </c>
      <c r="K41" s="26">
        <v>45728</v>
      </c>
      <c r="L41" s="26">
        <v>45833</v>
      </c>
      <c r="M41" s="26">
        <v>45847</v>
      </c>
    </row>
    <row r="42" spans="1:13">
      <c r="A42" t="s">
        <v>98</v>
      </c>
      <c r="B42" t="s">
        <v>1839</v>
      </c>
      <c r="D42" t="s">
        <v>1438</v>
      </c>
      <c r="E42" t="s">
        <v>2652</v>
      </c>
      <c r="F42">
        <v>2</v>
      </c>
      <c r="G42" s="26">
        <v>45763</v>
      </c>
      <c r="H42" s="26">
        <v>45763</v>
      </c>
      <c r="I42" s="26">
        <v>45784</v>
      </c>
      <c r="J42" s="26">
        <v>45804</v>
      </c>
      <c r="K42" s="26">
        <v>45804</v>
      </c>
      <c r="L42" s="26">
        <v>45874</v>
      </c>
      <c r="M42" s="26">
        <v>45895</v>
      </c>
    </row>
    <row r="43" spans="1:13">
      <c r="A43" t="s">
        <v>53</v>
      </c>
      <c r="B43" t="s">
        <v>1808</v>
      </c>
      <c r="D43" t="s">
        <v>1449</v>
      </c>
      <c r="E43" t="s">
        <v>2760</v>
      </c>
      <c r="F43">
        <v>0.5</v>
      </c>
      <c r="G43" s="26"/>
      <c r="H43" s="26"/>
      <c r="I43" s="26">
        <v>45785</v>
      </c>
      <c r="J43" s="26">
        <v>45777</v>
      </c>
      <c r="K43" s="26">
        <v>45777</v>
      </c>
      <c r="L43" s="26">
        <v>45847</v>
      </c>
      <c r="M43" s="26">
        <v>45868</v>
      </c>
    </row>
    <row r="44" spans="1:13">
      <c r="A44" t="s">
        <v>387</v>
      </c>
      <c r="B44" t="s">
        <v>1877</v>
      </c>
      <c r="C44" t="s">
        <v>490</v>
      </c>
      <c r="D44" t="s">
        <v>1485</v>
      </c>
      <c r="E44" t="s">
        <v>2650</v>
      </c>
      <c r="F44">
        <v>1</v>
      </c>
      <c r="G44" s="26">
        <v>45738</v>
      </c>
      <c r="H44" s="26">
        <v>45748</v>
      </c>
      <c r="I44" s="26">
        <v>45788</v>
      </c>
      <c r="J44" s="26">
        <v>45808</v>
      </c>
      <c r="K44" s="26">
        <v>45808</v>
      </c>
      <c r="L44" s="26">
        <v>45868</v>
      </c>
      <c r="M44" s="26">
        <v>45931</v>
      </c>
    </row>
    <row r="45" spans="1:13">
      <c r="A45" t="s">
        <v>1517</v>
      </c>
      <c r="B45" t="s">
        <v>1805</v>
      </c>
      <c r="D45" t="s">
        <v>1458</v>
      </c>
      <c r="E45" t="s">
        <v>2627</v>
      </c>
      <c r="F45">
        <v>1.6</v>
      </c>
      <c r="G45" s="26">
        <v>45748</v>
      </c>
      <c r="H45" s="26">
        <v>45761</v>
      </c>
      <c r="I45" s="26">
        <v>45789</v>
      </c>
      <c r="J45" s="26">
        <v>45784</v>
      </c>
      <c r="K45" s="26">
        <v>45784</v>
      </c>
      <c r="L45" s="26">
        <v>45826</v>
      </c>
      <c r="M45" s="26">
        <v>45840</v>
      </c>
    </row>
    <row r="46" spans="1:13">
      <c r="A46" t="s">
        <v>75</v>
      </c>
      <c r="B46" t="s">
        <v>614</v>
      </c>
      <c r="D46" t="s">
        <v>1433</v>
      </c>
      <c r="E46" t="s">
        <v>2741</v>
      </c>
      <c r="F46">
        <v>0.25</v>
      </c>
      <c r="G46" s="26">
        <v>45756</v>
      </c>
      <c r="H46" s="26">
        <v>45763</v>
      </c>
      <c r="I46" s="26">
        <v>45789</v>
      </c>
      <c r="J46" s="26">
        <v>45795</v>
      </c>
      <c r="K46" s="26">
        <v>45795</v>
      </c>
      <c r="L46" s="26">
        <v>45856</v>
      </c>
      <c r="M46" s="26">
        <v>45873</v>
      </c>
    </row>
    <row r="47" spans="1:13">
      <c r="A47" t="s">
        <v>124</v>
      </c>
      <c r="B47" t="s">
        <v>1933</v>
      </c>
      <c r="D47" t="s">
        <v>3256</v>
      </c>
      <c r="E47" t="s">
        <v>2669</v>
      </c>
      <c r="F47">
        <v>1</v>
      </c>
      <c r="G47" s="26">
        <v>45758</v>
      </c>
      <c r="H47" s="26">
        <v>45763</v>
      </c>
      <c r="I47" s="26">
        <v>45791</v>
      </c>
      <c r="J47" s="26">
        <v>45812</v>
      </c>
      <c r="K47" s="26">
        <v>45812</v>
      </c>
      <c r="L47" s="26">
        <v>45891</v>
      </c>
      <c r="M47" s="26">
        <v>45898</v>
      </c>
    </row>
    <row r="48" spans="1:13">
      <c r="A48" t="s">
        <v>124</v>
      </c>
      <c r="B48" t="s">
        <v>1937</v>
      </c>
      <c r="D48" t="s">
        <v>3256</v>
      </c>
      <c r="E48" t="s">
        <v>3060</v>
      </c>
      <c r="F48">
        <v>16</v>
      </c>
      <c r="G48" s="26">
        <v>45758</v>
      </c>
      <c r="H48" s="26">
        <v>45763</v>
      </c>
      <c r="I48" s="26">
        <v>45791</v>
      </c>
      <c r="J48" s="26">
        <v>45812</v>
      </c>
      <c r="K48" s="26">
        <v>45812</v>
      </c>
      <c r="L48" s="26">
        <v>45891</v>
      </c>
      <c r="M48" s="26">
        <v>45898</v>
      </c>
    </row>
    <row r="49" spans="1:13">
      <c r="A49" t="s">
        <v>128</v>
      </c>
      <c r="B49" t="s">
        <v>676</v>
      </c>
      <c r="C49" t="s">
        <v>602</v>
      </c>
      <c r="D49" t="s">
        <v>1480</v>
      </c>
      <c r="E49" t="s">
        <v>2670</v>
      </c>
      <c r="F49">
        <v>1</v>
      </c>
      <c r="G49" s="26">
        <v>45748</v>
      </c>
      <c r="H49" s="26">
        <v>45763</v>
      </c>
      <c r="I49" s="26">
        <v>45791</v>
      </c>
      <c r="J49" s="26">
        <v>45796</v>
      </c>
      <c r="K49" s="26">
        <v>45796</v>
      </c>
      <c r="L49" s="26">
        <v>45823</v>
      </c>
      <c r="M49" s="26">
        <v>45918</v>
      </c>
    </row>
    <row r="50" spans="1:13">
      <c r="A50" t="s">
        <v>128</v>
      </c>
      <c r="B50" t="s">
        <v>584</v>
      </c>
      <c r="D50" t="s">
        <v>1471</v>
      </c>
      <c r="E50" t="s">
        <v>2671</v>
      </c>
      <c r="F50">
        <v>2</v>
      </c>
      <c r="G50" s="26">
        <v>45748</v>
      </c>
      <c r="H50" s="26">
        <v>45763</v>
      </c>
      <c r="I50" s="26">
        <v>45791</v>
      </c>
      <c r="J50" s="26">
        <v>45800</v>
      </c>
      <c r="K50" s="26">
        <v>45800</v>
      </c>
      <c r="L50" s="26">
        <v>45823</v>
      </c>
      <c r="M50" s="26">
        <v>45870</v>
      </c>
    </row>
    <row r="51" spans="1:13">
      <c r="A51" t="s">
        <v>131</v>
      </c>
      <c r="B51" t="s">
        <v>2011</v>
      </c>
      <c r="D51" t="s">
        <v>1492</v>
      </c>
      <c r="E51" t="s">
        <v>2672</v>
      </c>
      <c r="F51">
        <v>1</v>
      </c>
      <c r="G51" s="26">
        <v>45768</v>
      </c>
      <c r="H51" s="26">
        <v>45767</v>
      </c>
      <c r="I51" s="26">
        <v>45791</v>
      </c>
      <c r="J51" s="26">
        <v>45813</v>
      </c>
      <c r="K51" s="26">
        <v>45813</v>
      </c>
      <c r="L51" s="26">
        <v>45830</v>
      </c>
      <c r="M51" s="26">
        <v>45917</v>
      </c>
    </row>
    <row r="52" spans="1:13">
      <c r="A52" t="s">
        <v>62</v>
      </c>
      <c r="B52" t="s">
        <v>514</v>
      </c>
      <c r="D52" t="s">
        <v>1433</v>
      </c>
      <c r="E52" t="s">
        <v>2735</v>
      </c>
      <c r="F52">
        <v>0.25</v>
      </c>
      <c r="G52" s="26">
        <v>45756</v>
      </c>
      <c r="H52" s="26">
        <v>45763</v>
      </c>
      <c r="I52" s="26">
        <v>45793</v>
      </c>
      <c r="J52" s="26">
        <v>45795</v>
      </c>
      <c r="K52" s="26">
        <v>45795</v>
      </c>
      <c r="L52" s="26">
        <v>45850</v>
      </c>
      <c r="M52" s="26">
        <v>45864</v>
      </c>
    </row>
    <row r="53" spans="1:13">
      <c r="A53" t="s">
        <v>75</v>
      </c>
      <c r="B53" t="s">
        <v>614</v>
      </c>
      <c r="D53" t="s">
        <v>1433</v>
      </c>
      <c r="E53" t="s">
        <v>2742</v>
      </c>
      <c r="F53">
        <v>0.25</v>
      </c>
      <c r="G53" s="26">
        <v>45770</v>
      </c>
      <c r="H53" s="26">
        <v>45767</v>
      </c>
      <c r="I53" s="26">
        <v>45793</v>
      </c>
      <c r="J53" s="26">
        <v>45795</v>
      </c>
      <c r="K53" s="26">
        <v>45795</v>
      </c>
      <c r="L53" s="26">
        <v>45843</v>
      </c>
      <c r="M53" s="26">
        <v>45860</v>
      </c>
    </row>
    <row r="54" spans="1:13">
      <c r="A54" t="s">
        <v>92</v>
      </c>
      <c r="B54" t="s">
        <v>1819</v>
      </c>
      <c r="C54" t="s">
        <v>482</v>
      </c>
      <c r="D54" t="s">
        <v>1456</v>
      </c>
      <c r="E54" t="s">
        <v>2731</v>
      </c>
      <c r="F54">
        <v>0.4</v>
      </c>
      <c r="G54" s="26">
        <v>45749</v>
      </c>
      <c r="H54" s="26">
        <v>45763</v>
      </c>
      <c r="I54" s="26">
        <v>45793</v>
      </c>
      <c r="J54" s="26">
        <v>45787</v>
      </c>
      <c r="K54" s="26">
        <v>45787</v>
      </c>
      <c r="L54" s="26">
        <v>45851</v>
      </c>
      <c r="M54" s="26">
        <v>45865</v>
      </c>
    </row>
    <row r="55" spans="1:13">
      <c r="A55" t="s">
        <v>92</v>
      </c>
      <c r="B55" t="s">
        <v>2304</v>
      </c>
      <c r="D55" t="s">
        <v>1476</v>
      </c>
      <c r="E55" t="s">
        <v>2766</v>
      </c>
      <c r="F55">
        <v>1</v>
      </c>
      <c r="G55" s="26">
        <v>45748</v>
      </c>
      <c r="H55" s="26">
        <v>45763</v>
      </c>
      <c r="I55" s="26">
        <v>45793</v>
      </c>
      <c r="J55" s="26">
        <v>45789</v>
      </c>
      <c r="K55" s="26">
        <v>45789</v>
      </c>
      <c r="L55" s="26">
        <v>45833</v>
      </c>
      <c r="M55" s="26">
        <v>45860</v>
      </c>
    </row>
    <row r="56" spans="1:13">
      <c r="A56" t="s">
        <v>62</v>
      </c>
      <c r="B56" t="s">
        <v>514</v>
      </c>
      <c r="D56" t="s">
        <v>1433</v>
      </c>
      <c r="E56" t="s">
        <v>2736</v>
      </c>
      <c r="F56">
        <v>0.25</v>
      </c>
      <c r="G56" s="26">
        <v>45770</v>
      </c>
      <c r="H56" s="26">
        <v>45767</v>
      </c>
      <c r="I56" s="26">
        <v>45797</v>
      </c>
      <c r="J56" s="26">
        <v>45795</v>
      </c>
      <c r="K56" s="26">
        <v>45795</v>
      </c>
      <c r="L56" s="26">
        <v>45847</v>
      </c>
      <c r="M56" s="26">
        <v>45861</v>
      </c>
    </row>
    <row r="57" spans="1:13">
      <c r="A57" t="s">
        <v>92</v>
      </c>
      <c r="B57" t="s">
        <v>2304</v>
      </c>
      <c r="D57" t="s">
        <v>1477</v>
      </c>
      <c r="E57" t="s">
        <v>2767</v>
      </c>
      <c r="F57">
        <v>1</v>
      </c>
      <c r="G57" s="26">
        <v>45769</v>
      </c>
      <c r="H57" s="26">
        <v>45767</v>
      </c>
      <c r="I57" s="26">
        <v>45797</v>
      </c>
      <c r="J57" s="26">
        <v>45795</v>
      </c>
      <c r="K57" s="26">
        <v>45795</v>
      </c>
      <c r="L57" s="26">
        <v>45837</v>
      </c>
      <c r="M57" s="26">
        <v>45864</v>
      </c>
    </row>
    <row r="58" spans="1:13">
      <c r="A58" t="s">
        <v>70</v>
      </c>
      <c r="B58" t="s">
        <v>2822</v>
      </c>
      <c r="D58" t="s">
        <v>1428</v>
      </c>
      <c r="E58" t="s">
        <v>2641</v>
      </c>
      <c r="F58">
        <v>0.75</v>
      </c>
      <c r="G58" s="26">
        <v>45748</v>
      </c>
      <c r="H58" s="26">
        <v>45763</v>
      </c>
      <c r="I58" s="26">
        <v>45798</v>
      </c>
      <c r="J58" s="26">
        <v>45807</v>
      </c>
      <c r="K58" s="26">
        <v>45807</v>
      </c>
      <c r="L58" s="26">
        <v>45833</v>
      </c>
      <c r="M58" s="26">
        <v>45938</v>
      </c>
    </row>
    <row r="59" spans="1:13">
      <c r="A59" t="s">
        <v>70</v>
      </c>
      <c r="B59" t="s">
        <v>2822</v>
      </c>
      <c r="D59" t="s">
        <v>1464</v>
      </c>
      <c r="E59" t="s">
        <v>2722</v>
      </c>
      <c r="F59">
        <v>1</v>
      </c>
      <c r="G59" s="26">
        <v>45758</v>
      </c>
      <c r="H59" s="26">
        <v>45763</v>
      </c>
      <c r="I59" s="26">
        <v>45798</v>
      </c>
      <c r="J59" s="26">
        <v>45803</v>
      </c>
      <c r="K59" s="26">
        <v>45803</v>
      </c>
      <c r="L59" s="26">
        <v>45843</v>
      </c>
      <c r="M59" s="26">
        <v>45920</v>
      </c>
    </row>
    <row r="60" spans="1:13">
      <c r="A60" t="s">
        <v>70</v>
      </c>
      <c r="B60" t="s">
        <v>2823</v>
      </c>
      <c r="D60" t="s">
        <v>1427</v>
      </c>
      <c r="E60" t="s">
        <v>2642</v>
      </c>
      <c r="F60">
        <v>0.25</v>
      </c>
      <c r="G60" s="26">
        <v>45748</v>
      </c>
      <c r="H60" s="26">
        <v>45763</v>
      </c>
      <c r="I60" s="26">
        <v>45798</v>
      </c>
      <c r="J60" s="26">
        <v>45807</v>
      </c>
      <c r="K60" s="26">
        <v>45807</v>
      </c>
      <c r="L60" s="26">
        <v>45833</v>
      </c>
      <c r="M60" s="26">
        <v>45938</v>
      </c>
    </row>
    <row r="61" spans="1:13">
      <c r="A61" t="s">
        <v>70</v>
      </c>
      <c r="B61" t="s">
        <v>2821</v>
      </c>
      <c r="D61" t="s">
        <v>1465</v>
      </c>
      <c r="E61" t="s">
        <v>2723</v>
      </c>
      <c r="F61">
        <v>1</v>
      </c>
      <c r="G61" s="26">
        <v>45758</v>
      </c>
      <c r="H61" s="26">
        <v>45763</v>
      </c>
      <c r="I61" s="26">
        <v>45798</v>
      </c>
      <c r="J61" s="26">
        <v>45803</v>
      </c>
      <c r="K61" s="26">
        <v>45803</v>
      </c>
      <c r="L61" s="26">
        <v>45843</v>
      </c>
      <c r="M61" s="26">
        <v>45920</v>
      </c>
    </row>
    <row r="62" spans="1:13">
      <c r="A62" t="s">
        <v>393</v>
      </c>
      <c r="B62" t="s">
        <v>2855</v>
      </c>
      <c r="C62" t="s">
        <v>501</v>
      </c>
      <c r="D62" t="s">
        <v>1429</v>
      </c>
      <c r="E62" t="s">
        <v>2645</v>
      </c>
      <c r="F62">
        <v>0.5</v>
      </c>
      <c r="G62" s="26">
        <v>45748</v>
      </c>
      <c r="H62" s="26"/>
      <c r="I62" s="26">
        <v>45801</v>
      </c>
      <c r="J62" s="26">
        <v>45658</v>
      </c>
      <c r="K62" s="26">
        <v>45658</v>
      </c>
      <c r="L62" s="26">
        <v>45906</v>
      </c>
      <c r="M62" s="26">
        <v>46004</v>
      </c>
    </row>
    <row r="63" spans="1:13">
      <c r="A63" t="s">
        <v>92</v>
      </c>
      <c r="B63" t="s">
        <v>540</v>
      </c>
      <c r="C63" t="s">
        <v>526</v>
      </c>
      <c r="D63" t="s">
        <v>1461</v>
      </c>
      <c r="E63" t="s">
        <v>2732</v>
      </c>
      <c r="F63">
        <v>0.4</v>
      </c>
      <c r="G63" s="26">
        <v>45770</v>
      </c>
      <c r="H63" s="26">
        <v>45771</v>
      </c>
      <c r="I63" s="26">
        <v>45801</v>
      </c>
      <c r="J63" s="26">
        <v>45814</v>
      </c>
      <c r="K63" s="26">
        <v>45814</v>
      </c>
      <c r="L63" s="26">
        <v>45852</v>
      </c>
      <c r="M63" s="26">
        <v>45866</v>
      </c>
    </row>
    <row r="64" spans="1:13">
      <c r="A64" t="s">
        <v>43</v>
      </c>
      <c r="B64" t="s">
        <v>709</v>
      </c>
      <c r="D64" t="s">
        <v>1427</v>
      </c>
      <c r="E64" t="s">
        <v>2622</v>
      </c>
      <c r="F64">
        <v>1</v>
      </c>
      <c r="G64" s="26">
        <v>45748</v>
      </c>
      <c r="H64" s="26">
        <v>45763</v>
      </c>
      <c r="I64" s="26">
        <v>45803</v>
      </c>
      <c r="J64" s="26"/>
      <c r="K64" s="26">
        <v>45803</v>
      </c>
      <c r="L64" s="26">
        <v>45858</v>
      </c>
      <c r="M64" s="26">
        <v>45907</v>
      </c>
    </row>
    <row r="65" spans="1:13">
      <c r="A65" t="s">
        <v>43</v>
      </c>
      <c r="B65" t="s">
        <v>147</v>
      </c>
      <c r="C65" t="s">
        <v>484</v>
      </c>
      <c r="D65" t="s">
        <v>1497</v>
      </c>
      <c r="E65" t="s">
        <v>2726</v>
      </c>
      <c r="F65">
        <v>0.4</v>
      </c>
      <c r="G65" s="26">
        <v>45758</v>
      </c>
      <c r="H65" s="26">
        <v>45763</v>
      </c>
      <c r="I65" s="26">
        <v>45803</v>
      </c>
      <c r="J65" s="26">
        <v>45812</v>
      </c>
      <c r="K65" s="26">
        <v>45812</v>
      </c>
      <c r="L65" s="26">
        <v>45863</v>
      </c>
      <c r="M65" s="26">
        <v>45975</v>
      </c>
    </row>
    <row r="66" spans="1:13">
      <c r="A66" t="s">
        <v>119</v>
      </c>
      <c r="B66" t="s">
        <v>1851</v>
      </c>
      <c r="D66" t="s">
        <v>1442</v>
      </c>
      <c r="E66" t="s">
        <v>2764</v>
      </c>
      <c r="F66">
        <v>0.5</v>
      </c>
      <c r="G66" s="26">
        <v>45760</v>
      </c>
      <c r="H66" s="26">
        <v>45761</v>
      </c>
      <c r="I66" s="26">
        <v>45803</v>
      </c>
      <c r="J66" s="26">
        <v>45795</v>
      </c>
      <c r="K66" s="26">
        <v>45795</v>
      </c>
      <c r="L66" s="26">
        <v>45853</v>
      </c>
      <c r="M66" s="26">
        <v>45867</v>
      </c>
    </row>
    <row r="67" spans="1:13">
      <c r="A67" t="s">
        <v>135</v>
      </c>
      <c r="B67" t="s">
        <v>2842</v>
      </c>
      <c r="D67" t="s">
        <v>1430</v>
      </c>
      <c r="E67" t="s">
        <v>2673</v>
      </c>
      <c r="F67">
        <v>1</v>
      </c>
      <c r="G67" s="26">
        <v>45738</v>
      </c>
      <c r="H67" s="26">
        <v>45748</v>
      </c>
      <c r="I67" s="26">
        <v>45804</v>
      </c>
      <c r="J67" s="26">
        <v>45823</v>
      </c>
      <c r="K67" s="26">
        <v>45823</v>
      </c>
      <c r="L67" s="26">
        <v>45838</v>
      </c>
      <c r="M67" s="26">
        <v>45908</v>
      </c>
    </row>
    <row r="68" spans="1:13">
      <c r="A68" t="s">
        <v>136</v>
      </c>
      <c r="B68" t="s">
        <v>1858</v>
      </c>
      <c r="D68" t="s">
        <v>1481</v>
      </c>
      <c r="E68" t="s">
        <v>2674</v>
      </c>
      <c r="F68">
        <v>2</v>
      </c>
      <c r="G68" s="26">
        <v>45733</v>
      </c>
      <c r="H68" s="26">
        <v>45748</v>
      </c>
      <c r="I68" s="26">
        <v>45804</v>
      </c>
      <c r="J68" s="26">
        <v>45808</v>
      </c>
      <c r="K68" s="26">
        <v>45808</v>
      </c>
      <c r="L68" s="26">
        <v>45883</v>
      </c>
      <c r="M68" s="26">
        <v>45946</v>
      </c>
    </row>
    <row r="69" spans="1:13">
      <c r="A69" t="s">
        <v>136</v>
      </c>
      <c r="B69" t="s">
        <v>1858</v>
      </c>
      <c r="D69" t="s">
        <v>1428</v>
      </c>
      <c r="E69" t="s">
        <v>2675</v>
      </c>
      <c r="F69">
        <v>0.5</v>
      </c>
      <c r="G69" s="26">
        <v>45723</v>
      </c>
      <c r="H69" s="26">
        <v>45748</v>
      </c>
      <c r="I69" s="26">
        <v>45804</v>
      </c>
      <c r="J69" s="26">
        <v>45807</v>
      </c>
      <c r="K69" s="26">
        <v>45807</v>
      </c>
      <c r="L69" s="26">
        <v>45868</v>
      </c>
      <c r="M69" s="26">
        <v>45952</v>
      </c>
    </row>
    <row r="70" spans="1:13">
      <c r="A70" t="s">
        <v>136</v>
      </c>
      <c r="B70" t="s">
        <v>1860</v>
      </c>
      <c r="D70" t="s">
        <v>1427</v>
      </c>
      <c r="E70" t="s">
        <v>2676</v>
      </c>
      <c r="F70">
        <v>0.5</v>
      </c>
      <c r="G70" s="26">
        <v>45723</v>
      </c>
      <c r="H70" s="26">
        <v>45748</v>
      </c>
      <c r="I70" s="26">
        <v>45804</v>
      </c>
      <c r="J70" s="26">
        <v>45807</v>
      </c>
      <c r="K70" s="26">
        <v>45807</v>
      </c>
      <c r="L70" s="26">
        <v>45838</v>
      </c>
      <c r="M70" s="26">
        <v>45950</v>
      </c>
    </row>
    <row r="71" spans="1:13">
      <c r="A71" t="s">
        <v>136</v>
      </c>
      <c r="B71" t="s">
        <v>1857</v>
      </c>
      <c r="D71" t="s">
        <v>1483</v>
      </c>
      <c r="E71" t="s">
        <v>2677</v>
      </c>
      <c r="F71">
        <v>2</v>
      </c>
      <c r="G71" s="26">
        <v>45733</v>
      </c>
      <c r="H71" s="26">
        <v>45748</v>
      </c>
      <c r="I71" s="26">
        <v>45804</v>
      </c>
      <c r="J71" s="26">
        <v>45808</v>
      </c>
      <c r="K71" s="26">
        <v>45808</v>
      </c>
      <c r="L71" s="26">
        <v>45883</v>
      </c>
      <c r="M71" s="26">
        <v>45946</v>
      </c>
    </row>
    <row r="72" spans="1:13">
      <c r="A72" t="s">
        <v>53</v>
      </c>
      <c r="B72" t="s">
        <v>1808</v>
      </c>
      <c r="D72" t="s">
        <v>1451</v>
      </c>
      <c r="E72" t="s">
        <v>2761</v>
      </c>
      <c r="F72">
        <v>0.5</v>
      </c>
      <c r="G72" s="26"/>
      <c r="H72" s="26"/>
      <c r="I72" s="26">
        <v>45806</v>
      </c>
      <c r="J72" s="26"/>
      <c r="K72" s="26">
        <v>45806</v>
      </c>
      <c r="L72" s="26">
        <v>45876</v>
      </c>
      <c r="M72" s="26">
        <v>45897</v>
      </c>
    </row>
    <row r="73" spans="1:13">
      <c r="A73" t="s">
        <v>53</v>
      </c>
      <c r="B73" t="s">
        <v>1809</v>
      </c>
      <c r="D73" t="s">
        <v>1425</v>
      </c>
      <c r="E73" t="s">
        <v>2634</v>
      </c>
      <c r="F73">
        <v>1</v>
      </c>
      <c r="G73" s="26"/>
      <c r="H73" s="26"/>
      <c r="I73" s="26">
        <v>45808</v>
      </c>
      <c r="J73" s="26"/>
      <c r="K73" s="26">
        <v>45808</v>
      </c>
      <c r="L73" s="26">
        <v>45892</v>
      </c>
      <c r="M73" s="26">
        <v>45913</v>
      </c>
    </row>
    <row r="74" spans="1:13">
      <c r="A74" t="s">
        <v>114</v>
      </c>
      <c r="B74" t="s">
        <v>1347</v>
      </c>
      <c r="D74" t="s">
        <v>1454</v>
      </c>
      <c r="E74" t="s">
        <v>2756</v>
      </c>
      <c r="F74">
        <v>0.5</v>
      </c>
      <c r="G74" s="26"/>
      <c r="H74" s="26"/>
      <c r="I74" s="26">
        <v>45808</v>
      </c>
      <c r="J74" s="26"/>
      <c r="K74" s="26">
        <v>45808</v>
      </c>
      <c r="L74" s="26">
        <v>45840</v>
      </c>
      <c r="M74" s="26">
        <v>45861</v>
      </c>
    </row>
    <row r="75" spans="1:13">
      <c r="A75" t="s">
        <v>44</v>
      </c>
      <c r="B75" t="s">
        <v>2783</v>
      </c>
      <c r="D75" t="s">
        <v>1478</v>
      </c>
      <c r="E75" t="s">
        <v>2624</v>
      </c>
      <c r="F75">
        <v>2</v>
      </c>
      <c r="G75" s="26">
        <v>45783</v>
      </c>
      <c r="H75" s="26">
        <v>45796</v>
      </c>
      <c r="I75" s="26">
        <v>45810</v>
      </c>
      <c r="J75" s="26">
        <v>45813</v>
      </c>
      <c r="K75" s="26">
        <v>45813</v>
      </c>
      <c r="L75" s="26">
        <v>45886</v>
      </c>
      <c r="M75" s="26">
        <v>45929</v>
      </c>
    </row>
    <row r="76" spans="1:13">
      <c r="A76" t="s">
        <v>44</v>
      </c>
      <c r="B76" t="s">
        <v>2783</v>
      </c>
      <c r="D76" t="s">
        <v>1491</v>
      </c>
      <c r="E76" t="s">
        <v>3190</v>
      </c>
      <c r="F76">
        <v>1</v>
      </c>
      <c r="G76" s="26">
        <v>45783</v>
      </c>
      <c r="H76" s="26">
        <v>45796</v>
      </c>
      <c r="I76" s="26">
        <v>45810</v>
      </c>
      <c r="J76" s="26">
        <v>45813</v>
      </c>
      <c r="K76" s="26">
        <v>45813</v>
      </c>
      <c r="L76" s="26">
        <v>45886</v>
      </c>
      <c r="M76" s="26">
        <v>45929</v>
      </c>
    </row>
    <row r="77" spans="1:13">
      <c r="A77" t="s">
        <v>55</v>
      </c>
      <c r="B77" t="s">
        <v>1871</v>
      </c>
      <c r="D77" t="s">
        <v>1473</v>
      </c>
      <c r="E77" t="s">
        <v>2636</v>
      </c>
      <c r="F77">
        <v>1</v>
      </c>
      <c r="G77" s="26">
        <v>45708</v>
      </c>
      <c r="H77" s="26">
        <v>45744</v>
      </c>
      <c r="I77" s="26">
        <v>45813</v>
      </c>
      <c r="J77" s="26">
        <v>45813</v>
      </c>
      <c r="K77" s="26">
        <v>45813</v>
      </c>
      <c r="L77" s="26">
        <v>45844</v>
      </c>
      <c r="M77" s="26">
        <v>45991</v>
      </c>
    </row>
    <row r="78" spans="1:13">
      <c r="A78" t="s">
        <v>75</v>
      </c>
      <c r="B78" t="s">
        <v>614</v>
      </c>
      <c r="D78" t="s">
        <v>1433</v>
      </c>
      <c r="E78" t="s">
        <v>2743</v>
      </c>
      <c r="F78">
        <v>0.25</v>
      </c>
      <c r="G78" s="26">
        <v>45784</v>
      </c>
      <c r="H78" s="26">
        <v>45791</v>
      </c>
      <c r="I78" s="26">
        <v>45817</v>
      </c>
      <c r="J78" s="26"/>
      <c r="K78" s="26">
        <v>45817</v>
      </c>
      <c r="L78" s="26">
        <v>45867</v>
      </c>
      <c r="M78" s="26">
        <v>45884</v>
      </c>
    </row>
    <row r="79" spans="1:13">
      <c r="A79" t="s">
        <v>136</v>
      </c>
      <c r="B79" t="s">
        <v>3043</v>
      </c>
      <c r="D79" t="s">
        <v>3256</v>
      </c>
      <c r="E79" t="s">
        <v>3006</v>
      </c>
      <c r="F79">
        <v>6</v>
      </c>
      <c r="G79" s="26">
        <v>45736</v>
      </c>
      <c r="H79" s="26">
        <v>45763</v>
      </c>
      <c r="I79" s="26">
        <v>45819</v>
      </c>
      <c r="J79" s="26">
        <v>45821</v>
      </c>
      <c r="K79" s="26">
        <v>45821</v>
      </c>
      <c r="L79" s="26">
        <v>45874</v>
      </c>
      <c r="M79" s="26">
        <v>45937</v>
      </c>
    </row>
    <row r="80" spans="1:13">
      <c r="A80" t="s">
        <v>136</v>
      </c>
      <c r="B80" t="s">
        <v>3043</v>
      </c>
      <c r="D80" t="s">
        <v>1514</v>
      </c>
      <c r="E80" t="s">
        <v>3061</v>
      </c>
      <c r="F80">
        <v>2</v>
      </c>
      <c r="G80" s="26">
        <v>45736</v>
      </c>
      <c r="H80" s="26">
        <v>45763</v>
      </c>
      <c r="I80" s="26">
        <v>45819</v>
      </c>
      <c r="J80" s="26">
        <v>45815</v>
      </c>
      <c r="K80" s="26">
        <v>45815</v>
      </c>
      <c r="L80" s="26">
        <v>45874</v>
      </c>
      <c r="M80" s="26">
        <v>45937</v>
      </c>
    </row>
    <row r="81" spans="1:13">
      <c r="A81" t="s">
        <v>136</v>
      </c>
      <c r="B81" t="s">
        <v>3042</v>
      </c>
      <c r="D81" t="s">
        <v>3256</v>
      </c>
      <c r="E81" t="s">
        <v>3007</v>
      </c>
      <c r="F81">
        <v>8</v>
      </c>
      <c r="G81" s="26">
        <v>45752</v>
      </c>
      <c r="H81" s="26">
        <v>45763</v>
      </c>
      <c r="I81" s="26">
        <v>45819</v>
      </c>
      <c r="J81" s="26">
        <v>45823</v>
      </c>
      <c r="K81" s="26">
        <v>45823</v>
      </c>
      <c r="L81" s="26">
        <v>45889</v>
      </c>
      <c r="M81" s="26">
        <v>45987</v>
      </c>
    </row>
    <row r="82" spans="1:13">
      <c r="A82" t="s">
        <v>136</v>
      </c>
      <c r="B82" t="s">
        <v>3042</v>
      </c>
      <c r="D82" t="s">
        <v>1512</v>
      </c>
      <c r="E82" t="s">
        <v>3193</v>
      </c>
      <c r="F82">
        <v>1</v>
      </c>
      <c r="G82" s="26">
        <v>45752</v>
      </c>
      <c r="H82" s="26">
        <v>45763</v>
      </c>
      <c r="I82" s="26">
        <v>45819</v>
      </c>
      <c r="J82" s="26">
        <v>45815</v>
      </c>
      <c r="K82" s="26">
        <v>45815</v>
      </c>
      <c r="L82" s="26">
        <v>45889</v>
      </c>
      <c r="M82" s="26">
        <v>45987</v>
      </c>
    </row>
    <row r="83" spans="1:13">
      <c r="A83" t="s">
        <v>136</v>
      </c>
      <c r="B83" t="s">
        <v>3041</v>
      </c>
      <c r="D83" t="s">
        <v>3256</v>
      </c>
      <c r="E83" t="s">
        <v>3008</v>
      </c>
      <c r="F83">
        <v>8</v>
      </c>
      <c r="G83" s="26">
        <v>45752</v>
      </c>
      <c r="H83" s="26">
        <v>45763</v>
      </c>
      <c r="I83" s="26">
        <v>45819</v>
      </c>
      <c r="J83" s="26">
        <v>45823</v>
      </c>
      <c r="K83" s="26">
        <v>45823</v>
      </c>
      <c r="L83" s="26">
        <v>45909</v>
      </c>
      <c r="M83" s="26">
        <v>45972</v>
      </c>
    </row>
    <row r="84" spans="1:13">
      <c r="A84" t="s">
        <v>136</v>
      </c>
      <c r="B84" t="s">
        <v>3041</v>
      </c>
      <c r="D84" t="s">
        <v>1515</v>
      </c>
      <c r="E84" t="s">
        <v>3194</v>
      </c>
      <c r="F84">
        <v>1</v>
      </c>
      <c r="G84" s="26">
        <v>45752</v>
      </c>
      <c r="H84" s="26">
        <v>45763</v>
      </c>
      <c r="I84" s="26">
        <v>45819</v>
      </c>
      <c r="J84" s="26">
        <v>45815</v>
      </c>
      <c r="K84" s="26">
        <v>45815</v>
      </c>
      <c r="L84" s="26">
        <v>45909</v>
      </c>
      <c r="M84" s="26">
        <v>45972</v>
      </c>
    </row>
    <row r="85" spans="1:13">
      <c r="A85" t="s">
        <v>62</v>
      </c>
      <c r="B85" t="s">
        <v>514</v>
      </c>
      <c r="D85" t="s">
        <v>1433</v>
      </c>
      <c r="E85" t="s">
        <v>2737</v>
      </c>
      <c r="F85">
        <v>0.25</v>
      </c>
      <c r="G85" s="26">
        <v>45784</v>
      </c>
      <c r="H85" s="26">
        <v>45791</v>
      </c>
      <c r="I85" s="26">
        <v>45821</v>
      </c>
      <c r="J85" s="26"/>
      <c r="K85" s="26">
        <v>45821</v>
      </c>
      <c r="L85" s="26">
        <v>45871</v>
      </c>
      <c r="M85" s="26">
        <v>45885</v>
      </c>
    </row>
    <row r="86" spans="1:13">
      <c r="A86" t="s">
        <v>92</v>
      </c>
      <c r="B86" t="s">
        <v>2229</v>
      </c>
      <c r="C86" t="s">
        <v>503</v>
      </c>
      <c r="D86" t="s">
        <v>1463</v>
      </c>
      <c r="E86" t="s">
        <v>2733</v>
      </c>
      <c r="F86">
        <v>0.4</v>
      </c>
      <c r="G86" s="26">
        <v>45791</v>
      </c>
      <c r="H86" s="26">
        <v>45791</v>
      </c>
      <c r="I86" s="26">
        <v>45821</v>
      </c>
      <c r="J86" s="26"/>
      <c r="K86" s="26">
        <v>45821</v>
      </c>
      <c r="L86" s="26">
        <v>45865</v>
      </c>
      <c r="M86" s="26">
        <v>45879</v>
      </c>
    </row>
    <row r="87" spans="1:13">
      <c r="A87" t="s">
        <v>92</v>
      </c>
      <c r="B87" t="s">
        <v>2304</v>
      </c>
      <c r="D87" t="s">
        <v>1493</v>
      </c>
      <c r="E87" t="s">
        <v>2768</v>
      </c>
      <c r="F87">
        <v>1</v>
      </c>
      <c r="G87" s="26">
        <v>45790</v>
      </c>
      <c r="H87" s="26">
        <v>45791</v>
      </c>
      <c r="I87" s="26">
        <v>45821</v>
      </c>
      <c r="J87" s="26"/>
      <c r="K87" s="26">
        <v>45821</v>
      </c>
      <c r="L87" s="26">
        <v>45861</v>
      </c>
      <c r="M87" s="26">
        <v>45888</v>
      </c>
    </row>
    <row r="88" spans="1:13">
      <c r="A88" t="s">
        <v>91</v>
      </c>
      <c r="B88" t="s">
        <v>2856</v>
      </c>
      <c r="D88" t="s">
        <v>1474</v>
      </c>
      <c r="E88" t="s">
        <v>2649</v>
      </c>
      <c r="F88">
        <v>2</v>
      </c>
      <c r="G88" s="26">
        <v>45748</v>
      </c>
      <c r="H88" s="26">
        <v>45762</v>
      </c>
      <c r="I88" s="26">
        <v>45822</v>
      </c>
      <c r="J88" s="26"/>
      <c r="K88" s="26">
        <v>45822</v>
      </c>
      <c r="L88" s="26">
        <v>45904</v>
      </c>
      <c r="M88" s="26">
        <v>45932</v>
      </c>
    </row>
    <row r="89" spans="1:13">
      <c r="A89" t="s">
        <v>109</v>
      </c>
      <c r="B89" t="s">
        <v>2864</v>
      </c>
      <c r="D89" t="s">
        <v>1452</v>
      </c>
      <c r="E89" t="s">
        <v>2657</v>
      </c>
      <c r="F89">
        <v>1</v>
      </c>
      <c r="G89" s="26"/>
      <c r="H89" s="26"/>
      <c r="I89" s="26">
        <v>45822</v>
      </c>
      <c r="J89" s="26"/>
      <c r="K89" s="26">
        <v>45822</v>
      </c>
      <c r="L89" s="26">
        <v>45932</v>
      </c>
      <c r="M89" s="26">
        <v>45946</v>
      </c>
    </row>
    <row r="90" spans="1:13">
      <c r="A90" t="s">
        <v>137</v>
      </c>
      <c r="B90" t="s">
        <v>1686</v>
      </c>
      <c r="C90" t="s">
        <v>490</v>
      </c>
      <c r="D90" t="s">
        <v>1454</v>
      </c>
      <c r="E90" t="s">
        <v>2679</v>
      </c>
      <c r="F90">
        <v>0.5</v>
      </c>
      <c r="G90" s="26"/>
      <c r="H90" s="26"/>
      <c r="I90" s="26">
        <v>45822</v>
      </c>
      <c r="J90" s="26"/>
      <c r="K90" s="26">
        <v>45822</v>
      </c>
      <c r="L90" s="26">
        <v>45862</v>
      </c>
      <c r="M90" s="26">
        <v>45876</v>
      </c>
    </row>
    <row r="91" spans="1:13">
      <c r="A91" t="s">
        <v>42</v>
      </c>
      <c r="B91" t="s">
        <v>2850</v>
      </c>
      <c r="D91" t="s">
        <v>1455</v>
      </c>
      <c r="E91" t="s">
        <v>3192</v>
      </c>
      <c r="F91">
        <v>0.5</v>
      </c>
      <c r="G91" s="26"/>
      <c r="H91" s="26"/>
      <c r="I91" s="26">
        <v>45823</v>
      </c>
      <c r="J91" s="26"/>
      <c r="K91" s="26">
        <v>45823</v>
      </c>
      <c r="L91" s="26">
        <v>45854</v>
      </c>
      <c r="M91" s="26">
        <v>45872</v>
      </c>
    </row>
    <row r="92" spans="1:13">
      <c r="A92" t="s">
        <v>325</v>
      </c>
      <c r="B92" t="s">
        <v>1873</v>
      </c>
      <c r="D92" t="s">
        <v>1440</v>
      </c>
      <c r="E92" t="s">
        <v>2640</v>
      </c>
      <c r="F92">
        <v>2</v>
      </c>
      <c r="G92" s="26"/>
      <c r="H92" s="26"/>
      <c r="I92" s="26">
        <v>45823</v>
      </c>
      <c r="J92" s="26">
        <v>45828</v>
      </c>
      <c r="K92" s="26">
        <v>45828</v>
      </c>
      <c r="L92" s="26">
        <v>45928</v>
      </c>
      <c r="M92" s="26">
        <v>45942</v>
      </c>
    </row>
    <row r="93" spans="1:13">
      <c r="A93" t="s">
        <v>92</v>
      </c>
      <c r="B93" t="s">
        <v>2816</v>
      </c>
      <c r="D93" t="s">
        <v>1487</v>
      </c>
      <c r="E93" t="s">
        <v>3188</v>
      </c>
      <c r="F93">
        <v>1</v>
      </c>
      <c r="G93" s="26">
        <v>45779</v>
      </c>
      <c r="H93" s="26">
        <v>45796</v>
      </c>
      <c r="I93" s="26">
        <v>45826</v>
      </c>
      <c r="J93" s="26"/>
      <c r="K93" s="26">
        <v>45826</v>
      </c>
      <c r="L93" s="26">
        <v>45870</v>
      </c>
      <c r="M93" s="26">
        <v>45884</v>
      </c>
    </row>
    <row r="94" spans="1:13">
      <c r="A94" t="s">
        <v>53</v>
      </c>
      <c r="B94" t="s">
        <v>1808</v>
      </c>
      <c r="D94" t="s">
        <v>1451</v>
      </c>
      <c r="E94" t="s">
        <v>2762</v>
      </c>
      <c r="F94">
        <v>0.5</v>
      </c>
      <c r="G94" s="26"/>
      <c r="H94" s="26"/>
      <c r="I94" s="26">
        <v>45827</v>
      </c>
      <c r="J94" s="26"/>
      <c r="K94" s="26">
        <v>45827</v>
      </c>
      <c r="L94" s="26">
        <v>45897</v>
      </c>
      <c r="M94" s="26">
        <v>45918</v>
      </c>
    </row>
    <row r="95" spans="1:13">
      <c r="A95" t="s">
        <v>112</v>
      </c>
      <c r="B95" t="s">
        <v>848</v>
      </c>
      <c r="C95" t="s">
        <v>503</v>
      </c>
      <c r="D95" t="s">
        <v>1488</v>
      </c>
      <c r="E95" t="s">
        <v>2659</v>
      </c>
      <c r="F95">
        <v>0.5</v>
      </c>
      <c r="G95" s="26">
        <v>45723</v>
      </c>
      <c r="H95" s="26">
        <v>45737</v>
      </c>
      <c r="I95" s="26">
        <v>45827</v>
      </c>
      <c r="J95" s="26">
        <v>45826</v>
      </c>
      <c r="K95" s="26">
        <v>45826</v>
      </c>
      <c r="L95" s="26">
        <v>45887</v>
      </c>
      <c r="M95" s="26">
        <v>45957</v>
      </c>
    </row>
    <row r="96" spans="1:13">
      <c r="A96" t="s">
        <v>112</v>
      </c>
      <c r="B96" t="s">
        <v>567</v>
      </c>
      <c r="D96" t="s">
        <v>1426</v>
      </c>
      <c r="E96" t="s">
        <v>2660</v>
      </c>
      <c r="F96">
        <v>0.5</v>
      </c>
      <c r="G96" s="26">
        <v>45708</v>
      </c>
      <c r="H96" s="26">
        <v>45737</v>
      </c>
      <c r="I96" s="26">
        <v>45827</v>
      </c>
      <c r="J96" s="26">
        <v>45828</v>
      </c>
      <c r="K96" s="26">
        <v>45828</v>
      </c>
      <c r="L96" s="26">
        <v>45887</v>
      </c>
      <c r="M96" s="26">
        <v>46013</v>
      </c>
    </row>
    <row r="97" spans="1:13">
      <c r="A97" t="s">
        <v>112</v>
      </c>
      <c r="B97" t="s">
        <v>848</v>
      </c>
      <c r="C97" t="s">
        <v>503</v>
      </c>
      <c r="D97" t="s">
        <v>1488</v>
      </c>
      <c r="E97" t="s">
        <v>2661</v>
      </c>
      <c r="F97">
        <v>0.5</v>
      </c>
      <c r="G97" s="26">
        <v>45723</v>
      </c>
      <c r="H97" s="26">
        <v>45737</v>
      </c>
      <c r="I97" s="26">
        <v>45827</v>
      </c>
      <c r="J97" s="26">
        <v>45826</v>
      </c>
      <c r="K97" s="26">
        <v>45826</v>
      </c>
      <c r="L97" s="26">
        <v>45887</v>
      </c>
      <c r="M97" s="26">
        <v>45957</v>
      </c>
    </row>
    <row r="98" spans="1:13">
      <c r="A98" t="s">
        <v>112</v>
      </c>
      <c r="B98" t="s">
        <v>567</v>
      </c>
      <c r="D98" t="s">
        <v>1426</v>
      </c>
      <c r="E98" t="s">
        <v>2662</v>
      </c>
      <c r="F98">
        <v>0.5</v>
      </c>
      <c r="G98" s="26">
        <v>45708</v>
      </c>
      <c r="H98" s="26">
        <v>45737</v>
      </c>
      <c r="I98" s="26">
        <v>45827</v>
      </c>
      <c r="J98" s="26">
        <v>45828</v>
      </c>
      <c r="K98" s="26">
        <v>45828</v>
      </c>
      <c r="L98" s="26">
        <v>45887</v>
      </c>
      <c r="M98" s="26">
        <v>46013</v>
      </c>
    </row>
    <row r="99" spans="1:13">
      <c r="A99" t="s">
        <v>46</v>
      </c>
      <c r="B99" t="s">
        <v>494</v>
      </c>
      <c r="D99" t="s">
        <v>1446</v>
      </c>
      <c r="E99" t="s">
        <v>2625</v>
      </c>
      <c r="F99">
        <v>2</v>
      </c>
      <c r="G99" s="26">
        <v>45738</v>
      </c>
      <c r="H99" s="26">
        <v>45795</v>
      </c>
      <c r="I99" s="26">
        <v>45830</v>
      </c>
      <c r="J99" s="26"/>
      <c r="K99" s="26">
        <v>45830</v>
      </c>
      <c r="L99" s="26">
        <v>45886</v>
      </c>
      <c r="M99" s="26">
        <v>45921</v>
      </c>
    </row>
    <row r="100" spans="1:13">
      <c r="A100" t="s">
        <v>119</v>
      </c>
      <c r="B100" t="s">
        <v>1851</v>
      </c>
      <c r="D100" t="s">
        <v>1442</v>
      </c>
      <c r="E100" t="s">
        <v>2763</v>
      </c>
      <c r="F100">
        <v>0.5</v>
      </c>
      <c r="G100" s="26">
        <v>45739</v>
      </c>
      <c r="H100" s="26">
        <v>45791</v>
      </c>
      <c r="I100" s="26">
        <v>45833</v>
      </c>
      <c r="J100" s="26"/>
      <c r="K100" s="26">
        <v>45833</v>
      </c>
      <c r="L100" s="26">
        <v>45883</v>
      </c>
      <c r="M100" s="26">
        <v>45897</v>
      </c>
    </row>
    <row r="101" spans="1:13">
      <c r="A101" t="s">
        <v>43</v>
      </c>
      <c r="B101" t="s">
        <v>709</v>
      </c>
      <c r="D101" t="s">
        <v>1429</v>
      </c>
      <c r="E101" t="s">
        <v>2623</v>
      </c>
      <c r="F101">
        <v>1</v>
      </c>
      <c r="G101" s="26">
        <v>45783</v>
      </c>
      <c r="H101" s="26">
        <v>45796</v>
      </c>
      <c r="I101" s="26">
        <v>45836</v>
      </c>
      <c r="J101" s="26"/>
      <c r="K101" s="26">
        <v>45836</v>
      </c>
      <c r="L101" s="26">
        <v>45891</v>
      </c>
      <c r="M101" s="26">
        <v>45940</v>
      </c>
    </row>
    <row r="102" spans="1:13">
      <c r="A102" t="s">
        <v>112</v>
      </c>
      <c r="B102" t="s">
        <v>563</v>
      </c>
      <c r="D102" t="s">
        <v>1499</v>
      </c>
      <c r="E102" t="s">
        <v>2781</v>
      </c>
      <c r="F102">
        <v>0.4</v>
      </c>
      <c r="G102" s="26">
        <v>45723</v>
      </c>
      <c r="H102" s="26">
        <v>45748</v>
      </c>
      <c r="I102" s="26">
        <v>45838</v>
      </c>
      <c r="J102" s="26"/>
      <c r="K102" s="26">
        <v>45838</v>
      </c>
      <c r="L102" s="26">
        <v>45898</v>
      </c>
      <c r="M102" s="26">
        <v>45968</v>
      </c>
    </row>
    <row r="103" spans="1:13">
      <c r="A103" t="s">
        <v>356</v>
      </c>
      <c r="B103" t="s">
        <v>570</v>
      </c>
      <c r="D103" t="s">
        <v>1456</v>
      </c>
      <c r="E103" t="s">
        <v>2665</v>
      </c>
      <c r="F103">
        <v>1.6</v>
      </c>
      <c r="G103" s="26">
        <v>45808</v>
      </c>
      <c r="H103" s="26"/>
      <c r="I103" s="26">
        <v>45838</v>
      </c>
      <c r="J103" s="26"/>
      <c r="K103" s="26">
        <v>45838</v>
      </c>
      <c r="L103" s="26">
        <v>45928</v>
      </c>
      <c r="M103" s="26">
        <v>45942</v>
      </c>
    </row>
    <row r="104" spans="1:13">
      <c r="A104" t="s">
        <v>114</v>
      </c>
      <c r="B104" t="s">
        <v>1347</v>
      </c>
      <c r="D104" t="s">
        <v>1453</v>
      </c>
      <c r="E104" t="s">
        <v>2757</v>
      </c>
      <c r="F104">
        <v>0.5</v>
      </c>
      <c r="G104" s="26"/>
      <c r="H104" s="26"/>
      <c r="I104" s="26">
        <v>45838</v>
      </c>
      <c r="J104" s="26"/>
      <c r="K104" s="26">
        <v>45838</v>
      </c>
      <c r="L104" s="26">
        <v>45870</v>
      </c>
      <c r="M104" s="26">
        <v>45891</v>
      </c>
    </row>
    <row r="105" spans="1:13">
      <c r="A105" t="s">
        <v>114</v>
      </c>
      <c r="B105" t="s">
        <v>1925</v>
      </c>
      <c r="C105" t="s">
        <v>482</v>
      </c>
      <c r="D105" t="s">
        <v>1436</v>
      </c>
      <c r="E105" t="s">
        <v>2668</v>
      </c>
      <c r="F105">
        <v>1</v>
      </c>
      <c r="G105" s="26"/>
      <c r="H105" s="26"/>
      <c r="I105" s="26">
        <v>45838</v>
      </c>
      <c r="J105" s="26"/>
      <c r="K105" s="26">
        <v>45838</v>
      </c>
      <c r="L105" s="26">
        <v>45888</v>
      </c>
      <c r="M105" s="26">
        <v>45909</v>
      </c>
    </row>
    <row r="106" spans="1:13">
      <c r="A106" t="s">
        <v>119</v>
      </c>
      <c r="B106" t="s">
        <v>1851</v>
      </c>
      <c r="D106" t="s">
        <v>1490</v>
      </c>
      <c r="E106" t="s">
        <v>2765</v>
      </c>
      <c r="F106">
        <v>0.5</v>
      </c>
      <c r="G106" s="26">
        <v>45802</v>
      </c>
      <c r="H106" s="26">
        <v>45796</v>
      </c>
      <c r="I106" s="26">
        <v>45838</v>
      </c>
      <c r="J106" s="26"/>
      <c r="K106" s="26">
        <v>45838</v>
      </c>
      <c r="L106" s="26">
        <v>45888</v>
      </c>
      <c r="M106" s="26">
        <v>45902</v>
      </c>
    </row>
    <row r="107" spans="1:13">
      <c r="A107" t="s">
        <v>53</v>
      </c>
      <c r="B107" t="s">
        <v>1809</v>
      </c>
      <c r="D107" t="s">
        <v>1448</v>
      </c>
      <c r="E107" t="s">
        <v>2779</v>
      </c>
      <c r="F107">
        <v>1</v>
      </c>
      <c r="G107" s="26"/>
      <c r="H107" s="26"/>
      <c r="I107" s="26">
        <v>45839</v>
      </c>
      <c r="J107" s="26"/>
      <c r="K107" s="26">
        <v>45839</v>
      </c>
      <c r="L107" s="26">
        <v>45923</v>
      </c>
      <c r="M107" s="26">
        <v>45944</v>
      </c>
    </row>
    <row r="108" spans="1:13">
      <c r="A108" t="s">
        <v>92</v>
      </c>
      <c r="B108" t="s">
        <v>2304</v>
      </c>
      <c r="D108" t="s">
        <v>1494</v>
      </c>
      <c r="E108" t="s">
        <v>2769</v>
      </c>
      <c r="F108">
        <v>1</v>
      </c>
      <c r="G108" s="26">
        <v>45811</v>
      </c>
      <c r="H108" s="26"/>
      <c r="I108" s="26">
        <v>45841</v>
      </c>
      <c r="J108" s="26"/>
      <c r="K108" s="26">
        <v>45841</v>
      </c>
      <c r="L108" s="26">
        <v>45881</v>
      </c>
      <c r="M108" s="26">
        <v>45908</v>
      </c>
    </row>
    <row r="109" spans="1:13">
      <c r="A109" t="s">
        <v>92</v>
      </c>
      <c r="B109" t="s">
        <v>2815</v>
      </c>
      <c r="C109" t="s">
        <v>484</v>
      </c>
      <c r="D109" t="s">
        <v>1460</v>
      </c>
      <c r="E109" t="s">
        <v>2772</v>
      </c>
      <c r="F109">
        <v>0.4</v>
      </c>
      <c r="G109" s="26">
        <v>45812</v>
      </c>
      <c r="H109" s="26"/>
      <c r="I109" s="26">
        <v>45842</v>
      </c>
      <c r="J109" s="26"/>
      <c r="K109" s="26">
        <v>45842</v>
      </c>
      <c r="L109" s="26">
        <v>45882</v>
      </c>
      <c r="M109" s="26">
        <v>45896</v>
      </c>
    </row>
    <row r="110" spans="1:13">
      <c r="A110" t="s">
        <v>46</v>
      </c>
      <c r="B110" t="s">
        <v>494</v>
      </c>
      <c r="D110" t="s">
        <v>1495</v>
      </c>
      <c r="E110" t="s">
        <v>2626</v>
      </c>
      <c r="F110">
        <v>2</v>
      </c>
      <c r="G110" s="26">
        <v>45808</v>
      </c>
      <c r="H110" s="26"/>
      <c r="I110" s="26">
        <v>45843</v>
      </c>
      <c r="J110" s="26"/>
      <c r="K110" s="26">
        <v>45843</v>
      </c>
      <c r="L110" s="26">
        <v>45888</v>
      </c>
      <c r="M110" s="26">
        <v>45923</v>
      </c>
    </row>
    <row r="111" spans="1:13">
      <c r="A111" t="s">
        <v>52</v>
      </c>
      <c r="B111" t="s">
        <v>1905</v>
      </c>
      <c r="D111" t="s">
        <v>1469</v>
      </c>
      <c r="E111" t="s">
        <v>2629</v>
      </c>
      <c r="F111">
        <v>1</v>
      </c>
      <c r="G111" s="26">
        <v>45817</v>
      </c>
      <c r="H111" s="26"/>
      <c r="I111" s="26">
        <v>45845</v>
      </c>
      <c r="J111" s="26"/>
      <c r="K111" s="26">
        <v>45845</v>
      </c>
      <c r="L111" s="26">
        <v>45902</v>
      </c>
      <c r="M111" s="26">
        <v>45916</v>
      </c>
    </row>
    <row r="112" spans="1:13">
      <c r="A112" t="s">
        <v>52</v>
      </c>
      <c r="B112" t="s">
        <v>2792</v>
      </c>
      <c r="D112" t="s">
        <v>1470</v>
      </c>
      <c r="E112" t="s">
        <v>2800</v>
      </c>
      <c r="F112">
        <v>1</v>
      </c>
      <c r="G112" s="26">
        <v>45817</v>
      </c>
      <c r="H112" s="26"/>
      <c r="I112" s="26">
        <v>45845</v>
      </c>
      <c r="J112" s="26"/>
      <c r="K112" s="26">
        <v>45845</v>
      </c>
      <c r="L112" s="26">
        <v>45895</v>
      </c>
      <c r="M112" s="26">
        <v>45909</v>
      </c>
    </row>
    <row r="113" spans="1:13">
      <c r="A113" t="s">
        <v>137</v>
      </c>
      <c r="B113" t="s">
        <v>1686</v>
      </c>
      <c r="C113" t="s">
        <v>490</v>
      </c>
      <c r="D113" t="s">
        <v>1453</v>
      </c>
      <c r="E113" t="s">
        <v>2752</v>
      </c>
      <c r="F113">
        <v>0.5</v>
      </c>
      <c r="G113" s="26"/>
      <c r="H113" s="26"/>
      <c r="I113" s="26">
        <v>45845</v>
      </c>
      <c r="J113" s="26"/>
      <c r="K113" s="26">
        <v>45845</v>
      </c>
      <c r="L113" s="26">
        <v>45885</v>
      </c>
      <c r="M113" s="26">
        <v>45899</v>
      </c>
    </row>
    <row r="114" spans="1:13">
      <c r="A114" t="s">
        <v>49</v>
      </c>
      <c r="B114" t="s">
        <v>2852</v>
      </c>
      <c r="D114" t="s">
        <v>1501</v>
      </c>
      <c r="E114" t="s">
        <v>2778</v>
      </c>
      <c r="F114">
        <v>0.8</v>
      </c>
      <c r="G114" s="26">
        <v>45818</v>
      </c>
      <c r="H114" s="26"/>
      <c r="I114" s="26">
        <v>45846</v>
      </c>
      <c r="J114" s="26"/>
      <c r="K114" s="26">
        <v>45846</v>
      </c>
      <c r="L114" s="26">
        <v>45891</v>
      </c>
      <c r="M114" s="26">
        <v>45912</v>
      </c>
    </row>
    <row r="115" spans="1:13">
      <c r="A115" t="s">
        <v>89</v>
      </c>
      <c r="B115" t="s">
        <v>1918</v>
      </c>
      <c r="D115" t="s">
        <v>1424</v>
      </c>
      <c r="E115" t="s">
        <v>2647</v>
      </c>
      <c r="F115">
        <v>1</v>
      </c>
      <c r="G115" s="26">
        <v>45823</v>
      </c>
      <c r="H115" s="26"/>
      <c r="I115" s="26">
        <v>45848</v>
      </c>
      <c r="J115" s="26"/>
      <c r="K115" s="26">
        <v>45848</v>
      </c>
      <c r="L115" s="26">
        <v>45896</v>
      </c>
      <c r="M115" s="26">
        <v>45910</v>
      </c>
    </row>
    <row r="116" spans="1:13">
      <c r="A116" t="s">
        <v>75</v>
      </c>
      <c r="B116" t="s">
        <v>614</v>
      </c>
      <c r="D116" t="s">
        <v>1433</v>
      </c>
      <c r="E116" t="s">
        <v>2744</v>
      </c>
      <c r="F116">
        <v>0.25</v>
      </c>
      <c r="G116" s="26">
        <v>45826</v>
      </c>
      <c r="H116" s="26"/>
      <c r="I116" s="26">
        <v>45852</v>
      </c>
      <c r="J116" s="26"/>
      <c r="K116" s="26">
        <v>45852</v>
      </c>
      <c r="L116" s="26">
        <v>45902</v>
      </c>
      <c r="M116" s="26">
        <v>45919</v>
      </c>
    </row>
    <row r="117" spans="1:13">
      <c r="A117" t="s">
        <v>52</v>
      </c>
      <c r="B117" t="s">
        <v>1898</v>
      </c>
      <c r="D117" t="s">
        <v>1468</v>
      </c>
      <c r="E117" t="s">
        <v>2628</v>
      </c>
      <c r="F117">
        <v>1</v>
      </c>
      <c r="G117" s="26">
        <v>45818</v>
      </c>
      <c r="H117" s="26"/>
      <c r="I117" s="26">
        <v>45853</v>
      </c>
      <c r="J117" s="26"/>
      <c r="K117" s="26">
        <v>45853</v>
      </c>
      <c r="L117" s="26">
        <v>45938</v>
      </c>
      <c r="M117" s="26">
        <v>45959</v>
      </c>
    </row>
    <row r="118" spans="1:13">
      <c r="A118" t="s">
        <v>54</v>
      </c>
      <c r="B118" t="s">
        <v>1906</v>
      </c>
      <c r="D118" t="s">
        <v>1467</v>
      </c>
      <c r="E118" t="s">
        <v>2635</v>
      </c>
      <c r="F118">
        <v>1</v>
      </c>
      <c r="G118" s="26">
        <v>45818</v>
      </c>
      <c r="H118" s="26"/>
      <c r="I118" s="26">
        <v>45853</v>
      </c>
      <c r="J118" s="26"/>
      <c r="K118" s="26">
        <v>45853</v>
      </c>
      <c r="L118" s="26">
        <v>45938</v>
      </c>
      <c r="M118" s="26">
        <v>45959</v>
      </c>
    </row>
    <row r="119" spans="1:13">
      <c r="A119" t="s">
        <v>78</v>
      </c>
      <c r="B119" t="s">
        <v>1832</v>
      </c>
      <c r="D119" t="s">
        <v>1476</v>
      </c>
      <c r="E119" t="s">
        <v>2728</v>
      </c>
      <c r="F119">
        <v>1</v>
      </c>
      <c r="G119" s="26">
        <v>45823</v>
      </c>
      <c r="H119" s="26"/>
      <c r="I119" s="26">
        <v>45853</v>
      </c>
      <c r="J119" s="26"/>
      <c r="K119" s="26">
        <v>45853</v>
      </c>
      <c r="L119" s="26">
        <v>45879</v>
      </c>
      <c r="M119" s="26">
        <v>45893</v>
      </c>
    </row>
    <row r="120" spans="1:13">
      <c r="A120" t="s">
        <v>114</v>
      </c>
      <c r="B120" t="s">
        <v>577</v>
      </c>
      <c r="D120" t="s">
        <v>1450</v>
      </c>
      <c r="E120" t="s">
        <v>2667</v>
      </c>
      <c r="F120">
        <v>1</v>
      </c>
      <c r="G120" s="26">
        <v>45828</v>
      </c>
      <c r="H120" s="26"/>
      <c r="I120" s="26">
        <v>45853</v>
      </c>
      <c r="J120" s="26"/>
      <c r="K120" s="26">
        <v>45853</v>
      </c>
      <c r="L120" s="26">
        <v>45903</v>
      </c>
      <c r="M120" s="26">
        <v>45924</v>
      </c>
    </row>
    <row r="121" spans="1:13">
      <c r="A121" t="s">
        <v>62</v>
      </c>
      <c r="B121" t="s">
        <v>514</v>
      </c>
      <c r="D121" t="s">
        <v>1433</v>
      </c>
      <c r="E121" t="s">
        <v>2738</v>
      </c>
      <c r="F121">
        <v>0.25</v>
      </c>
      <c r="G121" s="26">
        <v>45826</v>
      </c>
      <c r="H121" s="26"/>
      <c r="I121" s="26">
        <v>45856</v>
      </c>
      <c r="J121" s="26"/>
      <c r="K121" s="26">
        <v>45856</v>
      </c>
      <c r="L121" s="26">
        <v>45906</v>
      </c>
      <c r="M121" s="26">
        <v>45920</v>
      </c>
    </row>
    <row r="122" spans="1:13">
      <c r="A122" t="s">
        <v>92</v>
      </c>
      <c r="B122" t="s">
        <v>2304</v>
      </c>
      <c r="D122" t="s">
        <v>1487</v>
      </c>
      <c r="E122" t="s">
        <v>2770</v>
      </c>
      <c r="F122">
        <v>1</v>
      </c>
      <c r="G122" s="26">
        <v>45832</v>
      </c>
      <c r="H122" s="26"/>
      <c r="I122" s="26">
        <v>45862</v>
      </c>
      <c r="J122" s="26"/>
      <c r="K122" s="26">
        <v>45862</v>
      </c>
      <c r="L122" s="26">
        <v>45902</v>
      </c>
      <c r="M122" s="26">
        <v>45929</v>
      </c>
    </row>
    <row r="123" spans="1:13">
      <c r="A123" t="s">
        <v>92</v>
      </c>
      <c r="B123" t="s">
        <v>546</v>
      </c>
      <c r="C123" t="s">
        <v>490</v>
      </c>
      <c r="D123" t="s">
        <v>1461</v>
      </c>
      <c r="E123" t="s">
        <v>2773</v>
      </c>
      <c r="F123">
        <v>0.4</v>
      </c>
      <c r="G123" s="26">
        <v>45833</v>
      </c>
      <c r="H123" s="26"/>
      <c r="I123" s="26">
        <v>45863</v>
      </c>
      <c r="J123" s="26"/>
      <c r="K123" s="26">
        <v>45863</v>
      </c>
      <c r="L123" s="26">
        <v>45903</v>
      </c>
      <c r="M123" s="26">
        <v>45917</v>
      </c>
    </row>
    <row r="124" spans="1:13">
      <c r="A124" t="s">
        <v>75</v>
      </c>
      <c r="B124" t="s">
        <v>614</v>
      </c>
      <c r="D124" t="s">
        <v>1433</v>
      </c>
      <c r="E124" t="s">
        <v>2745</v>
      </c>
      <c r="F124">
        <v>0.25</v>
      </c>
      <c r="G124" s="26">
        <v>45840</v>
      </c>
      <c r="H124" s="26"/>
      <c r="I124" s="26">
        <v>45866</v>
      </c>
      <c r="J124" s="26"/>
      <c r="K124" s="26">
        <v>45866</v>
      </c>
      <c r="L124" s="26">
        <v>45916</v>
      </c>
      <c r="M124" s="26">
        <v>45933</v>
      </c>
    </row>
    <row r="125" spans="1:13">
      <c r="A125" t="s">
        <v>114</v>
      </c>
      <c r="B125" t="s">
        <v>1347</v>
      </c>
      <c r="D125" t="s">
        <v>1454</v>
      </c>
      <c r="E125" t="s">
        <v>2758</v>
      </c>
      <c r="F125">
        <v>0.5</v>
      </c>
      <c r="G125" s="26"/>
      <c r="H125" s="26"/>
      <c r="I125" s="26">
        <v>45868</v>
      </c>
      <c r="J125" s="26"/>
      <c r="K125" s="26">
        <v>45868</v>
      </c>
      <c r="L125" s="26">
        <v>45900</v>
      </c>
      <c r="M125" s="26">
        <v>45921</v>
      </c>
    </row>
    <row r="126" spans="1:13">
      <c r="A126" t="s">
        <v>54</v>
      </c>
      <c r="B126" t="s">
        <v>2809</v>
      </c>
      <c r="C126" t="s">
        <v>490</v>
      </c>
      <c r="D126" t="s">
        <v>1489</v>
      </c>
      <c r="E126" t="s">
        <v>2808</v>
      </c>
      <c r="F126">
        <v>1</v>
      </c>
      <c r="G126" s="26">
        <v>45835</v>
      </c>
      <c r="H126" s="26"/>
      <c r="I126" s="26">
        <v>45870</v>
      </c>
      <c r="J126" s="26"/>
      <c r="K126" s="26">
        <v>45870</v>
      </c>
      <c r="L126" s="26">
        <v>45912</v>
      </c>
      <c r="M126" s="26">
        <v>45933</v>
      </c>
    </row>
    <row r="127" spans="1:13">
      <c r="A127" t="s">
        <v>62</v>
      </c>
      <c r="B127" t="s">
        <v>514</v>
      </c>
      <c r="D127" t="s">
        <v>1433</v>
      </c>
      <c r="E127" t="s">
        <v>2739</v>
      </c>
      <c r="F127">
        <v>0.25</v>
      </c>
      <c r="G127" s="26">
        <v>45840</v>
      </c>
      <c r="H127" s="26"/>
      <c r="I127" s="26">
        <v>45870</v>
      </c>
      <c r="J127" s="26"/>
      <c r="K127" s="26">
        <v>45870</v>
      </c>
      <c r="L127" s="26">
        <v>45920</v>
      </c>
      <c r="M127" s="26">
        <v>45934</v>
      </c>
    </row>
    <row r="128" spans="1:13">
      <c r="A128" t="s">
        <v>137</v>
      </c>
      <c r="B128" t="s">
        <v>1686</v>
      </c>
      <c r="C128" t="s">
        <v>490</v>
      </c>
      <c r="D128" t="s">
        <v>1454</v>
      </c>
      <c r="E128" t="s">
        <v>2753</v>
      </c>
      <c r="F128">
        <v>0.5</v>
      </c>
      <c r="G128" s="26"/>
      <c r="H128" s="26"/>
      <c r="I128" s="26">
        <v>45876</v>
      </c>
      <c r="J128" s="26"/>
      <c r="K128" s="26">
        <v>45876</v>
      </c>
      <c r="L128" s="26">
        <v>45916</v>
      </c>
      <c r="M128" s="26">
        <v>45930</v>
      </c>
    </row>
    <row r="129" spans="1:13">
      <c r="A129" t="s">
        <v>92</v>
      </c>
      <c r="B129" t="s">
        <v>2304</v>
      </c>
      <c r="D129" t="s">
        <v>1493</v>
      </c>
      <c r="E129" t="s">
        <v>2771</v>
      </c>
      <c r="F129">
        <v>1</v>
      </c>
      <c r="G129" s="26">
        <v>45853</v>
      </c>
      <c r="H129" s="26"/>
      <c r="I129" s="26">
        <v>45883</v>
      </c>
      <c r="J129" s="26"/>
      <c r="K129" s="26">
        <v>45883</v>
      </c>
      <c r="L129" s="26">
        <v>45923</v>
      </c>
      <c r="M129" s="26">
        <v>45950</v>
      </c>
    </row>
    <row r="130" spans="1:13">
      <c r="A130" t="s">
        <v>62</v>
      </c>
      <c r="B130" t="s">
        <v>514</v>
      </c>
      <c r="D130" t="s">
        <v>1433</v>
      </c>
      <c r="E130" t="s">
        <v>2740</v>
      </c>
      <c r="F130">
        <v>0.25</v>
      </c>
      <c r="G130" s="26">
        <v>45854</v>
      </c>
      <c r="H130" s="26"/>
      <c r="I130" s="26">
        <v>45884</v>
      </c>
      <c r="J130" s="26"/>
      <c r="K130" s="26">
        <v>45884</v>
      </c>
      <c r="L130" s="26">
        <v>45934</v>
      </c>
      <c r="M130" s="26">
        <v>45948</v>
      </c>
    </row>
    <row r="131" spans="1:13">
      <c r="A131" t="s">
        <v>92</v>
      </c>
      <c r="B131" t="s">
        <v>1542</v>
      </c>
      <c r="C131" t="s">
        <v>482</v>
      </c>
      <c r="D131" t="s">
        <v>1462</v>
      </c>
      <c r="E131" t="s">
        <v>2774</v>
      </c>
      <c r="F131">
        <v>0.4</v>
      </c>
      <c r="G131" s="26">
        <v>45854</v>
      </c>
      <c r="H131" s="26"/>
      <c r="I131" s="26">
        <v>45884</v>
      </c>
      <c r="J131" s="26"/>
      <c r="K131" s="26">
        <v>45884</v>
      </c>
      <c r="L131" s="26">
        <v>45924</v>
      </c>
      <c r="M131" s="26">
        <v>45938</v>
      </c>
    </row>
    <row r="132" spans="1:13">
      <c r="A132" t="s">
        <v>80</v>
      </c>
      <c r="B132" t="s">
        <v>2863</v>
      </c>
      <c r="D132" t="s">
        <v>1496</v>
      </c>
      <c r="E132" t="s">
        <v>2725</v>
      </c>
      <c r="F132">
        <v>1</v>
      </c>
      <c r="G132" s="26"/>
      <c r="H132" s="26"/>
      <c r="I132" s="26">
        <v>45888</v>
      </c>
      <c r="J132" s="26">
        <v>45647</v>
      </c>
      <c r="K132" s="26">
        <v>45647</v>
      </c>
      <c r="L132" s="26">
        <v>45778</v>
      </c>
      <c r="M132" s="26">
        <v>45807</v>
      </c>
    </row>
    <row r="133" spans="1:13">
      <c r="A133" t="s">
        <v>114</v>
      </c>
      <c r="B133" t="s">
        <v>1347</v>
      </c>
      <c r="D133" t="s">
        <v>1453</v>
      </c>
      <c r="E133" t="s">
        <v>2759</v>
      </c>
      <c r="F133">
        <v>0.5</v>
      </c>
      <c r="G133" s="26"/>
      <c r="H133" s="26"/>
      <c r="I133" s="26">
        <v>45898</v>
      </c>
      <c r="J133" s="26"/>
      <c r="K133" s="26">
        <v>45898</v>
      </c>
      <c r="L133" s="26">
        <v>45930</v>
      </c>
      <c r="M133" s="26">
        <v>45951</v>
      </c>
    </row>
    <row r="134" spans="1:13">
      <c r="A134" t="s">
        <v>137</v>
      </c>
      <c r="B134" t="s">
        <v>1686</v>
      </c>
      <c r="C134" t="s">
        <v>490</v>
      </c>
      <c r="D134" t="s">
        <v>1453</v>
      </c>
      <c r="E134" t="s">
        <v>2754</v>
      </c>
      <c r="F134">
        <v>0.5</v>
      </c>
      <c r="G134" s="26"/>
      <c r="H134" s="26"/>
      <c r="I134" s="26">
        <v>45907</v>
      </c>
      <c r="J134" s="26"/>
      <c r="K134" s="26">
        <v>45907</v>
      </c>
      <c r="L134" s="26">
        <v>45947</v>
      </c>
      <c r="M134" s="26">
        <v>45961</v>
      </c>
    </row>
  </sheetData>
  <pageMargins left="0.7" right="0.7" top="0.75" bottom="0.75" header="0.3" footer="0.3"/>
  <pageSetup scale="64" fitToHeight="0" orientation="landscape" horizontalDpi="0"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CB1A6B-5B61-4C91-8B02-62B111BB0F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29</vt:i4>
      </vt:variant>
    </vt:vector>
  </HeadingPairs>
  <TitlesOfParts>
    <vt:vector size="53" baseType="lpstr">
      <vt:lpstr>Config</vt:lpstr>
      <vt:lpstr>Crop Chart</vt:lpstr>
      <vt:lpstr>Bed Plan</vt:lpstr>
      <vt:lpstr>EOY Notes</vt:lpstr>
      <vt:lpstr>Crop Map</vt:lpstr>
      <vt:lpstr>Removed</vt:lpstr>
      <vt:lpstr>Products</vt:lpstr>
      <vt:lpstr>Product Analysis</vt:lpstr>
      <vt:lpstr>Varieties</vt:lpstr>
      <vt:lpstr>Seed List</vt:lpstr>
      <vt:lpstr>Seed Mixes</vt:lpstr>
      <vt:lpstr>Seed Starting</vt:lpstr>
      <vt:lpstr>Tasks Pivot</vt:lpstr>
      <vt:lpstr>Planting</vt:lpstr>
      <vt:lpstr>Bed Info</vt:lpstr>
      <vt:lpstr>Crop Quantity Pivot</vt:lpstr>
      <vt:lpstr>Seed Order Pivot</vt:lpstr>
      <vt:lpstr>2023 Seed Order</vt:lpstr>
      <vt:lpstr>Organic Print</vt:lpstr>
      <vt:lpstr>Production Schedule</vt:lpstr>
      <vt:lpstr>PAL</vt:lpstr>
      <vt:lpstr>Organic Search</vt:lpstr>
      <vt:lpstr>Organic Tasks</vt:lpstr>
      <vt:lpstr>Organic BedPlan</vt:lpstr>
      <vt:lpstr>AnnualCompostDepth</vt:lpstr>
      <vt:lpstr>BedCost</vt:lpstr>
      <vt:lpstr>BedLength</vt:lpstr>
      <vt:lpstr>BedsPerAcre</vt:lpstr>
      <vt:lpstr>BedWidth</vt:lpstr>
      <vt:lpstr>CompostCost</vt:lpstr>
      <vt:lpstr>CompostCostPerBed</vt:lpstr>
      <vt:lpstr>CrateHaulTime</vt:lpstr>
      <vt:lpstr>CratesPerMarketLoad</vt:lpstr>
      <vt:lpstr>CSAMembers</vt:lpstr>
      <vt:lpstr>DaysBetweenStartIrrigation</vt:lpstr>
      <vt:lpstr>FieldAcres</vt:lpstr>
      <vt:lpstr>GrowingDays</vt:lpstr>
      <vt:lpstr>HomeStartFlatIrrigationPerHour</vt:lpstr>
      <vt:lpstr>HoursPerWeedingPass</vt:lpstr>
      <vt:lpstr>LaborRate</vt:lpstr>
      <vt:lpstr>LargeTransplantTime</vt:lpstr>
      <vt:lpstr>LastFrostDate</vt:lpstr>
      <vt:lpstr>MarketHaulTime</vt:lpstr>
      <vt:lpstr>MarketingTimeFactor</vt:lpstr>
      <vt:lpstr>MINUTE</vt:lpstr>
      <vt:lpstr>PlantingSafetyFactor</vt:lpstr>
      <vt:lpstr>'Crop Map'!Print_Area</vt:lpstr>
      <vt:lpstr>SECONDS</vt:lpstr>
      <vt:lpstr>SmallTransplantTime</vt:lpstr>
      <vt:lpstr>StandardBedLength</vt:lpstr>
      <vt:lpstr>StartsPerHourSeeding</vt:lpstr>
      <vt:lpstr>StartsPerHourTransplanting</vt:lpstr>
      <vt:lpstr>UpPottingPerHour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Morgan</dc:creator>
  <cp:lastModifiedBy>Tyler Morgan</cp:lastModifiedBy>
  <cp:lastPrinted>2025-08-24T21:04:58Z</cp:lastPrinted>
  <dcterms:created xsi:type="dcterms:W3CDTF">2023-01-17T19:02:01Z</dcterms:created>
  <dcterms:modified xsi:type="dcterms:W3CDTF">2025-11-30T04:42:44Z</dcterms:modified>
</cp:coreProperties>
</file>